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GDR_refTrans_2016-17\peach\refTransV1\download_files\"/>
    </mc:Choice>
  </mc:AlternateContent>
  <bookViews>
    <workbookView xWindow="0" yWindow="0" windowWidth="24000" windowHeight="9735"/>
  </bookViews>
  <sheets>
    <sheet name="sprot_longestIsfo.txt_sub_repor" sheetId="1" r:id="rId1"/>
  </sheets>
  <calcPr calcId="152511"/>
</workbook>
</file>

<file path=xl/calcChain.xml><?xml version="1.0" encoding="utf-8"?>
<calcChain xmlns="http://schemas.openxmlformats.org/spreadsheetml/2006/main">
  <c r="A2" i="1" l="1"/>
  <c r="C2" i="1"/>
  <c r="A3" i="1"/>
  <c r="C3" i="1"/>
  <c r="A4" i="1"/>
  <c r="C4" i="1"/>
  <c r="A5" i="1"/>
  <c r="C5" i="1"/>
  <c r="A6" i="1"/>
  <c r="C6" i="1"/>
  <c r="A7" i="1"/>
  <c r="C7" i="1"/>
  <c r="A8" i="1"/>
  <c r="C8" i="1"/>
  <c r="A9" i="1"/>
  <c r="C9" i="1"/>
  <c r="A10" i="1"/>
  <c r="C10" i="1"/>
  <c r="A11" i="1"/>
  <c r="C11" i="1"/>
  <c r="A12" i="1"/>
  <c r="C12" i="1"/>
  <c r="A13" i="1"/>
  <c r="C13" i="1"/>
  <c r="A14" i="1"/>
  <c r="C14" i="1"/>
  <c r="A15" i="1"/>
  <c r="C15" i="1"/>
  <c r="A16" i="1"/>
  <c r="C16" i="1"/>
  <c r="A17" i="1"/>
  <c r="C17" i="1"/>
  <c r="A18" i="1"/>
  <c r="C18" i="1"/>
  <c r="A19" i="1"/>
  <c r="C19" i="1"/>
  <c r="A20" i="1"/>
  <c r="C20" i="1"/>
  <c r="A21" i="1"/>
  <c r="C21" i="1"/>
  <c r="A22" i="1"/>
  <c r="C22" i="1"/>
  <c r="A23" i="1"/>
  <c r="C23" i="1"/>
  <c r="A24" i="1"/>
  <c r="C24" i="1"/>
  <c r="A25" i="1"/>
  <c r="C25" i="1"/>
  <c r="A26" i="1"/>
  <c r="C26" i="1"/>
  <c r="A27" i="1"/>
  <c r="C27" i="1"/>
  <c r="A28" i="1"/>
  <c r="C28" i="1"/>
  <c r="A29" i="1"/>
  <c r="C29" i="1"/>
  <c r="A30" i="1"/>
  <c r="C30" i="1"/>
  <c r="A31" i="1"/>
  <c r="C31" i="1"/>
  <c r="A32" i="1"/>
  <c r="C32" i="1"/>
  <c r="A33" i="1"/>
  <c r="C33" i="1"/>
  <c r="A34" i="1"/>
  <c r="C34" i="1"/>
  <c r="A35" i="1"/>
  <c r="C35" i="1"/>
  <c r="A36" i="1"/>
  <c r="C36" i="1"/>
  <c r="A37" i="1"/>
  <c r="C37" i="1"/>
  <c r="A38" i="1"/>
  <c r="C38" i="1"/>
  <c r="A39" i="1"/>
  <c r="C39" i="1"/>
  <c r="A40" i="1"/>
  <c r="C40" i="1"/>
  <c r="A41" i="1"/>
  <c r="C41" i="1"/>
  <c r="A42" i="1"/>
  <c r="C42" i="1"/>
  <c r="A43" i="1"/>
  <c r="C43" i="1"/>
  <c r="A44" i="1"/>
  <c r="C44" i="1"/>
  <c r="A45" i="1"/>
  <c r="C45" i="1"/>
  <c r="A46" i="1"/>
  <c r="C46" i="1"/>
  <c r="A47" i="1"/>
  <c r="C47" i="1"/>
  <c r="A48" i="1"/>
  <c r="C48" i="1"/>
  <c r="A49" i="1"/>
  <c r="C49" i="1"/>
  <c r="A50" i="1"/>
  <c r="C50" i="1"/>
  <c r="A51" i="1"/>
  <c r="C51" i="1"/>
  <c r="A52" i="1"/>
  <c r="C52" i="1"/>
  <c r="A53" i="1"/>
  <c r="C53" i="1"/>
  <c r="A54" i="1"/>
  <c r="C54" i="1"/>
  <c r="A55" i="1"/>
  <c r="C55" i="1"/>
  <c r="A56" i="1"/>
  <c r="C56" i="1"/>
  <c r="A57" i="1"/>
  <c r="C57" i="1"/>
  <c r="A58" i="1"/>
  <c r="C58" i="1"/>
  <c r="A59" i="1"/>
  <c r="C59" i="1"/>
  <c r="A60" i="1"/>
  <c r="C60" i="1"/>
  <c r="A61" i="1"/>
  <c r="C61" i="1"/>
  <c r="A62" i="1"/>
  <c r="C62" i="1"/>
  <c r="A63" i="1"/>
  <c r="C63" i="1"/>
  <c r="A64" i="1"/>
  <c r="C64" i="1"/>
  <c r="A65" i="1"/>
  <c r="C65" i="1"/>
  <c r="A66" i="1"/>
  <c r="C66" i="1"/>
  <c r="A67" i="1"/>
  <c r="C67" i="1"/>
  <c r="A68" i="1"/>
  <c r="C68" i="1"/>
  <c r="A69" i="1"/>
  <c r="C69" i="1"/>
  <c r="A70" i="1"/>
  <c r="C70" i="1"/>
  <c r="A71" i="1"/>
  <c r="C71" i="1"/>
  <c r="A72" i="1"/>
  <c r="C72" i="1"/>
  <c r="A73" i="1"/>
  <c r="C73" i="1"/>
  <c r="A74" i="1"/>
  <c r="C74" i="1"/>
  <c r="A75" i="1"/>
  <c r="C75" i="1"/>
  <c r="A76" i="1"/>
  <c r="C76" i="1"/>
  <c r="A77" i="1"/>
  <c r="C77" i="1"/>
  <c r="A78" i="1"/>
  <c r="C78" i="1"/>
  <c r="A79" i="1"/>
  <c r="C79" i="1"/>
  <c r="A80" i="1"/>
  <c r="C80" i="1"/>
  <c r="A81" i="1"/>
  <c r="C81" i="1"/>
  <c r="A82" i="1"/>
  <c r="C82" i="1"/>
  <c r="A83" i="1"/>
  <c r="C83" i="1"/>
  <c r="A84" i="1"/>
  <c r="C84" i="1"/>
  <c r="A85" i="1"/>
  <c r="C85" i="1"/>
  <c r="A86" i="1"/>
  <c r="C86" i="1"/>
  <c r="A87" i="1"/>
  <c r="C87" i="1"/>
  <c r="A88" i="1"/>
  <c r="C88" i="1"/>
  <c r="A89" i="1"/>
  <c r="C89" i="1"/>
  <c r="A90" i="1"/>
  <c r="C90" i="1"/>
  <c r="A91" i="1"/>
  <c r="C91" i="1"/>
  <c r="A92" i="1"/>
  <c r="C92" i="1"/>
  <c r="A93" i="1"/>
  <c r="C93" i="1"/>
  <c r="A94" i="1"/>
  <c r="C94" i="1"/>
  <c r="A95" i="1"/>
  <c r="C95" i="1"/>
  <c r="A96" i="1"/>
  <c r="C96" i="1"/>
  <c r="A97" i="1"/>
  <c r="C97" i="1"/>
  <c r="A98" i="1"/>
  <c r="C98" i="1"/>
  <c r="A99" i="1"/>
  <c r="C99" i="1"/>
  <c r="A100" i="1"/>
  <c r="C100" i="1"/>
  <c r="A101" i="1"/>
  <c r="C101" i="1"/>
  <c r="A102" i="1"/>
  <c r="C102" i="1"/>
  <c r="A103" i="1"/>
  <c r="C103" i="1"/>
  <c r="A104" i="1"/>
  <c r="C104" i="1"/>
  <c r="A105" i="1"/>
  <c r="C105" i="1"/>
  <c r="A106" i="1"/>
  <c r="C106" i="1"/>
  <c r="A107" i="1"/>
  <c r="C107" i="1"/>
  <c r="A108" i="1"/>
  <c r="C108" i="1"/>
  <c r="A109" i="1"/>
  <c r="C109" i="1"/>
  <c r="A110" i="1"/>
  <c r="C110" i="1"/>
  <c r="A111" i="1"/>
  <c r="C111" i="1"/>
  <c r="A112" i="1"/>
  <c r="C112" i="1"/>
  <c r="A113" i="1"/>
  <c r="C113" i="1"/>
  <c r="A114" i="1"/>
  <c r="C114" i="1"/>
  <c r="A115" i="1"/>
  <c r="C115" i="1"/>
  <c r="A116" i="1"/>
  <c r="C116" i="1"/>
  <c r="A117" i="1"/>
  <c r="C117" i="1"/>
  <c r="A118" i="1"/>
  <c r="C118" i="1"/>
  <c r="A119" i="1"/>
  <c r="C119" i="1"/>
  <c r="A120" i="1"/>
  <c r="C120" i="1"/>
  <c r="A121" i="1"/>
  <c r="C121" i="1"/>
  <c r="A122" i="1"/>
  <c r="C122" i="1"/>
  <c r="A123" i="1"/>
  <c r="C123" i="1"/>
  <c r="A124" i="1"/>
  <c r="C124" i="1"/>
  <c r="A125" i="1"/>
  <c r="C125" i="1"/>
  <c r="A126" i="1"/>
  <c r="C126" i="1"/>
  <c r="A127" i="1"/>
  <c r="C127" i="1"/>
  <c r="A128" i="1"/>
  <c r="C128" i="1"/>
  <c r="A129" i="1"/>
  <c r="C129" i="1"/>
  <c r="A130" i="1"/>
  <c r="C130" i="1"/>
  <c r="A131" i="1"/>
  <c r="C131" i="1"/>
  <c r="A132" i="1"/>
  <c r="C132" i="1"/>
  <c r="A133" i="1"/>
  <c r="C133" i="1"/>
  <c r="A134" i="1"/>
  <c r="C134" i="1"/>
  <c r="A135" i="1"/>
  <c r="C135" i="1"/>
  <c r="A136" i="1"/>
  <c r="C136" i="1"/>
  <c r="A137" i="1"/>
  <c r="C137" i="1"/>
  <c r="A138" i="1"/>
  <c r="C138" i="1"/>
  <c r="A139" i="1"/>
  <c r="C139" i="1"/>
  <c r="A140" i="1"/>
  <c r="C140" i="1"/>
  <c r="A141" i="1"/>
  <c r="C141" i="1"/>
  <c r="A142" i="1"/>
  <c r="C142" i="1"/>
  <c r="A143" i="1"/>
  <c r="C143" i="1"/>
  <c r="A144" i="1"/>
  <c r="C144" i="1"/>
  <c r="A145" i="1"/>
  <c r="C145" i="1"/>
  <c r="A146" i="1"/>
  <c r="C146" i="1"/>
  <c r="A147" i="1"/>
  <c r="C147" i="1"/>
  <c r="A148" i="1"/>
  <c r="C148" i="1"/>
  <c r="A149" i="1"/>
  <c r="C149" i="1"/>
  <c r="A150" i="1"/>
  <c r="C150" i="1"/>
  <c r="A151" i="1"/>
  <c r="C151" i="1"/>
  <c r="A152" i="1"/>
  <c r="C152" i="1"/>
  <c r="A153" i="1"/>
  <c r="C153" i="1"/>
  <c r="A154" i="1"/>
  <c r="C154" i="1"/>
  <c r="A155" i="1"/>
  <c r="C155" i="1"/>
  <c r="A156" i="1"/>
  <c r="C156" i="1"/>
  <c r="A157" i="1"/>
  <c r="C157" i="1"/>
  <c r="A158" i="1"/>
  <c r="C158" i="1"/>
  <c r="A159" i="1"/>
  <c r="C159" i="1"/>
  <c r="A160" i="1"/>
  <c r="C160" i="1"/>
  <c r="A161" i="1"/>
  <c r="C161" i="1"/>
  <c r="A162" i="1"/>
  <c r="C162" i="1"/>
  <c r="A163" i="1"/>
  <c r="C163" i="1"/>
  <c r="A164" i="1"/>
  <c r="C164" i="1"/>
  <c r="A165" i="1"/>
  <c r="C165" i="1"/>
  <c r="A166" i="1"/>
  <c r="C166" i="1"/>
  <c r="A167" i="1"/>
  <c r="C167" i="1"/>
  <c r="A168" i="1"/>
  <c r="C168" i="1"/>
  <c r="A169" i="1"/>
  <c r="C169" i="1"/>
  <c r="A170" i="1"/>
  <c r="C170" i="1"/>
  <c r="A171" i="1"/>
  <c r="C171" i="1"/>
  <c r="A172" i="1"/>
  <c r="C172" i="1"/>
  <c r="A173" i="1"/>
  <c r="C173" i="1"/>
  <c r="A174" i="1"/>
  <c r="C174" i="1"/>
  <c r="A175" i="1"/>
  <c r="C175" i="1"/>
  <c r="A176" i="1"/>
  <c r="C176" i="1"/>
  <c r="A177" i="1"/>
  <c r="C177" i="1"/>
  <c r="A178" i="1"/>
  <c r="C178" i="1"/>
  <c r="A179" i="1"/>
  <c r="C179" i="1"/>
  <c r="A180" i="1"/>
  <c r="C180" i="1"/>
  <c r="A181" i="1"/>
  <c r="C181" i="1"/>
  <c r="A182" i="1"/>
  <c r="C182" i="1"/>
  <c r="A183" i="1"/>
  <c r="C183" i="1"/>
  <c r="A184" i="1"/>
  <c r="C184" i="1"/>
  <c r="A185" i="1"/>
  <c r="C185" i="1"/>
  <c r="A186" i="1"/>
  <c r="C186" i="1"/>
  <c r="A187" i="1"/>
  <c r="C187" i="1"/>
  <c r="A188" i="1"/>
  <c r="C188" i="1"/>
  <c r="A189" i="1"/>
  <c r="C189" i="1"/>
  <c r="A190" i="1"/>
  <c r="C190" i="1"/>
  <c r="A191" i="1"/>
  <c r="C191" i="1"/>
  <c r="A192" i="1"/>
  <c r="C192" i="1"/>
  <c r="A193" i="1"/>
  <c r="C193" i="1"/>
  <c r="A194" i="1"/>
  <c r="C194" i="1"/>
  <c r="A195" i="1"/>
  <c r="C195" i="1"/>
  <c r="A196" i="1"/>
  <c r="C196" i="1"/>
  <c r="A197" i="1"/>
  <c r="C197" i="1"/>
  <c r="A198" i="1"/>
  <c r="C198" i="1"/>
  <c r="A199" i="1"/>
  <c r="C199" i="1"/>
  <c r="A200" i="1"/>
  <c r="C200" i="1"/>
  <c r="A201" i="1"/>
  <c r="C201" i="1"/>
  <c r="A202" i="1"/>
  <c r="C202" i="1"/>
  <c r="A203" i="1"/>
  <c r="C203" i="1"/>
  <c r="A204" i="1"/>
  <c r="C204" i="1"/>
  <c r="A205" i="1"/>
  <c r="C205" i="1"/>
  <c r="A206" i="1"/>
  <c r="C206" i="1"/>
  <c r="A207" i="1"/>
  <c r="C207" i="1"/>
  <c r="A208" i="1"/>
  <c r="C208" i="1"/>
  <c r="A209" i="1"/>
  <c r="C209" i="1"/>
  <c r="A210" i="1"/>
  <c r="C210" i="1"/>
  <c r="A211" i="1"/>
  <c r="C211" i="1"/>
  <c r="A212" i="1"/>
  <c r="C212" i="1"/>
  <c r="A213" i="1"/>
  <c r="C213" i="1"/>
  <c r="A214" i="1"/>
  <c r="C214" i="1"/>
  <c r="A215" i="1"/>
  <c r="C215" i="1"/>
  <c r="A216" i="1"/>
  <c r="C216" i="1"/>
  <c r="A217" i="1"/>
  <c r="C217" i="1"/>
  <c r="A218" i="1"/>
  <c r="C218" i="1"/>
  <c r="A219" i="1"/>
  <c r="C219" i="1"/>
  <c r="A220" i="1"/>
  <c r="C220" i="1"/>
  <c r="A221" i="1"/>
  <c r="C221" i="1"/>
  <c r="A222" i="1"/>
  <c r="C222" i="1"/>
  <c r="A223" i="1"/>
  <c r="C223" i="1"/>
  <c r="A224" i="1"/>
  <c r="C224" i="1"/>
  <c r="A225" i="1"/>
  <c r="C225" i="1"/>
  <c r="A226" i="1"/>
  <c r="C226" i="1"/>
  <c r="A227" i="1"/>
  <c r="C227" i="1"/>
  <c r="A228" i="1"/>
  <c r="C228" i="1"/>
  <c r="A229" i="1"/>
  <c r="C229" i="1"/>
  <c r="A230" i="1"/>
  <c r="C230" i="1"/>
  <c r="A231" i="1"/>
  <c r="C231" i="1"/>
  <c r="A232" i="1"/>
  <c r="C232" i="1"/>
  <c r="A233" i="1"/>
  <c r="C233" i="1"/>
  <c r="A234" i="1"/>
  <c r="C234" i="1"/>
  <c r="A235" i="1"/>
  <c r="C235" i="1"/>
  <c r="A236" i="1"/>
  <c r="C236" i="1"/>
  <c r="A237" i="1"/>
  <c r="C237" i="1"/>
  <c r="A238" i="1"/>
  <c r="C238" i="1"/>
  <c r="A239" i="1"/>
  <c r="C239" i="1"/>
  <c r="A240" i="1"/>
  <c r="C240" i="1"/>
  <c r="A241" i="1"/>
  <c r="C241" i="1"/>
  <c r="A242" i="1"/>
  <c r="C242" i="1"/>
  <c r="A243" i="1"/>
  <c r="C243" i="1"/>
  <c r="A244" i="1"/>
  <c r="C244" i="1"/>
  <c r="A245" i="1"/>
  <c r="C245" i="1"/>
  <c r="A246" i="1"/>
  <c r="C246" i="1"/>
  <c r="A247" i="1"/>
  <c r="C247" i="1"/>
  <c r="A248" i="1"/>
  <c r="C248" i="1"/>
  <c r="A249" i="1"/>
  <c r="C249" i="1"/>
  <c r="A250" i="1"/>
  <c r="C250" i="1"/>
  <c r="A251" i="1"/>
  <c r="C251" i="1"/>
  <c r="A252" i="1"/>
  <c r="C252" i="1"/>
  <c r="A253" i="1"/>
  <c r="C253" i="1"/>
  <c r="A254" i="1"/>
  <c r="C254" i="1"/>
  <c r="A255" i="1"/>
  <c r="C255" i="1"/>
  <c r="A256" i="1"/>
  <c r="C256" i="1"/>
  <c r="A257" i="1"/>
  <c r="C257" i="1"/>
  <c r="A258" i="1"/>
  <c r="C258" i="1"/>
  <c r="A259" i="1"/>
  <c r="C259" i="1"/>
  <c r="A260" i="1"/>
  <c r="C260" i="1"/>
  <c r="A261" i="1"/>
  <c r="C261" i="1"/>
  <c r="A262" i="1"/>
  <c r="C262" i="1"/>
  <c r="A263" i="1"/>
  <c r="C263" i="1"/>
  <c r="A264" i="1"/>
  <c r="C264" i="1"/>
  <c r="A265" i="1"/>
  <c r="C265" i="1"/>
  <c r="A266" i="1"/>
  <c r="C266" i="1"/>
  <c r="A267" i="1"/>
  <c r="C267" i="1"/>
  <c r="A268" i="1"/>
  <c r="C268" i="1"/>
  <c r="A269" i="1"/>
  <c r="C269" i="1"/>
  <c r="A270" i="1"/>
  <c r="C270" i="1"/>
  <c r="A271" i="1"/>
  <c r="C271" i="1"/>
  <c r="A272" i="1"/>
  <c r="C272" i="1"/>
  <c r="A273" i="1"/>
  <c r="C273" i="1"/>
  <c r="A274" i="1"/>
  <c r="C274" i="1"/>
  <c r="A275" i="1"/>
  <c r="C275" i="1"/>
  <c r="A276" i="1"/>
  <c r="C276" i="1"/>
  <c r="A277" i="1"/>
  <c r="C277" i="1"/>
  <c r="A278" i="1"/>
  <c r="C278" i="1"/>
  <c r="A279" i="1"/>
  <c r="C279" i="1"/>
  <c r="A280" i="1"/>
  <c r="C280" i="1"/>
  <c r="A281" i="1"/>
  <c r="C281" i="1"/>
  <c r="A282" i="1"/>
  <c r="C282" i="1"/>
  <c r="A283" i="1"/>
  <c r="C283" i="1"/>
  <c r="A284" i="1"/>
  <c r="C284" i="1"/>
  <c r="A285" i="1"/>
  <c r="C285" i="1"/>
  <c r="A286" i="1"/>
  <c r="C286" i="1"/>
  <c r="A287" i="1"/>
  <c r="C287" i="1"/>
  <c r="A288" i="1"/>
  <c r="C288" i="1"/>
  <c r="A289" i="1"/>
  <c r="C289" i="1"/>
  <c r="A290" i="1"/>
  <c r="C290" i="1"/>
  <c r="A291" i="1"/>
  <c r="C291" i="1"/>
  <c r="A292" i="1"/>
  <c r="C292" i="1"/>
  <c r="A293" i="1"/>
  <c r="C293" i="1"/>
  <c r="A294" i="1"/>
  <c r="C294" i="1"/>
  <c r="A295" i="1"/>
  <c r="C295" i="1"/>
  <c r="A296" i="1"/>
  <c r="C296" i="1"/>
  <c r="A297" i="1"/>
  <c r="C297" i="1"/>
  <c r="A298" i="1"/>
  <c r="C298" i="1"/>
  <c r="A299" i="1"/>
  <c r="C299" i="1"/>
  <c r="A300" i="1"/>
  <c r="C300" i="1"/>
  <c r="A301" i="1"/>
  <c r="C301" i="1"/>
  <c r="A302" i="1"/>
  <c r="C302" i="1"/>
  <c r="A303" i="1"/>
  <c r="C303" i="1"/>
  <c r="A304" i="1"/>
  <c r="C304" i="1"/>
  <c r="A305" i="1"/>
  <c r="C305" i="1"/>
  <c r="A306" i="1"/>
  <c r="C306" i="1"/>
  <c r="A307" i="1"/>
  <c r="C307" i="1"/>
  <c r="A308" i="1"/>
  <c r="C308" i="1"/>
  <c r="A309" i="1"/>
  <c r="C309" i="1"/>
  <c r="A310" i="1"/>
  <c r="C310" i="1"/>
  <c r="A311" i="1"/>
  <c r="C311" i="1"/>
  <c r="A312" i="1"/>
  <c r="C312" i="1"/>
  <c r="A313" i="1"/>
  <c r="C313" i="1"/>
  <c r="A314" i="1"/>
  <c r="C314" i="1"/>
  <c r="A315" i="1"/>
  <c r="C315" i="1"/>
  <c r="A316" i="1"/>
  <c r="C316" i="1"/>
  <c r="A317" i="1"/>
  <c r="C317" i="1"/>
  <c r="A318" i="1"/>
  <c r="C318" i="1"/>
  <c r="A319" i="1"/>
  <c r="C319" i="1"/>
  <c r="A320" i="1"/>
  <c r="C320" i="1"/>
  <c r="A321" i="1"/>
  <c r="C321" i="1"/>
  <c r="A322" i="1"/>
  <c r="C322" i="1"/>
  <c r="A323" i="1"/>
  <c r="C323" i="1"/>
  <c r="A324" i="1"/>
  <c r="C324" i="1"/>
  <c r="A325" i="1"/>
  <c r="C325" i="1"/>
  <c r="A326" i="1"/>
  <c r="C326" i="1"/>
  <c r="A327" i="1"/>
  <c r="C327" i="1"/>
  <c r="A328" i="1"/>
  <c r="C328" i="1"/>
  <c r="A329" i="1"/>
  <c r="C329" i="1"/>
  <c r="A330" i="1"/>
  <c r="C330" i="1"/>
  <c r="A331" i="1"/>
  <c r="C331" i="1"/>
  <c r="A332" i="1"/>
  <c r="C332" i="1"/>
  <c r="A333" i="1"/>
  <c r="C333" i="1"/>
  <c r="A334" i="1"/>
  <c r="C334" i="1"/>
  <c r="A335" i="1"/>
  <c r="C335" i="1"/>
  <c r="A336" i="1"/>
  <c r="C336" i="1"/>
  <c r="A337" i="1"/>
  <c r="C337" i="1"/>
  <c r="A338" i="1"/>
  <c r="C338" i="1"/>
  <c r="A339" i="1"/>
  <c r="C339" i="1"/>
  <c r="A340" i="1"/>
  <c r="C340" i="1"/>
  <c r="A341" i="1"/>
  <c r="C341" i="1"/>
  <c r="A342" i="1"/>
  <c r="C342" i="1"/>
  <c r="A343" i="1"/>
  <c r="C343" i="1"/>
  <c r="A344" i="1"/>
  <c r="C344" i="1"/>
  <c r="A345" i="1"/>
  <c r="C345" i="1"/>
  <c r="A346" i="1"/>
  <c r="C346" i="1"/>
  <c r="A347" i="1"/>
  <c r="C347" i="1"/>
  <c r="A348" i="1"/>
  <c r="C348" i="1"/>
  <c r="A349" i="1"/>
  <c r="C349" i="1"/>
  <c r="A350" i="1"/>
  <c r="C350" i="1"/>
  <c r="A351" i="1"/>
  <c r="C351" i="1"/>
  <c r="A352" i="1"/>
  <c r="C352" i="1"/>
  <c r="A353" i="1"/>
  <c r="C353" i="1"/>
  <c r="A354" i="1"/>
  <c r="C354" i="1"/>
  <c r="A355" i="1"/>
  <c r="C355" i="1"/>
  <c r="A356" i="1"/>
  <c r="C356" i="1"/>
  <c r="A357" i="1"/>
  <c r="C357" i="1"/>
  <c r="A358" i="1"/>
  <c r="C358" i="1"/>
  <c r="A359" i="1"/>
  <c r="C359" i="1"/>
  <c r="A360" i="1"/>
  <c r="C360" i="1"/>
  <c r="A361" i="1"/>
  <c r="C361" i="1"/>
  <c r="A362" i="1"/>
  <c r="C362" i="1"/>
  <c r="A363" i="1"/>
  <c r="C363" i="1"/>
  <c r="A364" i="1"/>
  <c r="C364" i="1"/>
  <c r="A365" i="1"/>
  <c r="C365" i="1"/>
  <c r="A366" i="1"/>
  <c r="C366" i="1"/>
  <c r="A367" i="1"/>
  <c r="C367" i="1"/>
  <c r="A368" i="1"/>
  <c r="C368" i="1"/>
  <c r="A369" i="1"/>
  <c r="C369" i="1"/>
  <c r="A370" i="1"/>
  <c r="C370" i="1"/>
  <c r="A371" i="1"/>
  <c r="C371" i="1"/>
  <c r="A372" i="1"/>
  <c r="C372" i="1"/>
  <c r="A373" i="1"/>
  <c r="C373" i="1"/>
  <c r="A374" i="1"/>
  <c r="C374" i="1"/>
  <c r="A375" i="1"/>
  <c r="C375" i="1"/>
  <c r="A376" i="1"/>
  <c r="C376" i="1"/>
  <c r="A377" i="1"/>
  <c r="C377" i="1"/>
  <c r="A378" i="1"/>
  <c r="C378" i="1"/>
  <c r="A379" i="1"/>
  <c r="C379" i="1"/>
  <c r="A380" i="1"/>
  <c r="C380" i="1"/>
  <c r="A381" i="1"/>
  <c r="C381" i="1"/>
  <c r="A382" i="1"/>
  <c r="C382" i="1"/>
  <c r="A383" i="1"/>
  <c r="C383" i="1"/>
  <c r="A384" i="1"/>
  <c r="C384" i="1"/>
  <c r="A385" i="1"/>
  <c r="C385" i="1"/>
  <c r="A386" i="1"/>
  <c r="C386" i="1"/>
  <c r="A387" i="1"/>
  <c r="C387" i="1"/>
  <c r="A388" i="1"/>
  <c r="C388" i="1"/>
  <c r="A389" i="1"/>
  <c r="C389" i="1"/>
  <c r="A390" i="1"/>
  <c r="C390" i="1"/>
  <c r="A391" i="1"/>
  <c r="C391" i="1"/>
  <c r="A392" i="1"/>
  <c r="C392" i="1"/>
  <c r="A393" i="1"/>
  <c r="C393" i="1"/>
  <c r="A394" i="1"/>
  <c r="C394" i="1"/>
  <c r="A395" i="1"/>
  <c r="C395" i="1"/>
  <c r="A396" i="1"/>
  <c r="C396" i="1"/>
  <c r="A397" i="1"/>
  <c r="C397" i="1"/>
  <c r="A398" i="1"/>
  <c r="C398" i="1"/>
  <c r="A399" i="1"/>
  <c r="C399" i="1"/>
  <c r="A400" i="1"/>
  <c r="C400" i="1"/>
  <c r="A401" i="1"/>
  <c r="C401" i="1"/>
  <c r="A402" i="1"/>
  <c r="C402" i="1"/>
  <c r="A403" i="1"/>
  <c r="C403" i="1"/>
  <c r="A404" i="1"/>
  <c r="C404" i="1"/>
  <c r="A405" i="1"/>
  <c r="C405" i="1"/>
  <c r="A406" i="1"/>
  <c r="C406" i="1"/>
  <c r="A407" i="1"/>
  <c r="C407" i="1"/>
  <c r="A408" i="1"/>
  <c r="C408" i="1"/>
  <c r="A409" i="1"/>
  <c r="C409" i="1"/>
  <c r="A410" i="1"/>
  <c r="C410" i="1"/>
  <c r="A411" i="1"/>
  <c r="C411" i="1"/>
  <c r="A412" i="1"/>
  <c r="C412" i="1"/>
  <c r="A413" i="1"/>
  <c r="C413" i="1"/>
  <c r="A414" i="1"/>
  <c r="C414" i="1"/>
  <c r="A415" i="1"/>
  <c r="C415" i="1"/>
  <c r="A416" i="1"/>
  <c r="C416" i="1"/>
  <c r="A417" i="1"/>
  <c r="C417" i="1"/>
  <c r="A418" i="1"/>
  <c r="C418" i="1"/>
  <c r="A419" i="1"/>
  <c r="C419" i="1"/>
  <c r="A420" i="1"/>
  <c r="C420" i="1"/>
  <c r="A421" i="1"/>
  <c r="C421" i="1"/>
  <c r="A422" i="1"/>
  <c r="C422" i="1"/>
  <c r="A423" i="1"/>
  <c r="C423" i="1"/>
  <c r="A424" i="1"/>
  <c r="C424" i="1"/>
  <c r="A425" i="1"/>
  <c r="C425" i="1"/>
  <c r="A426" i="1"/>
  <c r="C426" i="1"/>
  <c r="A427" i="1"/>
  <c r="C427" i="1"/>
  <c r="A428" i="1"/>
  <c r="C428" i="1"/>
  <c r="A429" i="1"/>
  <c r="C429" i="1"/>
  <c r="A430" i="1"/>
  <c r="C430" i="1"/>
  <c r="A431" i="1"/>
  <c r="C431" i="1"/>
  <c r="A432" i="1"/>
  <c r="C432" i="1"/>
  <c r="A433" i="1"/>
  <c r="C433" i="1"/>
  <c r="A434" i="1"/>
  <c r="C434" i="1"/>
  <c r="A435" i="1"/>
  <c r="C435" i="1"/>
  <c r="A436" i="1"/>
  <c r="C436" i="1"/>
  <c r="A437" i="1"/>
  <c r="C437" i="1"/>
  <c r="A438" i="1"/>
  <c r="C438" i="1"/>
  <c r="A439" i="1"/>
  <c r="C439" i="1"/>
  <c r="A440" i="1"/>
  <c r="C440" i="1"/>
  <c r="A441" i="1"/>
  <c r="C441" i="1"/>
  <c r="A442" i="1"/>
  <c r="C442" i="1"/>
  <c r="A443" i="1"/>
  <c r="C443" i="1"/>
  <c r="A444" i="1"/>
  <c r="C444" i="1"/>
  <c r="A445" i="1"/>
  <c r="C445" i="1"/>
  <c r="A446" i="1"/>
  <c r="C446" i="1"/>
  <c r="A447" i="1"/>
  <c r="C447" i="1"/>
  <c r="A448" i="1"/>
  <c r="C448" i="1"/>
  <c r="A449" i="1"/>
  <c r="C449" i="1"/>
  <c r="A450" i="1"/>
  <c r="C450" i="1"/>
  <c r="A451" i="1"/>
  <c r="C451" i="1"/>
  <c r="A452" i="1"/>
  <c r="C452" i="1"/>
  <c r="A453" i="1"/>
  <c r="C453" i="1"/>
  <c r="A454" i="1"/>
  <c r="C454" i="1"/>
  <c r="A455" i="1"/>
  <c r="C455" i="1"/>
  <c r="A456" i="1"/>
  <c r="C456" i="1"/>
  <c r="A457" i="1"/>
  <c r="C457" i="1"/>
  <c r="A458" i="1"/>
  <c r="C458" i="1"/>
  <c r="A459" i="1"/>
  <c r="C459" i="1"/>
  <c r="A460" i="1"/>
  <c r="C460" i="1"/>
  <c r="A461" i="1"/>
  <c r="C461" i="1"/>
  <c r="A462" i="1"/>
  <c r="C462" i="1"/>
  <c r="A463" i="1"/>
  <c r="C463" i="1"/>
  <c r="A464" i="1"/>
  <c r="C464" i="1"/>
  <c r="A465" i="1"/>
  <c r="C465" i="1"/>
  <c r="A466" i="1"/>
  <c r="C466" i="1"/>
  <c r="A467" i="1"/>
  <c r="C467" i="1"/>
  <c r="A468" i="1"/>
  <c r="C468" i="1"/>
  <c r="A469" i="1"/>
  <c r="C469" i="1"/>
  <c r="A470" i="1"/>
  <c r="C470" i="1"/>
  <c r="A471" i="1"/>
  <c r="C471" i="1"/>
  <c r="A472" i="1"/>
  <c r="C472" i="1"/>
  <c r="A473" i="1"/>
  <c r="C473" i="1"/>
  <c r="A474" i="1"/>
  <c r="C474" i="1"/>
  <c r="A475" i="1"/>
  <c r="C475" i="1"/>
  <c r="A476" i="1"/>
  <c r="C476" i="1"/>
  <c r="A477" i="1"/>
  <c r="C477" i="1"/>
  <c r="A478" i="1"/>
  <c r="C478" i="1"/>
  <c r="A479" i="1"/>
  <c r="C479" i="1"/>
  <c r="A480" i="1"/>
  <c r="C480" i="1"/>
  <c r="A481" i="1"/>
  <c r="C481" i="1"/>
  <c r="A482" i="1"/>
  <c r="C482" i="1"/>
  <c r="A483" i="1"/>
  <c r="C483" i="1"/>
  <c r="A484" i="1"/>
  <c r="C484" i="1"/>
  <c r="A485" i="1"/>
  <c r="C485" i="1"/>
  <c r="A486" i="1"/>
  <c r="C486" i="1"/>
  <c r="A487" i="1"/>
  <c r="C487" i="1"/>
  <c r="A488" i="1"/>
  <c r="C488" i="1"/>
  <c r="A489" i="1"/>
  <c r="C489" i="1"/>
  <c r="A490" i="1"/>
  <c r="C490" i="1"/>
  <c r="A491" i="1"/>
  <c r="C491" i="1"/>
  <c r="A492" i="1"/>
  <c r="C492" i="1"/>
  <c r="A493" i="1"/>
  <c r="C493" i="1"/>
  <c r="A494" i="1"/>
  <c r="C494" i="1"/>
  <c r="A495" i="1"/>
  <c r="C495" i="1"/>
  <c r="A496" i="1"/>
  <c r="C496" i="1"/>
  <c r="A497" i="1"/>
  <c r="C497" i="1"/>
  <c r="A498" i="1"/>
  <c r="C498" i="1"/>
  <c r="A499" i="1"/>
  <c r="C499" i="1"/>
  <c r="A500" i="1"/>
  <c r="C500" i="1"/>
  <c r="A501" i="1"/>
  <c r="C501" i="1"/>
  <c r="A502" i="1"/>
  <c r="C502" i="1"/>
  <c r="A503" i="1"/>
  <c r="C503" i="1"/>
  <c r="A504" i="1"/>
  <c r="C504" i="1"/>
  <c r="A505" i="1"/>
  <c r="C505" i="1"/>
  <c r="A506" i="1"/>
  <c r="C506" i="1"/>
  <c r="A507" i="1"/>
  <c r="C507" i="1"/>
  <c r="A508" i="1"/>
  <c r="C508" i="1"/>
  <c r="A509" i="1"/>
  <c r="C509" i="1"/>
  <c r="A510" i="1"/>
  <c r="C510" i="1"/>
  <c r="A511" i="1"/>
  <c r="C511" i="1"/>
  <c r="A512" i="1"/>
  <c r="C512" i="1"/>
  <c r="A513" i="1"/>
  <c r="C513" i="1"/>
  <c r="A514" i="1"/>
  <c r="C514" i="1"/>
  <c r="A515" i="1"/>
  <c r="C515" i="1"/>
  <c r="A516" i="1"/>
  <c r="C516" i="1"/>
  <c r="A517" i="1"/>
  <c r="C517" i="1"/>
  <c r="A518" i="1"/>
  <c r="C518" i="1"/>
  <c r="A519" i="1"/>
  <c r="C519" i="1"/>
  <c r="A520" i="1"/>
  <c r="C520" i="1"/>
  <c r="A521" i="1"/>
  <c r="C521" i="1"/>
  <c r="A522" i="1"/>
  <c r="C522" i="1"/>
  <c r="A523" i="1"/>
  <c r="C523" i="1"/>
  <c r="A524" i="1"/>
  <c r="C524" i="1"/>
  <c r="A525" i="1"/>
  <c r="C525" i="1"/>
  <c r="A526" i="1"/>
  <c r="C526" i="1"/>
  <c r="A527" i="1"/>
  <c r="C527" i="1"/>
  <c r="A528" i="1"/>
  <c r="C528" i="1"/>
  <c r="A529" i="1"/>
  <c r="C529" i="1"/>
  <c r="A530" i="1"/>
  <c r="C530" i="1"/>
  <c r="A531" i="1"/>
  <c r="C531" i="1"/>
  <c r="A532" i="1"/>
  <c r="C532" i="1"/>
  <c r="A533" i="1"/>
  <c r="C533" i="1"/>
  <c r="A534" i="1"/>
  <c r="C534" i="1"/>
  <c r="A535" i="1"/>
  <c r="C535" i="1"/>
  <c r="A536" i="1"/>
  <c r="C536" i="1"/>
  <c r="A537" i="1"/>
  <c r="C537" i="1"/>
  <c r="A538" i="1"/>
  <c r="C538" i="1"/>
  <c r="A539" i="1"/>
  <c r="C539" i="1"/>
  <c r="A540" i="1"/>
  <c r="C540" i="1"/>
  <c r="A541" i="1"/>
  <c r="C541" i="1"/>
  <c r="A542" i="1"/>
  <c r="C542" i="1"/>
  <c r="A543" i="1"/>
  <c r="C543" i="1"/>
  <c r="A544" i="1"/>
  <c r="C544" i="1"/>
  <c r="A545" i="1"/>
  <c r="C545" i="1"/>
  <c r="A546" i="1"/>
  <c r="C546" i="1"/>
  <c r="A547" i="1"/>
  <c r="C547" i="1"/>
  <c r="A548" i="1"/>
  <c r="C548" i="1"/>
  <c r="A549" i="1"/>
  <c r="C549" i="1"/>
  <c r="A550" i="1"/>
  <c r="C550" i="1"/>
  <c r="A551" i="1"/>
  <c r="C551" i="1"/>
  <c r="A552" i="1"/>
  <c r="C552" i="1"/>
  <c r="A553" i="1"/>
  <c r="C553" i="1"/>
  <c r="A554" i="1"/>
  <c r="C554" i="1"/>
  <c r="A555" i="1"/>
  <c r="C555" i="1"/>
  <c r="A556" i="1"/>
  <c r="C556" i="1"/>
  <c r="A557" i="1"/>
  <c r="C557" i="1"/>
  <c r="A558" i="1"/>
  <c r="C558" i="1"/>
  <c r="A559" i="1"/>
  <c r="C559" i="1"/>
  <c r="A560" i="1"/>
  <c r="C560" i="1"/>
  <c r="A561" i="1"/>
  <c r="C561" i="1"/>
  <c r="A562" i="1"/>
  <c r="C562" i="1"/>
  <c r="A563" i="1"/>
  <c r="C563" i="1"/>
  <c r="A564" i="1"/>
  <c r="C564" i="1"/>
  <c r="A565" i="1"/>
  <c r="C565" i="1"/>
  <c r="A566" i="1"/>
  <c r="C566" i="1"/>
  <c r="A567" i="1"/>
  <c r="C567" i="1"/>
  <c r="A568" i="1"/>
  <c r="C568" i="1"/>
  <c r="A569" i="1"/>
  <c r="C569" i="1"/>
  <c r="A570" i="1"/>
  <c r="C570" i="1"/>
  <c r="A571" i="1"/>
  <c r="C571" i="1"/>
  <c r="A572" i="1"/>
  <c r="C572" i="1"/>
  <c r="A573" i="1"/>
  <c r="C573" i="1"/>
  <c r="A574" i="1"/>
  <c r="C574" i="1"/>
  <c r="A575" i="1"/>
  <c r="C575" i="1"/>
  <c r="A576" i="1"/>
  <c r="C576" i="1"/>
  <c r="A577" i="1"/>
  <c r="C577" i="1"/>
  <c r="A578" i="1"/>
  <c r="C578" i="1"/>
  <c r="A579" i="1"/>
  <c r="C579" i="1"/>
  <c r="A580" i="1"/>
  <c r="C580" i="1"/>
  <c r="A581" i="1"/>
  <c r="C581" i="1"/>
  <c r="A582" i="1"/>
  <c r="C582" i="1"/>
  <c r="A583" i="1"/>
  <c r="C583" i="1"/>
  <c r="A584" i="1"/>
  <c r="C584" i="1"/>
  <c r="A585" i="1"/>
  <c r="C585" i="1"/>
  <c r="A586" i="1"/>
  <c r="C586" i="1"/>
  <c r="A587" i="1"/>
  <c r="C587" i="1"/>
  <c r="A588" i="1"/>
  <c r="C588" i="1"/>
  <c r="A589" i="1"/>
  <c r="C589" i="1"/>
  <c r="A590" i="1"/>
  <c r="C590" i="1"/>
  <c r="A591" i="1"/>
  <c r="C591" i="1"/>
  <c r="A592" i="1"/>
  <c r="C592" i="1"/>
  <c r="A593" i="1"/>
  <c r="C593" i="1"/>
  <c r="A594" i="1"/>
  <c r="C594" i="1"/>
  <c r="A595" i="1"/>
  <c r="C595" i="1"/>
  <c r="A596" i="1"/>
  <c r="C596" i="1"/>
  <c r="A597" i="1"/>
  <c r="C597" i="1"/>
  <c r="A598" i="1"/>
  <c r="C598" i="1"/>
  <c r="A599" i="1"/>
  <c r="C599" i="1"/>
  <c r="A600" i="1"/>
  <c r="C600" i="1"/>
  <c r="A601" i="1"/>
  <c r="C601" i="1"/>
  <c r="A602" i="1"/>
  <c r="C602" i="1"/>
  <c r="A603" i="1"/>
  <c r="C603" i="1"/>
  <c r="A604" i="1"/>
  <c r="C604" i="1"/>
  <c r="A605" i="1"/>
  <c r="C605" i="1"/>
  <c r="A606" i="1"/>
  <c r="C606" i="1"/>
  <c r="A607" i="1"/>
  <c r="C607" i="1"/>
  <c r="A608" i="1"/>
  <c r="C608" i="1"/>
  <c r="A609" i="1"/>
  <c r="C609" i="1"/>
  <c r="A610" i="1"/>
  <c r="C610" i="1"/>
  <c r="A611" i="1"/>
  <c r="C611" i="1"/>
  <c r="A612" i="1"/>
  <c r="C612" i="1"/>
  <c r="A613" i="1"/>
  <c r="C613" i="1"/>
  <c r="A614" i="1"/>
  <c r="C614" i="1"/>
  <c r="A615" i="1"/>
  <c r="C615" i="1"/>
  <c r="A616" i="1"/>
  <c r="C616" i="1"/>
  <c r="A617" i="1"/>
  <c r="C617" i="1"/>
  <c r="A618" i="1"/>
  <c r="C618" i="1"/>
  <c r="A619" i="1"/>
  <c r="C619" i="1"/>
  <c r="A620" i="1"/>
  <c r="C620" i="1"/>
  <c r="A621" i="1"/>
  <c r="C621" i="1"/>
  <c r="A622" i="1"/>
  <c r="C622" i="1"/>
  <c r="A623" i="1"/>
  <c r="C623" i="1"/>
  <c r="A624" i="1"/>
  <c r="C624" i="1"/>
  <c r="A625" i="1"/>
  <c r="C625" i="1"/>
  <c r="A626" i="1"/>
  <c r="C626" i="1"/>
  <c r="A627" i="1"/>
  <c r="C627" i="1"/>
  <c r="A628" i="1"/>
  <c r="C628" i="1"/>
  <c r="A629" i="1"/>
  <c r="C629" i="1"/>
  <c r="A630" i="1"/>
  <c r="C630" i="1"/>
  <c r="A631" i="1"/>
  <c r="C631" i="1"/>
  <c r="A632" i="1"/>
  <c r="C632" i="1"/>
  <c r="A633" i="1"/>
  <c r="C633" i="1"/>
  <c r="A634" i="1"/>
  <c r="C634" i="1"/>
  <c r="A635" i="1"/>
  <c r="C635" i="1"/>
  <c r="A636" i="1"/>
  <c r="C636" i="1"/>
  <c r="A637" i="1"/>
  <c r="C637" i="1"/>
  <c r="A638" i="1"/>
  <c r="C638" i="1"/>
  <c r="A639" i="1"/>
  <c r="C639" i="1"/>
  <c r="A640" i="1"/>
  <c r="C640" i="1"/>
  <c r="A641" i="1"/>
  <c r="C641" i="1"/>
  <c r="A642" i="1"/>
  <c r="C642" i="1"/>
  <c r="A643" i="1"/>
  <c r="C643" i="1"/>
  <c r="A644" i="1"/>
  <c r="C644" i="1"/>
  <c r="A645" i="1"/>
  <c r="C645" i="1"/>
  <c r="A646" i="1"/>
  <c r="C646" i="1"/>
  <c r="A647" i="1"/>
  <c r="C647" i="1"/>
  <c r="A648" i="1"/>
  <c r="C648" i="1"/>
  <c r="A649" i="1"/>
  <c r="C649" i="1"/>
  <c r="A650" i="1"/>
  <c r="C650" i="1"/>
  <c r="A651" i="1"/>
  <c r="C651" i="1"/>
  <c r="A652" i="1"/>
  <c r="C652" i="1"/>
  <c r="A653" i="1"/>
  <c r="C653" i="1"/>
  <c r="A654" i="1"/>
  <c r="C654" i="1"/>
  <c r="A655" i="1"/>
  <c r="C655" i="1"/>
  <c r="A656" i="1"/>
  <c r="C656" i="1"/>
  <c r="A657" i="1"/>
  <c r="C657" i="1"/>
  <c r="A658" i="1"/>
  <c r="C658" i="1"/>
  <c r="A659" i="1"/>
  <c r="C659" i="1"/>
  <c r="A660" i="1"/>
  <c r="C660" i="1"/>
  <c r="A661" i="1"/>
  <c r="C661" i="1"/>
  <c r="A662" i="1"/>
  <c r="C662" i="1"/>
  <c r="A663" i="1"/>
  <c r="C663" i="1"/>
  <c r="A664" i="1"/>
  <c r="C664" i="1"/>
  <c r="A665" i="1"/>
  <c r="C665" i="1"/>
  <c r="A666" i="1"/>
  <c r="C666" i="1"/>
  <c r="A667" i="1"/>
  <c r="C667" i="1"/>
  <c r="A668" i="1"/>
  <c r="C668" i="1"/>
  <c r="A669" i="1"/>
  <c r="C669" i="1"/>
  <c r="A670" i="1"/>
  <c r="C670" i="1"/>
  <c r="A671" i="1"/>
  <c r="C671" i="1"/>
  <c r="A672" i="1"/>
  <c r="C672" i="1"/>
  <c r="A673" i="1"/>
  <c r="C673" i="1"/>
  <c r="A674" i="1"/>
  <c r="C674" i="1"/>
  <c r="A675" i="1"/>
  <c r="C675" i="1"/>
  <c r="A676" i="1"/>
  <c r="C676" i="1"/>
  <c r="A677" i="1"/>
  <c r="C677" i="1"/>
  <c r="A678" i="1"/>
  <c r="C678" i="1"/>
  <c r="A679" i="1"/>
  <c r="C679" i="1"/>
  <c r="A680" i="1"/>
  <c r="C680" i="1"/>
  <c r="A681" i="1"/>
  <c r="C681" i="1"/>
  <c r="A682" i="1"/>
  <c r="C682" i="1"/>
  <c r="A683" i="1"/>
  <c r="C683" i="1"/>
  <c r="A684" i="1"/>
  <c r="C684" i="1"/>
  <c r="A685" i="1"/>
  <c r="C685" i="1"/>
  <c r="A686" i="1"/>
  <c r="C686" i="1"/>
  <c r="A687" i="1"/>
  <c r="C687" i="1"/>
  <c r="A688" i="1"/>
  <c r="C688" i="1"/>
  <c r="A689" i="1"/>
  <c r="C689" i="1"/>
  <c r="A690" i="1"/>
  <c r="C690" i="1"/>
  <c r="A691" i="1"/>
  <c r="C691" i="1"/>
  <c r="A692" i="1"/>
  <c r="C692" i="1"/>
  <c r="A693" i="1"/>
  <c r="C693" i="1"/>
  <c r="A694" i="1"/>
  <c r="C694" i="1"/>
  <c r="A695" i="1"/>
  <c r="C695" i="1"/>
  <c r="A696" i="1"/>
  <c r="C696" i="1"/>
  <c r="A697" i="1"/>
  <c r="C697" i="1"/>
  <c r="A698" i="1"/>
  <c r="C698" i="1"/>
  <c r="A699" i="1"/>
  <c r="C699" i="1"/>
  <c r="A700" i="1"/>
  <c r="C700" i="1"/>
  <c r="A701" i="1"/>
  <c r="C701" i="1"/>
  <c r="A702" i="1"/>
  <c r="C702" i="1"/>
  <c r="A703" i="1"/>
  <c r="C703" i="1"/>
  <c r="A704" i="1"/>
  <c r="C704" i="1"/>
  <c r="A705" i="1"/>
  <c r="C705" i="1"/>
  <c r="A706" i="1"/>
  <c r="C706" i="1"/>
  <c r="A707" i="1"/>
  <c r="C707" i="1"/>
  <c r="A708" i="1"/>
  <c r="C708" i="1"/>
  <c r="A709" i="1"/>
  <c r="C709" i="1"/>
  <c r="A710" i="1"/>
  <c r="C710" i="1"/>
  <c r="A711" i="1"/>
  <c r="C711" i="1"/>
  <c r="A712" i="1"/>
  <c r="C712" i="1"/>
  <c r="A713" i="1"/>
  <c r="C713" i="1"/>
  <c r="A714" i="1"/>
  <c r="C714" i="1"/>
  <c r="A715" i="1"/>
  <c r="C715" i="1"/>
  <c r="A716" i="1"/>
  <c r="C716" i="1"/>
  <c r="A717" i="1"/>
  <c r="C717" i="1"/>
  <c r="A718" i="1"/>
  <c r="C718" i="1"/>
  <c r="A719" i="1"/>
  <c r="C719" i="1"/>
  <c r="A720" i="1"/>
  <c r="C720" i="1"/>
  <c r="A721" i="1"/>
  <c r="C721" i="1"/>
  <c r="A722" i="1"/>
  <c r="C722" i="1"/>
  <c r="A723" i="1"/>
  <c r="C723" i="1"/>
  <c r="A724" i="1"/>
  <c r="C724" i="1"/>
  <c r="A725" i="1"/>
  <c r="C725" i="1"/>
  <c r="A726" i="1"/>
  <c r="C726" i="1"/>
  <c r="A727" i="1"/>
  <c r="C727" i="1"/>
  <c r="A728" i="1"/>
  <c r="C728" i="1"/>
  <c r="A729" i="1"/>
  <c r="C729" i="1"/>
  <c r="A730" i="1"/>
  <c r="C730" i="1"/>
  <c r="A731" i="1"/>
  <c r="C731" i="1"/>
  <c r="A732" i="1"/>
  <c r="C732" i="1"/>
  <c r="A733" i="1"/>
  <c r="C733" i="1"/>
  <c r="A734" i="1"/>
  <c r="C734" i="1"/>
  <c r="A735" i="1"/>
  <c r="C735" i="1"/>
  <c r="A736" i="1"/>
  <c r="C736" i="1"/>
  <c r="A737" i="1"/>
  <c r="C737" i="1"/>
  <c r="A738" i="1"/>
  <c r="C738" i="1"/>
  <c r="A739" i="1"/>
  <c r="C739" i="1"/>
  <c r="A740" i="1"/>
  <c r="C740" i="1"/>
  <c r="A741" i="1"/>
  <c r="C741" i="1"/>
  <c r="A742" i="1"/>
  <c r="C742" i="1"/>
  <c r="A743" i="1"/>
  <c r="C743" i="1"/>
  <c r="A744" i="1"/>
  <c r="C744" i="1"/>
  <c r="A745" i="1"/>
  <c r="C745" i="1"/>
  <c r="A746" i="1"/>
  <c r="C746" i="1"/>
  <c r="A747" i="1"/>
  <c r="C747" i="1"/>
  <c r="A748" i="1"/>
  <c r="C748" i="1"/>
  <c r="A749" i="1"/>
  <c r="C749" i="1"/>
  <c r="A750" i="1"/>
  <c r="C750" i="1"/>
  <c r="A751" i="1"/>
  <c r="C751" i="1"/>
  <c r="A752" i="1"/>
  <c r="C752" i="1"/>
  <c r="A753" i="1"/>
  <c r="C753" i="1"/>
  <c r="A754" i="1"/>
  <c r="C754" i="1"/>
  <c r="A755" i="1"/>
  <c r="C755" i="1"/>
  <c r="A756" i="1"/>
  <c r="C756" i="1"/>
  <c r="A757" i="1"/>
  <c r="C757" i="1"/>
  <c r="A758" i="1"/>
  <c r="C758" i="1"/>
  <c r="A759" i="1"/>
  <c r="C759" i="1"/>
  <c r="A760" i="1"/>
  <c r="C760" i="1"/>
  <c r="A761" i="1"/>
  <c r="C761" i="1"/>
  <c r="A762" i="1"/>
  <c r="C762" i="1"/>
  <c r="A763" i="1"/>
  <c r="C763" i="1"/>
  <c r="A764" i="1"/>
  <c r="C764" i="1"/>
  <c r="A765" i="1"/>
  <c r="C765" i="1"/>
  <c r="A766" i="1"/>
  <c r="C766" i="1"/>
  <c r="A767" i="1"/>
  <c r="C767" i="1"/>
  <c r="A768" i="1"/>
  <c r="C768" i="1"/>
  <c r="A769" i="1"/>
  <c r="C769" i="1"/>
  <c r="A770" i="1"/>
  <c r="C770" i="1"/>
  <c r="A771" i="1"/>
  <c r="C771" i="1"/>
  <c r="A772" i="1"/>
  <c r="C772" i="1"/>
  <c r="A773" i="1"/>
  <c r="C773" i="1"/>
  <c r="A774" i="1"/>
  <c r="C774" i="1"/>
  <c r="A775" i="1"/>
  <c r="C775" i="1"/>
  <c r="A776" i="1"/>
  <c r="C776" i="1"/>
  <c r="A777" i="1"/>
  <c r="C777" i="1"/>
  <c r="A778" i="1"/>
  <c r="C778" i="1"/>
  <c r="A779" i="1"/>
  <c r="C779" i="1"/>
  <c r="A780" i="1"/>
  <c r="C780" i="1"/>
  <c r="A781" i="1"/>
  <c r="C781" i="1"/>
  <c r="A782" i="1"/>
  <c r="C782" i="1"/>
  <c r="A783" i="1"/>
  <c r="C783" i="1"/>
  <c r="A784" i="1"/>
  <c r="C784" i="1"/>
  <c r="A785" i="1"/>
  <c r="C785" i="1"/>
  <c r="A786" i="1"/>
  <c r="C786" i="1"/>
  <c r="A787" i="1"/>
  <c r="C787" i="1"/>
  <c r="A788" i="1"/>
  <c r="C788" i="1"/>
  <c r="A789" i="1"/>
  <c r="C789" i="1"/>
  <c r="A790" i="1"/>
  <c r="C790" i="1"/>
  <c r="A791" i="1"/>
  <c r="C791" i="1"/>
  <c r="A792" i="1"/>
  <c r="C792" i="1"/>
  <c r="A793" i="1"/>
  <c r="C793" i="1"/>
  <c r="A794" i="1"/>
  <c r="C794" i="1"/>
  <c r="A795" i="1"/>
  <c r="C795" i="1"/>
  <c r="A796" i="1"/>
  <c r="C796" i="1"/>
  <c r="A797" i="1"/>
  <c r="C797" i="1"/>
  <c r="A798" i="1"/>
  <c r="C798" i="1"/>
  <c r="A799" i="1"/>
  <c r="C799" i="1"/>
  <c r="A800" i="1"/>
  <c r="C800" i="1"/>
  <c r="A801" i="1"/>
  <c r="C801" i="1"/>
  <c r="A802" i="1"/>
  <c r="C802" i="1"/>
  <c r="A803" i="1"/>
  <c r="C803" i="1"/>
  <c r="A804" i="1"/>
  <c r="C804" i="1"/>
  <c r="A805" i="1"/>
  <c r="C805" i="1"/>
  <c r="A806" i="1"/>
  <c r="C806" i="1"/>
  <c r="A807" i="1"/>
  <c r="C807" i="1"/>
  <c r="A808" i="1"/>
  <c r="C808" i="1"/>
  <c r="A809" i="1"/>
  <c r="C809" i="1"/>
  <c r="A810" i="1"/>
  <c r="C810" i="1"/>
  <c r="A811" i="1"/>
  <c r="C811" i="1"/>
  <c r="A812" i="1"/>
  <c r="C812" i="1"/>
  <c r="A813" i="1"/>
  <c r="C813" i="1"/>
  <c r="A814" i="1"/>
  <c r="C814" i="1"/>
  <c r="A815" i="1"/>
  <c r="C815" i="1"/>
  <c r="A816" i="1"/>
  <c r="C816" i="1"/>
  <c r="A817" i="1"/>
  <c r="C817" i="1"/>
  <c r="A818" i="1"/>
  <c r="C818" i="1"/>
  <c r="A819" i="1"/>
  <c r="C819" i="1"/>
  <c r="A820" i="1"/>
  <c r="C820" i="1"/>
  <c r="A821" i="1"/>
  <c r="C821" i="1"/>
  <c r="A822" i="1"/>
  <c r="C822" i="1"/>
  <c r="A823" i="1"/>
  <c r="C823" i="1"/>
  <c r="A824" i="1"/>
  <c r="C824" i="1"/>
  <c r="A825" i="1"/>
  <c r="C825" i="1"/>
  <c r="A826" i="1"/>
  <c r="C826" i="1"/>
  <c r="A827" i="1"/>
  <c r="C827" i="1"/>
  <c r="A828" i="1"/>
  <c r="C828" i="1"/>
  <c r="A829" i="1"/>
  <c r="C829" i="1"/>
  <c r="A830" i="1"/>
  <c r="C830" i="1"/>
  <c r="A831" i="1"/>
  <c r="C831" i="1"/>
  <c r="A832" i="1"/>
  <c r="C832" i="1"/>
  <c r="A833" i="1"/>
  <c r="C833" i="1"/>
  <c r="A834" i="1"/>
  <c r="C834" i="1"/>
  <c r="A835" i="1"/>
  <c r="C835" i="1"/>
  <c r="A836" i="1"/>
  <c r="C836" i="1"/>
  <c r="A837" i="1"/>
  <c r="C837" i="1"/>
  <c r="A838" i="1"/>
  <c r="C838" i="1"/>
  <c r="A839" i="1"/>
  <c r="C839" i="1"/>
  <c r="A840" i="1"/>
  <c r="C840" i="1"/>
  <c r="A841" i="1"/>
  <c r="C841" i="1"/>
  <c r="A842" i="1"/>
  <c r="C842" i="1"/>
  <c r="A843" i="1"/>
  <c r="C843" i="1"/>
  <c r="A844" i="1"/>
  <c r="C844" i="1"/>
  <c r="A845" i="1"/>
  <c r="C845" i="1"/>
  <c r="A846" i="1"/>
  <c r="C846" i="1"/>
  <c r="A847" i="1"/>
  <c r="C847" i="1"/>
  <c r="A848" i="1"/>
  <c r="C848" i="1"/>
  <c r="A849" i="1"/>
  <c r="C849" i="1"/>
  <c r="A850" i="1"/>
  <c r="C850" i="1"/>
  <c r="A851" i="1"/>
  <c r="C851" i="1"/>
  <c r="A852" i="1"/>
  <c r="C852" i="1"/>
  <c r="A853" i="1"/>
  <c r="C853" i="1"/>
  <c r="A854" i="1"/>
  <c r="C854" i="1"/>
  <c r="A855" i="1"/>
  <c r="C855" i="1"/>
  <c r="A856" i="1"/>
  <c r="C856" i="1"/>
  <c r="A857" i="1"/>
  <c r="C857" i="1"/>
  <c r="A858" i="1"/>
  <c r="C858" i="1"/>
  <c r="A859" i="1"/>
  <c r="C859" i="1"/>
  <c r="A860" i="1"/>
  <c r="C860" i="1"/>
  <c r="A861" i="1"/>
  <c r="C861" i="1"/>
  <c r="A862" i="1"/>
  <c r="C862" i="1"/>
  <c r="A863" i="1"/>
  <c r="C863" i="1"/>
  <c r="A864" i="1"/>
  <c r="C864" i="1"/>
  <c r="A865" i="1"/>
  <c r="C865" i="1"/>
  <c r="A866" i="1"/>
  <c r="C866" i="1"/>
  <c r="A867" i="1"/>
  <c r="C867" i="1"/>
  <c r="A868" i="1"/>
  <c r="C868" i="1"/>
  <c r="A869" i="1"/>
  <c r="C869" i="1"/>
  <c r="A870" i="1"/>
  <c r="C870" i="1"/>
  <c r="A871" i="1"/>
  <c r="C871" i="1"/>
  <c r="A872" i="1"/>
  <c r="C872" i="1"/>
  <c r="A873" i="1"/>
  <c r="C873" i="1"/>
  <c r="A874" i="1"/>
  <c r="C874" i="1"/>
  <c r="A875" i="1"/>
  <c r="C875" i="1"/>
  <c r="A876" i="1"/>
  <c r="C876" i="1"/>
  <c r="A877" i="1"/>
  <c r="C877" i="1"/>
  <c r="A878" i="1"/>
  <c r="C878" i="1"/>
  <c r="A879" i="1"/>
  <c r="C879" i="1"/>
  <c r="A880" i="1"/>
  <c r="C880" i="1"/>
  <c r="A881" i="1"/>
  <c r="C881" i="1"/>
  <c r="A882" i="1"/>
  <c r="C882" i="1"/>
  <c r="A883" i="1"/>
  <c r="C883" i="1"/>
  <c r="A884" i="1"/>
  <c r="C884" i="1"/>
  <c r="A885" i="1"/>
  <c r="C885" i="1"/>
  <c r="A886" i="1"/>
  <c r="C886" i="1"/>
  <c r="A887" i="1"/>
  <c r="C887" i="1"/>
  <c r="A888" i="1"/>
  <c r="C888" i="1"/>
  <c r="A889" i="1"/>
  <c r="C889" i="1"/>
  <c r="A890" i="1"/>
  <c r="C890" i="1"/>
  <c r="A891" i="1"/>
  <c r="C891" i="1"/>
  <c r="A892" i="1"/>
  <c r="C892" i="1"/>
  <c r="A893" i="1"/>
  <c r="C893" i="1"/>
  <c r="A894" i="1"/>
  <c r="C894" i="1"/>
  <c r="A895" i="1"/>
  <c r="C895" i="1"/>
  <c r="A896" i="1"/>
  <c r="C896" i="1"/>
  <c r="A897" i="1"/>
  <c r="C897" i="1"/>
  <c r="A898" i="1"/>
  <c r="C898" i="1"/>
  <c r="A899" i="1"/>
  <c r="C899" i="1"/>
  <c r="A900" i="1"/>
  <c r="C900" i="1"/>
  <c r="A901" i="1"/>
  <c r="C901" i="1"/>
  <c r="A902" i="1"/>
  <c r="C902" i="1"/>
  <c r="A903" i="1"/>
  <c r="C903" i="1"/>
  <c r="A904" i="1"/>
  <c r="C904" i="1"/>
  <c r="A905" i="1"/>
  <c r="C905" i="1"/>
  <c r="A906" i="1"/>
  <c r="C906" i="1"/>
  <c r="A907" i="1"/>
  <c r="C907" i="1"/>
  <c r="A908" i="1"/>
  <c r="C908" i="1"/>
  <c r="A909" i="1"/>
  <c r="C909" i="1"/>
  <c r="A910" i="1"/>
  <c r="C910" i="1"/>
  <c r="A911" i="1"/>
  <c r="C911" i="1"/>
  <c r="A912" i="1"/>
  <c r="C912" i="1"/>
  <c r="A913" i="1"/>
  <c r="C913" i="1"/>
  <c r="A914" i="1"/>
  <c r="C914" i="1"/>
  <c r="A915" i="1"/>
  <c r="C915" i="1"/>
  <c r="A916" i="1"/>
  <c r="C916" i="1"/>
  <c r="A917" i="1"/>
  <c r="C917" i="1"/>
  <c r="A918" i="1"/>
  <c r="C918" i="1"/>
  <c r="A919" i="1"/>
  <c r="C919" i="1"/>
  <c r="A920" i="1"/>
  <c r="C920" i="1"/>
  <c r="A921" i="1"/>
  <c r="C921" i="1"/>
  <c r="A922" i="1"/>
  <c r="C922" i="1"/>
  <c r="A923" i="1"/>
  <c r="C923" i="1"/>
  <c r="A924" i="1"/>
  <c r="C924" i="1"/>
  <c r="A925" i="1"/>
  <c r="C925" i="1"/>
  <c r="A926" i="1"/>
  <c r="C926" i="1"/>
  <c r="A927" i="1"/>
  <c r="C927" i="1"/>
  <c r="A928" i="1"/>
  <c r="C928" i="1"/>
  <c r="A929" i="1"/>
  <c r="C929" i="1"/>
  <c r="A930" i="1"/>
  <c r="C930" i="1"/>
  <c r="A931" i="1"/>
  <c r="C931" i="1"/>
  <c r="A932" i="1"/>
  <c r="C932" i="1"/>
  <c r="A933" i="1"/>
  <c r="C933" i="1"/>
  <c r="A934" i="1"/>
  <c r="C934" i="1"/>
  <c r="A935" i="1"/>
  <c r="C935" i="1"/>
  <c r="A936" i="1"/>
  <c r="C936" i="1"/>
  <c r="A937" i="1"/>
  <c r="C937" i="1"/>
  <c r="A938" i="1"/>
  <c r="C938" i="1"/>
  <c r="A939" i="1"/>
  <c r="C939" i="1"/>
  <c r="A940" i="1"/>
  <c r="C940" i="1"/>
  <c r="A941" i="1"/>
  <c r="C941" i="1"/>
  <c r="A942" i="1"/>
  <c r="C942" i="1"/>
  <c r="A943" i="1"/>
  <c r="C943" i="1"/>
  <c r="A944" i="1"/>
  <c r="C944" i="1"/>
  <c r="A945" i="1"/>
  <c r="C945" i="1"/>
  <c r="A946" i="1"/>
  <c r="C946" i="1"/>
  <c r="A947" i="1"/>
  <c r="C947" i="1"/>
  <c r="A948" i="1"/>
  <c r="C948" i="1"/>
  <c r="A949" i="1"/>
  <c r="C949" i="1"/>
  <c r="A950" i="1"/>
  <c r="C950" i="1"/>
  <c r="A951" i="1"/>
  <c r="C951" i="1"/>
  <c r="A952" i="1"/>
  <c r="C952" i="1"/>
  <c r="A953" i="1"/>
  <c r="C953" i="1"/>
  <c r="A954" i="1"/>
  <c r="C954" i="1"/>
  <c r="A955" i="1"/>
  <c r="C955" i="1"/>
  <c r="A956" i="1"/>
  <c r="C956" i="1"/>
  <c r="A957" i="1"/>
  <c r="C957" i="1"/>
  <c r="A958" i="1"/>
  <c r="C958" i="1"/>
  <c r="A959" i="1"/>
  <c r="C959" i="1"/>
  <c r="A960" i="1"/>
  <c r="C960" i="1"/>
  <c r="A961" i="1"/>
  <c r="C961" i="1"/>
  <c r="A962" i="1"/>
  <c r="C962" i="1"/>
  <c r="A963" i="1"/>
  <c r="C963" i="1"/>
  <c r="A964" i="1"/>
  <c r="C964" i="1"/>
  <c r="A965" i="1"/>
  <c r="C965" i="1"/>
  <c r="A966" i="1"/>
  <c r="C966" i="1"/>
  <c r="A967" i="1"/>
  <c r="C967" i="1"/>
  <c r="A968" i="1"/>
  <c r="C968" i="1"/>
  <c r="A969" i="1"/>
  <c r="C969" i="1"/>
  <c r="A970" i="1"/>
  <c r="C970" i="1"/>
  <c r="A971" i="1"/>
  <c r="C971" i="1"/>
  <c r="A972" i="1"/>
  <c r="C972" i="1"/>
  <c r="A973" i="1"/>
  <c r="C973" i="1"/>
  <c r="A974" i="1"/>
  <c r="C974" i="1"/>
  <c r="A975" i="1"/>
  <c r="C975" i="1"/>
  <c r="A976" i="1"/>
  <c r="C976" i="1"/>
  <c r="A977" i="1"/>
  <c r="C977" i="1"/>
  <c r="A978" i="1"/>
  <c r="C978" i="1"/>
  <c r="A979" i="1"/>
  <c r="C979" i="1"/>
  <c r="A980" i="1"/>
  <c r="C980" i="1"/>
  <c r="A981" i="1"/>
  <c r="C981" i="1"/>
  <c r="A982" i="1"/>
  <c r="C982" i="1"/>
  <c r="A983" i="1"/>
  <c r="C983" i="1"/>
  <c r="A984" i="1"/>
  <c r="C984" i="1"/>
  <c r="A985" i="1"/>
  <c r="C985" i="1"/>
  <c r="A986" i="1"/>
  <c r="C986" i="1"/>
  <c r="A987" i="1"/>
  <c r="C987" i="1"/>
  <c r="A988" i="1"/>
  <c r="C988" i="1"/>
  <c r="A989" i="1"/>
  <c r="C989" i="1"/>
  <c r="A990" i="1"/>
  <c r="C990" i="1"/>
  <c r="A991" i="1"/>
  <c r="C991" i="1"/>
  <c r="A992" i="1"/>
  <c r="C992" i="1"/>
  <c r="A993" i="1"/>
  <c r="C993" i="1"/>
  <c r="A994" i="1"/>
  <c r="C994" i="1"/>
  <c r="A995" i="1"/>
  <c r="C995" i="1"/>
  <c r="A996" i="1"/>
  <c r="C996" i="1"/>
  <c r="A997" i="1"/>
  <c r="C997" i="1"/>
  <c r="A998" i="1"/>
  <c r="C998" i="1"/>
  <c r="A999" i="1"/>
  <c r="C999" i="1"/>
  <c r="A1000" i="1"/>
  <c r="C1000" i="1"/>
  <c r="A1001" i="1"/>
  <c r="C1001" i="1"/>
  <c r="A1002" i="1"/>
  <c r="C1002" i="1"/>
  <c r="A1003" i="1"/>
  <c r="C1003" i="1"/>
  <c r="A1004" i="1"/>
  <c r="C1004" i="1"/>
  <c r="A1005" i="1"/>
  <c r="C1005" i="1"/>
  <c r="A1006" i="1"/>
  <c r="C1006" i="1"/>
  <c r="A1007" i="1"/>
  <c r="C1007" i="1"/>
  <c r="A1008" i="1"/>
  <c r="C1008" i="1"/>
  <c r="A1009" i="1"/>
  <c r="C1009" i="1"/>
  <c r="A1010" i="1"/>
  <c r="C1010" i="1"/>
  <c r="A1011" i="1"/>
  <c r="C1011" i="1"/>
  <c r="A1012" i="1"/>
  <c r="C1012" i="1"/>
  <c r="A1013" i="1"/>
  <c r="C1013" i="1"/>
  <c r="A1014" i="1"/>
  <c r="C1014" i="1"/>
  <c r="A1015" i="1"/>
  <c r="C1015" i="1"/>
  <c r="A1016" i="1"/>
  <c r="C1016" i="1"/>
  <c r="A1017" i="1"/>
  <c r="C1017" i="1"/>
  <c r="A1018" i="1"/>
  <c r="C1018" i="1"/>
  <c r="A1019" i="1"/>
  <c r="C1019" i="1"/>
  <c r="A1020" i="1"/>
  <c r="C1020" i="1"/>
  <c r="A1021" i="1"/>
  <c r="C1021" i="1"/>
  <c r="A1022" i="1"/>
  <c r="C1022" i="1"/>
  <c r="A1023" i="1"/>
  <c r="C1023" i="1"/>
  <c r="A1024" i="1"/>
  <c r="C1024" i="1"/>
  <c r="A1025" i="1"/>
  <c r="C1025" i="1"/>
  <c r="A1026" i="1"/>
  <c r="C1026" i="1"/>
  <c r="A1027" i="1"/>
  <c r="C1027" i="1"/>
  <c r="A1028" i="1"/>
  <c r="C1028" i="1"/>
  <c r="A1029" i="1"/>
  <c r="C1029" i="1"/>
  <c r="A1030" i="1"/>
  <c r="C1030" i="1"/>
  <c r="A1031" i="1"/>
  <c r="C1031" i="1"/>
  <c r="A1032" i="1"/>
  <c r="C1032" i="1"/>
  <c r="A1033" i="1"/>
  <c r="C1033" i="1"/>
  <c r="A1034" i="1"/>
  <c r="C1034" i="1"/>
  <c r="A1035" i="1"/>
  <c r="C1035" i="1"/>
  <c r="A1036" i="1"/>
  <c r="C1036" i="1"/>
  <c r="A1037" i="1"/>
  <c r="C1037" i="1"/>
  <c r="A1038" i="1"/>
  <c r="C1038" i="1"/>
  <c r="A1039" i="1"/>
  <c r="C1039" i="1"/>
  <c r="A1040" i="1"/>
  <c r="C1040" i="1"/>
  <c r="A1041" i="1"/>
  <c r="C1041" i="1"/>
  <c r="A1042" i="1"/>
  <c r="C1042" i="1"/>
  <c r="A1043" i="1"/>
  <c r="C1043" i="1"/>
  <c r="A1044" i="1"/>
  <c r="C1044" i="1"/>
  <c r="A1045" i="1"/>
  <c r="C1045" i="1"/>
  <c r="A1046" i="1"/>
  <c r="C1046" i="1"/>
  <c r="A1047" i="1"/>
  <c r="C1047" i="1"/>
  <c r="A1048" i="1"/>
  <c r="C1048" i="1"/>
  <c r="A1049" i="1"/>
  <c r="C1049" i="1"/>
  <c r="A1050" i="1"/>
  <c r="C1050" i="1"/>
  <c r="A1051" i="1"/>
  <c r="C1051" i="1"/>
  <c r="A1052" i="1"/>
  <c r="C1052" i="1"/>
  <c r="A1053" i="1"/>
  <c r="C1053" i="1"/>
  <c r="A1054" i="1"/>
  <c r="C1054" i="1"/>
  <c r="A1055" i="1"/>
  <c r="C1055" i="1"/>
  <c r="A1056" i="1"/>
  <c r="C1056" i="1"/>
  <c r="A1057" i="1"/>
  <c r="C1057" i="1"/>
  <c r="A1058" i="1"/>
  <c r="C1058" i="1"/>
  <c r="A1059" i="1"/>
  <c r="C1059" i="1"/>
  <c r="A1060" i="1"/>
  <c r="C1060" i="1"/>
  <c r="A1061" i="1"/>
  <c r="C1061" i="1"/>
  <c r="A1062" i="1"/>
  <c r="C1062" i="1"/>
  <c r="A1063" i="1"/>
  <c r="C1063" i="1"/>
  <c r="A1064" i="1"/>
  <c r="C1064" i="1"/>
  <c r="A1065" i="1"/>
  <c r="C1065" i="1"/>
  <c r="A1066" i="1"/>
  <c r="C1066" i="1"/>
  <c r="A1067" i="1"/>
  <c r="C1067" i="1"/>
  <c r="A1068" i="1"/>
  <c r="C1068" i="1"/>
  <c r="A1069" i="1"/>
  <c r="C1069" i="1"/>
  <c r="A1070" i="1"/>
  <c r="C1070" i="1"/>
  <c r="A1071" i="1"/>
  <c r="C1071" i="1"/>
  <c r="A1072" i="1"/>
  <c r="C1072" i="1"/>
  <c r="A1073" i="1"/>
  <c r="C1073" i="1"/>
  <c r="A1074" i="1"/>
  <c r="C1074" i="1"/>
  <c r="A1075" i="1"/>
  <c r="C1075" i="1"/>
  <c r="A1076" i="1"/>
  <c r="C1076" i="1"/>
  <c r="A1077" i="1"/>
  <c r="C1077" i="1"/>
  <c r="A1078" i="1"/>
  <c r="C1078" i="1"/>
  <c r="A1079" i="1"/>
  <c r="C1079" i="1"/>
  <c r="A1080" i="1"/>
  <c r="C1080" i="1"/>
  <c r="A1081" i="1"/>
  <c r="C1081" i="1"/>
  <c r="A1082" i="1"/>
  <c r="C1082" i="1"/>
  <c r="A1083" i="1"/>
  <c r="C1083" i="1"/>
  <c r="A1084" i="1"/>
  <c r="C1084" i="1"/>
  <c r="A1085" i="1"/>
  <c r="C1085" i="1"/>
  <c r="A1086" i="1"/>
  <c r="C1086" i="1"/>
  <c r="A1087" i="1"/>
  <c r="C1087" i="1"/>
  <c r="A1088" i="1"/>
  <c r="C1088" i="1"/>
  <c r="A1089" i="1"/>
  <c r="C1089" i="1"/>
  <c r="A1090" i="1"/>
  <c r="C1090" i="1"/>
  <c r="A1091" i="1"/>
  <c r="C1091" i="1"/>
  <c r="A1092" i="1"/>
  <c r="C1092" i="1"/>
  <c r="A1093" i="1"/>
  <c r="C1093" i="1"/>
  <c r="A1094" i="1"/>
  <c r="C1094" i="1"/>
  <c r="A1095" i="1"/>
  <c r="C1095" i="1"/>
  <c r="A1096" i="1"/>
  <c r="C1096" i="1"/>
  <c r="A1097" i="1"/>
  <c r="C1097" i="1"/>
  <c r="A1098" i="1"/>
  <c r="C1098" i="1"/>
  <c r="A1099" i="1"/>
  <c r="C1099" i="1"/>
  <c r="A1100" i="1"/>
  <c r="C1100" i="1"/>
  <c r="A1101" i="1"/>
  <c r="C1101" i="1"/>
  <c r="A1102" i="1"/>
  <c r="C1102" i="1"/>
  <c r="A1103" i="1"/>
  <c r="C1103" i="1"/>
  <c r="A1104" i="1"/>
  <c r="C1104" i="1"/>
  <c r="A1105" i="1"/>
  <c r="C1105" i="1"/>
  <c r="A1106" i="1"/>
  <c r="C1106" i="1"/>
  <c r="A1107" i="1"/>
  <c r="C1107" i="1"/>
  <c r="A1108" i="1"/>
  <c r="C1108" i="1"/>
  <c r="A1109" i="1"/>
  <c r="C1109" i="1"/>
  <c r="A1110" i="1"/>
  <c r="C1110" i="1"/>
  <c r="A1111" i="1"/>
  <c r="C1111" i="1"/>
  <c r="A1112" i="1"/>
  <c r="C1112" i="1"/>
  <c r="A1113" i="1"/>
  <c r="C1113" i="1"/>
  <c r="A1114" i="1"/>
  <c r="C1114" i="1"/>
  <c r="A1115" i="1"/>
  <c r="C1115" i="1"/>
  <c r="A1116" i="1"/>
  <c r="C1116" i="1"/>
  <c r="A1117" i="1"/>
  <c r="C1117" i="1"/>
  <c r="A1118" i="1"/>
  <c r="C1118" i="1"/>
  <c r="A1119" i="1"/>
  <c r="C1119" i="1"/>
  <c r="A1120" i="1"/>
  <c r="C1120" i="1"/>
  <c r="A1121" i="1"/>
  <c r="C1121" i="1"/>
  <c r="A1122" i="1"/>
  <c r="C1122" i="1"/>
  <c r="A1123" i="1"/>
  <c r="C1123" i="1"/>
  <c r="A1124" i="1"/>
  <c r="C1124" i="1"/>
  <c r="A1125" i="1"/>
  <c r="C1125" i="1"/>
  <c r="A1126" i="1"/>
  <c r="C1126" i="1"/>
  <c r="A1127" i="1"/>
  <c r="C1127" i="1"/>
  <c r="A1128" i="1"/>
  <c r="C1128" i="1"/>
  <c r="A1129" i="1"/>
  <c r="C1129" i="1"/>
  <c r="A1130" i="1"/>
  <c r="C1130" i="1"/>
  <c r="A1131" i="1"/>
  <c r="C1131" i="1"/>
  <c r="A1132" i="1"/>
  <c r="C1132" i="1"/>
  <c r="A1133" i="1"/>
  <c r="C1133" i="1"/>
  <c r="A1134" i="1"/>
  <c r="C1134" i="1"/>
  <c r="A1135" i="1"/>
  <c r="C1135" i="1"/>
  <c r="A1136" i="1"/>
  <c r="C1136" i="1"/>
  <c r="A1137" i="1"/>
  <c r="C1137" i="1"/>
  <c r="A1138" i="1"/>
  <c r="C1138" i="1"/>
  <c r="A1139" i="1"/>
  <c r="C1139" i="1"/>
  <c r="A1140" i="1"/>
  <c r="C1140" i="1"/>
  <c r="A1141" i="1"/>
  <c r="C1141" i="1"/>
  <c r="A1142" i="1"/>
  <c r="C1142" i="1"/>
  <c r="A1143" i="1"/>
  <c r="C1143" i="1"/>
  <c r="A1144" i="1"/>
  <c r="C1144" i="1"/>
  <c r="A1145" i="1"/>
  <c r="C1145" i="1"/>
  <c r="A1146" i="1"/>
  <c r="C1146" i="1"/>
  <c r="A1147" i="1"/>
  <c r="C1147" i="1"/>
  <c r="A1148" i="1"/>
  <c r="C1148" i="1"/>
  <c r="A1149" i="1"/>
  <c r="C1149" i="1"/>
  <c r="A1150" i="1"/>
  <c r="C1150" i="1"/>
  <c r="A1151" i="1"/>
  <c r="C1151" i="1"/>
  <c r="A1152" i="1"/>
  <c r="C1152" i="1"/>
  <c r="A1153" i="1"/>
  <c r="C1153" i="1"/>
  <c r="A1154" i="1"/>
  <c r="C1154" i="1"/>
  <c r="A1155" i="1"/>
  <c r="C1155" i="1"/>
  <c r="A1156" i="1"/>
  <c r="C1156" i="1"/>
  <c r="A1157" i="1"/>
  <c r="C1157" i="1"/>
  <c r="A1158" i="1"/>
  <c r="C1158" i="1"/>
  <c r="A1159" i="1"/>
  <c r="C1159" i="1"/>
  <c r="A1160" i="1"/>
  <c r="C1160" i="1"/>
  <c r="A1161" i="1"/>
  <c r="C1161" i="1"/>
  <c r="A1162" i="1"/>
  <c r="C1162" i="1"/>
  <c r="A1163" i="1"/>
  <c r="C1163" i="1"/>
  <c r="A1164" i="1"/>
  <c r="C1164" i="1"/>
  <c r="A1165" i="1"/>
  <c r="C1165" i="1"/>
  <c r="A1166" i="1"/>
  <c r="C1166" i="1"/>
  <c r="A1167" i="1"/>
  <c r="C1167" i="1"/>
  <c r="A1168" i="1"/>
  <c r="C1168" i="1"/>
  <c r="A1169" i="1"/>
  <c r="C1169" i="1"/>
  <c r="A1170" i="1"/>
  <c r="C1170" i="1"/>
  <c r="A1171" i="1"/>
  <c r="C1171" i="1"/>
  <c r="A1172" i="1"/>
  <c r="C1172" i="1"/>
  <c r="A1173" i="1"/>
  <c r="C1173" i="1"/>
  <c r="A1174" i="1"/>
  <c r="C1174" i="1"/>
  <c r="A1175" i="1"/>
  <c r="C1175" i="1"/>
  <c r="A1176" i="1"/>
  <c r="C1176" i="1"/>
  <c r="A1177" i="1"/>
  <c r="C1177" i="1"/>
  <c r="A1178" i="1"/>
  <c r="C1178" i="1"/>
  <c r="A1179" i="1"/>
  <c r="C1179" i="1"/>
  <c r="A1180" i="1"/>
  <c r="C1180" i="1"/>
  <c r="A1181" i="1"/>
  <c r="C1181" i="1"/>
  <c r="A1182" i="1"/>
  <c r="C1182" i="1"/>
  <c r="A1183" i="1"/>
  <c r="C1183" i="1"/>
  <c r="A1184" i="1"/>
  <c r="C1184" i="1"/>
  <c r="A1185" i="1"/>
  <c r="C1185" i="1"/>
  <c r="A1186" i="1"/>
  <c r="C1186" i="1"/>
  <c r="A1187" i="1"/>
  <c r="C1187" i="1"/>
  <c r="A1188" i="1"/>
  <c r="C1188" i="1"/>
  <c r="A1189" i="1"/>
  <c r="C1189" i="1"/>
  <c r="A1190" i="1"/>
  <c r="C1190" i="1"/>
  <c r="A1191" i="1"/>
  <c r="C1191" i="1"/>
  <c r="A1192" i="1"/>
  <c r="C1192" i="1"/>
  <c r="A1193" i="1"/>
  <c r="C1193" i="1"/>
  <c r="A1194" i="1"/>
  <c r="C1194" i="1"/>
  <c r="A1195" i="1"/>
  <c r="C1195" i="1"/>
  <c r="A1196" i="1"/>
  <c r="C1196" i="1"/>
  <c r="A1197" i="1"/>
  <c r="C1197" i="1"/>
  <c r="A1198" i="1"/>
  <c r="C1198" i="1"/>
  <c r="A1199" i="1"/>
  <c r="C1199" i="1"/>
  <c r="A1200" i="1"/>
  <c r="C1200" i="1"/>
  <c r="A1201" i="1"/>
  <c r="C1201" i="1"/>
  <c r="A1202" i="1"/>
  <c r="C1202" i="1"/>
  <c r="A1203" i="1"/>
  <c r="C1203" i="1"/>
  <c r="A1204" i="1"/>
  <c r="C1204" i="1"/>
  <c r="A1205" i="1"/>
  <c r="C1205" i="1"/>
  <c r="A1206" i="1"/>
  <c r="C1206" i="1"/>
  <c r="A1207" i="1"/>
  <c r="C1207" i="1"/>
  <c r="A1208" i="1"/>
  <c r="C1208" i="1"/>
  <c r="A1209" i="1"/>
  <c r="C1209" i="1"/>
  <c r="A1210" i="1"/>
  <c r="C1210" i="1"/>
  <c r="A1211" i="1"/>
  <c r="C1211" i="1"/>
  <c r="A1212" i="1"/>
  <c r="C1212" i="1"/>
  <c r="A1213" i="1"/>
  <c r="C1213" i="1"/>
  <c r="A1214" i="1"/>
  <c r="C1214" i="1"/>
  <c r="A1215" i="1"/>
  <c r="C1215" i="1"/>
  <c r="A1216" i="1"/>
  <c r="C1216" i="1"/>
  <c r="A1217" i="1"/>
  <c r="C1217" i="1"/>
  <c r="A1218" i="1"/>
  <c r="C1218" i="1"/>
  <c r="A1219" i="1"/>
  <c r="C1219" i="1"/>
  <c r="A1220" i="1"/>
  <c r="C1220" i="1"/>
  <c r="A1221" i="1"/>
  <c r="C1221" i="1"/>
  <c r="A1222" i="1"/>
  <c r="C1222" i="1"/>
  <c r="A1223" i="1"/>
  <c r="C1223" i="1"/>
  <c r="A1224" i="1"/>
  <c r="C1224" i="1"/>
  <c r="A1225" i="1"/>
  <c r="C1225" i="1"/>
  <c r="A1226" i="1"/>
  <c r="C1226" i="1"/>
  <c r="A1227" i="1"/>
  <c r="C1227" i="1"/>
  <c r="A1228" i="1"/>
  <c r="C1228" i="1"/>
  <c r="A1229" i="1"/>
  <c r="C1229" i="1"/>
  <c r="A1230" i="1"/>
  <c r="C1230" i="1"/>
  <c r="A1231" i="1"/>
  <c r="C1231" i="1"/>
  <c r="A1232" i="1"/>
  <c r="C1232" i="1"/>
  <c r="A1233" i="1"/>
  <c r="C1233" i="1"/>
  <c r="A1234" i="1"/>
  <c r="C1234" i="1"/>
  <c r="A1235" i="1"/>
  <c r="C1235" i="1"/>
  <c r="A1236" i="1"/>
  <c r="C1236" i="1"/>
  <c r="A1237" i="1"/>
  <c r="C1237" i="1"/>
  <c r="A1238" i="1"/>
  <c r="C1238" i="1"/>
  <c r="A1239" i="1"/>
  <c r="C1239" i="1"/>
  <c r="A1240" i="1"/>
  <c r="C1240" i="1"/>
  <c r="A1241" i="1"/>
  <c r="C1241" i="1"/>
  <c r="A1242" i="1"/>
  <c r="C1242" i="1"/>
  <c r="A1243" i="1"/>
  <c r="C1243" i="1"/>
  <c r="A1244" i="1"/>
  <c r="C1244" i="1"/>
  <c r="A1245" i="1"/>
  <c r="C1245" i="1"/>
  <c r="A1246" i="1"/>
  <c r="C1246" i="1"/>
  <c r="A1247" i="1"/>
  <c r="C1247" i="1"/>
  <c r="A1248" i="1"/>
  <c r="C1248" i="1"/>
  <c r="A1249" i="1"/>
  <c r="C1249" i="1"/>
  <c r="A1250" i="1"/>
  <c r="C1250" i="1"/>
  <c r="A1251" i="1"/>
  <c r="C1251" i="1"/>
  <c r="A1252" i="1"/>
  <c r="C1252" i="1"/>
  <c r="A1253" i="1"/>
  <c r="C1253" i="1"/>
  <c r="A1254" i="1"/>
  <c r="C1254" i="1"/>
  <c r="A1255" i="1"/>
  <c r="C1255" i="1"/>
  <c r="A1256" i="1"/>
  <c r="C1256" i="1"/>
  <c r="A1257" i="1"/>
  <c r="C1257" i="1"/>
  <c r="A1258" i="1"/>
  <c r="C1258" i="1"/>
  <c r="A1259" i="1"/>
  <c r="C1259" i="1"/>
  <c r="A1260" i="1"/>
  <c r="C1260" i="1"/>
  <c r="A1261" i="1"/>
  <c r="C1261" i="1"/>
  <c r="A1262" i="1"/>
  <c r="C1262" i="1"/>
  <c r="A1263" i="1"/>
  <c r="C1263" i="1"/>
  <c r="A1264" i="1"/>
  <c r="C1264" i="1"/>
  <c r="A1265" i="1"/>
  <c r="C1265" i="1"/>
  <c r="A1266" i="1"/>
  <c r="C1266" i="1"/>
  <c r="A1267" i="1"/>
  <c r="C1267" i="1"/>
  <c r="A1268" i="1"/>
  <c r="C1268" i="1"/>
  <c r="A1269" i="1"/>
  <c r="C1269" i="1"/>
  <c r="A1270" i="1"/>
  <c r="C1270" i="1"/>
  <c r="A1271" i="1"/>
  <c r="C1271" i="1"/>
  <c r="A1272" i="1"/>
  <c r="C1272" i="1"/>
  <c r="A1273" i="1"/>
  <c r="C1273" i="1"/>
  <c r="A1274" i="1"/>
  <c r="C1274" i="1"/>
  <c r="A1275" i="1"/>
  <c r="C1275" i="1"/>
  <c r="A1276" i="1"/>
  <c r="C1276" i="1"/>
  <c r="A1277" i="1"/>
  <c r="C1277" i="1"/>
  <c r="A1278" i="1"/>
  <c r="C1278" i="1"/>
  <c r="A1279" i="1"/>
  <c r="C1279" i="1"/>
  <c r="A1280" i="1"/>
  <c r="C1280" i="1"/>
  <c r="A1281" i="1"/>
  <c r="C1281" i="1"/>
  <c r="A1282" i="1"/>
  <c r="C1282" i="1"/>
  <c r="A1283" i="1"/>
  <c r="C1283" i="1"/>
  <c r="A1284" i="1"/>
  <c r="C1284" i="1"/>
  <c r="A1285" i="1"/>
  <c r="C1285" i="1"/>
  <c r="A1286" i="1"/>
  <c r="C1286" i="1"/>
  <c r="A1287" i="1"/>
  <c r="C1287" i="1"/>
  <c r="A1288" i="1"/>
  <c r="C1288" i="1"/>
  <c r="A1289" i="1"/>
  <c r="C1289" i="1"/>
  <c r="A1290" i="1"/>
  <c r="C1290" i="1"/>
  <c r="A1291" i="1"/>
  <c r="C1291" i="1"/>
  <c r="A1292" i="1"/>
  <c r="C1292" i="1"/>
  <c r="A1293" i="1"/>
  <c r="C1293" i="1"/>
  <c r="A1294" i="1"/>
  <c r="C1294" i="1"/>
  <c r="A1295" i="1"/>
  <c r="C1295" i="1"/>
  <c r="A1296" i="1"/>
  <c r="C1296" i="1"/>
  <c r="A1297" i="1"/>
  <c r="C1297" i="1"/>
  <c r="A1298" i="1"/>
  <c r="C1298" i="1"/>
  <c r="A1299" i="1"/>
  <c r="C1299" i="1"/>
  <c r="A1300" i="1"/>
  <c r="C1300" i="1"/>
  <c r="A1301" i="1"/>
  <c r="C1301" i="1"/>
  <c r="A1302" i="1"/>
  <c r="C1302" i="1"/>
  <c r="A1303" i="1"/>
  <c r="C1303" i="1"/>
  <c r="A1304" i="1"/>
  <c r="C1304" i="1"/>
  <c r="A1305" i="1"/>
  <c r="C1305" i="1"/>
  <c r="A1306" i="1"/>
  <c r="C1306" i="1"/>
  <c r="A1307" i="1"/>
  <c r="C1307" i="1"/>
  <c r="A1308" i="1"/>
  <c r="C1308" i="1"/>
  <c r="A1309" i="1"/>
  <c r="C1309" i="1"/>
  <c r="A1310" i="1"/>
  <c r="C1310" i="1"/>
  <c r="A1311" i="1"/>
  <c r="C1311" i="1"/>
  <c r="A1312" i="1"/>
  <c r="C1312" i="1"/>
  <c r="A1313" i="1"/>
  <c r="C1313" i="1"/>
  <c r="A1314" i="1"/>
  <c r="C1314" i="1"/>
  <c r="A1315" i="1"/>
  <c r="C1315" i="1"/>
  <c r="A1316" i="1"/>
  <c r="C1316" i="1"/>
  <c r="A1317" i="1"/>
  <c r="C1317" i="1"/>
  <c r="A1318" i="1"/>
  <c r="C1318" i="1"/>
  <c r="A1319" i="1"/>
  <c r="C1319" i="1"/>
  <c r="A1320" i="1"/>
  <c r="C1320" i="1"/>
  <c r="A1321" i="1"/>
  <c r="C1321" i="1"/>
  <c r="A1322" i="1"/>
  <c r="C1322" i="1"/>
  <c r="A1323" i="1"/>
  <c r="C1323" i="1"/>
  <c r="A1324" i="1"/>
  <c r="C1324" i="1"/>
  <c r="A1325" i="1"/>
  <c r="C1325" i="1"/>
  <c r="A1326" i="1"/>
  <c r="C1326" i="1"/>
  <c r="A1327" i="1"/>
  <c r="C1327" i="1"/>
  <c r="A1328" i="1"/>
  <c r="C1328" i="1"/>
  <c r="A1329" i="1"/>
  <c r="C1329" i="1"/>
  <c r="A1330" i="1"/>
  <c r="C1330" i="1"/>
  <c r="A1331" i="1"/>
  <c r="C1331" i="1"/>
  <c r="A1332" i="1"/>
  <c r="C1332" i="1"/>
  <c r="A1333" i="1"/>
  <c r="C1333" i="1"/>
  <c r="A1334" i="1"/>
  <c r="C1334" i="1"/>
  <c r="A1335" i="1"/>
  <c r="C1335" i="1"/>
  <c r="A1336" i="1"/>
  <c r="C1336" i="1"/>
  <c r="A1337" i="1"/>
  <c r="C1337" i="1"/>
  <c r="A1338" i="1"/>
  <c r="C1338" i="1"/>
  <c r="A1339" i="1"/>
  <c r="C1339" i="1"/>
  <c r="A1340" i="1"/>
  <c r="C1340" i="1"/>
  <c r="A1341" i="1"/>
  <c r="C1341" i="1"/>
  <c r="A1342" i="1"/>
  <c r="C1342" i="1"/>
  <c r="A1343" i="1"/>
  <c r="C1343" i="1"/>
  <c r="A1344" i="1"/>
  <c r="C1344" i="1"/>
  <c r="A1345" i="1"/>
  <c r="C1345" i="1"/>
  <c r="A1346" i="1"/>
  <c r="C1346" i="1"/>
  <c r="A1347" i="1"/>
  <c r="C1347" i="1"/>
  <c r="A1348" i="1"/>
  <c r="C1348" i="1"/>
  <c r="A1349" i="1"/>
  <c r="C1349" i="1"/>
  <c r="A1350" i="1"/>
  <c r="C1350" i="1"/>
  <c r="A1351" i="1"/>
  <c r="C1351" i="1"/>
  <c r="A1352" i="1"/>
  <c r="C1352" i="1"/>
  <c r="A1353" i="1"/>
  <c r="C1353" i="1"/>
  <c r="A1354" i="1"/>
  <c r="C1354" i="1"/>
  <c r="A1355" i="1"/>
  <c r="C1355" i="1"/>
  <c r="A1356" i="1"/>
  <c r="C1356" i="1"/>
  <c r="A1357" i="1"/>
  <c r="C1357" i="1"/>
  <c r="A1358" i="1"/>
  <c r="C1358" i="1"/>
  <c r="A1359" i="1"/>
  <c r="C1359" i="1"/>
  <c r="A1360" i="1"/>
  <c r="C1360" i="1"/>
  <c r="A1361" i="1"/>
  <c r="C1361" i="1"/>
  <c r="A1362" i="1"/>
  <c r="C1362" i="1"/>
  <c r="A1363" i="1"/>
  <c r="C1363" i="1"/>
  <c r="A1364" i="1"/>
  <c r="C1364" i="1"/>
  <c r="A1365" i="1"/>
  <c r="C1365" i="1"/>
  <c r="A1366" i="1"/>
  <c r="C1366" i="1"/>
  <c r="A1367" i="1"/>
  <c r="C1367" i="1"/>
  <c r="A1368" i="1"/>
  <c r="C1368" i="1"/>
  <c r="A1369" i="1"/>
  <c r="C1369" i="1"/>
  <c r="A1370" i="1"/>
  <c r="C1370" i="1"/>
  <c r="A1371" i="1"/>
  <c r="C1371" i="1"/>
  <c r="A1372" i="1"/>
  <c r="C1372" i="1"/>
  <c r="A1373" i="1"/>
  <c r="C1373" i="1"/>
  <c r="A1374" i="1"/>
  <c r="C1374" i="1"/>
  <c r="A1375" i="1"/>
  <c r="C1375" i="1"/>
  <c r="A1376" i="1"/>
  <c r="C1376" i="1"/>
  <c r="A1377" i="1"/>
  <c r="C1377" i="1"/>
  <c r="A1378" i="1"/>
  <c r="C1378" i="1"/>
  <c r="A1379" i="1"/>
  <c r="C1379" i="1"/>
  <c r="A1380" i="1"/>
  <c r="C1380" i="1"/>
  <c r="A1381" i="1"/>
  <c r="C1381" i="1"/>
  <c r="A1382" i="1"/>
  <c r="C1382" i="1"/>
  <c r="A1383" i="1"/>
  <c r="C1383" i="1"/>
  <c r="A1384" i="1"/>
  <c r="C1384" i="1"/>
  <c r="A1385" i="1"/>
  <c r="C1385" i="1"/>
  <c r="A1386" i="1"/>
  <c r="C1386" i="1"/>
  <c r="A1387" i="1"/>
  <c r="C1387" i="1"/>
  <c r="A1388" i="1"/>
  <c r="C1388" i="1"/>
  <c r="A1389" i="1"/>
  <c r="C1389" i="1"/>
  <c r="A1390" i="1"/>
  <c r="C1390" i="1"/>
  <c r="A1391" i="1"/>
  <c r="C1391" i="1"/>
  <c r="A1392" i="1"/>
  <c r="C1392" i="1"/>
  <c r="A1393" i="1"/>
  <c r="C1393" i="1"/>
  <c r="A1394" i="1"/>
  <c r="C1394" i="1"/>
  <c r="A1395" i="1"/>
  <c r="C1395" i="1"/>
  <c r="A1396" i="1"/>
  <c r="C1396" i="1"/>
  <c r="A1397" i="1"/>
  <c r="C1397" i="1"/>
  <c r="A1398" i="1"/>
  <c r="C1398" i="1"/>
  <c r="A1399" i="1"/>
  <c r="C1399" i="1"/>
  <c r="A1400" i="1"/>
  <c r="C1400" i="1"/>
  <c r="A1401" i="1"/>
  <c r="C1401" i="1"/>
  <c r="A1402" i="1"/>
  <c r="C1402" i="1"/>
  <c r="A1403" i="1"/>
  <c r="C1403" i="1"/>
  <c r="A1404" i="1"/>
  <c r="C1404" i="1"/>
  <c r="A1405" i="1"/>
  <c r="C1405" i="1"/>
  <c r="A1406" i="1"/>
  <c r="C1406" i="1"/>
  <c r="A1407" i="1"/>
  <c r="C1407" i="1"/>
  <c r="A1408" i="1"/>
  <c r="C1408" i="1"/>
  <c r="A1409" i="1"/>
  <c r="C1409" i="1"/>
  <c r="A1410" i="1"/>
  <c r="C1410" i="1"/>
  <c r="A1411" i="1"/>
  <c r="C1411" i="1"/>
  <c r="A1412" i="1"/>
  <c r="C1412" i="1"/>
  <c r="A1413" i="1"/>
  <c r="C1413" i="1"/>
  <c r="A1414" i="1"/>
  <c r="C1414" i="1"/>
  <c r="A1415" i="1"/>
  <c r="C1415" i="1"/>
  <c r="A1416" i="1"/>
  <c r="C1416" i="1"/>
  <c r="A1417" i="1"/>
  <c r="C1417" i="1"/>
  <c r="A1418" i="1"/>
  <c r="C1418" i="1"/>
  <c r="A1419" i="1"/>
  <c r="C1419" i="1"/>
  <c r="A1420" i="1"/>
  <c r="C1420" i="1"/>
  <c r="A1421" i="1"/>
  <c r="C1421" i="1"/>
  <c r="A1422" i="1"/>
  <c r="C1422" i="1"/>
  <c r="A1423" i="1"/>
  <c r="C1423" i="1"/>
  <c r="A1424" i="1"/>
  <c r="C1424" i="1"/>
  <c r="A1425" i="1"/>
  <c r="C1425" i="1"/>
  <c r="A1426" i="1"/>
  <c r="C1426" i="1"/>
  <c r="A1427" i="1"/>
  <c r="C1427" i="1"/>
  <c r="A1428" i="1"/>
  <c r="C1428" i="1"/>
  <c r="A1429" i="1"/>
  <c r="C1429" i="1"/>
  <c r="A1430" i="1"/>
  <c r="C1430" i="1"/>
  <c r="A1431" i="1"/>
  <c r="C1431" i="1"/>
  <c r="A1432" i="1"/>
  <c r="C1432" i="1"/>
  <c r="A1433" i="1"/>
  <c r="C1433" i="1"/>
  <c r="A1434" i="1"/>
  <c r="C1434" i="1"/>
  <c r="A1435" i="1"/>
  <c r="C1435" i="1"/>
  <c r="A1436" i="1"/>
  <c r="C1436" i="1"/>
  <c r="A1437" i="1"/>
  <c r="C1437" i="1"/>
  <c r="A1438" i="1"/>
  <c r="C1438" i="1"/>
  <c r="A1439" i="1"/>
  <c r="C1439" i="1"/>
  <c r="A1440" i="1"/>
  <c r="C1440" i="1"/>
  <c r="A1441" i="1"/>
  <c r="C1441" i="1"/>
  <c r="A1442" i="1"/>
  <c r="C1442" i="1"/>
  <c r="A1443" i="1"/>
  <c r="C1443" i="1"/>
  <c r="A1444" i="1"/>
  <c r="C1444" i="1"/>
  <c r="A1445" i="1"/>
  <c r="C1445" i="1"/>
  <c r="A1446" i="1"/>
  <c r="C1446" i="1"/>
  <c r="A1447" i="1"/>
  <c r="C1447" i="1"/>
  <c r="A1448" i="1"/>
  <c r="C1448" i="1"/>
  <c r="A1449" i="1"/>
  <c r="C1449" i="1"/>
  <c r="A1450" i="1"/>
  <c r="C1450" i="1"/>
  <c r="A1451" i="1"/>
  <c r="C1451" i="1"/>
  <c r="A1452" i="1"/>
  <c r="C1452" i="1"/>
  <c r="A1453" i="1"/>
  <c r="C1453" i="1"/>
  <c r="A1454" i="1"/>
  <c r="C1454" i="1"/>
  <c r="A1455" i="1"/>
  <c r="C1455" i="1"/>
  <c r="A1456" i="1"/>
  <c r="C1456" i="1"/>
  <c r="A1457" i="1"/>
  <c r="C1457" i="1"/>
  <c r="A1458" i="1"/>
  <c r="C1458" i="1"/>
  <c r="A1459" i="1"/>
  <c r="C1459" i="1"/>
  <c r="A1460" i="1"/>
  <c r="C1460" i="1"/>
  <c r="A1461" i="1"/>
  <c r="C1461" i="1"/>
  <c r="A1462" i="1"/>
  <c r="C1462" i="1"/>
  <c r="A1463" i="1"/>
  <c r="C1463" i="1"/>
  <c r="A1464" i="1"/>
  <c r="C1464" i="1"/>
  <c r="A1465" i="1"/>
  <c r="C1465" i="1"/>
  <c r="A1466" i="1"/>
  <c r="C1466" i="1"/>
  <c r="A1467" i="1"/>
  <c r="C1467" i="1"/>
  <c r="A1468" i="1"/>
  <c r="C1468" i="1"/>
  <c r="A1469" i="1"/>
  <c r="C1469" i="1"/>
  <c r="A1470" i="1"/>
  <c r="C1470" i="1"/>
  <c r="A1471" i="1"/>
  <c r="C1471" i="1"/>
  <c r="A1472" i="1"/>
  <c r="C1472" i="1"/>
  <c r="A1473" i="1"/>
  <c r="C1473" i="1"/>
  <c r="A1474" i="1"/>
  <c r="C1474" i="1"/>
  <c r="A1475" i="1"/>
  <c r="C1475" i="1"/>
  <c r="A1476" i="1"/>
  <c r="C1476" i="1"/>
  <c r="A1477" i="1"/>
  <c r="C1477" i="1"/>
  <c r="A1478" i="1"/>
  <c r="C1478" i="1"/>
  <c r="A1479" i="1"/>
  <c r="C1479" i="1"/>
  <c r="A1480" i="1"/>
  <c r="C1480" i="1"/>
  <c r="A1481" i="1"/>
  <c r="C1481" i="1"/>
  <c r="A1482" i="1"/>
  <c r="C1482" i="1"/>
  <c r="A1483" i="1"/>
  <c r="C1483" i="1"/>
  <c r="A1484" i="1"/>
  <c r="C1484" i="1"/>
  <c r="A1485" i="1"/>
  <c r="C1485" i="1"/>
  <c r="A1486" i="1"/>
  <c r="C1486" i="1"/>
  <c r="A1487" i="1"/>
  <c r="C1487" i="1"/>
  <c r="A1488" i="1"/>
  <c r="C1488" i="1"/>
  <c r="A1489" i="1"/>
  <c r="C1489" i="1"/>
  <c r="A1490" i="1"/>
  <c r="C1490" i="1"/>
  <c r="A1491" i="1"/>
  <c r="C1491" i="1"/>
  <c r="A1492" i="1"/>
  <c r="C1492" i="1"/>
  <c r="A1493" i="1"/>
  <c r="C1493" i="1"/>
  <c r="A1494" i="1"/>
  <c r="C1494" i="1"/>
  <c r="A1495" i="1"/>
  <c r="C1495" i="1"/>
  <c r="A1496" i="1"/>
  <c r="C1496" i="1"/>
  <c r="A1497" i="1"/>
  <c r="C1497" i="1"/>
  <c r="A1498" i="1"/>
  <c r="C1498" i="1"/>
  <c r="A1499" i="1"/>
  <c r="C1499" i="1"/>
  <c r="A1500" i="1"/>
  <c r="C1500" i="1"/>
  <c r="A1501" i="1"/>
  <c r="C1501" i="1"/>
  <c r="A1502" i="1"/>
  <c r="C1502" i="1"/>
  <c r="A1503" i="1"/>
  <c r="C1503" i="1"/>
  <c r="A1504" i="1"/>
  <c r="C1504" i="1"/>
  <c r="A1505" i="1"/>
  <c r="C1505" i="1"/>
  <c r="A1506" i="1"/>
  <c r="C1506" i="1"/>
  <c r="A1507" i="1"/>
  <c r="C1507" i="1"/>
  <c r="A1508" i="1"/>
  <c r="C1508" i="1"/>
  <c r="A1509" i="1"/>
  <c r="C1509" i="1"/>
  <c r="A1510" i="1"/>
  <c r="C1510" i="1"/>
  <c r="A1511" i="1"/>
  <c r="C1511" i="1"/>
  <c r="A1512" i="1"/>
  <c r="C1512" i="1"/>
  <c r="A1513" i="1"/>
  <c r="C1513" i="1"/>
  <c r="A1514" i="1"/>
  <c r="C1514" i="1"/>
  <c r="A1515" i="1"/>
  <c r="C1515" i="1"/>
  <c r="A1516" i="1"/>
  <c r="C1516" i="1"/>
  <c r="A1517" i="1"/>
  <c r="C1517" i="1"/>
  <c r="A1518" i="1"/>
  <c r="C1518" i="1"/>
  <c r="A1519" i="1"/>
  <c r="C1519" i="1"/>
  <c r="A1520" i="1"/>
  <c r="C1520" i="1"/>
  <c r="A1521" i="1"/>
  <c r="C1521" i="1"/>
  <c r="A1522" i="1"/>
  <c r="C1522" i="1"/>
  <c r="A1523" i="1"/>
  <c r="C1523" i="1"/>
  <c r="A1524" i="1"/>
  <c r="C1524" i="1"/>
  <c r="A1525" i="1"/>
  <c r="C1525" i="1"/>
  <c r="A1526" i="1"/>
  <c r="C1526" i="1"/>
  <c r="A1527" i="1"/>
  <c r="C1527" i="1"/>
  <c r="A1528" i="1"/>
  <c r="C1528" i="1"/>
  <c r="A1529" i="1"/>
  <c r="C1529" i="1"/>
  <c r="A1530" i="1"/>
  <c r="C1530" i="1"/>
  <c r="A1531" i="1"/>
  <c r="C1531" i="1"/>
  <c r="A1532" i="1"/>
  <c r="C1532" i="1"/>
  <c r="A1533" i="1"/>
  <c r="C1533" i="1"/>
  <c r="A1534" i="1"/>
  <c r="C1534" i="1"/>
  <c r="A1535" i="1"/>
  <c r="C1535" i="1"/>
  <c r="A1536" i="1"/>
  <c r="C1536" i="1"/>
  <c r="A1537" i="1"/>
  <c r="C1537" i="1"/>
  <c r="A1538" i="1"/>
  <c r="C1538" i="1"/>
  <c r="A1539" i="1"/>
  <c r="C1539" i="1"/>
  <c r="A1540" i="1"/>
  <c r="C1540" i="1"/>
  <c r="A1541" i="1"/>
  <c r="C1541" i="1"/>
  <c r="A1542" i="1"/>
  <c r="C1542" i="1"/>
  <c r="A1543" i="1"/>
  <c r="C1543" i="1"/>
  <c r="A1544" i="1"/>
  <c r="C1544" i="1"/>
  <c r="A1545" i="1"/>
  <c r="C1545" i="1"/>
  <c r="A1546" i="1"/>
  <c r="C1546" i="1"/>
  <c r="A1547" i="1"/>
  <c r="C1547" i="1"/>
  <c r="A1548" i="1"/>
  <c r="C1548" i="1"/>
  <c r="A1549" i="1"/>
  <c r="C1549" i="1"/>
  <c r="A1550" i="1"/>
  <c r="C1550" i="1"/>
  <c r="A1551" i="1"/>
  <c r="C1551" i="1"/>
  <c r="A1552" i="1"/>
  <c r="C1552" i="1"/>
  <c r="A1553" i="1"/>
  <c r="C1553" i="1"/>
  <c r="A1554" i="1"/>
  <c r="C1554" i="1"/>
  <c r="A1555" i="1"/>
  <c r="C1555" i="1"/>
  <c r="A1556" i="1"/>
  <c r="C1556" i="1"/>
  <c r="A1557" i="1"/>
  <c r="C1557" i="1"/>
  <c r="A1558" i="1"/>
  <c r="C1558" i="1"/>
  <c r="A1559" i="1"/>
  <c r="C1559" i="1"/>
  <c r="A1560" i="1"/>
  <c r="C1560" i="1"/>
  <c r="A1561" i="1"/>
  <c r="C1561" i="1"/>
  <c r="A1562" i="1"/>
  <c r="C1562" i="1"/>
  <c r="A1563" i="1"/>
  <c r="C1563" i="1"/>
  <c r="A1564" i="1"/>
  <c r="C1564" i="1"/>
  <c r="A1565" i="1"/>
  <c r="C1565" i="1"/>
  <c r="A1566" i="1"/>
  <c r="C1566" i="1"/>
  <c r="A1567" i="1"/>
  <c r="C1567" i="1"/>
  <c r="A1568" i="1"/>
  <c r="C1568" i="1"/>
  <c r="A1569" i="1"/>
  <c r="C1569" i="1"/>
  <c r="A1570" i="1"/>
  <c r="C1570" i="1"/>
  <c r="A1571" i="1"/>
  <c r="C1571" i="1"/>
  <c r="A1572" i="1"/>
  <c r="C1572" i="1"/>
  <c r="A1573" i="1"/>
  <c r="C1573" i="1"/>
  <c r="A1574" i="1"/>
  <c r="C1574" i="1"/>
  <c r="A1575" i="1"/>
  <c r="C1575" i="1"/>
  <c r="A1576" i="1"/>
  <c r="C1576" i="1"/>
  <c r="A1577" i="1"/>
  <c r="C1577" i="1"/>
  <c r="A1578" i="1"/>
  <c r="C1578" i="1"/>
  <c r="A1579" i="1"/>
  <c r="C1579" i="1"/>
  <c r="A1580" i="1"/>
  <c r="C1580" i="1"/>
  <c r="A1581" i="1"/>
  <c r="C1581" i="1"/>
  <c r="A1582" i="1"/>
  <c r="C1582" i="1"/>
  <c r="A1583" i="1"/>
  <c r="C1583" i="1"/>
  <c r="A1584" i="1"/>
  <c r="C1584" i="1"/>
  <c r="A1585" i="1"/>
  <c r="C1585" i="1"/>
  <c r="A1586" i="1"/>
  <c r="C1586" i="1"/>
  <c r="A1587" i="1"/>
  <c r="C1587" i="1"/>
  <c r="A1588" i="1"/>
  <c r="C1588" i="1"/>
  <c r="A1589" i="1"/>
  <c r="C1589" i="1"/>
  <c r="A1590" i="1"/>
  <c r="C1590" i="1"/>
  <c r="A1591" i="1"/>
  <c r="C1591" i="1"/>
  <c r="A1592" i="1"/>
  <c r="C1592" i="1"/>
  <c r="A1593" i="1"/>
  <c r="C1593" i="1"/>
  <c r="A1594" i="1"/>
  <c r="C1594" i="1"/>
  <c r="A1595" i="1"/>
  <c r="C1595" i="1"/>
  <c r="A1596" i="1"/>
  <c r="C1596" i="1"/>
  <c r="A1597" i="1"/>
  <c r="C1597" i="1"/>
  <c r="A1598" i="1"/>
  <c r="C1598" i="1"/>
  <c r="A1599" i="1"/>
  <c r="C1599" i="1"/>
  <c r="A1600" i="1"/>
  <c r="C1600" i="1"/>
  <c r="A1601" i="1"/>
  <c r="C1601" i="1"/>
  <c r="A1602" i="1"/>
  <c r="C1602" i="1"/>
  <c r="A1603" i="1"/>
  <c r="C1603" i="1"/>
  <c r="A1604" i="1"/>
  <c r="C1604" i="1"/>
  <c r="A1605" i="1"/>
  <c r="C1605" i="1"/>
  <c r="A1606" i="1"/>
  <c r="C1606" i="1"/>
  <c r="A1607" i="1"/>
  <c r="C1607" i="1"/>
  <c r="A1608" i="1"/>
  <c r="C1608" i="1"/>
  <c r="A1609" i="1"/>
  <c r="C1609" i="1"/>
  <c r="A1610" i="1"/>
  <c r="C1610" i="1"/>
  <c r="A1611" i="1"/>
  <c r="C1611" i="1"/>
  <c r="A1612" i="1"/>
  <c r="C1612" i="1"/>
  <c r="A1613" i="1"/>
  <c r="C1613" i="1"/>
  <c r="A1614" i="1"/>
  <c r="C1614" i="1"/>
  <c r="A1615" i="1"/>
  <c r="C1615" i="1"/>
  <c r="A1616" i="1"/>
  <c r="C1616" i="1"/>
  <c r="A1617" i="1"/>
  <c r="C1617" i="1"/>
  <c r="A1618" i="1"/>
  <c r="C1618" i="1"/>
  <c r="A1619" i="1"/>
  <c r="C1619" i="1"/>
  <c r="A1620" i="1"/>
  <c r="C1620" i="1"/>
  <c r="A1621" i="1"/>
  <c r="C1621" i="1"/>
  <c r="A1622" i="1"/>
  <c r="C1622" i="1"/>
  <c r="A1623" i="1"/>
  <c r="C1623" i="1"/>
  <c r="A1624" i="1"/>
  <c r="C1624" i="1"/>
  <c r="A1625" i="1"/>
  <c r="C1625" i="1"/>
  <c r="A1626" i="1"/>
  <c r="C1626" i="1"/>
  <c r="A1627" i="1"/>
  <c r="C1627" i="1"/>
  <c r="A1628" i="1"/>
  <c r="C1628" i="1"/>
  <c r="A1629" i="1"/>
  <c r="C1629" i="1"/>
  <c r="A1630" i="1"/>
  <c r="C1630" i="1"/>
  <c r="A1631" i="1"/>
  <c r="C1631" i="1"/>
  <c r="A1632" i="1"/>
  <c r="C1632" i="1"/>
  <c r="A1633" i="1"/>
  <c r="C1633" i="1"/>
  <c r="A1634" i="1"/>
  <c r="C1634" i="1"/>
  <c r="A1635" i="1"/>
  <c r="C1635" i="1"/>
  <c r="A1636" i="1"/>
  <c r="C1636" i="1"/>
  <c r="A1637" i="1"/>
  <c r="C1637" i="1"/>
  <c r="A1638" i="1"/>
  <c r="C1638" i="1"/>
  <c r="A1639" i="1"/>
  <c r="C1639" i="1"/>
  <c r="A1640" i="1"/>
  <c r="C1640" i="1"/>
  <c r="A1641" i="1"/>
  <c r="C1641" i="1"/>
  <c r="A1642" i="1"/>
  <c r="C1642" i="1"/>
  <c r="A1643" i="1"/>
  <c r="C1643" i="1"/>
  <c r="A1644" i="1"/>
  <c r="C1644" i="1"/>
  <c r="A1645" i="1"/>
  <c r="C1645" i="1"/>
  <c r="A1646" i="1"/>
  <c r="C1646" i="1"/>
  <c r="A1647" i="1"/>
  <c r="C1647" i="1"/>
  <c r="A1648" i="1"/>
  <c r="C1648" i="1"/>
  <c r="A1649" i="1"/>
  <c r="C1649" i="1"/>
  <c r="A1650" i="1"/>
  <c r="C1650" i="1"/>
  <c r="A1651" i="1"/>
  <c r="C1651" i="1"/>
  <c r="A1652" i="1"/>
  <c r="C1652" i="1"/>
  <c r="A1653" i="1"/>
  <c r="C1653" i="1"/>
  <c r="A1654" i="1"/>
  <c r="C1654" i="1"/>
  <c r="A1655" i="1"/>
  <c r="C1655" i="1"/>
  <c r="A1656" i="1"/>
  <c r="C1656" i="1"/>
  <c r="A1657" i="1"/>
  <c r="C1657" i="1"/>
  <c r="A1658" i="1"/>
  <c r="C1658" i="1"/>
  <c r="A1659" i="1"/>
  <c r="C1659" i="1"/>
  <c r="A1660" i="1"/>
  <c r="C1660" i="1"/>
  <c r="A1661" i="1"/>
  <c r="C1661" i="1"/>
  <c r="A1662" i="1"/>
  <c r="C1662" i="1"/>
  <c r="A1663" i="1"/>
  <c r="C1663" i="1"/>
  <c r="A1664" i="1"/>
  <c r="C1664" i="1"/>
  <c r="A1665" i="1"/>
  <c r="C1665" i="1"/>
  <c r="A1666" i="1"/>
  <c r="C1666" i="1"/>
  <c r="A1667" i="1"/>
  <c r="C1667" i="1"/>
  <c r="A1668" i="1"/>
  <c r="C1668" i="1"/>
  <c r="A1669" i="1"/>
  <c r="C1669" i="1"/>
  <c r="A1670" i="1"/>
  <c r="C1670" i="1"/>
  <c r="A1671" i="1"/>
  <c r="C1671" i="1"/>
  <c r="A1672" i="1"/>
  <c r="C1672" i="1"/>
  <c r="A1673" i="1"/>
  <c r="C1673" i="1"/>
  <c r="A1674" i="1"/>
  <c r="C1674" i="1"/>
  <c r="A1675" i="1"/>
  <c r="C1675" i="1"/>
  <c r="A1676" i="1"/>
  <c r="C1676" i="1"/>
  <c r="A1677" i="1"/>
  <c r="C1677" i="1"/>
  <c r="A1678" i="1"/>
  <c r="C1678" i="1"/>
  <c r="A1679" i="1"/>
  <c r="C1679" i="1"/>
  <c r="A1680" i="1"/>
  <c r="C1680" i="1"/>
  <c r="A1681" i="1"/>
  <c r="C1681" i="1"/>
  <c r="A1682" i="1"/>
  <c r="C1682" i="1"/>
  <c r="A1683" i="1"/>
  <c r="C1683" i="1"/>
  <c r="A1684" i="1"/>
  <c r="C1684" i="1"/>
  <c r="A1685" i="1"/>
  <c r="C1685" i="1"/>
  <c r="A1686" i="1"/>
  <c r="C1686" i="1"/>
  <c r="A1687" i="1"/>
  <c r="C1687" i="1"/>
  <c r="A1688" i="1"/>
  <c r="C1688" i="1"/>
  <c r="A1689" i="1"/>
  <c r="C1689" i="1"/>
  <c r="A1690" i="1"/>
  <c r="C1690" i="1"/>
  <c r="A1691" i="1"/>
  <c r="C1691" i="1"/>
  <c r="A1692" i="1"/>
  <c r="C1692" i="1"/>
  <c r="A1693" i="1"/>
  <c r="C1693" i="1"/>
  <c r="A1694" i="1"/>
  <c r="C1694" i="1"/>
  <c r="A1695" i="1"/>
  <c r="C1695" i="1"/>
  <c r="A1696" i="1"/>
  <c r="C1696" i="1"/>
  <c r="A1697" i="1"/>
  <c r="C1697" i="1"/>
  <c r="A1698" i="1"/>
  <c r="C1698" i="1"/>
  <c r="A1699" i="1"/>
  <c r="C1699" i="1"/>
  <c r="A1700" i="1"/>
  <c r="C1700" i="1"/>
  <c r="A1701" i="1"/>
  <c r="C1701" i="1"/>
  <c r="A1702" i="1"/>
  <c r="C1702" i="1"/>
  <c r="A1703" i="1"/>
  <c r="C1703" i="1"/>
  <c r="A1704" i="1"/>
  <c r="C1704" i="1"/>
  <c r="A1705" i="1"/>
  <c r="C1705" i="1"/>
  <c r="A1706" i="1"/>
  <c r="C1706" i="1"/>
  <c r="A1707" i="1"/>
  <c r="C1707" i="1"/>
  <c r="A1708" i="1"/>
  <c r="C1708" i="1"/>
  <c r="A1709" i="1"/>
  <c r="C1709" i="1"/>
  <c r="A1710" i="1"/>
  <c r="C1710" i="1"/>
  <c r="A1711" i="1"/>
  <c r="C1711" i="1"/>
  <c r="A1712" i="1"/>
  <c r="C1712" i="1"/>
  <c r="A1713" i="1"/>
  <c r="C1713" i="1"/>
  <c r="A1714" i="1"/>
  <c r="C1714" i="1"/>
  <c r="A1715" i="1"/>
  <c r="C1715" i="1"/>
  <c r="A1716" i="1"/>
  <c r="C1716" i="1"/>
  <c r="A1717" i="1"/>
  <c r="C1717" i="1"/>
  <c r="A1718" i="1"/>
  <c r="C1718" i="1"/>
  <c r="A1719" i="1"/>
  <c r="C1719" i="1"/>
  <c r="A1720" i="1"/>
  <c r="C1720" i="1"/>
  <c r="A1721" i="1"/>
  <c r="C1721" i="1"/>
  <c r="A1722" i="1"/>
  <c r="C1722" i="1"/>
  <c r="A1723" i="1"/>
  <c r="C1723" i="1"/>
  <c r="A1724" i="1"/>
  <c r="C1724" i="1"/>
  <c r="A1725" i="1"/>
  <c r="C1725" i="1"/>
  <c r="A1726" i="1"/>
  <c r="C1726" i="1"/>
  <c r="A1727" i="1"/>
  <c r="C1727" i="1"/>
  <c r="A1728" i="1"/>
  <c r="C1728" i="1"/>
  <c r="A1729" i="1"/>
  <c r="C1729" i="1"/>
  <c r="A1730" i="1"/>
  <c r="C1730" i="1"/>
  <c r="A1731" i="1"/>
  <c r="C1731" i="1"/>
  <c r="A1732" i="1"/>
  <c r="C1732" i="1"/>
  <c r="A1733" i="1"/>
  <c r="C1733" i="1"/>
  <c r="A1734" i="1"/>
  <c r="C1734" i="1"/>
  <c r="A1735" i="1"/>
  <c r="C1735" i="1"/>
  <c r="A1736" i="1"/>
  <c r="C1736" i="1"/>
  <c r="A1737" i="1"/>
  <c r="C1737" i="1"/>
  <c r="A1738" i="1"/>
  <c r="C1738" i="1"/>
  <c r="A1739" i="1"/>
  <c r="C1739" i="1"/>
  <c r="A1740" i="1"/>
  <c r="C1740" i="1"/>
  <c r="A1741" i="1"/>
  <c r="C1741" i="1"/>
  <c r="A1742" i="1"/>
  <c r="C1742" i="1"/>
  <c r="A1743" i="1"/>
  <c r="C1743" i="1"/>
  <c r="A1744" i="1"/>
  <c r="C1744" i="1"/>
  <c r="A1745" i="1"/>
  <c r="C1745" i="1"/>
  <c r="A1746" i="1"/>
  <c r="C1746" i="1"/>
  <c r="A1747" i="1"/>
  <c r="C1747" i="1"/>
  <c r="A1748" i="1"/>
  <c r="C1748" i="1"/>
  <c r="A1749" i="1"/>
  <c r="C1749" i="1"/>
  <c r="A1750" i="1"/>
  <c r="C1750" i="1"/>
  <c r="A1751" i="1"/>
  <c r="C1751" i="1"/>
  <c r="A1752" i="1"/>
  <c r="C1752" i="1"/>
  <c r="A1753" i="1"/>
  <c r="C1753" i="1"/>
  <c r="A1754" i="1"/>
  <c r="C1754" i="1"/>
  <c r="A1755" i="1"/>
  <c r="C1755" i="1"/>
  <c r="A1756" i="1"/>
  <c r="C1756" i="1"/>
  <c r="A1757" i="1"/>
  <c r="C1757" i="1"/>
  <c r="A1758" i="1"/>
  <c r="C1758" i="1"/>
  <c r="A1759" i="1"/>
  <c r="C1759" i="1"/>
  <c r="A1760" i="1"/>
  <c r="C1760" i="1"/>
  <c r="A1761" i="1"/>
  <c r="C1761" i="1"/>
  <c r="A1762" i="1"/>
  <c r="C1762" i="1"/>
  <c r="A1763" i="1"/>
  <c r="C1763" i="1"/>
  <c r="A1764" i="1"/>
  <c r="C1764" i="1"/>
  <c r="A1765" i="1"/>
  <c r="C1765" i="1"/>
  <c r="A1766" i="1"/>
  <c r="C1766" i="1"/>
  <c r="A1767" i="1"/>
  <c r="C1767" i="1"/>
  <c r="A1768" i="1"/>
  <c r="C1768" i="1"/>
  <c r="A1769" i="1"/>
  <c r="C1769" i="1"/>
  <c r="A1770" i="1"/>
  <c r="C1770" i="1"/>
  <c r="A1771" i="1"/>
  <c r="C1771" i="1"/>
  <c r="A1772" i="1"/>
  <c r="C1772" i="1"/>
  <c r="A1773" i="1"/>
  <c r="C1773" i="1"/>
  <c r="A1774" i="1"/>
  <c r="C1774" i="1"/>
  <c r="A1775" i="1"/>
  <c r="C1775" i="1"/>
  <c r="A1776" i="1"/>
  <c r="C1776" i="1"/>
  <c r="A1777" i="1"/>
  <c r="C1777" i="1"/>
  <c r="A1778" i="1"/>
  <c r="C1778" i="1"/>
  <c r="A1779" i="1"/>
  <c r="C1779" i="1"/>
  <c r="A1780" i="1"/>
  <c r="C1780" i="1"/>
  <c r="A1781" i="1"/>
  <c r="C1781" i="1"/>
  <c r="A1782" i="1"/>
  <c r="C1782" i="1"/>
  <c r="A1783" i="1"/>
  <c r="C1783" i="1"/>
  <c r="A1784" i="1"/>
  <c r="C1784" i="1"/>
  <c r="A1785" i="1"/>
  <c r="C1785" i="1"/>
  <c r="A1786" i="1"/>
  <c r="C1786" i="1"/>
  <c r="A1787" i="1"/>
  <c r="C1787" i="1"/>
  <c r="A1788" i="1"/>
  <c r="C1788" i="1"/>
  <c r="A1789" i="1"/>
  <c r="C1789" i="1"/>
  <c r="A1790" i="1"/>
  <c r="C1790" i="1"/>
  <c r="A1791" i="1"/>
  <c r="C1791" i="1"/>
  <c r="A1792" i="1"/>
  <c r="C1792" i="1"/>
  <c r="A1793" i="1"/>
  <c r="C1793" i="1"/>
  <c r="A1794" i="1"/>
  <c r="C1794" i="1"/>
  <c r="A1795" i="1"/>
  <c r="C1795" i="1"/>
  <c r="A1796" i="1"/>
  <c r="C1796" i="1"/>
  <c r="A1797" i="1"/>
  <c r="C1797" i="1"/>
  <c r="A1798" i="1"/>
  <c r="C1798" i="1"/>
  <c r="A1799" i="1"/>
  <c r="C1799" i="1"/>
  <c r="A1800" i="1"/>
  <c r="C1800" i="1"/>
  <c r="A1801" i="1"/>
  <c r="C1801" i="1"/>
  <c r="A1802" i="1"/>
  <c r="C1802" i="1"/>
  <c r="A1803" i="1"/>
  <c r="C1803" i="1"/>
  <c r="A1804" i="1"/>
  <c r="C1804" i="1"/>
  <c r="A1805" i="1"/>
  <c r="C1805" i="1"/>
  <c r="A1806" i="1"/>
  <c r="C1806" i="1"/>
  <c r="A1807" i="1"/>
  <c r="C1807" i="1"/>
  <c r="A1808" i="1"/>
  <c r="C1808" i="1"/>
  <c r="A1809" i="1"/>
  <c r="C1809" i="1"/>
  <c r="A1810" i="1"/>
  <c r="C1810" i="1"/>
  <c r="A1811" i="1"/>
  <c r="C1811" i="1"/>
  <c r="A1812" i="1"/>
  <c r="C1812" i="1"/>
  <c r="A1813" i="1"/>
  <c r="C1813" i="1"/>
  <c r="A1814" i="1"/>
  <c r="C1814" i="1"/>
  <c r="A1815" i="1"/>
  <c r="C1815" i="1"/>
  <c r="A1816" i="1"/>
  <c r="C1816" i="1"/>
  <c r="A1817" i="1"/>
  <c r="C1817" i="1"/>
  <c r="A1818" i="1"/>
  <c r="C1818" i="1"/>
  <c r="A1819" i="1"/>
  <c r="C1819" i="1"/>
  <c r="A1820" i="1"/>
  <c r="C1820" i="1"/>
  <c r="A1821" i="1"/>
  <c r="C1821" i="1"/>
  <c r="A1822" i="1"/>
  <c r="C1822" i="1"/>
  <c r="A1823" i="1"/>
  <c r="C1823" i="1"/>
  <c r="A1824" i="1"/>
  <c r="C1824" i="1"/>
  <c r="A1825" i="1"/>
  <c r="C1825" i="1"/>
  <c r="A1826" i="1"/>
  <c r="C1826" i="1"/>
  <c r="A1827" i="1"/>
  <c r="C1827" i="1"/>
  <c r="A1828" i="1"/>
  <c r="C1828" i="1"/>
  <c r="A1829" i="1"/>
  <c r="C1829" i="1"/>
  <c r="A1830" i="1"/>
  <c r="C1830" i="1"/>
  <c r="A1831" i="1"/>
  <c r="C1831" i="1"/>
  <c r="A1832" i="1"/>
  <c r="C1832" i="1"/>
  <c r="A1833" i="1"/>
  <c r="C1833" i="1"/>
  <c r="A1834" i="1"/>
  <c r="C1834" i="1"/>
  <c r="A1835" i="1"/>
  <c r="C1835" i="1"/>
  <c r="A1836" i="1"/>
  <c r="C1836" i="1"/>
  <c r="A1837" i="1"/>
  <c r="C1837" i="1"/>
  <c r="A1838" i="1"/>
  <c r="C1838" i="1"/>
  <c r="A1839" i="1"/>
  <c r="C1839" i="1"/>
  <c r="A1840" i="1"/>
  <c r="C1840" i="1"/>
  <c r="A1841" i="1"/>
  <c r="C1841" i="1"/>
  <c r="A1842" i="1"/>
  <c r="C1842" i="1"/>
  <c r="A1843" i="1"/>
  <c r="C1843" i="1"/>
  <c r="A1844" i="1"/>
  <c r="C1844" i="1"/>
  <c r="A1845" i="1"/>
  <c r="C1845" i="1"/>
  <c r="A1846" i="1"/>
  <c r="C1846" i="1"/>
  <c r="A1847" i="1"/>
  <c r="C1847" i="1"/>
  <c r="A1848" i="1"/>
  <c r="C1848" i="1"/>
  <c r="A1849" i="1"/>
  <c r="C1849" i="1"/>
  <c r="A1850" i="1"/>
  <c r="C1850" i="1"/>
  <c r="A1851" i="1"/>
  <c r="C1851" i="1"/>
  <c r="A1852" i="1"/>
  <c r="C1852" i="1"/>
  <c r="A1853" i="1"/>
  <c r="C1853" i="1"/>
  <c r="A1854" i="1"/>
  <c r="C1854" i="1"/>
  <c r="A1855" i="1"/>
  <c r="C1855" i="1"/>
  <c r="A1856" i="1"/>
  <c r="C1856" i="1"/>
  <c r="A1857" i="1"/>
  <c r="C1857" i="1"/>
  <c r="A1858" i="1"/>
  <c r="C1858" i="1"/>
  <c r="A1859" i="1"/>
  <c r="C1859" i="1"/>
  <c r="A1860" i="1"/>
  <c r="C1860" i="1"/>
  <c r="A1861" i="1"/>
  <c r="C1861" i="1"/>
  <c r="A1862" i="1"/>
  <c r="C1862" i="1"/>
  <c r="A1863" i="1"/>
  <c r="C1863" i="1"/>
  <c r="A1864" i="1"/>
  <c r="C1864" i="1"/>
  <c r="A1865" i="1"/>
  <c r="C1865" i="1"/>
  <c r="A1866" i="1"/>
  <c r="C1866" i="1"/>
  <c r="A1867" i="1"/>
  <c r="C1867" i="1"/>
  <c r="A1868" i="1"/>
  <c r="C1868" i="1"/>
  <c r="A1869" i="1"/>
  <c r="C1869" i="1"/>
  <c r="A1870" i="1"/>
  <c r="C1870" i="1"/>
  <c r="A1871" i="1"/>
  <c r="C1871" i="1"/>
  <c r="A1872" i="1"/>
  <c r="C1872" i="1"/>
  <c r="A1873" i="1"/>
  <c r="C1873" i="1"/>
  <c r="A1874" i="1"/>
  <c r="C1874" i="1"/>
  <c r="A1875" i="1"/>
  <c r="C1875" i="1"/>
  <c r="A1876" i="1"/>
  <c r="C1876" i="1"/>
  <c r="A1877" i="1"/>
  <c r="C1877" i="1"/>
  <c r="A1878" i="1"/>
  <c r="C1878" i="1"/>
  <c r="A1879" i="1"/>
  <c r="C1879" i="1"/>
  <c r="A1880" i="1"/>
  <c r="C1880" i="1"/>
  <c r="A1881" i="1"/>
  <c r="C1881" i="1"/>
  <c r="A1882" i="1"/>
  <c r="C1882" i="1"/>
  <c r="A1883" i="1"/>
  <c r="C1883" i="1"/>
  <c r="A1884" i="1"/>
  <c r="C1884" i="1"/>
  <c r="A1885" i="1"/>
  <c r="C1885" i="1"/>
  <c r="A1886" i="1"/>
  <c r="C1886" i="1"/>
  <c r="A1887" i="1"/>
  <c r="C1887" i="1"/>
  <c r="A1888" i="1"/>
  <c r="C1888" i="1"/>
  <c r="A1889" i="1"/>
  <c r="C1889" i="1"/>
  <c r="A1890" i="1"/>
  <c r="C1890" i="1"/>
  <c r="A1891" i="1"/>
  <c r="C1891" i="1"/>
  <c r="A1892" i="1"/>
  <c r="C1892" i="1"/>
  <c r="A1893" i="1"/>
  <c r="C1893" i="1"/>
  <c r="A1894" i="1"/>
  <c r="C1894" i="1"/>
  <c r="A1895" i="1"/>
  <c r="C1895" i="1"/>
  <c r="A1896" i="1"/>
  <c r="C1896" i="1"/>
  <c r="A1897" i="1"/>
  <c r="C1897" i="1"/>
  <c r="A1898" i="1"/>
  <c r="C1898" i="1"/>
  <c r="A1899" i="1"/>
  <c r="C1899" i="1"/>
  <c r="A1900" i="1"/>
  <c r="C1900" i="1"/>
  <c r="A1901" i="1"/>
  <c r="C1901" i="1"/>
  <c r="A1902" i="1"/>
  <c r="C1902" i="1"/>
  <c r="A1903" i="1"/>
  <c r="C1903" i="1"/>
  <c r="A1904" i="1"/>
  <c r="C1904" i="1"/>
  <c r="A1905" i="1"/>
  <c r="C1905" i="1"/>
  <c r="A1906" i="1"/>
  <c r="C1906" i="1"/>
  <c r="A1907" i="1"/>
  <c r="C1907" i="1"/>
  <c r="A1908" i="1"/>
  <c r="C1908" i="1"/>
  <c r="A1909" i="1"/>
  <c r="C1909" i="1"/>
  <c r="A1910" i="1"/>
  <c r="C1910" i="1"/>
  <c r="A1911" i="1"/>
  <c r="C1911" i="1"/>
  <c r="A1912" i="1"/>
  <c r="C1912" i="1"/>
  <c r="A1913" i="1"/>
  <c r="C1913" i="1"/>
  <c r="A1914" i="1"/>
  <c r="C1914" i="1"/>
  <c r="A1915" i="1"/>
  <c r="C1915" i="1"/>
  <c r="A1916" i="1"/>
  <c r="C1916" i="1"/>
  <c r="A1917" i="1"/>
  <c r="C1917" i="1"/>
  <c r="A1918" i="1"/>
  <c r="C1918" i="1"/>
  <c r="A1919" i="1"/>
  <c r="C1919" i="1"/>
  <c r="A1920" i="1"/>
  <c r="C1920" i="1"/>
  <c r="A1921" i="1"/>
  <c r="C1921" i="1"/>
  <c r="A1922" i="1"/>
  <c r="C1922" i="1"/>
  <c r="A1923" i="1"/>
  <c r="C1923" i="1"/>
  <c r="A1924" i="1"/>
  <c r="C1924" i="1"/>
  <c r="A1925" i="1"/>
  <c r="C1925" i="1"/>
  <c r="A1926" i="1"/>
  <c r="C1926" i="1"/>
  <c r="A1927" i="1"/>
  <c r="C1927" i="1"/>
  <c r="A1928" i="1"/>
  <c r="C1928" i="1"/>
  <c r="A1929" i="1"/>
  <c r="C1929" i="1"/>
  <c r="A1930" i="1"/>
  <c r="C1930" i="1"/>
  <c r="A1931" i="1"/>
  <c r="C1931" i="1"/>
  <c r="A1932" i="1"/>
  <c r="C1932" i="1"/>
  <c r="A1933" i="1"/>
  <c r="C1933" i="1"/>
  <c r="A1934" i="1"/>
  <c r="C1934" i="1"/>
  <c r="A1935" i="1"/>
  <c r="C1935" i="1"/>
  <c r="A1936" i="1"/>
  <c r="C1936" i="1"/>
  <c r="A1937" i="1"/>
  <c r="C1937" i="1"/>
  <c r="A1938" i="1"/>
  <c r="C1938" i="1"/>
  <c r="A1939" i="1"/>
  <c r="C1939" i="1"/>
  <c r="A1940" i="1"/>
  <c r="C1940" i="1"/>
  <c r="A1941" i="1"/>
  <c r="C1941" i="1"/>
  <c r="A1942" i="1"/>
  <c r="C1942" i="1"/>
  <c r="A1943" i="1"/>
  <c r="C1943" i="1"/>
  <c r="A1944" i="1"/>
  <c r="C1944" i="1"/>
  <c r="A1945" i="1"/>
  <c r="C1945" i="1"/>
  <c r="A1946" i="1"/>
  <c r="C1946" i="1"/>
  <c r="A1947" i="1"/>
  <c r="C1947" i="1"/>
  <c r="A1948" i="1"/>
  <c r="C1948" i="1"/>
  <c r="A1949" i="1"/>
  <c r="C1949" i="1"/>
  <c r="A1950" i="1"/>
  <c r="C1950" i="1"/>
  <c r="A1951" i="1"/>
  <c r="C1951" i="1"/>
  <c r="A1952" i="1"/>
  <c r="C1952" i="1"/>
  <c r="A1953" i="1"/>
  <c r="C1953" i="1"/>
  <c r="A1954" i="1"/>
  <c r="C1954" i="1"/>
  <c r="A1955" i="1"/>
  <c r="C1955" i="1"/>
  <c r="A1956" i="1"/>
  <c r="C1956" i="1"/>
  <c r="A1957" i="1"/>
  <c r="C1957" i="1"/>
  <c r="A1958" i="1"/>
  <c r="C1958" i="1"/>
  <c r="A1959" i="1"/>
  <c r="C1959" i="1"/>
  <c r="A1960" i="1"/>
  <c r="C1960" i="1"/>
  <c r="A1961" i="1"/>
  <c r="C1961" i="1"/>
  <c r="A1962" i="1"/>
  <c r="C1962" i="1"/>
  <c r="A1963" i="1"/>
  <c r="C1963" i="1"/>
  <c r="A1964" i="1"/>
  <c r="C1964" i="1"/>
  <c r="A1965" i="1"/>
  <c r="C1965" i="1"/>
  <c r="A1966" i="1"/>
  <c r="C1966" i="1"/>
  <c r="A1967" i="1"/>
  <c r="C1967" i="1"/>
  <c r="A1968" i="1"/>
  <c r="C1968" i="1"/>
  <c r="A1969" i="1"/>
  <c r="C1969" i="1"/>
  <c r="A1970" i="1"/>
  <c r="C1970" i="1"/>
  <c r="A1971" i="1"/>
  <c r="C1971" i="1"/>
  <c r="A1972" i="1"/>
  <c r="C1972" i="1"/>
  <c r="A1973" i="1"/>
  <c r="C1973" i="1"/>
  <c r="A1974" i="1"/>
  <c r="C1974" i="1"/>
  <c r="A1975" i="1"/>
  <c r="C1975" i="1"/>
  <c r="A1976" i="1"/>
  <c r="C1976" i="1"/>
  <c r="A1977" i="1"/>
  <c r="C1977" i="1"/>
  <c r="A1978" i="1"/>
  <c r="C1978" i="1"/>
  <c r="A1979" i="1"/>
  <c r="C1979" i="1"/>
  <c r="A1980" i="1"/>
  <c r="C1980" i="1"/>
  <c r="A1981" i="1"/>
  <c r="C1981" i="1"/>
  <c r="A1982" i="1"/>
  <c r="C1982" i="1"/>
  <c r="A1983" i="1"/>
  <c r="C1983" i="1"/>
  <c r="A1984" i="1"/>
  <c r="C1984" i="1"/>
  <c r="A1985" i="1"/>
  <c r="C1985" i="1"/>
  <c r="A1986" i="1"/>
  <c r="C1986" i="1"/>
  <c r="A1987" i="1"/>
  <c r="C1987" i="1"/>
  <c r="A1988" i="1"/>
  <c r="C1988" i="1"/>
  <c r="A1989" i="1"/>
  <c r="C1989" i="1"/>
  <c r="A1990" i="1"/>
  <c r="C1990" i="1"/>
  <c r="A1991" i="1"/>
  <c r="C1991" i="1"/>
  <c r="A1992" i="1"/>
  <c r="C1992" i="1"/>
  <c r="A1993" i="1"/>
  <c r="C1993" i="1"/>
  <c r="A1994" i="1"/>
  <c r="C1994" i="1"/>
  <c r="A1995" i="1"/>
  <c r="C1995" i="1"/>
  <c r="A1996" i="1"/>
  <c r="C1996" i="1"/>
  <c r="A1997" i="1"/>
  <c r="C1997" i="1"/>
  <c r="A1998" i="1"/>
  <c r="C1998" i="1"/>
  <c r="A1999" i="1"/>
  <c r="C1999" i="1"/>
  <c r="A2000" i="1"/>
  <c r="C2000" i="1"/>
  <c r="A2001" i="1"/>
  <c r="C2001" i="1"/>
  <c r="A2002" i="1"/>
  <c r="C2002" i="1"/>
  <c r="A2003" i="1"/>
  <c r="C2003" i="1"/>
  <c r="A2004" i="1"/>
  <c r="C2004" i="1"/>
  <c r="A2005" i="1"/>
  <c r="C2005" i="1"/>
  <c r="A2006" i="1"/>
  <c r="C2006" i="1"/>
  <c r="A2007" i="1"/>
  <c r="C2007" i="1"/>
  <c r="A2008" i="1"/>
  <c r="C2008" i="1"/>
  <c r="A2009" i="1"/>
  <c r="C2009" i="1"/>
  <c r="A2010" i="1"/>
  <c r="C2010" i="1"/>
  <c r="A2011" i="1"/>
  <c r="C2011" i="1"/>
  <c r="A2012" i="1"/>
  <c r="C2012" i="1"/>
  <c r="A2013" i="1"/>
  <c r="C2013" i="1"/>
  <c r="A2014" i="1"/>
  <c r="C2014" i="1"/>
  <c r="A2015" i="1"/>
  <c r="C2015" i="1"/>
  <c r="A2016" i="1"/>
  <c r="C2016" i="1"/>
  <c r="A2017" i="1"/>
  <c r="C2017" i="1"/>
  <c r="A2018" i="1"/>
  <c r="C2018" i="1"/>
  <c r="A2019" i="1"/>
  <c r="C2019" i="1"/>
  <c r="A2020" i="1"/>
  <c r="C2020" i="1"/>
  <c r="A2021" i="1"/>
  <c r="C2021" i="1"/>
  <c r="A2022" i="1"/>
  <c r="C2022" i="1"/>
  <c r="A2023" i="1"/>
  <c r="C2023" i="1"/>
  <c r="A2024" i="1"/>
  <c r="C2024" i="1"/>
  <c r="A2025" i="1"/>
  <c r="C2025" i="1"/>
  <c r="A2026" i="1"/>
  <c r="C2026" i="1"/>
  <c r="A2027" i="1"/>
  <c r="C2027" i="1"/>
  <c r="A2028" i="1"/>
  <c r="C2028" i="1"/>
  <c r="A2029" i="1"/>
  <c r="C2029" i="1"/>
  <c r="A2030" i="1"/>
  <c r="C2030" i="1"/>
  <c r="A2031" i="1"/>
  <c r="C2031" i="1"/>
  <c r="A2032" i="1"/>
  <c r="C2032" i="1"/>
  <c r="A2033" i="1"/>
  <c r="C2033" i="1"/>
  <c r="A2034" i="1"/>
  <c r="C2034" i="1"/>
  <c r="A2035" i="1"/>
  <c r="C2035" i="1"/>
  <c r="A2036" i="1"/>
  <c r="C2036" i="1"/>
  <c r="A2037" i="1"/>
  <c r="C2037" i="1"/>
  <c r="A2038" i="1"/>
  <c r="C2038" i="1"/>
  <c r="A2039" i="1"/>
  <c r="C2039" i="1"/>
  <c r="A2040" i="1"/>
  <c r="C2040" i="1"/>
  <c r="A2041" i="1"/>
  <c r="C2041" i="1"/>
  <c r="A2042" i="1"/>
  <c r="C2042" i="1"/>
  <c r="A2043" i="1"/>
  <c r="C2043" i="1"/>
  <c r="A2044" i="1"/>
  <c r="C2044" i="1"/>
  <c r="A2045" i="1"/>
  <c r="C2045" i="1"/>
  <c r="A2046" i="1"/>
  <c r="C2046" i="1"/>
  <c r="A2047" i="1"/>
  <c r="C2047" i="1"/>
  <c r="A2048" i="1"/>
  <c r="C2048" i="1"/>
  <c r="A2049" i="1"/>
  <c r="C2049" i="1"/>
  <c r="A2050" i="1"/>
  <c r="C2050" i="1"/>
  <c r="A2051" i="1"/>
  <c r="C2051" i="1"/>
  <c r="A2052" i="1"/>
  <c r="C2052" i="1"/>
  <c r="A2053" i="1"/>
  <c r="C2053" i="1"/>
  <c r="A2054" i="1"/>
  <c r="C2054" i="1"/>
  <c r="A2055" i="1"/>
  <c r="C2055" i="1"/>
  <c r="A2056" i="1"/>
  <c r="C2056" i="1"/>
  <c r="A2057" i="1"/>
  <c r="C2057" i="1"/>
  <c r="A2058" i="1"/>
  <c r="C2058" i="1"/>
  <c r="A2059" i="1"/>
  <c r="C2059" i="1"/>
  <c r="A2060" i="1"/>
  <c r="C2060" i="1"/>
  <c r="A2061" i="1"/>
  <c r="C2061" i="1"/>
  <c r="A2062" i="1"/>
  <c r="C2062" i="1"/>
  <c r="A2063" i="1"/>
  <c r="C2063" i="1"/>
  <c r="A2064" i="1"/>
  <c r="C2064" i="1"/>
  <c r="A2065" i="1"/>
  <c r="C2065" i="1"/>
  <c r="A2066" i="1"/>
  <c r="C2066" i="1"/>
  <c r="A2067" i="1"/>
  <c r="C2067" i="1"/>
  <c r="A2068" i="1"/>
  <c r="C2068" i="1"/>
  <c r="A2069" i="1"/>
  <c r="C2069" i="1"/>
  <c r="A2070" i="1"/>
  <c r="C2070" i="1"/>
  <c r="A2071" i="1"/>
  <c r="C2071" i="1"/>
  <c r="A2072" i="1"/>
  <c r="C2072" i="1"/>
  <c r="A2073" i="1"/>
  <c r="C2073" i="1"/>
  <c r="A2074" i="1"/>
  <c r="C2074" i="1"/>
  <c r="A2075" i="1"/>
  <c r="C2075" i="1"/>
  <c r="A2076" i="1"/>
  <c r="C2076" i="1"/>
  <c r="A2077" i="1"/>
  <c r="C2077" i="1"/>
  <c r="A2078" i="1"/>
  <c r="C2078" i="1"/>
  <c r="A2079" i="1"/>
  <c r="C2079" i="1"/>
  <c r="A2080" i="1"/>
  <c r="C2080" i="1"/>
  <c r="A2081" i="1"/>
  <c r="C2081" i="1"/>
  <c r="A2082" i="1"/>
  <c r="C2082" i="1"/>
  <c r="A2083" i="1"/>
  <c r="C2083" i="1"/>
  <c r="A2084" i="1"/>
  <c r="C2084" i="1"/>
  <c r="A2085" i="1"/>
  <c r="C2085" i="1"/>
  <c r="A2086" i="1"/>
  <c r="C2086" i="1"/>
  <c r="A2087" i="1"/>
  <c r="C2087" i="1"/>
  <c r="A2088" i="1"/>
  <c r="C2088" i="1"/>
  <c r="A2089" i="1"/>
  <c r="C2089" i="1"/>
  <c r="A2090" i="1"/>
  <c r="C2090" i="1"/>
  <c r="A2091" i="1"/>
  <c r="C2091" i="1"/>
  <c r="A2092" i="1"/>
  <c r="C2092" i="1"/>
  <c r="A2093" i="1"/>
  <c r="C2093" i="1"/>
  <c r="A2094" i="1"/>
  <c r="C2094" i="1"/>
  <c r="A2095" i="1"/>
  <c r="C2095" i="1"/>
  <c r="A2096" i="1"/>
  <c r="C2096" i="1"/>
  <c r="A2097" i="1"/>
  <c r="C2097" i="1"/>
  <c r="A2098" i="1"/>
  <c r="C2098" i="1"/>
  <c r="A2099" i="1"/>
  <c r="C2099" i="1"/>
  <c r="A2100" i="1"/>
  <c r="C2100" i="1"/>
  <c r="A2101" i="1"/>
  <c r="C2101" i="1"/>
  <c r="A2102" i="1"/>
  <c r="C2102" i="1"/>
  <c r="A2103" i="1"/>
  <c r="C2103" i="1"/>
  <c r="A2104" i="1"/>
  <c r="C2104" i="1"/>
  <c r="A2105" i="1"/>
  <c r="C2105" i="1"/>
  <c r="A2106" i="1"/>
  <c r="C2106" i="1"/>
  <c r="A2107" i="1"/>
  <c r="C2107" i="1"/>
  <c r="A2108" i="1"/>
  <c r="C2108" i="1"/>
  <c r="A2109" i="1"/>
  <c r="C2109" i="1"/>
  <c r="A2110" i="1"/>
  <c r="C2110" i="1"/>
  <c r="A2111" i="1"/>
  <c r="C2111" i="1"/>
  <c r="A2112" i="1"/>
  <c r="C2112" i="1"/>
  <c r="A2113" i="1"/>
  <c r="C2113" i="1"/>
  <c r="A2114" i="1"/>
  <c r="C2114" i="1"/>
  <c r="A2115" i="1"/>
  <c r="C2115" i="1"/>
  <c r="A2116" i="1"/>
  <c r="C2116" i="1"/>
  <c r="A2117" i="1"/>
  <c r="C2117" i="1"/>
  <c r="A2118" i="1"/>
  <c r="C2118" i="1"/>
  <c r="A2119" i="1"/>
  <c r="C2119" i="1"/>
  <c r="A2120" i="1"/>
  <c r="C2120" i="1"/>
  <c r="A2121" i="1"/>
  <c r="C2121" i="1"/>
  <c r="A2122" i="1"/>
  <c r="C2122" i="1"/>
  <c r="A2123" i="1"/>
  <c r="C2123" i="1"/>
  <c r="A2124" i="1"/>
  <c r="C2124" i="1"/>
  <c r="A2125" i="1"/>
  <c r="C2125" i="1"/>
  <c r="A2126" i="1"/>
  <c r="C2126" i="1"/>
  <c r="A2127" i="1"/>
  <c r="C2127" i="1"/>
  <c r="A2128" i="1"/>
  <c r="C2128" i="1"/>
  <c r="A2129" i="1"/>
  <c r="C2129" i="1"/>
  <c r="A2130" i="1"/>
  <c r="C2130" i="1"/>
  <c r="A2131" i="1"/>
  <c r="C2131" i="1"/>
  <c r="A2132" i="1"/>
  <c r="C2132" i="1"/>
  <c r="A2133" i="1"/>
  <c r="C2133" i="1"/>
  <c r="A2134" i="1"/>
  <c r="C2134" i="1"/>
  <c r="A2135" i="1"/>
  <c r="C2135" i="1"/>
  <c r="A2136" i="1"/>
  <c r="C2136" i="1"/>
  <c r="A2137" i="1"/>
  <c r="C2137" i="1"/>
  <c r="A2138" i="1"/>
  <c r="C2138" i="1"/>
  <c r="A2139" i="1"/>
  <c r="C2139" i="1"/>
  <c r="A2140" i="1"/>
  <c r="C2140" i="1"/>
  <c r="A2141" i="1"/>
  <c r="C2141" i="1"/>
  <c r="A2142" i="1"/>
  <c r="C2142" i="1"/>
  <c r="A2143" i="1"/>
  <c r="C2143" i="1"/>
  <c r="A2144" i="1"/>
  <c r="C2144" i="1"/>
  <c r="A2145" i="1"/>
  <c r="C2145" i="1"/>
  <c r="A2146" i="1"/>
  <c r="C2146" i="1"/>
  <c r="A2147" i="1"/>
  <c r="C2147" i="1"/>
  <c r="A2148" i="1"/>
  <c r="C2148" i="1"/>
  <c r="A2149" i="1"/>
  <c r="C2149" i="1"/>
  <c r="A2150" i="1"/>
  <c r="C2150" i="1"/>
  <c r="A2151" i="1"/>
  <c r="C2151" i="1"/>
  <c r="A2152" i="1"/>
  <c r="C2152" i="1"/>
  <c r="A2153" i="1"/>
  <c r="C2153" i="1"/>
  <c r="A2154" i="1"/>
  <c r="C2154" i="1"/>
  <c r="A2155" i="1"/>
  <c r="C2155" i="1"/>
  <c r="A2156" i="1"/>
  <c r="C2156" i="1"/>
  <c r="A2157" i="1"/>
  <c r="C2157" i="1"/>
  <c r="A2158" i="1"/>
  <c r="C2158" i="1"/>
  <c r="A2159" i="1"/>
  <c r="C2159" i="1"/>
  <c r="A2160" i="1"/>
  <c r="C2160" i="1"/>
  <c r="A2161" i="1"/>
  <c r="C2161" i="1"/>
  <c r="A2162" i="1"/>
  <c r="C2162" i="1"/>
  <c r="A2163" i="1"/>
  <c r="C2163" i="1"/>
  <c r="A2164" i="1"/>
  <c r="C2164" i="1"/>
  <c r="A2165" i="1"/>
  <c r="C2165" i="1"/>
  <c r="A2166" i="1"/>
  <c r="C2166" i="1"/>
  <c r="A2167" i="1"/>
  <c r="C2167" i="1"/>
  <c r="A2168" i="1"/>
  <c r="C2168" i="1"/>
  <c r="A2169" i="1"/>
  <c r="C2169" i="1"/>
  <c r="A2170" i="1"/>
  <c r="C2170" i="1"/>
  <c r="A2171" i="1"/>
  <c r="C2171" i="1"/>
  <c r="A2172" i="1"/>
  <c r="C2172" i="1"/>
  <c r="A2173" i="1"/>
  <c r="C2173" i="1"/>
  <c r="A2174" i="1"/>
  <c r="C2174" i="1"/>
  <c r="A2175" i="1"/>
  <c r="C2175" i="1"/>
  <c r="A2176" i="1"/>
  <c r="C2176" i="1"/>
  <c r="A2177" i="1"/>
  <c r="C2177" i="1"/>
  <c r="A2178" i="1"/>
  <c r="C2178" i="1"/>
  <c r="A2179" i="1"/>
  <c r="C2179" i="1"/>
  <c r="A2180" i="1"/>
  <c r="C2180" i="1"/>
  <c r="A2181" i="1"/>
  <c r="C2181" i="1"/>
  <c r="A2182" i="1"/>
  <c r="C2182" i="1"/>
  <c r="A2183" i="1"/>
  <c r="C2183" i="1"/>
  <c r="A2184" i="1"/>
  <c r="C2184" i="1"/>
  <c r="A2185" i="1"/>
  <c r="C2185" i="1"/>
  <c r="A2186" i="1"/>
  <c r="C2186" i="1"/>
  <c r="A2187" i="1"/>
  <c r="C2187" i="1"/>
  <c r="A2188" i="1"/>
  <c r="C2188" i="1"/>
  <c r="A2189" i="1"/>
  <c r="C2189" i="1"/>
  <c r="A2190" i="1"/>
  <c r="C2190" i="1"/>
  <c r="A2191" i="1"/>
  <c r="C2191" i="1"/>
  <c r="A2192" i="1"/>
  <c r="C2192" i="1"/>
  <c r="A2193" i="1"/>
  <c r="C2193" i="1"/>
  <c r="A2194" i="1"/>
  <c r="C2194" i="1"/>
  <c r="A2195" i="1"/>
  <c r="C2195" i="1"/>
  <c r="A2196" i="1"/>
  <c r="C2196" i="1"/>
  <c r="A2197" i="1"/>
  <c r="C2197" i="1"/>
  <c r="A2198" i="1"/>
  <c r="C2198" i="1"/>
  <c r="A2199" i="1"/>
  <c r="C2199" i="1"/>
  <c r="A2200" i="1"/>
  <c r="C2200" i="1"/>
  <c r="A2201" i="1"/>
  <c r="C2201" i="1"/>
  <c r="A2202" i="1"/>
  <c r="C2202" i="1"/>
  <c r="A2203" i="1"/>
  <c r="C2203" i="1"/>
  <c r="A2204" i="1"/>
  <c r="C2204" i="1"/>
  <c r="A2205" i="1"/>
  <c r="C2205" i="1"/>
  <c r="A2206" i="1"/>
  <c r="C2206" i="1"/>
  <c r="A2207" i="1"/>
  <c r="C2207" i="1"/>
  <c r="A2208" i="1"/>
  <c r="C2208" i="1"/>
  <c r="A2209" i="1"/>
  <c r="C2209" i="1"/>
  <c r="A2210" i="1"/>
  <c r="C2210" i="1"/>
  <c r="A2211" i="1"/>
  <c r="C2211" i="1"/>
  <c r="A2212" i="1"/>
  <c r="C2212" i="1"/>
  <c r="A2213" i="1"/>
  <c r="C2213" i="1"/>
  <c r="A2214" i="1"/>
  <c r="C2214" i="1"/>
  <c r="A2215" i="1"/>
  <c r="C2215" i="1"/>
  <c r="A2216" i="1"/>
  <c r="C2216" i="1"/>
  <c r="A2217" i="1"/>
  <c r="C2217" i="1"/>
  <c r="A2218" i="1"/>
  <c r="C2218" i="1"/>
  <c r="A2219" i="1"/>
  <c r="C2219" i="1"/>
  <c r="A2220" i="1"/>
  <c r="C2220" i="1"/>
  <c r="A2221" i="1"/>
  <c r="C2221" i="1"/>
  <c r="A2222" i="1"/>
  <c r="C2222" i="1"/>
  <c r="A2223" i="1"/>
  <c r="C2223" i="1"/>
  <c r="A2224" i="1"/>
  <c r="C2224" i="1"/>
  <c r="A2225" i="1"/>
  <c r="C2225" i="1"/>
  <c r="A2226" i="1"/>
  <c r="C2226" i="1"/>
  <c r="A2227" i="1"/>
  <c r="C2227" i="1"/>
  <c r="A2228" i="1"/>
  <c r="C2228" i="1"/>
  <c r="A2229" i="1"/>
  <c r="C2229" i="1"/>
  <c r="A2230" i="1"/>
  <c r="C2230" i="1"/>
  <c r="A2231" i="1"/>
  <c r="C2231" i="1"/>
  <c r="A2232" i="1"/>
  <c r="C2232" i="1"/>
  <c r="A2233" i="1"/>
  <c r="C2233" i="1"/>
  <c r="A2234" i="1"/>
  <c r="C2234" i="1"/>
  <c r="A2235" i="1"/>
  <c r="C2235" i="1"/>
  <c r="A2236" i="1"/>
  <c r="C2236" i="1"/>
  <c r="A2237" i="1"/>
  <c r="C2237" i="1"/>
  <c r="A2238" i="1"/>
  <c r="C2238" i="1"/>
  <c r="A2239" i="1"/>
  <c r="C2239" i="1"/>
  <c r="A2240" i="1"/>
  <c r="C2240" i="1"/>
  <c r="A2241" i="1"/>
  <c r="C2241" i="1"/>
  <c r="A2242" i="1"/>
  <c r="C2242" i="1"/>
  <c r="A2243" i="1"/>
  <c r="C2243" i="1"/>
  <c r="A2244" i="1"/>
  <c r="C2244" i="1"/>
  <c r="A2245" i="1"/>
  <c r="C2245" i="1"/>
  <c r="A2246" i="1"/>
  <c r="C2246" i="1"/>
  <c r="A2247" i="1"/>
  <c r="C2247" i="1"/>
  <c r="A2248" i="1"/>
  <c r="C2248" i="1"/>
  <c r="A2249" i="1"/>
  <c r="C2249" i="1"/>
  <c r="A2250" i="1"/>
  <c r="C2250" i="1"/>
  <c r="A2251" i="1"/>
  <c r="C2251" i="1"/>
  <c r="A2252" i="1"/>
  <c r="C2252" i="1"/>
  <c r="A2253" i="1"/>
  <c r="C2253" i="1"/>
  <c r="A2254" i="1"/>
  <c r="C2254" i="1"/>
  <c r="A2255" i="1"/>
  <c r="C2255" i="1"/>
  <c r="A2256" i="1"/>
  <c r="C2256" i="1"/>
  <c r="A2257" i="1"/>
  <c r="C2257" i="1"/>
  <c r="A2258" i="1"/>
  <c r="C2258" i="1"/>
  <c r="A2259" i="1"/>
  <c r="C2259" i="1"/>
  <c r="A2260" i="1"/>
  <c r="C2260" i="1"/>
  <c r="A2261" i="1"/>
  <c r="C2261" i="1"/>
  <c r="A2262" i="1"/>
  <c r="C2262" i="1"/>
  <c r="A2263" i="1"/>
  <c r="C2263" i="1"/>
  <c r="A2264" i="1"/>
  <c r="C2264" i="1"/>
  <c r="A2265" i="1"/>
  <c r="C2265" i="1"/>
  <c r="A2266" i="1"/>
  <c r="C2266" i="1"/>
  <c r="A2267" i="1"/>
  <c r="C2267" i="1"/>
  <c r="A2268" i="1"/>
  <c r="C2268" i="1"/>
  <c r="A2269" i="1"/>
  <c r="C2269" i="1"/>
  <c r="A2270" i="1"/>
  <c r="C2270" i="1"/>
  <c r="A2271" i="1"/>
  <c r="C2271" i="1"/>
  <c r="A2272" i="1"/>
  <c r="C2272" i="1"/>
  <c r="A2273" i="1"/>
  <c r="C2273" i="1"/>
  <c r="A2274" i="1"/>
  <c r="C2274" i="1"/>
  <c r="A2275" i="1"/>
  <c r="C2275" i="1"/>
  <c r="A2276" i="1"/>
  <c r="C2276" i="1"/>
  <c r="A2277" i="1"/>
  <c r="C2277" i="1"/>
  <c r="A2278" i="1"/>
  <c r="C2278" i="1"/>
  <c r="A2279" i="1"/>
  <c r="C2279" i="1"/>
  <c r="A2280" i="1"/>
  <c r="C2280" i="1"/>
  <c r="A2281" i="1"/>
  <c r="C2281" i="1"/>
  <c r="A2282" i="1"/>
  <c r="C2282" i="1"/>
  <c r="A2283" i="1"/>
  <c r="C2283" i="1"/>
  <c r="A2284" i="1"/>
  <c r="C2284" i="1"/>
  <c r="A2285" i="1"/>
  <c r="C2285" i="1"/>
  <c r="A2286" i="1"/>
  <c r="C2286" i="1"/>
  <c r="A2287" i="1"/>
  <c r="C2287" i="1"/>
  <c r="A2288" i="1"/>
  <c r="C2288" i="1"/>
  <c r="A2289" i="1"/>
  <c r="C2289" i="1"/>
  <c r="A2290" i="1"/>
  <c r="C2290" i="1"/>
  <c r="A2291" i="1"/>
  <c r="C2291" i="1"/>
  <c r="A2292" i="1"/>
  <c r="C2292" i="1"/>
  <c r="A2293" i="1"/>
  <c r="C2293" i="1"/>
  <c r="A2294" i="1"/>
  <c r="C2294" i="1"/>
  <c r="A2295" i="1"/>
  <c r="C2295" i="1"/>
  <c r="A2296" i="1"/>
  <c r="C2296" i="1"/>
  <c r="A2297" i="1"/>
  <c r="C2297" i="1"/>
  <c r="A2298" i="1"/>
  <c r="C2298" i="1"/>
  <c r="A2299" i="1"/>
  <c r="C2299" i="1"/>
  <c r="A2300" i="1"/>
  <c r="C2300" i="1"/>
  <c r="A2301" i="1"/>
  <c r="C2301" i="1"/>
  <c r="A2302" i="1"/>
  <c r="C2302" i="1"/>
  <c r="A2303" i="1"/>
  <c r="C2303" i="1"/>
  <c r="A2304" i="1"/>
  <c r="C2304" i="1"/>
  <c r="A2305" i="1"/>
  <c r="C2305" i="1"/>
  <c r="A2306" i="1"/>
  <c r="C2306" i="1"/>
  <c r="A2307" i="1"/>
  <c r="C2307" i="1"/>
  <c r="A2308" i="1"/>
  <c r="C2308" i="1"/>
  <c r="A2309" i="1"/>
  <c r="C2309" i="1"/>
  <c r="A2310" i="1"/>
  <c r="C2310" i="1"/>
  <c r="A2311" i="1"/>
  <c r="C2311" i="1"/>
  <c r="A2312" i="1"/>
  <c r="C2312" i="1"/>
  <c r="A2313" i="1"/>
  <c r="C2313" i="1"/>
  <c r="A2314" i="1"/>
  <c r="C2314" i="1"/>
  <c r="A2315" i="1"/>
  <c r="C2315" i="1"/>
  <c r="A2316" i="1"/>
  <c r="C2316" i="1"/>
  <c r="A2317" i="1"/>
  <c r="C2317" i="1"/>
  <c r="A2318" i="1"/>
  <c r="C2318" i="1"/>
  <c r="A2319" i="1"/>
  <c r="C2319" i="1"/>
  <c r="A2320" i="1"/>
  <c r="C2320" i="1"/>
  <c r="A2321" i="1"/>
  <c r="C2321" i="1"/>
  <c r="A2322" i="1"/>
  <c r="C2322" i="1"/>
  <c r="A2323" i="1"/>
  <c r="C2323" i="1"/>
  <c r="A2324" i="1"/>
  <c r="C2324" i="1"/>
  <c r="A2325" i="1"/>
  <c r="C2325" i="1"/>
  <c r="A2326" i="1"/>
  <c r="C2326" i="1"/>
  <c r="A2327" i="1"/>
  <c r="C2327" i="1"/>
  <c r="A2328" i="1"/>
  <c r="C2328" i="1"/>
  <c r="A2329" i="1"/>
  <c r="C2329" i="1"/>
  <c r="A2330" i="1"/>
  <c r="C2330" i="1"/>
  <c r="A2331" i="1"/>
  <c r="C2331" i="1"/>
  <c r="A2332" i="1"/>
  <c r="C2332" i="1"/>
  <c r="A2333" i="1"/>
  <c r="C2333" i="1"/>
  <c r="A2334" i="1"/>
  <c r="C2334" i="1"/>
  <c r="A2335" i="1"/>
  <c r="C2335" i="1"/>
  <c r="A2336" i="1"/>
  <c r="C2336" i="1"/>
  <c r="A2337" i="1"/>
  <c r="C2337" i="1"/>
  <c r="A2338" i="1"/>
  <c r="C2338" i="1"/>
  <c r="A2339" i="1"/>
  <c r="C2339" i="1"/>
  <c r="A2340" i="1"/>
  <c r="C2340" i="1"/>
  <c r="A2341" i="1"/>
  <c r="C2341" i="1"/>
  <c r="A2342" i="1"/>
  <c r="C2342" i="1"/>
  <c r="A2343" i="1"/>
  <c r="C2343" i="1"/>
  <c r="A2344" i="1"/>
  <c r="C2344" i="1"/>
  <c r="A2345" i="1"/>
  <c r="C2345" i="1"/>
  <c r="A2346" i="1"/>
  <c r="C2346" i="1"/>
  <c r="A2347" i="1"/>
  <c r="C2347" i="1"/>
  <c r="A2348" i="1"/>
  <c r="C2348" i="1"/>
  <c r="A2349" i="1"/>
  <c r="C2349" i="1"/>
  <c r="A2350" i="1"/>
  <c r="C2350" i="1"/>
  <c r="A2351" i="1"/>
  <c r="C2351" i="1"/>
  <c r="A2352" i="1"/>
  <c r="C2352" i="1"/>
  <c r="A2353" i="1"/>
  <c r="C2353" i="1"/>
  <c r="A2354" i="1"/>
  <c r="C2354" i="1"/>
  <c r="A2355" i="1"/>
  <c r="C2355" i="1"/>
  <c r="A2356" i="1"/>
  <c r="C2356" i="1"/>
  <c r="A2357" i="1"/>
  <c r="C2357" i="1"/>
  <c r="A2358" i="1"/>
  <c r="C2358" i="1"/>
  <c r="A2359" i="1"/>
  <c r="C2359" i="1"/>
  <c r="A2360" i="1"/>
  <c r="C2360" i="1"/>
  <c r="A2361" i="1"/>
  <c r="C2361" i="1"/>
  <c r="A2362" i="1"/>
  <c r="C2362" i="1"/>
  <c r="A2363" i="1"/>
  <c r="C2363" i="1"/>
  <c r="A2364" i="1"/>
  <c r="C2364" i="1"/>
  <c r="A2365" i="1"/>
  <c r="C2365" i="1"/>
  <c r="A2366" i="1"/>
  <c r="C2366" i="1"/>
  <c r="A2367" i="1"/>
  <c r="C2367" i="1"/>
  <c r="A2368" i="1"/>
  <c r="C2368" i="1"/>
  <c r="A2369" i="1"/>
  <c r="C2369" i="1"/>
  <c r="A2370" i="1"/>
  <c r="C2370" i="1"/>
  <c r="A2371" i="1"/>
  <c r="C2371" i="1"/>
  <c r="A2372" i="1"/>
  <c r="C2372" i="1"/>
  <c r="A2373" i="1"/>
  <c r="C2373" i="1"/>
  <c r="A2374" i="1"/>
  <c r="C2374" i="1"/>
  <c r="A2375" i="1"/>
  <c r="C2375" i="1"/>
  <c r="A2376" i="1"/>
  <c r="C2376" i="1"/>
  <c r="A2377" i="1"/>
  <c r="C2377" i="1"/>
  <c r="A2378" i="1"/>
  <c r="C2378" i="1"/>
  <c r="A2379" i="1"/>
  <c r="C2379" i="1"/>
  <c r="A2380" i="1"/>
  <c r="C2380" i="1"/>
  <c r="A2381" i="1"/>
  <c r="C2381" i="1"/>
  <c r="A2382" i="1"/>
  <c r="C2382" i="1"/>
  <c r="A2383" i="1"/>
  <c r="C2383" i="1"/>
  <c r="A2384" i="1"/>
  <c r="C2384" i="1"/>
  <c r="A2385" i="1"/>
  <c r="C2385" i="1"/>
  <c r="A2386" i="1"/>
  <c r="C2386" i="1"/>
  <c r="A2387" i="1"/>
  <c r="C2387" i="1"/>
  <c r="A2388" i="1"/>
  <c r="C2388" i="1"/>
  <c r="A2389" i="1"/>
  <c r="C2389" i="1"/>
  <c r="A2390" i="1"/>
  <c r="C2390" i="1"/>
  <c r="A2391" i="1"/>
  <c r="C2391" i="1"/>
  <c r="A2392" i="1"/>
  <c r="C2392" i="1"/>
  <c r="A2393" i="1"/>
  <c r="C2393" i="1"/>
  <c r="A2394" i="1"/>
  <c r="C2394" i="1"/>
  <c r="A2395" i="1"/>
  <c r="C2395" i="1"/>
  <c r="A2396" i="1"/>
  <c r="C2396" i="1"/>
  <c r="A2397" i="1"/>
  <c r="C2397" i="1"/>
  <c r="A2398" i="1"/>
  <c r="C2398" i="1"/>
  <c r="A2399" i="1"/>
  <c r="C2399" i="1"/>
  <c r="A2400" i="1"/>
  <c r="C2400" i="1"/>
  <c r="A2401" i="1"/>
  <c r="C2401" i="1"/>
  <c r="A2402" i="1"/>
  <c r="C2402" i="1"/>
  <c r="A2403" i="1"/>
  <c r="C2403" i="1"/>
  <c r="A2404" i="1"/>
  <c r="C2404" i="1"/>
  <c r="A2405" i="1"/>
  <c r="C2405" i="1"/>
  <c r="A2406" i="1"/>
  <c r="C2406" i="1"/>
  <c r="A2407" i="1"/>
  <c r="C2407" i="1"/>
  <c r="A2408" i="1"/>
  <c r="C2408" i="1"/>
  <c r="A2409" i="1"/>
  <c r="C2409" i="1"/>
  <c r="A2410" i="1"/>
  <c r="C2410" i="1"/>
  <c r="A2411" i="1"/>
  <c r="C2411" i="1"/>
  <c r="A2412" i="1"/>
  <c r="C2412" i="1"/>
  <c r="A2413" i="1"/>
  <c r="C2413" i="1"/>
  <c r="A2414" i="1"/>
  <c r="C2414" i="1"/>
  <c r="A2415" i="1"/>
  <c r="C2415" i="1"/>
  <c r="A2416" i="1"/>
  <c r="C2416" i="1"/>
  <c r="A2417" i="1"/>
  <c r="C2417" i="1"/>
  <c r="A2418" i="1"/>
  <c r="C2418" i="1"/>
  <c r="A2419" i="1"/>
  <c r="C2419" i="1"/>
  <c r="A2420" i="1"/>
  <c r="C2420" i="1"/>
  <c r="A2421" i="1"/>
  <c r="C2421" i="1"/>
  <c r="A2422" i="1"/>
  <c r="C2422" i="1"/>
  <c r="A2423" i="1"/>
  <c r="C2423" i="1"/>
  <c r="A2424" i="1"/>
  <c r="C2424" i="1"/>
  <c r="A2425" i="1"/>
  <c r="C2425" i="1"/>
  <c r="A2426" i="1"/>
  <c r="C2426" i="1"/>
  <c r="A2427" i="1"/>
  <c r="C2427" i="1"/>
  <c r="A2428" i="1"/>
  <c r="C2428" i="1"/>
  <c r="A2429" i="1"/>
  <c r="C2429" i="1"/>
  <c r="A2430" i="1"/>
  <c r="C2430" i="1"/>
  <c r="A2431" i="1"/>
  <c r="C2431" i="1"/>
  <c r="A2432" i="1"/>
  <c r="C2432" i="1"/>
  <c r="A2433" i="1"/>
  <c r="C2433" i="1"/>
  <c r="A2434" i="1"/>
  <c r="C2434" i="1"/>
  <c r="A2435" i="1"/>
  <c r="C2435" i="1"/>
  <c r="A2436" i="1"/>
  <c r="C2436" i="1"/>
  <c r="A2437" i="1"/>
  <c r="C2437" i="1"/>
  <c r="A2438" i="1"/>
  <c r="C2438" i="1"/>
  <c r="A2439" i="1"/>
  <c r="C2439" i="1"/>
  <c r="A2440" i="1"/>
  <c r="C2440" i="1"/>
  <c r="A2441" i="1"/>
  <c r="C2441" i="1"/>
  <c r="A2442" i="1"/>
  <c r="C2442" i="1"/>
  <c r="A2443" i="1"/>
  <c r="C2443" i="1"/>
  <c r="A2444" i="1"/>
  <c r="C2444" i="1"/>
  <c r="A2445" i="1"/>
  <c r="C2445" i="1"/>
  <c r="A2446" i="1"/>
  <c r="C2446" i="1"/>
  <c r="A2447" i="1"/>
  <c r="C2447" i="1"/>
  <c r="A2448" i="1"/>
  <c r="C2448" i="1"/>
  <c r="A2449" i="1"/>
  <c r="C2449" i="1"/>
  <c r="A2450" i="1"/>
  <c r="C2450" i="1"/>
  <c r="A2451" i="1"/>
  <c r="C2451" i="1"/>
  <c r="A2452" i="1"/>
  <c r="C2452" i="1"/>
  <c r="A2453" i="1"/>
  <c r="C2453" i="1"/>
  <c r="A2454" i="1"/>
  <c r="C2454" i="1"/>
  <c r="A2455" i="1"/>
  <c r="C2455" i="1"/>
  <c r="A2456" i="1"/>
  <c r="C2456" i="1"/>
  <c r="A2457" i="1"/>
  <c r="C2457" i="1"/>
  <c r="A2458" i="1"/>
  <c r="C2458" i="1"/>
  <c r="A2459" i="1"/>
  <c r="C2459" i="1"/>
  <c r="A2460" i="1"/>
  <c r="C2460" i="1"/>
  <c r="A2461" i="1"/>
  <c r="C2461" i="1"/>
  <c r="A2462" i="1"/>
  <c r="C2462" i="1"/>
  <c r="A2463" i="1"/>
  <c r="C2463" i="1"/>
  <c r="A2464" i="1"/>
  <c r="C2464" i="1"/>
  <c r="A2465" i="1"/>
  <c r="C2465" i="1"/>
  <c r="A2466" i="1"/>
  <c r="C2466" i="1"/>
  <c r="A2467" i="1"/>
  <c r="C2467" i="1"/>
  <c r="A2468" i="1"/>
  <c r="C2468" i="1"/>
  <c r="A2469" i="1"/>
  <c r="C2469" i="1"/>
  <c r="A2470" i="1"/>
  <c r="C2470" i="1"/>
  <c r="A2471" i="1"/>
  <c r="C2471" i="1"/>
  <c r="A2472" i="1"/>
  <c r="C2472" i="1"/>
  <c r="A2473" i="1"/>
  <c r="C2473" i="1"/>
  <c r="A2474" i="1"/>
  <c r="C2474" i="1"/>
  <c r="A2475" i="1"/>
  <c r="C2475" i="1"/>
  <c r="A2476" i="1"/>
  <c r="C2476" i="1"/>
  <c r="A2477" i="1"/>
  <c r="C2477" i="1"/>
  <c r="A2478" i="1"/>
  <c r="C2478" i="1"/>
  <c r="A2479" i="1"/>
  <c r="C2479" i="1"/>
  <c r="A2480" i="1"/>
  <c r="C2480" i="1"/>
  <c r="A2481" i="1"/>
  <c r="C2481" i="1"/>
  <c r="A2482" i="1"/>
  <c r="C2482" i="1"/>
  <c r="A2483" i="1"/>
  <c r="C2483" i="1"/>
  <c r="A2484" i="1"/>
  <c r="C2484" i="1"/>
  <c r="A2485" i="1"/>
  <c r="C2485" i="1"/>
  <c r="A2486" i="1"/>
  <c r="C2486" i="1"/>
  <c r="A2487" i="1"/>
  <c r="C2487" i="1"/>
  <c r="A2488" i="1"/>
  <c r="C2488" i="1"/>
  <c r="A2489" i="1"/>
  <c r="C2489" i="1"/>
  <c r="A2490" i="1"/>
  <c r="C2490" i="1"/>
  <c r="A2491" i="1"/>
  <c r="C2491" i="1"/>
  <c r="A2492" i="1"/>
  <c r="C2492" i="1"/>
  <c r="A2493" i="1"/>
  <c r="C2493" i="1"/>
  <c r="A2494" i="1"/>
  <c r="C2494" i="1"/>
  <c r="A2495" i="1"/>
  <c r="C2495" i="1"/>
  <c r="A2496" i="1"/>
  <c r="C2496" i="1"/>
  <c r="A2497" i="1"/>
  <c r="C2497" i="1"/>
  <c r="A2498" i="1"/>
  <c r="C2498" i="1"/>
  <c r="A2499" i="1"/>
  <c r="C2499" i="1"/>
  <c r="A2500" i="1"/>
  <c r="C2500" i="1"/>
  <c r="A2501" i="1"/>
  <c r="C2501" i="1"/>
  <c r="A2502" i="1"/>
  <c r="C2502" i="1"/>
  <c r="A2503" i="1"/>
  <c r="C2503" i="1"/>
  <c r="A2504" i="1"/>
  <c r="C2504" i="1"/>
  <c r="A2505" i="1"/>
  <c r="C2505" i="1"/>
  <c r="A2506" i="1"/>
  <c r="C2506" i="1"/>
  <c r="A2507" i="1"/>
  <c r="C2507" i="1"/>
  <c r="A2508" i="1"/>
  <c r="C2508" i="1"/>
  <c r="A2509" i="1"/>
  <c r="C2509" i="1"/>
  <c r="A2510" i="1"/>
  <c r="C2510" i="1"/>
  <c r="A2511" i="1"/>
  <c r="C2511" i="1"/>
  <c r="A2512" i="1"/>
  <c r="C2512" i="1"/>
  <c r="A2513" i="1"/>
  <c r="C2513" i="1"/>
  <c r="A2514" i="1"/>
  <c r="C2514" i="1"/>
  <c r="A2515" i="1"/>
  <c r="C2515" i="1"/>
  <c r="A2516" i="1"/>
  <c r="C2516" i="1"/>
  <c r="A2517" i="1"/>
  <c r="C2517" i="1"/>
  <c r="A2518" i="1"/>
  <c r="C2518" i="1"/>
  <c r="A2519" i="1"/>
  <c r="C2519" i="1"/>
  <c r="A2520" i="1"/>
  <c r="C2520" i="1"/>
  <c r="A2521" i="1"/>
  <c r="C2521" i="1"/>
  <c r="A2522" i="1"/>
  <c r="C2522" i="1"/>
  <c r="A2523" i="1"/>
  <c r="C2523" i="1"/>
  <c r="A2524" i="1"/>
  <c r="C2524" i="1"/>
  <c r="A2525" i="1"/>
  <c r="C2525" i="1"/>
  <c r="A2526" i="1"/>
  <c r="C2526" i="1"/>
  <c r="A2527" i="1"/>
  <c r="C2527" i="1"/>
  <c r="A2528" i="1"/>
  <c r="C2528" i="1"/>
  <c r="A2529" i="1"/>
  <c r="C2529" i="1"/>
  <c r="A2530" i="1"/>
  <c r="C2530" i="1"/>
  <c r="A2531" i="1"/>
  <c r="C2531" i="1"/>
  <c r="A2532" i="1"/>
  <c r="C2532" i="1"/>
  <c r="A2533" i="1"/>
  <c r="C2533" i="1"/>
  <c r="A2534" i="1"/>
  <c r="C2534" i="1"/>
  <c r="A2535" i="1"/>
  <c r="C2535" i="1"/>
  <c r="A2536" i="1"/>
  <c r="C2536" i="1"/>
  <c r="A2537" i="1"/>
  <c r="C2537" i="1"/>
  <c r="A2538" i="1"/>
  <c r="C2538" i="1"/>
  <c r="A2539" i="1"/>
  <c r="C2539" i="1"/>
  <c r="A2540" i="1"/>
  <c r="C2540" i="1"/>
  <c r="A2541" i="1"/>
  <c r="C2541" i="1"/>
  <c r="A2542" i="1"/>
  <c r="C2542" i="1"/>
  <c r="A2543" i="1"/>
  <c r="C2543" i="1"/>
  <c r="A2544" i="1"/>
  <c r="C2544" i="1"/>
  <c r="A2545" i="1"/>
  <c r="C2545" i="1"/>
  <c r="A2546" i="1"/>
  <c r="C2546" i="1"/>
  <c r="A2547" i="1"/>
  <c r="C2547" i="1"/>
  <c r="A2548" i="1"/>
  <c r="C2548" i="1"/>
  <c r="A2549" i="1"/>
  <c r="C2549" i="1"/>
  <c r="A2550" i="1"/>
  <c r="C2550" i="1"/>
  <c r="A2551" i="1"/>
  <c r="C2551" i="1"/>
  <c r="A2552" i="1"/>
  <c r="C2552" i="1"/>
  <c r="A2553" i="1"/>
  <c r="C2553" i="1"/>
  <c r="A2554" i="1"/>
  <c r="C2554" i="1"/>
  <c r="A2555" i="1"/>
  <c r="C2555" i="1"/>
  <c r="A2556" i="1"/>
  <c r="C2556" i="1"/>
  <c r="A2557" i="1"/>
  <c r="C2557" i="1"/>
  <c r="A2558" i="1"/>
  <c r="C2558" i="1"/>
  <c r="A2559" i="1"/>
  <c r="C2559" i="1"/>
  <c r="A2560" i="1"/>
  <c r="C2560" i="1"/>
  <c r="A2561" i="1"/>
  <c r="C2561" i="1"/>
  <c r="A2562" i="1"/>
  <c r="C2562" i="1"/>
  <c r="A2563" i="1"/>
  <c r="C2563" i="1"/>
  <c r="A2564" i="1"/>
  <c r="C2564" i="1"/>
  <c r="A2565" i="1"/>
  <c r="C2565" i="1"/>
  <c r="A2566" i="1"/>
  <c r="C2566" i="1"/>
  <c r="A2567" i="1"/>
  <c r="C2567" i="1"/>
  <c r="A2568" i="1"/>
  <c r="C2568" i="1"/>
  <c r="A2569" i="1"/>
  <c r="C2569" i="1"/>
  <c r="A2570" i="1"/>
  <c r="C2570" i="1"/>
  <c r="A2571" i="1"/>
  <c r="C2571" i="1"/>
  <c r="A2572" i="1"/>
  <c r="C2572" i="1"/>
  <c r="A2573" i="1"/>
  <c r="C2573" i="1"/>
  <c r="A2574" i="1"/>
  <c r="C2574" i="1"/>
  <c r="A2575" i="1"/>
  <c r="C2575" i="1"/>
  <c r="A2576" i="1"/>
  <c r="C2576" i="1"/>
  <c r="A2577" i="1"/>
  <c r="C2577" i="1"/>
  <c r="A2578" i="1"/>
  <c r="C2578" i="1"/>
  <c r="A2579" i="1"/>
  <c r="C2579" i="1"/>
  <c r="A2580" i="1"/>
  <c r="C2580" i="1"/>
  <c r="A2581" i="1"/>
  <c r="C2581" i="1"/>
  <c r="A2582" i="1"/>
  <c r="C2582" i="1"/>
  <c r="A2583" i="1"/>
  <c r="C2583" i="1"/>
  <c r="A2584" i="1"/>
  <c r="C2584" i="1"/>
  <c r="A2585" i="1"/>
  <c r="C2585" i="1"/>
  <c r="A2586" i="1"/>
  <c r="C2586" i="1"/>
  <c r="A2587" i="1"/>
  <c r="C2587" i="1"/>
  <c r="A2588" i="1"/>
  <c r="C2588" i="1"/>
  <c r="A2589" i="1"/>
  <c r="C2589" i="1"/>
  <c r="A2590" i="1"/>
  <c r="C2590" i="1"/>
  <c r="A2591" i="1"/>
  <c r="C2591" i="1"/>
  <c r="A2592" i="1"/>
  <c r="C2592" i="1"/>
  <c r="A2593" i="1"/>
  <c r="C2593" i="1"/>
  <c r="A2594" i="1"/>
  <c r="C2594" i="1"/>
  <c r="A2595" i="1"/>
  <c r="C2595" i="1"/>
  <c r="A2596" i="1"/>
  <c r="C2596" i="1"/>
  <c r="A2597" i="1"/>
  <c r="C2597" i="1"/>
  <c r="A2598" i="1"/>
  <c r="C2598" i="1"/>
  <c r="A2599" i="1"/>
  <c r="C2599" i="1"/>
  <c r="A2600" i="1"/>
  <c r="C2600" i="1"/>
  <c r="A2601" i="1"/>
  <c r="C2601" i="1"/>
  <c r="A2602" i="1"/>
  <c r="C2602" i="1"/>
  <c r="A2603" i="1"/>
  <c r="C2603" i="1"/>
  <c r="A2604" i="1"/>
  <c r="C2604" i="1"/>
  <c r="A2605" i="1"/>
  <c r="C2605" i="1"/>
  <c r="A2606" i="1"/>
  <c r="C2606" i="1"/>
  <c r="A2607" i="1"/>
  <c r="C2607" i="1"/>
  <c r="A2608" i="1"/>
  <c r="C2608" i="1"/>
  <c r="A2609" i="1"/>
  <c r="C2609" i="1"/>
  <c r="A2610" i="1"/>
  <c r="C2610" i="1"/>
  <c r="A2611" i="1"/>
  <c r="C2611" i="1"/>
  <c r="A2612" i="1"/>
  <c r="C2612" i="1"/>
  <c r="A2613" i="1"/>
  <c r="C2613" i="1"/>
  <c r="A2614" i="1"/>
  <c r="C2614" i="1"/>
  <c r="A2615" i="1"/>
  <c r="C2615" i="1"/>
  <c r="A2616" i="1"/>
  <c r="C2616" i="1"/>
  <c r="A2617" i="1"/>
  <c r="C2617" i="1"/>
  <c r="A2618" i="1"/>
  <c r="C2618" i="1"/>
  <c r="A2619" i="1"/>
  <c r="C2619" i="1"/>
  <c r="A2620" i="1"/>
  <c r="C2620" i="1"/>
  <c r="A2621" i="1"/>
  <c r="C2621" i="1"/>
  <c r="A2622" i="1"/>
  <c r="C2622" i="1"/>
  <c r="A2623" i="1"/>
  <c r="C2623" i="1"/>
  <c r="A2624" i="1"/>
  <c r="C2624" i="1"/>
  <c r="A2625" i="1"/>
  <c r="C2625" i="1"/>
  <c r="A2626" i="1"/>
  <c r="C2626" i="1"/>
  <c r="A2627" i="1"/>
  <c r="C2627" i="1"/>
  <c r="A2628" i="1"/>
  <c r="C2628" i="1"/>
  <c r="A2629" i="1"/>
  <c r="C2629" i="1"/>
  <c r="A2630" i="1"/>
  <c r="C2630" i="1"/>
  <c r="A2631" i="1"/>
  <c r="C2631" i="1"/>
  <c r="A2632" i="1"/>
  <c r="C2632" i="1"/>
  <c r="A2633" i="1"/>
  <c r="C2633" i="1"/>
  <c r="A2634" i="1"/>
  <c r="C2634" i="1"/>
  <c r="A2635" i="1"/>
  <c r="C2635" i="1"/>
  <c r="A2636" i="1"/>
  <c r="C2636" i="1"/>
  <c r="A2637" i="1"/>
  <c r="C2637" i="1"/>
  <c r="A2638" i="1"/>
  <c r="C2638" i="1"/>
  <c r="A2639" i="1"/>
  <c r="C2639" i="1"/>
  <c r="A2640" i="1"/>
  <c r="C2640" i="1"/>
  <c r="A2641" i="1"/>
  <c r="C2641" i="1"/>
  <c r="A2642" i="1"/>
  <c r="C2642" i="1"/>
  <c r="A2643" i="1"/>
  <c r="C2643" i="1"/>
  <c r="A2644" i="1"/>
  <c r="C2644" i="1"/>
  <c r="A2645" i="1"/>
  <c r="C2645" i="1"/>
  <c r="A2646" i="1"/>
  <c r="C2646" i="1"/>
  <c r="A2647" i="1"/>
  <c r="C2647" i="1"/>
  <c r="A2648" i="1"/>
  <c r="C2648" i="1"/>
  <c r="A2649" i="1"/>
  <c r="C2649" i="1"/>
  <c r="A2650" i="1"/>
  <c r="C2650" i="1"/>
  <c r="A2651" i="1"/>
  <c r="C2651" i="1"/>
  <c r="A2652" i="1"/>
  <c r="C2652" i="1"/>
  <c r="A2653" i="1"/>
  <c r="C2653" i="1"/>
  <c r="A2654" i="1"/>
  <c r="C2654" i="1"/>
  <c r="A2655" i="1"/>
  <c r="C2655" i="1"/>
  <c r="A2656" i="1"/>
  <c r="C2656" i="1"/>
  <c r="A2657" i="1"/>
  <c r="C2657" i="1"/>
  <c r="A2658" i="1"/>
  <c r="C2658" i="1"/>
  <c r="A2659" i="1"/>
  <c r="C2659" i="1"/>
  <c r="A2660" i="1"/>
  <c r="C2660" i="1"/>
  <c r="A2661" i="1"/>
  <c r="C2661" i="1"/>
  <c r="A2662" i="1"/>
  <c r="C2662" i="1"/>
  <c r="A2663" i="1"/>
  <c r="C2663" i="1"/>
  <c r="A2664" i="1"/>
  <c r="C2664" i="1"/>
  <c r="A2665" i="1"/>
  <c r="C2665" i="1"/>
  <c r="A2666" i="1"/>
  <c r="C2666" i="1"/>
  <c r="A2667" i="1"/>
  <c r="C2667" i="1"/>
  <c r="A2668" i="1"/>
  <c r="C2668" i="1"/>
  <c r="A2669" i="1"/>
  <c r="C2669" i="1"/>
  <c r="A2670" i="1"/>
  <c r="C2670" i="1"/>
  <c r="A2671" i="1"/>
  <c r="C2671" i="1"/>
  <c r="A2672" i="1"/>
  <c r="C2672" i="1"/>
  <c r="A2673" i="1"/>
  <c r="C2673" i="1"/>
  <c r="A2674" i="1"/>
  <c r="C2674" i="1"/>
  <c r="A2675" i="1"/>
  <c r="C2675" i="1"/>
  <c r="A2676" i="1"/>
  <c r="C2676" i="1"/>
  <c r="A2677" i="1"/>
  <c r="C2677" i="1"/>
  <c r="A2678" i="1"/>
  <c r="C2678" i="1"/>
  <c r="A2679" i="1"/>
  <c r="C2679" i="1"/>
  <c r="A2680" i="1"/>
  <c r="C2680" i="1"/>
  <c r="A2681" i="1"/>
  <c r="C2681" i="1"/>
  <c r="A2682" i="1"/>
  <c r="C2682" i="1"/>
  <c r="A2683" i="1"/>
  <c r="C2683" i="1"/>
  <c r="A2684" i="1"/>
  <c r="C2684" i="1"/>
  <c r="A2685" i="1"/>
  <c r="C2685" i="1"/>
  <c r="A2686" i="1"/>
  <c r="C2686" i="1"/>
  <c r="A2687" i="1"/>
  <c r="C2687" i="1"/>
  <c r="A2688" i="1"/>
  <c r="C2688" i="1"/>
  <c r="A2689" i="1"/>
  <c r="C2689" i="1"/>
  <c r="A2690" i="1"/>
  <c r="C2690" i="1"/>
  <c r="A2691" i="1"/>
  <c r="C2691" i="1"/>
  <c r="A2692" i="1"/>
  <c r="C2692" i="1"/>
  <c r="A2693" i="1"/>
  <c r="C2693" i="1"/>
  <c r="A2694" i="1"/>
  <c r="C2694" i="1"/>
  <c r="A2695" i="1"/>
  <c r="C2695" i="1"/>
  <c r="A2696" i="1"/>
  <c r="C2696" i="1"/>
  <c r="A2697" i="1"/>
  <c r="C2697" i="1"/>
  <c r="A2698" i="1"/>
  <c r="C2698" i="1"/>
  <c r="A2699" i="1"/>
  <c r="C2699" i="1"/>
  <c r="A2700" i="1"/>
  <c r="C2700" i="1"/>
  <c r="A2701" i="1"/>
  <c r="C2701" i="1"/>
  <c r="A2702" i="1"/>
  <c r="C2702" i="1"/>
  <c r="A2703" i="1"/>
  <c r="C2703" i="1"/>
  <c r="A2704" i="1"/>
  <c r="C2704" i="1"/>
  <c r="A2705" i="1"/>
  <c r="C2705" i="1"/>
  <c r="A2706" i="1"/>
  <c r="C2706" i="1"/>
  <c r="A2707" i="1"/>
  <c r="C2707" i="1"/>
  <c r="A2708" i="1"/>
  <c r="C2708" i="1"/>
  <c r="A2709" i="1"/>
  <c r="C2709" i="1"/>
  <c r="A2710" i="1"/>
  <c r="C2710" i="1"/>
  <c r="A2711" i="1"/>
  <c r="C2711" i="1"/>
  <c r="A2712" i="1"/>
  <c r="C2712" i="1"/>
  <c r="A2713" i="1"/>
  <c r="C2713" i="1"/>
  <c r="A2714" i="1"/>
  <c r="C2714" i="1"/>
  <c r="A2715" i="1"/>
  <c r="C2715" i="1"/>
  <c r="A2716" i="1"/>
  <c r="C2716" i="1"/>
  <c r="A2717" i="1"/>
  <c r="C2717" i="1"/>
  <c r="A2718" i="1"/>
  <c r="C2718" i="1"/>
  <c r="A2719" i="1"/>
  <c r="C2719" i="1"/>
  <c r="A2720" i="1"/>
  <c r="C2720" i="1"/>
  <c r="A2721" i="1"/>
  <c r="C2721" i="1"/>
  <c r="A2722" i="1"/>
  <c r="C2722" i="1"/>
  <c r="A2723" i="1"/>
  <c r="C2723" i="1"/>
  <c r="A2724" i="1"/>
  <c r="C2724" i="1"/>
  <c r="A2725" i="1"/>
  <c r="C2725" i="1"/>
  <c r="A2726" i="1"/>
  <c r="C2726" i="1"/>
  <c r="A2727" i="1"/>
  <c r="C2727" i="1"/>
  <c r="A2728" i="1"/>
  <c r="C2728" i="1"/>
  <c r="A2729" i="1"/>
  <c r="C2729" i="1"/>
  <c r="A2730" i="1"/>
  <c r="C2730" i="1"/>
  <c r="A2731" i="1"/>
  <c r="C2731" i="1"/>
  <c r="A2732" i="1"/>
  <c r="C2732" i="1"/>
  <c r="A2733" i="1"/>
  <c r="C2733" i="1"/>
  <c r="A2734" i="1"/>
  <c r="C2734" i="1"/>
  <c r="A2735" i="1"/>
  <c r="C2735" i="1"/>
  <c r="A2736" i="1"/>
  <c r="C2736" i="1"/>
  <c r="A2737" i="1"/>
  <c r="C2737" i="1"/>
  <c r="A2738" i="1"/>
  <c r="C2738" i="1"/>
  <c r="A2739" i="1"/>
  <c r="C2739" i="1"/>
  <c r="A2740" i="1"/>
  <c r="C2740" i="1"/>
  <c r="A2741" i="1"/>
  <c r="C2741" i="1"/>
  <c r="A2742" i="1"/>
  <c r="C2742" i="1"/>
  <c r="A2743" i="1"/>
  <c r="C2743" i="1"/>
  <c r="A2744" i="1"/>
  <c r="C2744" i="1"/>
  <c r="A2745" i="1"/>
  <c r="C2745" i="1"/>
  <c r="A2746" i="1"/>
  <c r="C2746" i="1"/>
  <c r="A2747" i="1"/>
  <c r="C2747" i="1"/>
  <c r="A2748" i="1"/>
  <c r="C2748" i="1"/>
  <c r="A2749" i="1"/>
  <c r="C2749" i="1"/>
  <c r="A2750" i="1"/>
  <c r="C2750" i="1"/>
  <c r="A2751" i="1"/>
  <c r="C2751" i="1"/>
  <c r="A2752" i="1"/>
  <c r="C2752" i="1"/>
  <c r="A2753" i="1"/>
  <c r="C2753" i="1"/>
  <c r="A2754" i="1"/>
  <c r="C2754" i="1"/>
  <c r="A2755" i="1"/>
  <c r="C2755" i="1"/>
  <c r="A2756" i="1"/>
  <c r="C2756" i="1"/>
  <c r="A2757" i="1"/>
  <c r="C2757" i="1"/>
  <c r="A2758" i="1"/>
  <c r="C2758" i="1"/>
  <c r="A2759" i="1"/>
  <c r="C2759" i="1"/>
  <c r="A2760" i="1"/>
  <c r="C2760" i="1"/>
  <c r="A2761" i="1"/>
  <c r="C2761" i="1"/>
  <c r="A2762" i="1"/>
  <c r="C2762" i="1"/>
  <c r="A2763" i="1"/>
  <c r="C2763" i="1"/>
  <c r="A2764" i="1"/>
  <c r="C2764" i="1"/>
  <c r="A2765" i="1"/>
  <c r="C2765" i="1"/>
  <c r="A2766" i="1"/>
  <c r="C2766" i="1"/>
  <c r="A2767" i="1"/>
  <c r="C2767" i="1"/>
  <c r="A2768" i="1"/>
  <c r="C2768" i="1"/>
  <c r="A2769" i="1"/>
  <c r="C2769" i="1"/>
  <c r="A2770" i="1"/>
  <c r="C2770" i="1"/>
  <c r="A2771" i="1"/>
  <c r="C2771" i="1"/>
  <c r="A2772" i="1"/>
  <c r="C2772" i="1"/>
  <c r="A2773" i="1"/>
  <c r="C2773" i="1"/>
  <c r="A2774" i="1"/>
  <c r="C2774" i="1"/>
  <c r="A2775" i="1"/>
  <c r="C2775" i="1"/>
  <c r="A2776" i="1"/>
  <c r="C2776" i="1"/>
  <c r="A2777" i="1"/>
  <c r="C2777" i="1"/>
  <c r="A2778" i="1"/>
  <c r="C2778" i="1"/>
  <c r="A2779" i="1"/>
  <c r="C2779" i="1"/>
  <c r="A2780" i="1"/>
  <c r="C2780" i="1"/>
  <c r="A2781" i="1"/>
  <c r="C2781" i="1"/>
  <c r="A2782" i="1"/>
  <c r="C2782" i="1"/>
  <c r="A2783" i="1"/>
  <c r="C2783" i="1"/>
  <c r="A2784" i="1"/>
  <c r="C2784" i="1"/>
  <c r="A2785" i="1"/>
  <c r="C2785" i="1"/>
  <c r="A2786" i="1"/>
  <c r="C2786" i="1"/>
  <c r="A2787" i="1"/>
  <c r="C2787" i="1"/>
  <c r="A2788" i="1"/>
  <c r="C2788" i="1"/>
  <c r="A2789" i="1"/>
  <c r="C2789" i="1"/>
  <c r="A2790" i="1"/>
  <c r="C2790" i="1"/>
  <c r="A2791" i="1"/>
  <c r="C2791" i="1"/>
  <c r="A2792" i="1"/>
  <c r="C2792" i="1"/>
  <c r="A2793" i="1"/>
  <c r="C2793" i="1"/>
  <c r="A2794" i="1"/>
  <c r="C2794" i="1"/>
  <c r="A2795" i="1"/>
  <c r="C2795" i="1"/>
  <c r="A2796" i="1"/>
  <c r="C2796" i="1"/>
  <c r="A2797" i="1"/>
  <c r="C2797" i="1"/>
  <c r="A2798" i="1"/>
  <c r="C2798" i="1"/>
  <c r="A2799" i="1"/>
  <c r="C2799" i="1"/>
  <c r="A2800" i="1"/>
  <c r="C2800" i="1"/>
  <c r="A2801" i="1"/>
  <c r="C2801" i="1"/>
  <c r="A2802" i="1"/>
  <c r="C2802" i="1"/>
  <c r="A2803" i="1"/>
  <c r="C2803" i="1"/>
  <c r="A2804" i="1"/>
  <c r="C2804" i="1"/>
  <c r="A2805" i="1"/>
  <c r="C2805" i="1"/>
  <c r="A2806" i="1"/>
  <c r="C2806" i="1"/>
  <c r="A2807" i="1"/>
  <c r="C2807" i="1"/>
  <c r="A2808" i="1"/>
  <c r="C2808" i="1"/>
  <c r="A2809" i="1"/>
  <c r="C2809" i="1"/>
  <c r="A2810" i="1"/>
  <c r="C2810" i="1"/>
  <c r="A2811" i="1"/>
  <c r="C2811" i="1"/>
  <c r="A2812" i="1"/>
  <c r="C2812" i="1"/>
  <c r="A2813" i="1"/>
  <c r="C2813" i="1"/>
  <c r="A2814" i="1"/>
  <c r="C2814" i="1"/>
  <c r="A2815" i="1"/>
  <c r="C2815" i="1"/>
  <c r="A2816" i="1"/>
  <c r="C2816" i="1"/>
  <c r="A2817" i="1"/>
  <c r="C2817" i="1"/>
  <c r="A2818" i="1"/>
  <c r="C2818" i="1"/>
  <c r="A2819" i="1"/>
  <c r="C2819" i="1"/>
  <c r="A2820" i="1"/>
  <c r="C2820" i="1"/>
  <c r="A2821" i="1"/>
  <c r="C2821" i="1"/>
  <c r="A2822" i="1"/>
  <c r="C2822" i="1"/>
  <c r="A2823" i="1"/>
  <c r="C2823" i="1"/>
  <c r="A2824" i="1"/>
  <c r="C2824" i="1"/>
  <c r="A2825" i="1"/>
  <c r="C2825" i="1"/>
  <c r="A2826" i="1"/>
  <c r="C2826" i="1"/>
  <c r="A2827" i="1"/>
  <c r="C2827" i="1"/>
  <c r="A2828" i="1"/>
  <c r="C2828" i="1"/>
  <c r="A2829" i="1"/>
  <c r="C2829" i="1"/>
  <c r="A2830" i="1"/>
  <c r="C2830" i="1"/>
  <c r="A2831" i="1"/>
  <c r="C2831" i="1"/>
  <c r="A2832" i="1"/>
  <c r="C2832" i="1"/>
  <c r="A2833" i="1"/>
  <c r="C2833" i="1"/>
  <c r="A2834" i="1"/>
  <c r="C2834" i="1"/>
  <c r="A2835" i="1"/>
  <c r="C2835" i="1"/>
  <c r="A2836" i="1"/>
  <c r="C2836" i="1"/>
  <c r="A2837" i="1"/>
  <c r="C2837" i="1"/>
  <c r="A2838" i="1"/>
  <c r="C2838" i="1"/>
  <c r="A2839" i="1"/>
  <c r="C2839" i="1"/>
  <c r="A2840" i="1"/>
  <c r="C2840" i="1"/>
  <c r="A2841" i="1"/>
  <c r="C2841" i="1"/>
  <c r="A2842" i="1"/>
  <c r="C2842" i="1"/>
  <c r="A2843" i="1"/>
  <c r="C2843" i="1"/>
  <c r="A2844" i="1"/>
  <c r="C2844" i="1"/>
  <c r="A2845" i="1"/>
  <c r="C2845" i="1"/>
  <c r="A2846" i="1"/>
  <c r="C2846" i="1"/>
  <c r="A2847" i="1"/>
  <c r="C2847" i="1"/>
  <c r="A2848" i="1"/>
  <c r="C2848" i="1"/>
  <c r="A2849" i="1"/>
  <c r="C2849" i="1"/>
  <c r="A2850" i="1"/>
  <c r="C2850" i="1"/>
  <c r="A2851" i="1"/>
  <c r="C2851" i="1"/>
  <c r="A2852" i="1"/>
  <c r="C2852" i="1"/>
  <c r="A2853" i="1"/>
  <c r="C2853" i="1"/>
  <c r="A2854" i="1"/>
  <c r="C2854" i="1"/>
  <c r="A2855" i="1"/>
  <c r="C2855" i="1"/>
  <c r="A2856" i="1"/>
  <c r="C2856" i="1"/>
  <c r="A2857" i="1"/>
  <c r="C2857" i="1"/>
  <c r="A2858" i="1"/>
  <c r="C2858" i="1"/>
  <c r="A2859" i="1"/>
  <c r="C2859" i="1"/>
  <c r="A2860" i="1"/>
  <c r="C2860" i="1"/>
  <c r="A2861" i="1"/>
  <c r="C2861" i="1"/>
  <c r="A2862" i="1"/>
  <c r="C2862" i="1"/>
  <c r="A2863" i="1"/>
  <c r="C2863" i="1"/>
  <c r="A2864" i="1"/>
  <c r="C2864" i="1"/>
  <c r="A2865" i="1"/>
  <c r="C2865" i="1"/>
  <c r="A2866" i="1"/>
  <c r="C2866" i="1"/>
  <c r="A2867" i="1"/>
  <c r="C2867" i="1"/>
  <c r="A2868" i="1"/>
  <c r="C2868" i="1"/>
  <c r="A2869" i="1"/>
  <c r="C2869" i="1"/>
  <c r="A2870" i="1"/>
  <c r="C2870" i="1"/>
  <c r="A2871" i="1"/>
  <c r="C2871" i="1"/>
  <c r="A2872" i="1"/>
  <c r="C2872" i="1"/>
  <c r="A2873" i="1"/>
  <c r="C2873" i="1"/>
  <c r="A2874" i="1"/>
  <c r="C2874" i="1"/>
  <c r="A2875" i="1"/>
  <c r="C2875" i="1"/>
  <c r="A2876" i="1"/>
  <c r="C2876" i="1"/>
  <c r="A2877" i="1"/>
  <c r="C2877" i="1"/>
  <c r="A2878" i="1"/>
  <c r="C2878" i="1"/>
  <c r="A2879" i="1"/>
  <c r="C2879" i="1"/>
  <c r="A2880" i="1"/>
  <c r="C2880" i="1"/>
  <c r="A2881" i="1"/>
  <c r="C2881" i="1"/>
  <c r="A2882" i="1"/>
  <c r="C2882" i="1"/>
  <c r="A2883" i="1"/>
  <c r="C2883" i="1"/>
  <c r="A2884" i="1"/>
  <c r="C2884" i="1"/>
  <c r="A2885" i="1"/>
  <c r="C2885" i="1"/>
  <c r="A2886" i="1"/>
  <c r="C2886" i="1"/>
  <c r="A2887" i="1"/>
  <c r="C2887" i="1"/>
  <c r="A2888" i="1"/>
  <c r="C2888" i="1"/>
  <c r="A2889" i="1"/>
  <c r="C2889" i="1"/>
  <c r="A2890" i="1"/>
  <c r="C2890" i="1"/>
  <c r="A2891" i="1"/>
  <c r="C2891" i="1"/>
  <c r="A2892" i="1"/>
  <c r="C2892" i="1"/>
  <c r="A2893" i="1"/>
  <c r="C2893" i="1"/>
  <c r="A2894" i="1"/>
  <c r="C2894" i="1"/>
  <c r="A2895" i="1"/>
  <c r="C2895" i="1"/>
  <c r="A2896" i="1"/>
  <c r="C2896" i="1"/>
  <c r="A2897" i="1"/>
  <c r="C2897" i="1"/>
  <c r="A2898" i="1"/>
  <c r="C2898" i="1"/>
  <c r="A2899" i="1"/>
  <c r="C2899" i="1"/>
  <c r="A2900" i="1"/>
  <c r="C2900" i="1"/>
  <c r="A2901" i="1"/>
  <c r="C2901" i="1"/>
  <c r="A2902" i="1"/>
  <c r="C2902" i="1"/>
  <c r="A2903" i="1"/>
  <c r="C2903" i="1"/>
  <c r="A2904" i="1"/>
  <c r="C2904" i="1"/>
  <c r="A2905" i="1"/>
  <c r="C2905" i="1"/>
  <c r="A2906" i="1"/>
  <c r="C2906" i="1"/>
  <c r="A2907" i="1"/>
  <c r="C2907" i="1"/>
  <c r="A2908" i="1"/>
  <c r="C2908" i="1"/>
  <c r="A2909" i="1"/>
  <c r="C2909" i="1"/>
  <c r="A2910" i="1"/>
  <c r="C2910" i="1"/>
  <c r="A2911" i="1"/>
  <c r="C2911" i="1"/>
  <c r="A2912" i="1"/>
  <c r="C2912" i="1"/>
  <c r="A2913" i="1"/>
  <c r="C2913" i="1"/>
  <c r="A2914" i="1"/>
  <c r="C2914" i="1"/>
  <c r="A2915" i="1"/>
  <c r="C2915" i="1"/>
  <c r="A2916" i="1"/>
  <c r="C2916" i="1"/>
  <c r="A2917" i="1"/>
  <c r="C2917" i="1"/>
  <c r="A2918" i="1"/>
  <c r="C2918" i="1"/>
  <c r="A2919" i="1"/>
  <c r="C2919" i="1"/>
  <c r="A2920" i="1"/>
  <c r="C2920" i="1"/>
  <c r="A2921" i="1"/>
  <c r="C2921" i="1"/>
  <c r="A2922" i="1"/>
  <c r="C2922" i="1"/>
  <c r="A2923" i="1"/>
  <c r="C2923" i="1"/>
  <c r="A2924" i="1"/>
  <c r="C2924" i="1"/>
  <c r="A2925" i="1"/>
  <c r="C2925" i="1"/>
  <c r="A2926" i="1"/>
  <c r="C2926" i="1"/>
  <c r="A2927" i="1"/>
  <c r="C2927" i="1"/>
  <c r="A2928" i="1"/>
  <c r="C2928" i="1"/>
  <c r="A2929" i="1"/>
  <c r="C2929" i="1"/>
  <c r="A2930" i="1"/>
  <c r="C2930" i="1"/>
  <c r="A2931" i="1"/>
  <c r="C2931" i="1"/>
  <c r="A2932" i="1"/>
  <c r="C2932" i="1"/>
  <c r="A2933" i="1"/>
  <c r="C2933" i="1"/>
  <c r="A2934" i="1"/>
  <c r="C2934" i="1"/>
  <c r="A2935" i="1"/>
  <c r="C2935" i="1"/>
  <c r="A2936" i="1"/>
  <c r="C2936" i="1"/>
  <c r="A2937" i="1"/>
  <c r="C2937" i="1"/>
  <c r="A2938" i="1"/>
  <c r="C2938" i="1"/>
  <c r="A2939" i="1"/>
  <c r="C2939" i="1"/>
  <c r="A2940" i="1"/>
  <c r="C2940" i="1"/>
  <c r="A2941" i="1"/>
  <c r="C2941" i="1"/>
  <c r="A2942" i="1"/>
  <c r="C2942" i="1"/>
  <c r="A2943" i="1"/>
  <c r="C2943" i="1"/>
  <c r="A2944" i="1"/>
  <c r="C2944" i="1"/>
  <c r="A2945" i="1"/>
  <c r="C2945" i="1"/>
  <c r="A2946" i="1"/>
  <c r="C2946" i="1"/>
  <c r="A2947" i="1"/>
  <c r="C2947" i="1"/>
  <c r="A2948" i="1"/>
  <c r="C2948" i="1"/>
  <c r="A2949" i="1"/>
  <c r="C2949" i="1"/>
  <c r="A2950" i="1"/>
  <c r="C2950" i="1"/>
  <c r="A2951" i="1"/>
  <c r="C2951" i="1"/>
  <c r="A2952" i="1"/>
  <c r="C2952" i="1"/>
  <c r="A2953" i="1"/>
  <c r="C2953" i="1"/>
  <c r="A2954" i="1"/>
  <c r="C2954" i="1"/>
  <c r="A2955" i="1"/>
  <c r="C2955" i="1"/>
  <c r="A2956" i="1"/>
  <c r="C2956" i="1"/>
  <c r="A2957" i="1"/>
  <c r="C2957" i="1"/>
  <c r="A2958" i="1"/>
  <c r="C2958" i="1"/>
  <c r="A2959" i="1"/>
  <c r="C2959" i="1"/>
  <c r="A2960" i="1"/>
  <c r="C2960" i="1"/>
  <c r="A2961" i="1"/>
  <c r="C2961" i="1"/>
  <c r="A2962" i="1"/>
  <c r="C2962" i="1"/>
  <c r="A2963" i="1"/>
  <c r="C2963" i="1"/>
  <c r="A2964" i="1"/>
  <c r="C2964" i="1"/>
  <c r="A2965" i="1"/>
  <c r="C2965" i="1"/>
  <c r="A2966" i="1"/>
  <c r="C2966" i="1"/>
  <c r="A2967" i="1"/>
  <c r="C2967" i="1"/>
  <c r="A2968" i="1"/>
  <c r="C2968" i="1"/>
  <c r="A2969" i="1"/>
  <c r="C2969" i="1"/>
  <c r="A2970" i="1"/>
  <c r="C2970" i="1"/>
  <c r="A2971" i="1"/>
  <c r="C2971" i="1"/>
  <c r="A2972" i="1"/>
  <c r="C2972" i="1"/>
  <c r="A2973" i="1"/>
  <c r="C2973" i="1"/>
  <c r="A2974" i="1"/>
  <c r="C2974" i="1"/>
  <c r="A2975" i="1"/>
  <c r="C2975" i="1"/>
  <c r="A2976" i="1"/>
  <c r="C2976" i="1"/>
  <c r="A2977" i="1"/>
  <c r="C2977" i="1"/>
  <c r="A2978" i="1"/>
  <c r="C2978" i="1"/>
  <c r="A2979" i="1"/>
  <c r="C2979" i="1"/>
  <c r="A2980" i="1"/>
  <c r="C2980" i="1"/>
  <c r="A2981" i="1"/>
  <c r="C2981" i="1"/>
  <c r="A2982" i="1"/>
  <c r="C2982" i="1"/>
  <c r="A2983" i="1"/>
  <c r="C2983" i="1"/>
  <c r="A2984" i="1"/>
  <c r="C2984" i="1"/>
  <c r="A2985" i="1"/>
  <c r="C2985" i="1"/>
  <c r="A2986" i="1"/>
  <c r="C2986" i="1"/>
  <c r="A2987" i="1"/>
  <c r="C2987" i="1"/>
  <c r="A2988" i="1"/>
  <c r="C2988" i="1"/>
  <c r="A2989" i="1"/>
  <c r="C2989" i="1"/>
  <c r="A2990" i="1"/>
  <c r="C2990" i="1"/>
  <c r="A2991" i="1"/>
  <c r="C2991" i="1"/>
  <c r="A2992" i="1"/>
  <c r="C2992" i="1"/>
  <c r="A2993" i="1"/>
  <c r="C2993" i="1"/>
  <c r="A2994" i="1"/>
  <c r="C2994" i="1"/>
  <c r="A2995" i="1"/>
  <c r="C2995" i="1"/>
  <c r="A2996" i="1"/>
  <c r="C2996" i="1"/>
  <c r="A2997" i="1"/>
  <c r="C2997" i="1"/>
  <c r="A2998" i="1"/>
  <c r="C2998" i="1"/>
  <c r="A2999" i="1"/>
  <c r="C2999" i="1"/>
  <c r="A3000" i="1"/>
  <c r="C3000" i="1"/>
  <c r="A3001" i="1"/>
  <c r="C3001" i="1"/>
  <c r="A3002" i="1"/>
  <c r="C3002" i="1"/>
  <c r="A3003" i="1"/>
  <c r="C3003" i="1"/>
  <c r="A3004" i="1"/>
  <c r="C3004" i="1"/>
  <c r="A3005" i="1"/>
  <c r="C3005" i="1"/>
  <c r="A3006" i="1"/>
  <c r="C3006" i="1"/>
  <c r="A3007" i="1"/>
  <c r="C3007" i="1"/>
  <c r="A3008" i="1"/>
  <c r="C3008" i="1"/>
  <c r="A3009" i="1"/>
  <c r="C3009" i="1"/>
  <c r="A3010" i="1"/>
  <c r="C3010" i="1"/>
  <c r="A3011" i="1"/>
  <c r="C3011" i="1"/>
  <c r="A3012" i="1"/>
  <c r="C3012" i="1"/>
  <c r="A3013" i="1"/>
  <c r="C3013" i="1"/>
  <c r="A3014" i="1"/>
  <c r="C3014" i="1"/>
  <c r="A3015" i="1"/>
  <c r="C3015" i="1"/>
  <c r="A3016" i="1"/>
  <c r="C3016" i="1"/>
  <c r="A3017" i="1"/>
  <c r="C3017" i="1"/>
  <c r="A3018" i="1"/>
  <c r="C3018" i="1"/>
  <c r="A3019" i="1"/>
  <c r="C3019" i="1"/>
  <c r="A3020" i="1"/>
  <c r="C3020" i="1"/>
  <c r="A3021" i="1"/>
  <c r="C3021" i="1"/>
  <c r="A3022" i="1"/>
  <c r="C3022" i="1"/>
  <c r="A3023" i="1"/>
  <c r="C3023" i="1"/>
  <c r="A3024" i="1"/>
  <c r="C3024" i="1"/>
  <c r="A3025" i="1"/>
  <c r="C3025" i="1"/>
  <c r="A3026" i="1"/>
  <c r="C3026" i="1"/>
  <c r="A3027" i="1"/>
  <c r="C3027" i="1"/>
  <c r="A3028" i="1"/>
  <c r="C3028" i="1"/>
  <c r="A3029" i="1"/>
  <c r="C3029" i="1"/>
  <c r="A3030" i="1"/>
  <c r="C3030" i="1"/>
  <c r="A3031" i="1"/>
  <c r="C3031" i="1"/>
  <c r="A3032" i="1"/>
  <c r="C3032" i="1"/>
  <c r="A3033" i="1"/>
  <c r="C3033" i="1"/>
  <c r="A3034" i="1"/>
  <c r="C3034" i="1"/>
  <c r="A3035" i="1"/>
  <c r="C3035" i="1"/>
  <c r="A3036" i="1"/>
  <c r="C3036" i="1"/>
  <c r="A3037" i="1"/>
  <c r="C3037" i="1"/>
  <c r="A3038" i="1"/>
  <c r="C3038" i="1"/>
  <c r="A3039" i="1"/>
  <c r="C3039" i="1"/>
  <c r="A3040" i="1"/>
  <c r="C3040" i="1"/>
  <c r="A3041" i="1"/>
  <c r="C3041" i="1"/>
  <c r="A3042" i="1"/>
  <c r="C3042" i="1"/>
  <c r="A3043" i="1"/>
  <c r="C3043" i="1"/>
  <c r="A3044" i="1"/>
  <c r="C3044" i="1"/>
  <c r="A3045" i="1"/>
  <c r="C3045" i="1"/>
  <c r="A3046" i="1"/>
  <c r="C3046" i="1"/>
  <c r="A3047" i="1"/>
  <c r="C3047" i="1"/>
  <c r="A3048" i="1"/>
  <c r="C3048" i="1"/>
  <c r="A3049" i="1"/>
  <c r="C3049" i="1"/>
  <c r="A3050" i="1"/>
  <c r="C3050" i="1"/>
  <c r="A3051" i="1"/>
  <c r="C3051" i="1"/>
  <c r="A3052" i="1"/>
  <c r="C3052" i="1"/>
  <c r="A3053" i="1"/>
  <c r="C3053" i="1"/>
  <c r="A3054" i="1"/>
  <c r="C3054" i="1"/>
  <c r="A3055" i="1"/>
  <c r="C3055" i="1"/>
  <c r="A3056" i="1"/>
  <c r="C3056" i="1"/>
  <c r="A3057" i="1"/>
  <c r="C3057" i="1"/>
  <c r="A3058" i="1"/>
  <c r="C3058" i="1"/>
  <c r="A3059" i="1"/>
  <c r="C3059" i="1"/>
  <c r="A3060" i="1"/>
  <c r="C3060" i="1"/>
  <c r="A3061" i="1"/>
  <c r="C3061" i="1"/>
  <c r="A3062" i="1"/>
  <c r="C3062" i="1"/>
  <c r="A3063" i="1"/>
  <c r="C3063" i="1"/>
  <c r="A3064" i="1"/>
  <c r="C3064" i="1"/>
  <c r="A3065" i="1"/>
  <c r="C3065" i="1"/>
  <c r="A3066" i="1"/>
  <c r="C3066" i="1"/>
  <c r="A3067" i="1"/>
  <c r="C3067" i="1"/>
  <c r="A3068" i="1"/>
  <c r="C3068" i="1"/>
  <c r="A3069" i="1"/>
  <c r="C3069" i="1"/>
  <c r="A3070" i="1"/>
  <c r="C3070" i="1"/>
  <c r="A3071" i="1"/>
  <c r="C3071" i="1"/>
  <c r="A3072" i="1"/>
  <c r="C3072" i="1"/>
  <c r="A3073" i="1"/>
  <c r="C3073" i="1"/>
  <c r="A3074" i="1"/>
  <c r="C3074" i="1"/>
  <c r="A3075" i="1"/>
  <c r="C3075" i="1"/>
  <c r="A3076" i="1"/>
  <c r="C3076" i="1"/>
  <c r="A3077" i="1"/>
  <c r="C3077" i="1"/>
  <c r="A3078" i="1"/>
  <c r="C3078" i="1"/>
  <c r="A3079" i="1"/>
  <c r="C3079" i="1"/>
  <c r="A3080" i="1"/>
  <c r="C3080" i="1"/>
  <c r="A3081" i="1"/>
  <c r="C3081" i="1"/>
  <c r="A3082" i="1"/>
  <c r="C3082" i="1"/>
  <c r="A3083" i="1"/>
  <c r="C3083" i="1"/>
  <c r="A3084" i="1"/>
  <c r="C3084" i="1"/>
  <c r="A3085" i="1"/>
  <c r="C3085" i="1"/>
  <c r="A3086" i="1"/>
  <c r="C3086" i="1"/>
  <c r="A3087" i="1"/>
  <c r="C3087" i="1"/>
  <c r="A3088" i="1"/>
  <c r="C3088" i="1"/>
  <c r="A3089" i="1"/>
  <c r="C3089" i="1"/>
  <c r="A3090" i="1"/>
  <c r="C3090" i="1"/>
  <c r="A3091" i="1"/>
  <c r="C3091" i="1"/>
  <c r="A3092" i="1"/>
  <c r="C3092" i="1"/>
  <c r="A3093" i="1"/>
  <c r="C3093" i="1"/>
  <c r="A3094" i="1"/>
  <c r="C3094" i="1"/>
  <c r="A3095" i="1"/>
  <c r="C3095" i="1"/>
  <c r="A3096" i="1"/>
  <c r="C3096" i="1"/>
  <c r="A3097" i="1"/>
  <c r="C3097" i="1"/>
  <c r="A3098" i="1"/>
  <c r="C3098" i="1"/>
  <c r="A3099" i="1"/>
  <c r="C3099" i="1"/>
  <c r="A3100" i="1"/>
  <c r="C3100" i="1"/>
  <c r="A3101" i="1"/>
  <c r="C3101" i="1"/>
  <c r="A3102" i="1"/>
  <c r="C3102" i="1"/>
  <c r="A3103" i="1"/>
  <c r="C3103" i="1"/>
  <c r="A3104" i="1"/>
  <c r="C3104" i="1"/>
  <c r="A3105" i="1"/>
  <c r="C3105" i="1"/>
  <c r="A3106" i="1"/>
  <c r="C3106" i="1"/>
  <c r="A3107" i="1"/>
  <c r="C3107" i="1"/>
  <c r="A3108" i="1"/>
  <c r="C3108" i="1"/>
  <c r="A3109" i="1"/>
  <c r="C3109" i="1"/>
  <c r="A3110" i="1"/>
  <c r="C3110" i="1"/>
  <c r="A3111" i="1"/>
  <c r="C3111" i="1"/>
  <c r="A3112" i="1"/>
  <c r="C3112" i="1"/>
  <c r="A3113" i="1"/>
  <c r="C3113" i="1"/>
  <c r="A3114" i="1"/>
  <c r="C3114" i="1"/>
  <c r="A3115" i="1"/>
  <c r="C3115" i="1"/>
  <c r="A3116" i="1"/>
  <c r="C3116" i="1"/>
  <c r="A3117" i="1"/>
  <c r="C3117" i="1"/>
  <c r="A3118" i="1"/>
  <c r="C3118" i="1"/>
  <c r="A3119" i="1"/>
  <c r="C3119" i="1"/>
  <c r="A3120" i="1"/>
  <c r="C3120" i="1"/>
  <c r="A3121" i="1"/>
  <c r="C3121" i="1"/>
  <c r="A3122" i="1"/>
  <c r="C3122" i="1"/>
  <c r="A3123" i="1"/>
  <c r="C3123" i="1"/>
  <c r="A3124" i="1"/>
  <c r="C3124" i="1"/>
  <c r="A3125" i="1"/>
  <c r="C3125" i="1"/>
  <c r="A3126" i="1"/>
  <c r="C3126" i="1"/>
  <c r="A3127" i="1"/>
  <c r="C3127" i="1"/>
  <c r="A3128" i="1"/>
  <c r="C3128" i="1"/>
  <c r="A3129" i="1"/>
  <c r="C3129" i="1"/>
  <c r="A3130" i="1"/>
  <c r="C3130" i="1"/>
  <c r="A3131" i="1"/>
  <c r="C3131" i="1"/>
  <c r="A3132" i="1"/>
  <c r="C3132" i="1"/>
  <c r="A3133" i="1"/>
  <c r="C3133" i="1"/>
  <c r="A3134" i="1"/>
  <c r="C3134" i="1"/>
  <c r="A3135" i="1"/>
  <c r="C3135" i="1"/>
  <c r="A3136" i="1"/>
  <c r="C3136" i="1"/>
  <c r="A3137" i="1"/>
  <c r="C3137" i="1"/>
  <c r="A3138" i="1"/>
  <c r="C3138" i="1"/>
  <c r="A3139" i="1"/>
  <c r="C3139" i="1"/>
  <c r="A3140" i="1"/>
  <c r="C3140" i="1"/>
  <c r="A3141" i="1"/>
  <c r="C3141" i="1"/>
  <c r="A3142" i="1"/>
  <c r="C3142" i="1"/>
  <c r="A3143" i="1"/>
  <c r="C3143" i="1"/>
  <c r="A3144" i="1"/>
  <c r="C3144" i="1"/>
  <c r="A3145" i="1"/>
  <c r="C3145" i="1"/>
  <c r="A3146" i="1"/>
  <c r="C3146" i="1"/>
  <c r="A3147" i="1"/>
  <c r="C3147" i="1"/>
  <c r="A3148" i="1"/>
  <c r="C3148" i="1"/>
  <c r="A3149" i="1"/>
  <c r="C3149" i="1"/>
  <c r="A3150" i="1"/>
  <c r="C3150" i="1"/>
  <c r="A3151" i="1"/>
  <c r="C3151" i="1"/>
  <c r="A3152" i="1"/>
  <c r="C3152" i="1"/>
  <c r="A3153" i="1"/>
  <c r="C3153" i="1"/>
  <c r="A3154" i="1"/>
  <c r="C3154" i="1"/>
  <c r="A3155" i="1"/>
  <c r="C3155" i="1"/>
  <c r="A3156" i="1"/>
  <c r="C3156" i="1"/>
  <c r="A3157" i="1"/>
  <c r="C3157" i="1"/>
  <c r="A3158" i="1"/>
  <c r="C3158" i="1"/>
  <c r="A3159" i="1"/>
  <c r="C3159" i="1"/>
  <c r="A3160" i="1"/>
  <c r="C3160" i="1"/>
  <c r="A3161" i="1"/>
  <c r="C3161" i="1"/>
  <c r="A3162" i="1"/>
  <c r="C3162" i="1"/>
  <c r="A3163" i="1"/>
  <c r="C3163" i="1"/>
  <c r="A3164" i="1"/>
  <c r="C3164" i="1"/>
  <c r="A3165" i="1"/>
  <c r="C3165" i="1"/>
  <c r="A3166" i="1"/>
  <c r="C3166" i="1"/>
  <c r="A3167" i="1"/>
  <c r="C3167" i="1"/>
  <c r="A3168" i="1"/>
  <c r="C3168" i="1"/>
  <c r="A3169" i="1"/>
  <c r="C3169" i="1"/>
  <c r="A3170" i="1"/>
  <c r="C3170" i="1"/>
  <c r="A3171" i="1"/>
  <c r="C3171" i="1"/>
  <c r="A3172" i="1"/>
  <c r="C3172" i="1"/>
  <c r="A3173" i="1"/>
  <c r="C3173" i="1"/>
  <c r="A3174" i="1"/>
  <c r="C3174" i="1"/>
  <c r="A3175" i="1"/>
  <c r="C3175" i="1"/>
  <c r="A3176" i="1"/>
  <c r="C3176" i="1"/>
  <c r="A3177" i="1"/>
  <c r="C3177" i="1"/>
  <c r="A3178" i="1"/>
  <c r="C3178" i="1"/>
  <c r="A3179" i="1"/>
  <c r="C3179" i="1"/>
  <c r="A3180" i="1"/>
  <c r="C3180" i="1"/>
  <c r="A3181" i="1"/>
  <c r="C3181" i="1"/>
  <c r="A3182" i="1"/>
  <c r="C3182" i="1"/>
  <c r="A3183" i="1"/>
  <c r="C3183" i="1"/>
  <c r="A3184" i="1"/>
  <c r="C3184" i="1"/>
  <c r="A3185" i="1"/>
  <c r="C3185" i="1"/>
  <c r="A3186" i="1"/>
  <c r="C3186" i="1"/>
  <c r="A3187" i="1"/>
  <c r="C3187" i="1"/>
  <c r="A3188" i="1"/>
  <c r="C3188" i="1"/>
  <c r="A3189" i="1"/>
  <c r="C3189" i="1"/>
  <c r="A3190" i="1"/>
  <c r="C3190" i="1"/>
  <c r="A3191" i="1"/>
  <c r="C3191" i="1"/>
  <c r="A3192" i="1"/>
  <c r="C3192" i="1"/>
  <c r="A3193" i="1"/>
  <c r="C3193" i="1"/>
  <c r="A3194" i="1"/>
  <c r="C3194" i="1"/>
  <c r="A3195" i="1"/>
  <c r="C3195" i="1"/>
  <c r="A3196" i="1"/>
  <c r="C3196" i="1"/>
  <c r="A3197" i="1"/>
  <c r="C3197" i="1"/>
  <c r="A3198" i="1"/>
  <c r="C3198" i="1"/>
  <c r="A3199" i="1"/>
  <c r="C3199" i="1"/>
  <c r="A3200" i="1"/>
  <c r="C3200" i="1"/>
  <c r="A3201" i="1"/>
  <c r="C3201" i="1"/>
  <c r="A3202" i="1"/>
  <c r="C3202" i="1"/>
  <c r="A3203" i="1"/>
  <c r="C3203" i="1"/>
  <c r="A3204" i="1"/>
  <c r="C3204" i="1"/>
  <c r="A3205" i="1"/>
  <c r="C3205" i="1"/>
  <c r="A3206" i="1"/>
  <c r="C3206" i="1"/>
  <c r="A3207" i="1"/>
  <c r="C3207" i="1"/>
  <c r="A3208" i="1"/>
  <c r="C3208" i="1"/>
  <c r="A3209" i="1"/>
  <c r="C3209" i="1"/>
  <c r="A3210" i="1"/>
  <c r="C3210" i="1"/>
  <c r="A3211" i="1"/>
  <c r="C3211" i="1"/>
  <c r="A3212" i="1"/>
  <c r="C3212" i="1"/>
  <c r="A3213" i="1"/>
  <c r="C3213" i="1"/>
  <c r="A3214" i="1"/>
  <c r="C3214" i="1"/>
  <c r="A3215" i="1"/>
  <c r="C3215" i="1"/>
  <c r="A3216" i="1"/>
  <c r="C3216" i="1"/>
  <c r="A3217" i="1"/>
  <c r="C3217" i="1"/>
  <c r="A3218" i="1"/>
  <c r="C3218" i="1"/>
  <c r="A3219" i="1"/>
  <c r="C3219" i="1"/>
  <c r="A3220" i="1"/>
  <c r="C3220" i="1"/>
  <c r="A3221" i="1"/>
  <c r="C3221" i="1"/>
  <c r="A3222" i="1"/>
  <c r="C3222" i="1"/>
  <c r="A3223" i="1"/>
  <c r="C3223" i="1"/>
  <c r="A3224" i="1"/>
  <c r="C3224" i="1"/>
  <c r="A3225" i="1"/>
  <c r="C3225" i="1"/>
  <c r="A3226" i="1"/>
  <c r="C3226" i="1"/>
  <c r="A3227" i="1"/>
  <c r="C3227" i="1"/>
  <c r="A3228" i="1"/>
  <c r="C3228" i="1"/>
  <c r="A3229" i="1"/>
  <c r="C3229" i="1"/>
  <c r="A3230" i="1"/>
  <c r="C3230" i="1"/>
  <c r="A3231" i="1"/>
  <c r="C3231" i="1"/>
  <c r="A3232" i="1"/>
  <c r="C3232" i="1"/>
  <c r="A3233" i="1"/>
  <c r="C3233" i="1"/>
  <c r="A3234" i="1"/>
  <c r="C3234" i="1"/>
  <c r="A3235" i="1"/>
  <c r="C3235" i="1"/>
  <c r="A3236" i="1"/>
  <c r="C3236" i="1"/>
  <c r="A3237" i="1"/>
  <c r="C3237" i="1"/>
  <c r="A3238" i="1"/>
  <c r="C3238" i="1"/>
  <c r="A3239" i="1"/>
  <c r="C3239" i="1"/>
  <c r="A3240" i="1"/>
  <c r="C3240" i="1"/>
  <c r="A3241" i="1"/>
  <c r="C3241" i="1"/>
  <c r="A3242" i="1"/>
  <c r="C3242" i="1"/>
  <c r="A3243" i="1"/>
  <c r="C3243" i="1"/>
  <c r="A3244" i="1"/>
  <c r="C3244" i="1"/>
  <c r="A3245" i="1"/>
  <c r="C3245" i="1"/>
  <c r="A3246" i="1"/>
  <c r="C3246" i="1"/>
  <c r="A3247" i="1"/>
  <c r="C3247" i="1"/>
  <c r="A3248" i="1"/>
  <c r="C3248" i="1"/>
  <c r="A3249" i="1"/>
  <c r="C3249" i="1"/>
  <c r="A3250" i="1"/>
  <c r="C3250" i="1"/>
  <c r="A3251" i="1"/>
  <c r="C3251" i="1"/>
  <c r="A3252" i="1"/>
  <c r="C3252" i="1"/>
  <c r="A3253" i="1"/>
  <c r="C3253" i="1"/>
  <c r="A3254" i="1"/>
  <c r="C3254" i="1"/>
  <c r="A3255" i="1"/>
  <c r="C3255" i="1"/>
  <c r="A3256" i="1"/>
  <c r="C3256" i="1"/>
  <c r="A3257" i="1"/>
  <c r="C3257" i="1"/>
  <c r="A3258" i="1"/>
  <c r="C3258" i="1"/>
  <c r="A3259" i="1"/>
  <c r="C3259" i="1"/>
  <c r="A3260" i="1"/>
  <c r="C3260" i="1"/>
  <c r="A3261" i="1"/>
  <c r="C3261" i="1"/>
  <c r="A3262" i="1"/>
  <c r="C3262" i="1"/>
  <c r="A3263" i="1"/>
  <c r="C3263" i="1"/>
  <c r="A3264" i="1"/>
  <c r="C3264" i="1"/>
  <c r="A3265" i="1"/>
  <c r="C3265" i="1"/>
  <c r="A3266" i="1"/>
  <c r="C3266" i="1"/>
  <c r="A3267" i="1"/>
  <c r="C3267" i="1"/>
  <c r="A3268" i="1"/>
  <c r="C3268" i="1"/>
  <c r="A3269" i="1"/>
  <c r="C3269" i="1"/>
  <c r="A3270" i="1"/>
  <c r="C3270" i="1"/>
  <c r="A3271" i="1"/>
  <c r="C3271" i="1"/>
  <c r="A3272" i="1"/>
  <c r="C3272" i="1"/>
  <c r="A3273" i="1"/>
  <c r="C3273" i="1"/>
  <c r="A3274" i="1"/>
  <c r="C3274" i="1"/>
  <c r="A3275" i="1"/>
  <c r="C3275" i="1"/>
  <c r="A3276" i="1"/>
  <c r="C3276" i="1"/>
  <c r="A3277" i="1"/>
  <c r="C3277" i="1"/>
  <c r="A3278" i="1"/>
  <c r="C3278" i="1"/>
  <c r="A3279" i="1"/>
  <c r="C3279" i="1"/>
  <c r="A3280" i="1"/>
  <c r="C3280" i="1"/>
  <c r="A3281" i="1"/>
  <c r="C3281" i="1"/>
  <c r="A3282" i="1"/>
  <c r="C3282" i="1"/>
  <c r="A3283" i="1"/>
  <c r="C3283" i="1"/>
  <c r="A3284" i="1"/>
  <c r="C3284" i="1"/>
  <c r="A3285" i="1"/>
  <c r="C3285" i="1"/>
  <c r="A3286" i="1"/>
  <c r="C3286" i="1"/>
  <c r="A3287" i="1"/>
  <c r="C3287" i="1"/>
  <c r="A3288" i="1"/>
  <c r="C3288" i="1"/>
  <c r="A3289" i="1"/>
  <c r="C3289" i="1"/>
  <c r="A3290" i="1"/>
  <c r="C3290" i="1"/>
  <c r="A3291" i="1"/>
  <c r="C3291" i="1"/>
  <c r="A3292" i="1"/>
  <c r="C3292" i="1"/>
  <c r="A3293" i="1"/>
  <c r="C3293" i="1"/>
  <c r="A3294" i="1"/>
  <c r="C3294" i="1"/>
  <c r="A3295" i="1"/>
  <c r="C3295" i="1"/>
  <c r="A3296" i="1"/>
  <c r="C3296" i="1"/>
  <c r="A3297" i="1"/>
  <c r="C3297" i="1"/>
  <c r="A3298" i="1"/>
  <c r="C3298" i="1"/>
  <c r="A3299" i="1"/>
  <c r="C3299" i="1"/>
  <c r="A3300" i="1"/>
  <c r="C3300" i="1"/>
  <c r="A3301" i="1"/>
  <c r="C3301" i="1"/>
  <c r="A3302" i="1"/>
  <c r="C3302" i="1"/>
  <c r="A3303" i="1"/>
  <c r="C3303" i="1"/>
  <c r="A3304" i="1"/>
  <c r="C3304" i="1"/>
  <c r="A3305" i="1"/>
  <c r="C3305" i="1"/>
  <c r="A3306" i="1"/>
  <c r="C3306" i="1"/>
  <c r="A3307" i="1"/>
  <c r="C3307" i="1"/>
  <c r="A3308" i="1"/>
  <c r="C3308" i="1"/>
  <c r="A3309" i="1"/>
  <c r="C3309" i="1"/>
  <c r="A3310" i="1"/>
  <c r="C3310" i="1"/>
  <c r="A3311" i="1"/>
  <c r="C3311" i="1"/>
  <c r="A3312" i="1"/>
  <c r="C3312" i="1"/>
  <c r="A3313" i="1"/>
  <c r="C3313" i="1"/>
  <c r="A3314" i="1"/>
  <c r="C3314" i="1"/>
  <c r="A3315" i="1"/>
  <c r="C3315" i="1"/>
  <c r="A3316" i="1"/>
  <c r="C3316" i="1"/>
  <c r="A3317" i="1"/>
  <c r="C3317" i="1"/>
  <c r="A3318" i="1"/>
  <c r="C3318" i="1"/>
  <c r="A3319" i="1"/>
  <c r="C3319" i="1"/>
  <c r="A3320" i="1"/>
  <c r="C3320" i="1"/>
  <c r="A3321" i="1"/>
  <c r="C3321" i="1"/>
  <c r="A3322" i="1"/>
  <c r="C3322" i="1"/>
  <c r="A3323" i="1"/>
  <c r="C3323" i="1"/>
  <c r="A3324" i="1"/>
  <c r="C3324" i="1"/>
  <c r="A3325" i="1"/>
  <c r="C3325" i="1"/>
  <c r="A3326" i="1"/>
  <c r="C3326" i="1"/>
  <c r="A3327" i="1"/>
  <c r="C3327" i="1"/>
  <c r="A3328" i="1"/>
  <c r="C3328" i="1"/>
  <c r="A3329" i="1"/>
  <c r="C3329" i="1"/>
  <c r="A3330" i="1"/>
  <c r="C3330" i="1"/>
  <c r="A3331" i="1"/>
  <c r="C3331" i="1"/>
  <c r="A3332" i="1"/>
  <c r="C3332" i="1"/>
  <c r="A3333" i="1"/>
  <c r="C3333" i="1"/>
  <c r="A3334" i="1"/>
  <c r="C3334" i="1"/>
  <c r="A3335" i="1"/>
  <c r="C3335" i="1"/>
  <c r="A3336" i="1"/>
  <c r="C3336" i="1"/>
  <c r="A3337" i="1"/>
  <c r="C3337" i="1"/>
  <c r="A3338" i="1"/>
  <c r="C3338" i="1"/>
  <c r="A3339" i="1"/>
  <c r="C3339" i="1"/>
  <c r="A3340" i="1"/>
  <c r="C3340" i="1"/>
  <c r="A3341" i="1"/>
  <c r="C3341" i="1"/>
  <c r="A3342" i="1"/>
  <c r="C3342" i="1"/>
  <c r="A3343" i="1"/>
  <c r="C3343" i="1"/>
  <c r="A3344" i="1"/>
  <c r="C3344" i="1"/>
  <c r="A3345" i="1"/>
  <c r="C3345" i="1"/>
  <c r="A3346" i="1"/>
  <c r="C3346" i="1"/>
  <c r="A3347" i="1"/>
  <c r="C3347" i="1"/>
  <c r="A3348" i="1"/>
  <c r="C3348" i="1"/>
  <c r="A3349" i="1"/>
  <c r="C3349" i="1"/>
  <c r="A3350" i="1"/>
  <c r="C3350" i="1"/>
  <c r="A3351" i="1"/>
  <c r="C3351" i="1"/>
  <c r="A3352" i="1"/>
  <c r="C3352" i="1"/>
  <c r="A3353" i="1"/>
  <c r="C3353" i="1"/>
  <c r="A3354" i="1"/>
  <c r="C3354" i="1"/>
  <c r="A3355" i="1"/>
  <c r="C3355" i="1"/>
  <c r="A3356" i="1"/>
  <c r="C3356" i="1"/>
  <c r="A3357" i="1"/>
  <c r="C3357" i="1"/>
  <c r="A3358" i="1"/>
  <c r="C3358" i="1"/>
  <c r="A3359" i="1"/>
  <c r="C3359" i="1"/>
  <c r="A3360" i="1"/>
  <c r="C3360" i="1"/>
  <c r="A3361" i="1"/>
  <c r="C3361" i="1"/>
  <c r="A3362" i="1"/>
  <c r="C3362" i="1"/>
  <c r="A3363" i="1"/>
  <c r="C3363" i="1"/>
  <c r="A3364" i="1"/>
  <c r="C3364" i="1"/>
  <c r="A3365" i="1"/>
  <c r="C3365" i="1"/>
  <c r="A3366" i="1"/>
  <c r="C3366" i="1"/>
  <c r="A3367" i="1"/>
  <c r="C3367" i="1"/>
  <c r="A3368" i="1"/>
  <c r="C3368" i="1"/>
  <c r="A3369" i="1"/>
  <c r="C3369" i="1"/>
  <c r="A3370" i="1"/>
  <c r="C3370" i="1"/>
  <c r="A3371" i="1"/>
  <c r="C3371" i="1"/>
  <c r="A3372" i="1"/>
  <c r="C3372" i="1"/>
  <c r="A3373" i="1"/>
  <c r="C3373" i="1"/>
  <c r="A3374" i="1"/>
  <c r="C3374" i="1"/>
  <c r="A3375" i="1"/>
  <c r="C3375" i="1"/>
  <c r="A3376" i="1"/>
  <c r="C3376" i="1"/>
  <c r="A3377" i="1"/>
  <c r="C3377" i="1"/>
  <c r="A3378" i="1"/>
  <c r="C3378" i="1"/>
  <c r="A3379" i="1"/>
  <c r="C3379" i="1"/>
  <c r="A3380" i="1"/>
  <c r="C3380" i="1"/>
  <c r="A3381" i="1"/>
  <c r="C3381" i="1"/>
  <c r="A3382" i="1"/>
  <c r="C3382" i="1"/>
  <c r="A3383" i="1"/>
  <c r="C3383" i="1"/>
  <c r="A3384" i="1"/>
  <c r="C3384" i="1"/>
  <c r="A3385" i="1"/>
  <c r="C3385" i="1"/>
  <c r="A3386" i="1"/>
  <c r="C3386" i="1"/>
  <c r="A3387" i="1"/>
  <c r="C3387" i="1"/>
  <c r="A3388" i="1"/>
  <c r="C3388" i="1"/>
  <c r="A3389" i="1"/>
  <c r="C3389" i="1"/>
  <c r="A3390" i="1"/>
  <c r="C3390" i="1"/>
  <c r="A3391" i="1"/>
  <c r="C3391" i="1"/>
  <c r="A3392" i="1"/>
  <c r="C3392" i="1"/>
  <c r="A3393" i="1"/>
  <c r="C3393" i="1"/>
  <c r="A3394" i="1"/>
  <c r="C3394" i="1"/>
  <c r="A3395" i="1"/>
  <c r="C3395" i="1"/>
  <c r="A3396" i="1"/>
  <c r="C3396" i="1"/>
  <c r="A3397" i="1"/>
  <c r="C3397" i="1"/>
  <c r="A3398" i="1"/>
  <c r="C3398" i="1"/>
  <c r="A3399" i="1"/>
  <c r="C3399" i="1"/>
  <c r="A3400" i="1"/>
  <c r="C3400" i="1"/>
  <c r="A3401" i="1"/>
  <c r="C3401" i="1"/>
  <c r="A3402" i="1"/>
  <c r="C3402" i="1"/>
  <c r="A3403" i="1"/>
  <c r="C3403" i="1"/>
  <c r="A3404" i="1"/>
  <c r="C3404" i="1"/>
  <c r="A3405" i="1"/>
  <c r="C3405" i="1"/>
  <c r="A3406" i="1"/>
  <c r="C3406" i="1"/>
  <c r="A3407" i="1"/>
  <c r="C3407" i="1"/>
  <c r="A3408" i="1"/>
  <c r="C3408" i="1"/>
  <c r="A3409" i="1"/>
  <c r="C3409" i="1"/>
  <c r="A3410" i="1"/>
  <c r="C3410" i="1"/>
  <c r="A3411" i="1"/>
  <c r="C3411" i="1"/>
  <c r="A3412" i="1"/>
  <c r="C3412" i="1"/>
  <c r="A3413" i="1"/>
  <c r="C3413" i="1"/>
  <c r="A3414" i="1"/>
  <c r="C3414" i="1"/>
  <c r="A3415" i="1"/>
  <c r="C3415" i="1"/>
  <c r="A3416" i="1"/>
  <c r="C3416" i="1"/>
  <c r="A3417" i="1"/>
  <c r="C3417" i="1"/>
  <c r="A3418" i="1"/>
  <c r="C3418" i="1"/>
  <c r="A3419" i="1"/>
  <c r="C3419" i="1"/>
  <c r="A3420" i="1"/>
  <c r="C3420" i="1"/>
  <c r="A3421" i="1"/>
  <c r="C3421" i="1"/>
  <c r="A3422" i="1"/>
  <c r="C3422" i="1"/>
  <c r="A3423" i="1"/>
  <c r="C3423" i="1"/>
  <c r="A3424" i="1"/>
  <c r="C3424" i="1"/>
  <c r="A3425" i="1"/>
  <c r="C3425" i="1"/>
  <c r="A3426" i="1"/>
  <c r="C3426" i="1"/>
  <c r="A3427" i="1"/>
  <c r="C3427" i="1"/>
  <c r="A3428" i="1"/>
  <c r="C3428" i="1"/>
  <c r="A3429" i="1"/>
  <c r="C3429" i="1"/>
  <c r="A3430" i="1"/>
  <c r="C3430" i="1"/>
  <c r="A3431" i="1"/>
  <c r="C3431" i="1"/>
  <c r="A3432" i="1"/>
  <c r="C3432" i="1"/>
  <c r="A3433" i="1"/>
  <c r="C3433" i="1"/>
  <c r="A3434" i="1"/>
  <c r="C3434" i="1"/>
  <c r="A3435" i="1"/>
  <c r="C3435" i="1"/>
  <c r="A3436" i="1"/>
  <c r="C3436" i="1"/>
  <c r="A3437" i="1"/>
  <c r="C3437" i="1"/>
  <c r="A3438" i="1"/>
  <c r="C3438" i="1"/>
  <c r="A3439" i="1"/>
  <c r="C3439" i="1"/>
  <c r="A3440" i="1"/>
  <c r="C3440" i="1"/>
  <c r="A3441" i="1"/>
  <c r="C3441" i="1"/>
  <c r="A3442" i="1"/>
  <c r="C3442" i="1"/>
  <c r="A3443" i="1"/>
  <c r="C3443" i="1"/>
  <c r="A3444" i="1"/>
  <c r="C3444" i="1"/>
  <c r="A3445" i="1"/>
  <c r="C3445" i="1"/>
  <c r="A3446" i="1"/>
  <c r="C3446" i="1"/>
  <c r="A3447" i="1"/>
  <c r="C3447" i="1"/>
  <c r="A3448" i="1"/>
  <c r="C3448" i="1"/>
  <c r="A3449" i="1"/>
  <c r="C3449" i="1"/>
  <c r="A3450" i="1"/>
  <c r="C3450" i="1"/>
  <c r="A3451" i="1"/>
  <c r="C3451" i="1"/>
  <c r="A3452" i="1"/>
  <c r="C3452" i="1"/>
  <c r="A3453" i="1"/>
  <c r="C3453" i="1"/>
  <c r="A3454" i="1"/>
  <c r="C3454" i="1"/>
  <c r="A3455" i="1"/>
  <c r="C3455" i="1"/>
  <c r="A3456" i="1"/>
  <c r="C3456" i="1"/>
  <c r="A3457" i="1"/>
  <c r="C3457" i="1"/>
  <c r="A3458" i="1"/>
  <c r="C3458" i="1"/>
  <c r="A3459" i="1"/>
  <c r="C3459" i="1"/>
  <c r="A3460" i="1"/>
  <c r="C3460" i="1"/>
  <c r="A3461" i="1"/>
  <c r="C3461" i="1"/>
  <c r="A3462" i="1"/>
  <c r="C3462" i="1"/>
  <c r="A3463" i="1"/>
  <c r="C3463" i="1"/>
  <c r="A3464" i="1"/>
  <c r="C3464" i="1"/>
  <c r="A3465" i="1"/>
  <c r="C3465" i="1"/>
  <c r="A3466" i="1"/>
  <c r="C3466" i="1"/>
  <c r="A3467" i="1"/>
  <c r="C3467" i="1"/>
  <c r="A3468" i="1"/>
  <c r="C3468" i="1"/>
  <c r="A3469" i="1"/>
  <c r="C3469" i="1"/>
  <c r="A3470" i="1"/>
  <c r="C3470" i="1"/>
  <c r="A3471" i="1"/>
  <c r="C3471" i="1"/>
  <c r="A3472" i="1"/>
  <c r="C3472" i="1"/>
  <c r="A3473" i="1"/>
  <c r="C3473" i="1"/>
  <c r="A3474" i="1"/>
  <c r="C3474" i="1"/>
  <c r="A3475" i="1"/>
  <c r="C3475" i="1"/>
  <c r="A3476" i="1"/>
  <c r="C3476" i="1"/>
  <c r="A3477" i="1"/>
  <c r="C3477" i="1"/>
  <c r="A3478" i="1"/>
  <c r="C3478" i="1"/>
  <c r="A3479" i="1"/>
  <c r="C3479" i="1"/>
  <c r="A3480" i="1"/>
  <c r="C3480" i="1"/>
  <c r="A3481" i="1"/>
  <c r="C3481" i="1"/>
  <c r="A3482" i="1"/>
  <c r="C3482" i="1"/>
  <c r="A3483" i="1"/>
  <c r="C3483" i="1"/>
  <c r="A3484" i="1"/>
  <c r="C3484" i="1"/>
  <c r="A3485" i="1"/>
  <c r="C3485" i="1"/>
  <c r="A3486" i="1"/>
  <c r="C3486" i="1"/>
  <c r="A3487" i="1"/>
  <c r="C3487" i="1"/>
  <c r="A3488" i="1"/>
  <c r="C3488" i="1"/>
  <c r="A3489" i="1"/>
  <c r="C3489" i="1"/>
  <c r="A3490" i="1"/>
  <c r="C3490" i="1"/>
  <c r="A3491" i="1"/>
  <c r="C3491" i="1"/>
  <c r="A3492" i="1"/>
  <c r="C3492" i="1"/>
  <c r="A3493" i="1"/>
  <c r="C3493" i="1"/>
  <c r="A3494" i="1"/>
  <c r="C3494" i="1"/>
  <c r="A3495" i="1"/>
  <c r="C3495" i="1"/>
  <c r="A3496" i="1"/>
  <c r="C3496" i="1"/>
  <c r="A3497" i="1"/>
  <c r="C3497" i="1"/>
  <c r="A3498" i="1"/>
  <c r="C3498" i="1"/>
  <c r="A3499" i="1"/>
  <c r="C3499" i="1"/>
  <c r="A3500" i="1"/>
  <c r="C3500" i="1"/>
  <c r="A3501" i="1"/>
  <c r="C3501" i="1"/>
  <c r="A3502" i="1"/>
  <c r="C3502" i="1"/>
  <c r="A3503" i="1"/>
  <c r="C3503" i="1"/>
  <c r="A3504" i="1"/>
  <c r="C3504" i="1"/>
  <c r="A3505" i="1"/>
  <c r="C3505" i="1"/>
  <c r="A3506" i="1"/>
  <c r="C3506" i="1"/>
  <c r="A3507" i="1"/>
  <c r="C3507" i="1"/>
  <c r="A3508" i="1"/>
  <c r="C3508" i="1"/>
  <c r="A3509" i="1"/>
  <c r="C3509" i="1"/>
  <c r="A3510" i="1"/>
  <c r="C3510" i="1"/>
  <c r="A3511" i="1"/>
  <c r="C3511" i="1"/>
  <c r="A3512" i="1"/>
  <c r="C3512" i="1"/>
  <c r="A3513" i="1"/>
  <c r="C3513" i="1"/>
  <c r="A3514" i="1"/>
  <c r="C3514" i="1"/>
  <c r="A3515" i="1"/>
  <c r="C3515" i="1"/>
  <c r="A3516" i="1"/>
  <c r="C3516" i="1"/>
  <c r="A3517" i="1"/>
  <c r="C3517" i="1"/>
  <c r="A3518" i="1"/>
  <c r="C3518" i="1"/>
  <c r="A3519" i="1"/>
  <c r="C3519" i="1"/>
  <c r="A3520" i="1"/>
  <c r="C3520" i="1"/>
  <c r="A3521" i="1"/>
  <c r="C3521" i="1"/>
  <c r="A3522" i="1"/>
  <c r="C3522" i="1"/>
  <c r="A3523" i="1"/>
  <c r="C3523" i="1"/>
  <c r="A3524" i="1"/>
  <c r="C3524" i="1"/>
  <c r="A3525" i="1"/>
  <c r="C3525" i="1"/>
  <c r="A3526" i="1"/>
  <c r="C3526" i="1"/>
  <c r="A3527" i="1"/>
  <c r="C3527" i="1"/>
  <c r="A3528" i="1"/>
  <c r="C3528" i="1"/>
  <c r="A3529" i="1"/>
  <c r="C3529" i="1"/>
  <c r="A3530" i="1"/>
  <c r="C3530" i="1"/>
  <c r="A3531" i="1"/>
  <c r="C3531" i="1"/>
  <c r="A3532" i="1"/>
  <c r="C3532" i="1"/>
  <c r="A3533" i="1"/>
  <c r="C3533" i="1"/>
  <c r="A3534" i="1"/>
  <c r="C3534" i="1"/>
  <c r="A3535" i="1"/>
  <c r="C3535" i="1"/>
  <c r="A3536" i="1"/>
  <c r="C3536" i="1"/>
  <c r="A3537" i="1"/>
  <c r="C3537" i="1"/>
  <c r="A3538" i="1"/>
  <c r="C3538" i="1"/>
  <c r="A3539" i="1"/>
  <c r="C3539" i="1"/>
  <c r="A3540" i="1"/>
  <c r="C3540" i="1"/>
  <c r="A3541" i="1"/>
  <c r="C3541" i="1"/>
  <c r="A3542" i="1"/>
  <c r="C3542" i="1"/>
  <c r="A3543" i="1"/>
  <c r="C3543" i="1"/>
  <c r="A3544" i="1"/>
  <c r="C3544" i="1"/>
  <c r="A3545" i="1"/>
  <c r="C3545" i="1"/>
  <c r="A3546" i="1"/>
  <c r="C3546" i="1"/>
  <c r="A3547" i="1"/>
  <c r="C3547" i="1"/>
  <c r="A3548" i="1"/>
  <c r="C3548" i="1"/>
  <c r="A3549" i="1"/>
  <c r="C3549" i="1"/>
  <c r="A3550" i="1"/>
  <c r="C3550" i="1"/>
  <c r="A3551" i="1"/>
  <c r="C3551" i="1"/>
  <c r="A3552" i="1"/>
  <c r="C3552" i="1"/>
  <c r="A3553" i="1"/>
  <c r="C3553" i="1"/>
  <c r="A3554" i="1"/>
  <c r="C3554" i="1"/>
  <c r="A3555" i="1"/>
  <c r="C3555" i="1"/>
  <c r="A3556" i="1"/>
  <c r="C3556" i="1"/>
  <c r="A3557" i="1"/>
  <c r="C3557" i="1"/>
  <c r="A3558" i="1"/>
  <c r="C3558" i="1"/>
  <c r="A3559" i="1"/>
  <c r="C3559" i="1"/>
  <c r="A3560" i="1"/>
  <c r="C3560" i="1"/>
  <c r="A3561" i="1"/>
  <c r="C3561" i="1"/>
  <c r="A3562" i="1"/>
  <c r="C3562" i="1"/>
  <c r="A3563" i="1"/>
  <c r="C3563" i="1"/>
  <c r="A3564" i="1"/>
  <c r="C3564" i="1"/>
  <c r="A3565" i="1"/>
  <c r="C3565" i="1"/>
  <c r="A3566" i="1"/>
  <c r="C3566" i="1"/>
  <c r="A3567" i="1"/>
  <c r="C3567" i="1"/>
  <c r="A3568" i="1"/>
  <c r="C3568" i="1"/>
  <c r="A3569" i="1"/>
  <c r="C3569" i="1"/>
  <c r="A3570" i="1"/>
  <c r="C3570" i="1"/>
  <c r="A3571" i="1"/>
  <c r="C3571" i="1"/>
  <c r="A3572" i="1"/>
  <c r="C3572" i="1"/>
  <c r="A3573" i="1"/>
  <c r="C3573" i="1"/>
  <c r="A3574" i="1"/>
  <c r="C3574" i="1"/>
  <c r="A3575" i="1"/>
  <c r="C3575" i="1"/>
  <c r="A3576" i="1"/>
  <c r="C3576" i="1"/>
  <c r="A3577" i="1"/>
  <c r="C3577" i="1"/>
  <c r="A3578" i="1"/>
  <c r="C3578" i="1"/>
  <c r="A3579" i="1"/>
  <c r="C3579" i="1"/>
  <c r="A3580" i="1"/>
  <c r="C3580" i="1"/>
  <c r="A3581" i="1"/>
  <c r="C3581" i="1"/>
  <c r="A3582" i="1"/>
  <c r="C3582" i="1"/>
  <c r="A3583" i="1"/>
  <c r="C3583" i="1"/>
  <c r="A3584" i="1"/>
  <c r="C3584" i="1"/>
  <c r="A3585" i="1"/>
  <c r="C3585" i="1"/>
  <c r="A3586" i="1"/>
  <c r="C3586" i="1"/>
  <c r="A3587" i="1"/>
  <c r="C3587" i="1"/>
  <c r="A3588" i="1"/>
  <c r="C3588" i="1"/>
  <c r="A3589" i="1"/>
  <c r="C3589" i="1"/>
  <c r="A3590" i="1"/>
  <c r="C3590" i="1"/>
  <c r="A3591" i="1"/>
  <c r="C3591" i="1"/>
  <c r="A3592" i="1"/>
  <c r="C3592" i="1"/>
  <c r="A3593" i="1"/>
  <c r="C3593" i="1"/>
  <c r="A3594" i="1"/>
  <c r="C3594" i="1"/>
  <c r="A3595" i="1"/>
  <c r="C3595" i="1"/>
  <c r="A3596" i="1"/>
  <c r="C3596" i="1"/>
  <c r="A3597" i="1"/>
  <c r="C3597" i="1"/>
  <c r="A3598" i="1"/>
  <c r="C3598" i="1"/>
  <c r="A3599" i="1"/>
  <c r="C3599" i="1"/>
  <c r="A3600" i="1"/>
  <c r="C3600" i="1"/>
  <c r="A3601" i="1"/>
  <c r="C3601" i="1"/>
  <c r="A3602" i="1"/>
  <c r="C3602" i="1"/>
  <c r="A3603" i="1"/>
  <c r="C3603" i="1"/>
  <c r="A3604" i="1"/>
  <c r="C3604" i="1"/>
  <c r="A3605" i="1"/>
  <c r="C3605" i="1"/>
  <c r="A3606" i="1"/>
  <c r="C3606" i="1"/>
  <c r="A3607" i="1"/>
  <c r="C3607" i="1"/>
  <c r="A3608" i="1"/>
  <c r="C3608" i="1"/>
  <c r="A3609" i="1"/>
  <c r="C3609" i="1"/>
  <c r="A3610" i="1"/>
  <c r="C3610" i="1"/>
  <c r="A3611" i="1"/>
  <c r="C3611" i="1"/>
  <c r="A3612" i="1"/>
  <c r="C3612" i="1"/>
  <c r="A3613" i="1"/>
  <c r="C3613" i="1"/>
  <c r="A3614" i="1"/>
  <c r="C3614" i="1"/>
  <c r="A3615" i="1"/>
  <c r="C3615" i="1"/>
  <c r="A3616" i="1"/>
  <c r="C3616" i="1"/>
  <c r="A3617" i="1"/>
  <c r="C3617" i="1"/>
  <c r="A3618" i="1"/>
  <c r="C3618" i="1"/>
  <c r="A3619" i="1"/>
  <c r="C3619" i="1"/>
  <c r="A3620" i="1"/>
  <c r="C3620" i="1"/>
  <c r="A3621" i="1"/>
  <c r="C3621" i="1"/>
  <c r="A3622" i="1"/>
  <c r="C3622" i="1"/>
  <c r="A3623" i="1"/>
  <c r="C3623" i="1"/>
  <c r="A3624" i="1"/>
  <c r="C3624" i="1"/>
  <c r="A3625" i="1"/>
  <c r="C3625" i="1"/>
  <c r="A3626" i="1"/>
  <c r="C3626" i="1"/>
  <c r="A3627" i="1"/>
  <c r="C3627" i="1"/>
  <c r="A3628" i="1"/>
  <c r="C3628" i="1"/>
  <c r="A3629" i="1"/>
  <c r="C3629" i="1"/>
  <c r="A3630" i="1"/>
  <c r="C3630" i="1"/>
  <c r="A3631" i="1"/>
  <c r="C3631" i="1"/>
  <c r="A3632" i="1"/>
  <c r="C3632" i="1"/>
  <c r="A3633" i="1"/>
  <c r="C3633" i="1"/>
  <c r="A3634" i="1"/>
  <c r="C3634" i="1"/>
  <c r="A3635" i="1"/>
  <c r="C3635" i="1"/>
  <c r="A3636" i="1"/>
  <c r="C3636" i="1"/>
  <c r="A3637" i="1"/>
  <c r="C3637" i="1"/>
  <c r="A3638" i="1"/>
  <c r="C3638" i="1"/>
  <c r="A3639" i="1"/>
  <c r="C3639" i="1"/>
  <c r="A3640" i="1"/>
  <c r="C3640" i="1"/>
  <c r="A3641" i="1"/>
  <c r="C3641" i="1"/>
  <c r="A3642" i="1"/>
  <c r="C3642" i="1"/>
  <c r="A3643" i="1"/>
  <c r="C3643" i="1"/>
  <c r="A3644" i="1"/>
  <c r="C3644" i="1"/>
  <c r="A3645" i="1"/>
  <c r="C3645" i="1"/>
  <c r="A3646" i="1"/>
  <c r="C3646" i="1"/>
  <c r="A3647" i="1"/>
  <c r="C3647" i="1"/>
  <c r="A3648" i="1"/>
  <c r="C3648" i="1"/>
  <c r="A3649" i="1"/>
  <c r="C3649" i="1"/>
  <c r="A3650" i="1"/>
  <c r="C3650" i="1"/>
  <c r="A3651" i="1"/>
  <c r="C3651" i="1"/>
  <c r="A3652" i="1"/>
  <c r="C3652" i="1"/>
  <c r="A3653" i="1"/>
  <c r="C3653" i="1"/>
  <c r="A3654" i="1"/>
  <c r="C3654" i="1"/>
  <c r="A3655" i="1"/>
  <c r="C3655" i="1"/>
  <c r="A3656" i="1"/>
  <c r="C3656" i="1"/>
  <c r="A3657" i="1"/>
  <c r="C3657" i="1"/>
  <c r="A3658" i="1"/>
  <c r="C3658" i="1"/>
  <c r="A3659" i="1"/>
  <c r="C3659" i="1"/>
  <c r="A3660" i="1"/>
  <c r="C3660" i="1"/>
  <c r="A3661" i="1"/>
  <c r="C3661" i="1"/>
  <c r="A3662" i="1"/>
  <c r="C3662" i="1"/>
  <c r="A3663" i="1"/>
  <c r="C3663" i="1"/>
  <c r="A3664" i="1"/>
  <c r="C3664" i="1"/>
  <c r="A3665" i="1"/>
  <c r="C3665" i="1"/>
  <c r="A3666" i="1"/>
  <c r="C3666" i="1"/>
  <c r="A3667" i="1"/>
  <c r="C3667" i="1"/>
  <c r="A3668" i="1"/>
  <c r="C3668" i="1"/>
  <c r="A3669" i="1"/>
  <c r="C3669" i="1"/>
  <c r="A3670" i="1"/>
  <c r="C3670" i="1"/>
  <c r="A3671" i="1"/>
  <c r="C3671" i="1"/>
  <c r="A3672" i="1"/>
  <c r="C3672" i="1"/>
  <c r="A3673" i="1"/>
  <c r="C3673" i="1"/>
  <c r="A3674" i="1"/>
  <c r="C3674" i="1"/>
  <c r="A3675" i="1"/>
  <c r="C3675" i="1"/>
  <c r="A3676" i="1"/>
  <c r="C3676" i="1"/>
  <c r="A3677" i="1"/>
  <c r="C3677" i="1"/>
  <c r="A3678" i="1"/>
  <c r="C3678" i="1"/>
  <c r="A3679" i="1"/>
  <c r="C3679" i="1"/>
  <c r="A3680" i="1"/>
  <c r="C3680" i="1"/>
  <c r="A3681" i="1"/>
  <c r="C3681" i="1"/>
  <c r="A3682" i="1"/>
  <c r="C3682" i="1"/>
  <c r="A3683" i="1"/>
  <c r="C3683" i="1"/>
  <c r="A3684" i="1"/>
  <c r="C3684" i="1"/>
  <c r="A3685" i="1"/>
  <c r="C3685" i="1"/>
  <c r="A3686" i="1"/>
  <c r="C3686" i="1"/>
  <c r="A3687" i="1"/>
  <c r="C3687" i="1"/>
  <c r="A3688" i="1"/>
  <c r="C3688" i="1"/>
  <c r="A3689" i="1"/>
  <c r="C3689" i="1"/>
  <c r="A3690" i="1"/>
  <c r="C3690" i="1"/>
  <c r="A3691" i="1"/>
  <c r="C3691" i="1"/>
  <c r="A3692" i="1"/>
  <c r="C3692" i="1"/>
  <c r="A3693" i="1"/>
  <c r="C3693" i="1"/>
  <c r="A3694" i="1"/>
  <c r="C3694" i="1"/>
  <c r="A3695" i="1"/>
  <c r="C3695" i="1"/>
  <c r="A3696" i="1"/>
  <c r="C3696" i="1"/>
  <c r="A3697" i="1"/>
  <c r="C3697" i="1"/>
  <c r="A3698" i="1"/>
  <c r="C3698" i="1"/>
  <c r="A3699" i="1"/>
  <c r="C3699" i="1"/>
  <c r="A3700" i="1"/>
  <c r="C3700" i="1"/>
  <c r="A3701" i="1"/>
  <c r="C3701" i="1"/>
  <c r="A3702" i="1"/>
  <c r="C3702" i="1"/>
  <c r="A3703" i="1"/>
  <c r="C3703" i="1"/>
  <c r="A3704" i="1"/>
  <c r="C3704" i="1"/>
  <c r="A3705" i="1"/>
  <c r="C3705" i="1"/>
  <c r="A3706" i="1"/>
  <c r="C3706" i="1"/>
  <c r="A3707" i="1"/>
  <c r="C3707" i="1"/>
  <c r="A3708" i="1"/>
  <c r="C3708" i="1"/>
  <c r="A3709" i="1"/>
  <c r="C3709" i="1"/>
  <c r="A3710" i="1"/>
  <c r="C3710" i="1"/>
  <c r="A3711" i="1"/>
  <c r="C3711" i="1"/>
  <c r="A3712" i="1"/>
  <c r="C3712" i="1"/>
  <c r="A3713" i="1"/>
  <c r="C3713" i="1"/>
  <c r="A3714" i="1"/>
  <c r="C3714" i="1"/>
  <c r="A3715" i="1"/>
  <c r="C3715" i="1"/>
  <c r="A3716" i="1"/>
  <c r="C3716" i="1"/>
  <c r="A3717" i="1"/>
  <c r="C3717" i="1"/>
  <c r="A3718" i="1"/>
  <c r="C3718" i="1"/>
  <c r="A3719" i="1"/>
  <c r="C3719" i="1"/>
  <c r="A3720" i="1"/>
  <c r="C3720" i="1"/>
  <c r="A3721" i="1"/>
  <c r="C3721" i="1"/>
  <c r="A3722" i="1"/>
  <c r="C3722" i="1"/>
  <c r="A3723" i="1"/>
  <c r="C3723" i="1"/>
  <c r="A3724" i="1"/>
  <c r="C3724" i="1"/>
  <c r="A3725" i="1"/>
  <c r="C3725" i="1"/>
  <c r="A3726" i="1"/>
  <c r="C3726" i="1"/>
  <c r="A3727" i="1"/>
  <c r="C3727" i="1"/>
  <c r="A3728" i="1"/>
  <c r="C3728" i="1"/>
  <c r="A3729" i="1"/>
  <c r="C3729" i="1"/>
  <c r="A3730" i="1"/>
  <c r="C3730" i="1"/>
  <c r="A3731" i="1"/>
  <c r="C3731" i="1"/>
  <c r="A3732" i="1"/>
  <c r="C3732" i="1"/>
  <c r="A3733" i="1"/>
  <c r="C3733" i="1"/>
  <c r="A3734" i="1"/>
  <c r="C3734" i="1"/>
  <c r="A3735" i="1"/>
  <c r="C3735" i="1"/>
  <c r="A3736" i="1"/>
  <c r="C3736" i="1"/>
  <c r="A3737" i="1"/>
  <c r="C3737" i="1"/>
  <c r="A3738" i="1"/>
  <c r="C3738" i="1"/>
  <c r="A3739" i="1"/>
  <c r="C3739" i="1"/>
  <c r="A3740" i="1"/>
  <c r="C3740" i="1"/>
  <c r="A3741" i="1"/>
  <c r="C3741" i="1"/>
  <c r="A3742" i="1"/>
  <c r="C3742" i="1"/>
  <c r="A3743" i="1"/>
  <c r="C3743" i="1"/>
  <c r="A3744" i="1"/>
  <c r="C3744" i="1"/>
  <c r="A3745" i="1"/>
  <c r="C3745" i="1"/>
  <c r="A3746" i="1"/>
  <c r="C3746" i="1"/>
  <c r="A3747" i="1"/>
  <c r="C3747" i="1"/>
  <c r="A3748" i="1"/>
  <c r="C3748" i="1"/>
  <c r="A3749" i="1"/>
  <c r="C3749" i="1"/>
  <c r="A3750" i="1"/>
  <c r="C3750" i="1"/>
  <c r="A3751" i="1"/>
  <c r="C3751" i="1"/>
  <c r="A3752" i="1"/>
  <c r="C3752" i="1"/>
  <c r="A3753" i="1"/>
  <c r="C3753" i="1"/>
  <c r="A3754" i="1"/>
  <c r="C3754" i="1"/>
  <c r="A3755" i="1"/>
  <c r="C3755" i="1"/>
  <c r="A3756" i="1"/>
  <c r="C3756" i="1"/>
  <c r="A3757" i="1"/>
  <c r="C3757" i="1"/>
  <c r="A3758" i="1"/>
  <c r="C3758" i="1"/>
  <c r="A3759" i="1"/>
  <c r="C3759" i="1"/>
  <c r="A3760" i="1"/>
  <c r="C3760" i="1"/>
  <c r="A3761" i="1"/>
  <c r="C3761" i="1"/>
  <c r="A3762" i="1"/>
  <c r="C3762" i="1"/>
  <c r="A3763" i="1"/>
  <c r="C3763" i="1"/>
  <c r="A3764" i="1"/>
  <c r="C3764" i="1"/>
  <c r="A3765" i="1"/>
  <c r="C3765" i="1"/>
  <c r="A3766" i="1"/>
  <c r="C3766" i="1"/>
  <c r="A3767" i="1"/>
  <c r="C3767" i="1"/>
  <c r="A3768" i="1"/>
  <c r="C3768" i="1"/>
  <c r="A3769" i="1"/>
  <c r="C3769" i="1"/>
  <c r="A3770" i="1"/>
  <c r="C3770" i="1"/>
  <c r="A3771" i="1"/>
  <c r="C3771" i="1"/>
  <c r="A3772" i="1"/>
  <c r="C3772" i="1"/>
  <c r="A3773" i="1"/>
  <c r="C3773" i="1"/>
  <c r="A3774" i="1"/>
  <c r="C3774" i="1"/>
  <c r="A3775" i="1"/>
  <c r="C3775" i="1"/>
  <c r="A3776" i="1"/>
  <c r="C3776" i="1"/>
  <c r="A3777" i="1"/>
  <c r="C3777" i="1"/>
  <c r="A3778" i="1"/>
  <c r="C3778" i="1"/>
  <c r="A3779" i="1"/>
  <c r="C3779" i="1"/>
  <c r="A3780" i="1"/>
  <c r="C3780" i="1"/>
  <c r="A3781" i="1"/>
  <c r="C3781" i="1"/>
  <c r="A3782" i="1"/>
  <c r="C3782" i="1"/>
  <c r="A3783" i="1"/>
  <c r="C3783" i="1"/>
  <c r="A3784" i="1"/>
  <c r="C3784" i="1"/>
  <c r="A3785" i="1"/>
  <c r="C3785" i="1"/>
  <c r="A3786" i="1"/>
  <c r="C3786" i="1"/>
  <c r="A3787" i="1"/>
  <c r="C3787" i="1"/>
  <c r="A3788" i="1"/>
  <c r="C3788" i="1"/>
  <c r="A3789" i="1"/>
  <c r="C3789" i="1"/>
  <c r="A3790" i="1"/>
  <c r="C3790" i="1"/>
  <c r="A3791" i="1"/>
  <c r="C3791" i="1"/>
  <c r="A3792" i="1"/>
  <c r="C3792" i="1"/>
  <c r="A3793" i="1"/>
  <c r="C3793" i="1"/>
  <c r="A3794" i="1"/>
  <c r="C3794" i="1"/>
  <c r="A3795" i="1"/>
  <c r="C3795" i="1"/>
  <c r="A3796" i="1"/>
  <c r="C3796" i="1"/>
  <c r="A3797" i="1"/>
  <c r="C3797" i="1"/>
  <c r="A3798" i="1"/>
  <c r="C3798" i="1"/>
  <c r="A3799" i="1"/>
  <c r="C3799" i="1"/>
  <c r="A3800" i="1"/>
  <c r="C3800" i="1"/>
  <c r="A3801" i="1"/>
  <c r="C3801" i="1"/>
  <c r="A3802" i="1"/>
  <c r="C3802" i="1"/>
  <c r="A3803" i="1"/>
  <c r="C3803" i="1"/>
  <c r="A3804" i="1"/>
  <c r="C3804" i="1"/>
  <c r="A3805" i="1"/>
  <c r="C3805" i="1"/>
  <c r="A3806" i="1"/>
  <c r="C3806" i="1"/>
  <c r="A3807" i="1"/>
  <c r="C3807" i="1"/>
  <c r="A3808" i="1"/>
  <c r="C3808" i="1"/>
  <c r="A3809" i="1"/>
  <c r="C3809" i="1"/>
  <c r="A3810" i="1"/>
  <c r="C3810" i="1"/>
  <c r="A3811" i="1"/>
  <c r="C3811" i="1"/>
  <c r="A3812" i="1"/>
  <c r="C3812" i="1"/>
  <c r="A3813" i="1"/>
  <c r="C3813" i="1"/>
  <c r="A3814" i="1"/>
  <c r="C3814" i="1"/>
  <c r="A3815" i="1"/>
  <c r="C3815" i="1"/>
  <c r="A3816" i="1"/>
  <c r="C3816" i="1"/>
  <c r="A3817" i="1"/>
  <c r="C3817" i="1"/>
  <c r="A3818" i="1"/>
  <c r="C3818" i="1"/>
  <c r="A3819" i="1"/>
  <c r="C3819" i="1"/>
  <c r="A3820" i="1"/>
  <c r="C3820" i="1"/>
  <c r="A3821" i="1"/>
  <c r="C3821" i="1"/>
  <c r="A3822" i="1"/>
  <c r="C3822" i="1"/>
  <c r="A3823" i="1"/>
  <c r="C3823" i="1"/>
  <c r="A3824" i="1"/>
  <c r="C3824" i="1"/>
  <c r="A3825" i="1"/>
  <c r="C3825" i="1"/>
  <c r="A3826" i="1"/>
  <c r="C3826" i="1"/>
  <c r="A3827" i="1"/>
  <c r="C3827" i="1"/>
  <c r="A3828" i="1"/>
  <c r="C3828" i="1"/>
  <c r="A3829" i="1"/>
  <c r="C3829" i="1"/>
  <c r="A3830" i="1"/>
  <c r="C3830" i="1"/>
  <c r="A3831" i="1"/>
  <c r="C3831" i="1"/>
  <c r="A3832" i="1"/>
  <c r="C3832" i="1"/>
  <c r="A3833" i="1"/>
  <c r="C3833" i="1"/>
  <c r="A3834" i="1"/>
  <c r="C3834" i="1"/>
  <c r="A3835" i="1"/>
  <c r="C3835" i="1"/>
  <c r="A3836" i="1"/>
  <c r="C3836" i="1"/>
  <c r="A3837" i="1"/>
  <c r="C3837" i="1"/>
  <c r="A3838" i="1"/>
  <c r="C3838" i="1"/>
  <c r="A3839" i="1"/>
  <c r="C3839" i="1"/>
  <c r="A3840" i="1"/>
  <c r="C3840" i="1"/>
  <c r="A3841" i="1"/>
  <c r="C3841" i="1"/>
  <c r="A3842" i="1"/>
  <c r="C3842" i="1"/>
  <c r="A3843" i="1"/>
  <c r="C3843" i="1"/>
  <c r="A3844" i="1"/>
  <c r="C3844" i="1"/>
  <c r="A3845" i="1"/>
  <c r="C3845" i="1"/>
  <c r="A3846" i="1"/>
  <c r="C3846" i="1"/>
  <c r="A3847" i="1"/>
  <c r="C3847" i="1"/>
  <c r="A3848" i="1"/>
  <c r="C3848" i="1"/>
  <c r="A3849" i="1"/>
  <c r="C3849" i="1"/>
  <c r="A3850" i="1"/>
  <c r="C3850" i="1"/>
  <c r="A3851" i="1"/>
  <c r="C3851" i="1"/>
  <c r="A3852" i="1"/>
  <c r="C3852" i="1"/>
  <c r="A3853" i="1"/>
  <c r="C3853" i="1"/>
  <c r="A3854" i="1"/>
  <c r="C3854" i="1"/>
  <c r="A3855" i="1"/>
  <c r="C3855" i="1"/>
  <c r="A3856" i="1"/>
  <c r="C3856" i="1"/>
  <c r="A3857" i="1"/>
  <c r="C3857" i="1"/>
  <c r="A3858" i="1"/>
  <c r="C3858" i="1"/>
  <c r="A3859" i="1"/>
  <c r="C3859" i="1"/>
  <c r="A3860" i="1"/>
  <c r="C3860" i="1"/>
  <c r="A3861" i="1"/>
  <c r="C3861" i="1"/>
  <c r="A3862" i="1"/>
  <c r="C3862" i="1"/>
  <c r="A3863" i="1"/>
  <c r="C3863" i="1"/>
  <c r="A3864" i="1"/>
  <c r="C3864" i="1"/>
  <c r="A3865" i="1"/>
  <c r="C3865" i="1"/>
  <c r="A3866" i="1"/>
  <c r="C3866" i="1"/>
  <c r="A3867" i="1"/>
  <c r="C3867" i="1"/>
  <c r="A3868" i="1"/>
  <c r="C3868" i="1"/>
  <c r="A3869" i="1"/>
  <c r="C3869" i="1"/>
  <c r="A3870" i="1"/>
  <c r="C3870" i="1"/>
  <c r="A3871" i="1"/>
  <c r="C3871" i="1"/>
  <c r="A3872" i="1"/>
  <c r="C3872" i="1"/>
  <c r="A3873" i="1"/>
  <c r="C3873" i="1"/>
  <c r="A3874" i="1"/>
  <c r="C3874" i="1"/>
  <c r="A3875" i="1"/>
  <c r="C3875" i="1"/>
  <c r="A3876" i="1"/>
  <c r="C3876" i="1"/>
  <c r="A3877" i="1"/>
  <c r="C3877" i="1"/>
  <c r="A3878" i="1"/>
  <c r="C3878" i="1"/>
  <c r="A3879" i="1"/>
  <c r="C3879" i="1"/>
  <c r="A3880" i="1"/>
  <c r="C3880" i="1"/>
  <c r="A3881" i="1"/>
  <c r="C3881" i="1"/>
  <c r="A3882" i="1"/>
  <c r="C3882" i="1"/>
  <c r="A3883" i="1"/>
  <c r="C3883" i="1"/>
  <c r="A3884" i="1"/>
  <c r="C3884" i="1"/>
  <c r="A3885" i="1"/>
  <c r="C3885" i="1"/>
  <c r="A3886" i="1"/>
  <c r="C3886" i="1"/>
  <c r="A3887" i="1"/>
  <c r="C3887" i="1"/>
  <c r="A3888" i="1"/>
  <c r="C3888" i="1"/>
  <c r="A3889" i="1"/>
  <c r="C3889" i="1"/>
  <c r="A3890" i="1"/>
  <c r="C3890" i="1"/>
  <c r="A3891" i="1"/>
  <c r="C3891" i="1"/>
  <c r="A3892" i="1"/>
  <c r="C3892" i="1"/>
  <c r="A3893" i="1"/>
  <c r="C3893" i="1"/>
  <c r="A3894" i="1"/>
  <c r="C3894" i="1"/>
  <c r="A3895" i="1"/>
  <c r="C3895" i="1"/>
  <c r="A3896" i="1"/>
  <c r="C3896" i="1"/>
  <c r="A3897" i="1"/>
  <c r="C3897" i="1"/>
  <c r="A3898" i="1"/>
  <c r="C3898" i="1"/>
  <c r="A3899" i="1"/>
  <c r="C3899" i="1"/>
  <c r="A3900" i="1"/>
  <c r="C3900" i="1"/>
  <c r="A3901" i="1"/>
  <c r="C3901" i="1"/>
  <c r="A3902" i="1"/>
  <c r="C3902" i="1"/>
  <c r="A3903" i="1"/>
  <c r="C3903" i="1"/>
  <c r="A3904" i="1"/>
  <c r="C3904" i="1"/>
  <c r="A3905" i="1"/>
  <c r="C3905" i="1"/>
  <c r="A3906" i="1"/>
  <c r="C3906" i="1"/>
  <c r="A3907" i="1"/>
  <c r="C3907" i="1"/>
  <c r="A3908" i="1"/>
  <c r="C3908" i="1"/>
  <c r="A3909" i="1"/>
  <c r="C3909" i="1"/>
  <c r="A3910" i="1"/>
  <c r="C3910" i="1"/>
  <c r="A3911" i="1"/>
  <c r="C3911" i="1"/>
  <c r="A3912" i="1"/>
  <c r="C3912" i="1"/>
  <c r="A3913" i="1"/>
  <c r="C3913" i="1"/>
  <c r="A3914" i="1"/>
  <c r="C3914" i="1"/>
  <c r="A3915" i="1"/>
  <c r="C3915" i="1"/>
  <c r="A3916" i="1"/>
  <c r="C3916" i="1"/>
  <c r="A3917" i="1"/>
  <c r="C3917" i="1"/>
  <c r="A3918" i="1"/>
  <c r="C3918" i="1"/>
  <c r="A3919" i="1"/>
  <c r="C3919" i="1"/>
  <c r="A3920" i="1"/>
  <c r="C3920" i="1"/>
  <c r="A3921" i="1"/>
  <c r="C3921" i="1"/>
  <c r="A3922" i="1"/>
  <c r="C3922" i="1"/>
  <c r="A3923" i="1"/>
  <c r="C3923" i="1"/>
  <c r="A3924" i="1"/>
  <c r="C3924" i="1"/>
  <c r="A3925" i="1"/>
  <c r="C3925" i="1"/>
  <c r="A3926" i="1"/>
  <c r="C3926" i="1"/>
  <c r="A3927" i="1"/>
  <c r="C3927" i="1"/>
  <c r="A3928" i="1"/>
  <c r="C3928" i="1"/>
  <c r="A3929" i="1"/>
  <c r="C3929" i="1"/>
  <c r="A3930" i="1"/>
  <c r="C3930" i="1"/>
  <c r="A3931" i="1"/>
  <c r="C3931" i="1"/>
  <c r="A3932" i="1"/>
  <c r="C3932" i="1"/>
  <c r="A3933" i="1"/>
  <c r="C3933" i="1"/>
  <c r="A3934" i="1"/>
  <c r="C3934" i="1"/>
  <c r="A3935" i="1"/>
  <c r="C3935" i="1"/>
  <c r="A3936" i="1"/>
  <c r="C3936" i="1"/>
  <c r="A3937" i="1"/>
  <c r="C3937" i="1"/>
  <c r="A3938" i="1"/>
  <c r="C3938" i="1"/>
  <c r="A3939" i="1"/>
  <c r="C3939" i="1"/>
  <c r="A3940" i="1"/>
  <c r="C3940" i="1"/>
  <c r="A3941" i="1"/>
  <c r="C3941" i="1"/>
  <c r="A3942" i="1"/>
  <c r="C3942" i="1"/>
  <c r="A3943" i="1"/>
  <c r="C3943" i="1"/>
  <c r="A3944" i="1"/>
  <c r="C3944" i="1"/>
  <c r="A3945" i="1"/>
  <c r="C3945" i="1"/>
  <c r="A3946" i="1"/>
  <c r="C3946" i="1"/>
  <c r="A3947" i="1"/>
  <c r="C3947" i="1"/>
  <c r="A3948" i="1"/>
  <c r="C3948" i="1"/>
  <c r="A3949" i="1"/>
  <c r="C3949" i="1"/>
  <c r="A3950" i="1"/>
  <c r="C3950" i="1"/>
  <c r="A3951" i="1"/>
  <c r="C3951" i="1"/>
  <c r="A3952" i="1"/>
  <c r="C3952" i="1"/>
  <c r="A3953" i="1"/>
  <c r="C3953" i="1"/>
  <c r="A3954" i="1"/>
  <c r="C3954" i="1"/>
  <c r="A3955" i="1"/>
  <c r="C3955" i="1"/>
  <c r="A3956" i="1"/>
  <c r="C3956" i="1"/>
  <c r="A3957" i="1"/>
  <c r="C3957" i="1"/>
  <c r="A3958" i="1"/>
  <c r="C3958" i="1"/>
  <c r="A3959" i="1"/>
  <c r="C3959" i="1"/>
  <c r="A3960" i="1"/>
  <c r="C3960" i="1"/>
  <c r="A3961" i="1"/>
  <c r="C3961" i="1"/>
  <c r="A3962" i="1"/>
  <c r="C3962" i="1"/>
  <c r="A3963" i="1"/>
  <c r="C3963" i="1"/>
  <c r="A3964" i="1"/>
  <c r="C3964" i="1"/>
  <c r="A3965" i="1"/>
  <c r="C3965" i="1"/>
  <c r="A3966" i="1"/>
  <c r="C3966" i="1"/>
  <c r="A3967" i="1"/>
  <c r="C3967" i="1"/>
  <c r="A3968" i="1"/>
  <c r="C3968" i="1"/>
  <c r="A3969" i="1"/>
  <c r="C3969" i="1"/>
  <c r="A3970" i="1"/>
  <c r="C3970" i="1"/>
  <c r="A3971" i="1"/>
  <c r="C3971" i="1"/>
  <c r="A3972" i="1"/>
  <c r="C3972" i="1"/>
  <c r="A3973" i="1"/>
  <c r="C3973" i="1"/>
  <c r="A3974" i="1"/>
  <c r="C3974" i="1"/>
  <c r="A3975" i="1"/>
  <c r="C3975" i="1"/>
  <c r="A3976" i="1"/>
  <c r="C3976" i="1"/>
  <c r="A3977" i="1"/>
  <c r="C3977" i="1"/>
  <c r="A3978" i="1"/>
  <c r="C3978" i="1"/>
  <c r="A3979" i="1"/>
  <c r="C3979" i="1"/>
  <c r="A3980" i="1"/>
  <c r="C3980" i="1"/>
  <c r="A3981" i="1"/>
  <c r="C3981" i="1"/>
  <c r="A3982" i="1"/>
  <c r="C3982" i="1"/>
  <c r="A3983" i="1"/>
  <c r="C3983" i="1"/>
  <c r="A3984" i="1"/>
  <c r="C3984" i="1"/>
  <c r="A3985" i="1"/>
  <c r="C3985" i="1"/>
  <c r="A3986" i="1"/>
  <c r="C3986" i="1"/>
  <c r="A3987" i="1"/>
  <c r="C3987" i="1"/>
  <c r="A3988" i="1"/>
  <c r="C3988" i="1"/>
  <c r="A3989" i="1"/>
  <c r="C3989" i="1"/>
  <c r="A3990" i="1"/>
  <c r="C3990" i="1"/>
  <c r="A3991" i="1"/>
  <c r="C3991" i="1"/>
  <c r="A3992" i="1"/>
  <c r="C3992" i="1"/>
  <c r="A3993" i="1"/>
  <c r="C3993" i="1"/>
  <c r="A3994" i="1"/>
  <c r="C3994" i="1"/>
  <c r="A3995" i="1"/>
  <c r="C3995" i="1"/>
  <c r="A3996" i="1"/>
  <c r="C3996" i="1"/>
  <c r="A3997" i="1"/>
  <c r="C3997" i="1"/>
  <c r="A3998" i="1"/>
  <c r="C3998" i="1"/>
  <c r="A3999" i="1"/>
  <c r="C3999" i="1"/>
  <c r="A4000" i="1"/>
  <c r="C4000" i="1"/>
  <c r="A4001" i="1"/>
  <c r="C4001" i="1"/>
  <c r="A4002" i="1"/>
  <c r="C4002" i="1"/>
  <c r="A4003" i="1"/>
  <c r="C4003" i="1"/>
  <c r="A4004" i="1"/>
  <c r="C4004" i="1"/>
  <c r="A4005" i="1"/>
  <c r="C4005" i="1"/>
  <c r="A4006" i="1"/>
  <c r="C4006" i="1"/>
  <c r="A4007" i="1"/>
  <c r="C4007" i="1"/>
  <c r="A4008" i="1"/>
  <c r="C4008" i="1"/>
  <c r="A4009" i="1"/>
  <c r="C4009" i="1"/>
  <c r="A4010" i="1"/>
  <c r="C4010" i="1"/>
  <c r="A4011" i="1"/>
  <c r="C4011" i="1"/>
  <c r="A4012" i="1"/>
  <c r="C4012" i="1"/>
  <c r="A4013" i="1"/>
  <c r="C4013" i="1"/>
  <c r="A4014" i="1"/>
  <c r="C4014" i="1"/>
  <c r="A4015" i="1"/>
  <c r="C4015" i="1"/>
  <c r="A4016" i="1"/>
  <c r="C4016" i="1"/>
  <c r="A4017" i="1"/>
  <c r="C4017" i="1"/>
  <c r="A4018" i="1"/>
  <c r="C4018" i="1"/>
  <c r="A4019" i="1"/>
  <c r="C4019" i="1"/>
  <c r="A4020" i="1"/>
  <c r="C4020" i="1"/>
  <c r="A4021" i="1"/>
  <c r="C4021" i="1"/>
  <c r="A4022" i="1"/>
  <c r="C4022" i="1"/>
  <c r="A4023" i="1"/>
  <c r="C4023" i="1"/>
  <c r="A4024" i="1"/>
  <c r="C4024" i="1"/>
  <c r="A4025" i="1"/>
  <c r="C4025" i="1"/>
  <c r="A4026" i="1"/>
  <c r="C4026" i="1"/>
  <c r="A4027" i="1"/>
  <c r="C4027" i="1"/>
  <c r="A4028" i="1"/>
  <c r="C4028" i="1"/>
  <c r="A4029" i="1"/>
  <c r="C4029" i="1"/>
  <c r="A4030" i="1"/>
  <c r="C4030" i="1"/>
  <c r="A4031" i="1"/>
  <c r="C4031" i="1"/>
  <c r="A4032" i="1"/>
  <c r="C4032" i="1"/>
  <c r="A4033" i="1"/>
  <c r="C4033" i="1"/>
  <c r="A4034" i="1"/>
  <c r="C4034" i="1"/>
  <c r="A4035" i="1"/>
  <c r="C4035" i="1"/>
  <c r="A4036" i="1"/>
  <c r="C4036" i="1"/>
  <c r="A4037" i="1"/>
  <c r="C4037" i="1"/>
  <c r="A4038" i="1"/>
  <c r="C4038" i="1"/>
  <c r="A4039" i="1"/>
  <c r="C4039" i="1"/>
  <c r="A4040" i="1"/>
  <c r="C4040" i="1"/>
  <c r="A4041" i="1"/>
  <c r="C4041" i="1"/>
  <c r="A4042" i="1"/>
  <c r="C4042" i="1"/>
  <c r="A4043" i="1"/>
  <c r="C4043" i="1"/>
  <c r="A4044" i="1"/>
  <c r="C4044" i="1"/>
  <c r="A4045" i="1"/>
  <c r="C4045" i="1"/>
  <c r="A4046" i="1"/>
  <c r="C4046" i="1"/>
  <c r="A4047" i="1"/>
  <c r="C4047" i="1"/>
  <c r="A4048" i="1"/>
  <c r="C4048" i="1"/>
  <c r="A4049" i="1"/>
  <c r="C4049" i="1"/>
  <c r="A4050" i="1"/>
  <c r="C4050" i="1"/>
  <c r="A4051" i="1"/>
  <c r="C4051" i="1"/>
  <c r="A4052" i="1"/>
  <c r="C4052" i="1"/>
  <c r="A4053" i="1"/>
  <c r="C4053" i="1"/>
  <c r="A4054" i="1"/>
  <c r="C4054" i="1"/>
  <c r="A4055" i="1"/>
  <c r="C4055" i="1"/>
  <c r="A4056" i="1"/>
  <c r="C4056" i="1"/>
  <c r="A4057" i="1"/>
  <c r="C4057" i="1"/>
  <c r="A4058" i="1"/>
  <c r="C4058" i="1"/>
  <c r="A4059" i="1"/>
  <c r="C4059" i="1"/>
  <c r="A4060" i="1"/>
  <c r="C4060" i="1"/>
  <c r="A4061" i="1"/>
  <c r="C4061" i="1"/>
  <c r="A4062" i="1"/>
  <c r="C4062" i="1"/>
  <c r="A4063" i="1"/>
  <c r="C4063" i="1"/>
  <c r="A4064" i="1"/>
  <c r="C4064" i="1"/>
  <c r="A4065" i="1"/>
  <c r="C4065" i="1"/>
  <c r="A4066" i="1"/>
  <c r="C4066" i="1"/>
  <c r="A4067" i="1"/>
  <c r="C4067" i="1"/>
  <c r="A4068" i="1"/>
  <c r="C4068" i="1"/>
  <c r="A4069" i="1"/>
  <c r="C4069" i="1"/>
  <c r="A4070" i="1"/>
  <c r="C4070" i="1"/>
  <c r="A4071" i="1"/>
  <c r="C4071" i="1"/>
  <c r="A4072" i="1"/>
  <c r="C4072" i="1"/>
  <c r="A4073" i="1"/>
  <c r="C4073" i="1"/>
  <c r="A4074" i="1"/>
  <c r="C4074" i="1"/>
  <c r="A4075" i="1"/>
  <c r="C4075" i="1"/>
  <c r="A4076" i="1"/>
  <c r="C4076" i="1"/>
  <c r="A4077" i="1"/>
  <c r="C4077" i="1"/>
  <c r="A4078" i="1"/>
  <c r="C4078" i="1"/>
  <c r="A4079" i="1"/>
  <c r="C4079" i="1"/>
  <c r="A4080" i="1"/>
  <c r="C4080" i="1"/>
  <c r="A4081" i="1"/>
  <c r="C4081" i="1"/>
  <c r="A4082" i="1"/>
  <c r="C4082" i="1"/>
  <c r="A4083" i="1"/>
  <c r="C4083" i="1"/>
  <c r="A4084" i="1"/>
  <c r="C4084" i="1"/>
  <c r="A4085" i="1"/>
  <c r="C4085" i="1"/>
  <c r="A4086" i="1"/>
  <c r="C4086" i="1"/>
  <c r="A4087" i="1"/>
  <c r="C4087" i="1"/>
  <c r="A4088" i="1"/>
  <c r="C4088" i="1"/>
  <c r="A4089" i="1"/>
  <c r="C4089" i="1"/>
  <c r="A4090" i="1"/>
  <c r="C4090" i="1"/>
  <c r="A4091" i="1"/>
  <c r="C4091" i="1"/>
  <c r="A4092" i="1"/>
  <c r="C4092" i="1"/>
  <c r="A4093" i="1"/>
  <c r="C4093" i="1"/>
  <c r="A4094" i="1"/>
  <c r="C4094" i="1"/>
  <c r="A4095" i="1"/>
  <c r="C4095" i="1"/>
  <c r="A4096" i="1"/>
  <c r="C4096" i="1"/>
  <c r="A4097" i="1"/>
  <c r="C4097" i="1"/>
  <c r="A4098" i="1"/>
  <c r="C4098" i="1"/>
  <c r="A4099" i="1"/>
  <c r="C4099" i="1"/>
  <c r="A4100" i="1"/>
  <c r="C4100" i="1"/>
  <c r="A4101" i="1"/>
  <c r="C4101" i="1"/>
  <c r="A4102" i="1"/>
  <c r="C4102" i="1"/>
  <c r="A4103" i="1"/>
  <c r="C4103" i="1"/>
  <c r="A4104" i="1"/>
  <c r="C4104" i="1"/>
  <c r="A4105" i="1"/>
  <c r="C4105" i="1"/>
  <c r="A4106" i="1"/>
  <c r="C4106" i="1"/>
  <c r="A4107" i="1"/>
  <c r="C4107" i="1"/>
  <c r="A4108" i="1"/>
  <c r="C4108" i="1"/>
  <c r="A4109" i="1"/>
  <c r="C4109" i="1"/>
  <c r="A4110" i="1"/>
  <c r="C4110" i="1"/>
  <c r="A4111" i="1"/>
  <c r="C4111" i="1"/>
  <c r="A4112" i="1"/>
  <c r="C4112" i="1"/>
  <c r="A4113" i="1"/>
  <c r="C4113" i="1"/>
  <c r="A4114" i="1"/>
  <c r="C4114" i="1"/>
  <c r="A4115" i="1"/>
  <c r="C4115" i="1"/>
  <c r="A4116" i="1"/>
  <c r="C4116" i="1"/>
  <c r="A4117" i="1"/>
  <c r="C4117" i="1"/>
  <c r="A4118" i="1"/>
  <c r="C4118" i="1"/>
  <c r="A4119" i="1"/>
  <c r="C4119" i="1"/>
  <c r="A4120" i="1"/>
  <c r="C4120" i="1"/>
  <c r="A4121" i="1"/>
  <c r="C4121" i="1"/>
  <c r="A4122" i="1"/>
  <c r="C4122" i="1"/>
  <c r="A4123" i="1"/>
  <c r="C4123" i="1"/>
  <c r="A4124" i="1"/>
  <c r="C4124" i="1"/>
  <c r="A4125" i="1"/>
  <c r="C4125" i="1"/>
  <c r="A4126" i="1"/>
  <c r="C4126" i="1"/>
  <c r="A4127" i="1"/>
  <c r="C4127" i="1"/>
  <c r="A4128" i="1"/>
  <c r="C4128" i="1"/>
  <c r="A4129" i="1"/>
  <c r="C4129" i="1"/>
  <c r="A4130" i="1"/>
  <c r="C4130" i="1"/>
  <c r="A4131" i="1"/>
  <c r="C4131" i="1"/>
  <c r="A4132" i="1"/>
  <c r="C4132" i="1"/>
  <c r="A4133" i="1"/>
  <c r="C4133" i="1"/>
  <c r="A4134" i="1"/>
  <c r="C4134" i="1"/>
  <c r="A4135" i="1"/>
  <c r="C4135" i="1"/>
  <c r="A4136" i="1"/>
  <c r="C4136" i="1"/>
  <c r="A4137" i="1"/>
  <c r="C4137" i="1"/>
  <c r="A4138" i="1"/>
  <c r="C4138" i="1"/>
  <c r="A4139" i="1"/>
  <c r="C4139" i="1"/>
  <c r="A4140" i="1"/>
  <c r="C4140" i="1"/>
  <c r="A4141" i="1"/>
  <c r="C4141" i="1"/>
  <c r="A4142" i="1"/>
  <c r="C4142" i="1"/>
  <c r="A4143" i="1"/>
  <c r="C4143" i="1"/>
  <c r="A4144" i="1"/>
  <c r="C4144" i="1"/>
  <c r="A4145" i="1"/>
  <c r="C4145" i="1"/>
  <c r="A4146" i="1"/>
  <c r="C4146" i="1"/>
  <c r="A4147" i="1"/>
  <c r="C4147" i="1"/>
  <c r="A4148" i="1"/>
  <c r="C4148" i="1"/>
  <c r="A4149" i="1"/>
  <c r="C4149" i="1"/>
  <c r="A4150" i="1"/>
  <c r="C4150" i="1"/>
  <c r="A4151" i="1"/>
  <c r="C4151" i="1"/>
  <c r="A4152" i="1"/>
  <c r="C4152" i="1"/>
  <c r="A4153" i="1"/>
  <c r="C4153" i="1"/>
  <c r="A4154" i="1"/>
  <c r="C4154" i="1"/>
  <c r="A4155" i="1"/>
  <c r="C4155" i="1"/>
  <c r="A4156" i="1"/>
  <c r="C4156" i="1"/>
  <c r="A4157" i="1"/>
  <c r="C4157" i="1"/>
  <c r="A4158" i="1"/>
  <c r="C4158" i="1"/>
  <c r="A4159" i="1"/>
  <c r="C4159" i="1"/>
  <c r="A4160" i="1"/>
  <c r="C4160" i="1"/>
  <c r="A4161" i="1"/>
  <c r="C4161" i="1"/>
  <c r="A4162" i="1"/>
  <c r="C4162" i="1"/>
  <c r="A4163" i="1"/>
  <c r="C4163" i="1"/>
  <c r="A4164" i="1"/>
  <c r="C4164" i="1"/>
  <c r="A4165" i="1"/>
  <c r="C4165" i="1"/>
  <c r="A4166" i="1"/>
  <c r="C4166" i="1"/>
  <c r="A4167" i="1"/>
  <c r="C4167" i="1"/>
  <c r="A4168" i="1"/>
  <c r="C4168" i="1"/>
  <c r="A4169" i="1"/>
  <c r="C4169" i="1"/>
  <c r="A4170" i="1"/>
  <c r="C4170" i="1"/>
  <c r="A4171" i="1"/>
  <c r="C4171" i="1"/>
  <c r="A4172" i="1"/>
  <c r="C4172" i="1"/>
  <c r="A4173" i="1"/>
  <c r="C4173" i="1"/>
  <c r="A4174" i="1"/>
  <c r="C4174" i="1"/>
  <c r="A4175" i="1"/>
  <c r="C4175" i="1"/>
  <c r="A4176" i="1"/>
  <c r="C4176" i="1"/>
  <c r="A4177" i="1"/>
  <c r="C4177" i="1"/>
  <c r="A4178" i="1"/>
  <c r="C4178" i="1"/>
  <c r="A4179" i="1"/>
  <c r="C4179" i="1"/>
  <c r="A4180" i="1"/>
  <c r="C4180" i="1"/>
  <c r="A4181" i="1"/>
  <c r="C4181" i="1"/>
  <c r="A4182" i="1"/>
  <c r="C4182" i="1"/>
  <c r="A4183" i="1"/>
  <c r="C4183" i="1"/>
  <c r="A4184" i="1"/>
  <c r="C4184" i="1"/>
  <c r="A4185" i="1"/>
  <c r="C4185" i="1"/>
  <c r="A4186" i="1"/>
  <c r="C4186" i="1"/>
  <c r="A4187" i="1"/>
  <c r="C4187" i="1"/>
  <c r="A4188" i="1"/>
  <c r="C4188" i="1"/>
  <c r="A4189" i="1"/>
  <c r="C4189" i="1"/>
  <c r="A4190" i="1"/>
  <c r="C4190" i="1"/>
  <c r="A4191" i="1"/>
  <c r="C4191" i="1"/>
  <c r="A4192" i="1"/>
  <c r="C4192" i="1"/>
  <c r="A4193" i="1"/>
  <c r="C4193" i="1"/>
  <c r="A4194" i="1"/>
  <c r="C4194" i="1"/>
  <c r="A4195" i="1"/>
  <c r="C4195" i="1"/>
  <c r="A4196" i="1"/>
  <c r="C4196" i="1"/>
  <c r="A4197" i="1"/>
  <c r="C4197" i="1"/>
  <c r="A4198" i="1"/>
  <c r="C4198" i="1"/>
  <c r="A4199" i="1"/>
  <c r="C4199" i="1"/>
  <c r="A4200" i="1"/>
  <c r="C4200" i="1"/>
  <c r="A4201" i="1"/>
  <c r="C4201" i="1"/>
  <c r="A4202" i="1"/>
  <c r="C4202" i="1"/>
  <c r="A4203" i="1"/>
  <c r="C4203" i="1"/>
  <c r="A4204" i="1"/>
  <c r="C4204" i="1"/>
  <c r="A4205" i="1"/>
  <c r="C4205" i="1"/>
  <c r="A4206" i="1"/>
  <c r="C4206" i="1"/>
  <c r="A4207" i="1"/>
  <c r="C4207" i="1"/>
  <c r="A4208" i="1"/>
  <c r="C4208" i="1"/>
  <c r="A4209" i="1"/>
  <c r="C4209" i="1"/>
  <c r="A4210" i="1"/>
  <c r="C4210" i="1"/>
  <c r="A4211" i="1"/>
  <c r="C4211" i="1"/>
  <c r="A4212" i="1"/>
  <c r="C4212" i="1"/>
  <c r="A4213" i="1"/>
  <c r="C4213" i="1"/>
  <c r="A4214" i="1"/>
  <c r="C4214" i="1"/>
  <c r="A4215" i="1"/>
  <c r="C4215" i="1"/>
  <c r="A4216" i="1"/>
  <c r="C4216" i="1"/>
  <c r="A4217" i="1"/>
  <c r="C4217" i="1"/>
  <c r="A4218" i="1"/>
  <c r="C4218" i="1"/>
  <c r="A4219" i="1"/>
  <c r="C4219" i="1"/>
  <c r="A4220" i="1"/>
  <c r="C4220" i="1"/>
  <c r="A4221" i="1"/>
  <c r="C4221" i="1"/>
  <c r="A4222" i="1"/>
  <c r="C4222" i="1"/>
  <c r="A4223" i="1"/>
  <c r="C4223" i="1"/>
  <c r="A4224" i="1"/>
  <c r="C4224" i="1"/>
  <c r="A4225" i="1"/>
  <c r="C4225" i="1"/>
  <c r="A4226" i="1"/>
  <c r="C4226" i="1"/>
  <c r="A4227" i="1"/>
  <c r="C4227" i="1"/>
  <c r="A4228" i="1"/>
  <c r="C4228" i="1"/>
  <c r="A4229" i="1"/>
  <c r="C4229" i="1"/>
  <c r="A4230" i="1"/>
  <c r="C4230" i="1"/>
  <c r="A4231" i="1"/>
  <c r="C4231" i="1"/>
  <c r="A4232" i="1"/>
  <c r="C4232" i="1"/>
  <c r="A4233" i="1"/>
  <c r="C4233" i="1"/>
  <c r="A4234" i="1"/>
  <c r="C4234" i="1"/>
  <c r="A4235" i="1"/>
  <c r="C4235" i="1"/>
  <c r="A4236" i="1"/>
  <c r="C4236" i="1"/>
  <c r="A4237" i="1"/>
  <c r="C4237" i="1"/>
  <c r="A4238" i="1"/>
  <c r="C4238" i="1"/>
  <c r="A4239" i="1"/>
  <c r="C4239" i="1"/>
  <c r="A4240" i="1"/>
  <c r="C4240" i="1"/>
  <c r="A4241" i="1"/>
  <c r="C4241" i="1"/>
  <c r="A4242" i="1"/>
  <c r="C4242" i="1"/>
  <c r="A4243" i="1"/>
  <c r="C4243" i="1"/>
  <c r="A4244" i="1"/>
  <c r="C4244" i="1"/>
  <c r="A4245" i="1"/>
  <c r="C4245" i="1"/>
  <c r="A4246" i="1"/>
  <c r="C4246" i="1"/>
  <c r="A4247" i="1"/>
  <c r="C4247" i="1"/>
  <c r="A4248" i="1"/>
  <c r="C4248" i="1"/>
  <c r="A4249" i="1"/>
  <c r="C4249" i="1"/>
  <c r="A4250" i="1"/>
  <c r="C4250" i="1"/>
  <c r="A4251" i="1"/>
  <c r="C4251" i="1"/>
  <c r="A4252" i="1"/>
  <c r="C4252" i="1"/>
  <c r="A4253" i="1"/>
  <c r="C4253" i="1"/>
  <c r="A4254" i="1"/>
  <c r="C4254" i="1"/>
  <c r="A4255" i="1"/>
  <c r="C4255" i="1"/>
  <c r="A4256" i="1"/>
  <c r="C4256" i="1"/>
  <c r="A4257" i="1"/>
  <c r="C4257" i="1"/>
  <c r="A4258" i="1"/>
  <c r="C4258" i="1"/>
  <c r="A4259" i="1"/>
  <c r="C4259" i="1"/>
  <c r="A4260" i="1"/>
  <c r="C4260" i="1"/>
  <c r="A4261" i="1"/>
  <c r="C4261" i="1"/>
  <c r="A4262" i="1"/>
  <c r="C4262" i="1"/>
  <c r="A4263" i="1"/>
  <c r="C4263" i="1"/>
  <c r="A4264" i="1"/>
  <c r="C4264" i="1"/>
  <c r="A4265" i="1"/>
  <c r="C4265" i="1"/>
  <c r="A4266" i="1"/>
  <c r="C4266" i="1"/>
  <c r="A4267" i="1"/>
  <c r="C4267" i="1"/>
  <c r="A4268" i="1"/>
  <c r="C4268" i="1"/>
  <c r="A4269" i="1"/>
  <c r="C4269" i="1"/>
  <c r="A4270" i="1"/>
  <c r="C4270" i="1"/>
  <c r="A4271" i="1"/>
  <c r="C4271" i="1"/>
  <c r="A4272" i="1"/>
  <c r="C4272" i="1"/>
  <c r="A4273" i="1"/>
  <c r="C4273" i="1"/>
  <c r="A4274" i="1"/>
  <c r="C4274" i="1"/>
  <c r="A4275" i="1"/>
  <c r="C4275" i="1"/>
  <c r="A4276" i="1"/>
  <c r="C4276" i="1"/>
  <c r="A4277" i="1"/>
  <c r="C4277" i="1"/>
  <c r="A4278" i="1"/>
  <c r="C4278" i="1"/>
  <c r="A4279" i="1"/>
  <c r="C4279" i="1"/>
  <c r="A4280" i="1"/>
  <c r="C4280" i="1"/>
  <c r="A4281" i="1"/>
  <c r="C4281" i="1"/>
  <c r="A4282" i="1"/>
  <c r="C4282" i="1"/>
  <c r="A4283" i="1"/>
  <c r="C4283" i="1"/>
  <c r="A4284" i="1"/>
  <c r="C4284" i="1"/>
  <c r="A4285" i="1"/>
  <c r="C4285" i="1"/>
  <c r="A4286" i="1"/>
  <c r="C4286" i="1"/>
  <c r="A4287" i="1"/>
  <c r="C4287" i="1"/>
  <c r="A4288" i="1"/>
  <c r="C4288" i="1"/>
  <c r="A4289" i="1"/>
  <c r="C4289" i="1"/>
  <c r="A4290" i="1"/>
  <c r="C4290" i="1"/>
  <c r="A4291" i="1"/>
  <c r="C4291" i="1"/>
  <c r="A4292" i="1"/>
  <c r="C4292" i="1"/>
  <c r="A4293" i="1"/>
  <c r="C4293" i="1"/>
  <c r="A4294" i="1"/>
  <c r="C4294" i="1"/>
  <c r="A4295" i="1"/>
  <c r="C4295" i="1"/>
  <c r="A4296" i="1"/>
  <c r="C4296" i="1"/>
  <c r="A4297" i="1"/>
  <c r="C4297" i="1"/>
  <c r="A4298" i="1"/>
  <c r="C4298" i="1"/>
  <c r="A4299" i="1"/>
  <c r="C4299" i="1"/>
  <c r="A4300" i="1"/>
  <c r="C4300" i="1"/>
  <c r="A4301" i="1"/>
  <c r="C4301" i="1"/>
  <c r="A4302" i="1"/>
  <c r="C4302" i="1"/>
  <c r="A4303" i="1"/>
  <c r="C4303" i="1"/>
  <c r="A4304" i="1"/>
  <c r="C4304" i="1"/>
  <c r="A4305" i="1"/>
  <c r="C4305" i="1"/>
  <c r="A4306" i="1"/>
  <c r="C4306" i="1"/>
  <c r="A4307" i="1"/>
  <c r="C4307" i="1"/>
  <c r="A4308" i="1"/>
  <c r="C4308" i="1"/>
  <c r="A4309" i="1"/>
  <c r="C4309" i="1"/>
  <c r="A4310" i="1"/>
  <c r="C4310" i="1"/>
  <c r="A4311" i="1"/>
  <c r="C4311" i="1"/>
  <c r="A4312" i="1"/>
  <c r="C4312" i="1"/>
  <c r="A4313" i="1"/>
  <c r="C4313" i="1"/>
  <c r="A4314" i="1"/>
  <c r="C4314" i="1"/>
  <c r="A4315" i="1"/>
  <c r="C4315" i="1"/>
  <c r="A4316" i="1"/>
  <c r="C4316" i="1"/>
  <c r="A4317" i="1"/>
  <c r="C4317" i="1"/>
  <c r="A4318" i="1"/>
  <c r="C4318" i="1"/>
  <c r="A4319" i="1"/>
  <c r="C4319" i="1"/>
  <c r="A4320" i="1"/>
  <c r="C4320" i="1"/>
  <c r="A4321" i="1"/>
  <c r="C4321" i="1"/>
  <c r="A4322" i="1"/>
  <c r="C4322" i="1"/>
  <c r="A4323" i="1"/>
  <c r="C4323" i="1"/>
  <c r="A4324" i="1"/>
  <c r="C4324" i="1"/>
  <c r="A4325" i="1"/>
  <c r="C4325" i="1"/>
  <c r="A4326" i="1"/>
  <c r="C4326" i="1"/>
  <c r="A4327" i="1"/>
  <c r="C4327" i="1"/>
  <c r="A4328" i="1"/>
  <c r="C4328" i="1"/>
  <c r="A4329" i="1"/>
  <c r="C4329" i="1"/>
  <c r="A4330" i="1"/>
  <c r="C4330" i="1"/>
  <c r="A4331" i="1"/>
  <c r="C4331" i="1"/>
  <c r="A4332" i="1"/>
  <c r="C4332" i="1"/>
  <c r="A4333" i="1"/>
  <c r="C4333" i="1"/>
  <c r="A4334" i="1"/>
  <c r="C4334" i="1"/>
  <c r="A4335" i="1"/>
  <c r="C4335" i="1"/>
  <c r="A4336" i="1"/>
  <c r="C4336" i="1"/>
  <c r="A4337" i="1"/>
  <c r="C4337" i="1"/>
  <c r="A4338" i="1"/>
  <c r="C4338" i="1"/>
  <c r="A4339" i="1"/>
  <c r="C4339" i="1"/>
  <c r="A4340" i="1"/>
  <c r="C4340" i="1"/>
  <c r="A4341" i="1"/>
  <c r="C4341" i="1"/>
  <c r="A4342" i="1"/>
  <c r="C4342" i="1"/>
  <c r="A4343" i="1"/>
  <c r="C4343" i="1"/>
  <c r="A4344" i="1"/>
  <c r="C4344" i="1"/>
  <c r="A4345" i="1"/>
  <c r="C4345" i="1"/>
  <c r="A4346" i="1"/>
  <c r="C4346" i="1"/>
  <c r="A4347" i="1"/>
  <c r="C4347" i="1"/>
  <c r="A4348" i="1"/>
  <c r="C4348" i="1"/>
  <c r="A4349" i="1"/>
  <c r="C4349" i="1"/>
  <c r="A4350" i="1"/>
  <c r="C4350" i="1"/>
  <c r="A4351" i="1"/>
  <c r="C4351" i="1"/>
  <c r="A4352" i="1"/>
  <c r="C4352" i="1"/>
  <c r="A4353" i="1"/>
  <c r="C4353" i="1"/>
  <c r="A4354" i="1"/>
  <c r="C4354" i="1"/>
  <c r="A4355" i="1"/>
  <c r="C4355" i="1"/>
  <c r="A4356" i="1"/>
  <c r="C4356" i="1"/>
  <c r="A4357" i="1"/>
  <c r="C4357" i="1"/>
  <c r="A4358" i="1"/>
  <c r="C4358" i="1"/>
  <c r="A4359" i="1"/>
  <c r="C4359" i="1"/>
  <c r="A4360" i="1"/>
  <c r="C4360" i="1"/>
  <c r="A4361" i="1"/>
  <c r="C4361" i="1"/>
  <c r="A4362" i="1"/>
  <c r="C4362" i="1"/>
  <c r="A4363" i="1"/>
  <c r="C4363" i="1"/>
  <c r="A4364" i="1"/>
  <c r="C4364" i="1"/>
  <c r="A4365" i="1"/>
  <c r="C4365" i="1"/>
  <c r="A4366" i="1"/>
  <c r="C4366" i="1"/>
  <c r="A4367" i="1"/>
  <c r="C4367" i="1"/>
  <c r="A4368" i="1"/>
  <c r="C4368" i="1"/>
  <c r="A4369" i="1"/>
  <c r="C4369" i="1"/>
  <c r="A4370" i="1"/>
  <c r="C4370" i="1"/>
  <c r="A4371" i="1"/>
  <c r="C4371" i="1"/>
  <c r="A4372" i="1"/>
  <c r="C4372" i="1"/>
  <c r="A4373" i="1"/>
  <c r="C4373" i="1"/>
  <c r="A4374" i="1"/>
  <c r="C4374" i="1"/>
  <c r="A4375" i="1"/>
  <c r="C4375" i="1"/>
  <c r="A4376" i="1"/>
  <c r="C4376" i="1"/>
  <c r="A4377" i="1"/>
  <c r="C4377" i="1"/>
  <c r="A4378" i="1"/>
  <c r="C4378" i="1"/>
  <c r="A4379" i="1"/>
  <c r="C4379" i="1"/>
  <c r="A4380" i="1"/>
  <c r="C4380" i="1"/>
  <c r="A4381" i="1"/>
  <c r="C4381" i="1"/>
  <c r="A4382" i="1"/>
  <c r="C4382" i="1"/>
  <c r="A4383" i="1"/>
  <c r="C4383" i="1"/>
  <c r="A4384" i="1"/>
  <c r="C4384" i="1"/>
  <c r="A4385" i="1"/>
  <c r="C4385" i="1"/>
  <c r="A4386" i="1"/>
  <c r="C4386" i="1"/>
  <c r="A4387" i="1"/>
  <c r="C4387" i="1"/>
  <c r="A4388" i="1"/>
  <c r="C4388" i="1"/>
  <c r="A4389" i="1"/>
  <c r="C4389" i="1"/>
  <c r="A4390" i="1"/>
  <c r="C4390" i="1"/>
  <c r="A4391" i="1"/>
  <c r="C4391" i="1"/>
  <c r="A4392" i="1"/>
  <c r="C4392" i="1"/>
  <c r="A4393" i="1"/>
  <c r="C4393" i="1"/>
  <c r="A4394" i="1"/>
  <c r="C4394" i="1"/>
  <c r="A4395" i="1"/>
  <c r="C4395" i="1"/>
  <c r="A4396" i="1"/>
  <c r="C4396" i="1"/>
  <c r="A4397" i="1"/>
  <c r="C4397" i="1"/>
  <c r="A4398" i="1"/>
  <c r="C4398" i="1"/>
  <c r="A4399" i="1"/>
  <c r="C4399" i="1"/>
  <c r="A4400" i="1"/>
  <c r="C4400" i="1"/>
  <c r="A4401" i="1"/>
  <c r="C4401" i="1"/>
  <c r="A4402" i="1"/>
  <c r="C4402" i="1"/>
  <c r="A4403" i="1"/>
  <c r="C4403" i="1"/>
  <c r="A4404" i="1"/>
  <c r="C4404" i="1"/>
  <c r="A4405" i="1"/>
  <c r="C4405" i="1"/>
  <c r="A4406" i="1"/>
  <c r="C4406" i="1"/>
  <c r="A4407" i="1"/>
  <c r="C4407" i="1"/>
  <c r="A4408" i="1"/>
  <c r="C4408" i="1"/>
  <c r="A4409" i="1"/>
  <c r="C4409" i="1"/>
  <c r="A4410" i="1"/>
  <c r="C4410" i="1"/>
  <c r="A4411" i="1"/>
  <c r="C4411" i="1"/>
  <c r="A4412" i="1"/>
  <c r="C4412" i="1"/>
  <c r="A4413" i="1"/>
  <c r="C4413" i="1"/>
  <c r="A4414" i="1"/>
  <c r="C4414" i="1"/>
  <c r="A4415" i="1"/>
  <c r="C4415" i="1"/>
  <c r="A4416" i="1"/>
  <c r="C4416" i="1"/>
  <c r="A4417" i="1"/>
  <c r="C4417" i="1"/>
  <c r="A4418" i="1"/>
  <c r="C4418" i="1"/>
  <c r="A4419" i="1"/>
  <c r="C4419" i="1"/>
  <c r="A4420" i="1"/>
  <c r="C4420" i="1"/>
  <c r="A4421" i="1"/>
  <c r="C4421" i="1"/>
  <c r="A4422" i="1"/>
  <c r="C4422" i="1"/>
  <c r="A4423" i="1"/>
  <c r="C4423" i="1"/>
  <c r="A4424" i="1"/>
  <c r="C4424" i="1"/>
  <c r="A4425" i="1"/>
  <c r="C4425" i="1"/>
  <c r="A4426" i="1"/>
  <c r="C4426" i="1"/>
  <c r="A4427" i="1"/>
  <c r="C4427" i="1"/>
  <c r="A4428" i="1"/>
  <c r="C4428" i="1"/>
  <c r="A4429" i="1"/>
  <c r="C4429" i="1"/>
  <c r="A4430" i="1"/>
  <c r="C4430" i="1"/>
  <c r="A4431" i="1"/>
  <c r="C4431" i="1"/>
  <c r="A4432" i="1"/>
  <c r="C4432" i="1"/>
  <c r="A4433" i="1"/>
  <c r="C4433" i="1"/>
  <c r="A4434" i="1"/>
  <c r="C4434" i="1"/>
  <c r="A4435" i="1"/>
  <c r="C4435" i="1"/>
  <c r="A4436" i="1"/>
  <c r="C4436" i="1"/>
  <c r="A4437" i="1"/>
  <c r="C4437" i="1"/>
  <c r="A4438" i="1"/>
  <c r="C4438" i="1"/>
  <c r="A4439" i="1"/>
  <c r="C4439" i="1"/>
  <c r="A4440" i="1"/>
  <c r="C4440" i="1"/>
  <c r="A4441" i="1"/>
  <c r="C4441" i="1"/>
  <c r="A4442" i="1"/>
  <c r="C4442" i="1"/>
  <c r="A4443" i="1"/>
  <c r="C4443" i="1"/>
  <c r="A4444" i="1"/>
  <c r="C4444" i="1"/>
  <c r="A4445" i="1"/>
  <c r="C4445" i="1"/>
  <c r="A4446" i="1"/>
  <c r="C4446" i="1"/>
  <c r="A4447" i="1"/>
  <c r="C4447" i="1"/>
  <c r="A4448" i="1"/>
  <c r="C4448" i="1"/>
  <c r="A4449" i="1"/>
  <c r="C4449" i="1"/>
  <c r="A4450" i="1"/>
  <c r="C4450" i="1"/>
  <c r="A4451" i="1"/>
  <c r="C4451" i="1"/>
  <c r="A4452" i="1"/>
  <c r="C4452" i="1"/>
  <c r="A4453" i="1"/>
  <c r="C4453" i="1"/>
  <c r="A4454" i="1"/>
  <c r="C4454" i="1"/>
  <c r="A4455" i="1"/>
  <c r="C4455" i="1"/>
  <c r="A4456" i="1"/>
  <c r="C4456" i="1"/>
  <c r="A4457" i="1"/>
  <c r="C4457" i="1"/>
  <c r="A4458" i="1"/>
  <c r="C4458" i="1"/>
  <c r="A4459" i="1"/>
  <c r="C4459" i="1"/>
  <c r="A4460" i="1"/>
  <c r="C4460" i="1"/>
  <c r="A4461" i="1"/>
  <c r="C4461" i="1"/>
  <c r="A4462" i="1"/>
  <c r="C4462" i="1"/>
  <c r="A4463" i="1"/>
  <c r="C4463" i="1"/>
  <c r="A4464" i="1"/>
  <c r="C4464" i="1"/>
  <c r="A4465" i="1"/>
  <c r="C4465" i="1"/>
  <c r="A4466" i="1"/>
  <c r="C4466" i="1"/>
  <c r="A4467" i="1"/>
  <c r="C4467" i="1"/>
  <c r="A4468" i="1"/>
  <c r="C4468" i="1"/>
  <c r="A4469" i="1"/>
  <c r="C4469" i="1"/>
  <c r="A4470" i="1"/>
  <c r="C4470" i="1"/>
  <c r="A4471" i="1"/>
  <c r="C4471" i="1"/>
  <c r="A4472" i="1"/>
  <c r="C4472" i="1"/>
  <c r="A4473" i="1"/>
  <c r="C4473" i="1"/>
  <c r="A4474" i="1"/>
  <c r="C4474" i="1"/>
  <c r="A4475" i="1"/>
  <c r="C4475" i="1"/>
  <c r="A4476" i="1"/>
  <c r="C4476" i="1"/>
  <c r="A4477" i="1"/>
  <c r="C4477" i="1"/>
  <c r="A4478" i="1"/>
  <c r="C4478" i="1"/>
  <c r="A4479" i="1"/>
  <c r="C4479" i="1"/>
  <c r="A4480" i="1"/>
  <c r="C4480" i="1"/>
  <c r="A4481" i="1"/>
  <c r="C4481" i="1"/>
  <c r="A4482" i="1"/>
  <c r="C4482" i="1"/>
  <c r="A4483" i="1"/>
  <c r="C4483" i="1"/>
  <c r="A4484" i="1"/>
  <c r="C4484" i="1"/>
  <c r="A4485" i="1"/>
  <c r="C4485" i="1"/>
  <c r="A4486" i="1"/>
  <c r="C4486" i="1"/>
  <c r="A4487" i="1"/>
  <c r="C4487" i="1"/>
  <c r="A4488" i="1"/>
  <c r="C4488" i="1"/>
  <c r="A4489" i="1"/>
  <c r="C4489" i="1"/>
  <c r="A4490" i="1"/>
  <c r="C4490" i="1"/>
  <c r="A4491" i="1"/>
  <c r="C4491" i="1"/>
  <c r="A4492" i="1"/>
  <c r="C4492" i="1"/>
  <c r="A4493" i="1"/>
  <c r="C4493" i="1"/>
  <c r="A4494" i="1"/>
  <c r="C4494" i="1"/>
  <c r="A4495" i="1"/>
  <c r="C4495" i="1"/>
  <c r="A4496" i="1"/>
  <c r="C4496" i="1"/>
  <c r="A4497" i="1"/>
  <c r="C4497" i="1"/>
  <c r="A4498" i="1"/>
  <c r="C4498" i="1"/>
  <c r="A4499" i="1"/>
  <c r="C4499" i="1"/>
  <c r="A4500" i="1"/>
  <c r="C4500" i="1"/>
  <c r="A4501" i="1"/>
  <c r="C4501" i="1"/>
  <c r="A4502" i="1"/>
  <c r="C4502" i="1"/>
  <c r="A4503" i="1"/>
  <c r="C4503" i="1"/>
  <c r="A4504" i="1"/>
  <c r="C4504" i="1"/>
  <c r="A4505" i="1"/>
  <c r="C4505" i="1"/>
  <c r="A4506" i="1"/>
  <c r="C4506" i="1"/>
  <c r="A4507" i="1"/>
  <c r="C4507" i="1"/>
  <c r="A4508" i="1"/>
  <c r="C4508" i="1"/>
  <c r="A4509" i="1"/>
  <c r="C4509" i="1"/>
  <c r="A4510" i="1"/>
  <c r="C4510" i="1"/>
  <c r="A4511" i="1"/>
  <c r="C4511" i="1"/>
  <c r="A4512" i="1"/>
  <c r="C4512" i="1"/>
  <c r="A4513" i="1"/>
  <c r="C4513" i="1"/>
  <c r="A4514" i="1"/>
  <c r="C4514" i="1"/>
  <c r="A4515" i="1"/>
  <c r="C4515" i="1"/>
  <c r="A4516" i="1"/>
  <c r="C4516" i="1"/>
  <c r="A4517" i="1"/>
  <c r="C4517" i="1"/>
  <c r="A4518" i="1"/>
  <c r="C4518" i="1"/>
  <c r="A4519" i="1"/>
  <c r="C4519" i="1"/>
  <c r="A4520" i="1"/>
  <c r="C4520" i="1"/>
  <c r="A4521" i="1"/>
  <c r="C4521" i="1"/>
  <c r="A4522" i="1"/>
  <c r="C4522" i="1"/>
  <c r="A4523" i="1"/>
  <c r="C4523" i="1"/>
  <c r="A4524" i="1"/>
  <c r="C4524" i="1"/>
  <c r="A4525" i="1"/>
  <c r="C4525" i="1"/>
  <c r="A4526" i="1"/>
  <c r="C4526" i="1"/>
  <c r="A4527" i="1"/>
  <c r="C4527" i="1"/>
  <c r="A4528" i="1"/>
  <c r="C4528" i="1"/>
  <c r="A4529" i="1"/>
  <c r="C4529" i="1"/>
  <c r="A4530" i="1"/>
  <c r="C4530" i="1"/>
  <c r="A4531" i="1"/>
  <c r="C4531" i="1"/>
  <c r="A4532" i="1"/>
  <c r="C4532" i="1"/>
  <c r="A4533" i="1"/>
  <c r="C4533" i="1"/>
  <c r="A4534" i="1"/>
  <c r="C4534" i="1"/>
  <c r="A4535" i="1"/>
  <c r="C4535" i="1"/>
  <c r="A4536" i="1"/>
  <c r="C4536" i="1"/>
  <c r="A4537" i="1"/>
  <c r="C4537" i="1"/>
  <c r="A4538" i="1"/>
  <c r="C4538" i="1"/>
  <c r="A4539" i="1"/>
  <c r="C4539" i="1"/>
  <c r="A4540" i="1"/>
  <c r="C4540" i="1"/>
  <c r="A4541" i="1"/>
  <c r="C4541" i="1"/>
  <c r="A4542" i="1"/>
  <c r="C4542" i="1"/>
  <c r="A4543" i="1"/>
  <c r="C4543" i="1"/>
  <c r="A4544" i="1"/>
  <c r="C4544" i="1"/>
  <c r="A4545" i="1"/>
  <c r="C4545" i="1"/>
  <c r="A4546" i="1"/>
  <c r="C4546" i="1"/>
  <c r="A4547" i="1"/>
  <c r="C4547" i="1"/>
  <c r="A4548" i="1"/>
  <c r="C4548" i="1"/>
  <c r="A4549" i="1"/>
  <c r="C4549" i="1"/>
  <c r="A4550" i="1"/>
  <c r="C4550" i="1"/>
  <c r="A4551" i="1"/>
  <c r="C4551" i="1"/>
  <c r="A4552" i="1"/>
  <c r="C4552" i="1"/>
  <c r="A4553" i="1"/>
  <c r="C4553" i="1"/>
  <c r="A4554" i="1"/>
  <c r="C4554" i="1"/>
  <c r="A4555" i="1"/>
  <c r="C4555" i="1"/>
  <c r="A4556" i="1"/>
  <c r="C4556" i="1"/>
  <c r="A4557" i="1"/>
  <c r="C4557" i="1"/>
  <c r="A4558" i="1"/>
  <c r="C4558" i="1"/>
  <c r="A4559" i="1"/>
  <c r="C4559" i="1"/>
  <c r="A4560" i="1"/>
  <c r="C4560" i="1"/>
  <c r="A4561" i="1"/>
  <c r="C4561" i="1"/>
  <c r="A4562" i="1"/>
  <c r="C4562" i="1"/>
  <c r="A4563" i="1"/>
  <c r="C4563" i="1"/>
  <c r="A4564" i="1"/>
  <c r="C4564" i="1"/>
  <c r="A4565" i="1"/>
  <c r="C4565" i="1"/>
  <c r="A4566" i="1"/>
  <c r="C4566" i="1"/>
  <c r="A4567" i="1"/>
  <c r="C4567" i="1"/>
  <c r="A4568" i="1"/>
  <c r="C4568" i="1"/>
  <c r="A4569" i="1"/>
  <c r="C4569" i="1"/>
  <c r="A4570" i="1"/>
  <c r="C4570" i="1"/>
  <c r="A4571" i="1"/>
  <c r="C4571" i="1"/>
  <c r="A4572" i="1"/>
  <c r="C4572" i="1"/>
  <c r="A4573" i="1"/>
  <c r="C4573" i="1"/>
  <c r="A4574" i="1"/>
  <c r="C4574" i="1"/>
  <c r="A4575" i="1"/>
  <c r="C4575" i="1"/>
  <c r="A4576" i="1"/>
  <c r="C4576" i="1"/>
  <c r="A4577" i="1"/>
  <c r="C4577" i="1"/>
  <c r="A4578" i="1"/>
  <c r="C4578" i="1"/>
  <c r="A4579" i="1"/>
  <c r="C4579" i="1"/>
  <c r="A4580" i="1"/>
  <c r="C4580" i="1"/>
  <c r="A4581" i="1"/>
  <c r="C4581" i="1"/>
  <c r="A4582" i="1"/>
  <c r="C4582" i="1"/>
  <c r="A4583" i="1"/>
  <c r="C4583" i="1"/>
  <c r="A4584" i="1"/>
  <c r="C4584" i="1"/>
  <c r="A4585" i="1"/>
  <c r="C4585" i="1"/>
  <c r="A4586" i="1"/>
  <c r="C4586" i="1"/>
  <c r="A4587" i="1"/>
  <c r="C4587" i="1"/>
  <c r="A4588" i="1"/>
  <c r="C4588" i="1"/>
  <c r="A4589" i="1"/>
  <c r="C4589" i="1"/>
  <c r="A4590" i="1"/>
  <c r="C4590" i="1"/>
  <c r="A4591" i="1"/>
  <c r="C4591" i="1"/>
  <c r="A4592" i="1"/>
  <c r="C4592" i="1"/>
  <c r="A4593" i="1"/>
  <c r="C4593" i="1"/>
  <c r="A4594" i="1"/>
  <c r="C4594" i="1"/>
  <c r="A4595" i="1"/>
  <c r="C4595" i="1"/>
  <c r="A4596" i="1"/>
  <c r="C4596" i="1"/>
  <c r="A4597" i="1"/>
  <c r="C4597" i="1"/>
  <c r="A4598" i="1"/>
  <c r="C4598" i="1"/>
  <c r="A4599" i="1"/>
  <c r="C4599" i="1"/>
  <c r="A4600" i="1"/>
  <c r="C4600" i="1"/>
  <c r="A4601" i="1"/>
  <c r="C4601" i="1"/>
  <c r="A4602" i="1"/>
  <c r="C4602" i="1"/>
  <c r="A4603" i="1"/>
  <c r="C4603" i="1"/>
  <c r="A4604" i="1"/>
  <c r="C4604" i="1"/>
  <c r="A4605" i="1"/>
  <c r="C4605" i="1"/>
  <c r="A4606" i="1"/>
  <c r="C4606" i="1"/>
  <c r="A4607" i="1"/>
  <c r="C4607" i="1"/>
  <c r="A4608" i="1"/>
  <c r="C4608" i="1"/>
  <c r="A4609" i="1"/>
  <c r="C4609" i="1"/>
  <c r="A4610" i="1"/>
  <c r="C4610" i="1"/>
  <c r="A4611" i="1"/>
  <c r="C4611" i="1"/>
  <c r="A4612" i="1"/>
  <c r="C4612" i="1"/>
  <c r="A4613" i="1"/>
  <c r="C4613" i="1"/>
  <c r="A4614" i="1"/>
  <c r="C4614" i="1"/>
  <c r="A4615" i="1"/>
  <c r="C4615" i="1"/>
  <c r="A4616" i="1"/>
  <c r="C4616" i="1"/>
  <c r="A4617" i="1"/>
  <c r="C4617" i="1"/>
  <c r="A4618" i="1"/>
  <c r="C4618" i="1"/>
  <c r="A4619" i="1"/>
  <c r="C4619" i="1"/>
  <c r="A4620" i="1"/>
  <c r="C4620" i="1"/>
  <c r="A4621" i="1"/>
  <c r="C4621" i="1"/>
  <c r="A4622" i="1"/>
  <c r="C4622" i="1"/>
  <c r="A4623" i="1"/>
  <c r="C4623" i="1"/>
  <c r="A4624" i="1"/>
  <c r="C4624" i="1"/>
  <c r="A4625" i="1"/>
  <c r="C4625" i="1"/>
  <c r="A4626" i="1"/>
  <c r="C4626" i="1"/>
  <c r="A4627" i="1"/>
  <c r="C4627" i="1"/>
  <c r="A4628" i="1"/>
  <c r="C4628" i="1"/>
  <c r="A4629" i="1"/>
  <c r="C4629" i="1"/>
  <c r="A4630" i="1"/>
  <c r="C4630" i="1"/>
  <c r="A4631" i="1"/>
  <c r="C4631" i="1"/>
  <c r="A4632" i="1"/>
  <c r="C4632" i="1"/>
  <c r="A4633" i="1"/>
  <c r="C4633" i="1"/>
  <c r="A4634" i="1"/>
  <c r="C4634" i="1"/>
  <c r="A4635" i="1"/>
  <c r="C4635" i="1"/>
  <c r="A4636" i="1"/>
  <c r="C4636" i="1"/>
  <c r="A4637" i="1"/>
  <c r="C4637" i="1"/>
  <c r="A4638" i="1"/>
  <c r="C4638" i="1"/>
  <c r="A4639" i="1"/>
  <c r="C4639" i="1"/>
  <c r="A4640" i="1"/>
  <c r="C4640" i="1"/>
  <c r="A4641" i="1"/>
  <c r="C4641" i="1"/>
  <c r="A4642" i="1"/>
  <c r="C4642" i="1"/>
  <c r="A4643" i="1"/>
  <c r="C4643" i="1"/>
  <c r="A4644" i="1"/>
  <c r="C4644" i="1"/>
  <c r="A4645" i="1"/>
  <c r="C4645" i="1"/>
  <c r="A4646" i="1"/>
  <c r="C4646" i="1"/>
  <c r="A4647" i="1"/>
  <c r="C4647" i="1"/>
  <c r="A4648" i="1"/>
  <c r="C4648" i="1"/>
  <c r="A4649" i="1"/>
  <c r="C4649" i="1"/>
  <c r="A4650" i="1"/>
  <c r="C4650" i="1"/>
  <c r="A4651" i="1"/>
  <c r="C4651" i="1"/>
  <c r="A4652" i="1"/>
  <c r="C4652" i="1"/>
  <c r="A4653" i="1"/>
  <c r="C4653" i="1"/>
  <c r="A4654" i="1"/>
  <c r="C4654" i="1"/>
  <c r="A4655" i="1"/>
  <c r="C4655" i="1"/>
  <c r="A4656" i="1"/>
  <c r="C4656" i="1"/>
  <c r="A4657" i="1"/>
  <c r="C4657" i="1"/>
  <c r="A4658" i="1"/>
  <c r="C4658" i="1"/>
  <c r="A4659" i="1"/>
  <c r="C4659" i="1"/>
  <c r="A4660" i="1"/>
  <c r="C4660" i="1"/>
  <c r="A4661" i="1"/>
  <c r="C4661" i="1"/>
  <c r="A4662" i="1"/>
  <c r="C4662" i="1"/>
  <c r="A4663" i="1"/>
  <c r="C4663" i="1"/>
  <c r="A4664" i="1"/>
  <c r="C4664" i="1"/>
  <c r="A4665" i="1"/>
  <c r="C4665" i="1"/>
  <c r="A4666" i="1"/>
  <c r="C4666" i="1"/>
  <c r="A4667" i="1"/>
  <c r="C4667" i="1"/>
  <c r="A4668" i="1"/>
  <c r="C4668" i="1"/>
  <c r="A4669" i="1"/>
  <c r="C4669" i="1"/>
  <c r="A4670" i="1"/>
  <c r="C4670" i="1"/>
  <c r="A4671" i="1"/>
  <c r="C4671" i="1"/>
  <c r="A4672" i="1"/>
  <c r="C4672" i="1"/>
  <c r="A4673" i="1"/>
  <c r="C4673" i="1"/>
  <c r="A4674" i="1"/>
  <c r="C4674" i="1"/>
  <c r="A4675" i="1"/>
  <c r="C4675" i="1"/>
  <c r="A4676" i="1"/>
  <c r="C4676" i="1"/>
  <c r="A4677" i="1"/>
  <c r="C4677" i="1"/>
  <c r="A4678" i="1"/>
  <c r="C4678" i="1"/>
  <c r="A4679" i="1"/>
  <c r="C4679" i="1"/>
  <c r="A4680" i="1"/>
  <c r="C4680" i="1"/>
  <c r="A4681" i="1"/>
  <c r="C4681" i="1"/>
  <c r="A4682" i="1"/>
  <c r="C4682" i="1"/>
  <c r="A4683" i="1"/>
  <c r="C4683" i="1"/>
  <c r="A4684" i="1"/>
  <c r="C4684" i="1"/>
  <c r="A4685" i="1"/>
  <c r="C4685" i="1"/>
  <c r="A4686" i="1"/>
  <c r="C4686" i="1"/>
  <c r="A4687" i="1"/>
  <c r="C4687" i="1"/>
  <c r="A4688" i="1"/>
  <c r="C4688" i="1"/>
  <c r="A4689" i="1"/>
  <c r="C4689" i="1"/>
  <c r="A4690" i="1"/>
  <c r="C4690" i="1"/>
  <c r="A4691" i="1"/>
  <c r="C4691" i="1"/>
  <c r="A4692" i="1"/>
  <c r="C4692" i="1"/>
  <c r="A4693" i="1"/>
  <c r="C4693" i="1"/>
  <c r="A4694" i="1"/>
  <c r="C4694" i="1"/>
  <c r="A4695" i="1"/>
  <c r="C4695" i="1"/>
  <c r="A4696" i="1"/>
  <c r="C4696" i="1"/>
  <c r="A4697" i="1"/>
  <c r="C4697" i="1"/>
  <c r="A4698" i="1"/>
  <c r="C4698" i="1"/>
  <c r="A4699" i="1"/>
  <c r="C4699" i="1"/>
  <c r="A4700" i="1"/>
  <c r="C4700" i="1"/>
  <c r="A4701" i="1"/>
  <c r="C4701" i="1"/>
  <c r="A4702" i="1"/>
  <c r="C4702" i="1"/>
  <c r="A4703" i="1"/>
  <c r="C4703" i="1"/>
  <c r="A4704" i="1"/>
  <c r="C4704" i="1"/>
  <c r="A4705" i="1"/>
  <c r="C4705" i="1"/>
  <c r="A4706" i="1"/>
  <c r="C4706" i="1"/>
  <c r="A4707" i="1"/>
  <c r="C4707" i="1"/>
  <c r="A4708" i="1"/>
  <c r="C4708" i="1"/>
  <c r="A4709" i="1"/>
  <c r="C4709" i="1"/>
  <c r="A4710" i="1"/>
  <c r="C4710" i="1"/>
  <c r="A4711" i="1"/>
  <c r="C4711" i="1"/>
  <c r="A4712" i="1"/>
  <c r="C4712" i="1"/>
  <c r="A4713" i="1"/>
  <c r="C4713" i="1"/>
  <c r="A4714" i="1"/>
  <c r="C4714" i="1"/>
  <c r="A4715" i="1"/>
  <c r="C4715" i="1"/>
  <c r="A4716" i="1"/>
  <c r="C4716" i="1"/>
  <c r="A4717" i="1"/>
  <c r="C4717" i="1"/>
  <c r="A4718" i="1"/>
  <c r="C4718" i="1"/>
  <c r="A4719" i="1"/>
  <c r="C4719" i="1"/>
  <c r="A4720" i="1"/>
  <c r="C4720" i="1"/>
  <c r="A4721" i="1"/>
  <c r="C4721" i="1"/>
  <c r="A4722" i="1"/>
  <c r="C4722" i="1"/>
  <c r="A4723" i="1"/>
  <c r="C4723" i="1"/>
  <c r="A4724" i="1"/>
  <c r="C4724" i="1"/>
  <c r="A4725" i="1"/>
  <c r="C4725" i="1"/>
  <c r="A4726" i="1"/>
  <c r="C4726" i="1"/>
  <c r="A4727" i="1"/>
  <c r="C4727" i="1"/>
  <c r="A4728" i="1"/>
  <c r="C4728" i="1"/>
  <c r="A4729" i="1"/>
  <c r="C4729" i="1"/>
  <c r="A4730" i="1"/>
  <c r="C4730" i="1"/>
  <c r="A4731" i="1"/>
  <c r="C4731" i="1"/>
  <c r="A4732" i="1"/>
  <c r="C4732" i="1"/>
  <c r="A4733" i="1"/>
  <c r="C4733" i="1"/>
  <c r="A4734" i="1"/>
  <c r="C4734" i="1"/>
  <c r="A4735" i="1"/>
  <c r="C4735" i="1"/>
  <c r="A4736" i="1"/>
  <c r="C4736" i="1"/>
  <c r="A4737" i="1"/>
  <c r="C4737" i="1"/>
  <c r="A4738" i="1"/>
  <c r="C4738" i="1"/>
  <c r="A4739" i="1"/>
  <c r="C4739" i="1"/>
  <c r="A4740" i="1"/>
  <c r="C4740" i="1"/>
  <c r="A4741" i="1"/>
  <c r="C4741" i="1"/>
  <c r="A4742" i="1"/>
  <c r="C4742" i="1"/>
  <c r="A4743" i="1"/>
  <c r="C4743" i="1"/>
  <c r="A4744" i="1"/>
  <c r="C4744" i="1"/>
  <c r="A4745" i="1"/>
  <c r="C4745" i="1"/>
  <c r="A4746" i="1"/>
  <c r="C4746" i="1"/>
  <c r="A4747" i="1"/>
  <c r="C4747" i="1"/>
  <c r="A4748" i="1"/>
  <c r="C4748" i="1"/>
  <c r="A4749" i="1"/>
  <c r="C4749" i="1"/>
  <c r="A4750" i="1"/>
  <c r="C4750" i="1"/>
  <c r="A4751" i="1"/>
  <c r="C4751" i="1"/>
  <c r="A4752" i="1"/>
  <c r="C4752" i="1"/>
  <c r="A4753" i="1"/>
  <c r="C4753" i="1"/>
  <c r="A4754" i="1"/>
  <c r="C4754" i="1"/>
  <c r="A4755" i="1"/>
  <c r="C4755" i="1"/>
  <c r="A4756" i="1"/>
  <c r="C4756" i="1"/>
  <c r="A4757" i="1"/>
  <c r="C4757" i="1"/>
  <c r="A4758" i="1"/>
  <c r="C4758" i="1"/>
  <c r="A4759" i="1"/>
  <c r="C4759" i="1"/>
  <c r="A4760" i="1"/>
  <c r="C4760" i="1"/>
  <c r="A4761" i="1"/>
  <c r="C4761" i="1"/>
  <c r="A4762" i="1"/>
  <c r="C4762" i="1"/>
  <c r="A4763" i="1"/>
  <c r="C4763" i="1"/>
  <c r="A4764" i="1"/>
  <c r="C4764" i="1"/>
  <c r="A4765" i="1"/>
  <c r="C4765" i="1"/>
  <c r="A4766" i="1"/>
  <c r="C4766" i="1"/>
  <c r="A4767" i="1"/>
  <c r="C4767" i="1"/>
  <c r="A4768" i="1"/>
  <c r="C4768" i="1"/>
  <c r="A4769" i="1"/>
  <c r="C4769" i="1"/>
  <c r="A4770" i="1"/>
  <c r="C4770" i="1"/>
  <c r="A4771" i="1"/>
  <c r="C4771" i="1"/>
  <c r="A4772" i="1"/>
  <c r="C4772" i="1"/>
  <c r="A4773" i="1"/>
  <c r="C4773" i="1"/>
  <c r="A4774" i="1"/>
  <c r="C4774" i="1"/>
  <c r="A4775" i="1"/>
  <c r="C4775" i="1"/>
  <c r="A4776" i="1"/>
  <c r="C4776" i="1"/>
  <c r="A4777" i="1"/>
  <c r="C4777" i="1"/>
  <c r="A4778" i="1"/>
  <c r="C4778" i="1"/>
  <c r="A4779" i="1"/>
  <c r="C4779" i="1"/>
  <c r="A4780" i="1"/>
  <c r="C4780" i="1"/>
  <c r="A4781" i="1"/>
  <c r="C4781" i="1"/>
  <c r="A4782" i="1"/>
  <c r="C4782" i="1"/>
  <c r="A4783" i="1"/>
  <c r="C4783" i="1"/>
  <c r="A4784" i="1"/>
  <c r="C4784" i="1"/>
  <c r="A4785" i="1"/>
  <c r="C4785" i="1"/>
  <c r="A4786" i="1"/>
  <c r="C4786" i="1"/>
  <c r="A4787" i="1"/>
  <c r="C4787" i="1"/>
  <c r="A4788" i="1"/>
  <c r="C4788" i="1"/>
  <c r="A4789" i="1"/>
  <c r="C4789" i="1"/>
  <c r="A4790" i="1"/>
  <c r="C4790" i="1"/>
  <c r="A4791" i="1"/>
  <c r="C4791" i="1"/>
  <c r="A4792" i="1"/>
  <c r="C4792" i="1"/>
  <c r="A4793" i="1"/>
  <c r="C4793" i="1"/>
  <c r="A4794" i="1"/>
  <c r="C4794" i="1"/>
  <c r="A4795" i="1"/>
  <c r="C4795" i="1"/>
  <c r="A4796" i="1"/>
  <c r="C4796" i="1"/>
  <c r="A4797" i="1"/>
  <c r="C4797" i="1"/>
  <c r="A4798" i="1"/>
  <c r="C4798" i="1"/>
  <c r="A4799" i="1"/>
  <c r="C4799" i="1"/>
  <c r="A4800" i="1"/>
  <c r="C4800" i="1"/>
  <c r="A4801" i="1"/>
  <c r="C4801" i="1"/>
  <c r="A4802" i="1"/>
  <c r="C4802" i="1"/>
  <c r="A4803" i="1"/>
  <c r="C4803" i="1"/>
  <c r="A4804" i="1"/>
  <c r="C4804" i="1"/>
  <c r="A4805" i="1"/>
  <c r="C4805" i="1"/>
  <c r="A4806" i="1"/>
  <c r="C4806" i="1"/>
  <c r="A4807" i="1"/>
  <c r="C4807" i="1"/>
  <c r="A4808" i="1"/>
  <c r="C4808" i="1"/>
  <c r="A4809" i="1"/>
  <c r="C4809" i="1"/>
  <c r="A4810" i="1"/>
  <c r="C4810" i="1"/>
  <c r="A4811" i="1"/>
  <c r="C4811" i="1"/>
  <c r="A4812" i="1"/>
  <c r="C4812" i="1"/>
  <c r="A4813" i="1"/>
  <c r="C4813" i="1"/>
  <c r="A4814" i="1"/>
  <c r="C4814" i="1"/>
  <c r="A4815" i="1"/>
  <c r="C4815" i="1"/>
  <c r="A4816" i="1"/>
  <c r="C4816" i="1"/>
  <c r="A4817" i="1"/>
  <c r="C4817" i="1"/>
  <c r="A4818" i="1"/>
  <c r="C4818" i="1"/>
  <c r="A4819" i="1"/>
  <c r="C4819" i="1"/>
  <c r="A4820" i="1"/>
  <c r="C4820" i="1"/>
  <c r="A4821" i="1"/>
  <c r="C4821" i="1"/>
  <c r="A4822" i="1"/>
  <c r="C4822" i="1"/>
  <c r="A4823" i="1"/>
  <c r="C4823" i="1"/>
  <c r="A4824" i="1"/>
  <c r="C4824" i="1"/>
  <c r="A4825" i="1"/>
  <c r="C4825" i="1"/>
  <c r="A4826" i="1"/>
  <c r="C4826" i="1"/>
  <c r="A4827" i="1"/>
  <c r="C4827" i="1"/>
  <c r="A4828" i="1"/>
  <c r="C4828" i="1"/>
  <c r="A4829" i="1"/>
  <c r="C4829" i="1"/>
  <c r="A4830" i="1"/>
  <c r="C4830" i="1"/>
  <c r="A4831" i="1"/>
  <c r="C4831" i="1"/>
  <c r="A4832" i="1"/>
  <c r="C4832" i="1"/>
  <c r="A4833" i="1"/>
  <c r="C4833" i="1"/>
  <c r="A4834" i="1"/>
  <c r="C4834" i="1"/>
  <c r="A4835" i="1"/>
  <c r="C4835" i="1"/>
  <c r="A4836" i="1"/>
  <c r="C4836" i="1"/>
  <c r="A4837" i="1"/>
  <c r="C4837" i="1"/>
  <c r="A4838" i="1"/>
  <c r="C4838" i="1"/>
  <c r="A4839" i="1"/>
  <c r="C4839" i="1"/>
  <c r="A4840" i="1"/>
  <c r="C4840" i="1"/>
  <c r="A4841" i="1"/>
  <c r="C4841" i="1"/>
  <c r="A4842" i="1"/>
  <c r="C4842" i="1"/>
  <c r="A4843" i="1"/>
  <c r="C4843" i="1"/>
  <c r="A4844" i="1"/>
  <c r="C4844" i="1"/>
  <c r="A4845" i="1"/>
  <c r="C4845" i="1"/>
  <c r="A4846" i="1"/>
  <c r="C4846" i="1"/>
  <c r="A4847" i="1"/>
  <c r="C4847" i="1"/>
  <c r="A4848" i="1"/>
  <c r="C4848" i="1"/>
  <c r="A4849" i="1"/>
  <c r="C4849" i="1"/>
  <c r="A4850" i="1"/>
  <c r="C4850" i="1"/>
  <c r="A4851" i="1"/>
  <c r="C4851" i="1"/>
  <c r="A4852" i="1"/>
  <c r="C4852" i="1"/>
  <c r="A4853" i="1"/>
  <c r="C4853" i="1"/>
  <c r="A4854" i="1"/>
  <c r="C4854" i="1"/>
  <c r="A4855" i="1"/>
  <c r="C4855" i="1"/>
  <c r="A4856" i="1"/>
  <c r="C4856" i="1"/>
  <c r="A4857" i="1"/>
  <c r="C4857" i="1"/>
  <c r="A4858" i="1"/>
  <c r="C4858" i="1"/>
  <c r="A4859" i="1"/>
  <c r="C4859" i="1"/>
  <c r="A4860" i="1"/>
  <c r="C4860" i="1"/>
  <c r="A4861" i="1"/>
  <c r="C4861" i="1"/>
  <c r="A4862" i="1"/>
  <c r="C4862" i="1"/>
  <c r="A4863" i="1"/>
  <c r="C4863" i="1"/>
  <c r="A4864" i="1"/>
  <c r="C4864" i="1"/>
  <c r="A4865" i="1"/>
  <c r="C4865" i="1"/>
  <c r="A4866" i="1"/>
  <c r="C4866" i="1"/>
  <c r="A4867" i="1"/>
  <c r="C4867" i="1"/>
  <c r="A4868" i="1"/>
  <c r="C4868" i="1"/>
  <c r="A4869" i="1"/>
  <c r="C4869" i="1"/>
  <c r="A4870" i="1"/>
  <c r="C4870" i="1"/>
  <c r="A4871" i="1"/>
  <c r="C4871" i="1"/>
  <c r="A4872" i="1"/>
  <c r="C4872" i="1"/>
  <c r="A4873" i="1"/>
  <c r="C4873" i="1"/>
  <c r="A4874" i="1"/>
  <c r="C4874" i="1"/>
  <c r="A4875" i="1"/>
  <c r="C4875" i="1"/>
  <c r="A4876" i="1"/>
  <c r="C4876" i="1"/>
  <c r="A4877" i="1"/>
  <c r="C4877" i="1"/>
  <c r="A4878" i="1"/>
  <c r="C4878" i="1"/>
  <c r="A4879" i="1"/>
  <c r="C4879" i="1"/>
  <c r="A4880" i="1"/>
  <c r="C4880" i="1"/>
  <c r="A4881" i="1"/>
  <c r="C4881" i="1"/>
  <c r="A4882" i="1"/>
  <c r="C4882" i="1"/>
  <c r="A4883" i="1"/>
  <c r="C4883" i="1"/>
  <c r="A4884" i="1"/>
  <c r="C4884" i="1"/>
  <c r="A4885" i="1"/>
  <c r="C4885" i="1"/>
  <c r="A4886" i="1"/>
  <c r="C4886" i="1"/>
  <c r="A4887" i="1"/>
  <c r="C4887" i="1"/>
  <c r="A4888" i="1"/>
  <c r="C4888" i="1"/>
  <c r="A4889" i="1"/>
  <c r="C4889" i="1"/>
  <c r="A4890" i="1"/>
  <c r="C4890" i="1"/>
  <c r="A4891" i="1"/>
  <c r="C4891" i="1"/>
  <c r="A4892" i="1"/>
  <c r="C4892" i="1"/>
  <c r="A4893" i="1"/>
  <c r="C4893" i="1"/>
  <c r="A4894" i="1"/>
  <c r="C4894" i="1"/>
  <c r="A4895" i="1"/>
  <c r="C4895" i="1"/>
  <c r="A4896" i="1"/>
  <c r="C4896" i="1"/>
  <c r="A4897" i="1"/>
  <c r="C4897" i="1"/>
  <c r="A4898" i="1"/>
  <c r="C4898" i="1"/>
  <c r="A4899" i="1"/>
  <c r="C4899" i="1"/>
  <c r="A4900" i="1"/>
  <c r="C4900" i="1"/>
  <c r="A4901" i="1"/>
  <c r="C4901" i="1"/>
  <c r="A4902" i="1"/>
  <c r="C4902" i="1"/>
  <c r="A4903" i="1"/>
  <c r="C4903" i="1"/>
  <c r="A4904" i="1"/>
  <c r="C4904" i="1"/>
  <c r="A4905" i="1"/>
  <c r="C4905" i="1"/>
  <c r="A4906" i="1"/>
  <c r="C4906" i="1"/>
  <c r="A4907" i="1"/>
  <c r="C4907" i="1"/>
  <c r="A4908" i="1"/>
  <c r="C4908" i="1"/>
  <c r="A4909" i="1"/>
  <c r="C4909" i="1"/>
  <c r="A4910" i="1"/>
  <c r="C4910" i="1"/>
  <c r="A4911" i="1"/>
  <c r="C4911" i="1"/>
  <c r="A4912" i="1"/>
  <c r="C4912" i="1"/>
  <c r="A4913" i="1"/>
  <c r="C4913" i="1"/>
  <c r="A4914" i="1"/>
  <c r="C4914" i="1"/>
  <c r="A4915" i="1"/>
  <c r="C4915" i="1"/>
  <c r="A4916" i="1"/>
  <c r="C4916" i="1"/>
  <c r="A4917" i="1"/>
  <c r="C4917" i="1"/>
  <c r="A4918" i="1"/>
  <c r="C4918" i="1"/>
  <c r="A4919" i="1"/>
  <c r="C4919" i="1"/>
  <c r="A4920" i="1"/>
  <c r="C4920" i="1"/>
  <c r="A4921" i="1"/>
  <c r="C4921" i="1"/>
  <c r="A4922" i="1"/>
  <c r="C4922" i="1"/>
  <c r="A4923" i="1"/>
  <c r="C4923" i="1"/>
  <c r="A4924" i="1"/>
  <c r="C4924" i="1"/>
  <c r="A4925" i="1"/>
  <c r="C4925" i="1"/>
  <c r="A4926" i="1"/>
  <c r="C4926" i="1"/>
  <c r="A4927" i="1"/>
  <c r="C4927" i="1"/>
  <c r="A4928" i="1"/>
  <c r="C4928" i="1"/>
  <c r="A4929" i="1"/>
  <c r="C4929" i="1"/>
  <c r="A4930" i="1"/>
  <c r="C4930" i="1"/>
  <c r="A4931" i="1"/>
  <c r="C4931" i="1"/>
  <c r="A4932" i="1"/>
  <c r="C4932" i="1"/>
  <c r="A4933" i="1"/>
  <c r="C4933" i="1"/>
  <c r="A4934" i="1"/>
  <c r="C4934" i="1"/>
  <c r="A4935" i="1"/>
  <c r="C4935" i="1"/>
  <c r="A4936" i="1"/>
  <c r="C4936" i="1"/>
  <c r="A4937" i="1"/>
  <c r="C4937" i="1"/>
  <c r="A4938" i="1"/>
  <c r="C4938" i="1"/>
  <c r="A4939" i="1"/>
  <c r="C4939" i="1"/>
  <c r="A4940" i="1"/>
  <c r="C4940" i="1"/>
  <c r="A4941" i="1"/>
  <c r="C4941" i="1"/>
  <c r="A4942" i="1"/>
  <c r="C4942" i="1"/>
  <c r="A4943" i="1"/>
  <c r="C4943" i="1"/>
  <c r="A4944" i="1"/>
  <c r="C4944" i="1"/>
  <c r="A4945" i="1"/>
  <c r="C4945" i="1"/>
  <c r="A4946" i="1"/>
  <c r="C4946" i="1"/>
  <c r="A4947" i="1"/>
  <c r="C4947" i="1"/>
  <c r="A4948" i="1"/>
  <c r="C4948" i="1"/>
  <c r="A4949" i="1"/>
  <c r="C4949" i="1"/>
  <c r="A4950" i="1"/>
  <c r="C4950" i="1"/>
  <c r="A4951" i="1"/>
  <c r="C4951" i="1"/>
  <c r="A4952" i="1"/>
  <c r="C4952" i="1"/>
  <c r="A4953" i="1"/>
  <c r="C4953" i="1"/>
  <c r="A4954" i="1"/>
  <c r="C4954" i="1"/>
  <c r="A4955" i="1"/>
  <c r="C4955" i="1"/>
  <c r="A4956" i="1"/>
  <c r="C4956" i="1"/>
  <c r="A4957" i="1"/>
  <c r="C4957" i="1"/>
  <c r="A4958" i="1"/>
  <c r="C4958" i="1"/>
  <c r="A4959" i="1"/>
  <c r="C4959" i="1"/>
  <c r="A4960" i="1"/>
  <c r="C4960" i="1"/>
  <c r="A4961" i="1"/>
  <c r="C4961" i="1"/>
  <c r="A4962" i="1"/>
  <c r="C4962" i="1"/>
  <c r="A4963" i="1"/>
  <c r="C4963" i="1"/>
  <c r="A4964" i="1"/>
  <c r="C4964" i="1"/>
  <c r="A4965" i="1"/>
  <c r="C4965" i="1"/>
  <c r="A4966" i="1"/>
  <c r="C4966" i="1"/>
  <c r="A4967" i="1"/>
  <c r="C4967" i="1"/>
  <c r="A4968" i="1"/>
  <c r="C4968" i="1"/>
  <c r="A4969" i="1"/>
  <c r="C4969" i="1"/>
  <c r="A4970" i="1"/>
  <c r="C4970" i="1"/>
  <c r="A4971" i="1"/>
  <c r="C4971" i="1"/>
  <c r="A4972" i="1"/>
  <c r="C4972" i="1"/>
  <c r="A4973" i="1"/>
  <c r="C4973" i="1"/>
  <c r="A4974" i="1"/>
  <c r="C4974" i="1"/>
  <c r="A4975" i="1"/>
  <c r="C4975" i="1"/>
  <c r="A4976" i="1"/>
  <c r="C4976" i="1"/>
  <c r="A4977" i="1"/>
  <c r="C4977" i="1"/>
  <c r="A4978" i="1"/>
  <c r="C4978" i="1"/>
  <c r="A4979" i="1"/>
  <c r="C4979" i="1"/>
  <c r="A4980" i="1"/>
  <c r="C4980" i="1"/>
  <c r="A4981" i="1"/>
  <c r="C4981" i="1"/>
  <c r="A4982" i="1"/>
  <c r="C4982" i="1"/>
  <c r="A4983" i="1"/>
  <c r="C4983" i="1"/>
  <c r="A4984" i="1"/>
  <c r="C4984" i="1"/>
  <c r="A4985" i="1"/>
  <c r="C4985" i="1"/>
  <c r="A4986" i="1"/>
  <c r="C4986" i="1"/>
  <c r="A4987" i="1"/>
  <c r="C4987" i="1"/>
  <c r="A4988" i="1"/>
  <c r="C4988" i="1"/>
  <c r="A4989" i="1"/>
  <c r="C4989" i="1"/>
  <c r="A4990" i="1"/>
  <c r="C4990" i="1"/>
  <c r="A4991" i="1"/>
  <c r="C4991" i="1"/>
  <c r="A4992" i="1"/>
  <c r="C4992" i="1"/>
  <c r="A4993" i="1"/>
  <c r="C4993" i="1"/>
  <c r="A4994" i="1"/>
  <c r="C4994" i="1"/>
  <c r="A4995" i="1"/>
  <c r="C4995" i="1"/>
  <c r="A4996" i="1"/>
  <c r="C4996" i="1"/>
  <c r="A4997" i="1"/>
  <c r="C4997" i="1"/>
  <c r="A4998" i="1"/>
  <c r="C4998" i="1"/>
  <c r="A4999" i="1"/>
  <c r="C4999" i="1"/>
  <c r="A5000" i="1"/>
  <c r="C5000" i="1"/>
  <c r="A5001" i="1"/>
  <c r="C5001" i="1"/>
  <c r="A5002" i="1"/>
  <c r="C5002" i="1"/>
  <c r="A5003" i="1"/>
  <c r="C5003" i="1"/>
  <c r="A5004" i="1"/>
  <c r="C5004" i="1"/>
  <c r="A5005" i="1"/>
  <c r="C5005" i="1"/>
  <c r="A5006" i="1"/>
  <c r="C5006" i="1"/>
  <c r="A5007" i="1"/>
  <c r="C5007" i="1"/>
  <c r="A5008" i="1"/>
  <c r="C5008" i="1"/>
  <c r="A5009" i="1"/>
  <c r="C5009" i="1"/>
  <c r="A5010" i="1"/>
  <c r="C5010" i="1"/>
  <c r="A5011" i="1"/>
  <c r="C5011" i="1"/>
  <c r="A5012" i="1"/>
  <c r="C5012" i="1"/>
  <c r="A5013" i="1"/>
  <c r="C5013" i="1"/>
  <c r="A5014" i="1"/>
  <c r="C5014" i="1"/>
  <c r="A5015" i="1"/>
  <c r="C5015" i="1"/>
  <c r="A5016" i="1"/>
  <c r="C5016" i="1"/>
  <c r="A5017" i="1"/>
  <c r="C5017" i="1"/>
  <c r="A5018" i="1"/>
  <c r="C5018" i="1"/>
  <c r="A5019" i="1"/>
  <c r="C5019" i="1"/>
  <c r="A5020" i="1"/>
  <c r="C5020" i="1"/>
  <c r="A5021" i="1"/>
  <c r="C5021" i="1"/>
  <c r="A5022" i="1"/>
  <c r="C5022" i="1"/>
  <c r="A5023" i="1"/>
  <c r="C5023" i="1"/>
  <c r="A5024" i="1"/>
  <c r="C5024" i="1"/>
  <c r="A5025" i="1"/>
  <c r="C5025" i="1"/>
  <c r="A5026" i="1"/>
  <c r="C5026" i="1"/>
  <c r="A5027" i="1"/>
  <c r="C5027" i="1"/>
  <c r="A5028" i="1"/>
  <c r="C5028" i="1"/>
  <c r="A5029" i="1"/>
  <c r="C5029" i="1"/>
  <c r="A5030" i="1"/>
  <c r="C5030" i="1"/>
  <c r="A5031" i="1"/>
  <c r="C5031" i="1"/>
  <c r="A5032" i="1"/>
  <c r="C5032" i="1"/>
  <c r="A5033" i="1"/>
  <c r="C5033" i="1"/>
  <c r="A5034" i="1"/>
  <c r="C5034" i="1"/>
  <c r="A5035" i="1"/>
  <c r="C5035" i="1"/>
  <c r="A5036" i="1"/>
  <c r="C5036" i="1"/>
  <c r="A5037" i="1"/>
  <c r="C5037" i="1"/>
  <c r="A5038" i="1"/>
  <c r="C5038" i="1"/>
  <c r="A5039" i="1"/>
  <c r="C5039" i="1"/>
  <c r="A5040" i="1"/>
  <c r="C5040" i="1"/>
  <c r="A5041" i="1"/>
  <c r="C5041" i="1"/>
  <c r="A5042" i="1"/>
  <c r="C5042" i="1"/>
  <c r="A5043" i="1"/>
  <c r="C5043" i="1"/>
  <c r="A5044" i="1"/>
  <c r="C5044" i="1"/>
  <c r="A5045" i="1"/>
  <c r="C5045" i="1"/>
  <c r="A5046" i="1"/>
  <c r="C5046" i="1"/>
  <c r="A5047" i="1"/>
  <c r="C5047" i="1"/>
  <c r="A5048" i="1"/>
  <c r="C5048" i="1"/>
  <c r="A5049" i="1"/>
  <c r="C5049" i="1"/>
  <c r="A5050" i="1"/>
  <c r="C5050" i="1"/>
  <c r="A5051" i="1"/>
  <c r="C5051" i="1"/>
  <c r="A5052" i="1"/>
  <c r="C5052" i="1"/>
  <c r="A5053" i="1"/>
  <c r="C5053" i="1"/>
  <c r="A5054" i="1"/>
  <c r="C5054" i="1"/>
  <c r="A5055" i="1"/>
  <c r="C5055" i="1"/>
  <c r="A5056" i="1"/>
  <c r="C5056" i="1"/>
  <c r="A5057" i="1"/>
  <c r="C5057" i="1"/>
  <c r="A5058" i="1"/>
  <c r="C5058" i="1"/>
  <c r="A5059" i="1"/>
  <c r="C5059" i="1"/>
  <c r="A5060" i="1"/>
  <c r="C5060" i="1"/>
  <c r="A5061" i="1"/>
  <c r="C5061" i="1"/>
  <c r="A5062" i="1"/>
  <c r="C5062" i="1"/>
  <c r="A5063" i="1"/>
  <c r="C5063" i="1"/>
  <c r="A5064" i="1"/>
  <c r="C5064" i="1"/>
  <c r="A5065" i="1"/>
  <c r="C5065" i="1"/>
  <c r="A5066" i="1"/>
  <c r="C5066" i="1"/>
  <c r="A5067" i="1"/>
  <c r="C5067" i="1"/>
  <c r="A5068" i="1"/>
  <c r="C5068" i="1"/>
  <c r="A5069" i="1"/>
  <c r="C5069" i="1"/>
  <c r="A5070" i="1"/>
  <c r="C5070" i="1"/>
  <c r="A5071" i="1"/>
  <c r="C5071" i="1"/>
  <c r="A5072" i="1"/>
  <c r="C5072" i="1"/>
  <c r="A5073" i="1"/>
  <c r="C5073" i="1"/>
  <c r="A5074" i="1"/>
  <c r="C5074" i="1"/>
  <c r="A5075" i="1"/>
  <c r="C5075" i="1"/>
  <c r="A5076" i="1"/>
  <c r="C5076" i="1"/>
  <c r="A5077" i="1"/>
  <c r="C5077" i="1"/>
  <c r="A5078" i="1"/>
  <c r="C5078" i="1"/>
  <c r="A5079" i="1"/>
  <c r="C5079" i="1"/>
  <c r="A5080" i="1"/>
  <c r="C5080" i="1"/>
  <c r="A5081" i="1"/>
  <c r="C5081" i="1"/>
  <c r="A5082" i="1"/>
  <c r="C5082" i="1"/>
  <c r="A5083" i="1"/>
  <c r="C5083" i="1"/>
  <c r="A5084" i="1"/>
  <c r="C5084" i="1"/>
  <c r="A5085" i="1"/>
  <c r="C5085" i="1"/>
  <c r="A5086" i="1"/>
  <c r="C5086" i="1"/>
  <c r="A5087" i="1"/>
  <c r="C5087" i="1"/>
  <c r="A5088" i="1"/>
  <c r="C5088" i="1"/>
  <c r="A5089" i="1"/>
  <c r="C5089" i="1"/>
  <c r="A5090" i="1"/>
  <c r="C5090" i="1"/>
  <c r="A5091" i="1"/>
  <c r="C5091" i="1"/>
  <c r="A5092" i="1"/>
  <c r="C5092" i="1"/>
  <c r="A5093" i="1"/>
  <c r="C5093" i="1"/>
  <c r="A5094" i="1"/>
  <c r="C5094" i="1"/>
  <c r="A5095" i="1"/>
  <c r="C5095" i="1"/>
  <c r="A5096" i="1"/>
  <c r="C5096" i="1"/>
  <c r="A5097" i="1"/>
  <c r="C5097" i="1"/>
  <c r="A5098" i="1"/>
  <c r="C5098" i="1"/>
  <c r="A5099" i="1"/>
  <c r="C5099" i="1"/>
  <c r="A5100" i="1"/>
  <c r="C5100" i="1"/>
  <c r="A5101" i="1"/>
  <c r="C5101" i="1"/>
  <c r="A5102" i="1"/>
  <c r="C5102" i="1"/>
  <c r="A5103" i="1"/>
  <c r="C5103" i="1"/>
  <c r="A5104" i="1"/>
  <c r="C5104" i="1"/>
  <c r="A5105" i="1"/>
  <c r="C5105" i="1"/>
  <c r="A5106" i="1"/>
  <c r="C5106" i="1"/>
  <c r="A5107" i="1"/>
  <c r="C5107" i="1"/>
  <c r="A5108" i="1"/>
  <c r="C5108" i="1"/>
  <c r="A5109" i="1"/>
  <c r="C5109" i="1"/>
  <c r="A5110" i="1"/>
  <c r="C5110" i="1"/>
  <c r="A5111" i="1"/>
  <c r="C5111" i="1"/>
  <c r="A5112" i="1"/>
  <c r="C5112" i="1"/>
  <c r="A5113" i="1"/>
  <c r="C5113" i="1"/>
  <c r="A5114" i="1"/>
  <c r="C5114" i="1"/>
  <c r="A5115" i="1"/>
  <c r="C5115" i="1"/>
  <c r="A5116" i="1"/>
  <c r="C5116" i="1"/>
  <c r="A5117" i="1"/>
  <c r="C5117" i="1"/>
  <c r="A5118" i="1"/>
  <c r="C5118" i="1"/>
  <c r="A5119" i="1"/>
  <c r="C5119" i="1"/>
  <c r="A5120" i="1"/>
  <c r="C5120" i="1"/>
  <c r="A5121" i="1"/>
  <c r="C5121" i="1"/>
  <c r="A5122" i="1"/>
  <c r="C5122" i="1"/>
  <c r="A5123" i="1"/>
  <c r="C5123" i="1"/>
  <c r="A5124" i="1"/>
  <c r="C5124" i="1"/>
  <c r="A5125" i="1"/>
  <c r="C5125" i="1"/>
  <c r="A5126" i="1"/>
  <c r="C5126" i="1"/>
  <c r="A5127" i="1"/>
  <c r="C5127" i="1"/>
  <c r="A5128" i="1"/>
  <c r="C5128" i="1"/>
  <c r="A5129" i="1"/>
  <c r="C5129" i="1"/>
  <c r="A5130" i="1"/>
  <c r="C5130" i="1"/>
  <c r="A5131" i="1"/>
  <c r="C5131" i="1"/>
  <c r="A5132" i="1"/>
  <c r="C5132" i="1"/>
  <c r="A5133" i="1"/>
  <c r="C5133" i="1"/>
  <c r="A5134" i="1"/>
  <c r="C5134" i="1"/>
  <c r="A5135" i="1"/>
  <c r="C5135" i="1"/>
  <c r="A5136" i="1"/>
  <c r="C5136" i="1"/>
  <c r="A5137" i="1"/>
  <c r="C5137" i="1"/>
  <c r="A5138" i="1"/>
  <c r="C5138" i="1"/>
  <c r="A5139" i="1"/>
  <c r="C5139" i="1"/>
  <c r="A5140" i="1"/>
  <c r="C5140" i="1"/>
  <c r="A5141" i="1"/>
  <c r="C5141" i="1"/>
  <c r="A5142" i="1"/>
  <c r="C5142" i="1"/>
  <c r="A5143" i="1"/>
  <c r="C5143" i="1"/>
  <c r="A5144" i="1"/>
  <c r="C5144" i="1"/>
  <c r="A5145" i="1"/>
  <c r="C5145" i="1"/>
  <c r="A5146" i="1"/>
  <c r="C5146" i="1"/>
  <c r="A5147" i="1"/>
  <c r="C5147" i="1"/>
  <c r="A5148" i="1"/>
  <c r="C5148" i="1"/>
  <c r="A5149" i="1"/>
  <c r="C5149" i="1"/>
  <c r="A5150" i="1"/>
  <c r="C5150" i="1"/>
  <c r="A5151" i="1"/>
  <c r="C5151" i="1"/>
  <c r="A5152" i="1"/>
  <c r="C5152" i="1"/>
  <c r="A5153" i="1"/>
  <c r="C5153" i="1"/>
  <c r="A5154" i="1"/>
  <c r="C5154" i="1"/>
  <c r="A5155" i="1"/>
  <c r="C5155" i="1"/>
  <c r="A5156" i="1"/>
  <c r="C5156" i="1"/>
  <c r="A5157" i="1"/>
  <c r="C5157" i="1"/>
  <c r="A5158" i="1"/>
  <c r="C5158" i="1"/>
  <c r="A5159" i="1"/>
  <c r="C5159" i="1"/>
  <c r="A5160" i="1"/>
  <c r="C5160" i="1"/>
  <c r="A5161" i="1"/>
  <c r="C5161" i="1"/>
  <c r="A5162" i="1"/>
  <c r="C5162" i="1"/>
  <c r="A5163" i="1"/>
  <c r="C5163" i="1"/>
  <c r="A5164" i="1"/>
  <c r="C5164" i="1"/>
  <c r="A5165" i="1"/>
  <c r="C5165" i="1"/>
  <c r="A5166" i="1"/>
  <c r="C5166" i="1"/>
  <c r="A5167" i="1"/>
  <c r="C5167" i="1"/>
  <c r="A5168" i="1"/>
  <c r="C5168" i="1"/>
  <c r="A5169" i="1"/>
  <c r="C5169" i="1"/>
  <c r="A5170" i="1"/>
  <c r="C5170" i="1"/>
  <c r="A5171" i="1"/>
  <c r="C5171" i="1"/>
  <c r="A5172" i="1"/>
  <c r="C5172" i="1"/>
  <c r="A5173" i="1"/>
  <c r="C5173" i="1"/>
  <c r="A5174" i="1"/>
  <c r="C5174" i="1"/>
  <c r="A5175" i="1"/>
  <c r="C5175" i="1"/>
  <c r="A5176" i="1"/>
  <c r="C5176" i="1"/>
  <c r="A5177" i="1"/>
  <c r="C5177" i="1"/>
  <c r="A5178" i="1"/>
  <c r="C5178" i="1"/>
  <c r="A5179" i="1"/>
  <c r="C5179" i="1"/>
  <c r="A5180" i="1"/>
  <c r="C5180" i="1"/>
  <c r="A5181" i="1"/>
  <c r="C5181" i="1"/>
  <c r="A5182" i="1"/>
  <c r="C5182" i="1"/>
  <c r="A5183" i="1"/>
  <c r="C5183" i="1"/>
  <c r="A5184" i="1"/>
  <c r="C5184" i="1"/>
  <c r="A5185" i="1"/>
  <c r="C5185" i="1"/>
  <c r="A5186" i="1"/>
  <c r="C5186" i="1"/>
  <c r="A5187" i="1"/>
  <c r="C5187" i="1"/>
  <c r="A5188" i="1"/>
  <c r="C5188" i="1"/>
  <c r="A5189" i="1"/>
  <c r="C5189" i="1"/>
  <c r="A5190" i="1"/>
  <c r="C5190" i="1"/>
  <c r="A5191" i="1"/>
  <c r="C5191" i="1"/>
  <c r="A5192" i="1"/>
  <c r="C5192" i="1"/>
  <c r="A5193" i="1"/>
  <c r="C5193" i="1"/>
  <c r="A5194" i="1"/>
  <c r="C5194" i="1"/>
  <c r="A5195" i="1"/>
  <c r="C5195" i="1"/>
  <c r="A5196" i="1"/>
  <c r="C5196" i="1"/>
  <c r="A5197" i="1"/>
  <c r="C5197" i="1"/>
  <c r="A5198" i="1"/>
  <c r="C5198" i="1"/>
  <c r="A5199" i="1"/>
  <c r="C5199" i="1"/>
  <c r="A5200" i="1"/>
  <c r="C5200" i="1"/>
  <c r="A5201" i="1"/>
  <c r="C5201" i="1"/>
  <c r="A5202" i="1"/>
  <c r="C5202" i="1"/>
  <c r="A5203" i="1"/>
  <c r="C5203" i="1"/>
  <c r="A5204" i="1"/>
  <c r="C5204" i="1"/>
  <c r="A5205" i="1"/>
  <c r="C5205" i="1"/>
  <c r="A5206" i="1"/>
  <c r="C5206" i="1"/>
  <c r="A5207" i="1"/>
  <c r="C5207" i="1"/>
  <c r="A5208" i="1"/>
  <c r="C5208" i="1"/>
  <c r="A5209" i="1"/>
  <c r="C5209" i="1"/>
  <c r="A5210" i="1"/>
  <c r="C5210" i="1"/>
  <c r="A5211" i="1"/>
  <c r="C5211" i="1"/>
  <c r="A5212" i="1"/>
  <c r="C5212" i="1"/>
  <c r="A5213" i="1"/>
  <c r="C5213" i="1"/>
  <c r="A5214" i="1"/>
  <c r="C5214" i="1"/>
  <c r="A5215" i="1"/>
  <c r="C5215" i="1"/>
  <c r="A5216" i="1"/>
  <c r="C5216" i="1"/>
  <c r="A5217" i="1"/>
  <c r="C5217" i="1"/>
  <c r="A5218" i="1"/>
  <c r="C5218" i="1"/>
  <c r="A5219" i="1"/>
  <c r="C5219" i="1"/>
  <c r="A5220" i="1"/>
  <c r="C5220" i="1"/>
  <c r="A5221" i="1"/>
  <c r="C5221" i="1"/>
  <c r="A5222" i="1"/>
  <c r="C5222" i="1"/>
  <c r="A5223" i="1"/>
  <c r="C5223" i="1"/>
  <c r="A5224" i="1"/>
  <c r="C5224" i="1"/>
  <c r="A5225" i="1"/>
  <c r="C5225" i="1"/>
  <c r="A5226" i="1"/>
  <c r="C5226" i="1"/>
  <c r="A5227" i="1"/>
  <c r="C5227" i="1"/>
  <c r="A5228" i="1"/>
  <c r="C5228" i="1"/>
  <c r="A5229" i="1"/>
  <c r="C5229" i="1"/>
  <c r="A5230" i="1"/>
  <c r="C5230" i="1"/>
  <c r="A5231" i="1"/>
  <c r="C5231" i="1"/>
  <c r="A5232" i="1"/>
  <c r="C5232" i="1"/>
  <c r="A5233" i="1"/>
  <c r="C5233" i="1"/>
  <c r="A5234" i="1"/>
  <c r="C5234" i="1"/>
  <c r="A5235" i="1"/>
  <c r="C5235" i="1"/>
  <c r="A5236" i="1"/>
  <c r="C5236" i="1"/>
  <c r="A5237" i="1"/>
  <c r="C5237" i="1"/>
  <c r="A5238" i="1"/>
  <c r="C5238" i="1"/>
  <c r="A5239" i="1"/>
  <c r="C5239" i="1"/>
  <c r="A5240" i="1"/>
  <c r="C5240" i="1"/>
  <c r="A5241" i="1"/>
  <c r="C5241" i="1"/>
  <c r="A5242" i="1"/>
  <c r="C5242" i="1"/>
  <c r="A5243" i="1"/>
  <c r="C5243" i="1"/>
  <c r="A5244" i="1"/>
  <c r="C5244" i="1"/>
  <c r="A5245" i="1"/>
  <c r="C5245" i="1"/>
  <c r="A5246" i="1"/>
  <c r="C5246" i="1"/>
  <c r="A5247" i="1"/>
  <c r="C5247" i="1"/>
  <c r="A5248" i="1"/>
  <c r="C5248" i="1"/>
  <c r="A5249" i="1"/>
  <c r="C5249" i="1"/>
  <c r="A5250" i="1"/>
  <c r="C5250" i="1"/>
  <c r="A5251" i="1"/>
  <c r="C5251" i="1"/>
  <c r="A5252" i="1"/>
  <c r="C5252" i="1"/>
  <c r="A5253" i="1"/>
  <c r="C5253" i="1"/>
  <c r="A5254" i="1"/>
  <c r="C5254" i="1"/>
  <c r="A5255" i="1"/>
  <c r="C5255" i="1"/>
  <c r="A5256" i="1"/>
  <c r="C5256" i="1"/>
  <c r="A5257" i="1"/>
  <c r="C5257" i="1"/>
  <c r="A5258" i="1"/>
  <c r="C5258" i="1"/>
  <c r="A5259" i="1"/>
  <c r="C5259" i="1"/>
  <c r="A5260" i="1"/>
  <c r="C5260" i="1"/>
  <c r="A5261" i="1"/>
  <c r="C5261" i="1"/>
  <c r="A5262" i="1"/>
  <c r="C5262" i="1"/>
  <c r="A5263" i="1"/>
  <c r="C5263" i="1"/>
  <c r="A5264" i="1"/>
  <c r="C5264" i="1"/>
  <c r="A5265" i="1"/>
  <c r="C5265" i="1"/>
  <c r="A5266" i="1"/>
  <c r="C5266" i="1"/>
  <c r="A5267" i="1"/>
  <c r="C5267" i="1"/>
  <c r="A5268" i="1"/>
  <c r="C5268" i="1"/>
  <c r="A5269" i="1"/>
  <c r="C5269" i="1"/>
  <c r="A5270" i="1"/>
  <c r="C5270" i="1"/>
  <c r="A5271" i="1"/>
  <c r="C5271" i="1"/>
  <c r="A5272" i="1"/>
  <c r="C5272" i="1"/>
  <c r="A5273" i="1"/>
  <c r="C5273" i="1"/>
  <c r="A5274" i="1"/>
  <c r="C5274" i="1"/>
  <c r="A5275" i="1"/>
  <c r="C5275" i="1"/>
  <c r="A5276" i="1"/>
  <c r="C5276" i="1"/>
  <c r="A5277" i="1"/>
  <c r="C5277" i="1"/>
  <c r="A5278" i="1"/>
  <c r="C5278" i="1"/>
  <c r="A5279" i="1"/>
  <c r="C5279" i="1"/>
  <c r="A5280" i="1"/>
  <c r="C5280" i="1"/>
  <c r="A5281" i="1"/>
  <c r="C5281" i="1"/>
  <c r="A5282" i="1"/>
  <c r="C5282" i="1"/>
  <c r="A5283" i="1"/>
  <c r="C5283" i="1"/>
  <c r="A5284" i="1"/>
  <c r="C5284" i="1"/>
  <c r="A5285" i="1"/>
  <c r="C5285" i="1"/>
  <c r="A5286" i="1"/>
  <c r="C5286" i="1"/>
  <c r="A5287" i="1"/>
  <c r="C5287" i="1"/>
  <c r="A5288" i="1"/>
  <c r="C5288" i="1"/>
  <c r="A5289" i="1"/>
  <c r="C5289" i="1"/>
  <c r="A5290" i="1"/>
  <c r="C5290" i="1"/>
  <c r="A5291" i="1"/>
  <c r="C5291" i="1"/>
  <c r="A5292" i="1"/>
  <c r="C5292" i="1"/>
  <c r="A5293" i="1"/>
  <c r="C5293" i="1"/>
  <c r="A5294" i="1"/>
  <c r="C5294" i="1"/>
  <c r="A5295" i="1"/>
  <c r="C5295" i="1"/>
  <c r="A5296" i="1"/>
  <c r="C5296" i="1"/>
  <c r="A5297" i="1"/>
  <c r="C5297" i="1"/>
  <c r="A5298" i="1"/>
  <c r="C5298" i="1"/>
  <c r="A5299" i="1"/>
  <c r="C5299" i="1"/>
  <c r="A5300" i="1"/>
  <c r="C5300" i="1"/>
  <c r="A5301" i="1"/>
  <c r="C5301" i="1"/>
  <c r="A5302" i="1"/>
  <c r="C5302" i="1"/>
  <c r="A5303" i="1"/>
  <c r="C5303" i="1"/>
  <c r="A5304" i="1"/>
  <c r="C5304" i="1"/>
  <c r="A5305" i="1"/>
  <c r="C5305" i="1"/>
  <c r="A5306" i="1"/>
  <c r="C5306" i="1"/>
  <c r="A5307" i="1"/>
  <c r="C5307" i="1"/>
  <c r="A5308" i="1"/>
  <c r="C5308" i="1"/>
  <c r="A5309" i="1"/>
  <c r="C5309" i="1"/>
  <c r="A5310" i="1"/>
  <c r="C5310" i="1"/>
  <c r="A5311" i="1"/>
  <c r="C5311" i="1"/>
  <c r="A5312" i="1"/>
  <c r="C5312" i="1"/>
  <c r="A5313" i="1"/>
  <c r="C5313" i="1"/>
  <c r="A5314" i="1"/>
  <c r="C5314" i="1"/>
  <c r="A5315" i="1"/>
  <c r="C5315" i="1"/>
  <c r="A5316" i="1"/>
  <c r="C5316" i="1"/>
  <c r="A5317" i="1"/>
  <c r="C5317" i="1"/>
  <c r="A5318" i="1"/>
  <c r="C5318" i="1"/>
  <c r="A5319" i="1"/>
  <c r="C5319" i="1"/>
  <c r="A5320" i="1"/>
  <c r="C5320" i="1"/>
  <c r="A5321" i="1"/>
  <c r="C5321" i="1"/>
  <c r="A5322" i="1"/>
  <c r="C5322" i="1"/>
  <c r="A5323" i="1"/>
  <c r="C5323" i="1"/>
  <c r="A5324" i="1"/>
  <c r="C5324" i="1"/>
  <c r="A5325" i="1"/>
  <c r="C5325" i="1"/>
  <c r="A5326" i="1"/>
  <c r="C5326" i="1"/>
  <c r="A5327" i="1"/>
  <c r="C5327" i="1"/>
  <c r="A5328" i="1"/>
  <c r="C5328" i="1"/>
  <c r="A5329" i="1"/>
  <c r="C5329" i="1"/>
  <c r="A5330" i="1"/>
  <c r="C5330" i="1"/>
  <c r="A5331" i="1"/>
  <c r="C5331" i="1"/>
  <c r="A5332" i="1"/>
  <c r="C5332" i="1"/>
  <c r="A5333" i="1"/>
  <c r="C5333" i="1"/>
  <c r="A5334" i="1"/>
  <c r="C5334" i="1"/>
  <c r="A5335" i="1"/>
  <c r="C5335" i="1"/>
  <c r="A5336" i="1"/>
  <c r="C5336" i="1"/>
  <c r="A5337" i="1"/>
  <c r="C5337" i="1"/>
  <c r="A5338" i="1"/>
  <c r="C5338" i="1"/>
  <c r="A5339" i="1"/>
  <c r="C5339" i="1"/>
  <c r="A5340" i="1"/>
  <c r="C5340" i="1"/>
  <c r="A5341" i="1"/>
  <c r="C5341" i="1"/>
  <c r="A5342" i="1"/>
  <c r="C5342" i="1"/>
  <c r="A5343" i="1"/>
  <c r="C5343" i="1"/>
  <c r="A5344" i="1"/>
  <c r="C5344" i="1"/>
  <c r="A5345" i="1"/>
  <c r="C5345" i="1"/>
  <c r="A5346" i="1"/>
  <c r="C5346" i="1"/>
  <c r="A5347" i="1"/>
  <c r="C5347" i="1"/>
  <c r="A5348" i="1"/>
  <c r="C5348" i="1"/>
  <c r="A5349" i="1"/>
  <c r="C5349" i="1"/>
  <c r="A5350" i="1"/>
  <c r="C5350" i="1"/>
  <c r="A5351" i="1"/>
  <c r="C5351" i="1"/>
  <c r="A5352" i="1"/>
  <c r="C5352" i="1"/>
  <c r="A5353" i="1"/>
  <c r="C5353" i="1"/>
  <c r="A5354" i="1"/>
  <c r="C5354" i="1"/>
  <c r="A5355" i="1"/>
  <c r="C5355" i="1"/>
  <c r="A5356" i="1"/>
  <c r="C5356" i="1"/>
  <c r="A5357" i="1"/>
  <c r="C5357" i="1"/>
  <c r="A5358" i="1"/>
  <c r="C5358" i="1"/>
  <c r="A5359" i="1"/>
  <c r="C5359" i="1"/>
  <c r="A5360" i="1"/>
  <c r="C5360" i="1"/>
  <c r="A5361" i="1"/>
  <c r="C5361" i="1"/>
  <c r="A5362" i="1"/>
  <c r="C5362" i="1"/>
  <c r="A5363" i="1"/>
  <c r="C5363" i="1"/>
  <c r="A5364" i="1"/>
  <c r="C5364" i="1"/>
  <c r="A5365" i="1"/>
  <c r="C5365" i="1"/>
  <c r="A5366" i="1"/>
  <c r="C5366" i="1"/>
  <c r="A5367" i="1"/>
  <c r="C5367" i="1"/>
  <c r="A5368" i="1"/>
  <c r="C5368" i="1"/>
  <c r="A5369" i="1"/>
  <c r="C5369" i="1"/>
  <c r="A5370" i="1"/>
  <c r="C5370" i="1"/>
  <c r="A5371" i="1"/>
  <c r="C5371" i="1"/>
  <c r="A5372" i="1"/>
  <c r="C5372" i="1"/>
  <c r="A5373" i="1"/>
  <c r="C5373" i="1"/>
  <c r="A5374" i="1"/>
  <c r="C5374" i="1"/>
  <c r="A5375" i="1"/>
  <c r="C5375" i="1"/>
  <c r="A5376" i="1"/>
  <c r="C5376" i="1"/>
  <c r="A5377" i="1"/>
  <c r="C5377" i="1"/>
  <c r="A5378" i="1"/>
  <c r="C5378" i="1"/>
  <c r="A5379" i="1"/>
  <c r="C5379" i="1"/>
  <c r="A5380" i="1"/>
  <c r="C5380" i="1"/>
  <c r="A5381" i="1"/>
  <c r="C5381" i="1"/>
  <c r="A5382" i="1"/>
  <c r="C5382" i="1"/>
  <c r="A5383" i="1"/>
  <c r="C5383" i="1"/>
  <c r="A5384" i="1"/>
  <c r="C5384" i="1"/>
  <c r="A5385" i="1"/>
  <c r="C5385" i="1"/>
  <c r="A5386" i="1"/>
  <c r="C5386" i="1"/>
  <c r="A5387" i="1"/>
  <c r="C5387" i="1"/>
  <c r="A5388" i="1"/>
  <c r="C5388" i="1"/>
  <c r="A5389" i="1"/>
  <c r="C5389" i="1"/>
  <c r="A5390" i="1"/>
  <c r="C5390" i="1"/>
  <c r="A5391" i="1"/>
  <c r="C5391" i="1"/>
  <c r="A5392" i="1"/>
  <c r="C5392" i="1"/>
  <c r="A5393" i="1"/>
  <c r="C5393" i="1"/>
  <c r="A5394" i="1"/>
  <c r="C5394" i="1"/>
  <c r="A5395" i="1"/>
  <c r="C5395" i="1"/>
  <c r="A5396" i="1"/>
  <c r="C5396" i="1"/>
  <c r="A5397" i="1"/>
  <c r="C5397" i="1"/>
  <c r="A5398" i="1"/>
  <c r="C5398" i="1"/>
  <c r="A5399" i="1"/>
  <c r="C5399" i="1"/>
  <c r="A5400" i="1"/>
  <c r="C5400" i="1"/>
  <c r="A5401" i="1"/>
  <c r="C5401" i="1"/>
  <c r="A5402" i="1"/>
  <c r="C5402" i="1"/>
  <c r="A5403" i="1"/>
  <c r="C5403" i="1"/>
  <c r="A5404" i="1"/>
  <c r="C5404" i="1"/>
  <c r="A5405" i="1"/>
  <c r="C5405" i="1"/>
  <c r="A5406" i="1"/>
  <c r="C5406" i="1"/>
  <c r="A5407" i="1"/>
  <c r="C5407" i="1"/>
  <c r="A5408" i="1"/>
  <c r="C5408" i="1"/>
  <c r="A5409" i="1"/>
  <c r="C5409" i="1"/>
  <c r="A5410" i="1"/>
  <c r="C5410" i="1"/>
  <c r="A5411" i="1"/>
  <c r="C5411" i="1"/>
  <c r="A5412" i="1"/>
  <c r="C5412" i="1"/>
  <c r="A5413" i="1"/>
  <c r="C5413" i="1"/>
  <c r="A5414" i="1"/>
  <c r="C5414" i="1"/>
  <c r="A5415" i="1"/>
  <c r="C5415" i="1"/>
  <c r="A5416" i="1"/>
  <c r="C5416" i="1"/>
  <c r="A5417" i="1"/>
  <c r="C5417" i="1"/>
  <c r="A5418" i="1"/>
  <c r="C5418" i="1"/>
  <c r="A5419" i="1"/>
  <c r="C5419" i="1"/>
  <c r="A5420" i="1"/>
  <c r="C5420" i="1"/>
  <c r="A5421" i="1"/>
  <c r="C5421" i="1"/>
  <c r="A5422" i="1"/>
  <c r="C5422" i="1"/>
  <c r="A5423" i="1"/>
  <c r="C5423" i="1"/>
  <c r="A5424" i="1"/>
  <c r="C5424" i="1"/>
  <c r="A5425" i="1"/>
  <c r="C5425" i="1"/>
  <c r="A5426" i="1"/>
  <c r="C5426" i="1"/>
  <c r="A5427" i="1"/>
  <c r="C5427" i="1"/>
  <c r="A5428" i="1"/>
  <c r="C5428" i="1"/>
  <c r="A5429" i="1"/>
  <c r="C5429" i="1"/>
  <c r="A5430" i="1"/>
  <c r="C5430" i="1"/>
  <c r="A5431" i="1"/>
  <c r="C5431" i="1"/>
  <c r="A5432" i="1"/>
  <c r="C5432" i="1"/>
  <c r="A5433" i="1"/>
  <c r="C5433" i="1"/>
  <c r="A5434" i="1"/>
  <c r="C5434" i="1"/>
  <c r="A5435" i="1"/>
  <c r="C5435" i="1"/>
  <c r="A5436" i="1"/>
  <c r="C5436" i="1"/>
  <c r="A5437" i="1"/>
  <c r="C5437" i="1"/>
  <c r="A5438" i="1"/>
  <c r="C5438" i="1"/>
  <c r="A5439" i="1"/>
  <c r="C5439" i="1"/>
  <c r="A5440" i="1"/>
  <c r="C5440" i="1"/>
  <c r="A5441" i="1"/>
  <c r="C5441" i="1"/>
  <c r="A5442" i="1"/>
  <c r="C5442" i="1"/>
  <c r="A5443" i="1"/>
  <c r="C5443" i="1"/>
  <c r="A5444" i="1"/>
  <c r="C5444" i="1"/>
  <c r="A5445" i="1"/>
  <c r="C5445" i="1"/>
  <c r="A5446" i="1"/>
  <c r="C5446" i="1"/>
  <c r="A5447" i="1"/>
  <c r="C5447" i="1"/>
  <c r="A5448" i="1"/>
  <c r="C5448" i="1"/>
  <c r="A5449" i="1"/>
  <c r="C5449" i="1"/>
  <c r="A5450" i="1"/>
  <c r="C5450" i="1"/>
  <c r="A5451" i="1"/>
  <c r="C5451" i="1"/>
  <c r="A5452" i="1"/>
  <c r="C5452" i="1"/>
  <c r="A5453" i="1"/>
  <c r="C5453" i="1"/>
  <c r="A5454" i="1"/>
  <c r="C5454" i="1"/>
  <c r="A5455" i="1"/>
  <c r="C5455" i="1"/>
  <c r="A5456" i="1"/>
  <c r="C5456" i="1"/>
  <c r="A5457" i="1"/>
  <c r="C5457" i="1"/>
  <c r="A5458" i="1"/>
  <c r="C5458" i="1"/>
  <c r="A5459" i="1"/>
  <c r="C5459" i="1"/>
  <c r="A5460" i="1"/>
  <c r="C5460" i="1"/>
  <c r="A5461" i="1"/>
  <c r="C5461" i="1"/>
  <c r="A5462" i="1"/>
  <c r="C5462" i="1"/>
  <c r="A5463" i="1"/>
  <c r="C5463" i="1"/>
  <c r="A5464" i="1"/>
  <c r="C5464" i="1"/>
  <c r="A5465" i="1"/>
  <c r="C5465" i="1"/>
  <c r="A5466" i="1"/>
  <c r="C5466" i="1"/>
  <c r="A5467" i="1"/>
  <c r="C5467" i="1"/>
  <c r="A5468" i="1"/>
  <c r="C5468" i="1"/>
  <c r="A5469" i="1"/>
  <c r="C5469" i="1"/>
  <c r="A5470" i="1"/>
  <c r="C5470" i="1"/>
  <c r="A5471" i="1"/>
  <c r="C5471" i="1"/>
  <c r="A5472" i="1"/>
  <c r="C5472" i="1"/>
  <c r="A5473" i="1"/>
  <c r="C5473" i="1"/>
  <c r="A5474" i="1"/>
  <c r="C5474" i="1"/>
  <c r="A5475" i="1"/>
  <c r="C5475" i="1"/>
  <c r="A5476" i="1"/>
  <c r="C5476" i="1"/>
  <c r="A5477" i="1"/>
  <c r="C5477" i="1"/>
  <c r="A5478" i="1"/>
  <c r="C5478" i="1"/>
  <c r="A5479" i="1"/>
  <c r="C5479" i="1"/>
  <c r="A5480" i="1"/>
  <c r="C5480" i="1"/>
  <c r="A5481" i="1"/>
  <c r="C5481" i="1"/>
  <c r="A5482" i="1"/>
  <c r="C5482" i="1"/>
  <c r="A5483" i="1"/>
  <c r="C5483" i="1"/>
  <c r="A5484" i="1"/>
  <c r="C5484" i="1"/>
  <c r="A5485" i="1"/>
  <c r="C5485" i="1"/>
  <c r="A5486" i="1"/>
  <c r="C5486" i="1"/>
  <c r="A5487" i="1"/>
  <c r="C5487" i="1"/>
  <c r="A5488" i="1"/>
  <c r="C5488" i="1"/>
  <c r="A5489" i="1"/>
  <c r="C5489" i="1"/>
  <c r="A5490" i="1"/>
  <c r="C5490" i="1"/>
  <c r="A5491" i="1"/>
  <c r="C5491" i="1"/>
  <c r="A5492" i="1"/>
  <c r="C5492" i="1"/>
  <c r="A5493" i="1"/>
  <c r="C5493" i="1"/>
  <c r="A5494" i="1"/>
  <c r="C5494" i="1"/>
  <c r="A5495" i="1"/>
  <c r="C5495" i="1"/>
  <c r="A5496" i="1"/>
  <c r="C5496" i="1"/>
  <c r="A5497" i="1"/>
  <c r="C5497" i="1"/>
  <c r="A5498" i="1"/>
  <c r="C5498" i="1"/>
  <c r="A5499" i="1"/>
  <c r="C5499" i="1"/>
  <c r="A5500" i="1"/>
  <c r="C5500" i="1"/>
  <c r="A5501" i="1"/>
  <c r="C5501" i="1"/>
  <c r="A5502" i="1"/>
  <c r="C5502" i="1"/>
  <c r="A5503" i="1"/>
  <c r="C5503" i="1"/>
  <c r="A5504" i="1"/>
  <c r="C5504" i="1"/>
  <c r="A5505" i="1"/>
  <c r="C5505" i="1"/>
  <c r="A5506" i="1"/>
  <c r="C5506" i="1"/>
  <c r="A5507" i="1"/>
  <c r="C5507" i="1"/>
  <c r="A5508" i="1"/>
  <c r="C5508" i="1"/>
  <c r="A5509" i="1"/>
  <c r="C5509" i="1"/>
  <c r="A5510" i="1"/>
  <c r="C5510" i="1"/>
  <c r="A5511" i="1"/>
  <c r="C5511" i="1"/>
  <c r="A5512" i="1"/>
  <c r="C5512" i="1"/>
  <c r="A5513" i="1"/>
  <c r="C5513" i="1"/>
  <c r="A5514" i="1"/>
  <c r="C5514" i="1"/>
  <c r="A5515" i="1"/>
  <c r="C5515" i="1"/>
  <c r="A5516" i="1"/>
  <c r="C5516" i="1"/>
  <c r="A5517" i="1"/>
  <c r="C5517" i="1"/>
  <c r="A5518" i="1"/>
  <c r="C5518" i="1"/>
  <c r="A5519" i="1"/>
  <c r="C5519" i="1"/>
  <c r="A5520" i="1"/>
  <c r="C5520" i="1"/>
  <c r="A5521" i="1"/>
  <c r="C5521" i="1"/>
  <c r="A5522" i="1"/>
  <c r="C5522" i="1"/>
  <c r="A5523" i="1"/>
  <c r="C5523" i="1"/>
  <c r="A5524" i="1"/>
  <c r="C5524" i="1"/>
  <c r="A5525" i="1"/>
  <c r="C5525" i="1"/>
  <c r="A5526" i="1"/>
  <c r="C5526" i="1"/>
  <c r="A5527" i="1"/>
  <c r="C5527" i="1"/>
  <c r="A5528" i="1"/>
  <c r="C5528" i="1"/>
  <c r="A5529" i="1"/>
  <c r="C5529" i="1"/>
  <c r="A5530" i="1"/>
  <c r="C5530" i="1"/>
  <c r="A5531" i="1"/>
  <c r="C5531" i="1"/>
  <c r="A5532" i="1"/>
  <c r="C5532" i="1"/>
  <c r="A5533" i="1"/>
  <c r="C5533" i="1"/>
  <c r="A5534" i="1"/>
  <c r="C5534" i="1"/>
  <c r="A5535" i="1"/>
  <c r="C5535" i="1"/>
  <c r="A5536" i="1"/>
  <c r="C5536" i="1"/>
  <c r="A5537" i="1"/>
  <c r="C5537" i="1"/>
  <c r="A5538" i="1"/>
  <c r="C5538" i="1"/>
  <c r="A5539" i="1"/>
  <c r="C5539" i="1"/>
  <c r="A5540" i="1"/>
  <c r="C5540" i="1"/>
  <c r="A5541" i="1"/>
  <c r="C5541" i="1"/>
  <c r="A5542" i="1"/>
  <c r="C5542" i="1"/>
  <c r="A5543" i="1"/>
  <c r="C5543" i="1"/>
  <c r="A5544" i="1"/>
  <c r="C5544" i="1"/>
  <c r="A5545" i="1"/>
  <c r="C5545" i="1"/>
  <c r="A5546" i="1"/>
  <c r="C5546" i="1"/>
  <c r="A5547" i="1"/>
  <c r="C5547" i="1"/>
  <c r="A5548" i="1"/>
  <c r="C5548" i="1"/>
  <c r="A5549" i="1"/>
  <c r="C5549" i="1"/>
  <c r="A5550" i="1"/>
  <c r="C5550" i="1"/>
  <c r="A5551" i="1"/>
  <c r="C5551" i="1"/>
  <c r="A5552" i="1"/>
  <c r="C5552" i="1"/>
  <c r="A5553" i="1"/>
  <c r="C5553" i="1"/>
  <c r="A5554" i="1"/>
  <c r="C5554" i="1"/>
  <c r="A5555" i="1"/>
  <c r="C5555" i="1"/>
  <c r="A5556" i="1"/>
  <c r="C5556" i="1"/>
  <c r="A5557" i="1"/>
  <c r="C5557" i="1"/>
  <c r="A5558" i="1"/>
  <c r="C5558" i="1"/>
  <c r="A5559" i="1"/>
  <c r="C5559" i="1"/>
  <c r="A5560" i="1"/>
  <c r="C5560" i="1"/>
  <c r="A5561" i="1"/>
  <c r="C5561" i="1"/>
  <c r="A5562" i="1"/>
  <c r="C5562" i="1"/>
  <c r="A5563" i="1"/>
  <c r="C5563" i="1"/>
  <c r="A5564" i="1"/>
  <c r="C5564" i="1"/>
  <c r="A5565" i="1"/>
  <c r="C5565" i="1"/>
  <c r="A5566" i="1"/>
  <c r="C5566" i="1"/>
  <c r="A5567" i="1"/>
  <c r="C5567" i="1"/>
  <c r="A5568" i="1"/>
  <c r="C5568" i="1"/>
  <c r="A5569" i="1"/>
  <c r="C5569" i="1"/>
  <c r="A5570" i="1"/>
  <c r="C5570" i="1"/>
  <c r="A5571" i="1"/>
  <c r="C5571" i="1"/>
  <c r="A5572" i="1"/>
  <c r="C5572" i="1"/>
  <c r="A5573" i="1"/>
  <c r="C5573" i="1"/>
  <c r="A5574" i="1"/>
  <c r="C5574" i="1"/>
  <c r="A5575" i="1"/>
  <c r="C5575" i="1"/>
  <c r="A5576" i="1"/>
  <c r="C5576" i="1"/>
  <c r="A5577" i="1"/>
  <c r="C5577" i="1"/>
  <c r="A5578" i="1"/>
  <c r="C5578" i="1"/>
  <c r="A5579" i="1"/>
  <c r="C5579" i="1"/>
  <c r="A5580" i="1"/>
  <c r="C5580" i="1"/>
  <c r="A5581" i="1"/>
  <c r="C5581" i="1"/>
  <c r="A5582" i="1"/>
  <c r="C5582" i="1"/>
  <c r="A5583" i="1"/>
  <c r="C5583" i="1"/>
  <c r="A5584" i="1"/>
  <c r="C5584" i="1"/>
  <c r="A5585" i="1"/>
  <c r="C5585" i="1"/>
  <c r="A5586" i="1"/>
  <c r="C5586" i="1"/>
  <c r="A5587" i="1"/>
  <c r="C5587" i="1"/>
  <c r="A5588" i="1"/>
  <c r="C5588" i="1"/>
  <c r="A5589" i="1"/>
  <c r="C5589" i="1"/>
  <c r="A5590" i="1"/>
  <c r="C5590" i="1"/>
  <c r="A5591" i="1"/>
  <c r="C5591" i="1"/>
  <c r="A5592" i="1"/>
  <c r="C5592" i="1"/>
  <c r="A5593" i="1"/>
  <c r="C5593" i="1"/>
  <c r="A5594" i="1"/>
  <c r="C5594" i="1"/>
  <c r="A5595" i="1"/>
  <c r="C5595" i="1"/>
  <c r="A5596" i="1"/>
  <c r="C5596" i="1"/>
  <c r="A5597" i="1"/>
  <c r="C5597" i="1"/>
  <c r="A5598" i="1"/>
  <c r="C5598" i="1"/>
  <c r="A5599" i="1"/>
  <c r="C5599" i="1"/>
  <c r="A5600" i="1"/>
  <c r="C5600" i="1"/>
  <c r="A5601" i="1"/>
  <c r="C5601" i="1"/>
  <c r="A5602" i="1"/>
  <c r="C5602" i="1"/>
  <c r="A5603" i="1"/>
  <c r="C5603" i="1"/>
  <c r="A5604" i="1"/>
  <c r="C5604" i="1"/>
  <c r="A5605" i="1"/>
  <c r="C5605" i="1"/>
  <c r="A5606" i="1"/>
  <c r="C5606" i="1"/>
  <c r="A5607" i="1"/>
  <c r="C5607" i="1"/>
  <c r="A5608" i="1"/>
  <c r="C5608" i="1"/>
  <c r="A5609" i="1"/>
  <c r="C5609" i="1"/>
  <c r="A5610" i="1"/>
  <c r="C5610" i="1"/>
  <c r="A5611" i="1"/>
  <c r="C5611" i="1"/>
  <c r="A5612" i="1"/>
  <c r="C5612" i="1"/>
  <c r="A5613" i="1"/>
  <c r="C5613" i="1"/>
  <c r="A5614" i="1"/>
  <c r="C5614" i="1"/>
  <c r="A5615" i="1"/>
  <c r="C5615" i="1"/>
  <c r="A5616" i="1"/>
  <c r="C5616" i="1"/>
  <c r="A5617" i="1"/>
  <c r="C5617" i="1"/>
  <c r="A5618" i="1"/>
  <c r="C5618" i="1"/>
  <c r="A5619" i="1"/>
  <c r="C5619" i="1"/>
  <c r="A5620" i="1"/>
  <c r="C5620" i="1"/>
  <c r="A5621" i="1"/>
  <c r="C5621" i="1"/>
  <c r="A5622" i="1"/>
  <c r="C5622" i="1"/>
  <c r="A5623" i="1"/>
  <c r="C5623" i="1"/>
  <c r="A5624" i="1"/>
  <c r="C5624" i="1"/>
  <c r="A5625" i="1"/>
  <c r="C5625" i="1"/>
  <c r="A5626" i="1"/>
  <c r="C5626" i="1"/>
  <c r="A5627" i="1"/>
  <c r="C5627" i="1"/>
  <c r="A5628" i="1"/>
  <c r="C5628" i="1"/>
  <c r="A5629" i="1"/>
  <c r="C5629" i="1"/>
  <c r="A5630" i="1"/>
  <c r="C5630" i="1"/>
  <c r="A5631" i="1"/>
  <c r="C5631" i="1"/>
  <c r="A5632" i="1"/>
  <c r="C5632" i="1"/>
  <c r="A5633" i="1"/>
  <c r="C5633" i="1"/>
  <c r="A5634" i="1"/>
  <c r="C5634" i="1"/>
  <c r="A5635" i="1"/>
  <c r="C5635" i="1"/>
  <c r="A5636" i="1"/>
  <c r="C5636" i="1"/>
  <c r="A5637" i="1"/>
  <c r="C5637" i="1"/>
  <c r="A5638" i="1"/>
  <c r="C5638" i="1"/>
  <c r="A5639" i="1"/>
  <c r="C5639" i="1"/>
  <c r="A5640" i="1"/>
  <c r="C5640" i="1"/>
  <c r="A5641" i="1"/>
  <c r="C5641" i="1"/>
  <c r="A5642" i="1"/>
  <c r="C5642" i="1"/>
  <c r="A5643" i="1"/>
  <c r="C5643" i="1"/>
  <c r="A5644" i="1"/>
  <c r="C5644" i="1"/>
  <c r="A5645" i="1"/>
  <c r="C5645" i="1"/>
  <c r="A5646" i="1"/>
  <c r="C5646" i="1"/>
  <c r="A5647" i="1"/>
  <c r="C5647" i="1"/>
  <c r="A5648" i="1"/>
  <c r="C5648" i="1"/>
  <c r="A5649" i="1"/>
  <c r="C5649" i="1"/>
  <c r="A5650" i="1"/>
  <c r="C5650" i="1"/>
  <c r="A5651" i="1"/>
  <c r="C5651" i="1"/>
  <c r="A5652" i="1"/>
  <c r="C5652" i="1"/>
  <c r="A5653" i="1"/>
  <c r="C5653" i="1"/>
  <c r="A5654" i="1"/>
  <c r="C5654" i="1"/>
  <c r="A5655" i="1"/>
  <c r="C5655" i="1"/>
  <c r="A5656" i="1"/>
  <c r="C5656" i="1"/>
  <c r="A5657" i="1"/>
  <c r="C5657" i="1"/>
  <c r="A5658" i="1"/>
  <c r="C5658" i="1"/>
  <c r="A5659" i="1"/>
  <c r="C5659" i="1"/>
  <c r="A5660" i="1"/>
  <c r="C5660" i="1"/>
  <c r="A5661" i="1"/>
  <c r="C5661" i="1"/>
  <c r="A5662" i="1"/>
  <c r="C5662" i="1"/>
  <c r="A5663" i="1"/>
  <c r="C5663" i="1"/>
  <c r="A5664" i="1"/>
  <c r="C5664" i="1"/>
  <c r="A5665" i="1"/>
  <c r="C5665" i="1"/>
  <c r="A5666" i="1"/>
  <c r="C5666" i="1"/>
  <c r="A5667" i="1"/>
  <c r="C5667" i="1"/>
  <c r="A5668" i="1"/>
  <c r="C5668" i="1"/>
  <c r="A5669" i="1"/>
  <c r="C5669" i="1"/>
  <c r="A5670" i="1"/>
  <c r="C5670" i="1"/>
  <c r="A5671" i="1"/>
  <c r="C5671" i="1"/>
  <c r="A5672" i="1"/>
  <c r="C5672" i="1"/>
  <c r="A5673" i="1"/>
  <c r="C5673" i="1"/>
  <c r="A5674" i="1"/>
  <c r="C5674" i="1"/>
  <c r="A5675" i="1"/>
  <c r="C5675" i="1"/>
  <c r="A5676" i="1"/>
  <c r="C5676" i="1"/>
  <c r="A5677" i="1"/>
  <c r="C5677" i="1"/>
  <c r="A5678" i="1"/>
  <c r="C5678" i="1"/>
  <c r="A5679" i="1"/>
  <c r="C5679" i="1"/>
  <c r="A5680" i="1"/>
  <c r="C5680" i="1"/>
  <c r="A5681" i="1"/>
  <c r="C5681" i="1"/>
  <c r="A5682" i="1"/>
  <c r="C5682" i="1"/>
  <c r="A5683" i="1"/>
  <c r="C5683" i="1"/>
  <c r="A5684" i="1"/>
  <c r="C5684" i="1"/>
  <c r="A5685" i="1"/>
  <c r="C5685" i="1"/>
  <c r="A5686" i="1"/>
  <c r="C5686" i="1"/>
  <c r="A5687" i="1"/>
  <c r="C5687" i="1"/>
  <c r="A5688" i="1"/>
  <c r="C5688" i="1"/>
  <c r="A5689" i="1"/>
  <c r="C5689" i="1"/>
  <c r="A5690" i="1"/>
  <c r="C5690" i="1"/>
  <c r="A5691" i="1"/>
  <c r="C5691" i="1"/>
  <c r="A5692" i="1"/>
  <c r="C5692" i="1"/>
  <c r="A5693" i="1"/>
  <c r="C5693" i="1"/>
  <c r="A5694" i="1"/>
  <c r="C5694" i="1"/>
  <c r="A5695" i="1"/>
  <c r="C5695" i="1"/>
  <c r="A5696" i="1"/>
  <c r="C5696" i="1"/>
  <c r="A5697" i="1"/>
  <c r="C5697" i="1"/>
  <c r="A5698" i="1"/>
  <c r="C5698" i="1"/>
  <c r="A5699" i="1"/>
  <c r="C5699" i="1"/>
  <c r="A5700" i="1"/>
  <c r="C5700" i="1"/>
  <c r="A5701" i="1"/>
  <c r="C5701" i="1"/>
  <c r="A5702" i="1"/>
  <c r="C5702" i="1"/>
  <c r="A5703" i="1"/>
  <c r="C5703" i="1"/>
  <c r="A5704" i="1"/>
  <c r="C5704" i="1"/>
  <c r="A5705" i="1"/>
  <c r="C5705" i="1"/>
  <c r="A5706" i="1"/>
  <c r="C5706" i="1"/>
  <c r="A5707" i="1"/>
  <c r="C5707" i="1"/>
  <c r="A5708" i="1"/>
  <c r="C5708" i="1"/>
  <c r="A5709" i="1"/>
  <c r="C5709" i="1"/>
  <c r="A5710" i="1"/>
  <c r="C5710" i="1"/>
  <c r="A5711" i="1"/>
  <c r="C5711" i="1"/>
  <c r="A5712" i="1"/>
  <c r="C5712" i="1"/>
  <c r="A5713" i="1"/>
  <c r="C5713" i="1"/>
  <c r="A5714" i="1"/>
  <c r="C5714" i="1"/>
  <c r="A5715" i="1"/>
  <c r="C5715" i="1"/>
  <c r="A5716" i="1"/>
  <c r="C5716" i="1"/>
  <c r="A5717" i="1"/>
  <c r="C5717" i="1"/>
  <c r="A5718" i="1"/>
  <c r="C5718" i="1"/>
  <c r="A5719" i="1"/>
  <c r="C5719" i="1"/>
  <c r="A5720" i="1"/>
  <c r="C5720" i="1"/>
  <c r="A5721" i="1"/>
  <c r="C5721" i="1"/>
  <c r="A5722" i="1"/>
  <c r="C5722" i="1"/>
  <c r="A5723" i="1"/>
  <c r="C5723" i="1"/>
  <c r="A5724" i="1"/>
  <c r="C5724" i="1"/>
  <c r="A5725" i="1"/>
  <c r="C5725" i="1"/>
  <c r="A5726" i="1"/>
  <c r="C5726" i="1"/>
  <c r="A5727" i="1"/>
  <c r="C5727" i="1"/>
  <c r="A5728" i="1"/>
  <c r="C5728" i="1"/>
  <c r="A5729" i="1"/>
  <c r="C5729" i="1"/>
  <c r="A5730" i="1"/>
  <c r="C5730" i="1"/>
  <c r="A5731" i="1"/>
  <c r="C5731" i="1"/>
  <c r="A5732" i="1"/>
  <c r="C5732" i="1"/>
  <c r="A5733" i="1"/>
  <c r="C5733" i="1"/>
  <c r="A5734" i="1"/>
  <c r="C5734" i="1"/>
  <c r="A5735" i="1"/>
  <c r="C5735" i="1"/>
  <c r="A5736" i="1"/>
  <c r="C5736" i="1"/>
  <c r="A5737" i="1"/>
  <c r="C5737" i="1"/>
  <c r="A5738" i="1"/>
  <c r="C5738" i="1"/>
  <c r="A5739" i="1"/>
  <c r="C5739" i="1"/>
  <c r="A5740" i="1"/>
  <c r="C5740" i="1"/>
  <c r="A5741" i="1"/>
  <c r="C5741" i="1"/>
  <c r="A5742" i="1"/>
  <c r="C5742" i="1"/>
  <c r="A5743" i="1"/>
  <c r="C5743" i="1"/>
  <c r="A5744" i="1"/>
  <c r="C5744" i="1"/>
  <c r="A5745" i="1"/>
  <c r="C5745" i="1"/>
  <c r="A5746" i="1"/>
  <c r="C5746" i="1"/>
  <c r="A5747" i="1"/>
  <c r="C5747" i="1"/>
  <c r="A5748" i="1"/>
  <c r="C5748" i="1"/>
  <c r="A5749" i="1"/>
  <c r="C5749" i="1"/>
  <c r="A5750" i="1"/>
  <c r="C5750" i="1"/>
  <c r="A5751" i="1"/>
  <c r="C5751" i="1"/>
  <c r="A5752" i="1"/>
  <c r="C5752" i="1"/>
  <c r="A5753" i="1"/>
  <c r="C5753" i="1"/>
  <c r="A5754" i="1"/>
  <c r="C5754" i="1"/>
  <c r="A5755" i="1"/>
  <c r="C5755" i="1"/>
  <c r="A5756" i="1"/>
  <c r="C5756" i="1"/>
  <c r="A5757" i="1"/>
  <c r="C5757" i="1"/>
  <c r="A5758" i="1"/>
  <c r="C5758" i="1"/>
  <c r="A5759" i="1"/>
  <c r="C5759" i="1"/>
  <c r="A5760" i="1"/>
  <c r="C5760" i="1"/>
  <c r="A5761" i="1"/>
  <c r="C5761" i="1"/>
  <c r="A5762" i="1"/>
  <c r="C5762" i="1"/>
  <c r="A5763" i="1"/>
  <c r="C5763" i="1"/>
  <c r="A5764" i="1"/>
  <c r="C5764" i="1"/>
  <c r="A5765" i="1"/>
  <c r="C5765" i="1"/>
  <c r="A5766" i="1"/>
  <c r="C5766" i="1"/>
  <c r="A5767" i="1"/>
  <c r="C5767" i="1"/>
  <c r="A5768" i="1"/>
  <c r="C5768" i="1"/>
  <c r="A5769" i="1"/>
  <c r="C5769" i="1"/>
  <c r="A5770" i="1"/>
  <c r="C5770" i="1"/>
  <c r="A5771" i="1"/>
  <c r="C5771" i="1"/>
  <c r="A5772" i="1"/>
  <c r="C5772" i="1"/>
  <c r="A5773" i="1"/>
  <c r="C5773" i="1"/>
  <c r="A5774" i="1"/>
  <c r="C5774" i="1"/>
  <c r="A5775" i="1"/>
  <c r="C5775" i="1"/>
  <c r="A5776" i="1"/>
  <c r="C5776" i="1"/>
  <c r="A5777" i="1"/>
  <c r="C5777" i="1"/>
  <c r="A5778" i="1"/>
  <c r="C5778" i="1"/>
  <c r="A5779" i="1"/>
  <c r="C5779" i="1"/>
  <c r="A5780" i="1"/>
  <c r="C5780" i="1"/>
  <c r="A5781" i="1"/>
  <c r="C5781" i="1"/>
  <c r="A5782" i="1"/>
  <c r="C5782" i="1"/>
  <c r="A5783" i="1"/>
  <c r="C5783" i="1"/>
  <c r="A5784" i="1"/>
  <c r="C5784" i="1"/>
  <c r="A5785" i="1"/>
  <c r="C5785" i="1"/>
  <c r="A5786" i="1"/>
  <c r="C5786" i="1"/>
  <c r="A5787" i="1"/>
  <c r="C5787" i="1"/>
  <c r="A5788" i="1"/>
  <c r="C5788" i="1"/>
  <c r="A5789" i="1"/>
  <c r="C5789" i="1"/>
  <c r="A5790" i="1"/>
  <c r="C5790" i="1"/>
  <c r="A5791" i="1"/>
  <c r="C5791" i="1"/>
  <c r="A5792" i="1"/>
  <c r="C5792" i="1"/>
  <c r="A5793" i="1"/>
  <c r="C5793" i="1"/>
  <c r="A5794" i="1"/>
  <c r="C5794" i="1"/>
  <c r="A5795" i="1"/>
  <c r="C5795" i="1"/>
  <c r="A5796" i="1"/>
  <c r="C5796" i="1"/>
  <c r="A5797" i="1"/>
  <c r="C5797" i="1"/>
  <c r="A5798" i="1"/>
  <c r="C5798" i="1"/>
  <c r="A5799" i="1"/>
  <c r="C5799" i="1"/>
  <c r="A5800" i="1"/>
  <c r="C5800" i="1"/>
  <c r="A5801" i="1"/>
  <c r="C5801" i="1"/>
  <c r="A5802" i="1"/>
  <c r="C5802" i="1"/>
  <c r="A5803" i="1"/>
  <c r="C5803" i="1"/>
  <c r="A5804" i="1"/>
  <c r="C5804" i="1"/>
  <c r="A5805" i="1"/>
  <c r="C5805" i="1"/>
  <c r="A5806" i="1"/>
  <c r="C5806" i="1"/>
  <c r="A5807" i="1"/>
  <c r="C5807" i="1"/>
  <c r="A5808" i="1"/>
  <c r="C5808" i="1"/>
  <c r="A5809" i="1"/>
  <c r="C5809" i="1"/>
  <c r="A5810" i="1"/>
  <c r="C5810" i="1"/>
  <c r="A5811" i="1"/>
  <c r="C5811" i="1"/>
  <c r="A5812" i="1"/>
  <c r="C5812" i="1"/>
  <c r="A5813" i="1"/>
  <c r="C5813" i="1"/>
  <c r="A5814" i="1"/>
  <c r="C5814" i="1"/>
  <c r="A5815" i="1"/>
  <c r="C5815" i="1"/>
  <c r="A5816" i="1"/>
  <c r="C5816" i="1"/>
  <c r="A5817" i="1"/>
  <c r="C5817" i="1"/>
  <c r="A5818" i="1"/>
  <c r="C5818" i="1"/>
  <c r="A5819" i="1"/>
  <c r="C5819" i="1"/>
  <c r="A5820" i="1"/>
  <c r="C5820" i="1"/>
  <c r="A5821" i="1"/>
  <c r="C5821" i="1"/>
  <c r="A5822" i="1"/>
  <c r="C5822" i="1"/>
  <c r="A5823" i="1"/>
  <c r="C5823" i="1"/>
  <c r="A5824" i="1"/>
  <c r="C5824" i="1"/>
  <c r="A5825" i="1"/>
  <c r="C5825" i="1"/>
  <c r="A5826" i="1"/>
  <c r="C5826" i="1"/>
  <c r="A5827" i="1"/>
  <c r="C5827" i="1"/>
  <c r="A5828" i="1"/>
  <c r="C5828" i="1"/>
  <c r="A5829" i="1"/>
  <c r="C5829" i="1"/>
  <c r="A5830" i="1"/>
  <c r="C5830" i="1"/>
  <c r="A5831" i="1"/>
  <c r="C5831" i="1"/>
  <c r="A5832" i="1"/>
  <c r="C5832" i="1"/>
  <c r="A5833" i="1"/>
  <c r="C5833" i="1"/>
  <c r="A5834" i="1"/>
  <c r="C5834" i="1"/>
  <c r="A5835" i="1"/>
  <c r="C5835" i="1"/>
  <c r="A5836" i="1"/>
  <c r="C5836" i="1"/>
  <c r="A5837" i="1"/>
  <c r="C5837" i="1"/>
  <c r="A5838" i="1"/>
  <c r="C5838" i="1"/>
  <c r="A5839" i="1"/>
  <c r="C5839" i="1"/>
  <c r="A5840" i="1"/>
  <c r="C5840" i="1"/>
  <c r="A5841" i="1"/>
  <c r="C5841" i="1"/>
  <c r="A5842" i="1"/>
  <c r="C5842" i="1"/>
  <c r="A5843" i="1"/>
  <c r="C5843" i="1"/>
  <c r="A5844" i="1"/>
  <c r="C5844" i="1"/>
  <c r="A5845" i="1"/>
  <c r="C5845" i="1"/>
  <c r="A5846" i="1"/>
  <c r="C5846" i="1"/>
  <c r="A5847" i="1"/>
  <c r="C5847" i="1"/>
  <c r="A5848" i="1"/>
  <c r="C5848" i="1"/>
  <c r="A5849" i="1"/>
  <c r="C5849" i="1"/>
  <c r="A5850" i="1"/>
  <c r="C5850" i="1"/>
  <c r="A5851" i="1"/>
  <c r="C5851" i="1"/>
  <c r="A5852" i="1"/>
  <c r="C5852" i="1"/>
  <c r="A5853" i="1"/>
  <c r="C5853" i="1"/>
  <c r="A5854" i="1"/>
  <c r="C5854" i="1"/>
  <c r="A5855" i="1"/>
  <c r="C5855" i="1"/>
  <c r="A5856" i="1"/>
  <c r="C5856" i="1"/>
  <c r="A5857" i="1"/>
  <c r="C5857" i="1"/>
  <c r="A5858" i="1"/>
  <c r="C5858" i="1"/>
  <c r="A5859" i="1"/>
  <c r="C5859" i="1"/>
  <c r="A5860" i="1"/>
  <c r="C5860" i="1"/>
  <c r="A5861" i="1"/>
  <c r="C5861" i="1"/>
  <c r="A5862" i="1"/>
  <c r="C5862" i="1"/>
  <c r="A5863" i="1"/>
  <c r="C5863" i="1"/>
  <c r="A5864" i="1"/>
  <c r="C5864" i="1"/>
  <c r="A5865" i="1"/>
  <c r="C5865" i="1"/>
  <c r="A5866" i="1"/>
  <c r="C5866" i="1"/>
  <c r="A5867" i="1"/>
  <c r="C5867" i="1"/>
  <c r="A5868" i="1"/>
  <c r="C5868" i="1"/>
  <c r="A5869" i="1"/>
  <c r="C5869" i="1"/>
  <c r="A5870" i="1"/>
  <c r="C5870" i="1"/>
  <c r="A5871" i="1"/>
  <c r="C5871" i="1"/>
  <c r="A5872" i="1"/>
  <c r="C5872" i="1"/>
  <c r="A5873" i="1"/>
  <c r="C5873" i="1"/>
  <c r="A5874" i="1"/>
  <c r="C5874" i="1"/>
  <c r="A5875" i="1"/>
  <c r="C5875" i="1"/>
  <c r="A5876" i="1"/>
  <c r="C5876" i="1"/>
  <c r="A5877" i="1"/>
  <c r="C5877" i="1"/>
  <c r="A5878" i="1"/>
  <c r="C5878" i="1"/>
  <c r="A5879" i="1"/>
  <c r="C5879" i="1"/>
  <c r="A5880" i="1"/>
  <c r="C5880" i="1"/>
  <c r="A5881" i="1"/>
  <c r="C5881" i="1"/>
  <c r="A5882" i="1"/>
  <c r="C5882" i="1"/>
  <c r="A5883" i="1"/>
  <c r="C5883" i="1"/>
  <c r="A5884" i="1"/>
  <c r="C5884" i="1"/>
  <c r="A5885" i="1"/>
  <c r="C5885" i="1"/>
  <c r="A5886" i="1"/>
  <c r="C5886" i="1"/>
  <c r="A5887" i="1"/>
  <c r="C5887" i="1"/>
  <c r="A5888" i="1"/>
  <c r="C5888" i="1"/>
  <c r="A5889" i="1"/>
  <c r="C5889" i="1"/>
  <c r="A5890" i="1"/>
  <c r="C5890" i="1"/>
  <c r="A5891" i="1"/>
  <c r="C5891" i="1"/>
  <c r="A5892" i="1"/>
  <c r="C5892" i="1"/>
  <c r="A5893" i="1"/>
  <c r="C5893" i="1"/>
  <c r="A5894" i="1"/>
  <c r="C5894" i="1"/>
  <c r="A5895" i="1"/>
  <c r="C5895" i="1"/>
  <c r="A5896" i="1"/>
  <c r="C5896" i="1"/>
  <c r="A5897" i="1"/>
  <c r="C5897" i="1"/>
  <c r="A5898" i="1"/>
  <c r="C5898" i="1"/>
  <c r="A5899" i="1"/>
  <c r="C5899" i="1"/>
  <c r="A5900" i="1"/>
  <c r="C5900" i="1"/>
  <c r="A5901" i="1"/>
  <c r="C5901" i="1"/>
  <c r="A5902" i="1"/>
  <c r="C5902" i="1"/>
  <c r="A5903" i="1"/>
  <c r="C5903" i="1"/>
  <c r="A5904" i="1"/>
  <c r="C5904" i="1"/>
  <c r="A5905" i="1"/>
  <c r="C5905" i="1"/>
  <c r="A5906" i="1"/>
  <c r="C5906" i="1"/>
  <c r="A5907" i="1"/>
  <c r="C5907" i="1"/>
  <c r="A5908" i="1"/>
  <c r="C5908" i="1"/>
  <c r="A5909" i="1"/>
  <c r="C5909" i="1"/>
  <c r="A5910" i="1"/>
  <c r="C5910" i="1"/>
  <c r="A5911" i="1"/>
  <c r="C5911" i="1"/>
  <c r="A5912" i="1"/>
  <c r="C5912" i="1"/>
  <c r="A5913" i="1"/>
  <c r="C5913" i="1"/>
  <c r="A5914" i="1"/>
  <c r="C5914" i="1"/>
  <c r="A5915" i="1"/>
  <c r="C5915" i="1"/>
  <c r="A5916" i="1"/>
  <c r="C5916" i="1"/>
  <c r="A5917" i="1"/>
  <c r="C5917" i="1"/>
  <c r="A5918" i="1"/>
  <c r="C5918" i="1"/>
  <c r="A5919" i="1"/>
  <c r="C5919" i="1"/>
  <c r="A5920" i="1"/>
  <c r="C5920" i="1"/>
  <c r="A5921" i="1"/>
  <c r="C5921" i="1"/>
  <c r="A5922" i="1"/>
  <c r="C5922" i="1"/>
  <c r="A5923" i="1"/>
  <c r="C5923" i="1"/>
  <c r="A5924" i="1"/>
  <c r="C5924" i="1"/>
  <c r="A5925" i="1"/>
  <c r="C5925" i="1"/>
  <c r="A5926" i="1"/>
  <c r="C5926" i="1"/>
  <c r="A5927" i="1"/>
  <c r="C5927" i="1"/>
  <c r="A5928" i="1"/>
  <c r="C5928" i="1"/>
  <c r="A5929" i="1"/>
  <c r="C5929" i="1"/>
  <c r="A5930" i="1"/>
  <c r="C5930" i="1"/>
  <c r="A5931" i="1"/>
  <c r="C5931" i="1"/>
  <c r="A5932" i="1"/>
  <c r="C5932" i="1"/>
  <c r="A5933" i="1"/>
  <c r="C5933" i="1"/>
  <c r="A5934" i="1"/>
  <c r="C5934" i="1"/>
  <c r="A5935" i="1"/>
  <c r="C5935" i="1"/>
  <c r="A5936" i="1"/>
  <c r="C5936" i="1"/>
  <c r="A5937" i="1"/>
  <c r="C5937" i="1"/>
  <c r="A5938" i="1"/>
  <c r="C5938" i="1"/>
  <c r="A5939" i="1"/>
  <c r="C5939" i="1"/>
  <c r="A5940" i="1"/>
  <c r="C5940" i="1"/>
  <c r="A5941" i="1"/>
  <c r="C5941" i="1"/>
  <c r="A5942" i="1"/>
  <c r="C5942" i="1"/>
  <c r="A5943" i="1"/>
  <c r="C5943" i="1"/>
  <c r="A5944" i="1"/>
  <c r="C5944" i="1"/>
  <c r="A5945" i="1"/>
  <c r="C5945" i="1"/>
  <c r="A5946" i="1"/>
  <c r="C5946" i="1"/>
  <c r="A5947" i="1"/>
  <c r="C5947" i="1"/>
  <c r="A5948" i="1"/>
  <c r="C5948" i="1"/>
  <c r="A5949" i="1"/>
  <c r="C5949" i="1"/>
  <c r="A5950" i="1"/>
  <c r="C5950" i="1"/>
  <c r="A5951" i="1"/>
  <c r="C5951" i="1"/>
  <c r="A5952" i="1"/>
  <c r="C5952" i="1"/>
  <c r="A5953" i="1"/>
  <c r="C5953" i="1"/>
  <c r="A5954" i="1"/>
  <c r="C5954" i="1"/>
  <c r="A5955" i="1"/>
  <c r="C5955" i="1"/>
  <c r="A5956" i="1"/>
  <c r="C5956" i="1"/>
  <c r="A5957" i="1"/>
  <c r="C5957" i="1"/>
  <c r="A5958" i="1"/>
  <c r="C5958" i="1"/>
  <c r="A5959" i="1"/>
  <c r="C5959" i="1"/>
  <c r="A5960" i="1"/>
  <c r="C5960" i="1"/>
  <c r="A5961" i="1"/>
  <c r="C5961" i="1"/>
  <c r="A5962" i="1"/>
  <c r="C5962" i="1"/>
  <c r="A5963" i="1"/>
  <c r="C5963" i="1"/>
  <c r="A5964" i="1"/>
  <c r="C5964" i="1"/>
  <c r="A5965" i="1"/>
  <c r="C5965" i="1"/>
  <c r="A5966" i="1"/>
  <c r="C5966" i="1"/>
  <c r="A5967" i="1"/>
  <c r="C5967" i="1"/>
  <c r="A5968" i="1"/>
  <c r="C5968" i="1"/>
  <c r="A5969" i="1"/>
  <c r="C5969" i="1"/>
  <c r="A5970" i="1"/>
  <c r="C5970" i="1"/>
  <c r="A5971" i="1"/>
  <c r="C5971" i="1"/>
  <c r="A5972" i="1"/>
  <c r="C5972" i="1"/>
  <c r="A5973" i="1"/>
  <c r="C5973" i="1"/>
  <c r="A5974" i="1"/>
  <c r="C5974" i="1"/>
  <c r="A5975" i="1"/>
  <c r="C5975" i="1"/>
  <c r="A5976" i="1"/>
  <c r="C5976" i="1"/>
  <c r="A5977" i="1"/>
  <c r="C5977" i="1"/>
  <c r="A5978" i="1"/>
  <c r="C5978" i="1"/>
  <c r="A5979" i="1"/>
  <c r="C5979" i="1"/>
  <c r="A5980" i="1"/>
  <c r="C5980" i="1"/>
  <c r="A5981" i="1"/>
  <c r="C5981" i="1"/>
  <c r="A5982" i="1"/>
  <c r="C5982" i="1"/>
  <c r="A5983" i="1"/>
  <c r="C5983" i="1"/>
  <c r="A5984" i="1"/>
  <c r="C5984" i="1"/>
  <c r="A5985" i="1"/>
  <c r="C5985" i="1"/>
  <c r="A5986" i="1"/>
  <c r="C5986" i="1"/>
  <c r="A5987" i="1"/>
  <c r="C5987" i="1"/>
  <c r="A5988" i="1"/>
  <c r="C5988" i="1"/>
  <c r="A5989" i="1"/>
  <c r="C5989" i="1"/>
  <c r="A5990" i="1"/>
  <c r="C5990" i="1"/>
  <c r="A5991" i="1"/>
  <c r="C5991" i="1"/>
  <c r="A5992" i="1"/>
  <c r="C5992" i="1"/>
  <c r="A5993" i="1"/>
  <c r="C5993" i="1"/>
  <c r="A5994" i="1"/>
  <c r="C5994" i="1"/>
  <c r="A5995" i="1"/>
  <c r="C5995" i="1"/>
  <c r="A5996" i="1"/>
  <c r="C5996" i="1"/>
  <c r="A5997" i="1"/>
  <c r="C5997" i="1"/>
  <c r="A5998" i="1"/>
  <c r="C5998" i="1"/>
  <c r="A5999" i="1"/>
  <c r="C5999" i="1"/>
  <c r="A6000" i="1"/>
  <c r="C6000" i="1"/>
  <c r="A6001" i="1"/>
  <c r="C6001" i="1"/>
  <c r="A6002" i="1"/>
  <c r="C6002" i="1"/>
  <c r="A6003" i="1"/>
  <c r="C6003" i="1"/>
  <c r="A6004" i="1"/>
  <c r="C6004" i="1"/>
  <c r="A6005" i="1"/>
  <c r="C6005" i="1"/>
  <c r="A6006" i="1"/>
  <c r="C6006" i="1"/>
  <c r="A6007" i="1"/>
  <c r="C6007" i="1"/>
  <c r="A6008" i="1"/>
  <c r="C6008" i="1"/>
  <c r="A6009" i="1"/>
  <c r="C6009" i="1"/>
  <c r="A6010" i="1"/>
  <c r="C6010" i="1"/>
  <c r="A6011" i="1"/>
  <c r="C6011" i="1"/>
  <c r="A6012" i="1"/>
  <c r="C6012" i="1"/>
  <c r="A6013" i="1"/>
  <c r="C6013" i="1"/>
  <c r="A6014" i="1"/>
  <c r="C6014" i="1"/>
  <c r="A6015" i="1"/>
  <c r="C6015" i="1"/>
  <c r="A6016" i="1"/>
  <c r="C6016" i="1"/>
  <c r="A6017" i="1"/>
  <c r="C6017" i="1"/>
  <c r="A6018" i="1"/>
  <c r="C6018" i="1"/>
  <c r="A6019" i="1"/>
  <c r="C6019" i="1"/>
  <c r="A6020" i="1"/>
  <c r="C6020" i="1"/>
  <c r="A6021" i="1"/>
  <c r="C6021" i="1"/>
  <c r="A6022" i="1"/>
  <c r="C6022" i="1"/>
  <c r="A6023" i="1"/>
  <c r="C6023" i="1"/>
  <c r="A6024" i="1"/>
  <c r="C6024" i="1"/>
  <c r="A6025" i="1"/>
  <c r="C6025" i="1"/>
  <c r="A6026" i="1"/>
  <c r="C6026" i="1"/>
  <c r="A6027" i="1"/>
  <c r="C6027" i="1"/>
  <c r="A6028" i="1"/>
  <c r="C6028" i="1"/>
  <c r="A6029" i="1"/>
  <c r="C6029" i="1"/>
  <c r="A6030" i="1"/>
  <c r="C6030" i="1"/>
  <c r="A6031" i="1"/>
  <c r="C6031" i="1"/>
  <c r="A6032" i="1"/>
  <c r="C6032" i="1"/>
  <c r="A6033" i="1"/>
  <c r="C6033" i="1"/>
  <c r="A6034" i="1"/>
  <c r="C6034" i="1"/>
  <c r="A6035" i="1"/>
  <c r="C6035" i="1"/>
  <c r="A6036" i="1"/>
  <c r="C6036" i="1"/>
  <c r="A6037" i="1"/>
  <c r="C6037" i="1"/>
  <c r="A6038" i="1"/>
  <c r="C6038" i="1"/>
  <c r="A6039" i="1"/>
  <c r="C6039" i="1"/>
  <c r="A6040" i="1"/>
  <c r="C6040" i="1"/>
  <c r="A6041" i="1"/>
  <c r="C6041" i="1"/>
  <c r="A6042" i="1"/>
  <c r="C6042" i="1"/>
  <c r="A6043" i="1"/>
  <c r="C6043" i="1"/>
  <c r="A6044" i="1"/>
  <c r="C6044" i="1"/>
  <c r="A6045" i="1"/>
  <c r="C6045" i="1"/>
  <c r="A6046" i="1"/>
  <c r="C6046" i="1"/>
  <c r="A6047" i="1"/>
  <c r="C6047" i="1"/>
  <c r="A6048" i="1"/>
  <c r="C6048" i="1"/>
  <c r="A6049" i="1"/>
  <c r="C6049" i="1"/>
  <c r="A6050" i="1"/>
  <c r="C6050" i="1"/>
  <c r="A6051" i="1"/>
  <c r="C6051" i="1"/>
  <c r="A6052" i="1"/>
  <c r="C6052" i="1"/>
  <c r="A6053" i="1"/>
  <c r="C6053" i="1"/>
  <c r="A6054" i="1"/>
  <c r="C6054" i="1"/>
  <c r="A6055" i="1"/>
  <c r="C6055" i="1"/>
  <c r="A6056" i="1"/>
  <c r="C6056" i="1"/>
  <c r="A6057" i="1"/>
  <c r="C6057" i="1"/>
  <c r="A6058" i="1"/>
  <c r="C6058" i="1"/>
  <c r="A6059" i="1"/>
  <c r="C6059" i="1"/>
  <c r="A6060" i="1"/>
  <c r="C6060" i="1"/>
  <c r="A6061" i="1"/>
  <c r="C6061" i="1"/>
  <c r="A6062" i="1"/>
  <c r="C6062" i="1"/>
  <c r="A6063" i="1"/>
  <c r="C6063" i="1"/>
  <c r="A6064" i="1"/>
  <c r="C6064" i="1"/>
  <c r="A6065" i="1"/>
  <c r="C6065" i="1"/>
  <c r="A6066" i="1"/>
  <c r="C6066" i="1"/>
  <c r="A6067" i="1"/>
  <c r="C6067" i="1"/>
  <c r="A6068" i="1"/>
  <c r="C6068" i="1"/>
  <c r="A6069" i="1"/>
  <c r="C6069" i="1"/>
  <c r="A6070" i="1"/>
  <c r="C6070" i="1"/>
  <c r="A6071" i="1"/>
  <c r="C6071" i="1"/>
  <c r="A6072" i="1"/>
  <c r="C6072" i="1"/>
  <c r="A6073" i="1"/>
  <c r="C6073" i="1"/>
  <c r="A6074" i="1"/>
  <c r="C6074" i="1"/>
  <c r="A6075" i="1"/>
  <c r="C6075" i="1"/>
  <c r="A6076" i="1"/>
  <c r="C6076" i="1"/>
  <c r="A6077" i="1"/>
  <c r="C6077" i="1"/>
  <c r="A6078" i="1"/>
  <c r="C6078" i="1"/>
  <c r="A6079" i="1"/>
  <c r="C6079" i="1"/>
  <c r="A6080" i="1"/>
  <c r="C6080" i="1"/>
  <c r="A6081" i="1"/>
  <c r="C6081" i="1"/>
  <c r="A6082" i="1"/>
  <c r="C6082" i="1"/>
  <c r="A6083" i="1"/>
  <c r="C6083" i="1"/>
  <c r="A6084" i="1"/>
  <c r="C6084" i="1"/>
  <c r="A6085" i="1"/>
  <c r="C6085" i="1"/>
  <c r="A6086" i="1"/>
  <c r="C6086" i="1"/>
  <c r="A6087" i="1"/>
  <c r="C6087" i="1"/>
  <c r="A6088" i="1"/>
  <c r="C6088" i="1"/>
  <c r="A6089" i="1"/>
  <c r="C6089" i="1"/>
  <c r="A6090" i="1"/>
  <c r="C6090" i="1"/>
  <c r="A6091" i="1"/>
  <c r="C6091" i="1"/>
  <c r="A6092" i="1"/>
  <c r="C6092" i="1"/>
  <c r="A6093" i="1"/>
  <c r="C6093" i="1"/>
  <c r="A6094" i="1"/>
  <c r="C6094" i="1"/>
  <c r="A6095" i="1"/>
  <c r="C6095" i="1"/>
  <c r="A6096" i="1"/>
  <c r="C6096" i="1"/>
  <c r="A6097" i="1"/>
  <c r="C6097" i="1"/>
  <c r="A6098" i="1"/>
  <c r="C6098" i="1"/>
  <c r="A6099" i="1"/>
  <c r="C6099" i="1"/>
  <c r="A6100" i="1"/>
  <c r="C6100" i="1"/>
  <c r="A6101" i="1"/>
  <c r="C6101" i="1"/>
  <c r="A6102" i="1"/>
  <c r="C6102" i="1"/>
  <c r="A6103" i="1"/>
  <c r="C6103" i="1"/>
  <c r="A6104" i="1"/>
  <c r="C6104" i="1"/>
  <c r="A6105" i="1"/>
  <c r="C6105" i="1"/>
  <c r="A6106" i="1"/>
  <c r="C6106" i="1"/>
  <c r="A6107" i="1"/>
  <c r="C6107" i="1"/>
  <c r="A6108" i="1"/>
  <c r="C6108" i="1"/>
  <c r="A6109" i="1"/>
  <c r="C6109" i="1"/>
  <c r="A6110" i="1"/>
  <c r="C6110" i="1"/>
  <c r="A6111" i="1"/>
  <c r="C6111" i="1"/>
  <c r="A6112" i="1"/>
  <c r="C6112" i="1"/>
  <c r="A6113" i="1"/>
  <c r="C6113" i="1"/>
  <c r="A6114" i="1"/>
  <c r="C6114" i="1"/>
  <c r="A6115" i="1"/>
  <c r="C6115" i="1"/>
  <c r="A6116" i="1"/>
  <c r="C6116" i="1"/>
  <c r="A6117" i="1"/>
  <c r="C6117" i="1"/>
  <c r="A6118" i="1"/>
  <c r="C6118" i="1"/>
  <c r="A6119" i="1"/>
  <c r="C6119" i="1"/>
  <c r="A6120" i="1"/>
  <c r="C6120" i="1"/>
  <c r="A6121" i="1"/>
  <c r="C6121" i="1"/>
  <c r="A6122" i="1"/>
  <c r="C6122" i="1"/>
  <c r="A6123" i="1"/>
  <c r="C6123" i="1"/>
  <c r="A6124" i="1"/>
  <c r="C6124" i="1"/>
  <c r="A6125" i="1"/>
  <c r="C6125" i="1"/>
  <c r="A6126" i="1"/>
  <c r="C6126" i="1"/>
  <c r="A6127" i="1"/>
  <c r="C6127" i="1"/>
  <c r="A6128" i="1"/>
  <c r="C6128" i="1"/>
  <c r="A6129" i="1"/>
  <c r="C6129" i="1"/>
  <c r="A6130" i="1"/>
  <c r="C6130" i="1"/>
  <c r="A6131" i="1"/>
  <c r="C6131" i="1"/>
  <c r="A6132" i="1"/>
  <c r="C6132" i="1"/>
  <c r="A6133" i="1"/>
  <c r="C6133" i="1"/>
  <c r="A6134" i="1"/>
  <c r="C6134" i="1"/>
  <c r="A6135" i="1"/>
  <c r="C6135" i="1"/>
  <c r="A6136" i="1"/>
  <c r="C6136" i="1"/>
  <c r="A6137" i="1"/>
  <c r="C6137" i="1"/>
  <c r="A6138" i="1"/>
  <c r="C6138" i="1"/>
  <c r="A6139" i="1"/>
  <c r="C6139" i="1"/>
  <c r="A6140" i="1"/>
  <c r="C6140" i="1"/>
  <c r="A6141" i="1"/>
  <c r="C6141" i="1"/>
  <c r="A6142" i="1"/>
  <c r="C6142" i="1"/>
  <c r="A6143" i="1"/>
  <c r="C6143" i="1"/>
  <c r="A6144" i="1"/>
  <c r="C6144" i="1"/>
  <c r="A6145" i="1"/>
  <c r="C6145" i="1"/>
  <c r="A6146" i="1"/>
  <c r="C6146" i="1"/>
  <c r="A6147" i="1"/>
  <c r="C6147" i="1"/>
  <c r="A6148" i="1"/>
  <c r="C6148" i="1"/>
  <c r="A6149" i="1"/>
  <c r="C6149" i="1"/>
  <c r="A6150" i="1"/>
  <c r="C6150" i="1"/>
  <c r="A6151" i="1"/>
  <c r="C6151" i="1"/>
  <c r="A6152" i="1"/>
  <c r="C6152" i="1"/>
  <c r="A6153" i="1"/>
  <c r="C6153" i="1"/>
  <c r="A6154" i="1"/>
  <c r="C6154" i="1"/>
  <c r="A6155" i="1"/>
  <c r="C6155" i="1"/>
  <c r="A6156" i="1"/>
  <c r="C6156" i="1"/>
  <c r="A6157" i="1"/>
  <c r="C6157" i="1"/>
  <c r="A6158" i="1"/>
  <c r="C6158" i="1"/>
  <c r="A6159" i="1"/>
  <c r="C6159" i="1"/>
  <c r="A6160" i="1"/>
  <c r="C6160" i="1"/>
  <c r="A6161" i="1"/>
  <c r="C6161" i="1"/>
  <c r="A6162" i="1"/>
  <c r="C6162" i="1"/>
  <c r="A6163" i="1"/>
  <c r="C6163" i="1"/>
  <c r="A6164" i="1"/>
  <c r="C6164" i="1"/>
  <c r="A6165" i="1"/>
  <c r="C6165" i="1"/>
  <c r="A6166" i="1"/>
  <c r="C6166" i="1"/>
  <c r="A6167" i="1"/>
  <c r="C6167" i="1"/>
  <c r="A6168" i="1"/>
  <c r="C6168" i="1"/>
  <c r="A6169" i="1"/>
  <c r="C6169" i="1"/>
  <c r="A6170" i="1"/>
  <c r="C6170" i="1"/>
  <c r="A6171" i="1"/>
  <c r="C6171" i="1"/>
  <c r="A6172" i="1"/>
  <c r="C6172" i="1"/>
  <c r="A6173" i="1"/>
  <c r="C6173" i="1"/>
  <c r="A6174" i="1"/>
  <c r="C6174" i="1"/>
  <c r="A6175" i="1"/>
  <c r="C6175" i="1"/>
  <c r="A6176" i="1"/>
  <c r="C6176" i="1"/>
  <c r="A6177" i="1"/>
  <c r="C6177" i="1"/>
  <c r="A6178" i="1"/>
  <c r="C6178" i="1"/>
  <c r="A6179" i="1"/>
  <c r="C6179" i="1"/>
  <c r="A6180" i="1"/>
  <c r="C6180" i="1"/>
  <c r="A6181" i="1"/>
  <c r="C6181" i="1"/>
  <c r="A6182" i="1"/>
  <c r="C6182" i="1"/>
  <c r="A6183" i="1"/>
  <c r="C6183" i="1"/>
  <c r="A6184" i="1"/>
  <c r="C6184" i="1"/>
  <c r="A6185" i="1"/>
  <c r="C6185" i="1"/>
  <c r="A6186" i="1"/>
  <c r="C6186" i="1"/>
  <c r="A6187" i="1"/>
  <c r="C6187" i="1"/>
  <c r="A6188" i="1"/>
  <c r="C6188" i="1"/>
  <c r="A6189" i="1"/>
  <c r="C6189" i="1"/>
  <c r="A6190" i="1"/>
  <c r="C6190" i="1"/>
  <c r="A6191" i="1"/>
  <c r="C6191" i="1"/>
  <c r="A6192" i="1"/>
  <c r="C6192" i="1"/>
  <c r="A6193" i="1"/>
  <c r="C6193" i="1"/>
  <c r="A6194" i="1"/>
  <c r="C6194" i="1"/>
  <c r="A6195" i="1"/>
  <c r="C6195" i="1"/>
  <c r="A6196" i="1"/>
  <c r="C6196" i="1"/>
  <c r="A6197" i="1"/>
  <c r="C6197" i="1"/>
  <c r="A6198" i="1"/>
  <c r="C6198" i="1"/>
  <c r="A6199" i="1"/>
  <c r="C6199" i="1"/>
  <c r="A6200" i="1"/>
  <c r="C6200" i="1"/>
  <c r="A6201" i="1"/>
  <c r="C6201" i="1"/>
  <c r="A6202" i="1"/>
  <c r="C6202" i="1"/>
  <c r="A6203" i="1"/>
  <c r="C6203" i="1"/>
  <c r="A6204" i="1"/>
  <c r="C6204" i="1"/>
  <c r="A6205" i="1"/>
  <c r="C6205" i="1"/>
  <c r="A6206" i="1"/>
  <c r="C6206" i="1"/>
  <c r="A6207" i="1"/>
  <c r="C6207" i="1"/>
  <c r="A6208" i="1"/>
  <c r="C6208" i="1"/>
  <c r="A6209" i="1"/>
  <c r="C6209" i="1"/>
  <c r="A6210" i="1"/>
  <c r="C6210" i="1"/>
  <c r="A6211" i="1"/>
  <c r="C6211" i="1"/>
  <c r="A6212" i="1"/>
  <c r="C6212" i="1"/>
  <c r="A6213" i="1"/>
  <c r="C6213" i="1"/>
  <c r="A6214" i="1"/>
  <c r="C6214" i="1"/>
  <c r="A6215" i="1"/>
  <c r="C6215" i="1"/>
  <c r="A6216" i="1"/>
  <c r="C6216" i="1"/>
  <c r="A6217" i="1"/>
  <c r="C6217" i="1"/>
  <c r="A6218" i="1"/>
  <c r="C6218" i="1"/>
  <c r="A6219" i="1"/>
  <c r="C6219" i="1"/>
  <c r="A6220" i="1"/>
  <c r="C6220" i="1"/>
  <c r="A6221" i="1"/>
  <c r="C6221" i="1"/>
  <c r="A6222" i="1"/>
  <c r="C6222" i="1"/>
  <c r="A6223" i="1"/>
  <c r="C6223" i="1"/>
  <c r="A6224" i="1"/>
  <c r="C6224" i="1"/>
  <c r="A6225" i="1"/>
  <c r="C6225" i="1"/>
  <c r="A6226" i="1"/>
  <c r="C6226" i="1"/>
  <c r="A6227" i="1"/>
  <c r="C6227" i="1"/>
  <c r="A6228" i="1"/>
  <c r="C6228" i="1"/>
  <c r="A6229" i="1"/>
  <c r="C6229" i="1"/>
  <c r="A6230" i="1"/>
  <c r="C6230" i="1"/>
  <c r="A6231" i="1"/>
  <c r="C6231" i="1"/>
  <c r="A6232" i="1"/>
  <c r="C6232" i="1"/>
  <c r="A6233" i="1"/>
  <c r="C6233" i="1"/>
  <c r="A6234" i="1"/>
  <c r="C6234" i="1"/>
  <c r="A6235" i="1"/>
  <c r="C6235" i="1"/>
  <c r="A6236" i="1"/>
  <c r="C6236" i="1"/>
  <c r="A6237" i="1"/>
  <c r="C6237" i="1"/>
  <c r="A6238" i="1"/>
  <c r="C6238" i="1"/>
  <c r="A6239" i="1"/>
  <c r="C6239" i="1"/>
  <c r="A6240" i="1"/>
  <c r="C6240" i="1"/>
  <c r="A6241" i="1"/>
  <c r="C6241" i="1"/>
  <c r="A6242" i="1"/>
  <c r="C6242" i="1"/>
  <c r="A6243" i="1"/>
  <c r="C6243" i="1"/>
  <c r="A6244" i="1"/>
  <c r="C6244" i="1"/>
  <c r="A6245" i="1"/>
  <c r="C6245" i="1"/>
  <c r="A6246" i="1"/>
  <c r="C6246" i="1"/>
  <c r="A6247" i="1"/>
  <c r="C6247" i="1"/>
  <c r="A6248" i="1"/>
  <c r="C6248" i="1"/>
  <c r="A6249" i="1"/>
  <c r="C6249" i="1"/>
  <c r="A6250" i="1"/>
  <c r="C6250" i="1"/>
  <c r="A6251" i="1"/>
  <c r="C6251" i="1"/>
  <c r="A6252" i="1"/>
  <c r="C6252" i="1"/>
  <c r="A6253" i="1"/>
  <c r="C6253" i="1"/>
  <c r="A6254" i="1"/>
  <c r="C6254" i="1"/>
  <c r="A6255" i="1"/>
  <c r="C6255" i="1"/>
  <c r="A6256" i="1"/>
  <c r="C6256" i="1"/>
  <c r="A6257" i="1"/>
  <c r="C6257" i="1"/>
  <c r="A6258" i="1"/>
  <c r="C6258" i="1"/>
  <c r="A6259" i="1"/>
  <c r="C6259" i="1"/>
  <c r="A6260" i="1"/>
  <c r="C6260" i="1"/>
  <c r="A6261" i="1"/>
  <c r="C6261" i="1"/>
  <c r="A6262" i="1"/>
  <c r="C6262" i="1"/>
  <c r="A6263" i="1"/>
  <c r="C6263" i="1"/>
  <c r="A6264" i="1"/>
  <c r="C6264" i="1"/>
  <c r="A6265" i="1"/>
  <c r="C6265" i="1"/>
  <c r="A6266" i="1"/>
  <c r="C6266" i="1"/>
  <c r="A6267" i="1"/>
  <c r="C6267" i="1"/>
  <c r="A6268" i="1"/>
  <c r="C6268" i="1"/>
  <c r="A6269" i="1"/>
  <c r="C6269" i="1"/>
  <c r="A6270" i="1"/>
  <c r="C6270" i="1"/>
  <c r="A6271" i="1"/>
  <c r="C6271" i="1"/>
  <c r="A6272" i="1"/>
  <c r="C6272" i="1"/>
  <c r="A6273" i="1"/>
  <c r="C6273" i="1"/>
  <c r="A6274" i="1"/>
  <c r="C6274" i="1"/>
  <c r="A6275" i="1"/>
  <c r="C6275" i="1"/>
  <c r="A6276" i="1"/>
  <c r="C6276" i="1"/>
  <c r="A6277" i="1"/>
  <c r="C6277" i="1"/>
  <c r="A6278" i="1"/>
  <c r="C6278" i="1"/>
  <c r="A6279" i="1"/>
  <c r="C6279" i="1"/>
  <c r="A6280" i="1"/>
  <c r="C6280" i="1"/>
  <c r="A6281" i="1"/>
  <c r="C6281" i="1"/>
  <c r="A6282" i="1"/>
  <c r="C6282" i="1"/>
  <c r="A6283" i="1"/>
  <c r="C6283" i="1"/>
  <c r="A6284" i="1"/>
  <c r="C6284" i="1"/>
  <c r="A6285" i="1"/>
  <c r="C6285" i="1"/>
  <c r="A6286" i="1"/>
  <c r="C6286" i="1"/>
  <c r="A6287" i="1"/>
  <c r="C6287" i="1"/>
  <c r="A6288" i="1"/>
  <c r="C6288" i="1"/>
  <c r="A6289" i="1"/>
  <c r="C6289" i="1"/>
  <c r="A6290" i="1"/>
  <c r="C6290" i="1"/>
  <c r="A6291" i="1"/>
  <c r="C6291" i="1"/>
  <c r="A6292" i="1"/>
  <c r="C6292" i="1"/>
  <c r="A6293" i="1"/>
  <c r="C6293" i="1"/>
  <c r="A6294" i="1"/>
  <c r="C6294" i="1"/>
  <c r="A6295" i="1"/>
  <c r="C6295" i="1"/>
  <c r="A6296" i="1"/>
  <c r="C6296" i="1"/>
  <c r="A6297" i="1"/>
  <c r="C6297" i="1"/>
  <c r="A6298" i="1"/>
  <c r="C6298" i="1"/>
  <c r="A6299" i="1"/>
  <c r="C6299" i="1"/>
  <c r="A6300" i="1"/>
  <c r="C6300" i="1"/>
  <c r="A6301" i="1"/>
  <c r="C6301" i="1"/>
  <c r="A6302" i="1"/>
  <c r="C6302" i="1"/>
  <c r="A6303" i="1"/>
  <c r="C6303" i="1"/>
  <c r="A6304" i="1"/>
  <c r="C6304" i="1"/>
  <c r="A6305" i="1"/>
  <c r="C6305" i="1"/>
  <c r="A6306" i="1"/>
  <c r="C6306" i="1"/>
  <c r="A6307" i="1"/>
  <c r="C6307" i="1"/>
  <c r="A6308" i="1"/>
  <c r="C6308" i="1"/>
  <c r="A6309" i="1"/>
  <c r="C6309" i="1"/>
  <c r="A6310" i="1"/>
  <c r="C6310" i="1"/>
  <c r="A6311" i="1"/>
  <c r="C6311" i="1"/>
  <c r="A6312" i="1"/>
  <c r="C6312" i="1"/>
  <c r="A6313" i="1"/>
  <c r="C6313" i="1"/>
  <c r="A6314" i="1"/>
  <c r="C6314" i="1"/>
  <c r="A6315" i="1"/>
  <c r="C6315" i="1"/>
  <c r="A6316" i="1"/>
  <c r="C6316" i="1"/>
  <c r="A6317" i="1"/>
  <c r="C6317" i="1"/>
  <c r="A6318" i="1"/>
  <c r="C6318" i="1"/>
  <c r="A6319" i="1"/>
  <c r="C6319" i="1"/>
  <c r="A6320" i="1"/>
  <c r="C6320" i="1"/>
  <c r="A6321" i="1"/>
  <c r="C6321" i="1"/>
  <c r="A6322" i="1"/>
  <c r="C6322" i="1"/>
  <c r="A6323" i="1"/>
  <c r="C6323" i="1"/>
  <c r="A6324" i="1"/>
  <c r="C6324" i="1"/>
  <c r="A6325" i="1"/>
  <c r="C6325" i="1"/>
  <c r="A6326" i="1"/>
  <c r="C6326" i="1"/>
  <c r="A6327" i="1"/>
  <c r="C6327" i="1"/>
  <c r="A6328" i="1"/>
  <c r="C6328" i="1"/>
  <c r="A6329" i="1"/>
  <c r="C6329" i="1"/>
  <c r="A6330" i="1"/>
  <c r="C6330" i="1"/>
  <c r="A6331" i="1"/>
  <c r="C6331" i="1"/>
  <c r="A6332" i="1"/>
  <c r="C6332" i="1"/>
  <c r="A6333" i="1"/>
  <c r="C6333" i="1"/>
  <c r="A6334" i="1"/>
  <c r="C6334" i="1"/>
  <c r="A6335" i="1"/>
  <c r="C6335" i="1"/>
  <c r="A6336" i="1"/>
  <c r="C6336" i="1"/>
  <c r="A6337" i="1"/>
  <c r="C6337" i="1"/>
  <c r="A6338" i="1"/>
  <c r="C6338" i="1"/>
  <c r="A6339" i="1"/>
  <c r="C6339" i="1"/>
  <c r="A6340" i="1"/>
  <c r="C6340" i="1"/>
  <c r="A6341" i="1"/>
  <c r="C6341" i="1"/>
  <c r="A6342" i="1"/>
  <c r="C6342" i="1"/>
  <c r="A6343" i="1"/>
  <c r="C6343" i="1"/>
  <c r="A6344" i="1"/>
  <c r="C6344" i="1"/>
  <c r="A6345" i="1"/>
  <c r="C6345" i="1"/>
  <c r="A6346" i="1"/>
  <c r="C6346" i="1"/>
  <c r="A6347" i="1"/>
  <c r="C6347" i="1"/>
  <c r="A6348" i="1"/>
  <c r="C6348" i="1"/>
  <c r="A6349" i="1"/>
  <c r="C6349" i="1"/>
  <c r="A6350" i="1"/>
  <c r="C6350" i="1"/>
  <c r="A6351" i="1"/>
  <c r="C6351" i="1"/>
  <c r="A6352" i="1"/>
  <c r="C6352" i="1"/>
  <c r="A6353" i="1"/>
  <c r="C6353" i="1"/>
  <c r="A6354" i="1"/>
  <c r="C6354" i="1"/>
  <c r="A6355" i="1"/>
  <c r="C6355" i="1"/>
  <c r="A6356" i="1"/>
  <c r="C6356" i="1"/>
  <c r="A6357" i="1"/>
  <c r="C6357" i="1"/>
  <c r="A6358" i="1"/>
  <c r="C6358" i="1"/>
  <c r="A6359" i="1"/>
  <c r="C6359" i="1"/>
  <c r="A6360" i="1"/>
  <c r="C6360" i="1"/>
  <c r="A6361" i="1"/>
  <c r="C6361" i="1"/>
  <c r="A6362" i="1"/>
  <c r="C6362" i="1"/>
  <c r="A6363" i="1"/>
  <c r="C6363" i="1"/>
  <c r="A6364" i="1"/>
  <c r="C6364" i="1"/>
  <c r="A6365" i="1"/>
  <c r="C6365" i="1"/>
  <c r="A6366" i="1"/>
  <c r="C6366" i="1"/>
  <c r="A6367" i="1"/>
  <c r="C6367" i="1"/>
  <c r="A6368" i="1"/>
  <c r="C6368" i="1"/>
  <c r="A6369" i="1"/>
  <c r="C6369" i="1"/>
  <c r="A6370" i="1"/>
  <c r="C6370" i="1"/>
  <c r="A6371" i="1"/>
  <c r="C6371" i="1"/>
  <c r="A6372" i="1"/>
  <c r="C6372" i="1"/>
  <c r="A6373" i="1"/>
  <c r="C6373" i="1"/>
  <c r="A6374" i="1"/>
  <c r="C6374" i="1"/>
  <c r="A6375" i="1"/>
  <c r="C6375" i="1"/>
  <c r="A6376" i="1"/>
  <c r="C6376" i="1"/>
  <c r="A6377" i="1"/>
  <c r="C6377" i="1"/>
  <c r="A6378" i="1"/>
  <c r="C6378" i="1"/>
  <c r="A6379" i="1"/>
  <c r="C6379" i="1"/>
  <c r="A6380" i="1"/>
  <c r="C6380" i="1"/>
  <c r="A6381" i="1"/>
  <c r="C6381" i="1"/>
  <c r="A6382" i="1"/>
  <c r="C6382" i="1"/>
  <c r="A6383" i="1"/>
  <c r="C6383" i="1"/>
  <c r="A6384" i="1"/>
  <c r="C6384" i="1"/>
  <c r="A6385" i="1"/>
  <c r="C6385" i="1"/>
  <c r="A6386" i="1"/>
  <c r="C6386" i="1"/>
  <c r="A6387" i="1"/>
  <c r="C6387" i="1"/>
  <c r="A6388" i="1"/>
  <c r="C6388" i="1"/>
  <c r="A6389" i="1"/>
  <c r="C6389" i="1"/>
  <c r="A6390" i="1"/>
  <c r="C6390" i="1"/>
  <c r="A6391" i="1"/>
  <c r="C6391" i="1"/>
  <c r="A6392" i="1"/>
  <c r="C6392" i="1"/>
  <c r="A6393" i="1"/>
  <c r="C6393" i="1"/>
  <c r="A6394" i="1"/>
  <c r="C6394" i="1"/>
  <c r="A6395" i="1"/>
  <c r="C6395" i="1"/>
  <c r="A6396" i="1"/>
  <c r="C6396" i="1"/>
  <c r="A6397" i="1"/>
  <c r="C6397" i="1"/>
  <c r="A6398" i="1"/>
  <c r="C6398" i="1"/>
  <c r="A6399" i="1"/>
  <c r="C6399" i="1"/>
  <c r="A6400" i="1"/>
  <c r="C6400" i="1"/>
  <c r="A6401" i="1"/>
  <c r="C6401" i="1"/>
  <c r="A6402" i="1"/>
  <c r="C6402" i="1"/>
  <c r="A6403" i="1"/>
  <c r="C6403" i="1"/>
  <c r="A6404" i="1"/>
  <c r="C6404" i="1"/>
  <c r="A6405" i="1"/>
  <c r="C6405" i="1"/>
  <c r="A6406" i="1"/>
  <c r="C6406" i="1"/>
  <c r="A6407" i="1"/>
  <c r="C6407" i="1"/>
  <c r="A6408" i="1"/>
  <c r="C6408" i="1"/>
  <c r="A6409" i="1"/>
  <c r="C6409" i="1"/>
  <c r="A6410" i="1"/>
  <c r="C6410" i="1"/>
  <c r="A6411" i="1"/>
  <c r="C6411" i="1"/>
  <c r="A6412" i="1"/>
  <c r="C6412" i="1"/>
  <c r="A6413" i="1"/>
  <c r="C6413" i="1"/>
  <c r="A6414" i="1"/>
  <c r="C6414" i="1"/>
  <c r="A6415" i="1"/>
  <c r="C6415" i="1"/>
  <c r="A6416" i="1"/>
  <c r="C6416" i="1"/>
  <c r="A6417" i="1"/>
  <c r="C6417" i="1"/>
  <c r="A6418" i="1"/>
  <c r="C6418" i="1"/>
  <c r="A6419" i="1"/>
  <c r="C6419" i="1"/>
  <c r="A6420" i="1"/>
  <c r="C6420" i="1"/>
  <c r="A6421" i="1"/>
  <c r="C6421" i="1"/>
  <c r="A6422" i="1"/>
  <c r="C6422" i="1"/>
  <c r="A6423" i="1"/>
  <c r="C6423" i="1"/>
  <c r="A6424" i="1"/>
  <c r="C6424" i="1"/>
  <c r="A6425" i="1"/>
  <c r="C6425" i="1"/>
  <c r="A6426" i="1"/>
  <c r="C6426" i="1"/>
  <c r="A6427" i="1"/>
  <c r="C6427" i="1"/>
  <c r="A6428" i="1"/>
  <c r="C6428" i="1"/>
  <c r="A6429" i="1"/>
  <c r="C6429" i="1"/>
  <c r="A6430" i="1"/>
  <c r="C6430" i="1"/>
  <c r="A6431" i="1"/>
  <c r="C6431" i="1"/>
  <c r="A6432" i="1"/>
  <c r="C6432" i="1"/>
  <c r="A6433" i="1"/>
  <c r="C6433" i="1"/>
  <c r="A6434" i="1"/>
  <c r="C6434" i="1"/>
  <c r="A6435" i="1"/>
  <c r="C6435" i="1"/>
  <c r="A6436" i="1"/>
  <c r="C6436" i="1"/>
  <c r="A6437" i="1"/>
  <c r="C6437" i="1"/>
  <c r="A6438" i="1"/>
  <c r="C6438" i="1"/>
  <c r="A6439" i="1"/>
  <c r="C6439" i="1"/>
  <c r="A6440" i="1"/>
  <c r="C6440" i="1"/>
  <c r="A6441" i="1"/>
  <c r="C6441" i="1"/>
  <c r="A6442" i="1"/>
  <c r="C6442" i="1"/>
  <c r="A6443" i="1"/>
  <c r="C6443" i="1"/>
  <c r="A6444" i="1"/>
  <c r="C6444" i="1"/>
  <c r="A6445" i="1"/>
  <c r="C6445" i="1"/>
  <c r="A6446" i="1"/>
  <c r="C6446" i="1"/>
  <c r="A6447" i="1"/>
  <c r="C6447" i="1"/>
  <c r="A6448" i="1"/>
  <c r="C6448" i="1"/>
  <c r="A6449" i="1"/>
  <c r="C6449" i="1"/>
  <c r="A6450" i="1"/>
  <c r="C6450" i="1"/>
  <c r="A6451" i="1"/>
  <c r="C6451" i="1"/>
  <c r="A6452" i="1"/>
  <c r="C6452" i="1"/>
  <c r="A6453" i="1"/>
  <c r="C6453" i="1"/>
  <c r="A6454" i="1"/>
  <c r="C6454" i="1"/>
  <c r="A6455" i="1"/>
  <c r="C6455" i="1"/>
  <c r="A6456" i="1"/>
  <c r="C6456" i="1"/>
  <c r="A6457" i="1"/>
  <c r="C6457" i="1"/>
  <c r="A6458" i="1"/>
  <c r="C6458" i="1"/>
  <c r="A6459" i="1"/>
  <c r="C6459" i="1"/>
  <c r="A6460" i="1"/>
  <c r="C6460" i="1"/>
  <c r="A6461" i="1"/>
  <c r="C6461" i="1"/>
  <c r="A6462" i="1"/>
  <c r="C6462" i="1"/>
  <c r="A6463" i="1"/>
  <c r="C6463" i="1"/>
  <c r="A6464" i="1"/>
  <c r="C6464" i="1"/>
  <c r="A6465" i="1"/>
  <c r="C6465" i="1"/>
  <c r="A6466" i="1"/>
  <c r="C6466" i="1"/>
  <c r="A6467" i="1"/>
  <c r="C6467" i="1"/>
  <c r="A6468" i="1"/>
  <c r="C6468" i="1"/>
  <c r="A6469" i="1"/>
  <c r="C6469" i="1"/>
  <c r="A6470" i="1"/>
  <c r="C6470" i="1"/>
  <c r="A6471" i="1"/>
  <c r="C6471" i="1"/>
  <c r="A6472" i="1"/>
  <c r="C6472" i="1"/>
  <c r="A6473" i="1"/>
  <c r="C6473" i="1"/>
  <c r="A6474" i="1"/>
  <c r="C6474" i="1"/>
  <c r="A6475" i="1"/>
  <c r="C6475" i="1"/>
  <c r="A6476" i="1"/>
  <c r="C6476" i="1"/>
  <c r="A6477" i="1"/>
  <c r="C6477" i="1"/>
  <c r="A6478" i="1"/>
  <c r="C6478" i="1"/>
  <c r="A6479" i="1"/>
  <c r="C6479" i="1"/>
  <c r="A6480" i="1"/>
  <c r="C6480" i="1"/>
  <c r="A6481" i="1"/>
  <c r="C6481" i="1"/>
  <c r="A6482" i="1"/>
  <c r="C6482" i="1"/>
  <c r="A6483" i="1"/>
  <c r="C6483" i="1"/>
  <c r="A6484" i="1"/>
  <c r="C6484" i="1"/>
  <c r="A6485" i="1"/>
  <c r="C6485" i="1"/>
  <c r="A6486" i="1"/>
  <c r="C6486" i="1"/>
  <c r="A6487" i="1"/>
  <c r="C6487" i="1"/>
  <c r="A6488" i="1"/>
  <c r="C6488" i="1"/>
  <c r="A6489" i="1"/>
  <c r="C6489" i="1"/>
  <c r="A6490" i="1"/>
  <c r="C6490" i="1"/>
  <c r="A6491" i="1"/>
  <c r="C6491" i="1"/>
  <c r="A6492" i="1"/>
  <c r="C6492" i="1"/>
  <c r="A6493" i="1"/>
  <c r="C6493" i="1"/>
  <c r="A6494" i="1"/>
  <c r="C6494" i="1"/>
  <c r="A6495" i="1"/>
  <c r="C6495" i="1"/>
  <c r="A6496" i="1"/>
  <c r="C6496" i="1"/>
  <c r="A6497" i="1"/>
  <c r="C6497" i="1"/>
  <c r="A6498" i="1"/>
  <c r="C6498" i="1"/>
  <c r="A6499" i="1"/>
  <c r="C6499" i="1"/>
  <c r="A6500" i="1"/>
  <c r="C6500" i="1"/>
  <c r="A6501" i="1"/>
  <c r="C6501" i="1"/>
  <c r="A6502" i="1"/>
  <c r="C6502" i="1"/>
  <c r="A6503" i="1"/>
  <c r="C6503" i="1"/>
  <c r="A6504" i="1"/>
  <c r="C6504" i="1"/>
  <c r="A6505" i="1"/>
  <c r="C6505" i="1"/>
  <c r="A6506" i="1"/>
  <c r="C6506" i="1"/>
  <c r="A6507" i="1"/>
  <c r="C6507" i="1"/>
  <c r="A6508" i="1"/>
  <c r="C6508" i="1"/>
  <c r="A6509" i="1"/>
  <c r="C6509" i="1"/>
  <c r="A6510" i="1"/>
  <c r="C6510" i="1"/>
  <c r="A6511" i="1"/>
  <c r="C6511" i="1"/>
  <c r="A6512" i="1"/>
  <c r="C6512" i="1"/>
  <c r="A6513" i="1"/>
  <c r="C6513" i="1"/>
  <c r="A6514" i="1"/>
  <c r="C6514" i="1"/>
  <c r="A6515" i="1"/>
  <c r="C6515" i="1"/>
  <c r="A6516" i="1"/>
  <c r="C6516" i="1"/>
  <c r="A6517" i="1"/>
  <c r="C6517" i="1"/>
  <c r="A6518" i="1"/>
  <c r="C6518" i="1"/>
  <c r="A6519" i="1"/>
  <c r="C6519" i="1"/>
  <c r="A6520" i="1"/>
  <c r="C6520" i="1"/>
  <c r="A6521" i="1"/>
  <c r="C6521" i="1"/>
  <c r="A6522" i="1"/>
  <c r="C6522" i="1"/>
  <c r="A6523" i="1"/>
  <c r="C6523" i="1"/>
  <c r="A6524" i="1"/>
  <c r="C6524" i="1"/>
  <c r="A6525" i="1"/>
  <c r="C6525" i="1"/>
  <c r="A6526" i="1"/>
  <c r="C6526" i="1"/>
  <c r="A6527" i="1"/>
  <c r="C6527" i="1"/>
  <c r="A6528" i="1"/>
  <c r="C6528" i="1"/>
  <c r="A6529" i="1"/>
  <c r="C6529" i="1"/>
  <c r="A6530" i="1"/>
  <c r="C6530" i="1"/>
  <c r="A6531" i="1"/>
  <c r="C6531" i="1"/>
  <c r="A6532" i="1"/>
  <c r="C6532" i="1"/>
  <c r="A6533" i="1"/>
  <c r="C6533" i="1"/>
  <c r="A6534" i="1"/>
  <c r="C6534" i="1"/>
  <c r="A6535" i="1"/>
  <c r="C6535" i="1"/>
  <c r="A6536" i="1"/>
  <c r="C6536" i="1"/>
  <c r="A6537" i="1"/>
  <c r="C6537" i="1"/>
  <c r="A6538" i="1"/>
  <c r="C6538" i="1"/>
  <c r="A6539" i="1"/>
  <c r="C6539" i="1"/>
  <c r="A6540" i="1"/>
  <c r="C6540" i="1"/>
  <c r="A6541" i="1"/>
  <c r="C6541" i="1"/>
  <c r="A6542" i="1"/>
  <c r="C6542" i="1"/>
  <c r="A6543" i="1"/>
  <c r="C6543" i="1"/>
  <c r="A6544" i="1"/>
  <c r="C6544" i="1"/>
  <c r="A6545" i="1"/>
  <c r="C6545" i="1"/>
  <c r="A6546" i="1"/>
  <c r="C6546" i="1"/>
  <c r="A6547" i="1"/>
  <c r="C6547" i="1"/>
  <c r="A6548" i="1"/>
  <c r="C6548" i="1"/>
  <c r="A6549" i="1"/>
  <c r="C6549" i="1"/>
  <c r="A6550" i="1"/>
  <c r="C6550" i="1"/>
  <c r="A6551" i="1"/>
  <c r="C6551" i="1"/>
  <c r="A6552" i="1"/>
  <c r="C6552" i="1"/>
  <c r="A6553" i="1"/>
  <c r="C6553" i="1"/>
  <c r="A6554" i="1"/>
  <c r="C6554" i="1"/>
  <c r="A6555" i="1"/>
  <c r="C6555" i="1"/>
  <c r="A6556" i="1"/>
  <c r="C6556" i="1"/>
  <c r="A6557" i="1"/>
  <c r="C6557" i="1"/>
  <c r="A6558" i="1"/>
  <c r="C6558" i="1"/>
  <c r="A6559" i="1"/>
  <c r="C6559" i="1"/>
  <c r="A6560" i="1"/>
  <c r="C6560" i="1"/>
  <c r="A6561" i="1"/>
  <c r="C6561" i="1"/>
  <c r="A6562" i="1"/>
  <c r="C6562" i="1"/>
  <c r="A6563" i="1"/>
  <c r="C6563" i="1"/>
  <c r="A6564" i="1"/>
  <c r="C6564" i="1"/>
  <c r="A6565" i="1"/>
  <c r="C6565" i="1"/>
  <c r="A6566" i="1"/>
  <c r="C6566" i="1"/>
  <c r="A6567" i="1"/>
  <c r="C6567" i="1"/>
  <c r="A6568" i="1"/>
  <c r="C6568" i="1"/>
  <c r="A6569" i="1"/>
  <c r="C6569" i="1"/>
  <c r="A6570" i="1"/>
  <c r="C6570" i="1"/>
  <c r="A6571" i="1"/>
  <c r="C6571" i="1"/>
  <c r="A6572" i="1"/>
  <c r="C6572" i="1"/>
  <c r="A6573" i="1"/>
  <c r="C6573" i="1"/>
  <c r="A6574" i="1"/>
  <c r="C6574" i="1"/>
  <c r="A6575" i="1"/>
  <c r="C6575" i="1"/>
  <c r="A6576" i="1"/>
  <c r="C6576" i="1"/>
  <c r="A6577" i="1"/>
  <c r="C6577" i="1"/>
  <c r="A6578" i="1"/>
  <c r="C6578" i="1"/>
  <c r="A6579" i="1"/>
  <c r="C6579" i="1"/>
  <c r="A6580" i="1"/>
  <c r="C6580" i="1"/>
  <c r="A6581" i="1"/>
  <c r="C6581" i="1"/>
  <c r="A6582" i="1"/>
  <c r="C6582" i="1"/>
  <c r="A6583" i="1"/>
  <c r="C6583" i="1"/>
  <c r="A6584" i="1"/>
  <c r="C6584" i="1"/>
  <c r="A6585" i="1"/>
  <c r="C6585" i="1"/>
  <c r="A6586" i="1"/>
  <c r="C6586" i="1"/>
  <c r="A6587" i="1"/>
  <c r="C6587" i="1"/>
  <c r="A6588" i="1"/>
  <c r="C6588" i="1"/>
  <c r="A6589" i="1"/>
  <c r="C6589" i="1"/>
  <c r="A6590" i="1"/>
  <c r="C6590" i="1"/>
  <c r="A6591" i="1"/>
  <c r="C6591" i="1"/>
  <c r="A6592" i="1"/>
  <c r="C6592" i="1"/>
  <c r="A6593" i="1"/>
  <c r="C6593" i="1"/>
  <c r="A6594" i="1"/>
  <c r="C6594" i="1"/>
  <c r="A6595" i="1"/>
  <c r="C6595" i="1"/>
  <c r="A6596" i="1"/>
  <c r="C6596" i="1"/>
  <c r="A6597" i="1"/>
  <c r="C6597" i="1"/>
  <c r="A6598" i="1"/>
  <c r="C6598" i="1"/>
  <c r="A6599" i="1"/>
  <c r="C6599" i="1"/>
  <c r="A6600" i="1"/>
  <c r="C6600" i="1"/>
  <c r="A6601" i="1"/>
  <c r="C6601" i="1"/>
  <c r="A6602" i="1"/>
  <c r="C6602" i="1"/>
  <c r="A6603" i="1"/>
  <c r="C6603" i="1"/>
  <c r="A6604" i="1"/>
  <c r="C6604" i="1"/>
  <c r="A6605" i="1"/>
  <c r="C6605" i="1"/>
  <c r="A6606" i="1"/>
  <c r="C6606" i="1"/>
  <c r="A6607" i="1"/>
  <c r="C6607" i="1"/>
  <c r="A6608" i="1"/>
  <c r="C6608" i="1"/>
  <c r="A6609" i="1"/>
  <c r="C6609" i="1"/>
  <c r="A6610" i="1"/>
  <c r="C6610" i="1"/>
  <c r="A6611" i="1"/>
  <c r="C6611" i="1"/>
  <c r="A6612" i="1"/>
  <c r="C6612" i="1"/>
  <c r="A6613" i="1"/>
  <c r="C6613" i="1"/>
  <c r="A6614" i="1"/>
  <c r="C6614" i="1"/>
  <c r="A6615" i="1"/>
  <c r="C6615" i="1"/>
  <c r="A6616" i="1"/>
  <c r="C6616" i="1"/>
  <c r="A6617" i="1"/>
  <c r="C6617" i="1"/>
  <c r="A6618" i="1"/>
  <c r="C6618" i="1"/>
  <c r="A6619" i="1"/>
  <c r="C6619" i="1"/>
  <c r="A6620" i="1"/>
  <c r="C6620" i="1"/>
  <c r="A6621" i="1"/>
  <c r="C6621" i="1"/>
  <c r="A6622" i="1"/>
  <c r="C6622" i="1"/>
  <c r="A6623" i="1"/>
  <c r="C6623" i="1"/>
  <c r="A6624" i="1"/>
  <c r="C6624" i="1"/>
  <c r="A6625" i="1"/>
  <c r="C6625" i="1"/>
  <c r="A6626" i="1"/>
  <c r="C6626" i="1"/>
  <c r="A6627" i="1"/>
  <c r="C6627" i="1"/>
  <c r="A6628" i="1"/>
  <c r="C6628" i="1"/>
  <c r="A6629" i="1"/>
  <c r="C6629" i="1"/>
  <c r="A6630" i="1"/>
  <c r="C6630" i="1"/>
  <c r="A6631" i="1"/>
  <c r="C6631" i="1"/>
  <c r="A6632" i="1"/>
  <c r="C6632" i="1"/>
  <c r="A6633" i="1"/>
  <c r="C6633" i="1"/>
  <c r="A6634" i="1"/>
  <c r="C6634" i="1"/>
  <c r="A6635" i="1"/>
  <c r="C6635" i="1"/>
  <c r="A6636" i="1"/>
  <c r="C6636" i="1"/>
  <c r="A6637" i="1"/>
  <c r="C6637" i="1"/>
  <c r="A6638" i="1"/>
  <c r="C6638" i="1"/>
  <c r="A6639" i="1"/>
  <c r="C6639" i="1"/>
  <c r="A6640" i="1"/>
  <c r="C6640" i="1"/>
  <c r="A6641" i="1"/>
  <c r="C6641" i="1"/>
  <c r="A6642" i="1"/>
  <c r="C6642" i="1"/>
  <c r="A6643" i="1"/>
  <c r="C6643" i="1"/>
  <c r="A6644" i="1"/>
  <c r="C6644" i="1"/>
  <c r="A6645" i="1"/>
  <c r="C6645" i="1"/>
  <c r="A6646" i="1"/>
  <c r="C6646" i="1"/>
  <c r="A6647" i="1"/>
  <c r="C6647" i="1"/>
  <c r="A6648" i="1"/>
  <c r="C6648" i="1"/>
  <c r="A6649" i="1"/>
  <c r="C6649" i="1"/>
  <c r="A6650" i="1"/>
  <c r="C6650" i="1"/>
  <c r="A6651" i="1"/>
  <c r="C6651" i="1"/>
  <c r="A6652" i="1"/>
  <c r="C6652" i="1"/>
  <c r="A6653" i="1"/>
  <c r="C6653" i="1"/>
  <c r="A6654" i="1"/>
  <c r="C6654" i="1"/>
  <c r="A6655" i="1"/>
  <c r="C6655" i="1"/>
  <c r="A6656" i="1"/>
  <c r="C6656" i="1"/>
  <c r="A6657" i="1"/>
  <c r="C6657" i="1"/>
  <c r="A6658" i="1"/>
  <c r="C6658" i="1"/>
  <c r="A6659" i="1"/>
  <c r="C6659" i="1"/>
  <c r="A6660" i="1"/>
  <c r="C6660" i="1"/>
  <c r="A6661" i="1"/>
  <c r="C6661" i="1"/>
  <c r="A6662" i="1"/>
  <c r="C6662" i="1"/>
  <c r="A6663" i="1"/>
  <c r="C6663" i="1"/>
  <c r="A6664" i="1"/>
  <c r="C6664" i="1"/>
  <c r="A6665" i="1"/>
  <c r="C6665" i="1"/>
  <c r="A6666" i="1"/>
  <c r="C6666" i="1"/>
  <c r="A6667" i="1"/>
  <c r="C6667" i="1"/>
  <c r="A6668" i="1"/>
  <c r="C6668" i="1"/>
  <c r="A6669" i="1"/>
  <c r="C6669" i="1"/>
  <c r="A6670" i="1"/>
  <c r="C6670" i="1"/>
  <c r="A6671" i="1"/>
  <c r="C6671" i="1"/>
  <c r="A6672" i="1"/>
  <c r="C6672" i="1"/>
  <c r="A6673" i="1"/>
  <c r="C6673" i="1"/>
  <c r="A6674" i="1"/>
  <c r="C6674" i="1"/>
  <c r="A6675" i="1"/>
  <c r="C6675" i="1"/>
  <c r="A6676" i="1"/>
  <c r="C6676" i="1"/>
  <c r="A6677" i="1"/>
  <c r="C6677" i="1"/>
  <c r="A6678" i="1"/>
  <c r="C6678" i="1"/>
  <c r="A6679" i="1"/>
  <c r="C6679" i="1"/>
  <c r="A6680" i="1"/>
  <c r="C6680" i="1"/>
  <c r="A6681" i="1"/>
  <c r="C6681" i="1"/>
  <c r="A6682" i="1"/>
  <c r="C6682" i="1"/>
  <c r="A6683" i="1"/>
  <c r="C6683" i="1"/>
  <c r="A6684" i="1"/>
  <c r="C6684" i="1"/>
  <c r="A6685" i="1"/>
  <c r="C6685" i="1"/>
  <c r="A6686" i="1"/>
  <c r="C6686" i="1"/>
  <c r="A6687" i="1"/>
  <c r="C6687" i="1"/>
  <c r="A6688" i="1"/>
  <c r="C6688" i="1"/>
  <c r="A6689" i="1"/>
  <c r="C6689" i="1"/>
  <c r="A6690" i="1"/>
  <c r="C6690" i="1"/>
  <c r="A6691" i="1"/>
  <c r="C6691" i="1"/>
  <c r="A6692" i="1"/>
  <c r="C6692" i="1"/>
  <c r="A6693" i="1"/>
  <c r="C6693" i="1"/>
  <c r="A6694" i="1"/>
  <c r="C6694" i="1"/>
  <c r="A6695" i="1"/>
  <c r="C6695" i="1"/>
  <c r="A6696" i="1"/>
  <c r="C6696" i="1"/>
  <c r="A6697" i="1"/>
  <c r="C6697" i="1"/>
  <c r="A6698" i="1"/>
  <c r="C6698" i="1"/>
  <c r="A6699" i="1"/>
  <c r="C6699" i="1"/>
  <c r="A6700" i="1"/>
  <c r="C6700" i="1"/>
  <c r="A6701" i="1"/>
  <c r="C6701" i="1"/>
  <c r="A6702" i="1"/>
  <c r="C6702" i="1"/>
  <c r="A6703" i="1"/>
  <c r="C6703" i="1"/>
  <c r="A6704" i="1"/>
  <c r="C6704" i="1"/>
  <c r="A6705" i="1"/>
  <c r="C6705" i="1"/>
  <c r="A6706" i="1"/>
  <c r="C6706" i="1"/>
  <c r="A6707" i="1"/>
  <c r="C6707" i="1"/>
  <c r="A6708" i="1"/>
  <c r="C6708" i="1"/>
  <c r="A6709" i="1"/>
  <c r="C6709" i="1"/>
  <c r="A6710" i="1"/>
  <c r="C6710" i="1"/>
  <c r="A6711" i="1"/>
  <c r="C6711" i="1"/>
  <c r="A6712" i="1"/>
  <c r="C6712" i="1"/>
  <c r="A6713" i="1"/>
  <c r="C6713" i="1"/>
  <c r="A6714" i="1"/>
  <c r="C6714" i="1"/>
  <c r="A6715" i="1"/>
  <c r="C6715" i="1"/>
  <c r="A6716" i="1"/>
  <c r="C6716" i="1"/>
  <c r="A6717" i="1"/>
  <c r="C6717" i="1"/>
  <c r="A6718" i="1"/>
  <c r="C6718" i="1"/>
  <c r="A6719" i="1"/>
  <c r="C6719" i="1"/>
  <c r="A6720" i="1"/>
  <c r="C6720" i="1"/>
  <c r="A6721" i="1"/>
  <c r="C6721" i="1"/>
  <c r="A6722" i="1"/>
  <c r="C6722" i="1"/>
  <c r="A6723" i="1"/>
  <c r="C6723" i="1"/>
  <c r="A6724" i="1"/>
  <c r="C6724" i="1"/>
  <c r="A6725" i="1"/>
  <c r="C6725" i="1"/>
  <c r="A6726" i="1"/>
  <c r="C6726" i="1"/>
  <c r="A6727" i="1"/>
  <c r="C6727" i="1"/>
  <c r="A6728" i="1"/>
  <c r="C6728" i="1"/>
  <c r="A6729" i="1"/>
  <c r="C6729" i="1"/>
  <c r="A6730" i="1"/>
  <c r="C6730" i="1"/>
  <c r="A6731" i="1"/>
  <c r="C6731" i="1"/>
  <c r="A6732" i="1"/>
  <c r="C6732" i="1"/>
  <c r="A6733" i="1"/>
  <c r="C6733" i="1"/>
  <c r="A6734" i="1"/>
  <c r="C6734" i="1"/>
  <c r="A6735" i="1"/>
  <c r="C6735" i="1"/>
  <c r="A6736" i="1"/>
  <c r="C6736" i="1"/>
  <c r="A6737" i="1"/>
  <c r="C6737" i="1"/>
  <c r="A6738" i="1"/>
  <c r="C6738" i="1"/>
  <c r="A6739" i="1"/>
  <c r="C6739" i="1"/>
  <c r="A6740" i="1"/>
  <c r="C6740" i="1"/>
  <c r="A6741" i="1"/>
  <c r="C6741" i="1"/>
  <c r="A6742" i="1"/>
  <c r="C6742" i="1"/>
  <c r="A6743" i="1"/>
  <c r="C6743" i="1"/>
  <c r="A6744" i="1"/>
  <c r="C6744" i="1"/>
  <c r="A6745" i="1"/>
  <c r="C6745" i="1"/>
  <c r="A6746" i="1"/>
  <c r="C6746" i="1"/>
  <c r="A6747" i="1"/>
  <c r="C6747" i="1"/>
  <c r="A6748" i="1"/>
  <c r="C6748" i="1"/>
  <c r="A6749" i="1"/>
  <c r="C6749" i="1"/>
  <c r="A6750" i="1"/>
  <c r="C6750" i="1"/>
  <c r="A6751" i="1"/>
  <c r="C6751" i="1"/>
  <c r="A6752" i="1"/>
  <c r="C6752" i="1"/>
  <c r="A6753" i="1"/>
  <c r="C6753" i="1"/>
  <c r="A6754" i="1"/>
  <c r="C6754" i="1"/>
  <c r="A6755" i="1"/>
  <c r="C6755" i="1"/>
  <c r="A6756" i="1"/>
  <c r="C6756" i="1"/>
  <c r="A6757" i="1"/>
  <c r="C6757" i="1"/>
  <c r="A6758" i="1"/>
  <c r="C6758" i="1"/>
  <c r="A6759" i="1"/>
  <c r="C6759" i="1"/>
  <c r="A6760" i="1"/>
  <c r="C6760" i="1"/>
  <c r="A6761" i="1"/>
  <c r="C6761" i="1"/>
  <c r="A6762" i="1"/>
  <c r="C6762" i="1"/>
  <c r="A6763" i="1"/>
  <c r="C6763" i="1"/>
  <c r="A6764" i="1"/>
  <c r="C6764" i="1"/>
  <c r="A6765" i="1"/>
  <c r="C6765" i="1"/>
  <c r="A6766" i="1"/>
  <c r="C6766" i="1"/>
  <c r="A6767" i="1"/>
  <c r="C6767" i="1"/>
  <c r="A6768" i="1"/>
  <c r="C6768" i="1"/>
  <c r="A6769" i="1"/>
  <c r="C6769" i="1"/>
  <c r="A6770" i="1"/>
  <c r="C6770" i="1"/>
  <c r="A6771" i="1"/>
  <c r="C6771" i="1"/>
  <c r="A6772" i="1"/>
  <c r="C6772" i="1"/>
  <c r="A6773" i="1"/>
  <c r="C6773" i="1"/>
  <c r="A6774" i="1"/>
  <c r="C6774" i="1"/>
  <c r="A6775" i="1"/>
  <c r="C6775" i="1"/>
  <c r="A6776" i="1"/>
  <c r="C6776" i="1"/>
  <c r="A6777" i="1"/>
  <c r="C6777" i="1"/>
  <c r="A6778" i="1"/>
  <c r="C6778" i="1"/>
  <c r="A6779" i="1"/>
  <c r="C6779" i="1"/>
  <c r="A6780" i="1"/>
  <c r="C6780" i="1"/>
  <c r="A6781" i="1"/>
  <c r="C6781" i="1"/>
  <c r="A6782" i="1"/>
  <c r="C6782" i="1"/>
  <c r="A6783" i="1"/>
  <c r="C6783" i="1"/>
  <c r="A6784" i="1"/>
  <c r="C6784" i="1"/>
  <c r="A6785" i="1"/>
  <c r="C6785" i="1"/>
  <c r="A6786" i="1"/>
  <c r="C6786" i="1"/>
  <c r="A6787" i="1"/>
  <c r="C6787" i="1"/>
  <c r="A6788" i="1"/>
  <c r="C6788" i="1"/>
  <c r="A6789" i="1"/>
  <c r="C6789" i="1"/>
  <c r="A6790" i="1"/>
  <c r="C6790" i="1"/>
  <c r="A6791" i="1"/>
  <c r="C6791" i="1"/>
  <c r="A6792" i="1"/>
  <c r="C6792" i="1"/>
  <c r="A6793" i="1"/>
  <c r="C6793" i="1"/>
  <c r="A6794" i="1"/>
  <c r="C6794" i="1"/>
  <c r="A6795" i="1"/>
  <c r="C6795" i="1"/>
  <c r="A6796" i="1"/>
  <c r="C6796" i="1"/>
  <c r="A6797" i="1"/>
  <c r="C6797" i="1"/>
  <c r="A6798" i="1"/>
  <c r="C6798" i="1"/>
  <c r="A6799" i="1"/>
  <c r="C6799" i="1"/>
  <c r="A6800" i="1"/>
  <c r="C6800" i="1"/>
  <c r="A6801" i="1"/>
  <c r="C6801" i="1"/>
  <c r="A6802" i="1"/>
  <c r="C6802" i="1"/>
  <c r="A6803" i="1"/>
  <c r="C6803" i="1"/>
  <c r="A6804" i="1"/>
  <c r="C6804" i="1"/>
  <c r="A6805" i="1"/>
  <c r="C6805" i="1"/>
  <c r="A6806" i="1"/>
  <c r="C6806" i="1"/>
  <c r="A6807" i="1"/>
  <c r="C6807" i="1"/>
  <c r="A6808" i="1"/>
  <c r="C6808" i="1"/>
  <c r="A6809" i="1"/>
  <c r="C6809" i="1"/>
  <c r="A6810" i="1"/>
  <c r="C6810" i="1"/>
  <c r="A6811" i="1"/>
  <c r="C6811" i="1"/>
  <c r="A6812" i="1"/>
  <c r="C6812" i="1"/>
  <c r="A6813" i="1"/>
  <c r="C6813" i="1"/>
  <c r="A6814" i="1"/>
  <c r="C6814" i="1"/>
  <c r="A6815" i="1"/>
  <c r="C6815" i="1"/>
  <c r="A6816" i="1"/>
  <c r="C6816" i="1"/>
  <c r="A6817" i="1"/>
  <c r="C6817" i="1"/>
  <c r="A6818" i="1"/>
  <c r="C6818" i="1"/>
  <c r="A6819" i="1"/>
  <c r="C6819" i="1"/>
  <c r="A6820" i="1"/>
  <c r="C6820" i="1"/>
  <c r="A6821" i="1"/>
  <c r="C6821" i="1"/>
  <c r="A6822" i="1"/>
  <c r="C6822" i="1"/>
  <c r="A6823" i="1"/>
  <c r="C6823" i="1"/>
  <c r="A6824" i="1"/>
  <c r="C6824" i="1"/>
  <c r="A6825" i="1"/>
  <c r="C6825" i="1"/>
  <c r="A6826" i="1"/>
  <c r="C6826" i="1"/>
  <c r="A6827" i="1"/>
  <c r="C6827" i="1"/>
  <c r="A6828" i="1"/>
  <c r="C6828" i="1"/>
  <c r="A6829" i="1"/>
  <c r="C6829" i="1"/>
  <c r="A6830" i="1"/>
  <c r="C6830" i="1"/>
  <c r="A6831" i="1"/>
  <c r="C6831" i="1"/>
  <c r="A6832" i="1"/>
  <c r="C6832" i="1"/>
  <c r="A6833" i="1"/>
  <c r="C6833" i="1"/>
  <c r="A6834" i="1"/>
  <c r="C6834" i="1"/>
  <c r="A6835" i="1"/>
  <c r="C6835" i="1"/>
  <c r="A6836" i="1"/>
  <c r="C6836" i="1"/>
  <c r="A6837" i="1"/>
  <c r="C6837" i="1"/>
  <c r="A6838" i="1"/>
  <c r="C6838" i="1"/>
  <c r="A6839" i="1"/>
  <c r="C6839" i="1"/>
  <c r="A6840" i="1"/>
  <c r="C6840" i="1"/>
  <c r="A6841" i="1"/>
  <c r="C6841" i="1"/>
  <c r="A6842" i="1"/>
  <c r="C6842" i="1"/>
  <c r="A6843" i="1"/>
  <c r="C6843" i="1"/>
  <c r="A6844" i="1"/>
  <c r="C6844" i="1"/>
  <c r="A6845" i="1"/>
  <c r="C6845" i="1"/>
  <c r="A6846" i="1"/>
  <c r="C6846" i="1"/>
  <c r="A6847" i="1"/>
  <c r="C6847" i="1"/>
  <c r="A6848" i="1"/>
  <c r="C6848" i="1"/>
  <c r="A6849" i="1"/>
  <c r="C6849" i="1"/>
  <c r="A6850" i="1"/>
  <c r="C6850" i="1"/>
  <c r="A6851" i="1"/>
  <c r="C6851" i="1"/>
  <c r="A6852" i="1"/>
  <c r="C6852" i="1"/>
  <c r="A6853" i="1"/>
  <c r="C6853" i="1"/>
  <c r="A6854" i="1"/>
  <c r="C6854" i="1"/>
  <c r="A6855" i="1"/>
  <c r="C6855" i="1"/>
  <c r="A6856" i="1"/>
  <c r="C6856" i="1"/>
  <c r="A6857" i="1"/>
  <c r="C6857" i="1"/>
  <c r="A6858" i="1"/>
  <c r="C6858" i="1"/>
  <c r="A6859" i="1"/>
  <c r="C6859" i="1"/>
  <c r="A6860" i="1"/>
  <c r="C6860" i="1"/>
  <c r="A6861" i="1"/>
  <c r="C6861" i="1"/>
  <c r="A6862" i="1"/>
  <c r="C6862" i="1"/>
  <c r="A6863" i="1"/>
  <c r="C6863" i="1"/>
  <c r="A6864" i="1"/>
  <c r="C6864" i="1"/>
  <c r="A6865" i="1"/>
  <c r="C6865" i="1"/>
  <c r="A6866" i="1"/>
  <c r="C6866" i="1"/>
  <c r="A6867" i="1"/>
  <c r="C6867" i="1"/>
  <c r="A6868" i="1"/>
  <c r="C6868" i="1"/>
  <c r="A6869" i="1"/>
  <c r="C6869" i="1"/>
  <c r="A6870" i="1"/>
  <c r="C6870" i="1"/>
  <c r="A6871" i="1"/>
  <c r="C6871" i="1"/>
  <c r="A6872" i="1"/>
  <c r="C6872" i="1"/>
  <c r="A6873" i="1"/>
  <c r="C6873" i="1"/>
  <c r="A6874" i="1"/>
  <c r="C6874" i="1"/>
  <c r="A6875" i="1"/>
  <c r="C6875" i="1"/>
  <c r="A6876" i="1"/>
  <c r="C6876" i="1"/>
  <c r="A6877" i="1"/>
  <c r="C6877" i="1"/>
  <c r="A6878" i="1"/>
  <c r="C6878" i="1"/>
  <c r="A6879" i="1"/>
  <c r="C6879" i="1"/>
  <c r="A6880" i="1"/>
  <c r="C6880" i="1"/>
  <c r="A6881" i="1"/>
  <c r="C6881" i="1"/>
  <c r="A6882" i="1"/>
  <c r="C6882" i="1"/>
  <c r="A6883" i="1"/>
  <c r="C6883" i="1"/>
  <c r="A6884" i="1"/>
  <c r="C6884" i="1"/>
  <c r="A6885" i="1"/>
  <c r="C6885" i="1"/>
  <c r="A6886" i="1"/>
  <c r="C6886" i="1"/>
  <c r="A6887" i="1"/>
  <c r="C6887" i="1"/>
  <c r="A6888" i="1"/>
  <c r="C6888" i="1"/>
  <c r="A6889" i="1"/>
  <c r="C6889" i="1"/>
  <c r="A6890" i="1"/>
  <c r="C6890" i="1"/>
  <c r="A6891" i="1"/>
  <c r="C6891" i="1"/>
  <c r="A6892" i="1"/>
  <c r="C6892" i="1"/>
  <c r="A6893" i="1"/>
  <c r="C6893" i="1"/>
  <c r="A6894" i="1"/>
  <c r="C6894" i="1"/>
  <c r="A6895" i="1"/>
  <c r="C6895" i="1"/>
  <c r="A6896" i="1"/>
  <c r="C6896" i="1"/>
  <c r="A6897" i="1"/>
  <c r="C6897" i="1"/>
  <c r="A6898" i="1"/>
  <c r="C6898" i="1"/>
  <c r="A6899" i="1"/>
  <c r="C6899" i="1"/>
  <c r="A6900" i="1"/>
  <c r="C6900" i="1"/>
  <c r="A6901" i="1"/>
  <c r="C6901" i="1"/>
  <c r="A6902" i="1"/>
  <c r="C6902" i="1"/>
  <c r="A6903" i="1"/>
  <c r="C6903" i="1"/>
  <c r="A6904" i="1"/>
  <c r="C6904" i="1"/>
  <c r="A6905" i="1"/>
  <c r="C6905" i="1"/>
  <c r="A6906" i="1"/>
  <c r="C6906" i="1"/>
  <c r="A6907" i="1"/>
  <c r="C6907" i="1"/>
  <c r="A6908" i="1"/>
  <c r="C6908" i="1"/>
  <c r="A6909" i="1"/>
  <c r="C6909" i="1"/>
  <c r="A6910" i="1"/>
  <c r="C6910" i="1"/>
  <c r="A6911" i="1"/>
  <c r="C6911" i="1"/>
  <c r="A6912" i="1"/>
  <c r="C6912" i="1"/>
  <c r="A6913" i="1"/>
  <c r="C6913" i="1"/>
  <c r="A6914" i="1"/>
  <c r="C6914" i="1"/>
  <c r="A6915" i="1"/>
  <c r="C6915" i="1"/>
  <c r="A6916" i="1"/>
  <c r="C6916" i="1"/>
  <c r="A6917" i="1"/>
  <c r="C6917" i="1"/>
  <c r="A6918" i="1"/>
  <c r="C6918" i="1"/>
  <c r="A6919" i="1"/>
  <c r="C6919" i="1"/>
  <c r="A6920" i="1"/>
  <c r="C6920" i="1"/>
  <c r="A6921" i="1"/>
  <c r="C6921" i="1"/>
  <c r="A6922" i="1"/>
  <c r="C6922" i="1"/>
  <c r="A6923" i="1"/>
  <c r="C6923" i="1"/>
  <c r="A6924" i="1"/>
  <c r="C6924" i="1"/>
  <c r="A6925" i="1"/>
  <c r="C6925" i="1"/>
  <c r="A6926" i="1"/>
  <c r="C6926" i="1"/>
  <c r="A6927" i="1"/>
  <c r="C6927" i="1"/>
  <c r="A6928" i="1"/>
  <c r="C6928" i="1"/>
  <c r="A6929" i="1"/>
  <c r="C6929" i="1"/>
  <c r="A6930" i="1"/>
  <c r="C6930" i="1"/>
  <c r="A6931" i="1"/>
  <c r="C6931" i="1"/>
  <c r="A6932" i="1"/>
  <c r="C6932" i="1"/>
  <c r="A6933" i="1"/>
  <c r="C6933" i="1"/>
  <c r="A6934" i="1"/>
  <c r="C6934" i="1"/>
  <c r="A6935" i="1"/>
  <c r="C6935" i="1"/>
  <c r="A6936" i="1"/>
  <c r="C6936" i="1"/>
  <c r="A6937" i="1"/>
  <c r="C6937" i="1"/>
  <c r="A6938" i="1"/>
  <c r="C6938" i="1"/>
  <c r="A6939" i="1"/>
  <c r="C6939" i="1"/>
  <c r="A6940" i="1"/>
  <c r="C6940" i="1"/>
  <c r="A6941" i="1"/>
  <c r="C6941" i="1"/>
  <c r="A6942" i="1"/>
  <c r="C6942" i="1"/>
  <c r="A6943" i="1"/>
  <c r="C6943" i="1"/>
  <c r="A6944" i="1"/>
  <c r="C6944" i="1"/>
  <c r="A6945" i="1"/>
  <c r="C6945" i="1"/>
  <c r="A6946" i="1"/>
  <c r="C6946" i="1"/>
  <c r="A6947" i="1"/>
  <c r="C6947" i="1"/>
  <c r="A6948" i="1"/>
  <c r="C6948" i="1"/>
  <c r="A6949" i="1"/>
  <c r="C6949" i="1"/>
  <c r="A6950" i="1"/>
  <c r="C6950" i="1"/>
  <c r="A6951" i="1"/>
  <c r="C6951" i="1"/>
  <c r="A6952" i="1"/>
  <c r="C6952" i="1"/>
  <c r="A6953" i="1"/>
  <c r="C6953" i="1"/>
  <c r="A6954" i="1"/>
  <c r="C6954" i="1"/>
  <c r="A6955" i="1"/>
  <c r="C6955" i="1"/>
  <c r="A6956" i="1"/>
  <c r="C6956" i="1"/>
  <c r="A6957" i="1"/>
  <c r="C6957" i="1"/>
  <c r="A6958" i="1"/>
  <c r="C6958" i="1"/>
  <c r="A6959" i="1"/>
  <c r="C6959" i="1"/>
  <c r="A6960" i="1"/>
  <c r="C6960" i="1"/>
  <c r="A6961" i="1"/>
  <c r="C6961" i="1"/>
  <c r="A6962" i="1"/>
  <c r="C6962" i="1"/>
  <c r="A6963" i="1"/>
  <c r="C6963" i="1"/>
  <c r="A6964" i="1"/>
  <c r="C6964" i="1"/>
  <c r="A6965" i="1"/>
  <c r="C6965" i="1"/>
  <c r="A6966" i="1"/>
  <c r="C6966" i="1"/>
  <c r="A6967" i="1"/>
  <c r="C6967" i="1"/>
  <c r="A6968" i="1"/>
  <c r="C6968" i="1"/>
  <c r="A6969" i="1"/>
  <c r="C6969" i="1"/>
  <c r="A6970" i="1"/>
  <c r="C6970" i="1"/>
  <c r="A6971" i="1"/>
  <c r="C6971" i="1"/>
  <c r="A6972" i="1"/>
  <c r="C6972" i="1"/>
  <c r="A6973" i="1"/>
  <c r="C6973" i="1"/>
  <c r="A6974" i="1"/>
  <c r="C6974" i="1"/>
  <c r="A6975" i="1"/>
  <c r="C6975" i="1"/>
  <c r="A6976" i="1"/>
  <c r="C6976" i="1"/>
  <c r="A6977" i="1"/>
  <c r="C6977" i="1"/>
  <c r="A6978" i="1"/>
  <c r="C6978" i="1"/>
  <c r="A6979" i="1"/>
  <c r="C6979" i="1"/>
  <c r="A6980" i="1"/>
  <c r="C6980" i="1"/>
  <c r="A6981" i="1"/>
  <c r="C6981" i="1"/>
  <c r="A6982" i="1"/>
  <c r="C6982" i="1"/>
  <c r="A6983" i="1"/>
  <c r="C6983" i="1"/>
  <c r="A6984" i="1"/>
  <c r="C6984" i="1"/>
  <c r="A6985" i="1"/>
  <c r="C6985" i="1"/>
  <c r="A6986" i="1"/>
  <c r="C6986" i="1"/>
  <c r="A6987" i="1"/>
  <c r="C6987" i="1"/>
  <c r="A6988" i="1"/>
  <c r="C6988" i="1"/>
  <c r="A6989" i="1"/>
  <c r="C6989" i="1"/>
  <c r="A6990" i="1"/>
  <c r="C6990" i="1"/>
  <c r="A6991" i="1"/>
  <c r="C6991" i="1"/>
  <c r="A6992" i="1"/>
  <c r="C6992" i="1"/>
  <c r="A6993" i="1"/>
  <c r="C6993" i="1"/>
  <c r="A6994" i="1"/>
  <c r="C6994" i="1"/>
  <c r="A6995" i="1"/>
  <c r="C6995" i="1"/>
  <c r="A6996" i="1"/>
  <c r="C6996" i="1"/>
  <c r="A6997" i="1"/>
  <c r="C6997" i="1"/>
  <c r="A6998" i="1"/>
  <c r="C6998" i="1"/>
  <c r="A6999" i="1"/>
  <c r="C6999" i="1"/>
  <c r="A7000" i="1"/>
  <c r="C7000" i="1"/>
  <c r="A7001" i="1"/>
  <c r="C7001" i="1"/>
  <c r="A7002" i="1"/>
  <c r="C7002" i="1"/>
  <c r="A7003" i="1"/>
  <c r="C7003" i="1"/>
  <c r="A7004" i="1"/>
  <c r="C7004" i="1"/>
  <c r="A7005" i="1"/>
  <c r="C7005" i="1"/>
  <c r="A7006" i="1"/>
  <c r="C7006" i="1"/>
  <c r="A7007" i="1"/>
  <c r="C7007" i="1"/>
  <c r="A7008" i="1"/>
  <c r="C7008" i="1"/>
  <c r="A7009" i="1"/>
  <c r="C7009" i="1"/>
  <c r="A7010" i="1"/>
  <c r="C7010" i="1"/>
  <c r="A7011" i="1"/>
  <c r="C7011" i="1"/>
  <c r="A7012" i="1"/>
  <c r="C7012" i="1"/>
  <c r="A7013" i="1"/>
  <c r="C7013" i="1"/>
  <c r="A7014" i="1"/>
  <c r="C7014" i="1"/>
  <c r="A7015" i="1"/>
  <c r="C7015" i="1"/>
  <c r="A7016" i="1"/>
  <c r="C7016" i="1"/>
  <c r="A7017" i="1"/>
  <c r="C7017" i="1"/>
  <c r="A7018" i="1"/>
  <c r="C7018" i="1"/>
  <c r="A7019" i="1"/>
  <c r="C7019" i="1"/>
  <c r="A7020" i="1"/>
  <c r="C7020" i="1"/>
  <c r="A7021" i="1"/>
  <c r="C7021" i="1"/>
  <c r="A7022" i="1"/>
  <c r="C7022" i="1"/>
  <c r="A7023" i="1"/>
  <c r="C7023" i="1"/>
  <c r="A7024" i="1"/>
  <c r="C7024" i="1"/>
  <c r="A7025" i="1"/>
  <c r="C7025" i="1"/>
  <c r="A7026" i="1"/>
  <c r="C7026" i="1"/>
  <c r="A7027" i="1"/>
  <c r="C7027" i="1"/>
  <c r="A7028" i="1"/>
  <c r="C7028" i="1"/>
  <c r="A7029" i="1"/>
  <c r="C7029" i="1"/>
  <c r="A7030" i="1"/>
  <c r="C7030" i="1"/>
  <c r="A7031" i="1"/>
  <c r="C7031" i="1"/>
  <c r="A7032" i="1"/>
  <c r="C7032" i="1"/>
  <c r="A7033" i="1"/>
  <c r="C7033" i="1"/>
  <c r="A7034" i="1"/>
  <c r="C7034" i="1"/>
  <c r="A7035" i="1"/>
  <c r="C7035" i="1"/>
  <c r="A7036" i="1"/>
  <c r="C7036" i="1"/>
  <c r="A7037" i="1"/>
  <c r="C7037" i="1"/>
  <c r="A7038" i="1"/>
  <c r="C7038" i="1"/>
  <c r="A7039" i="1"/>
  <c r="C7039" i="1"/>
  <c r="A7040" i="1"/>
  <c r="C7040" i="1"/>
  <c r="A7041" i="1"/>
  <c r="C7041" i="1"/>
  <c r="A7042" i="1"/>
  <c r="C7042" i="1"/>
  <c r="A7043" i="1"/>
  <c r="C7043" i="1"/>
  <c r="A7044" i="1"/>
  <c r="C7044" i="1"/>
  <c r="A7045" i="1"/>
  <c r="C7045" i="1"/>
  <c r="A7046" i="1"/>
  <c r="C7046" i="1"/>
  <c r="A7047" i="1"/>
  <c r="C7047" i="1"/>
  <c r="A7048" i="1"/>
  <c r="C7048" i="1"/>
  <c r="A7049" i="1"/>
  <c r="C7049" i="1"/>
  <c r="A7050" i="1"/>
  <c r="C7050" i="1"/>
  <c r="A7051" i="1"/>
  <c r="C7051" i="1"/>
  <c r="A7052" i="1"/>
  <c r="C7052" i="1"/>
  <c r="A7053" i="1"/>
  <c r="C7053" i="1"/>
  <c r="A7054" i="1"/>
  <c r="C7054" i="1"/>
  <c r="A7055" i="1"/>
  <c r="C7055" i="1"/>
  <c r="A7056" i="1"/>
  <c r="C7056" i="1"/>
  <c r="A7057" i="1"/>
  <c r="C7057" i="1"/>
  <c r="A7058" i="1"/>
  <c r="C7058" i="1"/>
  <c r="A7059" i="1"/>
  <c r="C7059" i="1"/>
  <c r="A7060" i="1"/>
  <c r="C7060" i="1"/>
  <c r="A7061" i="1"/>
  <c r="C7061" i="1"/>
  <c r="A7062" i="1"/>
  <c r="C7062" i="1"/>
  <c r="A7063" i="1"/>
  <c r="C7063" i="1"/>
  <c r="A7064" i="1"/>
  <c r="C7064" i="1"/>
  <c r="A7065" i="1"/>
  <c r="C7065" i="1"/>
  <c r="A7066" i="1"/>
  <c r="C7066" i="1"/>
  <c r="A7067" i="1"/>
  <c r="C7067" i="1"/>
  <c r="A7068" i="1"/>
  <c r="C7068" i="1"/>
  <c r="A7069" i="1"/>
  <c r="C7069" i="1"/>
  <c r="A7070" i="1"/>
  <c r="C7070" i="1"/>
  <c r="A7071" i="1"/>
  <c r="C7071" i="1"/>
  <c r="A7072" i="1"/>
  <c r="C7072" i="1"/>
  <c r="A7073" i="1"/>
  <c r="C7073" i="1"/>
  <c r="A7074" i="1"/>
  <c r="C7074" i="1"/>
  <c r="A7075" i="1"/>
  <c r="C7075" i="1"/>
  <c r="A7076" i="1"/>
  <c r="C7076" i="1"/>
  <c r="A7077" i="1"/>
  <c r="C7077" i="1"/>
  <c r="A7078" i="1"/>
  <c r="C7078" i="1"/>
  <c r="A7079" i="1"/>
  <c r="C7079" i="1"/>
  <c r="A7080" i="1"/>
  <c r="C7080" i="1"/>
  <c r="A7081" i="1"/>
  <c r="C7081" i="1"/>
  <c r="A7082" i="1"/>
  <c r="C7082" i="1"/>
  <c r="A7083" i="1"/>
  <c r="C7083" i="1"/>
  <c r="A7084" i="1"/>
  <c r="C7084" i="1"/>
  <c r="A7085" i="1"/>
  <c r="C7085" i="1"/>
  <c r="A7086" i="1"/>
  <c r="C7086" i="1"/>
  <c r="A7087" i="1"/>
  <c r="C7087" i="1"/>
  <c r="A7088" i="1"/>
  <c r="C7088" i="1"/>
  <c r="A7089" i="1"/>
  <c r="C7089" i="1"/>
  <c r="A7090" i="1"/>
  <c r="C7090" i="1"/>
  <c r="A7091" i="1"/>
  <c r="C7091" i="1"/>
  <c r="A7092" i="1"/>
  <c r="C7092" i="1"/>
  <c r="A7093" i="1"/>
  <c r="C7093" i="1"/>
  <c r="A7094" i="1"/>
  <c r="C7094" i="1"/>
  <c r="A7095" i="1"/>
  <c r="C7095" i="1"/>
  <c r="A7096" i="1"/>
  <c r="C7096" i="1"/>
  <c r="A7097" i="1"/>
  <c r="C7097" i="1"/>
  <c r="A7098" i="1"/>
  <c r="C7098" i="1"/>
  <c r="A7099" i="1"/>
  <c r="C7099" i="1"/>
  <c r="A7100" i="1"/>
  <c r="C7100" i="1"/>
  <c r="A7101" i="1"/>
  <c r="C7101" i="1"/>
  <c r="A7102" i="1"/>
  <c r="C7102" i="1"/>
  <c r="A7103" i="1"/>
  <c r="C7103" i="1"/>
  <c r="A7104" i="1"/>
  <c r="C7104" i="1"/>
  <c r="A7105" i="1"/>
  <c r="C7105" i="1"/>
  <c r="A7106" i="1"/>
  <c r="C7106" i="1"/>
  <c r="A7107" i="1"/>
  <c r="C7107" i="1"/>
  <c r="A7108" i="1"/>
  <c r="C7108" i="1"/>
  <c r="A7109" i="1"/>
  <c r="C7109" i="1"/>
  <c r="A7110" i="1"/>
  <c r="C7110" i="1"/>
  <c r="A7111" i="1"/>
  <c r="C7111" i="1"/>
  <c r="A7112" i="1"/>
  <c r="C7112" i="1"/>
  <c r="A7113" i="1"/>
  <c r="C7113" i="1"/>
  <c r="A7114" i="1"/>
  <c r="C7114" i="1"/>
  <c r="A7115" i="1"/>
  <c r="C7115" i="1"/>
  <c r="A7116" i="1"/>
  <c r="C7116" i="1"/>
  <c r="A7117" i="1"/>
  <c r="C7117" i="1"/>
  <c r="A7118" i="1"/>
  <c r="C7118" i="1"/>
  <c r="A7119" i="1"/>
  <c r="C7119" i="1"/>
  <c r="A7120" i="1"/>
  <c r="C7120" i="1"/>
  <c r="A7121" i="1"/>
  <c r="C7121" i="1"/>
  <c r="A7122" i="1"/>
  <c r="C7122" i="1"/>
  <c r="A7123" i="1"/>
  <c r="C7123" i="1"/>
  <c r="A7124" i="1"/>
  <c r="C7124" i="1"/>
  <c r="A7125" i="1"/>
  <c r="C7125" i="1"/>
  <c r="A7126" i="1"/>
  <c r="C7126" i="1"/>
  <c r="A7127" i="1"/>
  <c r="C7127" i="1"/>
  <c r="A7128" i="1"/>
  <c r="C7128" i="1"/>
  <c r="A7129" i="1"/>
  <c r="C7129" i="1"/>
  <c r="A7130" i="1"/>
  <c r="C7130" i="1"/>
  <c r="A7131" i="1"/>
  <c r="C7131" i="1"/>
  <c r="A7132" i="1"/>
  <c r="C7132" i="1"/>
  <c r="A7133" i="1"/>
  <c r="C7133" i="1"/>
  <c r="A7134" i="1"/>
  <c r="C7134" i="1"/>
  <c r="A7135" i="1"/>
  <c r="C7135" i="1"/>
  <c r="A7136" i="1"/>
  <c r="C7136" i="1"/>
  <c r="A7137" i="1"/>
  <c r="C7137" i="1"/>
  <c r="A7138" i="1"/>
  <c r="C7138" i="1"/>
  <c r="A7139" i="1"/>
  <c r="C7139" i="1"/>
  <c r="A7140" i="1"/>
  <c r="C7140" i="1"/>
  <c r="A7141" i="1"/>
  <c r="C7141" i="1"/>
  <c r="A7142" i="1"/>
  <c r="C7142" i="1"/>
  <c r="A7143" i="1"/>
  <c r="C7143" i="1"/>
  <c r="A7144" i="1"/>
  <c r="C7144" i="1"/>
  <c r="A7145" i="1"/>
  <c r="C7145" i="1"/>
  <c r="A7146" i="1"/>
  <c r="C7146" i="1"/>
  <c r="A7147" i="1"/>
  <c r="C7147" i="1"/>
  <c r="A7148" i="1"/>
  <c r="C7148" i="1"/>
  <c r="A7149" i="1"/>
  <c r="C7149" i="1"/>
  <c r="A7150" i="1"/>
  <c r="C7150" i="1"/>
  <c r="A7151" i="1"/>
  <c r="C7151" i="1"/>
  <c r="A7152" i="1"/>
  <c r="C7152" i="1"/>
  <c r="A7153" i="1"/>
  <c r="C7153" i="1"/>
  <c r="A7154" i="1"/>
  <c r="C7154" i="1"/>
  <c r="A7155" i="1"/>
  <c r="C7155" i="1"/>
  <c r="A7156" i="1"/>
  <c r="C7156" i="1"/>
  <c r="A7157" i="1"/>
  <c r="C7157" i="1"/>
  <c r="A7158" i="1"/>
  <c r="C7158" i="1"/>
  <c r="A7159" i="1"/>
  <c r="C7159" i="1"/>
  <c r="A7160" i="1"/>
  <c r="C7160" i="1"/>
  <c r="A7161" i="1"/>
  <c r="C7161" i="1"/>
  <c r="A7162" i="1"/>
  <c r="C7162" i="1"/>
  <c r="A7163" i="1"/>
  <c r="C7163" i="1"/>
  <c r="A7164" i="1"/>
  <c r="C7164" i="1"/>
  <c r="A7165" i="1"/>
  <c r="C7165" i="1"/>
  <c r="A7166" i="1"/>
  <c r="C7166" i="1"/>
  <c r="A7167" i="1"/>
  <c r="C7167" i="1"/>
  <c r="A7168" i="1"/>
  <c r="C7168" i="1"/>
  <c r="A7169" i="1"/>
  <c r="C7169" i="1"/>
  <c r="A7170" i="1"/>
  <c r="C7170" i="1"/>
  <c r="A7171" i="1"/>
  <c r="C7171" i="1"/>
  <c r="A7172" i="1"/>
  <c r="C7172" i="1"/>
  <c r="A7173" i="1"/>
  <c r="C7173" i="1"/>
  <c r="A7174" i="1"/>
  <c r="C7174" i="1"/>
  <c r="A7175" i="1"/>
  <c r="C7175" i="1"/>
  <c r="A7176" i="1"/>
  <c r="C7176" i="1"/>
  <c r="A7177" i="1"/>
  <c r="C7177" i="1"/>
  <c r="A7178" i="1"/>
  <c r="C7178" i="1"/>
  <c r="A7179" i="1"/>
  <c r="C7179" i="1"/>
  <c r="A7180" i="1"/>
  <c r="C7180" i="1"/>
  <c r="A7181" i="1"/>
  <c r="C7181" i="1"/>
  <c r="A7182" i="1"/>
  <c r="C7182" i="1"/>
  <c r="A7183" i="1"/>
  <c r="C7183" i="1"/>
  <c r="A7184" i="1"/>
  <c r="C7184" i="1"/>
  <c r="A7185" i="1"/>
  <c r="C7185" i="1"/>
  <c r="A7186" i="1"/>
  <c r="C7186" i="1"/>
  <c r="A7187" i="1"/>
  <c r="C7187" i="1"/>
  <c r="A7188" i="1"/>
  <c r="C7188" i="1"/>
  <c r="A7189" i="1"/>
  <c r="C7189" i="1"/>
  <c r="A7190" i="1"/>
  <c r="C7190" i="1"/>
  <c r="A7191" i="1"/>
  <c r="C7191" i="1"/>
  <c r="A7192" i="1"/>
  <c r="C7192" i="1"/>
  <c r="A7193" i="1"/>
  <c r="C7193" i="1"/>
  <c r="A7194" i="1"/>
  <c r="C7194" i="1"/>
  <c r="A7195" i="1"/>
  <c r="C7195" i="1"/>
  <c r="A7196" i="1"/>
  <c r="C7196" i="1"/>
  <c r="A7197" i="1"/>
  <c r="C7197" i="1"/>
  <c r="A7198" i="1"/>
  <c r="C7198" i="1"/>
  <c r="A7199" i="1"/>
  <c r="C7199" i="1"/>
  <c r="A7200" i="1"/>
  <c r="C7200" i="1"/>
  <c r="A7201" i="1"/>
  <c r="C7201" i="1"/>
  <c r="A7202" i="1"/>
  <c r="C7202" i="1"/>
  <c r="A7203" i="1"/>
  <c r="C7203" i="1"/>
  <c r="A7204" i="1"/>
  <c r="C7204" i="1"/>
  <c r="A7205" i="1"/>
  <c r="C7205" i="1"/>
  <c r="A7206" i="1"/>
  <c r="C7206" i="1"/>
  <c r="A7207" i="1"/>
  <c r="C7207" i="1"/>
  <c r="A7208" i="1"/>
  <c r="C7208" i="1"/>
  <c r="A7209" i="1"/>
  <c r="C7209" i="1"/>
  <c r="A7210" i="1"/>
  <c r="C7210" i="1"/>
  <c r="A7211" i="1"/>
  <c r="C7211" i="1"/>
  <c r="A7212" i="1"/>
  <c r="C7212" i="1"/>
  <c r="A7213" i="1"/>
  <c r="C7213" i="1"/>
  <c r="A7214" i="1"/>
  <c r="C7214" i="1"/>
  <c r="A7215" i="1"/>
  <c r="C7215" i="1"/>
  <c r="A7216" i="1"/>
  <c r="C7216" i="1"/>
  <c r="A7217" i="1"/>
  <c r="C7217" i="1"/>
  <c r="A7218" i="1"/>
  <c r="C7218" i="1"/>
  <c r="A7219" i="1"/>
  <c r="C7219" i="1"/>
  <c r="A7220" i="1"/>
  <c r="C7220" i="1"/>
  <c r="A7221" i="1"/>
  <c r="C7221" i="1"/>
  <c r="A7222" i="1"/>
  <c r="C7222" i="1"/>
  <c r="A7223" i="1"/>
  <c r="C7223" i="1"/>
  <c r="A7224" i="1"/>
  <c r="C7224" i="1"/>
  <c r="A7225" i="1"/>
  <c r="C7225" i="1"/>
  <c r="A7226" i="1"/>
  <c r="C7226" i="1"/>
  <c r="A7227" i="1"/>
  <c r="C7227" i="1"/>
  <c r="A7228" i="1"/>
  <c r="C7228" i="1"/>
  <c r="A7229" i="1"/>
  <c r="C7229" i="1"/>
  <c r="A7230" i="1"/>
  <c r="C7230" i="1"/>
  <c r="A7231" i="1"/>
  <c r="C7231" i="1"/>
  <c r="A7232" i="1"/>
  <c r="C7232" i="1"/>
  <c r="A7233" i="1"/>
  <c r="C7233" i="1"/>
  <c r="A7234" i="1"/>
  <c r="C7234" i="1"/>
  <c r="A7235" i="1"/>
  <c r="C7235" i="1"/>
  <c r="A7236" i="1"/>
  <c r="C7236" i="1"/>
  <c r="A7237" i="1"/>
  <c r="C7237" i="1"/>
  <c r="A7238" i="1"/>
  <c r="C7238" i="1"/>
  <c r="A7239" i="1"/>
  <c r="C7239" i="1"/>
  <c r="A7240" i="1"/>
  <c r="C7240" i="1"/>
  <c r="A7241" i="1"/>
  <c r="C7241" i="1"/>
  <c r="A7242" i="1"/>
  <c r="C7242" i="1"/>
  <c r="A7243" i="1"/>
  <c r="C7243" i="1"/>
  <c r="A7244" i="1"/>
  <c r="C7244" i="1"/>
  <c r="A7245" i="1"/>
  <c r="C7245" i="1"/>
  <c r="A7246" i="1"/>
  <c r="C7246" i="1"/>
  <c r="A7247" i="1"/>
  <c r="C7247" i="1"/>
  <c r="A7248" i="1"/>
  <c r="C7248" i="1"/>
  <c r="A7249" i="1"/>
  <c r="C7249" i="1"/>
  <c r="A7250" i="1"/>
  <c r="C7250" i="1"/>
  <c r="A7251" i="1"/>
  <c r="C7251" i="1"/>
  <c r="A7252" i="1"/>
  <c r="C7252" i="1"/>
  <c r="A7253" i="1"/>
  <c r="C7253" i="1"/>
  <c r="A7254" i="1"/>
  <c r="C7254" i="1"/>
  <c r="A7255" i="1"/>
  <c r="C7255" i="1"/>
  <c r="A7256" i="1"/>
  <c r="C7256" i="1"/>
  <c r="A7257" i="1"/>
  <c r="C7257" i="1"/>
  <c r="A7258" i="1"/>
  <c r="C7258" i="1"/>
  <c r="A7259" i="1"/>
  <c r="C7259" i="1"/>
  <c r="A7260" i="1"/>
  <c r="C7260" i="1"/>
  <c r="A7261" i="1"/>
  <c r="C7261" i="1"/>
  <c r="A7262" i="1"/>
  <c r="C7262" i="1"/>
  <c r="A7263" i="1"/>
  <c r="C7263" i="1"/>
  <c r="A7264" i="1"/>
  <c r="C7264" i="1"/>
  <c r="A7265" i="1"/>
  <c r="C7265" i="1"/>
  <c r="A7266" i="1"/>
  <c r="C7266" i="1"/>
  <c r="A7267" i="1"/>
  <c r="C7267" i="1"/>
  <c r="A7268" i="1"/>
  <c r="C7268" i="1"/>
  <c r="A7269" i="1"/>
  <c r="C7269" i="1"/>
  <c r="A7270" i="1"/>
  <c r="C7270" i="1"/>
  <c r="A7271" i="1"/>
  <c r="C7271" i="1"/>
  <c r="A7272" i="1"/>
  <c r="C7272" i="1"/>
  <c r="A7273" i="1"/>
  <c r="C7273" i="1"/>
  <c r="A7274" i="1"/>
  <c r="C7274" i="1"/>
  <c r="A7275" i="1"/>
  <c r="C7275" i="1"/>
  <c r="A7276" i="1"/>
  <c r="C7276" i="1"/>
  <c r="A7277" i="1"/>
  <c r="C7277" i="1"/>
  <c r="A7278" i="1"/>
  <c r="C7278" i="1"/>
  <c r="A7279" i="1"/>
  <c r="C7279" i="1"/>
  <c r="A7280" i="1"/>
  <c r="C7280" i="1"/>
  <c r="A7281" i="1"/>
  <c r="C7281" i="1"/>
  <c r="A7282" i="1"/>
  <c r="C7282" i="1"/>
  <c r="A7283" i="1"/>
  <c r="C7283" i="1"/>
  <c r="A7284" i="1"/>
  <c r="C7284" i="1"/>
  <c r="A7285" i="1"/>
  <c r="C7285" i="1"/>
  <c r="A7286" i="1"/>
  <c r="C7286" i="1"/>
  <c r="A7287" i="1"/>
  <c r="C7287" i="1"/>
  <c r="A7288" i="1"/>
  <c r="C7288" i="1"/>
  <c r="A7289" i="1"/>
  <c r="C7289" i="1"/>
  <c r="A7290" i="1"/>
  <c r="C7290" i="1"/>
  <c r="A7291" i="1"/>
  <c r="C7291" i="1"/>
  <c r="A7292" i="1"/>
  <c r="C7292" i="1"/>
  <c r="A7293" i="1"/>
  <c r="C7293" i="1"/>
  <c r="A7294" i="1"/>
  <c r="C7294" i="1"/>
  <c r="A7295" i="1"/>
  <c r="C7295" i="1"/>
  <c r="A7296" i="1"/>
  <c r="C7296" i="1"/>
  <c r="A7297" i="1"/>
  <c r="C7297" i="1"/>
  <c r="A7298" i="1"/>
  <c r="C7298" i="1"/>
  <c r="A7299" i="1"/>
  <c r="C7299" i="1"/>
  <c r="A7300" i="1"/>
  <c r="C7300" i="1"/>
  <c r="A7301" i="1"/>
  <c r="C7301" i="1"/>
  <c r="A7302" i="1"/>
  <c r="C7302" i="1"/>
  <c r="A7303" i="1"/>
  <c r="C7303" i="1"/>
  <c r="A7304" i="1"/>
  <c r="C7304" i="1"/>
  <c r="A7305" i="1"/>
  <c r="C7305" i="1"/>
  <c r="A7306" i="1"/>
  <c r="C7306" i="1"/>
  <c r="A7307" i="1"/>
  <c r="C7307" i="1"/>
  <c r="A7308" i="1"/>
  <c r="C7308" i="1"/>
  <c r="A7309" i="1"/>
  <c r="C7309" i="1"/>
  <c r="A7310" i="1"/>
  <c r="C7310" i="1"/>
  <c r="A7311" i="1"/>
  <c r="C7311" i="1"/>
  <c r="A7312" i="1"/>
  <c r="C7312" i="1"/>
  <c r="A7313" i="1"/>
  <c r="C7313" i="1"/>
  <c r="A7314" i="1"/>
  <c r="C7314" i="1"/>
  <c r="A7315" i="1"/>
  <c r="C7315" i="1"/>
  <c r="A7316" i="1"/>
  <c r="C7316" i="1"/>
  <c r="A7317" i="1"/>
  <c r="C7317" i="1"/>
  <c r="A7318" i="1"/>
  <c r="C7318" i="1"/>
  <c r="A7319" i="1"/>
  <c r="C7319" i="1"/>
  <c r="A7320" i="1"/>
  <c r="C7320" i="1"/>
  <c r="A7321" i="1"/>
  <c r="C7321" i="1"/>
  <c r="A7322" i="1"/>
  <c r="C7322" i="1"/>
  <c r="A7323" i="1"/>
  <c r="C7323" i="1"/>
  <c r="A7324" i="1"/>
  <c r="C7324" i="1"/>
  <c r="A7325" i="1"/>
  <c r="C7325" i="1"/>
  <c r="A7326" i="1"/>
  <c r="C7326" i="1"/>
  <c r="A7327" i="1"/>
  <c r="C7327" i="1"/>
  <c r="A7328" i="1"/>
  <c r="C7328" i="1"/>
  <c r="A7329" i="1"/>
  <c r="C7329" i="1"/>
  <c r="A7330" i="1"/>
  <c r="C7330" i="1"/>
  <c r="A7331" i="1"/>
  <c r="C7331" i="1"/>
  <c r="A7332" i="1"/>
  <c r="C7332" i="1"/>
  <c r="A7333" i="1"/>
  <c r="C7333" i="1"/>
  <c r="A7334" i="1"/>
  <c r="C7334" i="1"/>
  <c r="A7335" i="1"/>
  <c r="C7335" i="1"/>
  <c r="A7336" i="1"/>
  <c r="C7336" i="1"/>
  <c r="A7337" i="1"/>
  <c r="C7337" i="1"/>
  <c r="A7338" i="1"/>
  <c r="C7338" i="1"/>
  <c r="A7339" i="1"/>
  <c r="C7339" i="1"/>
  <c r="A7340" i="1"/>
  <c r="C7340" i="1"/>
  <c r="A7341" i="1"/>
  <c r="C7341" i="1"/>
  <c r="A7342" i="1"/>
  <c r="C7342" i="1"/>
  <c r="A7343" i="1"/>
  <c r="C7343" i="1"/>
  <c r="A7344" i="1"/>
  <c r="C7344" i="1"/>
  <c r="A7345" i="1"/>
  <c r="C7345" i="1"/>
  <c r="A7346" i="1"/>
  <c r="C7346" i="1"/>
  <c r="A7347" i="1"/>
  <c r="C7347" i="1"/>
  <c r="A7348" i="1"/>
  <c r="C7348" i="1"/>
  <c r="A7349" i="1"/>
  <c r="C7349" i="1"/>
  <c r="A7350" i="1"/>
  <c r="C7350" i="1"/>
  <c r="A7351" i="1"/>
  <c r="C7351" i="1"/>
  <c r="A7352" i="1"/>
  <c r="C7352" i="1"/>
  <c r="A7353" i="1"/>
  <c r="C7353" i="1"/>
  <c r="A7354" i="1"/>
  <c r="C7354" i="1"/>
  <c r="A7355" i="1"/>
  <c r="C7355" i="1"/>
  <c r="A7356" i="1"/>
  <c r="C7356" i="1"/>
  <c r="A7357" i="1"/>
  <c r="C7357" i="1"/>
  <c r="A7358" i="1"/>
  <c r="C7358" i="1"/>
  <c r="A7359" i="1"/>
  <c r="C7359" i="1"/>
  <c r="A7360" i="1"/>
  <c r="C7360" i="1"/>
  <c r="A7361" i="1"/>
  <c r="C7361" i="1"/>
  <c r="A7362" i="1"/>
  <c r="C7362" i="1"/>
  <c r="A7363" i="1"/>
  <c r="C7363" i="1"/>
  <c r="A7364" i="1"/>
  <c r="C7364" i="1"/>
  <c r="A7365" i="1"/>
  <c r="C7365" i="1"/>
  <c r="A7366" i="1"/>
  <c r="C7366" i="1"/>
  <c r="A7367" i="1"/>
  <c r="C7367" i="1"/>
  <c r="A7368" i="1"/>
  <c r="C7368" i="1"/>
  <c r="A7369" i="1"/>
  <c r="C7369" i="1"/>
  <c r="A7370" i="1"/>
  <c r="C7370" i="1"/>
  <c r="A7371" i="1"/>
  <c r="C7371" i="1"/>
  <c r="A7372" i="1"/>
  <c r="C7372" i="1"/>
  <c r="A7373" i="1"/>
  <c r="C7373" i="1"/>
  <c r="A7374" i="1"/>
  <c r="C7374" i="1"/>
  <c r="A7375" i="1"/>
  <c r="C7375" i="1"/>
  <c r="A7376" i="1"/>
  <c r="C7376" i="1"/>
  <c r="A7377" i="1"/>
  <c r="C7377" i="1"/>
  <c r="A7378" i="1"/>
  <c r="C7378" i="1"/>
  <c r="A7379" i="1"/>
  <c r="C7379" i="1"/>
  <c r="A7380" i="1"/>
  <c r="C7380" i="1"/>
  <c r="A7381" i="1"/>
  <c r="C7381" i="1"/>
  <c r="A7382" i="1"/>
  <c r="C7382" i="1"/>
  <c r="A7383" i="1"/>
  <c r="C7383" i="1"/>
  <c r="A7384" i="1"/>
  <c r="C7384" i="1"/>
  <c r="A7385" i="1"/>
  <c r="C7385" i="1"/>
  <c r="A7386" i="1"/>
  <c r="C7386" i="1"/>
  <c r="A7387" i="1"/>
  <c r="C7387" i="1"/>
  <c r="A7388" i="1"/>
  <c r="C7388" i="1"/>
  <c r="A7389" i="1"/>
  <c r="C7389" i="1"/>
  <c r="A7390" i="1"/>
  <c r="C7390" i="1"/>
  <c r="A7391" i="1"/>
  <c r="C7391" i="1"/>
  <c r="A7392" i="1"/>
  <c r="C7392" i="1"/>
  <c r="A7393" i="1"/>
  <c r="C7393" i="1"/>
  <c r="A7394" i="1"/>
  <c r="C7394" i="1"/>
  <c r="A7395" i="1"/>
  <c r="C7395" i="1"/>
  <c r="A7396" i="1"/>
  <c r="C7396" i="1"/>
  <c r="A7397" i="1"/>
  <c r="C7397" i="1"/>
  <c r="A7398" i="1"/>
  <c r="C7398" i="1"/>
  <c r="A7399" i="1"/>
  <c r="C7399" i="1"/>
  <c r="A7400" i="1"/>
  <c r="C7400" i="1"/>
  <c r="A7401" i="1"/>
  <c r="C7401" i="1"/>
  <c r="A7402" i="1"/>
  <c r="C7402" i="1"/>
  <c r="A7403" i="1"/>
  <c r="C7403" i="1"/>
  <c r="A7404" i="1"/>
  <c r="C7404" i="1"/>
  <c r="A7405" i="1"/>
  <c r="C7405" i="1"/>
  <c r="A7406" i="1"/>
  <c r="C7406" i="1"/>
  <c r="A7407" i="1"/>
  <c r="C7407" i="1"/>
  <c r="A7408" i="1"/>
  <c r="C7408" i="1"/>
  <c r="A7409" i="1"/>
  <c r="C7409" i="1"/>
  <c r="A7410" i="1"/>
  <c r="C7410" i="1"/>
  <c r="A7411" i="1"/>
  <c r="C7411" i="1"/>
  <c r="A7412" i="1"/>
  <c r="C7412" i="1"/>
  <c r="A7413" i="1"/>
  <c r="C7413" i="1"/>
  <c r="A7414" i="1"/>
  <c r="C7414" i="1"/>
  <c r="A7415" i="1"/>
  <c r="C7415" i="1"/>
  <c r="A7416" i="1"/>
  <c r="C7416" i="1"/>
  <c r="A7417" i="1"/>
  <c r="C7417" i="1"/>
  <c r="A7418" i="1"/>
  <c r="C7418" i="1"/>
  <c r="A7419" i="1"/>
  <c r="C7419" i="1"/>
  <c r="A7420" i="1"/>
  <c r="C7420" i="1"/>
  <c r="A7421" i="1"/>
  <c r="C7421" i="1"/>
  <c r="A7422" i="1"/>
  <c r="C7422" i="1"/>
  <c r="A7423" i="1"/>
  <c r="C7423" i="1"/>
  <c r="A7424" i="1"/>
  <c r="C7424" i="1"/>
  <c r="A7425" i="1"/>
  <c r="C7425" i="1"/>
  <c r="A7426" i="1"/>
  <c r="C7426" i="1"/>
  <c r="A7427" i="1"/>
  <c r="C7427" i="1"/>
  <c r="A7428" i="1"/>
  <c r="C7428" i="1"/>
  <c r="A7429" i="1"/>
  <c r="C7429" i="1"/>
  <c r="A7430" i="1"/>
  <c r="C7430" i="1"/>
  <c r="A7431" i="1"/>
  <c r="C7431" i="1"/>
  <c r="A7432" i="1"/>
  <c r="C7432" i="1"/>
  <c r="A7433" i="1"/>
  <c r="C7433" i="1"/>
  <c r="A7434" i="1"/>
  <c r="C7434" i="1"/>
  <c r="A7435" i="1"/>
  <c r="C7435" i="1"/>
  <c r="A7436" i="1"/>
  <c r="C7436" i="1"/>
  <c r="A7437" i="1"/>
  <c r="C7437" i="1"/>
  <c r="A7438" i="1"/>
  <c r="C7438" i="1"/>
  <c r="A7439" i="1"/>
  <c r="C7439" i="1"/>
  <c r="A7440" i="1"/>
  <c r="C7440" i="1"/>
  <c r="A7441" i="1"/>
  <c r="C7441" i="1"/>
  <c r="A7442" i="1"/>
  <c r="C7442" i="1"/>
  <c r="A7443" i="1"/>
  <c r="C7443" i="1"/>
  <c r="A7444" i="1"/>
  <c r="C7444" i="1"/>
  <c r="A7445" i="1"/>
  <c r="C7445" i="1"/>
  <c r="A7446" i="1"/>
  <c r="C7446" i="1"/>
  <c r="A7447" i="1"/>
  <c r="C7447" i="1"/>
  <c r="A7448" i="1"/>
  <c r="C7448" i="1"/>
  <c r="A7449" i="1"/>
  <c r="C7449" i="1"/>
  <c r="A7450" i="1"/>
  <c r="C7450" i="1"/>
  <c r="A7451" i="1"/>
  <c r="C7451" i="1"/>
  <c r="A7452" i="1"/>
  <c r="C7452" i="1"/>
  <c r="A7453" i="1"/>
  <c r="C7453" i="1"/>
  <c r="A7454" i="1"/>
  <c r="C7454" i="1"/>
  <c r="A7455" i="1"/>
  <c r="C7455" i="1"/>
  <c r="A7456" i="1"/>
  <c r="C7456" i="1"/>
  <c r="A7457" i="1"/>
  <c r="C7457" i="1"/>
  <c r="A7458" i="1"/>
  <c r="C7458" i="1"/>
  <c r="A7459" i="1"/>
  <c r="C7459" i="1"/>
  <c r="A7460" i="1"/>
  <c r="C7460" i="1"/>
  <c r="A7461" i="1"/>
  <c r="C7461" i="1"/>
  <c r="A7462" i="1"/>
  <c r="C7462" i="1"/>
  <c r="A7463" i="1"/>
  <c r="C7463" i="1"/>
  <c r="A7464" i="1"/>
  <c r="C7464" i="1"/>
  <c r="A7465" i="1"/>
  <c r="C7465" i="1"/>
  <c r="A7466" i="1"/>
  <c r="C7466" i="1"/>
  <c r="A7467" i="1"/>
  <c r="C7467" i="1"/>
  <c r="A7468" i="1"/>
  <c r="C7468" i="1"/>
  <c r="A7469" i="1"/>
  <c r="C7469" i="1"/>
  <c r="A7470" i="1"/>
  <c r="C7470" i="1"/>
  <c r="A7471" i="1"/>
  <c r="C7471" i="1"/>
  <c r="A7472" i="1"/>
  <c r="C7472" i="1"/>
  <c r="A7473" i="1"/>
  <c r="C7473" i="1"/>
  <c r="A7474" i="1"/>
  <c r="C7474" i="1"/>
  <c r="A7475" i="1"/>
  <c r="C7475" i="1"/>
  <c r="A7476" i="1"/>
  <c r="C7476" i="1"/>
  <c r="A7477" i="1"/>
  <c r="C7477" i="1"/>
  <c r="A7478" i="1"/>
  <c r="C7478" i="1"/>
  <c r="A7479" i="1"/>
  <c r="C7479" i="1"/>
  <c r="A7480" i="1"/>
  <c r="C7480" i="1"/>
  <c r="A7481" i="1"/>
  <c r="C7481" i="1"/>
  <c r="A7482" i="1"/>
  <c r="C7482" i="1"/>
  <c r="A7483" i="1"/>
  <c r="C7483" i="1"/>
  <c r="A7484" i="1"/>
  <c r="C7484" i="1"/>
  <c r="A7485" i="1"/>
  <c r="C7485" i="1"/>
  <c r="A7486" i="1"/>
  <c r="C7486" i="1"/>
  <c r="A7487" i="1"/>
  <c r="C7487" i="1"/>
  <c r="A7488" i="1"/>
  <c r="C7488" i="1"/>
  <c r="A7489" i="1"/>
  <c r="C7489" i="1"/>
  <c r="A7490" i="1"/>
  <c r="C7490" i="1"/>
  <c r="A7491" i="1"/>
  <c r="C7491" i="1"/>
  <c r="A7492" i="1"/>
  <c r="C7492" i="1"/>
  <c r="A7493" i="1"/>
  <c r="C7493" i="1"/>
  <c r="A7494" i="1"/>
  <c r="C7494" i="1"/>
  <c r="A7495" i="1"/>
  <c r="C7495" i="1"/>
  <c r="A7496" i="1"/>
  <c r="C7496" i="1"/>
  <c r="A7497" i="1"/>
  <c r="C7497" i="1"/>
  <c r="A7498" i="1"/>
  <c r="C7498" i="1"/>
  <c r="A7499" i="1"/>
  <c r="C7499" i="1"/>
  <c r="A7500" i="1"/>
  <c r="C7500" i="1"/>
  <c r="A7501" i="1"/>
  <c r="C7501" i="1"/>
  <c r="A7502" i="1"/>
  <c r="C7502" i="1"/>
  <c r="A7503" i="1"/>
  <c r="C7503" i="1"/>
  <c r="A7504" i="1"/>
  <c r="C7504" i="1"/>
  <c r="A7505" i="1"/>
  <c r="C7505" i="1"/>
  <c r="A7506" i="1"/>
  <c r="C7506" i="1"/>
  <c r="A7507" i="1"/>
  <c r="C7507" i="1"/>
  <c r="A7508" i="1"/>
  <c r="C7508" i="1"/>
  <c r="A7509" i="1"/>
  <c r="C7509" i="1"/>
  <c r="A7510" i="1"/>
  <c r="C7510" i="1"/>
  <c r="A7511" i="1"/>
  <c r="C7511" i="1"/>
  <c r="A7512" i="1"/>
  <c r="C7512" i="1"/>
  <c r="A7513" i="1"/>
  <c r="C7513" i="1"/>
  <c r="A7514" i="1"/>
  <c r="C7514" i="1"/>
  <c r="A7515" i="1"/>
  <c r="C7515" i="1"/>
  <c r="A7516" i="1"/>
  <c r="C7516" i="1"/>
  <c r="A7517" i="1"/>
  <c r="C7517" i="1"/>
  <c r="A7518" i="1"/>
  <c r="C7518" i="1"/>
  <c r="A7519" i="1"/>
  <c r="C7519" i="1"/>
  <c r="A7520" i="1"/>
  <c r="C7520" i="1"/>
  <c r="A7521" i="1"/>
  <c r="C7521" i="1"/>
  <c r="A7522" i="1"/>
  <c r="C7522" i="1"/>
  <c r="A7523" i="1"/>
  <c r="C7523" i="1"/>
  <c r="A7524" i="1"/>
  <c r="C7524" i="1"/>
  <c r="A7525" i="1"/>
  <c r="C7525" i="1"/>
  <c r="A7526" i="1"/>
  <c r="C7526" i="1"/>
  <c r="A7527" i="1"/>
  <c r="C7527" i="1"/>
  <c r="A7528" i="1"/>
  <c r="C7528" i="1"/>
  <c r="A7529" i="1"/>
  <c r="C7529" i="1"/>
  <c r="A7530" i="1"/>
  <c r="C7530" i="1"/>
  <c r="A7531" i="1"/>
  <c r="C7531" i="1"/>
  <c r="A7532" i="1"/>
  <c r="C7532" i="1"/>
  <c r="A7533" i="1"/>
  <c r="C7533" i="1"/>
  <c r="A7534" i="1"/>
  <c r="C7534" i="1"/>
  <c r="A7535" i="1"/>
  <c r="C7535" i="1"/>
  <c r="A7536" i="1"/>
  <c r="C7536" i="1"/>
  <c r="A7537" i="1"/>
  <c r="C7537" i="1"/>
  <c r="A7538" i="1"/>
  <c r="C7538" i="1"/>
  <c r="A7539" i="1"/>
  <c r="C7539" i="1"/>
  <c r="A7540" i="1"/>
  <c r="C7540" i="1"/>
  <c r="A7541" i="1"/>
  <c r="C7541" i="1"/>
  <c r="A7542" i="1"/>
  <c r="C7542" i="1"/>
  <c r="A7543" i="1"/>
  <c r="C7543" i="1"/>
  <c r="A7544" i="1"/>
  <c r="C7544" i="1"/>
  <c r="A7545" i="1"/>
  <c r="C7545" i="1"/>
  <c r="A7546" i="1"/>
  <c r="C7546" i="1"/>
  <c r="A7547" i="1"/>
  <c r="C7547" i="1"/>
  <c r="A7548" i="1"/>
  <c r="C7548" i="1"/>
  <c r="A7549" i="1"/>
  <c r="C7549" i="1"/>
  <c r="A7550" i="1"/>
  <c r="C7550" i="1"/>
  <c r="A7551" i="1"/>
  <c r="C7551" i="1"/>
  <c r="A7552" i="1"/>
  <c r="C7552" i="1"/>
  <c r="A7553" i="1"/>
  <c r="C7553" i="1"/>
  <c r="A7554" i="1"/>
  <c r="C7554" i="1"/>
  <c r="A7555" i="1"/>
  <c r="C7555" i="1"/>
  <c r="A7556" i="1"/>
  <c r="C7556" i="1"/>
  <c r="A7557" i="1"/>
  <c r="C7557" i="1"/>
  <c r="A7558" i="1"/>
  <c r="C7558" i="1"/>
  <c r="A7559" i="1"/>
  <c r="C7559" i="1"/>
  <c r="A7560" i="1"/>
  <c r="C7560" i="1"/>
  <c r="A7561" i="1"/>
  <c r="C7561" i="1"/>
  <c r="A7562" i="1"/>
  <c r="C7562" i="1"/>
  <c r="A7563" i="1"/>
  <c r="C7563" i="1"/>
  <c r="A7564" i="1"/>
  <c r="C7564" i="1"/>
  <c r="A7565" i="1"/>
  <c r="C7565" i="1"/>
  <c r="A7566" i="1"/>
  <c r="C7566" i="1"/>
  <c r="A7567" i="1"/>
  <c r="C7567" i="1"/>
  <c r="A7568" i="1"/>
  <c r="C7568" i="1"/>
  <c r="A7569" i="1"/>
  <c r="C7569" i="1"/>
  <c r="A7570" i="1"/>
  <c r="C7570" i="1"/>
  <c r="A7571" i="1"/>
  <c r="C7571" i="1"/>
  <c r="A7572" i="1"/>
  <c r="C7572" i="1"/>
  <c r="A7573" i="1"/>
  <c r="C7573" i="1"/>
  <c r="A7574" i="1"/>
  <c r="C7574" i="1"/>
  <c r="A7575" i="1"/>
  <c r="C7575" i="1"/>
  <c r="A7576" i="1"/>
  <c r="C7576" i="1"/>
  <c r="A7577" i="1"/>
  <c r="C7577" i="1"/>
  <c r="A7578" i="1"/>
  <c r="C7578" i="1"/>
  <c r="A7579" i="1"/>
  <c r="C7579" i="1"/>
  <c r="A7580" i="1"/>
  <c r="C7580" i="1"/>
  <c r="A7581" i="1"/>
  <c r="C7581" i="1"/>
  <c r="A7582" i="1"/>
  <c r="C7582" i="1"/>
  <c r="A7583" i="1"/>
  <c r="C7583" i="1"/>
  <c r="A7584" i="1"/>
  <c r="C7584" i="1"/>
  <c r="A7585" i="1"/>
  <c r="C7585" i="1"/>
  <c r="A7586" i="1"/>
  <c r="C7586" i="1"/>
  <c r="A7587" i="1"/>
  <c r="C7587" i="1"/>
  <c r="A7588" i="1"/>
  <c r="C7588" i="1"/>
  <c r="A7589" i="1"/>
  <c r="C7589" i="1"/>
  <c r="A7590" i="1"/>
  <c r="C7590" i="1"/>
  <c r="A7591" i="1"/>
  <c r="C7591" i="1"/>
  <c r="A7592" i="1"/>
  <c r="C7592" i="1"/>
  <c r="A7593" i="1"/>
  <c r="C7593" i="1"/>
  <c r="A7594" i="1"/>
  <c r="C7594" i="1"/>
  <c r="A7595" i="1"/>
  <c r="C7595" i="1"/>
  <c r="A7596" i="1"/>
  <c r="C7596" i="1"/>
  <c r="A7597" i="1"/>
  <c r="C7597" i="1"/>
  <c r="A7598" i="1"/>
  <c r="C7598" i="1"/>
  <c r="A7599" i="1"/>
  <c r="C7599" i="1"/>
  <c r="A7600" i="1"/>
  <c r="C7600" i="1"/>
  <c r="A7601" i="1"/>
  <c r="C7601" i="1"/>
  <c r="A7602" i="1"/>
  <c r="C7602" i="1"/>
  <c r="A7603" i="1"/>
  <c r="C7603" i="1"/>
  <c r="A7604" i="1"/>
  <c r="C7604" i="1"/>
  <c r="A7605" i="1"/>
  <c r="C7605" i="1"/>
  <c r="A7606" i="1"/>
  <c r="C7606" i="1"/>
  <c r="A7607" i="1"/>
  <c r="C7607" i="1"/>
  <c r="A7608" i="1"/>
  <c r="C7608" i="1"/>
  <c r="A7609" i="1"/>
  <c r="C7609" i="1"/>
  <c r="A7610" i="1"/>
  <c r="C7610" i="1"/>
  <c r="A7611" i="1"/>
  <c r="C7611" i="1"/>
  <c r="A7612" i="1"/>
  <c r="C7612" i="1"/>
  <c r="A7613" i="1"/>
  <c r="C7613" i="1"/>
  <c r="A7614" i="1"/>
  <c r="C7614" i="1"/>
  <c r="A7615" i="1"/>
  <c r="C7615" i="1"/>
  <c r="A7616" i="1"/>
  <c r="C7616" i="1"/>
  <c r="A7617" i="1"/>
  <c r="C7617" i="1"/>
  <c r="A7618" i="1"/>
  <c r="C7618" i="1"/>
  <c r="A7619" i="1"/>
  <c r="C7619" i="1"/>
  <c r="A7620" i="1"/>
  <c r="C7620" i="1"/>
  <c r="A7621" i="1"/>
  <c r="C7621" i="1"/>
  <c r="A7622" i="1"/>
  <c r="C7622" i="1"/>
  <c r="A7623" i="1"/>
  <c r="C7623" i="1"/>
  <c r="A7624" i="1"/>
  <c r="C7624" i="1"/>
  <c r="A7625" i="1"/>
  <c r="C7625" i="1"/>
  <c r="A7626" i="1"/>
  <c r="C7626" i="1"/>
  <c r="A7627" i="1"/>
  <c r="C7627" i="1"/>
  <c r="A7628" i="1"/>
  <c r="C7628" i="1"/>
  <c r="A7629" i="1"/>
  <c r="C7629" i="1"/>
  <c r="A7630" i="1"/>
  <c r="C7630" i="1"/>
  <c r="A7631" i="1"/>
  <c r="C7631" i="1"/>
  <c r="A7632" i="1"/>
  <c r="C7632" i="1"/>
  <c r="A7633" i="1"/>
  <c r="C7633" i="1"/>
  <c r="A7634" i="1"/>
  <c r="C7634" i="1"/>
  <c r="A7635" i="1"/>
  <c r="C7635" i="1"/>
  <c r="A7636" i="1"/>
  <c r="C7636" i="1"/>
  <c r="A7637" i="1"/>
  <c r="C7637" i="1"/>
  <c r="A7638" i="1"/>
  <c r="C7638" i="1"/>
  <c r="A7639" i="1"/>
  <c r="C7639" i="1"/>
  <c r="A7640" i="1"/>
  <c r="C7640" i="1"/>
  <c r="A7641" i="1"/>
  <c r="C7641" i="1"/>
  <c r="A7642" i="1"/>
  <c r="C7642" i="1"/>
  <c r="A7643" i="1"/>
  <c r="C7643" i="1"/>
  <c r="A7644" i="1"/>
  <c r="C7644" i="1"/>
  <c r="A7645" i="1"/>
  <c r="C7645" i="1"/>
  <c r="A7646" i="1"/>
  <c r="C7646" i="1"/>
  <c r="A7647" i="1"/>
  <c r="C7647" i="1"/>
  <c r="A7648" i="1"/>
  <c r="C7648" i="1"/>
  <c r="A7649" i="1"/>
  <c r="C7649" i="1"/>
  <c r="A7650" i="1"/>
  <c r="C7650" i="1"/>
  <c r="A7651" i="1"/>
  <c r="C7651" i="1"/>
  <c r="A7652" i="1"/>
  <c r="C7652" i="1"/>
  <c r="A7653" i="1"/>
  <c r="C7653" i="1"/>
  <c r="A7654" i="1"/>
  <c r="C7654" i="1"/>
  <c r="A7655" i="1"/>
  <c r="C7655" i="1"/>
  <c r="A7656" i="1"/>
  <c r="C7656" i="1"/>
  <c r="A7657" i="1"/>
  <c r="C7657" i="1"/>
  <c r="A7658" i="1"/>
  <c r="C7658" i="1"/>
  <c r="A7659" i="1"/>
  <c r="C7659" i="1"/>
  <c r="A7660" i="1"/>
  <c r="C7660" i="1"/>
  <c r="A7661" i="1"/>
  <c r="C7661" i="1"/>
  <c r="A7662" i="1"/>
  <c r="C7662" i="1"/>
  <c r="A7663" i="1"/>
  <c r="C7663" i="1"/>
  <c r="A7664" i="1"/>
  <c r="C7664" i="1"/>
  <c r="A7665" i="1"/>
  <c r="C7665" i="1"/>
  <c r="A7666" i="1"/>
  <c r="C7666" i="1"/>
  <c r="A7667" i="1"/>
  <c r="C7667" i="1"/>
  <c r="A7668" i="1"/>
  <c r="C7668" i="1"/>
  <c r="A7669" i="1"/>
  <c r="C7669" i="1"/>
  <c r="A7670" i="1"/>
  <c r="C7670" i="1"/>
  <c r="A7671" i="1"/>
  <c r="C7671" i="1"/>
  <c r="A7672" i="1"/>
  <c r="C7672" i="1"/>
  <c r="A7673" i="1"/>
  <c r="C7673" i="1"/>
  <c r="A7674" i="1"/>
  <c r="C7674" i="1"/>
  <c r="A7675" i="1"/>
  <c r="C7675" i="1"/>
  <c r="A7676" i="1"/>
  <c r="C7676" i="1"/>
  <c r="A7677" i="1"/>
  <c r="C7677" i="1"/>
  <c r="A7678" i="1"/>
  <c r="C7678" i="1"/>
  <c r="A7679" i="1"/>
  <c r="C7679" i="1"/>
  <c r="A7680" i="1"/>
  <c r="C7680" i="1"/>
  <c r="A7681" i="1"/>
  <c r="C7681" i="1"/>
  <c r="A7682" i="1"/>
  <c r="C7682" i="1"/>
  <c r="A7683" i="1"/>
  <c r="C7683" i="1"/>
  <c r="A7684" i="1"/>
  <c r="C7684" i="1"/>
  <c r="A7685" i="1"/>
  <c r="C7685" i="1"/>
  <c r="A7686" i="1"/>
  <c r="C7686" i="1"/>
  <c r="A7687" i="1"/>
  <c r="C7687" i="1"/>
  <c r="A7688" i="1"/>
  <c r="C7688" i="1"/>
  <c r="A7689" i="1"/>
  <c r="C7689" i="1"/>
  <c r="A7690" i="1"/>
  <c r="C7690" i="1"/>
  <c r="A7691" i="1"/>
  <c r="C7691" i="1"/>
  <c r="A7692" i="1"/>
  <c r="C7692" i="1"/>
  <c r="A7693" i="1"/>
  <c r="C7693" i="1"/>
  <c r="A7694" i="1"/>
  <c r="C7694" i="1"/>
  <c r="A7695" i="1"/>
  <c r="C7695" i="1"/>
  <c r="A7696" i="1"/>
  <c r="C7696" i="1"/>
  <c r="A7697" i="1"/>
  <c r="C7697" i="1"/>
  <c r="A7698" i="1"/>
  <c r="C7698" i="1"/>
  <c r="A7699" i="1"/>
  <c r="C7699" i="1"/>
  <c r="A7700" i="1"/>
  <c r="C7700" i="1"/>
  <c r="A7701" i="1"/>
  <c r="C7701" i="1"/>
  <c r="A7702" i="1"/>
  <c r="C7702" i="1"/>
  <c r="A7703" i="1"/>
  <c r="C7703" i="1"/>
  <c r="A7704" i="1"/>
  <c r="C7704" i="1"/>
  <c r="A7705" i="1"/>
  <c r="C7705" i="1"/>
  <c r="A7706" i="1"/>
  <c r="C7706" i="1"/>
  <c r="A7707" i="1"/>
  <c r="C7707" i="1"/>
  <c r="A7708" i="1"/>
  <c r="C7708" i="1"/>
  <c r="A7709" i="1"/>
  <c r="C7709" i="1"/>
  <c r="A7710" i="1"/>
  <c r="C7710" i="1"/>
  <c r="A7711" i="1"/>
  <c r="C7711" i="1"/>
  <c r="A7712" i="1"/>
  <c r="C7712" i="1"/>
  <c r="A7713" i="1"/>
  <c r="C7713" i="1"/>
  <c r="A7714" i="1"/>
  <c r="C7714" i="1"/>
  <c r="A7715" i="1"/>
  <c r="C7715" i="1"/>
  <c r="A7716" i="1"/>
  <c r="C7716" i="1"/>
  <c r="A7717" i="1"/>
  <c r="C7717" i="1"/>
  <c r="A7718" i="1"/>
  <c r="C7718" i="1"/>
  <c r="A7719" i="1"/>
  <c r="C7719" i="1"/>
  <c r="A7720" i="1"/>
  <c r="C7720" i="1"/>
  <c r="A7721" i="1"/>
  <c r="C7721" i="1"/>
  <c r="A7722" i="1"/>
  <c r="C7722" i="1"/>
  <c r="A7723" i="1"/>
  <c r="C7723" i="1"/>
  <c r="A7724" i="1"/>
  <c r="C7724" i="1"/>
  <c r="A7725" i="1"/>
  <c r="C7725" i="1"/>
  <c r="A7726" i="1"/>
  <c r="C7726" i="1"/>
  <c r="A7727" i="1"/>
  <c r="C7727" i="1"/>
  <c r="A7728" i="1"/>
  <c r="C7728" i="1"/>
  <c r="A7729" i="1"/>
  <c r="C7729" i="1"/>
  <c r="A7730" i="1"/>
  <c r="C7730" i="1"/>
  <c r="A7731" i="1"/>
  <c r="C7731" i="1"/>
  <c r="A7732" i="1"/>
  <c r="C7732" i="1"/>
  <c r="A7733" i="1"/>
  <c r="C7733" i="1"/>
  <c r="A7734" i="1"/>
  <c r="C7734" i="1"/>
  <c r="A7735" i="1"/>
  <c r="C7735" i="1"/>
  <c r="A7736" i="1"/>
  <c r="C7736" i="1"/>
  <c r="A7737" i="1"/>
  <c r="C7737" i="1"/>
  <c r="A7738" i="1"/>
  <c r="C7738" i="1"/>
  <c r="A7739" i="1"/>
  <c r="C7739" i="1"/>
  <c r="A7740" i="1"/>
  <c r="C7740" i="1"/>
  <c r="A7741" i="1"/>
  <c r="C7741" i="1"/>
  <c r="A7742" i="1"/>
  <c r="C7742" i="1"/>
  <c r="A7743" i="1"/>
  <c r="C7743" i="1"/>
  <c r="A7744" i="1"/>
  <c r="C7744" i="1"/>
  <c r="A7745" i="1"/>
  <c r="C7745" i="1"/>
  <c r="A7746" i="1"/>
  <c r="C7746" i="1"/>
  <c r="A7747" i="1"/>
  <c r="C7747" i="1"/>
  <c r="A7748" i="1"/>
  <c r="C7748" i="1"/>
  <c r="A7749" i="1"/>
  <c r="C7749" i="1"/>
  <c r="A7750" i="1"/>
  <c r="C7750" i="1"/>
  <c r="A7751" i="1"/>
  <c r="C7751" i="1"/>
  <c r="A7752" i="1"/>
  <c r="C7752" i="1"/>
  <c r="A7753" i="1"/>
  <c r="C7753" i="1"/>
  <c r="A7754" i="1"/>
  <c r="C7754" i="1"/>
  <c r="A7755" i="1"/>
  <c r="C7755" i="1"/>
  <c r="A7756" i="1"/>
  <c r="C7756" i="1"/>
  <c r="A7757" i="1"/>
  <c r="C7757" i="1"/>
  <c r="A7758" i="1"/>
  <c r="C7758" i="1"/>
  <c r="A7759" i="1"/>
  <c r="C7759" i="1"/>
  <c r="A7760" i="1"/>
  <c r="C7760" i="1"/>
  <c r="A7761" i="1"/>
  <c r="C7761" i="1"/>
  <c r="A7762" i="1"/>
  <c r="C7762" i="1"/>
  <c r="A7763" i="1"/>
  <c r="C7763" i="1"/>
  <c r="A7764" i="1"/>
  <c r="C7764" i="1"/>
  <c r="A7765" i="1"/>
  <c r="C7765" i="1"/>
  <c r="A7766" i="1"/>
  <c r="C7766" i="1"/>
  <c r="A7767" i="1"/>
  <c r="C7767" i="1"/>
  <c r="A7768" i="1"/>
  <c r="C7768" i="1"/>
  <c r="A7769" i="1"/>
  <c r="C7769" i="1"/>
  <c r="A7770" i="1"/>
  <c r="C7770" i="1"/>
  <c r="A7771" i="1"/>
  <c r="C7771" i="1"/>
  <c r="A7772" i="1"/>
  <c r="C7772" i="1"/>
  <c r="A7773" i="1"/>
  <c r="C7773" i="1"/>
  <c r="A7774" i="1"/>
  <c r="C7774" i="1"/>
  <c r="A7775" i="1"/>
  <c r="C7775" i="1"/>
  <c r="A7776" i="1"/>
  <c r="C7776" i="1"/>
  <c r="A7777" i="1"/>
  <c r="C7777" i="1"/>
  <c r="A7778" i="1"/>
  <c r="C7778" i="1"/>
  <c r="A7779" i="1"/>
  <c r="C7779" i="1"/>
  <c r="A7780" i="1"/>
  <c r="C7780" i="1"/>
  <c r="A7781" i="1"/>
  <c r="C7781" i="1"/>
  <c r="A7782" i="1"/>
  <c r="C7782" i="1"/>
  <c r="A7783" i="1"/>
  <c r="C7783" i="1"/>
  <c r="A7784" i="1"/>
  <c r="C7784" i="1"/>
  <c r="A7785" i="1"/>
  <c r="C7785" i="1"/>
  <c r="A7786" i="1"/>
  <c r="C7786" i="1"/>
  <c r="A7787" i="1"/>
  <c r="C7787" i="1"/>
  <c r="A7788" i="1"/>
  <c r="C7788" i="1"/>
  <c r="A7789" i="1"/>
  <c r="C7789" i="1"/>
  <c r="A7790" i="1"/>
  <c r="C7790" i="1"/>
  <c r="A7791" i="1"/>
  <c r="C7791" i="1"/>
  <c r="A7792" i="1"/>
  <c r="C7792" i="1"/>
  <c r="A7793" i="1"/>
  <c r="C7793" i="1"/>
  <c r="A7794" i="1"/>
  <c r="C7794" i="1"/>
  <c r="A7795" i="1"/>
  <c r="C7795" i="1"/>
  <c r="A7796" i="1"/>
  <c r="C7796" i="1"/>
  <c r="A7797" i="1"/>
  <c r="C7797" i="1"/>
  <c r="A7798" i="1"/>
  <c r="C7798" i="1"/>
  <c r="A7799" i="1"/>
  <c r="C7799" i="1"/>
  <c r="A7800" i="1"/>
  <c r="C7800" i="1"/>
  <c r="A7801" i="1"/>
  <c r="C7801" i="1"/>
  <c r="A7802" i="1"/>
  <c r="C7802" i="1"/>
  <c r="A7803" i="1"/>
  <c r="C7803" i="1"/>
  <c r="A7804" i="1"/>
  <c r="C7804" i="1"/>
  <c r="A7805" i="1"/>
  <c r="C7805" i="1"/>
  <c r="A7806" i="1"/>
  <c r="C7806" i="1"/>
  <c r="A7807" i="1"/>
  <c r="C7807" i="1"/>
  <c r="A7808" i="1"/>
  <c r="C7808" i="1"/>
  <c r="A7809" i="1"/>
  <c r="C7809" i="1"/>
  <c r="A7810" i="1"/>
  <c r="C7810" i="1"/>
  <c r="A7811" i="1"/>
  <c r="C7811" i="1"/>
  <c r="A7812" i="1"/>
  <c r="C7812" i="1"/>
  <c r="A7813" i="1"/>
  <c r="C7813" i="1"/>
  <c r="A7814" i="1"/>
  <c r="C7814" i="1"/>
  <c r="A7815" i="1"/>
  <c r="C7815" i="1"/>
  <c r="A7816" i="1"/>
  <c r="C7816" i="1"/>
  <c r="A7817" i="1"/>
  <c r="C7817" i="1"/>
  <c r="A7818" i="1"/>
  <c r="C7818" i="1"/>
  <c r="A7819" i="1"/>
  <c r="C7819" i="1"/>
  <c r="A7820" i="1"/>
  <c r="C7820" i="1"/>
  <c r="A7821" i="1"/>
  <c r="C7821" i="1"/>
  <c r="A7822" i="1"/>
  <c r="C7822" i="1"/>
  <c r="A7823" i="1"/>
  <c r="C7823" i="1"/>
  <c r="A7824" i="1"/>
  <c r="C7824" i="1"/>
  <c r="A7825" i="1"/>
  <c r="C7825" i="1"/>
  <c r="A7826" i="1"/>
  <c r="C7826" i="1"/>
  <c r="A7827" i="1"/>
  <c r="C7827" i="1"/>
  <c r="A7828" i="1"/>
  <c r="C7828" i="1"/>
  <c r="A7829" i="1"/>
  <c r="C7829" i="1"/>
  <c r="A7830" i="1"/>
  <c r="C7830" i="1"/>
  <c r="A7831" i="1"/>
  <c r="C7831" i="1"/>
  <c r="A7832" i="1"/>
  <c r="C7832" i="1"/>
  <c r="A7833" i="1"/>
  <c r="C7833" i="1"/>
  <c r="A7834" i="1"/>
  <c r="C7834" i="1"/>
  <c r="A7835" i="1"/>
  <c r="C7835" i="1"/>
  <c r="A7836" i="1"/>
  <c r="C7836" i="1"/>
  <c r="A7837" i="1"/>
  <c r="C7837" i="1"/>
  <c r="A7838" i="1"/>
  <c r="C7838" i="1"/>
  <c r="A7839" i="1"/>
  <c r="C7839" i="1"/>
  <c r="A7840" i="1"/>
  <c r="C7840" i="1"/>
  <c r="A7841" i="1"/>
  <c r="C7841" i="1"/>
  <c r="A7842" i="1"/>
  <c r="C7842" i="1"/>
  <c r="A7843" i="1"/>
  <c r="C7843" i="1"/>
  <c r="A7844" i="1"/>
  <c r="C7844" i="1"/>
  <c r="A7845" i="1"/>
  <c r="C7845" i="1"/>
  <c r="A7846" i="1"/>
  <c r="C7846" i="1"/>
  <c r="A7847" i="1"/>
  <c r="C7847" i="1"/>
  <c r="A7848" i="1"/>
  <c r="C7848" i="1"/>
  <c r="A7849" i="1"/>
  <c r="C7849" i="1"/>
  <c r="A7850" i="1"/>
  <c r="C7850" i="1"/>
  <c r="A7851" i="1"/>
  <c r="C7851" i="1"/>
  <c r="A7852" i="1"/>
  <c r="C7852" i="1"/>
  <c r="A7853" i="1"/>
  <c r="C7853" i="1"/>
  <c r="A7854" i="1"/>
  <c r="C7854" i="1"/>
  <c r="A7855" i="1"/>
  <c r="C7855" i="1"/>
  <c r="A7856" i="1"/>
  <c r="C7856" i="1"/>
  <c r="A7857" i="1"/>
  <c r="C7857" i="1"/>
  <c r="A7858" i="1"/>
  <c r="C7858" i="1"/>
  <c r="A7859" i="1"/>
  <c r="C7859" i="1"/>
  <c r="A7860" i="1"/>
  <c r="C7860" i="1"/>
  <c r="A7861" i="1"/>
  <c r="C7861" i="1"/>
  <c r="A7862" i="1"/>
  <c r="C7862" i="1"/>
  <c r="A7863" i="1"/>
  <c r="C7863" i="1"/>
  <c r="A7864" i="1"/>
  <c r="C7864" i="1"/>
  <c r="A7865" i="1"/>
  <c r="C7865" i="1"/>
  <c r="A7866" i="1"/>
  <c r="C7866" i="1"/>
  <c r="A7867" i="1"/>
  <c r="C7867" i="1"/>
  <c r="A7868" i="1"/>
  <c r="C7868" i="1"/>
  <c r="A7869" i="1"/>
  <c r="C7869" i="1"/>
  <c r="A7870" i="1"/>
  <c r="C7870" i="1"/>
  <c r="A7871" i="1"/>
  <c r="C7871" i="1"/>
  <c r="A7872" i="1"/>
  <c r="C7872" i="1"/>
  <c r="A7873" i="1"/>
  <c r="C7873" i="1"/>
  <c r="A7874" i="1"/>
  <c r="C7874" i="1"/>
  <c r="A7875" i="1"/>
  <c r="C7875" i="1"/>
  <c r="A7876" i="1"/>
  <c r="C7876" i="1"/>
  <c r="A7877" i="1"/>
  <c r="C7877" i="1"/>
  <c r="A7878" i="1"/>
  <c r="C7878" i="1"/>
  <c r="A7879" i="1"/>
  <c r="C7879" i="1"/>
  <c r="A7880" i="1"/>
  <c r="C7880" i="1"/>
  <c r="A7881" i="1"/>
  <c r="C7881" i="1"/>
  <c r="A7882" i="1"/>
  <c r="C7882" i="1"/>
  <c r="A7883" i="1"/>
  <c r="C7883" i="1"/>
  <c r="A7884" i="1"/>
  <c r="C7884" i="1"/>
  <c r="A7885" i="1"/>
  <c r="C7885" i="1"/>
  <c r="A7886" i="1"/>
  <c r="C7886" i="1"/>
  <c r="A7887" i="1"/>
  <c r="C7887" i="1"/>
  <c r="A7888" i="1"/>
  <c r="C7888" i="1"/>
  <c r="A7889" i="1"/>
  <c r="C7889" i="1"/>
  <c r="A7890" i="1"/>
  <c r="C7890" i="1"/>
  <c r="A7891" i="1"/>
  <c r="C7891" i="1"/>
  <c r="A7892" i="1"/>
  <c r="C7892" i="1"/>
  <c r="A7893" i="1"/>
  <c r="C7893" i="1"/>
  <c r="A7894" i="1"/>
  <c r="C7894" i="1"/>
  <c r="A7895" i="1"/>
  <c r="C7895" i="1"/>
  <c r="A7896" i="1"/>
  <c r="C7896" i="1"/>
  <c r="A7897" i="1"/>
  <c r="C7897" i="1"/>
  <c r="A7898" i="1"/>
  <c r="C7898" i="1"/>
  <c r="A7899" i="1"/>
  <c r="C7899" i="1"/>
  <c r="A7900" i="1"/>
  <c r="C7900" i="1"/>
  <c r="A7901" i="1"/>
  <c r="C7901" i="1"/>
  <c r="A7902" i="1"/>
  <c r="C7902" i="1"/>
  <c r="A7903" i="1"/>
  <c r="C7903" i="1"/>
  <c r="A7904" i="1"/>
  <c r="C7904" i="1"/>
  <c r="A7905" i="1"/>
  <c r="C7905" i="1"/>
  <c r="A7906" i="1"/>
  <c r="C7906" i="1"/>
  <c r="A7907" i="1"/>
  <c r="C7907" i="1"/>
  <c r="A7908" i="1"/>
  <c r="C7908" i="1"/>
  <c r="A7909" i="1"/>
  <c r="C7909" i="1"/>
  <c r="A7910" i="1"/>
  <c r="C7910" i="1"/>
  <c r="A7911" i="1"/>
  <c r="C7911" i="1"/>
  <c r="A7912" i="1"/>
  <c r="C7912" i="1"/>
  <c r="A7913" i="1"/>
  <c r="C7913" i="1"/>
  <c r="A7914" i="1"/>
  <c r="C7914" i="1"/>
  <c r="A7915" i="1"/>
  <c r="C7915" i="1"/>
  <c r="A7916" i="1"/>
  <c r="C7916" i="1"/>
  <c r="A7917" i="1"/>
  <c r="C7917" i="1"/>
  <c r="A7918" i="1"/>
  <c r="C7918" i="1"/>
  <c r="A7919" i="1"/>
  <c r="C7919" i="1"/>
  <c r="A7920" i="1"/>
  <c r="C7920" i="1"/>
  <c r="A7921" i="1"/>
  <c r="C7921" i="1"/>
  <c r="A7922" i="1"/>
  <c r="C7922" i="1"/>
  <c r="A7923" i="1"/>
  <c r="C7923" i="1"/>
  <c r="A7924" i="1"/>
  <c r="C7924" i="1"/>
  <c r="A7925" i="1"/>
  <c r="C7925" i="1"/>
  <c r="A7926" i="1"/>
  <c r="C7926" i="1"/>
  <c r="A7927" i="1"/>
  <c r="C7927" i="1"/>
  <c r="A7928" i="1"/>
  <c r="C7928" i="1"/>
  <c r="A7929" i="1"/>
  <c r="C7929" i="1"/>
  <c r="A7930" i="1"/>
  <c r="C7930" i="1"/>
  <c r="A7931" i="1"/>
  <c r="C7931" i="1"/>
  <c r="A7932" i="1"/>
  <c r="C7932" i="1"/>
  <c r="A7933" i="1"/>
  <c r="C7933" i="1"/>
  <c r="A7934" i="1"/>
  <c r="C7934" i="1"/>
  <c r="A7935" i="1"/>
  <c r="C7935" i="1"/>
  <c r="A7936" i="1"/>
  <c r="C7936" i="1"/>
  <c r="A7937" i="1"/>
  <c r="C7937" i="1"/>
  <c r="A7938" i="1"/>
  <c r="C7938" i="1"/>
  <c r="A7939" i="1"/>
  <c r="C7939" i="1"/>
  <c r="A7940" i="1"/>
  <c r="C7940" i="1"/>
  <c r="A7941" i="1"/>
  <c r="C7941" i="1"/>
  <c r="A7942" i="1"/>
  <c r="C7942" i="1"/>
  <c r="A7943" i="1"/>
  <c r="C7943" i="1"/>
  <c r="A7944" i="1"/>
  <c r="C7944" i="1"/>
  <c r="A7945" i="1"/>
  <c r="C7945" i="1"/>
  <c r="A7946" i="1"/>
  <c r="C7946" i="1"/>
  <c r="A7947" i="1"/>
  <c r="C7947" i="1"/>
  <c r="A7948" i="1"/>
  <c r="C7948" i="1"/>
  <c r="A7949" i="1"/>
  <c r="C7949" i="1"/>
  <c r="A7950" i="1"/>
  <c r="C7950" i="1"/>
  <c r="A7951" i="1"/>
  <c r="C7951" i="1"/>
  <c r="A7952" i="1"/>
  <c r="C7952" i="1"/>
  <c r="A7953" i="1"/>
  <c r="C7953" i="1"/>
  <c r="A7954" i="1"/>
  <c r="C7954" i="1"/>
  <c r="A7955" i="1"/>
  <c r="C7955" i="1"/>
  <c r="A7956" i="1"/>
  <c r="C7956" i="1"/>
  <c r="A7957" i="1"/>
  <c r="C7957" i="1"/>
  <c r="A7958" i="1"/>
  <c r="C7958" i="1"/>
  <c r="A7959" i="1"/>
  <c r="C7959" i="1"/>
  <c r="A7960" i="1"/>
  <c r="C7960" i="1"/>
  <c r="A7961" i="1"/>
  <c r="C7961" i="1"/>
  <c r="A7962" i="1"/>
  <c r="C7962" i="1"/>
  <c r="A7963" i="1"/>
  <c r="C7963" i="1"/>
  <c r="A7964" i="1"/>
  <c r="C7964" i="1"/>
  <c r="A7965" i="1"/>
  <c r="C7965" i="1"/>
  <c r="A7966" i="1"/>
  <c r="C7966" i="1"/>
  <c r="A7967" i="1"/>
  <c r="C7967" i="1"/>
  <c r="A7968" i="1"/>
  <c r="C7968" i="1"/>
  <c r="A7969" i="1"/>
  <c r="C7969" i="1"/>
  <c r="A7970" i="1"/>
  <c r="C7970" i="1"/>
  <c r="A7971" i="1"/>
  <c r="C7971" i="1"/>
  <c r="A7972" i="1"/>
  <c r="C7972" i="1"/>
  <c r="A7973" i="1"/>
  <c r="C7973" i="1"/>
  <c r="A7974" i="1"/>
  <c r="C7974" i="1"/>
  <c r="A7975" i="1"/>
  <c r="C7975" i="1"/>
  <c r="A7976" i="1"/>
  <c r="C7976" i="1"/>
  <c r="A7977" i="1"/>
  <c r="C7977" i="1"/>
  <c r="A7978" i="1"/>
  <c r="C7978" i="1"/>
  <c r="A7979" i="1"/>
  <c r="C7979" i="1"/>
  <c r="A7980" i="1"/>
  <c r="C7980" i="1"/>
  <c r="A7981" i="1"/>
  <c r="C7981" i="1"/>
  <c r="A7982" i="1"/>
  <c r="C7982" i="1"/>
  <c r="A7983" i="1"/>
  <c r="C7983" i="1"/>
  <c r="A7984" i="1"/>
  <c r="C7984" i="1"/>
  <c r="A7985" i="1"/>
  <c r="C7985" i="1"/>
  <c r="A7986" i="1"/>
  <c r="C7986" i="1"/>
  <c r="A7987" i="1"/>
  <c r="C7987" i="1"/>
  <c r="A7988" i="1"/>
  <c r="C7988" i="1"/>
  <c r="A7989" i="1"/>
  <c r="C7989" i="1"/>
  <c r="A7990" i="1"/>
  <c r="C7990" i="1"/>
  <c r="A7991" i="1"/>
  <c r="C7991" i="1"/>
  <c r="A7992" i="1"/>
  <c r="C7992" i="1"/>
  <c r="A7993" i="1"/>
  <c r="C7993" i="1"/>
  <c r="A7994" i="1"/>
  <c r="C7994" i="1"/>
  <c r="A7995" i="1"/>
  <c r="C7995" i="1"/>
  <c r="A7996" i="1"/>
  <c r="C7996" i="1"/>
  <c r="A7997" i="1"/>
  <c r="C7997" i="1"/>
  <c r="A7998" i="1"/>
  <c r="C7998" i="1"/>
  <c r="A7999" i="1"/>
  <c r="C7999" i="1"/>
  <c r="A8000" i="1"/>
  <c r="C8000" i="1"/>
  <c r="A8001" i="1"/>
  <c r="C8001" i="1"/>
  <c r="A8002" i="1"/>
  <c r="C8002" i="1"/>
  <c r="A8003" i="1"/>
  <c r="C8003" i="1"/>
  <c r="A8004" i="1"/>
  <c r="C8004" i="1"/>
  <c r="A8005" i="1"/>
  <c r="C8005" i="1"/>
  <c r="A8006" i="1"/>
  <c r="C8006" i="1"/>
  <c r="A8007" i="1"/>
  <c r="C8007" i="1"/>
  <c r="A8008" i="1"/>
  <c r="C8008" i="1"/>
  <c r="A8009" i="1"/>
  <c r="C8009" i="1"/>
  <c r="A8010" i="1"/>
  <c r="C8010" i="1"/>
  <c r="A8011" i="1"/>
  <c r="C8011" i="1"/>
  <c r="A8012" i="1"/>
  <c r="C8012" i="1"/>
  <c r="A8013" i="1"/>
  <c r="C8013" i="1"/>
  <c r="A8014" i="1"/>
  <c r="C8014" i="1"/>
  <c r="A8015" i="1"/>
  <c r="C8015" i="1"/>
  <c r="A8016" i="1"/>
  <c r="C8016" i="1"/>
  <c r="A8017" i="1"/>
  <c r="C8017" i="1"/>
  <c r="A8018" i="1"/>
  <c r="C8018" i="1"/>
  <c r="A8019" i="1"/>
  <c r="C8019" i="1"/>
  <c r="A8020" i="1"/>
  <c r="C8020" i="1"/>
  <c r="A8021" i="1"/>
  <c r="C8021" i="1"/>
  <c r="A8022" i="1"/>
  <c r="C8022" i="1"/>
  <c r="A8023" i="1"/>
  <c r="C8023" i="1"/>
  <c r="A8024" i="1"/>
  <c r="C8024" i="1"/>
  <c r="A8025" i="1"/>
  <c r="C8025" i="1"/>
  <c r="A8026" i="1"/>
  <c r="C8026" i="1"/>
  <c r="A8027" i="1"/>
  <c r="C8027" i="1"/>
  <c r="A8028" i="1"/>
  <c r="C8028" i="1"/>
  <c r="A8029" i="1"/>
  <c r="C8029" i="1"/>
  <c r="A8030" i="1"/>
  <c r="C8030" i="1"/>
  <c r="A8031" i="1"/>
  <c r="C8031" i="1"/>
  <c r="A8032" i="1"/>
  <c r="C8032" i="1"/>
  <c r="A8033" i="1"/>
  <c r="C8033" i="1"/>
  <c r="A8034" i="1"/>
  <c r="C8034" i="1"/>
  <c r="A8035" i="1"/>
  <c r="C8035" i="1"/>
  <c r="A8036" i="1"/>
  <c r="C8036" i="1"/>
  <c r="A8037" i="1"/>
  <c r="C8037" i="1"/>
  <c r="A8038" i="1"/>
  <c r="C8038" i="1"/>
  <c r="A8039" i="1"/>
  <c r="C8039" i="1"/>
  <c r="A8040" i="1"/>
  <c r="C8040" i="1"/>
  <c r="A8041" i="1"/>
  <c r="C8041" i="1"/>
  <c r="A8042" i="1"/>
  <c r="C8042" i="1"/>
  <c r="A8043" i="1"/>
  <c r="C8043" i="1"/>
  <c r="A8044" i="1"/>
  <c r="C8044" i="1"/>
  <c r="A8045" i="1"/>
  <c r="C8045" i="1"/>
  <c r="A8046" i="1"/>
  <c r="C8046" i="1"/>
  <c r="A8047" i="1"/>
  <c r="C8047" i="1"/>
  <c r="A8048" i="1"/>
  <c r="C8048" i="1"/>
  <c r="A8049" i="1"/>
  <c r="C8049" i="1"/>
  <c r="A8050" i="1"/>
  <c r="C8050" i="1"/>
  <c r="A8051" i="1"/>
  <c r="C8051" i="1"/>
  <c r="A8052" i="1"/>
  <c r="C8052" i="1"/>
  <c r="A8053" i="1"/>
  <c r="C8053" i="1"/>
  <c r="A8054" i="1"/>
  <c r="C8054" i="1"/>
  <c r="A8055" i="1"/>
  <c r="C8055" i="1"/>
  <c r="A8056" i="1"/>
  <c r="C8056" i="1"/>
  <c r="A8057" i="1"/>
  <c r="C8057" i="1"/>
  <c r="A8058" i="1"/>
  <c r="C8058" i="1"/>
  <c r="A8059" i="1"/>
  <c r="C8059" i="1"/>
  <c r="A8060" i="1"/>
  <c r="C8060" i="1"/>
  <c r="A8061" i="1"/>
  <c r="C8061" i="1"/>
  <c r="A8062" i="1"/>
  <c r="C8062" i="1"/>
  <c r="A8063" i="1"/>
  <c r="C8063" i="1"/>
  <c r="A8064" i="1"/>
  <c r="C8064" i="1"/>
  <c r="A8065" i="1"/>
  <c r="C8065" i="1"/>
  <c r="A8066" i="1"/>
  <c r="C8066" i="1"/>
  <c r="A8067" i="1"/>
  <c r="C8067" i="1"/>
  <c r="A8068" i="1"/>
  <c r="C8068" i="1"/>
  <c r="A8069" i="1"/>
  <c r="C8069" i="1"/>
  <c r="A8070" i="1"/>
  <c r="C8070" i="1"/>
  <c r="A8071" i="1"/>
  <c r="C8071" i="1"/>
  <c r="A8072" i="1"/>
  <c r="C8072" i="1"/>
  <c r="A8073" i="1"/>
  <c r="C8073" i="1"/>
  <c r="A8074" i="1"/>
  <c r="C8074" i="1"/>
  <c r="A8075" i="1"/>
  <c r="C8075" i="1"/>
  <c r="A8076" i="1"/>
  <c r="C8076" i="1"/>
  <c r="A8077" i="1"/>
  <c r="C8077" i="1"/>
  <c r="A8078" i="1"/>
  <c r="C8078" i="1"/>
  <c r="A8079" i="1"/>
  <c r="C8079" i="1"/>
  <c r="A8080" i="1"/>
  <c r="C8080" i="1"/>
  <c r="A8081" i="1"/>
  <c r="C8081" i="1"/>
  <c r="A8082" i="1"/>
  <c r="C8082" i="1"/>
  <c r="A8083" i="1"/>
  <c r="C8083" i="1"/>
  <c r="A8084" i="1"/>
  <c r="C8084" i="1"/>
  <c r="A8085" i="1"/>
  <c r="C8085" i="1"/>
  <c r="A8086" i="1"/>
  <c r="C8086" i="1"/>
  <c r="A8087" i="1"/>
  <c r="C8087" i="1"/>
  <c r="A8088" i="1"/>
  <c r="C8088" i="1"/>
  <c r="A8089" i="1"/>
  <c r="C8089" i="1"/>
  <c r="A8090" i="1"/>
  <c r="C8090" i="1"/>
  <c r="A8091" i="1"/>
  <c r="C8091" i="1"/>
  <c r="A8092" i="1"/>
  <c r="C8092" i="1"/>
  <c r="A8093" i="1"/>
  <c r="C8093" i="1"/>
  <c r="A8094" i="1"/>
  <c r="C8094" i="1"/>
  <c r="A8095" i="1"/>
  <c r="C8095" i="1"/>
  <c r="A8096" i="1"/>
  <c r="C8096" i="1"/>
  <c r="A8097" i="1"/>
  <c r="C8097" i="1"/>
  <c r="A8098" i="1"/>
  <c r="C8098" i="1"/>
  <c r="A8099" i="1"/>
  <c r="C8099" i="1"/>
  <c r="A8100" i="1"/>
  <c r="C8100" i="1"/>
  <c r="A8101" i="1"/>
  <c r="C8101" i="1"/>
  <c r="A8102" i="1"/>
  <c r="C8102" i="1"/>
  <c r="A8103" i="1"/>
  <c r="C8103" i="1"/>
  <c r="A8104" i="1"/>
  <c r="C8104" i="1"/>
  <c r="A8105" i="1"/>
  <c r="C8105" i="1"/>
  <c r="A8106" i="1"/>
  <c r="C8106" i="1"/>
  <c r="A8107" i="1"/>
  <c r="C8107" i="1"/>
  <c r="A8108" i="1"/>
  <c r="C8108" i="1"/>
  <c r="A8109" i="1"/>
  <c r="C8109" i="1"/>
  <c r="A8110" i="1"/>
  <c r="C8110" i="1"/>
  <c r="A8111" i="1"/>
  <c r="C8111" i="1"/>
  <c r="A8112" i="1"/>
  <c r="C8112" i="1"/>
  <c r="A8113" i="1"/>
  <c r="C8113" i="1"/>
  <c r="A8114" i="1"/>
  <c r="C8114" i="1"/>
  <c r="A8115" i="1"/>
  <c r="C8115" i="1"/>
  <c r="A8116" i="1"/>
  <c r="C8116" i="1"/>
  <c r="A8117" i="1"/>
  <c r="C8117" i="1"/>
  <c r="A8118" i="1"/>
  <c r="C8118" i="1"/>
  <c r="A8119" i="1"/>
  <c r="C8119" i="1"/>
  <c r="A8120" i="1"/>
  <c r="C8120" i="1"/>
  <c r="A8121" i="1"/>
  <c r="C8121" i="1"/>
  <c r="A8122" i="1"/>
  <c r="C8122" i="1"/>
  <c r="A8123" i="1"/>
  <c r="C8123" i="1"/>
  <c r="A8124" i="1"/>
  <c r="C8124" i="1"/>
  <c r="A8125" i="1"/>
  <c r="C8125" i="1"/>
  <c r="A8126" i="1"/>
  <c r="C8126" i="1"/>
  <c r="A8127" i="1"/>
  <c r="C8127" i="1"/>
  <c r="A8128" i="1"/>
  <c r="C8128" i="1"/>
  <c r="A8129" i="1"/>
  <c r="C8129" i="1"/>
  <c r="A8130" i="1"/>
  <c r="C8130" i="1"/>
  <c r="A8131" i="1"/>
  <c r="C8131" i="1"/>
  <c r="A8132" i="1"/>
  <c r="C8132" i="1"/>
  <c r="A8133" i="1"/>
  <c r="C8133" i="1"/>
  <c r="A8134" i="1"/>
  <c r="C8134" i="1"/>
  <c r="A8135" i="1"/>
  <c r="C8135" i="1"/>
  <c r="A8136" i="1"/>
  <c r="C8136" i="1"/>
  <c r="A8137" i="1"/>
  <c r="C8137" i="1"/>
  <c r="A8138" i="1"/>
  <c r="C8138" i="1"/>
  <c r="A8139" i="1"/>
  <c r="C8139" i="1"/>
  <c r="A8140" i="1"/>
  <c r="C8140" i="1"/>
  <c r="A8141" i="1"/>
  <c r="C8141" i="1"/>
  <c r="A8142" i="1"/>
  <c r="C8142" i="1"/>
  <c r="A8143" i="1"/>
  <c r="C8143" i="1"/>
  <c r="A8144" i="1"/>
  <c r="C8144" i="1"/>
  <c r="A8145" i="1"/>
  <c r="C8145" i="1"/>
  <c r="A8146" i="1"/>
  <c r="C8146" i="1"/>
  <c r="A8147" i="1"/>
  <c r="C8147" i="1"/>
  <c r="A8148" i="1"/>
  <c r="C8148" i="1"/>
  <c r="A8149" i="1"/>
  <c r="C8149" i="1"/>
  <c r="A8150" i="1"/>
  <c r="C8150" i="1"/>
  <c r="A8151" i="1"/>
  <c r="C8151" i="1"/>
  <c r="A8152" i="1"/>
  <c r="C8152" i="1"/>
  <c r="A8153" i="1"/>
  <c r="C8153" i="1"/>
  <c r="A8154" i="1"/>
  <c r="C8154" i="1"/>
  <c r="A8155" i="1"/>
  <c r="C8155" i="1"/>
  <c r="A8156" i="1"/>
  <c r="C8156" i="1"/>
  <c r="A8157" i="1"/>
  <c r="C8157" i="1"/>
  <c r="A8158" i="1"/>
  <c r="C8158" i="1"/>
  <c r="A8159" i="1"/>
  <c r="C8159" i="1"/>
  <c r="A8160" i="1"/>
  <c r="C8160" i="1"/>
  <c r="A8161" i="1"/>
  <c r="C8161" i="1"/>
  <c r="A8162" i="1"/>
  <c r="C8162" i="1"/>
  <c r="A8163" i="1"/>
  <c r="C8163" i="1"/>
  <c r="A8164" i="1"/>
  <c r="C8164" i="1"/>
  <c r="A8165" i="1"/>
  <c r="C8165" i="1"/>
  <c r="A8166" i="1"/>
  <c r="C8166" i="1"/>
  <c r="A8167" i="1"/>
  <c r="C8167" i="1"/>
  <c r="A8168" i="1"/>
  <c r="C8168" i="1"/>
  <c r="A8169" i="1"/>
  <c r="C8169" i="1"/>
  <c r="A8170" i="1"/>
  <c r="C8170" i="1"/>
  <c r="A8171" i="1"/>
  <c r="C8171" i="1"/>
  <c r="A8172" i="1"/>
  <c r="C8172" i="1"/>
  <c r="A8173" i="1"/>
  <c r="C8173" i="1"/>
  <c r="A8174" i="1"/>
  <c r="C8174" i="1"/>
  <c r="A8175" i="1"/>
  <c r="C8175" i="1"/>
  <c r="A8176" i="1"/>
  <c r="C8176" i="1"/>
  <c r="A8177" i="1"/>
  <c r="C8177" i="1"/>
  <c r="A8178" i="1"/>
  <c r="C8178" i="1"/>
  <c r="A8179" i="1"/>
  <c r="C8179" i="1"/>
  <c r="A8180" i="1"/>
  <c r="C8180" i="1"/>
  <c r="A8181" i="1"/>
  <c r="C8181" i="1"/>
  <c r="A8182" i="1"/>
  <c r="C8182" i="1"/>
  <c r="A8183" i="1"/>
  <c r="C8183" i="1"/>
  <c r="A8184" i="1"/>
  <c r="C8184" i="1"/>
  <c r="A8185" i="1"/>
  <c r="C8185" i="1"/>
  <c r="A8186" i="1"/>
  <c r="C8186" i="1"/>
  <c r="A8187" i="1"/>
  <c r="C8187" i="1"/>
  <c r="A8188" i="1"/>
  <c r="C8188" i="1"/>
  <c r="A8189" i="1"/>
  <c r="C8189" i="1"/>
  <c r="A8190" i="1"/>
  <c r="C8190" i="1"/>
  <c r="A8191" i="1"/>
  <c r="C8191" i="1"/>
  <c r="A8192" i="1"/>
  <c r="C8192" i="1"/>
  <c r="A8193" i="1"/>
  <c r="C8193" i="1"/>
  <c r="A8194" i="1"/>
  <c r="C8194" i="1"/>
  <c r="A8195" i="1"/>
  <c r="C8195" i="1"/>
  <c r="A8196" i="1"/>
  <c r="C8196" i="1"/>
  <c r="A8197" i="1"/>
  <c r="C8197" i="1"/>
  <c r="A8198" i="1"/>
  <c r="C8198" i="1"/>
  <c r="A8199" i="1"/>
  <c r="C8199" i="1"/>
  <c r="A8200" i="1"/>
  <c r="C8200" i="1"/>
  <c r="A8201" i="1"/>
  <c r="C8201" i="1"/>
  <c r="A8202" i="1"/>
  <c r="C8202" i="1"/>
  <c r="A8203" i="1"/>
  <c r="C8203" i="1"/>
  <c r="A8204" i="1"/>
  <c r="C8204" i="1"/>
  <c r="A8205" i="1"/>
  <c r="C8205" i="1"/>
  <c r="A8206" i="1"/>
  <c r="C8206" i="1"/>
  <c r="A8207" i="1"/>
  <c r="C8207" i="1"/>
  <c r="A8208" i="1"/>
  <c r="C8208" i="1"/>
  <c r="A8209" i="1"/>
  <c r="C8209" i="1"/>
  <c r="A8210" i="1"/>
  <c r="C8210" i="1"/>
  <c r="A8211" i="1"/>
  <c r="C8211" i="1"/>
  <c r="A8212" i="1"/>
  <c r="C8212" i="1"/>
  <c r="A8213" i="1"/>
  <c r="C8213" i="1"/>
  <c r="A8214" i="1"/>
  <c r="C8214" i="1"/>
  <c r="A8215" i="1"/>
  <c r="C8215" i="1"/>
  <c r="A8216" i="1"/>
  <c r="C8216" i="1"/>
  <c r="A8217" i="1"/>
  <c r="C8217" i="1"/>
  <c r="A8218" i="1"/>
  <c r="C8218" i="1"/>
  <c r="A8219" i="1"/>
  <c r="C8219" i="1"/>
  <c r="A8220" i="1"/>
  <c r="C8220" i="1"/>
  <c r="A8221" i="1"/>
  <c r="C8221" i="1"/>
  <c r="A8222" i="1"/>
  <c r="C8222" i="1"/>
  <c r="A8223" i="1"/>
  <c r="C8223" i="1"/>
  <c r="A8224" i="1"/>
  <c r="C8224" i="1"/>
  <c r="A8225" i="1"/>
  <c r="C8225" i="1"/>
  <c r="A8226" i="1"/>
  <c r="C8226" i="1"/>
  <c r="A8227" i="1"/>
  <c r="C8227" i="1"/>
  <c r="A8228" i="1"/>
  <c r="C8228" i="1"/>
  <c r="A8229" i="1"/>
  <c r="C8229" i="1"/>
  <c r="A8230" i="1"/>
  <c r="C8230" i="1"/>
  <c r="A8231" i="1"/>
  <c r="C8231" i="1"/>
  <c r="A8232" i="1"/>
  <c r="C8232" i="1"/>
  <c r="A8233" i="1"/>
  <c r="C8233" i="1"/>
  <c r="A8234" i="1"/>
  <c r="C8234" i="1"/>
  <c r="A8235" i="1"/>
  <c r="C8235" i="1"/>
  <c r="A8236" i="1"/>
  <c r="C8236" i="1"/>
  <c r="A8237" i="1"/>
  <c r="C8237" i="1"/>
  <c r="A8238" i="1"/>
  <c r="C8238" i="1"/>
  <c r="A8239" i="1"/>
  <c r="C8239" i="1"/>
  <c r="A8240" i="1"/>
  <c r="C8240" i="1"/>
  <c r="A8241" i="1"/>
  <c r="C8241" i="1"/>
  <c r="A8242" i="1"/>
  <c r="C8242" i="1"/>
  <c r="A8243" i="1"/>
  <c r="C8243" i="1"/>
  <c r="A8244" i="1"/>
  <c r="C8244" i="1"/>
  <c r="A8245" i="1"/>
  <c r="C8245" i="1"/>
  <c r="A8246" i="1"/>
  <c r="C8246" i="1"/>
  <c r="A8247" i="1"/>
  <c r="C8247" i="1"/>
  <c r="A8248" i="1"/>
  <c r="C8248" i="1"/>
  <c r="A8249" i="1"/>
  <c r="C8249" i="1"/>
  <c r="A8250" i="1"/>
  <c r="C8250" i="1"/>
  <c r="A8251" i="1"/>
  <c r="C8251" i="1"/>
  <c r="A8252" i="1"/>
  <c r="C8252" i="1"/>
  <c r="A8253" i="1"/>
  <c r="C8253" i="1"/>
  <c r="A8254" i="1"/>
  <c r="C8254" i="1"/>
  <c r="A8255" i="1"/>
  <c r="C8255" i="1"/>
  <c r="A8256" i="1"/>
  <c r="C8256" i="1"/>
  <c r="A8257" i="1"/>
  <c r="C8257" i="1"/>
  <c r="A8258" i="1"/>
  <c r="C8258" i="1"/>
  <c r="A8259" i="1"/>
  <c r="C8259" i="1"/>
  <c r="A8260" i="1"/>
  <c r="C8260" i="1"/>
  <c r="A8261" i="1"/>
  <c r="C8261" i="1"/>
  <c r="A8262" i="1"/>
  <c r="C8262" i="1"/>
  <c r="A8263" i="1"/>
  <c r="C8263" i="1"/>
  <c r="A8264" i="1"/>
  <c r="C8264" i="1"/>
  <c r="A8265" i="1"/>
  <c r="C8265" i="1"/>
  <c r="A8266" i="1"/>
  <c r="C8266" i="1"/>
  <c r="A8267" i="1"/>
  <c r="C8267" i="1"/>
  <c r="A8268" i="1"/>
  <c r="C8268" i="1"/>
  <c r="A8269" i="1"/>
  <c r="C8269" i="1"/>
  <c r="A8270" i="1"/>
  <c r="C8270" i="1"/>
  <c r="A8271" i="1"/>
  <c r="C8271" i="1"/>
  <c r="A8272" i="1"/>
  <c r="C8272" i="1"/>
  <c r="A8273" i="1"/>
  <c r="C8273" i="1"/>
  <c r="A8274" i="1"/>
  <c r="C8274" i="1"/>
  <c r="A8275" i="1"/>
  <c r="C8275" i="1"/>
  <c r="A8276" i="1"/>
  <c r="C8276" i="1"/>
  <c r="A8277" i="1"/>
  <c r="C8277" i="1"/>
  <c r="A8278" i="1"/>
  <c r="C8278" i="1"/>
  <c r="A8279" i="1"/>
  <c r="C8279" i="1"/>
  <c r="A8280" i="1"/>
  <c r="C8280" i="1"/>
  <c r="A8281" i="1"/>
  <c r="C8281" i="1"/>
  <c r="A8282" i="1"/>
  <c r="C8282" i="1"/>
  <c r="A8283" i="1"/>
  <c r="C8283" i="1"/>
  <c r="A8284" i="1"/>
  <c r="C8284" i="1"/>
  <c r="A8285" i="1"/>
  <c r="C8285" i="1"/>
  <c r="A8286" i="1"/>
  <c r="C8286" i="1"/>
  <c r="A8287" i="1"/>
  <c r="C8287" i="1"/>
  <c r="A8288" i="1"/>
  <c r="C8288" i="1"/>
  <c r="A8289" i="1"/>
  <c r="C8289" i="1"/>
  <c r="A8290" i="1"/>
  <c r="C8290" i="1"/>
  <c r="A8291" i="1"/>
  <c r="C8291" i="1"/>
  <c r="A8292" i="1"/>
  <c r="C8292" i="1"/>
  <c r="A8293" i="1"/>
  <c r="C8293" i="1"/>
  <c r="A8294" i="1"/>
  <c r="C8294" i="1"/>
  <c r="A8295" i="1"/>
  <c r="C8295" i="1"/>
  <c r="A8296" i="1"/>
  <c r="C8296" i="1"/>
  <c r="A8297" i="1"/>
  <c r="C8297" i="1"/>
  <c r="A8298" i="1"/>
  <c r="C8298" i="1"/>
  <c r="A8299" i="1"/>
  <c r="C8299" i="1"/>
  <c r="A8300" i="1"/>
  <c r="C8300" i="1"/>
  <c r="A8301" i="1"/>
  <c r="C8301" i="1"/>
  <c r="A8302" i="1"/>
  <c r="C8302" i="1"/>
  <c r="A8303" i="1"/>
  <c r="C8303" i="1"/>
  <c r="A8304" i="1"/>
  <c r="C8304" i="1"/>
  <c r="A8305" i="1"/>
  <c r="C8305" i="1"/>
  <c r="A8306" i="1"/>
  <c r="C8306" i="1"/>
  <c r="A8307" i="1"/>
  <c r="C8307" i="1"/>
  <c r="A8308" i="1"/>
  <c r="C8308" i="1"/>
  <c r="A8309" i="1"/>
  <c r="C8309" i="1"/>
  <c r="A8310" i="1"/>
  <c r="C8310" i="1"/>
  <c r="A8311" i="1"/>
  <c r="C8311" i="1"/>
  <c r="A8312" i="1"/>
  <c r="C8312" i="1"/>
  <c r="A8313" i="1"/>
  <c r="C8313" i="1"/>
  <c r="A8314" i="1"/>
  <c r="C8314" i="1"/>
  <c r="A8315" i="1"/>
  <c r="C8315" i="1"/>
  <c r="A8316" i="1"/>
  <c r="C8316" i="1"/>
  <c r="A8317" i="1"/>
  <c r="C8317" i="1"/>
  <c r="A8318" i="1"/>
  <c r="C8318" i="1"/>
  <c r="A8319" i="1"/>
  <c r="C8319" i="1"/>
  <c r="A8320" i="1"/>
  <c r="C8320" i="1"/>
  <c r="A8321" i="1"/>
  <c r="C8321" i="1"/>
  <c r="A8322" i="1"/>
  <c r="C8322" i="1"/>
  <c r="A8323" i="1"/>
  <c r="C8323" i="1"/>
  <c r="A8324" i="1"/>
  <c r="C8324" i="1"/>
  <c r="A8325" i="1"/>
  <c r="C8325" i="1"/>
  <c r="A8326" i="1"/>
  <c r="C8326" i="1"/>
  <c r="A8327" i="1"/>
  <c r="C8327" i="1"/>
  <c r="A8328" i="1"/>
  <c r="C8328" i="1"/>
  <c r="A8329" i="1"/>
  <c r="C8329" i="1"/>
  <c r="A8330" i="1"/>
  <c r="C8330" i="1"/>
  <c r="A8331" i="1"/>
  <c r="C8331" i="1"/>
  <c r="A8332" i="1"/>
  <c r="C8332" i="1"/>
  <c r="A8333" i="1"/>
  <c r="C8333" i="1"/>
  <c r="A8334" i="1"/>
  <c r="C8334" i="1"/>
  <c r="A8335" i="1"/>
  <c r="C8335" i="1"/>
  <c r="A8336" i="1"/>
  <c r="C8336" i="1"/>
  <c r="A8337" i="1"/>
  <c r="C8337" i="1"/>
  <c r="A8338" i="1"/>
  <c r="C8338" i="1"/>
  <c r="A8339" i="1"/>
  <c r="C8339" i="1"/>
  <c r="A8340" i="1"/>
  <c r="C8340" i="1"/>
  <c r="A8341" i="1"/>
  <c r="C8341" i="1"/>
  <c r="A8342" i="1"/>
  <c r="C8342" i="1"/>
  <c r="A8343" i="1"/>
  <c r="C8343" i="1"/>
  <c r="A8344" i="1"/>
  <c r="C8344" i="1"/>
  <c r="A8345" i="1"/>
  <c r="C8345" i="1"/>
  <c r="A8346" i="1"/>
  <c r="C8346" i="1"/>
  <c r="A8347" i="1"/>
  <c r="C8347" i="1"/>
  <c r="A8348" i="1"/>
  <c r="C8348" i="1"/>
  <c r="A8349" i="1"/>
  <c r="C8349" i="1"/>
  <c r="A8350" i="1"/>
  <c r="C8350" i="1"/>
  <c r="A8351" i="1"/>
  <c r="C8351" i="1"/>
  <c r="A8352" i="1"/>
  <c r="C8352" i="1"/>
  <c r="A8353" i="1"/>
  <c r="C8353" i="1"/>
  <c r="A8354" i="1"/>
  <c r="C8354" i="1"/>
  <c r="A8355" i="1"/>
  <c r="C8355" i="1"/>
  <c r="A8356" i="1"/>
  <c r="C8356" i="1"/>
  <c r="A8357" i="1"/>
  <c r="C8357" i="1"/>
  <c r="A8358" i="1"/>
  <c r="C8358" i="1"/>
  <c r="A8359" i="1"/>
  <c r="C8359" i="1"/>
  <c r="A8360" i="1"/>
  <c r="C8360" i="1"/>
  <c r="A8361" i="1"/>
  <c r="C8361" i="1"/>
  <c r="A8362" i="1"/>
  <c r="C8362" i="1"/>
  <c r="A8363" i="1"/>
  <c r="C8363" i="1"/>
  <c r="A8364" i="1"/>
  <c r="C8364" i="1"/>
  <c r="A8365" i="1"/>
  <c r="C8365" i="1"/>
  <c r="A8366" i="1"/>
  <c r="C8366" i="1"/>
  <c r="A8367" i="1"/>
  <c r="C8367" i="1"/>
  <c r="A8368" i="1"/>
  <c r="C8368" i="1"/>
  <c r="A8369" i="1"/>
  <c r="C8369" i="1"/>
  <c r="A8370" i="1"/>
  <c r="C8370" i="1"/>
  <c r="A8371" i="1"/>
  <c r="C8371" i="1"/>
  <c r="A8372" i="1"/>
  <c r="C8372" i="1"/>
  <c r="A8373" i="1"/>
  <c r="C8373" i="1"/>
  <c r="A8374" i="1"/>
  <c r="C8374" i="1"/>
  <c r="A8375" i="1"/>
  <c r="C8375" i="1"/>
  <c r="A8376" i="1"/>
  <c r="C8376" i="1"/>
  <c r="A8377" i="1"/>
  <c r="C8377" i="1"/>
  <c r="A8378" i="1"/>
  <c r="C8378" i="1"/>
  <c r="A8379" i="1"/>
  <c r="C8379" i="1"/>
  <c r="A8380" i="1"/>
  <c r="C8380" i="1"/>
  <c r="A8381" i="1"/>
  <c r="C8381" i="1"/>
  <c r="A8382" i="1"/>
  <c r="C8382" i="1"/>
  <c r="A8383" i="1"/>
  <c r="C8383" i="1"/>
  <c r="A8384" i="1"/>
  <c r="C8384" i="1"/>
  <c r="A8385" i="1"/>
  <c r="C8385" i="1"/>
  <c r="A8386" i="1"/>
  <c r="C8386" i="1"/>
  <c r="A8387" i="1"/>
  <c r="C8387" i="1"/>
  <c r="A8388" i="1"/>
  <c r="C8388" i="1"/>
  <c r="A8389" i="1"/>
  <c r="C8389" i="1"/>
  <c r="A8390" i="1"/>
  <c r="C8390" i="1"/>
  <c r="A8391" i="1"/>
  <c r="C8391" i="1"/>
  <c r="A8392" i="1"/>
  <c r="C8392" i="1"/>
  <c r="A8393" i="1"/>
  <c r="C8393" i="1"/>
  <c r="A8394" i="1"/>
  <c r="C8394" i="1"/>
  <c r="A8395" i="1"/>
  <c r="C8395" i="1"/>
  <c r="A8396" i="1"/>
  <c r="C8396" i="1"/>
  <c r="A8397" i="1"/>
  <c r="C8397" i="1"/>
  <c r="A8398" i="1"/>
  <c r="C8398" i="1"/>
  <c r="A8399" i="1"/>
  <c r="C8399" i="1"/>
  <c r="A8400" i="1"/>
  <c r="C8400" i="1"/>
  <c r="A8401" i="1"/>
  <c r="C8401" i="1"/>
  <c r="A8402" i="1"/>
  <c r="C8402" i="1"/>
  <c r="A8403" i="1"/>
  <c r="C8403" i="1"/>
  <c r="A8404" i="1"/>
  <c r="C8404" i="1"/>
  <c r="A8405" i="1"/>
  <c r="C8405" i="1"/>
  <c r="A8406" i="1"/>
  <c r="C8406" i="1"/>
  <c r="A8407" i="1"/>
  <c r="C8407" i="1"/>
  <c r="A8408" i="1"/>
  <c r="C8408" i="1"/>
  <c r="A8409" i="1"/>
  <c r="C8409" i="1"/>
  <c r="A8410" i="1"/>
  <c r="C8410" i="1"/>
  <c r="A8411" i="1"/>
  <c r="C8411" i="1"/>
  <c r="A8412" i="1"/>
  <c r="C8412" i="1"/>
  <c r="A8413" i="1"/>
  <c r="C8413" i="1"/>
  <c r="A8414" i="1"/>
  <c r="C8414" i="1"/>
  <c r="A8415" i="1"/>
  <c r="C8415" i="1"/>
  <c r="A8416" i="1"/>
  <c r="C8416" i="1"/>
  <c r="A8417" i="1"/>
  <c r="C8417" i="1"/>
  <c r="A8418" i="1"/>
  <c r="C8418" i="1"/>
  <c r="A8419" i="1"/>
  <c r="C8419" i="1"/>
  <c r="A8420" i="1"/>
  <c r="C8420" i="1"/>
  <c r="A8421" i="1"/>
  <c r="C8421" i="1"/>
  <c r="A8422" i="1"/>
  <c r="C8422" i="1"/>
  <c r="A8423" i="1"/>
  <c r="C8423" i="1"/>
  <c r="A8424" i="1"/>
  <c r="C8424" i="1"/>
  <c r="A8425" i="1"/>
  <c r="C8425" i="1"/>
  <c r="A8426" i="1"/>
  <c r="C8426" i="1"/>
  <c r="A8427" i="1"/>
  <c r="C8427" i="1"/>
  <c r="A8428" i="1"/>
  <c r="C8428" i="1"/>
  <c r="A8429" i="1"/>
  <c r="C8429" i="1"/>
  <c r="A8430" i="1"/>
  <c r="C8430" i="1"/>
  <c r="A8431" i="1"/>
  <c r="C8431" i="1"/>
  <c r="A8432" i="1"/>
  <c r="C8432" i="1"/>
  <c r="A8433" i="1"/>
  <c r="C8433" i="1"/>
  <c r="A8434" i="1"/>
  <c r="C8434" i="1"/>
  <c r="A8435" i="1"/>
  <c r="C8435" i="1"/>
  <c r="A8436" i="1"/>
  <c r="C8436" i="1"/>
  <c r="A8437" i="1"/>
  <c r="C8437" i="1"/>
  <c r="A8438" i="1"/>
  <c r="C8438" i="1"/>
  <c r="A8439" i="1"/>
  <c r="C8439" i="1"/>
  <c r="A8440" i="1"/>
  <c r="C8440" i="1"/>
  <c r="A8441" i="1"/>
  <c r="C8441" i="1"/>
  <c r="A8442" i="1"/>
  <c r="C8442" i="1"/>
  <c r="A8443" i="1"/>
  <c r="C8443" i="1"/>
  <c r="A8444" i="1"/>
  <c r="C8444" i="1"/>
  <c r="A8445" i="1"/>
  <c r="C8445" i="1"/>
  <c r="A8446" i="1"/>
  <c r="C8446" i="1"/>
  <c r="A8447" i="1"/>
  <c r="C8447" i="1"/>
  <c r="A8448" i="1"/>
  <c r="C8448" i="1"/>
  <c r="A8449" i="1"/>
  <c r="C8449" i="1"/>
  <c r="A8450" i="1"/>
  <c r="C8450" i="1"/>
  <c r="A8451" i="1"/>
  <c r="C8451" i="1"/>
  <c r="A8452" i="1"/>
  <c r="C8452" i="1"/>
  <c r="A8453" i="1"/>
  <c r="C8453" i="1"/>
  <c r="A8454" i="1"/>
  <c r="C8454" i="1"/>
  <c r="A8455" i="1"/>
  <c r="C8455" i="1"/>
  <c r="A8456" i="1"/>
  <c r="C8456" i="1"/>
  <c r="A8457" i="1"/>
  <c r="C8457" i="1"/>
  <c r="A8458" i="1"/>
  <c r="C8458" i="1"/>
  <c r="A8459" i="1"/>
  <c r="C8459" i="1"/>
  <c r="A8460" i="1"/>
  <c r="C8460" i="1"/>
  <c r="A8461" i="1"/>
  <c r="C8461" i="1"/>
  <c r="A8462" i="1"/>
  <c r="C8462" i="1"/>
  <c r="A8463" i="1"/>
  <c r="C8463" i="1"/>
  <c r="A8464" i="1"/>
  <c r="C8464" i="1"/>
  <c r="A8465" i="1"/>
  <c r="C8465" i="1"/>
  <c r="A8466" i="1"/>
  <c r="C8466" i="1"/>
  <c r="A8467" i="1"/>
  <c r="C8467" i="1"/>
  <c r="A8468" i="1"/>
  <c r="C8468" i="1"/>
  <c r="A8469" i="1"/>
  <c r="C8469" i="1"/>
  <c r="A8470" i="1"/>
  <c r="C8470" i="1"/>
  <c r="A8471" i="1"/>
  <c r="C8471" i="1"/>
  <c r="A8472" i="1"/>
  <c r="C8472" i="1"/>
  <c r="A8473" i="1"/>
  <c r="C8473" i="1"/>
  <c r="A8474" i="1"/>
  <c r="C8474" i="1"/>
  <c r="A8475" i="1"/>
  <c r="C8475" i="1"/>
  <c r="A8476" i="1"/>
  <c r="C8476" i="1"/>
  <c r="A8477" i="1"/>
  <c r="C8477" i="1"/>
  <c r="A8478" i="1"/>
  <c r="C8478" i="1"/>
  <c r="A8479" i="1"/>
  <c r="C8479" i="1"/>
  <c r="A8480" i="1"/>
  <c r="C8480" i="1"/>
  <c r="A8481" i="1"/>
  <c r="C8481" i="1"/>
  <c r="A8482" i="1"/>
  <c r="C8482" i="1"/>
  <c r="A8483" i="1"/>
  <c r="C8483" i="1"/>
  <c r="A8484" i="1"/>
  <c r="C8484" i="1"/>
  <c r="A8485" i="1"/>
  <c r="C8485" i="1"/>
  <c r="A8486" i="1"/>
  <c r="C8486" i="1"/>
  <c r="A8487" i="1"/>
  <c r="C8487" i="1"/>
  <c r="A8488" i="1"/>
  <c r="C8488" i="1"/>
  <c r="A8489" i="1"/>
  <c r="C8489" i="1"/>
  <c r="A8490" i="1"/>
  <c r="C8490" i="1"/>
  <c r="A8491" i="1"/>
  <c r="C8491" i="1"/>
  <c r="A8492" i="1"/>
  <c r="C8492" i="1"/>
  <c r="A8493" i="1"/>
  <c r="C8493" i="1"/>
  <c r="A8494" i="1"/>
  <c r="C8494" i="1"/>
  <c r="A8495" i="1"/>
  <c r="C8495" i="1"/>
  <c r="A8496" i="1"/>
  <c r="C8496" i="1"/>
  <c r="A8497" i="1"/>
  <c r="C8497" i="1"/>
  <c r="A8498" i="1"/>
  <c r="C8498" i="1"/>
  <c r="A8499" i="1"/>
  <c r="C8499" i="1"/>
  <c r="A8500" i="1"/>
  <c r="C8500" i="1"/>
  <c r="A8501" i="1"/>
  <c r="C8501" i="1"/>
  <c r="A8502" i="1"/>
  <c r="C8502" i="1"/>
  <c r="A8503" i="1"/>
  <c r="C8503" i="1"/>
  <c r="A8504" i="1"/>
  <c r="C8504" i="1"/>
  <c r="A8505" i="1"/>
  <c r="C8505" i="1"/>
  <c r="A8506" i="1"/>
  <c r="C8506" i="1"/>
  <c r="A8507" i="1"/>
  <c r="C8507" i="1"/>
  <c r="A8508" i="1"/>
  <c r="C8508" i="1"/>
  <c r="A8509" i="1"/>
  <c r="C8509" i="1"/>
  <c r="A8510" i="1"/>
  <c r="C8510" i="1"/>
  <c r="A8511" i="1"/>
  <c r="C8511" i="1"/>
  <c r="A8512" i="1"/>
  <c r="C8512" i="1"/>
  <c r="A8513" i="1"/>
  <c r="C8513" i="1"/>
  <c r="A8514" i="1"/>
  <c r="C8514" i="1"/>
  <c r="A8515" i="1"/>
  <c r="C8515" i="1"/>
  <c r="A8516" i="1"/>
  <c r="C8516" i="1"/>
  <c r="A8517" i="1"/>
  <c r="C8517" i="1"/>
  <c r="A8518" i="1"/>
  <c r="C8518" i="1"/>
  <c r="A8519" i="1"/>
  <c r="C8519" i="1"/>
  <c r="A8520" i="1"/>
  <c r="C8520" i="1"/>
  <c r="A8521" i="1"/>
  <c r="C8521" i="1"/>
  <c r="A8522" i="1"/>
  <c r="C8522" i="1"/>
  <c r="A8523" i="1"/>
  <c r="C8523" i="1"/>
  <c r="A8524" i="1"/>
  <c r="C8524" i="1"/>
  <c r="A8525" i="1"/>
  <c r="C8525" i="1"/>
  <c r="A8526" i="1"/>
  <c r="C8526" i="1"/>
  <c r="A8527" i="1"/>
  <c r="C8527" i="1"/>
  <c r="A8528" i="1"/>
  <c r="C8528" i="1"/>
  <c r="A8529" i="1"/>
  <c r="C8529" i="1"/>
  <c r="A8530" i="1"/>
  <c r="C8530" i="1"/>
  <c r="A8531" i="1"/>
  <c r="C8531" i="1"/>
  <c r="A8532" i="1"/>
  <c r="C8532" i="1"/>
  <c r="A8533" i="1"/>
  <c r="C8533" i="1"/>
  <c r="A8534" i="1"/>
  <c r="C8534" i="1"/>
  <c r="A8535" i="1"/>
  <c r="C8535" i="1"/>
  <c r="A8536" i="1"/>
  <c r="C8536" i="1"/>
  <c r="A8537" i="1"/>
  <c r="C8537" i="1"/>
  <c r="A8538" i="1"/>
  <c r="C8538" i="1"/>
  <c r="A8539" i="1"/>
  <c r="C8539" i="1"/>
  <c r="A8540" i="1"/>
  <c r="C8540" i="1"/>
  <c r="A8541" i="1"/>
  <c r="C8541" i="1"/>
  <c r="A8542" i="1"/>
  <c r="C8542" i="1"/>
  <c r="A8543" i="1"/>
  <c r="C8543" i="1"/>
  <c r="A8544" i="1"/>
  <c r="C8544" i="1"/>
  <c r="A8545" i="1"/>
  <c r="C8545" i="1"/>
  <c r="A8546" i="1"/>
  <c r="C8546" i="1"/>
  <c r="A8547" i="1"/>
  <c r="C8547" i="1"/>
  <c r="A8548" i="1"/>
  <c r="C8548" i="1"/>
  <c r="A8549" i="1"/>
  <c r="C8549" i="1"/>
  <c r="A8550" i="1"/>
  <c r="C8550" i="1"/>
  <c r="A8551" i="1"/>
  <c r="C8551" i="1"/>
  <c r="A8552" i="1"/>
  <c r="C8552" i="1"/>
  <c r="A8553" i="1"/>
  <c r="C8553" i="1"/>
  <c r="A8554" i="1"/>
  <c r="C8554" i="1"/>
  <c r="A8555" i="1"/>
  <c r="C8555" i="1"/>
  <c r="A8556" i="1"/>
  <c r="C8556" i="1"/>
  <c r="A8557" i="1"/>
  <c r="C8557" i="1"/>
  <c r="A8558" i="1"/>
  <c r="C8558" i="1"/>
  <c r="A8559" i="1"/>
  <c r="C8559" i="1"/>
  <c r="A8560" i="1"/>
  <c r="C8560" i="1"/>
  <c r="A8561" i="1"/>
  <c r="C8561" i="1"/>
  <c r="A8562" i="1"/>
  <c r="C8562" i="1"/>
  <c r="A8563" i="1"/>
  <c r="C8563" i="1"/>
  <c r="A8564" i="1"/>
  <c r="C8564" i="1"/>
  <c r="A8565" i="1"/>
  <c r="C8565" i="1"/>
  <c r="A8566" i="1"/>
  <c r="C8566" i="1"/>
  <c r="A8567" i="1"/>
  <c r="C8567" i="1"/>
  <c r="A8568" i="1"/>
  <c r="C8568" i="1"/>
  <c r="A8569" i="1"/>
  <c r="C8569" i="1"/>
  <c r="A8570" i="1"/>
  <c r="C8570" i="1"/>
  <c r="A8571" i="1"/>
  <c r="C8571" i="1"/>
  <c r="A8572" i="1"/>
  <c r="C8572" i="1"/>
  <c r="A8573" i="1"/>
  <c r="C8573" i="1"/>
  <c r="A8574" i="1"/>
  <c r="C8574" i="1"/>
  <c r="A8575" i="1"/>
  <c r="C8575" i="1"/>
  <c r="A8576" i="1"/>
  <c r="C8576" i="1"/>
  <c r="A8577" i="1"/>
  <c r="C8577" i="1"/>
  <c r="A8578" i="1"/>
  <c r="C8578" i="1"/>
  <c r="A8579" i="1"/>
  <c r="C8579" i="1"/>
  <c r="A8580" i="1"/>
  <c r="C8580" i="1"/>
  <c r="A8581" i="1"/>
  <c r="C8581" i="1"/>
  <c r="A8582" i="1"/>
  <c r="C8582" i="1"/>
  <c r="A8583" i="1"/>
  <c r="C8583" i="1"/>
  <c r="A8584" i="1"/>
  <c r="C8584" i="1"/>
  <c r="A8585" i="1"/>
  <c r="C8585" i="1"/>
  <c r="A8586" i="1"/>
  <c r="C8586" i="1"/>
  <c r="A8587" i="1"/>
  <c r="C8587" i="1"/>
  <c r="A8588" i="1"/>
  <c r="C8588" i="1"/>
  <c r="A8589" i="1"/>
  <c r="C8589" i="1"/>
  <c r="A8590" i="1"/>
  <c r="C8590" i="1"/>
  <c r="A8591" i="1"/>
  <c r="C8591" i="1"/>
  <c r="A8592" i="1"/>
  <c r="C8592" i="1"/>
  <c r="A8593" i="1"/>
  <c r="C8593" i="1"/>
  <c r="A8594" i="1"/>
  <c r="C8594" i="1"/>
  <c r="A8595" i="1"/>
  <c r="C8595" i="1"/>
  <c r="A8596" i="1"/>
  <c r="C8596" i="1"/>
  <c r="A8597" i="1"/>
  <c r="C8597" i="1"/>
  <c r="A8598" i="1"/>
  <c r="C8598" i="1"/>
  <c r="A8599" i="1"/>
  <c r="C8599" i="1"/>
  <c r="A8600" i="1"/>
  <c r="C8600" i="1"/>
  <c r="A8601" i="1"/>
  <c r="C8601" i="1"/>
  <c r="A8602" i="1"/>
  <c r="C8602" i="1"/>
  <c r="A8603" i="1"/>
  <c r="C8603" i="1"/>
  <c r="A8604" i="1"/>
  <c r="C8604" i="1"/>
  <c r="A8605" i="1"/>
  <c r="C8605" i="1"/>
  <c r="A8606" i="1"/>
  <c r="C8606" i="1"/>
  <c r="A8607" i="1"/>
  <c r="C8607" i="1"/>
  <c r="A8608" i="1"/>
  <c r="C8608" i="1"/>
  <c r="A8609" i="1"/>
  <c r="C8609" i="1"/>
  <c r="A8610" i="1"/>
  <c r="C8610" i="1"/>
  <c r="A8611" i="1"/>
  <c r="C8611" i="1"/>
  <c r="A8612" i="1"/>
  <c r="C8612" i="1"/>
  <c r="A8613" i="1"/>
  <c r="C8613" i="1"/>
  <c r="A8614" i="1"/>
  <c r="C8614" i="1"/>
  <c r="A8615" i="1"/>
  <c r="C8615" i="1"/>
  <c r="A8616" i="1"/>
  <c r="C8616" i="1"/>
  <c r="A8617" i="1"/>
  <c r="C8617" i="1"/>
  <c r="A8618" i="1"/>
  <c r="C8618" i="1"/>
  <c r="A8619" i="1"/>
  <c r="C8619" i="1"/>
  <c r="A8620" i="1"/>
  <c r="C8620" i="1"/>
  <c r="A8621" i="1"/>
  <c r="C8621" i="1"/>
  <c r="A8622" i="1"/>
  <c r="C8622" i="1"/>
  <c r="A8623" i="1"/>
  <c r="C8623" i="1"/>
  <c r="A8624" i="1"/>
  <c r="C8624" i="1"/>
  <c r="A8625" i="1"/>
  <c r="C8625" i="1"/>
  <c r="A8626" i="1"/>
  <c r="C8626" i="1"/>
  <c r="A8627" i="1"/>
  <c r="C8627" i="1"/>
  <c r="A8628" i="1"/>
  <c r="C8628" i="1"/>
  <c r="A8629" i="1"/>
  <c r="C8629" i="1"/>
  <c r="A8630" i="1"/>
  <c r="C8630" i="1"/>
  <c r="A8631" i="1"/>
  <c r="C8631" i="1"/>
  <c r="A8632" i="1"/>
  <c r="C8632" i="1"/>
  <c r="A8633" i="1"/>
  <c r="C8633" i="1"/>
  <c r="A8634" i="1"/>
  <c r="C8634" i="1"/>
  <c r="A8635" i="1"/>
  <c r="C8635" i="1"/>
  <c r="A8636" i="1"/>
  <c r="C8636" i="1"/>
  <c r="A8637" i="1"/>
  <c r="C8637" i="1"/>
  <c r="A8638" i="1"/>
  <c r="C8638" i="1"/>
  <c r="A8639" i="1"/>
  <c r="C8639" i="1"/>
  <c r="A8640" i="1"/>
  <c r="C8640" i="1"/>
  <c r="A8641" i="1"/>
  <c r="C8641" i="1"/>
  <c r="A8642" i="1"/>
  <c r="C8642" i="1"/>
  <c r="A8643" i="1"/>
  <c r="C8643" i="1"/>
  <c r="A8644" i="1"/>
  <c r="C8644" i="1"/>
  <c r="A8645" i="1"/>
  <c r="C8645" i="1"/>
  <c r="A8646" i="1"/>
  <c r="C8646" i="1"/>
  <c r="A8647" i="1"/>
  <c r="C8647" i="1"/>
  <c r="A8648" i="1"/>
  <c r="C8648" i="1"/>
  <c r="A8649" i="1"/>
  <c r="C8649" i="1"/>
  <c r="A8650" i="1"/>
  <c r="C8650" i="1"/>
  <c r="A8651" i="1"/>
  <c r="C8651" i="1"/>
  <c r="A8652" i="1"/>
  <c r="C8652" i="1"/>
  <c r="A8653" i="1"/>
  <c r="C8653" i="1"/>
  <c r="A8654" i="1"/>
  <c r="C8654" i="1"/>
  <c r="A8655" i="1"/>
  <c r="C8655" i="1"/>
  <c r="A8656" i="1"/>
  <c r="C8656" i="1"/>
  <c r="A8657" i="1"/>
  <c r="C8657" i="1"/>
  <c r="A8658" i="1"/>
  <c r="C8658" i="1"/>
  <c r="A8659" i="1"/>
  <c r="C8659" i="1"/>
  <c r="A8660" i="1"/>
  <c r="C8660" i="1"/>
  <c r="A8661" i="1"/>
  <c r="C8661" i="1"/>
  <c r="A8662" i="1"/>
  <c r="C8662" i="1"/>
  <c r="A8663" i="1"/>
  <c r="C8663" i="1"/>
  <c r="A8664" i="1"/>
  <c r="C8664" i="1"/>
  <c r="A8665" i="1"/>
  <c r="C8665" i="1"/>
  <c r="A8666" i="1"/>
  <c r="C8666" i="1"/>
  <c r="A8667" i="1"/>
  <c r="C8667" i="1"/>
  <c r="A8668" i="1"/>
  <c r="C8668" i="1"/>
  <c r="A8669" i="1"/>
  <c r="C8669" i="1"/>
  <c r="A8670" i="1"/>
  <c r="C8670" i="1"/>
  <c r="A8671" i="1"/>
  <c r="C8671" i="1"/>
  <c r="A8672" i="1"/>
  <c r="C8672" i="1"/>
  <c r="A8673" i="1"/>
  <c r="C8673" i="1"/>
  <c r="A8674" i="1"/>
  <c r="C8674" i="1"/>
  <c r="A8675" i="1"/>
  <c r="C8675" i="1"/>
  <c r="A8676" i="1"/>
  <c r="C8676" i="1"/>
  <c r="A8677" i="1"/>
  <c r="C8677" i="1"/>
  <c r="A8678" i="1"/>
  <c r="C8678" i="1"/>
  <c r="A8679" i="1"/>
  <c r="C8679" i="1"/>
  <c r="A8680" i="1"/>
  <c r="C8680" i="1"/>
  <c r="A8681" i="1"/>
  <c r="C8681" i="1"/>
  <c r="A8682" i="1"/>
  <c r="C8682" i="1"/>
  <c r="A8683" i="1"/>
  <c r="C8683" i="1"/>
  <c r="A8684" i="1"/>
  <c r="C8684" i="1"/>
  <c r="A8685" i="1"/>
  <c r="C8685" i="1"/>
  <c r="A8686" i="1"/>
  <c r="C8686" i="1"/>
  <c r="A8687" i="1"/>
  <c r="C8687" i="1"/>
  <c r="A8688" i="1"/>
  <c r="C8688" i="1"/>
  <c r="A8689" i="1"/>
  <c r="C8689" i="1"/>
  <c r="A8690" i="1"/>
  <c r="C8690" i="1"/>
  <c r="A8691" i="1"/>
  <c r="C8691" i="1"/>
  <c r="A8692" i="1"/>
  <c r="C8692" i="1"/>
  <c r="A8693" i="1"/>
  <c r="C8693" i="1"/>
  <c r="A8694" i="1"/>
  <c r="C8694" i="1"/>
  <c r="A8695" i="1"/>
  <c r="C8695" i="1"/>
  <c r="A8696" i="1"/>
  <c r="C8696" i="1"/>
  <c r="A8697" i="1"/>
  <c r="C8697" i="1"/>
  <c r="A8698" i="1"/>
  <c r="C8698" i="1"/>
  <c r="A8699" i="1"/>
  <c r="C8699" i="1"/>
  <c r="A8700" i="1"/>
  <c r="C8700" i="1"/>
  <c r="A8701" i="1"/>
  <c r="C8701" i="1"/>
  <c r="A8702" i="1"/>
  <c r="C8702" i="1"/>
  <c r="A8703" i="1"/>
  <c r="C8703" i="1"/>
  <c r="A8704" i="1"/>
  <c r="C8704" i="1"/>
  <c r="A8705" i="1"/>
  <c r="C8705" i="1"/>
  <c r="A8706" i="1"/>
  <c r="C8706" i="1"/>
  <c r="A8707" i="1"/>
  <c r="C8707" i="1"/>
  <c r="A8708" i="1"/>
  <c r="C8708" i="1"/>
  <c r="A8709" i="1"/>
  <c r="C8709" i="1"/>
  <c r="A8710" i="1"/>
  <c r="C8710" i="1"/>
  <c r="A8711" i="1"/>
  <c r="C8711" i="1"/>
  <c r="A8712" i="1"/>
  <c r="C8712" i="1"/>
  <c r="A8713" i="1"/>
  <c r="C8713" i="1"/>
  <c r="A8714" i="1"/>
  <c r="C8714" i="1"/>
  <c r="A8715" i="1"/>
  <c r="C8715" i="1"/>
  <c r="A8716" i="1"/>
  <c r="C8716" i="1"/>
  <c r="A8717" i="1"/>
  <c r="C8717" i="1"/>
  <c r="A8718" i="1"/>
  <c r="C8718" i="1"/>
  <c r="A8719" i="1"/>
  <c r="C8719" i="1"/>
  <c r="A8720" i="1"/>
  <c r="C8720" i="1"/>
  <c r="A8721" i="1"/>
  <c r="C8721" i="1"/>
  <c r="A8722" i="1"/>
  <c r="C8722" i="1"/>
  <c r="A8723" i="1"/>
  <c r="C8723" i="1"/>
  <c r="A8724" i="1"/>
  <c r="C8724" i="1"/>
  <c r="A8725" i="1"/>
  <c r="C8725" i="1"/>
  <c r="A8726" i="1"/>
  <c r="C8726" i="1"/>
  <c r="A8727" i="1"/>
  <c r="C8727" i="1"/>
  <c r="A8728" i="1"/>
  <c r="C8728" i="1"/>
  <c r="A8729" i="1"/>
  <c r="C8729" i="1"/>
  <c r="A8730" i="1"/>
  <c r="C8730" i="1"/>
  <c r="A8731" i="1"/>
  <c r="C8731" i="1"/>
  <c r="A8732" i="1"/>
  <c r="C8732" i="1"/>
  <c r="A8733" i="1"/>
  <c r="C8733" i="1"/>
  <c r="A8734" i="1"/>
  <c r="C8734" i="1"/>
  <c r="A8735" i="1"/>
  <c r="C8735" i="1"/>
  <c r="A8736" i="1"/>
  <c r="C8736" i="1"/>
  <c r="A8737" i="1"/>
  <c r="C8737" i="1"/>
  <c r="A8738" i="1"/>
  <c r="C8738" i="1"/>
  <c r="A8739" i="1"/>
  <c r="C8739" i="1"/>
  <c r="A8740" i="1"/>
  <c r="C8740" i="1"/>
  <c r="A8741" i="1"/>
  <c r="C8741" i="1"/>
  <c r="A8742" i="1"/>
  <c r="C8742" i="1"/>
  <c r="A8743" i="1"/>
  <c r="C8743" i="1"/>
  <c r="A8744" i="1"/>
  <c r="C8744" i="1"/>
  <c r="A8745" i="1"/>
  <c r="C8745" i="1"/>
  <c r="A8746" i="1"/>
  <c r="C8746" i="1"/>
  <c r="A8747" i="1"/>
  <c r="C8747" i="1"/>
  <c r="A8748" i="1"/>
  <c r="C8748" i="1"/>
  <c r="A8749" i="1"/>
  <c r="C8749" i="1"/>
  <c r="A8750" i="1"/>
  <c r="C8750" i="1"/>
  <c r="A8751" i="1"/>
  <c r="C8751" i="1"/>
  <c r="A8752" i="1"/>
  <c r="C8752" i="1"/>
  <c r="A8753" i="1"/>
  <c r="C8753" i="1"/>
  <c r="A8754" i="1"/>
  <c r="C8754" i="1"/>
  <c r="A8755" i="1"/>
  <c r="C8755" i="1"/>
  <c r="A8756" i="1"/>
  <c r="C8756" i="1"/>
  <c r="A8757" i="1"/>
  <c r="C8757" i="1"/>
  <c r="A8758" i="1"/>
  <c r="C8758" i="1"/>
  <c r="A8759" i="1"/>
  <c r="C8759" i="1"/>
  <c r="A8760" i="1"/>
  <c r="C8760" i="1"/>
  <c r="A8761" i="1"/>
  <c r="C8761" i="1"/>
  <c r="A8762" i="1"/>
  <c r="C8762" i="1"/>
  <c r="A8763" i="1"/>
  <c r="C8763" i="1"/>
  <c r="A8764" i="1"/>
  <c r="C8764" i="1"/>
  <c r="A8765" i="1"/>
  <c r="C8765" i="1"/>
  <c r="A8766" i="1"/>
  <c r="C8766" i="1"/>
  <c r="A8767" i="1"/>
  <c r="C8767" i="1"/>
  <c r="A8768" i="1"/>
  <c r="C8768" i="1"/>
  <c r="A8769" i="1"/>
  <c r="C8769" i="1"/>
  <c r="A8770" i="1"/>
  <c r="C8770" i="1"/>
  <c r="A8771" i="1"/>
  <c r="C8771" i="1"/>
  <c r="A8772" i="1"/>
  <c r="C8772" i="1"/>
  <c r="A8773" i="1"/>
  <c r="C8773" i="1"/>
  <c r="A8774" i="1"/>
  <c r="C8774" i="1"/>
  <c r="A8775" i="1"/>
  <c r="C8775" i="1"/>
  <c r="A8776" i="1"/>
  <c r="C8776" i="1"/>
  <c r="A8777" i="1"/>
  <c r="C8777" i="1"/>
  <c r="A8778" i="1"/>
  <c r="C8778" i="1"/>
  <c r="A8779" i="1"/>
  <c r="C8779" i="1"/>
  <c r="A8780" i="1"/>
  <c r="C8780" i="1"/>
  <c r="A8781" i="1"/>
  <c r="C8781" i="1"/>
  <c r="A8782" i="1"/>
  <c r="C8782" i="1"/>
  <c r="A8783" i="1"/>
  <c r="C8783" i="1"/>
  <c r="A8784" i="1"/>
  <c r="C8784" i="1"/>
  <c r="A8785" i="1"/>
  <c r="C8785" i="1"/>
  <c r="A8786" i="1"/>
  <c r="C8786" i="1"/>
  <c r="A8787" i="1"/>
  <c r="C8787" i="1"/>
  <c r="A8788" i="1"/>
  <c r="C8788" i="1"/>
  <c r="A8789" i="1"/>
  <c r="C8789" i="1"/>
  <c r="A8790" i="1"/>
  <c r="C8790" i="1"/>
  <c r="A8791" i="1"/>
  <c r="C8791" i="1"/>
  <c r="A8792" i="1"/>
  <c r="C8792" i="1"/>
  <c r="A8793" i="1"/>
  <c r="C8793" i="1"/>
  <c r="A8794" i="1"/>
  <c r="C8794" i="1"/>
  <c r="A8795" i="1"/>
  <c r="C8795" i="1"/>
  <c r="A8796" i="1"/>
  <c r="C8796" i="1"/>
  <c r="A8797" i="1"/>
  <c r="C8797" i="1"/>
  <c r="A8798" i="1"/>
  <c r="C8798" i="1"/>
  <c r="A8799" i="1"/>
  <c r="C8799" i="1"/>
  <c r="A8800" i="1"/>
  <c r="C8800" i="1"/>
  <c r="A8801" i="1"/>
  <c r="C8801" i="1"/>
  <c r="A8802" i="1"/>
  <c r="C8802" i="1"/>
  <c r="A8803" i="1"/>
  <c r="C8803" i="1"/>
  <c r="A8804" i="1"/>
  <c r="C8804" i="1"/>
  <c r="A8805" i="1"/>
  <c r="C8805" i="1"/>
  <c r="A8806" i="1"/>
  <c r="C8806" i="1"/>
  <c r="A8807" i="1"/>
  <c r="C8807" i="1"/>
  <c r="A8808" i="1"/>
  <c r="C8808" i="1"/>
  <c r="A8809" i="1"/>
  <c r="C8809" i="1"/>
  <c r="A8810" i="1"/>
  <c r="C8810" i="1"/>
  <c r="A8811" i="1"/>
  <c r="C8811" i="1"/>
  <c r="A8812" i="1"/>
  <c r="C8812" i="1"/>
  <c r="A8813" i="1"/>
  <c r="C8813" i="1"/>
  <c r="A8814" i="1"/>
  <c r="C8814" i="1"/>
  <c r="A8815" i="1"/>
  <c r="C8815" i="1"/>
  <c r="A8816" i="1"/>
  <c r="C8816" i="1"/>
  <c r="A8817" i="1"/>
  <c r="C8817" i="1"/>
  <c r="A8818" i="1"/>
  <c r="C8818" i="1"/>
  <c r="A8819" i="1"/>
  <c r="C8819" i="1"/>
  <c r="A8820" i="1"/>
  <c r="C8820" i="1"/>
  <c r="A8821" i="1"/>
  <c r="C8821" i="1"/>
  <c r="A8822" i="1"/>
  <c r="C8822" i="1"/>
  <c r="A8823" i="1"/>
  <c r="C8823" i="1"/>
  <c r="A8824" i="1"/>
  <c r="C8824" i="1"/>
  <c r="A8825" i="1"/>
  <c r="C8825" i="1"/>
  <c r="A8826" i="1"/>
  <c r="C8826" i="1"/>
  <c r="A8827" i="1"/>
  <c r="C8827" i="1"/>
  <c r="A8828" i="1"/>
  <c r="C8828" i="1"/>
  <c r="A8829" i="1"/>
  <c r="C8829" i="1"/>
  <c r="A8830" i="1"/>
  <c r="C8830" i="1"/>
  <c r="A8831" i="1"/>
  <c r="C8831" i="1"/>
  <c r="A8832" i="1"/>
  <c r="C8832" i="1"/>
  <c r="A8833" i="1"/>
  <c r="C8833" i="1"/>
  <c r="A8834" i="1"/>
  <c r="C8834" i="1"/>
  <c r="A8835" i="1"/>
  <c r="C8835" i="1"/>
  <c r="A8836" i="1"/>
  <c r="C8836" i="1"/>
  <c r="A8837" i="1"/>
  <c r="C8837" i="1"/>
  <c r="A8838" i="1"/>
  <c r="C8838" i="1"/>
  <c r="A8839" i="1"/>
  <c r="C8839" i="1"/>
  <c r="A8840" i="1"/>
  <c r="C8840" i="1"/>
  <c r="A8841" i="1"/>
  <c r="C8841" i="1"/>
  <c r="A8842" i="1"/>
  <c r="C8842" i="1"/>
  <c r="A8843" i="1"/>
  <c r="C8843" i="1"/>
  <c r="A8844" i="1"/>
  <c r="C8844" i="1"/>
  <c r="A8845" i="1"/>
  <c r="C8845" i="1"/>
  <c r="A8846" i="1"/>
  <c r="C8846" i="1"/>
  <c r="A8847" i="1"/>
  <c r="C8847" i="1"/>
  <c r="A8848" i="1"/>
  <c r="C8848" i="1"/>
  <c r="A8849" i="1"/>
  <c r="C8849" i="1"/>
  <c r="A8850" i="1"/>
  <c r="C8850" i="1"/>
  <c r="A8851" i="1"/>
  <c r="C8851" i="1"/>
  <c r="A8852" i="1"/>
  <c r="C8852" i="1"/>
  <c r="A8853" i="1"/>
  <c r="C8853" i="1"/>
  <c r="A8854" i="1"/>
  <c r="C8854" i="1"/>
  <c r="A8855" i="1"/>
  <c r="C8855" i="1"/>
  <c r="A8856" i="1"/>
  <c r="C8856" i="1"/>
  <c r="A8857" i="1"/>
  <c r="C8857" i="1"/>
  <c r="A8858" i="1"/>
  <c r="C8858" i="1"/>
  <c r="A8859" i="1"/>
  <c r="C8859" i="1"/>
  <c r="A8860" i="1"/>
  <c r="C8860" i="1"/>
  <c r="A8861" i="1"/>
  <c r="C8861" i="1"/>
  <c r="A8862" i="1"/>
  <c r="C8862" i="1"/>
  <c r="A8863" i="1"/>
  <c r="C8863" i="1"/>
  <c r="A8864" i="1"/>
  <c r="C8864" i="1"/>
  <c r="A8865" i="1"/>
  <c r="C8865" i="1"/>
  <c r="A8866" i="1"/>
  <c r="C8866" i="1"/>
  <c r="A8867" i="1"/>
  <c r="C8867" i="1"/>
  <c r="A8868" i="1"/>
  <c r="C8868" i="1"/>
  <c r="A8869" i="1"/>
  <c r="C8869" i="1"/>
  <c r="A8870" i="1"/>
  <c r="C8870" i="1"/>
  <c r="A8871" i="1"/>
  <c r="C8871" i="1"/>
  <c r="A8872" i="1"/>
  <c r="C8872" i="1"/>
  <c r="A8873" i="1"/>
  <c r="C8873" i="1"/>
  <c r="A8874" i="1"/>
  <c r="C8874" i="1"/>
  <c r="A8875" i="1"/>
  <c r="C8875" i="1"/>
  <c r="A8876" i="1"/>
  <c r="C8876" i="1"/>
  <c r="A8877" i="1"/>
  <c r="C8877" i="1"/>
  <c r="A8878" i="1"/>
  <c r="C8878" i="1"/>
  <c r="A8879" i="1"/>
  <c r="C8879" i="1"/>
  <c r="A8880" i="1"/>
  <c r="C8880" i="1"/>
  <c r="A8881" i="1"/>
  <c r="C8881" i="1"/>
  <c r="A8882" i="1"/>
  <c r="C8882" i="1"/>
  <c r="A8883" i="1"/>
  <c r="C8883" i="1"/>
  <c r="A8884" i="1"/>
  <c r="C8884" i="1"/>
  <c r="A8885" i="1"/>
  <c r="C8885" i="1"/>
  <c r="A8886" i="1"/>
  <c r="C8886" i="1"/>
  <c r="A8887" i="1"/>
  <c r="C8887" i="1"/>
  <c r="A8888" i="1"/>
  <c r="C8888" i="1"/>
  <c r="A8889" i="1"/>
  <c r="C8889" i="1"/>
  <c r="A8890" i="1"/>
  <c r="C8890" i="1"/>
  <c r="A8891" i="1"/>
  <c r="C8891" i="1"/>
  <c r="A8892" i="1"/>
  <c r="C8892" i="1"/>
  <c r="A8893" i="1"/>
  <c r="C8893" i="1"/>
  <c r="A8894" i="1"/>
  <c r="C8894" i="1"/>
  <c r="A8895" i="1"/>
  <c r="C8895" i="1"/>
  <c r="A8896" i="1"/>
  <c r="C8896" i="1"/>
  <c r="A8897" i="1"/>
  <c r="C8897" i="1"/>
  <c r="A8898" i="1"/>
  <c r="C8898" i="1"/>
  <c r="A8899" i="1"/>
  <c r="C8899" i="1"/>
  <c r="A8900" i="1"/>
  <c r="C8900" i="1"/>
  <c r="A8901" i="1"/>
  <c r="C8901" i="1"/>
  <c r="A8902" i="1"/>
  <c r="C8902" i="1"/>
  <c r="A8903" i="1"/>
  <c r="C8903" i="1"/>
  <c r="A8904" i="1"/>
  <c r="C8904" i="1"/>
  <c r="A8905" i="1"/>
  <c r="C8905" i="1"/>
  <c r="A8906" i="1"/>
  <c r="C8906" i="1"/>
  <c r="A8907" i="1"/>
  <c r="C8907" i="1"/>
  <c r="A8908" i="1"/>
  <c r="C8908" i="1"/>
  <c r="A8909" i="1"/>
  <c r="C8909" i="1"/>
  <c r="A8910" i="1"/>
  <c r="C8910" i="1"/>
  <c r="A8911" i="1"/>
  <c r="C8911" i="1"/>
  <c r="A8912" i="1"/>
  <c r="C8912" i="1"/>
  <c r="A8913" i="1"/>
  <c r="C8913" i="1"/>
  <c r="A8914" i="1"/>
  <c r="C8914" i="1"/>
  <c r="A8915" i="1"/>
  <c r="C8915" i="1"/>
  <c r="A8916" i="1"/>
  <c r="C8916" i="1"/>
  <c r="A8917" i="1"/>
  <c r="C8917" i="1"/>
  <c r="A8918" i="1"/>
  <c r="C8918" i="1"/>
  <c r="A8919" i="1"/>
  <c r="C8919" i="1"/>
  <c r="A8920" i="1"/>
  <c r="C8920" i="1"/>
  <c r="A8921" i="1"/>
  <c r="C8921" i="1"/>
  <c r="A8922" i="1"/>
  <c r="C8922" i="1"/>
  <c r="A8923" i="1"/>
  <c r="C8923" i="1"/>
  <c r="A8924" i="1"/>
  <c r="C8924" i="1"/>
  <c r="A8925" i="1"/>
  <c r="C8925" i="1"/>
  <c r="A8926" i="1"/>
  <c r="C8926" i="1"/>
  <c r="A8927" i="1"/>
  <c r="C8927" i="1"/>
  <c r="A8928" i="1"/>
  <c r="C8928" i="1"/>
  <c r="A8929" i="1"/>
  <c r="C8929" i="1"/>
  <c r="A8930" i="1"/>
  <c r="C8930" i="1"/>
  <c r="A8931" i="1"/>
  <c r="C8931" i="1"/>
  <c r="A8932" i="1"/>
  <c r="C8932" i="1"/>
  <c r="A8933" i="1"/>
  <c r="C8933" i="1"/>
  <c r="A8934" i="1"/>
  <c r="C8934" i="1"/>
  <c r="A8935" i="1"/>
  <c r="C8935" i="1"/>
  <c r="A8936" i="1"/>
  <c r="C8936" i="1"/>
  <c r="A8937" i="1"/>
  <c r="C8937" i="1"/>
  <c r="A8938" i="1"/>
  <c r="C8938" i="1"/>
  <c r="A8939" i="1"/>
  <c r="C8939" i="1"/>
  <c r="A8940" i="1"/>
  <c r="C8940" i="1"/>
  <c r="A8941" i="1"/>
  <c r="C8941" i="1"/>
  <c r="A8942" i="1"/>
  <c r="C8942" i="1"/>
  <c r="A8943" i="1"/>
  <c r="C8943" i="1"/>
  <c r="A8944" i="1"/>
  <c r="C8944" i="1"/>
  <c r="A8945" i="1"/>
  <c r="C8945" i="1"/>
  <c r="A8946" i="1"/>
  <c r="C8946" i="1"/>
  <c r="A8947" i="1"/>
  <c r="C8947" i="1"/>
  <c r="A8948" i="1"/>
  <c r="C8948" i="1"/>
  <c r="A8949" i="1"/>
  <c r="C8949" i="1"/>
  <c r="A8950" i="1"/>
  <c r="C8950" i="1"/>
  <c r="A8951" i="1"/>
  <c r="C8951" i="1"/>
  <c r="A8952" i="1"/>
  <c r="C8952" i="1"/>
  <c r="A8953" i="1"/>
  <c r="C8953" i="1"/>
  <c r="A8954" i="1"/>
  <c r="C8954" i="1"/>
  <c r="A8955" i="1"/>
  <c r="C8955" i="1"/>
  <c r="A8956" i="1"/>
  <c r="C8956" i="1"/>
  <c r="A8957" i="1"/>
  <c r="C8957" i="1"/>
  <c r="A8958" i="1"/>
  <c r="C8958" i="1"/>
  <c r="A8959" i="1"/>
  <c r="C8959" i="1"/>
  <c r="A8960" i="1"/>
  <c r="C8960" i="1"/>
  <c r="A8961" i="1"/>
  <c r="C8961" i="1"/>
  <c r="A8962" i="1"/>
  <c r="C8962" i="1"/>
  <c r="A8963" i="1"/>
  <c r="C8963" i="1"/>
  <c r="A8964" i="1"/>
  <c r="C8964" i="1"/>
  <c r="A8965" i="1"/>
  <c r="C8965" i="1"/>
  <c r="A8966" i="1"/>
  <c r="C8966" i="1"/>
  <c r="A8967" i="1"/>
  <c r="C8967" i="1"/>
  <c r="A8968" i="1"/>
  <c r="C8968" i="1"/>
  <c r="A8969" i="1"/>
  <c r="C8969" i="1"/>
  <c r="A8970" i="1"/>
  <c r="C8970" i="1"/>
  <c r="A8971" i="1"/>
  <c r="C8971" i="1"/>
  <c r="A8972" i="1"/>
  <c r="C8972" i="1"/>
  <c r="A8973" i="1"/>
  <c r="C8973" i="1"/>
  <c r="A8974" i="1"/>
  <c r="C8974" i="1"/>
  <c r="A8975" i="1"/>
  <c r="C8975" i="1"/>
  <c r="A8976" i="1"/>
  <c r="C8976" i="1"/>
  <c r="A8977" i="1"/>
  <c r="C8977" i="1"/>
  <c r="A8978" i="1"/>
  <c r="C8978" i="1"/>
  <c r="A8979" i="1"/>
  <c r="C8979" i="1"/>
  <c r="A8980" i="1"/>
  <c r="C8980" i="1"/>
  <c r="A8981" i="1"/>
  <c r="C8981" i="1"/>
  <c r="A8982" i="1"/>
  <c r="C8982" i="1"/>
  <c r="A8983" i="1"/>
  <c r="C8983" i="1"/>
  <c r="A8984" i="1"/>
  <c r="C8984" i="1"/>
  <c r="A8985" i="1"/>
  <c r="C8985" i="1"/>
  <c r="A8986" i="1"/>
  <c r="C8986" i="1"/>
  <c r="A8987" i="1"/>
  <c r="C8987" i="1"/>
  <c r="A8988" i="1"/>
  <c r="C8988" i="1"/>
  <c r="A8989" i="1"/>
  <c r="C8989" i="1"/>
  <c r="A8990" i="1"/>
  <c r="C8990" i="1"/>
  <c r="A8991" i="1"/>
  <c r="C8991" i="1"/>
  <c r="A8992" i="1"/>
  <c r="C8992" i="1"/>
  <c r="A8993" i="1"/>
  <c r="C8993" i="1"/>
  <c r="A8994" i="1"/>
  <c r="C8994" i="1"/>
  <c r="A8995" i="1"/>
  <c r="C8995" i="1"/>
  <c r="A8996" i="1"/>
  <c r="C8996" i="1"/>
  <c r="A8997" i="1"/>
  <c r="C8997" i="1"/>
  <c r="A8998" i="1"/>
  <c r="C8998" i="1"/>
  <c r="A8999" i="1"/>
  <c r="C8999" i="1"/>
  <c r="A9000" i="1"/>
  <c r="C9000" i="1"/>
  <c r="A9001" i="1"/>
  <c r="C9001" i="1"/>
  <c r="A9002" i="1"/>
  <c r="C9002" i="1"/>
  <c r="A9003" i="1"/>
  <c r="C9003" i="1"/>
  <c r="A9004" i="1"/>
  <c r="C9004" i="1"/>
  <c r="A9005" i="1"/>
  <c r="C9005" i="1"/>
  <c r="A9006" i="1"/>
  <c r="C9006" i="1"/>
  <c r="A9007" i="1"/>
  <c r="C9007" i="1"/>
  <c r="A9008" i="1"/>
  <c r="C9008" i="1"/>
  <c r="A9009" i="1"/>
  <c r="C9009" i="1"/>
  <c r="A9010" i="1"/>
  <c r="C9010" i="1"/>
  <c r="A9011" i="1"/>
  <c r="C9011" i="1"/>
  <c r="A9012" i="1"/>
  <c r="C9012" i="1"/>
  <c r="A9013" i="1"/>
  <c r="C9013" i="1"/>
  <c r="A9014" i="1"/>
  <c r="C9014" i="1"/>
  <c r="A9015" i="1"/>
  <c r="C9015" i="1"/>
  <c r="A9016" i="1"/>
  <c r="C9016" i="1"/>
  <c r="A9017" i="1"/>
  <c r="C9017" i="1"/>
  <c r="A9018" i="1"/>
  <c r="C9018" i="1"/>
  <c r="A9019" i="1"/>
  <c r="C9019" i="1"/>
  <c r="A9020" i="1"/>
  <c r="C9020" i="1"/>
  <c r="A9021" i="1"/>
  <c r="C9021" i="1"/>
  <c r="A9022" i="1"/>
  <c r="C9022" i="1"/>
  <c r="A9023" i="1"/>
  <c r="C9023" i="1"/>
  <c r="A9024" i="1"/>
  <c r="C9024" i="1"/>
  <c r="A9025" i="1"/>
  <c r="C9025" i="1"/>
  <c r="A9026" i="1"/>
  <c r="C9026" i="1"/>
  <c r="A9027" i="1"/>
  <c r="C9027" i="1"/>
  <c r="A9028" i="1"/>
  <c r="C9028" i="1"/>
  <c r="A9029" i="1"/>
  <c r="C9029" i="1"/>
  <c r="A9030" i="1"/>
  <c r="C9030" i="1"/>
  <c r="A9031" i="1"/>
  <c r="C9031" i="1"/>
  <c r="A9032" i="1"/>
  <c r="C9032" i="1"/>
  <c r="A9033" i="1"/>
  <c r="C9033" i="1"/>
  <c r="A9034" i="1"/>
  <c r="C9034" i="1"/>
  <c r="A9035" i="1"/>
  <c r="C9035" i="1"/>
  <c r="A9036" i="1"/>
  <c r="C9036" i="1"/>
  <c r="A9037" i="1"/>
  <c r="C9037" i="1"/>
  <c r="A9038" i="1"/>
  <c r="C9038" i="1"/>
  <c r="A9039" i="1"/>
  <c r="C9039" i="1"/>
  <c r="A9040" i="1"/>
  <c r="C9040" i="1"/>
  <c r="A9041" i="1"/>
  <c r="C9041" i="1"/>
  <c r="A9042" i="1"/>
  <c r="C9042" i="1"/>
  <c r="A9043" i="1"/>
  <c r="C9043" i="1"/>
  <c r="A9044" i="1"/>
  <c r="C9044" i="1"/>
  <c r="A9045" i="1"/>
  <c r="C9045" i="1"/>
  <c r="A9046" i="1"/>
  <c r="C9046" i="1"/>
  <c r="A9047" i="1"/>
  <c r="C9047" i="1"/>
  <c r="A9048" i="1"/>
  <c r="C9048" i="1"/>
  <c r="A9049" i="1"/>
  <c r="C9049" i="1"/>
  <c r="A9050" i="1"/>
  <c r="C9050" i="1"/>
  <c r="A9051" i="1"/>
  <c r="C9051" i="1"/>
  <c r="A9052" i="1"/>
  <c r="C9052" i="1"/>
  <c r="A9053" i="1"/>
  <c r="C9053" i="1"/>
  <c r="A9054" i="1"/>
  <c r="C9054" i="1"/>
  <c r="A9055" i="1"/>
  <c r="C9055" i="1"/>
  <c r="A9056" i="1"/>
  <c r="C9056" i="1"/>
  <c r="A9057" i="1"/>
  <c r="C9057" i="1"/>
  <c r="A9058" i="1"/>
  <c r="C9058" i="1"/>
  <c r="A9059" i="1"/>
  <c r="C9059" i="1"/>
  <c r="A9060" i="1"/>
  <c r="C9060" i="1"/>
  <c r="A9061" i="1"/>
  <c r="C9061" i="1"/>
  <c r="A9062" i="1"/>
  <c r="C9062" i="1"/>
  <c r="A9063" i="1"/>
  <c r="C9063" i="1"/>
  <c r="A9064" i="1"/>
  <c r="C9064" i="1"/>
  <c r="A9065" i="1"/>
  <c r="C9065" i="1"/>
  <c r="A9066" i="1"/>
  <c r="C9066" i="1"/>
  <c r="A9067" i="1"/>
  <c r="C9067" i="1"/>
  <c r="A9068" i="1"/>
  <c r="C9068" i="1"/>
  <c r="A9069" i="1"/>
  <c r="C9069" i="1"/>
  <c r="A9070" i="1"/>
  <c r="C9070" i="1"/>
  <c r="A9071" i="1"/>
  <c r="C9071" i="1"/>
  <c r="A9072" i="1"/>
  <c r="C9072" i="1"/>
  <c r="A9073" i="1"/>
  <c r="C9073" i="1"/>
  <c r="A9074" i="1"/>
  <c r="C9074" i="1"/>
  <c r="A9075" i="1"/>
  <c r="C9075" i="1"/>
  <c r="A9076" i="1"/>
  <c r="C9076" i="1"/>
  <c r="A9077" i="1"/>
  <c r="C9077" i="1"/>
  <c r="A9078" i="1"/>
  <c r="C9078" i="1"/>
  <c r="A9079" i="1"/>
  <c r="C9079" i="1"/>
  <c r="A9080" i="1"/>
  <c r="C9080" i="1"/>
  <c r="A9081" i="1"/>
  <c r="C9081" i="1"/>
  <c r="A9082" i="1"/>
  <c r="C9082" i="1"/>
  <c r="A9083" i="1"/>
  <c r="C9083" i="1"/>
  <c r="A9084" i="1"/>
  <c r="C9084" i="1"/>
  <c r="A9085" i="1"/>
  <c r="C9085" i="1"/>
  <c r="A9086" i="1"/>
  <c r="C9086" i="1"/>
  <c r="A9087" i="1"/>
  <c r="C9087" i="1"/>
  <c r="A9088" i="1"/>
  <c r="C9088" i="1"/>
  <c r="A9089" i="1"/>
  <c r="C9089" i="1"/>
  <c r="A9090" i="1"/>
  <c r="C9090" i="1"/>
  <c r="A9091" i="1"/>
  <c r="C9091" i="1"/>
  <c r="A9092" i="1"/>
  <c r="C9092" i="1"/>
  <c r="A9093" i="1"/>
  <c r="C9093" i="1"/>
  <c r="A9094" i="1"/>
  <c r="C9094" i="1"/>
  <c r="A9095" i="1"/>
  <c r="C9095" i="1"/>
  <c r="A9096" i="1"/>
  <c r="C9096" i="1"/>
  <c r="A9097" i="1"/>
  <c r="C9097" i="1"/>
  <c r="A9098" i="1"/>
  <c r="C9098" i="1"/>
  <c r="A9099" i="1"/>
  <c r="C9099" i="1"/>
  <c r="A9100" i="1"/>
  <c r="C9100" i="1"/>
  <c r="A9101" i="1"/>
  <c r="C9101" i="1"/>
  <c r="A9102" i="1"/>
  <c r="C9102" i="1"/>
  <c r="A9103" i="1"/>
  <c r="C9103" i="1"/>
  <c r="A9104" i="1"/>
  <c r="C9104" i="1"/>
  <c r="A9105" i="1"/>
  <c r="C9105" i="1"/>
  <c r="A9106" i="1"/>
  <c r="C9106" i="1"/>
  <c r="A9107" i="1"/>
  <c r="C9107" i="1"/>
  <c r="A9108" i="1"/>
  <c r="C9108" i="1"/>
  <c r="A9109" i="1"/>
  <c r="C9109" i="1"/>
  <c r="A9110" i="1"/>
  <c r="C9110" i="1"/>
  <c r="A9111" i="1"/>
  <c r="C9111" i="1"/>
  <c r="A9112" i="1"/>
  <c r="C9112" i="1"/>
  <c r="A9113" i="1"/>
  <c r="C9113" i="1"/>
  <c r="A9114" i="1"/>
  <c r="C9114" i="1"/>
  <c r="A9115" i="1"/>
  <c r="C9115" i="1"/>
  <c r="A9116" i="1"/>
  <c r="C9116" i="1"/>
  <c r="A9117" i="1"/>
  <c r="C9117" i="1"/>
  <c r="A9118" i="1"/>
  <c r="C9118" i="1"/>
  <c r="A9119" i="1"/>
  <c r="C9119" i="1"/>
  <c r="A9120" i="1"/>
  <c r="C9120" i="1"/>
  <c r="A9121" i="1"/>
  <c r="C9121" i="1"/>
  <c r="A9122" i="1"/>
  <c r="C9122" i="1"/>
  <c r="A9123" i="1"/>
  <c r="C9123" i="1"/>
  <c r="A9124" i="1"/>
  <c r="C9124" i="1"/>
  <c r="A9125" i="1"/>
  <c r="C9125" i="1"/>
  <c r="A9126" i="1"/>
  <c r="C9126" i="1"/>
  <c r="A9127" i="1"/>
  <c r="C9127" i="1"/>
  <c r="A9128" i="1"/>
  <c r="C9128" i="1"/>
  <c r="A9129" i="1"/>
  <c r="C9129" i="1"/>
  <c r="A9130" i="1"/>
  <c r="C9130" i="1"/>
  <c r="A9131" i="1"/>
  <c r="C9131" i="1"/>
  <c r="A9132" i="1"/>
  <c r="C9132" i="1"/>
  <c r="A9133" i="1"/>
  <c r="C9133" i="1"/>
  <c r="A9134" i="1"/>
  <c r="C9134" i="1"/>
  <c r="A9135" i="1"/>
  <c r="C9135" i="1"/>
  <c r="A9136" i="1"/>
  <c r="C9136" i="1"/>
  <c r="A9137" i="1"/>
  <c r="C9137" i="1"/>
  <c r="A9138" i="1"/>
  <c r="C9138" i="1"/>
  <c r="A9139" i="1"/>
  <c r="C9139" i="1"/>
  <c r="A9140" i="1"/>
  <c r="C9140" i="1"/>
  <c r="A9141" i="1"/>
  <c r="C9141" i="1"/>
  <c r="A9142" i="1"/>
  <c r="C9142" i="1"/>
  <c r="A9143" i="1"/>
  <c r="C9143" i="1"/>
  <c r="A9144" i="1"/>
  <c r="C9144" i="1"/>
  <c r="A9145" i="1"/>
  <c r="C9145" i="1"/>
  <c r="A9146" i="1"/>
  <c r="C9146" i="1"/>
  <c r="A9147" i="1"/>
  <c r="C9147" i="1"/>
  <c r="A9148" i="1"/>
  <c r="C9148" i="1"/>
  <c r="A9149" i="1"/>
  <c r="C9149" i="1"/>
  <c r="A9150" i="1"/>
  <c r="C9150" i="1"/>
  <c r="A9151" i="1"/>
  <c r="C9151" i="1"/>
  <c r="A9152" i="1"/>
  <c r="C9152" i="1"/>
  <c r="A9153" i="1"/>
  <c r="C9153" i="1"/>
  <c r="A9154" i="1"/>
  <c r="C9154" i="1"/>
  <c r="A9155" i="1"/>
  <c r="C9155" i="1"/>
  <c r="A9156" i="1"/>
  <c r="C9156" i="1"/>
  <c r="A9157" i="1"/>
  <c r="C9157" i="1"/>
  <c r="A9158" i="1"/>
  <c r="C9158" i="1"/>
  <c r="A9159" i="1"/>
  <c r="C9159" i="1"/>
  <c r="A9160" i="1"/>
  <c r="C9160" i="1"/>
  <c r="A9161" i="1"/>
  <c r="C9161" i="1"/>
  <c r="A9162" i="1"/>
  <c r="C9162" i="1"/>
  <c r="A9163" i="1"/>
  <c r="C9163" i="1"/>
  <c r="A9164" i="1"/>
  <c r="C9164" i="1"/>
  <c r="A9165" i="1"/>
  <c r="C9165" i="1"/>
  <c r="A9166" i="1"/>
  <c r="C9166" i="1"/>
  <c r="A9167" i="1"/>
  <c r="C9167" i="1"/>
  <c r="A9168" i="1"/>
  <c r="C9168" i="1"/>
  <c r="A9169" i="1"/>
  <c r="C9169" i="1"/>
  <c r="A9170" i="1"/>
  <c r="C9170" i="1"/>
  <c r="A9171" i="1"/>
  <c r="C9171" i="1"/>
  <c r="A9172" i="1"/>
  <c r="C9172" i="1"/>
  <c r="A9173" i="1"/>
  <c r="C9173" i="1"/>
  <c r="A9174" i="1"/>
  <c r="C9174" i="1"/>
  <c r="A9175" i="1"/>
  <c r="C9175" i="1"/>
  <c r="A9176" i="1"/>
  <c r="C9176" i="1"/>
  <c r="A9177" i="1"/>
  <c r="C9177" i="1"/>
  <c r="A9178" i="1"/>
  <c r="C9178" i="1"/>
  <c r="A9179" i="1"/>
  <c r="C9179" i="1"/>
  <c r="A9180" i="1"/>
  <c r="C9180" i="1"/>
  <c r="A9181" i="1"/>
  <c r="C9181" i="1"/>
  <c r="A9182" i="1"/>
  <c r="C9182" i="1"/>
  <c r="A9183" i="1"/>
  <c r="C9183" i="1"/>
  <c r="A9184" i="1"/>
  <c r="C9184" i="1"/>
  <c r="A9185" i="1"/>
  <c r="C9185" i="1"/>
  <c r="A9186" i="1"/>
  <c r="C9186" i="1"/>
  <c r="A9187" i="1"/>
  <c r="C9187" i="1"/>
  <c r="A9188" i="1"/>
  <c r="C9188" i="1"/>
  <c r="A9189" i="1"/>
  <c r="C9189" i="1"/>
  <c r="A9190" i="1"/>
  <c r="C9190" i="1"/>
  <c r="A9191" i="1"/>
  <c r="C9191" i="1"/>
  <c r="A9192" i="1"/>
  <c r="C9192" i="1"/>
  <c r="A9193" i="1"/>
  <c r="C9193" i="1"/>
  <c r="A9194" i="1"/>
  <c r="C9194" i="1"/>
  <c r="A9195" i="1"/>
  <c r="C9195" i="1"/>
  <c r="A9196" i="1"/>
  <c r="C9196" i="1"/>
  <c r="A9197" i="1"/>
  <c r="C9197" i="1"/>
  <c r="A9198" i="1"/>
  <c r="C9198" i="1"/>
  <c r="A9199" i="1"/>
  <c r="C9199" i="1"/>
  <c r="A9200" i="1"/>
  <c r="C9200" i="1"/>
  <c r="A9201" i="1"/>
  <c r="C9201" i="1"/>
  <c r="A9202" i="1"/>
  <c r="C9202" i="1"/>
  <c r="A9203" i="1"/>
  <c r="C9203" i="1"/>
  <c r="A9204" i="1"/>
  <c r="C9204" i="1"/>
  <c r="A9205" i="1"/>
  <c r="C9205" i="1"/>
  <c r="A9206" i="1"/>
  <c r="C9206" i="1"/>
  <c r="A9207" i="1"/>
  <c r="C9207" i="1"/>
  <c r="A9208" i="1"/>
  <c r="C9208" i="1"/>
  <c r="A9209" i="1"/>
  <c r="C9209" i="1"/>
  <c r="A9210" i="1"/>
  <c r="C9210" i="1"/>
  <c r="A9211" i="1"/>
  <c r="C9211" i="1"/>
  <c r="A9212" i="1"/>
  <c r="C9212" i="1"/>
  <c r="A9213" i="1"/>
  <c r="C9213" i="1"/>
  <c r="A9214" i="1"/>
  <c r="C9214" i="1"/>
  <c r="A9215" i="1"/>
  <c r="C9215" i="1"/>
  <c r="A9216" i="1"/>
  <c r="C9216" i="1"/>
  <c r="A9217" i="1"/>
  <c r="C9217" i="1"/>
  <c r="A9218" i="1"/>
  <c r="C9218" i="1"/>
  <c r="A9219" i="1"/>
  <c r="C9219" i="1"/>
  <c r="A9220" i="1"/>
  <c r="C9220" i="1"/>
  <c r="A9221" i="1"/>
  <c r="C9221" i="1"/>
  <c r="A9222" i="1"/>
  <c r="C9222" i="1"/>
  <c r="A9223" i="1"/>
  <c r="C9223" i="1"/>
  <c r="A9224" i="1"/>
  <c r="C9224" i="1"/>
  <c r="A9225" i="1"/>
  <c r="C9225" i="1"/>
  <c r="A9226" i="1"/>
  <c r="C9226" i="1"/>
  <c r="A9227" i="1"/>
  <c r="C9227" i="1"/>
  <c r="A9228" i="1"/>
  <c r="C9228" i="1"/>
  <c r="A9229" i="1"/>
  <c r="C9229" i="1"/>
  <c r="A9230" i="1"/>
  <c r="C9230" i="1"/>
  <c r="A9231" i="1"/>
  <c r="C9231" i="1"/>
  <c r="A9232" i="1"/>
  <c r="C9232" i="1"/>
  <c r="A9233" i="1"/>
  <c r="C9233" i="1"/>
  <c r="A9234" i="1"/>
  <c r="C9234" i="1"/>
  <c r="A9235" i="1"/>
  <c r="C9235" i="1"/>
  <c r="A9236" i="1"/>
  <c r="C9236" i="1"/>
  <c r="A9237" i="1"/>
  <c r="C9237" i="1"/>
  <c r="A9238" i="1"/>
  <c r="C9238" i="1"/>
  <c r="A9239" i="1"/>
  <c r="C9239" i="1"/>
  <c r="A9240" i="1"/>
  <c r="C9240" i="1"/>
  <c r="A9241" i="1"/>
  <c r="C9241" i="1"/>
  <c r="A9242" i="1"/>
  <c r="C9242" i="1"/>
  <c r="A9243" i="1"/>
  <c r="C9243" i="1"/>
  <c r="A9244" i="1"/>
  <c r="C9244" i="1"/>
  <c r="A9245" i="1"/>
  <c r="C9245" i="1"/>
  <c r="A9246" i="1"/>
  <c r="C9246" i="1"/>
  <c r="A9247" i="1"/>
  <c r="C9247" i="1"/>
  <c r="A9248" i="1"/>
  <c r="C9248" i="1"/>
  <c r="A9249" i="1"/>
  <c r="C9249" i="1"/>
  <c r="A9250" i="1"/>
  <c r="C9250" i="1"/>
  <c r="A9251" i="1"/>
  <c r="C9251" i="1"/>
  <c r="A9252" i="1"/>
  <c r="C9252" i="1"/>
  <c r="A9253" i="1"/>
  <c r="C9253" i="1"/>
  <c r="A9254" i="1"/>
  <c r="C9254" i="1"/>
  <c r="A9255" i="1"/>
  <c r="C9255" i="1"/>
  <c r="A9256" i="1"/>
  <c r="C9256" i="1"/>
  <c r="A9257" i="1"/>
  <c r="C9257" i="1"/>
  <c r="A9258" i="1"/>
  <c r="C9258" i="1"/>
  <c r="A9259" i="1"/>
  <c r="C9259" i="1"/>
  <c r="A9260" i="1"/>
  <c r="C9260" i="1"/>
  <c r="A9261" i="1"/>
  <c r="C9261" i="1"/>
  <c r="A9262" i="1"/>
  <c r="C9262" i="1"/>
  <c r="A9263" i="1"/>
  <c r="C9263" i="1"/>
  <c r="A9264" i="1"/>
  <c r="C9264" i="1"/>
  <c r="A9265" i="1"/>
  <c r="C9265" i="1"/>
  <c r="A9266" i="1"/>
  <c r="C9266" i="1"/>
  <c r="A9267" i="1"/>
  <c r="C9267" i="1"/>
  <c r="A9268" i="1"/>
  <c r="C9268" i="1"/>
  <c r="A9269" i="1"/>
  <c r="C9269" i="1"/>
  <c r="A9270" i="1"/>
  <c r="C9270" i="1"/>
  <c r="A9271" i="1"/>
  <c r="C9271" i="1"/>
  <c r="A9272" i="1"/>
  <c r="C9272" i="1"/>
  <c r="A9273" i="1"/>
  <c r="C9273" i="1"/>
  <c r="A9274" i="1"/>
  <c r="C9274" i="1"/>
  <c r="A9275" i="1"/>
  <c r="C9275" i="1"/>
  <c r="A9276" i="1"/>
  <c r="C9276" i="1"/>
  <c r="A9277" i="1"/>
  <c r="C9277" i="1"/>
  <c r="A9278" i="1"/>
  <c r="C9278" i="1"/>
  <c r="A9279" i="1"/>
  <c r="C9279" i="1"/>
  <c r="A9280" i="1"/>
  <c r="C9280" i="1"/>
  <c r="A9281" i="1"/>
  <c r="C9281" i="1"/>
  <c r="A9282" i="1"/>
  <c r="C9282" i="1"/>
  <c r="A9283" i="1"/>
  <c r="C9283" i="1"/>
  <c r="A9284" i="1"/>
  <c r="C9284" i="1"/>
  <c r="A9285" i="1"/>
  <c r="C9285" i="1"/>
  <c r="A9286" i="1"/>
  <c r="C9286" i="1"/>
  <c r="A9287" i="1"/>
  <c r="C9287" i="1"/>
  <c r="A9288" i="1"/>
  <c r="C9288" i="1"/>
  <c r="A9289" i="1"/>
  <c r="C9289" i="1"/>
  <c r="A9290" i="1"/>
  <c r="C9290" i="1"/>
  <c r="A9291" i="1"/>
  <c r="C9291" i="1"/>
  <c r="A9292" i="1"/>
  <c r="C9292" i="1"/>
  <c r="A9293" i="1"/>
  <c r="C9293" i="1"/>
  <c r="A9294" i="1"/>
  <c r="C9294" i="1"/>
  <c r="A9295" i="1"/>
  <c r="C9295" i="1"/>
  <c r="A9296" i="1"/>
  <c r="C9296" i="1"/>
  <c r="A9297" i="1"/>
  <c r="C9297" i="1"/>
  <c r="A9298" i="1"/>
  <c r="C9298" i="1"/>
  <c r="A9299" i="1"/>
  <c r="C9299" i="1"/>
  <c r="A9300" i="1"/>
  <c r="C9300" i="1"/>
  <c r="A9301" i="1"/>
  <c r="C9301" i="1"/>
  <c r="A9302" i="1"/>
  <c r="C9302" i="1"/>
  <c r="A9303" i="1"/>
  <c r="C9303" i="1"/>
  <c r="A9304" i="1"/>
  <c r="C9304" i="1"/>
  <c r="A9305" i="1"/>
  <c r="C9305" i="1"/>
  <c r="A9306" i="1"/>
  <c r="C9306" i="1"/>
  <c r="A9307" i="1"/>
  <c r="C9307" i="1"/>
  <c r="A9308" i="1"/>
  <c r="C9308" i="1"/>
  <c r="A9309" i="1"/>
  <c r="C9309" i="1"/>
  <c r="A9310" i="1"/>
  <c r="C9310" i="1"/>
  <c r="A9311" i="1"/>
  <c r="C9311" i="1"/>
  <c r="A9312" i="1"/>
  <c r="C9312" i="1"/>
  <c r="A9313" i="1"/>
  <c r="C9313" i="1"/>
  <c r="A9314" i="1"/>
  <c r="C9314" i="1"/>
  <c r="A9315" i="1"/>
  <c r="C9315" i="1"/>
  <c r="A9316" i="1"/>
  <c r="C9316" i="1"/>
  <c r="A9317" i="1"/>
  <c r="C9317" i="1"/>
  <c r="A9318" i="1"/>
  <c r="C9318" i="1"/>
  <c r="A9319" i="1"/>
  <c r="C9319" i="1"/>
  <c r="A9320" i="1"/>
  <c r="C9320" i="1"/>
  <c r="A9321" i="1"/>
  <c r="C9321" i="1"/>
  <c r="A9322" i="1"/>
  <c r="C9322" i="1"/>
  <c r="A9323" i="1"/>
  <c r="C9323" i="1"/>
  <c r="A9324" i="1"/>
  <c r="C9324" i="1"/>
  <c r="A9325" i="1"/>
  <c r="C9325" i="1"/>
  <c r="A9326" i="1"/>
  <c r="C9326" i="1"/>
  <c r="A9327" i="1"/>
  <c r="C9327" i="1"/>
  <c r="A9328" i="1"/>
  <c r="C9328" i="1"/>
  <c r="A9329" i="1"/>
  <c r="C9329" i="1"/>
  <c r="A9330" i="1"/>
  <c r="C9330" i="1"/>
  <c r="A9331" i="1"/>
  <c r="C9331" i="1"/>
  <c r="A9332" i="1"/>
  <c r="C9332" i="1"/>
  <c r="A9333" i="1"/>
  <c r="C9333" i="1"/>
  <c r="A9334" i="1"/>
  <c r="C9334" i="1"/>
  <c r="A9335" i="1"/>
  <c r="C9335" i="1"/>
  <c r="A9336" i="1"/>
  <c r="C9336" i="1"/>
  <c r="A9337" i="1"/>
  <c r="C9337" i="1"/>
  <c r="A9338" i="1"/>
  <c r="C9338" i="1"/>
  <c r="A9339" i="1"/>
  <c r="C9339" i="1"/>
  <c r="A9340" i="1"/>
  <c r="C9340" i="1"/>
  <c r="A9341" i="1"/>
  <c r="C9341" i="1"/>
  <c r="A9342" i="1"/>
  <c r="C9342" i="1"/>
  <c r="A9343" i="1"/>
  <c r="C9343" i="1"/>
  <c r="A9344" i="1"/>
  <c r="C9344" i="1"/>
  <c r="A9345" i="1"/>
  <c r="C9345" i="1"/>
  <c r="A9346" i="1"/>
  <c r="C9346" i="1"/>
  <c r="A9347" i="1"/>
  <c r="C9347" i="1"/>
  <c r="A9348" i="1"/>
  <c r="C9348" i="1"/>
  <c r="A9349" i="1"/>
  <c r="C9349" i="1"/>
  <c r="A9350" i="1"/>
  <c r="C9350" i="1"/>
  <c r="A9351" i="1"/>
  <c r="C9351" i="1"/>
  <c r="A9352" i="1"/>
  <c r="C9352" i="1"/>
  <c r="A9353" i="1"/>
  <c r="C9353" i="1"/>
  <c r="A9354" i="1"/>
  <c r="C9354" i="1"/>
  <c r="A9355" i="1"/>
  <c r="C9355" i="1"/>
  <c r="A9356" i="1"/>
  <c r="C9356" i="1"/>
  <c r="A9357" i="1"/>
  <c r="C9357" i="1"/>
  <c r="A9358" i="1"/>
  <c r="C9358" i="1"/>
  <c r="A9359" i="1"/>
  <c r="C9359" i="1"/>
  <c r="A9360" i="1"/>
  <c r="C9360" i="1"/>
  <c r="A9361" i="1"/>
  <c r="C9361" i="1"/>
  <c r="A9362" i="1"/>
  <c r="C9362" i="1"/>
  <c r="A9363" i="1"/>
  <c r="C9363" i="1"/>
  <c r="A9364" i="1"/>
  <c r="C9364" i="1"/>
  <c r="A9365" i="1"/>
  <c r="C9365" i="1"/>
  <c r="A9366" i="1"/>
  <c r="C9366" i="1"/>
  <c r="A9367" i="1"/>
  <c r="C9367" i="1"/>
  <c r="A9368" i="1"/>
  <c r="C9368" i="1"/>
  <c r="A9369" i="1"/>
  <c r="C9369" i="1"/>
  <c r="A9370" i="1"/>
  <c r="C9370" i="1"/>
  <c r="A9371" i="1"/>
  <c r="C9371" i="1"/>
  <c r="A9372" i="1"/>
  <c r="C9372" i="1"/>
  <c r="A9373" i="1"/>
  <c r="C9373" i="1"/>
  <c r="A9374" i="1"/>
  <c r="C9374" i="1"/>
  <c r="A9375" i="1"/>
  <c r="C9375" i="1"/>
  <c r="A9376" i="1"/>
  <c r="C9376" i="1"/>
  <c r="A9377" i="1"/>
  <c r="C9377" i="1"/>
  <c r="A9378" i="1"/>
  <c r="C9378" i="1"/>
  <c r="A9379" i="1"/>
  <c r="C9379" i="1"/>
  <c r="A9380" i="1"/>
  <c r="C9380" i="1"/>
  <c r="A9381" i="1"/>
  <c r="C9381" i="1"/>
  <c r="A9382" i="1"/>
  <c r="C9382" i="1"/>
  <c r="A9383" i="1"/>
  <c r="C9383" i="1"/>
  <c r="A9384" i="1"/>
  <c r="C9384" i="1"/>
  <c r="A9385" i="1"/>
  <c r="C9385" i="1"/>
  <c r="A9386" i="1"/>
  <c r="C9386" i="1"/>
  <c r="A9387" i="1"/>
  <c r="C9387" i="1"/>
  <c r="A9388" i="1"/>
  <c r="C9388" i="1"/>
  <c r="A9389" i="1"/>
  <c r="C9389" i="1"/>
  <c r="A9390" i="1"/>
  <c r="C9390" i="1"/>
  <c r="A9391" i="1"/>
  <c r="C9391" i="1"/>
  <c r="A9392" i="1"/>
  <c r="C9392" i="1"/>
  <c r="A9393" i="1"/>
  <c r="C9393" i="1"/>
  <c r="A9394" i="1"/>
  <c r="C9394" i="1"/>
  <c r="A9395" i="1"/>
  <c r="C9395" i="1"/>
  <c r="A9396" i="1"/>
  <c r="C9396" i="1"/>
  <c r="A9397" i="1"/>
  <c r="C9397" i="1"/>
  <c r="A9398" i="1"/>
  <c r="C9398" i="1"/>
  <c r="A9399" i="1"/>
  <c r="C9399" i="1"/>
  <c r="A9400" i="1"/>
  <c r="C9400" i="1"/>
  <c r="A9401" i="1"/>
  <c r="C9401" i="1"/>
  <c r="A9402" i="1"/>
  <c r="C9402" i="1"/>
  <c r="A9403" i="1"/>
  <c r="C9403" i="1"/>
  <c r="A9404" i="1"/>
  <c r="C9404" i="1"/>
  <c r="A9405" i="1"/>
  <c r="C9405" i="1"/>
  <c r="A9406" i="1"/>
  <c r="C9406" i="1"/>
  <c r="A9407" i="1"/>
  <c r="C9407" i="1"/>
  <c r="A9408" i="1"/>
  <c r="C9408" i="1"/>
  <c r="A9409" i="1"/>
  <c r="C9409" i="1"/>
  <c r="A9410" i="1"/>
  <c r="C9410" i="1"/>
  <c r="A9411" i="1"/>
  <c r="C9411" i="1"/>
  <c r="A9412" i="1"/>
  <c r="C9412" i="1"/>
  <c r="A9413" i="1"/>
  <c r="C9413" i="1"/>
  <c r="A9414" i="1"/>
  <c r="C9414" i="1"/>
  <c r="A9415" i="1"/>
  <c r="C9415" i="1"/>
  <c r="A9416" i="1"/>
  <c r="C9416" i="1"/>
  <c r="A9417" i="1"/>
  <c r="C9417" i="1"/>
  <c r="A9418" i="1"/>
  <c r="C9418" i="1"/>
  <c r="A9419" i="1"/>
  <c r="C9419" i="1"/>
  <c r="A9420" i="1"/>
  <c r="C9420" i="1"/>
  <c r="A9421" i="1"/>
  <c r="C9421" i="1"/>
  <c r="A9422" i="1"/>
  <c r="C9422" i="1"/>
  <c r="A9423" i="1"/>
  <c r="C9423" i="1"/>
  <c r="A9424" i="1"/>
  <c r="C9424" i="1"/>
  <c r="A9425" i="1"/>
  <c r="C9425" i="1"/>
  <c r="A9426" i="1"/>
  <c r="C9426" i="1"/>
  <c r="A9427" i="1"/>
  <c r="C9427" i="1"/>
  <c r="A9428" i="1"/>
  <c r="C9428" i="1"/>
  <c r="A9429" i="1"/>
  <c r="C9429" i="1"/>
  <c r="A9430" i="1"/>
  <c r="C9430" i="1"/>
  <c r="A9431" i="1"/>
  <c r="C9431" i="1"/>
  <c r="A9432" i="1"/>
  <c r="C9432" i="1"/>
  <c r="A9433" i="1"/>
  <c r="C9433" i="1"/>
  <c r="A9434" i="1"/>
  <c r="C9434" i="1"/>
  <c r="A9435" i="1"/>
  <c r="C9435" i="1"/>
  <c r="A9436" i="1"/>
  <c r="C9436" i="1"/>
  <c r="A9437" i="1"/>
  <c r="C9437" i="1"/>
  <c r="A9438" i="1"/>
  <c r="C9438" i="1"/>
  <c r="A9439" i="1"/>
  <c r="C9439" i="1"/>
  <c r="A9440" i="1"/>
  <c r="C9440" i="1"/>
  <c r="A9441" i="1"/>
  <c r="C9441" i="1"/>
  <c r="A9442" i="1"/>
  <c r="C9442" i="1"/>
  <c r="A9443" i="1"/>
  <c r="C9443" i="1"/>
  <c r="A9444" i="1"/>
  <c r="C9444" i="1"/>
  <c r="A9445" i="1"/>
  <c r="C9445" i="1"/>
  <c r="A9446" i="1"/>
  <c r="C9446" i="1"/>
  <c r="A9447" i="1"/>
  <c r="C9447" i="1"/>
  <c r="A9448" i="1"/>
  <c r="C9448" i="1"/>
  <c r="A9449" i="1"/>
  <c r="C9449" i="1"/>
  <c r="A9450" i="1"/>
  <c r="C9450" i="1"/>
  <c r="A9451" i="1"/>
  <c r="C9451" i="1"/>
  <c r="A9452" i="1"/>
  <c r="C9452" i="1"/>
  <c r="A9453" i="1"/>
  <c r="C9453" i="1"/>
  <c r="A9454" i="1"/>
  <c r="C9454" i="1"/>
  <c r="A9455" i="1"/>
  <c r="C9455" i="1"/>
  <c r="A9456" i="1"/>
  <c r="C9456" i="1"/>
  <c r="A9457" i="1"/>
  <c r="C9457" i="1"/>
  <c r="A9458" i="1"/>
  <c r="C9458" i="1"/>
  <c r="A9459" i="1"/>
  <c r="C9459" i="1"/>
  <c r="A9460" i="1"/>
  <c r="C9460" i="1"/>
  <c r="A9461" i="1"/>
  <c r="C9461" i="1"/>
  <c r="A9462" i="1"/>
  <c r="C9462" i="1"/>
  <c r="A9463" i="1"/>
  <c r="C9463" i="1"/>
  <c r="A9464" i="1"/>
  <c r="C9464" i="1"/>
  <c r="A9465" i="1"/>
  <c r="C9465" i="1"/>
  <c r="A9466" i="1"/>
  <c r="C9466" i="1"/>
  <c r="A9467" i="1"/>
  <c r="C9467" i="1"/>
  <c r="A9468" i="1"/>
  <c r="C9468" i="1"/>
  <c r="A9469" i="1"/>
  <c r="C9469" i="1"/>
  <c r="A9470" i="1"/>
  <c r="C9470" i="1"/>
  <c r="A9471" i="1"/>
  <c r="C9471" i="1"/>
  <c r="A9472" i="1"/>
  <c r="C9472" i="1"/>
  <c r="A9473" i="1"/>
  <c r="C9473" i="1"/>
  <c r="A9474" i="1"/>
  <c r="C9474" i="1"/>
  <c r="A9475" i="1"/>
  <c r="C9475" i="1"/>
  <c r="A9476" i="1"/>
  <c r="C9476" i="1"/>
  <c r="A9477" i="1"/>
  <c r="C9477" i="1"/>
  <c r="A9478" i="1"/>
  <c r="C9478" i="1"/>
  <c r="A9479" i="1"/>
  <c r="C9479" i="1"/>
  <c r="A9480" i="1"/>
  <c r="C9480" i="1"/>
  <c r="A9481" i="1"/>
  <c r="C9481" i="1"/>
  <c r="A9482" i="1"/>
  <c r="C9482" i="1"/>
  <c r="A9483" i="1"/>
  <c r="C9483" i="1"/>
  <c r="A9484" i="1"/>
  <c r="C9484" i="1"/>
  <c r="A9485" i="1"/>
  <c r="C9485" i="1"/>
  <c r="A9486" i="1"/>
  <c r="C9486" i="1"/>
  <c r="A9487" i="1"/>
  <c r="C9487" i="1"/>
  <c r="A9488" i="1"/>
  <c r="C9488" i="1"/>
  <c r="A9489" i="1"/>
  <c r="C9489" i="1"/>
  <c r="A9490" i="1"/>
  <c r="C9490" i="1"/>
  <c r="A9491" i="1"/>
  <c r="C9491" i="1"/>
  <c r="A9492" i="1"/>
  <c r="C9492" i="1"/>
  <c r="A9493" i="1"/>
  <c r="C9493" i="1"/>
  <c r="A9494" i="1"/>
  <c r="C9494" i="1"/>
  <c r="A9495" i="1"/>
  <c r="C9495" i="1"/>
  <c r="A9496" i="1"/>
  <c r="C9496" i="1"/>
  <c r="A9497" i="1"/>
  <c r="C9497" i="1"/>
  <c r="A9498" i="1"/>
  <c r="C9498" i="1"/>
  <c r="A9499" i="1"/>
  <c r="C9499" i="1"/>
  <c r="A9500" i="1"/>
  <c r="C9500" i="1"/>
  <c r="A9501" i="1"/>
  <c r="C9501" i="1"/>
  <c r="A9502" i="1"/>
  <c r="C9502" i="1"/>
  <c r="A9503" i="1"/>
  <c r="C9503" i="1"/>
  <c r="A9504" i="1"/>
  <c r="C9504" i="1"/>
  <c r="A9505" i="1"/>
  <c r="C9505" i="1"/>
  <c r="A9506" i="1"/>
  <c r="C9506" i="1"/>
  <c r="A9507" i="1"/>
  <c r="C9507" i="1"/>
  <c r="A9508" i="1"/>
  <c r="C9508" i="1"/>
  <c r="A9509" i="1"/>
  <c r="C9509" i="1"/>
  <c r="A9510" i="1"/>
  <c r="C9510" i="1"/>
  <c r="A9511" i="1"/>
  <c r="C9511" i="1"/>
  <c r="A9512" i="1"/>
  <c r="C9512" i="1"/>
  <c r="A9513" i="1"/>
  <c r="C9513" i="1"/>
  <c r="A9514" i="1"/>
  <c r="C9514" i="1"/>
  <c r="A9515" i="1"/>
  <c r="C9515" i="1"/>
  <c r="A9516" i="1"/>
  <c r="C9516" i="1"/>
  <c r="A9517" i="1"/>
  <c r="C9517" i="1"/>
  <c r="A9518" i="1"/>
  <c r="C9518" i="1"/>
  <c r="A9519" i="1"/>
  <c r="C9519" i="1"/>
  <c r="A9520" i="1"/>
  <c r="C9520" i="1"/>
  <c r="A9521" i="1"/>
  <c r="C9521" i="1"/>
  <c r="A9522" i="1"/>
  <c r="C9522" i="1"/>
  <c r="A9523" i="1"/>
  <c r="C9523" i="1"/>
  <c r="A9524" i="1"/>
  <c r="C9524" i="1"/>
  <c r="A9525" i="1"/>
  <c r="C9525" i="1"/>
  <c r="A9526" i="1"/>
  <c r="C9526" i="1"/>
  <c r="A9527" i="1"/>
  <c r="C9527" i="1"/>
  <c r="A9528" i="1"/>
  <c r="C9528" i="1"/>
  <c r="A9529" i="1"/>
  <c r="C9529" i="1"/>
  <c r="A9530" i="1"/>
  <c r="C9530" i="1"/>
  <c r="A9531" i="1"/>
  <c r="C9531" i="1"/>
  <c r="A9532" i="1"/>
  <c r="C9532" i="1"/>
  <c r="A9533" i="1"/>
  <c r="C9533" i="1"/>
  <c r="A9534" i="1"/>
  <c r="C9534" i="1"/>
  <c r="A9535" i="1"/>
  <c r="C9535" i="1"/>
  <c r="A9536" i="1"/>
  <c r="C9536" i="1"/>
  <c r="A9537" i="1"/>
  <c r="C9537" i="1"/>
  <c r="A9538" i="1"/>
  <c r="C9538" i="1"/>
  <c r="A9539" i="1"/>
  <c r="C9539" i="1"/>
  <c r="A9540" i="1"/>
  <c r="C9540" i="1"/>
  <c r="A9541" i="1"/>
  <c r="C9541" i="1"/>
  <c r="A9542" i="1"/>
  <c r="C9542" i="1"/>
  <c r="A9543" i="1"/>
  <c r="C9543" i="1"/>
  <c r="A9544" i="1"/>
  <c r="C9544" i="1"/>
  <c r="A9545" i="1"/>
  <c r="C9545" i="1"/>
  <c r="A9546" i="1"/>
  <c r="C9546" i="1"/>
  <c r="A9547" i="1"/>
  <c r="C9547" i="1"/>
  <c r="A9548" i="1"/>
  <c r="C9548" i="1"/>
  <c r="A9549" i="1"/>
  <c r="C9549" i="1"/>
  <c r="A9550" i="1"/>
  <c r="C9550" i="1"/>
  <c r="A9551" i="1"/>
  <c r="C9551" i="1"/>
  <c r="A9552" i="1"/>
  <c r="C9552" i="1"/>
  <c r="A9553" i="1"/>
  <c r="C9553" i="1"/>
  <c r="A9554" i="1"/>
  <c r="C9554" i="1"/>
  <c r="A9555" i="1"/>
  <c r="C9555" i="1"/>
  <c r="A9556" i="1"/>
  <c r="C9556" i="1"/>
  <c r="A9557" i="1"/>
  <c r="C9557" i="1"/>
  <c r="A9558" i="1"/>
  <c r="C9558" i="1"/>
  <c r="A9559" i="1"/>
  <c r="C9559" i="1"/>
  <c r="A9560" i="1"/>
  <c r="C9560" i="1"/>
  <c r="A9561" i="1"/>
  <c r="C9561" i="1"/>
  <c r="A9562" i="1"/>
  <c r="C9562" i="1"/>
  <c r="A9563" i="1"/>
  <c r="C9563" i="1"/>
  <c r="A9564" i="1"/>
  <c r="C9564" i="1"/>
  <c r="A9565" i="1"/>
  <c r="C9565" i="1"/>
  <c r="A9566" i="1"/>
  <c r="C9566" i="1"/>
  <c r="A9567" i="1"/>
  <c r="C9567" i="1"/>
  <c r="A9568" i="1"/>
  <c r="C9568" i="1"/>
  <c r="A9569" i="1"/>
  <c r="C9569" i="1"/>
  <c r="A9570" i="1"/>
  <c r="C9570" i="1"/>
  <c r="A9571" i="1"/>
  <c r="C9571" i="1"/>
  <c r="A9572" i="1"/>
  <c r="C9572" i="1"/>
  <c r="A9573" i="1"/>
  <c r="C9573" i="1"/>
  <c r="A9574" i="1"/>
  <c r="C9574" i="1"/>
  <c r="A9575" i="1"/>
  <c r="C9575" i="1"/>
  <c r="A9576" i="1"/>
  <c r="C9576" i="1"/>
  <c r="A9577" i="1"/>
  <c r="C9577" i="1"/>
  <c r="A9578" i="1"/>
  <c r="C9578" i="1"/>
  <c r="A9579" i="1"/>
  <c r="C9579" i="1"/>
  <c r="A9580" i="1"/>
  <c r="C9580" i="1"/>
  <c r="A9581" i="1"/>
  <c r="C9581" i="1"/>
  <c r="A9582" i="1"/>
  <c r="C9582" i="1"/>
  <c r="A9583" i="1"/>
  <c r="C9583" i="1"/>
  <c r="A9584" i="1"/>
  <c r="C9584" i="1"/>
  <c r="A9585" i="1"/>
  <c r="C9585" i="1"/>
  <c r="A9586" i="1"/>
  <c r="C9586" i="1"/>
  <c r="A9587" i="1"/>
  <c r="C9587" i="1"/>
  <c r="A9588" i="1"/>
  <c r="C9588" i="1"/>
  <c r="A9589" i="1"/>
  <c r="C9589" i="1"/>
  <c r="A9590" i="1"/>
  <c r="C9590" i="1"/>
  <c r="A9591" i="1"/>
  <c r="C9591" i="1"/>
  <c r="A9592" i="1"/>
  <c r="C9592" i="1"/>
  <c r="A9593" i="1"/>
  <c r="C9593" i="1"/>
  <c r="A9594" i="1"/>
  <c r="C9594" i="1"/>
  <c r="A9595" i="1"/>
  <c r="C9595" i="1"/>
  <c r="A9596" i="1"/>
  <c r="C9596" i="1"/>
  <c r="A9597" i="1"/>
  <c r="C9597" i="1"/>
  <c r="A9598" i="1"/>
  <c r="C9598" i="1"/>
  <c r="A9599" i="1"/>
  <c r="C9599" i="1"/>
  <c r="A9600" i="1"/>
  <c r="C9600" i="1"/>
  <c r="A9601" i="1"/>
  <c r="C9601" i="1"/>
  <c r="A9602" i="1"/>
  <c r="C9602" i="1"/>
  <c r="A9603" i="1"/>
  <c r="C9603" i="1"/>
  <c r="A9604" i="1"/>
  <c r="C9604" i="1"/>
  <c r="A9605" i="1"/>
  <c r="C9605" i="1"/>
  <c r="A9606" i="1"/>
  <c r="C9606" i="1"/>
  <c r="A9607" i="1"/>
  <c r="C9607" i="1"/>
  <c r="A9608" i="1"/>
  <c r="C9608" i="1"/>
  <c r="A9609" i="1"/>
  <c r="C9609" i="1"/>
  <c r="A9610" i="1"/>
  <c r="C9610" i="1"/>
  <c r="A9611" i="1"/>
  <c r="C9611" i="1"/>
  <c r="A9612" i="1"/>
  <c r="C9612" i="1"/>
  <c r="A9613" i="1"/>
  <c r="C9613" i="1"/>
  <c r="A9614" i="1"/>
  <c r="C9614" i="1"/>
  <c r="A9615" i="1"/>
  <c r="C9615" i="1"/>
  <c r="A9616" i="1"/>
  <c r="C9616" i="1"/>
  <c r="A9617" i="1"/>
  <c r="C9617" i="1"/>
  <c r="A9618" i="1"/>
  <c r="C9618" i="1"/>
  <c r="A9619" i="1"/>
  <c r="C9619" i="1"/>
  <c r="A9620" i="1"/>
  <c r="C9620" i="1"/>
  <c r="A9621" i="1"/>
  <c r="C9621" i="1"/>
  <c r="A9622" i="1"/>
  <c r="C9622" i="1"/>
  <c r="A9623" i="1"/>
  <c r="C9623" i="1"/>
  <c r="A9624" i="1"/>
  <c r="C9624" i="1"/>
  <c r="A9625" i="1"/>
  <c r="C9625" i="1"/>
  <c r="A9626" i="1"/>
  <c r="C9626" i="1"/>
  <c r="A9627" i="1"/>
  <c r="C9627" i="1"/>
  <c r="A9628" i="1"/>
  <c r="C9628" i="1"/>
  <c r="A9629" i="1"/>
  <c r="C9629" i="1"/>
  <c r="A9630" i="1"/>
  <c r="C9630" i="1"/>
  <c r="A9631" i="1"/>
  <c r="C9631" i="1"/>
  <c r="A9632" i="1"/>
  <c r="C9632" i="1"/>
  <c r="A9633" i="1"/>
  <c r="C9633" i="1"/>
  <c r="A9634" i="1"/>
  <c r="C9634" i="1"/>
  <c r="A9635" i="1"/>
  <c r="C9635" i="1"/>
  <c r="A9636" i="1"/>
  <c r="C9636" i="1"/>
  <c r="A9637" i="1"/>
  <c r="C9637" i="1"/>
  <c r="A9638" i="1"/>
  <c r="C9638" i="1"/>
  <c r="A9639" i="1"/>
  <c r="C9639" i="1"/>
  <c r="A9640" i="1"/>
  <c r="C9640" i="1"/>
  <c r="A9641" i="1"/>
  <c r="C9641" i="1"/>
  <c r="A9642" i="1"/>
  <c r="C9642" i="1"/>
  <c r="A9643" i="1"/>
  <c r="C9643" i="1"/>
  <c r="A9644" i="1"/>
  <c r="C9644" i="1"/>
  <c r="A9645" i="1"/>
  <c r="C9645" i="1"/>
  <c r="A9646" i="1"/>
  <c r="C9646" i="1"/>
  <c r="A9647" i="1"/>
  <c r="C9647" i="1"/>
  <c r="A9648" i="1"/>
  <c r="C9648" i="1"/>
  <c r="A9649" i="1"/>
  <c r="C9649" i="1"/>
  <c r="A9650" i="1"/>
  <c r="C9650" i="1"/>
  <c r="A9651" i="1"/>
  <c r="C9651" i="1"/>
  <c r="A9652" i="1"/>
  <c r="C9652" i="1"/>
  <c r="A9653" i="1"/>
  <c r="C9653" i="1"/>
  <c r="A9654" i="1"/>
  <c r="C9654" i="1"/>
  <c r="A9655" i="1"/>
  <c r="C9655" i="1"/>
  <c r="A9656" i="1"/>
  <c r="C9656" i="1"/>
  <c r="A9657" i="1"/>
  <c r="C9657" i="1"/>
  <c r="A9658" i="1"/>
  <c r="C9658" i="1"/>
  <c r="A9659" i="1"/>
  <c r="C9659" i="1"/>
  <c r="A9660" i="1"/>
  <c r="C9660" i="1"/>
  <c r="A9661" i="1"/>
  <c r="C9661" i="1"/>
  <c r="A9662" i="1"/>
  <c r="C9662" i="1"/>
  <c r="A9663" i="1"/>
  <c r="C9663" i="1"/>
  <c r="A9664" i="1"/>
  <c r="C9664" i="1"/>
  <c r="A9665" i="1"/>
  <c r="C9665" i="1"/>
  <c r="A9666" i="1"/>
  <c r="C9666" i="1"/>
  <c r="A9667" i="1"/>
  <c r="C9667" i="1"/>
  <c r="A9668" i="1"/>
  <c r="C9668" i="1"/>
  <c r="A9669" i="1"/>
  <c r="C9669" i="1"/>
  <c r="A9670" i="1"/>
  <c r="C9670" i="1"/>
  <c r="A9671" i="1"/>
  <c r="C9671" i="1"/>
  <c r="A9672" i="1"/>
  <c r="C9672" i="1"/>
  <c r="A9673" i="1"/>
  <c r="C9673" i="1"/>
  <c r="A9674" i="1"/>
  <c r="C9674" i="1"/>
  <c r="A9675" i="1"/>
  <c r="C9675" i="1"/>
  <c r="A9676" i="1"/>
  <c r="C9676" i="1"/>
  <c r="A9677" i="1"/>
  <c r="C9677" i="1"/>
  <c r="A9678" i="1"/>
  <c r="C9678" i="1"/>
  <c r="A9679" i="1"/>
  <c r="C9679" i="1"/>
  <c r="A9680" i="1"/>
  <c r="C9680" i="1"/>
  <c r="A9681" i="1"/>
  <c r="C9681" i="1"/>
  <c r="A9682" i="1"/>
  <c r="C9682" i="1"/>
  <c r="A9683" i="1"/>
  <c r="C9683" i="1"/>
  <c r="A9684" i="1"/>
  <c r="C9684" i="1"/>
  <c r="A9685" i="1"/>
  <c r="C9685" i="1"/>
  <c r="A9686" i="1"/>
  <c r="C9686" i="1"/>
  <c r="A9687" i="1"/>
  <c r="C9687" i="1"/>
  <c r="A9688" i="1"/>
  <c r="C9688" i="1"/>
  <c r="A9689" i="1"/>
  <c r="C9689" i="1"/>
  <c r="A9690" i="1"/>
  <c r="C9690" i="1"/>
  <c r="A9691" i="1"/>
  <c r="C9691" i="1"/>
  <c r="A9692" i="1"/>
  <c r="C9692" i="1"/>
  <c r="A9693" i="1"/>
  <c r="C9693" i="1"/>
  <c r="A9694" i="1"/>
  <c r="C9694" i="1"/>
  <c r="A9695" i="1"/>
  <c r="C9695" i="1"/>
  <c r="A9696" i="1"/>
  <c r="C9696" i="1"/>
  <c r="A9697" i="1"/>
  <c r="C9697" i="1"/>
  <c r="A9698" i="1"/>
  <c r="C9698" i="1"/>
  <c r="A9699" i="1"/>
  <c r="C9699" i="1"/>
  <c r="A9700" i="1"/>
  <c r="C9700" i="1"/>
  <c r="A9701" i="1"/>
  <c r="C9701" i="1"/>
  <c r="A9702" i="1"/>
  <c r="C9702" i="1"/>
  <c r="A9703" i="1"/>
  <c r="C9703" i="1"/>
  <c r="A9704" i="1"/>
  <c r="C9704" i="1"/>
  <c r="A9705" i="1"/>
  <c r="C9705" i="1"/>
  <c r="A9706" i="1"/>
  <c r="C9706" i="1"/>
  <c r="A9707" i="1"/>
  <c r="C9707" i="1"/>
  <c r="A9708" i="1"/>
  <c r="C9708" i="1"/>
  <c r="A9709" i="1"/>
  <c r="C9709" i="1"/>
  <c r="A9710" i="1"/>
  <c r="C9710" i="1"/>
  <c r="A9711" i="1"/>
  <c r="C9711" i="1"/>
  <c r="A9712" i="1"/>
  <c r="C9712" i="1"/>
  <c r="A9713" i="1"/>
  <c r="C9713" i="1"/>
  <c r="A9714" i="1"/>
  <c r="C9714" i="1"/>
  <c r="A9715" i="1"/>
  <c r="C9715" i="1"/>
  <c r="A9716" i="1"/>
  <c r="C9716" i="1"/>
  <c r="A9717" i="1"/>
  <c r="C9717" i="1"/>
  <c r="A9718" i="1"/>
  <c r="C9718" i="1"/>
  <c r="A9719" i="1"/>
  <c r="C9719" i="1"/>
  <c r="A9720" i="1"/>
  <c r="C9720" i="1"/>
  <c r="A9721" i="1"/>
  <c r="C9721" i="1"/>
  <c r="A9722" i="1"/>
  <c r="C9722" i="1"/>
  <c r="A9723" i="1"/>
  <c r="C9723" i="1"/>
  <c r="A9724" i="1"/>
  <c r="C9724" i="1"/>
  <c r="A9725" i="1"/>
  <c r="C9725" i="1"/>
  <c r="A9726" i="1"/>
  <c r="C9726" i="1"/>
  <c r="A9727" i="1"/>
  <c r="C9727" i="1"/>
  <c r="A9728" i="1"/>
  <c r="C9728" i="1"/>
  <c r="A9729" i="1"/>
  <c r="C9729" i="1"/>
  <c r="A9730" i="1"/>
  <c r="C9730" i="1"/>
  <c r="A9731" i="1"/>
  <c r="C9731" i="1"/>
  <c r="A9732" i="1"/>
  <c r="C9732" i="1"/>
  <c r="A9733" i="1"/>
  <c r="C9733" i="1"/>
  <c r="A9734" i="1"/>
  <c r="C9734" i="1"/>
  <c r="A9735" i="1"/>
  <c r="C9735" i="1"/>
  <c r="A9736" i="1"/>
  <c r="C9736" i="1"/>
  <c r="A9737" i="1"/>
  <c r="C9737" i="1"/>
  <c r="A9738" i="1"/>
  <c r="C9738" i="1"/>
  <c r="A9739" i="1"/>
  <c r="C9739" i="1"/>
  <c r="A9740" i="1"/>
  <c r="C9740" i="1"/>
  <c r="A9741" i="1"/>
  <c r="C9741" i="1"/>
  <c r="A9742" i="1"/>
  <c r="C9742" i="1"/>
  <c r="A9743" i="1"/>
  <c r="C9743" i="1"/>
  <c r="A9744" i="1"/>
  <c r="C9744" i="1"/>
  <c r="A9745" i="1"/>
  <c r="C9745" i="1"/>
  <c r="A9746" i="1"/>
  <c r="C9746" i="1"/>
  <c r="A9747" i="1"/>
  <c r="C9747" i="1"/>
  <c r="A9748" i="1"/>
  <c r="C9748" i="1"/>
  <c r="A9749" i="1"/>
  <c r="C9749" i="1"/>
  <c r="A9750" i="1"/>
  <c r="C9750" i="1"/>
  <c r="A9751" i="1"/>
  <c r="C9751" i="1"/>
  <c r="A9752" i="1"/>
  <c r="C9752" i="1"/>
  <c r="A9753" i="1"/>
  <c r="C9753" i="1"/>
  <c r="A9754" i="1"/>
  <c r="C9754" i="1"/>
  <c r="A9755" i="1"/>
  <c r="C9755" i="1"/>
  <c r="A9756" i="1"/>
  <c r="C9756" i="1"/>
  <c r="A9757" i="1"/>
  <c r="C9757" i="1"/>
  <c r="A9758" i="1"/>
  <c r="C9758" i="1"/>
  <c r="A9759" i="1"/>
  <c r="C9759" i="1"/>
  <c r="A9760" i="1"/>
  <c r="C9760" i="1"/>
  <c r="A9761" i="1"/>
  <c r="C9761" i="1"/>
  <c r="A9762" i="1"/>
  <c r="C9762" i="1"/>
  <c r="A9763" i="1"/>
  <c r="C9763" i="1"/>
  <c r="A9764" i="1"/>
  <c r="C9764" i="1"/>
  <c r="A9765" i="1"/>
  <c r="C9765" i="1"/>
  <c r="A9766" i="1"/>
  <c r="C9766" i="1"/>
  <c r="A9767" i="1"/>
  <c r="C9767" i="1"/>
  <c r="A9768" i="1"/>
  <c r="C9768" i="1"/>
  <c r="A9769" i="1"/>
  <c r="C9769" i="1"/>
  <c r="A9770" i="1"/>
  <c r="C9770" i="1"/>
  <c r="A9771" i="1"/>
  <c r="C9771" i="1"/>
  <c r="A9772" i="1"/>
  <c r="C9772" i="1"/>
  <c r="A9773" i="1"/>
  <c r="C9773" i="1"/>
  <c r="A9774" i="1"/>
  <c r="C9774" i="1"/>
  <c r="A9775" i="1"/>
  <c r="C9775" i="1"/>
  <c r="A9776" i="1"/>
  <c r="C9776" i="1"/>
  <c r="A9777" i="1"/>
  <c r="C9777" i="1"/>
  <c r="A9778" i="1"/>
  <c r="C9778" i="1"/>
  <c r="A9779" i="1"/>
  <c r="C9779" i="1"/>
  <c r="A9780" i="1"/>
  <c r="C9780" i="1"/>
  <c r="A9781" i="1"/>
  <c r="C9781" i="1"/>
  <c r="A9782" i="1"/>
  <c r="C9782" i="1"/>
  <c r="A9783" i="1"/>
  <c r="C9783" i="1"/>
  <c r="A9784" i="1"/>
  <c r="C9784" i="1"/>
  <c r="A9785" i="1"/>
  <c r="C9785" i="1"/>
  <c r="A9786" i="1"/>
  <c r="C9786" i="1"/>
  <c r="A9787" i="1"/>
  <c r="C9787" i="1"/>
  <c r="A9788" i="1"/>
  <c r="C9788" i="1"/>
  <c r="A9789" i="1"/>
  <c r="C9789" i="1"/>
  <c r="A9790" i="1"/>
  <c r="C9790" i="1"/>
  <c r="A9791" i="1"/>
  <c r="C9791" i="1"/>
  <c r="A9792" i="1"/>
  <c r="C9792" i="1"/>
  <c r="A9793" i="1"/>
  <c r="C9793" i="1"/>
  <c r="A9794" i="1"/>
  <c r="C9794" i="1"/>
  <c r="A9795" i="1"/>
  <c r="C9795" i="1"/>
  <c r="A9796" i="1"/>
  <c r="C9796" i="1"/>
  <c r="A9797" i="1"/>
  <c r="C9797" i="1"/>
  <c r="A9798" i="1"/>
  <c r="C9798" i="1"/>
  <c r="A9799" i="1"/>
  <c r="C9799" i="1"/>
  <c r="A9800" i="1"/>
  <c r="C9800" i="1"/>
  <c r="A9801" i="1"/>
  <c r="C9801" i="1"/>
  <c r="A9802" i="1"/>
  <c r="C9802" i="1"/>
  <c r="A9803" i="1"/>
  <c r="C9803" i="1"/>
  <c r="A9804" i="1"/>
  <c r="C9804" i="1"/>
  <c r="A9805" i="1"/>
  <c r="C9805" i="1"/>
  <c r="A9806" i="1"/>
  <c r="C9806" i="1"/>
  <c r="A9807" i="1"/>
  <c r="C9807" i="1"/>
  <c r="A9808" i="1"/>
  <c r="C9808" i="1"/>
  <c r="A9809" i="1"/>
  <c r="C9809" i="1"/>
  <c r="A9810" i="1"/>
  <c r="C9810" i="1"/>
  <c r="A9811" i="1"/>
  <c r="C9811" i="1"/>
  <c r="A9812" i="1"/>
  <c r="C9812" i="1"/>
  <c r="A9813" i="1"/>
  <c r="C9813" i="1"/>
  <c r="A9814" i="1"/>
  <c r="C9814" i="1"/>
  <c r="A9815" i="1"/>
  <c r="C9815" i="1"/>
  <c r="A9816" i="1"/>
  <c r="C9816" i="1"/>
  <c r="A9817" i="1"/>
  <c r="C9817" i="1"/>
  <c r="A9818" i="1"/>
  <c r="C9818" i="1"/>
  <c r="A9819" i="1"/>
  <c r="C9819" i="1"/>
  <c r="A9820" i="1"/>
  <c r="C9820" i="1"/>
  <c r="A9821" i="1"/>
  <c r="C9821" i="1"/>
  <c r="A9822" i="1"/>
  <c r="C9822" i="1"/>
  <c r="A9823" i="1"/>
  <c r="C9823" i="1"/>
  <c r="A9824" i="1"/>
  <c r="C9824" i="1"/>
  <c r="A9825" i="1"/>
  <c r="C9825" i="1"/>
  <c r="A9826" i="1"/>
  <c r="C9826" i="1"/>
  <c r="A9827" i="1"/>
  <c r="C9827" i="1"/>
  <c r="A9828" i="1"/>
  <c r="C9828" i="1"/>
  <c r="A9829" i="1"/>
  <c r="C9829" i="1"/>
  <c r="A9830" i="1"/>
  <c r="C9830" i="1"/>
  <c r="A9831" i="1"/>
  <c r="C9831" i="1"/>
  <c r="A9832" i="1"/>
  <c r="C9832" i="1"/>
  <c r="A9833" i="1"/>
  <c r="C9833" i="1"/>
  <c r="A9834" i="1"/>
  <c r="C9834" i="1"/>
  <c r="A9835" i="1"/>
  <c r="C9835" i="1"/>
  <c r="A9836" i="1"/>
  <c r="C9836" i="1"/>
  <c r="A9837" i="1"/>
  <c r="C9837" i="1"/>
  <c r="A9838" i="1"/>
  <c r="C9838" i="1"/>
  <c r="A9839" i="1"/>
  <c r="C9839" i="1"/>
  <c r="A9840" i="1"/>
  <c r="C9840" i="1"/>
  <c r="A9841" i="1"/>
  <c r="C9841" i="1"/>
  <c r="A9842" i="1"/>
  <c r="C9842" i="1"/>
  <c r="A9843" i="1"/>
  <c r="C9843" i="1"/>
  <c r="A9844" i="1"/>
  <c r="C9844" i="1"/>
  <c r="A9845" i="1"/>
  <c r="C9845" i="1"/>
  <c r="A9846" i="1"/>
  <c r="C9846" i="1"/>
  <c r="A9847" i="1"/>
  <c r="C9847" i="1"/>
  <c r="A9848" i="1"/>
  <c r="C9848" i="1"/>
  <c r="A9849" i="1"/>
  <c r="C9849" i="1"/>
  <c r="A9850" i="1"/>
  <c r="C9850" i="1"/>
  <c r="A9851" i="1"/>
  <c r="C9851" i="1"/>
  <c r="A9852" i="1"/>
  <c r="C9852" i="1"/>
  <c r="A9853" i="1"/>
  <c r="C9853" i="1"/>
  <c r="A9854" i="1"/>
  <c r="C9854" i="1"/>
  <c r="A9855" i="1"/>
  <c r="C9855" i="1"/>
  <c r="A9856" i="1"/>
  <c r="C9856" i="1"/>
  <c r="A9857" i="1"/>
  <c r="C9857" i="1"/>
  <c r="A9858" i="1"/>
  <c r="C9858" i="1"/>
  <c r="A9859" i="1"/>
  <c r="C9859" i="1"/>
  <c r="A9860" i="1"/>
  <c r="C9860" i="1"/>
  <c r="A9861" i="1"/>
  <c r="C9861" i="1"/>
  <c r="A9862" i="1"/>
  <c r="C9862" i="1"/>
  <c r="A9863" i="1"/>
  <c r="C9863" i="1"/>
  <c r="A9864" i="1"/>
  <c r="C9864" i="1"/>
  <c r="A9865" i="1"/>
  <c r="C9865" i="1"/>
  <c r="A9866" i="1"/>
  <c r="C9866" i="1"/>
  <c r="A9867" i="1"/>
  <c r="C9867" i="1"/>
  <c r="A9868" i="1"/>
  <c r="C9868" i="1"/>
  <c r="A9869" i="1"/>
  <c r="C9869" i="1"/>
  <c r="A9870" i="1"/>
  <c r="C9870" i="1"/>
  <c r="A9871" i="1"/>
  <c r="C9871" i="1"/>
  <c r="A9872" i="1"/>
  <c r="C9872" i="1"/>
  <c r="A9873" i="1"/>
  <c r="C9873" i="1"/>
  <c r="A9874" i="1"/>
  <c r="C9874" i="1"/>
  <c r="A9875" i="1"/>
  <c r="C9875" i="1"/>
  <c r="A9876" i="1"/>
  <c r="C9876" i="1"/>
  <c r="A9877" i="1"/>
  <c r="C9877" i="1"/>
  <c r="A9878" i="1"/>
  <c r="C9878" i="1"/>
  <c r="A9879" i="1"/>
  <c r="C9879" i="1"/>
  <c r="A9880" i="1"/>
  <c r="C9880" i="1"/>
  <c r="A9881" i="1"/>
  <c r="C9881" i="1"/>
  <c r="A9882" i="1"/>
  <c r="C9882" i="1"/>
  <c r="A9883" i="1"/>
  <c r="C9883" i="1"/>
  <c r="A9884" i="1"/>
  <c r="C9884" i="1"/>
  <c r="A9885" i="1"/>
  <c r="C9885" i="1"/>
  <c r="A9886" i="1"/>
  <c r="C9886" i="1"/>
  <c r="A9887" i="1"/>
  <c r="C9887" i="1"/>
  <c r="A9888" i="1"/>
  <c r="C9888" i="1"/>
  <c r="A9889" i="1"/>
  <c r="C9889" i="1"/>
  <c r="A9890" i="1"/>
  <c r="C9890" i="1"/>
  <c r="A9891" i="1"/>
  <c r="C9891" i="1"/>
  <c r="A9892" i="1"/>
  <c r="C9892" i="1"/>
  <c r="A9893" i="1"/>
  <c r="C9893" i="1"/>
  <c r="A9894" i="1"/>
  <c r="C9894" i="1"/>
  <c r="A9895" i="1"/>
  <c r="C9895" i="1"/>
  <c r="A9896" i="1"/>
  <c r="C9896" i="1"/>
  <c r="A9897" i="1"/>
  <c r="C9897" i="1"/>
  <c r="A9898" i="1"/>
  <c r="C9898" i="1"/>
  <c r="A9899" i="1"/>
  <c r="C9899" i="1"/>
  <c r="A9900" i="1"/>
  <c r="C9900" i="1"/>
  <c r="A9901" i="1"/>
  <c r="C9901" i="1"/>
  <c r="A9902" i="1"/>
  <c r="C9902" i="1"/>
  <c r="A9903" i="1"/>
  <c r="C9903" i="1"/>
  <c r="A9904" i="1"/>
  <c r="C9904" i="1"/>
  <c r="A9905" i="1"/>
  <c r="C9905" i="1"/>
  <c r="A9906" i="1"/>
  <c r="C9906" i="1"/>
  <c r="A9907" i="1"/>
  <c r="C9907" i="1"/>
  <c r="A9908" i="1"/>
  <c r="C9908" i="1"/>
  <c r="A9909" i="1"/>
  <c r="C9909" i="1"/>
  <c r="A9910" i="1"/>
  <c r="C9910" i="1"/>
  <c r="A9911" i="1"/>
  <c r="C9911" i="1"/>
  <c r="A9912" i="1"/>
  <c r="C9912" i="1"/>
  <c r="A9913" i="1"/>
  <c r="C9913" i="1"/>
  <c r="A9914" i="1"/>
  <c r="C9914" i="1"/>
  <c r="A9915" i="1"/>
  <c r="C9915" i="1"/>
  <c r="A9916" i="1"/>
  <c r="C9916" i="1"/>
  <c r="A9917" i="1"/>
  <c r="C9917" i="1"/>
  <c r="A9918" i="1"/>
  <c r="C9918" i="1"/>
  <c r="A9919" i="1"/>
  <c r="C9919" i="1"/>
  <c r="A9920" i="1"/>
  <c r="C9920" i="1"/>
  <c r="A9921" i="1"/>
  <c r="C9921" i="1"/>
  <c r="A9922" i="1"/>
  <c r="C9922" i="1"/>
  <c r="A9923" i="1"/>
  <c r="C9923" i="1"/>
  <c r="A9924" i="1"/>
  <c r="C9924" i="1"/>
  <c r="A9925" i="1"/>
  <c r="C9925" i="1"/>
  <c r="A9926" i="1"/>
  <c r="C9926" i="1"/>
  <c r="A9927" i="1"/>
  <c r="C9927" i="1"/>
  <c r="A9928" i="1"/>
  <c r="C9928" i="1"/>
  <c r="A9929" i="1"/>
  <c r="C9929" i="1"/>
  <c r="A9930" i="1"/>
  <c r="C9930" i="1"/>
  <c r="A9931" i="1"/>
  <c r="C9931" i="1"/>
  <c r="A9932" i="1"/>
  <c r="C9932" i="1"/>
  <c r="A9933" i="1"/>
  <c r="C9933" i="1"/>
  <c r="A9934" i="1"/>
  <c r="C9934" i="1"/>
  <c r="A9935" i="1"/>
  <c r="C9935" i="1"/>
  <c r="A9936" i="1"/>
  <c r="C9936" i="1"/>
  <c r="A9937" i="1"/>
  <c r="C9937" i="1"/>
  <c r="A9938" i="1"/>
  <c r="C9938" i="1"/>
  <c r="A9939" i="1"/>
  <c r="C9939" i="1"/>
  <c r="A9940" i="1"/>
  <c r="C9940" i="1"/>
  <c r="A9941" i="1"/>
  <c r="C9941" i="1"/>
  <c r="A9942" i="1"/>
  <c r="C9942" i="1"/>
  <c r="A9943" i="1"/>
  <c r="C9943" i="1"/>
  <c r="A9944" i="1"/>
  <c r="C9944" i="1"/>
  <c r="A9945" i="1"/>
  <c r="C9945" i="1"/>
  <c r="A9946" i="1"/>
  <c r="C9946" i="1"/>
  <c r="A9947" i="1"/>
  <c r="C9947" i="1"/>
  <c r="A9948" i="1"/>
  <c r="C9948" i="1"/>
  <c r="A9949" i="1"/>
  <c r="C9949" i="1"/>
  <c r="A9950" i="1"/>
  <c r="C9950" i="1"/>
  <c r="A9951" i="1"/>
  <c r="C9951" i="1"/>
  <c r="A9952" i="1"/>
  <c r="C9952" i="1"/>
  <c r="A9953" i="1"/>
  <c r="C9953" i="1"/>
  <c r="A9954" i="1"/>
  <c r="C9954" i="1"/>
  <c r="A9955" i="1"/>
  <c r="C9955" i="1"/>
  <c r="A9956" i="1"/>
  <c r="C9956" i="1"/>
  <c r="A9957" i="1"/>
  <c r="C9957" i="1"/>
  <c r="A9958" i="1"/>
  <c r="C9958" i="1"/>
  <c r="A9959" i="1"/>
  <c r="C9959" i="1"/>
  <c r="A9960" i="1"/>
  <c r="C9960" i="1"/>
  <c r="A9961" i="1"/>
  <c r="C9961" i="1"/>
  <c r="A9962" i="1"/>
  <c r="C9962" i="1"/>
  <c r="A9963" i="1"/>
  <c r="C9963" i="1"/>
  <c r="A9964" i="1"/>
  <c r="C9964" i="1"/>
  <c r="A9965" i="1"/>
  <c r="C9965" i="1"/>
  <c r="A9966" i="1"/>
  <c r="C9966" i="1"/>
  <c r="A9967" i="1"/>
  <c r="C9967" i="1"/>
  <c r="A9968" i="1"/>
  <c r="C9968" i="1"/>
  <c r="A9969" i="1"/>
  <c r="C9969" i="1"/>
  <c r="A9970" i="1"/>
  <c r="C9970" i="1"/>
  <c r="A9971" i="1"/>
  <c r="C9971" i="1"/>
  <c r="A9972" i="1"/>
  <c r="C9972" i="1"/>
  <c r="A9973" i="1"/>
  <c r="C9973" i="1"/>
  <c r="A9974" i="1"/>
  <c r="C9974" i="1"/>
  <c r="A9975" i="1"/>
  <c r="C9975" i="1"/>
  <c r="A9976" i="1"/>
  <c r="C9976" i="1"/>
  <c r="A9977" i="1"/>
  <c r="C9977" i="1"/>
  <c r="A9978" i="1"/>
  <c r="C9978" i="1"/>
  <c r="A9979" i="1"/>
  <c r="C9979" i="1"/>
  <c r="A9980" i="1"/>
  <c r="C9980" i="1"/>
  <c r="A9981" i="1"/>
  <c r="C9981" i="1"/>
  <c r="A9982" i="1"/>
  <c r="C9982" i="1"/>
  <c r="A9983" i="1"/>
  <c r="C9983" i="1"/>
  <c r="A9984" i="1"/>
  <c r="C9984" i="1"/>
  <c r="A9985" i="1"/>
  <c r="C9985" i="1"/>
  <c r="A9986" i="1"/>
  <c r="C9986" i="1"/>
  <c r="A9987" i="1"/>
  <c r="C9987" i="1"/>
  <c r="A9988" i="1"/>
  <c r="C9988" i="1"/>
  <c r="A9989" i="1"/>
  <c r="C9989" i="1"/>
  <c r="A9990" i="1"/>
  <c r="C9990" i="1"/>
  <c r="A9991" i="1"/>
  <c r="C9991" i="1"/>
  <c r="A9992" i="1"/>
  <c r="C9992" i="1"/>
  <c r="A9993" i="1"/>
  <c r="C9993" i="1"/>
  <c r="A9994" i="1"/>
  <c r="C9994" i="1"/>
  <c r="A9995" i="1"/>
  <c r="C9995" i="1"/>
  <c r="A9996" i="1"/>
  <c r="C9996" i="1"/>
  <c r="A9997" i="1"/>
  <c r="C9997" i="1"/>
  <c r="A9998" i="1"/>
  <c r="C9998" i="1"/>
  <c r="A9999" i="1"/>
  <c r="C9999" i="1"/>
  <c r="A10000" i="1"/>
  <c r="C10000" i="1"/>
  <c r="A10001" i="1"/>
  <c r="C10001" i="1"/>
  <c r="A10002" i="1"/>
  <c r="C10002" i="1"/>
  <c r="A10003" i="1"/>
  <c r="C10003" i="1"/>
  <c r="A10004" i="1"/>
  <c r="C10004" i="1"/>
  <c r="A10005" i="1"/>
  <c r="C10005" i="1"/>
  <c r="A10006" i="1"/>
  <c r="C10006" i="1"/>
  <c r="A10007" i="1"/>
  <c r="C10007" i="1"/>
  <c r="A10008" i="1"/>
  <c r="C10008" i="1"/>
  <c r="A10009" i="1"/>
  <c r="C10009" i="1"/>
  <c r="A10010" i="1"/>
  <c r="C10010" i="1"/>
  <c r="A10011" i="1"/>
  <c r="C10011" i="1"/>
  <c r="A10012" i="1"/>
  <c r="C10012" i="1"/>
  <c r="A10013" i="1"/>
  <c r="C10013" i="1"/>
  <c r="A10014" i="1"/>
  <c r="C10014" i="1"/>
  <c r="A10015" i="1"/>
  <c r="C10015" i="1"/>
  <c r="A10016" i="1"/>
  <c r="C10016" i="1"/>
  <c r="A10017" i="1"/>
  <c r="C10017" i="1"/>
  <c r="A10018" i="1"/>
  <c r="C10018" i="1"/>
  <c r="A10019" i="1"/>
  <c r="C10019" i="1"/>
  <c r="A10020" i="1"/>
  <c r="C10020" i="1"/>
  <c r="A10021" i="1"/>
  <c r="C10021" i="1"/>
  <c r="A10022" i="1"/>
  <c r="C10022" i="1"/>
  <c r="A10023" i="1"/>
  <c r="C10023" i="1"/>
  <c r="A10024" i="1"/>
  <c r="C10024" i="1"/>
  <c r="A10025" i="1"/>
  <c r="C10025" i="1"/>
  <c r="A10026" i="1"/>
  <c r="C10026" i="1"/>
  <c r="A10027" i="1"/>
  <c r="C10027" i="1"/>
  <c r="A10028" i="1"/>
  <c r="C10028" i="1"/>
  <c r="A10029" i="1"/>
  <c r="C10029" i="1"/>
  <c r="A10030" i="1"/>
  <c r="C10030" i="1"/>
  <c r="A10031" i="1"/>
  <c r="C10031" i="1"/>
  <c r="A10032" i="1"/>
  <c r="C10032" i="1"/>
  <c r="A10033" i="1"/>
  <c r="C10033" i="1"/>
  <c r="A10034" i="1"/>
  <c r="C10034" i="1"/>
  <c r="A10035" i="1"/>
  <c r="C10035" i="1"/>
  <c r="A10036" i="1"/>
  <c r="C10036" i="1"/>
  <c r="A10037" i="1"/>
  <c r="C10037" i="1"/>
  <c r="A10038" i="1"/>
  <c r="C10038" i="1"/>
  <c r="A10039" i="1"/>
  <c r="C10039" i="1"/>
  <c r="A10040" i="1"/>
  <c r="C10040" i="1"/>
  <c r="A10041" i="1"/>
  <c r="C10041" i="1"/>
  <c r="A10042" i="1"/>
  <c r="C10042" i="1"/>
  <c r="A10043" i="1"/>
  <c r="C10043" i="1"/>
  <c r="A10044" i="1"/>
  <c r="C10044" i="1"/>
  <c r="A10045" i="1"/>
  <c r="C10045" i="1"/>
  <c r="A10046" i="1"/>
  <c r="C10046" i="1"/>
  <c r="A10047" i="1"/>
  <c r="C10047" i="1"/>
  <c r="A10048" i="1"/>
  <c r="C10048" i="1"/>
  <c r="A10049" i="1"/>
  <c r="C10049" i="1"/>
  <c r="A10050" i="1"/>
  <c r="C10050" i="1"/>
  <c r="A10051" i="1"/>
  <c r="C10051" i="1"/>
  <c r="A10052" i="1"/>
  <c r="C10052" i="1"/>
  <c r="A10053" i="1"/>
  <c r="C10053" i="1"/>
  <c r="A10054" i="1"/>
  <c r="C10054" i="1"/>
  <c r="A10055" i="1"/>
  <c r="C10055" i="1"/>
  <c r="A10056" i="1"/>
  <c r="C10056" i="1"/>
  <c r="A10057" i="1"/>
  <c r="C10057" i="1"/>
  <c r="A10058" i="1"/>
  <c r="C10058" i="1"/>
  <c r="A10059" i="1"/>
  <c r="C10059" i="1"/>
  <c r="A10060" i="1"/>
  <c r="C10060" i="1"/>
  <c r="A10061" i="1"/>
  <c r="C10061" i="1"/>
  <c r="A10062" i="1"/>
  <c r="C10062" i="1"/>
  <c r="A10063" i="1"/>
  <c r="C10063" i="1"/>
  <c r="A10064" i="1"/>
  <c r="C10064" i="1"/>
  <c r="A10065" i="1"/>
  <c r="C10065" i="1"/>
  <c r="A10066" i="1"/>
  <c r="C10066" i="1"/>
  <c r="A10067" i="1"/>
  <c r="C10067" i="1"/>
  <c r="A10068" i="1"/>
  <c r="C10068" i="1"/>
  <c r="A10069" i="1"/>
  <c r="C10069" i="1"/>
  <c r="A10070" i="1"/>
  <c r="C10070" i="1"/>
  <c r="A10071" i="1"/>
  <c r="C10071" i="1"/>
  <c r="A10072" i="1"/>
  <c r="C10072" i="1"/>
  <c r="A10073" i="1"/>
  <c r="C10073" i="1"/>
  <c r="A10074" i="1"/>
  <c r="C10074" i="1"/>
  <c r="A10075" i="1"/>
  <c r="C10075" i="1"/>
  <c r="A10076" i="1"/>
  <c r="C10076" i="1"/>
  <c r="A10077" i="1"/>
  <c r="C10077" i="1"/>
  <c r="A10078" i="1"/>
  <c r="C10078" i="1"/>
  <c r="A10079" i="1"/>
  <c r="C10079" i="1"/>
  <c r="A10080" i="1"/>
  <c r="C10080" i="1"/>
  <c r="A10081" i="1"/>
  <c r="C10081" i="1"/>
  <c r="A10082" i="1"/>
  <c r="C10082" i="1"/>
  <c r="A10083" i="1"/>
  <c r="C10083" i="1"/>
  <c r="A10084" i="1"/>
  <c r="C10084" i="1"/>
  <c r="A10085" i="1"/>
  <c r="C10085" i="1"/>
  <c r="A10086" i="1"/>
  <c r="C10086" i="1"/>
  <c r="A10087" i="1"/>
  <c r="C10087" i="1"/>
  <c r="A10088" i="1"/>
  <c r="C10088" i="1"/>
  <c r="A10089" i="1"/>
  <c r="C10089" i="1"/>
  <c r="A10090" i="1"/>
  <c r="C10090" i="1"/>
  <c r="A10091" i="1"/>
  <c r="C10091" i="1"/>
  <c r="A10092" i="1"/>
  <c r="C10092" i="1"/>
  <c r="A10093" i="1"/>
  <c r="C10093" i="1"/>
  <c r="A10094" i="1"/>
  <c r="C10094" i="1"/>
  <c r="A10095" i="1"/>
  <c r="C10095" i="1"/>
  <c r="A10096" i="1"/>
  <c r="C10096" i="1"/>
  <c r="A10097" i="1"/>
  <c r="C10097" i="1"/>
  <c r="A10098" i="1"/>
  <c r="C10098" i="1"/>
  <c r="A10099" i="1"/>
  <c r="C10099" i="1"/>
  <c r="A10100" i="1"/>
  <c r="C10100" i="1"/>
  <c r="A10101" i="1"/>
  <c r="C10101" i="1"/>
  <c r="A10102" i="1"/>
  <c r="C10102" i="1"/>
  <c r="A10103" i="1"/>
  <c r="C10103" i="1"/>
  <c r="A10104" i="1"/>
  <c r="C10104" i="1"/>
  <c r="A10105" i="1"/>
  <c r="C10105" i="1"/>
  <c r="A10106" i="1"/>
  <c r="C10106" i="1"/>
  <c r="A10107" i="1"/>
  <c r="C10107" i="1"/>
  <c r="A10108" i="1"/>
  <c r="C10108" i="1"/>
  <c r="A10109" i="1"/>
  <c r="C10109" i="1"/>
  <c r="A10110" i="1"/>
  <c r="C10110" i="1"/>
  <c r="A10111" i="1"/>
  <c r="C10111" i="1"/>
  <c r="A10112" i="1"/>
  <c r="C10112" i="1"/>
  <c r="A10113" i="1"/>
  <c r="C10113" i="1"/>
  <c r="A10114" i="1"/>
  <c r="C10114" i="1"/>
  <c r="A10115" i="1"/>
  <c r="C10115" i="1"/>
  <c r="A10116" i="1"/>
  <c r="C10116" i="1"/>
  <c r="A10117" i="1"/>
  <c r="C10117" i="1"/>
  <c r="A10118" i="1"/>
  <c r="C10118" i="1"/>
  <c r="A10119" i="1"/>
  <c r="C10119" i="1"/>
  <c r="A10120" i="1"/>
  <c r="C10120" i="1"/>
  <c r="A10121" i="1"/>
  <c r="C10121" i="1"/>
  <c r="A10122" i="1"/>
  <c r="C10122" i="1"/>
  <c r="A10123" i="1"/>
  <c r="C10123" i="1"/>
  <c r="A10124" i="1"/>
  <c r="C10124" i="1"/>
  <c r="A10125" i="1"/>
  <c r="C10125" i="1"/>
  <c r="A10126" i="1"/>
  <c r="C10126" i="1"/>
  <c r="A10127" i="1"/>
  <c r="C10127" i="1"/>
  <c r="A10128" i="1"/>
  <c r="C10128" i="1"/>
  <c r="A10129" i="1"/>
  <c r="C10129" i="1"/>
  <c r="A10130" i="1"/>
  <c r="C10130" i="1"/>
  <c r="A10131" i="1"/>
  <c r="C10131" i="1"/>
  <c r="A10132" i="1"/>
  <c r="C10132" i="1"/>
  <c r="A10133" i="1"/>
  <c r="C10133" i="1"/>
  <c r="A10134" i="1"/>
  <c r="C10134" i="1"/>
  <c r="A10135" i="1"/>
  <c r="C10135" i="1"/>
  <c r="A10136" i="1"/>
  <c r="C10136" i="1"/>
  <c r="A10137" i="1"/>
  <c r="C10137" i="1"/>
  <c r="A10138" i="1"/>
  <c r="C10138" i="1"/>
  <c r="A10139" i="1"/>
  <c r="C10139" i="1"/>
  <c r="A10140" i="1"/>
  <c r="C10140" i="1"/>
  <c r="A10141" i="1"/>
  <c r="C10141" i="1"/>
  <c r="A10142" i="1"/>
  <c r="C10142" i="1"/>
  <c r="A10143" i="1"/>
  <c r="C10143" i="1"/>
  <c r="A10144" i="1"/>
  <c r="C10144" i="1"/>
  <c r="A10145" i="1"/>
  <c r="C10145" i="1"/>
  <c r="A10146" i="1"/>
  <c r="C10146" i="1"/>
  <c r="A10147" i="1"/>
  <c r="C10147" i="1"/>
  <c r="A10148" i="1"/>
  <c r="C10148" i="1"/>
  <c r="A10149" i="1"/>
  <c r="C10149" i="1"/>
  <c r="A10150" i="1"/>
  <c r="C10150" i="1"/>
  <c r="A10151" i="1"/>
  <c r="C10151" i="1"/>
  <c r="A10152" i="1"/>
  <c r="C10152" i="1"/>
  <c r="A10153" i="1"/>
  <c r="C10153" i="1"/>
  <c r="A10154" i="1"/>
  <c r="C10154" i="1"/>
  <c r="A10155" i="1"/>
  <c r="C10155" i="1"/>
  <c r="A10156" i="1"/>
  <c r="C10156" i="1"/>
  <c r="A10157" i="1"/>
  <c r="C10157" i="1"/>
  <c r="A10158" i="1"/>
  <c r="C10158" i="1"/>
  <c r="A10159" i="1"/>
  <c r="C10159" i="1"/>
  <c r="A10160" i="1"/>
  <c r="C10160" i="1"/>
  <c r="A10161" i="1"/>
  <c r="C10161" i="1"/>
  <c r="A10162" i="1"/>
  <c r="C10162" i="1"/>
  <c r="A10163" i="1"/>
  <c r="C10163" i="1"/>
  <c r="A10164" i="1"/>
  <c r="C10164" i="1"/>
  <c r="A10165" i="1"/>
  <c r="C10165" i="1"/>
  <c r="A10166" i="1"/>
  <c r="C10166" i="1"/>
  <c r="A10167" i="1"/>
  <c r="C10167" i="1"/>
  <c r="A10168" i="1"/>
  <c r="C10168" i="1"/>
  <c r="A10169" i="1"/>
  <c r="C10169" i="1"/>
  <c r="A10170" i="1"/>
  <c r="C10170" i="1"/>
  <c r="A10171" i="1"/>
  <c r="C10171" i="1"/>
  <c r="A10172" i="1"/>
  <c r="C10172" i="1"/>
  <c r="A10173" i="1"/>
  <c r="C10173" i="1"/>
  <c r="A10174" i="1"/>
  <c r="C10174" i="1"/>
  <c r="A10175" i="1"/>
  <c r="C10175" i="1"/>
  <c r="A10176" i="1"/>
  <c r="C10176" i="1"/>
  <c r="A10177" i="1"/>
  <c r="C10177" i="1"/>
  <c r="A10178" i="1"/>
  <c r="C10178" i="1"/>
  <c r="A10179" i="1"/>
  <c r="C10179" i="1"/>
  <c r="A10180" i="1"/>
  <c r="C10180" i="1"/>
  <c r="A10181" i="1"/>
  <c r="C10181" i="1"/>
  <c r="A10182" i="1"/>
  <c r="C10182" i="1"/>
  <c r="A10183" i="1"/>
  <c r="C10183" i="1"/>
  <c r="A10184" i="1"/>
  <c r="C10184" i="1"/>
  <c r="A10185" i="1"/>
  <c r="C10185" i="1"/>
  <c r="A10186" i="1"/>
  <c r="C10186" i="1"/>
  <c r="A10187" i="1"/>
  <c r="C10187" i="1"/>
  <c r="A10188" i="1"/>
  <c r="C10188" i="1"/>
  <c r="A10189" i="1"/>
  <c r="C10189" i="1"/>
  <c r="A10190" i="1"/>
  <c r="C10190" i="1"/>
  <c r="A10191" i="1"/>
  <c r="C10191" i="1"/>
  <c r="A10192" i="1"/>
  <c r="C10192" i="1"/>
  <c r="A10193" i="1"/>
  <c r="C10193" i="1"/>
  <c r="A10194" i="1"/>
  <c r="C10194" i="1"/>
  <c r="A10195" i="1"/>
  <c r="C10195" i="1"/>
  <c r="A10196" i="1"/>
  <c r="C10196" i="1"/>
  <c r="A10197" i="1"/>
  <c r="C10197" i="1"/>
  <c r="A10198" i="1"/>
  <c r="C10198" i="1"/>
  <c r="A10199" i="1"/>
  <c r="C10199" i="1"/>
  <c r="A10200" i="1"/>
  <c r="C10200" i="1"/>
  <c r="A10201" i="1"/>
  <c r="C10201" i="1"/>
  <c r="A10202" i="1"/>
  <c r="C10202" i="1"/>
  <c r="A10203" i="1"/>
  <c r="C10203" i="1"/>
  <c r="A10204" i="1"/>
  <c r="C10204" i="1"/>
  <c r="A10205" i="1"/>
  <c r="C10205" i="1"/>
  <c r="A10206" i="1"/>
  <c r="C10206" i="1"/>
  <c r="A10207" i="1"/>
  <c r="C10207" i="1"/>
  <c r="A10208" i="1"/>
  <c r="C10208" i="1"/>
  <c r="A10209" i="1"/>
  <c r="C10209" i="1"/>
  <c r="A10210" i="1"/>
  <c r="C10210" i="1"/>
  <c r="A10211" i="1"/>
  <c r="C10211" i="1"/>
  <c r="A10212" i="1"/>
  <c r="C10212" i="1"/>
  <c r="A10213" i="1"/>
  <c r="C10213" i="1"/>
  <c r="A10214" i="1"/>
  <c r="C10214" i="1"/>
  <c r="A10215" i="1"/>
  <c r="C10215" i="1"/>
  <c r="A10216" i="1"/>
  <c r="C10216" i="1"/>
  <c r="A10217" i="1"/>
  <c r="C10217" i="1"/>
  <c r="A10218" i="1"/>
  <c r="C10218" i="1"/>
  <c r="A10219" i="1"/>
  <c r="C10219" i="1"/>
  <c r="A10220" i="1"/>
  <c r="C10220" i="1"/>
  <c r="A10221" i="1"/>
  <c r="C10221" i="1"/>
  <c r="A10222" i="1"/>
  <c r="C10222" i="1"/>
  <c r="A10223" i="1"/>
  <c r="C10223" i="1"/>
  <c r="A10224" i="1"/>
  <c r="C10224" i="1"/>
  <c r="A10225" i="1"/>
  <c r="C10225" i="1"/>
  <c r="A10226" i="1"/>
  <c r="C10226" i="1"/>
  <c r="A10227" i="1"/>
  <c r="C10227" i="1"/>
  <c r="A10228" i="1"/>
  <c r="C10228" i="1"/>
  <c r="A10229" i="1"/>
  <c r="C10229" i="1"/>
  <c r="A10230" i="1"/>
  <c r="C10230" i="1"/>
  <c r="A10231" i="1"/>
  <c r="C10231" i="1"/>
  <c r="A10232" i="1"/>
  <c r="C10232" i="1"/>
  <c r="A10233" i="1"/>
  <c r="C10233" i="1"/>
  <c r="A10234" i="1"/>
  <c r="C10234" i="1"/>
  <c r="A10235" i="1"/>
  <c r="C10235" i="1"/>
  <c r="A10236" i="1"/>
  <c r="C10236" i="1"/>
  <c r="A10237" i="1"/>
  <c r="C10237" i="1"/>
  <c r="A10238" i="1"/>
  <c r="C10238" i="1"/>
  <c r="A10239" i="1"/>
  <c r="C10239" i="1"/>
  <c r="A10240" i="1"/>
  <c r="C10240" i="1"/>
  <c r="A10241" i="1"/>
  <c r="C10241" i="1"/>
  <c r="A10242" i="1"/>
  <c r="C10242" i="1"/>
  <c r="A10243" i="1"/>
  <c r="C10243" i="1"/>
  <c r="A10244" i="1"/>
  <c r="C10244" i="1"/>
  <c r="A10245" i="1"/>
  <c r="C10245" i="1"/>
  <c r="A10246" i="1"/>
  <c r="C10246" i="1"/>
  <c r="A10247" i="1"/>
  <c r="C10247" i="1"/>
  <c r="A10248" i="1"/>
  <c r="C10248" i="1"/>
  <c r="A10249" i="1"/>
  <c r="C10249" i="1"/>
  <c r="A10250" i="1"/>
  <c r="C10250" i="1"/>
  <c r="A10251" i="1"/>
  <c r="C10251" i="1"/>
  <c r="A10252" i="1"/>
  <c r="C10252" i="1"/>
  <c r="A10253" i="1"/>
  <c r="C10253" i="1"/>
  <c r="A10254" i="1"/>
  <c r="C10254" i="1"/>
  <c r="A10255" i="1"/>
  <c r="C10255" i="1"/>
  <c r="A10256" i="1"/>
  <c r="C10256" i="1"/>
  <c r="A10257" i="1"/>
  <c r="C10257" i="1"/>
  <c r="A10258" i="1"/>
  <c r="C10258" i="1"/>
  <c r="A10259" i="1"/>
  <c r="C10259" i="1"/>
  <c r="A10260" i="1"/>
  <c r="C10260" i="1"/>
  <c r="A10261" i="1"/>
  <c r="C10261" i="1"/>
  <c r="A10262" i="1"/>
  <c r="C10262" i="1"/>
  <c r="A10263" i="1"/>
  <c r="C10263" i="1"/>
  <c r="A10264" i="1"/>
  <c r="C10264" i="1"/>
  <c r="A10265" i="1"/>
  <c r="C10265" i="1"/>
  <c r="A10266" i="1"/>
  <c r="C10266" i="1"/>
  <c r="A10267" i="1"/>
  <c r="C10267" i="1"/>
  <c r="A10268" i="1"/>
  <c r="C10268" i="1"/>
  <c r="A10269" i="1"/>
  <c r="C10269" i="1"/>
  <c r="A10270" i="1"/>
  <c r="C10270" i="1"/>
  <c r="A10271" i="1"/>
  <c r="C10271" i="1"/>
  <c r="A10272" i="1"/>
  <c r="C10272" i="1"/>
  <c r="A10273" i="1"/>
  <c r="C10273" i="1"/>
  <c r="A10274" i="1"/>
  <c r="C10274" i="1"/>
  <c r="A10275" i="1"/>
  <c r="C10275" i="1"/>
  <c r="A10276" i="1"/>
  <c r="C10276" i="1"/>
  <c r="A10277" i="1"/>
  <c r="C10277" i="1"/>
  <c r="A10278" i="1"/>
  <c r="C10278" i="1"/>
  <c r="A10279" i="1"/>
  <c r="C10279" i="1"/>
  <c r="A10280" i="1"/>
  <c r="C10280" i="1"/>
  <c r="A10281" i="1"/>
  <c r="C10281" i="1"/>
  <c r="A10282" i="1"/>
  <c r="C10282" i="1"/>
  <c r="A10283" i="1"/>
  <c r="C10283" i="1"/>
  <c r="A10284" i="1"/>
  <c r="C10284" i="1"/>
  <c r="A10285" i="1"/>
  <c r="C10285" i="1"/>
  <c r="A10286" i="1"/>
  <c r="C10286" i="1"/>
  <c r="A10287" i="1"/>
  <c r="C10287" i="1"/>
  <c r="A10288" i="1"/>
  <c r="C10288" i="1"/>
  <c r="A10289" i="1"/>
  <c r="C10289" i="1"/>
  <c r="A10290" i="1"/>
  <c r="C10290" i="1"/>
  <c r="A10291" i="1"/>
  <c r="C10291" i="1"/>
  <c r="A10292" i="1"/>
  <c r="C10292" i="1"/>
  <c r="A10293" i="1"/>
  <c r="C10293" i="1"/>
  <c r="A10294" i="1"/>
  <c r="C10294" i="1"/>
  <c r="A10295" i="1"/>
  <c r="C10295" i="1"/>
  <c r="A10296" i="1"/>
  <c r="C10296" i="1"/>
  <c r="A10297" i="1"/>
  <c r="C10297" i="1"/>
  <c r="A10298" i="1"/>
  <c r="C10298" i="1"/>
  <c r="A10299" i="1"/>
  <c r="C10299" i="1"/>
  <c r="A10300" i="1"/>
  <c r="C10300" i="1"/>
  <c r="A10301" i="1"/>
  <c r="C10301" i="1"/>
  <c r="A10302" i="1"/>
  <c r="C10302" i="1"/>
  <c r="A10303" i="1"/>
  <c r="C10303" i="1"/>
  <c r="A10304" i="1"/>
  <c r="C10304" i="1"/>
  <c r="A10305" i="1"/>
  <c r="C10305" i="1"/>
  <c r="A10306" i="1"/>
  <c r="C10306" i="1"/>
  <c r="A10307" i="1"/>
  <c r="C10307" i="1"/>
  <c r="A10308" i="1"/>
  <c r="C10308" i="1"/>
  <c r="A10309" i="1"/>
  <c r="C10309" i="1"/>
  <c r="A10310" i="1"/>
  <c r="C10310" i="1"/>
  <c r="A10311" i="1"/>
  <c r="C10311" i="1"/>
  <c r="A10312" i="1"/>
  <c r="C10312" i="1"/>
  <c r="A10313" i="1"/>
  <c r="C10313" i="1"/>
  <c r="A10314" i="1"/>
  <c r="C10314" i="1"/>
  <c r="A10315" i="1"/>
  <c r="C10315" i="1"/>
  <c r="A10316" i="1"/>
  <c r="C10316" i="1"/>
  <c r="A10317" i="1"/>
  <c r="C10317" i="1"/>
  <c r="A10318" i="1"/>
  <c r="C10318" i="1"/>
  <c r="A10319" i="1"/>
  <c r="C10319" i="1"/>
  <c r="A10320" i="1"/>
  <c r="C10320" i="1"/>
  <c r="A10321" i="1"/>
  <c r="C10321" i="1"/>
  <c r="A10322" i="1"/>
  <c r="C10322" i="1"/>
  <c r="A10323" i="1"/>
  <c r="C10323" i="1"/>
  <c r="A10324" i="1"/>
  <c r="C10324" i="1"/>
  <c r="A10325" i="1"/>
  <c r="C10325" i="1"/>
  <c r="A10326" i="1"/>
  <c r="C10326" i="1"/>
  <c r="A10327" i="1"/>
  <c r="C10327" i="1"/>
  <c r="A10328" i="1"/>
  <c r="C10328" i="1"/>
  <c r="A10329" i="1"/>
  <c r="C10329" i="1"/>
  <c r="A10330" i="1"/>
  <c r="C10330" i="1"/>
  <c r="A10331" i="1"/>
  <c r="C10331" i="1"/>
  <c r="A10332" i="1"/>
  <c r="C10332" i="1"/>
  <c r="A10333" i="1"/>
  <c r="C10333" i="1"/>
  <c r="A10334" i="1"/>
  <c r="C10334" i="1"/>
  <c r="A10335" i="1"/>
  <c r="C10335" i="1"/>
  <c r="A10336" i="1"/>
  <c r="C10336" i="1"/>
  <c r="A10337" i="1"/>
  <c r="C10337" i="1"/>
  <c r="A10338" i="1"/>
  <c r="C10338" i="1"/>
  <c r="A10339" i="1"/>
  <c r="C10339" i="1"/>
  <c r="A10340" i="1"/>
  <c r="C10340" i="1"/>
  <c r="A10341" i="1"/>
  <c r="C10341" i="1"/>
  <c r="A10342" i="1"/>
  <c r="C10342" i="1"/>
  <c r="A10343" i="1"/>
  <c r="C10343" i="1"/>
  <c r="A10344" i="1"/>
  <c r="C10344" i="1"/>
  <c r="A10345" i="1"/>
  <c r="C10345" i="1"/>
  <c r="A10346" i="1"/>
  <c r="C10346" i="1"/>
  <c r="A10347" i="1"/>
  <c r="C10347" i="1"/>
  <c r="A10348" i="1"/>
  <c r="C10348" i="1"/>
  <c r="A10349" i="1"/>
  <c r="C10349" i="1"/>
  <c r="A10350" i="1"/>
  <c r="C10350" i="1"/>
  <c r="A10351" i="1"/>
  <c r="C10351" i="1"/>
  <c r="A10352" i="1"/>
  <c r="C10352" i="1"/>
  <c r="A10353" i="1"/>
  <c r="C10353" i="1"/>
  <c r="A10354" i="1"/>
  <c r="C10354" i="1"/>
  <c r="A10355" i="1"/>
  <c r="C10355" i="1"/>
  <c r="A10356" i="1"/>
  <c r="C10356" i="1"/>
  <c r="A10357" i="1"/>
  <c r="C10357" i="1"/>
  <c r="A10358" i="1"/>
  <c r="C10358" i="1"/>
  <c r="A10359" i="1"/>
  <c r="C10359" i="1"/>
  <c r="A10360" i="1"/>
  <c r="C10360" i="1"/>
  <c r="A10361" i="1"/>
  <c r="C10361" i="1"/>
  <c r="A10362" i="1"/>
  <c r="C10362" i="1"/>
  <c r="A10363" i="1"/>
  <c r="C10363" i="1"/>
  <c r="A10364" i="1"/>
  <c r="C10364" i="1"/>
  <c r="A10365" i="1"/>
  <c r="C10365" i="1"/>
  <c r="A10366" i="1"/>
  <c r="C10366" i="1"/>
  <c r="A10367" i="1"/>
  <c r="C10367" i="1"/>
  <c r="A10368" i="1"/>
  <c r="C10368" i="1"/>
  <c r="A10369" i="1"/>
  <c r="C10369" i="1"/>
  <c r="A10370" i="1"/>
  <c r="C10370" i="1"/>
  <c r="A10371" i="1"/>
  <c r="C10371" i="1"/>
  <c r="A10372" i="1"/>
  <c r="C10372" i="1"/>
  <c r="A10373" i="1"/>
  <c r="C10373" i="1"/>
  <c r="A10374" i="1"/>
  <c r="C10374" i="1"/>
  <c r="A10375" i="1"/>
  <c r="C10375" i="1"/>
  <c r="A10376" i="1"/>
  <c r="C10376" i="1"/>
  <c r="A10377" i="1"/>
  <c r="C10377" i="1"/>
  <c r="A10378" i="1"/>
  <c r="C10378" i="1"/>
  <c r="A10379" i="1"/>
  <c r="C10379" i="1"/>
  <c r="A10380" i="1"/>
  <c r="C10380" i="1"/>
  <c r="A10381" i="1"/>
  <c r="C10381" i="1"/>
  <c r="A10382" i="1"/>
  <c r="C10382" i="1"/>
  <c r="A10383" i="1"/>
  <c r="C10383" i="1"/>
  <c r="A10384" i="1"/>
  <c r="C10384" i="1"/>
  <c r="A10385" i="1"/>
  <c r="C10385" i="1"/>
  <c r="A10386" i="1"/>
  <c r="C10386" i="1"/>
  <c r="A10387" i="1"/>
  <c r="C10387" i="1"/>
  <c r="A10388" i="1"/>
  <c r="C10388" i="1"/>
  <c r="A10389" i="1"/>
  <c r="C10389" i="1"/>
  <c r="A10390" i="1"/>
  <c r="C10390" i="1"/>
  <c r="A10391" i="1"/>
  <c r="C10391" i="1"/>
  <c r="A10392" i="1"/>
  <c r="C10392" i="1"/>
  <c r="A10393" i="1"/>
  <c r="C10393" i="1"/>
  <c r="A10394" i="1"/>
  <c r="C10394" i="1"/>
  <c r="A10395" i="1"/>
  <c r="C10395" i="1"/>
  <c r="A10396" i="1"/>
  <c r="C10396" i="1"/>
  <c r="A10397" i="1"/>
  <c r="C10397" i="1"/>
  <c r="A10398" i="1"/>
  <c r="C10398" i="1"/>
  <c r="A10399" i="1"/>
  <c r="C10399" i="1"/>
  <c r="A10400" i="1"/>
  <c r="C10400" i="1"/>
  <c r="A10401" i="1"/>
  <c r="C10401" i="1"/>
  <c r="A10402" i="1"/>
  <c r="C10402" i="1"/>
  <c r="A10403" i="1"/>
  <c r="C10403" i="1"/>
  <c r="A10404" i="1"/>
  <c r="C10404" i="1"/>
  <c r="A10405" i="1"/>
  <c r="C10405" i="1"/>
  <c r="A10406" i="1"/>
  <c r="C10406" i="1"/>
  <c r="A10407" i="1"/>
  <c r="C10407" i="1"/>
  <c r="A10408" i="1"/>
  <c r="C10408" i="1"/>
  <c r="A10409" i="1"/>
  <c r="C10409" i="1"/>
  <c r="A10410" i="1"/>
  <c r="C10410" i="1"/>
  <c r="A10411" i="1"/>
  <c r="C10411" i="1"/>
  <c r="A10412" i="1"/>
  <c r="C10412" i="1"/>
  <c r="A10413" i="1"/>
  <c r="C10413" i="1"/>
  <c r="A10414" i="1"/>
  <c r="C10414" i="1"/>
  <c r="A10415" i="1"/>
  <c r="C10415" i="1"/>
  <c r="A10416" i="1"/>
  <c r="C10416" i="1"/>
  <c r="A10417" i="1"/>
  <c r="C10417" i="1"/>
  <c r="A10418" i="1"/>
  <c r="C10418" i="1"/>
  <c r="A10419" i="1"/>
  <c r="C10419" i="1"/>
  <c r="A10420" i="1"/>
  <c r="C10420" i="1"/>
  <c r="A10421" i="1"/>
  <c r="C10421" i="1"/>
  <c r="A10422" i="1"/>
  <c r="C10422" i="1"/>
  <c r="A10423" i="1"/>
  <c r="C10423" i="1"/>
  <c r="A10424" i="1"/>
  <c r="C10424" i="1"/>
  <c r="A10425" i="1"/>
  <c r="C10425" i="1"/>
  <c r="A10426" i="1"/>
  <c r="C10426" i="1"/>
  <c r="A10427" i="1"/>
  <c r="C10427" i="1"/>
  <c r="A10428" i="1"/>
  <c r="C10428" i="1"/>
  <c r="A10429" i="1"/>
  <c r="C10429" i="1"/>
  <c r="A10430" i="1"/>
  <c r="C10430" i="1"/>
  <c r="A10431" i="1"/>
  <c r="C10431" i="1"/>
  <c r="A10432" i="1"/>
  <c r="C10432" i="1"/>
  <c r="A10433" i="1"/>
  <c r="C10433" i="1"/>
  <c r="A10434" i="1"/>
  <c r="C10434" i="1"/>
  <c r="A10435" i="1"/>
  <c r="C10435" i="1"/>
  <c r="A10436" i="1"/>
  <c r="C10436" i="1"/>
  <c r="A10437" i="1"/>
  <c r="C10437" i="1"/>
  <c r="A10438" i="1"/>
  <c r="C10438" i="1"/>
  <c r="A10439" i="1"/>
  <c r="C10439" i="1"/>
  <c r="A10440" i="1"/>
  <c r="C10440" i="1"/>
  <c r="A10441" i="1"/>
  <c r="C10441" i="1"/>
  <c r="A10442" i="1"/>
  <c r="C10442" i="1"/>
  <c r="A10443" i="1"/>
  <c r="C10443" i="1"/>
  <c r="A10444" i="1"/>
  <c r="C10444" i="1"/>
  <c r="A10445" i="1"/>
  <c r="C10445" i="1"/>
  <c r="A10446" i="1"/>
  <c r="C10446" i="1"/>
  <c r="A10447" i="1"/>
  <c r="C10447" i="1"/>
  <c r="A10448" i="1"/>
  <c r="C10448" i="1"/>
  <c r="A10449" i="1"/>
  <c r="C10449" i="1"/>
  <c r="A10450" i="1"/>
  <c r="C10450" i="1"/>
  <c r="A10451" i="1"/>
  <c r="C10451" i="1"/>
  <c r="A10452" i="1"/>
  <c r="C10452" i="1"/>
  <c r="A10453" i="1"/>
  <c r="C10453" i="1"/>
  <c r="A10454" i="1"/>
  <c r="C10454" i="1"/>
  <c r="A10455" i="1"/>
  <c r="C10455" i="1"/>
  <c r="A10456" i="1"/>
  <c r="C10456" i="1"/>
  <c r="A10457" i="1"/>
  <c r="C10457" i="1"/>
  <c r="A10458" i="1"/>
  <c r="C10458" i="1"/>
  <c r="A10459" i="1"/>
  <c r="C10459" i="1"/>
  <c r="A10460" i="1"/>
  <c r="C10460" i="1"/>
  <c r="A10461" i="1"/>
  <c r="C10461" i="1"/>
  <c r="A10462" i="1"/>
  <c r="C10462" i="1"/>
  <c r="A10463" i="1"/>
  <c r="C10463" i="1"/>
  <c r="A10464" i="1"/>
  <c r="C10464" i="1"/>
  <c r="A10465" i="1"/>
  <c r="C10465" i="1"/>
  <c r="A10466" i="1"/>
  <c r="C10466" i="1"/>
  <c r="A10467" i="1"/>
  <c r="C10467" i="1"/>
  <c r="A10468" i="1"/>
  <c r="C10468" i="1"/>
  <c r="A10469" i="1"/>
  <c r="C10469" i="1"/>
  <c r="A10470" i="1"/>
  <c r="C10470" i="1"/>
  <c r="A10471" i="1"/>
  <c r="C10471" i="1"/>
  <c r="A10472" i="1"/>
  <c r="C10472" i="1"/>
  <c r="A10473" i="1"/>
  <c r="C10473" i="1"/>
  <c r="A10474" i="1"/>
  <c r="C10474" i="1"/>
  <c r="A10475" i="1"/>
  <c r="C10475" i="1"/>
  <c r="A10476" i="1"/>
  <c r="C10476" i="1"/>
  <c r="A10477" i="1"/>
  <c r="C10477" i="1"/>
  <c r="A10478" i="1"/>
  <c r="C10478" i="1"/>
  <c r="A10479" i="1"/>
  <c r="C10479" i="1"/>
  <c r="A10480" i="1"/>
  <c r="C10480" i="1"/>
  <c r="A10481" i="1"/>
  <c r="C10481" i="1"/>
  <c r="A10482" i="1"/>
  <c r="C10482" i="1"/>
  <c r="A10483" i="1"/>
  <c r="C10483" i="1"/>
  <c r="A10484" i="1"/>
  <c r="C10484" i="1"/>
  <c r="A10485" i="1"/>
  <c r="C10485" i="1"/>
  <c r="A10486" i="1"/>
  <c r="C10486" i="1"/>
  <c r="A10487" i="1"/>
  <c r="C10487" i="1"/>
  <c r="A10488" i="1"/>
  <c r="C10488" i="1"/>
  <c r="A10489" i="1"/>
  <c r="C10489" i="1"/>
  <c r="A10490" i="1"/>
  <c r="C10490" i="1"/>
  <c r="A10491" i="1"/>
  <c r="C10491" i="1"/>
  <c r="A10492" i="1"/>
  <c r="C10492" i="1"/>
  <c r="A10493" i="1"/>
  <c r="C10493" i="1"/>
  <c r="A10494" i="1"/>
  <c r="C10494" i="1"/>
  <c r="A10495" i="1"/>
  <c r="C10495" i="1"/>
  <c r="A10496" i="1"/>
  <c r="C10496" i="1"/>
  <c r="A10497" i="1"/>
  <c r="C10497" i="1"/>
  <c r="A10498" i="1"/>
  <c r="C10498" i="1"/>
  <c r="A10499" i="1"/>
  <c r="C10499" i="1"/>
  <c r="A10500" i="1"/>
  <c r="C10500" i="1"/>
  <c r="A10501" i="1"/>
  <c r="C10501" i="1"/>
  <c r="A10502" i="1"/>
  <c r="C10502" i="1"/>
  <c r="A10503" i="1"/>
  <c r="C10503" i="1"/>
  <c r="A10504" i="1"/>
  <c r="C10504" i="1"/>
  <c r="A10505" i="1"/>
  <c r="C10505" i="1"/>
  <c r="A10506" i="1"/>
  <c r="C10506" i="1"/>
  <c r="A10507" i="1"/>
  <c r="C10507" i="1"/>
  <c r="A10508" i="1"/>
  <c r="C10508" i="1"/>
  <c r="A10509" i="1"/>
  <c r="C10509" i="1"/>
  <c r="A10510" i="1"/>
  <c r="C10510" i="1"/>
  <c r="A10511" i="1"/>
  <c r="C10511" i="1"/>
  <c r="A10512" i="1"/>
  <c r="C10512" i="1"/>
  <c r="A10513" i="1"/>
  <c r="C10513" i="1"/>
  <c r="A10514" i="1"/>
  <c r="C10514" i="1"/>
  <c r="A10515" i="1"/>
  <c r="C10515" i="1"/>
  <c r="A10516" i="1"/>
  <c r="C10516" i="1"/>
  <c r="A10517" i="1"/>
  <c r="C10517" i="1"/>
  <c r="A10518" i="1"/>
  <c r="C10518" i="1"/>
  <c r="A10519" i="1"/>
  <c r="C10519" i="1"/>
  <c r="A10520" i="1"/>
  <c r="C10520" i="1"/>
  <c r="A10521" i="1"/>
  <c r="C10521" i="1"/>
  <c r="A10522" i="1"/>
  <c r="C10522" i="1"/>
  <c r="A10523" i="1"/>
  <c r="C10523" i="1"/>
  <c r="A10524" i="1"/>
  <c r="C10524" i="1"/>
  <c r="A10525" i="1"/>
  <c r="C10525" i="1"/>
  <c r="A10526" i="1"/>
  <c r="C10526" i="1"/>
  <c r="A10527" i="1"/>
  <c r="C10527" i="1"/>
  <c r="A10528" i="1"/>
  <c r="C10528" i="1"/>
  <c r="A10529" i="1"/>
  <c r="C10529" i="1"/>
  <c r="A10530" i="1"/>
  <c r="C10530" i="1"/>
  <c r="A10531" i="1"/>
  <c r="C10531" i="1"/>
  <c r="A10532" i="1"/>
  <c r="C10532" i="1"/>
  <c r="A10533" i="1"/>
  <c r="C10533" i="1"/>
  <c r="A10534" i="1"/>
  <c r="C10534" i="1"/>
  <c r="A10535" i="1"/>
  <c r="C10535" i="1"/>
  <c r="A10536" i="1"/>
  <c r="C10536" i="1"/>
  <c r="A10537" i="1"/>
  <c r="C10537" i="1"/>
  <c r="A10538" i="1"/>
  <c r="C10538" i="1"/>
  <c r="A10539" i="1"/>
  <c r="C10539" i="1"/>
  <c r="A10540" i="1"/>
  <c r="C10540" i="1"/>
  <c r="A10541" i="1"/>
  <c r="C10541" i="1"/>
  <c r="A10542" i="1"/>
  <c r="C10542" i="1"/>
  <c r="A10543" i="1"/>
  <c r="C10543" i="1"/>
  <c r="A10544" i="1"/>
  <c r="C10544" i="1"/>
  <c r="A10545" i="1"/>
  <c r="C10545" i="1"/>
  <c r="A10546" i="1"/>
  <c r="C10546" i="1"/>
  <c r="A10547" i="1"/>
  <c r="C10547" i="1"/>
  <c r="A10548" i="1"/>
  <c r="C10548" i="1"/>
  <c r="A10549" i="1"/>
  <c r="C10549" i="1"/>
  <c r="A10550" i="1"/>
  <c r="C10550" i="1"/>
  <c r="A10551" i="1"/>
  <c r="C10551" i="1"/>
  <c r="A10552" i="1"/>
  <c r="C10552" i="1"/>
  <c r="A10553" i="1"/>
  <c r="C10553" i="1"/>
  <c r="A10554" i="1"/>
  <c r="C10554" i="1"/>
  <c r="A10555" i="1"/>
  <c r="C10555" i="1"/>
  <c r="A10556" i="1"/>
  <c r="C10556" i="1"/>
  <c r="A10557" i="1"/>
  <c r="C10557" i="1"/>
  <c r="A10558" i="1"/>
  <c r="C10558" i="1"/>
  <c r="A10559" i="1"/>
  <c r="C10559" i="1"/>
  <c r="A10560" i="1"/>
  <c r="C10560" i="1"/>
  <c r="A10561" i="1"/>
  <c r="C10561" i="1"/>
  <c r="A10562" i="1"/>
  <c r="C10562" i="1"/>
  <c r="A10563" i="1"/>
  <c r="C10563" i="1"/>
  <c r="A10564" i="1"/>
  <c r="C10564" i="1"/>
  <c r="A10565" i="1"/>
  <c r="C10565" i="1"/>
  <c r="A10566" i="1"/>
  <c r="C10566" i="1"/>
  <c r="A10567" i="1"/>
  <c r="C10567" i="1"/>
  <c r="A10568" i="1"/>
  <c r="C10568" i="1"/>
  <c r="A10569" i="1"/>
  <c r="C10569" i="1"/>
  <c r="A10570" i="1"/>
  <c r="C10570" i="1"/>
  <c r="A10571" i="1"/>
  <c r="C10571" i="1"/>
  <c r="A10572" i="1"/>
  <c r="C10572" i="1"/>
  <c r="A10573" i="1"/>
  <c r="C10573" i="1"/>
  <c r="A10574" i="1"/>
  <c r="C10574" i="1"/>
  <c r="A10575" i="1"/>
  <c r="C10575" i="1"/>
  <c r="A10576" i="1"/>
  <c r="C10576" i="1"/>
  <c r="A10577" i="1"/>
  <c r="C10577" i="1"/>
  <c r="A10578" i="1"/>
  <c r="C10578" i="1"/>
  <c r="A10579" i="1"/>
  <c r="C10579" i="1"/>
  <c r="A10580" i="1"/>
  <c r="C10580" i="1"/>
  <c r="A10581" i="1"/>
  <c r="C10581" i="1"/>
  <c r="A10582" i="1"/>
  <c r="C10582" i="1"/>
  <c r="A10583" i="1"/>
  <c r="C10583" i="1"/>
  <c r="A10584" i="1"/>
  <c r="C10584" i="1"/>
  <c r="A10585" i="1"/>
  <c r="C10585" i="1"/>
  <c r="A10586" i="1"/>
  <c r="C10586" i="1"/>
  <c r="A10587" i="1"/>
  <c r="C10587" i="1"/>
  <c r="A10588" i="1"/>
  <c r="C10588" i="1"/>
  <c r="A10589" i="1"/>
  <c r="C10589" i="1"/>
  <c r="A10590" i="1"/>
  <c r="C10590" i="1"/>
  <c r="A10591" i="1"/>
  <c r="C10591" i="1"/>
  <c r="A10592" i="1"/>
  <c r="C10592" i="1"/>
  <c r="A10593" i="1"/>
  <c r="C10593" i="1"/>
  <c r="A10594" i="1"/>
  <c r="C10594" i="1"/>
  <c r="A10595" i="1"/>
  <c r="C10595" i="1"/>
  <c r="A10596" i="1"/>
  <c r="C10596" i="1"/>
  <c r="A10597" i="1"/>
  <c r="C10597" i="1"/>
  <c r="A10598" i="1"/>
  <c r="C10598" i="1"/>
  <c r="A10599" i="1"/>
  <c r="C10599" i="1"/>
  <c r="A10600" i="1"/>
  <c r="C10600" i="1"/>
  <c r="A10601" i="1"/>
  <c r="C10601" i="1"/>
  <c r="A10602" i="1"/>
  <c r="C10602" i="1"/>
  <c r="A10603" i="1"/>
  <c r="C10603" i="1"/>
  <c r="A10604" i="1"/>
  <c r="C10604" i="1"/>
  <c r="A10605" i="1"/>
  <c r="C10605" i="1"/>
  <c r="A10606" i="1"/>
  <c r="C10606" i="1"/>
  <c r="A10607" i="1"/>
  <c r="C10607" i="1"/>
  <c r="A10608" i="1"/>
  <c r="C10608" i="1"/>
  <c r="A10609" i="1"/>
  <c r="C10609" i="1"/>
  <c r="A10610" i="1"/>
  <c r="C10610" i="1"/>
  <c r="A10611" i="1"/>
  <c r="C10611" i="1"/>
  <c r="A10612" i="1"/>
  <c r="C10612" i="1"/>
  <c r="A10613" i="1"/>
  <c r="C10613" i="1"/>
  <c r="A10614" i="1"/>
  <c r="C10614" i="1"/>
  <c r="A10615" i="1"/>
  <c r="C10615" i="1"/>
  <c r="A10616" i="1"/>
  <c r="C10616" i="1"/>
  <c r="A10617" i="1"/>
  <c r="C10617" i="1"/>
  <c r="A10618" i="1"/>
  <c r="C10618" i="1"/>
  <c r="A10619" i="1"/>
  <c r="C10619" i="1"/>
  <c r="A10620" i="1"/>
  <c r="C10620" i="1"/>
  <c r="A10621" i="1"/>
  <c r="C10621" i="1"/>
  <c r="A10622" i="1"/>
  <c r="C10622" i="1"/>
  <c r="A10623" i="1"/>
  <c r="C10623" i="1"/>
  <c r="A10624" i="1"/>
  <c r="C10624" i="1"/>
  <c r="A10625" i="1"/>
  <c r="C10625" i="1"/>
  <c r="A10626" i="1"/>
  <c r="C10626" i="1"/>
  <c r="A10627" i="1"/>
  <c r="C10627" i="1"/>
  <c r="A10628" i="1"/>
  <c r="C10628" i="1"/>
  <c r="A10629" i="1"/>
  <c r="C10629" i="1"/>
  <c r="A10630" i="1"/>
  <c r="C10630" i="1"/>
  <c r="A10631" i="1"/>
  <c r="C10631" i="1"/>
  <c r="A10632" i="1"/>
  <c r="C10632" i="1"/>
  <c r="A10633" i="1"/>
  <c r="C10633" i="1"/>
  <c r="A10634" i="1"/>
  <c r="C10634" i="1"/>
  <c r="A10635" i="1"/>
  <c r="C10635" i="1"/>
  <c r="A10636" i="1"/>
  <c r="C10636" i="1"/>
  <c r="A10637" i="1"/>
  <c r="C10637" i="1"/>
  <c r="A10638" i="1"/>
  <c r="C10638" i="1"/>
  <c r="A10639" i="1"/>
  <c r="C10639" i="1"/>
  <c r="A10640" i="1"/>
  <c r="C10640" i="1"/>
  <c r="A10641" i="1"/>
  <c r="C10641" i="1"/>
  <c r="A10642" i="1"/>
  <c r="C10642" i="1"/>
  <c r="A10643" i="1"/>
  <c r="C10643" i="1"/>
  <c r="A10644" i="1"/>
  <c r="C10644" i="1"/>
  <c r="A10645" i="1"/>
  <c r="C10645" i="1"/>
  <c r="A10646" i="1"/>
  <c r="C10646" i="1"/>
  <c r="A10647" i="1"/>
  <c r="C10647" i="1"/>
  <c r="A10648" i="1"/>
  <c r="C10648" i="1"/>
  <c r="A10649" i="1"/>
  <c r="C10649" i="1"/>
  <c r="A10650" i="1"/>
  <c r="C10650" i="1"/>
  <c r="A10651" i="1"/>
  <c r="C10651" i="1"/>
  <c r="A10652" i="1"/>
  <c r="C10652" i="1"/>
  <c r="A10653" i="1"/>
  <c r="C10653" i="1"/>
  <c r="A10654" i="1"/>
  <c r="C10654" i="1"/>
  <c r="A10655" i="1"/>
  <c r="C10655" i="1"/>
  <c r="A10656" i="1"/>
  <c r="C10656" i="1"/>
  <c r="A10657" i="1"/>
  <c r="C10657" i="1"/>
  <c r="A10658" i="1"/>
  <c r="C10658" i="1"/>
  <c r="A10659" i="1"/>
  <c r="C10659" i="1"/>
  <c r="A10660" i="1"/>
  <c r="C10660" i="1"/>
  <c r="A10661" i="1"/>
  <c r="C10661" i="1"/>
  <c r="A10662" i="1"/>
  <c r="C10662" i="1"/>
  <c r="A10663" i="1"/>
  <c r="C10663" i="1"/>
  <c r="A10664" i="1"/>
  <c r="C10664" i="1"/>
  <c r="A10665" i="1"/>
  <c r="C10665" i="1"/>
  <c r="A10666" i="1"/>
  <c r="C10666" i="1"/>
  <c r="A10667" i="1"/>
  <c r="C10667" i="1"/>
  <c r="A10668" i="1"/>
  <c r="C10668" i="1"/>
  <c r="A10669" i="1"/>
  <c r="C10669" i="1"/>
  <c r="A10670" i="1"/>
  <c r="C10670" i="1"/>
  <c r="A10671" i="1"/>
  <c r="C10671" i="1"/>
  <c r="A10672" i="1"/>
  <c r="C10672" i="1"/>
  <c r="A10673" i="1"/>
  <c r="C10673" i="1"/>
  <c r="A10674" i="1"/>
  <c r="C10674" i="1"/>
  <c r="A10675" i="1"/>
  <c r="C10675" i="1"/>
  <c r="A10676" i="1"/>
  <c r="C10676" i="1"/>
  <c r="A10677" i="1"/>
  <c r="C10677" i="1"/>
  <c r="A10678" i="1"/>
  <c r="C10678" i="1"/>
  <c r="A10679" i="1"/>
  <c r="C10679" i="1"/>
  <c r="A10680" i="1"/>
  <c r="C10680" i="1"/>
  <c r="A10681" i="1"/>
  <c r="C10681" i="1"/>
  <c r="A10682" i="1"/>
  <c r="C10682" i="1"/>
  <c r="A10683" i="1"/>
  <c r="C10683" i="1"/>
  <c r="A10684" i="1"/>
  <c r="C10684" i="1"/>
  <c r="A10685" i="1"/>
  <c r="C10685" i="1"/>
  <c r="A10686" i="1"/>
  <c r="C10686" i="1"/>
  <c r="A10687" i="1"/>
  <c r="C10687" i="1"/>
  <c r="A10688" i="1"/>
  <c r="C10688" i="1"/>
  <c r="A10689" i="1"/>
  <c r="C10689" i="1"/>
  <c r="A10690" i="1"/>
  <c r="C10690" i="1"/>
  <c r="A10691" i="1"/>
  <c r="C10691" i="1"/>
  <c r="A10692" i="1"/>
  <c r="C10692" i="1"/>
  <c r="A10693" i="1"/>
  <c r="C10693" i="1"/>
  <c r="A10694" i="1"/>
  <c r="C10694" i="1"/>
  <c r="A10695" i="1"/>
  <c r="C10695" i="1"/>
  <c r="A10696" i="1"/>
  <c r="C10696" i="1"/>
  <c r="A10697" i="1"/>
  <c r="C10697" i="1"/>
  <c r="A10698" i="1"/>
  <c r="C10698" i="1"/>
  <c r="A10699" i="1"/>
  <c r="C10699" i="1"/>
  <c r="A10700" i="1"/>
  <c r="C10700" i="1"/>
  <c r="A10701" i="1"/>
  <c r="C10701" i="1"/>
  <c r="A10702" i="1"/>
  <c r="C10702" i="1"/>
  <c r="A10703" i="1"/>
  <c r="C10703" i="1"/>
  <c r="A10704" i="1"/>
  <c r="C10704" i="1"/>
  <c r="A10705" i="1"/>
  <c r="C10705" i="1"/>
  <c r="A10706" i="1"/>
  <c r="C10706" i="1"/>
  <c r="A10707" i="1"/>
  <c r="C10707" i="1"/>
  <c r="A10708" i="1"/>
  <c r="C10708" i="1"/>
  <c r="A10709" i="1"/>
  <c r="C10709" i="1"/>
  <c r="A10710" i="1"/>
  <c r="C10710" i="1"/>
  <c r="A10711" i="1"/>
  <c r="C10711" i="1"/>
  <c r="A10712" i="1"/>
  <c r="C10712" i="1"/>
  <c r="A10713" i="1"/>
  <c r="C10713" i="1"/>
  <c r="A10714" i="1"/>
  <c r="C10714" i="1"/>
  <c r="A10715" i="1"/>
  <c r="C10715" i="1"/>
  <c r="A10716" i="1"/>
  <c r="C10716" i="1"/>
  <c r="A10717" i="1"/>
  <c r="C10717" i="1"/>
  <c r="A10718" i="1"/>
  <c r="C10718" i="1"/>
  <c r="A10719" i="1"/>
  <c r="C10719" i="1"/>
  <c r="A10720" i="1"/>
  <c r="C10720" i="1"/>
  <c r="A10721" i="1"/>
  <c r="C10721" i="1"/>
  <c r="A10722" i="1"/>
  <c r="C10722" i="1"/>
  <c r="A10723" i="1"/>
  <c r="C10723" i="1"/>
  <c r="A10724" i="1"/>
  <c r="C10724" i="1"/>
  <c r="A10725" i="1"/>
  <c r="C10725" i="1"/>
  <c r="A10726" i="1"/>
  <c r="C10726" i="1"/>
  <c r="A10727" i="1"/>
  <c r="C10727" i="1"/>
  <c r="A10728" i="1"/>
  <c r="C10728" i="1"/>
  <c r="A10729" i="1"/>
  <c r="C10729" i="1"/>
  <c r="A10730" i="1"/>
  <c r="C10730" i="1"/>
  <c r="A10731" i="1"/>
  <c r="C10731" i="1"/>
  <c r="A10732" i="1"/>
  <c r="C10732" i="1"/>
  <c r="A10733" i="1"/>
  <c r="C10733" i="1"/>
  <c r="A10734" i="1"/>
  <c r="C10734" i="1"/>
  <c r="A10735" i="1"/>
  <c r="C10735" i="1"/>
  <c r="A10736" i="1"/>
  <c r="C10736" i="1"/>
  <c r="A10737" i="1"/>
  <c r="C10737" i="1"/>
  <c r="A10738" i="1"/>
  <c r="C10738" i="1"/>
  <c r="A10739" i="1"/>
  <c r="C10739" i="1"/>
  <c r="A10740" i="1"/>
  <c r="C10740" i="1"/>
  <c r="A10741" i="1"/>
  <c r="C10741" i="1"/>
  <c r="A10742" i="1"/>
  <c r="C10742" i="1"/>
  <c r="A10743" i="1"/>
  <c r="C10743" i="1"/>
  <c r="A10744" i="1"/>
  <c r="C10744" i="1"/>
  <c r="A10745" i="1"/>
  <c r="C10745" i="1"/>
  <c r="A10746" i="1"/>
  <c r="C10746" i="1"/>
  <c r="A10747" i="1"/>
  <c r="C10747" i="1"/>
  <c r="A10748" i="1"/>
  <c r="C10748" i="1"/>
  <c r="A10749" i="1"/>
  <c r="C10749" i="1"/>
  <c r="A10750" i="1"/>
  <c r="C10750" i="1"/>
  <c r="A10751" i="1"/>
  <c r="C10751" i="1"/>
  <c r="A10752" i="1"/>
  <c r="C10752" i="1"/>
  <c r="A10753" i="1"/>
  <c r="C10753" i="1"/>
  <c r="A10754" i="1"/>
  <c r="C10754" i="1"/>
  <c r="A10755" i="1"/>
  <c r="C10755" i="1"/>
  <c r="A10756" i="1"/>
  <c r="C10756" i="1"/>
  <c r="A10757" i="1"/>
  <c r="C10757" i="1"/>
  <c r="A10758" i="1"/>
  <c r="C10758" i="1"/>
  <c r="A10759" i="1"/>
  <c r="C10759" i="1"/>
  <c r="A10760" i="1"/>
  <c r="C10760" i="1"/>
  <c r="A10761" i="1"/>
  <c r="C10761" i="1"/>
  <c r="A10762" i="1"/>
  <c r="C10762" i="1"/>
  <c r="A10763" i="1"/>
  <c r="C10763" i="1"/>
  <c r="A10764" i="1"/>
  <c r="C10764" i="1"/>
  <c r="A10765" i="1"/>
  <c r="C10765" i="1"/>
  <c r="A10766" i="1"/>
  <c r="C10766" i="1"/>
  <c r="A10767" i="1"/>
  <c r="C10767" i="1"/>
  <c r="A10768" i="1"/>
  <c r="C10768" i="1"/>
  <c r="A10769" i="1"/>
  <c r="C10769" i="1"/>
  <c r="A10770" i="1"/>
  <c r="C10770" i="1"/>
  <c r="A10771" i="1"/>
  <c r="C10771" i="1"/>
  <c r="A10772" i="1"/>
  <c r="C10772" i="1"/>
  <c r="A10773" i="1"/>
  <c r="C10773" i="1"/>
  <c r="A10774" i="1"/>
  <c r="C10774" i="1"/>
  <c r="A10775" i="1"/>
  <c r="C10775" i="1"/>
  <c r="A10776" i="1"/>
  <c r="C10776" i="1"/>
  <c r="A10777" i="1"/>
  <c r="C10777" i="1"/>
  <c r="A10778" i="1"/>
  <c r="C10778" i="1"/>
  <c r="A10779" i="1"/>
  <c r="C10779" i="1"/>
  <c r="A10780" i="1"/>
  <c r="C10780" i="1"/>
  <c r="A10781" i="1"/>
  <c r="C10781" i="1"/>
  <c r="A10782" i="1"/>
  <c r="C10782" i="1"/>
  <c r="A10783" i="1"/>
  <c r="C10783" i="1"/>
  <c r="A10784" i="1"/>
  <c r="C10784" i="1"/>
  <c r="A10785" i="1"/>
  <c r="C10785" i="1"/>
  <c r="A10786" i="1"/>
  <c r="C10786" i="1"/>
  <c r="A10787" i="1"/>
  <c r="C10787" i="1"/>
  <c r="A10788" i="1"/>
  <c r="C10788" i="1"/>
  <c r="A10789" i="1"/>
  <c r="C10789" i="1"/>
  <c r="A10790" i="1"/>
  <c r="C10790" i="1"/>
  <c r="A10791" i="1"/>
  <c r="C10791" i="1"/>
  <c r="A10792" i="1"/>
  <c r="C10792" i="1"/>
  <c r="A10793" i="1"/>
  <c r="C10793" i="1"/>
  <c r="A10794" i="1"/>
  <c r="C10794" i="1"/>
  <c r="A10795" i="1"/>
  <c r="C10795" i="1"/>
  <c r="A10796" i="1"/>
  <c r="C10796" i="1"/>
  <c r="A10797" i="1"/>
  <c r="C10797" i="1"/>
  <c r="A10798" i="1"/>
  <c r="C10798" i="1"/>
  <c r="A10799" i="1"/>
  <c r="C10799" i="1"/>
  <c r="A10800" i="1"/>
  <c r="C10800" i="1"/>
  <c r="A10801" i="1"/>
  <c r="C10801" i="1"/>
  <c r="A10802" i="1"/>
  <c r="C10802" i="1"/>
  <c r="A10803" i="1"/>
  <c r="C10803" i="1"/>
  <c r="A10804" i="1"/>
  <c r="C10804" i="1"/>
  <c r="A10805" i="1"/>
  <c r="C10805" i="1"/>
  <c r="A10806" i="1"/>
  <c r="C10806" i="1"/>
  <c r="A10807" i="1"/>
  <c r="C10807" i="1"/>
  <c r="A10808" i="1"/>
  <c r="C10808" i="1"/>
  <c r="A10809" i="1"/>
  <c r="C10809" i="1"/>
  <c r="A10810" i="1"/>
  <c r="C10810" i="1"/>
  <c r="A10811" i="1"/>
  <c r="C10811" i="1"/>
  <c r="A10812" i="1"/>
  <c r="C10812" i="1"/>
  <c r="A10813" i="1"/>
  <c r="C10813" i="1"/>
  <c r="A10814" i="1"/>
  <c r="C10814" i="1"/>
  <c r="A10815" i="1"/>
  <c r="C10815" i="1"/>
  <c r="A10816" i="1"/>
  <c r="C10816" i="1"/>
  <c r="A10817" i="1"/>
  <c r="C10817" i="1"/>
  <c r="A10818" i="1"/>
  <c r="C10818" i="1"/>
  <c r="A10819" i="1"/>
  <c r="C10819" i="1"/>
  <c r="A10820" i="1"/>
  <c r="C10820" i="1"/>
  <c r="A10821" i="1"/>
  <c r="C10821" i="1"/>
  <c r="A10822" i="1"/>
  <c r="C10822" i="1"/>
  <c r="A10823" i="1"/>
  <c r="C10823" i="1"/>
  <c r="A10824" i="1"/>
  <c r="C10824" i="1"/>
  <c r="A10825" i="1"/>
  <c r="C10825" i="1"/>
  <c r="A10826" i="1"/>
  <c r="C10826" i="1"/>
  <c r="A10827" i="1"/>
  <c r="C10827" i="1"/>
  <c r="A10828" i="1"/>
  <c r="C10828" i="1"/>
  <c r="A10829" i="1"/>
  <c r="C10829" i="1"/>
  <c r="A10830" i="1"/>
  <c r="C10830" i="1"/>
  <c r="A10831" i="1"/>
  <c r="C10831" i="1"/>
  <c r="A10832" i="1"/>
  <c r="C10832" i="1"/>
  <c r="A10833" i="1"/>
  <c r="C10833" i="1"/>
  <c r="A10834" i="1"/>
  <c r="C10834" i="1"/>
  <c r="A10835" i="1"/>
  <c r="C10835" i="1"/>
  <c r="A10836" i="1"/>
  <c r="C10836" i="1"/>
  <c r="A10837" i="1"/>
  <c r="C10837" i="1"/>
  <c r="A10838" i="1"/>
  <c r="C10838" i="1"/>
  <c r="A10839" i="1"/>
  <c r="C10839" i="1"/>
  <c r="A10840" i="1"/>
  <c r="C10840" i="1"/>
  <c r="A10841" i="1"/>
  <c r="C10841" i="1"/>
  <c r="A10842" i="1"/>
  <c r="C10842" i="1"/>
  <c r="A10843" i="1"/>
  <c r="C10843" i="1"/>
  <c r="A10844" i="1"/>
  <c r="C10844" i="1"/>
  <c r="A10845" i="1"/>
  <c r="C10845" i="1"/>
  <c r="A10846" i="1"/>
  <c r="C10846" i="1"/>
  <c r="A10847" i="1"/>
  <c r="C10847" i="1"/>
  <c r="A10848" i="1"/>
  <c r="C10848" i="1"/>
  <c r="A10849" i="1"/>
  <c r="C10849" i="1"/>
  <c r="A10850" i="1"/>
  <c r="C10850" i="1"/>
  <c r="A10851" i="1"/>
  <c r="C10851" i="1"/>
  <c r="A10852" i="1"/>
  <c r="C10852" i="1"/>
  <c r="A10853" i="1"/>
  <c r="C10853" i="1"/>
  <c r="A10854" i="1"/>
  <c r="C10854" i="1"/>
  <c r="A10855" i="1"/>
  <c r="C10855" i="1"/>
  <c r="A10856" i="1"/>
  <c r="C10856" i="1"/>
  <c r="A10857" i="1"/>
  <c r="C10857" i="1"/>
  <c r="A10858" i="1"/>
  <c r="C10858" i="1"/>
  <c r="A10859" i="1"/>
  <c r="C10859" i="1"/>
  <c r="A10860" i="1"/>
  <c r="C10860" i="1"/>
  <c r="A10861" i="1"/>
  <c r="C10861" i="1"/>
  <c r="A10862" i="1"/>
  <c r="C10862" i="1"/>
  <c r="A10863" i="1"/>
  <c r="C10863" i="1"/>
  <c r="A10864" i="1"/>
  <c r="C10864" i="1"/>
  <c r="A10865" i="1"/>
  <c r="C10865" i="1"/>
  <c r="A10866" i="1"/>
  <c r="C10866" i="1"/>
  <c r="A10867" i="1"/>
  <c r="C10867" i="1"/>
  <c r="A10868" i="1"/>
  <c r="C10868" i="1"/>
  <c r="A10869" i="1"/>
  <c r="C10869" i="1"/>
  <c r="A10870" i="1"/>
  <c r="C10870" i="1"/>
  <c r="A10871" i="1"/>
  <c r="C10871" i="1"/>
  <c r="A10872" i="1"/>
  <c r="C10872" i="1"/>
  <c r="A10873" i="1"/>
  <c r="C10873" i="1"/>
  <c r="A10874" i="1"/>
  <c r="C10874" i="1"/>
  <c r="A10875" i="1"/>
  <c r="C10875" i="1"/>
  <c r="A10876" i="1"/>
  <c r="C10876" i="1"/>
  <c r="A10877" i="1"/>
  <c r="C10877" i="1"/>
  <c r="A10878" i="1"/>
  <c r="C10878" i="1"/>
  <c r="A10879" i="1"/>
  <c r="C10879" i="1"/>
  <c r="A10880" i="1"/>
  <c r="C10880" i="1"/>
  <c r="A10881" i="1"/>
  <c r="C10881" i="1"/>
  <c r="A10882" i="1"/>
  <c r="C10882" i="1"/>
  <c r="A10883" i="1"/>
  <c r="C10883" i="1"/>
  <c r="A10884" i="1"/>
  <c r="C10884" i="1"/>
  <c r="A10885" i="1"/>
  <c r="C10885" i="1"/>
  <c r="A10886" i="1"/>
  <c r="C10886" i="1"/>
  <c r="A10887" i="1"/>
  <c r="C10887" i="1"/>
  <c r="A10888" i="1"/>
  <c r="C10888" i="1"/>
  <c r="A10889" i="1"/>
  <c r="C10889" i="1"/>
  <c r="A10890" i="1"/>
  <c r="C10890" i="1"/>
  <c r="A10891" i="1"/>
  <c r="C10891" i="1"/>
  <c r="A10892" i="1"/>
  <c r="C10892" i="1"/>
  <c r="A10893" i="1"/>
  <c r="C10893" i="1"/>
  <c r="A10894" i="1"/>
  <c r="C10894" i="1"/>
  <c r="A10895" i="1"/>
  <c r="C10895" i="1"/>
  <c r="A10896" i="1"/>
  <c r="C10896" i="1"/>
  <c r="A10897" i="1"/>
  <c r="C10897" i="1"/>
  <c r="A10898" i="1"/>
  <c r="C10898" i="1"/>
  <c r="A10899" i="1"/>
  <c r="C10899" i="1"/>
  <c r="A10900" i="1"/>
  <c r="C10900" i="1"/>
  <c r="A10901" i="1"/>
  <c r="C10901" i="1"/>
  <c r="A10902" i="1"/>
  <c r="C10902" i="1"/>
  <c r="A10903" i="1"/>
  <c r="C10903" i="1"/>
  <c r="A10904" i="1"/>
  <c r="C10904" i="1"/>
  <c r="A10905" i="1"/>
  <c r="C10905" i="1"/>
  <c r="A10906" i="1"/>
  <c r="C10906" i="1"/>
  <c r="A10907" i="1"/>
  <c r="C10907" i="1"/>
  <c r="A10908" i="1"/>
  <c r="C10908" i="1"/>
  <c r="A10909" i="1"/>
  <c r="C10909" i="1"/>
  <c r="A10910" i="1"/>
  <c r="C10910" i="1"/>
  <c r="A10911" i="1"/>
  <c r="C10911" i="1"/>
  <c r="A10912" i="1"/>
  <c r="C10912" i="1"/>
  <c r="A10913" i="1"/>
  <c r="C10913" i="1"/>
  <c r="A10914" i="1"/>
  <c r="C10914" i="1"/>
  <c r="A10915" i="1"/>
  <c r="C10915" i="1"/>
  <c r="A10916" i="1"/>
  <c r="C10916" i="1"/>
  <c r="A10917" i="1"/>
  <c r="C10917" i="1"/>
  <c r="A10918" i="1"/>
  <c r="C10918" i="1"/>
  <c r="A10919" i="1"/>
  <c r="C10919" i="1"/>
  <c r="A10920" i="1"/>
  <c r="C10920" i="1"/>
  <c r="A10921" i="1"/>
  <c r="C10921" i="1"/>
  <c r="A10922" i="1"/>
  <c r="C10922" i="1"/>
  <c r="A10923" i="1"/>
  <c r="C10923" i="1"/>
  <c r="A10924" i="1"/>
  <c r="C10924" i="1"/>
  <c r="A10925" i="1"/>
  <c r="C10925" i="1"/>
  <c r="A10926" i="1"/>
  <c r="C10926" i="1"/>
  <c r="A10927" i="1"/>
  <c r="C10927" i="1"/>
  <c r="A10928" i="1"/>
  <c r="C10928" i="1"/>
  <c r="A10929" i="1"/>
  <c r="C10929" i="1"/>
  <c r="A10930" i="1"/>
  <c r="C10930" i="1"/>
  <c r="A10931" i="1"/>
  <c r="C10931" i="1"/>
  <c r="A10932" i="1"/>
  <c r="C10932" i="1"/>
  <c r="A10933" i="1"/>
  <c r="C10933" i="1"/>
  <c r="A10934" i="1"/>
  <c r="C10934" i="1"/>
  <c r="A10935" i="1"/>
  <c r="C10935" i="1"/>
  <c r="A10936" i="1"/>
  <c r="C10936" i="1"/>
  <c r="A10937" i="1"/>
  <c r="C10937" i="1"/>
  <c r="A10938" i="1"/>
  <c r="C10938" i="1"/>
  <c r="A10939" i="1"/>
  <c r="C10939" i="1"/>
  <c r="A10940" i="1"/>
  <c r="C10940" i="1"/>
  <c r="A10941" i="1"/>
  <c r="C10941" i="1"/>
  <c r="A10942" i="1"/>
  <c r="C10942" i="1"/>
  <c r="A10943" i="1"/>
  <c r="C10943" i="1"/>
  <c r="A10944" i="1"/>
  <c r="C10944" i="1"/>
  <c r="A10945" i="1"/>
  <c r="C10945" i="1"/>
  <c r="A10946" i="1"/>
  <c r="C10946" i="1"/>
  <c r="A10947" i="1"/>
  <c r="C10947" i="1"/>
  <c r="A10948" i="1"/>
  <c r="C10948" i="1"/>
  <c r="A10949" i="1"/>
  <c r="C10949" i="1"/>
  <c r="A10950" i="1"/>
  <c r="C10950" i="1"/>
  <c r="A10951" i="1"/>
  <c r="C10951" i="1"/>
  <c r="A10952" i="1"/>
  <c r="C10952" i="1"/>
  <c r="A10953" i="1"/>
  <c r="C10953" i="1"/>
  <c r="A10954" i="1"/>
  <c r="C10954" i="1"/>
  <c r="A10955" i="1"/>
  <c r="C10955" i="1"/>
  <c r="A10956" i="1"/>
  <c r="C10956" i="1"/>
  <c r="A10957" i="1"/>
  <c r="C10957" i="1"/>
  <c r="A10958" i="1"/>
  <c r="C10958" i="1"/>
  <c r="A10959" i="1"/>
  <c r="C10959" i="1"/>
  <c r="A10960" i="1"/>
  <c r="C10960" i="1"/>
  <c r="A10961" i="1"/>
  <c r="C10961" i="1"/>
  <c r="A10962" i="1"/>
  <c r="C10962" i="1"/>
  <c r="A10963" i="1"/>
  <c r="C10963" i="1"/>
  <c r="A10964" i="1"/>
  <c r="C10964" i="1"/>
  <c r="A10965" i="1"/>
  <c r="C10965" i="1"/>
  <c r="A10966" i="1"/>
  <c r="C10966" i="1"/>
  <c r="A10967" i="1"/>
  <c r="C10967" i="1"/>
  <c r="A10968" i="1"/>
  <c r="C10968" i="1"/>
  <c r="A10969" i="1"/>
  <c r="C10969" i="1"/>
  <c r="A10970" i="1"/>
  <c r="C10970" i="1"/>
  <c r="A10971" i="1"/>
  <c r="C10971" i="1"/>
  <c r="A10972" i="1"/>
  <c r="C10972" i="1"/>
  <c r="A10973" i="1"/>
  <c r="C10973" i="1"/>
  <c r="A10974" i="1"/>
  <c r="C10974" i="1"/>
  <c r="A10975" i="1"/>
  <c r="C10975" i="1"/>
  <c r="A10976" i="1"/>
  <c r="C10976" i="1"/>
  <c r="A10977" i="1"/>
  <c r="C10977" i="1"/>
  <c r="A10978" i="1"/>
  <c r="C10978" i="1"/>
  <c r="A10979" i="1"/>
  <c r="C10979" i="1"/>
  <c r="A10980" i="1"/>
  <c r="C10980" i="1"/>
  <c r="A10981" i="1"/>
  <c r="C10981" i="1"/>
  <c r="A10982" i="1"/>
  <c r="C10982" i="1"/>
  <c r="A10983" i="1"/>
  <c r="C10983" i="1"/>
  <c r="A10984" i="1"/>
  <c r="C10984" i="1"/>
  <c r="A10985" i="1"/>
  <c r="C10985" i="1"/>
  <c r="A10986" i="1"/>
  <c r="C10986" i="1"/>
  <c r="A10987" i="1"/>
  <c r="C10987" i="1"/>
  <c r="A10988" i="1"/>
  <c r="C10988" i="1"/>
  <c r="A10989" i="1"/>
  <c r="C10989" i="1"/>
  <c r="A10990" i="1"/>
  <c r="C10990" i="1"/>
  <c r="A10991" i="1"/>
  <c r="C10991" i="1"/>
  <c r="A10992" i="1"/>
  <c r="C10992" i="1"/>
  <c r="A10993" i="1"/>
  <c r="C10993" i="1"/>
  <c r="A10994" i="1"/>
  <c r="C10994" i="1"/>
  <c r="A10995" i="1"/>
  <c r="C10995" i="1"/>
  <c r="A10996" i="1"/>
  <c r="C10996" i="1"/>
  <c r="A10997" i="1"/>
  <c r="C10997" i="1"/>
  <c r="A10998" i="1"/>
  <c r="C10998" i="1"/>
  <c r="A10999" i="1"/>
  <c r="C10999" i="1"/>
  <c r="A11000" i="1"/>
  <c r="C11000" i="1"/>
  <c r="A11001" i="1"/>
  <c r="C11001" i="1"/>
  <c r="A11002" i="1"/>
  <c r="C11002" i="1"/>
  <c r="A11003" i="1"/>
  <c r="C11003" i="1"/>
  <c r="A11004" i="1"/>
  <c r="C11004" i="1"/>
  <c r="A11005" i="1"/>
  <c r="C11005" i="1"/>
  <c r="A11006" i="1"/>
  <c r="C11006" i="1"/>
  <c r="A11007" i="1"/>
  <c r="C11007" i="1"/>
  <c r="A11008" i="1"/>
  <c r="C11008" i="1"/>
  <c r="A11009" i="1"/>
  <c r="C11009" i="1"/>
  <c r="A11010" i="1"/>
  <c r="C11010" i="1"/>
  <c r="A11011" i="1"/>
  <c r="C11011" i="1"/>
  <c r="A11012" i="1"/>
  <c r="C11012" i="1"/>
  <c r="A11013" i="1"/>
  <c r="C11013" i="1"/>
  <c r="A11014" i="1"/>
  <c r="C11014" i="1"/>
  <c r="A11015" i="1"/>
  <c r="C11015" i="1"/>
  <c r="A11016" i="1"/>
  <c r="C11016" i="1"/>
  <c r="A11017" i="1"/>
  <c r="C11017" i="1"/>
  <c r="A11018" i="1"/>
  <c r="C11018" i="1"/>
  <c r="A11019" i="1"/>
  <c r="C11019" i="1"/>
  <c r="A11020" i="1"/>
  <c r="C11020" i="1"/>
  <c r="A11021" i="1"/>
  <c r="C11021" i="1"/>
  <c r="A11022" i="1"/>
  <c r="C11022" i="1"/>
  <c r="A11023" i="1"/>
  <c r="C11023" i="1"/>
  <c r="A11024" i="1"/>
  <c r="C11024" i="1"/>
  <c r="A11025" i="1"/>
  <c r="C11025" i="1"/>
  <c r="A11026" i="1"/>
  <c r="C11026" i="1"/>
  <c r="A11027" i="1"/>
  <c r="C11027" i="1"/>
  <c r="A11028" i="1"/>
  <c r="C11028" i="1"/>
  <c r="A11029" i="1"/>
  <c r="C11029" i="1"/>
  <c r="A11030" i="1"/>
  <c r="C11030" i="1"/>
  <c r="A11031" i="1"/>
  <c r="C11031" i="1"/>
  <c r="A11032" i="1"/>
  <c r="C11032" i="1"/>
  <c r="A11033" i="1"/>
  <c r="C11033" i="1"/>
  <c r="A11034" i="1"/>
  <c r="C11034" i="1"/>
  <c r="A11035" i="1"/>
  <c r="C11035" i="1"/>
  <c r="A11036" i="1"/>
  <c r="C11036" i="1"/>
  <c r="A11037" i="1"/>
  <c r="C11037" i="1"/>
  <c r="A11038" i="1"/>
  <c r="C11038" i="1"/>
  <c r="A11039" i="1"/>
  <c r="C11039" i="1"/>
  <c r="A11040" i="1"/>
  <c r="C11040" i="1"/>
  <c r="A11041" i="1"/>
  <c r="C11041" i="1"/>
  <c r="A11042" i="1"/>
  <c r="C11042" i="1"/>
  <c r="A11043" i="1"/>
  <c r="C11043" i="1"/>
  <c r="A11044" i="1"/>
  <c r="C11044" i="1"/>
  <c r="A11045" i="1"/>
  <c r="C11045" i="1"/>
  <c r="A11046" i="1"/>
  <c r="C11046" i="1"/>
  <c r="A11047" i="1"/>
  <c r="C11047" i="1"/>
  <c r="A11048" i="1"/>
  <c r="C11048" i="1"/>
  <c r="A11049" i="1"/>
  <c r="C11049" i="1"/>
  <c r="A11050" i="1"/>
  <c r="C11050" i="1"/>
  <c r="A11051" i="1"/>
  <c r="C11051" i="1"/>
  <c r="A11052" i="1"/>
  <c r="C11052" i="1"/>
  <c r="A11053" i="1"/>
  <c r="C11053" i="1"/>
  <c r="A11054" i="1"/>
  <c r="C11054" i="1"/>
  <c r="A11055" i="1"/>
  <c r="C11055" i="1"/>
  <c r="A11056" i="1"/>
  <c r="C11056" i="1"/>
  <c r="A11057" i="1"/>
  <c r="C11057" i="1"/>
  <c r="A11058" i="1"/>
  <c r="C11058" i="1"/>
  <c r="A11059" i="1"/>
  <c r="C11059" i="1"/>
  <c r="A11060" i="1"/>
  <c r="C11060" i="1"/>
  <c r="A11061" i="1"/>
  <c r="C11061" i="1"/>
  <c r="A11062" i="1"/>
  <c r="C11062" i="1"/>
  <c r="A11063" i="1"/>
  <c r="C11063" i="1"/>
  <c r="A11064" i="1"/>
  <c r="C11064" i="1"/>
  <c r="A11065" i="1"/>
  <c r="C11065" i="1"/>
  <c r="A11066" i="1"/>
  <c r="C11066" i="1"/>
  <c r="A11067" i="1"/>
  <c r="C11067" i="1"/>
  <c r="A11068" i="1"/>
  <c r="C11068" i="1"/>
  <c r="A11069" i="1"/>
  <c r="C11069" i="1"/>
  <c r="A11070" i="1"/>
  <c r="C11070" i="1"/>
  <c r="A11071" i="1"/>
  <c r="C11071" i="1"/>
  <c r="A11072" i="1"/>
  <c r="C11072" i="1"/>
  <c r="A11073" i="1"/>
  <c r="C11073" i="1"/>
  <c r="A11074" i="1"/>
  <c r="C11074" i="1"/>
  <c r="A11075" i="1"/>
  <c r="C11075" i="1"/>
  <c r="A11076" i="1"/>
  <c r="C11076" i="1"/>
  <c r="A11077" i="1"/>
  <c r="C11077" i="1"/>
  <c r="A11078" i="1"/>
  <c r="C11078" i="1"/>
  <c r="A11079" i="1"/>
  <c r="C11079" i="1"/>
  <c r="A11080" i="1"/>
  <c r="C11080" i="1"/>
  <c r="A11081" i="1"/>
  <c r="C11081" i="1"/>
  <c r="A11082" i="1"/>
  <c r="C11082" i="1"/>
  <c r="A11083" i="1"/>
  <c r="C11083" i="1"/>
  <c r="A11084" i="1"/>
  <c r="C11084" i="1"/>
  <c r="A11085" i="1"/>
  <c r="C11085" i="1"/>
  <c r="A11086" i="1"/>
  <c r="C11086" i="1"/>
  <c r="A11087" i="1"/>
  <c r="C11087" i="1"/>
  <c r="A11088" i="1"/>
  <c r="C11088" i="1"/>
  <c r="A11089" i="1"/>
  <c r="C11089" i="1"/>
  <c r="A11090" i="1"/>
  <c r="C11090" i="1"/>
  <c r="A11091" i="1"/>
  <c r="C11091" i="1"/>
  <c r="A11092" i="1"/>
  <c r="C11092" i="1"/>
  <c r="A11093" i="1"/>
  <c r="C11093" i="1"/>
  <c r="A11094" i="1"/>
  <c r="C11094" i="1"/>
  <c r="A11095" i="1"/>
  <c r="C11095" i="1"/>
  <c r="A11096" i="1"/>
  <c r="C11096" i="1"/>
  <c r="A11097" i="1"/>
  <c r="C11097" i="1"/>
  <c r="A11098" i="1"/>
  <c r="C11098" i="1"/>
  <c r="A11099" i="1"/>
  <c r="C11099" i="1"/>
  <c r="A11100" i="1"/>
  <c r="C11100" i="1"/>
  <c r="A11101" i="1"/>
  <c r="C11101" i="1"/>
  <c r="A11102" i="1"/>
  <c r="C11102" i="1"/>
  <c r="A11103" i="1"/>
  <c r="C11103" i="1"/>
  <c r="A11104" i="1"/>
  <c r="C11104" i="1"/>
  <c r="A11105" i="1"/>
  <c r="C11105" i="1"/>
  <c r="A11106" i="1"/>
  <c r="C11106" i="1"/>
  <c r="A11107" i="1"/>
  <c r="C11107" i="1"/>
  <c r="A11108" i="1"/>
  <c r="C11108" i="1"/>
  <c r="A11109" i="1"/>
  <c r="C11109" i="1"/>
  <c r="A11110" i="1"/>
  <c r="C11110" i="1"/>
  <c r="A11111" i="1"/>
  <c r="C11111" i="1"/>
  <c r="A11112" i="1"/>
  <c r="C11112" i="1"/>
  <c r="A11113" i="1"/>
  <c r="C11113" i="1"/>
  <c r="A11114" i="1"/>
  <c r="C11114" i="1"/>
  <c r="A11115" i="1"/>
  <c r="C11115" i="1"/>
  <c r="A11116" i="1"/>
  <c r="C11116" i="1"/>
  <c r="A11117" i="1"/>
  <c r="C11117" i="1"/>
  <c r="A11118" i="1"/>
  <c r="C11118" i="1"/>
  <c r="A11119" i="1"/>
  <c r="C11119" i="1"/>
  <c r="A11120" i="1"/>
  <c r="C11120" i="1"/>
  <c r="A11121" i="1"/>
  <c r="C11121" i="1"/>
  <c r="A11122" i="1"/>
  <c r="C11122" i="1"/>
  <c r="A11123" i="1"/>
  <c r="C11123" i="1"/>
  <c r="A11124" i="1"/>
  <c r="C11124" i="1"/>
  <c r="A11125" i="1"/>
  <c r="C11125" i="1"/>
  <c r="A11126" i="1"/>
  <c r="C11126" i="1"/>
  <c r="A11127" i="1"/>
  <c r="C11127" i="1"/>
  <c r="A11128" i="1"/>
  <c r="C11128" i="1"/>
  <c r="A11129" i="1"/>
  <c r="C11129" i="1"/>
  <c r="A11130" i="1"/>
  <c r="C11130" i="1"/>
  <c r="A11131" i="1"/>
  <c r="C11131" i="1"/>
  <c r="A11132" i="1"/>
  <c r="C11132" i="1"/>
  <c r="A11133" i="1"/>
  <c r="C11133" i="1"/>
  <c r="A11134" i="1"/>
  <c r="C11134" i="1"/>
  <c r="A11135" i="1"/>
  <c r="C11135" i="1"/>
  <c r="A11136" i="1"/>
  <c r="C11136" i="1"/>
  <c r="A11137" i="1"/>
  <c r="C11137" i="1"/>
  <c r="A11138" i="1"/>
  <c r="C11138" i="1"/>
  <c r="A11139" i="1"/>
  <c r="C11139" i="1"/>
  <c r="A11140" i="1"/>
  <c r="C11140" i="1"/>
  <c r="A11141" i="1"/>
  <c r="C11141" i="1"/>
  <c r="A11142" i="1"/>
  <c r="C11142" i="1"/>
  <c r="A11143" i="1"/>
  <c r="C11143" i="1"/>
  <c r="A11144" i="1"/>
  <c r="C11144" i="1"/>
  <c r="A11145" i="1"/>
  <c r="C11145" i="1"/>
  <c r="A11146" i="1"/>
  <c r="C11146" i="1"/>
  <c r="A11147" i="1"/>
  <c r="C11147" i="1"/>
  <c r="A11148" i="1"/>
  <c r="C11148" i="1"/>
  <c r="A11149" i="1"/>
  <c r="C11149" i="1"/>
  <c r="A11150" i="1"/>
  <c r="C11150" i="1"/>
  <c r="A11151" i="1"/>
  <c r="C11151" i="1"/>
  <c r="A11152" i="1"/>
  <c r="C11152" i="1"/>
  <c r="A11153" i="1"/>
  <c r="C11153" i="1"/>
  <c r="A11154" i="1"/>
  <c r="C11154" i="1"/>
  <c r="A11155" i="1"/>
  <c r="C11155" i="1"/>
  <c r="A11156" i="1"/>
  <c r="C11156" i="1"/>
  <c r="A11157" i="1"/>
  <c r="C11157" i="1"/>
  <c r="A11158" i="1"/>
  <c r="C11158" i="1"/>
  <c r="A11159" i="1"/>
  <c r="C11159" i="1"/>
  <c r="A11160" i="1"/>
  <c r="C11160" i="1"/>
  <c r="A11161" i="1"/>
  <c r="C11161" i="1"/>
  <c r="A11162" i="1"/>
  <c r="C11162" i="1"/>
  <c r="A11163" i="1"/>
  <c r="C11163" i="1"/>
  <c r="A11164" i="1"/>
  <c r="C11164" i="1"/>
  <c r="A11165" i="1"/>
  <c r="C11165" i="1"/>
  <c r="A11166" i="1"/>
  <c r="C11166" i="1"/>
  <c r="A11167" i="1"/>
  <c r="C11167" i="1"/>
  <c r="A11168" i="1"/>
  <c r="C11168" i="1"/>
  <c r="A11169" i="1"/>
  <c r="C11169" i="1"/>
  <c r="A11170" i="1"/>
  <c r="C11170" i="1"/>
  <c r="A11171" i="1"/>
  <c r="C11171" i="1"/>
  <c r="A11172" i="1"/>
  <c r="C11172" i="1"/>
  <c r="A11173" i="1"/>
  <c r="C11173" i="1"/>
  <c r="A11174" i="1"/>
  <c r="C11174" i="1"/>
  <c r="A11175" i="1"/>
  <c r="C11175" i="1"/>
  <c r="A11176" i="1"/>
  <c r="C11176" i="1"/>
  <c r="A11177" i="1"/>
  <c r="C11177" i="1"/>
  <c r="A11178" i="1"/>
  <c r="C11178" i="1"/>
  <c r="A11179" i="1"/>
  <c r="C11179" i="1"/>
  <c r="A11180" i="1"/>
  <c r="C11180" i="1"/>
  <c r="A11181" i="1"/>
  <c r="C11181" i="1"/>
  <c r="A11182" i="1"/>
  <c r="C11182" i="1"/>
  <c r="A11183" i="1"/>
  <c r="C11183" i="1"/>
  <c r="A11184" i="1"/>
  <c r="C11184" i="1"/>
  <c r="A11185" i="1"/>
  <c r="C11185" i="1"/>
  <c r="A11186" i="1"/>
  <c r="C11186" i="1"/>
  <c r="A11187" i="1"/>
  <c r="C11187" i="1"/>
  <c r="A11188" i="1"/>
  <c r="C11188" i="1"/>
  <c r="A11189" i="1"/>
  <c r="C11189" i="1"/>
  <c r="A11190" i="1"/>
  <c r="C11190" i="1"/>
  <c r="A11191" i="1"/>
  <c r="C11191" i="1"/>
  <c r="A11192" i="1"/>
  <c r="C11192" i="1"/>
  <c r="A11193" i="1"/>
  <c r="C11193" i="1"/>
  <c r="A11194" i="1"/>
  <c r="C11194" i="1"/>
  <c r="A11195" i="1"/>
  <c r="C11195" i="1"/>
  <c r="A11196" i="1"/>
  <c r="C11196" i="1"/>
  <c r="A11197" i="1"/>
  <c r="C11197" i="1"/>
  <c r="A11198" i="1"/>
  <c r="C11198" i="1"/>
  <c r="A11199" i="1"/>
  <c r="C11199" i="1"/>
  <c r="A11200" i="1"/>
  <c r="C11200" i="1"/>
  <c r="A11201" i="1"/>
  <c r="C11201" i="1"/>
  <c r="A11202" i="1"/>
  <c r="C11202" i="1"/>
  <c r="A11203" i="1"/>
  <c r="C11203" i="1"/>
  <c r="A11204" i="1"/>
  <c r="C11204" i="1"/>
  <c r="A11205" i="1"/>
  <c r="C11205" i="1"/>
  <c r="A11206" i="1"/>
  <c r="C11206" i="1"/>
  <c r="A11207" i="1"/>
  <c r="C11207" i="1"/>
  <c r="A11208" i="1"/>
  <c r="C11208" i="1"/>
  <c r="A11209" i="1"/>
  <c r="C11209" i="1"/>
  <c r="A11210" i="1"/>
  <c r="C11210" i="1"/>
  <c r="A11211" i="1"/>
  <c r="C11211" i="1"/>
  <c r="A11212" i="1"/>
  <c r="C11212" i="1"/>
  <c r="A11213" i="1"/>
  <c r="C11213" i="1"/>
  <c r="A11214" i="1"/>
  <c r="C11214" i="1"/>
  <c r="A11215" i="1"/>
  <c r="C11215" i="1"/>
  <c r="A11216" i="1"/>
  <c r="C11216" i="1"/>
  <c r="A11217" i="1"/>
  <c r="C11217" i="1"/>
  <c r="A11218" i="1"/>
  <c r="C11218" i="1"/>
  <c r="A11219" i="1"/>
  <c r="C11219" i="1"/>
  <c r="A11220" i="1"/>
  <c r="C11220" i="1"/>
  <c r="A11221" i="1"/>
  <c r="C11221" i="1"/>
  <c r="A11222" i="1"/>
  <c r="C11222" i="1"/>
  <c r="A11223" i="1"/>
  <c r="C11223" i="1"/>
  <c r="A11224" i="1"/>
  <c r="C11224" i="1"/>
  <c r="A11225" i="1"/>
  <c r="C11225" i="1"/>
  <c r="A11226" i="1"/>
  <c r="C11226" i="1"/>
  <c r="A11227" i="1"/>
  <c r="C11227" i="1"/>
  <c r="A11228" i="1"/>
  <c r="C11228" i="1"/>
  <c r="A11229" i="1"/>
  <c r="C11229" i="1"/>
  <c r="A11230" i="1"/>
  <c r="C11230" i="1"/>
  <c r="A11231" i="1"/>
  <c r="C11231" i="1"/>
  <c r="A11232" i="1"/>
  <c r="C11232" i="1"/>
  <c r="A11233" i="1"/>
  <c r="C11233" i="1"/>
  <c r="A11234" i="1"/>
  <c r="C11234" i="1"/>
  <c r="A11235" i="1"/>
  <c r="C11235" i="1"/>
  <c r="A11236" i="1"/>
  <c r="C11236" i="1"/>
  <c r="A11237" i="1"/>
  <c r="C11237" i="1"/>
  <c r="A11238" i="1"/>
  <c r="C11238" i="1"/>
  <c r="A11239" i="1"/>
  <c r="C11239" i="1"/>
  <c r="A11240" i="1"/>
  <c r="C11240" i="1"/>
  <c r="A11241" i="1"/>
  <c r="C11241" i="1"/>
  <c r="A11242" i="1"/>
  <c r="C11242" i="1"/>
  <c r="A11243" i="1"/>
  <c r="C11243" i="1"/>
  <c r="A11244" i="1"/>
  <c r="C11244" i="1"/>
  <c r="A11245" i="1"/>
  <c r="C11245" i="1"/>
  <c r="A11246" i="1"/>
  <c r="C11246" i="1"/>
  <c r="A11247" i="1"/>
  <c r="C11247" i="1"/>
  <c r="A11248" i="1"/>
  <c r="C11248" i="1"/>
  <c r="A11249" i="1"/>
  <c r="C11249" i="1"/>
  <c r="A11250" i="1"/>
  <c r="C11250" i="1"/>
  <c r="A11251" i="1"/>
  <c r="C11251" i="1"/>
  <c r="A11252" i="1"/>
  <c r="C11252" i="1"/>
  <c r="A11253" i="1"/>
  <c r="C11253" i="1"/>
  <c r="A11254" i="1"/>
  <c r="C11254" i="1"/>
  <c r="A11255" i="1"/>
  <c r="C11255" i="1"/>
  <c r="A11256" i="1"/>
  <c r="C11256" i="1"/>
  <c r="A11257" i="1"/>
  <c r="C11257" i="1"/>
  <c r="A11258" i="1"/>
  <c r="C11258" i="1"/>
  <c r="A11259" i="1"/>
  <c r="C11259" i="1"/>
  <c r="A11260" i="1"/>
  <c r="C11260" i="1"/>
  <c r="A11261" i="1"/>
  <c r="C11261" i="1"/>
  <c r="A11262" i="1"/>
  <c r="C11262" i="1"/>
  <c r="A11263" i="1"/>
  <c r="C11263" i="1"/>
  <c r="A11264" i="1"/>
  <c r="C11264" i="1"/>
  <c r="A11265" i="1"/>
  <c r="C11265" i="1"/>
  <c r="A11266" i="1"/>
  <c r="C11266" i="1"/>
  <c r="A11267" i="1"/>
  <c r="C11267" i="1"/>
  <c r="A11268" i="1"/>
  <c r="C11268" i="1"/>
  <c r="A11269" i="1"/>
  <c r="C11269" i="1"/>
  <c r="A11270" i="1"/>
  <c r="C11270" i="1"/>
  <c r="A11271" i="1"/>
  <c r="C11271" i="1"/>
  <c r="A11272" i="1"/>
  <c r="C11272" i="1"/>
  <c r="A11273" i="1"/>
  <c r="C11273" i="1"/>
  <c r="A11274" i="1"/>
  <c r="C11274" i="1"/>
  <c r="A11275" i="1"/>
  <c r="C11275" i="1"/>
  <c r="A11276" i="1"/>
  <c r="C11276" i="1"/>
  <c r="A11277" i="1"/>
  <c r="C11277" i="1"/>
  <c r="A11278" i="1"/>
  <c r="C11278" i="1"/>
  <c r="A11279" i="1"/>
  <c r="C11279" i="1"/>
  <c r="A11280" i="1"/>
  <c r="C11280" i="1"/>
  <c r="A11281" i="1"/>
  <c r="C11281" i="1"/>
  <c r="A11282" i="1"/>
  <c r="C11282" i="1"/>
  <c r="A11283" i="1"/>
  <c r="C11283" i="1"/>
  <c r="A11284" i="1"/>
  <c r="C11284" i="1"/>
  <c r="A11285" i="1"/>
  <c r="C11285" i="1"/>
  <c r="A11286" i="1"/>
  <c r="C11286" i="1"/>
  <c r="A11287" i="1"/>
  <c r="C11287" i="1"/>
  <c r="A11288" i="1"/>
  <c r="C11288" i="1"/>
  <c r="A11289" i="1"/>
  <c r="C11289" i="1"/>
  <c r="A11290" i="1"/>
  <c r="C11290" i="1"/>
  <c r="A11291" i="1"/>
  <c r="C11291" i="1"/>
  <c r="A11292" i="1"/>
  <c r="C11292" i="1"/>
  <c r="A11293" i="1"/>
  <c r="C11293" i="1"/>
  <c r="A11294" i="1"/>
  <c r="C11294" i="1"/>
  <c r="A11295" i="1"/>
  <c r="C11295" i="1"/>
  <c r="A11296" i="1"/>
  <c r="C11296" i="1"/>
  <c r="A11297" i="1"/>
  <c r="C11297" i="1"/>
  <c r="A11298" i="1"/>
  <c r="C11298" i="1"/>
  <c r="A11299" i="1"/>
  <c r="C11299" i="1"/>
  <c r="A11300" i="1"/>
  <c r="C11300" i="1"/>
  <c r="A11301" i="1"/>
  <c r="C11301" i="1"/>
  <c r="A11302" i="1"/>
  <c r="C11302" i="1"/>
  <c r="A11303" i="1"/>
  <c r="C11303" i="1"/>
  <c r="A11304" i="1"/>
  <c r="C11304" i="1"/>
  <c r="A11305" i="1"/>
  <c r="C11305" i="1"/>
  <c r="A11306" i="1"/>
  <c r="C11306" i="1"/>
  <c r="A11307" i="1"/>
  <c r="C11307" i="1"/>
  <c r="A11308" i="1"/>
  <c r="C11308" i="1"/>
  <c r="A11309" i="1"/>
  <c r="C11309" i="1"/>
  <c r="A11310" i="1"/>
  <c r="C11310" i="1"/>
  <c r="A11311" i="1"/>
  <c r="C11311" i="1"/>
  <c r="A11312" i="1"/>
  <c r="C11312" i="1"/>
  <c r="A11313" i="1"/>
  <c r="C11313" i="1"/>
  <c r="A11314" i="1"/>
  <c r="C11314" i="1"/>
  <c r="A11315" i="1"/>
  <c r="C11315" i="1"/>
  <c r="A11316" i="1"/>
  <c r="C11316" i="1"/>
  <c r="A11317" i="1"/>
  <c r="C11317" i="1"/>
  <c r="A11318" i="1"/>
  <c r="C11318" i="1"/>
  <c r="A11319" i="1"/>
  <c r="C11319" i="1"/>
  <c r="A11320" i="1"/>
  <c r="C11320" i="1"/>
  <c r="A11321" i="1"/>
  <c r="C11321" i="1"/>
  <c r="A11322" i="1"/>
  <c r="C11322" i="1"/>
  <c r="A11323" i="1"/>
  <c r="C11323" i="1"/>
  <c r="A11324" i="1"/>
  <c r="C11324" i="1"/>
  <c r="A11325" i="1"/>
  <c r="C11325" i="1"/>
  <c r="A11326" i="1"/>
  <c r="C11326" i="1"/>
  <c r="A11327" i="1"/>
  <c r="C11327" i="1"/>
  <c r="A11328" i="1"/>
  <c r="C11328" i="1"/>
  <c r="A11329" i="1"/>
  <c r="C11329" i="1"/>
  <c r="A11330" i="1"/>
  <c r="C11330" i="1"/>
  <c r="A11331" i="1"/>
  <c r="C11331" i="1"/>
  <c r="A11332" i="1"/>
  <c r="C11332" i="1"/>
  <c r="A11333" i="1"/>
  <c r="C11333" i="1"/>
  <c r="A11334" i="1"/>
  <c r="C11334" i="1"/>
  <c r="A11335" i="1"/>
  <c r="C11335" i="1"/>
  <c r="A11336" i="1"/>
  <c r="C11336" i="1"/>
  <c r="A11337" i="1"/>
  <c r="C11337" i="1"/>
  <c r="A11338" i="1"/>
  <c r="C11338" i="1"/>
  <c r="A11339" i="1"/>
  <c r="C11339" i="1"/>
  <c r="A11340" i="1"/>
  <c r="C11340" i="1"/>
  <c r="A11341" i="1"/>
  <c r="C11341" i="1"/>
  <c r="A11342" i="1"/>
  <c r="C11342" i="1"/>
  <c r="A11343" i="1"/>
  <c r="C11343" i="1"/>
  <c r="A11344" i="1"/>
  <c r="C11344" i="1"/>
  <c r="A11345" i="1"/>
  <c r="C11345" i="1"/>
  <c r="A11346" i="1"/>
  <c r="C11346" i="1"/>
  <c r="A11347" i="1"/>
  <c r="C11347" i="1"/>
  <c r="A11348" i="1"/>
  <c r="C11348" i="1"/>
  <c r="A11349" i="1"/>
  <c r="C11349" i="1"/>
  <c r="A11350" i="1"/>
  <c r="C11350" i="1"/>
  <c r="A11351" i="1"/>
  <c r="C11351" i="1"/>
  <c r="A11352" i="1"/>
  <c r="C11352" i="1"/>
  <c r="A11353" i="1"/>
  <c r="C11353" i="1"/>
  <c r="A11354" i="1"/>
  <c r="C11354" i="1"/>
  <c r="A11355" i="1"/>
  <c r="C11355" i="1"/>
  <c r="A11356" i="1"/>
  <c r="C11356" i="1"/>
  <c r="A11357" i="1"/>
  <c r="C11357" i="1"/>
  <c r="A11358" i="1"/>
  <c r="C11358" i="1"/>
  <c r="A11359" i="1"/>
  <c r="C11359" i="1"/>
  <c r="A11360" i="1"/>
  <c r="C11360" i="1"/>
  <c r="A11361" i="1"/>
  <c r="C11361" i="1"/>
  <c r="A11362" i="1"/>
  <c r="C11362" i="1"/>
  <c r="A11363" i="1"/>
  <c r="C11363" i="1"/>
  <c r="A11364" i="1"/>
  <c r="C11364" i="1"/>
  <c r="A11365" i="1"/>
  <c r="C11365" i="1"/>
  <c r="A11366" i="1"/>
  <c r="C11366" i="1"/>
  <c r="A11367" i="1"/>
  <c r="C11367" i="1"/>
  <c r="A11368" i="1"/>
  <c r="C11368" i="1"/>
  <c r="A11369" i="1"/>
  <c r="C11369" i="1"/>
  <c r="A11370" i="1"/>
  <c r="C11370" i="1"/>
  <c r="A11371" i="1"/>
  <c r="C11371" i="1"/>
  <c r="A11372" i="1"/>
  <c r="C11372" i="1"/>
  <c r="A11373" i="1"/>
  <c r="C11373" i="1"/>
  <c r="A11374" i="1"/>
  <c r="C11374" i="1"/>
  <c r="A11375" i="1"/>
  <c r="C11375" i="1"/>
  <c r="A11376" i="1"/>
  <c r="C11376" i="1"/>
  <c r="A11377" i="1"/>
  <c r="C11377" i="1"/>
  <c r="A11378" i="1"/>
  <c r="C11378" i="1"/>
  <c r="A11379" i="1"/>
  <c r="C11379" i="1"/>
  <c r="A11380" i="1"/>
  <c r="C11380" i="1"/>
  <c r="A11381" i="1"/>
  <c r="C11381" i="1"/>
  <c r="A11382" i="1"/>
  <c r="C11382" i="1"/>
  <c r="A11383" i="1"/>
  <c r="C11383" i="1"/>
  <c r="A11384" i="1"/>
  <c r="C11384" i="1"/>
  <c r="A11385" i="1"/>
  <c r="C11385" i="1"/>
  <c r="A11386" i="1"/>
  <c r="C11386" i="1"/>
  <c r="A11387" i="1"/>
  <c r="C11387" i="1"/>
  <c r="A11388" i="1"/>
  <c r="C11388" i="1"/>
  <c r="A11389" i="1"/>
  <c r="C11389" i="1"/>
  <c r="A11390" i="1"/>
  <c r="C11390" i="1"/>
  <c r="A11391" i="1"/>
  <c r="C11391" i="1"/>
  <c r="A11392" i="1"/>
  <c r="C11392" i="1"/>
  <c r="A11393" i="1"/>
  <c r="C11393" i="1"/>
  <c r="A11394" i="1"/>
  <c r="C11394" i="1"/>
  <c r="A11395" i="1"/>
  <c r="C11395" i="1"/>
  <c r="A11396" i="1"/>
  <c r="C11396" i="1"/>
  <c r="A11397" i="1"/>
  <c r="C11397" i="1"/>
  <c r="A11398" i="1"/>
  <c r="C11398" i="1"/>
  <c r="A11399" i="1"/>
  <c r="C11399" i="1"/>
  <c r="A11400" i="1"/>
  <c r="C11400" i="1"/>
  <c r="A11401" i="1"/>
  <c r="C11401" i="1"/>
  <c r="A11402" i="1"/>
  <c r="C11402" i="1"/>
  <c r="A11403" i="1"/>
  <c r="C11403" i="1"/>
  <c r="A11404" i="1"/>
  <c r="C11404" i="1"/>
  <c r="A11405" i="1"/>
  <c r="C11405" i="1"/>
  <c r="A11406" i="1"/>
  <c r="C11406" i="1"/>
  <c r="A11407" i="1"/>
  <c r="C11407" i="1"/>
  <c r="A11408" i="1"/>
  <c r="C11408" i="1"/>
  <c r="A11409" i="1"/>
  <c r="C11409" i="1"/>
  <c r="A11410" i="1"/>
  <c r="C11410" i="1"/>
  <c r="A11411" i="1"/>
  <c r="C11411" i="1"/>
  <c r="A11412" i="1"/>
  <c r="C11412" i="1"/>
  <c r="A11413" i="1"/>
  <c r="C11413" i="1"/>
  <c r="A11414" i="1"/>
  <c r="C11414" i="1"/>
  <c r="A11415" i="1"/>
  <c r="C11415" i="1"/>
  <c r="A11416" i="1"/>
  <c r="C11416" i="1"/>
  <c r="A11417" i="1"/>
  <c r="C11417" i="1"/>
  <c r="A11418" i="1"/>
  <c r="C11418" i="1"/>
  <c r="A11419" i="1"/>
  <c r="C11419" i="1"/>
  <c r="A11420" i="1"/>
  <c r="C11420" i="1"/>
  <c r="A11421" i="1"/>
  <c r="C11421" i="1"/>
  <c r="A11422" i="1"/>
  <c r="C11422" i="1"/>
  <c r="A11423" i="1"/>
  <c r="C11423" i="1"/>
  <c r="A11424" i="1"/>
  <c r="C11424" i="1"/>
  <c r="A11425" i="1"/>
  <c r="C11425" i="1"/>
  <c r="A11426" i="1"/>
  <c r="C11426" i="1"/>
  <c r="A11427" i="1"/>
  <c r="C11427" i="1"/>
  <c r="A11428" i="1"/>
  <c r="C11428" i="1"/>
  <c r="A11429" i="1"/>
  <c r="C11429" i="1"/>
  <c r="A11430" i="1"/>
  <c r="C11430" i="1"/>
  <c r="A11431" i="1"/>
  <c r="C11431" i="1"/>
  <c r="A11432" i="1"/>
  <c r="C11432" i="1"/>
  <c r="A11433" i="1"/>
  <c r="C11433" i="1"/>
  <c r="A11434" i="1"/>
  <c r="C11434" i="1"/>
  <c r="A11435" i="1"/>
  <c r="C11435" i="1"/>
  <c r="A11436" i="1"/>
  <c r="C11436" i="1"/>
  <c r="A11437" i="1"/>
  <c r="C11437" i="1"/>
  <c r="A11438" i="1"/>
  <c r="C11438" i="1"/>
  <c r="A11439" i="1"/>
  <c r="C11439" i="1"/>
  <c r="A11440" i="1"/>
  <c r="C11440" i="1"/>
  <c r="A11441" i="1"/>
  <c r="C11441" i="1"/>
  <c r="A11442" i="1"/>
  <c r="C11442" i="1"/>
  <c r="A11443" i="1"/>
  <c r="C11443" i="1"/>
  <c r="A11444" i="1"/>
  <c r="C11444" i="1"/>
  <c r="A11445" i="1"/>
  <c r="C11445" i="1"/>
  <c r="A11446" i="1"/>
  <c r="C11446" i="1"/>
  <c r="A11447" i="1"/>
  <c r="C11447" i="1"/>
  <c r="A11448" i="1"/>
  <c r="C11448" i="1"/>
  <c r="A11449" i="1"/>
  <c r="C11449" i="1"/>
  <c r="A11450" i="1"/>
  <c r="C11450" i="1"/>
  <c r="A11451" i="1"/>
  <c r="C11451" i="1"/>
  <c r="A11452" i="1"/>
  <c r="C11452" i="1"/>
  <c r="A11453" i="1"/>
  <c r="C11453" i="1"/>
  <c r="A11454" i="1"/>
  <c r="C11454" i="1"/>
  <c r="A11455" i="1"/>
  <c r="C11455" i="1"/>
  <c r="A11456" i="1"/>
  <c r="C11456" i="1"/>
  <c r="A11457" i="1"/>
  <c r="C11457" i="1"/>
  <c r="A11458" i="1"/>
  <c r="C11458" i="1"/>
  <c r="A11459" i="1"/>
  <c r="C11459" i="1"/>
  <c r="A11460" i="1"/>
  <c r="C11460" i="1"/>
  <c r="A11461" i="1"/>
  <c r="C11461" i="1"/>
  <c r="A11462" i="1"/>
  <c r="C11462" i="1"/>
  <c r="A11463" i="1"/>
  <c r="C11463" i="1"/>
  <c r="A11464" i="1"/>
  <c r="C11464" i="1"/>
  <c r="A11465" i="1"/>
  <c r="C11465" i="1"/>
  <c r="A11466" i="1"/>
  <c r="C11466" i="1"/>
  <c r="A11467" i="1"/>
  <c r="C11467" i="1"/>
  <c r="A11468" i="1"/>
  <c r="C11468" i="1"/>
  <c r="A11469" i="1"/>
  <c r="C11469" i="1"/>
  <c r="A11470" i="1"/>
  <c r="C11470" i="1"/>
  <c r="A11471" i="1"/>
  <c r="C11471" i="1"/>
  <c r="A11472" i="1"/>
  <c r="C11472" i="1"/>
  <c r="A11473" i="1"/>
  <c r="C11473" i="1"/>
  <c r="A11474" i="1"/>
  <c r="C11474" i="1"/>
  <c r="A11475" i="1"/>
  <c r="C11475" i="1"/>
  <c r="A11476" i="1"/>
  <c r="C11476" i="1"/>
  <c r="A11477" i="1"/>
  <c r="C11477" i="1"/>
  <c r="A11478" i="1"/>
  <c r="C11478" i="1"/>
  <c r="A11479" i="1"/>
  <c r="C11479" i="1"/>
  <c r="A11480" i="1"/>
  <c r="C11480" i="1"/>
  <c r="A11481" i="1"/>
  <c r="C11481" i="1"/>
  <c r="A11482" i="1"/>
  <c r="C11482" i="1"/>
  <c r="A11483" i="1"/>
  <c r="C11483" i="1"/>
  <c r="A11484" i="1"/>
  <c r="C11484" i="1"/>
  <c r="A11485" i="1"/>
  <c r="C11485" i="1"/>
  <c r="A11486" i="1"/>
  <c r="C11486" i="1"/>
  <c r="A11487" i="1"/>
  <c r="C11487" i="1"/>
  <c r="A11488" i="1"/>
  <c r="C11488" i="1"/>
  <c r="A11489" i="1"/>
  <c r="C11489" i="1"/>
  <c r="A11490" i="1"/>
  <c r="C11490" i="1"/>
  <c r="A11491" i="1"/>
  <c r="C11491" i="1"/>
  <c r="A11492" i="1"/>
  <c r="C11492" i="1"/>
  <c r="A11493" i="1"/>
  <c r="C11493" i="1"/>
  <c r="A11494" i="1"/>
  <c r="C11494" i="1"/>
  <c r="A11495" i="1"/>
  <c r="C11495" i="1"/>
  <c r="A11496" i="1"/>
  <c r="C11496" i="1"/>
  <c r="A11497" i="1"/>
  <c r="C11497" i="1"/>
  <c r="A11498" i="1"/>
  <c r="C11498" i="1"/>
  <c r="A11499" i="1"/>
  <c r="C11499" i="1"/>
  <c r="A11500" i="1"/>
  <c r="C11500" i="1"/>
  <c r="A11501" i="1"/>
  <c r="C11501" i="1"/>
  <c r="A11502" i="1"/>
  <c r="C11502" i="1"/>
  <c r="A11503" i="1"/>
  <c r="C11503" i="1"/>
  <c r="A11504" i="1"/>
  <c r="C11504" i="1"/>
  <c r="A11505" i="1"/>
  <c r="C11505" i="1"/>
  <c r="A11506" i="1"/>
  <c r="C11506" i="1"/>
  <c r="A11507" i="1"/>
  <c r="C11507" i="1"/>
  <c r="A11508" i="1"/>
  <c r="C11508" i="1"/>
  <c r="A11509" i="1"/>
  <c r="C11509" i="1"/>
  <c r="A11510" i="1"/>
  <c r="C11510" i="1"/>
  <c r="A11511" i="1"/>
  <c r="C11511" i="1"/>
  <c r="A11512" i="1"/>
  <c r="C11512" i="1"/>
  <c r="A11513" i="1"/>
  <c r="C11513" i="1"/>
  <c r="A11514" i="1"/>
  <c r="C11514" i="1"/>
  <c r="A11515" i="1"/>
  <c r="C11515" i="1"/>
  <c r="A11516" i="1"/>
  <c r="C11516" i="1"/>
  <c r="A11517" i="1"/>
  <c r="C11517" i="1"/>
  <c r="A11518" i="1"/>
  <c r="C11518" i="1"/>
  <c r="A11519" i="1"/>
  <c r="C11519" i="1"/>
  <c r="A11520" i="1"/>
  <c r="C11520" i="1"/>
  <c r="A11521" i="1"/>
  <c r="C11521" i="1"/>
  <c r="A11522" i="1"/>
  <c r="C11522" i="1"/>
  <c r="A11523" i="1"/>
  <c r="C11523" i="1"/>
  <c r="A11524" i="1"/>
  <c r="C11524" i="1"/>
  <c r="A11525" i="1"/>
  <c r="C11525" i="1"/>
  <c r="A11526" i="1"/>
  <c r="C11526" i="1"/>
  <c r="A11527" i="1"/>
  <c r="C11527" i="1"/>
  <c r="A11528" i="1"/>
  <c r="C11528" i="1"/>
  <c r="A11529" i="1"/>
  <c r="C11529" i="1"/>
  <c r="A11530" i="1"/>
  <c r="C11530" i="1"/>
  <c r="A11531" i="1"/>
  <c r="C11531" i="1"/>
  <c r="A11532" i="1"/>
  <c r="C11532" i="1"/>
  <c r="A11533" i="1"/>
  <c r="C11533" i="1"/>
  <c r="A11534" i="1"/>
  <c r="C11534" i="1"/>
  <c r="A11535" i="1"/>
  <c r="C11535" i="1"/>
  <c r="A11536" i="1"/>
  <c r="C11536" i="1"/>
  <c r="A11537" i="1"/>
  <c r="C11537" i="1"/>
  <c r="A11538" i="1"/>
  <c r="C11538" i="1"/>
  <c r="A11539" i="1"/>
  <c r="C11539" i="1"/>
  <c r="A11540" i="1"/>
  <c r="C11540" i="1"/>
  <c r="A11541" i="1"/>
  <c r="C11541" i="1"/>
  <c r="A11542" i="1"/>
  <c r="C11542" i="1"/>
  <c r="A11543" i="1"/>
  <c r="C11543" i="1"/>
  <c r="A11544" i="1"/>
  <c r="C11544" i="1"/>
  <c r="A11545" i="1"/>
  <c r="C11545" i="1"/>
  <c r="A11546" i="1"/>
  <c r="C11546" i="1"/>
  <c r="A11547" i="1"/>
  <c r="C11547" i="1"/>
  <c r="A11548" i="1"/>
  <c r="C11548" i="1"/>
  <c r="A11549" i="1"/>
  <c r="C11549" i="1"/>
  <c r="A11550" i="1"/>
  <c r="C11550" i="1"/>
  <c r="A11551" i="1"/>
  <c r="C11551" i="1"/>
  <c r="A11552" i="1"/>
  <c r="C11552" i="1"/>
  <c r="A11553" i="1"/>
  <c r="C11553" i="1"/>
  <c r="A11554" i="1"/>
  <c r="C11554" i="1"/>
  <c r="A11555" i="1"/>
  <c r="C11555" i="1"/>
  <c r="A11556" i="1"/>
  <c r="C11556" i="1"/>
  <c r="A11557" i="1"/>
  <c r="C11557" i="1"/>
  <c r="A11558" i="1"/>
  <c r="C11558" i="1"/>
  <c r="A11559" i="1"/>
  <c r="C11559" i="1"/>
  <c r="A11560" i="1"/>
  <c r="C11560" i="1"/>
  <c r="A11561" i="1"/>
  <c r="C11561" i="1"/>
  <c r="A11562" i="1"/>
  <c r="C11562" i="1"/>
  <c r="A11563" i="1"/>
  <c r="C11563" i="1"/>
  <c r="A11564" i="1"/>
  <c r="C11564" i="1"/>
  <c r="A11565" i="1"/>
  <c r="C11565" i="1"/>
  <c r="A11566" i="1"/>
  <c r="C11566" i="1"/>
  <c r="A11567" i="1"/>
  <c r="C11567" i="1"/>
  <c r="A11568" i="1"/>
  <c r="C11568" i="1"/>
  <c r="A11569" i="1"/>
  <c r="C11569" i="1"/>
  <c r="A11570" i="1"/>
  <c r="C11570" i="1"/>
  <c r="A11571" i="1"/>
  <c r="C11571" i="1"/>
  <c r="A11572" i="1"/>
  <c r="C11572" i="1"/>
  <c r="A11573" i="1"/>
  <c r="C11573" i="1"/>
  <c r="A11574" i="1"/>
  <c r="C11574" i="1"/>
  <c r="A11575" i="1"/>
  <c r="C11575" i="1"/>
  <c r="A11576" i="1"/>
  <c r="C11576" i="1"/>
  <c r="A11577" i="1"/>
  <c r="C11577" i="1"/>
  <c r="A11578" i="1"/>
  <c r="C11578" i="1"/>
  <c r="A11579" i="1"/>
  <c r="C11579" i="1"/>
  <c r="A11580" i="1"/>
  <c r="C11580" i="1"/>
  <c r="A11581" i="1"/>
  <c r="C11581" i="1"/>
  <c r="A11582" i="1"/>
  <c r="C11582" i="1"/>
  <c r="A11583" i="1"/>
  <c r="C11583" i="1"/>
  <c r="A11584" i="1"/>
  <c r="C11584" i="1"/>
  <c r="A11585" i="1"/>
  <c r="C11585" i="1"/>
  <c r="A11586" i="1"/>
  <c r="C11586" i="1"/>
  <c r="A11587" i="1"/>
  <c r="C11587" i="1"/>
  <c r="A11588" i="1"/>
  <c r="C11588" i="1"/>
  <c r="A11589" i="1"/>
  <c r="C11589" i="1"/>
  <c r="A11590" i="1"/>
  <c r="C11590" i="1"/>
  <c r="A11591" i="1"/>
  <c r="C11591" i="1"/>
  <c r="A11592" i="1"/>
  <c r="C11592" i="1"/>
  <c r="A11593" i="1"/>
  <c r="C11593" i="1"/>
  <c r="A11594" i="1"/>
  <c r="C11594" i="1"/>
  <c r="A11595" i="1"/>
  <c r="C11595" i="1"/>
  <c r="A11596" i="1"/>
  <c r="C11596" i="1"/>
  <c r="A11597" i="1"/>
  <c r="C11597" i="1"/>
  <c r="A11598" i="1"/>
  <c r="C11598" i="1"/>
  <c r="A11599" i="1"/>
  <c r="C11599" i="1"/>
  <c r="A11600" i="1"/>
  <c r="C11600" i="1"/>
  <c r="A11601" i="1"/>
  <c r="C11601" i="1"/>
  <c r="A11602" i="1"/>
  <c r="C11602" i="1"/>
  <c r="A11603" i="1"/>
  <c r="C11603" i="1"/>
  <c r="A11604" i="1"/>
  <c r="C11604" i="1"/>
  <c r="A11605" i="1"/>
  <c r="C11605" i="1"/>
  <c r="A11606" i="1"/>
  <c r="C11606" i="1"/>
  <c r="A11607" i="1"/>
  <c r="C11607" i="1"/>
  <c r="A11608" i="1"/>
  <c r="C11608" i="1"/>
  <c r="A11609" i="1"/>
  <c r="C11609" i="1"/>
  <c r="A11610" i="1"/>
  <c r="C11610" i="1"/>
  <c r="A11611" i="1"/>
  <c r="C11611" i="1"/>
  <c r="A11612" i="1"/>
  <c r="C11612" i="1"/>
  <c r="A11613" i="1"/>
  <c r="C11613" i="1"/>
  <c r="A11614" i="1"/>
  <c r="C11614" i="1"/>
  <c r="A11615" i="1"/>
  <c r="C11615" i="1"/>
  <c r="A11616" i="1"/>
  <c r="C11616" i="1"/>
  <c r="A11617" i="1"/>
  <c r="C11617" i="1"/>
  <c r="A11618" i="1"/>
  <c r="C11618" i="1"/>
  <c r="A11619" i="1"/>
  <c r="C11619" i="1"/>
  <c r="A11620" i="1"/>
  <c r="C11620" i="1"/>
  <c r="A11621" i="1"/>
  <c r="C11621" i="1"/>
  <c r="A11622" i="1"/>
  <c r="C11622" i="1"/>
  <c r="A11623" i="1"/>
  <c r="C11623" i="1"/>
  <c r="A11624" i="1"/>
  <c r="C11624" i="1"/>
  <c r="A11625" i="1"/>
  <c r="C11625" i="1"/>
  <c r="A11626" i="1"/>
  <c r="C11626" i="1"/>
  <c r="A11627" i="1"/>
  <c r="C11627" i="1"/>
  <c r="A11628" i="1"/>
  <c r="C11628" i="1"/>
  <c r="A11629" i="1"/>
  <c r="C11629" i="1"/>
  <c r="A11630" i="1"/>
  <c r="C11630" i="1"/>
  <c r="A11631" i="1"/>
  <c r="C11631" i="1"/>
  <c r="A11632" i="1"/>
  <c r="C11632" i="1"/>
  <c r="A11633" i="1"/>
  <c r="C11633" i="1"/>
  <c r="A11634" i="1"/>
  <c r="C11634" i="1"/>
  <c r="A11635" i="1"/>
  <c r="C11635" i="1"/>
  <c r="A11636" i="1"/>
  <c r="C11636" i="1"/>
  <c r="A11637" i="1"/>
  <c r="C11637" i="1"/>
  <c r="A11638" i="1"/>
  <c r="C11638" i="1"/>
  <c r="A11639" i="1"/>
  <c r="C11639" i="1"/>
  <c r="A11640" i="1"/>
  <c r="C11640" i="1"/>
  <c r="A11641" i="1"/>
  <c r="C11641" i="1"/>
  <c r="A11642" i="1"/>
  <c r="C11642" i="1"/>
  <c r="A11643" i="1"/>
  <c r="C11643" i="1"/>
  <c r="A11644" i="1"/>
  <c r="C11644" i="1"/>
  <c r="A11645" i="1"/>
  <c r="C11645" i="1"/>
  <c r="A11646" i="1"/>
  <c r="C11646" i="1"/>
  <c r="A11647" i="1"/>
  <c r="C11647" i="1"/>
  <c r="A11648" i="1"/>
  <c r="C11648" i="1"/>
  <c r="A11649" i="1"/>
  <c r="C11649" i="1"/>
  <c r="A11650" i="1"/>
  <c r="C11650" i="1"/>
  <c r="A11651" i="1"/>
  <c r="C11651" i="1"/>
  <c r="A11652" i="1"/>
  <c r="C11652" i="1"/>
  <c r="A11653" i="1"/>
  <c r="C11653" i="1"/>
  <c r="A11654" i="1"/>
  <c r="C11654" i="1"/>
  <c r="A11655" i="1"/>
  <c r="C11655" i="1"/>
  <c r="A11656" i="1"/>
  <c r="C11656" i="1"/>
  <c r="A11657" i="1"/>
  <c r="C11657" i="1"/>
  <c r="A11658" i="1"/>
  <c r="C11658" i="1"/>
  <c r="A11659" i="1"/>
  <c r="C11659" i="1"/>
  <c r="A11660" i="1"/>
  <c r="C11660" i="1"/>
  <c r="A11661" i="1"/>
  <c r="C11661" i="1"/>
  <c r="A11662" i="1"/>
  <c r="C11662" i="1"/>
  <c r="A11663" i="1"/>
  <c r="C11663" i="1"/>
  <c r="A11664" i="1"/>
  <c r="C11664" i="1"/>
  <c r="A11665" i="1"/>
  <c r="C11665" i="1"/>
  <c r="A11666" i="1"/>
  <c r="C11666" i="1"/>
  <c r="A11667" i="1"/>
  <c r="C11667" i="1"/>
  <c r="A11668" i="1"/>
  <c r="C11668" i="1"/>
  <c r="A11669" i="1"/>
  <c r="C11669" i="1"/>
  <c r="A11670" i="1"/>
  <c r="C11670" i="1"/>
  <c r="A11671" i="1"/>
  <c r="C11671" i="1"/>
  <c r="A11672" i="1"/>
  <c r="C11672" i="1"/>
  <c r="A11673" i="1"/>
  <c r="C11673" i="1"/>
  <c r="A11674" i="1"/>
  <c r="C11674" i="1"/>
  <c r="A11675" i="1"/>
  <c r="C11675" i="1"/>
  <c r="A11676" i="1"/>
  <c r="C11676" i="1"/>
  <c r="A11677" i="1"/>
  <c r="C11677" i="1"/>
  <c r="A11678" i="1"/>
  <c r="C11678" i="1"/>
  <c r="A11679" i="1"/>
  <c r="C11679" i="1"/>
  <c r="A11680" i="1"/>
  <c r="C11680" i="1"/>
  <c r="A11681" i="1"/>
  <c r="C11681" i="1"/>
  <c r="A11682" i="1"/>
  <c r="C11682" i="1"/>
  <c r="A11683" i="1"/>
  <c r="C11683" i="1"/>
  <c r="A11684" i="1"/>
  <c r="C11684" i="1"/>
  <c r="A11685" i="1"/>
  <c r="C11685" i="1"/>
  <c r="A11686" i="1"/>
  <c r="C11686" i="1"/>
  <c r="A11687" i="1"/>
  <c r="C11687" i="1"/>
  <c r="A11688" i="1"/>
  <c r="C11688" i="1"/>
  <c r="A11689" i="1"/>
  <c r="C11689" i="1"/>
  <c r="A11690" i="1"/>
  <c r="C11690" i="1"/>
  <c r="A11691" i="1"/>
  <c r="C11691" i="1"/>
  <c r="A11692" i="1"/>
  <c r="C11692" i="1"/>
  <c r="A11693" i="1"/>
  <c r="C11693" i="1"/>
  <c r="A11694" i="1"/>
  <c r="C11694" i="1"/>
  <c r="A11695" i="1"/>
  <c r="C11695" i="1"/>
  <c r="A11696" i="1"/>
  <c r="C11696" i="1"/>
  <c r="A11697" i="1"/>
  <c r="C11697" i="1"/>
  <c r="A11698" i="1"/>
  <c r="C11698" i="1"/>
  <c r="A11699" i="1"/>
  <c r="C11699" i="1"/>
  <c r="A11700" i="1"/>
  <c r="C11700" i="1"/>
  <c r="A11701" i="1"/>
  <c r="C11701" i="1"/>
  <c r="A11702" i="1"/>
  <c r="C11702" i="1"/>
  <c r="A11703" i="1"/>
  <c r="C11703" i="1"/>
  <c r="A11704" i="1"/>
  <c r="C11704" i="1"/>
  <c r="A11705" i="1"/>
  <c r="C11705" i="1"/>
  <c r="A11706" i="1"/>
  <c r="C11706" i="1"/>
  <c r="A11707" i="1"/>
  <c r="C11707" i="1"/>
  <c r="A11708" i="1"/>
  <c r="C11708" i="1"/>
  <c r="A11709" i="1"/>
  <c r="C11709" i="1"/>
  <c r="A11710" i="1"/>
  <c r="C11710" i="1"/>
  <c r="A11711" i="1"/>
  <c r="C11711" i="1"/>
  <c r="A11712" i="1"/>
  <c r="C11712" i="1"/>
  <c r="A11713" i="1"/>
  <c r="C11713" i="1"/>
  <c r="A11714" i="1"/>
  <c r="C11714" i="1"/>
  <c r="A11715" i="1"/>
  <c r="C11715" i="1"/>
  <c r="A11716" i="1"/>
  <c r="C11716" i="1"/>
  <c r="A11717" i="1"/>
  <c r="C11717" i="1"/>
  <c r="A11718" i="1"/>
  <c r="C11718" i="1"/>
  <c r="A11719" i="1"/>
  <c r="C11719" i="1"/>
  <c r="A11720" i="1"/>
  <c r="C11720" i="1"/>
  <c r="A11721" i="1"/>
  <c r="C11721" i="1"/>
  <c r="A11722" i="1"/>
  <c r="C11722" i="1"/>
  <c r="A11723" i="1"/>
  <c r="C11723" i="1"/>
  <c r="A11724" i="1"/>
  <c r="C11724" i="1"/>
  <c r="A11725" i="1"/>
  <c r="C11725" i="1"/>
  <c r="A11726" i="1"/>
  <c r="C11726" i="1"/>
  <c r="A11727" i="1"/>
  <c r="C11727" i="1"/>
  <c r="A11728" i="1"/>
  <c r="C11728" i="1"/>
  <c r="A11729" i="1"/>
  <c r="C11729" i="1"/>
  <c r="A11730" i="1"/>
  <c r="C11730" i="1"/>
  <c r="A11731" i="1"/>
  <c r="C11731" i="1"/>
  <c r="A11732" i="1"/>
  <c r="C11732" i="1"/>
  <c r="A11733" i="1"/>
  <c r="C11733" i="1"/>
  <c r="A11734" i="1"/>
  <c r="C11734" i="1"/>
  <c r="A11735" i="1"/>
  <c r="C11735" i="1"/>
  <c r="A11736" i="1"/>
  <c r="C11736" i="1"/>
  <c r="A11737" i="1"/>
  <c r="C11737" i="1"/>
  <c r="A11738" i="1"/>
  <c r="C11738" i="1"/>
  <c r="A11739" i="1"/>
  <c r="C11739" i="1"/>
  <c r="A11740" i="1"/>
  <c r="C11740" i="1"/>
  <c r="A11741" i="1"/>
  <c r="C11741" i="1"/>
  <c r="A11742" i="1"/>
  <c r="C11742" i="1"/>
  <c r="A11743" i="1"/>
  <c r="C11743" i="1"/>
  <c r="A11744" i="1"/>
  <c r="C11744" i="1"/>
  <c r="A11745" i="1"/>
  <c r="C11745" i="1"/>
  <c r="A11746" i="1"/>
  <c r="C11746" i="1"/>
  <c r="A11747" i="1"/>
  <c r="C11747" i="1"/>
  <c r="A11748" i="1"/>
  <c r="C11748" i="1"/>
  <c r="A11749" i="1"/>
  <c r="C11749" i="1"/>
  <c r="A11750" i="1"/>
  <c r="C11750" i="1"/>
  <c r="A11751" i="1"/>
  <c r="C11751" i="1"/>
  <c r="A11752" i="1"/>
  <c r="C11752" i="1"/>
  <c r="A11753" i="1"/>
  <c r="C11753" i="1"/>
  <c r="A11754" i="1"/>
  <c r="C11754" i="1"/>
  <c r="A11755" i="1"/>
  <c r="C11755" i="1"/>
  <c r="A11756" i="1"/>
  <c r="C11756" i="1"/>
  <c r="A11757" i="1"/>
  <c r="C11757" i="1"/>
  <c r="A11758" i="1"/>
  <c r="C11758" i="1"/>
  <c r="A11759" i="1"/>
  <c r="C11759" i="1"/>
  <c r="A11760" i="1"/>
  <c r="C11760" i="1"/>
  <c r="A11761" i="1"/>
  <c r="C11761" i="1"/>
  <c r="A11762" i="1"/>
  <c r="C11762" i="1"/>
  <c r="A11763" i="1"/>
  <c r="C11763" i="1"/>
  <c r="A11764" i="1"/>
  <c r="C11764" i="1"/>
  <c r="A11765" i="1"/>
  <c r="C11765" i="1"/>
  <c r="A11766" i="1"/>
  <c r="C11766" i="1"/>
  <c r="A11767" i="1"/>
  <c r="C11767" i="1"/>
  <c r="A11768" i="1"/>
  <c r="C11768" i="1"/>
  <c r="A11769" i="1"/>
  <c r="C11769" i="1"/>
  <c r="A11770" i="1"/>
  <c r="C11770" i="1"/>
  <c r="A11771" i="1"/>
  <c r="C11771" i="1"/>
  <c r="A11772" i="1"/>
  <c r="C11772" i="1"/>
  <c r="A11773" i="1"/>
  <c r="C11773" i="1"/>
  <c r="A11774" i="1"/>
  <c r="C11774" i="1"/>
  <c r="A11775" i="1"/>
  <c r="C11775" i="1"/>
  <c r="A11776" i="1"/>
  <c r="C11776" i="1"/>
  <c r="A11777" i="1"/>
  <c r="C11777" i="1"/>
  <c r="A11778" i="1"/>
  <c r="C11778" i="1"/>
  <c r="A11779" i="1"/>
  <c r="C11779" i="1"/>
  <c r="A11780" i="1"/>
  <c r="C11780" i="1"/>
  <c r="A11781" i="1"/>
  <c r="C11781" i="1"/>
  <c r="A11782" i="1"/>
  <c r="C11782" i="1"/>
  <c r="A11783" i="1"/>
  <c r="C11783" i="1"/>
  <c r="A11784" i="1"/>
  <c r="C11784" i="1"/>
  <c r="A11785" i="1"/>
  <c r="C11785" i="1"/>
  <c r="A11786" i="1"/>
  <c r="C11786" i="1"/>
  <c r="A11787" i="1"/>
  <c r="C11787" i="1"/>
  <c r="A11788" i="1"/>
  <c r="C11788" i="1"/>
  <c r="A11789" i="1"/>
  <c r="C11789" i="1"/>
  <c r="A11790" i="1"/>
  <c r="C11790" i="1"/>
  <c r="A11791" i="1"/>
  <c r="C11791" i="1"/>
  <c r="A11792" i="1"/>
  <c r="C11792" i="1"/>
  <c r="A11793" i="1"/>
  <c r="C11793" i="1"/>
  <c r="A11794" i="1"/>
  <c r="C11794" i="1"/>
  <c r="A11795" i="1"/>
  <c r="C11795" i="1"/>
  <c r="A11796" i="1"/>
  <c r="C11796" i="1"/>
  <c r="A11797" i="1"/>
  <c r="C11797" i="1"/>
  <c r="A11798" i="1"/>
  <c r="C11798" i="1"/>
  <c r="A11799" i="1"/>
  <c r="C11799" i="1"/>
  <c r="A11800" i="1"/>
  <c r="C11800" i="1"/>
  <c r="A11801" i="1"/>
  <c r="C11801" i="1"/>
  <c r="A11802" i="1"/>
  <c r="C11802" i="1"/>
  <c r="A11803" i="1"/>
  <c r="C11803" i="1"/>
  <c r="A11804" i="1"/>
  <c r="C11804" i="1"/>
  <c r="A11805" i="1"/>
  <c r="C11805" i="1"/>
  <c r="A11806" i="1"/>
  <c r="C11806" i="1"/>
  <c r="A11807" i="1"/>
  <c r="C11807" i="1"/>
  <c r="A11808" i="1"/>
  <c r="C11808" i="1"/>
  <c r="A11809" i="1"/>
  <c r="C11809" i="1"/>
  <c r="A11810" i="1"/>
  <c r="C11810" i="1"/>
  <c r="A11811" i="1"/>
  <c r="C11811" i="1"/>
  <c r="A11812" i="1"/>
  <c r="C11812" i="1"/>
  <c r="A11813" i="1"/>
  <c r="C11813" i="1"/>
  <c r="A11814" i="1"/>
  <c r="C11814" i="1"/>
  <c r="A11815" i="1"/>
  <c r="C11815" i="1"/>
  <c r="A11816" i="1"/>
  <c r="C11816" i="1"/>
  <c r="A11817" i="1"/>
  <c r="C11817" i="1"/>
  <c r="A11818" i="1"/>
  <c r="C11818" i="1"/>
  <c r="A11819" i="1"/>
  <c r="C11819" i="1"/>
  <c r="A11820" i="1"/>
  <c r="C11820" i="1"/>
  <c r="A11821" i="1"/>
  <c r="C11821" i="1"/>
  <c r="A11822" i="1"/>
  <c r="C11822" i="1"/>
  <c r="A11823" i="1"/>
  <c r="C11823" i="1"/>
  <c r="A11824" i="1"/>
  <c r="C11824" i="1"/>
  <c r="A11825" i="1"/>
  <c r="C11825" i="1"/>
  <c r="A11826" i="1"/>
  <c r="C11826" i="1"/>
  <c r="A11827" i="1"/>
  <c r="C11827" i="1"/>
  <c r="A11828" i="1"/>
  <c r="C11828" i="1"/>
  <c r="A11829" i="1"/>
  <c r="C11829" i="1"/>
  <c r="A11830" i="1"/>
  <c r="C11830" i="1"/>
  <c r="A11831" i="1"/>
  <c r="C11831" i="1"/>
  <c r="A11832" i="1"/>
  <c r="C11832" i="1"/>
  <c r="A11833" i="1"/>
  <c r="C11833" i="1"/>
  <c r="A11834" i="1"/>
  <c r="C11834" i="1"/>
  <c r="A11835" i="1"/>
  <c r="C11835" i="1"/>
  <c r="A11836" i="1"/>
  <c r="C11836" i="1"/>
  <c r="A11837" i="1"/>
  <c r="C11837" i="1"/>
  <c r="A11838" i="1"/>
  <c r="C11838" i="1"/>
  <c r="A11839" i="1"/>
  <c r="C11839" i="1"/>
  <c r="A11840" i="1"/>
  <c r="C11840" i="1"/>
  <c r="A11841" i="1"/>
  <c r="C11841" i="1"/>
  <c r="A11842" i="1"/>
  <c r="C11842" i="1"/>
  <c r="A11843" i="1"/>
  <c r="C11843" i="1"/>
  <c r="A11844" i="1"/>
  <c r="C11844" i="1"/>
  <c r="A11845" i="1"/>
  <c r="C11845" i="1"/>
  <c r="A11846" i="1"/>
  <c r="C11846" i="1"/>
  <c r="A11847" i="1"/>
  <c r="C11847" i="1"/>
  <c r="A11848" i="1"/>
  <c r="C11848" i="1"/>
  <c r="A11849" i="1"/>
  <c r="C11849" i="1"/>
  <c r="A11850" i="1"/>
  <c r="C11850" i="1"/>
  <c r="A11851" i="1"/>
  <c r="C11851" i="1"/>
  <c r="A11852" i="1"/>
  <c r="C11852" i="1"/>
  <c r="A11853" i="1"/>
  <c r="C11853" i="1"/>
  <c r="A11854" i="1"/>
  <c r="C11854" i="1"/>
  <c r="A11855" i="1"/>
  <c r="C11855" i="1"/>
  <c r="A11856" i="1"/>
  <c r="C11856" i="1"/>
  <c r="A11857" i="1"/>
  <c r="C11857" i="1"/>
  <c r="A11858" i="1"/>
  <c r="C11858" i="1"/>
  <c r="A11859" i="1"/>
  <c r="C11859" i="1"/>
  <c r="A11860" i="1"/>
  <c r="C11860" i="1"/>
  <c r="A11861" i="1"/>
  <c r="C11861" i="1"/>
  <c r="A11862" i="1"/>
  <c r="C11862" i="1"/>
  <c r="A11863" i="1"/>
  <c r="C11863" i="1"/>
  <c r="A11864" i="1"/>
  <c r="C11864" i="1"/>
  <c r="A11865" i="1"/>
  <c r="C11865" i="1"/>
  <c r="A11866" i="1"/>
  <c r="C11866" i="1"/>
  <c r="A11867" i="1"/>
  <c r="C11867" i="1"/>
  <c r="A11868" i="1"/>
  <c r="C11868" i="1"/>
  <c r="A11869" i="1"/>
  <c r="C11869" i="1"/>
  <c r="A11870" i="1"/>
  <c r="C11870" i="1"/>
  <c r="A11871" i="1"/>
  <c r="C11871" i="1"/>
  <c r="A11872" i="1"/>
  <c r="C11872" i="1"/>
  <c r="A11873" i="1"/>
  <c r="C11873" i="1"/>
  <c r="A11874" i="1"/>
  <c r="C11874" i="1"/>
  <c r="A11875" i="1"/>
  <c r="C11875" i="1"/>
  <c r="A11876" i="1"/>
  <c r="C11876" i="1"/>
  <c r="A11877" i="1"/>
  <c r="C11877" i="1"/>
  <c r="A11878" i="1"/>
  <c r="C11878" i="1"/>
  <c r="A11879" i="1"/>
  <c r="C11879" i="1"/>
  <c r="A11880" i="1"/>
  <c r="C11880" i="1"/>
  <c r="A11881" i="1"/>
  <c r="C11881" i="1"/>
  <c r="A11882" i="1"/>
  <c r="C11882" i="1"/>
  <c r="A11883" i="1"/>
  <c r="C11883" i="1"/>
  <c r="A11884" i="1"/>
  <c r="C11884" i="1"/>
  <c r="A11885" i="1"/>
  <c r="C11885" i="1"/>
  <c r="A11886" i="1"/>
  <c r="C11886" i="1"/>
  <c r="A11887" i="1"/>
  <c r="C11887" i="1"/>
  <c r="A11888" i="1"/>
  <c r="C11888" i="1"/>
  <c r="A11889" i="1"/>
  <c r="C11889" i="1"/>
  <c r="A11890" i="1"/>
  <c r="C11890" i="1"/>
  <c r="A11891" i="1"/>
  <c r="C11891" i="1"/>
  <c r="A11892" i="1"/>
  <c r="C11892" i="1"/>
  <c r="A11893" i="1"/>
  <c r="C11893" i="1"/>
  <c r="A11894" i="1"/>
  <c r="C11894" i="1"/>
  <c r="A11895" i="1"/>
  <c r="C11895" i="1"/>
  <c r="A11896" i="1"/>
  <c r="C11896" i="1"/>
  <c r="A11897" i="1"/>
  <c r="C11897" i="1"/>
  <c r="A11898" i="1"/>
  <c r="C11898" i="1"/>
  <c r="A11899" i="1"/>
  <c r="C11899" i="1"/>
  <c r="A11900" i="1"/>
  <c r="C11900" i="1"/>
  <c r="A11901" i="1"/>
  <c r="C11901" i="1"/>
  <c r="A11902" i="1"/>
  <c r="C11902" i="1"/>
  <c r="A11903" i="1"/>
  <c r="C11903" i="1"/>
  <c r="A11904" i="1"/>
  <c r="C11904" i="1"/>
  <c r="A11905" i="1"/>
  <c r="C11905" i="1"/>
  <c r="A11906" i="1"/>
  <c r="C11906" i="1"/>
  <c r="A11907" i="1"/>
  <c r="C11907" i="1"/>
  <c r="A11908" i="1"/>
  <c r="C11908" i="1"/>
  <c r="A11909" i="1"/>
  <c r="C11909" i="1"/>
  <c r="A11910" i="1"/>
  <c r="C11910" i="1"/>
  <c r="A11911" i="1"/>
  <c r="C11911" i="1"/>
  <c r="A11912" i="1"/>
  <c r="C11912" i="1"/>
  <c r="A11913" i="1"/>
  <c r="C11913" i="1"/>
  <c r="A11914" i="1"/>
  <c r="C11914" i="1"/>
  <c r="A11915" i="1"/>
  <c r="C11915" i="1"/>
  <c r="A11916" i="1"/>
  <c r="C11916" i="1"/>
  <c r="A11917" i="1"/>
  <c r="C11917" i="1"/>
  <c r="A11918" i="1"/>
  <c r="C11918" i="1"/>
  <c r="A11919" i="1"/>
  <c r="C11919" i="1"/>
  <c r="A11920" i="1"/>
  <c r="C11920" i="1"/>
  <c r="A11921" i="1"/>
  <c r="C11921" i="1"/>
  <c r="A11922" i="1"/>
  <c r="C11922" i="1"/>
  <c r="A11923" i="1"/>
  <c r="C11923" i="1"/>
  <c r="A11924" i="1"/>
  <c r="C11924" i="1"/>
  <c r="A11925" i="1"/>
  <c r="C11925" i="1"/>
  <c r="A11926" i="1"/>
  <c r="C11926" i="1"/>
  <c r="A11927" i="1"/>
  <c r="C11927" i="1"/>
  <c r="A11928" i="1"/>
  <c r="C11928" i="1"/>
  <c r="A11929" i="1"/>
  <c r="C11929" i="1"/>
  <c r="A11930" i="1"/>
  <c r="C11930" i="1"/>
  <c r="A11931" i="1"/>
  <c r="C11931" i="1"/>
  <c r="A11932" i="1"/>
  <c r="C11932" i="1"/>
  <c r="A11933" i="1"/>
  <c r="C11933" i="1"/>
  <c r="A11934" i="1"/>
  <c r="C11934" i="1"/>
  <c r="A11935" i="1"/>
  <c r="C11935" i="1"/>
  <c r="A11936" i="1"/>
  <c r="C11936" i="1"/>
  <c r="A11937" i="1"/>
  <c r="C11937" i="1"/>
  <c r="A11938" i="1"/>
  <c r="C11938" i="1"/>
  <c r="A11939" i="1"/>
  <c r="C11939" i="1"/>
  <c r="A11940" i="1"/>
  <c r="C11940" i="1"/>
  <c r="A11941" i="1"/>
  <c r="C11941" i="1"/>
  <c r="A11942" i="1"/>
  <c r="C11942" i="1"/>
  <c r="A11943" i="1"/>
  <c r="C11943" i="1"/>
  <c r="A11944" i="1"/>
  <c r="C11944" i="1"/>
  <c r="A11945" i="1"/>
  <c r="C11945" i="1"/>
  <c r="A11946" i="1"/>
  <c r="C11946" i="1"/>
  <c r="A11947" i="1"/>
  <c r="C11947" i="1"/>
  <c r="A11948" i="1"/>
  <c r="C11948" i="1"/>
  <c r="A11949" i="1"/>
  <c r="C11949" i="1"/>
  <c r="A11950" i="1"/>
  <c r="C11950" i="1"/>
  <c r="A11951" i="1"/>
  <c r="C11951" i="1"/>
  <c r="A11952" i="1"/>
  <c r="C11952" i="1"/>
  <c r="A11953" i="1"/>
  <c r="C11953" i="1"/>
  <c r="A11954" i="1"/>
  <c r="C11954" i="1"/>
  <c r="A11955" i="1"/>
  <c r="C11955" i="1"/>
  <c r="A11956" i="1"/>
  <c r="C11956" i="1"/>
  <c r="A11957" i="1"/>
  <c r="C11957" i="1"/>
  <c r="A11958" i="1"/>
  <c r="C11958" i="1"/>
  <c r="A11959" i="1"/>
  <c r="C11959" i="1"/>
  <c r="A11960" i="1"/>
  <c r="C11960" i="1"/>
  <c r="A11961" i="1"/>
  <c r="C11961" i="1"/>
  <c r="A11962" i="1"/>
  <c r="C11962" i="1"/>
  <c r="A11963" i="1"/>
  <c r="C11963" i="1"/>
  <c r="A11964" i="1"/>
  <c r="C11964" i="1"/>
  <c r="A11965" i="1"/>
  <c r="C11965" i="1"/>
  <c r="A11966" i="1"/>
  <c r="C11966" i="1"/>
  <c r="A11967" i="1"/>
  <c r="C11967" i="1"/>
  <c r="A11968" i="1"/>
  <c r="C11968" i="1"/>
  <c r="A11969" i="1"/>
  <c r="C11969" i="1"/>
  <c r="A11970" i="1"/>
  <c r="C11970" i="1"/>
  <c r="A11971" i="1"/>
  <c r="C11971" i="1"/>
  <c r="A11972" i="1"/>
  <c r="C11972" i="1"/>
  <c r="A11973" i="1"/>
  <c r="C11973" i="1"/>
  <c r="A11974" i="1"/>
  <c r="C11974" i="1"/>
  <c r="A11975" i="1"/>
  <c r="C11975" i="1"/>
  <c r="A11976" i="1"/>
  <c r="C11976" i="1"/>
  <c r="A11977" i="1"/>
  <c r="C11977" i="1"/>
  <c r="A11978" i="1"/>
  <c r="C11978" i="1"/>
  <c r="A11979" i="1"/>
  <c r="C11979" i="1"/>
  <c r="A11980" i="1"/>
  <c r="C11980" i="1"/>
  <c r="A11981" i="1"/>
  <c r="C11981" i="1"/>
  <c r="A11982" i="1"/>
  <c r="C11982" i="1"/>
  <c r="A11983" i="1"/>
  <c r="C11983" i="1"/>
  <c r="A11984" i="1"/>
  <c r="C11984" i="1"/>
  <c r="A11985" i="1"/>
  <c r="C11985" i="1"/>
  <c r="A11986" i="1"/>
  <c r="C11986" i="1"/>
  <c r="A11987" i="1"/>
  <c r="C11987" i="1"/>
  <c r="A11988" i="1"/>
  <c r="C11988" i="1"/>
  <c r="A11989" i="1"/>
  <c r="C11989" i="1"/>
  <c r="A11990" i="1"/>
  <c r="C11990" i="1"/>
  <c r="A11991" i="1"/>
  <c r="C11991" i="1"/>
  <c r="A11992" i="1"/>
  <c r="C11992" i="1"/>
  <c r="A11993" i="1"/>
  <c r="C11993" i="1"/>
  <c r="A11994" i="1"/>
  <c r="C11994" i="1"/>
  <c r="A11995" i="1"/>
  <c r="C11995" i="1"/>
  <c r="A11996" i="1"/>
  <c r="C11996" i="1"/>
  <c r="A11997" i="1"/>
  <c r="C11997" i="1"/>
  <c r="A11998" i="1"/>
  <c r="C11998" i="1"/>
  <c r="A11999" i="1"/>
  <c r="C11999" i="1"/>
  <c r="A12000" i="1"/>
  <c r="C12000" i="1"/>
  <c r="A12001" i="1"/>
  <c r="C12001" i="1"/>
  <c r="A12002" i="1"/>
  <c r="C12002" i="1"/>
  <c r="A12003" i="1"/>
  <c r="C12003" i="1"/>
  <c r="A12004" i="1"/>
  <c r="C12004" i="1"/>
  <c r="A12005" i="1"/>
  <c r="C12005" i="1"/>
  <c r="A12006" i="1"/>
  <c r="C12006" i="1"/>
  <c r="A12007" i="1"/>
  <c r="C12007" i="1"/>
  <c r="A12008" i="1"/>
  <c r="C12008" i="1"/>
  <c r="A12009" i="1"/>
  <c r="C12009" i="1"/>
  <c r="A12010" i="1"/>
  <c r="C12010" i="1"/>
  <c r="A12011" i="1"/>
  <c r="C12011" i="1"/>
  <c r="A12012" i="1"/>
  <c r="C12012" i="1"/>
  <c r="A12013" i="1"/>
  <c r="C12013" i="1"/>
  <c r="A12014" i="1"/>
  <c r="C12014" i="1"/>
  <c r="A12015" i="1"/>
  <c r="C12015" i="1"/>
  <c r="A12016" i="1"/>
  <c r="C12016" i="1"/>
  <c r="A12017" i="1"/>
  <c r="C12017" i="1"/>
  <c r="A12018" i="1"/>
  <c r="C12018" i="1"/>
  <c r="A12019" i="1"/>
  <c r="C12019" i="1"/>
  <c r="A12020" i="1"/>
  <c r="C12020" i="1"/>
  <c r="A12021" i="1"/>
  <c r="C12021" i="1"/>
  <c r="A12022" i="1"/>
  <c r="C12022" i="1"/>
  <c r="A12023" i="1"/>
  <c r="C12023" i="1"/>
  <c r="A12024" i="1"/>
  <c r="C12024" i="1"/>
  <c r="A12025" i="1"/>
  <c r="C12025" i="1"/>
  <c r="A12026" i="1"/>
  <c r="C12026" i="1"/>
  <c r="A12027" i="1"/>
  <c r="C12027" i="1"/>
  <c r="A12028" i="1"/>
  <c r="C12028" i="1"/>
  <c r="A12029" i="1"/>
  <c r="C12029" i="1"/>
  <c r="A12030" i="1"/>
  <c r="C12030" i="1"/>
  <c r="A12031" i="1"/>
  <c r="C12031" i="1"/>
  <c r="A12032" i="1"/>
  <c r="C12032" i="1"/>
  <c r="A12033" i="1"/>
  <c r="C12033" i="1"/>
  <c r="A12034" i="1"/>
  <c r="C12034" i="1"/>
  <c r="A12035" i="1"/>
  <c r="C12035" i="1"/>
  <c r="A12036" i="1"/>
  <c r="C12036" i="1"/>
  <c r="A12037" i="1"/>
  <c r="C12037" i="1"/>
  <c r="A12038" i="1"/>
  <c r="C12038" i="1"/>
  <c r="A12039" i="1"/>
  <c r="C12039" i="1"/>
  <c r="A12040" i="1"/>
  <c r="C12040" i="1"/>
  <c r="A12041" i="1"/>
  <c r="C12041" i="1"/>
  <c r="A12042" i="1"/>
  <c r="C12042" i="1"/>
  <c r="A12043" i="1"/>
  <c r="C12043" i="1"/>
  <c r="A12044" i="1"/>
  <c r="C12044" i="1"/>
  <c r="A12045" i="1"/>
  <c r="C12045" i="1"/>
  <c r="A12046" i="1"/>
  <c r="C12046" i="1"/>
  <c r="A12047" i="1"/>
  <c r="C12047" i="1"/>
  <c r="A12048" i="1"/>
  <c r="C12048" i="1"/>
  <c r="A12049" i="1"/>
  <c r="C12049" i="1"/>
  <c r="A12050" i="1"/>
  <c r="C12050" i="1"/>
  <c r="A12051" i="1"/>
  <c r="C12051" i="1"/>
  <c r="A12052" i="1"/>
  <c r="C12052" i="1"/>
  <c r="A12053" i="1"/>
  <c r="C12053" i="1"/>
  <c r="A12054" i="1"/>
  <c r="C12054" i="1"/>
  <c r="A12055" i="1"/>
  <c r="C12055" i="1"/>
  <c r="A12056" i="1"/>
  <c r="C12056" i="1"/>
  <c r="A12057" i="1"/>
  <c r="C12057" i="1"/>
  <c r="A12058" i="1"/>
  <c r="C12058" i="1"/>
  <c r="A12059" i="1"/>
  <c r="C12059" i="1"/>
  <c r="A12060" i="1"/>
  <c r="C12060" i="1"/>
  <c r="A12061" i="1"/>
  <c r="C12061" i="1"/>
  <c r="A12062" i="1"/>
  <c r="C12062" i="1"/>
  <c r="A12063" i="1"/>
  <c r="C12063" i="1"/>
  <c r="A12064" i="1"/>
  <c r="C12064" i="1"/>
  <c r="A12065" i="1"/>
  <c r="C12065" i="1"/>
  <c r="A12066" i="1"/>
  <c r="C12066" i="1"/>
  <c r="A12067" i="1"/>
  <c r="C12067" i="1"/>
  <c r="A12068" i="1"/>
  <c r="C12068" i="1"/>
  <c r="A12069" i="1"/>
  <c r="C12069" i="1"/>
  <c r="A12070" i="1"/>
  <c r="C12070" i="1"/>
  <c r="A12071" i="1"/>
  <c r="C12071" i="1"/>
  <c r="A12072" i="1"/>
  <c r="C12072" i="1"/>
  <c r="A12073" i="1"/>
  <c r="C12073" i="1"/>
  <c r="A12074" i="1"/>
  <c r="C12074" i="1"/>
  <c r="A12075" i="1"/>
  <c r="C12075" i="1"/>
  <c r="A12076" i="1"/>
  <c r="C12076" i="1"/>
  <c r="A12077" i="1"/>
  <c r="C12077" i="1"/>
  <c r="A12078" i="1"/>
  <c r="C12078" i="1"/>
  <c r="A12079" i="1"/>
  <c r="C12079" i="1"/>
  <c r="A12080" i="1"/>
  <c r="C12080" i="1"/>
  <c r="A12081" i="1"/>
  <c r="C12081" i="1"/>
  <c r="A12082" i="1"/>
  <c r="C12082" i="1"/>
  <c r="A12083" i="1"/>
  <c r="C12083" i="1"/>
  <c r="A12084" i="1"/>
  <c r="C12084" i="1"/>
  <c r="A12085" i="1"/>
  <c r="C12085" i="1"/>
  <c r="A12086" i="1"/>
  <c r="C12086" i="1"/>
  <c r="A12087" i="1"/>
  <c r="C12087" i="1"/>
  <c r="A12088" i="1"/>
  <c r="C12088" i="1"/>
  <c r="A12089" i="1"/>
  <c r="C12089" i="1"/>
  <c r="A12090" i="1"/>
  <c r="C12090" i="1"/>
  <c r="A12091" i="1"/>
  <c r="C12091" i="1"/>
  <c r="A12092" i="1"/>
  <c r="C12092" i="1"/>
  <c r="A12093" i="1"/>
  <c r="C12093" i="1"/>
  <c r="A12094" i="1"/>
  <c r="C12094" i="1"/>
  <c r="A12095" i="1"/>
  <c r="C12095" i="1"/>
  <c r="A12096" i="1"/>
  <c r="C12096" i="1"/>
  <c r="A12097" i="1"/>
  <c r="C12097" i="1"/>
  <c r="A12098" i="1"/>
  <c r="C12098" i="1"/>
  <c r="A12099" i="1"/>
  <c r="C12099" i="1"/>
  <c r="A12100" i="1"/>
  <c r="C12100" i="1"/>
  <c r="A12101" i="1"/>
  <c r="C12101" i="1"/>
  <c r="A12102" i="1"/>
  <c r="C12102" i="1"/>
  <c r="A12103" i="1"/>
  <c r="C12103" i="1"/>
  <c r="A12104" i="1"/>
  <c r="C12104" i="1"/>
  <c r="A12105" i="1"/>
  <c r="C12105" i="1"/>
  <c r="A12106" i="1"/>
  <c r="C12106" i="1"/>
  <c r="A12107" i="1"/>
  <c r="C12107" i="1"/>
  <c r="A12108" i="1"/>
  <c r="C12108" i="1"/>
  <c r="A12109" i="1"/>
  <c r="C12109" i="1"/>
  <c r="A12110" i="1"/>
  <c r="C12110" i="1"/>
  <c r="A12111" i="1"/>
  <c r="C12111" i="1"/>
  <c r="A12112" i="1"/>
  <c r="C12112" i="1"/>
  <c r="A12113" i="1"/>
  <c r="C12113" i="1"/>
  <c r="A12114" i="1"/>
  <c r="C12114" i="1"/>
  <c r="A12115" i="1"/>
  <c r="C12115" i="1"/>
  <c r="A12116" i="1"/>
  <c r="C12116" i="1"/>
  <c r="A12117" i="1"/>
  <c r="C12117" i="1"/>
  <c r="A12118" i="1"/>
  <c r="C12118" i="1"/>
  <c r="A12119" i="1"/>
  <c r="C12119" i="1"/>
  <c r="A12120" i="1"/>
  <c r="C12120" i="1"/>
  <c r="A12121" i="1"/>
  <c r="C12121" i="1"/>
  <c r="A12122" i="1"/>
  <c r="C12122" i="1"/>
  <c r="A12123" i="1"/>
  <c r="C12123" i="1"/>
  <c r="A12124" i="1"/>
  <c r="C12124" i="1"/>
  <c r="A12125" i="1"/>
  <c r="C12125" i="1"/>
  <c r="A12126" i="1"/>
  <c r="C12126" i="1"/>
  <c r="A12127" i="1"/>
  <c r="C12127" i="1"/>
  <c r="A12128" i="1"/>
  <c r="C12128" i="1"/>
  <c r="A12129" i="1"/>
  <c r="C12129" i="1"/>
  <c r="A12130" i="1"/>
  <c r="C12130" i="1"/>
  <c r="A12131" i="1"/>
  <c r="C12131" i="1"/>
  <c r="A12132" i="1"/>
  <c r="C12132" i="1"/>
  <c r="A12133" i="1"/>
  <c r="C12133" i="1"/>
  <c r="A12134" i="1"/>
  <c r="C12134" i="1"/>
  <c r="A12135" i="1"/>
  <c r="C12135" i="1"/>
  <c r="A12136" i="1"/>
  <c r="C12136" i="1"/>
  <c r="A12137" i="1"/>
  <c r="C12137" i="1"/>
  <c r="A12138" i="1"/>
  <c r="C12138" i="1"/>
  <c r="A12139" i="1"/>
  <c r="C12139" i="1"/>
  <c r="A12140" i="1"/>
  <c r="C12140" i="1"/>
  <c r="A12141" i="1"/>
  <c r="C12141" i="1"/>
  <c r="A12142" i="1"/>
  <c r="C12142" i="1"/>
  <c r="A12143" i="1"/>
  <c r="C12143" i="1"/>
  <c r="A12144" i="1"/>
  <c r="C12144" i="1"/>
  <c r="A12145" i="1"/>
  <c r="C12145" i="1"/>
  <c r="A12146" i="1"/>
  <c r="C12146" i="1"/>
  <c r="A12147" i="1"/>
  <c r="C12147" i="1"/>
  <c r="A12148" i="1"/>
  <c r="C12148" i="1"/>
  <c r="A12149" i="1"/>
  <c r="C12149" i="1"/>
  <c r="A12150" i="1"/>
  <c r="C12150" i="1"/>
  <c r="A12151" i="1"/>
  <c r="C12151" i="1"/>
  <c r="A12152" i="1"/>
  <c r="C12152" i="1"/>
  <c r="A12153" i="1"/>
  <c r="C12153" i="1"/>
  <c r="A12154" i="1"/>
  <c r="C12154" i="1"/>
  <c r="A12155" i="1"/>
  <c r="C12155" i="1"/>
  <c r="A12156" i="1"/>
  <c r="C12156" i="1"/>
  <c r="A12157" i="1"/>
  <c r="C12157" i="1"/>
  <c r="A12158" i="1"/>
  <c r="C12158" i="1"/>
  <c r="A12159" i="1"/>
  <c r="C12159" i="1"/>
  <c r="A12160" i="1"/>
  <c r="C12160" i="1"/>
  <c r="A12161" i="1"/>
  <c r="C12161" i="1"/>
  <c r="A12162" i="1"/>
  <c r="C12162" i="1"/>
  <c r="A12163" i="1"/>
  <c r="C12163" i="1"/>
  <c r="A12164" i="1"/>
  <c r="C12164" i="1"/>
  <c r="A12165" i="1"/>
  <c r="C12165" i="1"/>
  <c r="A12166" i="1"/>
  <c r="C12166" i="1"/>
  <c r="A12167" i="1"/>
  <c r="C12167" i="1"/>
  <c r="A12168" i="1"/>
  <c r="C12168" i="1"/>
  <c r="A12169" i="1"/>
  <c r="C12169" i="1"/>
  <c r="A12170" i="1"/>
  <c r="C12170" i="1"/>
  <c r="A12171" i="1"/>
  <c r="C12171" i="1"/>
  <c r="A12172" i="1"/>
  <c r="C12172" i="1"/>
  <c r="A12173" i="1"/>
  <c r="C12173" i="1"/>
  <c r="A12174" i="1"/>
  <c r="C12174" i="1"/>
  <c r="A12175" i="1"/>
  <c r="C12175" i="1"/>
  <c r="A12176" i="1"/>
  <c r="C12176" i="1"/>
  <c r="A12177" i="1"/>
  <c r="C12177" i="1"/>
  <c r="A12178" i="1"/>
  <c r="C12178" i="1"/>
  <c r="A12179" i="1"/>
  <c r="C12179" i="1"/>
  <c r="A12180" i="1"/>
  <c r="C12180" i="1"/>
  <c r="A12181" i="1"/>
  <c r="C12181" i="1"/>
  <c r="A12182" i="1"/>
  <c r="C12182" i="1"/>
  <c r="A12183" i="1"/>
  <c r="C12183" i="1"/>
  <c r="A12184" i="1"/>
  <c r="C12184" i="1"/>
  <c r="A12185" i="1"/>
  <c r="C12185" i="1"/>
  <c r="A12186" i="1"/>
  <c r="C12186" i="1"/>
  <c r="A12187" i="1"/>
  <c r="C12187" i="1"/>
  <c r="A12188" i="1"/>
  <c r="C12188" i="1"/>
  <c r="A12189" i="1"/>
  <c r="C12189" i="1"/>
  <c r="A12190" i="1"/>
  <c r="C12190" i="1"/>
  <c r="A12191" i="1"/>
  <c r="C12191" i="1"/>
  <c r="A12192" i="1"/>
  <c r="C12192" i="1"/>
  <c r="A12193" i="1"/>
  <c r="C12193" i="1"/>
  <c r="A12194" i="1"/>
  <c r="C12194" i="1"/>
  <c r="A12195" i="1"/>
  <c r="C12195" i="1"/>
  <c r="A12196" i="1"/>
  <c r="C12196" i="1"/>
  <c r="A12197" i="1"/>
  <c r="C12197" i="1"/>
  <c r="A12198" i="1"/>
  <c r="C12198" i="1"/>
  <c r="A12199" i="1"/>
  <c r="C12199" i="1"/>
  <c r="A12200" i="1"/>
  <c r="C12200" i="1"/>
  <c r="A12201" i="1"/>
  <c r="C12201" i="1"/>
  <c r="A12202" i="1"/>
  <c r="C12202" i="1"/>
  <c r="A12203" i="1"/>
  <c r="C12203" i="1"/>
  <c r="A12204" i="1"/>
  <c r="C12204" i="1"/>
  <c r="A12205" i="1"/>
  <c r="C12205" i="1"/>
  <c r="A12206" i="1"/>
  <c r="C12206" i="1"/>
  <c r="A12207" i="1"/>
  <c r="C12207" i="1"/>
  <c r="A12208" i="1"/>
  <c r="C12208" i="1"/>
  <c r="A12209" i="1"/>
  <c r="C12209" i="1"/>
  <c r="A12210" i="1"/>
  <c r="C12210" i="1"/>
  <c r="A12211" i="1"/>
  <c r="C12211" i="1"/>
  <c r="A12212" i="1"/>
  <c r="C12212" i="1"/>
  <c r="A12213" i="1"/>
  <c r="C12213" i="1"/>
  <c r="A12214" i="1"/>
  <c r="C12214" i="1"/>
  <c r="A12215" i="1"/>
  <c r="C12215" i="1"/>
  <c r="A12216" i="1"/>
  <c r="C12216" i="1"/>
  <c r="A12217" i="1"/>
  <c r="C12217" i="1"/>
  <c r="A12218" i="1"/>
  <c r="C12218" i="1"/>
  <c r="A12219" i="1"/>
  <c r="C12219" i="1"/>
  <c r="A12220" i="1"/>
  <c r="C12220" i="1"/>
  <c r="A12221" i="1"/>
  <c r="C12221" i="1"/>
  <c r="A12222" i="1"/>
  <c r="C12222" i="1"/>
  <c r="A12223" i="1"/>
  <c r="C12223" i="1"/>
  <c r="A12224" i="1"/>
  <c r="C12224" i="1"/>
  <c r="A12225" i="1"/>
  <c r="C12225" i="1"/>
  <c r="A12226" i="1"/>
  <c r="C12226" i="1"/>
  <c r="A12227" i="1"/>
  <c r="C12227" i="1"/>
  <c r="A12228" i="1"/>
  <c r="C12228" i="1"/>
  <c r="A12229" i="1"/>
  <c r="C12229" i="1"/>
  <c r="A12230" i="1"/>
  <c r="C12230" i="1"/>
  <c r="A12231" i="1"/>
  <c r="C12231" i="1"/>
  <c r="A12232" i="1"/>
  <c r="C12232" i="1"/>
  <c r="A12233" i="1"/>
  <c r="C12233" i="1"/>
  <c r="A12234" i="1"/>
  <c r="C12234" i="1"/>
  <c r="A12235" i="1"/>
  <c r="C12235" i="1"/>
  <c r="A12236" i="1"/>
  <c r="C12236" i="1"/>
  <c r="A12237" i="1"/>
  <c r="C12237" i="1"/>
  <c r="A12238" i="1"/>
  <c r="C12238" i="1"/>
  <c r="A12239" i="1"/>
  <c r="C12239" i="1"/>
  <c r="A12240" i="1"/>
  <c r="C12240" i="1"/>
  <c r="A12241" i="1"/>
  <c r="C12241" i="1"/>
  <c r="A12242" i="1"/>
  <c r="C12242" i="1"/>
  <c r="A12243" i="1"/>
  <c r="C12243" i="1"/>
  <c r="A12244" i="1"/>
  <c r="C12244" i="1"/>
  <c r="A12245" i="1"/>
  <c r="C12245" i="1"/>
  <c r="A12246" i="1"/>
  <c r="C12246" i="1"/>
  <c r="A12247" i="1"/>
  <c r="C12247" i="1"/>
  <c r="A12248" i="1"/>
  <c r="C12248" i="1"/>
  <c r="A12249" i="1"/>
  <c r="C12249" i="1"/>
  <c r="A12250" i="1"/>
  <c r="C12250" i="1"/>
  <c r="A12251" i="1"/>
  <c r="C12251" i="1"/>
  <c r="A12252" i="1"/>
  <c r="C12252" i="1"/>
  <c r="A12253" i="1"/>
  <c r="C12253" i="1"/>
  <c r="A12254" i="1"/>
  <c r="C12254" i="1"/>
  <c r="A12255" i="1"/>
  <c r="C12255" i="1"/>
  <c r="A12256" i="1"/>
  <c r="C12256" i="1"/>
  <c r="A12257" i="1"/>
  <c r="C12257" i="1"/>
  <c r="A12258" i="1"/>
  <c r="C12258" i="1"/>
  <c r="A12259" i="1"/>
  <c r="C12259" i="1"/>
  <c r="A12260" i="1"/>
  <c r="C12260" i="1"/>
  <c r="A12261" i="1"/>
  <c r="C12261" i="1"/>
  <c r="A12262" i="1"/>
  <c r="C12262" i="1"/>
  <c r="A12263" i="1"/>
  <c r="C12263" i="1"/>
  <c r="A12264" i="1"/>
  <c r="C12264" i="1"/>
  <c r="A12265" i="1"/>
  <c r="C12265" i="1"/>
  <c r="A12266" i="1"/>
  <c r="C12266" i="1"/>
  <c r="A12267" i="1"/>
  <c r="C12267" i="1"/>
  <c r="A12268" i="1"/>
  <c r="C12268" i="1"/>
  <c r="A12269" i="1"/>
  <c r="C12269" i="1"/>
  <c r="A12270" i="1"/>
  <c r="C12270" i="1"/>
  <c r="A12271" i="1"/>
  <c r="C12271" i="1"/>
  <c r="A12272" i="1"/>
  <c r="C12272" i="1"/>
  <c r="A12273" i="1"/>
  <c r="C12273" i="1"/>
  <c r="A12274" i="1"/>
  <c r="C12274" i="1"/>
  <c r="A12275" i="1"/>
  <c r="C12275" i="1"/>
  <c r="A12276" i="1"/>
  <c r="C12276" i="1"/>
  <c r="A12277" i="1"/>
  <c r="C12277" i="1"/>
  <c r="A12278" i="1"/>
  <c r="C12278" i="1"/>
  <c r="A12279" i="1"/>
  <c r="C12279" i="1"/>
  <c r="A12280" i="1"/>
  <c r="C12280" i="1"/>
  <c r="A12281" i="1"/>
  <c r="C12281" i="1"/>
  <c r="A12282" i="1"/>
  <c r="C12282" i="1"/>
  <c r="A12283" i="1"/>
  <c r="C12283" i="1"/>
  <c r="A12284" i="1"/>
  <c r="C12284" i="1"/>
  <c r="A12285" i="1"/>
  <c r="C12285" i="1"/>
  <c r="A12286" i="1"/>
  <c r="C12286" i="1"/>
  <c r="A12287" i="1"/>
  <c r="C12287" i="1"/>
  <c r="A12288" i="1"/>
  <c r="C12288" i="1"/>
  <c r="A12289" i="1"/>
  <c r="C12289" i="1"/>
  <c r="A12290" i="1"/>
  <c r="C12290" i="1"/>
  <c r="A12291" i="1"/>
  <c r="C12291" i="1"/>
  <c r="A12292" i="1"/>
  <c r="C12292" i="1"/>
  <c r="A12293" i="1"/>
  <c r="C12293" i="1"/>
  <c r="A12294" i="1"/>
  <c r="C12294" i="1"/>
  <c r="A12295" i="1"/>
  <c r="C12295" i="1"/>
  <c r="A12296" i="1"/>
  <c r="C12296" i="1"/>
  <c r="A12297" i="1"/>
  <c r="C12297" i="1"/>
  <c r="A12298" i="1"/>
  <c r="C12298" i="1"/>
  <c r="A12299" i="1"/>
  <c r="C12299" i="1"/>
  <c r="A12300" i="1"/>
  <c r="C12300" i="1"/>
  <c r="A12301" i="1"/>
  <c r="C12301" i="1"/>
  <c r="A12302" i="1"/>
  <c r="C12302" i="1"/>
  <c r="A12303" i="1"/>
  <c r="C12303" i="1"/>
  <c r="A12304" i="1"/>
  <c r="C12304" i="1"/>
  <c r="A12305" i="1"/>
  <c r="C12305" i="1"/>
  <c r="A12306" i="1"/>
  <c r="C12306" i="1"/>
  <c r="A12307" i="1"/>
  <c r="C12307" i="1"/>
  <c r="A12308" i="1"/>
  <c r="C12308" i="1"/>
  <c r="A12309" i="1"/>
  <c r="C12309" i="1"/>
  <c r="A12310" i="1"/>
  <c r="C12310" i="1"/>
  <c r="A12311" i="1"/>
  <c r="C12311" i="1"/>
  <c r="A12312" i="1"/>
  <c r="C12312" i="1"/>
  <c r="A12313" i="1"/>
  <c r="C12313" i="1"/>
  <c r="A12314" i="1"/>
  <c r="C12314" i="1"/>
  <c r="A12315" i="1"/>
  <c r="C12315" i="1"/>
  <c r="A12316" i="1"/>
  <c r="C12316" i="1"/>
  <c r="A12317" i="1"/>
  <c r="C12317" i="1"/>
  <c r="A12318" i="1"/>
  <c r="C12318" i="1"/>
  <c r="A12319" i="1"/>
  <c r="C12319" i="1"/>
  <c r="A12320" i="1"/>
  <c r="C12320" i="1"/>
  <c r="A12321" i="1"/>
  <c r="C12321" i="1"/>
  <c r="A12322" i="1"/>
  <c r="C12322" i="1"/>
  <c r="A12323" i="1"/>
  <c r="C12323" i="1"/>
  <c r="A12324" i="1"/>
  <c r="C12324" i="1"/>
  <c r="A12325" i="1"/>
  <c r="C12325" i="1"/>
  <c r="A12326" i="1"/>
  <c r="C12326" i="1"/>
  <c r="A12327" i="1"/>
  <c r="C12327" i="1"/>
  <c r="A12328" i="1"/>
  <c r="C12328" i="1"/>
  <c r="A12329" i="1"/>
  <c r="C12329" i="1"/>
  <c r="A12330" i="1"/>
  <c r="C12330" i="1"/>
  <c r="A12331" i="1"/>
  <c r="C12331" i="1"/>
  <c r="A12332" i="1"/>
  <c r="C12332" i="1"/>
  <c r="A12333" i="1"/>
  <c r="C12333" i="1"/>
  <c r="A12334" i="1"/>
  <c r="C12334" i="1"/>
  <c r="A12335" i="1"/>
  <c r="C12335" i="1"/>
  <c r="A12336" i="1"/>
  <c r="C12336" i="1"/>
  <c r="A12337" i="1"/>
  <c r="C12337" i="1"/>
  <c r="A12338" i="1"/>
  <c r="C12338" i="1"/>
  <c r="A12339" i="1"/>
  <c r="C12339" i="1"/>
  <c r="A12340" i="1"/>
  <c r="C12340" i="1"/>
  <c r="A12341" i="1"/>
  <c r="C12341" i="1"/>
  <c r="A12342" i="1"/>
  <c r="C12342" i="1"/>
  <c r="A12343" i="1"/>
  <c r="C12343" i="1"/>
  <c r="A12344" i="1"/>
  <c r="C12344" i="1"/>
  <c r="A12345" i="1"/>
  <c r="C12345" i="1"/>
  <c r="A12346" i="1"/>
  <c r="C12346" i="1"/>
  <c r="A12347" i="1"/>
  <c r="C12347" i="1"/>
  <c r="A12348" i="1"/>
  <c r="C12348" i="1"/>
  <c r="A12349" i="1"/>
  <c r="C12349" i="1"/>
  <c r="A12350" i="1"/>
  <c r="C12350" i="1"/>
  <c r="A12351" i="1"/>
  <c r="C12351" i="1"/>
  <c r="A12352" i="1"/>
  <c r="C12352" i="1"/>
  <c r="A12353" i="1"/>
  <c r="C12353" i="1"/>
  <c r="A12354" i="1"/>
  <c r="C12354" i="1"/>
  <c r="A12355" i="1"/>
  <c r="C12355" i="1"/>
  <c r="A12356" i="1"/>
  <c r="C12356" i="1"/>
  <c r="A12357" i="1"/>
  <c r="C12357" i="1"/>
  <c r="A12358" i="1"/>
  <c r="C12358" i="1"/>
  <c r="A12359" i="1"/>
  <c r="C12359" i="1"/>
  <c r="A12360" i="1"/>
  <c r="C12360" i="1"/>
  <c r="A12361" i="1"/>
  <c r="C12361" i="1"/>
  <c r="A12362" i="1"/>
  <c r="C12362" i="1"/>
  <c r="A12363" i="1"/>
  <c r="C12363" i="1"/>
  <c r="A12364" i="1"/>
  <c r="C12364" i="1"/>
  <c r="A12365" i="1"/>
  <c r="C12365" i="1"/>
  <c r="A12366" i="1"/>
  <c r="C12366" i="1"/>
  <c r="A12367" i="1"/>
  <c r="C12367" i="1"/>
  <c r="A12368" i="1"/>
  <c r="C12368" i="1"/>
  <c r="A12369" i="1"/>
  <c r="C12369" i="1"/>
  <c r="A12370" i="1"/>
  <c r="C12370" i="1"/>
  <c r="A12371" i="1"/>
  <c r="C12371" i="1"/>
  <c r="A12372" i="1"/>
  <c r="C12372" i="1"/>
  <c r="A12373" i="1"/>
  <c r="C12373" i="1"/>
  <c r="A12374" i="1"/>
  <c r="C12374" i="1"/>
  <c r="A12375" i="1"/>
  <c r="C12375" i="1"/>
  <c r="A12376" i="1"/>
  <c r="C12376" i="1"/>
  <c r="A12377" i="1"/>
  <c r="C12377" i="1"/>
  <c r="A12378" i="1"/>
  <c r="C12378" i="1"/>
  <c r="A12379" i="1"/>
  <c r="C12379" i="1"/>
  <c r="A12380" i="1"/>
  <c r="C12380" i="1"/>
  <c r="A12381" i="1"/>
  <c r="C12381" i="1"/>
  <c r="A12382" i="1"/>
  <c r="C12382" i="1"/>
  <c r="A12383" i="1"/>
  <c r="C12383" i="1"/>
  <c r="A12384" i="1"/>
  <c r="C12384" i="1"/>
  <c r="A12385" i="1"/>
  <c r="C12385" i="1"/>
  <c r="A12386" i="1"/>
  <c r="C12386" i="1"/>
  <c r="A12387" i="1"/>
  <c r="C12387" i="1"/>
  <c r="A12388" i="1"/>
  <c r="C12388" i="1"/>
  <c r="A12389" i="1"/>
  <c r="C12389" i="1"/>
  <c r="A12390" i="1"/>
  <c r="C12390" i="1"/>
  <c r="A12391" i="1"/>
  <c r="C12391" i="1"/>
  <c r="A12392" i="1"/>
  <c r="C12392" i="1"/>
  <c r="A12393" i="1"/>
  <c r="C12393" i="1"/>
  <c r="A12394" i="1"/>
  <c r="C12394" i="1"/>
  <c r="A12395" i="1"/>
  <c r="C12395" i="1"/>
  <c r="A12396" i="1"/>
  <c r="C12396" i="1"/>
  <c r="A12397" i="1"/>
  <c r="C12397" i="1"/>
  <c r="A12398" i="1"/>
  <c r="C12398" i="1"/>
  <c r="A12399" i="1"/>
  <c r="C12399" i="1"/>
  <c r="A12400" i="1"/>
  <c r="C12400" i="1"/>
  <c r="A12401" i="1"/>
  <c r="C12401" i="1"/>
  <c r="A12402" i="1"/>
  <c r="C12402" i="1"/>
  <c r="A12403" i="1"/>
  <c r="C12403" i="1"/>
  <c r="A12404" i="1"/>
  <c r="C12404" i="1"/>
  <c r="A12405" i="1"/>
  <c r="C12405" i="1"/>
  <c r="A12406" i="1"/>
  <c r="C12406" i="1"/>
  <c r="A12407" i="1"/>
  <c r="C12407" i="1"/>
  <c r="A12408" i="1"/>
  <c r="C12408" i="1"/>
  <c r="A12409" i="1"/>
  <c r="C12409" i="1"/>
  <c r="A12410" i="1"/>
  <c r="C12410" i="1"/>
  <c r="A12411" i="1"/>
  <c r="C12411" i="1"/>
  <c r="A12412" i="1"/>
  <c r="C12412" i="1"/>
  <c r="A12413" i="1"/>
  <c r="C12413" i="1"/>
  <c r="A12414" i="1"/>
  <c r="C12414" i="1"/>
  <c r="A12415" i="1"/>
  <c r="C12415" i="1"/>
  <c r="A12416" i="1"/>
  <c r="C12416" i="1"/>
  <c r="A12417" i="1"/>
  <c r="C12417" i="1"/>
  <c r="A12418" i="1"/>
  <c r="C12418" i="1"/>
  <c r="A12419" i="1"/>
  <c r="C12419" i="1"/>
  <c r="A12420" i="1"/>
  <c r="C12420" i="1"/>
  <c r="A12421" i="1"/>
  <c r="C12421" i="1"/>
  <c r="A12422" i="1"/>
  <c r="C12422" i="1"/>
  <c r="A12423" i="1"/>
  <c r="C12423" i="1"/>
  <c r="A12424" i="1"/>
  <c r="C12424" i="1"/>
  <c r="A12425" i="1"/>
  <c r="C12425" i="1"/>
  <c r="A12426" i="1"/>
  <c r="C12426" i="1"/>
  <c r="A12427" i="1"/>
  <c r="C12427" i="1"/>
  <c r="A12428" i="1"/>
  <c r="C12428" i="1"/>
  <c r="A12429" i="1"/>
  <c r="C12429" i="1"/>
  <c r="A12430" i="1"/>
  <c r="C12430" i="1"/>
  <c r="A12431" i="1"/>
  <c r="C12431" i="1"/>
  <c r="A12432" i="1"/>
  <c r="C12432" i="1"/>
  <c r="A12433" i="1"/>
  <c r="C12433" i="1"/>
  <c r="A12434" i="1"/>
  <c r="C12434" i="1"/>
  <c r="A12435" i="1"/>
  <c r="C12435" i="1"/>
  <c r="A12436" i="1"/>
  <c r="C12436" i="1"/>
  <c r="A12437" i="1"/>
  <c r="C12437" i="1"/>
  <c r="A12438" i="1"/>
  <c r="C12438" i="1"/>
  <c r="A12439" i="1"/>
  <c r="C12439" i="1"/>
  <c r="A12440" i="1"/>
  <c r="C12440" i="1"/>
  <c r="A12441" i="1"/>
  <c r="C12441" i="1"/>
  <c r="A12442" i="1"/>
  <c r="C12442" i="1"/>
  <c r="A12443" i="1"/>
  <c r="C12443" i="1"/>
  <c r="A12444" i="1"/>
  <c r="C12444" i="1"/>
  <c r="A12445" i="1"/>
  <c r="C12445" i="1"/>
  <c r="A12446" i="1"/>
  <c r="C12446" i="1"/>
  <c r="A12447" i="1"/>
  <c r="C12447" i="1"/>
  <c r="A12448" i="1"/>
  <c r="C12448" i="1"/>
  <c r="A12449" i="1"/>
  <c r="C12449" i="1"/>
  <c r="A12450" i="1"/>
  <c r="C12450" i="1"/>
  <c r="A12451" i="1"/>
  <c r="C12451" i="1"/>
  <c r="A12452" i="1"/>
  <c r="C12452" i="1"/>
  <c r="A12453" i="1"/>
  <c r="C12453" i="1"/>
  <c r="A12454" i="1"/>
  <c r="C12454" i="1"/>
  <c r="A12455" i="1"/>
  <c r="C12455" i="1"/>
  <c r="A12456" i="1"/>
  <c r="C12456" i="1"/>
  <c r="A12457" i="1"/>
  <c r="C12457" i="1"/>
  <c r="A12458" i="1"/>
  <c r="C12458" i="1"/>
  <c r="A12459" i="1"/>
  <c r="C12459" i="1"/>
  <c r="A12460" i="1"/>
  <c r="C12460" i="1"/>
  <c r="A12461" i="1"/>
  <c r="C12461" i="1"/>
  <c r="A12462" i="1"/>
  <c r="C12462" i="1"/>
  <c r="A12463" i="1"/>
  <c r="C12463" i="1"/>
  <c r="A12464" i="1"/>
  <c r="C12464" i="1"/>
  <c r="A12465" i="1"/>
  <c r="C12465" i="1"/>
  <c r="A12466" i="1"/>
  <c r="C12466" i="1"/>
  <c r="A12467" i="1"/>
  <c r="C12467" i="1"/>
  <c r="A12468" i="1"/>
  <c r="C12468" i="1"/>
  <c r="A12469" i="1"/>
  <c r="C12469" i="1"/>
  <c r="A12470" i="1"/>
  <c r="C12470" i="1"/>
  <c r="A12471" i="1"/>
  <c r="C12471" i="1"/>
  <c r="A12472" i="1"/>
  <c r="C12472" i="1"/>
  <c r="A12473" i="1"/>
  <c r="C12473" i="1"/>
  <c r="A12474" i="1"/>
  <c r="C12474" i="1"/>
  <c r="A12475" i="1"/>
  <c r="C12475" i="1"/>
  <c r="A12476" i="1"/>
  <c r="C12476" i="1"/>
  <c r="A12477" i="1"/>
  <c r="C12477" i="1"/>
  <c r="A12478" i="1"/>
  <c r="C12478" i="1"/>
  <c r="A12479" i="1"/>
  <c r="C12479" i="1"/>
  <c r="A12480" i="1"/>
  <c r="C12480" i="1"/>
  <c r="A12481" i="1"/>
  <c r="C12481" i="1"/>
  <c r="A12482" i="1"/>
  <c r="C12482" i="1"/>
  <c r="A12483" i="1"/>
  <c r="C12483" i="1"/>
  <c r="A12484" i="1"/>
  <c r="C12484" i="1"/>
  <c r="A12485" i="1"/>
  <c r="C12485" i="1"/>
  <c r="A12486" i="1"/>
  <c r="C12486" i="1"/>
  <c r="A12487" i="1"/>
  <c r="C12487" i="1"/>
  <c r="A12488" i="1"/>
  <c r="C12488" i="1"/>
  <c r="A12489" i="1"/>
  <c r="C12489" i="1"/>
  <c r="A12490" i="1"/>
  <c r="C12490" i="1"/>
  <c r="A12491" i="1"/>
  <c r="C12491" i="1"/>
  <c r="A12492" i="1"/>
  <c r="C12492" i="1"/>
  <c r="A12493" i="1"/>
  <c r="C12493" i="1"/>
  <c r="A12494" i="1"/>
  <c r="C12494" i="1"/>
  <c r="A12495" i="1"/>
  <c r="C12495" i="1"/>
  <c r="A12496" i="1"/>
  <c r="C12496" i="1"/>
  <c r="A12497" i="1"/>
  <c r="C12497" i="1"/>
  <c r="A12498" i="1"/>
  <c r="C12498" i="1"/>
  <c r="A12499" i="1"/>
  <c r="C12499" i="1"/>
  <c r="A12500" i="1"/>
  <c r="C12500" i="1"/>
  <c r="A12501" i="1"/>
  <c r="C12501" i="1"/>
  <c r="A12502" i="1"/>
  <c r="C12502" i="1"/>
  <c r="A12503" i="1"/>
  <c r="C12503" i="1"/>
  <c r="A12504" i="1"/>
  <c r="C12504" i="1"/>
  <c r="A12505" i="1"/>
  <c r="C12505" i="1"/>
  <c r="A12506" i="1"/>
  <c r="C12506" i="1"/>
  <c r="A12507" i="1"/>
  <c r="C12507" i="1"/>
  <c r="A12508" i="1"/>
  <c r="C12508" i="1"/>
  <c r="A12509" i="1"/>
  <c r="C12509" i="1"/>
  <c r="A12510" i="1"/>
  <c r="C12510" i="1"/>
  <c r="A12511" i="1"/>
  <c r="C12511" i="1"/>
  <c r="A12512" i="1"/>
  <c r="C12512" i="1"/>
  <c r="A12513" i="1"/>
  <c r="C12513" i="1"/>
  <c r="A12514" i="1"/>
  <c r="C12514" i="1"/>
  <c r="A12515" i="1"/>
  <c r="C12515" i="1"/>
  <c r="A12516" i="1"/>
  <c r="C12516" i="1"/>
  <c r="A12517" i="1"/>
  <c r="C12517" i="1"/>
  <c r="A12518" i="1"/>
  <c r="C12518" i="1"/>
  <c r="A12519" i="1"/>
  <c r="C12519" i="1"/>
  <c r="A12520" i="1"/>
  <c r="C12520" i="1"/>
  <c r="A12521" i="1"/>
  <c r="C12521" i="1"/>
  <c r="A12522" i="1"/>
  <c r="C12522" i="1"/>
  <c r="A12523" i="1"/>
  <c r="C12523" i="1"/>
  <c r="A12524" i="1"/>
  <c r="C12524" i="1"/>
  <c r="A12525" i="1"/>
  <c r="C12525" i="1"/>
  <c r="A12526" i="1"/>
  <c r="C12526" i="1"/>
  <c r="A12527" i="1"/>
  <c r="C12527" i="1"/>
  <c r="A12528" i="1"/>
  <c r="C12528" i="1"/>
  <c r="A12529" i="1"/>
  <c r="C12529" i="1"/>
  <c r="A12530" i="1"/>
  <c r="C12530" i="1"/>
  <c r="A12531" i="1"/>
  <c r="C12531" i="1"/>
  <c r="A12532" i="1"/>
  <c r="C12532" i="1"/>
  <c r="A12533" i="1"/>
  <c r="C12533" i="1"/>
  <c r="A12534" i="1"/>
  <c r="C12534" i="1"/>
  <c r="A12535" i="1"/>
  <c r="C12535" i="1"/>
  <c r="A12536" i="1"/>
  <c r="C12536" i="1"/>
  <c r="A12537" i="1"/>
  <c r="C12537" i="1"/>
  <c r="A12538" i="1"/>
  <c r="C12538" i="1"/>
  <c r="A12539" i="1"/>
  <c r="C12539" i="1"/>
  <c r="A12540" i="1"/>
  <c r="C12540" i="1"/>
  <c r="A12541" i="1"/>
  <c r="C12541" i="1"/>
  <c r="A12542" i="1"/>
  <c r="C12542" i="1"/>
  <c r="A12543" i="1"/>
  <c r="C12543" i="1"/>
  <c r="A12544" i="1"/>
  <c r="C12544" i="1"/>
  <c r="A12545" i="1"/>
  <c r="C12545" i="1"/>
  <c r="A12546" i="1"/>
  <c r="C12546" i="1"/>
  <c r="A12547" i="1"/>
  <c r="C12547" i="1"/>
  <c r="A12548" i="1"/>
  <c r="C12548" i="1"/>
  <c r="A12549" i="1"/>
  <c r="C12549" i="1"/>
  <c r="A12550" i="1"/>
  <c r="C12550" i="1"/>
  <c r="A12551" i="1"/>
  <c r="C12551" i="1"/>
  <c r="A12552" i="1"/>
  <c r="C12552" i="1"/>
  <c r="A12553" i="1"/>
  <c r="C12553" i="1"/>
  <c r="A12554" i="1"/>
  <c r="C12554" i="1"/>
  <c r="A12555" i="1"/>
  <c r="C12555" i="1"/>
  <c r="A12556" i="1"/>
  <c r="C12556" i="1"/>
  <c r="A12557" i="1"/>
  <c r="C12557" i="1"/>
  <c r="A12558" i="1"/>
  <c r="C12558" i="1"/>
  <c r="A12559" i="1"/>
  <c r="C12559" i="1"/>
  <c r="A12560" i="1"/>
  <c r="C12560" i="1"/>
  <c r="A12561" i="1"/>
  <c r="C12561" i="1"/>
  <c r="A12562" i="1"/>
  <c r="C12562" i="1"/>
  <c r="A12563" i="1"/>
  <c r="C12563" i="1"/>
  <c r="A12564" i="1"/>
  <c r="C12564" i="1"/>
  <c r="A12565" i="1"/>
  <c r="C12565" i="1"/>
  <c r="A12566" i="1"/>
  <c r="C12566" i="1"/>
  <c r="A12567" i="1"/>
  <c r="C12567" i="1"/>
  <c r="A12568" i="1"/>
  <c r="C12568" i="1"/>
  <c r="A12569" i="1"/>
  <c r="C12569" i="1"/>
  <c r="A12570" i="1"/>
  <c r="C12570" i="1"/>
  <c r="A12571" i="1"/>
  <c r="C12571" i="1"/>
  <c r="A12572" i="1"/>
  <c r="C12572" i="1"/>
  <c r="A12573" i="1"/>
  <c r="C12573" i="1"/>
  <c r="A12574" i="1"/>
  <c r="C12574" i="1"/>
  <c r="A12575" i="1"/>
  <c r="C12575" i="1"/>
  <c r="A12576" i="1"/>
  <c r="C12576" i="1"/>
  <c r="A12577" i="1"/>
  <c r="C12577" i="1"/>
  <c r="A12578" i="1"/>
  <c r="C12578" i="1"/>
  <c r="A12579" i="1"/>
  <c r="C12579" i="1"/>
  <c r="A12580" i="1"/>
  <c r="C12580" i="1"/>
  <c r="A12581" i="1"/>
  <c r="C12581" i="1"/>
  <c r="A12582" i="1"/>
  <c r="C12582" i="1"/>
  <c r="A12583" i="1"/>
  <c r="C12583" i="1"/>
  <c r="A12584" i="1"/>
  <c r="C12584" i="1"/>
  <c r="A12585" i="1"/>
  <c r="C12585" i="1"/>
  <c r="A12586" i="1"/>
  <c r="C12586" i="1"/>
  <c r="A12587" i="1"/>
  <c r="C12587" i="1"/>
  <c r="A12588" i="1"/>
  <c r="C12588" i="1"/>
  <c r="A12589" i="1"/>
  <c r="C12589" i="1"/>
  <c r="A12590" i="1"/>
  <c r="C12590" i="1"/>
  <c r="A12591" i="1"/>
  <c r="C12591" i="1"/>
  <c r="A12592" i="1"/>
  <c r="C12592" i="1"/>
  <c r="A12593" i="1"/>
  <c r="C12593" i="1"/>
  <c r="A12594" i="1"/>
  <c r="C12594" i="1"/>
  <c r="A12595" i="1"/>
  <c r="C12595" i="1"/>
  <c r="A12596" i="1"/>
  <c r="C12596" i="1"/>
  <c r="A12597" i="1"/>
  <c r="C12597" i="1"/>
  <c r="A12598" i="1"/>
  <c r="C12598" i="1"/>
  <c r="A12599" i="1"/>
  <c r="C12599" i="1"/>
  <c r="A12600" i="1"/>
  <c r="C12600" i="1"/>
  <c r="A12601" i="1"/>
  <c r="C12601" i="1"/>
  <c r="A12602" i="1"/>
  <c r="C12602" i="1"/>
  <c r="A12603" i="1"/>
  <c r="C12603" i="1"/>
  <c r="A12604" i="1"/>
  <c r="C12604" i="1"/>
  <c r="A12605" i="1"/>
  <c r="C12605" i="1"/>
  <c r="A12606" i="1"/>
  <c r="C12606" i="1"/>
  <c r="A12607" i="1"/>
  <c r="C12607" i="1"/>
  <c r="A12608" i="1"/>
  <c r="C12608" i="1"/>
  <c r="A12609" i="1"/>
  <c r="C12609" i="1"/>
  <c r="A12610" i="1"/>
  <c r="C12610" i="1"/>
  <c r="A12611" i="1"/>
  <c r="C12611" i="1"/>
  <c r="A12612" i="1"/>
  <c r="C12612" i="1"/>
  <c r="A12613" i="1"/>
  <c r="C12613" i="1"/>
  <c r="A12614" i="1"/>
  <c r="C12614" i="1"/>
  <c r="A12615" i="1"/>
  <c r="C12615" i="1"/>
  <c r="A12616" i="1"/>
  <c r="C12616" i="1"/>
  <c r="A12617" i="1"/>
  <c r="C12617" i="1"/>
  <c r="A12618" i="1"/>
  <c r="C12618" i="1"/>
  <c r="A12619" i="1"/>
  <c r="C12619" i="1"/>
  <c r="A12620" i="1"/>
  <c r="C12620" i="1"/>
  <c r="A12621" i="1"/>
  <c r="C12621" i="1"/>
  <c r="A12622" i="1"/>
  <c r="C12622" i="1"/>
  <c r="A12623" i="1"/>
  <c r="C12623" i="1"/>
  <c r="A12624" i="1"/>
  <c r="C12624" i="1"/>
  <c r="A12625" i="1"/>
  <c r="C12625" i="1"/>
  <c r="A12626" i="1"/>
  <c r="C12626" i="1"/>
  <c r="A12627" i="1"/>
  <c r="C12627" i="1"/>
  <c r="A12628" i="1"/>
  <c r="C12628" i="1"/>
  <c r="A12629" i="1"/>
  <c r="C12629" i="1"/>
  <c r="A12630" i="1"/>
  <c r="C12630" i="1"/>
  <c r="A12631" i="1"/>
  <c r="C12631" i="1"/>
  <c r="A12632" i="1"/>
  <c r="C12632" i="1"/>
  <c r="A12633" i="1"/>
  <c r="C12633" i="1"/>
  <c r="A12634" i="1"/>
  <c r="C12634" i="1"/>
  <c r="A12635" i="1"/>
  <c r="C12635" i="1"/>
  <c r="A12636" i="1"/>
  <c r="C12636" i="1"/>
  <c r="A12637" i="1"/>
  <c r="C12637" i="1"/>
  <c r="A12638" i="1"/>
  <c r="C12638" i="1"/>
  <c r="A12639" i="1"/>
  <c r="C12639" i="1"/>
  <c r="A12640" i="1"/>
  <c r="C12640" i="1"/>
  <c r="A12641" i="1"/>
  <c r="C12641" i="1"/>
  <c r="A12642" i="1"/>
  <c r="C12642" i="1"/>
  <c r="A12643" i="1"/>
  <c r="C12643" i="1"/>
  <c r="A12644" i="1"/>
  <c r="C12644" i="1"/>
  <c r="A12645" i="1"/>
  <c r="C12645" i="1"/>
  <c r="A12646" i="1"/>
  <c r="C12646" i="1"/>
  <c r="A12647" i="1"/>
  <c r="C12647" i="1"/>
  <c r="A12648" i="1"/>
  <c r="C12648" i="1"/>
  <c r="A12649" i="1"/>
  <c r="C12649" i="1"/>
  <c r="A12650" i="1"/>
  <c r="C12650" i="1"/>
  <c r="A12651" i="1"/>
  <c r="C12651" i="1"/>
  <c r="A12652" i="1"/>
  <c r="C12652" i="1"/>
  <c r="A12653" i="1"/>
  <c r="C12653" i="1"/>
  <c r="A12654" i="1"/>
  <c r="C12654" i="1"/>
  <c r="A12655" i="1"/>
  <c r="C12655" i="1"/>
  <c r="A12656" i="1"/>
  <c r="C12656" i="1"/>
  <c r="A12657" i="1"/>
  <c r="C12657" i="1"/>
  <c r="A12658" i="1"/>
  <c r="C12658" i="1"/>
  <c r="A12659" i="1"/>
  <c r="C12659" i="1"/>
  <c r="A12660" i="1"/>
  <c r="C12660" i="1"/>
  <c r="A12661" i="1"/>
  <c r="C12661" i="1"/>
  <c r="A12662" i="1"/>
  <c r="C12662" i="1"/>
  <c r="A12663" i="1"/>
  <c r="C12663" i="1"/>
  <c r="A12664" i="1"/>
  <c r="C12664" i="1"/>
  <c r="A12665" i="1"/>
  <c r="C12665" i="1"/>
  <c r="A12666" i="1"/>
  <c r="C12666" i="1"/>
  <c r="A12667" i="1"/>
  <c r="C12667" i="1"/>
  <c r="A12668" i="1"/>
  <c r="C12668" i="1"/>
  <c r="A12669" i="1"/>
  <c r="C12669" i="1"/>
  <c r="A12670" i="1"/>
  <c r="C12670" i="1"/>
  <c r="A12671" i="1"/>
  <c r="C12671" i="1"/>
  <c r="A12672" i="1"/>
  <c r="C12672" i="1"/>
  <c r="A12673" i="1"/>
  <c r="C12673" i="1"/>
  <c r="A12674" i="1"/>
  <c r="C12674" i="1"/>
  <c r="A12675" i="1"/>
  <c r="C12675" i="1"/>
  <c r="A12676" i="1"/>
  <c r="C12676" i="1"/>
  <c r="A12677" i="1"/>
  <c r="C12677" i="1"/>
  <c r="A12678" i="1"/>
  <c r="C12678" i="1"/>
  <c r="A12679" i="1"/>
  <c r="C12679" i="1"/>
  <c r="A12680" i="1"/>
  <c r="C12680" i="1"/>
  <c r="A12681" i="1"/>
  <c r="C12681" i="1"/>
  <c r="A12682" i="1"/>
  <c r="C12682" i="1"/>
  <c r="A12683" i="1"/>
  <c r="C12683" i="1"/>
  <c r="A12684" i="1"/>
  <c r="C12684" i="1"/>
  <c r="A12685" i="1"/>
  <c r="C12685" i="1"/>
  <c r="A12686" i="1"/>
  <c r="C12686" i="1"/>
  <c r="A12687" i="1"/>
  <c r="C12687" i="1"/>
  <c r="A12688" i="1"/>
  <c r="C12688" i="1"/>
  <c r="A12689" i="1"/>
  <c r="C12689" i="1"/>
  <c r="A12690" i="1"/>
  <c r="C12690" i="1"/>
  <c r="A12691" i="1"/>
  <c r="C12691" i="1"/>
  <c r="A12692" i="1"/>
  <c r="C12692" i="1"/>
  <c r="A12693" i="1"/>
  <c r="C12693" i="1"/>
  <c r="A12694" i="1"/>
  <c r="C12694" i="1"/>
  <c r="A12695" i="1"/>
  <c r="C12695" i="1"/>
  <c r="A12696" i="1"/>
  <c r="C12696" i="1"/>
  <c r="A12697" i="1"/>
  <c r="C12697" i="1"/>
  <c r="A12698" i="1"/>
  <c r="C12698" i="1"/>
  <c r="A12699" i="1"/>
  <c r="C12699" i="1"/>
  <c r="A12700" i="1"/>
  <c r="C12700" i="1"/>
  <c r="A12701" i="1"/>
  <c r="C12701" i="1"/>
  <c r="A12702" i="1"/>
  <c r="C12702" i="1"/>
  <c r="A12703" i="1"/>
  <c r="C12703" i="1"/>
  <c r="A12704" i="1"/>
  <c r="C12704" i="1"/>
  <c r="A12705" i="1"/>
  <c r="C12705" i="1"/>
  <c r="A12706" i="1"/>
  <c r="C12706" i="1"/>
  <c r="A12707" i="1"/>
  <c r="C12707" i="1"/>
  <c r="A12708" i="1"/>
  <c r="C12708" i="1"/>
  <c r="A12709" i="1"/>
  <c r="C12709" i="1"/>
  <c r="A12710" i="1"/>
  <c r="C12710" i="1"/>
  <c r="A12711" i="1"/>
  <c r="C12711" i="1"/>
  <c r="A12712" i="1"/>
  <c r="C12712" i="1"/>
  <c r="A12713" i="1"/>
  <c r="C12713" i="1"/>
  <c r="A12714" i="1"/>
  <c r="C12714" i="1"/>
  <c r="A12715" i="1"/>
  <c r="C12715" i="1"/>
  <c r="A12716" i="1"/>
  <c r="C12716" i="1"/>
  <c r="A12717" i="1"/>
  <c r="C12717" i="1"/>
  <c r="A12718" i="1"/>
  <c r="C12718" i="1"/>
  <c r="A12719" i="1"/>
  <c r="C12719" i="1"/>
  <c r="A12720" i="1"/>
  <c r="C12720" i="1"/>
  <c r="A12721" i="1"/>
  <c r="C12721" i="1"/>
  <c r="A12722" i="1"/>
  <c r="C12722" i="1"/>
  <c r="A12723" i="1"/>
  <c r="C12723" i="1"/>
  <c r="A12724" i="1"/>
  <c r="C12724" i="1"/>
  <c r="A12725" i="1"/>
  <c r="C12725" i="1"/>
  <c r="A12726" i="1"/>
  <c r="C12726" i="1"/>
  <c r="A12727" i="1"/>
  <c r="C12727" i="1"/>
  <c r="A12728" i="1"/>
  <c r="C12728" i="1"/>
  <c r="A12729" i="1"/>
  <c r="C12729" i="1"/>
  <c r="A12730" i="1"/>
  <c r="C12730" i="1"/>
  <c r="A12731" i="1"/>
  <c r="C12731" i="1"/>
  <c r="A12732" i="1"/>
  <c r="C12732" i="1"/>
  <c r="A12733" i="1"/>
  <c r="C12733" i="1"/>
  <c r="A12734" i="1"/>
  <c r="C12734" i="1"/>
  <c r="A12735" i="1"/>
  <c r="C12735" i="1"/>
  <c r="A12736" i="1"/>
  <c r="C12736" i="1"/>
  <c r="A12737" i="1"/>
  <c r="C12737" i="1"/>
  <c r="A12738" i="1"/>
  <c r="C12738" i="1"/>
  <c r="A12739" i="1"/>
  <c r="C12739" i="1"/>
  <c r="A12740" i="1"/>
  <c r="C12740" i="1"/>
  <c r="A12741" i="1"/>
  <c r="C12741" i="1"/>
  <c r="A12742" i="1"/>
  <c r="C12742" i="1"/>
  <c r="A12743" i="1"/>
  <c r="C12743" i="1"/>
  <c r="A12744" i="1"/>
  <c r="C12744" i="1"/>
  <c r="A12745" i="1"/>
  <c r="C12745" i="1"/>
  <c r="A12746" i="1"/>
  <c r="C12746" i="1"/>
  <c r="A12747" i="1"/>
  <c r="C12747" i="1"/>
  <c r="A12748" i="1"/>
  <c r="C12748" i="1"/>
  <c r="A12749" i="1"/>
  <c r="C12749" i="1"/>
  <c r="A12750" i="1"/>
  <c r="C12750" i="1"/>
  <c r="A12751" i="1"/>
  <c r="C12751" i="1"/>
  <c r="A12752" i="1"/>
  <c r="C12752" i="1"/>
  <c r="A12753" i="1"/>
  <c r="C12753" i="1"/>
  <c r="A12754" i="1"/>
  <c r="C12754" i="1"/>
  <c r="A12755" i="1"/>
  <c r="C12755" i="1"/>
  <c r="A12756" i="1"/>
  <c r="C12756" i="1"/>
  <c r="A12757" i="1"/>
  <c r="C12757" i="1"/>
  <c r="A12758" i="1"/>
  <c r="C12758" i="1"/>
  <c r="A12759" i="1"/>
  <c r="C12759" i="1"/>
  <c r="A12760" i="1"/>
  <c r="C12760" i="1"/>
  <c r="A12761" i="1"/>
  <c r="C12761" i="1"/>
  <c r="A12762" i="1"/>
  <c r="C12762" i="1"/>
  <c r="A12763" i="1"/>
  <c r="C12763" i="1"/>
  <c r="A12764" i="1"/>
  <c r="C12764" i="1"/>
  <c r="A12765" i="1"/>
  <c r="C12765" i="1"/>
  <c r="A12766" i="1"/>
  <c r="C12766" i="1"/>
  <c r="A12767" i="1"/>
  <c r="C12767" i="1"/>
  <c r="A12768" i="1"/>
  <c r="C12768" i="1"/>
  <c r="A12769" i="1"/>
  <c r="C12769" i="1"/>
  <c r="A12770" i="1"/>
  <c r="C12770" i="1"/>
  <c r="A12771" i="1"/>
  <c r="C12771" i="1"/>
  <c r="A12772" i="1"/>
  <c r="C12772" i="1"/>
  <c r="A12773" i="1"/>
  <c r="C12773" i="1"/>
  <c r="A12774" i="1"/>
  <c r="C12774" i="1"/>
  <c r="A12775" i="1"/>
  <c r="C12775" i="1"/>
  <c r="A12776" i="1"/>
  <c r="C12776" i="1"/>
  <c r="A12777" i="1"/>
  <c r="C12777" i="1"/>
  <c r="A12778" i="1"/>
  <c r="C12778" i="1"/>
  <c r="A12779" i="1"/>
  <c r="C12779" i="1"/>
  <c r="A12780" i="1"/>
  <c r="C12780" i="1"/>
  <c r="A12781" i="1"/>
  <c r="C12781" i="1"/>
  <c r="A12782" i="1"/>
  <c r="C12782" i="1"/>
  <c r="A12783" i="1"/>
  <c r="C12783" i="1"/>
  <c r="A12784" i="1"/>
  <c r="C12784" i="1"/>
  <c r="A12785" i="1"/>
  <c r="C12785" i="1"/>
  <c r="A12786" i="1"/>
  <c r="C12786" i="1"/>
  <c r="A12787" i="1"/>
  <c r="C12787" i="1"/>
  <c r="A12788" i="1"/>
  <c r="C12788" i="1"/>
  <c r="A12789" i="1"/>
  <c r="C12789" i="1"/>
  <c r="A12790" i="1"/>
  <c r="C12790" i="1"/>
  <c r="A12791" i="1"/>
  <c r="C12791" i="1"/>
  <c r="A12792" i="1"/>
  <c r="C12792" i="1"/>
  <c r="A12793" i="1"/>
  <c r="C12793" i="1"/>
  <c r="A12794" i="1"/>
  <c r="C12794" i="1"/>
  <c r="A12795" i="1"/>
  <c r="C12795" i="1"/>
  <c r="A12796" i="1"/>
  <c r="C12796" i="1"/>
  <c r="A12797" i="1"/>
  <c r="C12797" i="1"/>
  <c r="A12798" i="1"/>
  <c r="C12798" i="1"/>
  <c r="A12799" i="1"/>
  <c r="C12799" i="1"/>
  <c r="A12800" i="1"/>
  <c r="C12800" i="1"/>
  <c r="A12801" i="1"/>
  <c r="C12801" i="1"/>
  <c r="A12802" i="1"/>
  <c r="C12802" i="1"/>
  <c r="A12803" i="1"/>
  <c r="C12803" i="1"/>
  <c r="A12804" i="1"/>
  <c r="C12804" i="1"/>
  <c r="A12805" i="1"/>
  <c r="C12805" i="1"/>
  <c r="A12806" i="1"/>
  <c r="C12806" i="1"/>
  <c r="A12807" i="1"/>
  <c r="C12807" i="1"/>
  <c r="A12808" i="1"/>
  <c r="C12808" i="1"/>
  <c r="A12809" i="1"/>
  <c r="C12809" i="1"/>
  <c r="A12810" i="1"/>
  <c r="C12810" i="1"/>
  <c r="A12811" i="1"/>
  <c r="C12811" i="1"/>
  <c r="A12812" i="1"/>
  <c r="C12812" i="1"/>
  <c r="A12813" i="1"/>
  <c r="C12813" i="1"/>
  <c r="A12814" i="1"/>
  <c r="C12814" i="1"/>
  <c r="A12815" i="1"/>
  <c r="C12815" i="1"/>
  <c r="A12816" i="1"/>
  <c r="C12816" i="1"/>
  <c r="A12817" i="1"/>
  <c r="C12817" i="1"/>
  <c r="A12818" i="1"/>
  <c r="C12818" i="1"/>
  <c r="A12819" i="1"/>
  <c r="C12819" i="1"/>
  <c r="A12820" i="1"/>
  <c r="C12820" i="1"/>
  <c r="A12821" i="1"/>
  <c r="C12821" i="1"/>
  <c r="A12822" i="1"/>
  <c r="C12822" i="1"/>
  <c r="A12823" i="1"/>
  <c r="C12823" i="1"/>
  <c r="A12824" i="1"/>
  <c r="C12824" i="1"/>
  <c r="A12825" i="1"/>
  <c r="C12825" i="1"/>
  <c r="A12826" i="1"/>
  <c r="C12826" i="1"/>
  <c r="A12827" i="1"/>
  <c r="C12827" i="1"/>
  <c r="A12828" i="1"/>
  <c r="C12828" i="1"/>
  <c r="A12829" i="1"/>
  <c r="C12829" i="1"/>
  <c r="A12830" i="1"/>
  <c r="C12830" i="1"/>
  <c r="A12831" i="1"/>
  <c r="C12831" i="1"/>
  <c r="A12832" i="1"/>
  <c r="C12832" i="1"/>
  <c r="A12833" i="1"/>
  <c r="C12833" i="1"/>
  <c r="A12834" i="1"/>
  <c r="C12834" i="1"/>
  <c r="A12835" i="1"/>
  <c r="C12835" i="1"/>
  <c r="A12836" i="1"/>
  <c r="C12836" i="1"/>
  <c r="A12837" i="1"/>
  <c r="C12837" i="1"/>
  <c r="A12838" i="1"/>
  <c r="C12838" i="1"/>
  <c r="A12839" i="1"/>
  <c r="C12839" i="1"/>
  <c r="A12840" i="1"/>
  <c r="C12840" i="1"/>
  <c r="A12841" i="1"/>
  <c r="C12841" i="1"/>
  <c r="A12842" i="1"/>
  <c r="C12842" i="1"/>
  <c r="A12843" i="1"/>
  <c r="C12843" i="1"/>
  <c r="A12844" i="1"/>
  <c r="C12844" i="1"/>
  <c r="A12845" i="1"/>
  <c r="C12845" i="1"/>
  <c r="A12846" i="1"/>
  <c r="C12846" i="1"/>
  <c r="A12847" i="1"/>
  <c r="C12847" i="1"/>
  <c r="A12848" i="1"/>
  <c r="C12848" i="1"/>
  <c r="A12849" i="1"/>
  <c r="C12849" i="1"/>
  <c r="A12850" i="1"/>
  <c r="C12850" i="1"/>
  <c r="A12851" i="1"/>
  <c r="C12851" i="1"/>
  <c r="A12852" i="1"/>
  <c r="C12852" i="1"/>
  <c r="A12853" i="1"/>
  <c r="C12853" i="1"/>
  <c r="A12854" i="1"/>
  <c r="C12854" i="1"/>
  <c r="A12855" i="1"/>
  <c r="C12855" i="1"/>
  <c r="A12856" i="1"/>
  <c r="C12856" i="1"/>
  <c r="A12857" i="1"/>
  <c r="C12857" i="1"/>
  <c r="A12858" i="1"/>
  <c r="C12858" i="1"/>
  <c r="A12859" i="1"/>
  <c r="C12859" i="1"/>
  <c r="A12860" i="1"/>
  <c r="C12860" i="1"/>
  <c r="A12861" i="1"/>
  <c r="C12861" i="1"/>
  <c r="A12862" i="1"/>
  <c r="C12862" i="1"/>
  <c r="A12863" i="1"/>
  <c r="C12863" i="1"/>
  <c r="A12864" i="1"/>
  <c r="C12864" i="1"/>
  <c r="A12865" i="1"/>
  <c r="C12865" i="1"/>
  <c r="A12866" i="1"/>
  <c r="C12866" i="1"/>
  <c r="A12867" i="1"/>
  <c r="C12867" i="1"/>
  <c r="A12868" i="1"/>
  <c r="C12868" i="1"/>
  <c r="A12869" i="1"/>
  <c r="C12869" i="1"/>
  <c r="A12870" i="1"/>
  <c r="C12870" i="1"/>
  <c r="A12871" i="1"/>
  <c r="C12871" i="1"/>
  <c r="A12872" i="1"/>
  <c r="C12872" i="1"/>
  <c r="A12873" i="1"/>
  <c r="C12873" i="1"/>
  <c r="A12874" i="1"/>
  <c r="C12874" i="1"/>
  <c r="A12875" i="1"/>
  <c r="C12875" i="1"/>
  <c r="A12876" i="1"/>
  <c r="C12876" i="1"/>
  <c r="A12877" i="1"/>
  <c r="C12877" i="1"/>
  <c r="A12878" i="1"/>
  <c r="C12878" i="1"/>
  <c r="A12879" i="1"/>
  <c r="C12879" i="1"/>
  <c r="A12880" i="1"/>
  <c r="C12880" i="1"/>
  <c r="A12881" i="1"/>
  <c r="C12881" i="1"/>
  <c r="A12882" i="1"/>
  <c r="C12882" i="1"/>
  <c r="A12883" i="1"/>
  <c r="C12883" i="1"/>
  <c r="A12884" i="1"/>
  <c r="C12884" i="1"/>
  <c r="A12885" i="1"/>
  <c r="C12885" i="1"/>
  <c r="A12886" i="1"/>
  <c r="C12886" i="1"/>
  <c r="A12887" i="1"/>
  <c r="C12887" i="1"/>
  <c r="A12888" i="1"/>
  <c r="C12888" i="1"/>
  <c r="A12889" i="1"/>
  <c r="C12889" i="1"/>
  <c r="A12890" i="1"/>
  <c r="C12890" i="1"/>
  <c r="A12891" i="1"/>
  <c r="C12891" i="1"/>
  <c r="A12892" i="1"/>
  <c r="C12892" i="1"/>
  <c r="A12893" i="1"/>
  <c r="C12893" i="1"/>
  <c r="A12894" i="1"/>
  <c r="C12894" i="1"/>
  <c r="A12895" i="1"/>
  <c r="C12895" i="1"/>
  <c r="A12896" i="1"/>
  <c r="C12896" i="1"/>
  <c r="A12897" i="1"/>
  <c r="C12897" i="1"/>
  <c r="A12898" i="1"/>
  <c r="C12898" i="1"/>
  <c r="A12899" i="1"/>
  <c r="C12899" i="1"/>
  <c r="A12900" i="1"/>
  <c r="C12900" i="1"/>
  <c r="A12901" i="1"/>
  <c r="C12901" i="1"/>
  <c r="A12902" i="1"/>
  <c r="C12902" i="1"/>
  <c r="A12903" i="1"/>
  <c r="C12903" i="1"/>
  <c r="A12904" i="1"/>
  <c r="C12904" i="1"/>
  <c r="A12905" i="1"/>
  <c r="C12905" i="1"/>
  <c r="A12906" i="1"/>
  <c r="C12906" i="1"/>
  <c r="A12907" i="1"/>
  <c r="C12907" i="1"/>
  <c r="A12908" i="1"/>
  <c r="C12908" i="1"/>
  <c r="A12909" i="1"/>
  <c r="C12909" i="1"/>
  <c r="A12910" i="1"/>
  <c r="C12910" i="1"/>
  <c r="A12911" i="1"/>
  <c r="C12911" i="1"/>
  <c r="A12912" i="1"/>
  <c r="C12912" i="1"/>
  <c r="A12913" i="1"/>
  <c r="C12913" i="1"/>
  <c r="A12914" i="1"/>
  <c r="C12914" i="1"/>
  <c r="A12915" i="1"/>
  <c r="C12915" i="1"/>
  <c r="A12916" i="1"/>
  <c r="C12916" i="1"/>
  <c r="A12917" i="1"/>
  <c r="C12917" i="1"/>
  <c r="A12918" i="1"/>
  <c r="C12918" i="1"/>
  <c r="A12919" i="1"/>
  <c r="C12919" i="1"/>
  <c r="A12920" i="1"/>
  <c r="C12920" i="1"/>
  <c r="A12921" i="1"/>
  <c r="C12921" i="1"/>
  <c r="A12922" i="1"/>
  <c r="C12922" i="1"/>
  <c r="A12923" i="1"/>
  <c r="C12923" i="1"/>
  <c r="A12924" i="1"/>
  <c r="C12924" i="1"/>
  <c r="A12925" i="1"/>
  <c r="C12925" i="1"/>
  <c r="A12926" i="1"/>
  <c r="C12926" i="1"/>
  <c r="A12927" i="1"/>
  <c r="C12927" i="1"/>
  <c r="A12928" i="1"/>
  <c r="C12928" i="1"/>
  <c r="A12929" i="1"/>
  <c r="C12929" i="1"/>
  <c r="A12930" i="1"/>
  <c r="C12930" i="1"/>
  <c r="A12931" i="1"/>
  <c r="C12931" i="1"/>
  <c r="A12932" i="1"/>
  <c r="C12932" i="1"/>
  <c r="A12933" i="1"/>
  <c r="C12933" i="1"/>
  <c r="A12934" i="1"/>
  <c r="C12934" i="1"/>
  <c r="A12935" i="1"/>
  <c r="C12935" i="1"/>
  <c r="A12936" i="1"/>
  <c r="C12936" i="1"/>
  <c r="A12937" i="1"/>
  <c r="C12937" i="1"/>
  <c r="A12938" i="1"/>
  <c r="C12938" i="1"/>
  <c r="A12939" i="1"/>
  <c r="C12939" i="1"/>
  <c r="A12940" i="1"/>
  <c r="C12940" i="1"/>
  <c r="A12941" i="1"/>
  <c r="C12941" i="1"/>
  <c r="A12942" i="1"/>
  <c r="C12942" i="1"/>
  <c r="A12943" i="1"/>
  <c r="C12943" i="1"/>
  <c r="A12944" i="1"/>
  <c r="C12944" i="1"/>
  <c r="A12945" i="1"/>
  <c r="C12945" i="1"/>
  <c r="A12946" i="1"/>
  <c r="C12946" i="1"/>
  <c r="A12947" i="1"/>
  <c r="C12947" i="1"/>
  <c r="A12948" i="1"/>
  <c r="C12948" i="1"/>
  <c r="A12949" i="1"/>
  <c r="C12949" i="1"/>
  <c r="A12950" i="1"/>
  <c r="C12950" i="1"/>
  <c r="A12951" i="1"/>
  <c r="C12951" i="1"/>
  <c r="A12952" i="1"/>
  <c r="C12952" i="1"/>
  <c r="A12953" i="1"/>
  <c r="C12953" i="1"/>
  <c r="A12954" i="1"/>
  <c r="C12954" i="1"/>
  <c r="A12955" i="1"/>
  <c r="C12955" i="1"/>
  <c r="A12956" i="1"/>
  <c r="C12956" i="1"/>
  <c r="A12957" i="1"/>
  <c r="C12957" i="1"/>
  <c r="A12958" i="1"/>
  <c r="C12958" i="1"/>
  <c r="A12959" i="1"/>
  <c r="C12959" i="1"/>
  <c r="A12960" i="1"/>
  <c r="C12960" i="1"/>
  <c r="A12961" i="1"/>
  <c r="C12961" i="1"/>
  <c r="A12962" i="1"/>
  <c r="C12962" i="1"/>
  <c r="A12963" i="1"/>
  <c r="C12963" i="1"/>
  <c r="A12964" i="1"/>
  <c r="C12964" i="1"/>
  <c r="A12965" i="1"/>
  <c r="C12965" i="1"/>
  <c r="A12966" i="1"/>
  <c r="C12966" i="1"/>
  <c r="A12967" i="1"/>
  <c r="C12967" i="1"/>
  <c r="A12968" i="1"/>
  <c r="C12968" i="1"/>
  <c r="A12969" i="1"/>
  <c r="C12969" i="1"/>
  <c r="A12970" i="1"/>
  <c r="C12970" i="1"/>
  <c r="A12971" i="1"/>
  <c r="C12971" i="1"/>
  <c r="A12972" i="1"/>
  <c r="C12972" i="1"/>
  <c r="A12973" i="1"/>
  <c r="C12973" i="1"/>
  <c r="A12974" i="1"/>
  <c r="C12974" i="1"/>
  <c r="A12975" i="1"/>
  <c r="C12975" i="1"/>
  <c r="A12976" i="1"/>
  <c r="C12976" i="1"/>
  <c r="A12977" i="1"/>
  <c r="C12977" i="1"/>
  <c r="A12978" i="1"/>
  <c r="C12978" i="1"/>
  <c r="A12979" i="1"/>
  <c r="C12979" i="1"/>
  <c r="A12980" i="1"/>
  <c r="C12980" i="1"/>
  <c r="A12981" i="1"/>
  <c r="C12981" i="1"/>
  <c r="A12982" i="1"/>
  <c r="C12982" i="1"/>
  <c r="A12983" i="1"/>
  <c r="C12983" i="1"/>
  <c r="A12984" i="1"/>
  <c r="C12984" i="1"/>
  <c r="A12985" i="1"/>
  <c r="C12985" i="1"/>
  <c r="A12986" i="1"/>
  <c r="C12986" i="1"/>
  <c r="A12987" i="1"/>
  <c r="C12987" i="1"/>
  <c r="A12988" i="1"/>
  <c r="C12988" i="1"/>
  <c r="A12989" i="1"/>
  <c r="C12989" i="1"/>
  <c r="A12990" i="1"/>
  <c r="C12990" i="1"/>
  <c r="A12991" i="1"/>
  <c r="C12991" i="1"/>
  <c r="A12992" i="1"/>
  <c r="C12992" i="1"/>
  <c r="A12993" i="1"/>
  <c r="C12993" i="1"/>
  <c r="A12994" i="1"/>
  <c r="C12994" i="1"/>
  <c r="A12995" i="1"/>
  <c r="C12995" i="1"/>
  <c r="A12996" i="1"/>
  <c r="C12996" i="1"/>
  <c r="A12997" i="1"/>
  <c r="C12997" i="1"/>
  <c r="A12998" i="1"/>
  <c r="C12998" i="1"/>
  <c r="A12999" i="1"/>
  <c r="C12999" i="1"/>
  <c r="A13000" i="1"/>
  <c r="C13000" i="1"/>
  <c r="A13001" i="1"/>
  <c r="C13001" i="1"/>
  <c r="A13002" i="1"/>
  <c r="C13002" i="1"/>
  <c r="A13003" i="1"/>
  <c r="C13003" i="1"/>
  <c r="A13004" i="1"/>
  <c r="C13004" i="1"/>
  <c r="A13005" i="1"/>
  <c r="C13005" i="1"/>
  <c r="A13006" i="1"/>
  <c r="C13006" i="1"/>
  <c r="A13007" i="1"/>
  <c r="C13007" i="1"/>
  <c r="A13008" i="1"/>
  <c r="C13008" i="1"/>
  <c r="A13009" i="1"/>
  <c r="C13009" i="1"/>
  <c r="A13010" i="1"/>
  <c r="C13010" i="1"/>
  <c r="A13011" i="1"/>
  <c r="C13011" i="1"/>
  <c r="A13012" i="1"/>
  <c r="C13012" i="1"/>
  <c r="A13013" i="1"/>
  <c r="C13013" i="1"/>
  <c r="A13014" i="1"/>
  <c r="C13014" i="1"/>
  <c r="A13015" i="1"/>
  <c r="C13015" i="1"/>
  <c r="A13016" i="1"/>
  <c r="C13016" i="1"/>
  <c r="A13017" i="1"/>
  <c r="C13017" i="1"/>
  <c r="A13018" i="1"/>
  <c r="C13018" i="1"/>
  <c r="A13019" i="1"/>
  <c r="C13019" i="1"/>
  <c r="A13020" i="1"/>
  <c r="C13020" i="1"/>
  <c r="A13021" i="1"/>
  <c r="C13021" i="1"/>
  <c r="A13022" i="1"/>
  <c r="C13022" i="1"/>
  <c r="A13023" i="1"/>
  <c r="C13023" i="1"/>
  <c r="A13024" i="1"/>
  <c r="C13024" i="1"/>
  <c r="A13025" i="1"/>
  <c r="C13025" i="1"/>
  <c r="A13026" i="1"/>
  <c r="C13026" i="1"/>
  <c r="A13027" i="1"/>
  <c r="C13027" i="1"/>
  <c r="A13028" i="1"/>
  <c r="C13028" i="1"/>
  <c r="A13029" i="1"/>
  <c r="C13029" i="1"/>
  <c r="A13030" i="1"/>
  <c r="C13030" i="1"/>
  <c r="A13031" i="1"/>
  <c r="C13031" i="1"/>
  <c r="A13032" i="1"/>
  <c r="C13032" i="1"/>
  <c r="A13033" i="1"/>
  <c r="C13033" i="1"/>
  <c r="A13034" i="1"/>
  <c r="C13034" i="1"/>
  <c r="A13035" i="1"/>
  <c r="C13035" i="1"/>
  <c r="A13036" i="1"/>
  <c r="C13036" i="1"/>
  <c r="A13037" i="1"/>
  <c r="C13037" i="1"/>
  <c r="A13038" i="1"/>
  <c r="C13038" i="1"/>
  <c r="A13039" i="1"/>
  <c r="C13039" i="1"/>
  <c r="A13040" i="1"/>
  <c r="C13040" i="1"/>
  <c r="A13041" i="1"/>
  <c r="C13041" i="1"/>
  <c r="A13042" i="1"/>
  <c r="C13042" i="1"/>
  <c r="A13043" i="1"/>
  <c r="C13043" i="1"/>
  <c r="A13044" i="1"/>
  <c r="C13044" i="1"/>
  <c r="A13045" i="1"/>
  <c r="C13045" i="1"/>
  <c r="A13046" i="1"/>
  <c r="C13046" i="1"/>
  <c r="A13047" i="1"/>
  <c r="C13047" i="1"/>
  <c r="A13048" i="1"/>
  <c r="C13048" i="1"/>
  <c r="A13049" i="1"/>
  <c r="C13049" i="1"/>
  <c r="A13050" i="1"/>
  <c r="C13050" i="1"/>
  <c r="A13051" i="1"/>
  <c r="C13051" i="1"/>
  <c r="A13052" i="1"/>
  <c r="C13052" i="1"/>
  <c r="A13053" i="1"/>
  <c r="C13053" i="1"/>
  <c r="A13054" i="1"/>
  <c r="C13054" i="1"/>
  <c r="A13055" i="1"/>
  <c r="C13055" i="1"/>
  <c r="A13056" i="1"/>
  <c r="C13056" i="1"/>
  <c r="A13057" i="1"/>
  <c r="C13057" i="1"/>
  <c r="A13058" i="1"/>
  <c r="C13058" i="1"/>
  <c r="A13059" i="1"/>
  <c r="C13059" i="1"/>
  <c r="A13060" i="1"/>
  <c r="C13060" i="1"/>
  <c r="A13061" i="1"/>
  <c r="C13061" i="1"/>
  <c r="A13062" i="1"/>
  <c r="C13062" i="1"/>
  <c r="A13063" i="1"/>
  <c r="C13063" i="1"/>
  <c r="A13064" i="1"/>
  <c r="C13064" i="1"/>
  <c r="A13065" i="1"/>
  <c r="C13065" i="1"/>
  <c r="A13066" i="1"/>
  <c r="C13066" i="1"/>
  <c r="A13067" i="1"/>
  <c r="C13067" i="1"/>
  <c r="A13068" i="1"/>
  <c r="C13068" i="1"/>
  <c r="A13069" i="1"/>
  <c r="C13069" i="1"/>
  <c r="A13070" i="1"/>
  <c r="C13070" i="1"/>
  <c r="A13071" i="1"/>
  <c r="C13071" i="1"/>
  <c r="A13072" i="1"/>
  <c r="C13072" i="1"/>
  <c r="A13073" i="1"/>
  <c r="C13073" i="1"/>
  <c r="A13074" i="1"/>
  <c r="C13074" i="1"/>
  <c r="A13075" i="1"/>
  <c r="C13075" i="1"/>
  <c r="A13076" i="1"/>
  <c r="C13076" i="1"/>
  <c r="A13077" i="1"/>
  <c r="C13077" i="1"/>
  <c r="A13078" i="1"/>
  <c r="C13078" i="1"/>
  <c r="A13079" i="1"/>
  <c r="C13079" i="1"/>
  <c r="A13080" i="1"/>
  <c r="C13080" i="1"/>
  <c r="A13081" i="1"/>
  <c r="C13081" i="1"/>
  <c r="A13082" i="1"/>
  <c r="C13082" i="1"/>
  <c r="A13083" i="1"/>
  <c r="C13083" i="1"/>
  <c r="A13084" i="1"/>
  <c r="C13084" i="1"/>
  <c r="A13085" i="1"/>
  <c r="C13085" i="1"/>
  <c r="A13086" i="1"/>
  <c r="C13086" i="1"/>
  <c r="A13087" i="1"/>
  <c r="C13087" i="1"/>
  <c r="A13088" i="1"/>
  <c r="C13088" i="1"/>
  <c r="A13089" i="1"/>
  <c r="C13089" i="1"/>
  <c r="A13090" i="1"/>
  <c r="C13090" i="1"/>
  <c r="A13091" i="1"/>
  <c r="C13091" i="1"/>
  <c r="A13092" i="1"/>
  <c r="C13092" i="1"/>
  <c r="A13093" i="1"/>
  <c r="C13093" i="1"/>
  <c r="A13094" i="1"/>
  <c r="C13094" i="1"/>
  <c r="A13095" i="1"/>
  <c r="C13095" i="1"/>
  <c r="A13096" i="1"/>
  <c r="C13096" i="1"/>
  <c r="A13097" i="1"/>
  <c r="C13097" i="1"/>
  <c r="A13098" i="1"/>
  <c r="C13098" i="1"/>
  <c r="A13099" i="1"/>
  <c r="C13099" i="1"/>
  <c r="A13100" i="1"/>
  <c r="C13100" i="1"/>
  <c r="A13101" i="1"/>
  <c r="C13101" i="1"/>
  <c r="A13102" i="1"/>
  <c r="C13102" i="1"/>
  <c r="A13103" i="1"/>
  <c r="C13103" i="1"/>
  <c r="A13104" i="1"/>
  <c r="C13104" i="1"/>
  <c r="A13105" i="1"/>
  <c r="C13105" i="1"/>
  <c r="A13106" i="1"/>
  <c r="C13106" i="1"/>
  <c r="A13107" i="1"/>
  <c r="C13107" i="1"/>
  <c r="A13108" i="1"/>
  <c r="C13108" i="1"/>
  <c r="A13109" i="1"/>
  <c r="C13109" i="1"/>
  <c r="A13110" i="1"/>
  <c r="C13110" i="1"/>
  <c r="A13111" i="1"/>
  <c r="C13111" i="1"/>
  <c r="A13112" i="1"/>
  <c r="C13112" i="1"/>
  <c r="A13113" i="1"/>
  <c r="C13113" i="1"/>
  <c r="A13114" i="1"/>
  <c r="C13114" i="1"/>
  <c r="A13115" i="1"/>
  <c r="C13115" i="1"/>
  <c r="A13116" i="1"/>
  <c r="C13116" i="1"/>
  <c r="A13117" i="1"/>
  <c r="C13117" i="1"/>
  <c r="A13118" i="1"/>
  <c r="C13118" i="1"/>
  <c r="A13119" i="1"/>
  <c r="C13119" i="1"/>
  <c r="A13120" i="1"/>
  <c r="C13120" i="1"/>
  <c r="A13121" i="1"/>
  <c r="C13121" i="1"/>
  <c r="A13122" i="1"/>
  <c r="C13122" i="1"/>
  <c r="A13123" i="1"/>
  <c r="C13123" i="1"/>
  <c r="A13124" i="1"/>
  <c r="C13124" i="1"/>
  <c r="A13125" i="1"/>
  <c r="C13125" i="1"/>
  <c r="A13126" i="1"/>
  <c r="C13126" i="1"/>
  <c r="A13127" i="1"/>
  <c r="C13127" i="1"/>
  <c r="A13128" i="1"/>
  <c r="C13128" i="1"/>
  <c r="A13129" i="1"/>
  <c r="C13129" i="1"/>
  <c r="A13130" i="1"/>
  <c r="C13130" i="1"/>
  <c r="A13131" i="1"/>
  <c r="C13131" i="1"/>
  <c r="A13132" i="1"/>
  <c r="C13132" i="1"/>
  <c r="A13133" i="1"/>
  <c r="C13133" i="1"/>
  <c r="A13134" i="1"/>
  <c r="C13134" i="1"/>
  <c r="A13135" i="1"/>
  <c r="C13135" i="1"/>
  <c r="A13136" i="1"/>
  <c r="C13136" i="1"/>
  <c r="A13137" i="1"/>
  <c r="C13137" i="1"/>
  <c r="A13138" i="1"/>
  <c r="C13138" i="1"/>
  <c r="A13139" i="1"/>
  <c r="C13139" i="1"/>
  <c r="A13140" i="1"/>
  <c r="C13140" i="1"/>
  <c r="A13141" i="1"/>
  <c r="C13141" i="1"/>
  <c r="A13142" i="1"/>
  <c r="C13142" i="1"/>
  <c r="A13143" i="1"/>
  <c r="C13143" i="1"/>
  <c r="A13144" i="1"/>
  <c r="C13144" i="1"/>
  <c r="A13145" i="1"/>
  <c r="C13145" i="1"/>
  <c r="A13146" i="1"/>
  <c r="C13146" i="1"/>
  <c r="A13147" i="1"/>
  <c r="C13147" i="1"/>
  <c r="A13148" i="1"/>
  <c r="C13148" i="1"/>
  <c r="A13149" i="1"/>
  <c r="C13149" i="1"/>
  <c r="A13150" i="1"/>
  <c r="C13150" i="1"/>
  <c r="A13151" i="1"/>
  <c r="C13151" i="1"/>
  <c r="A13152" i="1"/>
  <c r="C13152" i="1"/>
  <c r="A13153" i="1"/>
  <c r="C13153" i="1"/>
  <c r="A13154" i="1"/>
  <c r="C13154" i="1"/>
  <c r="A13155" i="1"/>
  <c r="C13155" i="1"/>
  <c r="A13156" i="1"/>
  <c r="C13156" i="1"/>
  <c r="A13157" i="1"/>
  <c r="C13157" i="1"/>
  <c r="A13158" i="1"/>
  <c r="C13158" i="1"/>
  <c r="A13159" i="1"/>
  <c r="C13159" i="1"/>
  <c r="A13160" i="1"/>
  <c r="C13160" i="1"/>
  <c r="A13161" i="1"/>
  <c r="C13161" i="1"/>
  <c r="A13162" i="1"/>
  <c r="C13162" i="1"/>
  <c r="A13163" i="1"/>
  <c r="C13163" i="1"/>
  <c r="A13164" i="1"/>
  <c r="C13164" i="1"/>
  <c r="A13165" i="1"/>
  <c r="C13165" i="1"/>
  <c r="A13166" i="1"/>
  <c r="C13166" i="1"/>
  <c r="A13167" i="1"/>
  <c r="C13167" i="1"/>
  <c r="A13168" i="1"/>
  <c r="C13168" i="1"/>
  <c r="A13169" i="1"/>
  <c r="C13169" i="1"/>
  <c r="A13170" i="1"/>
  <c r="C13170" i="1"/>
  <c r="A13171" i="1"/>
  <c r="C13171" i="1"/>
  <c r="A13172" i="1"/>
  <c r="C13172" i="1"/>
  <c r="A13173" i="1"/>
  <c r="C13173" i="1"/>
  <c r="A13174" i="1"/>
  <c r="C13174" i="1"/>
  <c r="A13175" i="1"/>
  <c r="C13175" i="1"/>
  <c r="A13176" i="1"/>
  <c r="C13176" i="1"/>
  <c r="A13177" i="1"/>
  <c r="C13177" i="1"/>
  <c r="A13178" i="1"/>
  <c r="C13178" i="1"/>
  <c r="A13179" i="1"/>
  <c r="C13179" i="1"/>
  <c r="A13180" i="1"/>
  <c r="C13180" i="1"/>
  <c r="A13181" i="1"/>
  <c r="C13181" i="1"/>
  <c r="A13182" i="1"/>
  <c r="C13182" i="1"/>
  <c r="A13183" i="1"/>
  <c r="C13183" i="1"/>
  <c r="A13184" i="1"/>
  <c r="C13184" i="1"/>
  <c r="A13185" i="1"/>
  <c r="C13185" i="1"/>
  <c r="A13186" i="1"/>
  <c r="C13186" i="1"/>
  <c r="A13187" i="1"/>
  <c r="C13187" i="1"/>
  <c r="A13188" i="1"/>
  <c r="C13188" i="1"/>
  <c r="A13189" i="1"/>
  <c r="C13189" i="1"/>
  <c r="A13190" i="1"/>
  <c r="C13190" i="1"/>
  <c r="A13191" i="1"/>
  <c r="C13191" i="1"/>
  <c r="A13192" i="1"/>
  <c r="C13192" i="1"/>
  <c r="A13193" i="1"/>
  <c r="C13193" i="1"/>
  <c r="A13194" i="1"/>
  <c r="C13194" i="1"/>
  <c r="A13195" i="1"/>
  <c r="C13195" i="1"/>
  <c r="A13196" i="1"/>
  <c r="C13196" i="1"/>
  <c r="A13197" i="1"/>
  <c r="C13197" i="1"/>
  <c r="A13198" i="1"/>
  <c r="C13198" i="1"/>
  <c r="A13199" i="1"/>
  <c r="C13199" i="1"/>
  <c r="A13200" i="1"/>
  <c r="C13200" i="1"/>
  <c r="A13201" i="1"/>
  <c r="C13201" i="1"/>
  <c r="A13202" i="1"/>
  <c r="C13202" i="1"/>
  <c r="A13203" i="1"/>
  <c r="C13203" i="1"/>
  <c r="A13204" i="1"/>
  <c r="C13204" i="1"/>
  <c r="A13205" i="1"/>
  <c r="C13205" i="1"/>
  <c r="A13206" i="1"/>
  <c r="C13206" i="1"/>
  <c r="A13207" i="1"/>
  <c r="C13207" i="1"/>
  <c r="A13208" i="1"/>
  <c r="C13208" i="1"/>
  <c r="A13209" i="1"/>
  <c r="C13209" i="1"/>
  <c r="A13210" i="1"/>
  <c r="C13210" i="1"/>
  <c r="A13211" i="1"/>
  <c r="C13211" i="1"/>
  <c r="A13212" i="1"/>
  <c r="C13212" i="1"/>
  <c r="A13213" i="1"/>
  <c r="C13213" i="1"/>
  <c r="A13214" i="1"/>
  <c r="C13214" i="1"/>
  <c r="A13215" i="1"/>
  <c r="C13215" i="1"/>
  <c r="A13216" i="1"/>
  <c r="C13216" i="1"/>
  <c r="A13217" i="1"/>
  <c r="C13217" i="1"/>
  <c r="A13218" i="1"/>
  <c r="C13218" i="1"/>
  <c r="A13219" i="1"/>
  <c r="C13219" i="1"/>
  <c r="A13220" i="1"/>
  <c r="C13220" i="1"/>
  <c r="A13221" i="1"/>
  <c r="C13221" i="1"/>
  <c r="A13222" i="1"/>
  <c r="C13222" i="1"/>
  <c r="A13223" i="1"/>
  <c r="C13223" i="1"/>
  <c r="A13224" i="1"/>
  <c r="C13224" i="1"/>
  <c r="A13225" i="1"/>
  <c r="C13225" i="1"/>
  <c r="A13226" i="1"/>
  <c r="C13226" i="1"/>
  <c r="A13227" i="1"/>
  <c r="C13227" i="1"/>
  <c r="A13228" i="1"/>
  <c r="C13228" i="1"/>
  <c r="A13229" i="1"/>
  <c r="C13229" i="1"/>
  <c r="A13230" i="1"/>
  <c r="C13230" i="1"/>
  <c r="A13231" i="1"/>
  <c r="C13231" i="1"/>
  <c r="A13232" i="1"/>
  <c r="C13232" i="1"/>
  <c r="A13233" i="1"/>
  <c r="C13233" i="1"/>
  <c r="A13234" i="1"/>
  <c r="C13234" i="1"/>
  <c r="A13235" i="1"/>
  <c r="C13235" i="1"/>
  <c r="A13236" i="1"/>
  <c r="C13236" i="1"/>
  <c r="A13237" i="1"/>
  <c r="C13237" i="1"/>
  <c r="A13238" i="1"/>
  <c r="C13238" i="1"/>
  <c r="A13239" i="1"/>
  <c r="C13239" i="1"/>
  <c r="A13240" i="1"/>
  <c r="C13240" i="1"/>
  <c r="A13241" i="1"/>
  <c r="C13241" i="1"/>
  <c r="A13242" i="1"/>
  <c r="C13242" i="1"/>
  <c r="A13243" i="1"/>
  <c r="C13243" i="1"/>
  <c r="A13244" i="1"/>
  <c r="C13244" i="1"/>
  <c r="A13245" i="1"/>
  <c r="C13245" i="1"/>
  <c r="A13246" i="1"/>
  <c r="C13246" i="1"/>
  <c r="A13247" i="1"/>
  <c r="C13247" i="1"/>
  <c r="A13248" i="1"/>
  <c r="C13248" i="1"/>
  <c r="A13249" i="1"/>
  <c r="C13249" i="1"/>
  <c r="A13250" i="1"/>
  <c r="C13250" i="1"/>
  <c r="A13251" i="1"/>
  <c r="C13251" i="1"/>
  <c r="A13252" i="1"/>
  <c r="C13252" i="1"/>
  <c r="A13253" i="1"/>
  <c r="C13253" i="1"/>
  <c r="A13254" i="1"/>
  <c r="C13254" i="1"/>
  <c r="A13255" i="1"/>
  <c r="C13255" i="1"/>
  <c r="A13256" i="1"/>
  <c r="C13256" i="1"/>
  <c r="A13257" i="1"/>
  <c r="C13257" i="1"/>
  <c r="A13258" i="1"/>
  <c r="C13258" i="1"/>
  <c r="A13259" i="1"/>
  <c r="C13259" i="1"/>
  <c r="A13260" i="1"/>
  <c r="C13260" i="1"/>
  <c r="A13261" i="1"/>
  <c r="C13261" i="1"/>
  <c r="A13262" i="1"/>
  <c r="C13262" i="1"/>
  <c r="A13263" i="1"/>
  <c r="C13263" i="1"/>
  <c r="A13264" i="1"/>
  <c r="C13264" i="1"/>
  <c r="A13265" i="1"/>
  <c r="C13265" i="1"/>
  <c r="A13266" i="1"/>
  <c r="C13266" i="1"/>
  <c r="A13267" i="1"/>
  <c r="C13267" i="1"/>
  <c r="A13268" i="1"/>
  <c r="C13268" i="1"/>
  <c r="A13269" i="1"/>
  <c r="C13269" i="1"/>
  <c r="A13270" i="1"/>
  <c r="C13270" i="1"/>
  <c r="A13271" i="1"/>
  <c r="C13271" i="1"/>
  <c r="A13272" i="1"/>
  <c r="C13272" i="1"/>
  <c r="A13273" i="1"/>
  <c r="C13273" i="1"/>
  <c r="A13274" i="1"/>
  <c r="C13274" i="1"/>
  <c r="A13275" i="1"/>
  <c r="C13275" i="1"/>
  <c r="A13276" i="1"/>
  <c r="C13276" i="1"/>
  <c r="A13277" i="1"/>
  <c r="C13277" i="1"/>
  <c r="A13278" i="1"/>
  <c r="C13278" i="1"/>
  <c r="A13279" i="1"/>
  <c r="C13279" i="1"/>
  <c r="A13280" i="1"/>
  <c r="C13280" i="1"/>
  <c r="A13281" i="1"/>
  <c r="C13281" i="1"/>
  <c r="A13282" i="1"/>
  <c r="C13282" i="1"/>
  <c r="A13283" i="1"/>
  <c r="C13283" i="1"/>
  <c r="A13284" i="1"/>
  <c r="C13284" i="1"/>
  <c r="A13285" i="1"/>
  <c r="C13285" i="1"/>
  <c r="A13286" i="1"/>
  <c r="C13286" i="1"/>
  <c r="A13287" i="1"/>
  <c r="C13287" i="1"/>
  <c r="A13288" i="1"/>
  <c r="C13288" i="1"/>
  <c r="A13289" i="1"/>
  <c r="C13289" i="1"/>
  <c r="A13290" i="1"/>
  <c r="C13290" i="1"/>
  <c r="A13291" i="1"/>
  <c r="C13291" i="1"/>
  <c r="A13292" i="1"/>
  <c r="C13292" i="1"/>
  <c r="A13293" i="1"/>
  <c r="C13293" i="1"/>
  <c r="A13294" i="1"/>
  <c r="C13294" i="1"/>
  <c r="A13295" i="1"/>
  <c r="C13295" i="1"/>
  <c r="A13296" i="1"/>
  <c r="C13296" i="1"/>
  <c r="A13297" i="1"/>
  <c r="C13297" i="1"/>
  <c r="A13298" i="1"/>
  <c r="C13298" i="1"/>
  <c r="A13299" i="1"/>
  <c r="C13299" i="1"/>
  <c r="A13300" i="1"/>
  <c r="C13300" i="1"/>
  <c r="A13301" i="1"/>
  <c r="C13301" i="1"/>
  <c r="A13302" i="1"/>
  <c r="C13302" i="1"/>
  <c r="A13303" i="1"/>
  <c r="C13303" i="1"/>
  <c r="A13304" i="1"/>
  <c r="C13304" i="1"/>
  <c r="A13305" i="1"/>
  <c r="C13305" i="1"/>
  <c r="A13306" i="1"/>
  <c r="C13306" i="1"/>
  <c r="A13307" i="1"/>
  <c r="C13307" i="1"/>
  <c r="A13308" i="1"/>
  <c r="C13308" i="1"/>
  <c r="A13309" i="1"/>
  <c r="C13309" i="1"/>
  <c r="A13310" i="1"/>
  <c r="C13310" i="1"/>
  <c r="A13311" i="1"/>
  <c r="C13311" i="1"/>
  <c r="A13312" i="1"/>
  <c r="C13312" i="1"/>
  <c r="A13313" i="1"/>
  <c r="C13313" i="1"/>
  <c r="A13314" i="1"/>
  <c r="C13314" i="1"/>
  <c r="A13315" i="1"/>
  <c r="C13315" i="1"/>
  <c r="A13316" i="1"/>
  <c r="C13316" i="1"/>
  <c r="A13317" i="1"/>
  <c r="C13317" i="1"/>
  <c r="A13318" i="1"/>
  <c r="C13318" i="1"/>
  <c r="A13319" i="1"/>
  <c r="C13319" i="1"/>
  <c r="A13320" i="1"/>
  <c r="C13320" i="1"/>
  <c r="A13321" i="1"/>
  <c r="C13321" i="1"/>
  <c r="A13322" i="1"/>
  <c r="C13322" i="1"/>
  <c r="A13323" i="1"/>
  <c r="C13323" i="1"/>
  <c r="A13324" i="1"/>
  <c r="C13324" i="1"/>
  <c r="A13325" i="1"/>
  <c r="C13325" i="1"/>
  <c r="A13326" i="1"/>
  <c r="C13326" i="1"/>
  <c r="A13327" i="1"/>
  <c r="C13327" i="1"/>
  <c r="A13328" i="1"/>
  <c r="C13328" i="1"/>
  <c r="A13329" i="1"/>
  <c r="C13329" i="1"/>
  <c r="A13330" i="1"/>
  <c r="C13330" i="1"/>
  <c r="A13331" i="1"/>
  <c r="C13331" i="1"/>
  <c r="A13332" i="1"/>
  <c r="C13332" i="1"/>
  <c r="A13333" i="1"/>
  <c r="C13333" i="1"/>
  <c r="A13334" i="1"/>
  <c r="C13334" i="1"/>
  <c r="A13335" i="1"/>
  <c r="C13335" i="1"/>
  <c r="A13336" i="1"/>
  <c r="C13336" i="1"/>
  <c r="A13337" i="1"/>
  <c r="C13337" i="1"/>
  <c r="A13338" i="1"/>
  <c r="C13338" i="1"/>
  <c r="A13339" i="1"/>
  <c r="C13339" i="1"/>
  <c r="A13340" i="1"/>
  <c r="C13340" i="1"/>
  <c r="A13341" i="1"/>
  <c r="C13341" i="1"/>
  <c r="A13342" i="1"/>
  <c r="C13342" i="1"/>
  <c r="A13343" i="1"/>
  <c r="C13343" i="1"/>
  <c r="A13344" i="1"/>
  <c r="C13344" i="1"/>
  <c r="A13345" i="1"/>
  <c r="C13345" i="1"/>
  <c r="A13346" i="1"/>
  <c r="C13346" i="1"/>
  <c r="A13347" i="1"/>
  <c r="C13347" i="1"/>
  <c r="A13348" i="1"/>
  <c r="C13348" i="1"/>
  <c r="A13349" i="1"/>
  <c r="C13349" i="1"/>
  <c r="A13350" i="1"/>
  <c r="C13350" i="1"/>
  <c r="A13351" i="1"/>
  <c r="C13351" i="1"/>
  <c r="A13352" i="1"/>
  <c r="C13352" i="1"/>
  <c r="A13353" i="1"/>
  <c r="C13353" i="1"/>
  <c r="A13354" i="1"/>
  <c r="C13354" i="1"/>
  <c r="A13355" i="1"/>
  <c r="C13355" i="1"/>
  <c r="A13356" i="1"/>
  <c r="C13356" i="1"/>
  <c r="A13357" i="1"/>
  <c r="C13357" i="1"/>
  <c r="A13358" i="1"/>
  <c r="C13358" i="1"/>
  <c r="A13359" i="1"/>
  <c r="C13359" i="1"/>
  <c r="A13360" i="1"/>
  <c r="C13360" i="1"/>
  <c r="A13361" i="1"/>
  <c r="C13361" i="1"/>
  <c r="A13362" i="1"/>
  <c r="C13362" i="1"/>
  <c r="A13363" i="1"/>
  <c r="C13363" i="1"/>
  <c r="A13364" i="1"/>
  <c r="C13364" i="1"/>
  <c r="A13365" i="1"/>
  <c r="C13365" i="1"/>
  <c r="A13366" i="1"/>
  <c r="C13366" i="1"/>
  <c r="A13367" i="1"/>
  <c r="C13367" i="1"/>
  <c r="A13368" i="1"/>
  <c r="C13368" i="1"/>
  <c r="A13369" i="1"/>
  <c r="C13369" i="1"/>
  <c r="A13370" i="1"/>
  <c r="C13370" i="1"/>
  <c r="A13371" i="1"/>
  <c r="C13371" i="1"/>
  <c r="A13372" i="1"/>
  <c r="C13372" i="1"/>
  <c r="A13373" i="1"/>
  <c r="C13373" i="1"/>
  <c r="A13374" i="1"/>
  <c r="C13374" i="1"/>
  <c r="A13375" i="1"/>
  <c r="C13375" i="1"/>
  <c r="A13376" i="1"/>
  <c r="C13376" i="1"/>
  <c r="A13377" i="1"/>
  <c r="C13377" i="1"/>
  <c r="A13378" i="1"/>
  <c r="C13378" i="1"/>
  <c r="A13379" i="1"/>
  <c r="C13379" i="1"/>
  <c r="A13380" i="1"/>
  <c r="C13380" i="1"/>
  <c r="A13381" i="1"/>
  <c r="C13381" i="1"/>
  <c r="A13382" i="1"/>
  <c r="C13382" i="1"/>
  <c r="A13383" i="1"/>
  <c r="C13383" i="1"/>
  <c r="A13384" i="1"/>
  <c r="C13384" i="1"/>
  <c r="A13385" i="1"/>
  <c r="C13385" i="1"/>
  <c r="A13386" i="1"/>
  <c r="C13386" i="1"/>
  <c r="A13387" i="1"/>
  <c r="C13387" i="1"/>
  <c r="A13388" i="1"/>
  <c r="C13388" i="1"/>
  <c r="A13389" i="1"/>
  <c r="C13389" i="1"/>
  <c r="A13390" i="1"/>
  <c r="C13390" i="1"/>
  <c r="A13391" i="1"/>
  <c r="C13391" i="1"/>
  <c r="A13392" i="1"/>
  <c r="C13392" i="1"/>
  <c r="A13393" i="1"/>
  <c r="C13393" i="1"/>
  <c r="A13394" i="1"/>
  <c r="C13394" i="1"/>
  <c r="A13395" i="1"/>
  <c r="C13395" i="1"/>
  <c r="A13396" i="1"/>
  <c r="C13396" i="1"/>
  <c r="A13397" i="1"/>
  <c r="C13397" i="1"/>
  <c r="A13398" i="1"/>
  <c r="C13398" i="1"/>
  <c r="A13399" i="1"/>
  <c r="C13399" i="1"/>
  <c r="A13400" i="1"/>
  <c r="C13400" i="1"/>
  <c r="A13401" i="1"/>
  <c r="C13401" i="1"/>
  <c r="A13402" i="1"/>
  <c r="C13402" i="1"/>
  <c r="A13403" i="1"/>
  <c r="C13403" i="1"/>
  <c r="A13404" i="1"/>
  <c r="C13404" i="1"/>
  <c r="A13405" i="1"/>
  <c r="C13405" i="1"/>
  <c r="A13406" i="1"/>
  <c r="C13406" i="1"/>
  <c r="A13407" i="1"/>
  <c r="C13407" i="1"/>
  <c r="A13408" i="1"/>
  <c r="C13408" i="1"/>
  <c r="A13409" i="1"/>
  <c r="C13409" i="1"/>
  <c r="A13410" i="1"/>
  <c r="C13410" i="1"/>
  <c r="A13411" i="1"/>
  <c r="C13411" i="1"/>
  <c r="A13412" i="1"/>
  <c r="C13412" i="1"/>
  <c r="A13413" i="1"/>
  <c r="C13413" i="1"/>
  <c r="A13414" i="1"/>
  <c r="C13414" i="1"/>
  <c r="A13415" i="1"/>
  <c r="C13415" i="1"/>
  <c r="A13416" i="1"/>
  <c r="C13416" i="1"/>
  <c r="A13417" i="1"/>
  <c r="C13417" i="1"/>
  <c r="A13418" i="1"/>
  <c r="C13418" i="1"/>
  <c r="A13419" i="1"/>
  <c r="C13419" i="1"/>
  <c r="A13420" i="1"/>
  <c r="C13420" i="1"/>
  <c r="A13421" i="1"/>
  <c r="C13421" i="1"/>
  <c r="A13422" i="1"/>
  <c r="C13422" i="1"/>
  <c r="A13423" i="1"/>
  <c r="C13423" i="1"/>
  <c r="A13424" i="1"/>
  <c r="C13424" i="1"/>
  <c r="A13425" i="1"/>
  <c r="C13425" i="1"/>
  <c r="A13426" i="1"/>
  <c r="C13426" i="1"/>
  <c r="A13427" i="1"/>
  <c r="C13427" i="1"/>
  <c r="A13428" i="1"/>
  <c r="C13428" i="1"/>
  <c r="A13429" i="1"/>
  <c r="C13429" i="1"/>
  <c r="A13430" i="1"/>
  <c r="C13430" i="1"/>
  <c r="A13431" i="1"/>
  <c r="C13431" i="1"/>
  <c r="A13432" i="1"/>
  <c r="C13432" i="1"/>
  <c r="A13433" i="1"/>
  <c r="C13433" i="1"/>
  <c r="A13434" i="1"/>
  <c r="C13434" i="1"/>
  <c r="A13435" i="1"/>
  <c r="C13435" i="1"/>
  <c r="A13436" i="1"/>
  <c r="C13436" i="1"/>
  <c r="A13437" i="1"/>
  <c r="C13437" i="1"/>
  <c r="A13438" i="1"/>
  <c r="C13438" i="1"/>
  <c r="A13439" i="1"/>
  <c r="C13439" i="1"/>
  <c r="A13440" i="1"/>
  <c r="C13440" i="1"/>
  <c r="A13441" i="1"/>
  <c r="C13441" i="1"/>
  <c r="A13442" i="1"/>
  <c r="C13442" i="1"/>
  <c r="A13443" i="1"/>
  <c r="C13443" i="1"/>
  <c r="A13444" i="1"/>
  <c r="C13444" i="1"/>
  <c r="A13445" i="1"/>
  <c r="C13445" i="1"/>
  <c r="A13446" i="1"/>
  <c r="C13446" i="1"/>
  <c r="A13447" i="1"/>
  <c r="C13447" i="1"/>
  <c r="A13448" i="1"/>
  <c r="C13448" i="1"/>
  <c r="A13449" i="1"/>
  <c r="C13449" i="1"/>
  <c r="A13450" i="1"/>
  <c r="C13450" i="1"/>
  <c r="A13451" i="1"/>
  <c r="C13451" i="1"/>
  <c r="A13452" i="1"/>
  <c r="C13452" i="1"/>
  <c r="A13453" i="1"/>
  <c r="C13453" i="1"/>
  <c r="A13454" i="1"/>
  <c r="C13454" i="1"/>
  <c r="A13455" i="1"/>
  <c r="C13455" i="1"/>
  <c r="A13456" i="1"/>
  <c r="C13456" i="1"/>
  <c r="A13457" i="1"/>
  <c r="C13457" i="1"/>
  <c r="A13458" i="1"/>
  <c r="C13458" i="1"/>
  <c r="A13459" i="1"/>
  <c r="C13459" i="1"/>
  <c r="A13460" i="1"/>
  <c r="C13460" i="1"/>
  <c r="A13461" i="1"/>
  <c r="C13461" i="1"/>
  <c r="A13462" i="1"/>
  <c r="C13462" i="1"/>
  <c r="A13463" i="1"/>
  <c r="C13463" i="1"/>
  <c r="A13464" i="1"/>
  <c r="C13464" i="1"/>
  <c r="A13465" i="1"/>
  <c r="C13465" i="1"/>
  <c r="A13466" i="1"/>
  <c r="C13466" i="1"/>
  <c r="A13467" i="1"/>
  <c r="C13467" i="1"/>
  <c r="A13468" i="1"/>
  <c r="C13468" i="1"/>
  <c r="A13469" i="1"/>
  <c r="C13469" i="1"/>
  <c r="A13470" i="1"/>
  <c r="C13470" i="1"/>
  <c r="A13471" i="1"/>
  <c r="C13471" i="1"/>
  <c r="A13472" i="1"/>
  <c r="C13472" i="1"/>
  <c r="A13473" i="1"/>
  <c r="C13473" i="1"/>
  <c r="A13474" i="1"/>
  <c r="C13474" i="1"/>
  <c r="A13475" i="1"/>
  <c r="C13475" i="1"/>
  <c r="A13476" i="1"/>
  <c r="C13476" i="1"/>
  <c r="A13477" i="1"/>
  <c r="C13477" i="1"/>
  <c r="A13478" i="1"/>
  <c r="C13478" i="1"/>
  <c r="A13479" i="1"/>
  <c r="C13479" i="1"/>
  <c r="A13480" i="1"/>
  <c r="C13480" i="1"/>
  <c r="A13481" i="1"/>
  <c r="C13481" i="1"/>
  <c r="A13482" i="1"/>
  <c r="C13482" i="1"/>
  <c r="A13483" i="1"/>
  <c r="C13483" i="1"/>
  <c r="A13484" i="1"/>
  <c r="C13484" i="1"/>
  <c r="A13485" i="1"/>
  <c r="C13485" i="1"/>
  <c r="A13486" i="1"/>
  <c r="C13486" i="1"/>
  <c r="A13487" i="1"/>
  <c r="C13487" i="1"/>
  <c r="A13488" i="1"/>
  <c r="C13488" i="1"/>
  <c r="A13489" i="1"/>
  <c r="C13489" i="1"/>
  <c r="A13490" i="1"/>
  <c r="C13490" i="1"/>
  <c r="A13491" i="1"/>
  <c r="C13491" i="1"/>
  <c r="A13492" i="1"/>
  <c r="C13492" i="1"/>
  <c r="A13493" i="1"/>
  <c r="C13493" i="1"/>
  <c r="A13494" i="1"/>
  <c r="C13494" i="1"/>
  <c r="A13495" i="1"/>
  <c r="C13495" i="1"/>
  <c r="A13496" i="1"/>
  <c r="C13496" i="1"/>
  <c r="A13497" i="1"/>
  <c r="C13497" i="1"/>
  <c r="A13498" i="1"/>
  <c r="C13498" i="1"/>
  <c r="A13499" i="1"/>
  <c r="C13499" i="1"/>
  <c r="A13500" i="1"/>
  <c r="C13500" i="1"/>
  <c r="A13501" i="1"/>
  <c r="C13501" i="1"/>
  <c r="A13502" i="1"/>
  <c r="C13502" i="1"/>
  <c r="A13503" i="1"/>
  <c r="C13503" i="1"/>
  <c r="A13504" i="1"/>
  <c r="C13504" i="1"/>
  <c r="A13505" i="1"/>
  <c r="C13505" i="1"/>
  <c r="A13506" i="1"/>
  <c r="C13506" i="1"/>
  <c r="A13507" i="1"/>
  <c r="C13507" i="1"/>
  <c r="A13508" i="1"/>
  <c r="C13508" i="1"/>
  <c r="A13509" i="1"/>
  <c r="C13509" i="1"/>
  <c r="A13510" i="1"/>
  <c r="C13510" i="1"/>
  <c r="A13511" i="1"/>
  <c r="C13511" i="1"/>
  <c r="A13512" i="1"/>
  <c r="C13512" i="1"/>
  <c r="A13513" i="1"/>
  <c r="C13513" i="1"/>
  <c r="A13514" i="1"/>
  <c r="C13514" i="1"/>
  <c r="A13515" i="1"/>
  <c r="C13515" i="1"/>
  <c r="A13516" i="1"/>
  <c r="C13516" i="1"/>
  <c r="A13517" i="1"/>
  <c r="C13517" i="1"/>
  <c r="A13518" i="1"/>
  <c r="C13518" i="1"/>
  <c r="A13519" i="1"/>
  <c r="C13519" i="1"/>
  <c r="A13520" i="1"/>
  <c r="C13520" i="1"/>
  <c r="A13521" i="1"/>
  <c r="C13521" i="1"/>
  <c r="A13522" i="1"/>
  <c r="C13522" i="1"/>
  <c r="A13523" i="1"/>
  <c r="C13523" i="1"/>
  <c r="A13524" i="1"/>
  <c r="C13524" i="1"/>
  <c r="A13525" i="1"/>
  <c r="C13525" i="1"/>
  <c r="A13526" i="1"/>
  <c r="C13526" i="1"/>
  <c r="A13527" i="1"/>
  <c r="C13527" i="1"/>
  <c r="A13528" i="1"/>
  <c r="C13528" i="1"/>
  <c r="A13529" i="1"/>
  <c r="C13529" i="1"/>
  <c r="A13530" i="1"/>
  <c r="C13530" i="1"/>
  <c r="A13531" i="1"/>
  <c r="C13531" i="1"/>
  <c r="A13532" i="1"/>
  <c r="C13532" i="1"/>
  <c r="A13533" i="1"/>
  <c r="C13533" i="1"/>
  <c r="A13534" i="1"/>
  <c r="C13534" i="1"/>
  <c r="A13535" i="1"/>
  <c r="C13535" i="1"/>
  <c r="A13536" i="1"/>
  <c r="C13536" i="1"/>
  <c r="A13537" i="1"/>
  <c r="C13537" i="1"/>
  <c r="A13538" i="1"/>
  <c r="C13538" i="1"/>
  <c r="A13539" i="1"/>
  <c r="C13539" i="1"/>
  <c r="A13540" i="1"/>
  <c r="C13540" i="1"/>
  <c r="A13541" i="1"/>
  <c r="C13541" i="1"/>
  <c r="A13542" i="1"/>
  <c r="C13542" i="1"/>
  <c r="A13543" i="1"/>
  <c r="C13543" i="1"/>
  <c r="A13544" i="1"/>
  <c r="C13544" i="1"/>
  <c r="A13545" i="1"/>
  <c r="C13545" i="1"/>
  <c r="A13546" i="1"/>
  <c r="C13546" i="1"/>
  <c r="A13547" i="1"/>
  <c r="C13547" i="1"/>
  <c r="A13548" i="1"/>
  <c r="C13548" i="1"/>
  <c r="A13549" i="1"/>
  <c r="C13549" i="1"/>
  <c r="A13550" i="1"/>
  <c r="C13550" i="1"/>
  <c r="A13551" i="1"/>
  <c r="C13551" i="1"/>
  <c r="A13552" i="1"/>
  <c r="C13552" i="1"/>
  <c r="A13553" i="1"/>
  <c r="C13553" i="1"/>
  <c r="A13554" i="1"/>
  <c r="C13554" i="1"/>
  <c r="A13555" i="1"/>
  <c r="C13555" i="1"/>
  <c r="A13556" i="1"/>
  <c r="C13556" i="1"/>
  <c r="A13557" i="1"/>
  <c r="C13557" i="1"/>
  <c r="A13558" i="1"/>
  <c r="C13558" i="1"/>
  <c r="A13559" i="1"/>
  <c r="C13559" i="1"/>
  <c r="A13560" i="1"/>
  <c r="C13560" i="1"/>
  <c r="A13561" i="1"/>
  <c r="C13561" i="1"/>
  <c r="A13562" i="1"/>
  <c r="C13562" i="1"/>
  <c r="A13563" i="1"/>
  <c r="C13563" i="1"/>
  <c r="A13564" i="1"/>
  <c r="C13564" i="1"/>
  <c r="A13565" i="1"/>
  <c r="C13565" i="1"/>
  <c r="A13566" i="1"/>
  <c r="C13566" i="1"/>
  <c r="A13567" i="1"/>
  <c r="C13567" i="1"/>
  <c r="A13568" i="1"/>
  <c r="C13568" i="1"/>
  <c r="A13569" i="1"/>
  <c r="C13569" i="1"/>
  <c r="A13570" i="1"/>
  <c r="C13570" i="1"/>
  <c r="A13571" i="1"/>
  <c r="C13571" i="1"/>
  <c r="A13572" i="1"/>
  <c r="C13572" i="1"/>
  <c r="A13573" i="1"/>
  <c r="C13573" i="1"/>
  <c r="A13574" i="1"/>
  <c r="C13574" i="1"/>
  <c r="A13575" i="1"/>
  <c r="C13575" i="1"/>
  <c r="A13576" i="1"/>
  <c r="C13576" i="1"/>
  <c r="A13577" i="1"/>
  <c r="C13577" i="1"/>
  <c r="A13578" i="1"/>
  <c r="C13578" i="1"/>
  <c r="A13579" i="1"/>
  <c r="C13579" i="1"/>
  <c r="A13580" i="1"/>
  <c r="C13580" i="1"/>
  <c r="A13581" i="1"/>
  <c r="C13581" i="1"/>
  <c r="A13582" i="1"/>
  <c r="C13582" i="1"/>
  <c r="A13583" i="1"/>
  <c r="C13583" i="1"/>
  <c r="A13584" i="1"/>
  <c r="C13584" i="1"/>
  <c r="A13585" i="1"/>
  <c r="C13585" i="1"/>
  <c r="A13586" i="1"/>
  <c r="C13586" i="1"/>
  <c r="A13587" i="1"/>
  <c r="C13587" i="1"/>
  <c r="A13588" i="1"/>
  <c r="C13588" i="1"/>
  <c r="A13589" i="1"/>
  <c r="C13589" i="1"/>
  <c r="A13590" i="1"/>
  <c r="C13590" i="1"/>
  <c r="A13591" i="1"/>
  <c r="C13591" i="1"/>
  <c r="A13592" i="1"/>
  <c r="C13592" i="1"/>
  <c r="A13593" i="1"/>
  <c r="C13593" i="1"/>
  <c r="A13594" i="1"/>
  <c r="C13594" i="1"/>
  <c r="A13595" i="1"/>
  <c r="C13595" i="1"/>
  <c r="A13596" i="1"/>
  <c r="C13596" i="1"/>
  <c r="A13597" i="1"/>
  <c r="C13597" i="1"/>
  <c r="A13598" i="1"/>
  <c r="C13598" i="1"/>
  <c r="A13599" i="1"/>
  <c r="C13599" i="1"/>
  <c r="A13600" i="1"/>
  <c r="C13600" i="1"/>
  <c r="A13601" i="1"/>
  <c r="C13601" i="1"/>
  <c r="A13602" i="1"/>
  <c r="C13602" i="1"/>
  <c r="A13603" i="1"/>
  <c r="C13603" i="1"/>
  <c r="A13604" i="1"/>
  <c r="C13604" i="1"/>
  <c r="A13605" i="1"/>
  <c r="C13605" i="1"/>
  <c r="A13606" i="1"/>
  <c r="C13606" i="1"/>
  <c r="A13607" i="1"/>
  <c r="C13607" i="1"/>
  <c r="A13608" i="1"/>
  <c r="C13608" i="1"/>
  <c r="A13609" i="1"/>
  <c r="C13609" i="1"/>
  <c r="A13610" i="1"/>
  <c r="C13610" i="1"/>
  <c r="A13611" i="1"/>
  <c r="C13611" i="1"/>
  <c r="A13612" i="1"/>
  <c r="C13612" i="1"/>
  <c r="A13613" i="1"/>
  <c r="C13613" i="1"/>
  <c r="A13614" i="1"/>
  <c r="C13614" i="1"/>
  <c r="A13615" i="1"/>
  <c r="C13615" i="1"/>
  <c r="A13616" i="1"/>
  <c r="C13616" i="1"/>
  <c r="A13617" i="1"/>
  <c r="C13617" i="1"/>
  <c r="A13618" i="1"/>
  <c r="C13618" i="1"/>
  <c r="A13619" i="1"/>
  <c r="C13619" i="1"/>
  <c r="A13620" i="1"/>
  <c r="C13620" i="1"/>
  <c r="A13621" i="1"/>
  <c r="C13621" i="1"/>
  <c r="A13622" i="1"/>
  <c r="C13622" i="1"/>
  <c r="A13623" i="1"/>
  <c r="C13623" i="1"/>
  <c r="A13624" i="1"/>
  <c r="C13624" i="1"/>
  <c r="A13625" i="1"/>
  <c r="C13625" i="1"/>
  <c r="A13626" i="1"/>
  <c r="C13626" i="1"/>
  <c r="A13627" i="1"/>
  <c r="C13627" i="1"/>
  <c r="A13628" i="1"/>
  <c r="C13628" i="1"/>
  <c r="A13629" i="1"/>
  <c r="C13629" i="1"/>
  <c r="A13630" i="1"/>
  <c r="C13630" i="1"/>
  <c r="A13631" i="1"/>
  <c r="C13631" i="1"/>
  <c r="A13632" i="1"/>
  <c r="C13632" i="1"/>
  <c r="A13633" i="1"/>
  <c r="C13633" i="1"/>
  <c r="A13634" i="1"/>
  <c r="C13634" i="1"/>
  <c r="A13635" i="1"/>
  <c r="C13635" i="1"/>
  <c r="A13636" i="1"/>
  <c r="C13636" i="1"/>
  <c r="A13637" i="1"/>
  <c r="C13637" i="1"/>
  <c r="A13638" i="1"/>
  <c r="C13638" i="1"/>
  <c r="A13639" i="1"/>
  <c r="C13639" i="1"/>
  <c r="A13640" i="1"/>
  <c r="C13640" i="1"/>
  <c r="A13641" i="1"/>
  <c r="C13641" i="1"/>
  <c r="A13642" i="1"/>
  <c r="C13642" i="1"/>
  <c r="A13643" i="1"/>
  <c r="C13643" i="1"/>
  <c r="A13644" i="1"/>
  <c r="C13644" i="1"/>
  <c r="A13645" i="1"/>
  <c r="C13645" i="1"/>
  <c r="A13646" i="1"/>
  <c r="C13646" i="1"/>
  <c r="A13647" i="1"/>
  <c r="C13647" i="1"/>
  <c r="A13648" i="1"/>
  <c r="C13648" i="1"/>
  <c r="A13649" i="1"/>
  <c r="C13649" i="1"/>
  <c r="A13650" i="1"/>
  <c r="C13650" i="1"/>
  <c r="A13651" i="1"/>
  <c r="C13651" i="1"/>
  <c r="A13652" i="1"/>
  <c r="C13652" i="1"/>
  <c r="A13653" i="1"/>
  <c r="C13653" i="1"/>
  <c r="A13654" i="1"/>
  <c r="C13654" i="1"/>
  <c r="A13655" i="1"/>
  <c r="C13655" i="1"/>
  <c r="A13656" i="1"/>
  <c r="C13656" i="1"/>
  <c r="A13657" i="1"/>
  <c r="C13657" i="1"/>
  <c r="A13658" i="1"/>
  <c r="C13658" i="1"/>
  <c r="A13659" i="1"/>
  <c r="C13659" i="1"/>
  <c r="A13660" i="1"/>
  <c r="C13660" i="1"/>
  <c r="A13661" i="1"/>
  <c r="C13661" i="1"/>
  <c r="A13662" i="1"/>
  <c r="C13662" i="1"/>
  <c r="A13663" i="1"/>
  <c r="C13663" i="1"/>
  <c r="A13664" i="1"/>
  <c r="C13664" i="1"/>
  <c r="A13665" i="1"/>
  <c r="C13665" i="1"/>
  <c r="A13666" i="1"/>
  <c r="C13666" i="1"/>
  <c r="A13667" i="1"/>
  <c r="C13667" i="1"/>
  <c r="A13668" i="1"/>
  <c r="C13668" i="1"/>
  <c r="A13669" i="1"/>
  <c r="C13669" i="1"/>
  <c r="A13670" i="1"/>
  <c r="C13670" i="1"/>
  <c r="A13671" i="1"/>
  <c r="C13671" i="1"/>
  <c r="A13672" i="1"/>
  <c r="C13672" i="1"/>
  <c r="A13673" i="1"/>
  <c r="C13673" i="1"/>
  <c r="A13674" i="1"/>
  <c r="C13674" i="1"/>
  <c r="A13675" i="1"/>
  <c r="C13675" i="1"/>
  <c r="A13676" i="1"/>
  <c r="C13676" i="1"/>
  <c r="A13677" i="1"/>
  <c r="C13677" i="1"/>
  <c r="A13678" i="1"/>
  <c r="C13678" i="1"/>
  <c r="A13679" i="1"/>
  <c r="C13679" i="1"/>
  <c r="A13680" i="1"/>
  <c r="C13680" i="1"/>
  <c r="A13681" i="1"/>
  <c r="C13681" i="1"/>
  <c r="A13682" i="1"/>
  <c r="C13682" i="1"/>
  <c r="A13683" i="1"/>
  <c r="C13683" i="1"/>
  <c r="A13684" i="1"/>
  <c r="C13684" i="1"/>
  <c r="A13685" i="1"/>
  <c r="C13685" i="1"/>
  <c r="A13686" i="1"/>
  <c r="C13686" i="1"/>
  <c r="A13687" i="1"/>
  <c r="C13687" i="1"/>
  <c r="A13688" i="1"/>
  <c r="C13688" i="1"/>
  <c r="A13689" i="1"/>
  <c r="C13689" i="1"/>
  <c r="A13690" i="1"/>
  <c r="C13690" i="1"/>
  <c r="A13691" i="1"/>
  <c r="C13691" i="1"/>
  <c r="A13692" i="1"/>
  <c r="C13692" i="1"/>
  <c r="A13693" i="1"/>
  <c r="C13693" i="1"/>
  <c r="A13694" i="1"/>
  <c r="C13694" i="1"/>
  <c r="A13695" i="1"/>
  <c r="C13695" i="1"/>
  <c r="A13696" i="1"/>
  <c r="C13696" i="1"/>
  <c r="A13697" i="1"/>
  <c r="C13697" i="1"/>
  <c r="A13698" i="1"/>
  <c r="C13698" i="1"/>
  <c r="A13699" i="1"/>
  <c r="C13699" i="1"/>
  <c r="A13700" i="1"/>
  <c r="C13700" i="1"/>
  <c r="A13701" i="1"/>
  <c r="C13701" i="1"/>
  <c r="A13702" i="1"/>
  <c r="C13702" i="1"/>
  <c r="A13703" i="1"/>
  <c r="C13703" i="1"/>
  <c r="A13704" i="1"/>
  <c r="C13704" i="1"/>
  <c r="A13705" i="1"/>
  <c r="C13705" i="1"/>
  <c r="A13706" i="1"/>
  <c r="C13706" i="1"/>
  <c r="A13707" i="1"/>
  <c r="C13707" i="1"/>
  <c r="A13708" i="1"/>
  <c r="C13708" i="1"/>
  <c r="A13709" i="1"/>
  <c r="C13709" i="1"/>
  <c r="A13710" i="1"/>
  <c r="C13710" i="1"/>
  <c r="A13711" i="1"/>
  <c r="C13711" i="1"/>
  <c r="A13712" i="1"/>
  <c r="C13712" i="1"/>
  <c r="A13713" i="1"/>
  <c r="C13713" i="1"/>
  <c r="A13714" i="1"/>
  <c r="C13714" i="1"/>
  <c r="A13715" i="1"/>
  <c r="C13715" i="1"/>
  <c r="A13716" i="1"/>
  <c r="C13716" i="1"/>
  <c r="A13717" i="1"/>
  <c r="C13717" i="1"/>
  <c r="A13718" i="1"/>
  <c r="C13718" i="1"/>
  <c r="A13719" i="1"/>
  <c r="C13719" i="1"/>
  <c r="A13720" i="1"/>
  <c r="C13720" i="1"/>
  <c r="A13721" i="1"/>
  <c r="C13721" i="1"/>
  <c r="A13722" i="1"/>
  <c r="C13722" i="1"/>
  <c r="A13723" i="1"/>
  <c r="C13723" i="1"/>
  <c r="A13724" i="1"/>
  <c r="C13724" i="1"/>
  <c r="A13725" i="1"/>
  <c r="C13725" i="1"/>
  <c r="A13726" i="1"/>
  <c r="C13726" i="1"/>
  <c r="A13727" i="1"/>
  <c r="C13727" i="1"/>
  <c r="A13728" i="1"/>
  <c r="C13728" i="1"/>
  <c r="A13729" i="1"/>
  <c r="C13729" i="1"/>
  <c r="A13730" i="1"/>
  <c r="C13730" i="1"/>
  <c r="A13731" i="1"/>
  <c r="C13731" i="1"/>
  <c r="A13732" i="1"/>
  <c r="C13732" i="1"/>
  <c r="A13733" i="1"/>
  <c r="C13733" i="1"/>
  <c r="A13734" i="1"/>
  <c r="C13734" i="1"/>
  <c r="A13735" i="1"/>
  <c r="C13735" i="1"/>
  <c r="A13736" i="1"/>
  <c r="C13736" i="1"/>
  <c r="A13737" i="1"/>
  <c r="C13737" i="1"/>
  <c r="A13738" i="1"/>
  <c r="C13738" i="1"/>
  <c r="A13739" i="1"/>
  <c r="C13739" i="1"/>
  <c r="A13740" i="1"/>
  <c r="C13740" i="1"/>
  <c r="A13741" i="1"/>
  <c r="C13741" i="1"/>
  <c r="A13742" i="1"/>
  <c r="C13742" i="1"/>
  <c r="A13743" i="1"/>
  <c r="C13743" i="1"/>
  <c r="A13744" i="1"/>
  <c r="C13744" i="1"/>
  <c r="A13745" i="1"/>
  <c r="C13745" i="1"/>
  <c r="A13746" i="1"/>
  <c r="C13746" i="1"/>
  <c r="A13747" i="1"/>
  <c r="C13747" i="1"/>
  <c r="A13748" i="1"/>
  <c r="C13748" i="1"/>
  <c r="A13749" i="1"/>
  <c r="C13749" i="1"/>
  <c r="A13750" i="1"/>
  <c r="C13750" i="1"/>
  <c r="A13751" i="1"/>
  <c r="C13751" i="1"/>
  <c r="A13752" i="1"/>
  <c r="C13752" i="1"/>
  <c r="A13753" i="1"/>
  <c r="C13753" i="1"/>
  <c r="A13754" i="1"/>
  <c r="C13754" i="1"/>
  <c r="A13755" i="1"/>
  <c r="C13755" i="1"/>
  <c r="A13756" i="1"/>
  <c r="C13756" i="1"/>
  <c r="A13757" i="1"/>
  <c r="C13757" i="1"/>
  <c r="A13758" i="1"/>
  <c r="C13758" i="1"/>
  <c r="A13759" i="1"/>
  <c r="C13759" i="1"/>
  <c r="A13760" i="1"/>
  <c r="C13760" i="1"/>
  <c r="A13761" i="1"/>
  <c r="C13761" i="1"/>
  <c r="A13762" i="1"/>
  <c r="C13762" i="1"/>
  <c r="A13763" i="1"/>
  <c r="C13763" i="1"/>
  <c r="A13764" i="1"/>
  <c r="C13764" i="1"/>
  <c r="A13765" i="1"/>
  <c r="C13765" i="1"/>
  <c r="A13766" i="1"/>
  <c r="C13766" i="1"/>
  <c r="A13767" i="1"/>
  <c r="C13767" i="1"/>
  <c r="A13768" i="1"/>
  <c r="C13768" i="1"/>
  <c r="A13769" i="1"/>
  <c r="C13769" i="1"/>
  <c r="A13770" i="1"/>
  <c r="C13770" i="1"/>
  <c r="A13771" i="1"/>
  <c r="C13771" i="1"/>
  <c r="A13772" i="1"/>
  <c r="C13772" i="1"/>
  <c r="A13773" i="1"/>
  <c r="C13773" i="1"/>
  <c r="A13774" i="1"/>
  <c r="C13774" i="1"/>
  <c r="A13775" i="1"/>
  <c r="C13775" i="1"/>
  <c r="A13776" i="1"/>
  <c r="C13776" i="1"/>
  <c r="A13777" i="1"/>
  <c r="C13777" i="1"/>
  <c r="A13778" i="1"/>
  <c r="C13778" i="1"/>
  <c r="A13779" i="1"/>
  <c r="C13779" i="1"/>
  <c r="A13780" i="1"/>
  <c r="C13780" i="1"/>
  <c r="A13781" i="1"/>
  <c r="C13781" i="1"/>
  <c r="A13782" i="1"/>
  <c r="C13782" i="1"/>
  <c r="A13783" i="1"/>
  <c r="C13783" i="1"/>
  <c r="A13784" i="1"/>
  <c r="C13784" i="1"/>
  <c r="A13785" i="1"/>
  <c r="C13785" i="1"/>
  <c r="A13786" i="1"/>
  <c r="C13786" i="1"/>
  <c r="A13787" i="1"/>
  <c r="C13787" i="1"/>
  <c r="A13788" i="1"/>
  <c r="C13788" i="1"/>
  <c r="A13789" i="1"/>
  <c r="C13789" i="1"/>
  <c r="A13790" i="1"/>
  <c r="C13790" i="1"/>
  <c r="A13791" i="1"/>
  <c r="C13791" i="1"/>
  <c r="A13792" i="1"/>
  <c r="C13792" i="1"/>
  <c r="A13793" i="1"/>
  <c r="C13793" i="1"/>
  <c r="A13794" i="1"/>
  <c r="C13794" i="1"/>
  <c r="A13795" i="1"/>
  <c r="C13795" i="1"/>
  <c r="A13796" i="1"/>
  <c r="C13796" i="1"/>
  <c r="A13797" i="1"/>
  <c r="C13797" i="1"/>
  <c r="A13798" i="1"/>
  <c r="C13798" i="1"/>
  <c r="A13799" i="1"/>
  <c r="C13799" i="1"/>
  <c r="A13800" i="1"/>
  <c r="C13800" i="1"/>
  <c r="A13801" i="1"/>
  <c r="C13801" i="1"/>
  <c r="A13802" i="1"/>
  <c r="C13802" i="1"/>
  <c r="A13803" i="1"/>
  <c r="C13803" i="1"/>
  <c r="A13804" i="1"/>
  <c r="C13804" i="1"/>
  <c r="A13805" i="1"/>
  <c r="C13805" i="1"/>
  <c r="A13806" i="1"/>
  <c r="C13806" i="1"/>
  <c r="A13807" i="1"/>
  <c r="C13807" i="1"/>
  <c r="A13808" i="1"/>
  <c r="C13808" i="1"/>
  <c r="A13809" i="1"/>
  <c r="C13809" i="1"/>
  <c r="A13810" i="1"/>
  <c r="C13810" i="1"/>
  <c r="A13811" i="1"/>
  <c r="C13811" i="1"/>
  <c r="A13812" i="1"/>
  <c r="C13812" i="1"/>
  <c r="A13813" i="1"/>
  <c r="C13813" i="1"/>
  <c r="A13814" i="1"/>
  <c r="C13814" i="1"/>
  <c r="A13815" i="1"/>
  <c r="C13815" i="1"/>
  <c r="A13816" i="1"/>
  <c r="C13816" i="1"/>
  <c r="A13817" i="1"/>
  <c r="C13817" i="1"/>
  <c r="A13818" i="1"/>
  <c r="C13818" i="1"/>
  <c r="A13819" i="1"/>
  <c r="C13819" i="1"/>
  <c r="A13820" i="1"/>
  <c r="C13820" i="1"/>
  <c r="A13821" i="1"/>
  <c r="C13821" i="1"/>
  <c r="A13822" i="1"/>
  <c r="C13822" i="1"/>
  <c r="A13823" i="1"/>
  <c r="C13823" i="1"/>
  <c r="A13824" i="1"/>
  <c r="C13824" i="1"/>
  <c r="A13825" i="1"/>
  <c r="C13825" i="1"/>
  <c r="A13826" i="1"/>
  <c r="C13826" i="1"/>
  <c r="A13827" i="1"/>
  <c r="C13827" i="1"/>
  <c r="A13828" i="1"/>
  <c r="C13828" i="1"/>
  <c r="A13829" i="1"/>
  <c r="C13829" i="1"/>
  <c r="A13830" i="1"/>
  <c r="C13830" i="1"/>
  <c r="A13831" i="1"/>
  <c r="C13831" i="1"/>
  <c r="A13832" i="1"/>
  <c r="C13832" i="1"/>
  <c r="A13833" i="1"/>
  <c r="C13833" i="1"/>
  <c r="A13834" i="1"/>
  <c r="C13834" i="1"/>
  <c r="A13835" i="1"/>
  <c r="C13835" i="1"/>
  <c r="A13836" i="1"/>
  <c r="C13836" i="1"/>
  <c r="A13837" i="1"/>
  <c r="C13837" i="1"/>
  <c r="A13838" i="1"/>
  <c r="C13838" i="1"/>
  <c r="A13839" i="1"/>
  <c r="C13839" i="1"/>
  <c r="A13840" i="1"/>
  <c r="C13840" i="1"/>
  <c r="A13841" i="1"/>
  <c r="C13841" i="1"/>
  <c r="A13842" i="1"/>
  <c r="C13842" i="1"/>
  <c r="A13843" i="1"/>
  <c r="C13843" i="1"/>
  <c r="A13844" i="1"/>
  <c r="C13844" i="1"/>
  <c r="A13845" i="1"/>
  <c r="C13845" i="1"/>
  <c r="A13846" i="1"/>
  <c r="C13846" i="1"/>
  <c r="A13847" i="1"/>
  <c r="C13847" i="1"/>
  <c r="A13848" i="1"/>
  <c r="C13848" i="1"/>
  <c r="A13849" i="1"/>
  <c r="C13849" i="1"/>
  <c r="A13850" i="1"/>
  <c r="C13850" i="1"/>
  <c r="A13851" i="1"/>
  <c r="C13851" i="1"/>
  <c r="A13852" i="1"/>
  <c r="C13852" i="1"/>
  <c r="A13853" i="1"/>
  <c r="C13853" i="1"/>
  <c r="A13854" i="1"/>
  <c r="C13854" i="1"/>
  <c r="A13855" i="1"/>
  <c r="C13855" i="1"/>
  <c r="A13856" i="1"/>
  <c r="C13856" i="1"/>
  <c r="A13857" i="1"/>
  <c r="C13857" i="1"/>
  <c r="A13858" i="1"/>
  <c r="C13858" i="1"/>
  <c r="A13859" i="1"/>
  <c r="C13859" i="1"/>
  <c r="A13860" i="1"/>
  <c r="C13860" i="1"/>
  <c r="A13861" i="1"/>
  <c r="C13861" i="1"/>
  <c r="A13862" i="1"/>
  <c r="C13862" i="1"/>
  <c r="A13863" i="1"/>
  <c r="C13863" i="1"/>
  <c r="A13864" i="1"/>
  <c r="C13864" i="1"/>
  <c r="A13865" i="1"/>
  <c r="C13865" i="1"/>
  <c r="A13866" i="1"/>
  <c r="C13866" i="1"/>
  <c r="A13867" i="1"/>
  <c r="C13867" i="1"/>
  <c r="A13868" i="1"/>
  <c r="C13868" i="1"/>
  <c r="A13869" i="1"/>
  <c r="C13869" i="1"/>
  <c r="A13870" i="1"/>
  <c r="C13870" i="1"/>
  <c r="A13871" i="1"/>
  <c r="C13871" i="1"/>
  <c r="A13872" i="1"/>
  <c r="C13872" i="1"/>
  <c r="A13873" i="1"/>
  <c r="C13873" i="1"/>
  <c r="A13874" i="1"/>
  <c r="C13874" i="1"/>
  <c r="A13875" i="1"/>
  <c r="C13875" i="1"/>
  <c r="A13876" i="1"/>
  <c r="C13876" i="1"/>
  <c r="A13877" i="1"/>
  <c r="C13877" i="1"/>
  <c r="A13878" i="1"/>
  <c r="C13878" i="1"/>
  <c r="A13879" i="1"/>
  <c r="C13879" i="1"/>
  <c r="A13880" i="1"/>
  <c r="C13880" i="1"/>
  <c r="A13881" i="1"/>
  <c r="C13881" i="1"/>
  <c r="A13882" i="1"/>
  <c r="C13882" i="1"/>
  <c r="A13883" i="1"/>
  <c r="C13883" i="1"/>
  <c r="A13884" i="1"/>
  <c r="C13884" i="1"/>
  <c r="A13885" i="1"/>
  <c r="C13885" i="1"/>
  <c r="A13886" i="1"/>
  <c r="C13886" i="1"/>
  <c r="A13887" i="1"/>
  <c r="C13887" i="1"/>
  <c r="A13888" i="1"/>
  <c r="C13888" i="1"/>
  <c r="A13889" i="1"/>
  <c r="C13889" i="1"/>
  <c r="A13890" i="1"/>
  <c r="C13890" i="1"/>
  <c r="A13891" i="1"/>
  <c r="C13891" i="1"/>
  <c r="A13892" i="1"/>
  <c r="C13892" i="1"/>
  <c r="A13893" i="1"/>
  <c r="C13893" i="1"/>
  <c r="A13894" i="1"/>
  <c r="C13894" i="1"/>
  <c r="A13895" i="1"/>
  <c r="C13895" i="1"/>
  <c r="A13896" i="1"/>
  <c r="C13896" i="1"/>
  <c r="A13897" i="1"/>
  <c r="C13897" i="1"/>
  <c r="A13898" i="1"/>
  <c r="C13898" i="1"/>
  <c r="A13899" i="1"/>
  <c r="C13899" i="1"/>
  <c r="A13900" i="1"/>
  <c r="C13900" i="1"/>
  <c r="A13901" i="1"/>
  <c r="C13901" i="1"/>
  <c r="A13902" i="1"/>
  <c r="C13902" i="1"/>
  <c r="A13903" i="1"/>
  <c r="C13903" i="1"/>
  <c r="A13904" i="1"/>
  <c r="C13904" i="1"/>
  <c r="A13905" i="1"/>
  <c r="C13905" i="1"/>
  <c r="A13906" i="1"/>
  <c r="C13906" i="1"/>
  <c r="A13907" i="1"/>
  <c r="C13907" i="1"/>
  <c r="A13908" i="1"/>
  <c r="C13908" i="1"/>
  <c r="A13909" i="1"/>
  <c r="C13909" i="1"/>
  <c r="A13910" i="1"/>
  <c r="C13910" i="1"/>
  <c r="A13911" i="1"/>
  <c r="C13911" i="1"/>
  <c r="A13912" i="1"/>
  <c r="C13912" i="1"/>
  <c r="A13913" i="1"/>
  <c r="C13913" i="1"/>
  <c r="A13914" i="1"/>
  <c r="C13914" i="1"/>
  <c r="A13915" i="1"/>
  <c r="C13915" i="1"/>
  <c r="A13916" i="1"/>
  <c r="C13916" i="1"/>
  <c r="A13917" i="1"/>
  <c r="C13917" i="1"/>
  <c r="A13918" i="1"/>
  <c r="C13918" i="1"/>
  <c r="A13919" i="1"/>
  <c r="C13919" i="1"/>
  <c r="A13920" i="1"/>
  <c r="C13920" i="1"/>
  <c r="A13921" i="1"/>
  <c r="C13921" i="1"/>
  <c r="A13922" i="1"/>
  <c r="C13922" i="1"/>
  <c r="A13923" i="1"/>
  <c r="C13923" i="1"/>
  <c r="A13924" i="1"/>
  <c r="C13924" i="1"/>
  <c r="A13925" i="1"/>
  <c r="C13925" i="1"/>
  <c r="A13926" i="1"/>
  <c r="C13926" i="1"/>
  <c r="A13927" i="1"/>
  <c r="C13927" i="1"/>
  <c r="A13928" i="1"/>
  <c r="C13928" i="1"/>
  <c r="A13929" i="1"/>
  <c r="C13929" i="1"/>
  <c r="A13930" i="1"/>
  <c r="C13930" i="1"/>
  <c r="A13931" i="1"/>
  <c r="C13931" i="1"/>
  <c r="A13932" i="1"/>
  <c r="C13932" i="1"/>
  <c r="A13933" i="1"/>
  <c r="C13933" i="1"/>
  <c r="A13934" i="1"/>
  <c r="C13934" i="1"/>
  <c r="A13935" i="1"/>
  <c r="C13935" i="1"/>
  <c r="A13936" i="1"/>
  <c r="C13936" i="1"/>
  <c r="A13937" i="1"/>
  <c r="C13937" i="1"/>
  <c r="A13938" i="1"/>
  <c r="C13938" i="1"/>
  <c r="A13939" i="1"/>
  <c r="C13939" i="1"/>
  <c r="A13940" i="1"/>
  <c r="C13940" i="1"/>
  <c r="A13941" i="1"/>
  <c r="C13941" i="1"/>
  <c r="A13942" i="1"/>
  <c r="C13942" i="1"/>
  <c r="A13943" i="1"/>
  <c r="C13943" i="1"/>
  <c r="A13944" i="1"/>
  <c r="C13944" i="1"/>
  <c r="A13945" i="1"/>
  <c r="C13945" i="1"/>
  <c r="A13946" i="1"/>
  <c r="C13946" i="1"/>
  <c r="A13947" i="1"/>
  <c r="C13947" i="1"/>
  <c r="A13948" i="1"/>
  <c r="C13948" i="1"/>
  <c r="A13949" i="1"/>
  <c r="C13949" i="1"/>
  <c r="A13950" i="1"/>
  <c r="C13950" i="1"/>
  <c r="A13951" i="1"/>
  <c r="C13951" i="1"/>
  <c r="A13952" i="1"/>
  <c r="C13952" i="1"/>
  <c r="A13953" i="1"/>
  <c r="C13953" i="1"/>
  <c r="A13954" i="1"/>
  <c r="C13954" i="1"/>
  <c r="A13955" i="1"/>
  <c r="C13955" i="1"/>
  <c r="A13956" i="1"/>
  <c r="C13956" i="1"/>
  <c r="A13957" i="1"/>
  <c r="C13957" i="1"/>
  <c r="A13958" i="1"/>
  <c r="C13958" i="1"/>
  <c r="A13959" i="1"/>
  <c r="C13959" i="1"/>
  <c r="A13960" i="1"/>
  <c r="C13960" i="1"/>
  <c r="A13961" i="1"/>
  <c r="C13961" i="1"/>
  <c r="A13962" i="1"/>
  <c r="C13962" i="1"/>
  <c r="A13963" i="1"/>
  <c r="C13963" i="1"/>
  <c r="A13964" i="1"/>
  <c r="C13964" i="1"/>
  <c r="A13965" i="1"/>
  <c r="C13965" i="1"/>
  <c r="A13966" i="1"/>
  <c r="C13966" i="1"/>
  <c r="A13967" i="1"/>
  <c r="C13967" i="1"/>
  <c r="A13968" i="1"/>
  <c r="C13968" i="1"/>
  <c r="A13969" i="1"/>
  <c r="C13969" i="1"/>
  <c r="A13970" i="1"/>
  <c r="C13970" i="1"/>
  <c r="A13971" i="1"/>
  <c r="C13971" i="1"/>
  <c r="A13972" i="1"/>
  <c r="C13972" i="1"/>
  <c r="A13973" i="1"/>
  <c r="C13973" i="1"/>
  <c r="A13974" i="1"/>
  <c r="C13974" i="1"/>
  <c r="A13975" i="1"/>
  <c r="C13975" i="1"/>
  <c r="A13976" i="1"/>
  <c r="C13976" i="1"/>
  <c r="A13977" i="1"/>
  <c r="C13977" i="1"/>
  <c r="A13978" i="1"/>
  <c r="C13978" i="1"/>
  <c r="A13979" i="1"/>
  <c r="C13979" i="1"/>
  <c r="A13980" i="1"/>
  <c r="C13980" i="1"/>
  <c r="A13981" i="1"/>
  <c r="C13981" i="1"/>
  <c r="A13982" i="1"/>
  <c r="C13982" i="1"/>
  <c r="A13983" i="1"/>
  <c r="C13983" i="1"/>
  <c r="A13984" i="1"/>
  <c r="C13984" i="1"/>
  <c r="A13985" i="1"/>
  <c r="C13985" i="1"/>
  <c r="A13986" i="1"/>
  <c r="C13986" i="1"/>
  <c r="A13987" i="1"/>
  <c r="C13987" i="1"/>
  <c r="A13988" i="1"/>
  <c r="C13988" i="1"/>
  <c r="A13989" i="1"/>
  <c r="C13989" i="1"/>
  <c r="A13990" i="1"/>
  <c r="C13990" i="1"/>
  <c r="A13991" i="1"/>
  <c r="C13991" i="1"/>
  <c r="A13992" i="1"/>
  <c r="C13992" i="1"/>
  <c r="A13993" i="1"/>
  <c r="C13993" i="1"/>
  <c r="A13994" i="1"/>
  <c r="C13994" i="1"/>
  <c r="A13995" i="1"/>
  <c r="C13995" i="1"/>
  <c r="A13996" i="1"/>
  <c r="C13996" i="1"/>
  <c r="A13997" i="1"/>
  <c r="C13997" i="1"/>
  <c r="A13998" i="1"/>
  <c r="C13998" i="1"/>
  <c r="A13999" i="1"/>
  <c r="C13999" i="1"/>
  <c r="A14000" i="1"/>
  <c r="C14000" i="1"/>
  <c r="A14001" i="1"/>
  <c r="C14001" i="1"/>
  <c r="A14002" i="1"/>
  <c r="C14002" i="1"/>
  <c r="A14003" i="1"/>
  <c r="C14003" i="1"/>
  <c r="A14004" i="1"/>
  <c r="C14004" i="1"/>
  <c r="A14005" i="1"/>
  <c r="C14005" i="1"/>
  <c r="A14006" i="1"/>
  <c r="C14006" i="1"/>
  <c r="A14007" i="1"/>
  <c r="C14007" i="1"/>
  <c r="A14008" i="1"/>
  <c r="C14008" i="1"/>
  <c r="A14009" i="1"/>
  <c r="C14009" i="1"/>
  <c r="A14010" i="1"/>
  <c r="C14010" i="1"/>
  <c r="A14011" i="1"/>
  <c r="C14011" i="1"/>
  <c r="A14012" i="1"/>
  <c r="C14012" i="1"/>
  <c r="A14013" i="1"/>
  <c r="C14013" i="1"/>
  <c r="A14014" i="1"/>
  <c r="C14014" i="1"/>
  <c r="A14015" i="1"/>
  <c r="C14015" i="1"/>
  <c r="A14016" i="1"/>
  <c r="C14016" i="1"/>
  <c r="A14017" i="1"/>
  <c r="C14017" i="1"/>
  <c r="A14018" i="1"/>
  <c r="C14018" i="1"/>
  <c r="A14019" i="1"/>
  <c r="C14019" i="1"/>
  <c r="A14020" i="1"/>
  <c r="C14020" i="1"/>
  <c r="A14021" i="1"/>
  <c r="C14021" i="1"/>
  <c r="A14022" i="1"/>
  <c r="C14022" i="1"/>
  <c r="A14023" i="1"/>
  <c r="C14023" i="1"/>
  <c r="A14024" i="1"/>
  <c r="C14024" i="1"/>
  <c r="A14025" i="1"/>
  <c r="C14025" i="1"/>
  <c r="A14026" i="1"/>
  <c r="C14026" i="1"/>
  <c r="A14027" i="1"/>
  <c r="C14027" i="1"/>
  <c r="A14028" i="1"/>
  <c r="C14028" i="1"/>
  <c r="A14029" i="1"/>
  <c r="C14029" i="1"/>
  <c r="A14030" i="1"/>
  <c r="C14030" i="1"/>
  <c r="A14031" i="1"/>
  <c r="C14031" i="1"/>
  <c r="A14032" i="1"/>
  <c r="C14032" i="1"/>
  <c r="A14033" i="1"/>
  <c r="C14033" i="1"/>
  <c r="A14034" i="1"/>
  <c r="C14034" i="1"/>
  <c r="A14035" i="1"/>
  <c r="C14035" i="1"/>
  <c r="A14036" i="1"/>
  <c r="C14036" i="1"/>
  <c r="A14037" i="1"/>
  <c r="C14037" i="1"/>
  <c r="A14038" i="1"/>
  <c r="C14038" i="1"/>
  <c r="A14039" i="1"/>
  <c r="C14039" i="1"/>
  <c r="A14040" i="1"/>
  <c r="C14040" i="1"/>
  <c r="A14041" i="1"/>
  <c r="C14041" i="1"/>
  <c r="A14042" i="1"/>
  <c r="C14042" i="1"/>
  <c r="A14043" i="1"/>
  <c r="C14043" i="1"/>
  <c r="A14044" i="1"/>
  <c r="C14044" i="1"/>
  <c r="A14045" i="1"/>
  <c r="C14045" i="1"/>
  <c r="A14046" i="1"/>
  <c r="C14046" i="1"/>
  <c r="A14047" i="1"/>
  <c r="C14047" i="1"/>
  <c r="A14048" i="1"/>
  <c r="C14048" i="1"/>
  <c r="A14049" i="1"/>
  <c r="C14049" i="1"/>
  <c r="A14050" i="1"/>
  <c r="C14050" i="1"/>
  <c r="A14051" i="1"/>
  <c r="C14051" i="1"/>
  <c r="A14052" i="1"/>
  <c r="C14052" i="1"/>
  <c r="A14053" i="1"/>
  <c r="C14053" i="1"/>
  <c r="A14054" i="1"/>
  <c r="C14054" i="1"/>
  <c r="A14055" i="1"/>
  <c r="C14055" i="1"/>
  <c r="A14056" i="1"/>
  <c r="C14056" i="1"/>
  <c r="A14057" i="1"/>
  <c r="C14057" i="1"/>
  <c r="A14058" i="1"/>
  <c r="C14058" i="1"/>
  <c r="A14059" i="1"/>
  <c r="C14059" i="1"/>
  <c r="A14060" i="1"/>
  <c r="C14060" i="1"/>
  <c r="A14061" i="1"/>
  <c r="C14061" i="1"/>
  <c r="A14062" i="1"/>
  <c r="C14062" i="1"/>
  <c r="A14063" i="1"/>
  <c r="C14063" i="1"/>
  <c r="A14064" i="1"/>
  <c r="C14064" i="1"/>
  <c r="A14065" i="1"/>
  <c r="C14065" i="1"/>
  <c r="A14066" i="1"/>
  <c r="C14066" i="1"/>
  <c r="A14067" i="1"/>
  <c r="C14067" i="1"/>
  <c r="A14068" i="1"/>
  <c r="C14068" i="1"/>
  <c r="A14069" i="1"/>
  <c r="C14069" i="1"/>
  <c r="A14070" i="1"/>
  <c r="C14070" i="1"/>
  <c r="A14071" i="1"/>
  <c r="C14071" i="1"/>
  <c r="A14072" i="1"/>
  <c r="C14072" i="1"/>
  <c r="A14073" i="1"/>
  <c r="C14073" i="1"/>
  <c r="A14074" i="1"/>
  <c r="C14074" i="1"/>
  <c r="A14075" i="1"/>
  <c r="C14075" i="1"/>
  <c r="A14076" i="1"/>
  <c r="C14076" i="1"/>
  <c r="A14077" i="1"/>
  <c r="C14077" i="1"/>
  <c r="A14078" i="1"/>
  <c r="C14078" i="1"/>
  <c r="A14079" i="1"/>
  <c r="C14079" i="1"/>
  <c r="A14080" i="1"/>
  <c r="C14080" i="1"/>
  <c r="A14081" i="1"/>
  <c r="C14081" i="1"/>
  <c r="A14082" i="1"/>
  <c r="C14082" i="1"/>
  <c r="A14083" i="1"/>
  <c r="C14083" i="1"/>
  <c r="A14084" i="1"/>
  <c r="C14084" i="1"/>
  <c r="A14085" i="1"/>
  <c r="C14085" i="1"/>
  <c r="A14086" i="1"/>
  <c r="C14086" i="1"/>
  <c r="A14087" i="1"/>
  <c r="C14087" i="1"/>
  <c r="A14088" i="1"/>
  <c r="C14088" i="1"/>
  <c r="A14089" i="1"/>
  <c r="C14089" i="1"/>
  <c r="A14090" i="1"/>
  <c r="C14090" i="1"/>
  <c r="A14091" i="1"/>
  <c r="C14091" i="1"/>
  <c r="A14092" i="1"/>
  <c r="C14092" i="1"/>
  <c r="A14093" i="1"/>
  <c r="C14093" i="1"/>
  <c r="A14094" i="1"/>
  <c r="C14094" i="1"/>
  <c r="A14095" i="1"/>
  <c r="C14095" i="1"/>
  <c r="A14096" i="1"/>
  <c r="C14096" i="1"/>
  <c r="A14097" i="1"/>
  <c r="C14097" i="1"/>
  <c r="A14098" i="1"/>
  <c r="C14098" i="1"/>
  <c r="A14099" i="1"/>
  <c r="C14099" i="1"/>
  <c r="A14100" i="1"/>
  <c r="C14100" i="1"/>
  <c r="A14101" i="1"/>
  <c r="C14101" i="1"/>
  <c r="A14102" i="1"/>
  <c r="C14102" i="1"/>
  <c r="A14103" i="1"/>
  <c r="C14103" i="1"/>
  <c r="A14104" i="1"/>
  <c r="C14104" i="1"/>
  <c r="A14105" i="1"/>
  <c r="C14105" i="1"/>
  <c r="A14106" i="1"/>
  <c r="C14106" i="1"/>
  <c r="A14107" i="1"/>
  <c r="C14107" i="1"/>
  <c r="A14108" i="1"/>
  <c r="C14108" i="1"/>
  <c r="A14109" i="1"/>
  <c r="C14109" i="1"/>
  <c r="A14110" i="1"/>
  <c r="C14110" i="1"/>
  <c r="A14111" i="1"/>
  <c r="C14111" i="1"/>
  <c r="A14112" i="1"/>
  <c r="C14112" i="1"/>
  <c r="A14113" i="1"/>
  <c r="C14113" i="1"/>
  <c r="A14114" i="1"/>
  <c r="C14114" i="1"/>
  <c r="A14115" i="1"/>
  <c r="C14115" i="1"/>
  <c r="A14116" i="1"/>
  <c r="C14116" i="1"/>
  <c r="A14117" i="1"/>
  <c r="C14117" i="1"/>
  <c r="A14118" i="1"/>
  <c r="C14118" i="1"/>
  <c r="A14119" i="1"/>
  <c r="C14119" i="1"/>
  <c r="A14120" i="1"/>
  <c r="C14120" i="1"/>
  <c r="A14121" i="1"/>
  <c r="C14121" i="1"/>
  <c r="A14122" i="1"/>
  <c r="C14122" i="1"/>
  <c r="A14123" i="1"/>
  <c r="C14123" i="1"/>
  <c r="A14124" i="1"/>
  <c r="C14124" i="1"/>
  <c r="A14125" i="1"/>
  <c r="C14125" i="1"/>
  <c r="A14126" i="1"/>
  <c r="C14126" i="1"/>
  <c r="A14127" i="1"/>
  <c r="C14127" i="1"/>
  <c r="A14128" i="1"/>
  <c r="C14128" i="1"/>
  <c r="A14129" i="1"/>
  <c r="C14129" i="1"/>
  <c r="A14130" i="1"/>
  <c r="C14130" i="1"/>
  <c r="A14131" i="1"/>
  <c r="C14131" i="1"/>
  <c r="A14132" i="1"/>
  <c r="C14132" i="1"/>
  <c r="A14133" i="1"/>
  <c r="C14133" i="1"/>
  <c r="A14134" i="1"/>
  <c r="C14134" i="1"/>
  <c r="A14135" i="1"/>
  <c r="C14135" i="1"/>
  <c r="A14136" i="1"/>
  <c r="C14136" i="1"/>
  <c r="A14137" i="1"/>
  <c r="C14137" i="1"/>
  <c r="A14138" i="1"/>
  <c r="C14138" i="1"/>
  <c r="A14139" i="1"/>
  <c r="C14139" i="1"/>
  <c r="A14140" i="1"/>
  <c r="C14140" i="1"/>
  <c r="A14141" i="1"/>
  <c r="C14141" i="1"/>
  <c r="A14142" i="1"/>
  <c r="C14142" i="1"/>
  <c r="A14143" i="1"/>
  <c r="C14143" i="1"/>
  <c r="A14144" i="1"/>
  <c r="C14144" i="1"/>
  <c r="A14145" i="1"/>
  <c r="C14145" i="1"/>
  <c r="A14146" i="1"/>
  <c r="C14146" i="1"/>
  <c r="A14147" i="1"/>
  <c r="C14147" i="1"/>
  <c r="A14148" i="1"/>
  <c r="C14148" i="1"/>
  <c r="A14149" i="1"/>
  <c r="C14149" i="1"/>
  <c r="A14150" i="1"/>
  <c r="C14150" i="1"/>
  <c r="A14151" i="1"/>
  <c r="C14151" i="1"/>
  <c r="A14152" i="1"/>
  <c r="C14152" i="1"/>
  <c r="A14153" i="1"/>
  <c r="C14153" i="1"/>
  <c r="A14154" i="1"/>
  <c r="C14154" i="1"/>
  <c r="A14155" i="1"/>
  <c r="C14155" i="1"/>
  <c r="A14156" i="1"/>
  <c r="C14156" i="1"/>
  <c r="A14157" i="1"/>
  <c r="C14157" i="1"/>
  <c r="A14158" i="1"/>
  <c r="C14158" i="1"/>
  <c r="A14159" i="1"/>
  <c r="C14159" i="1"/>
  <c r="A14160" i="1"/>
  <c r="C14160" i="1"/>
  <c r="A14161" i="1"/>
  <c r="C14161" i="1"/>
  <c r="A14162" i="1"/>
  <c r="C14162" i="1"/>
  <c r="A14163" i="1"/>
  <c r="C14163" i="1"/>
  <c r="A14164" i="1"/>
  <c r="C14164" i="1"/>
  <c r="A14165" i="1"/>
  <c r="C14165" i="1"/>
  <c r="A14166" i="1"/>
  <c r="C14166" i="1"/>
  <c r="A14167" i="1"/>
  <c r="C14167" i="1"/>
  <c r="A14168" i="1"/>
  <c r="C14168" i="1"/>
  <c r="A14169" i="1"/>
  <c r="C14169" i="1"/>
  <c r="A14170" i="1"/>
  <c r="C14170" i="1"/>
  <c r="A14171" i="1"/>
  <c r="C14171" i="1"/>
  <c r="A14172" i="1"/>
  <c r="C14172" i="1"/>
  <c r="A14173" i="1"/>
  <c r="C14173" i="1"/>
  <c r="A14174" i="1"/>
  <c r="C14174" i="1"/>
  <c r="A14175" i="1"/>
  <c r="C14175" i="1"/>
  <c r="A14176" i="1"/>
  <c r="C14176" i="1"/>
  <c r="A14177" i="1"/>
  <c r="C14177" i="1"/>
  <c r="A14178" i="1"/>
  <c r="C14178" i="1"/>
  <c r="A14179" i="1"/>
  <c r="C14179" i="1"/>
  <c r="A14180" i="1"/>
  <c r="C14180" i="1"/>
  <c r="A14181" i="1"/>
  <c r="C14181" i="1"/>
  <c r="A14182" i="1"/>
  <c r="C14182" i="1"/>
  <c r="A14183" i="1"/>
  <c r="C14183" i="1"/>
  <c r="A14184" i="1"/>
  <c r="C14184" i="1"/>
  <c r="A14185" i="1"/>
  <c r="C14185" i="1"/>
  <c r="A14186" i="1"/>
  <c r="C14186" i="1"/>
  <c r="A14187" i="1"/>
  <c r="C14187" i="1"/>
  <c r="A14188" i="1"/>
  <c r="C14188" i="1"/>
  <c r="A14189" i="1"/>
  <c r="C14189" i="1"/>
  <c r="A14190" i="1"/>
  <c r="C14190" i="1"/>
  <c r="A14191" i="1"/>
  <c r="C14191" i="1"/>
  <c r="A14192" i="1"/>
  <c r="C14192" i="1"/>
  <c r="A14193" i="1"/>
  <c r="C14193" i="1"/>
  <c r="A14194" i="1"/>
  <c r="C14194" i="1"/>
  <c r="A14195" i="1"/>
  <c r="C14195" i="1"/>
  <c r="A14196" i="1"/>
  <c r="C14196" i="1"/>
  <c r="A14197" i="1"/>
  <c r="C14197" i="1"/>
  <c r="A14198" i="1"/>
  <c r="C14198" i="1"/>
  <c r="A14199" i="1"/>
  <c r="C14199" i="1"/>
  <c r="A14200" i="1"/>
  <c r="C14200" i="1"/>
  <c r="A14201" i="1"/>
  <c r="C14201" i="1"/>
  <c r="A14202" i="1"/>
  <c r="C14202" i="1"/>
  <c r="A14203" i="1"/>
  <c r="C14203" i="1"/>
  <c r="A14204" i="1"/>
  <c r="C14204" i="1"/>
  <c r="A14205" i="1"/>
  <c r="C14205" i="1"/>
  <c r="A14206" i="1"/>
  <c r="C14206" i="1"/>
  <c r="A14207" i="1"/>
  <c r="C14207" i="1"/>
  <c r="A14208" i="1"/>
  <c r="C14208" i="1"/>
  <c r="A14209" i="1"/>
  <c r="C14209" i="1"/>
  <c r="A14210" i="1"/>
  <c r="C14210" i="1"/>
  <c r="A14211" i="1"/>
  <c r="C14211" i="1"/>
  <c r="A14212" i="1"/>
  <c r="C14212" i="1"/>
  <c r="A14213" i="1"/>
  <c r="C14213" i="1"/>
  <c r="A14214" i="1"/>
  <c r="C14214" i="1"/>
  <c r="A14215" i="1"/>
  <c r="C14215" i="1"/>
  <c r="A14216" i="1"/>
  <c r="C14216" i="1"/>
  <c r="A14217" i="1"/>
  <c r="C14217" i="1"/>
  <c r="A14218" i="1"/>
  <c r="C14218" i="1"/>
  <c r="A14219" i="1"/>
  <c r="C14219" i="1"/>
  <c r="A14220" i="1"/>
  <c r="C14220" i="1"/>
  <c r="A14221" i="1"/>
  <c r="C14221" i="1"/>
  <c r="A14222" i="1"/>
  <c r="C14222" i="1"/>
  <c r="A14223" i="1"/>
  <c r="C14223" i="1"/>
  <c r="A14224" i="1"/>
  <c r="C14224" i="1"/>
  <c r="A14225" i="1"/>
  <c r="C14225" i="1"/>
  <c r="A14226" i="1"/>
  <c r="C14226" i="1"/>
  <c r="A14227" i="1"/>
  <c r="C14227" i="1"/>
  <c r="A14228" i="1"/>
  <c r="C14228" i="1"/>
  <c r="A14229" i="1"/>
  <c r="C14229" i="1"/>
  <c r="A14230" i="1"/>
  <c r="C14230" i="1"/>
  <c r="A14231" i="1"/>
  <c r="C14231" i="1"/>
  <c r="A14232" i="1"/>
  <c r="C14232" i="1"/>
  <c r="A14233" i="1"/>
  <c r="C14233" i="1"/>
  <c r="A14234" i="1"/>
  <c r="C14234" i="1"/>
  <c r="A14235" i="1"/>
  <c r="C14235" i="1"/>
  <c r="A14236" i="1"/>
  <c r="C14236" i="1"/>
  <c r="A14237" i="1"/>
  <c r="C14237" i="1"/>
  <c r="A14238" i="1"/>
  <c r="C14238" i="1"/>
  <c r="A14239" i="1"/>
  <c r="C14239" i="1"/>
  <c r="A14240" i="1"/>
  <c r="C14240" i="1"/>
  <c r="A14241" i="1"/>
  <c r="C14241" i="1"/>
  <c r="A14242" i="1"/>
  <c r="C14242" i="1"/>
  <c r="A14243" i="1"/>
  <c r="C14243" i="1"/>
  <c r="A14244" i="1"/>
  <c r="C14244" i="1"/>
  <c r="A14245" i="1"/>
  <c r="C14245" i="1"/>
  <c r="A14246" i="1"/>
  <c r="C14246" i="1"/>
  <c r="A14247" i="1"/>
  <c r="C14247" i="1"/>
  <c r="A14248" i="1"/>
  <c r="C14248" i="1"/>
  <c r="A14249" i="1"/>
  <c r="C14249" i="1"/>
  <c r="A14250" i="1"/>
  <c r="C14250" i="1"/>
  <c r="A14251" i="1"/>
  <c r="C14251" i="1"/>
  <c r="A14252" i="1"/>
  <c r="C14252" i="1"/>
  <c r="A14253" i="1"/>
  <c r="C14253" i="1"/>
  <c r="A14254" i="1"/>
  <c r="C14254" i="1"/>
  <c r="A14255" i="1"/>
  <c r="C14255" i="1"/>
  <c r="A14256" i="1"/>
  <c r="C14256" i="1"/>
  <c r="A14257" i="1"/>
  <c r="C14257" i="1"/>
  <c r="A14258" i="1"/>
  <c r="C14258" i="1"/>
  <c r="A14259" i="1"/>
  <c r="C14259" i="1"/>
  <c r="A14260" i="1"/>
  <c r="C14260" i="1"/>
  <c r="A14261" i="1"/>
  <c r="C14261" i="1"/>
  <c r="A14262" i="1"/>
  <c r="C14262" i="1"/>
  <c r="A14263" i="1"/>
  <c r="C14263" i="1"/>
  <c r="A14264" i="1"/>
  <c r="C14264" i="1"/>
  <c r="A14265" i="1"/>
  <c r="C14265" i="1"/>
  <c r="A14266" i="1"/>
  <c r="C14266" i="1"/>
  <c r="A14267" i="1"/>
  <c r="C14267" i="1"/>
  <c r="A14268" i="1"/>
  <c r="C14268" i="1"/>
  <c r="A14269" i="1"/>
  <c r="C14269" i="1"/>
  <c r="A14270" i="1"/>
  <c r="C14270" i="1"/>
  <c r="A14271" i="1"/>
  <c r="C14271" i="1"/>
  <c r="A14272" i="1"/>
  <c r="C14272" i="1"/>
  <c r="A14273" i="1"/>
  <c r="C14273" i="1"/>
  <c r="A14274" i="1"/>
  <c r="C14274" i="1"/>
  <c r="A14275" i="1"/>
  <c r="C14275" i="1"/>
  <c r="A14276" i="1"/>
  <c r="C14276" i="1"/>
  <c r="A14277" i="1"/>
  <c r="C14277" i="1"/>
  <c r="A14278" i="1"/>
  <c r="C14278" i="1"/>
  <c r="A14279" i="1"/>
  <c r="C14279" i="1"/>
  <c r="A14280" i="1"/>
  <c r="C14280" i="1"/>
  <c r="A14281" i="1"/>
  <c r="C14281" i="1"/>
  <c r="A14282" i="1"/>
  <c r="C14282" i="1"/>
  <c r="A14283" i="1"/>
  <c r="C14283" i="1"/>
  <c r="A14284" i="1"/>
  <c r="C14284" i="1"/>
  <c r="A14285" i="1"/>
  <c r="C14285" i="1"/>
  <c r="A14286" i="1"/>
  <c r="C14286" i="1"/>
  <c r="A14287" i="1"/>
  <c r="C14287" i="1"/>
  <c r="A14288" i="1"/>
  <c r="C14288" i="1"/>
  <c r="A14289" i="1"/>
  <c r="C14289" i="1"/>
  <c r="A14290" i="1"/>
  <c r="C14290" i="1"/>
  <c r="A14291" i="1"/>
  <c r="C14291" i="1"/>
  <c r="A14292" i="1"/>
  <c r="C14292" i="1"/>
  <c r="A14293" i="1"/>
  <c r="C14293" i="1"/>
  <c r="A14294" i="1"/>
  <c r="C14294" i="1"/>
  <c r="A14295" i="1"/>
  <c r="C14295" i="1"/>
  <c r="A14296" i="1"/>
  <c r="C14296" i="1"/>
  <c r="A14297" i="1"/>
  <c r="C14297" i="1"/>
  <c r="A14298" i="1"/>
  <c r="C14298" i="1"/>
  <c r="A14299" i="1"/>
  <c r="C14299" i="1"/>
  <c r="A14300" i="1"/>
  <c r="C14300" i="1"/>
  <c r="A14301" i="1"/>
  <c r="C14301" i="1"/>
  <c r="A14302" i="1"/>
  <c r="C14302" i="1"/>
  <c r="A14303" i="1"/>
  <c r="C14303" i="1"/>
  <c r="A14304" i="1"/>
  <c r="C14304" i="1"/>
  <c r="A14305" i="1"/>
  <c r="C14305" i="1"/>
  <c r="A14306" i="1"/>
  <c r="C14306" i="1"/>
  <c r="A14307" i="1"/>
  <c r="C14307" i="1"/>
  <c r="A14308" i="1"/>
  <c r="C14308" i="1"/>
  <c r="A14309" i="1"/>
  <c r="C14309" i="1"/>
  <c r="A14310" i="1"/>
  <c r="C14310" i="1"/>
  <c r="A14311" i="1"/>
  <c r="C14311" i="1"/>
  <c r="A14312" i="1"/>
  <c r="C14312" i="1"/>
  <c r="A14313" i="1"/>
  <c r="C14313" i="1"/>
  <c r="A14314" i="1"/>
  <c r="C14314" i="1"/>
  <c r="A14315" i="1"/>
  <c r="C14315" i="1"/>
  <c r="A14316" i="1"/>
  <c r="C14316" i="1"/>
  <c r="A14317" i="1"/>
  <c r="C14317" i="1"/>
  <c r="A14318" i="1"/>
  <c r="C14318" i="1"/>
  <c r="A14319" i="1"/>
  <c r="C14319" i="1"/>
  <c r="A14320" i="1"/>
  <c r="C14320" i="1"/>
  <c r="A14321" i="1"/>
  <c r="C14321" i="1"/>
  <c r="A14322" i="1"/>
  <c r="C14322" i="1"/>
  <c r="A14323" i="1"/>
  <c r="C14323" i="1"/>
  <c r="A14324" i="1"/>
  <c r="C14324" i="1"/>
  <c r="A14325" i="1"/>
  <c r="C14325" i="1"/>
  <c r="A14326" i="1"/>
  <c r="C14326" i="1"/>
  <c r="A14327" i="1"/>
  <c r="C14327" i="1"/>
  <c r="A14328" i="1"/>
  <c r="C14328" i="1"/>
  <c r="A14329" i="1"/>
  <c r="C14329" i="1"/>
  <c r="A14330" i="1"/>
  <c r="C14330" i="1"/>
  <c r="A14331" i="1"/>
  <c r="C14331" i="1"/>
  <c r="A14332" i="1"/>
  <c r="C14332" i="1"/>
  <c r="A14333" i="1"/>
  <c r="C14333" i="1"/>
  <c r="A14334" i="1"/>
  <c r="C14334" i="1"/>
  <c r="A14335" i="1"/>
  <c r="C14335" i="1"/>
  <c r="A14336" i="1"/>
  <c r="C14336" i="1"/>
  <c r="A14337" i="1"/>
  <c r="C14337" i="1"/>
  <c r="A14338" i="1"/>
  <c r="C14338" i="1"/>
  <c r="A14339" i="1"/>
  <c r="C14339" i="1"/>
  <c r="A14340" i="1"/>
  <c r="C14340" i="1"/>
  <c r="A14341" i="1"/>
  <c r="C14341" i="1"/>
  <c r="A14342" i="1"/>
  <c r="C14342" i="1"/>
  <c r="A14343" i="1"/>
  <c r="C14343" i="1"/>
  <c r="A14344" i="1"/>
  <c r="C14344" i="1"/>
  <c r="A14345" i="1"/>
  <c r="C14345" i="1"/>
  <c r="A14346" i="1"/>
  <c r="C14346" i="1"/>
  <c r="A14347" i="1"/>
  <c r="C14347" i="1"/>
  <c r="A14348" i="1"/>
  <c r="C14348" i="1"/>
  <c r="A14349" i="1"/>
  <c r="C14349" i="1"/>
  <c r="A14350" i="1"/>
  <c r="C14350" i="1"/>
  <c r="A14351" i="1"/>
  <c r="C14351" i="1"/>
  <c r="A14352" i="1"/>
  <c r="C14352" i="1"/>
  <c r="A14353" i="1"/>
  <c r="C14353" i="1"/>
  <c r="A14354" i="1"/>
  <c r="C14354" i="1"/>
  <c r="A14355" i="1"/>
  <c r="C14355" i="1"/>
  <c r="A14356" i="1"/>
  <c r="C14356" i="1"/>
  <c r="A14357" i="1"/>
  <c r="C14357" i="1"/>
  <c r="A14358" i="1"/>
  <c r="C14358" i="1"/>
  <c r="A14359" i="1"/>
  <c r="C14359" i="1"/>
  <c r="A14360" i="1"/>
  <c r="C14360" i="1"/>
  <c r="A14361" i="1"/>
  <c r="C14361" i="1"/>
  <c r="A14362" i="1"/>
  <c r="C14362" i="1"/>
  <c r="A14363" i="1"/>
  <c r="C14363" i="1"/>
  <c r="A14364" i="1"/>
  <c r="C14364" i="1"/>
  <c r="A14365" i="1"/>
  <c r="C14365" i="1"/>
  <c r="A14366" i="1"/>
  <c r="C14366" i="1"/>
  <c r="A14367" i="1"/>
  <c r="C14367" i="1"/>
  <c r="A14368" i="1"/>
  <c r="C14368" i="1"/>
  <c r="A14369" i="1"/>
  <c r="C14369" i="1"/>
  <c r="A14370" i="1"/>
  <c r="C14370" i="1"/>
  <c r="A14371" i="1"/>
  <c r="C14371" i="1"/>
  <c r="A14372" i="1"/>
  <c r="C14372" i="1"/>
  <c r="A14373" i="1"/>
  <c r="C14373" i="1"/>
  <c r="A14374" i="1"/>
  <c r="C14374" i="1"/>
  <c r="A14375" i="1"/>
  <c r="C14375" i="1"/>
  <c r="A14376" i="1"/>
  <c r="C14376" i="1"/>
  <c r="A14377" i="1"/>
  <c r="C14377" i="1"/>
  <c r="A14378" i="1"/>
  <c r="C14378" i="1"/>
  <c r="A14379" i="1"/>
  <c r="C14379" i="1"/>
  <c r="A14380" i="1"/>
  <c r="C14380" i="1"/>
  <c r="A14381" i="1"/>
  <c r="C14381" i="1"/>
  <c r="A14382" i="1"/>
  <c r="C14382" i="1"/>
  <c r="A14383" i="1"/>
  <c r="C14383" i="1"/>
  <c r="A14384" i="1"/>
  <c r="C14384" i="1"/>
  <c r="A14385" i="1"/>
  <c r="C14385" i="1"/>
  <c r="A14386" i="1"/>
  <c r="C14386" i="1"/>
  <c r="A14387" i="1"/>
  <c r="C14387" i="1"/>
  <c r="A14388" i="1"/>
  <c r="C14388" i="1"/>
  <c r="A14389" i="1"/>
  <c r="C14389" i="1"/>
  <c r="A14390" i="1"/>
  <c r="C14390" i="1"/>
  <c r="A14391" i="1"/>
  <c r="C14391" i="1"/>
  <c r="A14392" i="1"/>
  <c r="C14392" i="1"/>
  <c r="A14393" i="1"/>
  <c r="C14393" i="1"/>
  <c r="A14394" i="1"/>
  <c r="C14394" i="1"/>
  <c r="A14395" i="1"/>
  <c r="C14395" i="1"/>
  <c r="A14396" i="1"/>
  <c r="C14396" i="1"/>
  <c r="A14397" i="1"/>
  <c r="C14397" i="1"/>
  <c r="A14398" i="1"/>
  <c r="C14398" i="1"/>
  <c r="A14399" i="1"/>
  <c r="C14399" i="1"/>
  <c r="A14400" i="1"/>
  <c r="C14400" i="1"/>
  <c r="A14401" i="1"/>
  <c r="C14401" i="1"/>
  <c r="A14402" i="1"/>
  <c r="C14402" i="1"/>
  <c r="A14403" i="1"/>
  <c r="C14403" i="1"/>
  <c r="A14404" i="1"/>
  <c r="C14404" i="1"/>
  <c r="A14405" i="1"/>
  <c r="C14405" i="1"/>
  <c r="A14406" i="1"/>
  <c r="C14406" i="1"/>
  <c r="A14407" i="1"/>
  <c r="C14407" i="1"/>
  <c r="A14408" i="1"/>
  <c r="C14408" i="1"/>
  <c r="A14409" i="1"/>
  <c r="C14409" i="1"/>
  <c r="A14410" i="1"/>
  <c r="C14410" i="1"/>
  <c r="A14411" i="1"/>
  <c r="C14411" i="1"/>
  <c r="A14412" i="1"/>
  <c r="C14412" i="1"/>
  <c r="A14413" i="1"/>
  <c r="C14413" i="1"/>
  <c r="A14414" i="1"/>
  <c r="C14414" i="1"/>
  <c r="A14415" i="1"/>
  <c r="C14415" i="1"/>
  <c r="A14416" i="1"/>
  <c r="C14416" i="1"/>
  <c r="A14417" i="1"/>
  <c r="C14417" i="1"/>
  <c r="A14418" i="1"/>
  <c r="C14418" i="1"/>
  <c r="A14419" i="1"/>
  <c r="C14419" i="1"/>
  <c r="A14420" i="1"/>
  <c r="C14420" i="1"/>
  <c r="A14421" i="1"/>
  <c r="C14421" i="1"/>
  <c r="A14422" i="1"/>
  <c r="C14422" i="1"/>
  <c r="A14423" i="1"/>
  <c r="C14423" i="1"/>
  <c r="A14424" i="1"/>
  <c r="C14424" i="1"/>
  <c r="A14425" i="1"/>
  <c r="C14425" i="1"/>
  <c r="A14426" i="1"/>
  <c r="C14426" i="1"/>
  <c r="A14427" i="1"/>
  <c r="C14427" i="1"/>
  <c r="A14428" i="1"/>
  <c r="C14428" i="1"/>
  <c r="A14429" i="1"/>
  <c r="C14429" i="1"/>
  <c r="A14430" i="1"/>
  <c r="C14430" i="1"/>
  <c r="A14431" i="1"/>
  <c r="C14431" i="1"/>
  <c r="A14432" i="1"/>
  <c r="C14432" i="1"/>
  <c r="A14433" i="1"/>
  <c r="C14433" i="1"/>
  <c r="A14434" i="1"/>
  <c r="C14434" i="1"/>
  <c r="A14435" i="1"/>
  <c r="C14435" i="1"/>
  <c r="A14436" i="1"/>
  <c r="C14436" i="1"/>
  <c r="A14437" i="1"/>
  <c r="C14437" i="1"/>
  <c r="A14438" i="1"/>
  <c r="C14438" i="1"/>
  <c r="A14439" i="1"/>
  <c r="C14439" i="1"/>
  <c r="A14440" i="1"/>
  <c r="C14440" i="1"/>
  <c r="A14441" i="1"/>
  <c r="C14441" i="1"/>
  <c r="A14442" i="1"/>
  <c r="C14442" i="1"/>
  <c r="A14443" i="1"/>
  <c r="C14443" i="1"/>
  <c r="A14444" i="1"/>
  <c r="C14444" i="1"/>
  <c r="A14445" i="1"/>
  <c r="C14445" i="1"/>
  <c r="A14446" i="1"/>
  <c r="C14446" i="1"/>
  <c r="A14447" i="1"/>
  <c r="C14447" i="1"/>
  <c r="A14448" i="1"/>
  <c r="C14448" i="1"/>
  <c r="A14449" i="1"/>
  <c r="C14449" i="1"/>
  <c r="A14450" i="1"/>
  <c r="C14450" i="1"/>
  <c r="A14451" i="1"/>
  <c r="C14451" i="1"/>
  <c r="A14452" i="1"/>
  <c r="C14452" i="1"/>
  <c r="A14453" i="1"/>
  <c r="C14453" i="1"/>
  <c r="A14454" i="1"/>
  <c r="C14454" i="1"/>
  <c r="A14455" i="1"/>
  <c r="C14455" i="1"/>
  <c r="A14456" i="1"/>
  <c r="C14456" i="1"/>
  <c r="A14457" i="1"/>
  <c r="C14457" i="1"/>
  <c r="A14458" i="1"/>
  <c r="C14458" i="1"/>
  <c r="A14459" i="1"/>
  <c r="C14459" i="1"/>
  <c r="A14460" i="1"/>
  <c r="C14460" i="1"/>
  <c r="A14461" i="1"/>
  <c r="C14461" i="1"/>
  <c r="A14462" i="1"/>
  <c r="C14462" i="1"/>
  <c r="A14463" i="1"/>
  <c r="C14463" i="1"/>
  <c r="A14464" i="1"/>
  <c r="C14464" i="1"/>
  <c r="A14465" i="1"/>
  <c r="C14465" i="1"/>
  <c r="A14466" i="1"/>
  <c r="C14466" i="1"/>
  <c r="A14467" i="1"/>
  <c r="C14467" i="1"/>
  <c r="A14468" i="1"/>
  <c r="C14468" i="1"/>
  <c r="A14469" i="1"/>
  <c r="C14469" i="1"/>
  <c r="A14470" i="1"/>
  <c r="C14470" i="1"/>
  <c r="A14471" i="1"/>
  <c r="C14471" i="1"/>
  <c r="A14472" i="1"/>
  <c r="C14472" i="1"/>
  <c r="A14473" i="1"/>
  <c r="C14473" i="1"/>
  <c r="A14474" i="1"/>
  <c r="C14474" i="1"/>
  <c r="A14475" i="1"/>
  <c r="C14475" i="1"/>
  <c r="A14476" i="1"/>
  <c r="C14476" i="1"/>
  <c r="A14477" i="1"/>
  <c r="C14477" i="1"/>
  <c r="A14478" i="1"/>
  <c r="C14478" i="1"/>
  <c r="A14479" i="1"/>
  <c r="C14479" i="1"/>
  <c r="A14480" i="1"/>
  <c r="C14480" i="1"/>
  <c r="A14481" i="1"/>
  <c r="C14481" i="1"/>
  <c r="A14482" i="1"/>
  <c r="C14482" i="1"/>
  <c r="A14483" i="1"/>
  <c r="C14483" i="1"/>
  <c r="A14484" i="1"/>
  <c r="C14484" i="1"/>
  <c r="A14485" i="1"/>
  <c r="C14485" i="1"/>
  <c r="A14486" i="1"/>
  <c r="C14486" i="1"/>
  <c r="A14487" i="1"/>
  <c r="C14487" i="1"/>
  <c r="A14488" i="1"/>
  <c r="C14488" i="1"/>
  <c r="A14489" i="1"/>
  <c r="C14489" i="1"/>
  <c r="A14490" i="1"/>
  <c r="C14490" i="1"/>
  <c r="A14491" i="1"/>
  <c r="C14491" i="1"/>
  <c r="A14492" i="1"/>
  <c r="C14492" i="1"/>
  <c r="A14493" i="1"/>
  <c r="C14493" i="1"/>
  <c r="A14494" i="1"/>
  <c r="C14494" i="1"/>
  <c r="A14495" i="1"/>
  <c r="C14495" i="1"/>
  <c r="A14496" i="1"/>
  <c r="C14496" i="1"/>
  <c r="A14497" i="1"/>
  <c r="C14497" i="1"/>
  <c r="A14498" i="1"/>
  <c r="C14498" i="1"/>
  <c r="A14499" i="1"/>
  <c r="C14499" i="1"/>
  <c r="A14500" i="1"/>
  <c r="C14500" i="1"/>
  <c r="A14501" i="1"/>
  <c r="C14501" i="1"/>
  <c r="A14502" i="1"/>
  <c r="C14502" i="1"/>
  <c r="A14503" i="1"/>
  <c r="C14503" i="1"/>
  <c r="A14504" i="1"/>
  <c r="C14504" i="1"/>
  <c r="A14505" i="1"/>
  <c r="C14505" i="1"/>
  <c r="A14506" i="1"/>
  <c r="C14506" i="1"/>
  <c r="A14507" i="1"/>
  <c r="C14507" i="1"/>
  <c r="A14508" i="1"/>
  <c r="C14508" i="1"/>
  <c r="A14509" i="1"/>
  <c r="C14509" i="1"/>
  <c r="A14510" i="1"/>
  <c r="C14510" i="1"/>
  <c r="A14511" i="1"/>
  <c r="C14511" i="1"/>
  <c r="A14512" i="1"/>
  <c r="C14512" i="1"/>
  <c r="A14513" i="1"/>
  <c r="C14513" i="1"/>
  <c r="A14514" i="1"/>
  <c r="C14514" i="1"/>
  <c r="A14515" i="1"/>
  <c r="C14515" i="1"/>
  <c r="A14516" i="1"/>
  <c r="C14516" i="1"/>
  <c r="A14517" i="1"/>
  <c r="C14517" i="1"/>
  <c r="A14518" i="1"/>
  <c r="C14518" i="1"/>
  <c r="A14519" i="1"/>
  <c r="C14519" i="1"/>
  <c r="A14520" i="1"/>
  <c r="C14520" i="1"/>
  <c r="A14521" i="1"/>
  <c r="C14521" i="1"/>
  <c r="A14522" i="1"/>
  <c r="C14522" i="1"/>
  <c r="A14523" i="1"/>
  <c r="C14523" i="1"/>
  <c r="A14524" i="1"/>
  <c r="C14524" i="1"/>
  <c r="A14525" i="1"/>
  <c r="C14525" i="1"/>
  <c r="A14526" i="1"/>
  <c r="C14526" i="1"/>
  <c r="A14527" i="1"/>
  <c r="C14527" i="1"/>
  <c r="A14528" i="1"/>
  <c r="C14528" i="1"/>
  <c r="A14529" i="1"/>
  <c r="C14529" i="1"/>
  <c r="A14530" i="1"/>
  <c r="C14530" i="1"/>
  <c r="A14531" i="1"/>
  <c r="C14531" i="1"/>
  <c r="A14532" i="1"/>
  <c r="C14532" i="1"/>
  <c r="A14533" i="1"/>
  <c r="C14533" i="1"/>
  <c r="A14534" i="1"/>
  <c r="C14534" i="1"/>
  <c r="A14535" i="1"/>
  <c r="C14535" i="1"/>
  <c r="A14536" i="1"/>
  <c r="C14536" i="1"/>
  <c r="A14537" i="1"/>
  <c r="C14537" i="1"/>
  <c r="A14538" i="1"/>
  <c r="C14538" i="1"/>
  <c r="A14539" i="1"/>
  <c r="C14539" i="1"/>
  <c r="A14540" i="1"/>
  <c r="C14540" i="1"/>
  <c r="A14541" i="1"/>
  <c r="C14541" i="1"/>
  <c r="A14542" i="1"/>
  <c r="C14542" i="1"/>
  <c r="A14543" i="1"/>
  <c r="C14543" i="1"/>
  <c r="A14544" i="1"/>
  <c r="C14544" i="1"/>
  <c r="A14545" i="1"/>
  <c r="C14545" i="1"/>
  <c r="A14546" i="1"/>
  <c r="C14546" i="1"/>
  <c r="A14547" i="1"/>
  <c r="C14547" i="1"/>
  <c r="A14548" i="1"/>
  <c r="C14548" i="1"/>
  <c r="A14549" i="1"/>
  <c r="C14549" i="1"/>
  <c r="A14550" i="1"/>
  <c r="C14550" i="1"/>
  <c r="A14551" i="1"/>
  <c r="C14551" i="1"/>
  <c r="A14552" i="1"/>
  <c r="C14552" i="1"/>
  <c r="A14553" i="1"/>
  <c r="C14553" i="1"/>
  <c r="A14554" i="1"/>
  <c r="C14554" i="1"/>
  <c r="A14555" i="1"/>
  <c r="C14555" i="1"/>
  <c r="A14556" i="1"/>
  <c r="C14556" i="1"/>
  <c r="A14557" i="1"/>
  <c r="C14557" i="1"/>
  <c r="A14558" i="1"/>
  <c r="C14558" i="1"/>
  <c r="A14559" i="1"/>
  <c r="C14559" i="1"/>
  <c r="A14560" i="1"/>
  <c r="C14560" i="1"/>
  <c r="A14561" i="1"/>
  <c r="C14561" i="1"/>
  <c r="A14562" i="1"/>
  <c r="C14562" i="1"/>
  <c r="A14563" i="1"/>
  <c r="C14563" i="1"/>
  <c r="A14564" i="1"/>
  <c r="C14564" i="1"/>
  <c r="A14565" i="1"/>
  <c r="C14565" i="1"/>
  <c r="A14566" i="1"/>
  <c r="C14566" i="1"/>
  <c r="A14567" i="1"/>
  <c r="C14567" i="1"/>
  <c r="A14568" i="1"/>
  <c r="C14568" i="1"/>
  <c r="A14569" i="1"/>
  <c r="C14569" i="1"/>
  <c r="A14570" i="1"/>
  <c r="C14570" i="1"/>
  <c r="A14571" i="1"/>
  <c r="C14571" i="1"/>
  <c r="A14572" i="1"/>
  <c r="C14572" i="1"/>
  <c r="A14573" i="1"/>
  <c r="C14573" i="1"/>
  <c r="A14574" i="1"/>
  <c r="C14574" i="1"/>
  <c r="A14575" i="1"/>
  <c r="C14575" i="1"/>
  <c r="A14576" i="1"/>
  <c r="C14576" i="1"/>
  <c r="A14577" i="1"/>
  <c r="C14577" i="1"/>
  <c r="A14578" i="1"/>
  <c r="C14578" i="1"/>
  <c r="A14579" i="1"/>
  <c r="C14579" i="1"/>
  <c r="A14580" i="1"/>
  <c r="C14580" i="1"/>
  <c r="A14581" i="1"/>
  <c r="C14581" i="1"/>
  <c r="A14582" i="1"/>
  <c r="C14582" i="1"/>
  <c r="A14583" i="1"/>
  <c r="C14583" i="1"/>
  <c r="A14584" i="1"/>
  <c r="C14584" i="1"/>
  <c r="A14585" i="1"/>
  <c r="C14585" i="1"/>
  <c r="A14586" i="1"/>
  <c r="C14586" i="1"/>
  <c r="A14587" i="1"/>
  <c r="C14587" i="1"/>
  <c r="A14588" i="1"/>
  <c r="C14588" i="1"/>
  <c r="A14589" i="1"/>
  <c r="C14589" i="1"/>
  <c r="A14590" i="1"/>
  <c r="C14590" i="1"/>
  <c r="A14591" i="1"/>
  <c r="C14591" i="1"/>
  <c r="A14592" i="1"/>
  <c r="C14592" i="1"/>
  <c r="A14593" i="1"/>
  <c r="C14593" i="1"/>
  <c r="A14594" i="1"/>
  <c r="C14594" i="1"/>
  <c r="A14595" i="1"/>
  <c r="C14595" i="1"/>
  <c r="A14596" i="1"/>
  <c r="C14596" i="1"/>
  <c r="A14597" i="1"/>
  <c r="C14597" i="1"/>
  <c r="A14598" i="1"/>
  <c r="C14598" i="1"/>
  <c r="A14599" i="1"/>
  <c r="C14599" i="1"/>
  <c r="A14600" i="1"/>
  <c r="C14600" i="1"/>
  <c r="A14601" i="1"/>
  <c r="C14601" i="1"/>
  <c r="A14602" i="1"/>
  <c r="C14602" i="1"/>
  <c r="A14603" i="1"/>
  <c r="C14603" i="1"/>
  <c r="A14604" i="1"/>
  <c r="C14604" i="1"/>
  <c r="A14605" i="1"/>
  <c r="C14605" i="1"/>
  <c r="A14606" i="1"/>
  <c r="C14606" i="1"/>
  <c r="A14607" i="1"/>
  <c r="C14607" i="1"/>
  <c r="A14608" i="1"/>
  <c r="C14608" i="1"/>
  <c r="A14609" i="1"/>
  <c r="C14609" i="1"/>
  <c r="A14610" i="1"/>
  <c r="C14610" i="1"/>
  <c r="A14611" i="1"/>
  <c r="C14611" i="1"/>
  <c r="A14612" i="1"/>
  <c r="C14612" i="1"/>
  <c r="A14613" i="1"/>
  <c r="C14613" i="1"/>
  <c r="A14614" i="1"/>
  <c r="C14614" i="1"/>
  <c r="A14615" i="1"/>
  <c r="C14615" i="1"/>
  <c r="A14616" i="1"/>
  <c r="C14616" i="1"/>
  <c r="A14617" i="1"/>
  <c r="C14617" i="1"/>
  <c r="A14618" i="1"/>
  <c r="C14618" i="1"/>
  <c r="A14619" i="1"/>
  <c r="C14619" i="1"/>
  <c r="A14620" i="1"/>
  <c r="C14620" i="1"/>
  <c r="A14621" i="1"/>
  <c r="C14621" i="1"/>
  <c r="A14622" i="1"/>
  <c r="C14622" i="1"/>
  <c r="A14623" i="1"/>
  <c r="C14623" i="1"/>
  <c r="A14624" i="1"/>
  <c r="C14624" i="1"/>
  <c r="A14625" i="1"/>
  <c r="C14625" i="1"/>
  <c r="A14626" i="1"/>
  <c r="C14626" i="1"/>
  <c r="A14627" i="1"/>
  <c r="C14627" i="1"/>
  <c r="A14628" i="1"/>
  <c r="C14628" i="1"/>
  <c r="A14629" i="1"/>
  <c r="C14629" i="1"/>
  <c r="A14630" i="1"/>
  <c r="C14630" i="1"/>
  <c r="A14631" i="1"/>
  <c r="C14631" i="1"/>
  <c r="A14632" i="1"/>
  <c r="C14632" i="1"/>
  <c r="A14633" i="1"/>
  <c r="C14633" i="1"/>
  <c r="A14634" i="1"/>
  <c r="C14634" i="1"/>
  <c r="A14635" i="1"/>
  <c r="C14635" i="1"/>
  <c r="A14636" i="1"/>
  <c r="C14636" i="1"/>
  <c r="A14637" i="1"/>
  <c r="C14637" i="1"/>
  <c r="A14638" i="1"/>
  <c r="C14638" i="1"/>
  <c r="A14639" i="1"/>
  <c r="C14639" i="1"/>
  <c r="A14640" i="1"/>
  <c r="C14640" i="1"/>
  <c r="A14641" i="1"/>
  <c r="C14641" i="1"/>
  <c r="A14642" i="1"/>
  <c r="C14642" i="1"/>
  <c r="A14643" i="1"/>
  <c r="C14643" i="1"/>
  <c r="A14644" i="1"/>
  <c r="C14644" i="1"/>
  <c r="A14645" i="1"/>
  <c r="C14645" i="1"/>
  <c r="A14646" i="1"/>
  <c r="C14646" i="1"/>
  <c r="A14647" i="1"/>
  <c r="C14647" i="1"/>
  <c r="A14648" i="1"/>
  <c r="C14648" i="1"/>
  <c r="A14649" i="1"/>
  <c r="C14649" i="1"/>
  <c r="A14650" i="1"/>
  <c r="C14650" i="1"/>
  <c r="A14651" i="1"/>
  <c r="C14651" i="1"/>
  <c r="A14652" i="1"/>
  <c r="C14652" i="1"/>
  <c r="A14653" i="1"/>
  <c r="C14653" i="1"/>
  <c r="A14654" i="1"/>
  <c r="C14654" i="1"/>
  <c r="A14655" i="1"/>
  <c r="C14655" i="1"/>
  <c r="A14656" i="1"/>
  <c r="C14656" i="1"/>
  <c r="A14657" i="1"/>
  <c r="C14657" i="1"/>
  <c r="A14658" i="1"/>
  <c r="C14658" i="1"/>
  <c r="A14659" i="1"/>
  <c r="C14659" i="1"/>
  <c r="A14660" i="1"/>
  <c r="C14660" i="1"/>
  <c r="A14661" i="1"/>
  <c r="C14661" i="1"/>
  <c r="A14662" i="1"/>
  <c r="C14662" i="1"/>
  <c r="A14663" i="1"/>
  <c r="C14663" i="1"/>
  <c r="A14664" i="1"/>
  <c r="C14664" i="1"/>
  <c r="A14665" i="1"/>
  <c r="C14665" i="1"/>
  <c r="A14666" i="1"/>
  <c r="C14666" i="1"/>
  <c r="A14667" i="1"/>
  <c r="C14667" i="1"/>
  <c r="A14668" i="1"/>
  <c r="C14668" i="1"/>
  <c r="A14669" i="1"/>
  <c r="C14669" i="1"/>
  <c r="A14670" i="1"/>
  <c r="C14670" i="1"/>
  <c r="A14671" i="1"/>
  <c r="C14671" i="1"/>
  <c r="A14672" i="1"/>
  <c r="C14672" i="1"/>
  <c r="A14673" i="1"/>
  <c r="C14673" i="1"/>
  <c r="A14674" i="1"/>
  <c r="C14674" i="1"/>
  <c r="A14675" i="1"/>
  <c r="C14675" i="1"/>
  <c r="A14676" i="1"/>
  <c r="C14676" i="1"/>
  <c r="A14677" i="1"/>
  <c r="C14677" i="1"/>
  <c r="A14678" i="1"/>
  <c r="C14678" i="1"/>
  <c r="A14679" i="1"/>
  <c r="C14679" i="1"/>
  <c r="A14680" i="1"/>
  <c r="C14680" i="1"/>
  <c r="A14681" i="1"/>
  <c r="C14681" i="1"/>
  <c r="A14682" i="1"/>
  <c r="C14682" i="1"/>
  <c r="A14683" i="1"/>
  <c r="C14683" i="1"/>
  <c r="A14684" i="1"/>
  <c r="C14684" i="1"/>
  <c r="A14685" i="1"/>
  <c r="C14685" i="1"/>
  <c r="A14686" i="1"/>
  <c r="C14686" i="1"/>
  <c r="A14687" i="1"/>
  <c r="C14687" i="1"/>
  <c r="A14688" i="1"/>
  <c r="C14688" i="1"/>
  <c r="A14689" i="1"/>
  <c r="C14689" i="1"/>
  <c r="A14690" i="1"/>
  <c r="C14690" i="1"/>
  <c r="A14691" i="1"/>
  <c r="C14691" i="1"/>
  <c r="A14692" i="1"/>
  <c r="C14692" i="1"/>
  <c r="A14693" i="1"/>
  <c r="C14693" i="1"/>
  <c r="A14694" i="1"/>
  <c r="C14694" i="1"/>
  <c r="A14695" i="1"/>
  <c r="C14695" i="1"/>
  <c r="A14696" i="1"/>
  <c r="C14696" i="1"/>
  <c r="A14697" i="1"/>
  <c r="C14697" i="1"/>
  <c r="A14698" i="1"/>
  <c r="C14698" i="1"/>
  <c r="A14699" i="1"/>
  <c r="C14699" i="1"/>
  <c r="A14700" i="1"/>
  <c r="C14700" i="1"/>
  <c r="A14701" i="1"/>
  <c r="C14701" i="1"/>
  <c r="A14702" i="1"/>
  <c r="C14702" i="1"/>
  <c r="A14703" i="1"/>
  <c r="C14703" i="1"/>
  <c r="A14704" i="1"/>
  <c r="C14704" i="1"/>
  <c r="A14705" i="1"/>
  <c r="C14705" i="1"/>
  <c r="A14706" i="1"/>
  <c r="C14706" i="1"/>
  <c r="A14707" i="1"/>
  <c r="C14707" i="1"/>
  <c r="A14708" i="1"/>
  <c r="C14708" i="1"/>
  <c r="A14709" i="1"/>
  <c r="C14709" i="1"/>
  <c r="A14710" i="1"/>
  <c r="C14710" i="1"/>
  <c r="A14711" i="1"/>
  <c r="C14711" i="1"/>
  <c r="A14712" i="1"/>
  <c r="C14712" i="1"/>
  <c r="A14713" i="1"/>
  <c r="C14713" i="1"/>
  <c r="A14714" i="1"/>
  <c r="C14714" i="1"/>
  <c r="A14715" i="1"/>
  <c r="C14715" i="1"/>
  <c r="A14716" i="1"/>
  <c r="C14716" i="1"/>
  <c r="A14717" i="1"/>
  <c r="C14717" i="1"/>
  <c r="A14718" i="1"/>
  <c r="C14718" i="1"/>
  <c r="A14719" i="1"/>
  <c r="C14719" i="1"/>
  <c r="A14720" i="1"/>
  <c r="C14720" i="1"/>
  <c r="A14721" i="1"/>
  <c r="C14721" i="1"/>
  <c r="A14722" i="1"/>
  <c r="C14722" i="1"/>
  <c r="A14723" i="1"/>
  <c r="C14723" i="1"/>
  <c r="A14724" i="1"/>
  <c r="C14724" i="1"/>
  <c r="A14725" i="1"/>
  <c r="C14725" i="1"/>
  <c r="A14726" i="1"/>
  <c r="C14726" i="1"/>
  <c r="A14727" i="1"/>
  <c r="C14727" i="1"/>
  <c r="A14728" i="1"/>
  <c r="C14728" i="1"/>
  <c r="A14729" i="1"/>
  <c r="C14729" i="1"/>
  <c r="A14730" i="1"/>
  <c r="C14730" i="1"/>
  <c r="A14731" i="1"/>
  <c r="C14731" i="1"/>
  <c r="A14732" i="1"/>
  <c r="C14732" i="1"/>
  <c r="A14733" i="1"/>
  <c r="C14733" i="1"/>
  <c r="A14734" i="1"/>
  <c r="C14734" i="1"/>
  <c r="A14735" i="1"/>
  <c r="C14735" i="1"/>
  <c r="A14736" i="1"/>
  <c r="C14736" i="1"/>
  <c r="A14737" i="1"/>
  <c r="C14737" i="1"/>
  <c r="A14738" i="1"/>
  <c r="C14738" i="1"/>
  <c r="A14739" i="1"/>
  <c r="C14739" i="1"/>
  <c r="A14740" i="1"/>
  <c r="C14740" i="1"/>
  <c r="A14741" i="1"/>
  <c r="C14741" i="1"/>
  <c r="A14742" i="1"/>
  <c r="C14742" i="1"/>
  <c r="A14743" i="1"/>
  <c r="C14743" i="1"/>
  <c r="A14744" i="1"/>
  <c r="C14744" i="1"/>
  <c r="A14745" i="1"/>
  <c r="C14745" i="1"/>
  <c r="A14746" i="1"/>
  <c r="C14746" i="1"/>
  <c r="A14747" i="1"/>
  <c r="C14747" i="1"/>
  <c r="A14748" i="1"/>
  <c r="C14748" i="1"/>
  <c r="A14749" i="1"/>
  <c r="C14749" i="1"/>
  <c r="A14750" i="1"/>
  <c r="C14750" i="1"/>
  <c r="A14751" i="1"/>
  <c r="C14751" i="1"/>
  <c r="A14752" i="1"/>
  <c r="C14752" i="1"/>
  <c r="A14753" i="1"/>
  <c r="C14753" i="1"/>
  <c r="A14754" i="1"/>
  <c r="C14754" i="1"/>
  <c r="A14755" i="1"/>
  <c r="C14755" i="1"/>
  <c r="A14756" i="1"/>
  <c r="C14756" i="1"/>
  <c r="A14757" i="1"/>
  <c r="C14757" i="1"/>
  <c r="A14758" i="1"/>
  <c r="C14758" i="1"/>
  <c r="A14759" i="1"/>
  <c r="C14759" i="1"/>
  <c r="A14760" i="1"/>
  <c r="C14760" i="1"/>
  <c r="A14761" i="1"/>
  <c r="C14761" i="1"/>
  <c r="A14762" i="1"/>
  <c r="C14762" i="1"/>
  <c r="A14763" i="1"/>
  <c r="C14763" i="1"/>
  <c r="A14764" i="1"/>
  <c r="C14764" i="1"/>
  <c r="A14765" i="1"/>
  <c r="C14765" i="1"/>
  <c r="A14766" i="1"/>
  <c r="C14766" i="1"/>
  <c r="A14767" i="1"/>
  <c r="C14767" i="1"/>
  <c r="A14768" i="1"/>
  <c r="C14768" i="1"/>
  <c r="A14769" i="1"/>
  <c r="C14769" i="1"/>
  <c r="A14770" i="1"/>
  <c r="C14770" i="1"/>
  <c r="A14771" i="1"/>
  <c r="C14771" i="1"/>
  <c r="A14772" i="1"/>
  <c r="C14772" i="1"/>
  <c r="A14773" i="1"/>
  <c r="C14773" i="1"/>
  <c r="A14774" i="1"/>
  <c r="C14774" i="1"/>
  <c r="A14775" i="1"/>
  <c r="C14775" i="1"/>
  <c r="A14776" i="1"/>
  <c r="C14776" i="1"/>
  <c r="A14777" i="1"/>
  <c r="C14777" i="1"/>
  <c r="A14778" i="1"/>
  <c r="C14778" i="1"/>
  <c r="A14779" i="1"/>
  <c r="C14779" i="1"/>
  <c r="A14780" i="1"/>
  <c r="C14780" i="1"/>
  <c r="A14781" i="1"/>
  <c r="C14781" i="1"/>
  <c r="A14782" i="1"/>
  <c r="C14782" i="1"/>
  <c r="A14783" i="1"/>
  <c r="C14783" i="1"/>
  <c r="A14784" i="1"/>
  <c r="C14784" i="1"/>
  <c r="A14785" i="1"/>
  <c r="C14785" i="1"/>
  <c r="A14786" i="1"/>
  <c r="C14786" i="1"/>
  <c r="A14787" i="1"/>
  <c r="C14787" i="1"/>
  <c r="A14788" i="1"/>
  <c r="C14788" i="1"/>
  <c r="A14789" i="1"/>
  <c r="C14789" i="1"/>
  <c r="A14790" i="1"/>
  <c r="C14790" i="1"/>
  <c r="A14791" i="1"/>
  <c r="C14791" i="1"/>
  <c r="A14792" i="1"/>
  <c r="C14792" i="1"/>
  <c r="A14793" i="1"/>
  <c r="C14793" i="1"/>
  <c r="A14794" i="1"/>
  <c r="C14794" i="1"/>
  <c r="A14795" i="1"/>
  <c r="C14795" i="1"/>
  <c r="A14796" i="1"/>
  <c r="C14796" i="1"/>
  <c r="A14797" i="1"/>
  <c r="C14797" i="1"/>
  <c r="A14798" i="1"/>
  <c r="C14798" i="1"/>
  <c r="A14799" i="1"/>
  <c r="C14799" i="1"/>
  <c r="A14800" i="1"/>
  <c r="C14800" i="1"/>
  <c r="A14801" i="1"/>
  <c r="C14801" i="1"/>
  <c r="A14802" i="1"/>
  <c r="C14802" i="1"/>
  <c r="A14803" i="1"/>
  <c r="C14803" i="1"/>
  <c r="A14804" i="1"/>
  <c r="C14804" i="1"/>
  <c r="A14805" i="1"/>
  <c r="C14805" i="1"/>
  <c r="A14806" i="1"/>
  <c r="C14806" i="1"/>
  <c r="A14807" i="1"/>
  <c r="C14807" i="1"/>
  <c r="A14808" i="1"/>
  <c r="C14808" i="1"/>
  <c r="A14809" i="1"/>
  <c r="C14809" i="1"/>
  <c r="A14810" i="1"/>
  <c r="C14810" i="1"/>
  <c r="A14811" i="1"/>
  <c r="C14811" i="1"/>
  <c r="A14812" i="1"/>
  <c r="C14812" i="1"/>
  <c r="A14813" i="1"/>
  <c r="C14813" i="1"/>
  <c r="A14814" i="1"/>
  <c r="C14814" i="1"/>
  <c r="A14815" i="1"/>
  <c r="C14815" i="1"/>
  <c r="A14816" i="1"/>
  <c r="C14816" i="1"/>
  <c r="A14817" i="1"/>
  <c r="C14817" i="1"/>
  <c r="A14818" i="1"/>
  <c r="C14818" i="1"/>
  <c r="A14819" i="1"/>
  <c r="C14819" i="1"/>
  <c r="A14820" i="1"/>
  <c r="C14820" i="1"/>
  <c r="A14821" i="1"/>
  <c r="C14821" i="1"/>
  <c r="A14822" i="1"/>
  <c r="C14822" i="1"/>
  <c r="A14823" i="1"/>
  <c r="C14823" i="1"/>
  <c r="A14824" i="1"/>
  <c r="C14824" i="1"/>
  <c r="A14825" i="1"/>
  <c r="C14825" i="1"/>
  <c r="A14826" i="1"/>
  <c r="C14826" i="1"/>
  <c r="A14827" i="1"/>
  <c r="C14827" i="1"/>
  <c r="A14828" i="1"/>
  <c r="C14828" i="1"/>
  <c r="A14829" i="1"/>
  <c r="C14829" i="1"/>
  <c r="A14830" i="1"/>
  <c r="C14830" i="1"/>
  <c r="A14831" i="1"/>
  <c r="C14831" i="1"/>
  <c r="A14832" i="1"/>
  <c r="C14832" i="1"/>
  <c r="A14833" i="1"/>
  <c r="C14833" i="1"/>
  <c r="A14834" i="1"/>
  <c r="C14834" i="1"/>
  <c r="A14835" i="1"/>
  <c r="C14835" i="1"/>
  <c r="A14836" i="1"/>
  <c r="C14836" i="1"/>
  <c r="A14837" i="1"/>
  <c r="C14837" i="1"/>
  <c r="A14838" i="1"/>
  <c r="C14838" i="1"/>
  <c r="A14839" i="1"/>
  <c r="C14839" i="1"/>
  <c r="A14840" i="1"/>
  <c r="C14840" i="1"/>
  <c r="A14841" i="1"/>
  <c r="C14841" i="1"/>
  <c r="A14842" i="1"/>
  <c r="C14842" i="1"/>
  <c r="A14843" i="1"/>
  <c r="C14843" i="1"/>
  <c r="A14844" i="1"/>
  <c r="C14844" i="1"/>
  <c r="A14845" i="1"/>
  <c r="C14845" i="1"/>
  <c r="A14846" i="1"/>
  <c r="C14846" i="1"/>
  <c r="A14847" i="1"/>
  <c r="C14847" i="1"/>
  <c r="A14848" i="1"/>
  <c r="C14848" i="1"/>
  <c r="A14849" i="1"/>
  <c r="C14849" i="1"/>
  <c r="A14850" i="1"/>
  <c r="C14850" i="1"/>
  <c r="A14851" i="1"/>
  <c r="C14851" i="1"/>
  <c r="A14852" i="1"/>
  <c r="C14852" i="1"/>
  <c r="A14853" i="1"/>
  <c r="C14853" i="1"/>
  <c r="A14854" i="1"/>
  <c r="C14854" i="1"/>
  <c r="A14855" i="1"/>
  <c r="C14855" i="1"/>
  <c r="A14856" i="1"/>
  <c r="C14856" i="1"/>
  <c r="A14857" i="1"/>
  <c r="C14857" i="1"/>
  <c r="A14858" i="1"/>
  <c r="C14858" i="1"/>
  <c r="A14859" i="1"/>
  <c r="C14859" i="1"/>
  <c r="A14860" i="1"/>
  <c r="C14860" i="1"/>
  <c r="A14861" i="1"/>
  <c r="C14861" i="1"/>
  <c r="A14862" i="1"/>
  <c r="C14862" i="1"/>
  <c r="A14863" i="1"/>
  <c r="C14863" i="1"/>
  <c r="A14864" i="1"/>
  <c r="C14864" i="1"/>
  <c r="A14865" i="1"/>
  <c r="C14865" i="1"/>
  <c r="A14866" i="1"/>
  <c r="C14866" i="1"/>
  <c r="A14867" i="1"/>
  <c r="C14867" i="1"/>
  <c r="A14868" i="1"/>
  <c r="C14868" i="1"/>
  <c r="A14869" i="1"/>
  <c r="C14869" i="1"/>
  <c r="A14870" i="1"/>
  <c r="C14870" i="1"/>
  <c r="A14871" i="1"/>
  <c r="C14871" i="1"/>
  <c r="A14872" i="1"/>
  <c r="C14872" i="1"/>
  <c r="A14873" i="1"/>
  <c r="C14873" i="1"/>
  <c r="A14874" i="1"/>
  <c r="C14874" i="1"/>
  <c r="A14875" i="1"/>
  <c r="C14875" i="1"/>
  <c r="A14876" i="1"/>
  <c r="C14876" i="1"/>
  <c r="A14877" i="1"/>
  <c r="C14877" i="1"/>
  <c r="A14878" i="1"/>
  <c r="C14878" i="1"/>
  <c r="A14879" i="1"/>
  <c r="C14879" i="1"/>
  <c r="A14880" i="1"/>
  <c r="C14880" i="1"/>
  <c r="A14881" i="1"/>
  <c r="C14881" i="1"/>
  <c r="A14882" i="1"/>
  <c r="C14882" i="1"/>
  <c r="A14883" i="1"/>
  <c r="C14883" i="1"/>
  <c r="A14884" i="1"/>
  <c r="C14884" i="1"/>
  <c r="A14885" i="1"/>
  <c r="C14885" i="1"/>
  <c r="A14886" i="1"/>
  <c r="C14886" i="1"/>
  <c r="A14887" i="1"/>
  <c r="C14887" i="1"/>
  <c r="A14888" i="1"/>
  <c r="C14888" i="1"/>
  <c r="A14889" i="1"/>
  <c r="C14889" i="1"/>
  <c r="A14890" i="1"/>
  <c r="C14890" i="1"/>
  <c r="A14891" i="1"/>
  <c r="C14891" i="1"/>
  <c r="A14892" i="1"/>
  <c r="C14892" i="1"/>
  <c r="A14893" i="1"/>
  <c r="C14893" i="1"/>
  <c r="A14894" i="1"/>
  <c r="C14894" i="1"/>
  <c r="A14895" i="1"/>
  <c r="C14895" i="1"/>
  <c r="A14896" i="1"/>
  <c r="C14896" i="1"/>
  <c r="A14897" i="1"/>
  <c r="C14897" i="1"/>
  <c r="A14898" i="1"/>
  <c r="C14898" i="1"/>
  <c r="A14899" i="1"/>
  <c r="C14899" i="1"/>
  <c r="A14900" i="1"/>
  <c r="C14900" i="1"/>
  <c r="A14901" i="1"/>
  <c r="C14901" i="1"/>
  <c r="A14902" i="1"/>
  <c r="C14902" i="1"/>
  <c r="A14903" i="1"/>
  <c r="C14903" i="1"/>
  <c r="A14904" i="1"/>
  <c r="C14904" i="1"/>
  <c r="A14905" i="1"/>
  <c r="C14905" i="1"/>
  <c r="A14906" i="1"/>
  <c r="C14906" i="1"/>
  <c r="A14907" i="1"/>
  <c r="C14907" i="1"/>
  <c r="A14908" i="1"/>
  <c r="C14908" i="1"/>
  <c r="A14909" i="1"/>
  <c r="C14909" i="1"/>
  <c r="A14910" i="1"/>
  <c r="C14910" i="1"/>
  <c r="A14911" i="1"/>
  <c r="C14911" i="1"/>
  <c r="A14912" i="1"/>
  <c r="C14912" i="1"/>
  <c r="A14913" i="1"/>
  <c r="C14913" i="1"/>
  <c r="A14914" i="1"/>
  <c r="C14914" i="1"/>
  <c r="A14915" i="1"/>
  <c r="C14915" i="1"/>
  <c r="A14916" i="1"/>
  <c r="C14916" i="1"/>
  <c r="A14917" i="1"/>
  <c r="C14917" i="1"/>
  <c r="A14918" i="1"/>
  <c r="C14918" i="1"/>
  <c r="A14919" i="1"/>
  <c r="C14919" i="1"/>
  <c r="A14920" i="1"/>
  <c r="C14920" i="1"/>
  <c r="A14921" i="1"/>
  <c r="C14921" i="1"/>
  <c r="A14922" i="1"/>
  <c r="C14922" i="1"/>
  <c r="A14923" i="1"/>
  <c r="C14923" i="1"/>
  <c r="A14924" i="1"/>
  <c r="C14924" i="1"/>
  <c r="A14925" i="1"/>
  <c r="C14925" i="1"/>
  <c r="A14926" i="1"/>
  <c r="C14926" i="1"/>
  <c r="A14927" i="1"/>
  <c r="C14927" i="1"/>
  <c r="A14928" i="1"/>
  <c r="C14928" i="1"/>
  <c r="A14929" i="1"/>
  <c r="C14929" i="1"/>
  <c r="A14930" i="1"/>
  <c r="C14930" i="1"/>
  <c r="A14931" i="1"/>
  <c r="C14931" i="1"/>
  <c r="A14932" i="1"/>
  <c r="C14932" i="1"/>
  <c r="A14933" i="1"/>
  <c r="C14933" i="1"/>
  <c r="A14934" i="1"/>
  <c r="C14934" i="1"/>
  <c r="A14935" i="1"/>
  <c r="C14935" i="1"/>
  <c r="A14936" i="1"/>
  <c r="C14936" i="1"/>
  <c r="A14937" i="1"/>
  <c r="C14937" i="1"/>
  <c r="A14938" i="1"/>
  <c r="C14938" i="1"/>
  <c r="A14939" i="1"/>
  <c r="C14939" i="1"/>
  <c r="A14940" i="1"/>
  <c r="C14940" i="1"/>
  <c r="A14941" i="1"/>
  <c r="C14941" i="1"/>
  <c r="A14942" i="1"/>
  <c r="C14942" i="1"/>
  <c r="A14943" i="1"/>
  <c r="C14943" i="1"/>
  <c r="A14944" i="1"/>
  <c r="C14944" i="1"/>
  <c r="A14945" i="1"/>
  <c r="C14945" i="1"/>
  <c r="A14946" i="1"/>
  <c r="C14946" i="1"/>
  <c r="A14947" i="1"/>
  <c r="C14947" i="1"/>
  <c r="A14948" i="1"/>
  <c r="C14948" i="1"/>
  <c r="A14949" i="1"/>
  <c r="C14949" i="1"/>
  <c r="A14950" i="1"/>
  <c r="C14950" i="1"/>
  <c r="A14951" i="1"/>
  <c r="C14951" i="1"/>
  <c r="A14952" i="1"/>
  <c r="C14952" i="1"/>
  <c r="A14953" i="1"/>
  <c r="C14953" i="1"/>
  <c r="A14954" i="1"/>
  <c r="C14954" i="1"/>
  <c r="A14955" i="1"/>
  <c r="C14955" i="1"/>
  <c r="A14956" i="1"/>
  <c r="C14956" i="1"/>
  <c r="A14957" i="1"/>
  <c r="C14957" i="1"/>
  <c r="A14958" i="1"/>
  <c r="C14958" i="1"/>
  <c r="A14959" i="1"/>
  <c r="C14959" i="1"/>
  <c r="A14960" i="1"/>
  <c r="C14960" i="1"/>
  <c r="A14961" i="1"/>
  <c r="C14961" i="1"/>
  <c r="A14962" i="1"/>
  <c r="C14962" i="1"/>
  <c r="A14963" i="1"/>
  <c r="C14963" i="1"/>
  <c r="A14964" i="1"/>
  <c r="C14964" i="1"/>
  <c r="A14965" i="1"/>
  <c r="C14965" i="1"/>
  <c r="A14966" i="1"/>
  <c r="C14966" i="1"/>
  <c r="A14967" i="1"/>
  <c r="C14967" i="1"/>
  <c r="A14968" i="1"/>
  <c r="C14968" i="1"/>
  <c r="A14969" i="1"/>
  <c r="C14969" i="1"/>
  <c r="A14970" i="1"/>
  <c r="C14970" i="1"/>
  <c r="A14971" i="1"/>
  <c r="C14971" i="1"/>
  <c r="A14972" i="1"/>
  <c r="C14972" i="1"/>
  <c r="A14973" i="1"/>
  <c r="C14973" i="1"/>
  <c r="A14974" i="1"/>
  <c r="C14974" i="1"/>
  <c r="A14975" i="1"/>
  <c r="C14975" i="1"/>
  <c r="A14976" i="1"/>
  <c r="C14976" i="1"/>
  <c r="A14977" i="1"/>
  <c r="C14977" i="1"/>
  <c r="A14978" i="1"/>
  <c r="C14978" i="1"/>
  <c r="A14979" i="1"/>
  <c r="C14979" i="1"/>
  <c r="A14980" i="1"/>
  <c r="C14980" i="1"/>
  <c r="A14981" i="1"/>
  <c r="C14981" i="1"/>
  <c r="A14982" i="1"/>
  <c r="C14982" i="1"/>
  <c r="A14983" i="1"/>
  <c r="C14983" i="1"/>
  <c r="A14984" i="1"/>
  <c r="C14984" i="1"/>
  <c r="A14985" i="1"/>
  <c r="C14985" i="1"/>
  <c r="A14986" i="1"/>
  <c r="C14986" i="1"/>
  <c r="A14987" i="1"/>
  <c r="C14987" i="1"/>
  <c r="A14988" i="1"/>
  <c r="C14988" i="1"/>
  <c r="A14989" i="1"/>
  <c r="C14989" i="1"/>
  <c r="A14990" i="1"/>
  <c r="C14990" i="1"/>
  <c r="A14991" i="1"/>
  <c r="C14991" i="1"/>
  <c r="A14992" i="1"/>
  <c r="C14992" i="1"/>
  <c r="A14993" i="1"/>
  <c r="C14993" i="1"/>
  <c r="A14994" i="1"/>
  <c r="C14994" i="1"/>
  <c r="A14995" i="1"/>
  <c r="C14995" i="1"/>
  <c r="A14996" i="1"/>
  <c r="C14996" i="1"/>
  <c r="A14997" i="1"/>
  <c r="C14997" i="1"/>
  <c r="A14998" i="1"/>
  <c r="C14998" i="1"/>
  <c r="A14999" i="1"/>
  <c r="C14999" i="1"/>
  <c r="A15000" i="1"/>
  <c r="C15000" i="1"/>
  <c r="A15001" i="1"/>
  <c r="C15001" i="1"/>
  <c r="A15002" i="1"/>
  <c r="C15002" i="1"/>
  <c r="A15003" i="1"/>
  <c r="C15003" i="1"/>
  <c r="A15004" i="1"/>
  <c r="C15004" i="1"/>
  <c r="A15005" i="1"/>
  <c r="C15005" i="1"/>
  <c r="A15006" i="1"/>
  <c r="C15006" i="1"/>
  <c r="A15007" i="1"/>
  <c r="C15007" i="1"/>
  <c r="A15008" i="1"/>
  <c r="C15008" i="1"/>
  <c r="A15009" i="1"/>
  <c r="C15009" i="1"/>
  <c r="A15010" i="1"/>
  <c r="C15010" i="1"/>
  <c r="A15011" i="1"/>
  <c r="C15011" i="1"/>
  <c r="A15012" i="1"/>
  <c r="C15012" i="1"/>
  <c r="A15013" i="1"/>
  <c r="C15013" i="1"/>
  <c r="A15014" i="1"/>
  <c r="C15014" i="1"/>
  <c r="A15015" i="1"/>
  <c r="C15015" i="1"/>
  <c r="A15016" i="1"/>
  <c r="C15016" i="1"/>
  <c r="A15017" i="1"/>
  <c r="C15017" i="1"/>
  <c r="A15018" i="1"/>
  <c r="C15018" i="1"/>
  <c r="A15019" i="1"/>
  <c r="C15019" i="1"/>
  <c r="A15020" i="1"/>
  <c r="C15020" i="1"/>
  <c r="A15021" i="1"/>
  <c r="C15021" i="1"/>
  <c r="A15022" i="1"/>
  <c r="C15022" i="1"/>
  <c r="A15023" i="1"/>
  <c r="C15023" i="1"/>
  <c r="A15024" i="1"/>
  <c r="C15024" i="1"/>
  <c r="A15025" i="1"/>
  <c r="C15025" i="1"/>
  <c r="A15026" i="1"/>
  <c r="C15026" i="1"/>
  <c r="A15027" i="1"/>
  <c r="C15027" i="1"/>
  <c r="A15028" i="1"/>
  <c r="C15028" i="1"/>
  <c r="A15029" i="1"/>
  <c r="C15029" i="1"/>
  <c r="A15030" i="1"/>
  <c r="C15030" i="1"/>
  <c r="A15031" i="1"/>
  <c r="C15031" i="1"/>
  <c r="A15032" i="1"/>
  <c r="C15032" i="1"/>
  <c r="A15033" i="1"/>
  <c r="C15033" i="1"/>
  <c r="A15034" i="1"/>
  <c r="C15034" i="1"/>
  <c r="A15035" i="1"/>
  <c r="C15035" i="1"/>
  <c r="A15036" i="1"/>
  <c r="C15036" i="1"/>
  <c r="A15037" i="1"/>
  <c r="C15037" i="1"/>
  <c r="A15038" i="1"/>
  <c r="C15038" i="1"/>
  <c r="A15039" i="1"/>
  <c r="C15039" i="1"/>
  <c r="A15040" i="1"/>
  <c r="C15040" i="1"/>
  <c r="A15041" i="1"/>
  <c r="C15041" i="1"/>
  <c r="A15042" i="1"/>
  <c r="C15042" i="1"/>
  <c r="A15043" i="1"/>
  <c r="C15043" i="1"/>
  <c r="A15044" i="1"/>
  <c r="C15044" i="1"/>
  <c r="A15045" i="1"/>
  <c r="C15045" i="1"/>
  <c r="A15046" i="1"/>
  <c r="C15046" i="1"/>
  <c r="A15047" i="1"/>
  <c r="C15047" i="1"/>
  <c r="A15048" i="1"/>
  <c r="C15048" i="1"/>
  <c r="A15049" i="1"/>
  <c r="C15049" i="1"/>
  <c r="A15050" i="1"/>
  <c r="C15050" i="1"/>
  <c r="A15051" i="1"/>
  <c r="C15051" i="1"/>
  <c r="A15052" i="1"/>
  <c r="C15052" i="1"/>
  <c r="A15053" i="1"/>
  <c r="C15053" i="1"/>
  <c r="A15054" i="1"/>
  <c r="C15054" i="1"/>
  <c r="A15055" i="1"/>
  <c r="C15055" i="1"/>
  <c r="A15056" i="1"/>
  <c r="C15056" i="1"/>
  <c r="A15057" i="1"/>
  <c r="C15057" i="1"/>
  <c r="A15058" i="1"/>
  <c r="C15058" i="1"/>
  <c r="A15059" i="1"/>
  <c r="C15059" i="1"/>
  <c r="A15060" i="1"/>
  <c r="C15060" i="1"/>
  <c r="A15061" i="1"/>
  <c r="C15061" i="1"/>
  <c r="A15062" i="1"/>
  <c r="C15062" i="1"/>
  <c r="A15063" i="1"/>
  <c r="C15063" i="1"/>
  <c r="A15064" i="1"/>
  <c r="C15064" i="1"/>
  <c r="A15065" i="1"/>
  <c r="C15065" i="1"/>
  <c r="A15066" i="1"/>
  <c r="C15066" i="1"/>
  <c r="A15067" i="1"/>
  <c r="C15067" i="1"/>
  <c r="A15068" i="1"/>
  <c r="C15068" i="1"/>
  <c r="A15069" i="1"/>
  <c r="C15069" i="1"/>
  <c r="A15070" i="1"/>
  <c r="C15070" i="1"/>
  <c r="A15071" i="1"/>
  <c r="C15071" i="1"/>
  <c r="A15072" i="1"/>
  <c r="C15072" i="1"/>
  <c r="A15073" i="1"/>
  <c r="C15073" i="1"/>
  <c r="A15074" i="1"/>
  <c r="C15074" i="1"/>
  <c r="A15075" i="1"/>
  <c r="C15075" i="1"/>
  <c r="A15076" i="1"/>
  <c r="C15076" i="1"/>
  <c r="A15077" i="1"/>
  <c r="C15077" i="1"/>
  <c r="A15078" i="1"/>
  <c r="C15078" i="1"/>
  <c r="A15079" i="1"/>
  <c r="C15079" i="1"/>
  <c r="A15080" i="1"/>
  <c r="C15080" i="1"/>
  <c r="A15081" i="1"/>
  <c r="C15081" i="1"/>
  <c r="A15082" i="1"/>
  <c r="C15082" i="1"/>
  <c r="A15083" i="1"/>
  <c r="C15083" i="1"/>
  <c r="A15084" i="1"/>
  <c r="C15084" i="1"/>
  <c r="A15085" i="1"/>
  <c r="C15085" i="1"/>
  <c r="A15086" i="1"/>
  <c r="C15086" i="1"/>
  <c r="A15087" i="1"/>
  <c r="C15087" i="1"/>
  <c r="A15088" i="1"/>
  <c r="C15088" i="1"/>
  <c r="A15089" i="1"/>
  <c r="C15089" i="1"/>
  <c r="A15090" i="1"/>
  <c r="C15090" i="1"/>
  <c r="A15091" i="1"/>
  <c r="C15091" i="1"/>
  <c r="A15092" i="1"/>
  <c r="C15092" i="1"/>
  <c r="A15093" i="1"/>
  <c r="C15093" i="1"/>
  <c r="A15094" i="1"/>
  <c r="C15094" i="1"/>
  <c r="A15095" i="1"/>
  <c r="C15095" i="1"/>
  <c r="A15096" i="1"/>
  <c r="C15096" i="1"/>
  <c r="A15097" i="1"/>
  <c r="C15097" i="1"/>
  <c r="A15098" i="1"/>
  <c r="C15098" i="1"/>
  <c r="A15099" i="1"/>
  <c r="C15099" i="1"/>
  <c r="A15100" i="1"/>
  <c r="C15100" i="1"/>
  <c r="A15101" i="1"/>
  <c r="C15101" i="1"/>
  <c r="A15102" i="1"/>
  <c r="C15102" i="1"/>
  <c r="A15103" i="1"/>
  <c r="C15103" i="1"/>
  <c r="A15104" i="1"/>
  <c r="C15104" i="1"/>
  <c r="A15105" i="1"/>
  <c r="C15105" i="1"/>
  <c r="A15106" i="1"/>
  <c r="C15106" i="1"/>
  <c r="A15107" i="1"/>
  <c r="C15107" i="1"/>
  <c r="A15108" i="1"/>
  <c r="C15108" i="1"/>
  <c r="A15109" i="1"/>
  <c r="C15109" i="1"/>
  <c r="A15110" i="1"/>
  <c r="C15110" i="1"/>
  <c r="A15111" i="1"/>
  <c r="C15111" i="1"/>
  <c r="A15112" i="1"/>
  <c r="C15112" i="1"/>
  <c r="A15113" i="1"/>
  <c r="C15113" i="1"/>
  <c r="A15114" i="1"/>
  <c r="C15114" i="1"/>
  <c r="A15115" i="1"/>
  <c r="C15115" i="1"/>
  <c r="A15116" i="1"/>
  <c r="C15116" i="1"/>
  <c r="A15117" i="1"/>
  <c r="C15117" i="1"/>
  <c r="A15118" i="1"/>
  <c r="C15118" i="1"/>
  <c r="A15119" i="1"/>
  <c r="C15119" i="1"/>
  <c r="A15120" i="1"/>
  <c r="C15120" i="1"/>
  <c r="A15121" i="1"/>
  <c r="C15121" i="1"/>
  <c r="A15122" i="1"/>
  <c r="C15122" i="1"/>
  <c r="A15123" i="1"/>
  <c r="C15123" i="1"/>
  <c r="A15124" i="1"/>
  <c r="C15124" i="1"/>
  <c r="A15125" i="1"/>
  <c r="C15125" i="1"/>
  <c r="A15126" i="1"/>
  <c r="C15126" i="1"/>
  <c r="A15127" i="1"/>
  <c r="C15127" i="1"/>
  <c r="A15128" i="1"/>
  <c r="C15128" i="1"/>
  <c r="A15129" i="1"/>
  <c r="C15129" i="1"/>
  <c r="A15130" i="1"/>
  <c r="C15130" i="1"/>
  <c r="A15131" i="1"/>
  <c r="C15131" i="1"/>
  <c r="A15132" i="1"/>
  <c r="C15132" i="1"/>
  <c r="A15133" i="1"/>
  <c r="C15133" i="1"/>
  <c r="A15134" i="1"/>
  <c r="C15134" i="1"/>
  <c r="A15135" i="1"/>
  <c r="C15135" i="1"/>
  <c r="A15136" i="1"/>
  <c r="C15136" i="1"/>
  <c r="A15137" i="1"/>
  <c r="C15137" i="1"/>
  <c r="A15138" i="1"/>
  <c r="C15138" i="1"/>
  <c r="A15139" i="1"/>
  <c r="C15139" i="1"/>
  <c r="A15140" i="1"/>
  <c r="C15140" i="1"/>
  <c r="A15141" i="1"/>
  <c r="C15141" i="1"/>
  <c r="A15142" i="1"/>
  <c r="C15142" i="1"/>
  <c r="A15143" i="1"/>
  <c r="C15143" i="1"/>
  <c r="A15144" i="1"/>
  <c r="C15144" i="1"/>
  <c r="A15145" i="1"/>
  <c r="C15145" i="1"/>
  <c r="A15146" i="1"/>
  <c r="C15146" i="1"/>
  <c r="A15147" i="1"/>
  <c r="C15147" i="1"/>
  <c r="A15148" i="1"/>
  <c r="C15148" i="1"/>
  <c r="A15149" i="1"/>
  <c r="C15149" i="1"/>
  <c r="A15150" i="1"/>
  <c r="C15150" i="1"/>
  <c r="A15151" i="1"/>
  <c r="C15151" i="1"/>
  <c r="A15152" i="1"/>
  <c r="C15152" i="1"/>
  <c r="A15153" i="1"/>
  <c r="C15153" i="1"/>
  <c r="A15154" i="1"/>
  <c r="C15154" i="1"/>
  <c r="A15155" i="1"/>
  <c r="C15155" i="1"/>
  <c r="A15156" i="1"/>
  <c r="C15156" i="1"/>
  <c r="A15157" i="1"/>
  <c r="C15157" i="1"/>
  <c r="A15158" i="1"/>
  <c r="C15158" i="1"/>
  <c r="A15159" i="1"/>
  <c r="C15159" i="1"/>
  <c r="A15160" i="1"/>
  <c r="C15160" i="1"/>
  <c r="A15161" i="1"/>
  <c r="C15161" i="1"/>
  <c r="A15162" i="1"/>
  <c r="C15162" i="1"/>
  <c r="A15163" i="1"/>
  <c r="C15163" i="1"/>
  <c r="A15164" i="1"/>
  <c r="C15164" i="1"/>
  <c r="A15165" i="1"/>
  <c r="C15165" i="1"/>
  <c r="A15166" i="1"/>
  <c r="C15166" i="1"/>
  <c r="A15167" i="1"/>
  <c r="C15167" i="1"/>
  <c r="A15168" i="1"/>
  <c r="C15168" i="1"/>
  <c r="A15169" i="1"/>
  <c r="C15169" i="1"/>
  <c r="A15170" i="1"/>
  <c r="C15170" i="1"/>
  <c r="A15171" i="1"/>
  <c r="C15171" i="1"/>
  <c r="A15172" i="1"/>
  <c r="C15172" i="1"/>
  <c r="A15173" i="1"/>
  <c r="C15173" i="1"/>
  <c r="A15174" i="1"/>
  <c r="C15174" i="1"/>
  <c r="A15175" i="1"/>
  <c r="C15175" i="1"/>
  <c r="A15176" i="1"/>
  <c r="C15176" i="1"/>
  <c r="A15177" i="1"/>
  <c r="C15177" i="1"/>
  <c r="A15178" i="1"/>
  <c r="C15178" i="1"/>
  <c r="A15179" i="1"/>
  <c r="C15179" i="1"/>
  <c r="A15180" i="1"/>
  <c r="C15180" i="1"/>
  <c r="A15181" i="1"/>
  <c r="C15181" i="1"/>
  <c r="A15182" i="1"/>
  <c r="C15182" i="1"/>
  <c r="A15183" i="1"/>
  <c r="C15183" i="1"/>
  <c r="A15184" i="1"/>
  <c r="C15184" i="1"/>
  <c r="A15185" i="1"/>
  <c r="C15185" i="1"/>
  <c r="A15186" i="1"/>
  <c r="C15186" i="1"/>
  <c r="A15187" i="1"/>
  <c r="C15187" i="1"/>
  <c r="A15188" i="1"/>
  <c r="C15188" i="1"/>
  <c r="A15189" i="1"/>
  <c r="C15189" i="1"/>
  <c r="A15190" i="1"/>
  <c r="C15190" i="1"/>
  <c r="A15191" i="1"/>
  <c r="C15191" i="1"/>
  <c r="A15192" i="1"/>
  <c r="C15192" i="1"/>
  <c r="A15193" i="1"/>
  <c r="C15193" i="1"/>
  <c r="A15194" i="1"/>
  <c r="C15194" i="1"/>
  <c r="A15195" i="1"/>
  <c r="C15195" i="1"/>
  <c r="A15196" i="1"/>
  <c r="C15196" i="1"/>
  <c r="A15197" i="1"/>
  <c r="C15197" i="1"/>
  <c r="A15198" i="1"/>
  <c r="C15198" i="1"/>
  <c r="A15199" i="1"/>
  <c r="C15199" i="1"/>
  <c r="A15200" i="1"/>
  <c r="C15200" i="1"/>
  <c r="A15201" i="1"/>
  <c r="C15201" i="1"/>
  <c r="A15202" i="1"/>
  <c r="C15202" i="1"/>
  <c r="A15203" i="1"/>
  <c r="C15203" i="1"/>
  <c r="A15204" i="1"/>
  <c r="C15204" i="1"/>
  <c r="A15205" i="1"/>
  <c r="C15205" i="1"/>
  <c r="A15206" i="1"/>
  <c r="C15206" i="1"/>
  <c r="A15207" i="1"/>
  <c r="C15207" i="1"/>
  <c r="A15208" i="1"/>
  <c r="C15208" i="1"/>
  <c r="A15209" i="1"/>
  <c r="C15209" i="1"/>
  <c r="A15210" i="1"/>
  <c r="C15210" i="1"/>
  <c r="A15211" i="1"/>
  <c r="C15211" i="1"/>
  <c r="A15212" i="1"/>
  <c r="C15212" i="1"/>
  <c r="A15213" i="1"/>
  <c r="C15213" i="1"/>
  <c r="A15214" i="1"/>
  <c r="C15214" i="1"/>
  <c r="A15215" i="1"/>
  <c r="C15215" i="1"/>
  <c r="A15216" i="1"/>
  <c r="C15216" i="1"/>
  <c r="A15217" i="1"/>
  <c r="C15217" i="1"/>
  <c r="A15218" i="1"/>
  <c r="C15218" i="1"/>
  <c r="A15219" i="1"/>
  <c r="C15219" i="1"/>
  <c r="A15220" i="1"/>
  <c r="C15220" i="1"/>
  <c r="A15221" i="1"/>
  <c r="C15221" i="1"/>
  <c r="A15222" i="1"/>
  <c r="C15222" i="1"/>
  <c r="A15223" i="1"/>
  <c r="C15223" i="1"/>
  <c r="A15224" i="1"/>
  <c r="C15224" i="1"/>
  <c r="A15225" i="1"/>
  <c r="C15225" i="1"/>
  <c r="A15226" i="1"/>
  <c r="C15226" i="1"/>
  <c r="A15227" i="1"/>
  <c r="C15227" i="1"/>
  <c r="A15228" i="1"/>
  <c r="C15228" i="1"/>
  <c r="A15229" i="1"/>
  <c r="C15229" i="1"/>
  <c r="A15230" i="1"/>
  <c r="C15230" i="1"/>
  <c r="A15231" i="1"/>
  <c r="C15231" i="1"/>
  <c r="A15232" i="1"/>
  <c r="C15232" i="1"/>
  <c r="A15233" i="1"/>
  <c r="C15233" i="1"/>
  <c r="A15234" i="1"/>
  <c r="C15234" i="1"/>
  <c r="A15235" i="1"/>
  <c r="C15235" i="1"/>
  <c r="A15236" i="1"/>
  <c r="C15236" i="1"/>
  <c r="A15237" i="1"/>
  <c r="C15237" i="1"/>
  <c r="A15238" i="1"/>
  <c r="C15238" i="1"/>
  <c r="A15239" i="1"/>
  <c r="C15239" i="1"/>
  <c r="A15240" i="1"/>
  <c r="C15240" i="1"/>
  <c r="A15241" i="1"/>
  <c r="C15241" i="1"/>
  <c r="A15242" i="1"/>
  <c r="C15242" i="1"/>
  <c r="A15243" i="1"/>
  <c r="C15243" i="1"/>
  <c r="A15244" i="1"/>
  <c r="C15244" i="1"/>
  <c r="A15245" i="1"/>
  <c r="C15245" i="1"/>
  <c r="A15246" i="1"/>
  <c r="C15246" i="1"/>
  <c r="A15247" i="1"/>
  <c r="C15247" i="1"/>
  <c r="A15248" i="1"/>
  <c r="C15248" i="1"/>
  <c r="A15249" i="1"/>
  <c r="C15249" i="1"/>
  <c r="A15250" i="1"/>
  <c r="C15250" i="1"/>
  <c r="A15251" i="1"/>
  <c r="C15251" i="1"/>
  <c r="A15252" i="1"/>
  <c r="C15252" i="1"/>
  <c r="A15253" i="1"/>
  <c r="C15253" i="1"/>
  <c r="A15254" i="1"/>
  <c r="C15254" i="1"/>
  <c r="A15255" i="1"/>
  <c r="C15255" i="1"/>
  <c r="A15256" i="1"/>
  <c r="C15256" i="1"/>
  <c r="A15257" i="1"/>
  <c r="C15257" i="1"/>
  <c r="A15258" i="1"/>
  <c r="C15258" i="1"/>
  <c r="A15259" i="1"/>
  <c r="C15259" i="1"/>
  <c r="A15260" i="1"/>
  <c r="C15260" i="1"/>
  <c r="A15261" i="1"/>
  <c r="C15261" i="1"/>
  <c r="A15262" i="1"/>
  <c r="C15262" i="1"/>
  <c r="A15263" i="1"/>
  <c r="C15263" i="1"/>
  <c r="A15264" i="1"/>
  <c r="C15264" i="1"/>
  <c r="A15265" i="1"/>
  <c r="C15265" i="1"/>
  <c r="A15266" i="1"/>
  <c r="C15266" i="1"/>
  <c r="A15267" i="1"/>
  <c r="C15267" i="1"/>
  <c r="A15268" i="1"/>
  <c r="C15268" i="1"/>
  <c r="A15269" i="1"/>
  <c r="C15269" i="1"/>
  <c r="A15270" i="1"/>
  <c r="C15270" i="1"/>
  <c r="A15271" i="1"/>
  <c r="C15271" i="1"/>
  <c r="A15272" i="1"/>
  <c r="C15272" i="1"/>
  <c r="A15273" i="1"/>
  <c r="C15273" i="1"/>
  <c r="A15274" i="1"/>
  <c r="C15274" i="1"/>
  <c r="A15275" i="1"/>
  <c r="C15275" i="1"/>
  <c r="A15276" i="1"/>
  <c r="C15276" i="1"/>
  <c r="A15277" i="1"/>
  <c r="C15277" i="1"/>
  <c r="A15278" i="1"/>
  <c r="C15278" i="1"/>
  <c r="A15279" i="1"/>
  <c r="C15279" i="1"/>
  <c r="A15280" i="1"/>
  <c r="C15280" i="1"/>
  <c r="A15281" i="1"/>
  <c r="C15281" i="1"/>
  <c r="A15282" i="1"/>
  <c r="C15282" i="1"/>
  <c r="A15283" i="1"/>
  <c r="C15283" i="1"/>
  <c r="A15284" i="1"/>
  <c r="C15284" i="1"/>
  <c r="A15285" i="1"/>
  <c r="C15285" i="1"/>
  <c r="A15286" i="1"/>
  <c r="C15286" i="1"/>
  <c r="A15287" i="1"/>
  <c r="C15287" i="1"/>
  <c r="A15288" i="1"/>
  <c r="C15288" i="1"/>
  <c r="A15289" i="1"/>
  <c r="C15289" i="1"/>
  <c r="A15290" i="1"/>
  <c r="C15290" i="1"/>
  <c r="A15291" i="1"/>
  <c r="C15291" i="1"/>
  <c r="A15292" i="1"/>
  <c r="C15292" i="1"/>
  <c r="A15293" i="1"/>
  <c r="C15293" i="1"/>
  <c r="A15294" i="1"/>
  <c r="C15294" i="1"/>
  <c r="A15295" i="1"/>
  <c r="C15295" i="1"/>
  <c r="A15296" i="1"/>
  <c r="C15296" i="1"/>
  <c r="A15297" i="1"/>
  <c r="C15297" i="1"/>
  <c r="A15298" i="1"/>
  <c r="C15298" i="1"/>
  <c r="A15299" i="1"/>
  <c r="C15299" i="1"/>
  <c r="A15300" i="1"/>
  <c r="C15300" i="1"/>
  <c r="A15301" i="1"/>
  <c r="C15301" i="1"/>
  <c r="A15302" i="1"/>
  <c r="C15302" i="1"/>
  <c r="A15303" i="1"/>
  <c r="C15303" i="1"/>
  <c r="A15304" i="1"/>
  <c r="C15304" i="1"/>
  <c r="A15305" i="1"/>
  <c r="C15305" i="1"/>
  <c r="A15306" i="1"/>
  <c r="C15306" i="1"/>
  <c r="A15307" i="1"/>
  <c r="C15307" i="1"/>
  <c r="A15308" i="1"/>
  <c r="C15308" i="1"/>
  <c r="A15309" i="1"/>
  <c r="C15309" i="1"/>
  <c r="A15310" i="1"/>
  <c r="C15310" i="1"/>
  <c r="A15311" i="1"/>
  <c r="C15311" i="1"/>
  <c r="A15312" i="1"/>
  <c r="C15312" i="1"/>
  <c r="A15313" i="1"/>
  <c r="C15313" i="1"/>
  <c r="A15314" i="1"/>
  <c r="C15314" i="1"/>
  <c r="A15315" i="1"/>
  <c r="C15315" i="1"/>
  <c r="A15316" i="1"/>
  <c r="C15316" i="1"/>
  <c r="A15317" i="1"/>
  <c r="C15317" i="1"/>
  <c r="A15318" i="1"/>
  <c r="C15318" i="1"/>
  <c r="A15319" i="1"/>
  <c r="C15319" i="1"/>
  <c r="A15320" i="1"/>
  <c r="C15320" i="1"/>
  <c r="A15321" i="1"/>
  <c r="C15321" i="1"/>
  <c r="A15322" i="1"/>
  <c r="C15322" i="1"/>
  <c r="A15323" i="1"/>
  <c r="C15323" i="1"/>
  <c r="A15324" i="1"/>
  <c r="C15324" i="1"/>
  <c r="A15325" i="1"/>
  <c r="C15325" i="1"/>
  <c r="A15326" i="1"/>
  <c r="C15326" i="1"/>
  <c r="A15327" i="1"/>
  <c r="C15327" i="1"/>
  <c r="A15328" i="1"/>
  <c r="C15328" i="1"/>
  <c r="A15329" i="1"/>
  <c r="C15329" i="1"/>
  <c r="A15330" i="1"/>
  <c r="C15330" i="1"/>
  <c r="A15331" i="1"/>
  <c r="C15331" i="1"/>
  <c r="A15332" i="1"/>
  <c r="C15332" i="1"/>
  <c r="A15333" i="1"/>
  <c r="C15333" i="1"/>
  <c r="A15334" i="1"/>
  <c r="C15334" i="1"/>
  <c r="A15335" i="1"/>
  <c r="C15335" i="1"/>
  <c r="A15336" i="1"/>
  <c r="C15336" i="1"/>
  <c r="A15337" i="1"/>
  <c r="C15337" i="1"/>
  <c r="A15338" i="1"/>
  <c r="C15338" i="1"/>
  <c r="A15339" i="1"/>
  <c r="C15339" i="1"/>
  <c r="A15340" i="1"/>
  <c r="C15340" i="1"/>
  <c r="A15341" i="1"/>
  <c r="C15341" i="1"/>
  <c r="A15342" i="1"/>
  <c r="C15342" i="1"/>
  <c r="A15343" i="1"/>
  <c r="C15343" i="1"/>
  <c r="A15344" i="1"/>
  <c r="C15344" i="1"/>
  <c r="A15345" i="1"/>
  <c r="C15345" i="1"/>
  <c r="A15346" i="1"/>
  <c r="C15346" i="1"/>
  <c r="A15347" i="1"/>
  <c r="C15347" i="1"/>
  <c r="A15348" i="1"/>
  <c r="C15348" i="1"/>
  <c r="A15349" i="1"/>
  <c r="C15349" i="1"/>
  <c r="A15350" i="1"/>
  <c r="C15350" i="1"/>
  <c r="A15351" i="1"/>
  <c r="C15351" i="1"/>
  <c r="A15352" i="1"/>
  <c r="C15352" i="1"/>
  <c r="A15353" i="1"/>
  <c r="C15353" i="1"/>
  <c r="A15354" i="1"/>
  <c r="C15354" i="1"/>
  <c r="A15355" i="1"/>
  <c r="C15355" i="1"/>
  <c r="A15356" i="1"/>
  <c r="C15356" i="1"/>
  <c r="A15357" i="1"/>
  <c r="C15357" i="1"/>
  <c r="A15358" i="1"/>
  <c r="C15358" i="1"/>
  <c r="A15359" i="1"/>
  <c r="C15359" i="1"/>
  <c r="A15360" i="1"/>
  <c r="C15360" i="1"/>
  <c r="A15361" i="1"/>
  <c r="C15361" i="1"/>
  <c r="A15362" i="1"/>
  <c r="C15362" i="1"/>
  <c r="A15363" i="1"/>
  <c r="C15363" i="1"/>
  <c r="A15364" i="1"/>
  <c r="C15364" i="1"/>
  <c r="A15365" i="1"/>
  <c r="C15365" i="1"/>
  <c r="A15366" i="1"/>
  <c r="C15366" i="1"/>
  <c r="A15367" i="1"/>
  <c r="C15367" i="1"/>
  <c r="A15368" i="1"/>
  <c r="C15368" i="1"/>
  <c r="A15369" i="1"/>
  <c r="C15369" i="1"/>
  <c r="A15370" i="1"/>
  <c r="C15370" i="1"/>
  <c r="A15371" i="1"/>
  <c r="C15371" i="1"/>
  <c r="A15372" i="1"/>
  <c r="C15372" i="1"/>
  <c r="A15373" i="1"/>
  <c r="C15373" i="1"/>
  <c r="A15374" i="1"/>
  <c r="C15374" i="1"/>
  <c r="A15375" i="1"/>
  <c r="C15375" i="1"/>
  <c r="A15376" i="1"/>
  <c r="C15376" i="1"/>
  <c r="A15377" i="1"/>
  <c r="C15377" i="1"/>
  <c r="A15378" i="1"/>
  <c r="C15378" i="1"/>
  <c r="A15379" i="1"/>
  <c r="C15379" i="1"/>
  <c r="A15380" i="1"/>
  <c r="C15380" i="1"/>
  <c r="A15381" i="1"/>
  <c r="C15381" i="1"/>
  <c r="A15382" i="1"/>
  <c r="C15382" i="1"/>
  <c r="A15383" i="1"/>
  <c r="C15383" i="1"/>
  <c r="A15384" i="1"/>
  <c r="C15384" i="1"/>
  <c r="A15385" i="1"/>
  <c r="C15385" i="1"/>
  <c r="A15386" i="1"/>
  <c r="C15386" i="1"/>
  <c r="A15387" i="1"/>
  <c r="C15387" i="1"/>
  <c r="A15388" i="1"/>
  <c r="C15388" i="1"/>
  <c r="A15389" i="1"/>
  <c r="C15389" i="1"/>
  <c r="A15390" i="1"/>
  <c r="C15390" i="1"/>
  <c r="A15391" i="1"/>
  <c r="C15391" i="1"/>
  <c r="A15392" i="1"/>
  <c r="C15392" i="1"/>
  <c r="A15393" i="1"/>
  <c r="C15393" i="1"/>
  <c r="A15394" i="1"/>
  <c r="C15394" i="1"/>
  <c r="A15395" i="1"/>
  <c r="C15395" i="1"/>
  <c r="A15396" i="1"/>
  <c r="C15396" i="1"/>
  <c r="A15397" i="1"/>
  <c r="C15397" i="1"/>
  <c r="A15398" i="1"/>
  <c r="C15398" i="1"/>
  <c r="A15399" i="1"/>
  <c r="C15399" i="1"/>
  <c r="A15400" i="1"/>
  <c r="C15400" i="1"/>
  <c r="A15401" i="1"/>
  <c r="C15401" i="1"/>
  <c r="A15402" i="1"/>
  <c r="C15402" i="1"/>
  <c r="A15403" i="1"/>
  <c r="C15403" i="1"/>
  <c r="A15404" i="1"/>
  <c r="C15404" i="1"/>
  <c r="A15405" i="1"/>
  <c r="C15405" i="1"/>
  <c r="A15406" i="1"/>
  <c r="C15406" i="1"/>
  <c r="A15407" i="1"/>
  <c r="C15407" i="1"/>
  <c r="A15408" i="1"/>
  <c r="C15408" i="1"/>
  <c r="A15409" i="1"/>
  <c r="C15409" i="1"/>
  <c r="A15410" i="1"/>
  <c r="C15410" i="1"/>
  <c r="A15411" i="1"/>
  <c r="C15411" i="1"/>
  <c r="A15412" i="1"/>
  <c r="C15412" i="1"/>
  <c r="A15413" i="1"/>
  <c r="C15413" i="1"/>
  <c r="A15414" i="1"/>
  <c r="C15414" i="1"/>
  <c r="A15415" i="1"/>
  <c r="C15415" i="1"/>
  <c r="A15416" i="1"/>
  <c r="C15416" i="1"/>
  <c r="A15417" i="1"/>
  <c r="C15417" i="1"/>
  <c r="A15418" i="1"/>
  <c r="C15418" i="1"/>
  <c r="A15419" i="1"/>
  <c r="C15419" i="1"/>
  <c r="A15420" i="1"/>
  <c r="C15420" i="1"/>
  <c r="A15421" i="1"/>
  <c r="C15421" i="1"/>
  <c r="A15422" i="1"/>
  <c r="C15422" i="1"/>
  <c r="A15423" i="1"/>
  <c r="C15423" i="1"/>
  <c r="A15424" i="1"/>
  <c r="C15424" i="1"/>
  <c r="A15425" i="1"/>
  <c r="C15425" i="1"/>
  <c r="A15426" i="1"/>
  <c r="C15426" i="1"/>
  <c r="A15427" i="1"/>
  <c r="C15427" i="1"/>
  <c r="A15428" i="1"/>
  <c r="C15428" i="1"/>
  <c r="A15429" i="1"/>
  <c r="C15429" i="1"/>
  <c r="A15430" i="1"/>
  <c r="C15430" i="1"/>
  <c r="A15431" i="1"/>
  <c r="C15431" i="1"/>
  <c r="A15432" i="1"/>
  <c r="C15432" i="1"/>
  <c r="A15433" i="1"/>
  <c r="C15433" i="1"/>
  <c r="A15434" i="1"/>
  <c r="C15434" i="1"/>
  <c r="A15435" i="1"/>
  <c r="C15435" i="1"/>
  <c r="A15436" i="1"/>
  <c r="C15436" i="1"/>
  <c r="A15437" i="1"/>
  <c r="C15437" i="1"/>
  <c r="A15438" i="1"/>
  <c r="C15438" i="1"/>
  <c r="A15439" i="1"/>
  <c r="C15439" i="1"/>
  <c r="A15440" i="1"/>
  <c r="C15440" i="1"/>
  <c r="A15441" i="1"/>
  <c r="C15441" i="1"/>
  <c r="A15442" i="1"/>
  <c r="C15442" i="1"/>
  <c r="A15443" i="1"/>
  <c r="C15443" i="1"/>
  <c r="A15444" i="1"/>
  <c r="C15444" i="1"/>
  <c r="A15445" i="1"/>
  <c r="C15445" i="1"/>
  <c r="A15446" i="1"/>
  <c r="C15446" i="1"/>
  <c r="A15447" i="1"/>
  <c r="C15447" i="1"/>
  <c r="A15448" i="1"/>
  <c r="C15448" i="1"/>
  <c r="A15449" i="1"/>
  <c r="C15449" i="1"/>
  <c r="A15450" i="1"/>
  <c r="C15450" i="1"/>
  <c r="A15451" i="1"/>
  <c r="C15451" i="1"/>
  <c r="A15452" i="1"/>
  <c r="C15452" i="1"/>
  <c r="A15453" i="1"/>
  <c r="C15453" i="1"/>
  <c r="A15454" i="1"/>
  <c r="C15454" i="1"/>
  <c r="A15455" i="1"/>
  <c r="C15455" i="1"/>
  <c r="A15456" i="1"/>
  <c r="C15456" i="1"/>
  <c r="A15457" i="1"/>
  <c r="C15457" i="1"/>
  <c r="A15458" i="1"/>
  <c r="C15458" i="1"/>
  <c r="A15459" i="1"/>
  <c r="C15459" i="1"/>
  <c r="A15460" i="1"/>
  <c r="C15460" i="1"/>
  <c r="A15461" i="1"/>
  <c r="C15461" i="1"/>
  <c r="A15462" i="1"/>
  <c r="C15462" i="1"/>
  <c r="A15463" i="1"/>
  <c r="C15463" i="1"/>
  <c r="A15464" i="1"/>
  <c r="C15464" i="1"/>
  <c r="A15465" i="1"/>
  <c r="C15465" i="1"/>
  <c r="A15466" i="1"/>
  <c r="C15466" i="1"/>
  <c r="A15467" i="1"/>
  <c r="C15467" i="1"/>
  <c r="A15468" i="1"/>
  <c r="C15468" i="1"/>
  <c r="A15469" i="1"/>
  <c r="C15469" i="1"/>
  <c r="A15470" i="1"/>
  <c r="C15470" i="1"/>
  <c r="A15471" i="1"/>
  <c r="C15471" i="1"/>
  <c r="A15472" i="1"/>
  <c r="C15472" i="1"/>
  <c r="A15473" i="1"/>
  <c r="C15473" i="1"/>
  <c r="A15474" i="1"/>
  <c r="C15474" i="1"/>
  <c r="A15475" i="1"/>
  <c r="C15475" i="1"/>
  <c r="A15476" i="1"/>
  <c r="C15476" i="1"/>
  <c r="A15477" i="1"/>
  <c r="C15477" i="1"/>
  <c r="A15478" i="1"/>
  <c r="C15478" i="1"/>
  <c r="A15479" i="1"/>
  <c r="C15479" i="1"/>
  <c r="A15480" i="1"/>
  <c r="C15480" i="1"/>
  <c r="A15481" i="1"/>
  <c r="C15481" i="1"/>
  <c r="A15482" i="1"/>
  <c r="C15482" i="1"/>
  <c r="A15483" i="1"/>
  <c r="C15483" i="1"/>
  <c r="A15484" i="1"/>
  <c r="C15484" i="1"/>
  <c r="A15485" i="1"/>
  <c r="C15485" i="1"/>
  <c r="A15486" i="1"/>
  <c r="C15486" i="1"/>
  <c r="A15487" i="1"/>
  <c r="C15487" i="1"/>
  <c r="A15488" i="1"/>
  <c r="C15488" i="1"/>
  <c r="A15489" i="1"/>
  <c r="C15489" i="1"/>
  <c r="A15490" i="1"/>
  <c r="C15490" i="1"/>
  <c r="A15491" i="1"/>
  <c r="C15491" i="1"/>
  <c r="A15492" i="1"/>
  <c r="C15492" i="1"/>
  <c r="A15493" i="1"/>
  <c r="C15493" i="1"/>
  <c r="A15494" i="1"/>
  <c r="C15494" i="1"/>
  <c r="A15495" i="1"/>
  <c r="C15495" i="1"/>
  <c r="A15496" i="1"/>
  <c r="C15496" i="1"/>
  <c r="A15497" i="1"/>
  <c r="C15497" i="1"/>
  <c r="A15498" i="1"/>
  <c r="C15498" i="1"/>
  <c r="A15499" i="1"/>
  <c r="C15499" i="1"/>
  <c r="A15500" i="1"/>
  <c r="C15500" i="1"/>
  <c r="A15501" i="1"/>
  <c r="C15501" i="1"/>
  <c r="A15502" i="1"/>
  <c r="C15502" i="1"/>
  <c r="A15503" i="1"/>
  <c r="C15503" i="1"/>
  <c r="A15504" i="1"/>
  <c r="C15504" i="1"/>
  <c r="A15505" i="1"/>
  <c r="C15505" i="1"/>
  <c r="A15506" i="1"/>
  <c r="C15506" i="1"/>
  <c r="A15507" i="1"/>
  <c r="C15507" i="1"/>
  <c r="A15508" i="1"/>
  <c r="C15508" i="1"/>
  <c r="A15509" i="1"/>
  <c r="C15509" i="1"/>
  <c r="A15510" i="1"/>
  <c r="C15510" i="1"/>
  <c r="A15511" i="1"/>
  <c r="C15511" i="1"/>
  <c r="A15512" i="1"/>
  <c r="C15512" i="1"/>
  <c r="A15513" i="1"/>
  <c r="C15513" i="1"/>
  <c r="A15514" i="1"/>
  <c r="C15514" i="1"/>
  <c r="A15515" i="1"/>
  <c r="C15515" i="1"/>
  <c r="A15516" i="1"/>
  <c r="C15516" i="1"/>
  <c r="A15517" i="1"/>
  <c r="C15517" i="1"/>
  <c r="A15518" i="1"/>
  <c r="C15518" i="1"/>
  <c r="A15519" i="1"/>
  <c r="C15519" i="1"/>
  <c r="A15520" i="1"/>
  <c r="C15520" i="1"/>
  <c r="A15521" i="1"/>
  <c r="C15521" i="1"/>
  <c r="A15522" i="1"/>
  <c r="C15522" i="1"/>
  <c r="A15523" i="1"/>
  <c r="C15523" i="1"/>
  <c r="A15524" i="1"/>
  <c r="C15524" i="1"/>
  <c r="A15525" i="1"/>
  <c r="C15525" i="1"/>
  <c r="A15526" i="1"/>
  <c r="C15526" i="1"/>
  <c r="A15527" i="1"/>
  <c r="C15527" i="1"/>
  <c r="A15528" i="1"/>
  <c r="C15528" i="1"/>
  <c r="A15529" i="1"/>
  <c r="C15529" i="1"/>
  <c r="A15530" i="1"/>
  <c r="C15530" i="1"/>
  <c r="A15531" i="1"/>
  <c r="C15531" i="1"/>
  <c r="A15532" i="1"/>
  <c r="C15532" i="1"/>
  <c r="A15533" i="1"/>
  <c r="C15533" i="1"/>
  <c r="A15534" i="1"/>
  <c r="C15534" i="1"/>
  <c r="A15535" i="1"/>
  <c r="C15535" i="1"/>
  <c r="A15536" i="1"/>
  <c r="C15536" i="1"/>
  <c r="A15537" i="1"/>
  <c r="C15537" i="1"/>
  <c r="A15538" i="1"/>
  <c r="C15538" i="1"/>
  <c r="A15539" i="1"/>
  <c r="C15539" i="1"/>
  <c r="A15540" i="1"/>
  <c r="C15540" i="1"/>
  <c r="A15541" i="1"/>
  <c r="C15541" i="1"/>
  <c r="A15542" i="1"/>
  <c r="C15542" i="1"/>
  <c r="A15543" i="1"/>
  <c r="C15543" i="1"/>
  <c r="A15544" i="1"/>
  <c r="C15544" i="1"/>
  <c r="A15545" i="1"/>
  <c r="C15545" i="1"/>
  <c r="A15546" i="1"/>
  <c r="C15546" i="1"/>
  <c r="A15547" i="1"/>
  <c r="C15547" i="1"/>
  <c r="A15548" i="1"/>
  <c r="C15548" i="1"/>
  <c r="A15549" i="1"/>
  <c r="C15549" i="1"/>
  <c r="A15550" i="1"/>
  <c r="C15550" i="1"/>
  <c r="A15551" i="1"/>
  <c r="C15551" i="1"/>
  <c r="A15552" i="1"/>
  <c r="C15552" i="1"/>
  <c r="A15553" i="1"/>
  <c r="C15553" i="1"/>
  <c r="A15554" i="1"/>
  <c r="C15554" i="1"/>
  <c r="A15555" i="1"/>
  <c r="C15555" i="1"/>
  <c r="A15556" i="1"/>
  <c r="C15556" i="1"/>
  <c r="A15557" i="1"/>
  <c r="C15557" i="1"/>
  <c r="A15558" i="1"/>
  <c r="C15558" i="1"/>
  <c r="A15559" i="1"/>
  <c r="C15559" i="1"/>
  <c r="A15560" i="1"/>
  <c r="C15560" i="1"/>
  <c r="A15561" i="1"/>
  <c r="C15561" i="1"/>
  <c r="A15562" i="1"/>
  <c r="C15562" i="1"/>
  <c r="A15563" i="1"/>
  <c r="C15563" i="1"/>
  <c r="A15564" i="1"/>
  <c r="C15564" i="1"/>
  <c r="A15565" i="1"/>
  <c r="C15565" i="1"/>
  <c r="A15566" i="1"/>
  <c r="C15566" i="1"/>
  <c r="A15567" i="1"/>
  <c r="C15567" i="1"/>
  <c r="A15568" i="1"/>
  <c r="C15568" i="1"/>
  <c r="A15569" i="1"/>
  <c r="C15569" i="1"/>
  <c r="A15570" i="1"/>
  <c r="C15570" i="1"/>
  <c r="A15571" i="1"/>
  <c r="C15571" i="1"/>
  <c r="A15572" i="1"/>
  <c r="C15572" i="1"/>
  <c r="A15573" i="1"/>
  <c r="C15573" i="1"/>
  <c r="A15574" i="1"/>
  <c r="C15574" i="1"/>
  <c r="A15575" i="1"/>
  <c r="C15575" i="1"/>
  <c r="A15576" i="1"/>
  <c r="C15576" i="1"/>
  <c r="A15577" i="1"/>
  <c r="C15577" i="1"/>
  <c r="A15578" i="1"/>
  <c r="C15578" i="1"/>
  <c r="A15579" i="1"/>
  <c r="C15579" i="1"/>
  <c r="A15580" i="1"/>
  <c r="C15580" i="1"/>
  <c r="A15581" i="1"/>
  <c r="C15581" i="1"/>
  <c r="A15582" i="1"/>
  <c r="C15582" i="1"/>
  <c r="A15583" i="1"/>
  <c r="C15583" i="1"/>
  <c r="A15584" i="1"/>
  <c r="C15584" i="1"/>
  <c r="A15585" i="1"/>
  <c r="C15585" i="1"/>
  <c r="A15586" i="1"/>
  <c r="C15586" i="1"/>
  <c r="A15587" i="1"/>
  <c r="C15587" i="1"/>
  <c r="A15588" i="1"/>
  <c r="C15588" i="1"/>
  <c r="A15589" i="1"/>
  <c r="C15589" i="1"/>
  <c r="A15590" i="1"/>
  <c r="C15590" i="1"/>
  <c r="A15591" i="1"/>
  <c r="C15591" i="1"/>
  <c r="A15592" i="1"/>
  <c r="C15592" i="1"/>
  <c r="A15593" i="1"/>
  <c r="C15593" i="1"/>
  <c r="A15594" i="1"/>
  <c r="C15594" i="1"/>
  <c r="A15595" i="1"/>
  <c r="C15595" i="1"/>
  <c r="A15596" i="1"/>
  <c r="C15596" i="1"/>
  <c r="A15597" i="1"/>
  <c r="C15597" i="1"/>
  <c r="A15598" i="1"/>
  <c r="C15598" i="1"/>
  <c r="A15599" i="1"/>
  <c r="C15599" i="1"/>
  <c r="A15600" i="1"/>
  <c r="C15600" i="1"/>
  <c r="A15601" i="1"/>
  <c r="C15601" i="1"/>
  <c r="A15602" i="1"/>
  <c r="C15602" i="1"/>
  <c r="A15603" i="1"/>
  <c r="C15603" i="1"/>
  <c r="A15604" i="1"/>
  <c r="C15604" i="1"/>
  <c r="A15605" i="1"/>
  <c r="C15605" i="1"/>
  <c r="A15606" i="1"/>
  <c r="C15606" i="1"/>
  <c r="A15607" i="1"/>
  <c r="C15607" i="1"/>
  <c r="A15608" i="1"/>
  <c r="C15608" i="1"/>
  <c r="A15609" i="1"/>
  <c r="C15609" i="1"/>
  <c r="A15610" i="1"/>
  <c r="C15610" i="1"/>
  <c r="A15611" i="1"/>
  <c r="C15611" i="1"/>
  <c r="A15612" i="1"/>
  <c r="C15612" i="1"/>
  <c r="A15613" i="1"/>
  <c r="C15613" i="1"/>
  <c r="A15614" i="1"/>
  <c r="C15614" i="1"/>
  <c r="A15615" i="1"/>
  <c r="C15615" i="1"/>
  <c r="A15616" i="1"/>
  <c r="C15616" i="1"/>
  <c r="A15617" i="1"/>
  <c r="C15617" i="1"/>
  <c r="A15618" i="1"/>
  <c r="C15618" i="1"/>
  <c r="A15619" i="1"/>
  <c r="C15619" i="1"/>
  <c r="A15620" i="1"/>
  <c r="C15620" i="1"/>
  <c r="A15621" i="1"/>
  <c r="C15621" i="1"/>
  <c r="A15622" i="1"/>
  <c r="C15622" i="1"/>
  <c r="A15623" i="1"/>
  <c r="C15623" i="1"/>
  <c r="A15624" i="1"/>
  <c r="C15624" i="1"/>
  <c r="A15625" i="1"/>
  <c r="C15625" i="1"/>
  <c r="A15626" i="1"/>
  <c r="C15626" i="1"/>
  <c r="A15627" i="1"/>
  <c r="C15627" i="1"/>
  <c r="A15628" i="1"/>
  <c r="C15628" i="1"/>
  <c r="A15629" i="1"/>
  <c r="C15629" i="1"/>
  <c r="A15630" i="1"/>
  <c r="C15630" i="1"/>
  <c r="A15631" i="1"/>
  <c r="C15631" i="1"/>
  <c r="A15632" i="1"/>
  <c r="C15632" i="1"/>
  <c r="A15633" i="1"/>
  <c r="C15633" i="1"/>
  <c r="A15634" i="1"/>
  <c r="C15634" i="1"/>
  <c r="A15635" i="1"/>
  <c r="C15635" i="1"/>
  <c r="A15636" i="1"/>
  <c r="C15636" i="1"/>
  <c r="A15637" i="1"/>
  <c r="C15637" i="1"/>
  <c r="A15638" i="1"/>
  <c r="C15638" i="1"/>
  <c r="A15639" i="1"/>
  <c r="C15639" i="1"/>
  <c r="A15640" i="1"/>
  <c r="C15640" i="1"/>
  <c r="A15641" i="1"/>
  <c r="C15641" i="1"/>
  <c r="A15642" i="1"/>
  <c r="C15642" i="1"/>
  <c r="A15643" i="1"/>
  <c r="C15643" i="1"/>
  <c r="A15644" i="1"/>
  <c r="C15644" i="1"/>
  <c r="A15645" i="1"/>
  <c r="C15645" i="1"/>
  <c r="A15646" i="1"/>
  <c r="C15646" i="1"/>
  <c r="A15647" i="1"/>
  <c r="C15647" i="1"/>
  <c r="A15648" i="1"/>
  <c r="C15648" i="1"/>
  <c r="A15649" i="1"/>
  <c r="C15649" i="1"/>
  <c r="A15650" i="1"/>
  <c r="C15650" i="1"/>
  <c r="A15651" i="1"/>
  <c r="C15651" i="1"/>
  <c r="A15652" i="1"/>
  <c r="C15652" i="1"/>
  <c r="A15653" i="1"/>
  <c r="C15653" i="1"/>
  <c r="A15654" i="1"/>
  <c r="C15654" i="1"/>
  <c r="A15655" i="1"/>
  <c r="C15655" i="1"/>
  <c r="A15656" i="1"/>
  <c r="C15656" i="1"/>
  <c r="A15657" i="1"/>
  <c r="C15657" i="1"/>
  <c r="A15658" i="1"/>
  <c r="C15658" i="1"/>
  <c r="A15659" i="1"/>
  <c r="C15659" i="1"/>
  <c r="A15660" i="1"/>
  <c r="C15660" i="1"/>
  <c r="A15661" i="1"/>
  <c r="C15661" i="1"/>
  <c r="A15662" i="1"/>
  <c r="C15662" i="1"/>
  <c r="A15663" i="1"/>
  <c r="C15663" i="1"/>
  <c r="A15664" i="1"/>
  <c r="C15664" i="1"/>
  <c r="A15665" i="1"/>
  <c r="C15665" i="1"/>
  <c r="A15666" i="1"/>
  <c r="C15666" i="1"/>
  <c r="A15667" i="1"/>
  <c r="C15667" i="1"/>
  <c r="A15668" i="1"/>
  <c r="C15668" i="1"/>
  <c r="A15669" i="1"/>
  <c r="C15669" i="1"/>
  <c r="A15670" i="1"/>
  <c r="C15670" i="1"/>
  <c r="A15671" i="1"/>
  <c r="C15671" i="1"/>
  <c r="A15672" i="1"/>
  <c r="C15672" i="1"/>
  <c r="A15673" i="1"/>
  <c r="C15673" i="1"/>
  <c r="A15674" i="1"/>
  <c r="C15674" i="1"/>
  <c r="A15675" i="1"/>
  <c r="C15675" i="1"/>
  <c r="A15676" i="1"/>
  <c r="C15676" i="1"/>
  <c r="A15677" i="1"/>
  <c r="C15677" i="1"/>
  <c r="A15678" i="1"/>
  <c r="C15678" i="1"/>
  <c r="A15679" i="1"/>
  <c r="C15679" i="1"/>
  <c r="A15680" i="1"/>
  <c r="C15680" i="1"/>
  <c r="A15681" i="1"/>
  <c r="C15681" i="1"/>
  <c r="A15682" i="1"/>
  <c r="C15682" i="1"/>
  <c r="A15683" i="1"/>
  <c r="C15683" i="1"/>
  <c r="A15684" i="1"/>
  <c r="C15684" i="1"/>
  <c r="A15685" i="1"/>
  <c r="C15685" i="1"/>
  <c r="A15686" i="1"/>
  <c r="C15686" i="1"/>
  <c r="A15687" i="1"/>
  <c r="C15687" i="1"/>
  <c r="A15688" i="1"/>
  <c r="C15688" i="1"/>
  <c r="A15689" i="1"/>
  <c r="C15689" i="1"/>
  <c r="A15690" i="1"/>
  <c r="C15690" i="1"/>
  <c r="A15691" i="1"/>
  <c r="C15691" i="1"/>
  <c r="A15692" i="1"/>
  <c r="C15692" i="1"/>
  <c r="A15693" i="1"/>
  <c r="C15693" i="1"/>
  <c r="A15694" i="1"/>
  <c r="C15694" i="1"/>
  <c r="A15695" i="1"/>
  <c r="C15695" i="1"/>
  <c r="A15696" i="1"/>
  <c r="C15696" i="1"/>
  <c r="A15697" i="1"/>
  <c r="C15697" i="1"/>
  <c r="A15698" i="1"/>
  <c r="C15698" i="1"/>
  <c r="A15699" i="1"/>
  <c r="C15699" i="1"/>
  <c r="A15700" i="1"/>
  <c r="C15700" i="1"/>
  <c r="A15701" i="1"/>
  <c r="C15701" i="1"/>
  <c r="A15702" i="1"/>
  <c r="C15702" i="1"/>
  <c r="A15703" i="1"/>
  <c r="C15703" i="1"/>
  <c r="A15704" i="1"/>
  <c r="C15704" i="1"/>
  <c r="A15705" i="1"/>
  <c r="C15705" i="1"/>
  <c r="A15706" i="1"/>
  <c r="C15706" i="1"/>
  <c r="A15707" i="1"/>
  <c r="C15707" i="1"/>
  <c r="A15708" i="1"/>
  <c r="C15708" i="1"/>
  <c r="A15709" i="1"/>
  <c r="C15709" i="1"/>
  <c r="A15710" i="1"/>
  <c r="C15710" i="1"/>
  <c r="A15711" i="1"/>
  <c r="C15711" i="1"/>
  <c r="A15712" i="1"/>
  <c r="C15712" i="1"/>
  <c r="A15713" i="1"/>
  <c r="C15713" i="1"/>
  <c r="A15714" i="1"/>
  <c r="C15714" i="1"/>
  <c r="A15715" i="1"/>
  <c r="C15715" i="1"/>
  <c r="A15716" i="1"/>
  <c r="C15716" i="1"/>
  <c r="A15717" i="1"/>
  <c r="C15717" i="1"/>
  <c r="A15718" i="1"/>
  <c r="C15718" i="1"/>
  <c r="A15719" i="1"/>
  <c r="C15719" i="1"/>
  <c r="A15720" i="1"/>
  <c r="C15720" i="1"/>
  <c r="A15721" i="1"/>
  <c r="C15721" i="1"/>
  <c r="A15722" i="1"/>
  <c r="C15722" i="1"/>
  <c r="A15723" i="1"/>
  <c r="C15723" i="1"/>
  <c r="A15724" i="1"/>
  <c r="C15724" i="1"/>
  <c r="A15725" i="1"/>
  <c r="C15725" i="1"/>
  <c r="A15726" i="1"/>
  <c r="C15726" i="1"/>
  <c r="A15727" i="1"/>
  <c r="C15727" i="1"/>
  <c r="A15728" i="1"/>
  <c r="C15728" i="1"/>
  <c r="A15729" i="1"/>
  <c r="C15729" i="1"/>
  <c r="A15730" i="1"/>
  <c r="C15730" i="1"/>
  <c r="A15731" i="1"/>
  <c r="C15731" i="1"/>
  <c r="A15732" i="1"/>
  <c r="C15732" i="1"/>
  <c r="A15733" i="1"/>
  <c r="C15733" i="1"/>
  <c r="A15734" i="1"/>
  <c r="C15734" i="1"/>
  <c r="A15735" i="1"/>
  <c r="C15735" i="1"/>
  <c r="A15736" i="1"/>
  <c r="C15736" i="1"/>
  <c r="A15737" i="1"/>
  <c r="C15737" i="1"/>
  <c r="A15738" i="1"/>
  <c r="C15738" i="1"/>
  <c r="A15739" i="1"/>
  <c r="C15739" i="1"/>
  <c r="A15740" i="1"/>
  <c r="C15740" i="1"/>
  <c r="A15741" i="1"/>
  <c r="C15741" i="1"/>
  <c r="A15742" i="1"/>
  <c r="C15742" i="1"/>
  <c r="A15743" i="1"/>
  <c r="C15743" i="1"/>
  <c r="A15744" i="1"/>
  <c r="C15744" i="1"/>
  <c r="A15745" i="1"/>
  <c r="C15745" i="1"/>
  <c r="A15746" i="1"/>
  <c r="C15746" i="1"/>
  <c r="A15747" i="1"/>
  <c r="C15747" i="1"/>
  <c r="A15748" i="1"/>
  <c r="C15748" i="1"/>
  <c r="A15749" i="1"/>
  <c r="C15749" i="1"/>
  <c r="A15750" i="1"/>
  <c r="C15750" i="1"/>
  <c r="A15751" i="1"/>
  <c r="C15751" i="1"/>
  <c r="A15752" i="1"/>
  <c r="C15752" i="1"/>
  <c r="A15753" i="1"/>
  <c r="C15753" i="1"/>
  <c r="A15754" i="1"/>
  <c r="C15754" i="1"/>
  <c r="A15755" i="1"/>
  <c r="C15755" i="1"/>
  <c r="A15756" i="1"/>
  <c r="C15756" i="1"/>
  <c r="A15757" i="1"/>
  <c r="C15757" i="1"/>
  <c r="A15758" i="1"/>
  <c r="C15758" i="1"/>
  <c r="A15759" i="1"/>
  <c r="C15759" i="1"/>
  <c r="A15760" i="1"/>
  <c r="C15760" i="1"/>
  <c r="A15761" i="1"/>
  <c r="C15761" i="1"/>
  <c r="A15762" i="1"/>
  <c r="C15762" i="1"/>
  <c r="A15763" i="1"/>
  <c r="C15763" i="1"/>
  <c r="A15764" i="1"/>
  <c r="C15764" i="1"/>
  <c r="A15765" i="1"/>
  <c r="C15765" i="1"/>
  <c r="A15766" i="1"/>
  <c r="C15766" i="1"/>
  <c r="A15767" i="1"/>
  <c r="C15767" i="1"/>
  <c r="A15768" i="1"/>
  <c r="C15768" i="1"/>
  <c r="A15769" i="1"/>
  <c r="C15769" i="1"/>
  <c r="A15770" i="1"/>
  <c r="C15770" i="1"/>
  <c r="A15771" i="1"/>
  <c r="C15771" i="1"/>
  <c r="A15772" i="1"/>
  <c r="C15772" i="1"/>
  <c r="A15773" i="1"/>
  <c r="C15773" i="1"/>
  <c r="A15774" i="1"/>
  <c r="C15774" i="1"/>
  <c r="A15775" i="1"/>
  <c r="C15775" i="1"/>
  <c r="A15776" i="1"/>
  <c r="C15776" i="1"/>
  <c r="A15777" i="1"/>
  <c r="C15777" i="1"/>
  <c r="A15778" i="1"/>
  <c r="C15778" i="1"/>
  <c r="A15779" i="1"/>
  <c r="C15779" i="1"/>
  <c r="A15780" i="1"/>
  <c r="C15780" i="1"/>
  <c r="A15781" i="1"/>
  <c r="C15781" i="1"/>
  <c r="A15782" i="1"/>
  <c r="C15782" i="1"/>
  <c r="A15783" i="1"/>
  <c r="C15783" i="1"/>
  <c r="A15784" i="1"/>
  <c r="C15784" i="1"/>
  <c r="A15785" i="1"/>
  <c r="C15785" i="1"/>
  <c r="A15786" i="1"/>
  <c r="C15786" i="1"/>
  <c r="A15787" i="1"/>
  <c r="C15787" i="1"/>
  <c r="A15788" i="1"/>
  <c r="C15788" i="1"/>
  <c r="A15789" i="1"/>
  <c r="C15789" i="1"/>
  <c r="A15790" i="1"/>
  <c r="C15790" i="1"/>
  <c r="A15791" i="1"/>
  <c r="C15791" i="1"/>
  <c r="A15792" i="1"/>
  <c r="C15792" i="1"/>
  <c r="A15793" i="1"/>
  <c r="C15793" i="1"/>
  <c r="A15794" i="1"/>
  <c r="C15794" i="1"/>
  <c r="A15795" i="1"/>
  <c r="C15795" i="1"/>
  <c r="A15796" i="1"/>
  <c r="C15796" i="1"/>
  <c r="A15797" i="1"/>
  <c r="C15797" i="1"/>
  <c r="A15798" i="1"/>
  <c r="C15798" i="1"/>
  <c r="A15799" i="1"/>
  <c r="C15799" i="1"/>
  <c r="A15800" i="1"/>
  <c r="C15800" i="1"/>
  <c r="A15801" i="1"/>
  <c r="C15801" i="1"/>
  <c r="A15802" i="1"/>
  <c r="C15802" i="1"/>
  <c r="A15803" i="1"/>
  <c r="C15803" i="1"/>
  <c r="A15804" i="1"/>
  <c r="C15804" i="1"/>
  <c r="A15805" i="1"/>
  <c r="C15805" i="1"/>
  <c r="A15806" i="1"/>
  <c r="C15806" i="1"/>
  <c r="A15807" i="1"/>
  <c r="C15807" i="1"/>
  <c r="A15808" i="1"/>
  <c r="C15808" i="1"/>
  <c r="A15809" i="1"/>
  <c r="C15809" i="1"/>
  <c r="A15810" i="1"/>
  <c r="C15810" i="1"/>
  <c r="A15811" i="1"/>
  <c r="C15811" i="1"/>
  <c r="A15812" i="1"/>
  <c r="C15812" i="1"/>
  <c r="A15813" i="1"/>
  <c r="C15813" i="1"/>
  <c r="A15814" i="1"/>
  <c r="C15814" i="1"/>
  <c r="A15815" i="1"/>
  <c r="C15815" i="1"/>
  <c r="A15816" i="1"/>
  <c r="C15816" i="1"/>
  <c r="A15817" i="1"/>
  <c r="C15817" i="1"/>
  <c r="A15818" i="1"/>
  <c r="C15818" i="1"/>
  <c r="A15819" i="1"/>
  <c r="C15819" i="1"/>
  <c r="A15820" i="1"/>
  <c r="C15820" i="1"/>
  <c r="A15821" i="1"/>
  <c r="C15821" i="1"/>
  <c r="A15822" i="1"/>
  <c r="C15822" i="1"/>
  <c r="A15823" i="1"/>
  <c r="C15823" i="1"/>
  <c r="A15824" i="1"/>
  <c r="C15824" i="1"/>
  <c r="A15825" i="1"/>
  <c r="C15825" i="1"/>
  <c r="A15826" i="1"/>
  <c r="C15826" i="1"/>
  <c r="A15827" i="1"/>
  <c r="C15827" i="1"/>
  <c r="A15828" i="1"/>
  <c r="C15828" i="1"/>
  <c r="A15829" i="1"/>
  <c r="C15829" i="1"/>
  <c r="A15830" i="1"/>
  <c r="C15830" i="1"/>
  <c r="A15831" i="1"/>
  <c r="C15831" i="1"/>
  <c r="A15832" i="1"/>
  <c r="C15832" i="1"/>
  <c r="A15833" i="1"/>
  <c r="C15833" i="1"/>
  <c r="A15834" i="1"/>
  <c r="C15834" i="1"/>
  <c r="A15835" i="1"/>
  <c r="C15835" i="1"/>
  <c r="A15836" i="1"/>
  <c r="C15836" i="1"/>
  <c r="A15837" i="1"/>
  <c r="C15837" i="1"/>
  <c r="A15838" i="1"/>
  <c r="C15838" i="1"/>
  <c r="A15839" i="1"/>
  <c r="C15839" i="1"/>
  <c r="A15840" i="1"/>
  <c r="C15840" i="1"/>
  <c r="A15841" i="1"/>
  <c r="C15841" i="1"/>
  <c r="A15842" i="1"/>
  <c r="C15842" i="1"/>
  <c r="A15843" i="1"/>
  <c r="C15843" i="1"/>
  <c r="A15844" i="1"/>
  <c r="C15844" i="1"/>
  <c r="A15845" i="1"/>
  <c r="C15845" i="1"/>
  <c r="A15846" i="1"/>
  <c r="C15846" i="1"/>
  <c r="A15847" i="1"/>
  <c r="C15847" i="1"/>
  <c r="A15848" i="1"/>
  <c r="C15848" i="1"/>
  <c r="A15849" i="1"/>
  <c r="C15849" i="1"/>
  <c r="A15850" i="1"/>
  <c r="C15850" i="1"/>
  <c r="A15851" i="1"/>
  <c r="C15851" i="1"/>
  <c r="A15852" i="1"/>
  <c r="C15852" i="1"/>
  <c r="A15853" i="1"/>
  <c r="C15853" i="1"/>
  <c r="A15854" i="1"/>
  <c r="C15854" i="1"/>
  <c r="A15855" i="1"/>
  <c r="C15855" i="1"/>
  <c r="A15856" i="1"/>
  <c r="C15856" i="1"/>
  <c r="A15857" i="1"/>
  <c r="C15857" i="1"/>
  <c r="A15858" i="1"/>
  <c r="C15858" i="1"/>
  <c r="A15859" i="1"/>
  <c r="C15859" i="1"/>
  <c r="A15860" i="1"/>
  <c r="C15860" i="1"/>
  <c r="A15861" i="1"/>
  <c r="C15861" i="1"/>
  <c r="A15862" i="1"/>
  <c r="C15862" i="1"/>
  <c r="A15863" i="1"/>
  <c r="C15863" i="1"/>
  <c r="A15864" i="1"/>
  <c r="C15864" i="1"/>
  <c r="A15865" i="1"/>
  <c r="C15865" i="1"/>
  <c r="A15866" i="1"/>
  <c r="C15866" i="1"/>
  <c r="A15867" i="1"/>
  <c r="C15867" i="1"/>
  <c r="A15868" i="1"/>
  <c r="C15868" i="1"/>
  <c r="A15869" i="1"/>
  <c r="C15869" i="1"/>
  <c r="A15870" i="1"/>
  <c r="C15870" i="1"/>
  <c r="A15871" i="1"/>
  <c r="C15871" i="1"/>
  <c r="A15872" i="1"/>
  <c r="C15872" i="1"/>
  <c r="A15873" i="1"/>
  <c r="C15873" i="1"/>
  <c r="A15874" i="1"/>
  <c r="C15874" i="1"/>
  <c r="A15875" i="1"/>
  <c r="C15875" i="1"/>
  <c r="A15876" i="1"/>
  <c r="C15876" i="1"/>
  <c r="A15877" i="1"/>
  <c r="C15877" i="1"/>
  <c r="A15878" i="1"/>
  <c r="C15878" i="1"/>
  <c r="A15879" i="1"/>
  <c r="C15879" i="1"/>
  <c r="A15880" i="1"/>
  <c r="C15880" i="1"/>
  <c r="A15881" i="1"/>
  <c r="C15881" i="1"/>
  <c r="A15882" i="1"/>
  <c r="C15882" i="1"/>
  <c r="A15883" i="1"/>
  <c r="C15883" i="1"/>
  <c r="A15884" i="1"/>
  <c r="C15884" i="1"/>
  <c r="A15885" i="1"/>
  <c r="C15885" i="1"/>
  <c r="A15886" i="1"/>
  <c r="C15886" i="1"/>
  <c r="A15887" i="1"/>
  <c r="C15887" i="1"/>
  <c r="A15888" i="1"/>
  <c r="C15888" i="1"/>
  <c r="A15889" i="1"/>
  <c r="C15889" i="1"/>
  <c r="A15890" i="1"/>
  <c r="C15890" i="1"/>
  <c r="A15891" i="1"/>
  <c r="C15891" i="1"/>
  <c r="A15892" i="1"/>
  <c r="C15892" i="1"/>
  <c r="A15893" i="1"/>
  <c r="C15893" i="1"/>
  <c r="A15894" i="1"/>
  <c r="C15894" i="1"/>
  <c r="A15895" i="1"/>
  <c r="C15895" i="1"/>
  <c r="A15896" i="1"/>
  <c r="C15896" i="1"/>
  <c r="A15897" i="1"/>
  <c r="C15897" i="1"/>
  <c r="A15898" i="1"/>
  <c r="C15898" i="1"/>
  <c r="A15899" i="1"/>
  <c r="C15899" i="1"/>
  <c r="A15900" i="1"/>
  <c r="C15900" i="1"/>
  <c r="A15901" i="1"/>
  <c r="C15901" i="1"/>
  <c r="A15902" i="1"/>
  <c r="C15902" i="1"/>
  <c r="A15903" i="1"/>
  <c r="C15903" i="1"/>
  <c r="A15904" i="1"/>
  <c r="C15904" i="1"/>
  <c r="A15905" i="1"/>
  <c r="C15905" i="1"/>
  <c r="A15906" i="1"/>
  <c r="C15906" i="1"/>
  <c r="A15907" i="1"/>
  <c r="C15907" i="1"/>
  <c r="A15908" i="1"/>
  <c r="C15908" i="1"/>
  <c r="A15909" i="1"/>
  <c r="C15909" i="1"/>
  <c r="A15910" i="1"/>
  <c r="C15910" i="1"/>
  <c r="A15911" i="1"/>
  <c r="C15911" i="1"/>
  <c r="A15912" i="1"/>
  <c r="C15912" i="1"/>
  <c r="A15913" i="1"/>
  <c r="C15913" i="1"/>
  <c r="A15914" i="1"/>
  <c r="C15914" i="1"/>
  <c r="A15915" i="1"/>
  <c r="C15915" i="1"/>
  <c r="A15916" i="1"/>
  <c r="C15916" i="1"/>
  <c r="A15917" i="1"/>
  <c r="C15917" i="1"/>
  <c r="A15918" i="1"/>
  <c r="C15918" i="1"/>
  <c r="A15919" i="1"/>
  <c r="C15919" i="1"/>
  <c r="A15920" i="1"/>
  <c r="C15920" i="1"/>
  <c r="A15921" i="1"/>
  <c r="C15921" i="1"/>
  <c r="A15922" i="1"/>
  <c r="C15922" i="1"/>
  <c r="A15923" i="1"/>
  <c r="C15923" i="1"/>
  <c r="A15924" i="1"/>
  <c r="C15924" i="1"/>
  <c r="A15925" i="1"/>
  <c r="C15925" i="1"/>
  <c r="A15926" i="1"/>
  <c r="C15926" i="1"/>
  <c r="A15927" i="1"/>
  <c r="C15927" i="1"/>
  <c r="A15928" i="1"/>
  <c r="C15928" i="1"/>
  <c r="A15929" i="1"/>
  <c r="C15929" i="1"/>
  <c r="A15930" i="1"/>
  <c r="C15930" i="1"/>
  <c r="A15931" i="1"/>
  <c r="C15931" i="1"/>
  <c r="A15932" i="1"/>
  <c r="C15932" i="1"/>
  <c r="A15933" i="1"/>
  <c r="C15933" i="1"/>
  <c r="A15934" i="1"/>
  <c r="C15934" i="1"/>
  <c r="A15935" i="1"/>
  <c r="C15935" i="1"/>
  <c r="A15936" i="1"/>
  <c r="C15936" i="1"/>
  <c r="A15937" i="1"/>
  <c r="C15937" i="1"/>
  <c r="A15938" i="1"/>
  <c r="C15938" i="1"/>
  <c r="A15939" i="1"/>
  <c r="C15939" i="1"/>
  <c r="A15940" i="1"/>
  <c r="C15940" i="1"/>
  <c r="A15941" i="1"/>
  <c r="C15941" i="1"/>
  <c r="A15942" i="1"/>
  <c r="C15942" i="1"/>
  <c r="A15943" i="1"/>
  <c r="C15943" i="1"/>
  <c r="A15944" i="1"/>
  <c r="C15944" i="1"/>
  <c r="A15945" i="1"/>
  <c r="C15945" i="1"/>
  <c r="A15946" i="1"/>
  <c r="C15946" i="1"/>
  <c r="A15947" i="1"/>
  <c r="C15947" i="1"/>
  <c r="A15948" i="1"/>
  <c r="C15948" i="1"/>
  <c r="A15949" i="1"/>
  <c r="C15949" i="1"/>
  <c r="A15950" i="1"/>
  <c r="C15950" i="1"/>
  <c r="A15951" i="1"/>
  <c r="C15951" i="1"/>
  <c r="A15952" i="1"/>
  <c r="C15952" i="1"/>
  <c r="A15953" i="1"/>
  <c r="C15953" i="1"/>
  <c r="A15954" i="1"/>
  <c r="C15954" i="1"/>
  <c r="A15955" i="1"/>
  <c r="C15955" i="1"/>
  <c r="A15956" i="1"/>
  <c r="C15956" i="1"/>
  <c r="A15957" i="1"/>
  <c r="C15957" i="1"/>
  <c r="A15958" i="1"/>
  <c r="C15958" i="1"/>
  <c r="A15959" i="1"/>
  <c r="C15959" i="1"/>
  <c r="A15960" i="1"/>
  <c r="C15960" i="1"/>
  <c r="A15961" i="1"/>
  <c r="C15961" i="1"/>
  <c r="A15962" i="1"/>
  <c r="C15962" i="1"/>
  <c r="A15963" i="1"/>
  <c r="C15963" i="1"/>
  <c r="A15964" i="1"/>
  <c r="C15964" i="1"/>
  <c r="A15965" i="1"/>
  <c r="C15965" i="1"/>
  <c r="A15966" i="1"/>
  <c r="C15966" i="1"/>
  <c r="A15967" i="1"/>
  <c r="C15967" i="1"/>
  <c r="A15968" i="1"/>
  <c r="C15968" i="1"/>
  <c r="A15969" i="1"/>
  <c r="C15969" i="1"/>
  <c r="A15970" i="1"/>
  <c r="C15970" i="1"/>
  <c r="A15971" i="1"/>
  <c r="C15971" i="1"/>
  <c r="A15972" i="1"/>
  <c r="C15972" i="1"/>
  <c r="A15973" i="1"/>
  <c r="C15973" i="1"/>
  <c r="A15974" i="1"/>
  <c r="C15974" i="1"/>
  <c r="A15975" i="1"/>
  <c r="C15975" i="1"/>
  <c r="A15976" i="1"/>
  <c r="C15976" i="1"/>
  <c r="A15977" i="1"/>
  <c r="C15977" i="1"/>
  <c r="A15978" i="1"/>
  <c r="C15978" i="1"/>
  <c r="A15979" i="1"/>
  <c r="C15979" i="1"/>
  <c r="A15980" i="1"/>
  <c r="C15980" i="1"/>
  <c r="A15981" i="1"/>
  <c r="C15981" i="1"/>
  <c r="A15982" i="1"/>
  <c r="C15982" i="1"/>
  <c r="A15983" i="1"/>
  <c r="C15983" i="1"/>
  <c r="A15984" i="1"/>
  <c r="C15984" i="1"/>
  <c r="A15985" i="1"/>
  <c r="C15985" i="1"/>
  <c r="A15986" i="1"/>
  <c r="C15986" i="1"/>
  <c r="A15987" i="1"/>
  <c r="C15987" i="1"/>
  <c r="A15988" i="1"/>
  <c r="C15988" i="1"/>
  <c r="A15989" i="1"/>
  <c r="C15989" i="1"/>
  <c r="A15990" i="1"/>
  <c r="C15990" i="1"/>
  <c r="A15991" i="1"/>
  <c r="C15991" i="1"/>
  <c r="A15992" i="1"/>
  <c r="C15992" i="1"/>
  <c r="A15993" i="1"/>
  <c r="C15993" i="1"/>
  <c r="A15994" i="1"/>
  <c r="C15994" i="1"/>
  <c r="A15995" i="1"/>
  <c r="C15995" i="1"/>
  <c r="A15996" i="1"/>
  <c r="C15996" i="1"/>
  <c r="A15997" i="1"/>
  <c r="C15997" i="1"/>
  <c r="A15998" i="1"/>
  <c r="C15998" i="1"/>
  <c r="A15999" i="1"/>
  <c r="C15999" i="1"/>
  <c r="A16000" i="1"/>
  <c r="C16000" i="1"/>
  <c r="A16001" i="1"/>
  <c r="C16001" i="1"/>
  <c r="A16002" i="1"/>
  <c r="C16002" i="1"/>
  <c r="A16003" i="1"/>
  <c r="C16003" i="1"/>
  <c r="A16004" i="1"/>
  <c r="C16004" i="1"/>
  <c r="A16005" i="1"/>
  <c r="C16005" i="1"/>
  <c r="A16006" i="1"/>
  <c r="C16006" i="1"/>
  <c r="A16007" i="1"/>
  <c r="C16007" i="1"/>
  <c r="A16008" i="1"/>
  <c r="C16008" i="1"/>
  <c r="A16009" i="1"/>
  <c r="C16009" i="1"/>
  <c r="A16010" i="1"/>
  <c r="C16010" i="1"/>
  <c r="A16011" i="1"/>
  <c r="C16011" i="1"/>
  <c r="A16012" i="1"/>
  <c r="C16012" i="1"/>
  <c r="A16013" i="1"/>
  <c r="C16013" i="1"/>
  <c r="A16014" i="1"/>
  <c r="C16014" i="1"/>
  <c r="A16015" i="1"/>
  <c r="C16015" i="1"/>
  <c r="A16016" i="1"/>
  <c r="C16016" i="1"/>
  <c r="A16017" i="1"/>
  <c r="C16017" i="1"/>
  <c r="A16018" i="1"/>
  <c r="C16018" i="1"/>
  <c r="A16019" i="1"/>
  <c r="C16019" i="1"/>
  <c r="A16020" i="1"/>
  <c r="C16020" i="1"/>
  <c r="A16021" i="1"/>
  <c r="C16021" i="1"/>
  <c r="A16022" i="1"/>
  <c r="C16022" i="1"/>
  <c r="A16023" i="1"/>
  <c r="C16023" i="1"/>
  <c r="A16024" i="1"/>
  <c r="C16024" i="1"/>
  <c r="A16025" i="1"/>
  <c r="C16025" i="1"/>
  <c r="A16026" i="1"/>
  <c r="C16026" i="1"/>
  <c r="A16027" i="1"/>
  <c r="C16027" i="1"/>
  <c r="A16028" i="1"/>
  <c r="C16028" i="1"/>
  <c r="A16029" i="1"/>
  <c r="C16029" i="1"/>
  <c r="A16030" i="1"/>
  <c r="C16030" i="1"/>
  <c r="A16031" i="1"/>
  <c r="C16031" i="1"/>
  <c r="A16032" i="1"/>
  <c r="C16032" i="1"/>
  <c r="A16033" i="1"/>
  <c r="C16033" i="1"/>
  <c r="A16034" i="1"/>
  <c r="C16034" i="1"/>
  <c r="A16035" i="1"/>
  <c r="C16035" i="1"/>
  <c r="A16036" i="1"/>
  <c r="C16036" i="1"/>
  <c r="A16037" i="1"/>
  <c r="C16037" i="1"/>
  <c r="A16038" i="1"/>
  <c r="C16038" i="1"/>
  <c r="A16039" i="1"/>
  <c r="C16039" i="1"/>
  <c r="A16040" i="1"/>
  <c r="C16040" i="1"/>
  <c r="A16041" i="1"/>
  <c r="C16041" i="1"/>
  <c r="A16042" i="1"/>
  <c r="C16042" i="1"/>
  <c r="A16043" i="1"/>
  <c r="C16043" i="1"/>
  <c r="A16044" i="1"/>
  <c r="C16044" i="1"/>
  <c r="A16045" i="1"/>
  <c r="C16045" i="1"/>
  <c r="A16046" i="1"/>
  <c r="C16046" i="1"/>
  <c r="A16047" i="1"/>
  <c r="C16047" i="1"/>
  <c r="A16048" i="1"/>
  <c r="C16048" i="1"/>
  <c r="A16049" i="1"/>
  <c r="C16049" i="1"/>
  <c r="A16050" i="1"/>
  <c r="C16050" i="1"/>
  <c r="A16051" i="1"/>
  <c r="C16051" i="1"/>
  <c r="A16052" i="1"/>
  <c r="C16052" i="1"/>
  <c r="A16053" i="1"/>
  <c r="C16053" i="1"/>
  <c r="A16054" i="1"/>
  <c r="C16054" i="1"/>
  <c r="A16055" i="1"/>
  <c r="C16055" i="1"/>
  <c r="A16056" i="1"/>
  <c r="C16056" i="1"/>
  <c r="A16057" i="1"/>
  <c r="C16057" i="1"/>
  <c r="A16058" i="1"/>
  <c r="C16058" i="1"/>
  <c r="A16059" i="1"/>
  <c r="C16059" i="1"/>
  <c r="A16060" i="1"/>
  <c r="C16060" i="1"/>
  <c r="A16061" i="1"/>
  <c r="C16061" i="1"/>
  <c r="A16062" i="1"/>
  <c r="C16062" i="1"/>
  <c r="A16063" i="1"/>
  <c r="C16063" i="1"/>
  <c r="A16064" i="1"/>
  <c r="C16064" i="1"/>
  <c r="A16065" i="1"/>
  <c r="C16065" i="1"/>
  <c r="A16066" i="1"/>
  <c r="C16066" i="1"/>
  <c r="A16067" i="1"/>
  <c r="C16067" i="1"/>
  <c r="A16068" i="1"/>
  <c r="C16068" i="1"/>
  <c r="A16069" i="1"/>
  <c r="C16069" i="1"/>
  <c r="A16070" i="1"/>
  <c r="C16070" i="1"/>
  <c r="A16071" i="1"/>
  <c r="C16071" i="1"/>
  <c r="A16072" i="1"/>
  <c r="C16072" i="1"/>
  <c r="A16073" i="1"/>
  <c r="C16073" i="1"/>
  <c r="A16074" i="1"/>
  <c r="C16074" i="1"/>
  <c r="A16075" i="1"/>
  <c r="C16075" i="1"/>
  <c r="A16076" i="1"/>
  <c r="C16076" i="1"/>
  <c r="A16077" i="1"/>
  <c r="C16077" i="1"/>
  <c r="A16078" i="1"/>
  <c r="C16078" i="1"/>
  <c r="A16079" i="1"/>
  <c r="C16079" i="1"/>
  <c r="A16080" i="1"/>
  <c r="C16080" i="1"/>
  <c r="A16081" i="1"/>
  <c r="C16081" i="1"/>
  <c r="A16082" i="1"/>
  <c r="C16082" i="1"/>
  <c r="A16083" i="1"/>
  <c r="C16083" i="1"/>
  <c r="A16084" i="1"/>
  <c r="C16084" i="1"/>
  <c r="A16085" i="1"/>
  <c r="C16085" i="1"/>
  <c r="A16086" i="1"/>
  <c r="C16086" i="1"/>
  <c r="A16087" i="1"/>
  <c r="C16087" i="1"/>
  <c r="A16088" i="1"/>
  <c r="C16088" i="1"/>
  <c r="A16089" i="1"/>
  <c r="C16089" i="1"/>
  <c r="A16090" i="1"/>
  <c r="C16090" i="1"/>
  <c r="A16091" i="1"/>
  <c r="C16091" i="1"/>
  <c r="A16092" i="1"/>
  <c r="C16092" i="1"/>
  <c r="A16093" i="1"/>
  <c r="C16093" i="1"/>
  <c r="A16094" i="1"/>
  <c r="C16094" i="1"/>
  <c r="A16095" i="1"/>
  <c r="C16095" i="1"/>
  <c r="A16096" i="1"/>
  <c r="C16096" i="1"/>
  <c r="A16097" i="1"/>
  <c r="C16097" i="1"/>
  <c r="A16098" i="1"/>
  <c r="C16098" i="1"/>
  <c r="A16099" i="1"/>
  <c r="C16099" i="1"/>
  <c r="A16100" i="1"/>
  <c r="C16100" i="1"/>
  <c r="A16101" i="1"/>
  <c r="C16101" i="1"/>
  <c r="A16102" i="1"/>
  <c r="C16102" i="1"/>
  <c r="A16103" i="1"/>
  <c r="C16103" i="1"/>
  <c r="A16104" i="1"/>
  <c r="C16104" i="1"/>
  <c r="A16105" i="1"/>
  <c r="C16105" i="1"/>
  <c r="A16106" i="1"/>
  <c r="C16106" i="1"/>
  <c r="A16107" i="1"/>
  <c r="C16107" i="1"/>
  <c r="A16108" i="1"/>
  <c r="C16108" i="1"/>
  <c r="A16109" i="1"/>
  <c r="C16109" i="1"/>
  <c r="A16110" i="1"/>
  <c r="C16110" i="1"/>
  <c r="A16111" i="1"/>
  <c r="C16111" i="1"/>
  <c r="A16112" i="1"/>
  <c r="C16112" i="1"/>
  <c r="A16113" i="1"/>
  <c r="C16113" i="1"/>
  <c r="A16114" i="1"/>
  <c r="C16114" i="1"/>
  <c r="A16115" i="1"/>
  <c r="C16115" i="1"/>
  <c r="A16116" i="1"/>
  <c r="C16116" i="1"/>
  <c r="A16117" i="1"/>
  <c r="C16117" i="1"/>
  <c r="A16118" i="1"/>
  <c r="C16118" i="1"/>
  <c r="A16119" i="1"/>
  <c r="C16119" i="1"/>
  <c r="A16120" i="1"/>
  <c r="C16120" i="1"/>
  <c r="A16121" i="1"/>
  <c r="C16121" i="1"/>
  <c r="A16122" i="1"/>
  <c r="C16122" i="1"/>
  <c r="A16123" i="1"/>
  <c r="C16123" i="1"/>
  <c r="A16124" i="1"/>
  <c r="C16124" i="1"/>
  <c r="A16125" i="1"/>
  <c r="C16125" i="1"/>
  <c r="A16126" i="1"/>
  <c r="C16126" i="1"/>
  <c r="A16127" i="1"/>
  <c r="C16127" i="1"/>
  <c r="A16128" i="1"/>
  <c r="C16128" i="1"/>
  <c r="A16129" i="1"/>
  <c r="C16129" i="1"/>
  <c r="A16130" i="1"/>
  <c r="C16130" i="1"/>
  <c r="A16131" i="1"/>
  <c r="C16131" i="1"/>
  <c r="A16132" i="1"/>
  <c r="C16132" i="1"/>
  <c r="A16133" i="1"/>
  <c r="C16133" i="1"/>
  <c r="A16134" i="1"/>
  <c r="C16134" i="1"/>
  <c r="A16135" i="1"/>
  <c r="C16135" i="1"/>
  <c r="A16136" i="1"/>
  <c r="C16136" i="1"/>
  <c r="A16137" i="1"/>
  <c r="C16137" i="1"/>
  <c r="A16138" i="1"/>
  <c r="C16138" i="1"/>
  <c r="A16139" i="1"/>
  <c r="C16139" i="1"/>
  <c r="A16140" i="1"/>
  <c r="C16140" i="1"/>
  <c r="A16141" i="1"/>
  <c r="C16141" i="1"/>
  <c r="A16142" i="1"/>
  <c r="C16142" i="1"/>
  <c r="A16143" i="1"/>
  <c r="C16143" i="1"/>
  <c r="A16144" i="1"/>
  <c r="C16144" i="1"/>
  <c r="A16145" i="1"/>
  <c r="C16145" i="1"/>
  <c r="A16146" i="1"/>
  <c r="C16146" i="1"/>
  <c r="A16147" i="1"/>
  <c r="C16147" i="1"/>
  <c r="A16148" i="1"/>
  <c r="C16148" i="1"/>
  <c r="A16149" i="1"/>
  <c r="C16149" i="1"/>
  <c r="A16150" i="1"/>
  <c r="C16150" i="1"/>
  <c r="A16151" i="1"/>
  <c r="C16151" i="1"/>
  <c r="A16152" i="1"/>
  <c r="C16152" i="1"/>
  <c r="A16153" i="1"/>
  <c r="C16153" i="1"/>
  <c r="A16154" i="1"/>
  <c r="C16154" i="1"/>
  <c r="A16155" i="1"/>
  <c r="C16155" i="1"/>
  <c r="A16156" i="1"/>
  <c r="C16156" i="1"/>
  <c r="A16157" i="1"/>
  <c r="C16157" i="1"/>
  <c r="A16158" i="1"/>
  <c r="C16158" i="1"/>
  <c r="A16159" i="1"/>
  <c r="C16159" i="1"/>
  <c r="A16160" i="1"/>
  <c r="C16160" i="1"/>
  <c r="A16161" i="1"/>
  <c r="C16161" i="1"/>
  <c r="A16162" i="1"/>
  <c r="C16162" i="1"/>
  <c r="A16163" i="1"/>
  <c r="C16163" i="1"/>
  <c r="A16164" i="1"/>
  <c r="C16164" i="1"/>
  <c r="A16165" i="1"/>
  <c r="C16165" i="1"/>
  <c r="A16166" i="1"/>
  <c r="C16166" i="1"/>
  <c r="A16167" i="1"/>
  <c r="C16167" i="1"/>
  <c r="A16168" i="1"/>
  <c r="C16168" i="1"/>
  <c r="A16169" i="1"/>
  <c r="C16169" i="1"/>
  <c r="A16170" i="1"/>
  <c r="C16170" i="1"/>
  <c r="A16171" i="1"/>
  <c r="C16171" i="1"/>
  <c r="A16172" i="1"/>
  <c r="C16172" i="1"/>
  <c r="A16173" i="1"/>
  <c r="C16173" i="1"/>
  <c r="A16174" i="1"/>
  <c r="C16174" i="1"/>
  <c r="A16175" i="1"/>
  <c r="C16175" i="1"/>
  <c r="A16176" i="1"/>
  <c r="C16176" i="1"/>
  <c r="A16177" i="1"/>
  <c r="C16177" i="1"/>
  <c r="A16178" i="1"/>
  <c r="C16178" i="1"/>
  <c r="A16179" i="1"/>
  <c r="C16179" i="1"/>
  <c r="A16180" i="1"/>
  <c r="C16180" i="1"/>
  <c r="A16181" i="1"/>
  <c r="C16181" i="1"/>
  <c r="A16182" i="1"/>
  <c r="C16182" i="1"/>
  <c r="A16183" i="1"/>
  <c r="C16183" i="1"/>
  <c r="A16184" i="1"/>
  <c r="C16184" i="1"/>
  <c r="A16185" i="1"/>
  <c r="C16185" i="1"/>
  <c r="A16186" i="1"/>
  <c r="C16186" i="1"/>
  <c r="A16187" i="1"/>
  <c r="C16187" i="1"/>
  <c r="A16188" i="1"/>
  <c r="C16188" i="1"/>
  <c r="A16189" i="1"/>
  <c r="C16189" i="1"/>
  <c r="A16190" i="1"/>
  <c r="C16190" i="1"/>
  <c r="A16191" i="1"/>
  <c r="C16191" i="1"/>
  <c r="A16192" i="1"/>
  <c r="C16192" i="1"/>
  <c r="A16193" i="1"/>
  <c r="C16193" i="1"/>
  <c r="A16194" i="1"/>
  <c r="C16194" i="1"/>
  <c r="A16195" i="1"/>
  <c r="C16195" i="1"/>
  <c r="A16196" i="1"/>
  <c r="C16196" i="1"/>
  <c r="A16197" i="1"/>
  <c r="C16197" i="1"/>
  <c r="A16198" i="1"/>
  <c r="C16198" i="1"/>
  <c r="A16199" i="1"/>
  <c r="C16199" i="1"/>
  <c r="A16200" i="1"/>
  <c r="C16200" i="1"/>
  <c r="A16201" i="1"/>
  <c r="C16201" i="1"/>
  <c r="A16202" i="1"/>
  <c r="C16202" i="1"/>
  <c r="A16203" i="1"/>
  <c r="C16203" i="1"/>
  <c r="A16204" i="1"/>
  <c r="C16204" i="1"/>
  <c r="A16205" i="1"/>
  <c r="C16205" i="1"/>
  <c r="A16206" i="1"/>
  <c r="C16206" i="1"/>
  <c r="A16207" i="1"/>
  <c r="C16207" i="1"/>
  <c r="A16208" i="1"/>
  <c r="C16208" i="1"/>
  <c r="A16209" i="1"/>
  <c r="C16209" i="1"/>
  <c r="A16210" i="1"/>
  <c r="C16210" i="1"/>
  <c r="A16211" i="1"/>
  <c r="C16211" i="1"/>
  <c r="A16212" i="1"/>
  <c r="C16212" i="1"/>
  <c r="A16213" i="1"/>
  <c r="C16213" i="1"/>
  <c r="A16214" i="1"/>
  <c r="C16214" i="1"/>
  <c r="A16215" i="1"/>
  <c r="C16215" i="1"/>
  <c r="A16216" i="1"/>
  <c r="C16216" i="1"/>
  <c r="A16217" i="1"/>
  <c r="C16217" i="1"/>
  <c r="A16218" i="1"/>
  <c r="C16218" i="1"/>
  <c r="A16219" i="1"/>
  <c r="C16219" i="1"/>
  <c r="A16220" i="1"/>
  <c r="C16220" i="1"/>
  <c r="A16221" i="1"/>
  <c r="C16221" i="1"/>
  <c r="A16222" i="1"/>
  <c r="C16222" i="1"/>
  <c r="A16223" i="1"/>
  <c r="C16223" i="1"/>
  <c r="A16224" i="1"/>
  <c r="C16224" i="1"/>
  <c r="A16225" i="1"/>
  <c r="C16225" i="1"/>
  <c r="A16226" i="1"/>
  <c r="C16226" i="1"/>
  <c r="A16227" i="1"/>
  <c r="C16227" i="1"/>
  <c r="A16228" i="1"/>
  <c r="C16228" i="1"/>
  <c r="A16229" i="1"/>
  <c r="C16229" i="1"/>
  <c r="A16230" i="1"/>
  <c r="C16230" i="1"/>
  <c r="A16231" i="1"/>
  <c r="C16231" i="1"/>
  <c r="A16232" i="1"/>
  <c r="C16232" i="1"/>
  <c r="A16233" i="1"/>
  <c r="C16233" i="1"/>
  <c r="A16234" i="1"/>
  <c r="C16234" i="1"/>
  <c r="A16235" i="1"/>
  <c r="C16235" i="1"/>
  <c r="A16236" i="1"/>
  <c r="C16236" i="1"/>
  <c r="A16237" i="1"/>
  <c r="C16237" i="1"/>
  <c r="A16238" i="1"/>
  <c r="C16238" i="1"/>
  <c r="A16239" i="1"/>
  <c r="C16239" i="1"/>
  <c r="A16240" i="1"/>
  <c r="C16240" i="1"/>
  <c r="A16241" i="1"/>
  <c r="C16241" i="1"/>
  <c r="A16242" i="1"/>
  <c r="C16242" i="1"/>
  <c r="A16243" i="1"/>
  <c r="C16243" i="1"/>
  <c r="A16244" i="1"/>
  <c r="C16244" i="1"/>
  <c r="A16245" i="1"/>
  <c r="C16245" i="1"/>
  <c r="A16246" i="1"/>
  <c r="C16246" i="1"/>
  <c r="A16247" i="1"/>
  <c r="C16247" i="1"/>
  <c r="A16248" i="1"/>
  <c r="C16248" i="1"/>
  <c r="A16249" i="1"/>
  <c r="C16249" i="1"/>
  <c r="A16250" i="1"/>
  <c r="C16250" i="1"/>
  <c r="A16251" i="1"/>
  <c r="C16251" i="1"/>
  <c r="A16252" i="1"/>
  <c r="C16252" i="1"/>
  <c r="A16253" i="1"/>
  <c r="C16253" i="1"/>
  <c r="A16254" i="1"/>
  <c r="C16254" i="1"/>
  <c r="A16255" i="1"/>
  <c r="C16255" i="1"/>
  <c r="A16256" i="1"/>
  <c r="C16256" i="1"/>
  <c r="A16257" i="1"/>
  <c r="C16257" i="1"/>
  <c r="A16258" i="1"/>
  <c r="C16258" i="1"/>
  <c r="A16259" i="1"/>
  <c r="C16259" i="1"/>
  <c r="A16260" i="1"/>
  <c r="C16260" i="1"/>
  <c r="A16261" i="1"/>
  <c r="C16261" i="1"/>
  <c r="A16262" i="1"/>
  <c r="C16262" i="1"/>
  <c r="A16263" i="1"/>
  <c r="C16263" i="1"/>
  <c r="A16264" i="1"/>
  <c r="C16264" i="1"/>
  <c r="A16265" i="1"/>
  <c r="C16265" i="1"/>
  <c r="A16266" i="1"/>
  <c r="C16266" i="1"/>
  <c r="A16267" i="1"/>
  <c r="C16267" i="1"/>
  <c r="A16268" i="1"/>
  <c r="C16268" i="1"/>
  <c r="A16269" i="1"/>
  <c r="C16269" i="1"/>
  <c r="A16270" i="1"/>
  <c r="C16270" i="1"/>
  <c r="A16271" i="1"/>
  <c r="C16271" i="1"/>
  <c r="A16272" i="1"/>
  <c r="C16272" i="1"/>
  <c r="A16273" i="1"/>
  <c r="C16273" i="1"/>
  <c r="A16274" i="1"/>
  <c r="C16274" i="1"/>
  <c r="A16275" i="1"/>
  <c r="C16275" i="1"/>
  <c r="A16276" i="1"/>
  <c r="C16276" i="1"/>
  <c r="A16277" i="1"/>
  <c r="C16277" i="1"/>
  <c r="A16278" i="1"/>
  <c r="C16278" i="1"/>
  <c r="A16279" i="1"/>
  <c r="C16279" i="1"/>
  <c r="A16280" i="1"/>
  <c r="C16280" i="1"/>
  <c r="A16281" i="1"/>
  <c r="C16281" i="1"/>
  <c r="A16282" i="1"/>
  <c r="C16282" i="1"/>
  <c r="A16283" i="1"/>
  <c r="C16283" i="1"/>
  <c r="A16284" i="1"/>
  <c r="C16284" i="1"/>
  <c r="A16285" i="1"/>
  <c r="C16285" i="1"/>
  <c r="A16286" i="1"/>
  <c r="C16286" i="1"/>
  <c r="A16287" i="1"/>
  <c r="C16287" i="1"/>
  <c r="A16288" i="1"/>
  <c r="C16288" i="1"/>
  <c r="A16289" i="1"/>
  <c r="C16289" i="1"/>
  <c r="A16290" i="1"/>
  <c r="C16290" i="1"/>
  <c r="A16291" i="1"/>
  <c r="C16291" i="1"/>
  <c r="A16292" i="1"/>
  <c r="C16292" i="1"/>
  <c r="A16293" i="1"/>
  <c r="C16293" i="1"/>
  <c r="A16294" i="1"/>
  <c r="C16294" i="1"/>
  <c r="A16295" i="1"/>
  <c r="C16295" i="1"/>
  <c r="A16296" i="1"/>
  <c r="C16296" i="1"/>
  <c r="A16297" i="1"/>
  <c r="C16297" i="1"/>
  <c r="A16298" i="1"/>
  <c r="C16298" i="1"/>
  <c r="A16299" i="1"/>
  <c r="C16299" i="1"/>
  <c r="A16300" i="1"/>
  <c r="C16300" i="1"/>
  <c r="A16301" i="1"/>
  <c r="C16301" i="1"/>
  <c r="A16302" i="1"/>
  <c r="C16302" i="1"/>
  <c r="A16303" i="1"/>
  <c r="C16303" i="1"/>
  <c r="A16304" i="1"/>
  <c r="C16304" i="1"/>
  <c r="A16305" i="1"/>
  <c r="C16305" i="1"/>
  <c r="A16306" i="1"/>
  <c r="C16306" i="1"/>
  <c r="A16307" i="1"/>
  <c r="C16307" i="1"/>
  <c r="A16308" i="1"/>
  <c r="C16308" i="1"/>
  <c r="A16309" i="1"/>
  <c r="C16309" i="1"/>
  <c r="A16310" i="1"/>
  <c r="C16310" i="1"/>
  <c r="A16311" i="1"/>
  <c r="C16311" i="1"/>
  <c r="A16312" i="1"/>
  <c r="C16312" i="1"/>
  <c r="A16313" i="1"/>
  <c r="C16313" i="1"/>
  <c r="A16314" i="1"/>
  <c r="C16314" i="1"/>
  <c r="A16315" i="1"/>
  <c r="C16315" i="1"/>
  <c r="A16316" i="1"/>
  <c r="C16316" i="1"/>
  <c r="A16317" i="1"/>
  <c r="C16317" i="1"/>
  <c r="A16318" i="1"/>
  <c r="C16318" i="1"/>
  <c r="A16319" i="1"/>
  <c r="C16319" i="1"/>
  <c r="A16320" i="1"/>
  <c r="C16320" i="1"/>
  <c r="A16321" i="1"/>
  <c r="C16321" i="1"/>
  <c r="A16322" i="1"/>
  <c r="C16322" i="1"/>
  <c r="A16323" i="1"/>
  <c r="C16323" i="1"/>
  <c r="A16324" i="1"/>
  <c r="C16324" i="1"/>
  <c r="A16325" i="1"/>
  <c r="C16325" i="1"/>
  <c r="A16326" i="1"/>
  <c r="C16326" i="1"/>
  <c r="A16327" i="1"/>
  <c r="C16327" i="1"/>
  <c r="A16328" i="1"/>
  <c r="C16328" i="1"/>
  <c r="A16329" i="1"/>
  <c r="C16329" i="1"/>
  <c r="A16330" i="1"/>
  <c r="C16330" i="1"/>
  <c r="A16331" i="1"/>
  <c r="C16331" i="1"/>
  <c r="A16332" i="1"/>
  <c r="C16332" i="1"/>
  <c r="A16333" i="1"/>
  <c r="C16333" i="1"/>
  <c r="A16334" i="1"/>
  <c r="C16334" i="1"/>
  <c r="A16335" i="1"/>
  <c r="C16335" i="1"/>
  <c r="A16336" i="1"/>
  <c r="C16336" i="1"/>
  <c r="A16337" i="1"/>
  <c r="C16337" i="1"/>
  <c r="A16338" i="1"/>
  <c r="C16338" i="1"/>
  <c r="A16339" i="1"/>
  <c r="C16339" i="1"/>
  <c r="A16340" i="1"/>
  <c r="C16340" i="1"/>
  <c r="A16341" i="1"/>
  <c r="C16341" i="1"/>
  <c r="A16342" i="1"/>
  <c r="C16342" i="1"/>
  <c r="A16343" i="1"/>
  <c r="C16343" i="1"/>
  <c r="A16344" i="1"/>
  <c r="C16344" i="1"/>
  <c r="A16345" i="1"/>
  <c r="C16345" i="1"/>
  <c r="A16346" i="1"/>
  <c r="C16346" i="1"/>
  <c r="A16347" i="1"/>
  <c r="C16347" i="1"/>
  <c r="A16348" i="1"/>
  <c r="C16348" i="1"/>
  <c r="A16349" i="1"/>
  <c r="C16349" i="1"/>
  <c r="A16350" i="1"/>
  <c r="C16350" i="1"/>
  <c r="A16351" i="1"/>
  <c r="C16351" i="1"/>
  <c r="A16352" i="1"/>
  <c r="C16352" i="1"/>
  <c r="A16353" i="1"/>
  <c r="C16353" i="1"/>
  <c r="A16354" i="1"/>
  <c r="C16354" i="1"/>
  <c r="A16355" i="1"/>
  <c r="C16355" i="1"/>
  <c r="A16356" i="1"/>
  <c r="C16356" i="1"/>
  <c r="A16357" i="1"/>
  <c r="C16357" i="1"/>
  <c r="A16358" i="1"/>
  <c r="C16358" i="1"/>
  <c r="A16359" i="1"/>
  <c r="C16359" i="1"/>
  <c r="A16360" i="1"/>
  <c r="C16360" i="1"/>
  <c r="A16361" i="1"/>
  <c r="C16361" i="1"/>
  <c r="A16362" i="1"/>
  <c r="C16362" i="1"/>
  <c r="A16363" i="1"/>
  <c r="C16363" i="1"/>
  <c r="A16364" i="1"/>
  <c r="C16364" i="1"/>
  <c r="A16365" i="1"/>
  <c r="C16365" i="1"/>
  <c r="A16366" i="1"/>
  <c r="C16366" i="1"/>
  <c r="A16367" i="1"/>
  <c r="C16367" i="1"/>
  <c r="A16368" i="1"/>
  <c r="C16368" i="1"/>
  <c r="A16369" i="1"/>
  <c r="C16369" i="1"/>
  <c r="A16370" i="1"/>
  <c r="C16370" i="1"/>
  <c r="A16371" i="1"/>
  <c r="C16371" i="1"/>
  <c r="A16372" i="1"/>
  <c r="C16372" i="1"/>
  <c r="A16373" i="1"/>
  <c r="C16373" i="1"/>
  <c r="A16374" i="1"/>
  <c r="C16374" i="1"/>
  <c r="A16375" i="1"/>
  <c r="C16375" i="1"/>
  <c r="A16376" i="1"/>
  <c r="C16376" i="1"/>
  <c r="A16377" i="1"/>
  <c r="C16377" i="1"/>
  <c r="A16378" i="1"/>
  <c r="C16378" i="1"/>
  <c r="A16379" i="1"/>
  <c r="C16379" i="1"/>
  <c r="A16380" i="1"/>
  <c r="C16380" i="1"/>
  <c r="A16381" i="1"/>
  <c r="C16381" i="1"/>
  <c r="A16382" i="1"/>
  <c r="C16382" i="1"/>
  <c r="A16383" i="1"/>
  <c r="C16383" i="1"/>
  <c r="A16384" i="1"/>
  <c r="C16384" i="1"/>
  <c r="A16385" i="1"/>
  <c r="C16385" i="1"/>
  <c r="A16386" i="1"/>
  <c r="C16386" i="1"/>
  <c r="A16387" i="1"/>
  <c r="C16387" i="1"/>
  <c r="A16388" i="1"/>
  <c r="C16388" i="1"/>
  <c r="A16389" i="1"/>
  <c r="C16389" i="1"/>
  <c r="A16390" i="1"/>
  <c r="C16390" i="1"/>
  <c r="A16391" i="1"/>
  <c r="C16391" i="1"/>
  <c r="A16392" i="1"/>
  <c r="C16392" i="1"/>
  <c r="A16393" i="1"/>
  <c r="C16393" i="1"/>
  <c r="A16394" i="1"/>
  <c r="C16394" i="1"/>
  <c r="A16395" i="1"/>
  <c r="C16395" i="1"/>
  <c r="A16396" i="1"/>
  <c r="C16396" i="1"/>
  <c r="A16397" i="1"/>
  <c r="C16397" i="1"/>
  <c r="A16398" i="1"/>
  <c r="C16398" i="1"/>
  <c r="A16399" i="1"/>
  <c r="C16399" i="1"/>
  <c r="A16400" i="1"/>
  <c r="C16400" i="1"/>
  <c r="A16401" i="1"/>
  <c r="C16401" i="1"/>
  <c r="A16402" i="1"/>
  <c r="C16402" i="1"/>
  <c r="A16403" i="1"/>
  <c r="C16403" i="1"/>
  <c r="A16404" i="1"/>
  <c r="C16404" i="1"/>
  <c r="A16405" i="1"/>
  <c r="C16405" i="1"/>
  <c r="A16406" i="1"/>
  <c r="C16406" i="1"/>
  <c r="A16407" i="1"/>
  <c r="C16407" i="1"/>
  <c r="A16408" i="1"/>
  <c r="C16408" i="1"/>
  <c r="A16409" i="1"/>
  <c r="C16409" i="1"/>
  <c r="A16410" i="1"/>
  <c r="C16410" i="1"/>
  <c r="A16411" i="1"/>
  <c r="C16411" i="1"/>
  <c r="A16412" i="1"/>
  <c r="C16412" i="1"/>
  <c r="A16413" i="1"/>
  <c r="C16413" i="1"/>
  <c r="A16414" i="1"/>
  <c r="C16414" i="1"/>
  <c r="A16415" i="1"/>
  <c r="C16415" i="1"/>
  <c r="A16416" i="1"/>
  <c r="C16416" i="1"/>
  <c r="A16417" i="1"/>
  <c r="C16417" i="1"/>
  <c r="A16418" i="1"/>
  <c r="C16418" i="1"/>
  <c r="A16419" i="1"/>
  <c r="C16419" i="1"/>
  <c r="A16420" i="1"/>
  <c r="C16420" i="1"/>
  <c r="A16421" i="1"/>
  <c r="C16421" i="1"/>
  <c r="A16422" i="1"/>
  <c r="C16422" i="1"/>
  <c r="A16423" i="1"/>
  <c r="C16423" i="1"/>
  <c r="A16424" i="1"/>
  <c r="C16424" i="1"/>
  <c r="A16425" i="1"/>
  <c r="C16425" i="1"/>
  <c r="A16426" i="1"/>
  <c r="C16426" i="1"/>
  <c r="A16427" i="1"/>
  <c r="C16427" i="1"/>
  <c r="A16428" i="1"/>
  <c r="C16428" i="1"/>
  <c r="A16429" i="1"/>
  <c r="C16429" i="1"/>
  <c r="A16430" i="1"/>
  <c r="C16430" i="1"/>
  <c r="A16431" i="1"/>
  <c r="C16431" i="1"/>
  <c r="A16432" i="1"/>
  <c r="C16432" i="1"/>
  <c r="A16433" i="1"/>
  <c r="C16433" i="1"/>
  <c r="A16434" i="1"/>
  <c r="C16434" i="1"/>
  <c r="A16435" i="1"/>
  <c r="C16435" i="1"/>
  <c r="A16436" i="1"/>
  <c r="C16436" i="1"/>
  <c r="A16437" i="1"/>
  <c r="C16437" i="1"/>
  <c r="A16438" i="1"/>
  <c r="C16438" i="1"/>
  <c r="A16439" i="1"/>
  <c r="C16439" i="1"/>
  <c r="A16440" i="1"/>
  <c r="C16440" i="1"/>
  <c r="A16441" i="1"/>
  <c r="C16441" i="1"/>
  <c r="A16442" i="1"/>
  <c r="C16442" i="1"/>
  <c r="A16443" i="1"/>
  <c r="C16443" i="1"/>
  <c r="A16444" i="1"/>
  <c r="C16444" i="1"/>
  <c r="A16445" i="1"/>
  <c r="C16445" i="1"/>
  <c r="A16446" i="1"/>
  <c r="C16446" i="1"/>
  <c r="A16447" i="1"/>
  <c r="C16447" i="1"/>
  <c r="A16448" i="1"/>
  <c r="C16448" i="1"/>
  <c r="A16449" i="1"/>
  <c r="C16449" i="1"/>
  <c r="A16450" i="1"/>
  <c r="C16450" i="1"/>
  <c r="A16451" i="1"/>
  <c r="C16451" i="1"/>
  <c r="A16452" i="1"/>
  <c r="C16452" i="1"/>
  <c r="A16453" i="1"/>
  <c r="C16453" i="1"/>
  <c r="A16454" i="1"/>
  <c r="C16454" i="1"/>
  <c r="A16455" i="1"/>
  <c r="C16455" i="1"/>
  <c r="A16456" i="1"/>
  <c r="C16456" i="1"/>
  <c r="A16457" i="1"/>
  <c r="C16457" i="1"/>
  <c r="A16458" i="1"/>
  <c r="C16458" i="1"/>
  <c r="A16459" i="1"/>
  <c r="C16459" i="1"/>
  <c r="A16460" i="1"/>
  <c r="C16460" i="1"/>
  <c r="A16461" i="1"/>
  <c r="C16461" i="1"/>
  <c r="A16462" i="1"/>
  <c r="C16462" i="1"/>
  <c r="A16463" i="1"/>
  <c r="C16463" i="1"/>
  <c r="A16464" i="1"/>
  <c r="C16464" i="1"/>
  <c r="A16465" i="1"/>
  <c r="C16465" i="1"/>
  <c r="A16466" i="1"/>
  <c r="C16466" i="1"/>
  <c r="A16467" i="1"/>
  <c r="C16467" i="1"/>
  <c r="A16468" i="1"/>
  <c r="C16468" i="1"/>
  <c r="A16469" i="1"/>
  <c r="C16469" i="1"/>
  <c r="A16470" i="1"/>
  <c r="C16470" i="1"/>
  <c r="A16471" i="1"/>
  <c r="C16471" i="1"/>
  <c r="A16472" i="1"/>
  <c r="C16472" i="1"/>
  <c r="A16473" i="1"/>
  <c r="C16473" i="1"/>
  <c r="A16474" i="1"/>
  <c r="C16474" i="1"/>
  <c r="A16475" i="1"/>
  <c r="C16475" i="1"/>
  <c r="A16476" i="1"/>
  <c r="C16476" i="1"/>
  <c r="A16477" i="1"/>
  <c r="C16477" i="1"/>
  <c r="A16478" i="1"/>
  <c r="C16478" i="1"/>
  <c r="A16479" i="1"/>
  <c r="C16479" i="1"/>
  <c r="A16480" i="1"/>
  <c r="C16480" i="1"/>
  <c r="A16481" i="1"/>
  <c r="C16481" i="1"/>
  <c r="A16482" i="1"/>
  <c r="C16482" i="1"/>
  <c r="A16483" i="1"/>
  <c r="C16483" i="1"/>
  <c r="A16484" i="1"/>
  <c r="C16484" i="1"/>
  <c r="A16485" i="1"/>
  <c r="C16485" i="1"/>
  <c r="A16486" i="1"/>
  <c r="C16486" i="1"/>
  <c r="A16487" i="1"/>
  <c r="C16487" i="1"/>
  <c r="A16488" i="1"/>
  <c r="C16488" i="1"/>
  <c r="A16489" i="1"/>
  <c r="C16489" i="1"/>
  <c r="A16490" i="1"/>
  <c r="C16490" i="1"/>
  <c r="A16491" i="1"/>
  <c r="C16491" i="1"/>
  <c r="A16492" i="1"/>
  <c r="C16492" i="1"/>
  <c r="A16493" i="1"/>
  <c r="C16493" i="1"/>
  <c r="A16494" i="1"/>
  <c r="C16494" i="1"/>
  <c r="A16495" i="1"/>
  <c r="C16495" i="1"/>
  <c r="A16496" i="1"/>
  <c r="C16496" i="1"/>
  <c r="A16497" i="1"/>
  <c r="C16497" i="1"/>
  <c r="A16498" i="1"/>
  <c r="C16498" i="1"/>
  <c r="A16499" i="1"/>
  <c r="C16499" i="1"/>
  <c r="A16500" i="1"/>
  <c r="C16500" i="1"/>
  <c r="A16501" i="1"/>
  <c r="C16501" i="1"/>
  <c r="A16502" i="1"/>
  <c r="C16502" i="1"/>
  <c r="A16503" i="1"/>
  <c r="C16503" i="1"/>
  <c r="A16504" i="1"/>
  <c r="C16504" i="1"/>
  <c r="A16505" i="1"/>
  <c r="C16505" i="1"/>
  <c r="A16506" i="1"/>
  <c r="C16506" i="1"/>
  <c r="A16507" i="1"/>
  <c r="C16507" i="1"/>
  <c r="A16508" i="1"/>
  <c r="C16508" i="1"/>
  <c r="A16509" i="1"/>
  <c r="C16509" i="1"/>
  <c r="A16510" i="1"/>
  <c r="C16510" i="1"/>
  <c r="A16511" i="1"/>
  <c r="C16511" i="1"/>
  <c r="A16512" i="1"/>
  <c r="C16512" i="1"/>
  <c r="A16513" i="1"/>
  <c r="C16513" i="1"/>
  <c r="A16514" i="1"/>
  <c r="C16514" i="1"/>
  <c r="A16515" i="1"/>
  <c r="C16515" i="1"/>
  <c r="A16516" i="1"/>
  <c r="C16516" i="1"/>
  <c r="A16517" i="1"/>
  <c r="C16517" i="1"/>
  <c r="A16518" i="1"/>
  <c r="C16518" i="1"/>
  <c r="A16519" i="1"/>
  <c r="C16519" i="1"/>
  <c r="A16520" i="1"/>
  <c r="C16520" i="1"/>
  <c r="A16521" i="1"/>
  <c r="C16521" i="1"/>
  <c r="A16522" i="1"/>
  <c r="C16522" i="1"/>
  <c r="A16523" i="1"/>
  <c r="C16523" i="1"/>
  <c r="A16524" i="1"/>
  <c r="C16524" i="1"/>
  <c r="A16525" i="1"/>
  <c r="C16525" i="1"/>
  <c r="A16526" i="1"/>
  <c r="C16526" i="1"/>
  <c r="A16527" i="1"/>
  <c r="C16527" i="1"/>
  <c r="A16528" i="1"/>
  <c r="C16528" i="1"/>
  <c r="A16529" i="1"/>
  <c r="C16529" i="1"/>
  <c r="A16530" i="1"/>
  <c r="C16530" i="1"/>
  <c r="A16531" i="1"/>
  <c r="C16531" i="1"/>
  <c r="A16532" i="1"/>
  <c r="C16532" i="1"/>
  <c r="A16533" i="1"/>
  <c r="C16533" i="1"/>
  <c r="A16534" i="1"/>
  <c r="C16534" i="1"/>
  <c r="A16535" i="1"/>
  <c r="C16535" i="1"/>
  <c r="A16536" i="1"/>
  <c r="C16536" i="1"/>
  <c r="A16537" i="1"/>
  <c r="C16537" i="1"/>
  <c r="A16538" i="1"/>
  <c r="C16538" i="1"/>
  <c r="A16539" i="1"/>
  <c r="C16539" i="1"/>
  <c r="A16540" i="1"/>
  <c r="C16540" i="1"/>
  <c r="A16541" i="1"/>
  <c r="C16541" i="1"/>
  <c r="A16542" i="1"/>
  <c r="C16542" i="1"/>
  <c r="A16543" i="1"/>
  <c r="C16543" i="1"/>
  <c r="A16544" i="1"/>
  <c r="C16544" i="1"/>
  <c r="A16545" i="1"/>
  <c r="C16545" i="1"/>
  <c r="A16546" i="1"/>
  <c r="C16546" i="1"/>
  <c r="A16547" i="1"/>
  <c r="C16547" i="1"/>
  <c r="A16548" i="1"/>
  <c r="C16548" i="1"/>
  <c r="A16549" i="1"/>
  <c r="C16549" i="1"/>
  <c r="A16550" i="1"/>
  <c r="C16550" i="1"/>
  <c r="A16551" i="1"/>
  <c r="C16551" i="1"/>
  <c r="A16552" i="1"/>
  <c r="C16552" i="1"/>
  <c r="A16553" i="1"/>
  <c r="C16553" i="1"/>
  <c r="A16554" i="1"/>
  <c r="C16554" i="1"/>
  <c r="A16555" i="1"/>
  <c r="C16555" i="1"/>
  <c r="A16556" i="1"/>
  <c r="C16556" i="1"/>
  <c r="A16557" i="1"/>
  <c r="C16557" i="1"/>
  <c r="A16558" i="1"/>
  <c r="C16558" i="1"/>
  <c r="A16559" i="1"/>
  <c r="C16559" i="1"/>
  <c r="A16560" i="1"/>
  <c r="C16560" i="1"/>
  <c r="A16561" i="1"/>
  <c r="C16561" i="1"/>
  <c r="A16562" i="1"/>
  <c r="C16562" i="1"/>
  <c r="A16563" i="1"/>
  <c r="C16563" i="1"/>
  <c r="A16564" i="1"/>
  <c r="C16564" i="1"/>
  <c r="A16565" i="1"/>
  <c r="C16565" i="1"/>
  <c r="A16566" i="1"/>
  <c r="C16566" i="1"/>
  <c r="A16567" i="1"/>
  <c r="C16567" i="1"/>
  <c r="A16568" i="1"/>
  <c r="C16568" i="1"/>
  <c r="A16569" i="1"/>
  <c r="C16569" i="1"/>
  <c r="A16570" i="1"/>
  <c r="C16570" i="1"/>
  <c r="A16571" i="1"/>
  <c r="C16571" i="1"/>
  <c r="A16572" i="1"/>
  <c r="C16572" i="1"/>
  <c r="A16573" i="1"/>
  <c r="C16573" i="1"/>
  <c r="A16574" i="1"/>
  <c r="C16574" i="1"/>
  <c r="A16575" i="1"/>
  <c r="C16575" i="1"/>
  <c r="A16576" i="1"/>
  <c r="C16576" i="1"/>
  <c r="A16577" i="1"/>
  <c r="C16577" i="1"/>
  <c r="A16578" i="1"/>
  <c r="C16578" i="1"/>
  <c r="A16579" i="1"/>
  <c r="C16579" i="1"/>
  <c r="A16580" i="1"/>
  <c r="C16580" i="1"/>
  <c r="A16581" i="1"/>
  <c r="C16581" i="1"/>
  <c r="A16582" i="1"/>
  <c r="C16582" i="1"/>
  <c r="A16583" i="1"/>
  <c r="C16583" i="1"/>
  <c r="A16584" i="1"/>
  <c r="C16584" i="1"/>
  <c r="A16585" i="1"/>
  <c r="C16585" i="1"/>
  <c r="A16586" i="1"/>
  <c r="C16586" i="1"/>
  <c r="A16587" i="1"/>
  <c r="C16587" i="1"/>
  <c r="A16588" i="1"/>
  <c r="C16588" i="1"/>
  <c r="A16589" i="1"/>
  <c r="C16589" i="1"/>
  <c r="A16590" i="1"/>
  <c r="C16590" i="1"/>
  <c r="A16591" i="1"/>
  <c r="C16591" i="1"/>
  <c r="A16592" i="1"/>
  <c r="C16592" i="1"/>
  <c r="A16593" i="1"/>
  <c r="C16593" i="1"/>
  <c r="A16594" i="1"/>
  <c r="C16594" i="1"/>
  <c r="A16595" i="1"/>
  <c r="C16595" i="1"/>
  <c r="A16596" i="1"/>
  <c r="C16596" i="1"/>
  <c r="A16597" i="1"/>
  <c r="C16597" i="1"/>
  <c r="A16598" i="1"/>
  <c r="C16598" i="1"/>
  <c r="A16599" i="1"/>
  <c r="C16599" i="1"/>
  <c r="A16600" i="1"/>
  <c r="C16600" i="1"/>
  <c r="A16601" i="1"/>
  <c r="C16601" i="1"/>
  <c r="A16602" i="1"/>
  <c r="C16602" i="1"/>
  <c r="A16603" i="1"/>
  <c r="C16603" i="1"/>
  <c r="A16604" i="1"/>
  <c r="C16604" i="1"/>
  <c r="A16605" i="1"/>
  <c r="C16605" i="1"/>
  <c r="A16606" i="1"/>
  <c r="C16606" i="1"/>
  <c r="A16607" i="1"/>
  <c r="C16607" i="1"/>
  <c r="A16608" i="1"/>
  <c r="C16608" i="1"/>
  <c r="A16609" i="1"/>
  <c r="C16609" i="1"/>
  <c r="A16610" i="1"/>
  <c r="C16610" i="1"/>
  <c r="A16611" i="1"/>
  <c r="C16611" i="1"/>
  <c r="A16612" i="1"/>
  <c r="C16612" i="1"/>
  <c r="A16613" i="1"/>
  <c r="C16613" i="1"/>
  <c r="A16614" i="1"/>
  <c r="C16614" i="1"/>
  <c r="A16615" i="1"/>
  <c r="C16615" i="1"/>
  <c r="A16616" i="1"/>
  <c r="C16616" i="1"/>
  <c r="A16617" i="1"/>
  <c r="C16617" i="1"/>
  <c r="A16618" i="1"/>
  <c r="C16618" i="1"/>
  <c r="A16619" i="1"/>
  <c r="C16619" i="1"/>
  <c r="A16620" i="1"/>
  <c r="C16620" i="1"/>
  <c r="A16621" i="1"/>
  <c r="C16621" i="1"/>
  <c r="A16622" i="1"/>
  <c r="C16622" i="1"/>
  <c r="A16623" i="1"/>
  <c r="C16623" i="1"/>
  <c r="A16624" i="1"/>
  <c r="C16624" i="1"/>
  <c r="A16625" i="1"/>
  <c r="C16625" i="1"/>
  <c r="A16626" i="1"/>
  <c r="C16626" i="1"/>
  <c r="A16627" i="1"/>
  <c r="C16627" i="1"/>
  <c r="A16628" i="1"/>
  <c r="C16628" i="1"/>
  <c r="A16629" i="1"/>
  <c r="C16629" i="1"/>
  <c r="A16630" i="1"/>
  <c r="C16630" i="1"/>
  <c r="A16631" i="1"/>
  <c r="C16631" i="1"/>
  <c r="A16632" i="1"/>
  <c r="C16632" i="1"/>
  <c r="A16633" i="1"/>
  <c r="C16633" i="1"/>
  <c r="A16634" i="1"/>
  <c r="C16634" i="1"/>
  <c r="A16635" i="1"/>
  <c r="C16635" i="1"/>
  <c r="A16636" i="1"/>
  <c r="C16636" i="1"/>
  <c r="A16637" i="1"/>
  <c r="C16637" i="1"/>
  <c r="A16638" i="1"/>
  <c r="C16638" i="1"/>
  <c r="A16639" i="1"/>
  <c r="C16639" i="1"/>
  <c r="A16640" i="1"/>
  <c r="C16640" i="1"/>
  <c r="A16641" i="1"/>
  <c r="C16641" i="1"/>
  <c r="A16642" i="1"/>
  <c r="C16642" i="1"/>
  <c r="A16643" i="1"/>
  <c r="C16643" i="1"/>
  <c r="A16644" i="1"/>
  <c r="C16644" i="1"/>
  <c r="A16645" i="1"/>
  <c r="C16645" i="1"/>
  <c r="A16646" i="1"/>
  <c r="C16646" i="1"/>
  <c r="A16647" i="1"/>
  <c r="C16647" i="1"/>
  <c r="A16648" i="1"/>
  <c r="C16648" i="1"/>
  <c r="A16649" i="1"/>
  <c r="C16649" i="1"/>
  <c r="A16650" i="1"/>
  <c r="C16650" i="1"/>
  <c r="A16651" i="1"/>
  <c r="C16651" i="1"/>
  <c r="A16652" i="1"/>
  <c r="C16652" i="1"/>
  <c r="A16653" i="1"/>
  <c r="C16653" i="1"/>
  <c r="A16654" i="1"/>
  <c r="C16654" i="1"/>
  <c r="A16655" i="1"/>
  <c r="C16655" i="1"/>
  <c r="A16656" i="1"/>
  <c r="C16656" i="1"/>
  <c r="A16657" i="1"/>
  <c r="C16657" i="1"/>
  <c r="A16658" i="1"/>
  <c r="C16658" i="1"/>
  <c r="A16659" i="1"/>
  <c r="C16659" i="1"/>
  <c r="A16660" i="1"/>
  <c r="C16660" i="1"/>
  <c r="A16661" i="1"/>
  <c r="C16661" i="1"/>
  <c r="A16662" i="1"/>
  <c r="C16662" i="1"/>
  <c r="A16663" i="1"/>
  <c r="C16663" i="1"/>
  <c r="A16664" i="1"/>
  <c r="C16664" i="1"/>
  <c r="A16665" i="1"/>
  <c r="C16665" i="1"/>
  <c r="A16666" i="1"/>
  <c r="C16666" i="1"/>
  <c r="A16667" i="1"/>
  <c r="C16667" i="1"/>
  <c r="A16668" i="1"/>
  <c r="C16668" i="1"/>
  <c r="A16669" i="1"/>
  <c r="C16669" i="1"/>
  <c r="A16670" i="1"/>
  <c r="C16670" i="1"/>
  <c r="A16671" i="1"/>
  <c r="C16671" i="1"/>
  <c r="A16672" i="1"/>
  <c r="C16672" i="1"/>
  <c r="A16673" i="1"/>
  <c r="C16673" i="1"/>
  <c r="A16674" i="1"/>
  <c r="C16674" i="1"/>
  <c r="A16675" i="1"/>
  <c r="C16675" i="1"/>
  <c r="A16676" i="1"/>
  <c r="C16676" i="1"/>
  <c r="A16677" i="1"/>
  <c r="C16677" i="1"/>
  <c r="A16678" i="1"/>
  <c r="C16678" i="1"/>
  <c r="A16679" i="1"/>
  <c r="C16679" i="1"/>
  <c r="A16680" i="1"/>
  <c r="C16680" i="1"/>
  <c r="A16681" i="1"/>
  <c r="C16681" i="1"/>
  <c r="A16682" i="1"/>
  <c r="C16682" i="1"/>
  <c r="A16683" i="1"/>
  <c r="C16683" i="1"/>
  <c r="A16684" i="1"/>
  <c r="C16684" i="1"/>
  <c r="A16685" i="1"/>
  <c r="C16685" i="1"/>
  <c r="A16686" i="1"/>
  <c r="C16686" i="1"/>
  <c r="A16687" i="1"/>
  <c r="C16687" i="1"/>
  <c r="A16688" i="1"/>
  <c r="C16688" i="1"/>
  <c r="A16689" i="1"/>
  <c r="C16689" i="1"/>
  <c r="A16690" i="1"/>
  <c r="C16690" i="1"/>
  <c r="A16691" i="1"/>
  <c r="C16691" i="1"/>
  <c r="A16692" i="1"/>
  <c r="C16692" i="1"/>
  <c r="A16693" i="1"/>
  <c r="C16693" i="1"/>
  <c r="A16694" i="1"/>
  <c r="C16694" i="1"/>
  <c r="A16695" i="1"/>
  <c r="C16695" i="1"/>
  <c r="A16696" i="1"/>
  <c r="C16696" i="1"/>
  <c r="A16697" i="1"/>
  <c r="C16697" i="1"/>
  <c r="A16698" i="1"/>
  <c r="C16698" i="1"/>
  <c r="A16699" i="1"/>
  <c r="C16699" i="1"/>
  <c r="A16700" i="1"/>
  <c r="C16700" i="1"/>
  <c r="A16701" i="1"/>
  <c r="C16701" i="1"/>
  <c r="A16702" i="1"/>
  <c r="C16702" i="1"/>
  <c r="A16703" i="1"/>
  <c r="C16703" i="1"/>
  <c r="A16704" i="1"/>
  <c r="C16704" i="1"/>
  <c r="A16705" i="1"/>
  <c r="C16705" i="1"/>
  <c r="A16706" i="1"/>
  <c r="C16706" i="1"/>
  <c r="A16707" i="1"/>
  <c r="C16707" i="1"/>
  <c r="A16708" i="1"/>
  <c r="C16708" i="1"/>
  <c r="A16709" i="1"/>
  <c r="C16709" i="1"/>
  <c r="A16710" i="1"/>
  <c r="C16710" i="1"/>
  <c r="A16711" i="1"/>
  <c r="C16711" i="1"/>
  <c r="A16712" i="1"/>
  <c r="C16712" i="1"/>
  <c r="A16713" i="1"/>
  <c r="C16713" i="1"/>
  <c r="A16714" i="1"/>
  <c r="C16714" i="1"/>
  <c r="A16715" i="1"/>
  <c r="C16715" i="1"/>
  <c r="A16716" i="1"/>
  <c r="C16716" i="1"/>
  <c r="A16717" i="1"/>
  <c r="C16717" i="1"/>
  <c r="A16718" i="1"/>
  <c r="C16718" i="1"/>
  <c r="A16719" i="1"/>
  <c r="C16719" i="1"/>
  <c r="A16720" i="1"/>
  <c r="C16720" i="1"/>
  <c r="A16721" i="1"/>
  <c r="C16721" i="1"/>
  <c r="A16722" i="1"/>
  <c r="C16722" i="1"/>
  <c r="A16723" i="1"/>
  <c r="C16723" i="1"/>
  <c r="A16724" i="1"/>
  <c r="C16724" i="1"/>
  <c r="A16725" i="1"/>
  <c r="C16725" i="1"/>
  <c r="A16726" i="1"/>
  <c r="C16726" i="1"/>
  <c r="A16727" i="1"/>
  <c r="C16727" i="1"/>
  <c r="A16728" i="1"/>
  <c r="C16728" i="1"/>
  <c r="A16729" i="1"/>
  <c r="C16729" i="1"/>
  <c r="A16730" i="1"/>
  <c r="C16730" i="1"/>
  <c r="A16731" i="1"/>
  <c r="C16731" i="1"/>
  <c r="A16732" i="1"/>
  <c r="C16732" i="1"/>
  <c r="A16733" i="1"/>
  <c r="C16733" i="1"/>
  <c r="A16734" i="1"/>
  <c r="C16734" i="1"/>
  <c r="A16735" i="1"/>
  <c r="C16735" i="1"/>
  <c r="A16736" i="1"/>
  <c r="C16736" i="1"/>
  <c r="A16737" i="1"/>
  <c r="C16737" i="1"/>
  <c r="A16738" i="1"/>
  <c r="C16738" i="1"/>
  <c r="A16739" i="1"/>
  <c r="C16739" i="1"/>
  <c r="A16740" i="1"/>
  <c r="C16740" i="1"/>
  <c r="A16741" i="1"/>
  <c r="C16741" i="1"/>
  <c r="A16742" i="1"/>
  <c r="C16742" i="1"/>
  <c r="A16743" i="1"/>
  <c r="C16743" i="1"/>
  <c r="A16744" i="1"/>
  <c r="C16744" i="1"/>
  <c r="A16745" i="1"/>
  <c r="C16745" i="1"/>
  <c r="A16746" i="1"/>
  <c r="C16746" i="1"/>
  <c r="A16747" i="1"/>
  <c r="C16747" i="1"/>
  <c r="A16748" i="1"/>
  <c r="C16748" i="1"/>
  <c r="A16749" i="1"/>
  <c r="C16749" i="1"/>
  <c r="A16750" i="1"/>
  <c r="C16750" i="1"/>
  <c r="A16751" i="1"/>
  <c r="C16751" i="1"/>
  <c r="A16752" i="1"/>
  <c r="C16752" i="1"/>
  <c r="A16753" i="1"/>
  <c r="C16753" i="1"/>
  <c r="A16754" i="1"/>
  <c r="C16754" i="1"/>
  <c r="A16755" i="1"/>
  <c r="C16755" i="1"/>
  <c r="A16756" i="1"/>
  <c r="C16756" i="1"/>
  <c r="A16757" i="1"/>
  <c r="C16757" i="1"/>
  <c r="A16758" i="1"/>
  <c r="C16758" i="1"/>
  <c r="A16759" i="1"/>
  <c r="C16759" i="1"/>
  <c r="A16760" i="1"/>
  <c r="C16760" i="1"/>
  <c r="A16761" i="1"/>
  <c r="C16761" i="1"/>
  <c r="A16762" i="1"/>
  <c r="C16762" i="1"/>
  <c r="A16763" i="1"/>
  <c r="C16763" i="1"/>
  <c r="A16764" i="1"/>
  <c r="C16764" i="1"/>
  <c r="A16765" i="1"/>
  <c r="C16765" i="1"/>
  <c r="A16766" i="1"/>
  <c r="C16766" i="1"/>
  <c r="A16767" i="1"/>
  <c r="C16767" i="1"/>
  <c r="A16768" i="1"/>
  <c r="C16768" i="1"/>
  <c r="A16769" i="1"/>
  <c r="C16769" i="1"/>
  <c r="A16770" i="1"/>
  <c r="C16770" i="1"/>
  <c r="A16771" i="1"/>
  <c r="C16771" i="1"/>
  <c r="A16772" i="1"/>
  <c r="C16772" i="1"/>
  <c r="A16773" i="1"/>
  <c r="C16773" i="1"/>
  <c r="A16774" i="1"/>
  <c r="C16774" i="1"/>
  <c r="A16775" i="1"/>
  <c r="C16775" i="1"/>
  <c r="A16776" i="1"/>
  <c r="C16776" i="1"/>
  <c r="A16777" i="1"/>
  <c r="C16777" i="1"/>
  <c r="A16778" i="1"/>
  <c r="C16778" i="1"/>
  <c r="A16779" i="1"/>
  <c r="C16779" i="1"/>
  <c r="A16780" i="1"/>
  <c r="C16780" i="1"/>
  <c r="A16781" i="1"/>
  <c r="C16781" i="1"/>
  <c r="A16782" i="1"/>
  <c r="C16782" i="1"/>
  <c r="A16783" i="1"/>
  <c r="C16783" i="1"/>
  <c r="A16784" i="1"/>
  <c r="C16784" i="1"/>
  <c r="A16785" i="1"/>
  <c r="C16785" i="1"/>
  <c r="A16786" i="1"/>
  <c r="C16786" i="1"/>
  <c r="A16787" i="1"/>
  <c r="C16787" i="1"/>
  <c r="A16788" i="1"/>
  <c r="C16788" i="1"/>
  <c r="A16789" i="1"/>
  <c r="C16789" i="1"/>
  <c r="A16790" i="1"/>
  <c r="C16790" i="1"/>
  <c r="A16791" i="1"/>
  <c r="C16791" i="1"/>
  <c r="A16792" i="1"/>
  <c r="C16792" i="1"/>
  <c r="A16793" i="1"/>
  <c r="C16793" i="1"/>
  <c r="A16794" i="1"/>
  <c r="C16794" i="1"/>
  <c r="A16795" i="1"/>
  <c r="C16795" i="1"/>
  <c r="A16796" i="1"/>
  <c r="C16796" i="1"/>
  <c r="A16797" i="1"/>
  <c r="C16797" i="1"/>
  <c r="A16798" i="1"/>
  <c r="C16798" i="1"/>
  <c r="A16799" i="1"/>
  <c r="C16799" i="1"/>
  <c r="A16800" i="1"/>
  <c r="C16800" i="1"/>
  <c r="A16801" i="1"/>
  <c r="C16801" i="1"/>
  <c r="A16802" i="1"/>
  <c r="C16802" i="1"/>
  <c r="A16803" i="1"/>
  <c r="C16803" i="1"/>
  <c r="A16804" i="1"/>
  <c r="C16804" i="1"/>
  <c r="A16805" i="1"/>
  <c r="C16805" i="1"/>
  <c r="A16806" i="1"/>
  <c r="C16806" i="1"/>
  <c r="A16807" i="1"/>
  <c r="C16807" i="1"/>
  <c r="A16808" i="1"/>
  <c r="C16808" i="1"/>
  <c r="A16809" i="1"/>
  <c r="C16809" i="1"/>
  <c r="A16810" i="1"/>
  <c r="C16810" i="1"/>
  <c r="A16811" i="1"/>
  <c r="C16811" i="1"/>
  <c r="A16812" i="1"/>
  <c r="C16812" i="1"/>
  <c r="A16813" i="1"/>
  <c r="C16813" i="1"/>
  <c r="A16814" i="1"/>
  <c r="C16814" i="1"/>
  <c r="A16815" i="1"/>
  <c r="C16815" i="1"/>
  <c r="A16816" i="1"/>
  <c r="C16816" i="1"/>
  <c r="A16817" i="1"/>
  <c r="C16817" i="1"/>
  <c r="A16818" i="1"/>
  <c r="C16818" i="1"/>
  <c r="A16819" i="1"/>
  <c r="C16819" i="1"/>
  <c r="A16820" i="1"/>
  <c r="C16820" i="1"/>
  <c r="A16821" i="1"/>
  <c r="C16821" i="1"/>
  <c r="A16822" i="1"/>
  <c r="C16822" i="1"/>
  <c r="A16823" i="1"/>
  <c r="C16823" i="1"/>
  <c r="A16824" i="1"/>
  <c r="C16824" i="1"/>
  <c r="A16825" i="1"/>
  <c r="C16825" i="1"/>
  <c r="A16826" i="1"/>
  <c r="C16826" i="1"/>
  <c r="A16827" i="1"/>
  <c r="C16827" i="1"/>
  <c r="A16828" i="1"/>
  <c r="C16828" i="1"/>
  <c r="A16829" i="1"/>
  <c r="C16829" i="1"/>
  <c r="A16830" i="1"/>
  <c r="C16830" i="1"/>
  <c r="A16831" i="1"/>
  <c r="C16831" i="1"/>
  <c r="A16832" i="1"/>
  <c r="C16832" i="1"/>
  <c r="A16833" i="1"/>
  <c r="C16833" i="1"/>
  <c r="A16834" i="1"/>
  <c r="C16834" i="1"/>
  <c r="A16835" i="1"/>
  <c r="C16835" i="1"/>
  <c r="A16836" i="1"/>
  <c r="C16836" i="1"/>
  <c r="A16837" i="1"/>
  <c r="C16837" i="1"/>
  <c r="A16838" i="1"/>
  <c r="C16838" i="1"/>
  <c r="A16839" i="1"/>
  <c r="C16839" i="1"/>
  <c r="A16840" i="1"/>
  <c r="C16840" i="1"/>
  <c r="A16841" i="1"/>
  <c r="C16841" i="1"/>
  <c r="A16842" i="1"/>
  <c r="C16842" i="1"/>
  <c r="A16843" i="1"/>
  <c r="C16843" i="1"/>
  <c r="A16844" i="1"/>
  <c r="C16844" i="1"/>
  <c r="A16845" i="1"/>
  <c r="C16845" i="1"/>
  <c r="A16846" i="1"/>
  <c r="C16846" i="1"/>
  <c r="A16847" i="1"/>
  <c r="C16847" i="1"/>
  <c r="A16848" i="1"/>
  <c r="C16848" i="1"/>
  <c r="A16849" i="1"/>
  <c r="C16849" i="1"/>
  <c r="A16850" i="1"/>
  <c r="C16850" i="1"/>
  <c r="A16851" i="1"/>
  <c r="C16851" i="1"/>
  <c r="A16852" i="1"/>
  <c r="C16852" i="1"/>
  <c r="A16853" i="1"/>
  <c r="C16853" i="1"/>
  <c r="A16854" i="1"/>
  <c r="C16854" i="1"/>
  <c r="A16855" i="1"/>
  <c r="C16855" i="1"/>
  <c r="A16856" i="1"/>
  <c r="C16856" i="1"/>
  <c r="A16857" i="1"/>
  <c r="C16857" i="1"/>
  <c r="A16858" i="1"/>
  <c r="C16858" i="1"/>
  <c r="A16859" i="1"/>
  <c r="C16859" i="1"/>
  <c r="A16860" i="1"/>
  <c r="C16860" i="1"/>
  <c r="A16861" i="1"/>
  <c r="C16861" i="1"/>
  <c r="A16862" i="1"/>
  <c r="C16862" i="1"/>
  <c r="A16863" i="1"/>
  <c r="C16863" i="1"/>
  <c r="A16864" i="1"/>
  <c r="C16864" i="1"/>
  <c r="A16865" i="1"/>
  <c r="C16865" i="1"/>
  <c r="A16866" i="1"/>
  <c r="C16866" i="1"/>
  <c r="A16867" i="1"/>
  <c r="C16867" i="1"/>
  <c r="A16868" i="1"/>
  <c r="C16868" i="1"/>
  <c r="A16869" i="1"/>
  <c r="C16869" i="1"/>
  <c r="A16870" i="1"/>
  <c r="C16870" i="1"/>
  <c r="A16871" i="1"/>
  <c r="C16871" i="1"/>
  <c r="A16872" i="1"/>
  <c r="C16872" i="1"/>
  <c r="A16873" i="1"/>
  <c r="C16873" i="1"/>
  <c r="A16874" i="1"/>
  <c r="C16874" i="1"/>
  <c r="A16875" i="1"/>
  <c r="C16875" i="1"/>
  <c r="A16876" i="1"/>
  <c r="C16876" i="1"/>
  <c r="A16877" i="1"/>
  <c r="C16877" i="1"/>
  <c r="A16878" i="1"/>
  <c r="C16878" i="1"/>
  <c r="A16879" i="1"/>
  <c r="C16879" i="1"/>
  <c r="A16880" i="1"/>
  <c r="C16880" i="1"/>
  <c r="A16881" i="1"/>
  <c r="C16881" i="1"/>
  <c r="A16882" i="1"/>
  <c r="C16882" i="1"/>
  <c r="A16883" i="1"/>
  <c r="C16883" i="1"/>
  <c r="A16884" i="1"/>
  <c r="C16884" i="1"/>
  <c r="A16885" i="1"/>
  <c r="C16885" i="1"/>
  <c r="A16886" i="1"/>
  <c r="C16886" i="1"/>
  <c r="A16887" i="1"/>
  <c r="C16887" i="1"/>
  <c r="A16888" i="1"/>
  <c r="C16888" i="1"/>
  <c r="A16889" i="1"/>
  <c r="C16889" i="1"/>
  <c r="A16890" i="1"/>
  <c r="C16890" i="1"/>
  <c r="A16891" i="1"/>
  <c r="C16891" i="1"/>
  <c r="A16892" i="1"/>
  <c r="C16892" i="1"/>
  <c r="A16893" i="1"/>
  <c r="C16893" i="1"/>
  <c r="A16894" i="1"/>
  <c r="C16894" i="1"/>
  <c r="A16895" i="1"/>
  <c r="C16895" i="1"/>
  <c r="A16896" i="1"/>
  <c r="C16896" i="1"/>
  <c r="A16897" i="1"/>
  <c r="C16897" i="1"/>
  <c r="A16898" i="1"/>
  <c r="C16898" i="1"/>
  <c r="A16899" i="1"/>
  <c r="C16899" i="1"/>
  <c r="A16900" i="1"/>
  <c r="C16900" i="1"/>
  <c r="A16901" i="1"/>
  <c r="C16901" i="1"/>
  <c r="A16902" i="1"/>
  <c r="C16902" i="1"/>
  <c r="A16903" i="1"/>
  <c r="C16903" i="1"/>
  <c r="A16904" i="1"/>
  <c r="C16904" i="1"/>
  <c r="A16905" i="1"/>
  <c r="C16905" i="1"/>
  <c r="A16906" i="1"/>
  <c r="C16906" i="1"/>
  <c r="A16907" i="1"/>
  <c r="C16907" i="1"/>
  <c r="A16908" i="1"/>
  <c r="C16908" i="1"/>
  <c r="A16909" i="1"/>
  <c r="C16909" i="1"/>
  <c r="A16910" i="1"/>
  <c r="C16910" i="1"/>
  <c r="A16911" i="1"/>
  <c r="C16911" i="1"/>
  <c r="A16912" i="1"/>
  <c r="C16912" i="1"/>
  <c r="A16913" i="1"/>
  <c r="C16913" i="1"/>
  <c r="A16914" i="1"/>
  <c r="C16914" i="1"/>
  <c r="A16915" i="1"/>
  <c r="C16915" i="1"/>
  <c r="A16916" i="1"/>
  <c r="C16916" i="1"/>
  <c r="A16917" i="1"/>
  <c r="C16917" i="1"/>
  <c r="A16918" i="1"/>
  <c r="C16918" i="1"/>
  <c r="A16919" i="1"/>
  <c r="C16919" i="1"/>
  <c r="A16920" i="1"/>
  <c r="C16920" i="1"/>
  <c r="A16921" i="1"/>
  <c r="C16921" i="1"/>
  <c r="A16922" i="1"/>
  <c r="C16922" i="1"/>
  <c r="A16923" i="1"/>
  <c r="C16923" i="1"/>
  <c r="A16924" i="1"/>
  <c r="C16924" i="1"/>
  <c r="A16925" i="1"/>
  <c r="C16925" i="1"/>
  <c r="A16926" i="1"/>
  <c r="C16926" i="1"/>
  <c r="A16927" i="1"/>
  <c r="C16927" i="1"/>
  <c r="A16928" i="1"/>
  <c r="C16928" i="1"/>
  <c r="A16929" i="1"/>
  <c r="C16929" i="1"/>
  <c r="A16930" i="1"/>
  <c r="C16930" i="1"/>
  <c r="A16931" i="1"/>
  <c r="C16931" i="1"/>
  <c r="A16932" i="1"/>
  <c r="C16932" i="1"/>
  <c r="A16933" i="1"/>
  <c r="C16933" i="1"/>
  <c r="A16934" i="1"/>
  <c r="C16934" i="1"/>
  <c r="A16935" i="1"/>
  <c r="C16935" i="1"/>
  <c r="A16936" i="1"/>
  <c r="C16936" i="1"/>
  <c r="A16937" i="1"/>
  <c r="C16937" i="1"/>
  <c r="A16938" i="1"/>
  <c r="C16938" i="1"/>
  <c r="A16939" i="1"/>
  <c r="C16939" i="1"/>
  <c r="A16940" i="1"/>
  <c r="C16940" i="1"/>
  <c r="A16941" i="1"/>
  <c r="C16941" i="1"/>
  <c r="A16942" i="1"/>
  <c r="C16942" i="1"/>
  <c r="A16943" i="1"/>
  <c r="C16943" i="1"/>
  <c r="A16944" i="1"/>
  <c r="C16944" i="1"/>
  <c r="A16945" i="1"/>
  <c r="C16945" i="1"/>
  <c r="A16946" i="1"/>
  <c r="C16946" i="1"/>
  <c r="A16947" i="1"/>
  <c r="C16947" i="1"/>
  <c r="A16948" i="1"/>
  <c r="C16948" i="1"/>
  <c r="A16949" i="1"/>
  <c r="C16949" i="1"/>
  <c r="A16950" i="1"/>
  <c r="C16950" i="1"/>
  <c r="A16951" i="1"/>
  <c r="C16951" i="1"/>
  <c r="A16952" i="1"/>
  <c r="C16952" i="1"/>
  <c r="A16953" i="1"/>
  <c r="C16953" i="1"/>
  <c r="A16954" i="1"/>
  <c r="C16954" i="1"/>
  <c r="A16955" i="1"/>
  <c r="C16955" i="1"/>
  <c r="A16956" i="1"/>
  <c r="C16956" i="1"/>
  <c r="A16957" i="1"/>
  <c r="C16957" i="1"/>
  <c r="A16958" i="1"/>
  <c r="C16958" i="1"/>
  <c r="A16959" i="1"/>
  <c r="C16959" i="1"/>
  <c r="A16960" i="1"/>
  <c r="C16960" i="1"/>
  <c r="A16961" i="1"/>
  <c r="C16961" i="1"/>
  <c r="A16962" i="1"/>
  <c r="C16962" i="1"/>
  <c r="A16963" i="1"/>
  <c r="C16963" i="1"/>
  <c r="A16964" i="1"/>
  <c r="C16964" i="1"/>
  <c r="A16965" i="1"/>
  <c r="C16965" i="1"/>
  <c r="A16966" i="1"/>
  <c r="C16966" i="1"/>
  <c r="A16967" i="1"/>
  <c r="C16967" i="1"/>
  <c r="A16968" i="1"/>
  <c r="C16968" i="1"/>
  <c r="A16969" i="1"/>
  <c r="C16969" i="1"/>
  <c r="A16970" i="1"/>
  <c r="C16970" i="1"/>
  <c r="A16971" i="1"/>
  <c r="C16971" i="1"/>
  <c r="A16972" i="1"/>
  <c r="C16972" i="1"/>
  <c r="A16973" i="1"/>
  <c r="C16973" i="1"/>
  <c r="A16974" i="1"/>
  <c r="C16974" i="1"/>
  <c r="A16975" i="1"/>
  <c r="C16975" i="1"/>
  <c r="A16976" i="1"/>
  <c r="C16976" i="1"/>
  <c r="A16977" i="1"/>
  <c r="C16977" i="1"/>
  <c r="A16978" i="1"/>
  <c r="C16978" i="1"/>
  <c r="A16979" i="1"/>
  <c r="C16979" i="1"/>
  <c r="A16980" i="1"/>
  <c r="C16980" i="1"/>
  <c r="A16981" i="1"/>
  <c r="C16981" i="1"/>
  <c r="A16982" i="1"/>
  <c r="C16982" i="1"/>
  <c r="A16983" i="1"/>
  <c r="C16983" i="1"/>
  <c r="A16984" i="1"/>
  <c r="C16984" i="1"/>
  <c r="A16985" i="1"/>
  <c r="C16985" i="1"/>
  <c r="A16986" i="1"/>
  <c r="C16986" i="1"/>
  <c r="A16987" i="1"/>
  <c r="C16987" i="1"/>
  <c r="A16988" i="1"/>
  <c r="C16988" i="1"/>
  <c r="A16989" i="1"/>
  <c r="C16989" i="1"/>
  <c r="A16990" i="1"/>
  <c r="C16990" i="1"/>
  <c r="A16991" i="1"/>
  <c r="C16991" i="1"/>
  <c r="A16992" i="1"/>
  <c r="C16992" i="1"/>
  <c r="A16993" i="1"/>
  <c r="C16993" i="1"/>
  <c r="A16994" i="1"/>
  <c r="C16994" i="1"/>
  <c r="A16995" i="1"/>
  <c r="C16995" i="1"/>
  <c r="A16996" i="1"/>
  <c r="C16996" i="1"/>
  <c r="A16997" i="1"/>
  <c r="C16997" i="1"/>
  <c r="A16998" i="1"/>
  <c r="C16998" i="1"/>
  <c r="A16999" i="1"/>
  <c r="C16999" i="1"/>
  <c r="A17000" i="1"/>
  <c r="C17000" i="1"/>
  <c r="A17001" i="1"/>
  <c r="C17001" i="1"/>
  <c r="A17002" i="1"/>
  <c r="C17002" i="1"/>
  <c r="A17003" i="1"/>
  <c r="C17003" i="1"/>
  <c r="A17004" i="1"/>
  <c r="C17004" i="1"/>
  <c r="A17005" i="1"/>
  <c r="C17005" i="1"/>
  <c r="A17006" i="1"/>
  <c r="C17006" i="1"/>
  <c r="A17007" i="1"/>
  <c r="C17007" i="1"/>
  <c r="A17008" i="1"/>
  <c r="C17008" i="1"/>
  <c r="A17009" i="1"/>
  <c r="C17009" i="1"/>
  <c r="A17010" i="1"/>
  <c r="C17010" i="1"/>
  <c r="A17011" i="1"/>
  <c r="C17011" i="1"/>
  <c r="A17012" i="1"/>
  <c r="C17012" i="1"/>
  <c r="A17013" i="1"/>
  <c r="C17013" i="1"/>
  <c r="A17014" i="1"/>
  <c r="C17014" i="1"/>
  <c r="A17015" i="1"/>
  <c r="C17015" i="1"/>
  <c r="A17016" i="1"/>
  <c r="C17016" i="1"/>
  <c r="A17017" i="1"/>
  <c r="C17017" i="1"/>
  <c r="A17018" i="1"/>
  <c r="C17018" i="1"/>
  <c r="A17019" i="1"/>
  <c r="C17019" i="1"/>
  <c r="A17020" i="1"/>
  <c r="C17020" i="1"/>
  <c r="A17021" i="1"/>
  <c r="C17021" i="1"/>
  <c r="A17022" i="1"/>
  <c r="C17022" i="1"/>
  <c r="A17023" i="1"/>
  <c r="C17023" i="1"/>
  <c r="A17024" i="1"/>
  <c r="C17024" i="1"/>
  <c r="A17025" i="1"/>
  <c r="C17025" i="1"/>
  <c r="A17026" i="1"/>
  <c r="C17026" i="1"/>
  <c r="A17027" i="1"/>
  <c r="C17027" i="1"/>
  <c r="A17028" i="1"/>
  <c r="C17028" i="1"/>
  <c r="A17029" i="1"/>
  <c r="C17029" i="1"/>
  <c r="A17030" i="1"/>
  <c r="C17030" i="1"/>
  <c r="A17031" i="1"/>
  <c r="C17031" i="1"/>
  <c r="A17032" i="1"/>
  <c r="C17032" i="1"/>
  <c r="A17033" i="1"/>
  <c r="C17033" i="1"/>
  <c r="A17034" i="1"/>
  <c r="C17034" i="1"/>
  <c r="A17035" i="1"/>
  <c r="C17035" i="1"/>
  <c r="A17036" i="1"/>
  <c r="C17036" i="1"/>
  <c r="A17037" i="1"/>
  <c r="C17037" i="1"/>
  <c r="A17038" i="1"/>
  <c r="C17038" i="1"/>
  <c r="A17039" i="1"/>
  <c r="C17039" i="1"/>
  <c r="A17040" i="1"/>
  <c r="C17040" i="1"/>
  <c r="A17041" i="1"/>
  <c r="C17041" i="1"/>
  <c r="A17042" i="1"/>
  <c r="C17042" i="1"/>
  <c r="A17043" i="1"/>
  <c r="C17043" i="1"/>
  <c r="A17044" i="1"/>
  <c r="C17044" i="1"/>
  <c r="A17045" i="1"/>
  <c r="C17045" i="1"/>
  <c r="A17046" i="1"/>
  <c r="C17046" i="1"/>
  <c r="A17047" i="1"/>
  <c r="C17047" i="1"/>
  <c r="A17048" i="1"/>
  <c r="C17048" i="1"/>
  <c r="A17049" i="1"/>
  <c r="C17049" i="1"/>
  <c r="A17050" i="1"/>
  <c r="C17050" i="1"/>
  <c r="A17051" i="1"/>
  <c r="C17051" i="1"/>
  <c r="A17052" i="1"/>
  <c r="C17052" i="1"/>
  <c r="A17053" i="1"/>
  <c r="C17053" i="1"/>
  <c r="A17054" i="1"/>
  <c r="C17054" i="1"/>
  <c r="A17055" i="1"/>
  <c r="C17055" i="1"/>
  <c r="A17056" i="1"/>
  <c r="C17056" i="1"/>
  <c r="A17057" i="1"/>
  <c r="C17057" i="1"/>
  <c r="A17058" i="1"/>
  <c r="C17058" i="1"/>
  <c r="A17059" i="1"/>
  <c r="C17059" i="1"/>
  <c r="A17060" i="1"/>
  <c r="C17060" i="1"/>
  <c r="A17061" i="1"/>
  <c r="C17061" i="1"/>
  <c r="A17062" i="1"/>
  <c r="C17062" i="1"/>
  <c r="A17063" i="1"/>
  <c r="C17063" i="1"/>
  <c r="A17064" i="1"/>
  <c r="C17064" i="1"/>
  <c r="A17065" i="1"/>
  <c r="C17065" i="1"/>
  <c r="A17066" i="1"/>
  <c r="C17066" i="1"/>
  <c r="A17067" i="1"/>
  <c r="C17067" i="1"/>
  <c r="A17068" i="1"/>
  <c r="C17068" i="1"/>
  <c r="A17069" i="1"/>
  <c r="C17069" i="1"/>
  <c r="A17070" i="1"/>
  <c r="C17070" i="1"/>
  <c r="A17071" i="1"/>
  <c r="C17071" i="1"/>
  <c r="A17072" i="1"/>
  <c r="C17072" i="1"/>
  <c r="A17073" i="1"/>
  <c r="C17073" i="1"/>
  <c r="A17074" i="1"/>
  <c r="C17074" i="1"/>
  <c r="A17075" i="1"/>
  <c r="C17075" i="1"/>
  <c r="A17076" i="1"/>
  <c r="C17076" i="1"/>
  <c r="A17077" i="1"/>
  <c r="C17077" i="1"/>
  <c r="A17078" i="1"/>
  <c r="C17078" i="1"/>
  <c r="A17079" i="1"/>
  <c r="C17079" i="1"/>
  <c r="A17080" i="1"/>
  <c r="C17080" i="1"/>
  <c r="A17081" i="1"/>
  <c r="C17081" i="1"/>
  <c r="A17082" i="1"/>
  <c r="C17082" i="1"/>
  <c r="A17083" i="1"/>
  <c r="C17083" i="1"/>
  <c r="A17084" i="1"/>
  <c r="C17084" i="1"/>
  <c r="A17085" i="1"/>
  <c r="C17085" i="1"/>
  <c r="A17086" i="1"/>
  <c r="C17086" i="1"/>
  <c r="A17087" i="1"/>
  <c r="C17087" i="1"/>
  <c r="A17088" i="1"/>
  <c r="C17088" i="1"/>
  <c r="A17089" i="1"/>
  <c r="C17089" i="1"/>
  <c r="A17090" i="1"/>
  <c r="C17090" i="1"/>
  <c r="A17091" i="1"/>
  <c r="C17091" i="1"/>
  <c r="A17092" i="1"/>
  <c r="C17092" i="1"/>
  <c r="A17093" i="1"/>
  <c r="C17093" i="1"/>
  <c r="A17094" i="1"/>
  <c r="C17094" i="1"/>
  <c r="A17095" i="1"/>
  <c r="C17095" i="1"/>
  <c r="A17096" i="1"/>
  <c r="C17096" i="1"/>
  <c r="A17097" i="1"/>
  <c r="C17097" i="1"/>
  <c r="A17098" i="1"/>
  <c r="C17098" i="1"/>
  <c r="A17099" i="1"/>
  <c r="C17099" i="1"/>
  <c r="A17100" i="1"/>
  <c r="C17100" i="1"/>
  <c r="A17101" i="1"/>
  <c r="C17101" i="1"/>
  <c r="A17102" i="1"/>
  <c r="C17102" i="1"/>
  <c r="A17103" i="1"/>
  <c r="C17103" i="1"/>
  <c r="A17104" i="1"/>
  <c r="C17104" i="1"/>
  <c r="A17105" i="1"/>
  <c r="C17105" i="1"/>
  <c r="A17106" i="1"/>
  <c r="C17106" i="1"/>
  <c r="A17107" i="1"/>
  <c r="C17107" i="1"/>
  <c r="A17108" i="1"/>
  <c r="C17108" i="1"/>
  <c r="A17109" i="1"/>
  <c r="C17109" i="1"/>
  <c r="A17110" i="1"/>
  <c r="C17110" i="1"/>
  <c r="A17111" i="1"/>
  <c r="C17111" i="1"/>
  <c r="A17112" i="1"/>
  <c r="C17112" i="1"/>
  <c r="A17113" i="1"/>
  <c r="C17113" i="1"/>
  <c r="A17114" i="1"/>
  <c r="C17114" i="1"/>
  <c r="A17115" i="1"/>
  <c r="C17115" i="1"/>
  <c r="A17116" i="1"/>
  <c r="C17116" i="1"/>
  <c r="A17117" i="1"/>
  <c r="C17117" i="1"/>
  <c r="A17118" i="1"/>
  <c r="C17118" i="1"/>
  <c r="A17119" i="1"/>
  <c r="C17119" i="1"/>
  <c r="A17120" i="1"/>
  <c r="C17120" i="1"/>
  <c r="A17121" i="1"/>
  <c r="C17121" i="1"/>
  <c r="A17122" i="1"/>
  <c r="C17122" i="1"/>
  <c r="A17123" i="1"/>
  <c r="C17123" i="1"/>
  <c r="A17124" i="1"/>
  <c r="C17124" i="1"/>
  <c r="A17125" i="1"/>
  <c r="C17125" i="1"/>
  <c r="A17126" i="1"/>
  <c r="C17126" i="1"/>
  <c r="A17127" i="1"/>
  <c r="C17127" i="1"/>
  <c r="A17128" i="1"/>
  <c r="C17128" i="1"/>
  <c r="A17129" i="1"/>
  <c r="C17129" i="1"/>
  <c r="A17130" i="1"/>
  <c r="C17130" i="1"/>
  <c r="A17131" i="1"/>
  <c r="C17131" i="1"/>
  <c r="A17132" i="1"/>
  <c r="C17132" i="1"/>
  <c r="A17133" i="1"/>
  <c r="C17133" i="1"/>
  <c r="A17134" i="1"/>
  <c r="C17134" i="1"/>
  <c r="A17135" i="1"/>
  <c r="C17135" i="1"/>
  <c r="A17136" i="1"/>
  <c r="C17136" i="1"/>
  <c r="A17137" i="1"/>
  <c r="C17137" i="1"/>
  <c r="A17138" i="1"/>
  <c r="C17138" i="1"/>
  <c r="A17139" i="1"/>
  <c r="C17139" i="1"/>
  <c r="A17140" i="1"/>
  <c r="C17140" i="1"/>
  <c r="A17141" i="1"/>
  <c r="C17141" i="1"/>
  <c r="A17142" i="1"/>
  <c r="C17142" i="1"/>
  <c r="A17143" i="1"/>
  <c r="C17143" i="1"/>
  <c r="A17144" i="1"/>
  <c r="C17144" i="1"/>
  <c r="A17145" i="1"/>
  <c r="C17145" i="1"/>
  <c r="A17146" i="1"/>
  <c r="C17146" i="1"/>
  <c r="A17147" i="1"/>
  <c r="C17147" i="1"/>
  <c r="A17148" i="1"/>
  <c r="C17148" i="1"/>
  <c r="A17149" i="1"/>
  <c r="C17149" i="1"/>
  <c r="A17150" i="1"/>
  <c r="C17150" i="1"/>
  <c r="A17151" i="1"/>
  <c r="C17151" i="1"/>
  <c r="A17152" i="1"/>
  <c r="C17152" i="1"/>
  <c r="A17153" i="1"/>
  <c r="C17153" i="1"/>
  <c r="A17154" i="1"/>
  <c r="C17154" i="1"/>
  <c r="A17155" i="1"/>
  <c r="C17155" i="1"/>
  <c r="A17156" i="1"/>
  <c r="C17156" i="1"/>
  <c r="A17157" i="1"/>
  <c r="C17157" i="1"/>
  <c r="A17158" i="1"/>
  <c r="C17158" i="1"/>
  <c r="A17159" i="1"/>
  <c r="C17159" i="1"/>
  <c r="A17160" i="1"/>
  <c r="C17160" i="1"/>
  <c r="A17161" i="1"/>
  <c r="C17161" i="1"/>
  <c r="A17162" i="1"/>
  <c r="C17162" i="1"/>
  <c r="A17163" i="1"/>
  <c r="C17163" i="1"/>
  <c r="A17164" i="1"/>
  <c r="C17164" i="1"/>
  <c r="A17165" i="1"/>
  <c r="C17165" i="1"/>
  <c r="A17166" i="1"/>
  <c r="C17166" i="1"/>
  <c r="A17167" i="1"/>
  <c r="C17167" i="1"/>
  <c r="A17168" i="1"/>
  <c r="C17168" i="1"/>
  <c r="A17169" i="1"/>
  <c r="C17169" i="1"/>
  <c r="A17170" i="1"/>
  <c r="C17170" i="1"/>
  <c r="A17171" i="1"/>
  <c r="C17171" i="1"/>
  <c r="A17172" i="1"/>
  <c r="C17172" i="1"/>
  <c r="A17173" i="1"/>
  <c r="C17173" i="1"/>
  <c r="A17174" i="1"/>
  <c r="C17174" i="1"/>
  <c r="A17175" i="1"/>
  <c r="C17175" i="1"/>
  <c r="A17176" i="1"/>
  <c r="C17176" i="1"/>
  <c r="A17177" i="1"/>
  <c r="C17177" i="1"/>
  <c r="A17178" i="1"/>
  <c r="C17178" i="1"/>
  <c r="A17179" i="1"/>
  <c r="C17179" i="1"/>
  <c r="A17180" i="1"/>
  <c r="C17180" i="1"/>
  <c r="A17181" i="1"/>
  <c r="C17181" i="1"/>
  <c r="A17182" i="1"/>
  <c r="C17182" i="1"/>
  <c r="A17183" i="1"/>
  <c r="C17183" i="1"/>
  <c r="A17184" i="1"/>
  <c r="C17184" i="1"/>
  <c r="A17185" i="1"/>
  <c r="C17185" i="1"/>
  <c r="A17186" i="1"/>
  <c r="C17186" i="1"/>
  <c r="A17187" i="1"/>
  <c r="C17187" i="1"/>
  <c r="A17188" i="1"/>
  <c r="C17188" i="1"/>
  <c r="A17189" i="1"/>
  <c r="C17189" i="1"/>
  <c r="A17190" i="1"/>
  <c r="C17190" i="1"/>
  <c r="A17191" i="1"/>
  <c r="C17191" i="1"/>
  <c r="A17192" i="1"/>
  <c r="C17192" i="1"/>
  <c r="A17193" i="1"/>
  <c r="C17193" i="1"/>
  <c r="A17194" i="1"/>
  <c r="C17194" i="1"/>
  <c r="A17195" i="1"/>
  <c r="C17195" i="1"/>
  <c r="A17196" i="1"/>
  <c r="C17196" i="1"/>
  <c r="A17197" i="1"/>
  <c r="C17197" i="1"/>
  <c r="A17198" i="1"/>
  <c r="C17198" i="1"/>
  <c r="A17199" i="1"/>
  <c r="C17199" i="1"/>
  <c r="A17200" i="1"/>
  <c r="C17200" i="1"/>
  <c r="A17201" i="1"/>
  <c r="C17201" i="1"/>
  <c r="A17202" i="1"/>
  <c r="C17202" i="1"/>
  <c r="A17203" i="1"/>
  <c r="C17203" i="1"/>
  <c r="A17204" i="1"/>
  <c r="C17204" i="1"/>
  <c r="A17205" i="1"/>
  <c r="C17205" i="1"/>
  <c r="A17206" i="1"/>
  <c r="C17206" i="1"/>
  <c r="A17207" i="1"/>
  <c r="C17207" i="1"/>
  <c r="A17208" i="1"/>
  <c r="C17208" i="1"/>
  <c r="A17209" i="1"/>
  <c r="C17209" i="1"/>
  <c r="A17210" i="1"/>
  <c r="C17210" i="1"/>
  <c r="A17211" i="1"/>
  <c r="C17211" i="1"/>
  <c r="A17212" i="1"/>
  <c r="C17212" i="1"/>
  <c r="A17213" i="1"/>
  <c r="C17213" i="1"/>
  <c r="A17214" i="1"/>
  <c r="C17214" i="1"/>
  <c r="A17215" i="1"/>
  <c r="C17215" i="1"/>
  <c r="A17216" i="1"/>
  <c r="C17216" i="1"/>
  <c r="A17217" i="1"/>
  <c r="C17217" i="1"/>
  <c r="A17218" i="1"/>
  <c r="C17218" i="1"/>
  <c r="A17219" i="1"/>
  <c r="C17219" i="1"/>
  <c r="A17220" i="1"/>
  <c r="C17220" i="1"/>
  <c r="A17221" i="1"/>
  <c r="C17221" i="1"/>
  <c r="A17222" i="1"/>
  <c r="C17222" i="1"/>
  <c r="A17223" i="1"/>
  <c r="C17223" i="1"/>
  <c r="A17224" i="1"/>
  <c r="C17224" i="1"/>
  <c r="A17225" i="1"/>
  <c r="C17225" i="1"/>
  <c r="A17226" i="1"/>
  <c r="C17226" i="1"/>
  <c r="A17227" i="1"/>
  <c r="C17227" i="1"/>
  <c r="A17228" i="1"/>
  <c r="C17228" i="1"/>
  <c r="A17229" i="1"/>
  <c r="C17229" i="1"/>
  <c r="A17230" i="1"/>
  <c r="C17230" i="1"/>
  <c r="A17231" i="1"/>
  <c r="C17231" i="1"/>
  <c r="A17232" i="1"/>
  <c r="C17232" i="1"/>
  <c r="A17233" i="1"/>
  <c r="C17233" i="1"/>
  <c r="A17234" i="1"/>
  <c r="C17234" i="1"/>
  <c r="A17235" i="1"/>
  <c r="C17235" i="1"/>
  <c r="A17236" i="1"/>
  <c r="C17236" i="1"/>
  <c r="A17237" i="1"/>
  <c r="C17237" i="1"/>
  <c r="A17238" i="1"/>
  <c r="C17238" i="1"/>
  <c r="A17239" i="1"/>
  <c r="C17239" i="1"/>
  <c r="A17240" i="1"/>
  <c r="C17240" i="1"/>
  <c r="A17241" i="1"/>
  <c r="C17241" i="1"/>
  <c r="A17242" i="1"/>
  <c r="C17242" i="1"/>
  <c r="A17243" i="1"/>
  <c r="C17243" i="1"/>
  <c r="A17244" i="1"/>
  <c r="C17244" i="1"/>
  <c r="A17245" i="1"/>
  <c r="C17245" i="1"/>
  <c r="A17246" i="1"/>
  <c r="C17246" i="1"/>
  <c r="A17247" i="1"/>
  <c r="C17247" i="1"/>
  <c r="A17248" i="1"/>
  <c r="C17248" i="1"/>
  <c r="A17249" i="1"/>
  <c r="C17249" i="1"/>
  <c r="A17250" i="1"/>
  <c r="C17250" i="1"/>
  <c r="A17251" i="1"/>
  <c r="C17251" i="1"/>
  <c r="A17252" i="1"/>
  <c r="C17252" i="1"/>
  <c r="A17253" i="1"/>
  <c r="C17253" i="1"/>
  <c r="A17254" i="1"/>
  <c r="C17254" i="1"/>
  <c r="A17255" i="1"/>
  <c r="C17255" i="1"/>
  <c r="A17256" i="1"/>
  <c r="C17256" i="1"/>
  <c r="A17257" i="1"/>
  <c r="C17257" i="1"/>
  <c r="A17258" i="1"/>
  <c r="C17258" i="1"/>
  <c r="A17259" i="1"/>
  <c r="C17259" i="1"/>
  <c r="A17260" i="1"/>
  <c r="C17260" i="1"/>
  <c r="A17261" i="1"/>
  <c r="C17261" i="1"/>
  <c r="A17262" i="1"/>
  <c r="C17262" i="1"/>
  <c r="A17263" i="1"/>
  <c r="C17263" i="1"/>
  <c r="A17264" i="1"/>
  <c r="C17264" i="1"/>
  <c r="A17265" i="1"/>
  <c r="C17265" i="1"/>
  <c r="A17266" i="1"/>
  <c r="C17266" i="1"/>
  <c r="A17267" i="1"/>
  <c r="C17267" i="1"/>
  <c r="A17268" i="1"/>
  <c r="C17268" i="1"/>
  <c r="A17269" i="1"/>
  <c r="C17269" i="1"/>
  <c r="A17270" i="1"/>
  <c r="C17270" i="1"/>
  <c r="A17271" i="1"/>
  <c r="C17271" i="1"/>
  <c r="A17272" i="1"/>
  <c r="C17272" i="1"/>
  <c r="A17273" i="1"/>
  <c r="C17273" i="1"/>
  <c r="A17274" i="1"/>
  <c r="C17274" i="1"/>
  <c r="A17275" i="1"/>
  <c r="C17275" i="1"/>
  <c r="A17276" i="1"/>
  <c r="C17276" i="1"/>
  <c r="A17277" i="1"/>
  <c r="C17277" i="1"/>
  <c r="A17278" i="1"/>
  <c r="C17278" i="1"/>
  <c r="A17279" i="1"/>
  <c r="C17279" i="1"/>
  <c r="A17280" i="1"/>
  <c r="C17280" i="1"/>
  <c r="A17281" i="1"/>
  <c r="C17281" i="1"/>
  <c r="A17282" i="1"/>
  <c r="C17282" i="1"/>
  <c r="A17283" i="1"/>
  <c r="C17283" i="1"/>
  <c r="A17284" i="1"/>
  <c r="C17284" i="1"/>
  <c r="A17285" i="1"/>
  <c r="C17285" i="1"/>
  <c r="A17286" i="1"/>
  <c r="C17286" i="1"/>
  <c r="A17287" i="1"/>
  <c r="C17287" i="1"/>
  <c r="A17288" i="1"/>
  <c r="C17288" i="1"/>
  <c r="A17289" i="1"/>
  <c r="C17289" i="1"/>
  <c r="A17290" i="1"/>
  <c r="C17290" i="1"/>
  <c r="A17291" i="1"/>
  <c r="C17291" i="1"/>
  <c r="A17292" i="1"/>
  <c r="C17292" i="1"/>
  <c r="A17293" i="1"/>
  <c r="C17293" i="1"/>
  <c r="A17294" i="1"/>
  <c r="C17294" i="1"/>
  <c r="A17295" i="1"/>
  <c r="C17295" i="1"/>
  <c r="A17296" i="1"/>
  <c r="C17296" i="1"/>
  <c r="A17297" i="1"/>
  <c r="C17297" i="1"/>
  <c r="A17298" i="1"/>
  <c r="C17298" i="1"/>
  <c r="A17299" i="1"/>
  <c r="C17299" i="1"/>
  <c r="A17300" i="1"/>
  <c r="C17300" i="1"/>
  <c r="A17301" i="1"/>
  <c r="C17301" i="1"/>
  <c r="A17302" i="1"/>
  <c r="C17302" i="1"/>
  <c r="A17303" i="1"/>
  <c r="C17303" i="1"/>
  <c r="A17304" i="1"/>
  <c r="C17304" i="1"/>
  <c r="A17305" i="1"/>
  <c r="C17305" i="1"/>
  <c r="A17306" i="1"/>
  <c r="C17306" i="1"/>
  <c r="A17307" i="1"/>
  <c r="C17307" i="1"/>
  <c r="A17308" i="1"/>
  <c r="C17308" i="1"/>
  <c r="A17309" i="1"/>
  <c r="C17309" i="1"/>
  <c r="A17310" i="1"/>
  <c r="C17310" i="1"/>
  <c r="A17311" i="1"/>
  <c r="C17311" i="1"/>
  <c r="A17312" i="1"/>
  <c r="C17312" i="1"/>
  <c r="A17313" i="1"/>
  <c r="C17313" i="1"/>
  <c r="A17314" i="1"/>
  <c r="C17314" i="1"/>
  <c r="A17315" i="1"/>
  <c r="C17315" i="1"/>
  <c r="A17316" i="1"/>
  <c r="C17316" i="1"/>
  <c r="A17317" i="1"/>
  <c r="C17317" i="1"/>
  <c r="A17318" i="1"/>
  <c r="C17318" i="1"/>
  <c r="A17319" i="1"/>
  <c r="C17319" i="1"/>
  <c r="A17320" i="1"/>
  <c r="C17320" i="1"/>
  <c r="A17321" i="1"/>
  <c r="C17321" i="1"/>
  <c r="A17322" i="1"/>
  <c r="C17322" i="1"/>
  <c r="A17323" i="1"/>
  <c r="C17323" i="1"/>
  <c r="A17324" i="1"/>
  <c r="C17324" i="1"/>
  <c r="A17325" i="1"/>
  <c r="C17325" i="1"/>
  <c r="A17326" i="1"/>
  <c r="C17326" i="1"/>
  <c r="A17327" i="1"/>
  <c r="C17327" i="1"/>
  <c r="A17328" i="1"/>
  <c r="C17328" i="1"/>
  <c r="A17329" i="1"/>
  <c r="C17329" i="1"/>
  <c r="A17330" i="1"/>
  <c r="C17330" i="1"/>
  <c r="A17331" i="1"/>
  <c r="C17331" i="1"/>
  <c r="A17332" i="1"/>
  <c r="C17332" i="1"/>
  <c r="A17333" i="1"/>
  <c r="C17333" i="1"/>
  <c r="A17334" i="1"/>
  <c r="C17334" i="1"/>
  <c r="A17335" i="1"/>
  <c r="C17335" i="1"/>
  <c r="A17336" i="1"/>
  <c r="C17336" i="1"/>
  <c r="A17337" i="1"/>
  <c r="C17337" i="1"/>
  <c r="A17338" i="1"/>
  <c r="C17338" i="1"/>
  <c r="A17339" i="1"/>
  <c r="C17339" i="1"/>
  <c r="A17340" i="1"/>
  <c r="C17340" i="1"/>
  <c r="A17341" i="1"/>
  <c r="C17341" i="1"/>
  <c r="A17342" i="1"/>
  <c r="C17342" i="1"/>
  <c r="A17343" i="1"/>
  <c r="C17343" i="1"/>
  <c r="A17344" i="1"/>
  <c r="C17344" i="1"/>
  <c r="A17345" i="1"/>
  <c r="C17345" i="1"/>
  <c r="A17346" i="1"/>
  <c r="C17346" i="1"/>
  <c r="A17347" i="1"/>
  <c r="C17347" i="1"/>
  <c r="A17348" i="1"/>
  <c r="C17348" i="1"/>
  <c r="A17349" i="1"/>
  <c r="C17349" i="1"/>
  <c r="A17350" i="1"/>
  <c r="C17350" i="1"/>
  <c r="A17351" i="1"/>
  <c r="C17351" i="1"/>
  <c r="A17352" i="1"/>
  <c r="C17352" i="1"/>
  <c r="A17353" i="1"/>
  <c r="C17353" i="1"/>
  <c r="A17354" i="1"/>
  <c r="C17354" i="1"/>
  <c r="A17355" i="1"/>
  <c r="C17355" i="1"/>
  <c r="A17356" i="1"/>
  <c r="C17356" i="1"/>
  <c r="A17357" i="1"/>
  <c r="C17357" i="1"/>
  <c r="A17358" i="1"/>
  <c r="C17358" i="1"/>
  <c r="A17359" i="1"/>
  <c r="C17359" i="1"/>
  <c r="A17360" i="1"/>
  <c r="C17360" i="1"/>
  <c r="A17361" i="1"/>
  <c r="C17361" i="1"/>
  <c r="A17362" i="1"/>
  <c r="C17362" i="1"/>
  <c r="A17363" i="1"/>
  <c r="C17363" i="1"/>
  <c r="A17364" i="1"/>
  <c r="C17364" i="1"/>
  <c r="A17365" i="1"/>
  <c r="C17365" i="1"/>
  <c r="A17366" i="1"/>
  <c r="C17366" i="1"/>
  <c r="A17367" i="1"/>
  <c r="C17367" i="1"/>
  <c r="A17368" i="1"/>
  <c r="C17368" i="1"/>
  <c r="A17369" i="1"/>
  <c r="C17369" i="1"/>
  <c r="A17370" i="1"/>
  <c r="C17370" i="1"/>
  <c r="A17371" i="1"/>
  <c r="C17371" i="1"/>
  <c r="A17372" i="1"/>
  <c r="C17372" i="1"/>
  <c r="A17373" i="1"/>
  <c r="C17373" i="1"/>
  <c r="A17374" i="1"/>
  <c r="C17374" i="1"/>
  <c r="A17375" i="1"/>
  <c r="C17375" i="1"/>
  <c r="A17376" i="1"/>
  <c r="C17376" i="1"/>
  <c r="A17377" i="1"/>
  <c r="C17377" i="1"/>
  <c r="A17378" i="1"/>
  <c r="C17378" i="1"/>
  <c r="A17379" i="1"/>
  <c r="C17379" i="1"/>
  <c r="A17380" i="1"/>
  <c r="C17380" i="1"/>
  <c r="A17381" i="1"/>
  <c r="C17381" i="1"/>
  <c r="A17382" i="1"/>
  <c r="C17382" i="1"/>
  <c r="A17383" i="1"/>
  <c r="C17383" i="1"/>
  <c r="A17384" i="1"/>
  <c r="C17384" i="1"/>
  <c r="A17385" i="1"/>
  <c r="C17385" i="1"/>
  <c r="A17386" i="1"/>
  <c r="C17386" i="1"/>
  <c r="A17387" i="1"/>
  <c r="C17387" i="1"/>
  <c r="A17388" i="1"/>
  <c r="C17388" i="1"/>
  <c r="A17389" i="1"/>
  <c r="C17389" i="1"/>
  <c r="A17390" i="1"/>
  <c r="C17390" i="1"/>
  <c r="A17391" i="1"/>
  <c r="C17391" i="1"/>
  <c r="A17392" i="1"/>
  <c r="C17392" i="1"/>
  <c r="A17393" i="1"/>
  <c r="C17393" i="1"/>
  <c r="A17394" i="1"/>
  <c r="C17394" i="1"/>
  <c r="A17395" i="1"/>
  <c r="C17395" i="1"/>
  <c r="A17396" i="1"/>
  <c r="C17396" i="1"/>
  <c r="A17397" i="1"/>
  <c r="C17397" i="1"/>
  <c r="A17398" i="1"/>
  <c r="C17398" i="1"/>
  <c r="A17399" i="1"/>
  <c r="C17399" i="1"/>
  <c r="A17400" i="1"/>
  <c r="C17400" i="1"/>
  <c r="A17401" i="1"/>
  <c r="C17401" i="1"/>
  <c r="A17402" i="1"/>
  <c r="C17402" i="1"/>
  <c r="A17403" i="1"/>
  <c r="C17403" i="1"/>
  <c r="A17404" i="1"/>
  <c r="C17404" i="1"/>
  <c r="A17405" i="1"/>
  <c r="C17405" i="1"/>
  <c r="A17406" i="1"/>
  <c r="C17406" i="1"/>
  <c r="A17407" i="1"/>
  <c r="C17407" i="1"/>
  <c r="A17408" i="1"/>
  <c r="C17408" i="1"/>
  <c r="A17409" i="1"/>
  <c r="C17409" i="1"/>
  <c r="A17410" i="1"/>
  <c r="C17410" i="1"/>
  <c r="A17411" i="1"/>
  <c r="C17411" i="1"/>
  <c r="A17412" i="1"/>
  <c r="C17412" i="1"/>
  <c r="A17413" i="1"/>
  <c r="C17413" i="1"/>
  <c r="A17414" i="1"/>
  <c r="C17414" i="1"/>
  <c r="A17415" i="1"/>
  <c r="C17415" i="1"/>
  <c r="A17416" i="1"/>
  <c r="C17416" i="1"/>
  <c r="A17417" i="1"/>
  <c r="C17417" i="1"/>
  <c r="A17418" i="1"/>
  <c r="C17418" i="1"/>
  <c r="A17419" i="1"/>
  <c r="C17419" i="1"/>
  <c r="A17420" i="1"/>
  <c r="C17420" i="1"/>
  <c r="A17421" i="1"/>
  <c r="C17421" i="1"/>
  <c r="A17422" i="1"/>
  <c r="C17422" i="1"/>
  <c r="A17423" i="1"/>
  <c r="C17423" i="1"/>
  <c r="A17424" i="1"/>
  <c r="C17424" i="1"/>
  <c r="A17425" i="1"/>
  <c r="C17425" i="1"/>
  <c r="A17426" i="1"/>
  <c r="C17426" i="1"/>
  <c r="A17427" i="1"/>
  <c r="C17427" i="1"/>
  <c r="A17428" i="1"/>
  <c r="C17428" i="1"/>
  <c r="A17429" i="1"/>
  <c r="C17429" i="1"/>
  <c r="A17430" i="1"/>
  <c r="C17430" i="1"/>
  <c r="A17431" i="1"/>
  <c r="C17431" i="1"/>
  <c r="A17432" i="1"/>
  <c r="C17432" i="1"/>
  <c r="A17433" i="1"/>
  <c r="C17433" i="1"/>
  <c r="A17434" i="1"/>
  <c r="C17434" i="1"/>
  <c r="A17435" i="1"/>
  <c r="C17435" i="1"/>
  <c r="A17436" i="1"/>
  <c r="C17436" i="1"/>
  <c r="A17437" i="1"/>
  <c r="C17437" i="1"/>
  <c r="A17438" i="1"/>
  <c r="C17438" i="1"/>
  <c r="A17439" i="1"/>
  <c r="C17439" i="1"/>
  <c r="A17440" i="1"/>
  <c r="C17440" i="1"/>
  <c r="A17441" i="1"/>
  <c r="C17441" i="1"/>
  <c r="A17442" i="1"/>
  <c r="C17442" i="1"/>
  <c r="A17443" i="1"/>
  <c r="C17443" i="1"/>
  <c r="A17444" i="1"/>
  <c r="C17444" i="1"/>
  <c r="A17445" i="1"/>
  <c r="C17445" i="1"/>
  <c r="A17446" i="1"/>
  <c r="C17446" i="1"/>
  <c r="A17447" i="1"/>
  <c r="C17447" i="1"/>
  <c r="A17448" i="1"/>
  <c r="C17448" i="1"/>
  <c r="A17449" i="1"/>
  <c r="C17449" i="1"/>
  <c r="A17450" i="1"/>
  <c r="C17450" i="1"/>
  <c r="A17451" i="1"/>
  <c r="C17451" i="1"/>
  <c r="A17452" i="1"/>
  <c r="C17452" i="1"/>
  <c r="A17453" i="1"/>
  <c r="C17453" i="1"/>
  <c r="A17454" i="1"/>
  <c r="C17454" i="1"/>
  <c r="A17455" i="1"/>
  <c r="C17455" i="1"/>
  <c r="A17456" i="1"/>
  <c r="C17456" i="1"/>
  <c r="A17457" i="1"/>
  <c r="C17457" i="1"/>
  <c r="A17458" i="1"/>
  <c r="C17458" i="1"/>
  <c r="A17459" i="1"/>
  <c r="C17459" i="1"/>
  <c r="A17460" i="1"/>
  <c r="C17460" i="1"/>
  <c r="A17461" i="1"/>
  <c r="C17461" i="1"/>
  <c r="A17462" i="1"/>
  <c r="C17462" i="1"/>
  <c r="A17463" i="1"/>
  <c r="C17463" i="1"/>
  <c r="A17464" i="1"/>
  <c r="C17464" i="1"/>
  <c r="A17465" i="1"/>
  <c r="C17465" i="1"/>
  <c r="A17466" i="1"/>
  <c r="C17466" i="1"/>
  <c r="A17467" i="1"/>
  <c r="C17467" i="1"/>
  <c r="A17468" i="1"/>
  <c r="C17468" i="1"/>
  <c r="A17469" i="1"/>
  <c r="C17469" i="1"/>
  <c r="A17470" i="1"/>
  <c r="C17470" i="1"/>
  <c r="A17471" i="1"/>
  <c r="C17471" i="1"/>
  <c r="A17472" i="1"/>
  <c r="C17472" i="1"/>
  <c r="A17473" i="1"/>
  <c r="C17473" i="1"/>
  <c r="A17474" i="1"/>
  <c r="C17474" i="1"/>
  <c r="A17475" i="1"/>
  <c r="C17475" i="1"/>
  <c r="A17476" i="1"/>
  <c r="C17476" i="1"/>
  <c r="A17477" i="1"/>
  <c r="C17477" i="1"/>
  <c r="A17478" i="1"/>
  <c r="C17478" i="1"/>
  <c r="A17479" i="1"/>
  <c r="C17479" i="1"/>
  <c r="A17480" i="1"/>
  <c r="C17480" i="1"/>
  <c r="A17481" i="1"/>
  <c r="C17481" i="1"/>
  <c r="A17482" i="1"/>
  <c r="C17482" i="1"/>
  <c r="A17483" i="1"/>
  <c r="C17483" i="1"/>
  <c r="A17484" i="1"/>
  <c r="C17484" i="1"/>
  <c r="A17485" i="1"/>
  <c r="C17485" i="1"/>
  <c r="A17486" i="1"/>
  <c r="C17486" i="1"/>
  <c r="A17487" i="1"/>
  <c r="C17487" i="1"/>
  <c r="A17488" i="1"/>
  <c r="C17488" i="1"/>
  <c r="A17489" i="1"/>
  <c r="C17489" i="1"/>
  <c r="A17490" i="1"/>
  <c r="C17490" i="1"/>
  <c r="A17491" i="1"/>
  <c r="C17491" i="1"/>
  <c r="A17492" i="1"/>
  <c r="C17492" i="1"/>
  <c r="A17493" i="1"/>
  <c r="C17493" i="1"/>
  <c r="A17494" i="1"/>
  <c r="C17494" i="1"/>
  <c r="A17495" i="1"/>
  <c r="C17495" i="1"/>
  <c r="A17496" i="1"/>
  <c r="C17496" i="1"/>
  <c r="A17497" i="1"/>
  <c r="C17497" i="1"/>
  <c r="A17498" i="1"/>
  <c r="C17498" i="1"/>
  <c r="A17499" i="1"/>
  <c r="C17499" i="1"/>
  <c r="A17500" i="1"/>
  <c r="C17500" i="1"/>
  <c r="A17501" i="1"/>
  <c r="C17501" i="1"/>
  <c r="A17502" i="1"/>
  <c r="C17502" i="1"/>
  <c r="A17503" i="1"/>
  <c r="C17503" i="1"/>
  <c r="A17504" i="1"/>
  <c r="C17504" i="1"/>
  <c r="A17505" i="1"/>
  <c r="C17505" i="1"/>
  <c r="A17506" i="1"/>
  <c r="C17506" i="1"/>
  <c r="A17507" i="1"/>
  <c r="C17507" i="1"/>
  <c r="A17508" i="1"/>
  <c r="C17508" i="1"/>
  <c r="A17509" i="1"/>
  <c r="C17509" i="1"/>
  <c r="A17510" i="1"/>
  <c r="C17510" i="1"/>
  <c r="A17511" i="1"/>
  <c r="C17511" i="1"/>
  <c r="A17512" i="1"/>
  <c r="C17512" i="1"/>
  <c r="A17513" i="1"/>
  <c r="C17513" i="1"/>
  <c r="A17514" i="1"/>
  <c r="C17514" i="1"/>
  <c r="A17515" i="1"/>
  <c r="C17515" i="1"/>
  <c r="A17516" i="1"/>
  <c r="C17516" i="1"/>
  <c r="A17517" i="1"/>
  <c r="C17517" i="1"/>
  <c r="A17518" i="1"/>
  <c r="C17518" i="1"/>
  <c r="A17519" i="1"/>
  <c r="C17519" i="1"/>
  <c r="A17520" i="1"/>
  <c r="C17520" i="1"/>
  <c r="A17521" i="1"/>
  <c r="C17521" i="1"/>
  <c r="A17522" i="1"/>
  <c r="C17522" i="1"/>
  <c r="A17523" i="1"/>
  <c r="C17523" i="1"/>
  <c r="A17524" i="1"/>
  <c r="C17524" i="1"/>
  <c r="A17525" i="1"/>
  <c r="C17525" i="1"/>
  <c r="A17526" i="1"/>
  <c r="C17526" i="1"/>
  <c r="A17527" i="1"/>
  <c r="C17527" i="1"/>
  <c r="A17528" i="1"/>
  <c r="C17528" i="1"/>
  <c r="A17529" i="1"/>
  <c r="C17529" i="1"/>
  <c r="A17530" i="1"/>
  <c r="C17530" i="1"/>
  <c r="A17531" i="1"/>
  <c r="C17531" i="1"/>
  <c r="A17532" i="1"/>
  <c r="C17532" i="1"/>
  <c r="A17533" i="1"/>
  <c r="C17533" i="1"/>
  <c r="A17534" i="1"/>
  <c r="C17534" i="1"/>
  <c r="A17535" i="1"/>
  <c r="C17535" i="1"/>
  <c r="A17536" i="1"/>
  <c r="C17536" i="1"/>
  <c r="A17537" i="1"/>
  <c r="C17537" i="1"/>
  <c r="A17538" i="1"/>
  <c r="C17538" i="1"/>
  <c r="A17539" i="1"/>
  <c r="C17539" i="1"/>
  <c r="A17540" i="1"/>
  <c r="C17540" i="1"/>
  <c r="A17541" i="1"/>
  <c r="C17541" i="1"/>
  <c r="A17542" i="1"/>
  <c r="C17542" i="1"/>
  <c r="A17543" i="1"/>
  <c r="C17543" i="1"/>
  <c r="A17544" i="1"/>
  <c r="C17544" i="1"/>
  <c r="A17545" i="1"/>
  <c r="C17545" i="1"/>
  <c r="A17546" i="1"/>
  <c r="C17546" i="1"/>
  <c r="A17547" i="1"/>
  <c r="C17547" i="1"/>
  <c r="A17548" i="1"/>
  <c r="C17548" i="1"/>
  <c r="A17549" i="1"/>
  <c r="C17549" i="1"/>
  <c r="A17550" i="1"/>
  <c r="C17550" i="1"/>
  <c r="A17551" i="1"/>
  <c r="C17551" i="1"/>
  <c r="A17552" i="1"/>
  <c r="C17552" i="1"/>
  <c r="A17553" i="1"/>
  <c r="C17553" i="1"/>
  <c r="A17554" i="1"/>
  <c r="C17554" i="1"/>
  <c r="A17555" i="1"/>
  <c r="C17555" i="1"/>
  <c r="A17556" i="1"/>
  <c r="C17556" i="1"/>
  <c r="A17557" i="1"/>
  <c r="C17557" i="1"/>
  <c r="A17558" i="1"/>
  <c r="C17558" i="1"/>
  <c r="A17559" i="1"/>
  <c r="C17559" i="1"/>
  <c r="A17560" i="1"/>
  <c r="C17560" i="1"/>
  <c r="A17561" i="1"/>
  <c r="C17561" i="1"/>
  <c r="A17562" i="1"/>
  <c r="C17562" i="1"/>
  <c r="A17563" i="1"/>
  <c r="C17563" i="1"/>
  <c r="A17564" i="1"/>
  <c r="C17564" i="1"/>
  <c r="A17565" i="1"/>
  <c r="C17565" i="1"/>
  <c r="A17566" i="1"/>
  <c r="C17566" i="1"/>
  <c r="A17567" i="1"/>
  <c r="C17567" i="1"/>
  <c r="A17568" i="1"/>
  <c r="C17568" i="1"/>
  <c r="A17569" i="1"/>
  <c r="C17569" i="1"/>
  <c r="A17570" i="1"/>
  <c r="C17570" i="1"/>
  <c r="A17571" i="1"/>
  <c r="C17571" i="1"/>
  <c r="A17572" i="1"/>
  <c r="C17572" i="1"/>
  <c r="A17573" i="1"/>
  <c r="C17573" i="1"/>
  <c r="A17574" i="1"/>
  <c r="C17574" i="1"/>
  <c r="A17575" i="1"/>
  <c r="C17575" i="1"/>
  <c r="A17576" i="1"/>
  <c r="C17576" i="1"/>
  <c r="A17577" i="1"/>
  <c r="C17577" i="1"/>
  <c r="A17578" i="1"/>
  <c r="C17578" i="1"/>
  <c r="A17579" i="1"/>
  <c r="C17579" i="1"/>
  <c r="A17580" i="1"/>
  <c r="C17580" i="1"/>
  <c r="A17581" i="1"/>
  <c r="C17581" i="1"/>
  <c r="A17582" i="1"/>
  <c r="C17582" i="1"/>
  <c r="A17583" i="1"/>
  <c r="C17583" i="1"/>
  <c r="A17584" i="1"/>
  <c r="C17584" i="1"/>
  <c r="A17585" i="1"/>
  <c r="C17585" i="1"/>
  <c r="A17586" i="1"/>
  <c r="C17586" i="1"/>
  <c r="A17587" i="1"/>
  <c r="C17587" i="1"/>
  <c r="A17588" i="1"/>
  <c r="C17588" i="1"/>
  <c r="A17589" i="1"/>
  <c r="C17589" i="1"/>
  <c r="A17590" i="1"/>
  <c r="C17590" i="1"/>
  <c r="A17591" i="1"/>
  <c r="C17591" i="1"/>
  <c r="A17592" i="1"/>
  <c r="C17592" i="1"/>
  <c r="A17593" i="1"/>
  <c r="C17593" i="1"/>
  <c r="A17594" i="1"/>
  <c r="C17594" i="1"/>
  <c r="A17595" i="1"/>
  <c r="C17595" i="1"/>
  <c r="A17596" i="1"/>
  <c r="C17596" i="1"/>
  <c r="A17597" i="1"/>
  <c r="C17597" i="1"/>
  <c r="A17598" i="1"/>
  <c r="C17598" i="1"/>
  <c r="A17599" i="1"/>
  <c r="C17599" i="1"/>
  <c r="A17600" i="1"/>
  <c r="C17600" i="1"/>
  <c r="A17601" i="1"/>
  <c r="C17601" i="1"/>
  <c r="A17602" i="1"/>
  <c r="C17602" i="1"/>
  <c r="A17603" i="1"/>
  <c r="C17603" i="1"/>
  <c r="A17604" i="1"/>
  <c r="C17604" i="1"/>
  <c r="A17605" i="1"/>
  <c r="C17605" i="1"/>
  <c r="A17606" i="1"/>
  <c r="C17606" i="1"/>
  <c r="A17607" i="1"/>
  <c r="C17607" i="1"/>
  <c r="A17608" i="1"/>
  <c r="C17608" i="1"/>
  <c r="A17609" i="1"/>
  <c r="C17609" i="1"/>
  <c r="A17610" i="1"/>
  <c r="C17610" i="1"/>
  <c r="A17611" i="1"/>
  <c r="C17611" i="1"/>
  <c r="A17612" i="1"/>
  <c r="C17612" i="1"/>
  <c r="A17613" i="1"/>
  <c r="C17613" i="1"/>
  <c r="A17614" i="1"/>
  <c r="C17614" i="1"/>
  <c r="A17615" i="1"/>
  <c r="C17615" i="1"/>
  <c r="A17616" i="1"/>
  <c r="C17616" i="1"/>
  <c r="A17617" i="1"/>
  <c r="C17617" i="1"/>
  <c r="A17618" i="1"/>
  <c r="C17618" i="1"/>
  <c r="A17619" i="1"/>
  <c r="C17619" i="1"/>
  <c r="A17620" i="1"/>
  <c r="C17620" i="1"/>
  <c r="A17621" i="1"/>
  <c r="C17621" i="1"/>
  <c r="A17622" i="1"/>
  <c r="C17622" i="1"/>
  <c r="A17623" i="1"/>
  <c r="C17623" i="1"/>
  <c r="A17624" i="1"/>
  <c r="C17624" i="1"/>
  <c r="A17625" i="1"/>
  <c r="C17625" i="1"/>
  <c r="A17626" i="1"/>
  <c r="C17626" i="1"/>
  <c r="A17627" i="1"/>
  <c r="C17627" i="1"/>
  <c r="A17628" i="1"/>
  <c r="C17628" i="1"/>
  <c r="A17629" i="1"/>
  <c r="C17629" i="1"/>
  <c r="A17630" i="1"/>
  <c r="C17630" i="1"/>
  <c r="A17631" i="1"/>
  <c r="C17631" i="1"/>
  <c r="A17632" i="1"/>
  <c r="C17632" i="1"/>
  <c r="A17633" i="1"/>
  <c r="C17633" i="1"/>
  <c r="A17634" i="1"/>
  <c r="C17634" i="1"/>
  <c r="A17635" i="1"/>
  <c r="C17635" i="1"/>
  <c r="A17636" i="1"/>
  <c r="C17636" i="1"/>
  <c r="A17637" i="1"/>
  <c r="C17637" i="1"/>
  <c r="A17638" i="1"/>
  <c r="C17638" i="1"/>
  <c r="A17639" i="1"/>
  <c r="C17639" i="1"/>
  <c r="A17640" i="1"/>
  <c r="C17640" i="1"/>
  <c r="A17641" i="1"/>
  <c r="C17641" i="1"/>
  <c r="A17642" i="1"/>
  <c r="C17642" i="1"/>
  <c r="A17643" i="1"/>
  <c r="C17643" i="1"/>
  <c r="A17644" i="1"/>
  <c r="C17644" i="1"/>
  <c r="A17645" i="1"/>
  <c r="C17645" i="1"/>
  <c r="A17646" i="1"/>
  <c r="C17646" i="1"/>
  <c r="A17647" i="1"/>
  <c r="C17647" i="1"/>
  <c r="A17648" i="1"/>
  <c r="C17648" i="1"/>
  <c r="A17649" i="1"/>
  <c r="C17649" i="1"/>
  <c r="A17650" i="1"/>
  <c r="C17650" i="1"/>
  <c r="A17651" i="1"/>
  <c r="C17651" i="1"/>
  <c r="A17652" i="1"/>
  <c r="C17652" i="1"/>
  <c r="A17653" i="1"/>
  <c r="C17653" i="1"/>
  <c r="A17654" i="1"/>
  <c r="C17654" i="1"/>
  <c r="A17655" i="1"/>
  <c r="C17655" i="1"/>
  <c r="A17656" i="1"/>
  <c r="C17656" i="1"/>
  <c r="A17657" i="1"/>
  <c r="C17657" i="1"/>
  <c r="A17658" i="1"/>
  <c r="C17658" i="1"/>
  <c r="A17659" i="1"/>
  <c r="C17659" i="1"/>
  <c r="A17660" i="1"/>
  <c r="C17660" i="1"/>
  <c r="A17661" i="1"/>
  <c r="C17661" i="1"/>
  <c r="A17662" i="1"/>
  <c r="C17662" i="1"/>
  <c r="A17663" i="1"/>
  <c r="C17663" i="1"/>
  <c r="A17664" i="1"/>
  <c r="C17664" i="1"/>
  <c r="A17665" i="1"/>
  <c r="C17665" i="1"/>
  <c r="A17666" i="1"/>
  <c r="C17666" i="1"/>
  <c r="A17667" i="1"/>
  <c r="C17667" i="1"/>
  <c r="A17668" i="1"/>
  <c r="C17668" i="1"/>
  <c r="A17669" i="1"/>
  <c r="C17669" i="1"/>
  <c r="A17670" i="1"/>
  <c r="C17670" i="1"/>
  <c r="A17671" i="1"/>
  <c r="C17671" i="1"/>
  <c r="A17672" i="1"/>
  <c r="C17672" i="1"/>
  <c r="A17673" i="1"/>
  <c r="C17673" i="1"/>
  <c r="A17674" i="1"/>
  <c r="C17674" i="1"/>
  <c r="A17675" i="1"/>
  <c r="C17675" i="1"/>
  <c r="A17676" i="1"/>
  <c r="C17676" i="1"/>
  <c r="A17677" i="1"/>
  <c r="C17677" i="1"/>
  <c r="A17678" i="1"/>
  <c r="C17678" i="1"/>
  <c r="A17679" i="1"/>
  <c r="C17679" i="1"/>
  <c r="A17680" i="1"/>
  <c r="C17680" i="1"/>
  <c r="A17681" i="1"/>
  <c r="C17681" i="1"/>
  <c r="A17682" i="1"/>
  <c r="C17682" i="1"/>
  <c r="A17683" i="1"/>
  <c r="C17683" i="1"/>
  <c r="A17684" i="1"/>
  <c r="C17684" i="1"/>
  <c r="A17685" i="1"/>
  <c r="C17685" i="1"/>
  <c r="A17686" i="1"/>
  <c r="C17686" i="1"/>
  <c r="A17687" i="1"/>
  <c r="C17687" i="1"/>
  <c r="A17688" i="1"/>
  <c r="C17688" i="1"/>
  <c r="A17689" i="1"/>
  <c r="C17689" i="1"/>
  <c r="A17690" i="1"/>
  <c r="C17690" i="1"/>
  <c r="A17691" i="1"/>
  <c r="C17691" i="1"/>
  <c r="A17692" i="1"/>
  <c r="C17692" i="1"/>
  <c r="A17693" i="1"/>
  <c r="C17693" i="1"/>
  <c r="A17694" i="1"/>
  <c r="C17694" i="1"/>
  <c r="A17695" i="1"/>
  <c r="C17695" i="1"/>
  <c r="A17696" i="1"/>
  <c r="C17696" i="1"/>
  <c r="A17697" i="1"/>
  <c r="C17697" i="1"/>
  <c r="A17698" i="1"/>
  <c r="C17698" i="1"/>
  <c r="A17699" i="1"/>
  <c r="C17699" i="1"/>
  <c r="A17700" i="1"/>
  <c r="C17700" i="1"/>
  <c r="A17701" i="1"/>
  <c r="C17701" i="1"/>
  <c r="A17702" i="1"/>
  <c r="C17702" i="1"/>
  <c r="A17703" i="1"/>
  <c r="C17703" i="1"/>
  <c r="A17704" i="1"/>
  <c r="C17704" i="1"/>
  <c r="A17705" i="1"/>
  <c r="C17705" i="1"/>
  <c r="A17706" i="1"/>
  <c r="C17706" i="1"/>
  <c r="A17707" i="1"/>
  <c r="C17707" i="1"/>
  <c r="A17708" i="1"/>
  <c r="C17708" i="1"/>
  <c r="A17709" i="1"/>
  <c r="C17709" i="1"/>
  <c r="A17710" i="1"/>
  <c r="C17710" i="1"/>
  <c r="A17711" i="1"/>
  <c r="C17711" i="1"/>
  <c r="A17712" i="1"/>
  <c r="C17712" i="1"/>
  <c r="A17713" i="1"/>
  <c r="C17713" i="1"/>
  <c r="A17714" i="1"/>
  <c r="C17714" i="1"/>
  <c r="A17715" i="1"/>
  <c r="C17715" i="1"/>
  <c r="A17716" i="1"/>
  <c r="C17716" i="1"/>
  <c r="A17717" i="1"/>
  <c r="C17717" i="1"/>
  <c r="A17718" i="1"/>
  <c r="C17718" i="1"/>
  <c r="A17719" i="1"/>
  <c r="C17719" i="1"/>
  <c r="A17720" i="1"/>
  <c r="C17720" i="1"/>
  <c r="A17721" i="1"/>
  <c r="C17721" i="1"/>
  <c r="A17722" i="1"/>
  <c r="C17722" i="1"/>
  <c r="A17723" i="1"/>
  <c r="C17723" i="1"/>
  <c r="A17724" i="1"/>
  <c r="C17724" i="1"/>
  <c r="A17725" i="1"/>
  <c r="C17725" i="1"/>
  <c r="A17726" i="1"/>
  <c r="C17726" i="1"/>
  <c r="A17727" i="1"/>
  <c r="C17727" i="1"/>
  <c r="A17728" i="1"/>
  <c r="C17728" i="1"/>
  <c r="A17729" i="1"/>
  <c r="C17729" i="1"/>
  <c r="A17730" i="1"/>
  <c r="C17730" i="1"/>
  <c r="A17731" i="1"/>
  <c r="C17731" i="1"/>
  <c r="A17732" i="1"/>
  <c r="C17732" i="1"/>
  <c r="A17733" i="1"/>
  <c r="C17733" i="1"/>
  <c r="A17734" i="1"/>
  <c r="C17734" i="1"/>
  <c r="A17735" i="1"/>
  <c r="C17735" i="1"/>
  <c r="A17736" i="1"/>
  <c r="C17736" i="1"/>
  <c r="A17737" i="1"/>
  <c r="C17737" i="1"/>
  <c r="A17738" i="1"/>
  <c r="C17738" i="1"/>
  <c r="A17739" i="1"/>
  <c r="C17739" i="1"/>
  <c r="A17740" i="1"/>
  <c r="C17740" i="1"/>
  <c r="A17741" i="1"/>
  <c r="C17741" i="1"/>
  <c r="A17742" i="1"/>
  <c r="C17742" i="1"/>
  <c r="A17743" i="1"/>
  <c r="C17743" i="1"/>
  <c r="A17744" i="1"/>
  <c r="C17744" i="1"/>
  <c r="A17745" i="1"/>
  <c r="C17745" i="1"/>
  <c r="A17746" i="1"/>
  <c r="C17746" i="1"/>
  <c r="A17747" i="1"/>
  <c r="C17747" i="1"/>
  <c r="A17748" i="1"/>
  <c r="C17748" i="1"/>
  <c r="A17749" i="1"/>
  <c r="C17749" i="1"/>
  <c r="A17750" i="1"/>
  <c r="C17750" i="1"/>
  <c r="A17751" i="1"/>
  <c r="C17751" i="1"/>
  <c r="A17752" i="1"/>
  <c r="C17752" i="1"/>
  <c r="A17753" i="1"/>
  <c r="C17753" i="1"/>
  <c r="A17754" i="1"/>
  <c r="C17754" i="1"/>
  <c r="A17755" i="1"/>
  <c r="C17755" i="1"/>
  <c r="A17756" i="1"/>
  <c r="C17756" i="1"/>
  <c r="A17757" i="1"/>
  <c r="C17757" i="1"/>
  <c r="A17758" i="1"/>
  <c r="C17758" i="1"/>
  <c r="A17759" i="1"/>
  <c r="C17759" i="1"/>
  <c r="A17760" i="1"/>
  <c r="C17760" i="1"/>
  <c r="A17761" i="1"/>
  <c r="C17761" i="1"/>
  <c r="A17762" i="1"/>
  <c r="C17762" i="1"/>
  <c r="A17763" i="1"/>
  <c r="C17763" i="1"/>
  <c r="A17764" i="1"/>
  <c r="C17764" i="1"/>
  <c r="A17765" i="1"/>
  <c r="C17765" i="1"/>
  <c r="A17766" i="1"/>
  <c r="C17766" i="1"/>
  <c r="A17767" i="1"/>
  <c r="C17767" i="1"/>
  <c r="A17768" i="1"/>
  <c r="C17768" i="1"/>
  <c r="A17769" i="1"/>
  <c r="C17769" i="1"/>
  <c r="A17770" i="1"/>
  <c r="C17770" i="1"/>
  <c r="A17771" i="1"/>
  <c r="C17771" i="1"/>
  <c r="A17772" i="1"/>
  <c r="C17772" i="1"/>
  <c r="A17773" i="1"/>
  <c r="C17773" i="1"/>
  <c r="A17774" i="1"/>
  <c r="C17774" i="1"/>
  <c r="A17775" i="1"/>
  <c r="C17775" i="1"/>
  <c r="A17776" i="1"/>
  <c r="C17776" i="1"/>
  <c r="A17777" i="1"/>
  <c r="C17777" i="1"/>
  <c r="A17778" i="1"/>
  <c r="C17778" i="1"/>
  <c r="A17779" i="1"/>
  <c r="C17779" i="1"/>
  <c r="A17780" i="1"/>
  <c r="C17780" i="1"/>
  <c r="A17781" i="1"/>
  <c r="C17781" i="1"/>
  <c r="A17782" i="1"/>
  <c r="C17782" i="1"/>
  <c r="A17783" i="1"/>
  <c r="C17783" i="1"/>
  <c r="A17784" i="1"/>
  <c r="C17784" i="1"/>
  <c r="A17785" i="1"/>
  <c r="C17785" i="1"/>
  <c r="A17786" i="1"/>
  <c r="C17786" i="1"/>
  <c r="A17787" i="1"/>
  <c r="C17787" i="1"/>
  <c r="A17788" i="1"/>
  <c r="C17788" i="1"/>
  <c r="A17789" i="1"/>
  <c r="C17789" i="1"/>
  <c r="A17790" i="1"/>
  <c r="C17790" i="1"/>
  <c r="A17791" i="1"/>
  <c r="C17791" i="1"/>
  <c r="A17792" i="1"/>
  <c r="C17792" i="1"/>
  <c r="A17793" i="1"/>
  <c r="C17793" i="1"/>
  <c r="A17794" i="1"/>
  <c r="C17794" i="1"/>
  <c r="A17795" i="1"/>
  <c r="C17795" i="1"/>
  <c r="A17796" i="1"/>
  <c r="C17796" i="1"/>
  <c r="A17797" i="1"/>
  <c r="C17797" i="1"/>
  <c r="A17798" i="1"/>
  <c r="C17798" i="1"/>
  <c r="A17799" i="1"/>
  <c r="C17799" i="1"/>
  <c r="A17800" i="1"/>
  <c r="C17800" i="1"/>
  <c r="A17801" i="1"/>
  <c r="C17801" i="1"/>
  <c r="A17802" i="1"/>
  <c r="C17802" i="1"/>
  <c r="A17803" i="1"/>
  <c r="C17803" i="1"/>
  <c r="A17804" i="1"/>
  <c r="C17804" i="1"/>
  <c r="A17805" i="1"/>
  <c r="C17805" i="1"/>
  <c r="A17806" i="1"/>
  <c r="C17806" i="1"/>
  <c r="A17807" i="1"/>
  <c r="C17807" i="1"/>
  <c r="A17808" i="1"/>
  <c r="C17808" i="1"/>
  <c r="A17809" i="1"/>
  <c r="C17809" i="1"/>
  <c r="A17810" i="1"/>
  <c r="C17810" i="1"/>
  <c r="A17811" i="1"/>
  <c r="C17811" i="1"/>
  <c r="A17812" i="1"/>
  <c r="C17812" i="1"/>
  <c r="A17813" i="1"/>
  <c r="C17813" i="1"/>
  <c r="A17814" i="1"/>
  <c r="C17814" i="1"/>
  <c r="A17815" i="1"/>
  <c r="C17815" i="1"/>
  <c r="A17816" i="1"/>
  <c r="C17816" i="1"/>
  <c r="A17817" i="1"/>
  <c r="C17817" i="1"/>
  <c r="A17818" i="1"/>
  <c r="C17818" i="1"/>
  <c r="A17819" i="1"/>
  <c r="C17819" i="1"/>
  <c r="A17820" i="1"/>
  <c r="C17820" i="1"/>
  <c r="A17821" i="1"/>
  <c r="C17821" i="1"/>
  <c r="A17822" i="1"/>
  <c r="C17822" i="1"/>
  <c r="A17823" i="1"/>
  <c r="C17823" i="1"/>
  <c r="A17824" i="1"/>
  <c r="C17824" i="1"/>
  <c r="A17825" i="1"/>
  <c r="C17825" i="1"/>
  <c r="A17826" i="1"/>
  <c r="C17826" i="1"/>
  <c r="A17827" i="1"/>
  <c r="C17827" i="1"/>
  <c r="A17828" i="1"/>
  <c r="C17828" i="1"/>
  <c r="A17829" i="1"/>
  <c r="C17829" i="1"/>
  <c r="A17830" i="1"/>
  <c r="C17830" i="1"/>
  <c r="A17831" i="1"/>
  <c r="C17831" i="1"/>
  <c r="A17832" i="1"/>
  <c r="C17832" i="1"/>
  <c r="A17833" i="1"/>
  <c r="C17833" i="1"/>
  <c r="A17834" i="1"/>
  <c r="C17834" i="1"/>
  <c r="A17835" i="1"/>
  <c r="C17835" i="1"/>
  <c r="A17836" i="1"/>
  <c r="C17836" i="1"/>
  <c r="A17837" i="1"/>
  <c r="C17837" i="1"/>
  <c r="A17838" i="1"/>
  <c r="C17838" i="1"/>
  <c r="A17839" i="1"/>
  <c r="C17839" i="1"/>
  <c r="A17840" i="1"/>
  <c r="C17840" i="1"/>
  <c r="A17841" i="1"/>
  <c r="C17841" i="1"/>
  <c r="A17842" i="1"/>
  <c r="C17842" i="1"/>
  <c r="A17843" i="1"/>
  <c r="C17843" i="1"/>
  <c r="A17844" i="1"/>
  <c r="C17844" i="1"/>
  <c r="A17845" i="1"/>
  <c r="C17845" i="1"/>
  <c r="A17846" i="1"/>
  <c r="C17846" i="1"/>
  <c r="A17847" i="1"/>
  <c r="C17847" i="1"/>
  <c r="A17848" i="1"/>
  <c r="C17848" i="1"/>
  <c r="A17849" i="1"/>
  <c r="C17849" i="1"/>
  <c r="A17850" i="1"/>
  <c r="C17850" i="1"/>
  <c r="A17851" i="1"/>
  <c r="C17851" i="1"/>
  <c r="A17852" i="1"/>
  <c r="C17852" i="1"/>
  <c r="A17853" i="1"/>
  <c r="C17853" i="1"/>
  <c r="A17854" i="1"/>
  <c r="C17854" i="1"/>
  <c r="A17855" i="1"/>
  <c r="C17855" i="1"/>
  <c r="A17856" i="1"/>
  <c r="C17856" i="1"/>
  <c r="A17857" i="1"/>
  <c r="C17857" i="1"/>
  <c r="A17858" i="1"/>
  <c r="C17858" i="1"/>
  <c r="A17859" i="1"/>
  <c r="C17859" i="1"/>
  <c r="A17860" i="1"/>
  <c r="C17860" i="1"/>
  <c r="A17861" i="1"/>
  <c r="C17861" i="1"/>
  <c r="A17862" i="1"/>
  <c r="C17862" i="1"/>
  <c r="A17863" i="1"/>
  <c r="C17863" i="1"/>
  <c r="A17864" i="1"/>
  <c r="C17864" i="1"/>
  <c r="A17865" i="1"/>
  <c r="C17865" i="1"/>
  <c r="A17866" i="1"/>
  <c r="C17866" i="1"/>
  <c r="A17867" i="1"/>
  <c r="C17867" i="1"/>
  <c r="A17868" i="1"/>
  <c r="C17868" i="1"/>
  <c r="A17869" i="1"/>
  <c r="C17869" i="1"/>
  <c r="A17870" i="1"/>
  <c r="C17870" i="1"/>
  <c r="A17871" i="1"/>
  <c r="C17871" i="1"/>
  <c r="A17872" i="1"/>
  <c r="C17872" i="1"/>
  <c r="A17873" i="1"/>
  <c r="C17873" i="1"/>
  <c r="A17874" i="1"/>
  <c r="C17874" i="1"/>
  <c r="A17875" i="1"/>
  <c r="C17875" i="1"/>
  <c r="A17876" i="1"/>
  <c r="C17876" i="1"/>
  <c r="A17877" i="1"/>
  <c r="C17877" i="1"/>
  <c r="A17878" i="1"/>
  <c r="C17878" i="1"/>
  <c r="A17879" i="1"/>
  <c r="C17879" i="1"/>
  <c r="A17880" i="1"/>
  <c r="C17880" i="1"/>
  <c r="A17881" i="1"/>
  <c r="C17881" i="1"/>
  <c r="A17882" i="1"/>
  <c r="C17882" i="1"/>
  <c r="A17883" i="1"/>
  <c r="C17883" i="1"/>
  <c r="A17884" i="1"/>
  <c r="C17884" i="1"/>
  <c r="A17885" i="1"/>
  <c r="C17885" i="1"/>
  <c r="A17886" i="1"/>
  <c r="C17886" i="1"/>
  <c r="A17887" i="1"/>
  <c r="C17887" i="1"/>
  <c r="A17888" i="1"/>
  <c r="C17888" i="1"/>
  <c r="A17889" i="1"/>
  <c r="C17889" i="1"/>
  <c r="A17890" i="1"/>
  <c r="C17890" i="1"/>
  <c r="A17891" i="1"/>
  <c r="C17891" i="1"/>
  <c r="A17892" i="1"/>
  <c r="C17892" i="1"/>
  <c r="A17893" i="1"/>
  <c r="C17893" i="1"/>
  <c r="A17894" i="1"/>
  <c r="C17894" i="1"/>
  <c r="A17895" i="1"/>
  <c r="C17895" i="1"/>
  <c r="A17896" i="1"/>
  <c r="C17896" i="1"/>
  <c r="A17897" i="1"/>
  <c r="C17897" i="1"/>
  <c r="A17898" i="1"/>
  <c r="C17898" i="1"/>
  <c r="A17899" i="1"/>
  <c r="C17899" i="1"/>
  <c r="A17900" i="1"/>
  <c r="C17900" i="1"/>
  <c r="A17901" i="1"/>
  <c r="C17901" i="1"/>
  <c r="A17902" i="1"/>
  <c r="C17902" i="1"/>
  <c r="A17903" i="1"/>
  <c r="C17903" i="1"/>
  <c r="A17904" i="1"/>
  <c r="C17904" i="1"/>
  <c r="A17905" i="1"/>
  <c r="C17905" i="1"/>
  <c r="A17906" i="1"/>
  <c r="C17906" i="1"/>
  <c r="A17907" i="1"/>
  <c r="C17907" i="1"/>
  <c r="A17908" i="1"/>
  <c r="C17908" i="1"/>
  <c r="A17909" i="1"/>
  <c r="C17909" i="1"/>
  <c r="A17910" i="1"/>
  <c r="C17910" i="1"/>
  <c r="A17911" i="1"/>
  <c r="C17911" i="1"/>
  <c r="A17912" i="1"/>
  <c r="C17912" i="1"/>
  <c r="A17913" i="1"/>
  <c r="C17913" i="1"/>
  <c r="A17914" i="1"/>
  <c r="C17914" i="1"/>
  <c r="A17915" i="1"/>
  <c r="C17915" i="1"/>
  <c r="A17916" i="1"/>
  <c r="C17916" i="1"/>
  <c r="A17917" i="1"/>
  <c r="C17917" i="1"/>
  <c r="A17918" i="1"/>
  <c r="C17918" i="1"/>
  <c r="A17919" i="1"/>
  <c r="C17919" i="1"/>
  <c r="A17920" i="1"/>
  <c r="C17920" i="1"/>
  <c r="A17921" i="1"/>
  <c r="C17921" i="1"/>
  <c r="A17922" i="1"/>
  <c r="C17922" i="1"/>
  <c r="A17923" i="1"/>
  <c r="C17923" i="1"/>
  <c r="A17924" i="1"/>
  <c r="C17924" i="1"/>
  <c r="A17925" i="1"/>
  <c r="C17925" i="1"/>
  <c r="A17926" i="1"/>
  <c r="C17926" i="1"/>
  <c r="A17927" i="1"/>
  <c r="C17927" i="1"/>
  <c r="A17928" i="1"/>
  <c r="C17928" i="1"/>
  <c r="A17929" i="1"/>
  <c r="C17929" i="1"/>
  <c r="A17930" i="1"/>
  <c r="C17930" i="1"/>
  <c r="A17931" i="1"/>
  <c r="C17931" i="1"/>
  <c r="A17932" i="1"/>
  <c r="C17932" i="1"/>
  <c r="A17933" i="1"/>
  <c r="C17933" i="1"/>
  <c r="A17934" i="1"/>
  <c r="C17934" i="1"/>
  <c r="A17935" i="1"/>
  <c r="C17935" i="1"/>
  <c r="A17936" i="1"/>
  <c r="C17936" i="1"/>
  <c r="A17937" i="1"/>
  <c r="C17937" i="1"/>
  <c r="A17938" i="1"/>
  <c r="C17938" i="1"/>
  <c r="A17939" i="1"/>
  <c r="C17939" i="1"/>
  <c r="A17940" i="1"/>
  <c r="C17940" i="1"/>
  <c r="A17941" i="1"/>
  <c r="C17941" i="1"/>
  <c r="A17942" i="1"/>
  <c r="C17942" i="1"/>
  <c r="A17943" i="1"/>
  <c r="C17943" i="1"/>
  <c r="A17944" i="1"/>
  <c r="C17944" i="1"/>
  <c r="A17945" i="1"/>
  <c r="C17945" i="1"/>
  <c r="A17946" i="1"/>
  <c r="C17946" i="1"/>
  <c r="A17947" i="1"/>
  <c r="C17947" i="1"/>
  <c r="A17948" i="1"/>
  <c r="C17948" i="1"/>
  <c r="A17949" i="1"/>
  <c r="C17949" i="1"/>
  <c r="A17950" i="1"/>
  <c r="C17950" i="1"/>
  <c r="A17951" i="1"/>
  <c r="C17951" i="1"/>
  <c r="A17952" i="1"/>
  <c r="C17952" i="1"/>
  <c r="A17953" i="1"/>
  <c r="C17953" i="1"/>
  <c r="A17954" i="1"/>
  <c r="C17954" i="1"/>
  <c r="A17955" i="1"/>
  <c r="C17955" i="1"/>
  <c r="A17956" i="1"/>
  <c r="C17956" i="1"/>
  <c r="A17957" i="1"/>
  <c r="C17957" i="1"/>
  <c r="A17958" i="1"/>
  <c r="C17958" i="1"/>
  <c r="A17959" i="1"/>
  <c r="C17959" i="1"/>
  <c r="A17960" i="1"/>
  <c r="C17960" i="1"/>
  <c r="A17961" i="1"/>
  <c r="C17961" i="1"/>
  <c r="A17962" i="1"/>
  <c r="C17962" i="1"/>
  <c r="A17963" i="1"/>
  <c r="C17963" i="1"/>
  <c r="A17964" i="1"/>
  <c r="C17964" i="1"/>
  <c r="A17965" i="1"/>
  <c r="C17965" i="1"/>
  <c r="A17966" i="1"/>
  <c r="C17966" i="1"/>
  <c r="A17967" i="1"/>
  <c r="C17967" i="1"/>
  <c r="A17968" i="1"/>
  <c r="C17968" i="1"/>
  <c r="A17969" i="1"/>
  <c r="C17969" i="1"/>
  <c r="A17970" i="1"/>
  <c r="C17970" i="1"/>
  <c r="A17971" i="1"/>
  <c r="C17971" i="1"/>
  <c r="A17972" i="1"/>
  <c r="C17972" i="1"/>
  <c r="A17973" i="1"/>
  <c r="C17973" i="1"/>
  <c r="A17974" i="1"/>
  <c r="C17974" i="1"/>
  <c r="A17975" i="1"/>
  <c r="C17975" i="1"/>
  <c r="A17976" i="1"/>
  <c r="C17976" i="1"/>
  <c r="A17977" i="1"/>
  <c r="C17977" i="1"/>
  <c r="A17978" i="1"/>
  <c r="C17978" i="1"/>
  <c r="A17979" i="1"/>
  <c r="C17979" i="1"/>
  <c r="A17980" i="1"/>
  <c r="C17980" i="1"/>
  <c r="A17981" i="1"/>
  <c r="C17981" i="1"/>
  <c r="A17982" i="1"/>
  <c r="C17982" i="1"/>
  <c r="A17983" i="1"/>
  <c r="C17983" i="1"/>
  <c r="A17984" i="1"/>
  <c r="C17984" i="1"/>
  <c r="A17985" i="1"/>
  <c r="C17985" i="1"/>
  <c r="A17986" i="1"/>
  <c r="C17986" i="1"/>
  <c r="A17987" i="1"/>
  <c r="C17987" i="1"/>
  <c r="A17988" i="1"/>
  <c r="C17988" i="1"/>
  <c r="A17989" i="1"/>
  <c r="C17989" i="1"/>
  <c r="A17990" i="1"/>
  <c r="C17990" i="1"/>
  <c r="A17991" i="1"/>
  <c r="C17991" i="1"/>
  <c r="A17992" i="1"/>
  <c r="C17992" i="1"/>
  <c r="A17993" i="1"/>
  <c r="C17993" i="1"/>
  <c r="A17994" i="1"/>
  <c r="C17994" i="1"/>
  <c r="A17995" i="1"/>
  <c r="C17995" i="1"/>
  <c r="A17996" i="1"/>
  <c r="C17996" i="1"/>
  <c r="A17997" i="1"/>
  <c r="C17997" i="1"/>
  <c r="A17998" i="1"/>
  <c r="C17998" i="1"/>
  <c r="A17999" i="1"/>
  <c r="C17999" i="1"/>
  <c r="A18000" i="1"/>
  <c r="C18000" i="1"/>
  <c r="A18001" i="1"/>
  <c r="C18001" i="1"/>
  <c r="A18002" i="1"/>
  <c r="C18002" i="1"/>
  <c r="A18003" i="1"/>
  <c r="C18003" i="1"/>
  <c r="A18004" i="1"/>
  <c r="C18004" i="1"/>
  <c r="A18005" i="1"/>
  <c r="C18005" i="1"/>
  <c r="A18006" i="1"/>
  <c r="C18006" i="1"/>
  <c r="A18007" i="1"/>
  <c r="C18007" i="1"/>
  <c r="A18008" i="1"/>
  <c r="C18008" i="1"/>
  <c r="A18009" i="1"/>
  <c r="C18009" i="1"/>
  <c r="A18010" i="1"/>
  <c r="C18010" i="1"/>
  <c r="A18011" i="1"/>
  <c r="C18011" i="1"/>
  <c r="A18012" i="1"/>
  <c r="C18012" i="1"/>
  <c r="A18013" i="1"/>
  <c r="C18013" i="1"/>
  <c r="A18014" i="1"/>
  <c r="C18014" i="1"/>
  <c r="A18015" i="1"/>
  <c r="C18015" i="1"/>
  <c r="A18016" i="1"/>
  <c r="C18016" i="1"/>
  <c r="A18017" i="1"/>
  <c r="C18017" i="1"/>
  <c r="A18018" i="1"/>
  <c r="C18018" i="1"/>
  <c r="A18019" i="1"/>
  <c r="C18019" i="1"/>
  <c r="A18020" i="1"/>
  <c r="C18020" i="1"/>
  <c r="A18021" i="1"/>
  <c r="C18021" i="1"/>
  <c r="A18022" i="1"/>
  <c r="C18022" i="1"/>
  <c r="A18023" i="1"/>
  <c r="C18023" i="1"/>
  <c r="A18024" i="1"/>
  <c r="C18024" i="1"/>
  <c r="A18025" i="1"/>
  <c r="C18025" i="1"/>
  <c r="A18026" i="1"/>
  <c r="C18026" i="1"/>
  <c r="A18027" i="1"/>
  <c r="C18027" i="1"/>
  <c r="A18028" i="1"/>
  <c r="C18028" i="1"/>
  <c r="A18029" i="1"/>
  <c r="C18029" i="1"/>
  <c r="A18030" i="1"/>
  <c r="C18030" i="1"/>
  <c r="A18031" i="1"/>
  <c r="C18031" i="1"/>
  <c r="A18032" i="1"/>
  <c r="C18032" i="1"/>
  <c r="A18033" i="1"/>
  <c r="C18033" i="1"/>
  <c r="A18034" i="1"/>
  <c r="C18034" i="1"/>
  <c r="A18035" i="1"/>
  <c r="C18035" i="1"/>
  <c r="A18036" i="1"/>
  <c r="C18036" i="1"/>
  <c r="A18037" i="1"/>
  <c r="C18037" i="1"/>
  <c r="A18038" i="1"/>
  <c r="C18038" i="1"/>
  <c r="A18039" i="1"/>
  <c r="C18039" i="1"/>
  <c r="A18040" i="1"/>
  <c r="C18040" i="1"/>
  <c r="A18041" i="1"/>
  <c r="C18041" i="1"/>
  <c r="A18042" i="1"/>
  <c r="C18042" i="1"/>
  <c r="A18043" i="1"/>
  <c r="C18043" i="1"/>
  <c r="A18044" i="1"/>
  <c r="C18044" i="1"/>
  <c r="A18045" i="1"/>
  <c r="C18045" i="1"/>
  <c r="A18046" i="1"/>
  <c r="C18046" i="1"/>
  <c r="A18047" i="1"/>
  <c r="C18047" i="1"/>
  <c r="A18048" i="1"/>
  <c r="C18048" i="1"/>
  <c r="A18049" i="1"/>
  <c r="C18049" i="1"/>
  <c r="A18050" i="1"/>
  <c r="C18050" i="1"/>
  <c r="A18051" i="1"/>
  <c r="C18051" i="1"/>
  <c r="A18052" i="1"/>
  <c r="C18052" i="1"/>
  <c r="A18053" i="1"/>
  <c r="C18053" i="1"/>
  <c r="A18054" i="1"/>
  <c r="C18054" i="1"/>
  <c r="A18055" i="1"/>
  <c r="C18055" i="1"/>
  <c r="A18056" i="1"/>
  <c r="C18056" i="1"/>
  <c r="A18057" i="1"/>
  <c r="C18057" i="1"/>
  <c r="A18058" i="1"/>
  <c r="C18058" i="1"/>
  <c r="A18059" i="1"/>
  <c r="C18059" i="1"/>
  <c r="A18060" i="1"/>
  <c r="C18060" i="1"/>
  <c r="A18061" i="1"/>
  <c r="C18061" i="1"/>
  <c r="A18062" i="1"/>
  <c r="C18062" i="1"/>
  <c r="A18063" i="1"/>
  <c r="C18063" i="1"/>
  <c r="A18064" i="1"/>
  <c r="C18064" i="1"/>
  <c r="A18065" i="1"/>
  <c r="C18065" i="1"/>
  <c r="A18066" i="1"/>
  <c r="C18066" i="1"/>
  <c r="A18067" i="1"/>
  <c r="C18067" i="1"/>
  <c r="A18068" i="1"/>
  <c r="C18068" i="1"/>
  <c r="A18069" i="1"/>
  <c r="C18069" i="1"/>
  <c r="A18070" i="1"/>
  <c r="C18070" i="1"/>
  <c r="A18071" i="1"/>
  <c r="C18071" i="1"/>
  <c r="A18072" i="1"/>
  <c r="C18072" i="1"/>
  <c r="A18073" i="1"/>
  <c r="C18073" i="1"/>
  <c r="A18074" i="1"/>
  <c r="C18074" i="1"/>
  <c r="A18075" i="1"/>
  <c r="C18075" i="1"/>
  <c r="A18076" i="1"/>
  <c r="C18076" i="1"/>
  <c r="A18077" i="1"/>
  <c r="C18077" i="1"/>
  <c r="A18078" i="1"/>
  <c r="C18078" i="1"/>
  <c r="A18079" i="1"/>
  <c r="C18079" i="1"/>
  <c r="A18080" i="1"/>
  <c r="C18080" i="1"/>
  <c r="A18081" i="1"/>
  <c r="C18081" i="1"/>
  <c r="A18082" i="1"/>
  <c r="C18082" i="1"/>
  <c r="A18083" i="1"/>
  <c r="C18083" i="1"/>
  <c r="A18084" i="1"/>
  <c r="C18084" i="1"/>
  <c r="A18085" i="1"/>
  <c r="C18085" i="1"/>
  <c r="A18086" i="1"/>
  <c r="C18086" i="1"/>
  <c r="A18087" i="1"/>
  <c r="C18087" i="1"/>
  <c r="A18088" i="1"/>
  <c r="C18088" i="1"/>
  <c r="A18089" i="1"/>
  <c r="C18089" i="1"/>
  <c r="A18090" i="1"/>
  <c r="C18090" i="1"/>
  <c r="A18091" i="1"/>
  <c r="C18091" i="1"/>
  <c r="A18092" i="1"/>
  <c r="C18092" i="1"/>
  <c r="A18093" i="1"/>
  <c r="C18093" i="1"/>
  <c r="A18094" i="1"/>
  <c r="C18094" i="1"/>
  <c r="A18095" i="1"/>
  <c r="C18095" i="1"/>
  <c r="A18096" i="1"/>
  <c r="C18096" i="1"/>
  <c r="A18097" i="1"/>
  <c r="C18097" i="1"/>
  <c r="A18098" i="1"/>
  <c r="C18098" i="1"/>
  <c r="A18099" i="1"/>
  <c r="C18099" i="1"/>
  <c r="A18100" i="1"/>
  <c r="C18100" i="1"/>
  <c r="A18101" i="1"/>
  <c r="C18101" i="1"/>
  <c r="A18102" i="1"/>
  <c r="C18102" i="1"/>
  <c r="A18103" i="1"/>
  <c r="C18103" i="1"/>
  <c r="A18104" i="1"/>
  <c r="C18104" i="1"/>
  <c r="A18105" i="1"/>
  <c r="C18105" i="1"/>
  <c r="A18106" i="1"/>
  <c r="C18106" i="1"/>
  <c r="A18107" i="1"/>
  <c r="C18107" i="1"/>
  <c r="A18108" i="1"/>
  <c r="C18108" i="1"/>
  <c r="A18109" i="1"/>
  <c r="C18109" i="1"/>
  <c r="A18110" i="1"/>
  <c r="C18110" i="1"/>
  <c r="A18111" i="1"/>
  <c r="C18111" i="1"/>
  <c r="A18112" i="1"/>
  <c r="C18112" i="1"/>
  <c r="A18113" i="1"/>
  <c r="C18113" i="1"/>
  <c r="A18114" i="1"/>
  <c r="C18114" i="1"/>
  <c r="A18115" i="1"/>
  <c r="C18115" i="1"/>
  <c r="A18116" i="1"/>
  <c r="C18116" i="1"/>
  <c r="A18117" i="1"/>
  <c r="C18117" i="1"/>
  <c r="A18118" i="1"/>
  <c r="C18118" i="1"/>
  <c r="A18119" i="1"/>
  <c r="C18119" i="1"/>
  <c r="A18120" i="1"/>
  <c r="C18120" i="1"/>
  <c r="A18121" i="1"/>
  <c r="C18121" i="1"/>
  <c r="A18122" i="1"/>
  <c r="C18122" i="1"/>
  <c r="A18123" i="1"/>
  <c r="C18123" i="1"/>
  <c r="A18124" i="1"/>
  <c r="C18124" i="1"/>
  <c r="A18125" i="1"/>
  <c r="C18125" i="1"/>
  <c r="A18126" i="1"/>
  <c r="C18126" i="1"/>
  <c r="A18127" i="1"/>
  <c r="C18127" i="1"/>
  <c r="A18128" i="1"/>
  <c r="C18128" i="1"/>
  <c r="A18129" i="1"/>
  <c r="C18129" i="1"/>
  <c r="A18130" i="1"/>
  <c r="C18130" i="1"/>
  <c r="A18131" i="1"/>
  <c r="C18131" i="1"/>
  <c r="A18132" i="1"/>
  <c r="C18132" i="1"/>
  <c r="A18133" i="1"/>
  <c r="C18133" i="1"/>
  <c r="A18134" i="1"/>
  <c r="C18134" i="1"/>
  <c r="A18135" i="1"/>
  <c r="C18135" i="1"/>
  <c r="A18136" i="1"/>
  <c r="C18136" i="1"/>
  <c r="A18137" i="1"/>
  <c r="C18137" i="1"/>
  <c r="A18138" i="1"/>
  <c r="C18138" i="1"/>
  <c r="A18139" i="1"/>
  <c r="C18139" i="1"/>
  <c r="A18140" i="1"/>
  <c r="C18140" i="1"/>
  <c r="A18141" i="1"/>
  <c r="C18141" i="1"/>
  <c r="A18142" i="1"/>
  <c r="C18142" i="1"/>
  <c r="A18143" i="1"/>
  <c r="C18143" i="1"/>
  <c r="A18144" i="1"/>
  <c r="C18144" i="1"/>
  <c r="A18145" i="1"/>
  <c r="C18145" i="1"/>
  <c r="A18146" i="1"/>
  <c r="C18146" i="1"/>
  <c r="A18147" i="1"/>
  <c r="C18147" i="1"/>
  <c r="A18148" i="1"/>
  <c r="C18148" i="1"/>
  <c r="A18149" i="1"/>
  <c r="C18149" i="1"/>
  <c r="A18150" i="1"/>
  <c r="C18150" i="1"/>
  <c r="A18151" i="1"/>
  <c r="C18151" i="1"/>
  <c r="A18152" i="1"/>
  <c r="C18152" i="1"/>
  <c r="A18153" i="1"/>
  <c r="C18153" i="1"/>
  <c r="A18154" i="1"/>
  <c r="C18154" i="1"/>
  <c r="A18155" i="1"/>
  <c r="C18155" i="1"/>
  <c r="A18156" i="1"/>
  <c r="C18156" i="1"/>
</calcChain>
</file>

<file path=xl/sharedStrings.xml><?xml version="1.0" encoding="utf-8"?>
<sst xmlns="http://schemas.openxmlformats.org/spreadsheetml/2006/main" count="36323" uniqueCount="11001">
  <si>
    <t>Nascent polypeptide-associated complex subunit alpha-like protein OS=Pinus taeda PE=2 SV=1</t>
  </si>
  <si>
    <t>Pinus taeda</t>
  </si>
  <si>
    <t>AP-1 complex subunit mu-2 OS=Arabidopsis thaliana GN=AP1M2 PE=1 SV=1</t>
  </si>
  <si>
    <t>Arabidopsis thaliana</t>
  </si>
  <si>
    <t>Protein furry OS=Drosophila melanogaster GN=fry PE=1 SV=2</t>
  </si>
  <si>
    <t>Drosophila melanogaster</t>
  </si>
  <si>
    <t>IRK-interacting protein OS=Arabidopsis thaliana GN=IRKI PE=1 SV=1</t>
  </si>
  <si>
    <t>Protein RALF-like 32 OS=Arabidopsis thaliana GN=RALFL32 PE=3 SV=1</t>
  </si>
  <si>
    <t>Putative vacuolar protein sorting-associated protein 13B OS=Dictyostelium discoideum GN=vps13B PE=3 SV=1</t>
  </si>
  <si>
    <t>Dictyostelium discoideum</t>
  </si>
  <si>
    <t>Mitochondrial import receptor subunit TOM20 OS=Solanum tuberosum GN=TOM20 PE=1 SV=1</t>
  </si>
  <si>
    <t>Solanum tuberosum</t>
  </si>
  <si>
    <t>Flavonoid 3'-monooxygenase OS=Arabidopsis thaliana GN=CYP75B1 PE=1 SV=1</t>
  </si>
  <si>
    <t>F-box/kelch-repeat protein At3g06240 OS=Arabidopsis thaliana GN=At3g06240 PE=2 SV=1</t>
  </si>
  <si>
    <t>Auxin-repressed 12.5 kDa protein OS=Fragaria ananassa PE=2 SV=1</t>
  </si>
  <si>
    <t>Fragaria ananassa</t>
  </si>
  <si>
    <t>N-acetyl-alpha-D-glucosaminyl L-malate synthase OS=Bacillus anthracis GN=bshA PE=1 SV=1</t>
  </si>
  <si>
    <t>Bacillus anthracis</t>
  </si>
  <si>
    <t>ATP-dependent Clp protease proteolytic subunit-related protein 4, chloroplastic OS=Arabidopsis thaliana GN=CLPR4 PE=1 SV=1</t>
  </si>
  <si>
    <t>Dihydrolipoyl dehydrogenase 2, chloroplastic OS=Arabidopsis thaliana GN=LPD2 PE=2 SV=2</t>
  </si>
  <si>
    <t>Laccase-17 OS=Arabidopsis thaliana GN=LAC17 PE=2 SV=1</t>
  </si>
  <si>
    <t>Probable S-adenosylmethionine-dependent methyltransferase At5g37970 OS=Arabidopsis thaliana GN=At5g37970 PE=3 SV=1</t>
  </si>
  <si>
    <t>Calcium-transporting ATPase 12, plasma membrane-type OS=Arabidopsis thaliana GN=ACA12 PE=2 SV=1</t>
  </si>
  <si>
    <t>Geranylgeranyl pyrophosphate synthase, chloroplastic OS=Hevea brasiliensis GN=GGPS PE=1 SV=1</t>
  </si>
  <si>
    <t>Hevea brasiliensis</t>
  </si>
  <si>
    <t>Protein SRG1 OS=Arabidopsis thaliana GN=SRG1 PE=2 SV=1</t>
  </si>
  <si>
    <t>Transcriptional activator DEMETER OS=Arabidopsis thaliana GN=DME PE=1 SV=2</t>
  </si>
  <si>
    <t>TBC1 domain family member 17 OS=Homo sapiens GN=TBC1D17 PE=1 SV=2</t>
  </si>
  <si>
    <t>Homo sapiens</t>
  </si>
  <si>
    <t>Mitochondrial pyruvate carrier 1 OS=Arabidopsis thaliana GN=MPC1 PE=3 SV=1</t>
  </si>
  <si>
    <t>GDSL esterase/lipase EXL3 OS=Arabidopsis thaliana GN=EXL3 PE=2 SV=1</t>
  </si>
  <si>
    <t>Epidermis-specific secreted glycoprotein EP1 OS=Daucus carota GN=EP1 PE=1 SV=1</t>
  </si>
  <si>
    <t>Daucus carota</t>
  </si>
  <si>
    <t>60S ribosomal protein L9-A OS=Saccharomyces cerevisiae (strain ATCC 204508 / S288c) GN=RPL9A PE=1 SV=2</t>
  </si>
  <si>
    <t>Saccharomyces cerevisiae</t>
  </si>
  <si>
    <t>Plant UBX domain-containing protein 7 OS=Arabidopsis thaliana GN=PUX7 PE=1 SV=1</t>
  </si>
  <si>
    <t>Eukaryotic translation initiation factor eIF-1 OS=Saccharomyces cerevisiae (strain ATCC 204508 / S288c) GN=SUI1 PE=1 SV=1</t>
  </si>
  <si>
    <t>Serine/threonine-protein kinase SAPK2 OS=Oryza sativa subsp. japonica GN=SAPK2 PE=1 SV=1</t>
  </si>
  <si>
    <t>Oryza sativa</t>
  </si>
  <si>
    <t>UDP-glycosyltransferase 91C1 OS=Arabidopsis thaliana GN=UGT91C1 PE=2 SV=1</t>
  </si>
  <si>
    <t>Cellulose synthase-like protein E6 OS=Oryza sativa subsp. japonica GN=CSLE6 PE=2 SV=1</t>
  </si>
  <si>
    <t>Pentatricopeptide repeat-containing protein At1g61870, mitochondrial OS=Arabidopsis thaliana GN=PPR336 PE=2 SV=2</t>
  </si>
  <si>
    <t>Mitochondrial pyruvate carrier 2 OS=Arabidopsis thaliana GN=MPC2 PE=3 SV=1</t>
  </si>
  <si>
    <t>Wall-associated receptor kinase 1 OS=Arabidopsis thaliana GN=WAK1 PE=1 SV=2</t>
  </si>
  <si>
    <t>Putative SWI/SNF-related matrix-associated actin-dependent regulator of chromatin subfamily A member 3-like 3 OS=Arabidopsis thaliana GN=At5g43530 PE=3 SV=1</t>
  </si>
  <si>
    <t>Pentatricopeptide repeat-containing protein At3g26782, mitochondrial OS=Arabidopsis thaliana GN=PCMP-H34 PE=2 SV=1</t>
  </si>
  <si>
    <t>MLP-like protein 328 OS=Arabidopsis thaliana GN=MLP328 PE=2 SV=1</t>
  </si>
  <si>
    <t>DEAD-box ATP-dependent RNA helicase 35 OS=Arabidopsis thaliana GN=RH35 PE=2 SV=1</t>
  </si>
  <si>
    <t>Activating molecule in BECN1-regulated autophagy protein 1 OS=Homo sapiens GN=AMBRA1 PE=1 SV=2</t>
  </si>
  <si>
    <t>Kinesin-like protein FRA1 OS=Arabidopsis thaliana GN=FRA1 PE=1 SV=1</t>
  </si>
  <si>
    <t>Tocopherol cyclase, chloroplastic OS=Arabidopsis thaliana GN=VTE1 PE=2 SV=1</t>
  </si>
  <si>
    <t>Pre-mRNA-processing protein 40A OS=Arabidopsis thaliana GN=PRP40A PE=1 SV=1</t>
  </si>
  <si>
    <t>Chloride channel protein CLC-d OS=Arabidopsis thaliana GN=CLC-D PE=1 SV=2</t>
  </si>
  <si>
    <t>Proline dehydrogenase 2, mitochondrial OS=Arabidopsis thaliana GN=POX2 PE=2 SV=1</t>
  </si>
  <si>
    <t>Probable mannitol dehydrogenase OS=Fragaria ananassa GN=CAD PE=2 SV=1</t>
  </si>
  <si>
    <t>Transcription factor SPATULA OS=Arabidopsis thaliana GN=SPT PE=1 SV=1</t>
  </si>
  <si>
    <t>PHD finger protein ALFIN-LIKE 3 OS=Arabidopsis thaliana GN=AL3 PE=1 SV=1</t>
  </si>
  <si>
    <t>Chaperone protein dnaJ 15 OS=Arabidopsis thaliana GN=ATJ15 PE=1 SV=1</t>
  </si>
  <si>
    <t>Probable protein phosphatase 2C 33 OS=Arabidopsis thaliana GN=PPC6-1 PE=1 SV=1</t>
  </si>
  <si>
    <t>Tubulin alpha-1 chain OS=Pisum sativum GN=TUBA1 PE=3 SV=1</t>
  </si>
  <si>
    <t>Pisum sativum</t>
  </si>
  <si>
    <t>LEC14B homolog OS=Prunus armeniaca PE=2 SV=1</t>
  </si>
  <si>
    <t>Prunus armeniaca</t>
  </si>
  <si>
    <t>Histone H2A.1 OS=Solanum lycopersicum PE=2 SV=1</t>
  </si>
  <si>
    <t>Solanum lycopersicum</t>
  </si>
  <si>
    <t>Exonuclease mut-7 homolog OS=Homo sapiens GN=EXD3 PE=2 SV=3</t>
  </si>
  <si>
    <t>3-hydroxybutyryl-CoA dehydrogenase OS=Bradyrhizobium diazoefficiens (strain JCM 10833 / IAM 13628 / NBRC 14792 / USDA 110) GN=hbdA PE=3 SV=1</t>
  </si>
  <si>
    <t>Bradyrhizobium diazoefficiens</t>
  </si>
  <si>
    <t>NAD(P)H-quinone oxidoreductase subunit H, chloroplastic OS=Morus indica GN=ndhH PE=3 SV=1</t>
  </si>
  <si>
    <t>Morus indica</t>
  </si>
  <si>
    <t>Probable histone-arginine methyltransferase 1.4 OS=Arabidopsis thaliana GN=PRMT14 PE=1 SV=1</t>
  </si>
  <si>
    <t>Ferredoxin-thioredoxin reductase, variable chain OS=Zea mays PE=1 SV=1</t>
  </si>
  <si>
    <t>Zea mays</t>
  </si>
  <si>
    <t>50S ribosomal protein L18 OS=Azorhizobium caulinodans (strain ATCC 43989 / DSM 5975 / JCM 20966 / NBRC 14845 / NCIMB 13405 / ORS 571) GN=rplR PE=3 SV=1</t>
  </si>
  <si>
    <t>Azorhizobium caulinodans</t>
  </si>
  <si>
    <t>Probable cinnamyl alcohol dehydrogenase 1 OS=Arabidopsis thaliana GN=CAD1 PE=2 SV=1</t>
  </si>
  <si>
    <t>Protein CLT1, chloroplastic OS=Arabidopsis thaliana GN=CLT1 PE=2 SV=1</t>
  </si>
  <si>
    <t>Protein LHY OS=Arabidopsis thaliana GN=LHY PE=1 SV=2</t>
  </si>
  <si>
    <t>Aluminum-activated malate transporter 12 OS=Arabidopsis thaliana GN=ALMT12 PE=2 SV=1</t>
  </si>
  <si>
    <t>B3 domain-containing protein At2g36080 OS=Arabidopsis thaliana GN=ARF31 PE=2 SV=1</t>
  </si>
  <si>
    <t>Vacuolar amino acid transporter 1 OS=Saccharomyces cerevisiae (strain ATCC 204508 / S288c) GN=AVT1 PE=1 SV=1</t>
  </si>
  <si>
    <t>Acyl-CoA--sterol O-acyltransferase 1 OS=Arabidopsis thaliana GN=ASAT1 PE=1 SV=1</t>
  </si>
  <si>
    <t>Probable leucine-rich repeat receptor-like protein kinase At2g33170 OS=Arabidopsis thaliana GN=At2g33170 PE=2 SV=1</t>
  </si>
  <si>
    <t>Scarecrow-like protein 32 OS=Arabidopsis thaliana GN=SCL32 PE=2 SV=1</t>
  </si>
  <si>
    <t>O-acyltransferase WSD1 OS=Arabidopsis thaliana GN=WSD1 PE=2 SV=1</t>
  </si>
  <si>
    <t>Transcription factor JUNGBRUNNEN 1 OS=Arabidopsis thaliana GN=JUB1 PE=1 SV=1</t>
  </si>
  <si>
    <t>UDP-glycosyltransferase 73B4 OS=Arabidopsis thaliana GN=UGT73B4 PE=2 SV=1</t>
  </si>
  <si>
    <t>Gibberellin 20 oxidase 4 OS=Arabidopsis thaliana GN=GA20OX4 PE=2 SV=1</t>
  </si>
  <si>
    <t>Probable pectate lyase P18 OS=Solanum lycopersicum GN=9612 PE=2 SV=1</t>
  </si>
  <si>
    <t>Exocyst complex component EXO70A1 OS=Arabidopsis thaliana GN=EXO70A1 PE=1 SV=1</t>
  </si>
  <si>
    <t>Isoflavone 3'-hydroxylase (Fragment) OS=Medicago truncatula GN=CYP81E9 PE=1 SV=1</t>
  </si>
  <si>
    <t>Medicago truncatula</t>
  </si>
  <si>
    <t>Uncharacterized mitochondrial protein AtMg00810 OS=Arabidopsis thaliana GN=AtMg00810 PE=4 SV=1</t>
  </si>
  <si>
    <t>Senescence-specific cysteine protease SAG12 OS=Arabidopsis thaliana GN=SAG12 PE=1 SV=1</t>
  </si>
  <si>
    <t>tRNA (guanine-N(7)-)-methyltransferase OS=Arabidopsis thaliana GN=At5g24840 PE=2 SV=1</t>
  </si>
  <si>
    <t>Hypoxanthine-guanine phosphoribosyltransferase OS=Enterococcus faecalis (strain ATCC 700802 / V583) GN=hpt PE=3 SV=1</t>
  </si>
  <si>
    <t>Enterococcus faecalis</t>
  </si>
  <si>
    <t>Pentatricopeptide repeat-containing protein At5g61400 OS=Arabidopsis thaliana GN=At5g61400 PE=2 SV=1</t>
  </si>
  <si>
    <t>Probable L-type lectin-domain containing receptor kinase S.5 OS=Arabidopsis thaliana GN=LECRKS5 PE=2 SV=1</t>
  </si>
  <si>
    <t>Small ubiquitin-related modifier 2 OS=Arabidopsis thaliana GN=SUMO2 PE=1 SV=1</t>
  </si>
  <si>
    <t>Putative disease resistance RPP13-like protein 1 OS=Arabidopsis thaliana GN=RPPL1 PE=3 SV=1</t>
  </si>
  <si>
    <t>Pre-mRNA cleavage factor Im 25 kDa subunit 2 OS=Arabidopsis thaliana GN=CFIS2 PE=1 SV=1</t>
  </si>
  <si>
    <t>Cytochrome P450 71A1 OS=Persea americana GN=CYP71A1 PE=1 SV=2</t>
  </si>
  <si>
    <t>Persea americana</t>
  </si>
  <si>
    <t>UPF0481 protein At3g47200 OS=Arabidopsis thaliana GN=At3g47200 PE=2 SV=1</t>
  </si>
  <si>
    <t>PHD finger protein At3g20280 OS=Arabidopsis thaliana GN=At3g20280 PE=2 SV=1</t>
  </si>
  <si>
    <t>26S proteasome non-ATPase regulatory subunit 8 homolog A OS=Arabidopsis thaliana GN=RPN12A PE=1 SV=1</t>
  </si>
  <si>
    <t>Protein ABCI7, chloroplastic OS=Arabidopsis thaliana GN=ABCI7 PE=1 SV=1</t>
  </si>
  <si>
    <t>Probable xyloglucan endotransglucosylase/hydrolase protein 26 OS=Arabidopsis thaliana GN=XTH26 PE=2 SV=1</t>
  </si>
  <si>
    <t>Casein kinase I isoform delta-like OS=Arabidopsis thaliana GN=At4g26100 PE=2 SV=2</t>
  </si>
  <si>
    <t>Protein PMR5 OS=Arabidopsis thaliana GN=PMR5 PE=2 SV=1</t>
  </si>
  <si>
    <t>PHP domain-containing protein TrpH OS=Salmonella typhimurium (strain LT2 / SGSC1412 / ATCC 700720) GN=trpH PE=3 SV=3</t>
  </si>
  <si>
    <t>Salmonella typhimurium</t>
  </si>
  <si>
    <t>Probable VAMP-like protein At1g33475 OS=Arabidopsis thaliana GN=At1g33475 PE=2 SV=1</t>
  </si>
  <si>
    <t>Eukaryotic translation initiation factor 3 subunit C OS=Arabidopsis thaliana GN=TIF3C1 PE=1 SV=2</t>
  </si>
  <si>
    <t>Protein ENHANCED DISEASE RESISTANCE 2-like OS=Arabidopsis thaliana GN=EDR2L PE=2 SV=1</t>
  </si>
  <si>
    <t>G-type lectin S-receptor-like serine/threonine-protein kinase At1g67520 OS=Arabidopsis thaliana GN=At1g67520 PE=2 SV=3</t>
  </si>
  <si>
    <t>Beta-ureidopropionase OS=Arabidopsis thaliana GN=PYD3 PE=1 SV=1</t>
  </si>
  <si>
    <t>Uncharacterized mitochondrial protein AtMg00310 OS=Arabidopsis thaliana GN=AtMg00310 PE=4 SV=1</t>
  </si>
  <si>
    <t>BTB/POZ domain-containing protein At1g63850 OS=Arabidopsis thaliana GN=At1g63850 PE=1 SV=1</t>
  </si>
  <si>
    <t>Transcription factor PCL1 OS=Oryza sativa subsp. japonica GN=PCL1 PE=2 SV=1</t>
  </si>
  <si>
    <t>Pentatricopeptide repeat-containing protein At1g77360, mitochondrial OS=Arabidopsis thaliana GN=At1g77360 PE=2 SV=2</t>
  </si>
  <si>
    <t>ATP synthase subunit d, mitochondrial OS=Arabidopsis thaliana GN=At3g52300 PE=1 SV=3</t>
  </si>
  <si>
    <t>Probable arabinosyltransferase ARAD1 OS=Arabidopsis thaliana GN=ARAD1 PE=1 SV=1</t>
  </si>
  <si>
    <t>Putative ribonuclease H protein At1g65750 OS=Arabidopsis thaliana GN=At1g65750 PE=3 SV=1</t>
  </si>
  <si>
    <t>Autophagy-related protein 18a OS=Arabidopsis thaliana GN=ATG18A PE=1 SV=1</t>
  </si>
  <si>
    <t>Rhomboid-like protein 11, chloroplastic OS=Arabidopsis thaliana GN=RBL11 PE=1 SV=1</t>
  </si>
  <si>
    <t>Phytosulfokine receptor 2 OS=Arabidopsis thaliana GN=PSKR2 PE=2 SV=1</t>
  </si>
  <si>
    <t>Phosphatidate phosphatase PAH2 OS=Arabidopsis thaliana GN=PAH2 PE=1 SV=1</t>
  </si>
  <si>
    <t>UDP-glycosyltransferase 85A2 OS=Arabidopsis thaliana GN=UGT85A2 PE=2 SV=1</t>
  </si>
  <si>
    <t>Thioredoxin M-type, chloroplastic OS=Spinacia oleracea PE=1 SV=2</t>
  </si>
  <si>
    <t>Spinacia oleracea</t>
  </si>
  <si>
    <t>Putative pentatricopeptide repeat-containing protein At3g18840 OS=Arabidopsis thaliana GN=PCMP-E92 PE=2 SV=1</t>
  </si>
  <si>
    <t>Polyol transporter 5 OS=Arabidopsis thaliana GN=PLT5 PE=1 SV=2</t>
  </si>
  <si>
    <t>50S ribosomal protein L25 OS=Maricaulis maris (strain MCS10) GN=rplY PE=3 SV=1</t>
  </si>
  <si>
    <t>Maricaulis maris</t>
  </si>
  <si>
    <t>Pentatricopeptide repeat-containing protein At5g15010, mitochondrial OS=Arabidopsis thaliana GN=At5g15010 PE=2 SV=2</t>
  </si>
  <si>
    <t>Chlorophyll a-b binding protein 13, chloroplastic OS=Solanum lycopersicum GN=CAB13 PE=1 SV=1</t>
  </si>
  <si>
    <t>Phosphoserine phosphatase, chloroplastic OS=Arabidopsis thaliana GN=PSP PE=1 SV=2</t>
  </si>
  <si>
    <t>WAT1-related protein At5g47470 OS=Arabidopsis thaliana GN=At5g47470 PE=3 SV=1</t>
  </si>
  <si>
    <t>Probable serine/threonine-protein kinase At4g35230 OS=Arabidopsis thaliana GN=At4g35230 PE=1 SV=1</t>
  </si>
  <si>
    <t>Protein TIC 22-like, chloroplastic OS=Arabidopsis thaliana GN=TIC22L PE=3 SV=1</t>
  </si>
  <si>
    <t>Probable polygalacturonase At1g80170 OS=Arabidopsis thaliana GN=At1g80170 PE=1 SV=1</t>
  </si>
  <si>
    <t>F-box protein SKIP23 OS=Arabidopsis thaliana GN=SKIP23 PE=1 SV=1</t>
  </si>
  <si>
    <t>Sec-independent protein translocase protein TatB OS=Herminiimonas arsenicoxydans GN=tatB PE=3 SV=1</t>
  </si>
  <si>
    <t>Herminiimonas arsenicoxydans</t>
  </si>
  <si>
    <t>Wall-associated receptor kinase-like 14 OS=Arabidopsis thaliana GN=WAKL14 PE=2 SV=2</t>
  </si>
  <si>
    <t>Protein MRG2 OS=Arabidopsis thaliana GN=MRG2 PE=1 SV=1</t>
  </si>
  <si>
    <t>3-ketoacyl-CoA synthase 4 OS=Arabidopsis thaliana GN=KCS4 PE=2 SV=1</t>
  </si>
  <si>
    <t>Pentatricopeptide repeat-containing protein At4g30700 OS=Arabidopsis thaliana GN=DYW9 PE=2 SV=1</t>
  </si>
  <si>
    <t>GDSL esterase/lipase At5g55050 OS=Arabidopsis thaliana GN=At5g55050 PE=2 SV=1</t>
  </si>
  <si>
    <t>TMV resistance protein N OS=Nicotiana glutinosa GN=N PE=1 SV=1</t>
  </si>
  <si>
    <t>Nicotiana glutinosa</t>
  </si>
  <si>
    <t>Mitoferrin OS=Dictyostelium discoideum GN=mcfF PE=3 SV=1</t>
  </si>
  <si>
    <t>Protein FAR-RED ELONGATED HYPOCOTYL 3 OS=Arabidopsis thaliana GN=FHY3 PE=1 SV=1</t>
  </si>
  <si>
    <t>Indole-3-glycerol phosphate synthase, chloroplastic OS=Arabidopsis thaliana GN=At2g04400 PE=2 SV=2</t>
  </si>
  <si>
    <t>UPF0454 protein C12orf49 homolog OS=Mus musculus PE=2 SV=1</t>
  </si>
  <si>
    <t>Mus musculus</t>
  </si>
  <si>
    <t>Elongator complex protein 5 OS=Arabidopsis thaliana GN=ELP5 PE=1 SV=1</t>
  </si>
  <si>
    <t>Cytochrome c oxidase assembly protein COX15 OS=Arabidopsis thaliana GN=COX15 PE=2 SV=1</t>
  </si>
  <si>
    <t>Cell division cycle protein 123 homolog OS=Rattus norvegicus GN=Cdc123 PE=1 SV=1</t>
  </si>
  <si>
    <t>Rattus norvegicus</t>
  </si>
  <si>
    <t>Protein IRX15-LIKE OS=Arabidopsis thaliana GN=IRX15-L PE=2 SV=1</t>
  </si>
  <si>
    <t>Protein RADIALIS-like 3 OS=Arabidopsis thaliana GN=RL3 PE=2 SV=1</t>
  </si>
  <si>
    <t>E3 ubiquitin-protein ligase BRE1-like 1 OS=Arabidopsis thaliana GN=HUB1 PE=1 SV=1</t>
  </si>
  <si>
    <t>RecQ-mediated genome instability protein 1 OS=Arabidopsis thaliana GN=RMI1 PE=1 SV=1</t>
  </si>
  <si>
    <t>Pentatricopeptide repeat-containing protein At2g30780 OS=Arabidopsis thaliana GN=At2g30780 PE=2 SV=1</t>
  </si>
  <si>
    <t>DNA annealing helicase and endonuclease ZRANB3 OS=Homo sapiens GN=ZRANB3 PE=1 SV=2</t>
  </si>
  <si>
    <t>Pentatricopeptide repeat-containing protein At4g21705, mitochondrial OS=Arabidopsis thaliana GN=At4g21705 PE=2 SV=1</t>
  </si>
  <si>
    <t>ATP-dependent zinc metalloprotease FTSH 5, mitochondrial OS=Oryza sativa subsp. japonica GN=FTSH5 PE=3 SV=1</t>
  </si>
  <si>
    <t>Peroxisomal 2,4-dienoyl-CoA reductase OS=Arabidopsis thaliana GN=At3g12800 PE=2 SV=1</t>
  </si>
  <si>
    <t>Leucine--tRNA ligase, cytoplasmic OS=Arabidopsis thaliana GN=At1g09620 PE=1 SV=1</t>
  </si>
  <si>
    <t>Ribosome biogenesis protein bop1 OS=Xenopus tropicalis GN=bop1 PE=2 SV=1</t>
  </si>
  <si>
    <t>Xenopus tropicalis</t>
  </si>
  <si>
    <t>Tryptophan synthase alpha chain OS=Arabidopsis thaliana GN=TRPA1 PE=1 SV=2</t>
  </si>
  <si>
    <t>Integrator complex subunit 3 OS=Pongo abelii GN=INTS3 PE=2 SV=1</t>
  </si>
  <si>
    <t>Pongo abelii</t>
  </si>
  <si>
    <t>Tyrosine-sulfated glycopeptide receptor 1 OS=Arabidopsis thaliana GN=PSYR1 PE=2 SV=1</t>
  </si>
  <si>
    <t>Oral cancer-overexpressed protein 1 homolog OS=Mus musculus GN=Oraov1 PE=2 SV=1</t>
  </si>
  <si>
    <t>Alpha-soluble NSF attachment protein 2 OS=Arabidopsis thaliana GN=ASNAP2 PE=1 SV=1</t>
  </si>
  <si>
    <t>Asparagine--tRNA ligase, chloroplastic/mitochondrial OS=Arabidopsis thaliana GN=SYNO PE=2 SV=3</t>
  </si>
  <si>
    <t>Vesicle transport v-SNARE 13 OS=Arabidopsis thaliana GN=VTI13 PE=2 SV=1</t>
  </si>
  <si>
    <t>PAP-specific phosphatase HAL2-like OS=Arabidopsis thaliana GN=AHL PE=2 SV=1</t>
  </si>
  <si>
    <t>Polyglutamine-binding protein 1 OS=Bos taurus GN=PQBP1 PE=2 SV=1</t>
  </si>
  <si>
    <t>Bos taurus</t>
  </si>
  <si>
    <t>Two-pore potassium channel 3 OS=Arabidopsis thaliana GN=TPK3 PE=2 SV=1</t>
  </si>
  <si>
    <t>Splicing factor 3B subunit 6-like protein OS=Arabidopsis thaliana GN=At5g12190 PE=2 SV=1</t>
  </si>
  <si>
    <t>Protein NSP-INTERACTING KINASE 3 OS=Arabidopsis thaliana GN=NIK3 PE=1 SV=1</t>
  </si>
  <si>
    <t>UBP1-associated protein 2C OS=Arabidopsis thaliana GN=UBA2C PE=2 SV=1</t>
  </si>
  <si>
    <t>E3 ubiquitin-protein ligase RING1-like OS=Arabidopsis thaliana GN=At3g19950 PE=1 SV=1</t>
  </si>
  <si>
    <t>28 kDa heat- and acid-stable phosphoprotein OS=Rattus norvegicus GN=Pdap1 PE=1 SV=1</t>
  </si>
  <si>
    <t>Pentatricopeptide repeat-containing protein At4g16835, mitochondrial OS=Arabidopsis thaliana GN=DYW10 PE=2 SV=3</t>
  </si>
  <si>
    <t>F-box protein At1g61340 OS=Arabidopsis thaliana GN=At1g61340 PE=2 SV=1</t>
  </si>
  <si>
    <t>Puromycin-sensitive aminopeptidase OS=Arabidopsis thaliana GN=MPA1 PE=2 SV=1</t>
  </si>
  <si>
    <t>Carbamoyl-phosphate synthase large chain, chloroplastic OS=Arabidopsis thaliana GN=CARB PE=1 SV=1</t>
  </si>
  <si>
    <t>Non-functional pseudokinase ZED1 OS=Arabidopsis thaliana GN=ZED1 PE=1 SV=1</t>
  </si>
  <si>
    <t>Glutathione S-transferase L3 OS=Arabidopsis thaliana GN=GSTL3 PE=2 SV=1</t>
  </si>
  <si>
    <t>Protein REVERSION-TO-ETHYLENE SENSITIVITY1 OS=Arabidopsis thaliana GN=RTE1 PE=1 SV=1</t>
  </si>
  <si>
    <t>Transcription factor BOA OS=Arabidopsis thaliana GN=BOA PE=2 SV=1</t>
  </si>
  <si>
    <t>2-alkenal reductase (NADP(+)-dependent) OS=Nicotiana tabacum GN=DBR PE=1 SV=1</t>
  </si>
  <si>
    <t>Nicotiana tabacum</t>
  </si>
  <si>
    <t>TOM1-like protein 2 OS=Mus musculus GN=Tom1l2 PE=2 SV=1</t>
  </si>
  <si>
    <t>Uncharacterized protein At2g29880 OS=Arabidopsis thaliana GN=At2g29880 PE=2 SV=1</t>
  </si>
  <si>
    <t>Dihydrolipoyllysine-residue succinyltransferase component of 2-oxoglutarate dehydrogenase complex 2, mitochondrial OS=Arabidopsis thaliana GN=At4g26910 PE=2 SV=2</t>
  </si>
  <si>
    <t>Hsp70 nucleotide exchange factor fes1 OS=Emericella nidulans (strain FGSC A4 / ATCC 38163 / CBS 112.46 / NRRL 194 / M139) GN=fes1 PE=3 SV=1</t>
  </si>
  <si>
    <t>Emericella nidulans</t>
  </si>
  <si>
    <t>Exocyst complex component SEC8 OS=Arabidopsis thaliana GN=SEC8 PE=1 SV=1</t>
  </si>
  <si>
    <t>Vignain OS=Vigna mungo PE=1 SV=1</t>
  </si>
  <si>
    <t>Vigna mungo</t>
  </si>
  <si>
    <t>Proline iminopeptidase OS=Aeromonas sobria GN=pip PE=1 SV=3</t>
  </si>
  <si>
    <t>Aeromonas sobria</t>
  </si>
  <si>
    <t>F-box/kelch-repeat protein At1g51550 OS=Arabidopsis thaliana GN=At1g51550 PE=2 SV=1</t>
  </si>
  <si>
    <t>Potassium channel KAT1 OS=Arabidopsis thaliana GN=KAT1 PE=1 SV=2</t>
  </si>
  <si>
    <t>DNA-directed RNA polymerase II subunit 1 OS=Arabidopsis thaliana GN=NRPB1 PE=1 SV=3</t>
  </si>
  <si>
    <t>Pentatricopeptide repeat-containing protein At3g09040, mitochondrial OS=Arabidopsis thaliana GN=PCMP-E88 PE=2 SV=1</t>
  </si>
  <si>
    <t>Uncharacterized aarF domain-containing protein kinase At1g79600, chloroplastic OS=Arabidopsis thaliana GN=At1g79600 PE=2 SV=1</t>
  </si>
  <si>
    <t>30S ribosomal protein S16 OS=Rhodobacter sphaeroides (strain ATCC 17025 / ATH 2.4.3) GN=rpsP PE=3 SV=1</t>
  </si>
  <si>
    <t>Rhodobacter sphaeroides</t>
  </si>
  <si>
    <t>Subtilisin-like protease SBT1.7 OS=Arabidopsis thaliana GN=SBT1.7 PE=1 SV=1</t>
  </si>
  <si>
    <t>DNA topoisomerase 3-alpha OS=Homo sapiens GN=TOP3A PE=1 SV=1</t>
  </si>
  <si>
    <t>60S ribosomal protein L4 OS=Prunus armeniaca GN=RPL4 PE=2 SV=1</t>
  </si>
  <si>
    <t>Tetraketide alpha-pyrone reductase 1 OS=Arabidopsis thaliana GN=TKPR1 PE=1 SV=1</t>
  </si>
  <si>
    <t>Protein-S-isoprenylcysteine O-methyltransferase B OS=Arabidopsis thaliana GN=ICMTB PE=1 SV=1</t>
  </si>
  <si>
    <t>AP2-like ethylene-responsive transcription factor At1g16060 OS=Arabidopsis thaliana GN=At1g16060 PE=2 SV=1</t>
  </si>
  <si>
    <t>Probable GTP-binding protein EngB OS=Gluconobacter oxydans (strain 621H) GN=engB PE=3 SV=1</t>
  </si>
  <si>
    <t>Gluconobacter oxydans</t>
  </si>
  <si>
    <t>Translocon-associated protein subunit alpha OS=Arabidopsis thaliana GN=At2g21160 PE=2 SV=3</t>
  </si>
  <si>
    <t>S-norcoclaurine synthase 1 OS=Coptis japonica GN=NCS1 PE=1 SV=1</t>
  </si>
  <si>
    <t>Coptis japonica</t>
  </si>
  <si>
    <t>DNA ligase 4 OS=Arabidopsis thaliana GN=LIG4 PE=1 SV=1</t>
  </si>
  <si>
    <t>Leucine-rich repeat receptor-like protein kinase PXC2 OS=Arabidopsis thaliana GN=PXC2 PE=2 SV=1</t>
  </si>
  <si>
    <t>Probable sarcosine oxidase OS=Arabidopsis thaliana GN=At2g24580 PE=2 SV=1</t>
  </si>
  <si>
    <t>Methylthioribose kinase OS=Arabidopsis thaliana GN=MTK PE=1 SV=1</t>
  </si>
  <si>
    <t>Nuclear factor related to kappa-B-binding protein OS=Mus musculus GN=Nfrkb PE=2 SV=1</t>
  </si>
  <si>
    <t>Alpha-ketoglutarate-dependent dioxygenase AlkB OS=Salmonella typhimurium (strain LT2 / SGSC1412 / ATCC 700720) GN=alkB PE=3 SV=2</t>
  </si>
  <si>
    <t>Receptor homology region, transmembrane domain- and RING domain-containing protein 1 OS=Arabidopsis thaliana GN=RMR1 PE=2 SV=1</t>
  </si>
  <si>
    <t>Low-temperature-induced 65 kDa protein OS=Arabidopsis thaliana GN=LTI65 PE=2 SV=2</t>
  </si>
  <si>
    <t>F-box protein At5g39250 OS=Arabidopsis thaliana GN=At5g39250 PE=2 SV=1</t>
  </si>
  <si>
    <t>Anthranilate phosphoribosyltransferase OS=Azoarcus sp. (strain BH72) GN=trpD PE=3 SV=1</t>
  </si>
  <si>
    <t>Azoarcus sp.</t>
  </si>
  <si>
    <t>6-phosphofructo-2-kinase/fructose-2,6-bisphosphatase OS=Arabidopsis thaliana GN=FKFBP PE=1 SV=1</t>
  </si>
  <si>
    <t>Cyclic nucleotide-gated ion channel 1 OS=Arabidopsis thaliana GN=CNGC1 PE=1 SV=1</t>
  </si>
  <si>
    <t>LRR receptor-like serine/threonine-protein kinase FEI 2 OS=Arabidopsis thaliana GN=FEI2 PE=1 SV=1</t>
  </si>
  <si>
    <t>Zinc transporter 11 OS=Arabidopsis thaliana GN=ZIP11 PE=2 SV=1</t>
  </si>
  <si>
    <t>GATA transcription factor 5 OS=Arabidopsis thaliana GN=GATA5 PE=2 SV=1</t>
  </si>
  <si>
    <t>Probable protein phosphatase 2C 25 OS=Arabidopsis thaliana GN=At2g30020 PE=1 SV=1</t>
  </si>
  <si>
    <t>Spermine synthase OS=Arabidopsis thaliana GN=SPMS PE=1 SV=1</t>
  </si>
  <si>
    <t>F-box/kelch-repeat protein SKIP11 OS=Arabidopsis thaliana GN=SKIP11 PE=1 SV=2</t>
  </si>
  <si>
    <t>Nuclear pore complex protein NUP58 OS=Arabidopsis thaliana GN=NUP58 PE=1 SV=1</t>
  </si>
  <si>
    <t>Chloroplast processing peptidase OS=Arabidopsis thaliana GN=PLSP1 PE=2 SV=2</t>
  </si>
  <si>
    <t>Alpha,alpha-trehalose-phosphate synthase [UDP-forming] 1 OS=Arabidopsis thaliana GN=TPS1 PE=1 SV=1</t>
  </si>
  <si>
    <t>Protein VASCULAR ASSOCIATED DEATH 1, chloroplastic OS=Arabidopsis thaliana GN=VAD1 PE=1 SV=1</t>
  </si>
  <si>
    <t>Probable receptor-like protein kinase At2g23200 OS=Arabidopsis thaliana GN=At2g23200 PE=3 SV=1</t>
  </si>
  <si>
    <t>Protein LEO1 homolog OS=Arabidopsis thaliana GN=VIP4 PE=1 SV=1</t>
  </si>
  <si>
    <t>Histidine-containing phosphotransfer protein 1 OS=Arabidopsis thaliana GN=AHP1 PE=1 SV=1</t>
  </si>
  <si>
    <t>Mitochondrial phosphate carrier protein 3, mitochondrial OS=Arabidopsis thaliana GN=MPT3 PE=2 SV=1</t>
  </si>
  <si>
    <t>ER lumen protein-retaining receptor A OS=Arabidopsis thaliana GN=ERD2A PE=2 SV=1</t>
  </si>
  <si>
    <t>Non-lysosomal glucosylceramidase OS=Rattus norvegicus GN=Gba2 PE=2 SV=2</t>
  </si>
  <si>
    <t>Pectin acetylesterase 8 OS=Arabidopsis thaliana GN=PAE8 PE=2 SV=1</t>
  </si>
  <si>
    <t>Abscisic acid 8'-hydroxylase 4 OS=Arabidopsis thaliana GN=CYP707A4 PE=2 SV=2</t>
  </si>
  <si>
    <t>Pentatricopeptide repeat-containing protein At5g50390, chloroplastic OS=Arabidopsis thaliana GN=PCMP-H58 PE=2 SV=1</t>
  </si>
  <si>
    <t>Probable catabolite repression protein creC OS=Aspergillus oryzae (strain ATCC 42149 / RIB 40) GN=creC PE=3 SV=1</t>
  </si>
  <si>
    <t>Aspergillus oryzae</t>
  </si>
  <si>
    <t>Polyadenylate-binding protein-interacting protein 12 OS=Arabidopsis thaliana GN=Cid12 PE=1 SV=1</t>
  </si>
  <si>
    <t>Small nuclear ribonucleoprotein Sm D1 OS=Mus musculus GN=Snrpd1 PE=3 SV=1</t>
  </si>
  <si>
    <t>Cucumisin OS=Cucumis melo PE=1 SV=1</t>
  </si>
  <si>
    <t>Cucumis melo</t>
  </si>
  <si>
    <t>Protein AUXIN SIGNALING F-BOX 2 OS=Arabidopsis thaliana GN=AFB2 PE=1 SV=1</t>
  </si>
  <si>
    <t>Two pore calcium channel protein 1 OS=Arabidopsis thaliana GN=TPC1 PE=1 SV=1</t>
  </si>
  <si>
    <t>Protein root UVB sensitive 2, chloroplastic OS=Arabidopsis thaliana GN=RUS2 PE=1 SV=2</t>
  </si>
  <si>
    <t>FRIGidA-like protein 3 OS=Arabidopsis thaliana GN=FRL3 PE=1 SV=1</t>
  </si>
  <si>
    <t>Pentatricopeptide repeat-containing protein At2g36730 OS=Arabidopsis thaliana GN=PCMP-E44 PE=3 SV=1</t>
  </si>
  <si>
    <t>Pentatricopeptide repeat-containing protein At2g29760, chloroplastic OS=Arabidopsis thaliana GN=PCMP-H33 PE=2 SV=1</t>
  </si>
  <si>
    <t>UPF0548 protein At2g17695 OS=Arabidopsis thaliana GN=At2g17695 PE=2 SV=1</t>
  </si>
  <si>
    <t>Protein-ribulosamine 3-kinase, chloroplastic OS=Arabidopsis thaliana GN=At3g61080 PE=1 SV=2</t>
  </si>
  <si>
    <t>F-box/FBD/LRR-repeat protein At1g13570 OS=Arabidopsis thaliana GN=At1g13570 PE=2 SV=1</t>
  </si>
  <si>
    <t>Mannose-6-phosphate isomerase 1 OS=Arabidopsis thaliana GN=PMI1 PE=1 SV=1</t>
  </si>
  <si>
    <t>Cyclin-dependent kinase E-1 OS=Arabidopsis thaliana GN=CDKE-1 PE=1 SV=2</t>
  </si>
  <si>
    <t>Dynamin-like protein ARC5 OS=Arabidopsis thaliana GN=ARC5 PE=1 SV=2</t>
  </si>
  <si>
    <t>NEDD8-conjugating enzyme Ubc12 OS=Arabidopsis thaliana GN=RCE1 PE=1 SV=1</t>
  </si>
  <si>
    <t>Lysine-specific demethylase rbr-2 OS=Caenorhabditis elegans GN=rbr-2 PE=1 SV=2</t>
  </si>
  <si>
    <t>Caenorhabditis elegans</t>
  </si>
  <si>
    <t>Transcription initiation factor TFIid subunit 6 OS=Arabidopsis thaliana GN=TAF6 PE=1 SV=1</t>
  </si>
  <si>
    <t>Fumarylacetoacetase OS=Bos taurus GN=FAH PE=2 SV=1</t>
  </si>
  <si>
    <t>Long chain base biosynthesis protein 1 OS=Arabidopsis thaliana GN=LCB1 PE=1 SV=1</t>
  </si>
  <si>
    <t>Tubulin-folding cofactor A OS=Arabidopsis thaliana GN=TFCA PE=1 SV=2</t>
  </si>
  <si>
    <t>Probable LRR receptor-like serine/threonine-protein kinase At1g07650 OS=Arabidopsis thaliana GN=At1g07650 PE=1 SV=1</t>
  </si>
  <si>
    <t>E3 ubiquitin-protein ligase CIP8 OS=Arabidopsis thaliana GN=CIP8 PE=1 SV=1</t>
  </si>
  <si>
    <t>Probable WRKY transcription factor 7 OS=Arabidopsis thaliana GN=WRKY7 PE=2 SV=1</t>
  </si>
  <si>
    <t>Pentatricopeptide repeat-containing protein At3g05340 OS=Arabidopsis thaliana GN=PCMP-E83 PE=2 SV=2</t>
  </si>
  <si>
    <t>Protein FATTY ACid EXPORT 3, chloroplastic OS=Arabidopsis thaliana GN=FAX3 PE=2 SV=2</t>
  </si>
  <si>
    <t>G-protein coupled receptor 1 OS=Arabidopsis thaliana GN=GCR1 PE=1 SV=1</t>
  </si>
  <si>
    <t>Probable LRR receptor-like serine/threonine-protein kinase At5g48740 OS=Arabidopsis thaliana GN=At5g48740 PE=2 SV=1</t>
  </si>
  <si>
    <t>3-hydroxyisobutyryl-CoA hydrolase 1 OS=Arabidopsis thaliana GN=CHY1 PE=1 SV=1</t>
  </si>
  <si>
    <t>AMSH-like ubiquitin thioesterase 2 OS=Arabidopsis thaliana GN=AMSH2 PE=2 SV=1</t>
  </si>
  <si>
    <t>Scarecrow-like protein 15 OS=Arabidopsis thaliana GN=SCL15 PE=2 SV=3</t>
  </si>
  <si>
    <t>Probable receptor-like protein kinase At1g30570 OS=Arabidopsis thaliana GN=At1g30570 PE=3 SV=1</t>
  </si>
  <si>
    <t>Alpha-1,4 glucan phosphorylase L-2 isozyme, chloroplastic/amyloplastic OS=Solanum tuberosum GN=STP-1 PE=1 SV=1</t>
  </si>
  <si>
    <t>E3 ubiquitin-protein ligase RKP OS=Arabidopsis thaliana GN=RKP PE=2 SV=2</t>
  </si>
  <si>
    <t>Magnesium transporter MRS2-I OS=Oryza sativa subsp. japonica GN=MRS2-I PE=2 SV=1</t>
  </si>
  <si>
    <t>Phosphatidylinositol/phosphatidylcholine transfer protein SFH1 OS=Arabidopsis thaliana GN=SFH1 PE=2 SV=1</t>
  </si>
  <si>
    <t>Probable amino-acid acetyltransferase NAGS2, chloroplastic OS=Arabidopsis thaliana GN=NAGS2 PE=2 SV=1</t>
  </si>
  <si>
    <t>WD repeat-containing protein 25 OS=Homo sapiens GN=WDR25 PE=1 SV=3</t>
  </si>
  <si>
    <t>Pentatricopeptide repeat-containing protein At4g19440, chloroplastic OS=Arabidopsis thaliana GN=At4g19440 PE=2 SV=2</t>
  </si>
  <si>
    <t>Probable protein phosphatase 2C 26 OS=Arabidopsis thaliana GN=At2g30170 PE=2 SV=2</t>
  </si>
  <si>
    <t>General transcription factor 3C polypeptide 3 OS=Homo sapiens GN=GTF3C3 PE=1 SV=1</t>
  </si>
  <si>
    <t>Sucrose synthase OS=Glycine max GN=SS PE=1 SV=2</t>
  </si>
  <si>
    <t>Glycine max</t>
  </si>
  <si>
    <t>Protein STRICTOSidINE SYNTHASE-LIKE 10 OS=Arabidopsis thaliana GN=SSL10 PE=2 SV=1</t>
  </si>
  <si>
    <t>60S ribosomal protein L8-3 OS=Arabidopsis thaliana GN=RPL8C PE=1 SV=2</t>
  </si>
  <si>
    <t>Uncharacterized protein At1g04910 OS=Arabidopsis thaliana GN=At1g04910 PE=2 SV=1</t>
  </si>
  <si>
    <t>Protein TIME FOR COFFEE OS=Arabidopsis thaliana GN=TIC PE=1 SV=2</t>
  </si>
  <si>
    <t>Protein indeterminate-domain 1 OS=Arabidopsis thaliana GN=idD1 PE=1 SV=1</t>
  </si>
  <si>
    <t>Serine/arginine-rich splicing factor RSZ22A OS=Arabidopsis thaliana GN=RSZ22A PE=1 SV=1</t>
  </si>
  <si>
    <t>Protein DDB_G0268328 OS=Dictyostelium discoideum GN=DDB_G0268328 PE=4 SV=1</t>
  </si>
  <si>
    <t>Urease accessory protein F OS=Arabidopsis thaliana GN=UREF PE=2 SV=1</t>
  </si>
  <si>
    <t>Protein DA1-related 1 OS=Arabidopsis thaliana GN=DAR1 PE=1 SV=3</t>
  </si>
  <si>
    <t>Probable helicase DDB_G0274399 OS=Dictyostelium discoideum GN=DDB_G0274399 PE=3 SV=1</t>
  </si>
  <si>
    <t>Synaptotagmin-4 OS=Arabidopsis thaliana GN=SYT4 PE=2 SV=1</t>
  </si>
  <si>
    <t>Sphingosine kinase 1 OS=Arabidopsis thaliana GN=SPHK1 PE=1 SV=1</t>
  </si>
  <si>
    <t>L-ascorbate peroxidase, cytosolic OS=Pisum sativum GN=APX1 PE=1 SV=2</t>
  </si>
  <si>
    <t>UDP-glucose 4-epimerase GEPI48 OS=Cyamopsis tetragonoloba PE=2 SV=1</t>
  </si>
  <si>
    <t>Cyamopsis tetragonoloba</t>
  </si>
  <si>
    <t>Protein SCAR1 OS=Arabidopsis thaliana GN=SCAR1 PE=1 SV=1</t>
  </si>
  <si>
    <t>Probable trehalose-phosphate phosphatase G OS=Arabidopsis thaliana GN=TPPG PE=2 SV=1</t>
  </si>
  <si>
    <t>GDSL esterase/lipase LTL1 OS=Arabidopsis thaliana GN=LTL1 PE=2 SV=1</t>
  </si>
  <si>
    <t>Alpha-glucan water dikinase 2 OS=Arabidopsis thaliana GN=GWD2 PE=2 SV=3</t>
  </si>
  <si>
    <t>60S ribosomal protein L7a-2 OS=Arabidopsis thaliana GN=RPL7AB PE=1 SV=1</t>
  </si>
  <si>
    <t>Phosphatidylinositol 4-kinase gamma 4 OS=Arabidopsis thaliana GN=PI4KG4 PE=1 SV=1</t>
  </si>
  <si>
    <t>Probable inactive purple acid phosphatase 1 OS=Arabidopsis thaliana GN=PAP1 PE=2 SV=1</t>
  </si>
  <si>
    <t>Methyl-CpG-binding domain protein 4-like protein OS=Arabidopsis thaliana GN=MBD4L PE=1 SV=1</t>
  </si>
  <si>
    <t>Transcription factor AS1 OS=Arabidopsis thaliana GN=AS1 PE=1 SV=1</t>
  </si>
  <si>
    <t>Tyrosyl-DNA phosphodiesterase 2 OS=Bos taurus GN=TDP2 PE=2 SV=1</t>
  </si>
  <si>
    <t>Pentatricopeptide repeat-containing protein At5g43790 OS=Arabidopsis thaliana GN=PCMP-E30 PE=2 SV=1</t>
  </si>
  <si>
    <t>G-type lectin S-receptor-like serine/threonine-protein kinase At4g27290 OS=Arabidopsis thaliana GN=At4g27290 PE=3 SV=4</t>
  </si>
  <si>
    <t>Mitochondrial outer membrane protein porin of 36 kDa OS=Solanum tuberosum PE=1 SV=2</t>
  </si>
  <si>
    <t>Chitinase 10 OS=Oryza sativa subsp. japonica GN=Cht10 PE=2 SV=1</t>
  </si>
  <si>
    <t>Glutaredoxin-C7 OS=Arabidopsis thaliana GN=GRXC7 PE=1 SV=2</t>
  </si>
  <si>
    <t>Putative dual specificity protein phosphatase DSP8 OS=Arabidopsis thaliana GN=DSP8 PE=2 SV=2</t>
  </si>
  <si>
    <t>Caffeoyl-CoA O-methyltransferase 1 OS=Populus trichocarpa GN=CCOAOMT1 PE=2 SV=1</t>
  </si>
  <si>
    <t>Populus trichocarpa</t>
  </si>
  <si>
    <t>Ras-related protein RABF2b OS=Arabidopsis thaliana GN=RABF2B PE=1 SV=1</t>
  </si>
  <si>
    <t>DNA (cytosine-5)-methyltransferase 1 OS=Arabidopsis thaliana GN=DMT1 PE=1 SV=1</t>
  </si>
  <si>
    <t>Activating signal cointegrator 1 complex subunit 3 OS=Homo sapiens GN=ASCC3 PE=1 SV=3</t>
  </si>
  <si>
    <t>LRR receptor-like serine/threonine-protein kinase ERL1 OS=Arabidopsis thaliana GN=ERL1 PE=1 SV=1</t>
  </si>
  <si>
    <t>Dof zinc finger protein DOF2.4 OS=Arabidopsis thaliana GN=DOF2.4 PE=2 SV=1</t>
  </si>
  <si>
    <t>Cytochrome c oxidase subunit 1 OS=Bos taurus GN=MT-CO1 PE=1 SV=1</t>
  </si>
  <si>
    <t>5'-3' exoribonuclease 3 OS=Arabidopsis thaliana GN=XRN3 PE=2 SV=1</t>
  </si>
  <si>
    <t>GDSL esterase/lipase At5g45910 OS=Arabidopsis thaliana GN=At5g45910 PE=2 SV=1</t>
  </si>
  <si>
    <t>Tetratricopeptide repeat protein 1 OS=Homo sapiens GN=TTC1 PE=1 SV=1</t>
  </si>
  <si>
    <t>Altered inheritance of mitochondria protein 32 OS=Debaryomyces hansenii (strain ATCC 36239 / CBS 767 / JCM 1990 / NBRC 0083 / IGC 2968) GN=AIM32 PE=3 SV=2</t>
  </si>
  <si>
    <t>Debaryomyces hansenii</t>
  </si>
  <si>
    <t>Uncharacterized protein At3g06530 OS=Arabidopsis thaliana GN=At3g06530 PE=1 SV=3</t>
  </si>
  <si>
    <t>Protein TRANSPARENT TESTA 12 OS=Arabidopsis thaliana GN=TT12 PE=2 SV=1</t>
  </si>
  <si>
    <t>Ras-related protein RABA5a OS=Arabidopsis thaliana GN=RABA5A PE=2 SV=1</t>
  </si>
  <si>
    <t>Beta-glucosidase BoGH3B OS=Bacteroides ovatus (strain ATCC 8483 / DSM 1896 / JCM 5824 / NCTC 11153) GN=BACOVA_02659 PE=1 SV=1</t>
  </si>
  <si>
    <t>Bacteroides ovatus</t>
  </si>
  <si>
    <t>Enolase 1, chloroplastic OS=Arabidopsis thaliana GN=ENO1 PE=1 SV=1</t>
  </si>
  <si>
    <t>Tetratricopeptide repeat protein 1 OS=Mus musculus GN=Ttc1 PE=2 SV=1</t>
  </si>
  <si>
    <t>Syntaxin-121 OS=Arabidopsis thaliana GN=SYP121 PE=1 SV=1</t>
  </si>
  <si>
    <t>LINE-1 retrotransposable element ORF2 protein OS=Mus musculus GN=Pol PE=1 SV=2</t>
  </si>
  <si>
    <t>Methylthioribose-1-phosphate isomerase OS=Vitis vinifera GN=VIT_11s0016g00830 PE=2 SV=2</t>
  </si>
  <si>
    <t>Vitis vinifera</t>
  </si>
  <si>
    <t>50S ribosomal protein L6, chloroplastic OS=Arabidopsis thaliana GN=RPL6 PE=2 SV=1</t>
  </si>
  <si>
    <t>Auxin-responsive protein IAA27 OS=Arabidopsis thaliana GN=IAA27 PE=1 SV=1</t>
  </si>
  <si>
    <t>26S proteasome non-ATPase regulatory subunit 2 homolog A OS=Arabidopsis thaliana GN=RPN1A PE=1 SV=2</t>
  </si>
  <si>
    <t>Mediator of RNA polymerase II transcription subunit 8 OS=Arabidopsis thaliana GN=MED8 PE=1 SV=1</t>
  </si>
  <si>
    <t>PHD finger protein ING1 OS=Arabidopsis thaliana GN=ING1 PE=1 SV=1</t>
  </si>
  <si>
    <t>External alternative NAD(P)H-ubiquinone oxidoreductase B1, mitochondrial OS=Solanum tuberosum GN=NDB1 PE=3 SV=1</t>
  </si>
  <si>
    <t>Signal peptidase complex subunit 3B OS=Arabidopsis thaliana GN=At5g27430 PE=2 SV=1</t>
  </si>
  <si>
    <t>Dehydration-responsive protein RD22 OS=Arabidopsis thaliana GN=RD22 PE=2 SV=1</t>
  </si>
  <si>
    <t>Lectin-domain containing receptor kinase VI.3 OS=Arabidopsis thaliana GN=LECRK63 PE=2 SV=1</t>
  </si>
  <si>
    <t>Mitochondrial phosphate carrier protein 1, mitochondrial OS=Arabidopsis thaliana GN=MPT1 PE=2 SV=1</t>
  </si>
  <si>
    <t>Mitochondrial uncoupling protein 2 OS=Arabidopsis thaliana GN=PUMP2 PE=2 SV=1</t>
  </si>
  <si>
    <t>50S ribosomal protein L27, chloroplastic OS=Nicotiana tabacum GN=RPL27 PE=1 SV=1</t>
  </si>
  <si>
    <t>Protein LOW PSII ACCUMULATION 1, chloroplastic OS=Arabidopsis thaliana GN=LPA1 PE=1 SV=1</t>
  </si>
  <si>
    <t>Abnormal spindle-like microcephaly-associated protein homolog (Fragment) OS=Felis catus GN=ASPM PE=2 SV=1</t>
  </si>
  <si>
    <t>Felis catus</t>
  </si>
  <si>
    <t>Mechanosensitive ion channel protein 10 OS=Arabidopsis thaliana GN=MSL10 PE=1 SV=1</t>
  </si>
  <si>
    <t>UDP-glycosyltransferase 73C3 OS=Arabidopsis thaliana GN=UGT73C3 PE=2 SV=1</t>
  </si>
  <si>
    <t>Vesicle-associated membrane protein 721 OS=Arabidopsis thaliana GN=VAMP721 PE=1 SV=1</t>
  </si>
  <si>
    <t>Subtilisin-like protease SBT5.4 OS=Arabidopsis thaliana GN=SBT5.4 PE=1 SV=1</t>
  </si>
  <si>
    <t>Putative pentatricopeptide repeat-containing protein At5g09950 OS=Arabidopsis thaliana GN=PCMP-H35 PE=3 SV=1</t>
  </si>
  <si>
    <t>Actin-related protein 2/3 complex subunit 2B OS=Arabidopsis thaliana GN=ARPC2B PE=2 SV=1</t>
  </si>
  <si>
    <t>Probable pectate lyase 22 OS=Arabidopsis thaliana GN=At5g63180 PE=2 SV=1</t>
  </si>
  <si>
    <t>Cysteine--tRNA ligase, chloroplastic/mitochondrial OS=Arabidopsis thaliana GN=SYCO PE=2 SV=1</t>
  </si>
  <si>
    <t>Putative lipid phosphate phosphatase 3, chloroplastic OS=Arabidopsis thaliana GN=LPP3 PE=2 SV=1</t>
  </si>
  <si>
    <t>Glutamate--cysteine ligase, chloroplastic OS=Nicotiana tabacum GN=GSH1 PE=2 SV=2</t>
  </si>
  <si>
    <t>Decapping 5-like protein OS=Arabidopsis thaliana GN=DCP5-L PE=2 SV=1</t>
  </si>
  <si>
    <t>Transcriptional corepressor SEUSS OS=Arabidopsis thaliana GN=SEU PE=1 SV=1</t>
  </si>
  <si>
    <t>GDSL esterase/lipase At4g28780 OS=Arabidopsis thaliana GN=At4g28780 PE=2 SV=1</t>
  </si>
  <si>
    <t>LIM domain-containing protein PLIM2b OS=Arabidopsis thaliana GN=PLIM2B PE=1 SV=1</t>
  </si>
  <si>
    <t>Probable serine/threonine-protein kinase At1g54610 OS=Arabidopsis thaliana GN=At1g54610 PE=1 SV=1</t>
  </si>
  <si>
    <t>DNA (cytosine-5)-methyltransferase DRM2 OS=Arabidopsis thaliana GN=DRM2 PE=1 SV=1</t>
  </si>
  <si>
    <t>Vicianin hydrolase (Fragment) OS=Vicia sativa subsp. nigra PE=1 SV=1</t>
  </si>
  <si>
    <t>Vicia sativa</t>
  </si>
  <si>
    <t>Protein LIKE COV 2 OS=Arabidopsis thaliana GN=LCV2 PE=2 SV=1</t>
  </si>
  <si>
    <t>IAA-amino acid hydrolase ILR1 OS=Arabidopsis thaliana GN=ILR1 PE=1 SV=2</t>
  </si>
  <si>
    <t>Potassium transporter 1 OS=Arabidopsis thaliana GN=POT1 PE=1 SV=2</t>
  </si>
  <si>
    <t>Ankyrin repeat-containing protein At5g02620 OS=Arabidopsis thaliana GN=At5g02620 PE=1 SV=1</t>
  </si>
  <si>
    <t>Ethylene-responsive transcription factor ERF025 OS=Arabidopsis thaliana GN=ERF025 PE=2 SV=1</t>
  </si>
  <si>
    <t>Protein SCAI OS=Homo sapiens GN=SCAI PE=1 SV=2</t>
  </si>
  <si>
    <t>Pentatricopeptide repeat-containing protein At2g21090 OS=Arabidopsis thaliana GN=PCMP-E48 PE=2 SV=1</t>
  </si>
  <si>
    <t>Flavonoid 3-O-glucosyltransferase OS=Medicago truncatula GN=UGT78G1 PE=1 SV=1</t>
  </si>
  <si>
    <t>Protein NUCLEAR FUSION DEFECTIVE 4 OS=Arabidopsis thaliana GN=NFD4 PE=3 SV=1</t>
  </si>
  <si>
    <t>SNF1-related protein kinase regulatory subunit beta-3 OS=Arabidopsis thaliana GN=KINB3 PE=1 SV=1</t>
  </si>
  <si>
    <t>Midasin OS=Dictyostelium discoideum GN=mdn1 PE=3 SV=2</t>
  </si>
  <si>
    <t>Cellulose synthase A catalytic subunit 8 [UDP-forming] OS=Arabidopsis thaliana GN=CESA8 PE=1 SV=1</t>
  </si>
  <si>
    <t>Cationic amino acid transporter 2, vacuolar OS=Arabidopsis thaliana GN=CAT2 PE=2 SV=1</t>
  </si>
  <si>
    <t>Transcription factor BTF3 OS=Homo sapiens GN=BTF3 PE=1 SV=1</t>
  </si>
  <si>
    <t>Nematode resistance protein-like HSPRO2 OS=Arabidopsis thaliana GN=HSPRO2 PE=1 SV=1</t>
  </si>
  <si>
    <t>Glutathione reductase, cytosolic OS=Arabidopsis thaliana GN=At3g24170 PE=2 SV=1</t>
  </si>
  <si>
    <t>Crossover junction endonuclease MUS81 OS=Arabidopsis thaliana GN=MUS81 PE=1 SV=1</t>
  </si>
  <si>
    <t>Heavy metal-associated isoprenylated plant protein 26 OS=Arabidopsis thaliana GN=HIPP26 PE=1 SV=1</t>
  </si>
  <si>
    <t>E3 ubiquitin-protein ligase LRSAM1 OS=Homo sapiens GN=LRSAM1 PE=1 SV=1</t>
  </si>
  <si>
    <t>Protein NRT1/ PTR FAMILY 2.13 OS=Arabidopsis thaliana GN=NPF2.13 PE=1 SV=1</t>
  </si>
  <si>
    <t>Transcription factor bHLH25 OS=Arabidopsis thaliana GN=BHLH25 PE=2 SV=2</t>
  </si>
  <si>
    <t>Non-specific lipid-transfer protein 3 OS=Prunus dulcis PE=2 SV=1</t>
  </si>
  <si>
    <t>Prunus dulcis</t>
  </si>
  <si>
    <t>Probable WRKY transcription factor 21 OS=Arabidopsis thaliana GN=WRKY21 PE=2 SV=1</t>
  </si>
  <si>
    <t>Elongation factor Ts, mitochondrial OS=Ricinus communis GN=EFTS PE=3 SV=1</t>
  </si>
  <si>
    <t>Ricinus communis</t>
  </si>
  <si>
    <t>Pentatricopeptide repeat-containing protein At2g28050 OS=Arabidopsis thaliana GN=At2g28050 PE=3 SV=1</t>
  </si>
  <si>
    <t>U-box domain-containing protein 21 OS=Arabidopsis thaliana GN=PUB21 PE=2 SV=1</t>
  </si>
  <si>
    <t>GDSL esterase/lipase At5g33370 OS=Arabidopsis thaliana GN=At5g33370 PE=2 SV=1</t>
  </si>
  <si>
    <t>Probable histone H2A.4 OS=Oryza sativa subsp. japonica GN=Os05g0461400 PE=2 SV=1</t>
  </si>
  <si>
    <t>Glutamate decarboxylase 1 OS=Arabidopsis thaliana GN=GAD1 PE=1 SV=2</t>
  </si>
  <si>
    <t>NAD(P)H-quinone oxidoreductase subunit K, chloroplastic OS=Morus indica GN=ndhK PE=3 SV=2</t>
  </si>
  <si>
    <t>Myosin-16 OS=Arabidopsis thaliana GN=XI-J PE=2 SV=1</t>
  </si>
  <si>
    <t>Importin subunit alpha-4 OS=Arabidopsis thaliana GN=IMPA4 PE=1 SV=1</t>
  </si>
  <si>
    <t>Universal stress protein A-like protein OS=Arabidopsis thaliana GN=At3g01520 PE=1 SV=2</t>
  </si>
  <si>
    <t>40S ribosomal protein S19-1 OS=Arabidopsis thaliana GN=RPS19A PE=2 SV=1</t>
  </si>
  <si>
    <t>RING-H2 finger protein ATL54 OS=Arabidopsis thaliana GN=ATL54 PE=2 SV=2</t>
  </si>
  <si>
    <t>Retinoblastoma-related protein OS=Ricinus communis GN=RBR PE=2 SV=1</t>
  </si>
  <si>
    <t>Quinate permease OS=Neurospora crassa (strain ATCC 24698 / 74-OR23-1A / CBS 708.71 / DSM 1257 / FGSC 987) GN=qa-y PE=3 SV=2</t>
  </si>
  <si>
    <t>Neurospora crassa</t>
  </si>
  <si>
    <t>Photosystem II reaction center W protein, chloroplastic OS=Arabidopsis thaliana GN=PSBW PE=1 SV=2</t>
  </si>
  <si>
    <t>Protein ASPARTIC PROTEASE IN GUARD CELL 2 OS=Arabidopsis thaliana GN=ASPG2 PE=2 SV=1</t>
  </si>
  <si>
    <t>Glutamine synthetase OS=Gibberella fujikuroi GN=GLN1 PE=3 SV=1</t>
  </si>
  <si>
    <t>Gibberella fujikuroi</t>
  </si>
  <si>
    <t>(R)-mandelonitrile lyase 2 OS=Prunus serotina GN=MDL2 PE=2 SV=1</t>
  </si>
  <si>
    <t>Prunus serotina</t>
  </si>
  <si>
    <t>Serine/threonine-protein kinase AFC1 OS=Arabidopsis thaliana GN=AFC1 PE=2 SV=2</t>
  </si>
  <si>
    <t>Protein MEI2-like 1 OS=Arabidopsis thaliana GN=ML1 PE=1 SV=1</t>
  </si>
  <si>
    <t>Pentatricopeptide repeat-containing protein At4g18840 OS=Arabidopsis thaliana GN=PCMP-E101 PE=3 SV=2</t>
  </si>
  <si>
    <t>DEAD-box ATP-dependent RNA helicase 5 OS=Oryza sativa subsp. japonica GN=Os07g0301200 PE=2 SV=1</t>
  </si>
  <si>
    <t>ABC transporter B family member 15 OS=Arabidopsis thaliana GN=ABCB15 PE=3 SV=1</t>
  </si>
  <si>
    <t>1-acylglycerol-3-phosphate O-acyltransferase OS=Arabidopsis thaliana GN=At4g24160 PE=1 SV=1</t>
  </si>
  <si>
    <t>Cysteine-rich receptor-like protein kinase 26 OS=Arabidopsis thaliana GN=CRK26 PE=2 SV=1</t>
  </si>
  <si>
    <t>Probable pectinesterase 67 OS=Arabidopsis thaliana GN=PME67 PE=2 SV=1</t>
  </si>
  <si>
    <t>Expansin-A4 OS=Arabidopsis thaliana GN=EXPA4 PE=1 SV=1</t>
  </si>
  <si>
    <t>Bifunctional 3-dehydroquinate dehydratase/shikimate dehydrogenase, chloroplastic OS=Arabidopsis thaliana GN=EMB3004 PE=1 SV=1</t>
  </si>
  <si>
    <t>Probable disease resistance protein At4g27220 OS=Arabidopsis thaliana GN=At4g27220 PE=2 SV=1</t>
  </si>
  <si>
    <t>Disease resistance protein RPM1 OS=Arabidopsis thaliana GN=RPM1 PE=1 SV=1</t>
  </si>
  <si>
    <t>Pentatricopeptide repeat-containing protein At3g61520, mitochondrial OS=Arabidopsis thaliana GN=At3g61520 PE=2 SV=1</t>
  </si>
  <si>
    <t>DNA-directed RNA polymerase V subunit 1 OS=Arabidopsis thaliana GN=NRPE1 PE=1 SV=1</t>
  </si>
  <si>
    <t>Isochorismate synthase, chloroplastic OS=Catharanthus roseus PE=1 SV=1</t>
  </si>
  <si>
    <t>Catharanthus roseus</t>
  </si>
  <si>
    <t>Protein WALLS ARE THIN 1 OS=Arabidopsis thaliana GN=WAT1 PE=1 SV=1</t>
  </si>
  <si>
    <t>Protein EMBRYONIC FLOWER 1 OS=Arabidopsis thaliana GN=EMF1 PE=1 SV=1</t>
  </si>
  <si>
    <t>Coiled-coil domain-containing protein 25 OS=Pongo abelii GN=CCDC25 PE=2 SV=2</t>
  </si>
  <si>
    <t>DNA polymerase zeta catalytic subunit OS=Arabidopsis thaliana GN=REV3 PE=2 SV=1</t>
  </si>
  <si>
    <t>ABC transporter G family member 32 OS=Oryza sativa subsp. japonica GN=ABCG32 PE=2 SV=1</t>
  </si>
  <si>
    <t>Uncharacterized RNA-binding protein C660.15 OS=Schizosaccharomyces pombe (strain 972 / ATCC 24843) GN=SPBC660.15 PE=3 SV=1</t>
  </si>
  <si>
    <t>Schizosaccharomyces pombe</t>
  </si>
  <si>
    <t>Kinesin-13A OS=Arabidopsis thaliana GN=KINESIN-13A PE=1 SV=1</t>
  </si>
  <si>
    <t>BTB/POZ domain-containing protein At4g08455 OS=Arabidopsis thaliana GN=At4g08455 PE=1 SV=1</t>
  </si>
  <si>
    <t>AMP deaminase OS=Arabidopsis thaliana GN=AMPD PE=1 SV=2</t>
  </si>
  <si>
    <t>Probable LRR receptor-like serine/threonine-protein kinase At4g08850 OS=Arabidopsis thaliana GN=At4g08850 PE=2 SV=3</t>
  </si>
  <si>
    <t>Embryogenesis-associated protein EMB8 OS=Picea glauca GN=EMB8 PE=2 SV=1</t>
  </si>
  <si>
    <t>Picea glauca</t>
  </si>
  <si>
    <t>Putative receptor protein kinase CRINKLY4 OS=Zea mays GN=CR4 PE=2 SV=1</t>
  </si>
  <si>
    <t>Protein NRT1/ PTR FAMILY 5.7 OS=Arabidopsis thaliana GN=NPF5.7 PE=2 SV=2</t>
  </si>
  <si>
    <t>UDP-glycosyltransferase 74E2 OS=Arabidopsis thaliana GN=UGT74E2 PE=1 SV=1</t>
  </si>
  <si>
    <t>Proton-coupled amino acid transporter 4 OS=Xenopus laevis GN=slc36a4 PE=2 SV=1</t>
  </si>
  <si>
    <t>Xenopus laevis</t>
  </si>
  <si>
    <t>Myosin-binding protein 7 OS=Arabidopsis thaliana GN=MYOB7 PE=1 SV=1</t>
  </si>
  <si>
    <t>E3 ubiquitin-protein ligase PUB24 OS=Arabidopsis thaliana GN=PUB24 PE=1 SV=1</t>
  </si>
  <si>
    <t>Copia protein OS=Drosophila melanogaster GN=GIP PE=1 SV=3</t>
  </si>
  <si>
    <t>Type I inositol polyphosphate 5-phosphatase 8 OS=Arabidopsis thaliana GN=IP5P8 PE=2 SV=1</t>
  </si>
  <si>
    <t>ABC transporter B family member 5 OS=Arabidopsis thaliana GN=ABCB5 PE=3 SV=1</t>
  </si>
  <si>
    <t>Probable inactive purple acid phosphatase 2 OS=Arabidopsis thaliana GN=PAP2 PE=2 SV=1</t>
  </si>
  <si>
    <t>Probable 2-oxoglutarate-dependent dioxygenase AOP1.2 OS=Arabidopsis thaliana GN=AOP1.2 PE=2 SV=1</t>
  </si>
  <si>
    <t>Pentatricopeptide repeat-containing protein At1g05670, mitochondrial OS=Arabidopsis thaliana GN=At1g05670 PE=2 SV=1</t>
  </si>
  <si>
    <t>Probable pectin methyltransferase QUA2 OS=Arabidopsis thaliana GN=QUA2 PE=1 SV=2</t>
  </si>
  <si>
    <t>Probable carboxylesterase 18 OS=Arabidopsis thaliana GN=CXE18 PE=1 SV=1</t>
  </si>
  <si>
    <t>Probable UDP-N-acetylglucosamine--peptide N-acetylglucosaminyltransferase SEC OS=Arabidopsis thaliana GN=SEC PE=2 SV=1</t>
  </si>
  <si>
    <t>Fructose-bisphosphate aldolase cytoplasmic isozyme OS=Oryza sativa subsp. japonica GN=FBA PE=1 SV=2</t>
  </si>
  <si>
    <t>BTB/POZ domain-containing protein At5g48130 OS=Arabidopsis thaliana GN=At5g48130 PE=2 SV=1</t>
  </si>
  <si>
    <t>Probable L-type lectin-domain containing receptor kinase S.7 OS=Arabidopsis thaliana GN=LECRKS7 PE=2 SV=1</t>
  </si>
  <si>
    <t>Putative casein kinase II subunit beta-4 OS=Arabidopsis thaliana GN=At2g44680 PE=2 SV=1</t>
  </si>
  <si>
    <t>U4/U6 small nuclear ribonucleoprotein PRP4-like protein OS=Arabidopsis thaliana GN=EMB2776 PE=2 SV=1</t>
  </si>
  <si>
    <t>Serine/threonine-protein phosphatase 6 regulatory ankyrin repeat subunit B OS=Mus musculus GN=Ankrd44 PE=2 SV=1</t>
  </si>
  <si>
    <t>Apoptotic chromatin condensation inducer in the nucleus OS=Mus musculus GN=Acin1 PE=1 SV=3</t>
  </si>
  <si>
    <t>DNA-directed RNA polymerase 2, chloroplastic/mitochondrial OS=Nicotiana sylvestris GN=RPOT2 PE=2 SV=2</t>
  </si>
  <si>
    <t>Nicotiana sylvestris</t>
  </si>
  <si>
    <t>Calumenin OS=Mus musculus GN=Calu PE=1 SV=1</t>
  </si>
  <si>
    <t>Metal tolerance protein A2 OS=Arabidopsis thaliana GN=MTPA2 PE=2 SV=2</t>
  </si>
  <si>
    <t>Pleiotropic drug resistance protein 1 OS=Nicotiana tabacum GN=PDR1 PE=2 SV=1</t>
  </si>
  <si>
    <t>Serine carboxypeptidase-like 29 OS=Arabidopsis thaliana GN=SCPL29 PE=2 SV=1</t>
  </si>
  <si>
    <t>Putative Holliday junction resolvase OS=Anaeromyxobacter dehalogenans (strain 2CP-C) GN=Adeh_1232 PE=3 SV=1</t>
  </si>
  <si>
    <t>Anaeromyxobacter dehalogenans</t>
  </si>
  <si>
    <t>Pentatricopeptide repeat-containing protein At3g49730 OS=Arabidopsis thaliana GN=At3g49730 PE=2 SV=1</t>
  </si>
  <si>
    <t>Protein FAR1-RELATED SEQUENCE 6 OS=Arabidopsis thaliana GN=FRS6 PE=2 SV=1</t>
  </si>
  <si>
    <t>Folate-biopterin transporter 1, chloroplastic OS=Arabidopsis thaliana GN=At2g32040 PE=1 SV=2</t>
  </si>
  <si>
    <t>Inosine triphosphate pyrophosphatase OS=Sorghum bicolor GN=Sb01g020160 PE=2 SV=1</t>
  </si>
  <si>
    <t>Sorghum bicolor</t>
  </si>
  <si>
    <t>Chaperone protein DnaJ OS=Bradyrhizobium diazoefficiens (strain JCM 10833 / IAM 13628 / NBRC 14792 / USDA 110) GN=dnaJ PE=3 SV=1</t>
  </si>
  <si>
    <t>Isoeugenol synthase 1 OS=Petunia hybrida GN=IGS1 PE=1 SV=1</t>
  </si>
  <si>
    <t>Petunia hybrida</t>
  </si>
  <si>
    <t>U1 small nuclear ribonucleoprotein A OS=Arabidopsis thaliana GN=U1A PE=1 SV=1</t>
  </si>
  <si>
    <t>Probable transmembrane ascorbate ferrireductase 3 OS=Arabidopsis thaliana GN=CYB561C PE=2 SV=1</t>
  </si>
  <si>
    <t>Protein LONGIFOLIA 1 OS=Arabidopsis thaliana GN=LNG1 PE=1 SV=1</t>
  </si>
  <si>
    <t>Uncharacterized protein At4g22758 OS=Arabidopsis thaliana GN=At4g22758 PE=2 SV=1</t>
  </si>
  <si>
    <t>Beta-xylosidase/alpha-L-arabinofuranosidase 2 OS=Medicago sativa subsp. varia GN=Xyl2 PE=2 SV=1</t>
  </si>
  <si>
    <t>Medicago sativa</t>
  </si>
  <si>
    <t>Probable S-adenosylmethionine-dependent methyltransferase At5g38780 OS=Arabidopsis thaliana GN=At5g38780 PE=2 SV=1</t>
  </si>
  <si>
    <t>Protein EDS1L OS=Arabidopsis thaliana GN=EDS1 PE=1 SV=1</t>
  </si>
  <si>
    <t>Protein CLP1 homolog OS=Arabidopsis thaliana GN=CLPS3 PE=1 SV=1</t>
  </si>
  <si>
    <t>Pentatricopeptide repeat-containing protein At2g15690 OS=Arabidopsis thaliana GN=PCMP-H66 PE=2 SV=2</t>
  </si>
  <si>
    <t>GTP-binding nuclear protein Ran-3 OS=Arabidopsis thaliana GN=RAN3 PE=1 SV=2</t>
  </si>
  <si>
    <t>N-alpha-acetyltransferase 25, NatB auxiliary subunit OS=Mus musculus GN=Naa25 PE=2 SV=1</t>
  </si>
  <si>
    <t>CDT1-like protein a, chloroplastic OS=Arabidopsis thaliana GN=CDT1A PE=1 SV=1</t>
  </si>
  <si>
    <t>Coiled-coil domain-containing protein 124 OS=Bos taurus GN=CCDC124 PE=2 SV=1</t>
  </si>
  <si>
    <t>Probable magnesium transporter NIPA4 OS=Arabidopsis thaliana GN=At1g71900 PE=2 SV=1</t>
  </si>
  <si>
    <t>Pentatricopeptide repeat-containing protein At4g18520 OS=Arabidopsis thaliana GN=PCMP-A2 PE=2 SV=1</t>
  </si>
  <si>
    <t>TVP38/TMEM64 family membrane protein slr0305 OS=Synechocystis sp. (strain PCC 6803 / Kazusa) GN=slr0305 PE=3 SV=1</t>
  </si>
  <si>
    <t>Synechocystis sp.</t>
  </si>
  <si>
    <t>DnaJ homolog subfamily B member 5 OS=Mus musculus GN=Dnajb5 PE=2 SV=1</t>
  </si>
  <si>
    <t>F-box protein At2g32560 OS=Arabidopsis thaliana GN=At2g32560 PE=2 SV=1</t>
  </si>
  <si>
    <t>RNA polymerase sigma factor sigD, chloroplastic OS=Arabidopsis thaliana GN=SIGD PE=2 SV=1</t>
  </si>
  <si>
    <t>Protein Ycf2 OS=Morus indica GN=ycf2-A PE=3 SV=1</t>
  </si>
  <si>
    <t>Zinc finger CCCH domain-containing protein 6 OS=Arabidopsis thaliana GN=At1g19860 PE=2 SV=1</t>
  </si>
  <si>
    <t>Inactive leucine-rich repeat receptor-like serine/threonine-protein kinase At1g60630 OS=Arabidopsis thaliana GN=At1g60630 PE=2 SV=1</t>
  </si>
  <si>
    <t>Protein CHROMATIN REMODELING 4 OS=Arabidopsis thaliana GN=CHR4 PE=2 SV=1</t>
  </si>
  <si>
    <t>E3 ubiquitin-protein ligase SDIR1 OS=Arabidopsis thaliana GN=SDIR1 PE=1 SV=1</t>
  </si>
  <si>
    <t>WD repeat-containing protein 74 OS=Bos taurus GN=WDR74 PE=2 SV=1</t>
  </si>
  <si>
    <t>NHP2-like protein 1 OS=Xenopus tropicalis GN=nhp2l1 PE=2 SV=1</t>
  </si>
  <si>
    <t>Protein SCO1 homolog 1, mitochondrial OS=Arabidopsis thaliana GN=HCC1 PE=2 SV=1</t>
  </si>
  <si>
    <t>Ribulose bisphosphate carboxylase/oxygenase activase, chloroplastic OS=Malus domestica GN=RCA PE=2 SV=1</t>
  </si>
  <si>
    <t>Malus domestica</t>
  </si>
  <si>
    <t>Solute carrier family 40 member 2 OS=Arabidopsis thaliana GN=IREG2 PE=2 SV=1</t>
  </si>
  <si>
    <t>Hydroxyethylthiazole kinase OS=Arabidopsis thaliana GN=THIM PE=1 SV=1</t>
  </si>
  <si>
    <t>Cation/H(+) antiporter 18 OS=Arabidopsis thaliana GN=CHX18 PE=2 SV=1</t>
  </si>
  <si>
    <t>NPL4-like protein 2 OS=Arabidopsis thaliana GN=At2g47970 PE=1 SV=1</t>
  </si>
  <si>
    <t>Aspartic proteinase-like protein 2 OS=Arabidopsis thaliana GN=At1g65240 PE=1 SV=2</t>
  </si>
  <si>
    <t>UDP-glucose 6-dehydrogenase 1 OS=Glycine max GN=UGD1 PE=2 SV=1</t>
  </si>
  <si>
    <t>Homeobox-leucine zipper protein PROTODERMAL FACTOR 2 OS=Arabidopsis thaliana GN=PDF2 PE=2 SV=1</t>
  </si>
  <si>
    <t>Dolichyl-diphosphooligosaccharide--protein glycosyltransferase subunit 4A OS=Arabidopsis thaliana GN=OST4A PE=3 SV=1</t>
  </si>
  <si>
    <t>Protein POLYCHOME OS=Arabidopsis thaliana GN=PYM PE=1 SV=1</t>
  </si>
  <si>
    <t>39S ribosomal protein L46, mitochondrial OS=Mus musculus GN=Mrpl46 PE=1 SV=1</t>
  </si>
  <si>
    <t>Formin-like protein 20 OS=Arabidopsis thaliana GN=FH20 PE=2 SV=3</t>
  </si>
  <si>
    <t>Auxin response factor 4 OS=Arabidopsis thaliana GN=ARF4 PE=1 SV=1</t>
  </si>
  <si>
    <t>Villin-4 OS=Arabidopsis thaliana GN=VLN4 PE=1 SV=1</t>
  </si>
  <si>
    <t>DNA topoisomerase 3-beta OS=Arabidopsis thaliana GN=At2g32000 PE=2 SV=1</t>
  </si>
  <si>
    <t>Receptor-like kinase TMK4 OS=Arabidopsis thaliana GN=TMK4 PE=1 SV=1</t>
  </si>
  <si>
    <t>UDP-sulfoquinovose synthase, chloroplastic OS=Spinacia oleracea GN=SQD1 PE=1 SV=1</t>
  </si>
  <si>
    <t>F-box protein At1g47056 OS=Arabidopsis thaliana GN=At1g47056 PE=2 SV=1</t>
  </si>
  <si>
    <t>BTB/POZ domain-containing protein At1g04390 OS=Arabidopsis thaliana GN=At1g04390 PE=2 SV=3</t>
  </si>
  <si>
    <t>Putative disease resistance protein RGA1 OS=Solanum bulbocastanum GN=RGA1 PE=2 SV=2</t>
  </si>
  <si>
    <t>Solanum bulbocastanum</t>
  </si>
  <si>
    <t>Pentatricopeptide repeat-containing protein At3g02330 OS=Arabidopsis thaliana GN=PCMP-E90 PE=2 SV=2</t>
  </si>
  <si>
    <t>SNF2 domain-containing protein CLASSY 3 OS=Arabidopsis thaliana GN=CLSY3 PE=1 SV=1</t>
  </si>
  <si>
    <t>Protein SSUH2 homolog OS=Homo sapiens GN=SSUH2 PE=1 SV=1</t>
  </si>
  <si>
    <t>Arogenate dehydratase/prephenate dehydratase 6, chloroplastic OS=Arabidopsis thaliana GN=ADT6 PE=1 SV=1</t>
  </si>
  <si>
    <t>60S ribosomal protein L7-3 OS=Arabidopsis thaliana GN=RPL7C PE=2 SV=1</t>
  </si>
  <si>
    <t>Probable inactive leucine-rich repeat receptor-like protein kinase At3g03770 OS=Arabidopsis thaliana GN=At3g03770 PE=2 SV=1</t>
  </si>
  <si>
    <t>Uncharacterized WD repeat-containing protein C2A9.03 OS=Schizosaccharomyces pombe (strain 972 / ATCC 24843) GN=SPBC2A9.03 PE=3 SV=2</t>
  </si>
  <si>
    <t>Expansin-A1 OS=Arabidopsis thaliana GN=EXPA1 PE=2 SV=1</t>
  </si>
  <si>
    <t>Peptidyl-prolyl cis-trans isomerase PASTICCINO1 OS=Arabidopsis thaliana GN=PAS1 PE=1 SV=2</t>
  </si>
  <si>
    <t>Synaptotagmin-3 OS=Arabidopsis thaliana GN=SYT3 PE=2 SV=1</t>
  </si>
  <si>
    <t>Cyclase-associated protein 1 OS=Arabidopsis thaliana GN=CAP1 PE=2 SV=1</t>
  </si>
  <si>
    <t>4-hydroxy-3-methylbut-2-enyl diphosphate reductase, chloroplastic OS=Oryza sativa subsp. japonica GN=ISPH PE=2 SV=1</t>
  </si>
  <si>
    <t>Vacuolar protein sorting-associated protein 8 homolog OS=Mus musculus GN=Vps8 PE=2 SV=1</t>
  </si>
  <si>
    <t>Transient receptor potential cation channel subfamily A member 1 OS=Mus musculus GN=Trpa1 PE=1 SV=1</t>
  </si>
  <si>
    <t>Sn1-specific diacylglycerol lipase beta OS=Rattus norvegicus GN=Daglb PE=1 SV=1</t>
  </si>
  <si>
    <t>Uncharacterized GPI-anchored protein At4g28100 OS=Arabidopsis thaliana GN=At4g28100 PE=1 SV=1</t>
  </si>
  <si>
    <t>Omega-6 fatty acid desaturase, chloroplastic OS=Glycine max PE=2 SV=1</t>
  </si>
  <si>
    <t>Peroxisomal membrane protein PMP22 OS=Arabidopsis thaliana GN=PMP22 PE=1 SV=1</t>
  </si>
  <si>
    <t>Pentatricopeptide repeat-containing protein DOT4, chloroplastic OS=Arabidopsis thaliana GN=DOT4 PE=2 SV=1</t>
  </si>
  <si>
    <t>Uncharacterized methyltransferase At2g41040, chloroplastic OS=Arabidopsis thaliana GN=At2g41040 PE=2 SV=1</t>
  </si>
  <si>
    <t>Phospho-2-dehydro-3-deoxyheptonate aldolase 2, chloroplastic OS=Solanum lycopersicum PE=2 SV=1</t>
  </si>
  <si>
    <t>F-box protein SKIP2 OS=Arabidopsis thaliana GN=SKIP2 PE=1 SV=1</t>
  </si>
  <si>
    <t>Metal-nicotianamine transporter YSL3 OS=Arabidopsis thaliana GN=YSL3 PE=2 SV=1</t>
  </si>
  <si>
    <t>Caffeoylshikimate esterase OS=Arabidopsis thaliana GN=CSE PE=1 SV=1</t>
  </si>
  <si>
    <t>SWR1 complex subunit 2 OS=Arabidopsis thaliana GN=SWC2 PE=1 SV=1</t>
  </si>
  <si>
    <t>Early light-induced protein 1, chloroplastic OS=Arabidopsis thaliana GN=ELIP1 PE=1 SV=1</t>
  </si>
  <si>
    <t>E3 ubiquitin-protein ligase RMA1H1 OS=Capsicum annuum GN=RMA1H1 PE=1 SV=1</t>
  </si>
  <si>
    <t>Capsicum annuum</t>
  </si>
  <si>
    <t>Actin-1 OS=Oryza sativa subsp. japonica GN=ACT1 PE=2 SV=1</t>
  </si>
  <si>
    <t>Putative F-box protein At1g67623 OS=Arabidopsis thaliana GN=At1g67623 PE=3 SV=1</t>
  </si>
  <si>
    <t>Serine/threonine protein phosphatase 2A 57 kDa regulatory subunit B' iota isoform OS=Arabidopsis thaliana GN=B'IOTA PE=2 SV=1</t>
  </si>
  <si>
    <t>Protein SIEVE ELEMENT OCCLUSION A OS=Arabidopsis thaliana GN=SEOA PE=1 SV=1</t>
  </si>
  <si>
    <t>Thioredoxin-like 1-1, chloroplastic OS=Arabidopsis thaliana GN=At1g08570 PE=2 SV=1</t>
  </si>
  <si>
    <t>Membrane-anchored ubiquitin-fold protein 3 OS=Oryza sativa subsp. japonica GN=MUB3 PE=3 SV=1</t>
  </si>
  <si>
    <t>GATA transcription factor 24 OS=Arabidopsis thaliana GN=GATA24 PE=2 SV=2</t>
  </si>
  <si>
    <t>Pentatricopeptide repeat-containing protein At5g39680 OS=Arabidopsis thaliana GN=EMB2744 PE=1 SV=1</t>
  </si>
  <si>
    <t>Rac-like GTP-binding protein 3 OS=Oryza sativa subsp. japonica GN=RAC3 PE=2 SV=1</t>
  </si>
  <si>
    <t>Pollen-specific protein SF21 OS=Helianthus annuus GN=SF21 PE=2 SV=1</t>
  </si>
  <si>
    <t>Helianthus annuus</t>
  </si>
  <si>
    <t>Pentatricopeptide repeat-containing protein At2g01390 OS=Arabidopsis thaliana GN=At2g01390/At2g01380 PE=2 SV=2</t>
  </si>
  <si>
    <t>CAAX prenyl protease 2 OS=Arabidopsis thaliana GN=FACE2 PE=2 SV=2</t>
  </si>
  <si>
    <t>Pentatricopeptide repeat-containing protein At3g22690 OS=Arabidopsis thaliana GN=PCMP-H56 PE=2 SV=1</t>
  </si>
  <si>
    <t>RNA-directed DNA methylation 4 OS=Arabidopsis thaliana GN=RDM4 PE=1 SV=1</t>
  </si>
  <si>
    <t>Uncharacterized protein At4g15970 OS=Arabidopsis thaliana GN=At4g15970 PE=2 SV=1</t>
  </si>
  <si>
    <t>NADH dehydrogenase [ubiquinone] flavoprotein 1, mitochondrial OS=Arabidopsis thaliana GN=At5g08530 PE=2 SV=1</t>
  </si>
  <si>
    <t>Soluble inorganic pyrophosphatase 1 OS=Arabidopsis thaliana GN=PPA1 PE=1 SV=1</t>
  </si>
  <si>
    <t>Protein YLS9 OS=Arabidopsis thaliana GN=YLS9 PE=2 SV=1</t>
  </si>
  <si>
    <t>Putative pentatricopeptide repeat-containing protein At1g31840 OS=Arabidopsis thaliana GN=At1g31840 PE=2 SV=2</t>
  </si>
  <si>
    <t>Pentatricopeptide repeat-containing protein At1g09820 OS=Arabidopsis thaliana GN=At1g09820 PE=2 SV=1</t>
  </si>
  <si>
    <t>RNA-dependent RNA polymerase 1 OS=Arabidopsis thaliana GN=RDR1 PE=2 SV=1</t>
  </si>
  <si>
    <t>54S ribosomal protein L24, mitochondrial OS=Saccharomyces cerevisiae (strain ATCC 204508 / S288c) GN=MRPL24 PE=1 SV=2</t>
  </si>
  <si>
    <t>Ethylene-responsive transcription factor ERF095 OS=Arabidopsis thaliana GN=ERF095 PE=1 SV=1</t>
  </si>
  <si>
    <t>U-box domain-containing protein 43 OS=Arabidopsis thaliana GN=PUB43 PE=2 SV=1</t>
  </si>
  <si>
    <t>Alpha-mannosidase OS=Canavalia ensiformis PE=1 SV=1</t>
  </si>
  <si>
    <t>Canavalia ensiformis</t>
  </si>
  <si>
    <t>Signal recognition particle 54 kDa protein, chloroplastic OS=Arabidopsis thaliana GN=FFC PE=1 SV=1</t>
  </si>
  <si>
    <t>BTB/POZ domain-containing protein At1g21780 OS=Arabidopsis thaliana GN=At1g21780 PE=1 SV=1</t>
  </si>
  <si>
    <t>ACT domain-containing protein ACR10 OS=Arabidopsis thaliana GN=ACR10 PE=2 SV=1</t>
  </si>
  <si>
    <t>30S ribosomal protein S1, chloroplastic OS=Spinacia oleracea GN=RPS1 PE=1 SV=1</t>
  </si>
  <si>
    <t>Putative vacuolar protein sorting-associated protein 13A OS=Dictyostelium discoideum GN=vps13A PE=2 SV=1</t>
  </si>
  <si>
    <t>F-box/kelch-repeat protein At3g24760 OS=Arabidopsis thaliana GN=At3g24760 PE=2 SV=1</t>
  </si>
  <si>
    <t>NADH dehydrogenase [ubiquinone] iron-sulfur protein 2 OS=Nicotiana sylvestris GN=NAD7 PE=2 SV=1</t>
  </si>
  <si>
    <t>Beta-D-glucosyl crocetin beta-1,6-glucosyltransferase OS=Gardenia jasminoides GN=UGT94E5 PE=1 SV=1</t>
  </si>
  <si>
    <t>Gardenia jasminoides</t>
  </si>
  <si>
    <t>FACT complex subunit SPT16 OS=Arabidopsis thaliana GN=SPT16 PE=1 SV=1</t>
  </si>
  <si>
    <t>Pentatricopeptide repeat-containing protein At3g14580, mitochondrial OS=Arabidopsis thaliana GN=At3g14580 PE=2 SV=1</t>
  </si>
  <si>
    <t>Lys-63-specific deubiquitinase BRCC36 OS=Salmo salar GN=brcc3 PE=2 SV=1</t>
  </si>
  <si>
    <t>Salmo salar</t>
  </si>
  <si>
    <t>E3 ubiquitin-protein ligase PRT6 OS=Arabidopsis thaliana GN=PRT6 PE=2 SV=1</t>
  </si>
  <si>
    <t>Nudix hydrolase 13, mitochondrial OS=Arabidopsis thaliana GN=NUDT13 PE=1 SV=1</t>
  </si>
  <si>
    <t>ATPase ASNA1 homolog OS=Aedes aegypti GN=AAEL011136 PE=3 SV=1</t>
  </si>
  <si>
    <t>Aedes aegypti</t>
  </si>
  <si>
    <t>Thiosulfate/3-mercaptopyruvate sulfurtransferase 1, mitochondrial OS=Arabidopsis thaliana GN=STR1 PE=1 SV=1</t>
  </si>
  <si>
    <t>LRR receptor-like serine/threonine-protein kinase HSL2 OS=Arabidopsis thaliana GN=HSL2 PE=2 SV=1</t>
  </si>
  <si>
    <t>Receptor-like protein kinase FERONIA OS=Arabidopsis thaliana GN=FER PE=1 SV=1</t>
  </si>
  <si>
    <t>Protein REVEILLE 1 OS=Arabidopsis thaliana GN=RVE1 PE=2 SV=1</t>
  </si>
  <si>
    <t>Vacuolar iron transporter 1 OS=Arabidopsis thaliana GN=VIT1 PE=2 SV=1</t>
  </si>
  <si>
    <t>Uncharacterized protein At1g76660 OS=Arabidopsis thaliana GN=At1g76660 PE=2 SV=1</t>
  </si>
  <si>
    <t>Putative threonine aspartase OS=Arabidopsis thaliana GN=At4g00590 PE=2 SV=3</t>
  </si>
  <si>
    <t>Translation initiation factor IF-2 OS=Gluconobacter oxydans (strain 621H) GN=infB PE=3 SV=1</t>
  </si>
  <si>
    <t>Histone-lysine N-methyltransferase ASHR2 OS=Arabidopsis thaliana GN=ASHR2 PE=2 SV=3</t>
  </si>
  <si>
    <t>Autophagy-related protein 18g OS=Arabidopsis thaliana GN=ATG18G PE=2 SV=1</t>
  </si>
  <si>
    <t>Uricase-2 isozyme 2 OS=Canavalia lineata PE=2 SV=1</t>
  </si>
  <si>
    <t>Canavalia lineata</t>
  </si>
  <si>
    <t>Autophagy-related protein 13 OS=Debaryomyces hansenii (strain ATCC 36239 / CBS 767 / JCM 1990 / NBRC 0083 / IGC 2968) GN=ATG13 PE=3 SV=2</t>
  </si>
  <si>
    <t>Exonuclease 1 OS=Oryza sativa subsp. japonica GN=EXO1 PE=2 SV=1</t>
  </si>
  <si>
    <t>Bromodomain and PHD finger-containing protein 3 OS=Homo sapiens GN=BRPF3 PE=1 SV=2</t>
  </si>
  <si>
    <t>NADH dehydrogenase [ubiquinone] 1 beta subcomplex subunit 9 OS=Arabidopsis thaliana GN=CIB22 PE=1 SV=1</t>
  </si>
  <si>
    <t>Putative chromatin-remodeling complex ATPase chain OS=Arabidopsis thaliana GN=At3g06400 PE=2 SV=3</t>
  </si>
  <si>
    <t>NADH dehydrogenase [ubiquinone] iron-sulfur protein 8, mitochondrial OS=Solanum tuberosum PE=1 SV=2</t>
  </si>
  <si>
    <t>Uncharacterized protein C594.04c OS=Schizosaccharomyces pombe (strain 972 / ATCC 24843) GN=SPCC594.04c PE=3 SV=2</t>
  </si>
  <si>
    <t>Thioredoxin M4, chloroplastic OS=Arabidopsis thaliana GN=At3g15360 PE=2 SV=2</t>
  </si>
  <si>
    <t>Probable pre-mRNA-splicing factor ATP-dependent RNA helicase OS=Arabidopsis thaliana GN=At3g26560 PE=1 SV=2</t>
  </si>
  <si>
    <t>Ubiquitin carboxyl-terminal hydrolase 22 OS=Arabidopsis thaliana GN=UBP22 PE=2 SV=1</t>
  </si>
  <si>
    <t>Transmembrane 9 superfamily member 7 OS=Arabidopsis thaliana GN=TMN7 PE=2 SV=1</t>
  </si>
  <si>
    <t>Cytochrome P450 78A5 OS=Arabidopsis thaliana GN=CYP78A5 PE=2 SV=1</t>
  </si>
  <si>
    <t>60S ribosomal protein L37a OS=Oryza sativa subsp. japonica GN=Os01g0679700 PE=1 SV=1</t>
  </si>
  <si>
    <t>Pentatricopeptide repeat-containing protein At3g49170, chloroplastic OS=Arabidopsis thaliana GN=EMB2261 PE=2 SV=1</t>
  </si>
  <si>
    <t>Uncharacterized protein At1g15400 OS=Arabidopsis thaliana GN=At1g15400 PE=1 SV=2</t>
  </si>
  <si>
    <t>Alpha-amylase 3, chloroplastic OS=Arabidopsis thaliana GN=AMY3 PE=2 SV=1</t>
  </si>
  <si>
    <t>Equilibrative nucleotide transporter 3 OS=Arabidopsis thaliana GN=ENT3 PE=1 SV=1</t>
  </si>
  <si>
    <t>Probable folate-biopterin transporter 2 OS=Arabidopsis thaliana GN=At5g25050 PE=2 SV=1</t>
  </si>
  <si>
    <t>BRASSINOSTEROid INSENSITIVE 1-associated receptor kinase 1 OS=Arabidopsis thaliana GN=BAK1 PE=1 SV=2</t>
  </si>
  <si>
    <t>Monoacylglycerol lipase abhd6-A OS=Xenopus laevis GN=abhd6-a PE=2 SV=1</t>
  </si>
  <si>
    <t>Putative hydrolase C777.06c OS=Schizosaccharomyces pombe (strain 972 / ATCC 24843) GN=SPCC777.06c PE=4 SV=1</t>
  </si>
  <si>
    <t>Acyl-coenzyme A thioesterase 13 OS=Pongo abelii GN=ACOT13 PE=2 SV=1</t>
  </si>
  <si>
    <t>Probable methyltransferase PMT26 OS=Arabidopsis thaliana GN=At5g64030 PE=2 SV=1</t>
  </si>
  <si>
    <t>50S ribosomal protein L17 OS=Geobacter sulfurreducens (strain ATCC 51573 / DSM 12127 / PCA) GN=rplQ PE=3 SV=1</t>
  </si>
  <si>
    <t>Geobacter sulfurreducens</t>
  </si>
  <si>
    <t>IST1-like protein OS=Dictyostelium discoideum GN=DDB_G0289029 PE=3 SV=1</t>
  </si>
  <si>
    <t>WD and tetratricopeptide repeats protein 1 OS=Homo sapiens GN=WDTC1 PE=1 SV=2</t>
  </si>
  <si>
    <t>Synaptotagmin-1 OS=Arabidopsis thaliana GN=SYT1 PE=1 SV=2</t>
  </si>
  <si>
    <t>Heterogeneous nuclear ribonucleoprotein F OS=Macaca fascicularis GN=HNRNPF PE=2 SV=3</t>
  </si>
  <si>
    <t>Macaca fascicularis</t>
  </si>
  <si>
    <t>Adenylate kinase 4 OS=Oryza sativa subsp. japonica GN=ADK-B PE=2 SV=1</t>
  </si>
  <si>
    <t>Protein LAZ1 OS=Arabidopsis thaliana GN=LAZ1 PE=1 SV=1</t>
  </si>
  <si>
    <t>Calcineurin B-like protein 10 OS=Arabidopsis thaliana GN=CBL10 PE=1 SV=1</t>
  </si>
  <si>
    <t>Ribosomal RNA small subunit methyltransferase F OS=Thermus thermophilus (strain HB8 / ATCC 27634 / DSM 579) GN=rsmF PE=1 SV=1</t>
  </si>
  <si>
    <t>Thermus thermophilus</t>
  </si>
  <si>
    <t>Plasma membrane ATPase 1 OS=Solanum lycopersicum GN=LHA1 PE=2 SV=1</t>
  </si>
  <si>
    <t>Aldo-keto reductase family 4 member C10 OS=Arabidopsis thaliana GN=AKR4C10 PE=1 SV=1</t>
  </si>
  <si>
    <t>Probable carboxylesterase 2 OS=Arabidopsis thaliana GN=CXE2 PE=2 SV=1</t>
  </si>
  <si>
    <t>Actin-related protein 6 OS=Arabidopsis thaliana GN=ARP6 PE=1 SV=1</t>
  </si>
  <si>
    <t>ABC transporter B family member 25, mitochondrial OS=Arabidopsis thaliana GN=ABCB25 PE=1 SV=1</t>
  </si>
  <si>
    <t>Protein RFT1 homolog OS=Dictyostelium discoideum GN=rft1 PE=3 SV=1</t>
  </si>
  <si>
    <t>ABC transporter B family member 11 OS=Arabidopsis thaliana GN=ABCB11 PE=2 SV=1</t>
  </si>
  <si>
    <t>Tetraspanin-18 OS=Arabidopsis thaliana GN=TOM2AH2 PE=2 SV=1</t>
  </si>
  <si>
    <t>Probable phospholipid hydroperoxide glutathione peroxidase OS=Nicotiana sylvestris PE=2 SV=1</t>
  </si>
  <si>
    <t>Uncharacterized GPI-anchored protein At1g61900 OS=Arabidopsis thaliana GN=At1g61900 PE=1 SV=1</t>
  </si>
  <si>
    <t>10 kDa chaperonin OS=Arabidopsis thaliana GN=CPN10 PE=3 SV=1</t>
  </si>
  <si>
    <t>50S ribosomal protein 6, chloroplastic OS=Arabidopsis thaliana GN=PSRP6 PE=3 SV=1</t>
  </si>
  <si>
    <t>LRR receptor-like serine/threonine-protein kinase EFR OS=Arabidopsis thaliana GN=EFR PE=1 SV=1</t>
  </si>
  <si>
    <t>Uncharacterized protein ycf45 OS=Porphyra purpurea GN=ycf45 PE=3 SV=1</t>
  </si>
  <si>
    <t>Porphyra purpurea</t>
  </si>
  <si>
    <t>Telomere-binding protein 1 OS=Oryza sativa subsp. japonica GN=TBP1 PE=1 SV=2</t>
  </si>
  <si>
    <t>Dof zinc finger protein DOF5.7 OS=Arabidopsis thaliana GN=DOF5.7 PE=2 SV=1</t>
  </si>
  <si>
    <t>Probable RNA helicase SDE3 OS=Arabidopsis thaliana GN=SDE3 PE=1 SV=1</t>
  </si>
  <si>
    <t>Zinc finger CCCH domain-containing protein 7 OS=Arabidopsis thaliana GN=At1g21570 PE=1 SV=1</t>
  </si>
  <si>
    <t>6-hydroxynicotinate 3-monooxygenase OS=Pseudomonas fluorescens PE=1 SV=1</t>
  </si>
  <si>
    <t>Pseudomonas fluorescens</t>
  </si>
  <si>
    <t>50S ribosomal protein L20 OS=Rhodospirillum centenum (strain ATCC 51521 / SW) GN=rplT PE=3 SV=1</t>
  </si>
  <si>
    <t>Rhodospirillum centenum</t>
  </si>
  <si>
    <t>E3 ubiquitin-protein ligase MARCH2 OS=Danio rerio GN=march2 PE=2 SV=1</t>
  </si>
  <si>
    <t>Danio rerio</t>
  </si>
  <si>
    <t>Type I inositol polyphosphate 5-phosphatase 4 OS=Arabidopsis thaliana GN=IP5P4 PE=2 SV=1</t>
  </si>
  <si>
    <t>Proton pump-interactor 1 OS=Arabidopsis thaliana GN=PPI1 PE=1 SV=2</t>
  </si>
  <si>
    <t>Protein QUIRKY OS=Arabidopsis thaliana GN=QKY PE=2 SV=1</t>
  </si>
  <si>
    <t>Endoglucanase 8 OS=Arabidopsis thaliana GN=CEL1 PE=2 SV=1</t>
  </si>
  <si>
    <t>Eukaryotic translation initiation factor NCBP OS=Triticum aestivum GN=NCBP PE=2 SV=1</t>
  </si>
  <si>
    <t>Triticum aestivum</t>
  </si>
  <si>
    <t>Ubiquitin-NEDD8-like protein RUB2 OS=Oryza sativa subsp. japonica GN=RUB2 PE=2 SV=2</t>
  </si>
  <si>
    <t>Omega-amidase,chloroplastic OS=Arabidopsis thaliana GN=NLP3 PE=1 SV=1</t>
  </si>
  <si>
    <t>Telomere repeat-binding protein 3 OS=Arabidopsis thaliana GN=TRP3 PE=1 SV=1</t>
  </si>
  <si>
    <t>Pentatricopeptide repeat-containing protein At4g32430, mitochondrial OS=Arabidopsis thaliana GN=PCMP-E40 PE=2 SV=1</t>
  </si>
  <si>
    <t>Outer envelope pore protein 16-4, chloroplastic OS=Arabidopsis thaliana GN=OEP164 PE=2 SV=1</t>
  </si>
  <si>
    <t>Putative E3 ubiquitin-protein ligase RF298 OS=Arabidopsis thaliana GN=RF298 PE=2 SV=1</t>
  </si>
  <si>
    <t>Probable disease resistance protein At5g45490 OS=Arabidopsis thaliana GN=At5g45490 PE=2 SV=1</t>
  </si>
  <si>
    <t>Uncharacterized WD repeat-containing protein alr3466 OS=Nostoc sp. (strain PCC 7120 / UTEX 2576) GN=alr3466 PE=3 SV=1</t>
  </si>
  <si>
    <t>Nostoc sp.</t>
  </si>
  <si>
    <t>Protein STICHEL-like 2 OS=Arabidopsis thaliana GN=At4g24790 PE=2 SV=1</t>
  </si>
  <si>
    <t>Pentatricopeptide repeat-containing protein At5g61800 OS=Arabidopsis thaliana GN=PCMP-E8 PE=2 SV=1</t>
  </si>
  <si>
    <t>MLP-like protein 31 OS=Arabidopsis thaliana GN=MLP31 PE=2 SV=2</t>
  </si>
  <si>
    <t>Mediator of RNA polymerase II transcription subunit 33B OS=Arabidopsis thaliana GN=MED33B PE=1 SV=1</t>
  </si>
  <si>
    <t>Pentatricopeptide repeat-containing protein At5g39710 OS=Arabidopsis thaliana GN=EMB2745 PE=2 SV=1</t>
  </si>
  <si>
    <t>Ubiquitin carboxyl-terminal hydrolase 10 OS=Arabidopsis thaliana GN=UBP10 PE=2 SV=2</t>
  </si>
  <si>
    <t>Growth-regulating factor 8 OS=Arabidopsis thaliana GN=GRF8 PE=2 SV=1</t>
  </si>
  <si>
    <t>Dihydrolipoyl dehydrogenase 1, mitochondrial OS=Arabidopsis thaliana GN=LPD1 PE=1 SV=2</t>
  </si>
  <si>
    <t>Transcription factor bHLH94 OS=Arabidopsis thaliana GN=BHLH94 PE=2 SV=2</t>
  </si>
  <si>
    <t>Probable inorganic phosphate transporter 1-3 OS=Arabidopsis thaliana GN=PHT1-3 PE=2 SV=1</t>
  </si>
  <si>
    <t>Cytochrome b-c1 complex subunit Rieske-2, mitochondrial OS=Nicotiana tabacum PE=2 SV=1</t>
  </si>
  <si>
    <t>Glutathione S-transferase F9 OS=Arabidopsis thaliana GN=GSTF9 PE=1 SV=1</t>
  </si>
  <si>
    <t>Non-cyanogenic beta-glucosidase OS=Trifolium repens PE=1 SV=1</t>
  </si>
  <si>
    <t>Trifolium repens</t>
  </si>
  <si>
    <t>EPidERMAL PATTERNING FACTOR-like protein 6 OS=Arabidopsis thaliana GN=EPFL6 PE=1 SV=1</t>
  </si>
  <si>
    <t>Leucine-rich repeat receptor-like protein kinase TDR OS=Arabidopsis thaliana GN=TDR PE=1 SV=1</t>
  </si>
  <si>
    <t>Protein trichome birefringence-like 36 OS=Arabidopsis thaliana GN=TBL36 PE=2 SV=1</t>
  </si>
  <si>
    <t>Uncharacterized protein Mb2253c OS=Mycobacterium bovis (strain ATCC BAA-935 / AF2122/97) GN=Mb2253c PE=3 SV=1</t>
  </si>
  <si>
    <t>Mycobacterium bovis</t>
  </si>
  <si>
    <t>ADP-ribosylation factor-like protein 2 OS=Arabidopsis thaliana GN=ARL2 PE=2 SV=1</t>
  </si>
  <si>
    <t>RNA polymerase II C-terminal domain phosphatase-like 1 OS=Arabidopsis thaliana GN=CPL1 PE=1 SV=1</t>
  </si>
  <si>
    <t>Ras-related protein RABA1c OS=Arabidopsis thaliana GN=RABA1C PE=2 SV=1</t>
  </si>
  <si>
    <t>Coatomer subunit alpha-1 OS=Arabidopsis thaliana GN=At1g62020 PE=2 SV=2</t>
  </si>
  <si>
    <t>Probable serine/threonine-protein kinase At1g09600 OS=Arabidopsis thaliana GN=At1g09600 PE=3 SV=1</t>
  </si>
  <si>
    <t>60S ribosomal protein L3-1 OS=Arabidopsis thaliana GN=ARP1 PE=2 SV=5</t>
  </si>
  <si>
    <t>TBC1 domain family member 15 OS=Mus musculus GN=Tbc1d15 PE=1 SV=1</t>
  </si>
  <si>
    <t>Probable plastid-lipid-associated protein 7, chloroplastic OS=Arabidopsis thaliana GN=PAP7 PE=2 SV=1</t>
  </si>
  <si>
    <t>Geranylgeranyl transferase type-2 subunit beta OS=Homo sapiens GN=RABGGTB PE=1 SV=2</t>
  </si>
  <si>
    <t>BEL1-like homeodomain protein 11 OS=Arabidopsis thaliana GN=BLH11 PE=2 SV=1</t>
  </si>
  <si>
    <t>Putative pentatricopeptide repeat-containing protein At1g12700, mitochondrial OS=Arabidopsis thaliana GN=At1g12700 PE=3 SV=1</t>
  </si>
  <si>
    <t>Probable leucine-rich repeat receptor-like protein kinase At1g68400 OS=Arabidopsis thaliana GN=At1g68400 PE=2 SV=1</t>
  </si>
  <si>
    <t>Peroxisomal adenine nucleotide carrier 2 OS=Arabidopsis thaliana GN=PNC2 PE=1 SV=1</t>
  </si>
  <si>
    <t>Acyl-[acyl-carrier-protein] desaturase, chloroplastic OS=Ricinus communis PE=1 SV=1</t>
  </si>
  <si>
    <t>Potassium transporter 3 OS=Arabidopsis thaliana GN=POT3 PE=1 SV=1</t>
  </si>
  <si>
    <t>Wall-associated receptor kinase-like 8 OS=Arabidopsis thaliana GN=WAKL8 PE=2 SV=1</t>
  </si>
  <si>
    <t>Pentatricopeptide repeat-containing protein At4g21065 OS=Arabidopsis thaliana GN=PCMP-H28 PE=2 SV=2</t>
  </si>
  <si>
    <t>Sacsin OS=Homo sapiens GN=SACS PE=1 SV=2</t>
  </si>
  <si>
    <t>UDP-glucose flavonoid 3-O-glucosyltransferase 6 OS=Fragaria ananassa GN=GT6 PE=1 SV=1</t>
  </si>
  <si>
    <t>Glycerophosphodiester phosphodiesterase GDPDL6 OS=Arabidopsis thaliana GN=GDPDL6 PE=2 SV=1</t>
  </si>
  <si>
    <t>ABC transporter B family member 13 OS=Arabidopsis thaliana GN=ABCB13 PE=3 SV=1</t>
  </si>
  <si>
    <t>Uncharacterized aarF domain-containing protein kinase At4g31390, chloroplastic OS=Arabidopsis thaliana GN=At4g31390 PE=2 SV=1</t>
  </si>
  <si>
    <t>Serine/threonine-protein kinase ATR OS=Arabidopsis thaliana GN=ATR PE=2 SV=2</t>
  </si>
  <si>
    <t>VIN3-like protein 1 OS=Arabidopsis thaliana GN=VIL1 PE=1 SV=1</t>
  </si>
  <si>
    <t>(+)-neomenthol dehydrogenase OS=Arabidopsis thaliana GN=SDR1 PE=1 SV=1</t>
  </si>
  <si>
    <t>Folylpolyglutamate synthase OS=Arabidopsis thaliana GN=FPGS2 PE=1 SV=1</t>
  </si>
  <si>
    <t>Acyl-protein thioesterase 2 OS=Homo sapiens GN=LYPLA2 PE=1 SV=1</t>
  </si>
  <si>
    <t>Dehydration-responsive element-binding protein 2C OS=Arabidopsis thaliana GN=DREB2C PE=2 SV=2</t>
  </si>
  <si>
    <t>14-3-3-like protein GF14 kappa OS=Arabidopsis thaliana GN=GRF8 PE=1 SV=2</t>
  </si>
  <si>
    <t>NAC transcription factor NAM-1 OS=Hordeum vulgare var. distichum GN=NAM-1 PE=3 SV=1</t>
  </si>
  <si>
    <t>Hordeum vulgare</t>
  </si>
  <si>
    <t>Auxin-responsive protein SAUR32 OS=Arabidopsis thaliana GN=SAUR32 PE=2 SV=1</t>
  </si>
  <si>
    <t>F-box protein At2g27310 OS=Arabidopsis thaliana GN=At2g27310 PE=2 SV=1</t>
  </si>
  <si>
    <t>Probable polyol transporter 6 OS=Arabidopsis thaliana GN=PLT6 PE=2 SV=2</t>
  </si>
  <si>
    <t>Chaperone protein DnaJ OS=Wolinella succinogenes (strain ATCC 29543 / DSM 1740 / LMG 7466 / NCTC 11488 / FDC 602W) GN=dnaJ PE=3 SV=1</t>
  </si>
  <si>
    <t>Wolinella succinogenes</t>
  </si>
  <si>
    <t>Major oleosin NAP-II (Fragment) OS=Brassica napus PE=1 SV=1</t>
  </si>
  <si>
    <t>Brassica napus</t>
  </si>
  <si>
    <t>14 kDa proline-rich protein DC2.15 OS=Daucus carota PE=2 SV=1</t>
  </si>
  <si>
    <t>RING-H2 finger protein ATL8 OS=Arabidopsis thaliana GN=ATL8 PE=2 SV=2</t>
  </si>
  <si>
    <t>Probable mitochondrial chaperone bcs1 OS=Schizosaccharomyces pombe (strain 972 / ATCC 24843) GN=SPAC644.07 PE=2 SV=1</t>
  </si>
  <si>
    <t>Putative lipoyltransferase-like protein, chloroplastic OS=Arabidopsis thaliana GN=At1g47578 PE=3 SV=1</t>
  </si>
  <si>
    <t>NADH-ubiquinone oxidoreductase chain 6 OS=Arabidopsis thaliana GN=ND6 PE=2 SV=1</t>
  </si>
  <si>
    <t>Delta-1-pyrroline-5-carboxylate dehydrogenase 12A1, mitochondrial OS=Arabidopsis thaliana GN=ALDH12A1 PE=2 SV=1</t>
  </si>
  <si>
    <t>Polygalacturonase OS=Prunus persica PE=2 SV=1</t>
  </si>
  <si>
    <t>Prunus persica</t>
  </si>
  <si>
    <t>Probable protein phosphatase 2C 14 OS=Arabidopsis thaliana GN=At1g67820 PE=2 SV=2</t>
  </si>
  <si>
    <t>Mitochondrial adenine nucleotide transporter ADNT1 OS=Arabidopsis thaliana GN=ADNT1 PE=2 SV=1</t>
  </si>
  <si>
    <t>NAD(P)H-quinone oxidoreductase subunit 2 B, chloroplastic OS=Nicotiana tabacum GN=ndhB2 PE=2 SV=1</t>
  </si>
  <si>
    <t>Snakin-2 OS=Solanum tuberosum GN=SN2 PE=1 SV=1</t>
  </si>
  <si>
    <t>Folylpolyglutamate synthase OS=Arabidopsis thaliana GN=FPGS1 PE=1 SV=1</t>
  </si>
  <si>
    <t>Thaumatin-like protein OS=Arabidopsis thaliana GN=At1g18250 PE=2 SV=2</t>
  </si>
  <si>
    <t>Pentatricopeptide repeat-containing protein At1g18900 OS=Arabidopsis thaliana GN=At1g18900 PE=2 SV=1</t>
  </si>
  <si>
    <t>ABC transporter G family member 36 OS=Arabidopsis thaliana GN=ABCG36 PE=1 SV=1</t>
  </si>
  <si>
    <t>RNA-directed RNA polymerase OS=Apple chlorotic leaf spot virus (isolate plum P863) PE=3 SV=1</t>
  </si>
  <si>
    <t>Apple chlorotic</t>
  </si>
  <si>
    <t>Probable transcriptional regulator SLK2 OS=Arabidopsis thaliana GN=SLK2 PE=1 SV=1</t>
  </si>
  <si>
    <t>Probable aldo-keto reductase 1 OS=Glycine max GN=AKR1 PE=2 SV=1</t>
  </si>
  <si>
    <t>Scarecrow-like protein 14 OS=Arabidopsis thaliana GN=SCL14 PE=2 SV=2</t>
  </si>
  <si>
    <t>GDSL esterase/lipase 5 OS=Arabidopsis thaliana GN=GLIP5 PE=2 SV=2</t>
  </si>
  <si>
    <t>Mitogen-activated protein kinase kinase 9 OS=Arabidopsis thaliana GN=MKK9 PE=1 SV=1</t>
  </si>
  <si>
    <t>Acetyl-CoA carboxylase 1 OS=Arabidopsis thaliana GN=ACC1 PE=1 SV=1</t>
  </si>
  <si>
    <t>Serine/threonine-protein kinase CDL1 OS=Arabidopsis thaliana GN=CDL1 PE=1 SV=1</t>
  </si>
  <si>
    <t>Histone-lysine N-methyltransferase ASHH1 OS=Arabidopsis thaliana GN=ASHH1 PE=1 SV=1</t>
  </si>
  <si>
    <t>60S ribosomal protein L27-B OS=Saccharomyces cerevisiae (strain ATCC 204508 / S288c) GN=RPL27B PE=1 SV=1</t>
  </si>
  <si>
    <t>Heat shock cognate 70 kDa protein OS=Petunia hybrida GN=HSP70 PE=2 SV=1</t>
  </si>
  <si>
    <t>Beta-galactosidase 11 OS=Arabidopsis thaliana GN=BGAL11 PE=2 SV=1</t>
  </si>
  <si>
    <t>G-type lectin S-receptor-like serine/threonine-protein kinase RLK1 OS=Arabidopsis thaliana GN=RLK1 PE=2 SV=2</t>
  </si>
  <si>
    <t>V-type proton ATPase 16 kDa proteolipid subunit OS=Neurospora crassa (strain ATCC 24698 / 74-OR23-1A / CBS 708.71 / DSM 1257 / FGSC 987) GN=vma-3 PE=2 SV=1</t>
  </si>
  <si>
    <t>DNA (cytosine-5)-methyltransferase OS=Dictyostelium discoideum GN=dnmA PE=1 SV=1</t>
  </si>
  <si>
    <t>54S ribosomal protein L19, mitochondrial OS=Schizosaccharomyces pombe (strain 972 / ATCC 24843) GN=mrpl19 PE=3 SV=1</t>
  </si>
  <si>
    <t>Methyltransferase-like protein 13 OS=Danio rerio GN=mettl13 PE=2 SV=1</t>
  </si>
  <si>
    <t>Zinc finger MYND domain-containing protein 15 OS=Mus musculus GN=Zmynd15 PE=1 SV=1</t>
  </si>
  <si>
    <t>Scarecrow-like protein 8 OS=Arabidopsis thaliana GN=SCL8 PE=2 SV=1</t>
  </si>
  <si>
    <t>Uncharacterized protein At1g32220, chloroplastic OS=Arabidopsis thaliana GN=At1g32220 PE=2 SV=1</t>
  </si>
  <si>
    <t>Biotin synthase OS=Arabidopsis thaliana GN=BIO2 PE=2 SV=1</t>
  </si>
  <si>
    <t>Catalase isozyme 1 OS=Gossypium hirsutum GN=CAT1 PE=2 SV=2</t>
  </si>
  <si>
    <t>Gossypium hirsutum</t>
  </si>
  <si>
    <t>Trihelix transcription factor GT-1 OS=Arabidopsis thaliana GN=GT-1 PE=1 SV=1</t>
  </si>
  <si>
    <t>Pentatricopeptide repeat-containing protein At1g19720 OS=Arabidopsis thaliana GN=DYW7 PE=2 SV=1</t>
  </si>
  <si>
    <t>Probable disease resistance protein At5g66900 OS=Arabidopsis thaliana GN=At5g66900 PE=3 SV=1</t>
  </si>
  <si>
    <t>Protein CWC15 homolog OS=Xenopus tropicalis GN=cwc15 PE=2 SV=1</t>
  </si>
  <si>
    <t>Serine/arginine-rich splicing factor SC35 OS=Arabidopsis thaliana GN=SC35 PE=1 SV=1</t>
  </si>
  <si>
    <t>Repressor of RNA polymerase III transcription MAF1 homolog OS=Xenopus laevis GN=maf1 PE=2 SV=1</t>
  </si>
  <si>
    <t>40S ribosomal protein S12 OS=Hordeum vulgare GN=RPS12 PE=2 SV=1</t>
  </si>
  <si>
    <t>Plastid lipid-associated protein 3, chloroplastic OS=Brassica campestris GN=PAP3 PE=2 SV=1</t>
  </si>
  <si>
    <t>Brassica campestris</t>
  </si>
  <si>
    <t>Putative UDP-glucuronate:xylan alpha-glucuronosyltransferase 3 OS=Arabidopsis thaliana GN=GUX3 PE=2 SV=1</t>
  </si>
  <si>
    <t>Probable LRR receptor-like serine/threonine-protein kinase At3g47570 OS=Arabidopsis thaliana GN=At3g47570 PE=2 SV=1</t>
  </si>
  <si>
    <t>Caffeic acid 3-O-methyltransferase 1 OS=Populus tremuloides GN=OMT1 PE=1 SV=1</t>
  </si>
  <si>
    <t>Populus tremuloides</t>
  </si>
  <si>
    <t>Homeobox-leucine zipper protein HOX3 OS=Oryza sativa subsp. japonica GN=HOX3 PE=1 SV=1</t>
  </si>
  <si>
    <t>Uncharacterized membrane protein At3g27390 OS=Arabidopsis thaliana GN=At3g27390 PE=1 SV=2</t>
  </si>
  <si>
    <t>Protein transport protein SEC23 OS=Ustilago maydis (strain 521 / FGSC 9021) GN=SEC23 PE=3 SV=1</t>
  </si>
  <si>
    <t>Ustilago maydis</t>
  </si>
  <si>
    <t>Pyruvate decarboxylase 1 OS=Pisum sativum GN=PDC1 PE=2 SV=1</t>
  </si>
  <si>
    <t>Putative E3 ubiquitin-protein ligase LIN OS=Medicago truncatula GN=LIN PE=2 SV=1</t>
  </si>
  <si>
    <t>Vesicle-associated protein 1-2 OS=Arabidopsis thaliana GN=PVA12 PE=1 SV=1</t>
  </si>
  <si>
    <t>Heat shock cognate protein 80 OS=Solanum lycopersicum GN=HSC80 PE=2 SV=1</t>
  </si>
  <si>
    <t>Rho GDP-dissociation inhibitor 1 OS=Arabidopsis thaliana GN=GDI1 PE=1 SV=1</t>
  </si>
  <si>
    <t>Protein TONNEAU 1b OS=Arabidopsis thaliana GN=TON1B PE=1 SV=1</t>
  </si>
  <si>
    <t>Ethylene-responsive transcription factor RAP2-4 OS=Arabidopsis thaliana GN=RAP2-4 PE=1 SV=1</t>
  </si>
  <si>
    <t>Protein BONZAI 1 OS=Arabidopsis thaliana GN=BON1 PE=1 SV=2</t>
  </si>
  <si>
    <t>Bifunctional riboflavin kinase/FMN phosphatase OS=Arabidopsis thaliana GN=FHY PE=1 SV=1</t>
  </si>
  <si>
    <t>MATE efflux family protein 8 OS=Arabidopsis thaliana GN=DTXL4 PE=3 SV=2</t>
  </si>
  <si>
    <t>RNA replication polyprotein OS=Apple stem pitting virus (isolate PA66) GN=ORF1 PE=3 SV=1</t>
  </si>
  <si>
    <t>Apple stem</t>
  </si>
  <si>
    <t>Metalloendoproteinase 3-MMP OS=Arabidopsis thaliana GN=3MMP PE=1 SV=1</t>
  </si>
  <si>
    <t>Auxin-binding protein ABP20 OS=Prunus persica GN=ABP20 PE=2 SV=1</t>
  </si>
  <si>
    <t>LRR receptor-like serine/threonine-protein kinase GSO1 OS=Arabidopsis thaliana GN=GSO1 PE=2 SV=1</t>
  </si>
  <si>
    <t>Endo-1,3;1,4-beta-D-glucanase OS=Zea mays PE=1 SV=1</t>
  </si>
  <si>
    <t>DENN domain-containing protein 4C OS=Homo sapiens GN=DENND4C PE=1 SV=2</t>
  </si>
  <si>
    <t>MADS-box transcription factor 8 OS=Oryza sativa subsp. japonica GN=MADS8 PE=1 SV=1</t>
  </si>
  <si>
    <t>WAT1-related protein At1g43650 OS=Arabidopsis thaliana GN=At1g43650 PE=2 SV=1</t>
  </si>
  <si>
    <t>Potassium transporter 5 OS=Oryza sativa subsp. japonica GN=HAK5 PE=2 SV=2</t>
  </si>
  <si>
    <t>Pentatricopeptide repeat-containing protein At3g21470 OS=Arabidopsis thaliana GN=PCMP-E29 PE=2 SV=1</t>
  </si>
  <si>
    <t>UPF0503 protein At3g09070, chloroplastic OS=Arabidopsis thaliana GN=At3g09070 PE=1 SV=1</t>
  </si>
  <si>
    <t>BTB/POZ domain-containing protein NPY2 OS=Arabidopsis thaliana GN=NPY2 PE=2 SV=1</t>
  </si>
  <si>
    <t>Major pollen allergen Pla l 1 OS=Plantago lanceolata PE=1 SV=2</t>
  </si>
  <si>
    <t>Plantago lanceolata</t>
  </si>
  <si>
    <t>Glycerol-3-phosphate dehydrogenase [NAD(+)] 2, chloroplastic OS=Arabidopsis thaliana GN=GLY1 PE=1 SV=1</t>
  </si>
  <si>
    <t>BTB/POZ domain-containing protein At5g60050 OS=Arabidopsis thaliana GN=At5g60050 PE=2 SV=1</t>
  </si>
  <si>
    <t>Pentatricopeptide repeat-containing protein At4g39952, mitochondrial OS=Arabidopsis thaliana GN=PCMP-E98 PE=2 SV=2</t>
  </si>
  <si>
    <t>Uncharacterized RNA pseudouridine synthase aq_1464 OS=Aquifex aeolicus (strain VF5) GN=aq_1464 PE=3 SV=1</t>
  </si>
  <si>
    <t>Aquifex aeolicus</t>
  </si>
  <si>
    <t>Pentatricopeptide repeat-containing protein At3g48250, chloroplastic OS=Arabidopsis thaliana GN=At3g48250 PE=2 SV=1</t>
  </si>
  <si>
    <t>Probable inactive receptor kinase At5g10020 OS=Arabidopsis thaliana GN=At5g10020 PE=1 SV=2</t>
  </si>
  <si>
    <t>Ribulose bisphosphate carboxylase/oxygenase activase, chloroplastic OS=Zea mays GN=RCA1 PE=2 SV=3</t>
  </si>
  <si>
    <t>MADS-box protein SOC1 OS=Arabidopsis thaliana GN=SOC1 PE=1 SV=1</t>
  </si>
  <si>
    <t>60S ribosomal protein L18a-like protein OS=Arabidopsis thaliana GN=At1g29970 PE=2 SV=2</t>
  </si>
  <si>
    <t>Cell division cycle protein 27 homolog B OS=Arabidopsis thaliana GN=CDC27B PE=1 SV=1</t>
  </si>
  <si>
    <t>Biotin carboxyl carrier protein of acetyl-CoA carboxylase OS=Nostoc sp. (strain PCC 7120 / UTEX 2576) GN=accB PE=1 SV=2</t>
  </si>
  <si>
    <t>60S ribosomal protein L32-1 OS=Arabidopsis thaliana GN=RPL32A PE=2 SV=2</t>
  </si>
  <si>
    <t>Phospholipid--sterol O-acyltransferase OS=Arabidopsis thaliana GN=PSAT PE=2 SV=2</t>
  </si>
  <si>
    <t>NAC domain-containing protein 17 OS=Arabidopsis thaliana GN=NAC017 PE=2 SV=1</t>
  </si>
  <si>
    <t>Protein indeterminate-domain 5, chloroplastic OS=Arabidopsis thaliana GN=idD5 PE=1 SV=1</t>
  </si>
  <si>
    <t>Cysteine-rich receptor-like protein kinase 42 OS=Arabidopsis thaliana GN=CRK42 PE=2 SV=1</t>
  </si>
  <si>
    <t>F-box/LRR-repeat protein 4 OS=Arabidopsis thaliana GN=FBL4 PE=2 SV=1</t>
  </si>
  <si>
    <t>WEB family protein At5g55860 OS=Arabidopsis thaliana GN=At5g55860 PE=1 SV=1</t>
  </si>
  <si>
    <t>Dynamin-related protein 5A OS=Arabidopsis thaliana GN=DRP5A PE=2 SV=1</t>
  </si>
  <si>
    <t>Pantoate--beta-alanine ligase OS=Lotus japonicus GN=PANC PE=1 SV=3</t>
  </si>
  <si>
    <t>Lotus japonicus</t>
  </si>
  <si>
    <t>Glycine-rich RNA-binding protein 4, mitochondrial OS=Arabidopsis thaliana GN=RBG4 PE=2 SV=1</t>
  </si>
  <si>
    <t>Vicilin-like antimicrobial peptides 2-1 OS=Macadamia integrifolia GN=AMP2-1 PE=2 SV=1</t>
  </si>
  <si>
    <t>Macadamia integrifolia</t>
  </si>
  <si>
    <t>F-box/LRR-repeat protein At3g48880 OS=Arabidopsis thaliana GN=At3g48880 PE=2 SV=1</t>
  </si>
  <si>
    <t>Heparan-alpha-glucosaminide N-acetyltransferase OS=Mus musculus GN=Hgsnat PE=1 SV=2</t>
  </si>
  <si>
    <t>E3 ubiquitin-protein ligase UPL5 OS=Arabidopsis thaliana GN=UPL5 PE=1 SV=1</t>
  </si>
  <si>
    <t>Leucoanthocyanidin reductase OS=Desmodium uncinatum GN=LAR PE=1 SV=1</t>
  </si>
  <si>
    <t>Desmodium uncinatum</t>
  </si>
  <si>
    <t>Mediator of RNA polymerase II transcription subunit 16 OS=Arabidopsis thaliana GN=MED16 PE=1 SV=1</t>
  </si>
  <si>
    <t>RING-H2 finger protein ATL46 OS=Arabidopsis thaliana GN=ATL46 PE=2 SV=1</t>
  </si>
  <si>
    <t>Dynamin-related protein 1E OS=Arabidopsis thaliana GN=DRP1E PE=1 SV=1</t>
  </si>
  <si>
    <t>Uncharacterized protein C9orf78 homolog OS=Mus musculus PE=1 SV=2</t>
  </si>
  <si>
    <t>Probable sucrose-phosphate synthase 2 OS=Craterostigma plantagineum GN=SPS2 PE=2 SV=1</t>
  </si>
  <si>
    <t>Craterostigma plantagineum</t>
  </si>
  <si>
    <t>Probable serine/threonine-protein kinase WNK4 OS=Arabidopsis thaliana GN=WNK4 PE=1 SV=1</t>
  </si>
  <si>
    <t>BEL1-like homeodomain protein 1 OS=Arabidopsis thaliana GN=BLH1 PE=1 SV=1</t>
  </si>
  <si>
    <t>BAHD acyltransferase At5g47980 OS=Arabidopsis thaliana GN=BAHD1 PE=2 SV=1</t>
  </si>
  <si>
    <t>2'-deoxymugineic-acid 2'-dioxygenase OS=Hordeum vulgare GN=idS3 PE=1 SV=3</t>
  </si>
  <si>
    <t>Uncharacterized protein C683.02c OS=Schizosaccharomyces pombe (strain 972 / ATCC 24843) GN=SPAC683.02c PE=3 SV=1</t>
  </si>
  <si>
    <t>Probable methyltransferase PMT7 OS=Arabidopsis thaliana GN=At5g04060 PE=2 SV=1</t>
  </si>
  <si>
    <t>Long-chain-alcohol oxidase FAO1 OS=Lotus japonicus GN=FAO1 PE=1 SV=1</t>
  </si>
  <si>
    <t>CBS domain-containing protein CBSX3, mitochondrial OS=Arabidopsis thaliana GN=CBSX3 PE=1 SV=1</t>
  </si>
  <si>
    <t>Aminoacyl tRNA synthase complex-interacting multifunctional protein 1 OS=Cricetulus griseus GN=AIMP1 PE=2 SV=1</t>
  </si>
  <si>
    <t>Cricetulus griseus</t>
  </si>
  <si>
    <t>G-type lectin S-receptor-like serine/threonine-protein kinase SD2-2 OS=Arabidopsis thaliana GN=SD22 PE=1 SV=1</t>
  </si>
  <si>
    <t>Inorganic pyrophosphatase 2 OS=Arabidopsis thaliana GN=At1g17710 PE=2 SV=1</t>
  </si>
  <si>
    <t>Protein CTR9 homolog OS=Arabidopsis thaliana GN=VIP6 PE=1 SV=1</t>
  </si>
  <si>
    <t>Protein FAR1-RELATED SEQUENCE 5 OS=Arabidopsis thaliana GN=FRS5 PE=2 SV=1</t>
  </si>
  <si>
    <t>Isopentenyl phosphate kinase OS=Methanothermobacter thermautotrophicus (strain ATCC 29096 / DSM 1053 / JCM 10044 / NBRC 100330 / Delta H) GN=MTH_47 PE=1 SV=1</t>
  </si>
  <si>
    <t>Methanothermobacter thermautotrophicus</t>
  </si>
  <si>
    <t>Uncharacterized oxidoreductase At4g09670 OS=Arabidopsis thaliana GN=At4g09670 PE=1 SV=1</t>
  </si>
  <si>
    <t>Probable choline kinase 1 OS=Arabidopsis thaliana GN=CK1 PE=2 SV=1</t>
  </si>
  <si>
    <t>Replication protein A 32 kDa subunit B OS=Arabidopsis thaliana GN=RPA2B PE=2 SV=1</t>
  </si>
  <si>
    <t>ATP-dependent Clp protease ATP-binding subunit ClpX OS=Aquifex aeolicus (strain VF5) GN=clpX PE=3 SV=1</t>
  </si>
  <si>
    <t>Endoplasmin homolog OS=Hordeum vulgare PE=2 SV=1</t>
  </si>
  <si>
    <t>Ankyrin-2 OS=Mus musculus GN=Ank2 PE=1 SV=2</t>
  </si>
  <si>
    <t>Probable prolyl 4-hydroxylase 10 OS=Arabidopsis thaliana GN=P4H10 PE=2 SV=1</t>
  </si>
  <si>
    <t>Glucose-1-phosphate adenylyltransferase large subunit 2, chloroplastic OS=Arabidopsis thaliana GN=APL2 PE=2 SV=2</t>
  </si>
  <si>
    <t>Uncharacterized acetyltransferase At3g50280 OS=Arabidopsis thaliana GN=At3g50280 PE=3 SV=1</t>
  </si>
  <si>
    <t>Glucose-1-phosphate adenylyltransferase large subunit 1 (Fragment) OS=Solanum tuberosum GN=AGPS1 PE=2 SV=1</t>
  </si>
  <si>
    <t>Exocyst complex component SEC10 OS=Arabidopsis thaliana GN=SEC10 PE=1 SV=2</t>
  </si>
  <si>
    <t>Uncharacterized protein At5g23160 OS=Arabidopsis thaliana GN=At5g23160 PE=2 SV=1</t>
  </si>
  <si>
    <t>Ubiquitin-conjugating enzyme E2 4 OS=Arabidopsis thaliana GN=UBC4 PE=2 SV=2</t>
  </si>
  <si>
    <t>40S ribosomal protein S15 OS=Oryza sativa subsp. japonica GN=RPS15 PE=2 SV=2</t>
  </si>
  <si>
    <t>Disease resistance protein RGA2 OS=Solanum bulbocastanum GN=RGA2 PE=1 SV=1</t>
  </si>
  <si>
    <t>Transcription factor WER OS=Arabidopsis thaliana GN=WER PE=1 SV=1</t>
  </si>
  <si>
    <t>7-deoxyloganetin glucosyltransferase OS=Gardenia jasminoides GN=UGT85A24 PE=1 SV=1</t>
  </si>
  <si>
    <t>Bet1-like SNARE 1-1 OS=Arabidopsis thaliana GN=BET11 PE=1 SV=1</t>
  </si>
  <si>
    <t>Abscisic acid receptor PYL9 OS=Arabidopsis thaliana GN=PYL9 PE=1 SV=1</t>
  </si>
  <si>
    <t>MLO-like protein 4 OS=Arabidopsis thaliana GN=MLO4 PE=2 SV=2</t>
  </si>
  <si>
    <t>F-box protein At5g46170 OS=Arabidopsis thaliana GN=At5g46170 PE=2 SV=1</t>
  </si>
  <si>
    <t>Callose synthase 5 OS=Arabidopsis thaliana GN=CALS5 PE=1 SV=1</t>
  </si>
  <si>
    <t>tRNA (adenine(58)-N(1))-methyltransferase non-catalytic subunit trm6 OS=Dictyostelium discoideum GN=trmt6 PE=3 SV=1</t>
  </si>
  <si>
    <t>Dof zinc finger protein DOF1.5 OS=Arabidopsis thaliana GN=DOF1.5 PE=1 SV=1</t>
  </si>
  <si>
    <t>SEC12-like protein 2 OS=Arabidopsis thaliana GN=STL2P PE=1 SV=4</t>
  </si>
  <si>
    <t>Glycylpeptide N-tetradecanoyltransferase 1 OS=Arabidopsis thaliana GN=NMT1 PE=1 SV=2</t>
  </si>
  <si>
    <t>Egg cell-secreted protein 1.2 OS=Arabidopsis thaliana GN=EC1.2 PE=2 SV=1</t>
  </si>
  <si>
    <t>Glutathione S-transferase T3 OS=Arabidopsis thaliana GN=GSTT3 PE=2 SV=1</t>
  </si>
  <si>
    <t>ATP-dependent zinc metalloprotease FTSH 6, chloroplastic OS=Arabidopsis thaliana GN=FTSH6 PE=2 SV=1</t>
  </si>
  <si>
    <t>SPX domain-containing protein 1 OS=Arabidopsis thaliana GN=SPX1 PE=2 SV=2</t>
  </si>
  <si>
    <t>TITAN-like protein OS=Arabidopsis thaliana GN=TTL PE=2 SV=1</t>
  </si>
  <si>
    <t>Methylglutaconyl-CoA hydratase, mitochondrial OS=Homo sapiens GN=AUH PE=1 SV=1</t>
  </si>
  <si>
    <t>40S ribosomal protein S5 (Fragment) OS=Cicer arietinum GN=RPS5 PE=2 SV=1</t>
  </si>
  <si>
    <t>Cicer arietinum</t>
  </si>
  <si>
    <t>DNA polymerase kappa OS=Caenorhabditis elegans GN=polk-1 PE=3 SV=3</t>
  </si>
  <si>
    <t>UNC93-like protein 3 OS=Arabidopsis thaliana GN=At3g09470 PE=2 SV=1</t>
  </si>
  <si>
    <t>RNA-binding protein 39 OS=Pongo abelii GN=RBM39 PE=2 SV=1</t>
  </si>
  <si>
    <t>THUMP domain-containing protein 1 homolog OS=Drosophila melanogaster GN=CG15014 PE=1 SV=2</t>
  </si>
  <si>
    <t>Putative sodium-coupled neutral amino acid transporter 10 OS=Mus musculus GN=Slc38a10 PE=2 SV=2</t>
  </si>
  <si>
    <t>Transcription factor bHLH128 OS=Arabidopsis thaliana GN=BHLH128 PE=1 SV=1</t>
  </si>
  <si>
    <t>Probable ubiquitin-like-specific protease 2B OS=Arabidopsis thaliana GN=ULP2B PE=1 SV=3</t>
  </si>
  <si>
    <t>Golgin candidate 2 OS=Arabidopsis thaliana GN=GC2 PE=1 SV=1</t>
  </si>
  <si>
    <t>Probable leucine-rich repeat receptor-like serine/threonine-protein kinase At3g14840 OS=Arabidopsis thaliana GN=LRR-RLK PE=2 SV=1</t>
  </si>
  <si>
    <t>DNA-directed RNA polymerase subunit beta OS=Nicotiana tomentosiformis GN=rpoB PE=3 SV=1</t>
  </si>
  <si>
    <t>Nicotiana tomentosiformis</t>
  </si>
  <si>
    <t>Polyadenylate-binding protein RBP45C OS=Arabidopsis thaliana GN=RBP45C PE=2 SV=1</t>
  </si>
  <si>
    <t>Probable carotenoid cleavage dioxygenase 4, chloroplastic OS=Arabidopsis thaliana GN=CCD4 PE=1 SV=1</t>
  </si>
  <si>
    <t>F-box protein At5g03970 OS=Arabidopsis thaliana GN=At5g03970 PE=2 SV=1</t>
  </si>
  <si>
    <t>UPF0496 protein 4 OS=Oryza sativa subsp. japonica GN=Os10g0513300 PE=2 SV=1</t>
  </si>
  <si>
    <t>Bifunctional epoxide hydrolase 2 OS=Homo sapiens GN=EPHX2 PE=1 SV=2</t>
  </si>
  <si>
    <t>BES1/BZR1 homolog protein 3 OS=Arabidopsis thaliana GN=BEH3 PE=1 SV=1</t>
  </si>
  <si>
    <t>Metacaspase-1 OS=Arabidopsis thaliana GN=AMC1 PE=1 SV=1</t>
  </si>
  <si>
    <t>Probable protein phosphatase 2C 59 OS=Arabidopsis thaliana GN=WIN2 PE=1 SV=1</t>
  </si>
  <si>
    <t>Purple acid phosphatase 23 OS=Arabidopsis thaliana GN=PAP23 PE=1 SV=2</t>
  </si>
  <si>
    <t>Mitochondrial arginine transporter BAC1 OS=Arabidopsis thaliana GN=BAC1 PE=1 SV=1</t>
  </si>
  <si>
    <t>Probable ADP,ATP carrier protein At5g56450 OS=Arabidopsis thaliana GN=At5g56450 PE=2 SV=1</t>
  </si>
  <si>
    <t>Auxin response factor 17 OS=Arabidopsis thaliana GN=ARF17 PE=2 SV=1</t>
  </si>
  <si>
    <t>Serine/threonine-protein kinase At5g01020 OS=Arabidopsis thaliana GN=At5g01020 PE=1 SV=1</t>
  </si>
  <si>
    <t>Phospholipid-transporting ATPase 1 OS=Arabidopsis thaliana GN=ALA1 PE=2 SV=1</t>
  </si>
  <si>
    <t>Dirigent protein 23 OS=Arabidopsis thaliana GN=DIR23 PE=2 SV=1</t>
  </si>
  <si>
    <t>Polyadenylate-binding protein-interacting protein 9 OS=Arabidopsis thaliana GN=Cid9 PE=3 SV=1</t>
  </si>
  <si>
    <t>Transcription factor GTE6 OS=Arabidopsis thaliana GN=GTE6 PE=2 SV=1</t>
  </si>
  <si>
    <t>Probable E3 ubiquitin-protein ligase ARI8 OS=Arabidopsis thaliana GN=ARI8 PE=2 SV=1</t>
  </si>
  <si>
    <t>Sister chromatid cohesion 1 protein 2 OS=Arabidopsis thaliana GN=SYN2 PE=2 SV=2</t>
  </si>
  <si>
    <t>Protein cornichon homolog 1 OS=Arabidopsis thaliana GN=At3g12180 PE=2 SV=1</t>
  </si>
  <si>
    <t>Lipoamide acyltransferase component of branched-chain alpha-keto acid dehydrogenase complex, mitochondrial OS=Arabidopsis thaliana GN=BCE2 PE=1 SV=1</t>
  </si>
  <si>
    <t>GEM-like protein 1 OS=Arabidopsis thaliana GN=FIP1 PE=1 SV=1</t>
  </si>
  <si>
    <t>Steroid 5-alpha-reductase DET2 OS=Gossypium hirsutum GN=DET2 PE=1 SV=1</t>
  </si>
  <si>
    <t>Tryptophan aminotransferase-related protein 2 OS=Arabidopsis thaliana GN=TAR2 PE=2 SV=1</t>
  </si>
  <si>
    <t>VHS domain-containing protein At3g16270 OS=Arabidopsis thaliana GN=At3g16270 PE=1 SV=1</t>
  </si>
  <si>
    <t>Putative transcription factor bHLH107 OS=Arabidopsis thaliana GN=BHLH107 PE=2 SV=1</t>
  </si>
  <si>
    <t>Histidine kinase 2 OS=Arabidopsis thaliana GN=AHK2 PE=1 SV=1</t>
  </si>
  <si>
    <t>LIM domain-containing protein WLIM2b OS=Arabidopsis thaliana GN=WLIM2B PE=1 SV=1</t>
  </si>
  <si>
    <t>CDP-diacylglycerol--inositol 3-phosphatidyltransferase 1 OS=Arabidopsis thaliana GN=PIS1 PE=1 SV=2</t>
  </si>
  <si>
    <t>CMP-N-acetylneuraminate-poly-alpha-2,8-sialyltransferase OS=Pan troglodytes GN=ST8SIA4 PE=2 SV=1</t>
  </si>
  <si>
    <t>Pan troglodytes</t>
  </si>
  <si>
    <t>Cyclin-D4-2 OS=Arabidopsis thaliana GN=CYCD4-2 PE=1 SV=2</t>
  </si>
  <si>
    <t>LysM domain-containing GPI-anchored protein 2 OS=Arabidopsis thaliana GN=LYM2 PE=1 SV=1</t>
  </si>
  <si>
    <t>Putative beta-glucosidase 41 OS=Arabidopsis thaliana GN=BGLU41 PE=3 SV=2</t>
  </si>
  <si>
    <t>Peroxiredoxin-2F, mitochondrial OS=Arabidopsis thaliana GN=PRXIIF PE=1 SV=2</t>
  </si>
  <si>
    <t>Molybdate-anion transporter OS=Homo sapiens GN=MFSD5 PE=1 SV=2</t>
  </si>
  <si>
    <t>Protein PHOTOPERIOD-INDEPENDENT EARLY FLOWERING 1 OS=Arabidopsis thaliana GN=PIE1 PE=1 SV=1</t>
  </si>
  <si>
    <t>Cell number regulator 6 OS=Zea mays GN=CNR6 PE=2 SV=1</t>
  </si>
  <si>
    <t>Probable disease resistance protein RDL5 OS=Arabidopsis thaliana GN=RDL5 PE=1 SV=1</t>
  </si>
  <si>
    <t>Protein HUA ENHANCER 2 OS=Arabidopsis thaliana GN=HEN2 PE=1 SV=2</t>
  </si>
  <si>
    <t>Aspartic proteinase-like protein 1 OS=Arabidopsis thaliana GN=At5g10080 PE=1 SV=1</t>
  </si>
  <si>
    <t>Transcription initiation factor IIF subunit alpha OS=Arabidopsis thaliana GN=RAP74 PE=1 SV=1</t>
  </si>
  <si>
    <t>RNA polymerase II transcriptional coactivator KELP OS=Arabidopsis thaliana GN=KELP PE=1 SV=1</t>
  </si>
  <si>
    <t>Transcription factor HBP-1b(c1) (Fragment) OS=Triticum aestivum PE=1 SV=2</t>
  </si>
  <si>
    <t>FAD synthetase 2, chloroplastic OS=Arabidopsis thaliana GN=RIBF2 PE=1 SV=1</t>
  </si>
  <si>
    <t>Cation/calcium exchanger 5 OS=Arabidopsis thaliana GN=CCX5 PE=2 SV=1</t>
  </si>
  <si>
    <t>Beta-galactosidase OS=Vibrio cholerae serotype O1 (strain ATCC 39541 / Classical Ogawa 395 / O395) GN=lacZ PE=3 SV=2</t>
  </si>
  <si>
    <t>Vibrio cholerae</t>
  </si>
  <si>
    <t>Pentatricopeptide repeat-containing protein At2g16880 OS=Arabidopsis thaliana GN=At2g16880 PE=2 SV=1</t>
  </si>
  <si>
    <t>Glutathione reductase, cytosolic OS=Pisum sativum PE=2 SV=1</t>
  </si>
  <si>
    <t>Pentatricopeptide repeat-containing protein At3g53700, chloroplastic OS=Arabidopsis thaliana GN=MEE40 PE=2 SV=1</t>
  </si>
  <si>
    <t>Transducin beta-like protein 2 OS=Homo sapiens GN=TBL2 PE=1 SV=1</t>
  </si>
  <si>
    <t>ADP-ribosylation factor OS=Vigna unguiculata GN=ARF PE=2 SV=3</t>
  </si>
  <si>
    <t>Vigna unguiculata</t>
  </si>
  <si>
    <t>Probable mediator of RNA polymerase II transcription subunit 37c OS=Arabidopsis thaliana GN=MED37C PE=1 SV=1</t>
  </si>
  <si>
    <t>Transcription termination factor 2, mitochondrial OS=Homo sapiens GN=MTERF2 PE=1 SV=2</t>
  </si>
  <si>
    <t>Jacalin-related lectin 19 OS=Arabidopsis thaliana GN=JAL19 PE=2 SV=1</t>
  </si>
  <si>
    <t>Histone-lysine N-methyltransferase ASHR3 OS=Arabidopsis thaliana GN=ASHR3 PE=1 SV=1</t>
  </si>
  <si>
    <t>Putative NAC domain-containing protein 94 OS=Arabidopsis thaliana GN=ANAC094 PE=3 SV=1</t>
  </si>
  <si>
    <t>Phosphopantothenate--cysteine ligase 2 OS=Arabidopsis thaliana GN=PPCS2 PE=2 SV=2</t>
  </si>
  <si>
    <t>Probable protein phosphatase 2C 73 OS=Arabidopsis thaliana GN=PPC6-7 PE=2 SV=1</t>
  </si>
  <si>
    <t>CASP-like protein 1F2 OS=Populus trichocarpa GN=POPTRDRAFT_823430 PE=3 SV=1</t>
  </si>
  <si>
    <t>1,4-dihydroxy-2-naphthoate polyprenyltransferase, chloroplastic OS=Arabidopsis thaliana GN=ABC4 PE=1 SV=2</t>
  </si>
  <si>
    <t>Probable plastid-lipid-associated protein 13, chloroplastic OS=Arabidopsis thaliana GN=PAP13 PE=2 SV=2</t>
  </si>
  <si>
    <t>Katanin p60 ATPase-containing subunit A1 OS=Arabidopsis thaliana GN=AAA1 PE=1 SV=1</t>
  </si>
  <si>
    <t>Protein TWIN LOV 1 OS=Arabidopsis thaliana GN=TLP1 PE=1 SV=2</t>
  </si>
  <si>
    <t>Cytochrome P450 714C2 OS=Oryza sativa subsp. japonica GN=CYP714C2 PE=2 SV=1</t>
  </si>
  <si>
    <t>Phosphoenolpyruvate/phosphate translocator 2, chloroplastic OS=Oryza sativa subsp. japonica GN=PPT2 PE=2 SV=1</t>
  </si>
  <si>
    <t>NAD-dependent protein deacetylase SRT1 OS=Arabidopsis thaliana GN=SRT1 PE=2 SV=1</t>
  </si>
  <si>
    <t>Nuclear pore complex protein NUP133 OS=Arabidopsis thaliana GN=NUP133 PE=1 SV=1</t>
  </si>
  <si>
    <t>Pentatricopeptide repeat-containing protein At3g04760, chloroplastic OS=Arabidopsis thaliana GN=At3g04760 PE=2 SV=1</t>
  </si>
  <si>
    <t>Cyclin-A1-3 OS=Oryza sativa subsp. japonica GN=CYCA1-3 PE=2 SV=2</t>
  </si>
  <si>
    <t>Uridine-cytidine kinase C OS=Dictyostelium discoideum GN=udkC PE=3 SV=1</t>
  </si>
  <si>
    <t>RING finger protein 150 OS=Homo sapiens GN=RNF150 PE=2 SV=2</t>
  </si>
  <si>
    <t>MADS-box transcription factor 25 OS=Oryza sativa subsp. japonica GN=MADS25 PE=2 SV=2</t>
  </si>
  <si>
    <t>Proteasome subunit alpha type-2-B OS=Arabidopsis thaliana GN=PAB2 PE=1 SV=1</t>
  </si>
  <si>
    <t>MORC family CW-type zinc finger protein 4 OS=Mus musculus GN=Morc4 PE=2 SV=2</t>
  </si>
  <si>
    <t>ATP-dependent zinc metalloprotease FTSH 2, chloroplastic OS=Arabidopsis thaliana GN=FTSH2 PE=1 SV=1</t>
  </si>
  <si>
    <t>Beta-galactosidase 3 OS=Arabidopsis thaliana GN=BGAL3 PE=1 SV=1</t>
  </si>
  <si>
    <t>Serine/threonine-protein kinase STN7, chloroplastic OS=Arabidopsis thaliana GN=STN7 PE=1 SV=1</t>
  </si>
  <si>
    <t>E3 ubiquitin-protein ligase BAH1 OS=Arabidopsis thaliana GN=BAH1 PE=1 SV=1</t>
  </si>
  <si>
    <t>Uracil-DNA glycosylase, mitochondrial OS=Arabidopsis thaliana GN=UNG PE=1 SV=1</t>
  </si>
  <si>
    <t>Glyceraldehyde-3-phosphate dehydrogenase B, chloroplastic OS=Pisum sativum GN=GAPB PE=2 SV=2</t>
  </si>
  <si>
    <t>Light-inducible protein CPRF2 OS=Petroselinum crispum GN=CPRF2 PE=2 SV=2</t>
  </si>
  <si>
    <t>Petroselinum crispum</t>
  </si>
  <si>
    <t>Probable pinoresinol-lariciresinol reductase 3 OS=Arabidopsis thaliana GN=PLR3 PE=3 SV=2</t>
  </si>
  <si>
    <t>DnaJ homolog subfamily C member 2 OS=Macaca fascicularis GN=DNAJC2 PE=2 SV=1</t>
  </si>
  <si>
    <t>NADPH-dependent thioredoxin reductase 3 OS=Arabidopsis thaliana GN=NTRC PE=1 SV=2</t>
  </si>
  <si>
    <t>Protein YIPF6 homolog OS=Dictyostelium discoideum GN=yipf6 PE=3 SV=2</t>
  </si>
  <si>
    <t>ER lumen protein-retaining receptor B OS=Arabidopsis thaliana GN=ERD2B PE=1 SV=1</t>
  </si>
  <si>
    <t>Glycine cleavage system H protein 2, mitochondrial OS=Arabidopsis thaliana GN=GDH2 PE=2 SV=1</t>
  </si>
  <si>
    <t>Sorting nexin-16 OS=Mus musculus GN=Snx16 PE=1 SV=2</t>
  </si>
  <si>
    <t>Probable sphingolipid transporter spinster homolog 3 OS=Arabidopsis thaliana GN=At2g22730 PE=3 SV=1</t>
  </si>
  <si>
    <t>L-cysteine desulfhydrase OS=Arabidopsis thaliana GN=LCD PE=2 SV=1</t>
  </si>
  <si>
    <t>JmjC domain-containing protein 4 OS=Danio rerio GN=jmjd4 PE=2 SV=1</t>
  </si>
  <si>
    <t>Small RNA 2'-O-methyltransferase OS=Arabidopsis thaliana GN=HEN1 PE=1 SV=1</t>
  </si>
  <si>
    <t>G-box-binding factor 1 OS=Arabidopsis thaliana GN=GBF1 PE=2 SV=2</t>
  </si>
  <si>
    <t>Ethylene-responsive transcription factor ERF071 OS=Arabidopsis thaliana GN=ERF071 PE=2 SV=1</t>
  </si>
  <si>
    <t>Probable plastidic glucose transporter 3 OS=Arabidopsis thaliana GN=At1g79820 PE=2 SV=2</t>
  </si>
  <si>
    <t>Wall-associated receptor kinase-like 20 OS=Arabidopsis thaliana GN=WAKL20 PE=2 SV=1</t>
  </si>
  <si>
    <t>ATP-dependent Clp protease proteolytic subunit-related protein 2, chloroplastic OS=Arabidopsis thaliana GN=CLPR2 PE=1 SV=1</t>
  </si>
  <si>
    <t>Xylulose 5-phosphate/phosphate translocator, chloroplastic OS=Arabidopsis thaliana GN=XPT PE=2 SV=1</t>
  </si>
  <si>
    <t>Plant UBX domain-containing protein 1 OS=Arabidopsis thaliana GN=PUX1 PE=1 SV=1</t>
  </si>
  <si>
    <t>Phospholipase SGR2 OS=Arabidopsis thaliana GN=SGR2 PE=1 SV=1</t>
  </si>
  <si>
    <t>Putative phosphatidylinositol N-acetylglucosaminyltransferase subunit C OS=Dictyostelium discoideum GN=pigC PE=3 SV=1</t>
  </si>
  <si>
    <t>ERI1 exoribonuclease 2 OS=Xenopus laevis GN=eri2 PE=2 SV=1</t>
  </si>
  <si>
    <t>Mitogen-activated protein kinase kinase kinase 1 OS=Arabidopsis thaliana GN=MEKK1 PE=1 SV=2</t>
  </si>
  <si>
    <t>Probable receptor-like serine/threonine-protein kinase At4g34500 OS=Arabidopsis thaliana GN=At4g34500 PE=2 SV=1</t>
  </si>
  <si>
    <t>Vesicle transport v-SNARE 12 OS=Arabidopsis thaliana GN=VTI12 PE=1 SV=3</t>
  </si>
  <si>
    <t>Indole-3-acetate O-methyltransferase 1 OS=Arabidopsis thaliana GN=IAMT1 PE=1 SV=1</t>
  </si>
  <si>
    <t>Mitochondrial amidoxime reducing component 2 OS=Bos taurus GN=MARC2 PE=2 SV=1</t>
  </si>
  <si>
    <t>E3 ubiquitin-protein ligase UPL7 OS=Arabidopsis thaliana GN=UPL7 PE=2 SV=1</t>
  </si>
  <si>
    <t>ABC transporter C family member 10 OS=Arabidopsis thaliana GN=ABCC10 PE=2 SV=2</t>
  </si>
  <si>
    <t>Peroxidase 4 OS=Vitis vinifera GN=GSVIVT00023967001 PE=1 SV=1</t>
  </si>
  <si>
    <t>Myosin regulatory light chain 2, ventricular/cardiac muscle isoform OS=Bos taurus GN=MYL2 PE=1 SV=1</t>
  </si>
  <si>
    <t>9-cis-epoxycarotenoid dioxygenase, chloroplastic OS=Oncidium hybrid cultivar GN=NCED PE=2 SV=1</t>
  </si>
  <si>
    <t>Oncidium hybrid</t>
  </si>
  <si>
    <t>Protein transport protein Sec24-like At4g32640 OS=Arabidopsis thaliana GN=At4g32640 PE=2 SV=3</t>
  </si>
  <si>
    <t>Ankyrin repeat-containing protein At3g12360 OS=Arabidopsis thaliana GN=At3g12360 PE=2 SV=1</t>
  </si>
  <si>
    <t>Cytokinin dehydrogenase 1 OS=Arabidopsis thaliana GN=CKX1 PE=1 SV=1</t>
  </si>
  <si>
    <t>Cell cycle checkpoint protein RAD17 OS=Arabidopsis thaliana GN=RAD17 PE=2 SV=1</t>
  </si>
  <si>
    <t>50S ribosomal protein L2-A, chloroplastic OS=Populus alba GN=rpl2-A PE=3 SV=1</t>
  </si>
  <si>
    <t>Populus alba</t>
  </si>
  <si>
    <t>50S ribosomal protein L18 OS=Xanthobacter autotrophicus (strain ATCC BAA-1158 / Py2) GN=rplR PE=3 SV=1</t>
  </si>
  <si>
    <t>Xanthobacter autotrophicus</t>
  </si>
  <si>
    <t>Acyl-CoA-binding protein OS=Ricinus communis PE=3 SV=1</t>
  </si>
  <si>
    <t>Salicylate carboxymethyltransferase OS=Clarkia breweri GN=SAMT PE=1 SV=1</t>
  </si>
  <si>
    <t>Clarkia breweri</t>
  </si>
  <si>
    <t>CRAL-TRIO domain-containing protein C23B6.04c OS=Schizosaccharomyces pombe (strain 972 / ATCC 24843) GN=SPCC23B6.04c PE=1 SV=1</t>
  </si>
  <si>
    <t>Photosystem II reaction center PSB28 protein, chloroplastic OS=Oryza sativa subsp. japonica GN=PSB28 PE=2 SV=2</t>
  </si>
  <si>
    <t>LysM domain-containing GPI-anchored protein 1 OS=Arabidopsis thaliana GN=LYM1 PE=1 SV=1</t>
  </si>
  <si>
    <t>PHD finger protein 3 OS=Homo sapiens GN=PHF3 PE=1 SV=3</t>
  </si>
  <si>
    <t>Xyloglucan galactosyltransferase KATAMARI1 homolog OS=Oryza sativa subsp. japonica GN=Os03g0144800 PE=2 SV=1</t>
  </si>
  <si>
    <t>Probable LRR receptor-like serine/threonine-protein kinase At4g26540 OS=Arabidopsis thaliana GN=At4g26540 PE=2 SV=1</t>
  </si>
  <si>
    <t>Protein STABILIZED1 OS=Arabidopsis thaliana GN=STA1 PE=1 SV=1</t>
  </si>
  <si>
    <t>Ribosomal protein S19, mitochondrial OS=Petunia hybrida GN=RPS19 PE=2 SV=2</t>
  </si>
  <si>
    <t>Beta-fructofuranosidase, insoluble isoenzyme 1 OS=Daucus carota GN=INV1 PE=1 SV=1</t>
  </si>
  <si>
    <t>E3 ubiquitin-protein ligase RFWD3 OS=Mus musculus GN=Rfwd3 PE=2 SV=1</t>
  </si>
  <si>
    <t>NEP1-interacting protein 1 OS=Arabidopsis thaliana GN=NIP1 PE=1 SV=2</t>
  </si>
  <si>
    <t>Histone H2AX OS=Cicer arietinum GN=HIS2A PE=2 SV=1</t>
  </si>
  <si>
    <t>Proteasome subunit beta type-7-B OS=Arabidopsis thaliana GN=PBB2 PE=1 SV=2</t>
  </si>
  <si>
    <t>Protease Do-like 1, chloroplastic OS=Arabidopsis thaliana GN=DEGP1 PE=1 SV=2</t>
  </si>
  <si>
    <t>CMP-N-acetylneuraminate-beta-galactosamide-alpha-2,3-sialyltransferase 1 OS=Mus musculus GN=St3gal1 PE=2 SV=1</t>
  </si>
  <si>
    <t>Chaperone protein dnaJ 10 OS=Arabidopsis thaliana GN=ATJ10 PE=2 SV=2</t>
  </si>
  <si>
    <t>F-box/LRR-repeat protein 20 OS=Mus musculus GN=Fbxl20 PE=1 SV=3</t>
  </si>
  <si>
    <t>Long-chain-fatty-acid--[acyl-carrier-protein] ligase AEE15, chloroplastic OS=Arabidopsis thaliana GN=AAE15 PE=1 SV=1</t>
  </si>
  <si>
    <t>ATP-dependent RNA helicase glh-4 OS=Caenorhabditis elegans GN=glh-4 PE=1 SV=2</t>
  </si>
  <si>
    <t>Homeobox-leucine zipper protein ATHB-20 OS=Arabidopsis thaliana GN=ATHB-20 PE=2 SV=2</t>
  </si>
  <si>
    <t>Vesicle-associated protein 2-2 OS=Arabidopsis thaliana GN=PVA22 PE=1 SV=1</t>
  </si>
  <si>
    <t>GTP-binding protein YPTM2 OS=Zea mays GN=YPTM2 PE=2 SV=1</t>
  </si>
  <si>
    <t>Lysophospholipid acyltransferase LPEAT2 OS=Arabidopsis thaliana GN=LPEAT2 PE=1 SV=1</t>
  </si>
  <si>
    <t>Adenine phosphoribosyltransferase 5 OS=Arabidopsis thaliana GN=APT5 PE=1 SV=1</t>
  </si>
  <si>
    <t>Axial regulator YABBY 1 OS=Arabidopsis thaliana GN=YAB1 PE=1 SV=1</t>
  </si>
  <si>
    <t>Protein argonaute 1B OS=Oryza sativa subsp. japonica GN=AGO1B PE=2 SV=3</t>
  </si>
  <si>
    <t>Chitinase 5 OS=Oryza sativa subsp. japonica GN=Cht5 PE=2 SV=1</t>
  </si>
  <si>
    <t>Thiol protease aleurain OS=Arabidopsis thaliana GN=ALEU PE=1 SV=2</t>
  </si>
  <si>
    <t>Tryptophan--tRNA ligase, cytoplasmic OS=Arabidopsis thaliana GN=At3g04600 PE=2 SV=1</t>
  </si>
  <si>
    <t>Beta-glucosidase 13 OS=Oryza sativa subsp. japonica GN=BGLU13 PE=2 SV=2</t>
  </si>
  <si>
    <t>Probable feruloyl esterase A OS=Aspergillus terreus (strain NIH 2624 / FGSC A1156) GN=faeA PE=3 SV=1</t>
  </si>
  <si>
    <t>Aspergillus terreus</t>
  </si>
  <si>
    <t>Quinone oxidoreductase-like protein At1g23740, chloroplastic OS=Arabidopsis thaliana GN=At1g23740 PE=2 SV=2</t>
  </si>
  <si>
    <t>Vacuolar protein sorting-associated protein 2 homolog 2 OS=Arabidopsis thaliana GN=VPS2.2 PE=1 SV=2</t>
  </si>
  <si>
    <t>E3 ubiquitin-protein ligase SIS3 OS=Arabidopsis thaliana GN=SIS3 PE=2 SV=2</t>
  </si>
  <si>
    <t>Flowering time control protein FPA OS=Arabidopsis thaliana GN=FPA PE=2 SV=2</t>
  </si>
  <si>
    <t>Mediator of RNA polymerase II transcription subunit 36a OS=Arabidopsis thaliana GN=MED36A PE=1 SV=2</t>
  </si>
  <si>
    <t>Prohibitin-1, mitochondrial OS=Arabidopsis thaliana GN=PHB1 PE=1 SV=1</t>
  </si>
  <si>
    <t>Elongation factor 2 OS=Beta vulgaris PE=2 SV=1</t>
  </si>
  <si>
    <t>Beta vulgaris</t>
  </si>
  <si>
    <t>Protein argonaute 16 OS=Oryza sativa subsp. japonica GN=AGO16 PE=2 SV=2</t>
  </si>
  <si>
    <t>Small nuclear ribonucleoprotein E OS=Sus scrofa GN=SNRPE PE=3 SV=1</t>
  </si>
  <si>
    <t>Sus scrofa</t>
  </si>
  <si>
    <t>Inositol-pentakisphosphate 2-kinase OS=Arabidopsis thaliana GN=IPK1 PE=1 SV=1</t>
  </si>
  <si>
    <t>Protein LIGHT-DEPENDENT SHORT HYPOCOTYLS 10 OS=Arabidopsis thaliana GN=LSH10 PE=1 SV=1</t>
  </si>
  <si>
    <t>Chromatin modification-related protein EAF1 B OS=Arabidopsis thaliana GN=EAF1B PE=1 SV=1</t>
  </si>
  <si>
    <t>F-box protein SKIP14 OS=Arabidopsis thaliana GN=SKIP14 PE=1 SV=1</t>
  </si>
  <si>
    <t>Peroxidase 20 OS=Arabidopsis thaliana GN=PER20 PE=2 SV=1</t>
  </si>
  <si>
    <t>Ankyrin repeat-containing protein At2g01680 OS=Arabidopsis thaliana GN=At2g01680 PE=2 SV=1</t>
  </si>
  <si>
    <t>Reticulon-like protein B21 OS=Arabidopsis thaliana GN=RTNLB21 PE=2 SV=2</t>
  </si>
  <si>
    <t>Translocator protein homolog OS=Arabidopsis thaliana GN=TSPO PE=1 SV=1</t>
  </si>
  <si>
    <t>Transcription initiation factor TFIid subunit 4b OS=Arabidopsis thaliana GN=TAF4B PE=1 SV=1</t>
  </si>
  <si>
    <t>Proteasome subunit alpha type-4 OS=Spinacia oleracea GN=PAC1 PE=2 SV=1</t>
  </si>
  <si>
    <t>ABC transporter G family member 42 OS=Oryza sativa subsp. japonica GN=ABCG42 PE=2 SV=1</t>
  </si>
  <si>
    <t>Protein NUCLEAR FUSION DEFECTIVE 5, mitochondrial OS=Arabidopsis thaliana GN=NFD5 PE=2 SV=1</t>
  </si>
  <si>
    <t>UDP-glycosyltransferase 86A1 OS=Arabidopsis thaliana GN=UGT86A1 PE=2 SV=1</t>
  </si>
  <si>
    <t>Fructose-1,6-bisphosphatase, chloroplastic OS=Spinacia oleracea PE=1 SV=2</t>
  </si>
  <si>
    <t>Probable serine/threonine-protein kinase Cx32, chloroplastic OS=Arabidopsis thaliana GN=At4g35600 PE=1 SV=2</t>
  </si>
  <si>
    <t>Probable pectinesterase 15 OS=Arabidopsis thaliana GN=PME15 PE=2 SV=1</t>
  </si>
  <si>
    <t>Photosynthetic NDH subunit of lumenal location 3, chloroplastic OS=Arabidopsis thaliana GN=PNSL3 PE=1 SV=1</t>
  </si>
  <si>
    <t>Putative pentatricopeptide repeat-containing protein At3g23330 OS=Arabidopsis thaliana GN=PCMP-H32 PE=3 SV=1</t>
  </si>
  <si>
    <t>Stromal cell-derived factor 2-like protein OS=Arabidopsis thaliana GN=SDF2 PE=1 SV=1</t>
  </si>
  <si>
    <t>Mitochondrial import receptor subunit TOM40-1 OS=Arabidopsis thaliana GN=TOM40-1 PE=1 SV=3</t>
  </si>
  <si>
    <t>bZIP transcription factor 60 OS=Arabidopsis thaliana GN=BZIP60 PE=1 SV=1</t>
  </si>
  <si>
    <t>Photosystem I reaction center subunit II, chloroplastic OS=Cucumis sativus GN=psaD PE=1 SV=1</t>
  </si>
  <si>
    <t>Cucumis sativus</t>
  </si>
  <si>
    <t>Probable protein phosphatase 2C 71 OS=Oryza sativa subsp. japonica GN=Os10g0370000 PE=2 SV=1</t>
  </si>
  <si>
    <t>Cysteine-rich receptor-like protein kinase 10 OS=Arabidopsis thaliana GN=CRK10 PE=1 SV=3</t>
  </si>
  <si>
    <t>Probable serine/threonine-protein kinase WNK2 OS=Oryza sativa subsp. japonica GN=WNK2 PE=2 SV=1</t>
  </si>
  <si>
    <t>LysM domain receptor-like kinase 3 OS=Arabidopsis thaliana GN=LYK3 PE=2 SV=1</t>
  </si>
  <si>
    <t>Nuclear pore complex protein NUP160 OS=Arabidopsis thaliana GN=NUP160 PE=1 SV=2</t>
  </si>
  <si>
    <t>Transcription factor bHLH79 OS=Arabidopsis thaliana GN=BHLH79 PE=2 SV=1</t>
  </si>
  <si>
    <t>Proline-rich receptor-like protein kinase PERK2 OS=Arabidopsis thaliana GN=PERK2 PE=2 SV=3</t>
  </si>
  <si>
    <t>Fe-S cluster assembly factor HCF101, chloroplastic OS=Arabidopsis thaliana GN=HCF101 PE=1 SV=1</t>
  </si>
  <si>
    <t>Bifunctional dethiobiotin synthetase/7,8-diamino-pelargonic acid aminotransferase, mitochondrial OS=Arabidopsis thaliana GN=BIO3-BIO1 PE=1 SV=1</t>
  </si>
  <si>
    <t>Late embryogenesis abundant protein D-34 OS=Gossypium hirsutum PE=4 SV=1</t>
  </si>
  <si>
    <t>Cysteine proteinase RD21a OS=Arabidopsis thaliana GN=RD21A PE=1 SV=1</t>
  </si>
  <si>
    <t>Tetraspanin-8 OS=Arabidopsis thaliana GN=TET8 PE=2 SV=1</t>
  </si>
  <si>
    <t>Mitogen-activated protein kinase kinase 2 OS=Arabidopsis thaliana GN=MKK2 PE=1 SV=2</t>
  </si>
  <si>
    <t>Protein C2-DOMAIN ABA-RELATED 11 OS=Arabidopsis thaliana GN=CAR11 PE=2 SV=1</t>
  </si>
  <si>
    <t>60S ribosomal protein L18-3 OS=Arabidopsis thaliana GN=RPL18C PE=2 SV=1</t>
  </si>
  <si>
    <t>(-)-alpha-pinene synthase OS=Fragaria vesca PE=1 SV=2</t>
  </si>
  <si>
    <t>Fragaria vesca</t>
  </si>
  <si>
    <t>Coatomer subunit beta-1 OS=Arabidopsis thaliana GN=At4g31480 PE=2 SV=2</t>
  </si>
  <si>
    <t>Transcription factor bHLH14 OS=Arabidopsis thaliana GN=BHLH14 PE=2 SV=1</t>
  </si>
  <si>
    <t>Serine/threonine-protein kinase HT1 OS=Arabidopsis thaliana GN=HT1 PE=1 SV=1</t>
  </si>
  <si>
    <t>Pathogenesis-related protein PR-4B OS=Nicotiana tabacum PE=2 SV=1</t>
  </si>
  <si>
    <t>Serine/threonine-protein kinase D6PKL2 OS=Arabidopsis thaliana GN=D6PKL2 PE=1 SV=1</t>
  </si>
  <si>
    <t>Probable pectate lyase E OS=Neosartorya fischeri (strain ATCC 1020 / DSM 3700 / FGSC A1164 / NRRL 181) GN=plyE PE=3 SV=1</t>
  </si>
  <si>
    <t>Neosartorya fischeri</t>
  </si>
  <si>
    <t>Squamosa promoter-binding-like protein 12 OS=Oryza sativa subsp. indica GN=SPL12 PE=2 SV=1</t>
  </si>
  <si>
    <t>Dihydropyrimidinase OS=Arabidopsis thaliana GN=PYD2 PE=1 SV=1</t>
  </si>
  <si>
    <t>Glycerophosphodiester phosphodiesterase GDPD1, chloroplastic OS=Arabidopsis thaliana GN=GDPD1 PE=1 SV=1</t>
  </si>
  <si>
    <t>Nudix hydrolase 1 OS=Arabidopsis thaliana GN=NUDT1 PE=1 SV=1</t>
  </si>
  <si>
    <t>CTL-like protein DDB_G0274487 OS=Dictyostelium discoideum GN=DDB_G0274487 PE=3 SV=1</t>
  </si>
  <si>
    <t>Probable LRR receptor-like serine/threonine-protein kinase At1g51880 OS=Arabidopsis thaliana GN=At1g51880 PE=2 SV=1</t>
  </si>
  <si>
    <t>ERBB-3 BINDING PROTEIN 1 OS=Solanum tuberosum GN=EBP1 PE=2 SV=1</t>
  </si>
  <si>
    <t>Probable mannitol dehydrogenase OS=Medicago sativa GN=CAD1 PE=1 SV=1</t>
  </si>
  <si>
    <t>UDP-glycosyltransferase 89A2 OS=Arabidopsis thaliana GN=UGT89A2 PE=2 SV=1</t>
  </si>
  <si>
    <t>Myosin-7 OS=Arabidopsis thaliana GN=XI-A PE=3 SV=1</t>
  </si>
  <si>
    <t>RNA polymerase II C-terminal domain phosphatase-like 2 OS=Arabidopsis thaliana GN=CPL2 PE=1 SV=3</t>
  </si>
  <si>
    <t>Cytochrome P450 89A9 OS=Arabidopsis thaliana GN=CYP89A9 PE=2 SV=1</t>
  </si>
  <si>
    <t>Uncharacterized protein At4g38062 OS=Arabidopsis thaliana GN=At4g38062 PE=4 SV=1</t>
  </si>
  <si>
    <t>UDP-sugar transporter sqv-7 OS=Caenorhabditis elegans GN=sqv-7 PE=1 SV=1</t>
  </si>
  <si>
    <t>Nuclear-interacting partner of ALK OS=Pongo abelii GN=ZC3HC1 PE=2 SV=1</t>
  </si>
  <si>
    <t>ATP-dependent (S)-NAD(P)H-hydrate dehydratase OS=Vitis vinifera GN=VIT_05s0020g02800 PE=3 SV=1</t>
  </si>
  <si>
    <t>60S ribosomal protein L10 OS=Euphorbia esula GN=RPL10 PE=2 SV=1</t>
  </si>
  <si>
    <t>Euphorbia esula</t>
  </si>
  <si>
    <t>60S ribosomal protein L11 OS=Medicago sativa GN=RPL11 PE=2 SV=1</t>
  </si>
  <si>
    <t>Two-component response regulator ARR8 OS=Arabidopsis thaliana GN=ARR8 PE=1 SV=1</t>
  </si>
  <si>
    <t>Late embryogenesis abundant protein 1 OS=Cicer arietinum PE=2 SV=1</t>
  </si>
  <si>
    <t>Cinnamoyl-CoA reductase 1 OS=Arabidopsis thaliana GN=CCR1 PE=1 SV=1</t>
  </si>
  <si>
    <t>PsbP domain-containing protein 1, chloroplastic OS=Arabidopsis thaliana GN=PPD1 PE=1 SV=1</t>
  </si>
  <si>
    <t>Pentatricopeptide repeat-containing protein At1g20230 OS=Arabidopsis thaliana GN=PCMP-H21 PE=2 SV=2</t>
  </si>
  <si>
    <t>Major allergen Pru ar 1 OS=Prunus armeniaca PE=1 SV=1</t>
  </si>
  <si>
    <t>Glutamate receptor 2.7 OS=Arabidopsis thaliana GN=GLR2.7 PE=2 SV=3</t>
  </si>
  <si>
    <t>Carbonic anhydrase, chloroplastic OS=Nicotiana tabacum PE=2 SV=1</t>
  </si>
  <si>
    <t>B3 domain-containing protein At2g16210 OS=Arabidopsis thaliana GN=At2g16210 PE=2 SV=1</t>
  </si>
  <si>
    <t>Transcription factor bHLH96 OS=Arabidopsis thaliana GN=BHLH96 PE=2 SV=1</t>
  </si>
  <si>
    <t>Probable F-box protein At4g22030 OS=Arabidopsis thaliana GN=At4g22030 PE=4 SV=1</t>
  </si>
  <si>
    <t>Pentatricopeptide repeat-containing protein At2g13600 OS=Arabidopsis thaliana GN=PCMP-E76 PE=3 SV=1</t>
  </si>
  <si>
    <t>MATE efflux family protein 9 OS=Arabidopsis thaliana GN=DTXL5 PE=2 SV=1</t>
  </si>
  <si>
    <t>DNA mismatch repair protein MSH4 OS=Arabidopsis thaliana GN=MSH4 PE=2 SV=1</t>
  </si>
  <si>
    <t>G-type lectin S-receptor-like serine/threonine-protein kinase At1g34300 OS=Arabidopsis thaliana GN=At1g34300 PE=2 SV=1</t>
  </si>
  <si>
    <t>Transcription factor UNE10 OS=Arabidopsis thaliana GN=UNE10 PE=2 SV=1</t>
  </si>
  <si>
    <t>3-ketoacyl-CoA synthase 3 OS=Arabidopsis thaliana GN=KCS3 PE=2 SV=3</t>
  </si>
  <si>
    <t>Transposon Ty3-I Gag-Pol polyprotein OS=Saccharomyces cerevisiae (strain ATCC 204508 / S288c) GN=TY3B-I PE=3 SV=2</t>
  </si>
  <si>
    <t>Wall-associated receptor kinase-like 4 OS=Arabidopsis thaliana GN=WAKL4 PE=2 SV=2</t>
  </si>
  <si>
    <t>Cysteine-rich receptor-like protein kinase 4 OS=Arabidopsis thaliana GN=CRK4 PE=2 SV=1</t>
  </si>
  <si>
    <t>Flotillin-like protein 3 OS=Medicago truncatula GN=FLOT3 PE=2 SV=1</t>
  </si>
  <si>
    <t>Ubiquitin thioesterase otubain-like OS=Arabidopsis thaliana GN=At1g28120 PE=2 SV=2</t>
  </si>
  <si>
    <t>Glutamate receptor 3.2 OS=Arabidopsis thaliana GN=GLR3.2 PE=1 SV=2</t>
  </si>
  <si>
    <t>Transcription initiation factor TFIid subunit 8 OS=Arabidopsis thaliana GN=TAF8 PE=1 SV=1</t>
  </si>
  <si>
    <t>Disease resistance protein RPP5 OS=Arabidopsis thaliana GN=RPP5 PE=1 SV=1</t>
  </si>
  <si>
    <t>BTB/POZ domain-containing protein At1g67900 OS=Arabidopsis thaliana GN=At1g67900 PE=1 SV=1</t>
  </si>
  <si>
    <t>Receptor-like protein 12 OS=Arabidopsis thaliana GN=RLP12 PE=2 SV=2</t>
  </si>
  <si>
    <t>ESCRT-related protein CHMP1B OS=Arabidopsis thaliana GN=CHMP1B PE=1 SV=1</t>
  </si>
  <si>
    <t>Phenolic glucoside malonyltransferase 1 OS=Arabidopsis thaliana GN=PMAT1 PE=1 SV=1</t>
  </si>
  <si>
    <t>Exportin-7 OS=Mus musculus GN=Xpo7 PE=2 SV=3</t>
  </si>
  <si>
    <t>Probable pectate lyase 5 OS=Arabidopsis thaliana GN=At1g67750 PE=2 SV=2</t>
  </si>
  <si>
    <t>Glutamate--glyoxylate aminotransferase 2 OS=Arabidopsis thaliana GN=GGAT2 PE=1 SV=1</t>
  </si>
  <si>
    <t>Putative pentatricopeptide repeat-containing protein At5g13230, mitochondrial OS=Arabidopsis thaliana GN=PCMP-H89 PE=3 SV=1</t>
  </si>
  <si>
    <t>Ras-related protein RABA1f OS=Arabidopsis thaliana GN=RABA1F PE=2 SV=1</t>
  </si>
  <si>
    <t>Protein disulfide-isomerase 5-3 OS=Arabidopsis thaliana GN=PDIL5-3 PE=2 SV=1</t>
  </si>
  <si>
    <t>Zeatin O-glucosyltransferase OS=Phaseolus lunatus GN=ZOG1 PE=2 SV=1</t>
  </si>
  <si>
    <t>Phaseolus lunatus</t>
  </si>
  <si>
    <t>Alkaline ceramidase 3 OS=Mus musculus GN=Acer3 PE=2 SV=1</t>
  </si>
  <si>
    <t>Diphosphomevalonate decarboxylase OS=Danio rerio GN=mvd PE=2 SV=1</t>
  </si>
  <si>
    <t>Putative disease resistance protein At4g19050 OS=Arabidopsis thaliana GN=At4g19050 PE=3 SV=2</t>
  </si>
  <si>
    <t>Putative nuclease HARBI1 OS=Danio rerio GN=harbi1 PE=2 SV=1</t>
  </si>
  <si>
    <t>Nuclear pore complex protein NUP85 OS=Arabidopsis thaliana GN=NUP85 PE=1 SV=1</t>
  </si>
  <si>
    <t>GLABRA2 expression modulator OS=Arabidopsis thaliana GN=GEM PE=1 SV=1</t>
  </si>
  <si>
    <t>E3 ubiquitin ligase BIG BROTHER-related OS=Arabidopsis thaliana GN=BBR PE=2 SV=1</t>
  </si>
  <si>
    <t>Protein FAM91A1 OS=Mus musculus GN=Fam91a1 PE=2 SV=1</t>
  </si>
  <si>
    <t>Protein ASPARTIC PROTEASE IN GUARD CELL 1 OS=Arabidopsis thaliana GN=ASPG1 PE=1 SV=1</t>
  </si>
  <si>
    <t>Probable membrane-associated kinase regulator 6 OS=Arabidopsis thaliana GN=MAKR6 PE=2 SV=1</t>
  </si>
  <si>
    <t>Zinc finger A20 and AN1 domain-containing stress-associated protein 3 OS=Arabidopsis thaliana GN=SAP3 PE=2 SV=1</t>
  </si>
  <si>
    <t>Transmembrane protein 97 OS=Homo sapiens GN=TMEM97 PE=1 SV=1</t>
  </si>
  <si>
    <t>F-box/LRR-repeat protein At1g67190 OS=Arabidopsis thaliana GN=At1g67190 PE=2 SV=1</t>
  </si>
  <si>
    <t>Trihelix transcription factor ASIL2 OS=Arabidopsis thaliana GN=ASIL2 PE=2 SV=1</t>
  </si>
  <si>
    <t>Peroxisome biogenesis protein 12 OS=Arabidopsis thaliana GN=PEX12 PE=1 SV=2</t>
  </si>
  <si>
    <t>F-box protein At5g49610 OS=Arabidopsis thaliana GN=At5g49610 PE=1 SV=1</t>
  </si>
  <si>
    <t>DNA polymerase epsilon catalytic subunit A OS=Arabidopsis thaliana GN=POL2A PE=1 SV=1</t>
  </si>
  <si>
    <t>Zinc finger protein 4 OS=Arabidopsis thaliana GN=ZFP4 PE=2 SV=2</t>
  </si>
  <si>
    <t>Transmembrane protein 87B OS=Mus musculus GN=Tmem87b PE=2 SV=1</t>
  </si>
  <si>
    <t>Transcription factor MYB44 OS=Arabidopsis thaliana GN=MYB44 PE=2 SV=1</t>
  </si>
  <si>
    <t>PHD and RING finger domain-containing protein 1 OS=Homo sapiens GN=PHRF1 PE=1 SV=3</t>
  </si>
  <si>
    <t>Protein argonaute 10 OS=Arabidopsis thaliana GN=AGO10 PE=2 SV=1</t>
  </si>
  <si>
    <t>Peptide chain release factor APG3, chloroplastic OS=Arabidopsis thaliana GN=APG3 PE=2 SV=1</t>
  </si>
  <si>
    <t>Retrovirus-related Pol polyprotein from transposon TNT 1-94 OS=Nicotiana tabacum PE=2 SV=1</t>
  </si>
  <si>
    <t>15-cis-zeta-carotene isomerase, chloroplastic OS=Arabidopsis thaliana GN=Z-ISO PE=1 SV=1</t>
  </si>
  <si>
    <t>Heat shock cognate 70 kDa protein 2 OS=Solanum lycopersicum GN=HSC-2 PE=2 SV=1</t>
  </si>
  <si>
    <t>Nuclear poly(A) polymerase 2 OS=Arabidopsis thaliana GN=PAPS2 PE=1 SV=2</t>
  </si>
  <si>
    <t>F-box/kelch-repeat protein At3g61590 OS=Arabidopsis thaliana GN=At3g61590 PE=1 SV=1</t>
  </si>
  <si>
    <t>Cysteine synthase OS=Citrullus lanatus PE=1 SV=1</t>
  </si>
  <si>
    <t>Citrullus lanatus</t>
  </si>
  <si>
    <t>p21-activated protein kinase-interacting protein 1-like OS=Danio rerio GN=pak1ip1 PE=2 SV=1</t>
  </si>
  <si>
    <t>Membrane magnesium transporter OS=Arabidopsis thaliana GN=At5g03345 PE=2 SV=1</t>
  </si>
  <si>
    <t>Prolycopene isomerase, chloroplastic OS=Daucus carota GN=CRTISO PE=2 SV=1</t>
  </si>
  <si>
    <t>Probable protein phosphatase 2C 39 OS=Arabidopsis thaliana GN=At3g15260 PE=2 SV=1</t>
  </si>
  <si>
    <t>Transcription factor bHLH149 OS=Arabidopsis thaliana GN=BHLH149 PE=1 SV=1</t>
  </si>
  <si>
    <t>Putative deoxyribonuclease TATDN1 OS=Xenopus laevis GN=tatdn1 PE=2 SV=1</t>
  </si>
  <si>
    <t>CLIP-associated protein OS=Arabidopsis thaliana GN=CLASP PE=1 SV=1</t>
  </si>
  <si>
    <t>Zinc-finger homeodomain protein 11 OS=Arabidopsis thaliana GN=ZHD11 PE=1 SV=1</t>
  </si>
  <si>
    <t>Anaphase-promoting complex subunit 10 OS=Arabidopsis thaliana GN=APC10 PE=1 SV=2</t>
  </si>
  <si>
    <t>WD repeat-containing protein 44 OS=Bos taurus GN=WDR44 PE=1 SV=1</t>
  </si>
  <si>
    <t>Protein LURP-one-related 12 OS=Arabidopsis thaliana GN=At3g15810 PE=2 SV=1</t>
  </si>
  <si>
    <t>Protein TIFY 10B OS=Arabidopsis thaliana GN=TIFY10B PE=1 SV=1</t>
  </si>
  <si>
    <t>Glycosylphosphatidylinositol anchor attachment 1 protein OS=Mus musculus GN=Gpaa1 PE=1 SV=3</t>
  </si>
  <si>
    <t>Uncharacterized protein C4orf29 homolog OS=Mus musculus PE=2 SV=1</t>
  </si>
  <si>
    <t>PHD finger protein Alfin1 OS=Medicago sativa GN=ALFIN-1 PE=1 SV=1</t>
  </si>
  <si>
    <t>Probable phospholipid hydroperoxide glutathione peroxidase OS=Citrus sinensis GN=CSA PE=1 SV=1</t>
  </si>
  <si>
    <t>Citrus sinensis</t>
  </si>
  <si>
    <t>Dymeclin OS=Gallus gallus GN=DYM PE=2 SV=1</t>
  </si>
  <si>
    <t>Gallus gallus</t>
  </si>
  <si>
    <t>Vacuolar protein-sorting-associated protein 11 homolog OS=Arabidopsis thaliana GN=VPS11 PE=1 SV=1</t>
  </si>
  <si>
    <t>21 kDa protein OS=Daucus carota PE=2 SV=1</t>
  </si>
  <si>
    <t>Pentatricopeptide repeat-containing protein At3g48810 OS=Arabidopsis thaliana GN=At3g48810 PE=2 SV=1</t>
  </si>
  <si>
    <t>Two-pore potassium channel 1 OS=Arabidopsis thaliana GN=TPK1 PE=1 SV=2</t>
  </si>
  <si>
    <t>Alpha/beta hydrolase domain-containing protein 17A OS=Bos taurus GN=ABHD17A PE=2 SV=1</t>
  </si>
  <si>
    <t>tRNA-specific adenosine deaminase 2 OS=Bos taurus GN=DEADC1 PE=2 SV=1</t>
  </si>
  <si>
    <t>Condensin-2 complex subunit H2 OS=Arabidopsis thaliana GN=CAPH2 PE=2 SV=1</t>
  </si>
  <si>
    <t>U-box domain-containing protein 4 OS=Arabidopsis thaliana GN=PUB4 PE=1 SV=3</t>
  </si>
  <si>
    <t>Transcription factor bHLH113 OS=Arabidopsis thaliana GN=BHLH113 PE=2 SV=1</t>
  </si>
  <si>
    <t>Actin-related protein 2/3 complex subunit 3 OS=Arabidopsis thaliana GN=ARPC3 PE=1 SV=1</t>
  </si>
  <si>
    <t>RING-H2 finger protein ATL7 OS=Arabidopsis thaliana GN=ATL7 PE=2 SV=1</t>
  </si>
  <si>
    <t>D-cysteine desulfhydrase 2, mitochondrial OS=Arabidopsis thaliana GN=At3g26115 PE=2 SV=1</t>
  </si>
  <si>
    <t>Mediator of RNA polymerase II transcription subunit 6 OS=Arabidopsis thaliana GN=MED6 PE=1 SV=1</t>
  </si>
  <si>
    <t>F-box/LRR-repeat protein 3 OS=Arabidopsis thaliana GN=FBL3 PE=2 SV=1</t>
  </si>
  <si>
    <t>Bark storage protein A OS=Populus deltoides GN=BSPA PE=2 SV=1</t>
  </si>
  <si>
    <t>Populus deltoides</t>
  </si>
  <si>
    <t>Replication factor C subunit 1 OS=Arabidopsis thaliana GN=RFC1 PE=2 SV=1</t>
  </si>
  <si>
    <t>Probable helicase MAGATAMA 3 OS=Arabidopsis thaliana GN=MAA3 PE=2 SV=1</t>
  </si>
  <si>
    <t>Probable sodium-coupled neutral amino acid transporter 6 OS=Xenopus tropicalis GN=slc38a6 PE=2 SV=1</t>
  </si>
  <si>
    <t>U-box domain-containing protein 33 OS=Arabidopsis thaliana GN=PUB33 PE=2 SV=2</t>
  </si>
  <si>
    <t>Quinolinate synthase, chloroplastic OS=Arabidopsis thaliana GN=QS PE=1 SV=1</t>
  </si>
  <si>
    <t>Pentatricopeptide repeat-containing protein At4g01030, mitochondrial OS=Arabidopsis thaliana GN=PCMP-H65 PE=3 SV=2</t>
  </si>
  <si>
    <t>Vacuolar cation/proton exchanger 3 OS=Arabidopsis thaliana GN=CAX3 PE=1 SV=1</t>
  </si>
  <si>
    <t>Potassium transporter 8 OS=Arabidopsis thaliana GN=POT8 PE=2 SV=2</t>
  </si>
  <si>
    <t>Ubiquinone biosynthesis protein COQ9, mitochondrial OS=Mus musculus GN=Coq9 PE=1 SV=1</t>
  </si>
  <si>
    <t>Arginine decarboxylase OS=Pisum sativum PE=2 SV=1</t>
  </si>
  <si>
    <t>DELLA protein GAI OS=Arabidopsis thaliana GN=GAI PE=1 SV=1</t>
  </si>
  <si>
    <t>Homeobox-leucine zipper protein REVOLUTA OS=Arabidopsis thaliana GN=REV PE=1 SV=2</t>
  </si>
  <si>
    <t>Putative lactoylglutathione lyase OS=Brassica oleracea var. gemmifera PE=2 SV=1</t>
  </si>
  <si>
    <t>Brassica oleracea</t>
  </si>
  <si>
    <t>Probable sodium/metabolite cotransporter BASS1, chloroplastic OS=Arabidopsis thaliana GN=BASS1 PE=2 SV=1</t>
  </si>
  <si>
    <t>F-box protein SKIP24 OS=Arabidopsis thaliana GN=SKIP24 PE=1 SV=2</t>
  </si>
  <si>
    <t>FHA domain-containing protein At4g14490 OS=Arabidopsis thaliana GN=At4g14490 PE=1 SV=1</t>
  </si>
  <si>
    <t>Ubiquitin-like domain-containing CTD phosphatase OS=Arabidopsis thaliana GN=At4g06599 PE=2 SV=1</t>
  </si>
  <si>
    <t>Proteasome subunit alpha type-6 OS=Glycine max GN=PAA1 PE=2 SV=2</t>
  </si>
  <si>
    <t>Probable WRKY transcription factor 19 OS=Arabidopsis thaliana GN=WRKY19 PE=2 SV=1</t>
  </si>
  <si>
    <t>UDP-glucuronic acid decarboxylase 5 OS=Arabidopsis thaliana GN=UXS5 PE=2 SV=1</t>
  </si>
  <si>
    <t>Myosin-1 OS=Arabidopsis thaliana GN=VIII-1 PE=1 SV=1</t>
  </si>
  <si>
    <t>Myb family transcription factor APL OS=Arabidopsis thaliana GN=APL PE=2 SV=2</t>
  </si>
  <si>
    <t>Zinc finger SWIM domain-containing protein 7 OS=Danio rerio GN=zswim7 PE=2 SV=2</t>
  </si>
  <si>
    <t>Arogenate dehydratase/prephenate dehydratase 1, chloroplastic OS=Arabidopsis thaliana GN=ADT1 PE=1 SV=1</t>
  </si>
  <si>
    <t>CCA tRNA nucleotidyltransferase, mitochondrial OS=Saccharomyces cerevisiae (strain ATCC 204508 / S288c) GN=CCA1 PE=1 SV=1</t>
  </si>
  <si>
    <t>E3 ubiquitin-protein ligase RNF25 OS=Mus musculus GN=Rnf25 PE=1 SV=2</t>
  </si>
  <si>
    <t>Salicylic acid-binding protein 2 OS=Nicotiana tabacum GN=SABP2 PE=1 SV=1</t>
  </si>
  <si>
    <t>Transcriptional adapter ADA2b OS=Arabidopsis thaliana GN=ADA2B PE=1 SV=1</t>
  </si>
  <si>
    <t>Pentatricopeptide repeat-containing protein At3g62890 OS=Arabidopsis thaliana GN=PCMP-H82 PE=2 SV=1</t>
  </si>
  <si>
    <t>1-aminocyclopropane-1-carboxylate oxidase homolog 1 OS=Arabidopsis thaliana GN=At1g06620 PE=2 SV=1</t>
  </si>
  <si>
    <t>Protein FLX-like 3 OS=Arabidopsis thaliana GN=FLXL3 PE=1 SV=1</t>
  </si>
  <si>
    <t>L-ascorbate oxidase homolog OS=Brassica napus GN=Bp10 PE=2 SV=1</t>
  </si>
  <si>
    <t>Putative fucosyltransferase-like protein OS=Arabidopsis thaliana GN=FUT12 PE=2 SV=1</t>
  </si>
  <si>
    <t>UDP-glucuronate 4-epimerase 4 OS=Arabidopsis thaliana GN=GAE4 PE=1 SV=1</t>
  </si>
  <si>
    <t>Oxidation resistance protein 1 OS=Mus musculus GN=Oxr1 PE=2 SV=3</t>
  </si>
  <si>
    <t>DNA-damage-repair/toleration protein DRT102 OS=Arabidopsis thaliana GN=DRT102 PE=1 SV=2</t>
  </si>
  <si>
    <t>EIN3-binding F-box protein 1 OS=Arabidopsis thaliana GN=EBF1 PE=1 SV=1</t>
  </si>
  <si>
    <t>Chitinase-like protein 2 OS=Arabidopsis thaliana GN=CTL2 PE=2 SV=1</t>
  </si>
  <si>
    <t>Eukaryotic translation initiation factor 3 subunit G OS=Danio rerio GN=eif3g PE=1 SV=1</t>
  </si>
  <si>
    <t>KH domain-containing protein At4g18375 OS=Arabidopsis thaliana GN=At4g18375 PE=2 SV=1</t>
  </si>
  <si>
    <t>RHOMBOid-like protein 10, chloroplastic OS=Arabidopsis thaliana GN=RBL10 PE=2 SV=1</t>
  </si>
  <si>
    <t>DNA ligase 1 OS=Arabidopsis thaliana GN=LIG1 PE=2 SV=2</t>
  </si>
  <si>
    <t>Flavonol synthase/flavanone 3-hydroxylase OS=Arabidopsis thaliana GN=FLS1 PE=1 SV=1</t>
  </si>
  <si>
    <t>DEAD-box ATP-dependent RNA helicase 47B OS=Oryza sativa subsp. japonica GN=Os03g0219700 PE=2 SV=1</t>
  </si>
  <si>
    <t>Ethanolamine-phosphate cytidylyltransferase OS=Arabidopsis thaliana GN=PECT1 PE=1 SV=1</t>
  </si>
  <si>
    <t>KH domain-containing protein At2g38610 OS=Arabidopsis thaliana GN=At2g38610 PE=1 SV=1</t>
  </si>
  <si>
    <t>Cysteine proteinase RD19a OS=Arabidopsis thaliana GN=RD19A PE=2 SV=1</t>
  </si>
  <si>
    <t>Chlorophyllide a oxygenase, chloroplastic OS=Arabidopsis thaliana GN=CAO PE=1 SV=1</t>
  </si>
  <si>
    <t>MACPF domain-containing protein CAD1 OS=Arabidopsis thaliana GN=CAD1 PE=2 SV=1</t>
  </si>
  <si>
    <t>Increased DNA methylation 1 OS=Arabidopsis thaliana GN=idM1 PE=1 SV=1</t>
  </si>
  <si>
    <t>Transcriptional elongation regulator MINIYO OS=Arabidopsis thaliana GN=IYO PE=1 SV=1</t>
  </si>
  <si>
    <t>Gamma-tubulin complex component 3 OS=Arabidopsis thaliana GN=GCP3 PE=1 SV=1</t>
  </si>
  <si>
    <t>DNA-directed RNA polymerase 1B, mitochondrial OS=Nicotiana tabacum GN=RPOT1-TOM PE=2 SV=2</t>
  </si>
  <si>
    <t>2-methyl-6-phytyl-1,4-hydroquinone methyltransferase, chloroplastic OS=Spinacia oleracea PE=1 SV=1</t>
  </si>
  <si>
    <t>BEACH domain-containing protein lvsC OS=Dictyostelium discoideum GN=lvsC PE=3 SV=2</t>
  </si>
  <si>
    <t>NADH--cytochrome b5 reductase 1 OS=Arabidopsis thaliana GN=CBR1 PE=1 SV=1</t>
  </si>
  <si>
    <t>50S ribosomal protein L15, chloroplastic (Fragment) OS=Pisum sativum GN=RPL15 PE=2 SV=1</t>
  </si>
  <si>
    <t>Histone H2A.1 OS=Pisum sativum PE=2 SV=1</t>
  </si>
  <si>
    <t>Probable plastid-lipid-associated protein 4, chloroplastic OS=Arabidopsis thaliana GN=PAP4 PE=2 SV=1</t>
  </si>
  <si>
    <t>Cytochrome P450 82A3 OS=Glycine max GN=CYP82A3 PE=2 SV=1</t>
  </si>
  <si>
    <t>DNA polymerase eta OS=Arabidopsis thaliana GN=POLH PE=1 SV=1</t>
  </si>
  <si>
    <t>DNA topoisomerase 2-binding protein 1-A OS=Xenopus laevis GN=topbp1-A PE=1 SV=2</t>
  </si>
  <si>
    <t>Umecyanin OS=Armoracia rusticana PE=1 SV=1</t>
  </si>
  <si>
    <t>Armoracia rusticana</t>
  </si>
  <si>
    <t>Metacaspase-4 OS=Arabidopsis thaliana GN=AMC4 PE=1 SV=1</t>
  </si>
  <si>
    <t>Heptahelical transmembrane protein 2 OS=Arabidopsis thaliana GN=HHP2 PE=2 SV=1</t>
  </si>
  <si>
    <t>ATP-dependent 6-phosphofructokinase 3 OS=Arabidopsis thaliana GN=PFK3 PE=1 SV=1</t>
  </si>
  <si>
    <t>Soluble inorganic pyrophosphatase 6, chloroplastic OS=Arabidopsis thaliana GN=PPA6 PE=1 SV=1</t>
  </si>
  <si>
    <t>Probable inactive purple acid phosphatase 27 OS=Arabidopsis thaliana GN=PAP27 PE=2 SV=1</t>
  </si>
  <si>
    <t>Dynamin-related protein 5A OS=Glycine max PE=2 SV=1</t>
  </si>
  <si>
    <t>Probable protein phosphatase 2C 55 OS=Arabidopsis thaliana GN=At4g16580 PE=2 SV=2</t>
  </si>
  <si>
    <t>Pyridoxal kinase OS=Arabidopsis thaliana GN=PK PE=1 SV=2</t>
  </si>
  <si>
    <t>Trimethylguanosine synthase OS=Mus musculus GN=Tgs1 PE=1 SV=2</t>
  </si>
  <si>
    <t>Protein RETICULATA-RELATED 1 OS=Arabidopsis thaliana GN=RER1 PE=2 SV=1</t>
  </si>
  <si>
    <t>DNA-binding protein HEXBP OS=Leishmania major GN=HEXBP PE=3 SV=1</t>
  </si>
  <si>
    <t>Leishmania major</t>
  </si>
  <si>
    <t>Pentatricopeptide repeat-containing protein At1g02370, mitochondrial OS=Arabidopsis thaliana GN=At1g02370 PE=2 SV=1</t>
  </si>
  <si>
    <t>IST1 homolog OS=Bos taurus GN=IST1 PE=2 SV=1</t>
  </si>
  <si>
    <t>Protein YLS3 OS=Arabidopsis thaliana GN=YLS3 PE=2 SV=1</t>
  </si>
  <si>
    <t>Ubiquitin receptor RAD23b OS=Arabidopsis thaliana GN=RAD23B PE=1 SV=3</t>
  </si>
  <si>
    <t>Armadillo repeat-containing kinesin-like protein 2 OS=Arabidopsis thaliana GN=ARK2 PE=1 SV=2</t>
  </si>
  <si>
    <t>GABA transporter 1 OS=Arabidopsis thaliana GN=GAT1 PE=1 SV=1</t>
  </si>
  <si>
    <t>Dual specificity protein phosphatase PHS1 OS=Arabidopsis thaliana GN=PHS1 PE=1 SV=1</t>
  </si>
  <si>
    <t>Alpha-N-acetylglucosaminidase OS=Homo sapiens GN=NAGLU PE=1 SV=2</t>
  </si>
  <si>
    <t>Methyltransferase-like protein 5 OS=Mus musculus GN=Mettl5 PE=2 SV=2</t>
  </si>
  <si>
    <t>Lipase member N OS=Mus musculus GN=Lipn PE=2 SV=1</t>
  </si>
  <si>
    <t>Beta-fructofuranosidase, insoluble isoenzyme CWINV1 OS=Arabidopsis thaliana GN=CWINV1 PE=1 SV=1</t>
  </si>
  <si>
    <t>Protein phosphatase 2C 16 OS=Arabidopsis thaliana GN=HAB1 PE=1 SV=1</t>
  </si>
  <si>
    <t>Nudix hydrolase 8 OS=Arabidopsis thaliana GN=NUDT8 PE=2 SV=2</t>
  </si>
  <si>
    <t>Receptor protein kinase TMK1 OS=Arabidopsis thaliana GN=TMK1 PE=1 SV=1</t>
  </si>
  <si>
    <t>Uncharacterized Rho GTPase-activating protein At5g61530 OS=Arabidopsis thaliana GN=At5g61530 PE=1 SV=2</t>
  </si>
  <si>
    <t>Probable LRR receptor-like serine/threonine-protein kinase At1g56130 OS=Arabidopsis thaliana GN=At1g56130 PE=2 SV=2</t>
  </si>
  <si>
    <t>Probable E3 ubiquitin-protein ligase ARI2 OS=Arabidopsis thaliana GN=ARI2 PE=2 SV=1</t>
  </si>
  <si>
    <t>Probable metal-nicotianamine transporter YSL8 OS=Arabidopsis thaliana GN=YSL8 PE=1 SV=2</t>
  </si>
  <si>
    <t>TPR repeat-containing thioredoxin TDX OS=Arabidopsis thaliana GN=TDX PE=1 SV=1</t>
  </si>
  <si>
    <t>L-2-hydroxyglutarate dehydrogenase, mitochondrial OS=Nematostella vectensis GN=v1g172254 PE=3 SV=1</t>
  </si>
  <si>
    <t>Nematostella vectensis</t>
  </si>
  <si>
    <t>Solute carrier family 25 member 44 OS=Mus musculus GN=Slc25a44 PE=2 SV=1</t>
  </si>
  <si>
    <t>Chloroplastic group IIA intron splicing facilitator CRS1, chloroplastic OS=Zea mays GN=CRS1 PE=1 SV=1</t>
  </si>
  <si>
    <t>Receptor-like cytosolic serine/threonine-protein kinase RBK2 OS=Arabidopsis thaliana GN=RBK2 PE=1 SV=1</t>
  </si>
  <si>
    <t>Pentatricopeptide repeat-containing protein At2g03880, mitochondrial OS=Arabidopsis thaliana GN=PCMP-H44 PE=2 SV=1</t>
  </si>
  <si>
    <t>Histone deacetylase 9 OS=Arabidopsis thaliana GN=HDA9 PE=1 SV=1</t>
  </si>
  <si>
    <t>Polyubiquitin (Fragment) OS=Hordeum vulgare PE=2 SV=1</t>
  </si>
  <si>
    <t>Uncharacterized protein C57A10.07 OS=Schizosaccharomyces pombe (strain 972 / ATCC 24843) GN=SPAC57A10.07 PE=4 SV=1</t>
  </si>
  <si>
    <t>Polyadenylate-binding protein 3 OS=Arabidopsis thaliana GN=PABN3 PE=1 SV=1</t>
  </si>
  <si>
    <t>RNA-binding protein pno1 OS=Drosophila melanogaster GN=l(1)G0004 PE=2 SV=1</t>
  </si>
  <si>
    <t>CCR4-NOT transcription complex subunit 3 OS=Homo sapiens GN=CNOT3 PE=1 SV=1</t>
  </si>
  <si>
    <t>60S ribosomal protein L24 OS=Prunus avium GN=RPL24 PE=2 SV=1</t>
  </si>
  <si>
    <t>Prunus avium</t>
  </si>
  <si>
    <t>Serine--tRNA ligase, chloroplastic/mitochondrial OS=Arabidopsis thaliana GN=OVA7 PE=2 SV=1</t>
  </si>
  <si>
    <t>Transcription factor TRY OS=Arabidopsis thaliana GN=TRY PE=1 SV=1</t>
  </si>
  <si>
    <t>GTP-binding protein ERG OS=Antirrhinum majus GN=ERG PE=2 SV=1</t>
  </si>
  <si>
    <t>Antirrhinum majus</t>
  </si>
  <si>
    <t>ACT domain-containing protein ACR4 OS=Arabidopsis thaliana GN=ACR4 PE=2 SV=1</t>
  </si>
  <si>
    <t>Probable lipid phosphate phosphatase beta OS=Arabidopsis thaliana GN=LPPB PE=2 SV=1</t>
  </si>
  <si>
    <t>Probable cinnamyl alcohol dehydrogenase 6 OS=Oryza sativa subsp. japonica GN=CAD6 PE=2 SV=2</t>
  </si>
  <si>
    <t>Thylakoid lumenal 16.5 kDa protein, chloroplastic OS=Arabidopsis thaliana GN=At4g02530 PE=1 SV=3</t>
  </si>
  <si>
    <t>Light-mediated development protein DET1 OS=Solanum lycopersicum GN=DET1 PE=1 SV=1</t>
  </si>
  <si>
    <t>Homeobox protein knotted-1-like 1 OS=Arabidopsis thaliana GN=KNAT1 PE=1 SV=1</t>
  </si>
  <si>
    <t>Quinone oxidoreductase-like protein 2 homolog OS=Nematostella vectensis GN=v1g238856 PE=3 SV=1</t>
  </si>
  <si>
    <t>Heat stress transcription factor A-6b OS=Arabidopsis thaliana GN=HSFA6b PE=2 SV=1</t>
  </si>
  <si>
    <t>B-box zinc finger protein 19 OS=Arabidopsis thaliana GN=BBX19 PE=2 SV=1</t>
  </si>
  <si>
    <t>Cell division cycle-associated protein 7 OS=Homo sapiens GN=CDCA7 PE=1 SV=1</t>
  </si>
  <si>
    <t>Amino acid permease 2 OS=Arabidopsis thaliana GN=AAP2 PE=1 SV=1</t>
  </si>
  <si>
    <t>Replication factor C subunit 2 OS=Arabidopsis thaliana GN=RFC2 PE=1 SV=1</t>
  </si>
  <si>
    <t>Putative E3 ubiquitin-protein ligase UBR7 OS=Homo sapiens GN=UBR7 PE=1 SV=2</t>
  </si>
  <si>
    <t>Transcription elongation factor SPT6 OS=Homo sapiens GN=SUPT6H PE=1 SV=2</t>
  </si>
  <si>
    <t>Copper transport protein ATX1 OS=Arabidopsis thaliana GN=ATX1 PE=1 SV=1</t>
  </si>
  <si>
    <t>SKP1-like protein 21 OS=Arabidopsis thaliana GN=ASK21 PE=2 SV=1</t>
  </si>
  <si>
    <t>Purine permease 3 OS=Arabidopsis thaliana GN=PUP3 PE=2 SV=1</t>
  </si>
  <si>
    <t>ATP sulfurylase 2 OS=Arabidopsis thaliana GN=APS2 PE=1 SV=1</t>
  </si>
  <si>
    <t>Probable NEDD8-conjugating enzyme Ubc12-like OS=Arabidopsis thaliana GN=RCE2 PE=2 SV=1</t>
  </si>
  <si>
    <t>Putative axial regulator YABBY 2 OS=Arabidopsis thaliana GN=YAB2 PE=2 SV=1</t>
  </si>
  <si>
    <t>Zinc transporter 1 OS=Oryza sativa subsp. japonica GN=ZIP1 PE=1 SV=1</t>
  </si>
  <si>
    <t>Meiotic recombination protein SPO11-1 OS=Arabidopsis thaliana GN=SPO11-1 PE=1 SV=1</t>
  </si>
  <si>
    <t>Vacuolar protein sorting-associated protein 54, chloroplastic OS=Arabidopsis thaliana GN=VPS54 PE=1 SV=1</t>
  </si>
  <si>
    <t>Protein LATERAL ORGAN BOUNDARIES OS=Arabidopsis thaliana GN=LOB PE=2 SV=1</t>
  </si>
  <si>
    <t>Iron-sulfur cluster assembly protein 1 OS=Arabidopsis thaliana GN=ISU1 PE=2 SV=1</t>
  </si>
  <si>
    <t>Flowering locus K homology domain OS=Arabidopsis thaliana GN=FLK PE=1 SV=1</t>
  </si>
  <si>
    <t>Inositol oxygenase 1 OS=Arabidopsis thaliana GN=MIOX1 PE=2 SV=1</t>
  </si>
  <si>
    <t>Protein NUCLEAR FUSION DEFECTIVE 2 OS=Arabidopsis thaliana GN=NFD2 PE=2 SV=1</t>
  </si>
  <si>
    <t>Protease Do-like 9 OS=Arabidopsis thaliana GN=DEGP9 PE=1 SV=1</t>
  </si>
  <si>
    <t>Pyridoxal 5'-phosphate synthase-like subunit PDX1.2 OS=Arabidopsis thaliana GN=PDX12 PE=1 SV=1</t>
  </si>
  <si>
    <t>Sorcin OS=Schistosoma japonicum PE=2 SV=1</t>
  </si>
  <si>
    <t>Schistosoma japonicum</t>
  </si>
  <si>
    <t>B2 protein OS=Daucus carota PE=2 SV=1</t>
  </si>
  <si>
    <t>Protein SCAI OS=Mus musculus GN=Scai PE=1 SV=2</t>
  </si>
  <si>
    <t>tRNA-splicing endonuclease subunit Sen2-1 OS=Arabidopsis thaliana GN=SEN1 PE=2 SV=1</t>
  </si>
  <si>
    <t>Pyridoxal reductase, chloroplastic OS=Arabidopsis thaliana GN=PLR1 PE=1 SV=1</t>
  </si>
  <si>
    <t>Auxin efflux carrier component 1 OS=Arabidopsis thaliana GN=PIN1 PE=1 SV=1</t>
  </si>
  <si>
    <t>Serine hydroxymethyltransferase 7 OS=Arabidopsis thaliana GN=SHM7 PE=2 SV=1</t>
  </si>
  <si>
    <t>Pyruvate dehydrogenase E1 component subunit alpha-1, mitochondrial OS=Oryza sativa subsp. japonica GN=Os02g0739600 PE=2 SV=1</t>
  </si>
  <si>
    <t>Carotene epsilon-monooxygenase, chloroplastic OS=Arabidopsis thaliana GN=CYP97C1 PE=1 SV=1</t>
  </si>
  <si>
    <t>Polyadenylate-binding protein RBP45 OS=Nicotiana plumbaginifolia GN=RBP45 PE=1 SV=1</t>
  </si>
  <si>
    <t>Nicotiana plumbaginifolia</t>
  </si>
  <si>
    <t>Heat stress transcription factor B-4 OS=Arabidopsis thaliana GN=HSFB4 PE=2 SV=1</t>
  </si>
  <si>
    <t>Nuclear pore complex protein NUP96 OS=Arabidopsis thaliana GN=NUP96 PE=1 SV=1</t>
  </si>
  <si>
    <t>Probable cysteine proteinase A494 OS=Arabidopsis thaliana GN=At2g21430 PE=2 SV=2</t>
  </si>
  <si>
    <t>Cancer-related nucleoside-triphosphatase homolog OS=Bos taurus GN=NTPCR PE=2 SV=1</t>
  </si>
  <si>
    <t>AP-5 complex subunit mu OS=Arabidopsis thaliana GN=AP5M PE=2 SV=1</t>
  </si>
  <si>
    <t>3-isopropylmalate dehydratase small subunit 3 OS=Arabidopsis thaliana GN=At2g43090 PE=1 SV=1</t>
  </si>
  <si>
    <t>Putative F-box protein At5g52610 OS=Arabidopsis thaliana GN=At5g52610 PE=4 SV=1</t>
  </si>
  <si>
    <t>Probable prefoldin subunit 4 OS=Avena fatua GN=VIP3 PE=2 SV=1</t>
  </si>
  <si>
    <t>Avena fatua</t>
  </si>
  <si>
    <t>40S ribosomal protein S8-2 OS=Arabidopsis thaliana GN=RPS8B PE=2 SV=1</t>
  </si>
  <si>
    <t>Protein BCCIP homolog OS=Arabidopsis thaliana GN=At2g44510 PE=1 SV=2</t>
  </si>
  <si>
    <t>Probable cinnamyl alcohol dehydrogenase 1 OS=Aralia cordata GN=CAD1 PE=2 SV=1</t>
  </si>
  <si>
    <t>Aralia cordata</t>
  </si>
  <si>
    <t>Proteasome subunit beta type-3-A OS=Arabidopsis thaliana GN=PBC1 PE=1 SV=2</t>
  </si>
  <si>
    <t>Pentatricopeptide repeat-containing protein At4g17616 OS=Arabidopsis thaliana GN=At4g17616 PE=2 SV=1</t>
  </si>
  <si>
    <t>Shugoshin-1 OS=Zea mays GN=SGO1 PE=2 SV=1</t>
  </si>
  <si>
    <t>Calcium-dependent protein kinase 21 OS=Arabidopsis thaliana GN=CPK21 PE=1 SV=1</t>
  </si>
  <si>
    <t>2-dehydro-3-deoxyphosphooctonate aldolase 1 OS=Arabidopsis thaliana GN=KDSA1 PE=1 SV=2</t>
  </si>
  <si>
    <t>GEM-like protein 2 OS=Arabidopsis thaliana GN=At4g01600 PE=2 SV=1</t>
  </si>
  <si>
    <t>Glutamate receptor 3.6 OS=Arabidopsis thaliana GN=GLR3.6 PE=2 SV=1</t>
  </si>
  <si>
    <t>Mitochondrial import inner membrane translocase subunit TIM22-3 OS=Arabidopsis thaliana GN=TIM22-3 PE=2 SV=1</t>
  </si>
  <si>
    <t>G-type lectin S-receptor-like serine/threonine-protein kinase At5g24080 OS=Arabidopsis thaliana GN=At5g24080 PE=2 SV=1</t>
  </si>
  <si>
    <t>Ubiquitin carboxyl-terminal hydrolase 23 OS=Arabidopsis thaliana GN=UBP23 PE=2 SV=2</t>
  </si>
  <si>
    <t>ATP-dependent DNA helicase SRS2-like protein At4g25120 OS=Arabidopsis thaliana GN=SRS2 PE=1 SV=1</t>
  </si>
  <si>
    <t>Putative pentatricopeptide repeat-containing protein At2g02150 OS=Arabidopsis thaliana GN=At2g02150 PE=3 SV=1</t>
  </si>
  <si>
    <t>Squalene monooxygenase OS=Panax ginseng PE=2 SV=1</t>
  </si>
  <si>
    <t>Panax ginseng</t>
  </si>
  <si>
    <t>G-box-binding factor 3 OS=Arabidopsis thaliana GN=GBF3 PE=1 SV=2</t>
  </si>
  <si>
    <t>Probable mediator of RNA polymerase II transcription subunit 37e OS=Arabidopsis thaliana GN=MED37E PE=1 SV=3</t>
  </si>
  <si>
    <t>NAD(P)H-quinone oxidoreductase subunit L, chloroplastic OS=Arabidopsis thaliana GN=ndhL PE=2 SV=1</t>
  </si>
  <si>
    <t>Probable LRR receptor-like serine/threonine-protein kinase At2g16250 OS=Arabidopsis thaliana GN=At2g16250 PE=2 SV=1</t>
  </si>
  <si>
    <t>GDP-L-galactose phosphorylase 1 OS=Arabidopsis thaliana GN=VTC2 PE=1 SV=1</t>
  </si>
  <si>
    <t>DNA topoisomerase 2-binding protein 1 OS=Homo sapiens GN=TOPBP1 PE=1 SV=3</t>
  </si>
  <si>
    <t>Squamosa promoter-binding-like protein 1 OS=Arabidopsis thaliana GN=SPL1 PE=1 SV=2</t>
  </si>
  <si>
    <t>Potassium channel KAT2 OS=Arabidopsis thaliana GN=KAT2 PE=1 SV=3</t>
  </si>
  <si>
    <t>Kinesin-like protein KIF13B OS=Homo sapiens GN=KIF13B PE=1 SV=2</t>
  </si>
  <si>
    <t>Probable acyl-activating enzyme 16, chloroplastic OS=Arabidopsis thaliana GN=AAE16 PE=2 SV=1</t>
  </si>
  <si>
    <t>tRNA(adenine(34)) deaminase, chloroplastic OS=Arabidopsis thaliana GN=TADA PE=1 SV=1</t>
  </si>
  <si>
    <t>Putative nicotine oxidoreductase OS=Pseudomonas putida GN=nicA PE=3 SV=1</t>
  </si>
  <si>
    <t>Pseudomonas putida</t>
  </si>
  <si>
    <t>Putative transferase At4g12130, mitochondrial OS=Arabidopsis thaliana GN=At4g12130 PE=1 SV=1</t>
  </si>
  <si>
    <t>Zinc finger CCCH domain-containing protein 15 OS=Arabidopsis thaliana GN=At1g68200 PE=2 SV=1</t>
  </si>
  <si>
    <t>Transcription factor MYB3 OS=Arabidopsis thaliana GN=MYB3 PE=1 SV=1</t>
  </si>
  <si>
    <t>Endoglucanase 11 OS=Arabidopsis thaliana GN=At2g32990 PE=2 SV=1</t>
  </si>
  <si>
    <t>Dihydrolipoyllysine-residue acetyltransferase component 5 of pyruvate dehydrogenase complex, chloroplastic OS=Arabidopsis thaliana GN=EMB3003 PE=2 SV=1</t>
  </si>
  <si>
    <t>Probable purine permease 9 OS=Arabidopsis thaliana GN=PUP9 PE=2 SV=2</t>
  </si>
  <si>
    <t>Peptidyl-prolyl cis-trans isomerase FKBP20-2, chloroplastic OS=Arabidopsis thaliana GN=FKBP20-2 PE=1 SV=1</t>
  </si>
  <si>
    <t>Diphosphomevalonate decarboxylase OS=Mus musculus GN=Mvd PE=1 SV=2</t>
  </si>
  <si>
    <t>T-complex protein 1 subunit theta OS=Arabidopsis thaliana GN=CCT8 PE=1 SV=1</t>
  </si>
  <si>
    <t>Diaminopimelate decarboxylase 2, chloroplastic OS=Arabidopsis thaliana GN=LYSA2 PE=2 SV=1</t>
  </si>
  <si>
    <t>Transcription factor PIF1 OS=Arabidopsis thaliana GN=PIF1 PE=1 SV=1</t>
  </si>
  <si>
    <t>Adenosine kinase 2 OS=Arabidopsis thaliana GN=ADK2 PE=1 SV=1</t>
  </si>
  <si>
    <t>Alcohol dehydrogenase OS=Malus domestica GN=ADH PE=2 SV=1</t>
  </si>
  <si>
    <t>Caffeic acid 3-O-methyltransferase OS=Prunus dulcis GN=COMT1 PE=2 SV=1</t>
  </si>
  <si>
    <t>Pentatricopeptide repeat-containing protein At1g59720, chloroplastic/mitochondrial OS=Arabidopsis thaliana GN=PCMP-H51 PE=2 SV=2</t>
  </si>
  <si>
    <t>Serine/arginine-rich splicing factor SR30 OS=Arabidopsis thaliana GN=SR30 PE=1 SV=1</t>
  </si>
  <si>
    <t>Probable protein phosphatase 2C 74 OS=Arabidopsis thaliana GN=At5g36250 PE=1 SV=1</t>
  </si>
  <si>
    <t>Early nodulin-like protein 2 OS=Arabidopsis thaliana GN=At4g27520 PE=1 SV=1</t>
  </si>
  <si>
    <t>Probable F-box protein At5g04010 OS=Arabidopsis thaliana GN=NSFBx PE=2 SV=1</t>
  </si>
  <si>
    <t>11S globulin subunit beta OS=Cucurbita maxima PE=1 SV=1</t>
  </si>
  <si>
    <t>Cucurbita maxima</t>
  </si>
  <si>
    <t>Lysine-specific demethylase JMJ25 OS=Arabidopsis thaliana GN=JMJ25 PE=1 SV=1</t>
  </si>
  <si>
    <t>Probable disease resistance protein RPP1 OS=Arabidopsis thaliana GN=RPP1 PE=2 SV=1</t>
  </si>
  <si>
    <t>Sodium transport ATPase 5 OS=Saccharomyces cerevisiae (strain ATCC 204508 / S288c) GN=ENA5 PE=1 SV=1</t>
  </si>
  <si>
    <t>Nicotinamidase 2 OS=Arabidopsis thaliana GN=NIC2 PE=1 SV=1</t>
  </si>
  <si>
    <t>Eukaryotic translation initiation factor 3 subunit B OS=Nicotiana tabacum GN=TIF3B1 PE=2 SV=1</t>
  </si>
  <si>
    <t>Cysteine-rich receptor-like protein kinase 2 OS=Arabidopsis thaliana GN=CRK2 PE=2 SV=1</t>
  </si>
  <si>
    <t>Luminal-binding protein 5 OS=Nicotiana tabacum GN=BIP5 PE=2 SV=1</t>
  </si>
  <si>
    <t>Pyrophosphate--fructose 6-phosphate 1-phosphotransferase subunit beta OS=Ricinus communis GN=PFP-BETA PE=3 SV=1</t>
  </si>
  <si>
    <t>Quinone oxidoreductase PIG3 OS=Homo sapiens GN=TP53I3 PE=1 SV=2</t>
  </si>
  <si>
    <t>Dehydration-responsive element-binding protein 1F OS=Oryza sativa subsp. japonica GN=DREB1F PE=3 SV=1</t>
  </si>
  <si>
    <t>Uncharacterized aarF domain-containing protein kinase At5g05200, chloroplastic OS=Arabidopsis thaliana GN=At5g05200 PE=2 SV=1</t>
  </si>
  <si>
    <t>Cyclin-U4-1 OS=Arabidopsis thaliana GN=CYCU4-1 PE=1 SV=1</t>
  </si>
  <si>
    <t>Topless-related protein 3 OS=Arabidopsis thaliana GN=TPR3 PE=1 SV=1</t>
  </si>
  <si>
    <t>Elongation of fatty acids protein 2 OS=Saccharomyces cerevisiae (strain ATCC 204508 / S288c) GN=ELO2 PE=1 SV=1</t>
  </si>
  <si>
    <t>CO(2)-response secreted protease OS=Arabidopsis thaliana GN=CRSP PE=2 SV=1</t>
  </si>
  <si>
    <t>Pre-mRNA cleavage factor Im 25 kDa subunit 1 OS=Arabidopsis thaliana GN=CFIS1 PE=1 SV=1</t>
  </si>
  <si>
    <t>Aspartokinase 3, chloroplastic OS=Arabidopsis thaliana GN=AK3 PE=1 SV=1</t>
  </si>
  <si>
    <t>Phosphomannomutase OS=Oryza sativa subsp. japonica GN=PMM PE=2 SV=2</t>
  </si>
  <si>
    <t>Heparanase-like protein 3 OS=Arabidopsis thaliana GN=At5g34940 PE=2 SV=2</t>
  </si>
  <si>
    <t>Probable pectinesterase/pectinesterase inhibitor 40 OS=Arabidopsis thaliana GN=PME40 PE=2 SV=1</t>
  </si>
  <si>
    <t>40S ribosomal protein S12 OS=Blumeria graminis f. sp. hordei GN=RPS12 PE=3 SV=1</t>
  </si>
  <si>
    <t>Blumeria graminis</t>
  </si>
  <si>
    <t>Pumilio homolog 23 OS=Arabidopsis thaliana GN=APUM23 PE=2 SV=1</t>
  </si>
  <si>
    <t>Chitin synthase 6 OS=Ustilago maydis (strain 521 / FGSC 9021) GN=CHS6 PE=3 SV=2</t>
  </si>
  <si>
    <t>MATE efflux family protein 1 OS=Arabidopsis thaliana GN=MATE PE=2 SV=2</t>
  </si>
  <si>
    <t>Isoleucine N-monooxygenase 2 OS=Lotus japonicus GN=CYP79D4 PE=1 SV=1</t>
  </si>
  <si>
    <t>Long chain acyl-CoA synthetase 1 OS=Arabidopsis thaliana GN=LACS1 PE=2 SV=1</t>
  </si>
  <si>
    <t>Glutathione S-transferase DHAR2 OS=Arabidopsis thaliana GN=DHAR2 PE=1 SV=1</t>
  </si>
  <si>
    <t>Endoribonuclease Dicer homolog 3a OS=Oryza sativa subsp. japonica GN=DCL3A PE=2 SV=1</t>
  </si>
  <si>
    <t>Cytochrome P450 90B1 OS=Arabidopsis thaliana GN=CYP90B1 PE=1 SV=2</t>
  </si>
  <si>
    <t>Chlorophyll a-b binding protein, chloroplastic OS=Petunia hybrida PE=2 SV=1</t>
  </si>
  <si>
    <t>BTB/POZ domain-containing protein At3g09030 OS=Arabidopsis thaliana GN=At3g09030 PE=2 SV=1</t>
  </si>
  <si>
    <t>Phenylalanine ammonia-lyase 1 OS=Rubus idaeus GN=PAL1 PE=2 SV=1</t>
  </si>
  <si>
    <t>Rubus idaeus</t>
  </si>
  <si>
    <t>DNA-directed RNA polymerase IV subunit 1 OS=Arabidopsis thaliana GN=NRPD1 PE=1 SV=1</t>
  </si>
  <si>
    <t>Pentatricopeptide repeat-containing protein At3g03580 OS=Arabidopsis thaliana GN=PCMP-H23 PE=2 SV=1</t>
  </si>
  <si>
    <t>Serine carboxypeptidase-like 20 OS=Arabidopsis thaliana GN=SCPL20 PE=2 SV=2</t>
  </si>
  <si>
    <t>Monofunctional riboflavin biosynthesis protein RIBA 3, chloroplastic OS=Arabidopsis thaliana GN=RIBA3 PE=1 SV=1</t>
  </si>
  <si>
    <t>GDSL esterase/lipase At1g33811 OS=Arabidopsis thaliana GN=At1g33811 PE=2 SV=1</t>
  </si>
  <si>
    <t>Type IV inositol polyphosphate 5-phosphatase 11 OS=Arabidopsis thaliana GN=IP5P11 PE=1 SV=1</t>
  </si>
  <si>
    <t>Phospholipase D epsilon OS=Arabidopsis thaliana GN=PLDEPSILON PE=3 SV=1</t>
  </si>
  <si>
    <t>Aldehyde dehydrogenase family 2 member C4 OS=Arabidopsis thaliana GN=ALDH2C4 PE=1 SV=2</t>
  </si>
  <si>
    <t>Polyvinylalcohol dehydrogenase OS=Pseudomonas sp. GN=pvaA PE=1 SV=1</t>
  </si>
  <si>
    <t>Pseudomonas sp.</t>
  </si>
  <si>
    <t>Hydroxyphenylpyruvate reductase OS=Plectranthus scutellarioides GN=HPPR PE=1 SV=2</t>
  </si>
  <si>
    <t>Plectranthus scutellarioides</t>
  </si>
  <si>
    <t>Putative GDP-L-fucose synthase 2 OS=Arabidopsis thaliana GN=GER2 PE=1 SV=1</t>
  </si>
  <si>
    <t>Glucan endo-1,3-beta-glucosidase OS=Triticum aestivum GN=GLC1 PE=2 SV=1</t>
  </si>
  <si>
    <t>Probable disease resistance protein At5g63020 OS=Arabidopsis thaliana GN=At5g63020 PE=2 SV=2</t>
  </si>
  <si>
    <t>Putative amidase C869.01 OS=Schizosaccharomyces pombe (strain 972 / ATCC 24843) GN=SPAC869.01 PE=3 SV=1</t>
  </si>
  <si>
    <t>Guanine nucleotide-binding protein-like NSN1 OS=Arabidopsis thaliana GN=NSN1 PE=2 SV=1</t>
  </si>
  <si>
    <t>Oligopeptide transporter 3 OS=Arabidopsis thaliana GN=OPT3 PE=2 SV=3</t>
  </si>
  <si>
    <t>Malate dehydrogenase, chloroplastic OS=Arabidopsis thaliana GN=At3g47520 PE=1 SV=1</t>
  </si>
  <si>
    <t>Probable mitochondrial adenine nucleotide transporter BTL1 OS=Arabidopsis thaliana GN=At3g20240 PE=2 SV=1</t>
  </si>
  <si>
    <t>DNA repair protein RAD4 OS=Arabidopsis thaliana GN=RAD4 PE=1 SV=1</t>
  </si>
  <si>
    <t>Protein ROOT HAIR DEFECTIVE 3 OS=Oryza sativa subsp. japonica GN=RHD3 PE=2 SV=1</t>
  </si>
  <si>
    <t>Nuclear pore complex protein NUP98B OS=Arabidopsis thaliana GN=NUP98B PE=1 SV=1</t>
  </si>
  <si>
    <t>Beta-glucosidase-like SFR2, chloroplastic OS=Oryza sativa subsp. japonica GN=SFR2 PE=2 SV=1</t>
  </si>
  <si>
    <t>Stem-specific protein TSJT1 OS=Nicotiana tabacum GN=TSJT1 PE=2 SV=1</t>
  </si>
  <si>
    <t>Pentatricopeptide repeat-containing protein At4g02750 OS=Arabidopsis thaliana GN=PCMP-H24 PE=3 SV=1</t>
  </si>
  <si>
    <t>Aspartic proteinase PCS1 OS=Arabidopsis thaliana GN=PCS1 PE=2 SV=1</t>
  </si>
  <si>
    <t>Calcium-dependent protein kinase 10 OS=Arabidopsis thaliana GN=CPK10 PE=1 SV=1</t>
  </si>
  <si>
    <t>Pentatricopeptide repeat-containing protein At2g35030, mitochondrial OS=Arabidopsis thaliana GN=PCMP-E15 PE=2 SV=1</t>
  </si>
  <si>
    <t>Replication protein A 32 kDa subunit A OS=Arabidopsis thaliana GN=RPA2A PE=1 SV=2</t>
  </si>
  <si>
    <t>Nudix hydrolase 12, mitochondrial OS=Arabidopsis thaliana GN=NUDT12 PE=2 SV=1</t>
  </si>
  <si>
    <t>Protein misato homolog 1 OS=Mus musculus GN=Msto1 PE=2 SV=1</t>
  </si>
  <si>
    <t>Pentatricopeptide repeat-containing protein At5g08305 OS=Arabidopsis thaliana GN=PCMP-E105 PE=2 SV=1</t>
  </si>
  <si>
    <t>NifU-like protein 1, chloroplastic OS=Arabidopsis thaliana GN=NIFU1 PE=1 SV=1</t>
  </si>
  <si>
    <t>Lysine histidine transporter-like 8 OS=Arabidopsis thaliana GN=AATL1 PE=1 SV=1</t>
  </si>
  <si>
    <t>2-hydroxyisoflavanone dehydratase OS=Glycyrrhiza echinata GN=HidM PE=1 SV=1</t>
  </si>
  <si>
    <t>Glycyrrhiza echinata</t>
  </si>
  <si>
    <t>Probable E3 ubiquitin-protein ligase RHA2B OS=Arabidopsis thaliana GN=RHA2B PE=1 SV=2</t>
  </si>
  <si>
    <t>Transcription factor TCP2 OS=Arabidopsis thaliana GN=TCP2 PE=2 SV=1</t>
  </si>
  <si>
    <t>Pentatricopeptide repeat-containing protein At2g37230 OS=Arabidopsis thaliana GN=At2g37230 PE=2 SV=1</t>
  </si>
  <si>
    <t>Plant UBX domain-containing protein 8 OS=Arabidopsis thaliana GN=PUX8 PE=1 SV=1</t>
  </si>
  <si>
    <t>GATA transcription factor 25 OS=Arabidopsis thaliana GN=GATA25 PE=2 SV=2</t>
  </si>
  <si>
    <t>Putative pentatricopeptide repeat-containing protein At1g68930 OS=Arabidopsis thaliana GN=PCMP-H22 PE=3 SV=1</t>
  </si>
  <si>
    <t>Pentatricopeptide repeat-containing protein At4g30825, chloroplastic OS=Arabidopsis thaliana GN=At4g30825 PE=2 SV=2</t>
  </si>
  <si>
    <t>Autophagy-related protein 8C OS=Oryza sativa subsp. japonica GN=ATG8C PE=2 SV=1</t>
  </si>
  <si>
    <t>CBL-interacting serine/threonine-protein kinase 10 OS=Arabidopsis thaliana GN=CIPK10 PE=1 SV=1</t>
  </si>
  <si>
    <t>Probable polyamine transporter At3g19553 OS=Arabidopsis thaliana GN=At3g19553 PE=3 SV=1</t>
  </si>
  <si>
    <t>Crocetin glucosyltransferase, chloroplastic OS=Gardenia jasminoides GN=UGT75L6 PE=1 SV=1</t>
  </si>
  <si>
    <t>F-box protein CPR30 OS=Arabidopsis thaliana GN=CPR30 PE=1 SV=2</t>
  </si>
  <si>
    <t>Tuberculostearic acid methyltransferase UfaA1 OS=Mycobacterium tuberculosis (strain ATCC 25618 / H37Rv) GN=ufaA1 PE=1 SV=3</t>
  </si>
  <si>
    <t>Mycobacterium tuberculosis</t>
  </si>
  <si>
    <t>Probable polyamine aminopropyl transferase OS=Bifidobacterium longum (strain NCC 2705) GN=speE PE=3 SV=1</t>
  </si>
  <si>
    <t>Bifidobacterium longum</t>
  </si>
  <si>
    <t>L-type lectin-domain containing receptor kinase VIII.1 OS=Arabidopsis thaliana GN=LECRK81 PE=2 SV=1</t>
  </si>
  <si>
    <t>Heterodimeric geranylgeranyl pyrophosphate synthase small subunit, chloroplastic OS=Arabidopsis thaliana GN=GGR PE=1 SV=2</t>
  </si>
  <si>
    <t>Probable sphingolipid transporter spinster homolog 2 OS=Arabidopsis thaliana GN=At5g64500 PE=2 SV=1</t>
  </si>
  <si>
    <t>Pentatricopeptide repeat-containing protein At1g79080, chloroplastic OS=Arabidopsis thaliana GN=At1g79080 PE=2 SV=1</t>
  </si>
  <si>
    <t>Ubiquitin carboxyl-terminal hydrolase isozyme L3 OS=Bos taurus GN=UCHL3 PE=2 SV=1</t>
  </si>
  <si>
    <t>Cytochrome b561 and DOMON domain-containing protein At3g25290 OS=Arabidopsis thaliana GN=At3g25290 PE=2 SV=1</t>
  </si>
  <si>
    <t>Receptor-like serine/threonine-protein kinase NCRK OS=Arabidopsis thaliana GN=NCRK PE=1 SV=1</t>
  </si>
  <si>
    <t>DEAD-box ATP-dependent RNA helicase 40 OS=Arabidopsis thaliana GN=RH40 PE=2 SV=1</t>
  </si>
  <si>
    <t>Cation/calcium exchanger 2 OS=Arabidopsis thaliana GN=CCX2 PE=3 SV=1</t>
  </si>
  <si>
    <t>U-box domain-containing protein 30 OS=Arabidopsis thaliana GN=PUB30 PE=2 SV=1</t>
  </si>
  <si>
    <t>MAR-binding filament-like protein 1-1 OS=Nicotiana tabacum GN=MFP1-1 PE=2 SV=1</t>
  </si>
  <si>
    <t>Kinetochore protein spc25 OS=Schizosaccharomyces pombe (strain 972 / ATCC 24843) GN=spc25 PE=1 SV=1</t>
  </si>
  <si>
    <t>Transformation/transcription domain-associated protein OS=Homo sapiens GN=TRRAP PE=1 SV=3</t>
  </si>
  <si>
    <t>Pentatricopeptide repeat-containing protein At1g25360 OS=Arabidopsis thaliana GN=PCMP-H74 PE=2 SV=1</t>
  </si>
  <si>
    <t>Probable folate-biopterin transporter 4 OS=Arabidopsis thaliana GN=At5g54860 PE=2 SV=1</t>
  </si>
  <si>
    <t>Glutaredoxin-C2 OS=Arabidopsis thaliana GN=GRXC2 PE=2 SV=1</t>
  </si>
  <si>
    <t>Multifunctional methyltransferase subunit TRM112-like protein At1g22270 OS=Arabidopsis thaliana GN=At1g22270 PE=2 SV=1</t>
  </si>
  <si>
    <t>U-box domain-containing protein 19 OS=Arabidopsis thaliana GN=PUB19 PE=2 SV=1</t>
  </si>
  <si>
    <t>Small heat shock protein, chloroplastic OS=Oxybasis rubra GN=HSP23 PE=2 SV=1</t>
  </si>
  <si>
    <t>Oxybasis rubra</t>
  </si>
  <si>
    <t>U-box domain-containing protein 14 OS=Arabidopsis thaliana GN=PUB14 PE=1 SV=1</t>
  </si>
  <si>
    <t>Pentatricopeptide repeat-containing protein At4g33990 OS=Arabidopsis thaliana GN=EMB2758 PE=3 SV=2</t>
  </si>
  <si>
    <t>Amidophosphoribosyltransferase 2, chloroplastic OS=Arabidopsis thaliana GN=ASE2 PE=1 SV=1</t>
  </si>
  <si>
    <t>Leucine-rich repeat and coiled-coil domain-containing protein 1 OS=Xenopus laevis GN=lrrcc1 PE=2 SV=1</t>
  </si>
  <si>
    <t>Protein NRT1/ PTR FAMILY 7.3 OS=Arabidopsis thaliana GN=NPF7.3 PE=1 SV=2</t>
  </si>
  <si>
    <t>Tetraspanin-2 OS=Arabidopsis thaliana GN=TET2 PE=2 SV=1</t>
  </si>
  <si>
    <t>Pentatricopeptide repeat-containing protein At5g56310 OS=Arabidopsis thaliana GN=PCMP-E13 PE=2 SV=1</t>
  </si>
  <si>
    <t>60S ribosomal protein L35a-3 OS=Arabidopsis thaliana GN=RPL35AC PE=3 SV=1</t>
  </si>
  <si>
    <t>Hsp70 nucleotide exchange factor fes1 OS=Neosartorya fischeri (strain ATCC 1020 / DSM 3700 / FGSC A1164 / NRRL 181) GN=fes1 PE=3 SV=1</t>
  </si>
  <si>
    <t>Threonine synthase, chloroplastic OS=Solanum tuberosum PE=2 SV=1</t>
  </si>
  <si>
    <t>Uncharacterized membrane protein YuiD OS=Bacillus subtilis (strain 168) GN=yuiD PE=4 SV=1</t>
  </si>
  <si>
    <t>Bacillus subtilis</t>
  </si>
  <si>
    <t>Nucleosome-remodeling factor subunit NURF301 OS=Drosophila melanogaster GN=E(bx) PE=1 SV=2</t>
  </si>
  <si>
    <t>Protein LURP-one-related 3 OS=Arabidopsis thaliana GN=At1g53890 PE=2 SV=2</t>
  </si>
  <si>
    <t>HVA22-like protein a OS=Arabidopsis thaliana GN=HVA22A PE=2 SV=1</t>
  </si>
  <si>
    <t>Cyclin-D5-1 OS=Arabidopsis thaliana GN=CYCD5-1 PE=2 SV=2</t>
  </si>
  <si>
    <t>Enoyl-CoA delta isomerase 1, peroxisomal OS=Arabidopsis thaliana GN=ECI1 PE=1 SV=1</t>
  </si>
  <si>
    <t>Putative UDP-rhamnose:rhamnosyltransferase 1 OS=Fragaria ananassa GN=GT4 PE=2 SV=1</t>
  </si>
  <si>
    <t>Protein EXECUTER 1, chloroplastic OS=Arabidopsis thaliana GN=EX1 PE=1 SV=1</t>
  </si>
  <si>
    <t>GRF1-interacting factor 3 OS=Arabidopsis thaliana GN=GIF3 PE=1 SV=1</t>
  </si>
  <si>
    <t>Nuclear pore complex protein NUP205 OS=Arabidopsis thaliana GN=NUP205 PE=1 SV=1</t>
  </si>
  <si>
    <t>Probable serine/threonine-protein phosphatase 2A regulatory subunit B'' subunit TON2 OS=Arabidopsis thaliana GN=TON2 PE=1 SV=1</t>
  </si>
  <si>
    <t>Cyclin-T1-4 OS=Oryza sativa subsp. japonica GN=CYCT1-1 PE=2 SV=1</t>
  </si>
  <si>
    <t>Probable myosin-binding protein 4 OS=Arabidopsis thaliana GN=MYOB4 PE=3 SV=1</t>
  </si>
  <si>
    <t>Cat eye syndrome critical region protein 2 OS=Homo sapiens GN=CECR2 PE=1 SV=2</t>
  </si>
  <si>
    <t>Ribonucleoside-diphosphate reductase small chain A OS=Arabidopsis thaliana GN=RNR2A PE=1 SV=2</t>
  </si>
  <si>
    <t>Putative pentatricopeptide repeat-containing protein At3g08820 OS=Arabidopsis thaliana GN=PCMP-H84 PE=3 SV=1</t>
  </si>
  <si>
    <t>Probable protein S-acyltransferase 16 OS=Arabidopsis thaliana GN=PAT16 PE=2 SV=1</t>
  </si>
  <si>
    <t>3-oxo-Delta(4,5)-steroid 5-beta-reductase OS=Digitalis lanata PE=1 SV=1</t>
  </si>
  <si>
    <t>Digitalis lanata</t>
  </si>
  <si>
    <t>Putative formamidase C869.04 OS=Schizosaccharomyces pombe (strain 972 / ATCC 24843) GN=SPAC869.04 PE=3 SV=1</t>
  </si>
  <si>
    <t>Uncharacterized protein At4g08330, chloroplastic OS=Arabidopsis thaliana GN=At4g08330 PE=1 SV=1</t>
  </si>
  <si>
    <t>Zinc-finger homeodomain protein 1 OS=Oryza sativa subsp. japonica GN=ZHD1 PE=2 SV=1</t>
  </si>
  <si>
    <t>Serine/arginine-rich SC35-like splicing factor SCL28 OS=Arabidopsis thaliana GN=SCL28 PE=1 SV=1</t>
  </si>
  <si>
    <t>Phosphoglycerate mutase-like protein 1 OS=Arabidopsis thaliana GN=At5g64460 PE=2 SV=1</t>
  </si>
  <si>
    <t>DNA-directed RNA polymerase subunit beta' OS=Cucumis sativus GN=rpoC1 PE=3 SV=3</t>
  </si>
  <si>
    <t>Probable serine/threonine-protein kinase WNK11 OS=Arabidopsis thaliana GN=WNK11 PE=2 SV=1</t>
  </si>
  <si>
    <t>Putative E3 ubiquitin-protein ligase RING1a OS=Arabidopsis thaliana GN=RING1A PE=1 SV=2</t>
  </si>
  <si>
    <t>Putative disease resistance protein RGA4 OS=Solanum bulbocastanum GN=RGA4 PE=2 SV=1</t>
  </si>
  <si>
    <t>Inactive protein kinase SELMODRAFT_444075 OS=Selaginella moellendorffii GN=SELMODRAFT_444075 PE=2 SV=1</t>
  </si>
  <si>
    <t>Selaginella moellendorffii</t>
  </si>
  <si>
    <t>Ataxin-7-like protein 3 OS=Danio rerio GN=atxn7l3 PE=2 SV=1</t>
  </si>
  <si>
    <t>Persulfide dioxygenase ETHE1 homolog, mitochondrial OS=Arabidopsis thaliana GN=GLY3 PE=1 SV=3</t>
  </si>
  <si>
    <t>Putative B3 domain-containing protein At4g03170 OS=Arabidopsis thaliana GN=At4g03170 PE=3 SV=1</t>
  </si>
  <si>
    <t>Uncharacterized protein sll1770 OS=Synechocystis sp. (strain PCC 6803 / Kazusa) GN=sll1770 PE=3 SV=1</t>
  </si>
  <si>
    <t>RPM1-interacting protein 4 OS=Arabidopsis thaliana GN=RIN4 PE=1 SV=1</t>
  </si>
  <si>
    <t>V-type proton ATPase subunit a1 OS=Arabidopsis thaliana GN=VHA-a1 PE=2 SV=1</t>
  </si>
  <si>
    <t>Serine/threonine-protein kinase SAPK2 OS=Oryza sativa subsp. indica GN=SAPK2 PE=2 SV=2</t>
  </si>
  <si>
    <t>Glutamate--tRNA ligase, chloroplastic/mitochondrial OS=Arabidopsis thaliana GN=OVA3 PE=2 SV=1</t>
  </si>
  <si>
    <t>GTPase-activating protein GYP7 OS=Yarrowia lipolytica (strain CLIB 122 / E 150) GN=GYP7 PE=3 SV=2</t>
  </si>
  <si>
    <t>Yarrowia lipolytica</t>
  </si>
  <si>
    <t>Organ-specific protein P4 OS=Pisum sativum PE=2 SV=1</t>
  </si>
  <si>
    <t>Uncharacterized RNA methyltransferase CT0009 OS=Chlorobium tepidum (strain ATCC 49652 / DSM 12025 / NBRC 103806 / TLS) GN=CT0009 PE=3 SV=1</t>
  </si>
  <si>
    <t>Chlorobium tepidum</t>
  </si>
  <si>
    <t>Uncharacterized RING finger protein C2F3.16 OS=Schizosaccharomyces pombe (strain 972 / ATCC 24843) GN=SPAC2F3.16 PE=3 SV=1</t>
  </si>
  <si>
    <t>Transcription factor BIM2 OS=Arabidopsis thaliana GN=BIM2 PE=1 SV=1</t>
  </si>
  <si>
    <t>Double-stranded RNA-binding protein 3 OS=Arabidopsis thaliana GN=DRB3 PE=1 SV=1</t>
  </si>
  <si>
    <t>Somatic embryogenesis receptor kinase 1 OS=Arabidopsis thaliana GN=SERK1 PE=1 SV=2</t>
  </si>
  <si>
    <t>Putative pentatricopeptide repeat-containing protein At5g59900 OS=Arabidopsis thaliana GN=At5g59900 PE=3 SV=1</t>
  </si>
  <si>
    <t>6,7-dimethyl-8-ribityllumazine synthase, chloroplastic OS=Arabidopsis thaliana GN=At2g44050 PE=2 SV=1</t>
  </si>
  <si>
    <t>5'-nucleotidase domain-containing protein DDB_G0275467 OS=Dictyostelium discoideum GN=DDB_G0275467 PE=3 SV=1</t>
  </si>
  <si>
    <t>G-box-binding factor 4 OS=Arabidopsis thaliana GN=GBF4 PE=1 SV=1</t>
  </si>
  <si>
    <t>Pentatricopeptide repeat-containing protein At5g48730, chloroplastic OS=Arabidopsis thaliana GN=At5g48730 PE=2 SV=2</t>
  </si>
  <si>
    <t>Respiratory burst oxidase homolog protein E OS=Arabidopsis thaliana GN=RBOHE PE=2 SV=2</t>
  </si>
  <si>
    <t>Transcription factor bHLH62 OS=Arabidopsis thaliana GN=BHLH62 PE=2 SV=1</t>
  </si>
  <si>
    <t>Flavonoid 3',5'-methyltransferase OS=Vitis vinifera GN=FAOMT PE=1 SV=1</t>
  </si>
  <si>
    <t>DNA-directed RNA polymerase subunit beta'' OS=Morus indica GN=rpoC2 PE=3 SV=1</t>
  </si>
  <si>
    <t>DEAD-box ATP-dependent RNA helicase 28 OS=Arabidopsis thaliana GN=RH28 PE=2 SV=1</t>
  </si>
  <si>
    <t>Pumilio homolog 5 OS=Arabidopsis thaliana GN=APUM5 PE=1 SV=2</t>
  </si>
  <si>
    <t>Ornithine carbamoyltransferase, chloroplastic OS=Pisum sativum GN=ARGF PE=2 SV=1</t>
  </si>
  <si>
    <t>Ferritin-3, chloroplastic OS=Glycine max PE=2 SV=1</t>
  </si>
  <si>
    <t>Sulfate transporter 3.1 OS=Arabidopsis thaliana GN=SULTR3;1 PE=2 SV=1</t>
  </si>
  <si>
    <t>Protein ROS1 OS=Arabidopsis thaliana GN=ROS1 PE=1 SV=2</t>
  </si>
  <si>
    <t>Nijmegen breakage syndrome 1 protein OS=Arabidopsis thaliana GN=NBS1 PE=1 SV=1</t>
  </si>
  <si>
    <t>Transcription factor IIIB 90 kDa subunit OS=Mus musculus GN=Brf1 PE=2 SV=1</t>
  </si>
  <si>
    <t>Putative pentatricopeptide repeat-containing protein At4g17915 OS=Arabidopsis thaliana GN=At4g17915 PE=3 SV=1</t>
  </si>
  <si>
    <t>Dynein light chain, cytoplasmic OS=Dictyostelium discoideum GN=dlcB PE=3 SV=1</t>
  </si>
  <si>
    <t>Cinnamoyl-CoA reductase 2 OS=Arabidopsis thaliana GN=CCR2 PE=1 SV=1</t>
  </si>
  <si>
    <t>General transcription factor 3C polypeptide 5 OS=Homo sapiens GN=GTF3C5 PE=1 SV=2</t>
  </si>
  <si>
    <t>Protein HGH1 homolog OS=Dictyostelium discoideum GN=DDB_G0276861 PE=3 SV=1</t>
  </si>
  <si>
    <t>Putative Holliday junction resolvase OS=Caldicellulosiruptor saccharolyticus (strain ATCC 43494 / DSM 8903 / Tp8T 6331) GN=Csac_1776 PE=3 SV=1</t>
  </si>
  <si>
    <t>Caldicellulosiruptor saccharolyticus</t>
  </si>
  <si>
    <t>Probable disease resistance RPP8-like protein 2 OS=Arabidopsis thaliana GN=RPP8L2 PE=3 SV=1</t>
  </si>
  <si>
    <t>Protein tas OS=Shigella flexneri GN=tas PE=3 SV=1</t>
  </si>
  <si>
    <t>Shigella flexneri</t>
  </si>
  <si>
    <t>Allantoate deiminase OS=Arabidopsis thaliana GN=AAH PE=1 SV=2</t>
  </si>
  <si>
    <t>SURP and G-patch domain-containing protein 1-like protein OS=Arabidopsis thaliana GN=At3g52120 PE=2 SV=1</t>
  </si>
  <si>
    <t>Prostaglandin E synthase 2 OS=Danio rerio GN=ptges2 PE=2 SV=1</t>
  </si>
  <si>
    <t>Uncharacterized protein At3g49140 OS=Arabidopsis thaliana GN=At3g49140 PE=1 SV=2</t>
  </si>
  <si>
    <t>Organellar oligopeptidase A, chloroplastic/mitochondrial OS=Arabidopsis thaliana GN=OOP PE=1 SV=1</t>
  </si>
  <si>
    <t>Histone-lysine N-methyltransferase ATXR3 OS=Arabidopsis thaliana GN=ATXR3 PE=2 SV=2</t>
  </si>
  <si>
    <t>Protein ECERIFERUM 7 OS=Arabidopsis thaliana GN=CER7 PE=2 SV=1</t>
  </si>
  <si>
    <t>Prefoldin subunit 6 OS=Mus musculus GN=Pfdn6 PE=2 SV=1</t>
  </si>
  <si>
    <t>Protein NRT1/ PTR FAMILY 5.5 OS=Arabidopsis thaliana GN=NPF5.5 PE=2 SV=1</t>
  </si>
  <si>
    <t>Probable calcium-binding protein CML16 OS=Arabidopsis thaliana GN=CML16 PE=2 SV=2</t>
  </si>
  <si>
    <t>Anaphase-promoting complex subunit 7 OS=Arabidopsis thaliana GN=APC7 PE=2 SV=1</t>
  </si>
  <si>
    <t>Protein SAWADEE HOMEODOMAIN HOMOLOG 1 OS=Arabidopsis thaliana GN=SHH1 PE=1 SV=1</t>
  </si>
  <si>
    <t>Protein HEADING DATE 3A OS=Oryza sativa subsp. japonica GN=HD3A PE=1 SV=1</t>
  </si>
  <si>
    <t>Protein transport protein Sec61 subunit alpha OS=Dictyostelium discoideum GN=sec61a PE=3 SV=1</t>
  </si>
  <si>
    <t>Chaperonin CPN60-2, mitochondrial OS=Cucurbita maxima GN=CPN60-2 PE=1 SV=1</t>
  </si>
  <si>
    <t>Autophagy-related protein 2 OS=Cryptococcus neoformans var. neoformans serotype D (strain JEC21 / ATCC MYA-565) GN=ATG2 PE=3 SV=1</t>
  </si>
  <si>
    <t>Cryptococcus neoformans</t>
  </si>
  <si>
    <t>Probable leucine-rich repeat receptor-like protein kinase At5g49770 OS=Arabidopsis thaliana GN=At5g49770 PE=2 SV=1</t>
  </si>
  <si>
    <t>Uncharacterized protein At2g39795, mitochondrial OS=Arabidopsis thaliana GN=At2g39795 PE=2 SV=1</t>
  </si>
  <si>
    <t>Eukaryotic translation initiation factor 2A OS=Schizosaccharomyces pombe (strain 972 / ATCC 24843) GN=SPBC4B4.04 PE=1 SV=1</t>
  </si>
  <si>
    <t>Phosphoenolpyruvate carboxylase kinase 1 OS=Arabidopsis thaliana GN=PPCK1 PE=1 SV=1</t>
  </si>
  <si>
    <t>Pentatricopeptide repeat-containing protein At5g66520 OS=Arabidopsis thaliana GN=PCMP-H61 PE=2 SV=1</t>
  </si>
  <si>
    <t>Peptidyl-prolyl cis-trans isomerase CYP23 OS=Arabidopsis thaliana GN=CYP23 PE=2 SV=1</t>
  </si>
  <si>
    <t>Calreticulin-3 OS=Arabidopsis thaliana GN=CRT3 PE=1 SV=2</t>
  </si>
  <si>
    <t>Zinc finger CCCH domain-containing protein 39 OS=Arabidopsis thaliana GN=At3g19360 PE=2 SV=1</t>
  </si>
  <si>
    <t>60S ribosomal protein L10a OS=Oryza sativa subsp. japonica GN=RPL10A PE=1 SV=1</t>
  </si>
  <si>
    <t>Homeobox-leucine zipper protein ATHB-12 OS=Arabidopsis thaliana GN=ATHB-12 PE=2 SV=1</t>
  </si>
  <si>
    <t>Oxysterol-binding protein-related protein 4B OS=Arabidopsis thaliana GN=ORP4B PE=2 SV=2</t>
  </si>
  <si>
    <t>2-phosphoglycerate kinase OS=Pyrococcus horikoshii (strain ATCC 700860 / DSM 12428 / JCM 9974 / NBRC 100139 / OT-3) GN=pgk2 PE=3 SV=1</t>
  </si>
  <si>
    <t>Pyrococcus horikoshii</t>
  </si>
  <si>
    <t>25.3 kDa vesicle transport protein OS=Arabidopsis thaliana GN=SEC22 PE=2 SV=1</t>
  </si>
  <si>
    <t>Magnesium-dependent phosphatase 1 OS=Mus musculus GN=Mdp1 PE=1 SV=1</t>
  </si>
  <si>
    <t>Galactinol synthase 1 OS=Arabidopsis thaliana GN=GOLS1 PE=1 SV=1</t>
  </si>
  <si>
    <t>UPF0496 protein At3g19330 OS=Arabidopsis thaliana GN=At3g19330 PE=2 SV=2</t>
  </si>
  <si>
    <t>NADH dehydrogenase [ubiquinone] 1 beta subcomplex subunit 2 OS=Arabidopsis thaliana GN=At1g76200 PE=3 SV=1</t>
  </si>
  <si>
    <t>Chaperone protein ClpB1 OS=Arabidopsis thaliana GN=CLPB1 PE=1 SV=2</t>
  </si>
  <si>
    <t>Nuclear transcription factor Y subunit B-8 OS=Arabidopsis thaliana GN=NFYB8 PE=2 SV=1</t>
  </si>
  <si>
    <t>Nischarin OS=Homo sapiens GN=NISCH PE=1 SV=3</t>
  </si>
  <si>
    <t>Putative lipase YOR059C OS=Saccharomyces cerevisiae (strain ATCC 204508 / S288c) GN=YOR059C PE=1 SV=1</t>
  </si>
  <si>
    <t>Protein SLOW WALKER 1 OS=Arabidopsis thaliana GN=SWA1 PE=2 SV=1</t>
  </si>
  <si>
    <t>Zinc finger MYM-type protein 1 OS=Homo sapiens GN=ZMYM1 PE=2 SV=1</t>
  </si>
  <si>
    <t>Methyl-CpG-binding domain-containing protein 9 OS=Arabidopsis thaliana GN=MBD9 PE=2 SV=1</t>
  </si>
  <si>
    <t>Probable serine/threonine-protein kinase DDB_G0271538 OS=Dictyostelium discoideum GN=DDB_G0271538 PE=3 SV=1</t>
  </si>
  <si>
    <t>Mitochondrial uncoupling protein 5 OS=Arabidopsis thaliana GN=PUMP5 PE=2 SV=1</t>
  </si>
  <si>
    <t>Calmodulin OS=Solanum lycopersicum GN=CALM1 PE=2 SV=2</t>
  </si>
  <si>
    <t>U-box domain-containing protein 28 OS=Arabidopsis thaliana GN=PUB28 PE=1 SV=1</t>
  </si>
  <si>
    <t>Lupeol synthase OS=Glycyrrhiza glabra GN=LUS1 PE=1 SV=1</t>
  </si>
  <si>
    <t>Glycyrrhiza glabra</t>
  </si>
  <si>
    <t>U11/U12 small nuclear ribonucleoprotein 25 kDa protein OS=Bos taurus GN=SNRNP25 PE=2 SV=2</t>
  </si>
  <si>
    <t>G-type lectin S-receptor-like serine/threonine-protein kinase SD1-1 OS=Arabidopsis thaliana GN=SD11 PE=1 SV=1</t>
  </si>
  <si>
    <t>Zinc finger CCCH domain-containing protein 62 OS=Oryza sativa subsp. japonica GN=Os10g0391300 PE=3 SV=2</t>
  </si>
  <si>
    <t>Homologous-pairing protein 2 homolog OS=Arabidopsis thaliana GN=HOP2 PE=1 SV=1</t>
  </si>
  <si>
    <t>Omega-hydroxypalmitate O-feruloyl transferase OS=Arabidopsis thaliana GN=HHT1 PE=1 SV=1</t>
  </si>
  <si>
    <t>Bifunctional protein FolD 4, chloroplastic OS=Arabidopsis thaliana GN=FOLD4 PE=2 SV=1</t>
  </si>
  <si>
    <t>Kinase-interacting family protein OS=Arabidopsis thaliana GN=At1g48405 PE=2 SV=1</t>
  </si>
  <si>
    <t>Amino acid permease 3 OS=Arabidopsis thaliana GN=AAP3 PE=1 SV=2</t>
  </si>
  <si>
    <t>Clathrin heavy chain 1 OS=Arabidopsis thaliana GN=CHC1 PE=1 SV=1</t>
  </si>
  <si>
    <t>ATP-dependent RNA helicase DHX36 OS=Homo sapiens GN=DHX36 PE=1 SV=2</t>
  </si>
  <si>
    <t>Cyclin-U2-1 OS=Arabidopsis thaliana GN=CYCU2-1 PE=1 SV=1</t>
  </si>
  <si>
    <t>Protein HVA22 OS=Hordeum vulgare GN=HVA22 PE=2 SV=1</t>
  </si>
  <si>
    <t>HMG-Y-related protein A OS=Glycine max PE=2 SV=1</t>
  </si>
  <si>
    <t>Transcription factor MYB46 OS=Arabidopsis thaliana GN=MYB46 PE=2 SV=1</t>
  </si>
  <si>
    <t>50S ribosomal protein L4 OS=Rhodospirillum centenum (strain ATCC 51521 / SW) GN=rplD PE=3 SV=1</t>
  </si>
  <si>
    <t>Heme-binding protein 2 OS=Homo sapiens GN=HEBP2 PE=1 SV=1</t>
  </si>
  <si>
    <t>Cysteine-rich repeat secretory protein 3 OS=Arabidopsis thaliana GN=CRRSP3 PE=1 SV=1</t>
  </si>
  <si>
    <t>Histone H2A OS=Euphorbia esula PE=2 SV=1</t>
  </si>
  <si>
    <t>Sm-like protein LSM1B OS=Arabidopsis thaliana GN=LSM1B PE=1 SV=1</t>
  </si>
  <si>
    <t>11S globulin seed storage protein 2 OS=Sesamum indicum PE=2 SV=1</t>
  </si>
  <si>
    <t>Sesamum indicum</t>
  </si>
  <si>
    <t>Protein transport protein Sec61 subunit beta OS=Arabidopsis thaliana GN=At2g45070 PE=1 SV=1</t>
  </si>
  <si>
    <t>Expansin-A15 OS=Arabidopsis thaliana GN=EXPA15 PE=2 SV=2</t>
  </si>
  <si>
    <t>Pentatricopeptide repeat-containing protein At1g80270, mitochondrial OS=Arabidopsis thaliana GN=At1g80270 PE=2 SV=1</t>
  </si>
  <si>
    <t>Actin-depolymerizing factor OS=Vitis vinifera PE=2 SV=1</t>
  </si>
  <si>
    <t>Translation factor GUF1 homolog, mitochondrial OS=Ricinus communis GN=RCOM_0855130 PE=3 SV=1</t>
  </si>
  <si>
    <t>Basic leucine zipper 61 OS=Arabidopsis thaliana GN=BZIP61 PE=1 SV=1</t>
  </si>
  <si>
    <t>Ubiquitin-activating enzyme E1 1 OS=Arabidopsis thaliana GN=UBA1 PE=1 SV=1</t>
  </si>
  <si>
    <t>Protein LIGHT-DEPENDENT SHORT HYPOCOTYLS 1 OS=Arabidopsis thaliana GN=LSH1 PE=1 SV=1</t>
  </si>
  <si>
    <t>Probable methyltransferase PMT5 OS=Arabidopsis thaliana GN=At2g03480 PE=2 SV=2</t>
  </si>
  <si>
    <t>Ureidoglycolate hydrolase OS=Arabidopsis thaliana GN=UAH PE=1 SV=1</t>
  </si>
  <si>
    <t>V-type proton ATPase subunit G OS=Citrus limon GN=VATG PE=3 SV=1</t>
  </si>
  <si>
    <t>Citrus limon</t>
  </si>
  <si>
    <t>Zeaxanthin epoxidase, chloroplastic OS=Prunus armeniaca PE=2 SV=1</t>
  </si>
  <si>
    <t>H/ACA ribonucleoprotein complex non-core subunit NAF1 OS=Rattus norvegicus GN=Naf1 PE=2 SV=1</t>
  </si>
  <si>
    <t>Endoplasmin homolog OS=Catharanthus roseus GN=HSP90 PE=2 SV=1</t>
  </si>
  <si>
    <t>Probable glutathione S-transferase OS=Nicotiana tabacum PE=2 SV=1</t>
  </si>
  <si>
    <t>DNA mismatch repair protein PMS1 OS=Arabidopsis thaliana GN=PMS1 PE=1 SV=1</t>
  </si>
  <si>
    <t>Outer envelope pore protein 37, chloroplastic OS=Pisum sativum GN=OEP37 PE=1 SV=1</t>
  </si>
  <si>
    <t>Histone deacetylase HDT1 OS=Glycine max GN=HDT1 PE=2 SV=1</t>
  </si>
  <si>
    <t>Protein NRT1/ PTR FAMILY 8.2 OS=Arabidopsis thaliana GN=NPF8.2 PE=2 SV=1</t>
  </si>
  <si>
    <t>Pirin-like protein OS=Solanum lycopersicum PE=2 SV=1</t>
  </si>
  <si>
    <t>Wall-associated receptor kinase 5 OS=Arabidopsis thaliana GN=WAK5 PE=2 SV=1</t>
  </si>
  <si>
    <t>Mediator of RNA polymerase II transcription subunit 30 OS=Arabidopsis thaliana GN=MED30 PE=1 SV=1</t>
  </si>
  <si>
    <t>DNA-directed RNA polymerase subunit beta'' OS=Manihot esculenta GN=rpoC2 PE=3 SV=1</t>
  </si>
  <si>
    <t>Manihot esculenta</t>
  </si>
  <si>
    <t>FHA domain-containing protein PS1 OS=Arabidopsis thaliana GN=PS1 PE=2 SV=1</t>
  </si>
  <si>
    <t>Putative pectinesterase 63 OS=Arabidopsis thaliana GN=PME63 PE=3 SV=2</t>
  </si>
  <si>
    <t>ACT domain-containing protein ACR8 OS=Arabidopsis thaliana GN=ACR8 PE=2 SV=1</t>
  </si>
  <si>
    <t>Protein S-acyltransferase 11 OS=Arabidopsis thaliana GN=PAT11 PE=2 SV=1</t>
  </si>
  <si>
    <t>Haloacid dehalogenase-like hydrolase domain-containing protein 3 OS=Mus musculus GN=Hdhd3 PE=1 SV=1</t>
  </si>
  <si>
    <t>ATPase family AAA domain-containing protein 1 OS=Bos taurus GN=ATAD1 PE=2 SV=2</t>
  </si>
  <si>
    <t>ATP-dependent DNA helicase Q-like 4A OS=Arabidopsis thaliana GN=RECQL4A PE=2 SV=1</t>
  </si>
  <si>
    <t>Transcription factor bHLH74 OS=Arabidopsis thaliana GN=BHLH74 PE=1 SV=1</t>
  </si>
  <si>
    <t>30S ribosomal protein S21, chloroplastic (Fragment) OS=Spinacia oleracea GN=rps21 PE=1 SV=1</t>
  </si>
  <si>
    <t>ATP synthase gamma chain, chloroplastic OS=Nicotiana tabacum GN=ATPC PE=1 SV=1</t>
  </si>
  <si>
    <t>Probable glutamate carboxypeptidase 2 OS=Arabidopsis thaliana GN=AMP1 PE=1 SV=3</t>
  </si>
  <si>
    <t>Ribonuclease J OS=Corynebacterium glutamicum (strain ATCC 13032 / DSM 20300 / JCM 1318 / LMG 3730 / NCIMB 10025) GN=rnj PE=3 SV=2</t>
  </si>
  <si>
    <t>Corynebacterium glutamicum</t>
  </si>
  <si>
    <t>Phospholipase A1-Ialpha2, chloroplastic OS=Arabidopsis thaliana GN=At2g31690 PE=1 SV=1</t>
  </si>
  <si>
    <t>Mannose-1-phosphate guanyltransferase alpha OS=Dictyostelium discoideum GN=gmppA PE=2 SV=1</t>
  </si>
  <si>
    <t>Anthranilate phosphoribosyltransferase OS=Aquifex aeolicus (strain VF5) GN=trpD PE=3 SV=1</t>
  </si>
  <si>
    <t>60S ribosomal protein L27-3 OS=Arabidopsis thaliana GN=RPL27C PE=2 SV=2</t>
  </si>
  <si>
    <t>Calvin cycle protein CP12-2, chloroplastic OS=Arabidopsis thaliana GN=CP12-2 PE=1 SV=1</t>
  </si>
  <si>
    <t>Receptor-like protein kinase BRI1-like 3 OS=Arabidopsis thaliana GN=BRL3 PE=1 SV=1</t>
  </si>
  <si>
    <t>U2 small nuclear ribonucleoprotein B'' 2 OS=Arabidopsis thaliana GN=At1g06960 PE=1 SV=1</t>
  </si>
  <si>
    <t>UDP-glucuronate 4-epimerase 6 OS=Arabidopsis thaliana GN=GAE6 PE=1 SV=1</t>
  </si>
  <si>
    <t>Cold-inducible RNA-binding protein OS=Xenopus tropicalis GN=cirbp PE=2 SV=1</t>
  </si>
  <si>
    <t>Charged multivesicular body protein 5 OS=Rattus norvegicus GN=Chmp5 PE=2 SV=1</t>
  </si>
  <si>
    <t>NAC domain-containing protein 62 OS=Arabidopsis thaliana GN=NAC062 PE=1 SV=1</t>
  </si>
  <si>
    <t>Calcineurin B-like protein 1 OS=Arabidopsis thaliana GN=CBL1 PE=1 SV=3</t>
  </si>
  <si>
    <t>ADP-ribosylation factor-related protein 1 OS=Rattus norvegicus GN=Arfrp1 PE=2 SV=1</t>
  </si>
  <si>
    <t>B3 domain-containing protein At3g19184 OS=Arabidopsis thaliana GN=At3g19184 PE=2 SV=1</t>
  </si>
  <si>
    <t>60S ribosomal protein L44 OS=Gossypium hirsutum GN=RPL44 PE=3 SV=3</t>
  </si>
  <si>
    <t>Uncharacterized protein At5g05190 OS=Arabidopsis thaliana GN=Y-1 PE=1 SV=1</t>
  </si>
  <si>
    <t>Aspartate aminotransferase 3, chloroplastic OS=Arabidopsis thaliana GN=ASP3 PE=1 SV=1</t>
  </si>
  <si>
    <t>Serine/threonine-protein phosphatase 5 OS=Solanum lycopersicum GN=PP5 PE=1 SV=1</t>
  </si>
  <si>
    <t>Cyclin-dependent kinase G-2 OS=Oryza sativa subsp. japonica GN=CDKG-2 PE=2 SV=2</t>
  </si>
  <si>
    <t>Potassium transporter 5 OS=Arabidopsis thaliana GN=POT5 PE=1 SV=1</t>
  </si>
  <si>
    <t>Putative calcium-binding protein CML19 OS=Oryza sativa subsp. japonica GN=CML19 PE=3 SV=1</t>
  </si>
  <si>
    <t>Pentatricopeptide repeat-containing protein At5g13770, chloroplastic OS=Arabidopsis thaliana GN=At5g13770 PE=2 SV=1</t>
  </si>
  <si>
    <t>Protein PIR OS=Arabidopsis thaliana GN=PIR PE=1 SV=2</t>
  </si>
  <si>
    <t>Uncharacterized protein ycf37 OS=Guillardia theta GN=ycf37 PE=3 SV=1</t>
  </si>
  <si>
    <t>Guillardia theta</t>
  </si>
  <si>
    <t>Protein EPD2 OS=Candida maltosa GN=EPD2 PE=3 SV=1</t>
  </si>
  <si>
    <t>Candida maltosa</t>
  </si>
  <si>
    <t>Signal peptide peptidase-like 2 OS=Arabidopsis thaliana GN=SPPL2 PE=2 SV=1</t>
  </si>
  <si>
    <t>SEC12-like protein 1 OS=Arabidopsis thaliana GN=PHF1 PE=1 SV=2</t>
  </si>
  <si>
    <t>Pathogenesis-related genes transcriptional activator PTI5 OS=Solanum lycopersicum GN=PTI5 PE=2 SV=1</t>
  </si>
  <si>
    <t>Transcription factor TCP9 OS=Arabidopsis thaliana GN=TCP9 PE=2 SV=1</t>
  </si>
  <si>
    <t>Protein DA1-related 2 OS=Arabidopsis thaliana GN=DAR2 PE=2 SV=1</t>
  </si>
  <si>
    <t>Primary amine oxidase OS=Arthrobacter sp. (strain P1) GN=maoI PE=1 SV=1</t>
  </si>
  <si>
    <t>Arthrobacter sp.</t>
  </si>
  <si>
    <t>MATE efflux family protein 4, chloroplastic OS=Arabidopsis thaliana GN=DTX46 PE=2 SV=1</t>
  </si>
  <si>
    <t>Oxysterol-binding protein-related protein 1C OS=Arabidopsis thaliana GN=ORP1C PE=2 SV=1</t>
  </si>
  <si>
    <t>UPF0202 protein At1g10490 OS=Arabidopsis thaliana GN=At1g10490 PE=2 SV=2</t>
  </si>
  <si>
    <t>Protein STRICTOSidINE SYNTHASE-LIKE 6 OS=Arabidopsis thaliana GN=SSL6 PE=2 SV=1</t>
  </si>
  <si>
    <t>N-lysine methyltransferase setd6 OS=Xenopus laevis GN=setd6 PE=2 SV=1</t>
  </si>
  <si>
    <t>Cytochrome P450 94C1 OS=Arabidopsis thaliana GN=CYP94C1 PE=2 SV=1</t>
  </si>
  <si>
    <t>Serine carboxypeptidase-like 45 OS=Arabidopsis thaliana GN=SCPL45 PE=2 SV=1</t>
  </si>
  <si>
    <t>Nuclear transcription factor Y subunit B-6 OS=Arabidopsis thaliana GN=NFYB6 PE=1 SV=2</t>
  </si>
  <si>
    <t>Proteasome subunit alpha type-6 OS=Nicotiana tabacum GN=PAA1 PE=2 SV=1</t>
  </si>
  <si>
    <t>Lipopolysaccharide 1,2-N-acetylglucosaminetransferase OS=Salmonella typhimurium (strain LT2 / SGSC1412 / ATCC 700720) GN=waaK PE=3 SV=1</t>
  </si>
  <si>
    <t>Putative SWI/SNF-related matrix-associated actin-dependent regulator of chromatin subfamily A member 3-like 1 OS=Arabidopsis thaliana GN=At5g05130 PE=2 SV=1</t>
  </si>
  <si>
    <t>15.4 kDa class V heat shock protein OS=Arabidopsis thaliana GN=HSP15.4 PE=2 SV=1</t>
  </si>
  <si>
    <t>Carbonic anhydrase, chloroplastic OS=Spinacia oleracea PE=1 SV=2</t>
  </si>
  <si>
    <t>Putative branched-chain-amino-acid aminotransferase 7 OS=Arabidopsis thaliana GN=BCAT7 PE=5 SV=1</t>
  </si>
  <si>
    <t>Leucine--tRNA ligase, chloroplastic/mitochondrial OS=Arabidopsis thaliana GN=EMB2369 PE=2 SV=1</t>
  </si>
  <si>
    <t>Triacylglycerol lipase 2 OS=Arabidopsis thaliana GN=LIP2 PE=2 SV=1</t>
  </si>
  <si>
    <t>3-dehydroquinate synthase, chloroplastic OS=Actinidia chinensis GN=DHQS PE=1 SV=2</t>
  </si>
  <si>
    <t>Actinidia chinensis</t>
  </si>
  <si>
    <t>BURP domain-containing protein 3 OS=Oryza sativa subsp. japonica GN=BURP3 PE=2 SV=1</t>
  </si>
  <si>
    <t>Serine/threonine-protein kinase EDR1 OS=Arabidopsis thaliana GN=EDR1 PE=1 SV=1</t>
  </si>
  <si>
    <t>Uncharacterized AAA domain-containing protein C24B10.10c OS=Schizosaccharomyces pombe (strain 972 / ATCC 24843) GN=SPCC24B10.10c PE=3 SV=1</t>
  </si>
  <si>
    <t>High mobility group B protein 14 OS=Arabidopsis thaliana GN=HMGB14 PE=2 SV=2</t>
  </si>
  <si>
    <t>Serine/threonine protein phosphatase 2A 59 kDa regulatory subunit B' eta isoform OS=Arabidopsis thaliana GN=B'ETA PE=2 SV=1</t>
  </si>
  <si>
    <t>PHD finger protein ALFIN-LIKE 1 OS=Arabidopsis thaliana GN=AL1 PE=1 SV=1</t>
  </si>
  <si>
    <t>Ribosomal RNA processing protein 36 homolog OS=Nematostella vectensis GN=v1g245966 PE=3 SV=1</t>
  </si>
  <si>
    <t>Reticulon-like protein B17 OS=Arabidopsis thaliana GN=RTNLB17 PE=2 SV=1</t>
  </si>
  <si>
    <t>ATP-dependent 6-phosphofructokinase 2 OS=Arabidopsis thaliana GN=PFK2 PE=1 SV=1</t>
  </si>
  <si>
    <t>Monothiol glutaredoxin-S17 OS=Arabidopsis thaliana GN=GRXS17 PE=1 SV=1</t>
  </si>
  <si>
    <t>Methyltransferase-like protein 22 OS=Homo sapiens GN=METTL22 PE=1 SV=2</t>
  </si>
  <si>
    <t>Probable pectinesterase/pectinesterase inhibitor 58 OS=Arabidopsis thaliana GN=PME58 PE=2 SV=1</t>
  </si>
  <si>
    <t>Putative ABC1 protein At2g40090 OS=Arabidopsis thaliana GN=At2g40090 PE=2 SV=2</t>
  </si>
  <si>
    <t>Peroxidase 27 OS=Arabidopsis thaliana GN=PER27 PE=1 SV=1</t>
  </si>
  <si>
    <t>Protein indeterminate-domain 12 OS=Arabidopsis thaliana GN=idD12 PE=2 SV=2</t>
  </si>
  <si>
    <t>Sedoheptulose-1,7-bisphosphatase, chloroplastic OS=Arabidopsis thaliana GN=At3g55800 PE=2 SV=1</t>
  </si>
  <si>
    <t>Probable carboxylesterase 6 OS=Arabidopsis thaliana GN=CXE6 PE=2 SV=1</t>
  </si>
  <si>
    <t>MLO-like protein 13 OS=Arabidopsis thaliana GN=MLO13 PE=2 SV=1</t>
  </si>
  <si>
    <t>Phosphatidylinositol/phosphatidylcholine transfer protein SFH3 OS=Arabidopsis thaliana GN=SFH3 PE=2 SV=1</t>
  </si>
  <si>
    <t>Pectinesterase 2 OS=Citrus sinensis GN=PECS-2.1 PE=2 SV=1</t>
  </si>
  <si>
    <t>Protein ROOT PRIMORDIUM DEFECTIVE 1 OS=Arabidopsis thaliana GN=RPD1 PE=1 SV=1</t>
  </si>
  <si>
    <t>Putative disease resistance protein RGA3 OS=Solanum bulbocastanum GN=RGA3 PE=2 SV=2</t>
  </si>
  <si>
    <t>Probable copper-transporting ATPase HMA5 OS=Arabidopsis thaliana GN=HMA5 PE=1 SV=2</t>
  </si>
  <si>
    <t>Mannosyl-oligosaccharide 1,2-alpha-mannosidase MNS3 OS=Arabidopsis thaliana GN=MNS3 PE=2 SV=1</t>
  </si>
  <si>
    <t>ABC transporter G family member 33 OS=Arabidopsis thaliana GN=ABCG33 PE=2 SV=1</t>
  </si>
  <si>
    <t>Transcription initiation factor IIB OS=Dictyostelium discoideum GN=gtf2b PE=3 SV=1</t>
  </si>
  <si>
    <t>CASP-like protein 1F2 OS=Ricinus communis GN=RCOM_1446020 PE=2 SV=1</t>
  </si>
  <si>
    <t>Transcription factor IND OS=Arabidopsis thaliana GN=IND PE=1 SV=3</t>
  </si>
  <si>
    <t>Zinc finger CCCH domain-containing protein 38 OS=Arabidopsis thaliana GN=At3g18640 PE=2 SV=1</t>
  </si>
  <si>
    <t>Uncharacterized protein At1g66480 OS=Arabidopsis thaliana GN=At1g66480 PE=2 SV=1</t>
  </si>
  <si>
    <t>NADH kinase OS=Arabidopsis thaliana GN=NADK3 PE=1 SV=1</t>
  </si>
  <si>
    <t>CLAVATA3/ESR (CLE)-related protein 44 OS=Arabidopsis thaliana GN=CLE44 PE=1 SV=1</t>
  </si>
  <si>
    <t>Remorin OS=Solanum tuberosum PE=1 SV=1</t>
  </si>
  <si>
    <t>L10-interacting MYB domain-containing protein OS=Arabidopsis thaliana GN=LIMYB PE=1 SV=1</t>
  </si>
  <si>
    <t>Elicitor-responsive protein 3 OS=Oryza sativa subsp. japonica GN=ERG3 PE=2 SV=1</t>
  </si>
  <si>
    <t>Probable receptor-like protein kinase At5g24010 OS=Arabidopsis thaliana GN=At5g24010 PE=1 SV=1</t>
  </si>
  <si>
    <t>Acyl-coenzyme A thioesterase 13 OS=Mus musculus GN=Acot13 PE=1 SV=1</t>
  </si>
  <si>
    <t>Myosin-binding protein 3 OS=Arabidopsis thaliana GN=MYOB3 PE=1 SV=1</t>
  </si>
  <si>
    <t>Growth-regulating factor 3 OS=Oryza sativa subsp. japonica GN=GRF3 PE=3 SV=2</t>
  </si>
  <si>
    <t>Zinc finger protein ZAT4 OS=Arabidopsis thaliana GN=ZAT4 PE=2 SV=1</t>
  </si>
  <si>
    <t>Fructose-bisphosphate aldolase, cytoplasmic isozyme OS=Cicer arietinum GN=ALDC PE=2 SV=1</t>
  </si>
  <si>
    <t>WRKY transcription factor 6 OS=Arabidopsis thaliana GN=WRKY6 PE=1 SV=1</t>
  </si>
  <si>
    <t>Eukaryotic translation initiation factor isoform 4G-1 OS=Arabidopsis thaliana GN=EIF(ISO)4G1 PE=1 SV=1</t>
  </si>
  <si>
    <t>Extra-large guanine nucleotide-binding protein 1 OS=Arabidopsis thaliana GN=XLG1 PE=1 SV=2</t>
  </si>
  <si>
    <t>Pentatricopeptide repeat-containing protein At1g56690, mitochondrial OS=Arabidopsis thaliana GN=PCMP-H69 PE=2 SV=1</t>
  </si>
  <si>
    <t>Neuroguidin OS=Bos taurus GN=NGDN PE=2 SV=1</t>
  </si>
  <si>
    <t>NADH-cytochrome b5 reductase-like protein OS=Arabidopsis thaliana GN=CBR2 PE=1 SV=2</t>
  </si>
  <si>
    <t>Lipopolysaccharide core biosynthesis mannosyltransferase LpsB OS=Rhizobium meliloti (strain 1021) GN=lpsB PE=3 SV=1</t>
  </si>
  <si>
    <t>Rhizobium meliloti</t>
  </si>
  <si>
    <t>Dof zinc finger protein DOF1.7 OS=Arabidopsis thaliana GN=DOF1.7 PE=2 SV=1</t>
  </si>
  <si>
    <t>Late embryogenesis abundant protein At1g64065 OS=Arabidopsis thaliana GN=At1g64065 PE=2 SV=1</t>
  </si>
  <si>
    <t>Glycerol-3-phosphate 2-O-acyltransferase 6 OS=Arabidopsis thaliana GN=GPAT6 PE=1 SV=1</t>
  </si>
  <si>
    <t>Uncharacterized protein C57A7.06 OS=Schizosaccharomyces pombe (strain 972 / ATCC 24843) GN=SPAC57A7.06 PE=1 SV=1</t>
  </si>
  <si>
    <t>Proteasome assembly chaperone 3 OS=Dictyostelium discoideum GN=psmG3 PE=3 SV=1</t>
  </si>
  <si>
    <t>NAC domain-containing protein 8 OS=Arabidopsis thaliana GN=NAC008 PE=2 SV=1</t>
  </si>
  <si>
    <t>Probable CCR4-associated factor 1 homolog 6 OS=Arabidopsis thaliana GN=CAF1-6 PE=2 SV=1</t>
  </si>
  <si>
    <t>DNA annealing helicase and endonuclease ZRANB3 OS=Bos taurus GN=ZRANB3 PE=3 SV=3</t>
  </si>
  <si>
    <t>Receptor-like protein kinase HAIKU2 OS=Arabidopsis thaliana GN=IKU2 PE=1 SV=1</t>
  </si>
  <si>
    <t>Lysine histidine transporter-like 6 OS=Arabidopsis thaliana GN=At1g25530 PE=2 SV=1</t>
  </si>
  <si>
    <t>Cytokinin riboside 5'-monophosphate phosphoribohydrolase LOG1 OS=Arabidopsis thaliana GN=LOG1 PE=1 SV=1</t>
  </si>
  <si>
    <t>Probable protein S-acyltransferase 19 OS=Arabidopsis thaliana GN=PAT19 PE=2 SV=1</t>
  </si>
  <si>
    <t>CTL-like protein DDB_G0288717 OS=Dictyostelium discoideum GN=DDB_G0288717 PE=3 SV=1</t>
  </si>
  <si>
    <t>J domain-containing protein spf31 OS=Schizosaccharomyces pombe (strain 972 / ATCC 24843) GN=spf31 PE=3 SV=1</t>
  </si>
  <si>
    <t>Uncharacterized protein At5g08430 OS=Arabidopsis thaliana GN=At5g08430 PE=1 SV=2</t>
  </si>
  <si>
    <t>tRNA(His) guanylyltransferase 1 OS=Arabidopsis thaliana GN=THG1 PE=1 SV=1</t>
  </si>
  <si>
    <t>Zinc finger CCCH domain-containing protein 24 OS=Arabidopsis thaliana GN=At2g28450 PE=1 SV=1</t>
  </si>
  <si>
    <t>Calcium-binding protein PBP1 OS=Arabidopsis thaliana GN=PBP1 PE=1 SV=1</t>
  </si>
  <si>
    <t>Splicing factor U2af large subunit B OS=Arabidopsis thaliana GN=U2AF65B PE=2 SV=2</t>
  </si>
  <si>
    <t>Chlorophyll a-b binding protein P4, chloroplastic OS=Pisum sativum GN=lhcA-P4 PE=1 SV=1</t>
  </si>
  <si>
    <t>Transcription repressor KAN1 OS=Arabidopsis thaliana GN=KAN1 PE=1 SV=1</t>
  </si>
  <si>
    <t>Histone-lysine N-methyltransferase family member SUVH9 OS=Arabidopsis thaliana GN=SUVH9 PE=1 SV=1</t>
  </si>
  <si>
    <t>Nucleolar GTP-binding protein 1 OS=Arabidopsis thaliana GN=At1g50920 PE=2 SV=1</t>
  </si>
  <si>
    <t>F-box/kelch-repeat protein At1g67480 OS=Arabidopsis thaliana GN=At1g67480 PE=2 SV=1</t>
  </si>
  <si>
    <t>DNA-(apurinic or apyrimidinic site) lyase, chloroplastic OS=Arabidopsis thaliana GN=ARP PE=1 SV=2</t>
  </si>
  <si>
    <t>Cation/H(+) antiporter 20 OS=Arabidopsis thaliana GN=CHX20 PE=2 SV=1</t>
  </si>
  <si>
    <t>Putative quinone-oxidoreductase homolog, chloroplastic OS=Arabidopsis thaliana GN=At4g13010 PE=2 SV=1</t>
  </si>
  <si>
    <t>Nudix hydrolase 3 OS=Arabidopsis thaliana GN=NUDT3 PE=1 SV=1</t>
  </si>
  <si>
    <t>Zinc finger BED domain-containing protein DAYSLEEPER OS=Arabidopsis thaliana GN=HAT PE=1 SV=1</t>
  </si>
  <si>
    <t>Heterogeneous nuclear ribonucleoprotein U-like protein 1 OS=Mus musculus GN=Hnrnpul1 PE=1 SV=1</t>
  </si>
  <si>
    <t>PsbQ-like protein 3, chloroplastic OS=Arabidopsis thaliana GN=PQL3 PE=2 SV=1</t>
  </si>
  <si>
    <t>Probable LRR receptor-like serine/threonine-protein kinase At1g53440 OS=Arabidopsis thaliana GN=At1g53440 PE=2 SV=2</t>
  </si>
  <si>
    <t>Lamin-like protein OS=Arabidopsis thaliana GN=At5g15350 PE=1 SV=1</t>
  </si>
  <si>
    <t>5'-nucleotidase SurE OS=Campylobacter jejuni (strain RM1221) GN=surE PE=3 SV=1</t>
  </si>
  <si>
    <t>Campylobacter jejuni</t>
  </si>
  <si>
    <t>Transposon Ty3-G Gag-Pol polyprotein OS=Saccharomyces cerevisiae (strain ATCC 204508 / S288c) GN=TY3B-G PE=1 SV=3</t>
  </si>
  <si>
    <t>Probable small nuclear ribonucleoprotein Sm D2 OS=Drosophila melanogaster GN=SmD2 PE=1 SV=1</t>
  </si>
  <si>
    <t>Syntaxin-81 OS=Arabidopsis thaliana GN=SYP81 PE=1 SV=2</t>
  </si>
  <si>
    <t>Glucan endo-1,3-beta-glucosidase 7 OS=Arabidopsis thaliana GN=At4g34480 PE=1 SV=2</t>
  </si>
  <si>
    <t>Histone H3.3 OS=Vitis vinifera PE=2 SV=3</t>
  </si>
  <si>
    <t>RNA demethylase ALKBH5 OS=Xenopus tropicalis GN=alkbh5 PE=2 SV=1</t>
  </si>
  <si>
    <t>E3 ubiquitin-protein ligase SGR9, amyloplastic OS=Arabidopsis thaliana GN=SGR9 PE=1 SV=1</t>
  </si>
  <si>
    <t>NAC domain-containing protein 2 OS=Arabidopsis thaliana GN=NAC002 PE=2 SV=2</t>
  </si>
  <si>
    <t>Probable ubiquitin-conjugating enzyme E2 23 OS=Arabidopsis thaliana GN=UBC23 PE=1 SV=1</t>
  </si>
  <si>
    <t>Protein PLASTid TRANSCRIPTIONALLY ACTIVE 12 OS=Arabidopsis thaliana GN=PTAC12 PE=1 SV=1</t>
  </si>
  <si>
    <t>Pentatricopeptide repeat-containing protein At2g22410, mitochondrial OS=Arabidopsis thaliana GN=PCMP-E28 PE=2 SV=1</t>
  </si>
  <si>
    <t>Putative dihydroflavonol-4-reductase OS=Synechocystis sp. (strain PCC 6803 / Kazusa) GN=dfrA PE=3 SV=1</t>
  </si>
  <si>
    <t>L-type lectin-domain containing receptor kinase S.4 OS=Arabidopsis thaliana GN=LECRKS4 PE=2 SV=1</t>
  </si>
  <si>
    <t>Serine/threonine protein phosphatase 2A 55 kDa regulatory subunit B beta isoform OS=Arabidopsis thaliana GN=PP2AB2 PE=1 SV=1</t>
  </si>
  <si>
    <t>Peptidyl-tRNA hydrolase, chloroplastic OS=Arabidopsis thaliana GN=At1g18440 PE=2 SV=2</t>
  </si>
  <si>
    <t>50S ribosomal protein L13 OS=Chloroflexus aggregans (strain MD-66 / DSM 9485) GN=rplM PE=3 SV=1</t>
  </si>
  <si>
    <t>Chloroflexus aggregans</t>
  </si>
  <si>
    <t>Glycine-rich protein 2 OS=Nicotiana sylvestris GN=GRP-2 PE=2 SV=1</t>
  </si>
  <si>
    <t>Protein LHCP TRANSLOCATION DEFECT OS=Arabidopsis thaliana GN=LTD PE=1 SV=1</t>
  </si>
  <si>
    <t>Protein cfxQ homolog OS=Cyanidium caldarium GN=cfxQ PE=3 SV=1</t>
  </si>
  <si>
    <t>Cyanidium caldarium</t>
  </si>
  <si>
    <t>Protein EARLY FLOWERING 3 OS=Arabidopsis thaliana GN=ELF3 PE=1 SV=1</t>
  </si>
  <si>
    <t>Leucine-rich repeat extensin-like protein 4 OS=Arabidopsis thaliana GN=LRX4 PE=2 SV=1</t>
  </si>
  <si>
    <t>BTB/POZ domain-containing protein At5g41330 OS=Arabidopsis thaliana GN=At5g41330 PE=2 SV=1</t>
  </si>
  <si>
    <t>Cysteine-rich repeat secretory protein 56 OS=Arabidopsis thaliana GN=CRRSP56 PE=1 SV=2</t>
  </si>
  <si>
    <t>Leucine-rich repeat receptor-like serine/threonine/tyrosine-protein kinase SOBIR1 OS=Arabidopsis thaliana GN=SOBIR1 PE=1 SV=1</t>
  </si>
  <si>
    <t>Transcription factor bHLH68 OS=Arabidopsis thaliana GN=BHLH68 PE=2 SV=2</t>
  </si>
  <si>
    <t>Plastid division protein CDP1, chloroplastic OS=Arabidopsis thaliana GN=CDP1 PE=1 SV=2</t>
  </si>
  <si>
    <t>Ribosome biogenesis regulatory protein homolog OS=Arabidopsis thaliana GN=At2g37990 PE=2 SV=2</t>
  </si>
  <si>
    <t>Zinc finger CCCH domain-containing protein 48 OS=Arabidopsis thaliana GN=ZFWD1 PE=2 SV=1</t>
  </si>
  <si>
    <t>L-idonate 5-dehydrogenase OS=Vitis vinifera GN=VIT_16s0100g00290 PE=1 SV=2</t>
  </si>
  <si>
    <t>RHOMBOid-like protein 12, mitochondrial OS=Arabidopsis thaliana GN=RBL12 PE=2 SV=1</t>
  </si>
  <si>
    <t>Probable plastid-lipid-associated protein 3, chloroplastic OS=Oryza sativa subsp. japonica GN=PAP3 PE=3 SV=1</t>
  </si>
  <si>
    <t>NAC domain-containing protein 100 OS=Arabidopsis thaliana GN=NAC100 PE=2 SV=1</t>
  </si>
  <si>
    <t>Peptidyl-prolyl cis-trans isomerase FKBP53 OS=Arabidopsis thaliana GN=FKBP53 PE=1 SV=1</t>
  </si>
  <si>
    <t>Pentatricopeptide repeat-containing protein At5g42310, mitochondrial OS=Arabidopsis thaliana GN=At5g42310 PE=2 SV=1</t>
  </si>
  <si>
    <t>Protein NRT1/ PTR FAMILY 4.3 OS=Arabidopsis thaliana GN=NPF4.3 PE=2 SV=1</t>
  </si>
  <si>
    <t>Pyruvate kinase, cytosolic isozyme OS=Nicotiana tabacum PE=2 SV=1</t>
  </si>
  <si>
    <t>Squalene synthase OS=Nicotiana benthamiana PE=2 SV=1</t>
  </si>
  <si>
    <t>Nicotiana benthamiana</t>
  </si>
  <si>
    <t>Zinc finger protein ZPR1 OS=Saccharomyces cerevisiae (strain ATCC 204508 / S288c) GN=ZPR1 PE=1 SV=1</t>
  </si>
  <si>
    <t>Probable LRR receptor-like serine/threonine-protein kinase At1g53430 OS=Arabidopsis thaliana GN=At1g53430 PE=1 SV=1</t>
  </si>
  <si>
    <t>Beta-amylase 3, chloroplastic OS=Arabidopsis thaliana GN=BAM3 PE=1 SV=3</t>
  </si>
  <si>
    <t>Ferredoxin--NADP reductase, leaf-type isozyme, chloroplastic OS=Nicotiana tabacum GN=PETH PE=2 SV=1</t>
  </si>
  <si>
    <t>CRAL-TRIO domain-containing protein YKL091C OS=Saccharomyces cerevisiae (strain ATCC 204508 / S288c) GN=YKL091C PE=1 SV=2</t>
  </si>
  <si>
    <t>Protein AE7 OS=Arabidopsis thaliana GN=AE7 PE=1 SV=2</t>
  </si>
  <si>
    <t>Protein SENSITIVE TO PROTON RHIZOTOXICITY 1 OS=Arabidopsis thaliana GN=STOP1 PE=2 SV=1</t>
  </si>
  <si>
    <t>Pentatricopeptide repeat-containing protein At3g26630, chloroplastic OS=Arabidopsis thaliana GN=PCMP-A6 PE=2 SV=1</t>
  </si>
  <si>
    <t>Probable polygalacturonase non-catalytic subunit JP650 OS=Arabidopsis thaliana GN=JP650 PE=2 SV=2</t>
  </si>
  <si>
    <t>Ras-related protein RABA6a OS=Arabidopsis thaliana GN=RABA6A PE=2 SV=1</t>
  </si>
  <si>
    <t>Purple acid phosphatase 3 OS=Arabidopsis thaliana GN=PAP3 PE=2 SV=1</t>
  </si>
  <si>
    <t>Cysteine protease ATG4 OS=Medicago truncatula GN=ATG4 PE=3 SV=1</t>
  </si>
  <si>
    <t>U11/U12 small nuclear ribonucleoprotein 48 kDa protein OS=Arabidopsis thaliana GN=SNRNP48 PE=2 SV=1</t>
  </si>
  <si>
    <t>Glutamate receptor 3.3 OS=Arabidopsis thaliana GN=GLR3.3 PE=2 SV=1</t>
  </si>
  <si>
    <t>Mitochondrial coenzyme A transporter SLC25A42 OS=Xenopus laevis GN=slc25a42 PE=2 SV=1</t>
  </si>
  <si>
    <t>Histone H1.2 OS=Arabidopsis thaliana GN=At2g30620 PE=1 SV=1</t>
  </si>
  <si>
    <t>Inner membrane protein PPF-1, chloroplastic OS=Pisum sativum GN=PPF-1 PE=2 SV=2</t>
  </si>
  <si>
    <t>Putative 4-hydroxy-4-methyl-2-oxoglutarate aldolase 3 OS=Arabidopsis thaliana GN=At5g56260 PE=1 SV=1</t>
  </si>
  <si>
    <t>S-adenosyl-L-methionine-dependent tRNA 4-demethylwyosine synthase OS=Arabidopsis thaliana GN=TYW1 PE=2 SV=1</t>
  </si>
  <si>
    <t>Pentatricopeptide repeat-containing protein At5g48910 OS=Arabidopsis thaliana GN=PCMP-H38 PE=2 SV=1</t>
  </si>
  <si>
    <t>Lachrymatory-factor synthase OS=Allium cepa GN=LFS PE=1 SV=1</t>
  </si>
  <si>
    <t>Allium cepa</t>
  </si>
  <si>
    <t>Ribonuclease H2 subunit B OS=Xenopus laevis GN=rnaseh2b PE=2 SV=1</t>
  </si>
  <si>
    <t>Probable xyloglucan endotransglucosylase/hydrolase protein 33 OS=Arabidopsis thaliana GN=XTH33 PE=2 SV=2</t>
  </si>
  <si>
    <t>Zinc finger protein ZAT9 OS=Arabidopsis thaliana GN=ZAT9 PE=2 SV=1</t>
  </si>
  <si>
    <t>DDB1- and CUL4-associated factor 4 OS=Homo sapiens GN=DCAF4 PE=1 SV=3</t>
  </si>
  <si>
    <t>Phosphatidate cytidylyltransferase 2 OS=Arabidopsis thaliana GN=CDS2 PE=1 SV=1</t>
  </si>
  <si>
    <t>Protein farnesyltransferase subunit beta OS=Arabidopsis thaliana GN=FTB PE=1 SV=3</t>
  </si>
  <si>
    <t>THO complex subunit 4C OS=Arabidopsis thaliana GN=ALY3 PE=1 SV=1</t>
  </si>
  <si>
    <t>Diphthine--ammonia ligase OS=Danio rerio GN=dph6 PE=2 SV=1</t>
  </si>
  <si>
    <t>E3 ubiquitin-protein ligase MBR1 OS=Arabidopsis thaliana GN=MBR1 PE=1 SV=1</t>
  </si>
  <si>
    <t>Serine/threonine-protein kinase-like protein ACR4 OS=Arabidopsis thaliana GN=ACR4 PE=1 SV=1</t>
  </si>
  <si>
    <t>Transcription-repair-coupling factor OS=Synechocystis sp. (strain PCC 6803 / Kazusa) GN=mfd PE=3 SV=1</t>
  </si>
  <si>
    <t>UDP-N-acetylglucosamine/UDP-glucose/GDP-mannose transporter OS=Pongo abelii GN=SLC35D2 PE=2 SV=1</t>
  </si>
  <si>
    <t>Rhodanese-like domain-containing protein 4, chloroplastic OS=Arabidopsis thaliana GN=STR4 PE=1 SV=2</t>
  </si>
  <si>
    <t>Squamosa promoter-binding-like protein 14 OS=Oryza sativa subsp. japonica GN=SPL14 PE=2 SV=1</t>
  </si>
  <si>
    <t>Transcription factor LHW OS=Arabidopsis thaliana GN=LHW PE=1 SV=1</t>
  </si>
  <si>
    <t>Protein arginine N-methyltransferase 1.6 OS=Arabidopsis thaliana GN=PRMT16 PE=2 SV=2</t>
  </si>
  <si>
    <t>Uncharacterized protein At5g03900, chloroplastic OS=Arabidopsis thaliana GN=At5g03900 PE=2 SV=2</t>
  </si>
  <si>
    <t>Probable alpha,alpha-trehalose-phosphate synthase [UDP-forming] 9 OS=Arabidopsis thaliana GN=TPS9 PE=2 SV=1</t>
  </si>
  <si>
    <t>PsbP domain-containing protein 4, chloroplastic OS=Arabidopsis thaliana GN=PPD4 PE=1 SV=2</t>
  </si>
  <si>
    <t>Clathrin light chain 1 OS=Arabidopsis thaliana GN=At2g20760 PE=2 SV=1</t>
  </si>
  <si>
    <t>Probable cellulose synthase A catalytic subunit 5 [UDP-forming] OS=Oryza sativa subsp. japonica GN=CESA5 PE=2 SV=1</t>
  </si>
  <si>
    <t>Molybdopterin biosynthesis protein CNX1 OS=Arabidopsis thaliana GN=CNX1 PE=1 SV=2</t>
  </si>
  <si>
    <t>ABC transporter D family member 2, chloroplastic OS=Arabidopsis thaliana GN=ABCC2 PE=1 SV=1</t>
  </si>
  <si>
    <t>Uncharacterized protein L728 OS=Acanthamoeba polyphaga mimivirus GN=MIMI_L728 PE=4 SV=1</t>
  </si>
  <si>
    <t>Acanthamoeba polyphaga</t>
  </si>
  <si>
    <t>Succinate-semialdehyde dehydrogenase (acetylating) OS=Metallosphaera sedula (strain ATCC 51363 / DSM 5348) GN=Msed_1424 PE=1 SV=1</t>
  </si>
  <si>
    <t>Metallosphaera sedula</t>
  </si>
  <si>
    <t>GTPase Der OS=Parvibaculum lavamentivorans (strain DS-1 / DSM 13023 / NCIMB 13966) GN=der PE=3 SV=1</t>
  </si>
  <si>
    <t>Parvibaculum lavamentivorans</t>
  </si>
  <si>
    <t>Pathogenesis-related genes transcriptional activator PTI6 OS=Solanum lycopersicum GN=PTI6 PE=2 SV=1</t>
  </si>
  <si>
    <t>Symplekin OS=Homo sapiens GN=SYMPK PE=1 SV=2</t>
  </si>
  <si>
    <t>25.3 kDa heat shock protein, chloroplastic OS=Arabidopsis thaliana GN=HSP25.3 PE=2 SV=1</t>
  </si>
  <si>
    <t>Enhancer of polycomb homolog 1 OS=Homo sapiens GN=EPC1 PE=1 SV=1</t>
  </si>
  <si>
    <t>Uncharacterized protein MTH_249 OS=Methanothermobacter thermautotrophicus (strain ATCC 29096 / DSM 1053 / JCM 10044 / NBRC 100330 / Delta H) GN=MTH_249 PE=3 SV=1</t>
  </si>
  <si>
    <t>NADP-dependent malic enzyme OS=Phaseolus vulgaris GN=ME1 PE=2 SV=1</t>
  </si>
  <si>
    <t>Phaseolus vulgaris</t>
  </si>
  <si>
    <t>Probable tRNA N6-adenosine threonylcarbamoyltransferase, mitochondrial OS=Arabidopsis thaliana GN=GCP1 PE=2 SV=2</t>
  </si>
  <si>
    <t>Blue copper protein OS=Arabidopsis thaliana GN=BCB PE=1 SV=2</t>
  </si>
  <si>
    <t>Pyruvate decarboxylase 1 OS=Arabidopsis thaliana GN=PDC1 PE=2 SV=1</t>
  </si>
  <si>
    <t>Leukotriene A-4 hydrolase homolog OS=Arabidopsis thaliana GN=LKHA4 PE=2 SV=1</t>
  </si>
  <si>
    <t>Transmembrane protein 53 OS=Danio rerio GN=tmem53 PE=2 SV=1</t>
  </si>
  <si>
    <t>Nuclear pore complex protein NUP54 OS=Arabidopsis thaliana GN=NUP54 PE=1 SV=1</t>
  </si>
  <si>
    <t>Probable protein S-acyltransferase 12 OS=Arabidopsis thaliana GN=PAT12 PE=2 SV=1</t>
  </si>
  <si>
    <t>Methylcrotonoyl-CoA carboxylase subunit alpha, mitochondrial OS=Arabidopsis thaliana GN=MCCA PE=1 SV=2</t>
  </si>
  <si>
    <t>Heptahelical transmembrane protein 4 OS=Arabidopsis thaliana GN=HHP4 PE=2 SV=1</t>
  </si>
  <si>
    <t>Protein-lysine N-methyltransferase N6AMT2 OS=Homo sapiens GN=N6AMT2 PE=1 SV=1</t>
  </si>
  <si>
    <t>NAC domain-containing protein 60 OS=Arabidopsis thaliana GN=NAC60 PE=2 SV=1</t>
  </si>
  <si>
    <t>Tubulin beta-1 chain (Fragment) OS=Avena sativa GN=TUBB1 PE=2 SV=1</t>
  </si>
  <si>
    <t>Avena sativa</t>
  </si>
  <si>
    <t>40S ribosomal protein S8 OS=Oryza sativa subsp. japonica GN=RPS8 PE=2 SV=2</t>
  </si>
  <si>
    <t>UPF0061 protein azo1574 OS=Azoarcus sp. (strain BH72) GN=azo1574 PE=3 SV=1</t>
  </si>
  <si>
    <t>Lupeol synthase OS=Betula platyphylla GN=OSCBPW PE=1 SV=1</t>
  </si>
  <si>
    <t>Betula platyphylla</t>
  </si>
  <si>
    <t>Putative pectinesterase/pectinesterase inhibitor 28 OS=Arabidopsis thaliana GN=PME28 PE=2 SV=1</t>
  </si>
  <si>
    <t>Transcription repressor MYB4 OS=Arabidopsis thaliana GN=MYB4 PE=1 SV=1</t>
  </si>
  <si>
    <t>3,5-dihydroxybiphenyl synthase OS=Sorbus aucuparia GN=BIS1 PE=1 SV=1</t>
  </si>
  <si>
    <t>Sorbus aucuparia</t>
  </si>
  <si>
    <t>DDT domain-containing protein DDB_G0282237 OS=Dictyostelium discoideum GN=DDB_G0282237 PE=3 SV=1</t>
  </si>
  <si>
    <t>NADPH-dependent pterin aldehyde reductase OS=Arabidopsis thaliana GN=At1g10310 PE=1 SV=1</t>
  </si>
  <si>
    <t>Cyclin-D3-1 OS=Arabidopsis thaliana GN=CYCD3-1 PE=1 SV=3</t>
  </si>
  <si>
    <t>MLP-like protein 28 OS=Arabidopsis thaliana GN=MLP28 PE=1 SV=1</t>
  </si>
  <si>
    <t>Anthocyanin regulatory C1 protein OS=Zea mays GN=C1 PE=2 SV=1</t>
  </si>
  <si>
    <t>Type IV inositol polyphosphate 5-phosphatase 7 OS=Arabidopsis thaliana GN=IP5P7 PE=1 SV=1</t>
  </si>
  <si>
    <t>Probable glycerol-3-phosphate acyltransferase 3 OS=Arabidopsis thaliana GN=GPAT3 PE=2 SV=1</t>
  </si>
  <si>
    <t>B3 domain-containing protein Os01g0234100 OS=Oryza sativa subsp. japonica GN=Os01g0234100 PE=2 SV=1</t>
  </si>
  <si>
    <t>Ribosome-inactivating protein luffin-alpha OS=Luffa aegyptiaca PE=1 SV=1</t>
  </si>
  <si>
    <t>Luffa aegyptiaca</t>
  </si>
  <si>
    <t>Delta-aminolevulinic acid dehydratase 1, chloroplastic OS=Arabidopsis thaliana GN=HEMB1 PE=2 SV=1</t>
  </si>
  <si>
    <t>65-kDa microtubule-associated protein 3 OS=Arabidopsis thaliana GN=MAP65-3 PE=1 SV=1</t>
  </si>
  <si>
    <t>Pentatricopeptide repeat-containing protein At4g31850, chloroplastic OS=Arabidopsis thaliana GN=PGR3 PE=1 SV=1</t>
  </si>
  <si>
    <t>Photosystem I subunit O OS=Arabidopsis thaliana GN=PSAO PE=1 SV=1</t>
  </si>
  <si>
    <t>Protein arginine N-methyltransferase 7 OS=Oryza sativa subsp. indica GN=PRMT7 PE=3 SV=3</t>
  </si>
  <si>
    <t>Putative pectate lyase 11 OS=Arabidopsis thaliana GN=At3g27400 PE=3 SV=2</t>
  </si>
  <si>
    <t>RING-H2 finger protein ATL65 OS=Arabidopsis thaliana GN=ATL65 PE=2 SV=2</t>
  </si>
  <si>
    <t>Heterogeneous nuclear ribonucleoprotein 1 OS=Arabidopsis thaliana GN=RNP1 PE=1 SV=1</t>
  </si>
  <si>
    <t>LRR repeats and ubiquitin-like domain-containing protein At2g30105 OS=Arabidopsis thaliana GN=At2g30105 PE=1 SV=1</t>
  </si>
  <si>
    <t>SKP1-interacting partner 15 OS=Arabidopsis thaliana GN=SKIP15 PE=1 SV=1</t>
  </si>
  <si>
    <t>K(+) efflux antiporter 4 OS=Arabidopsis thaliana GN=KEA4 PE=2 SV=2</t>
  </si>
  <si>
    <t>UDP-glycosyltransferase 76E12 OS=Arabidopsis thaliana GN=UGT76E12 PE=2 SV=1</t>
  </si>
  <si>
    <t>Alkaline/neutral invertase CINV2 OS=Arabidopsis thaliana GN=CINV2 PE=1 SV=1</t>
  </si>
  <si>
    <t>ATPase 10, plasma membrane-type OS=Arabidopsis thaliana GN=AHA10 PE=2 SV=2</t>
  </si>
  <si>
    <t>Pescadillo homolog OS=Chlamydomonas reinhardtii GN=CHLREDRAFT_206018 PE=3 SV=1</t>
  </si>
  <si>
    <t>Chlamydomonas reinhardtii</t>
  </si>
  <si>
    <t>Protein SHOOT GRAVITROPISM 5 OS=Arabidopsis thaliana GN=SGR5 PE=1 SV=1</t>
  </si>
  <si>
    <t>Growth-regulating factor 6 OS=Oryza sativa subsp. japonica GN=GRF6 PE=2 SV=2</t>
  </si>
  <si>
    <t>Protein OVEREXPRESSOR OF CATIONIC PEROXidASE 3 OS=Arabidopsis thaliana GN=OCP3 PE=1 SV=1</t>
  </si>
  <si>
    <t>Short-chain dehydrogenase TIC 32, chloroplastic OS=Arabidopsis thaliana GN=TIC32 PE=2 SV=1</t>
  </si>
  <si>
    <t>Protein DAMAGED DNA-BINDING 2 OS=Arabidopsis thaliana GN=DDB2 PE=1 SV=1</t>
  </si>
  <si>
    <t>Nicalin-1 OS=Danio rerio GN=ncl1 PE=2 SV=1</t>
  </si>
  <si>
    <t>Transcription factor bHLH30 OS=Arabidopsis thaliana GN=BHLH30 PE=1 SV=1</t>
  </si>
  <si>
    <t>Peptidyl-prolyl cis-trans isomerase CYP19-4 OS=Arabidopsis thaliana GN=CYP19-4 PE=1 SV=2</t>
  </si>
  <si>
    <t>F-box only protein 6 OS=Arabidopsis thaliana GN=FBX6 PE=2 SV=1</t>
  </si>
  <si>
    <t>La-related protein 1A OS=Arabidopsis thaliana GN=LARP1A PE=1 SV=1</t>
  </si>
  <si>
    <t>Probable inactive patatin-like protein 9 OS=Arabidopsis thaliana GN=PLP9 PE=2 SV=1</t>
  </si>
  <si>
    <t>Palmitoyl-monogalactosyldiacylglycerol delta-7 desaturase, chloroplastic OS=Arabidopsis thaliana GN=ADS3 PE=2 SV=2</t>
  </si>
  <si>
    <t>SRSF protein kinase 1 OS=Homo sapiens GN=SRPK1 PE=1 SV=2</t>
  </si>
  <si>
    <t>Palmitoyl-acyl carrier protein thioesterase, chloroplastic OS=Gossypium hirsutum GN=FATB1 PE=1 SV=1</t>
  </si>
  <si>
    <t>Protein PLASTid TRANSCRIPTIONALLY ACTIVE 10 OS=Arabidopsis thaliana GN=PTAC10 PE=1 SV=1</t>
  </si>
  <si>
    <t>Monothiol glutaredoxin-S15, mitochondrial OS=Arabidopsis thaliana GN=GRXS15 PE=1 SV=2</t>
  </si>
  <si>
    <t>VAN3-binding protein OS=Arabidopsis thaliana GN=VAB PE=1 SV=1</t>
  </si>
  <si>
    <t>Cytochrome P450 77A3 OS=Glycine max GN=CYP77A3 PE=2 SV=1</t>
  </si>
  <si>
    <t>Histone-lysine N-methyltransferase ATXR2 OS=Arabidopsis thaliana GN=ATXR2 PE=2 SV=1</t>
  </si>
  <si>
    <t>tRNA (guanine-N(7)-)-methyltransferase non-catalytic subunit wdr4 OS=Danio rerio GN=wdr4 PE=2 SV=2</t>
  </si>
  <si>
    <t>Uracil phosphoribosyltransferase OS=Nicotiana tabacum GN=UPP PE=2 SV=1</t>
  </si>
  <si>
    <t>Aquaporin TIP2-1 OS=Arabidopsis thaliana GN=TIP2-1 PE=1 SV=2</t>
  </si>
  <si>
    <t>GDSL esterase/lipase At4g16230 OS=Arabidopsis thaliana GN=At4g16230 PE=3 SV=2</t>
  </si>
  <si>
    <t>Laccase-12 OS=Arabidopsis thaliana GN=LAC12 PE=2 SV=1</t>
  </si>
  <si>
    <t>Inactive receptor-like serine/threonine-protein kinase At2g40270 OS=Arabidopsis thaliana GN=At2g40270 PE=2 SV=2</t>
  </si>
  <si>
    <t>Nudix hydrolase 9 OS=Arabidopsis thaliana GN=NUDT9 PE=2 SV=1</t>
  </si>
  <si>
    <t>Synaptotagmin-5 OS=Arabidopsis thaliana GN=SYT5 PE=2 SV=1</t>
  </si>
  <si>
    <t>Probable aquaporin TIP3-2 OS=Arabidopsis thaliana GN=TIP3-2 PE=2 SV=1</t>
  </si>
  <si>
    <t>Asparagine--tRNA ligase, cytoplasmic 2 OS=Arabidopsis thaliana GN=SYNC2 PE=1 SV=2</t>
  </si>
  <si>
    <t>Actin-depolymerizing factor 2 OS=Petunia hybrida GN=ADF2 PE=2 SV=1</t>
  </si>
  <si>
    <t>AT-hook motif nuclear-localized protein 17 OS=Arabidopsis thaliana GN=AHL17 PE=2 SV=1</t>
  </si>
  <si>
    <t>ACT domain-containing protein ACR6 OS=Arabidopsis thaliana GN=ACR6 PE=2 SV=1</t>
  </si>
  <si>
    <t>Transcription factor bHLH35 OS=Arabidopsis thaliana GN=BHLH35 PE=2 SV=1</t>
  </si>
  <si>
    <t>(R)-mandelonitrile lyase 2 OS=Prunus dulcis GN=MDL2 PE=1 SV=1</t>
  </si>
  <si>
    <t>COP9 signalosome complex subunit 5a OS=Arabidopsis thaliana GN=CSN5A PE=1 SV=1</t>
  </si>
  <si>
    <t>Niemann-Pick C1 protein OS=Homo sapiens GN=NPC1 PE=1 SV=2</t>
  </si>
  <si>
    <t>Angio-associated migratory cell protein OS=Bos taurus GN=AAMP PE=2 SV=1</t>
  </si>
  <si>
    <t>Trans-resveratrol di-O-methyltransferase OS=Vitis vinifera GN=ROMT PE=1 SV=2</t>
  </si>
  <si>
    <t>Putative U-box domain-containing protein 50 OS=Arabidopsis thaliana GN=PUB50 PE=3 SV=1</t>
  </si>
  <si>
    <t>50S ribosomal protein L2, chloroplastic OS=Citrus sinensis GN=rpl2-A PE=3 SV=1</t>
  </si>
  <si>
    <t>Delta(14)-sterol reductase OS=Arabidopsis thaliana GN=FK PE=1 SV=2</t>
  </si>
  <si>
    <t>Protein NRT1/ PTR FAMILY 4.4 OS=Arabidopsis thaliana GN=NPF4.4 PE=2 SV=1</t>
  </si>
  <si>
    <t>Transcriptional corepressor LEUNIG_HOMOLOG OS=Arabidopsis thaliana GN=LUH PE=1 SV=1</t>
  </si>
  <si>
    <t>CSC1-like protein RXW8 OS=Arabidopsis thaliana GN=RXW8 PE=2 SV=1</t>
  </si>
  <si>
    <t>TPR repeat-containing thioredoxin TTL1 OS=Arabidopsis thaliana GN=TTL1 PE=1 SV=1</t>
  </si>
  <si>
    <t>Serine/threonine-protein kinase Nek6 OS=Arabidopsis thaliana GN=NEK6 PE=3 SV=1</t>
  </si>
  <si>
    <t>Upstream activation factor subunit spp27 OS=Schizosaccharomyces pombe (strain 972 / ATCC 24843) GN=spp27 PE=1 SV=1</t>
  </si>
  <si>
    <t>Putative clathrin assembly protein At1g25240 OS=Arabidopsis thaliana GN=At1g25240 PE=3 SV=1</t>
  </si>
  <si>
    <t>40S ribosomal protein S3-3 OS=Arabidopsis thaliana GN=RPS3C PE=1 SV=1</t>
  </si>
  <si>
    <t>LRR receptor-like serine/threonine-protein kinase ERL2 OS=Arabidopsis thaliana GN=ERL2 PE=2 SV=1</t>
  </si>
  <si>
    <t>Isoflavone reductase homolog OS=Lupinus albus PE=2 SV=1</t>
  </si>
  <si>
    <t>Lupinus albus</t>
  </si>
  <si>
    <t>Serine carboxypeptidase-like 6 OS=Arabidopsis thaliana GN=SCPL6 PE=2 SV=2</t>
  </si>
  <si>
    <t>Polyphenol oxidase, chloroplastic OS=Malus domestica PE=2 SV=1</t>
  </si>
  <si>
    <t>Putative zinc finger protein At1g68190 OS=Arabidopsis thaliana GN=At1g68190 PE=2 SV=1</t>
  </si>
  <si>
    <t>Cellulose synthase A catalytic subunit 7 [UDP-forming] OS=Arabidopsis thaliana GN=CESA7 PE=1 SV=1</t>
  </si>
  <si>
    <t>Protein NRT1/ PTR FAMILY 6.1 OS=Arabidopsis thaliana GN=NPF6.1 PE=2 SV=1</t>
  </si>
  <si>
    <t>UPF0426 protein At1g28150, chloroplastic OS=Arabidopsis thaliana GN=At1g28150 PE=2 SV=1</t>
  </si>
  <si>
    <t>Protein SPA1-RELATED 3 OS=Arabidopsis thaliana GN=SPA3 PE=1 SV=1</t>
  </si>
  <si>
    <t>Sucrose transport protein SUC4 OS=Arabidopsis thaliana GN=SUC4 PE=1 SV=2</t>
  </si>
  <si>
    <t>Embryonic protein DC-8 OS=Daucus carota PE=3 SV=1</t>
  </si>
  <si>
    <t>Protein NRT1/ PTR FAMILY 2.5 OS=Arabidopsis thaliana GN=NPF2.5 PE=2 SV=2</t>
  </si>
  <si>
    <t>Ultraviolet-B receptor UVR8 OS=Arabidopsis thaliana GN=UVR8 PE=1 SV=1</t>
  </si>
  <si>
    <t>Aldo-keto reductase family 4 member C9 OS=Arabidopsis thaliana GN=AKR4C9 PE=1 SV=1</t>
  </si>
  <si>
    <t>Xyloglucan endotransglucosylase/hydrolase protein 22 OS=Arabidopsis thaliana GN=XTH22 PE=1 SV=1</t>
  </si>
  <si>
    <t>Probable pectate lyase 15 OS=Arabidopsis thaliana GN=At4g13710 PE=2 SV=1</t>
  </si>
  <si>
    <t>Cytochrome P450 71A26 OS=Arabidopsis thaliana GN=CYP71A26 PE=3 SV=1</t>
  </si>
  <si>
    <t>Citrate synthase, mitochondrial OS=Neurospora crassa (strain ATCC 24698 / 74-OR23-1A / CBS 708.71 / DSM 1257 / FGSC 987) GN=cit-1 PE=2 SV=2</t>
  </si>
  <si>
    <t>Uncharacterized transporter C1002.16c OS=Schizosaccharomyces pombe (strain 972 / ATCC 24843) GN=SPAC1002.16c PE=3 SV=1</t>
  </si>
  <si>
    <t>S-locus-specific glycoprotein S6 OS=Brassica oleracea GN=SLSG PE=2 SV=2</t>
  </si>
  <si>
    <t>Pectate lyase plyB OS=Emericella nidulans (strain FGSC A4 / ATCC 38163 / CBS 112.46 / NRRL 194 / M139) GN=plyB PE=1 SV=1</t>
  </si>
  <si>
    <t>Cleavage and polyadenylation specificity factor subunit 3-I OS=Arabidopsis thaliana GN=CPSF73-I PE=1 SV=1</t>
  </si>
  <si>
    <t>Pentatricopeptide repeat-containing protein At2g22070 OS=Arabidopsis thaliana GN=PCMP-H41 PE=3 SV=1</t>
  </si>
  <si>
    <t>Probable peptide transporter ptr2 OS=Schizosaccharomyces pombe (strain 972 / ATCC 24843) GN=ptr2 PE=1 SV=1</t>
  </si>
  <si>
    <t>Serine/threonine-protein phosphatase PP1 OS=Oryza sativa subsp. japonica GN=Os03g0268000 PE=2 SV=2</t>
  </si>
  <si>
    <t>Zinc finger protein GIS2 OS=Arabidopsis thaliana GN=GIS2 PE=2 SV=1</t>
  </si>
  <si>
    <t>Mitogen-activated protein kinase kinase kinase YODA OS=Arabidopsis thaliana GN=YDA PE=1 SV=1</t>
  </si>
  <si>
    <t>Probable glycosyltransferase At5g03795 OS=Arabidopsis thaliana GN=At5g03795 PE=3 SV=2</t>
  </si>
  <si>
    <t>Haloacid dehalogenase-like hydrolase domain-containing protein Sgpp OS=Arabidopsis thaliana GN=SGPP PE=1 SV=2</t>
  </si>
  <si>
    <t>3,9-dihydroxypterocarpan 6A-monooxygenase OS=Glycine max GN=CYP93A1 PE=1 SV=1</t>
  </si>
  <si>
    <t>Solute carrier family 28 member 3 OS=Homo sapiens GN=SLC28A3 PE=1 SV=1</t>
  </si>
  <si>
    <t>Aconitate hydratase, cytoplasmic OS=Cucurbita maxima PE=2 SV=1</t>
  </si>
  <si>
    <t>Basic secretory protease (Fragments) OS=Boswellia serrata PE=1 SV=1</t>
  </si>
  <si>
    <t>Boswellia serrata</t>
  </si>
  <si>
    <t>Ribosomal protein S3, mitochondrial OS=Petunia hybrida GN=YRPS3 PE=2 SV=1</t>
  </si>
  <si>
    <t>Endoglucanase 17 OS=Arabidopsis thaliana GN=At4g02290 PE=2 SV=1</t>
  </si>
  <si>
    <t>E3 SUMO-protein ligase SIZ1 OS=Arabidopsis thaliana GN=SIZ1 PE=1 SV=2</t>
  </si>
  <si>
    <t>3-ketoacyl-CoA thiolase 2, peroxisomal OS=Arabidopsis thaliana GN=PED1 PE=1 SV=2</t>
  </si>
  <si>
    <t>Phospholipase D alpha 1 OS=Cynara cardunculus GN=PLD1 PE=1 SV=2</t>
  </si>
  <si>
    <t>Cynara cardunculus</t>
  </si>
  <si>
    <t>Protein-ribulosamine 3-kinase, chloroplastic OS=Oryza sativa subsp. japonica GN=Os03g0117800 PE=2 SV=1</t>
  </si>
  <si>
    <t>Nucleosome assembly protein 1;1 OS=Oryza sativa subsp. japonica GN=NAP1;1 PE=2 SV=1</t>
  </si>
  <si>
    <t>Pentatricopeptide repeat-containing protein At4g31070, mitochondrial OS=Arabidopsis thaliana GN=PCMP-E7 PE=3 SV=2</t>
  </si>
  <si>
    <t>Tropinone reductase homolog At5g06060 OS=Arabidopsis thaliana GN=At5g06060 PE=2 SV=1</t>
  </si>
  <si>
    <t>Peroxidase 10 OS=Arabidopsis thaliana GN=PER10 PE=1 SV=1</t>
  </si>
  <si>
    <t>Thaumatin-like protein OS=Actinidia deliciosa GN=tlp PE=1 SV=2</t>
  </si>
  <si>
    <t>Actinidia deliciosa</t>
  </si>
  <si>
    <t>Thionin-like protein 2 OS=Arabidopsis thaliana GN=At1g12663 PE=3 SV=1</t>
  </si>
  <si>
    <t>Disease resistance RPP8-like protein 3 OS=Arabidopsis thaliana GN=RPP8L3 PE=2 SV=1</t>
  </si>
  <si>
    <t>Uncharacterized protein At4g18490 OS=Arabidopsis thaliana GN=At4g18490 PE=2 SV=3</t>
  </si>
  <si>
    <t>Probable receptor-like protein kinase At5g39030 OS=Arabidopsis thaliana GN=At5g39030 PE=2 SV=1</t>
  </si>
  <si>
    <t>Probable glycosyltransferase At5g25310 OS=Arabidopsis thaliana GN=At5g25310 PE=3 SV=2</t>
  </si>
  <si>
    <t>Inositol-tetrakisphosphate 1-kinase 1 OS=Arabidopsis thaliana GN=ITPK1 PE=1 SV=1</t>
  </si>
  <si>
    <t>Probable WRKY transcription factor 50 OS=Arabidopsis thaliana GN=WRKY50 PE=2 SV=1</t>
  </si>
  <si>
    <t>Chromatin structure-remodeling complex protein SYD OS=Arabidopsis thaliana GN=SYD PE=1 SV=1</t>
  </si>
  <si>
    <t>DNA-directed RNA polymerase III subunit rpc3 OS=Dictyostelium discoideum GN=polr3c PE=3 SV=1</t>
  </si>
  <si>
    <t>CBS domain-containing protein CBSCBSPB3 OS=Arabidopsis thaliana GN=CBSCBSPB3 PE=1 SV=1</t>
  </si>
  <si>
    <t>Trigger factor-like protein TIG, Chloroplastic OS=Arabidopsis thaliana GN=TIG PE=2 SV=1</t>
  </si>
  <si>
    <t>HEAT repeat-containing protein 6 OS=Mus musculus GN=Heatr6 PE=2 SV=1</t>
  </si>
  <si>
    <t>E3 ubiquitin-protein ligase RING1 OS=Gossypium hirsutum GN=RING1 PE=1 SV=1</t>
  </si>
  <si>
    <t>Peptidyl-prolyl cis-trans isomerase CYP40 OS=Arabidopsis thaliana GN=CYP40 PE=2 SV=1</t>
  </si>
  <si>
    <t>Isoflavone 4'-O-methyltransferase OS=Lotus japonicus GN=HI4'OMT PE=1 SV=1</t>
  </si>
  <si>
    <t>Kinetochore protein Nuf2 OS=Danio rerio GN=nuf2 PE=2 SV=1</t>
  </si>
  <si>
    <t>Sodium/pyruvate cotransporter BASS2, chloroplastic OS=Arabidopsis thaliana GN=BASS2 PE=2 SV=1</t>
  </si>
  <si>
    <t>Dof zinc finger protein DOF4.6 OS=Arabidopsis thaliana GN=DOF4.6 PE=2 SV=2</t>
  </si>
  <si>
    <t>Aquaporin SIP1-1 OS=Oryza sativa subsp. japonica GN=SIP1-1 PE=2 SV=2</t>
  </si>
  <si>
    <t>Putative protein FAR1-RELATED SEQUENCE 10 OS=Arabidopsis thaliana GN=FRS10 PE=2 SV=2</t>
  </si>
  <si>
    <t>Pentatricopeptide repeat-containing protein At4g21300 OS=Arabidopsis thaliana GN=PCMP-E36 PE=3 SV=1</t>
  </si>
  <si>
    <t>39S ribosomal protein L41-A, mitochondrial OS=Xenopus laevis GN=mrpl41-a PE=2 SV=1</t>
  </si>
  <si>
    <t>Pentatricopeptide repeat-containing protein At4g15720 OS=Arabidopsis thaliana GN=PCMP-H1 PE=2 SV=1</t>
  </si>
  <si>
    <t>Gibberellin 20 oxidase 3 OS=Arabidopsis thaliana GN=GA20OX3 PE=2 SV=1</t>
  </si>
  <si>
    <t>Probable methyltransferase PMT10 OS=Arabidopsis thaliana GN=At1g77260 PE=2 SV=1</t>
  </si>
  <si>
    <t>Probable vacuolar amino acid transporter YPQ1 OS=Saccharomyces cerevisiae (strain ATCC 204508 / S288c) GN=YPQ1 PE=1 SV=1</t>
  </si>
  <si>
    <t>Putative pentatricopeptide repeat-containing protein At1g64310 OS=Arabidopsis thaliana GN=PCMP-E65 PE=3 SV=1</t>
  </si>
  <si>
    <t>Uncharacterized protein YqkD OS=Bacillus subtilis (strain 168) GN=yqkD PE=4 SV=1</t>
  </si>
  <si>
    <t>Ferric reduction oxidase 7, chloroplastic OS=Arabidopsis thaliana GN=FRO7 PE=2 SV=1</t>
  </si>
  <si>
    <t>Pentatricopeptide repeat-containing protein At1g80550, mitochondrial OS=Arabidopsis thaliana GN=At1g80550 PE=2 SV=1</t>
  </si>
  <si>
    <t>Probable pectinesterase/pectinesterase inhibitor 12 OS=Arabidopsis thaliana GN=PME12 PE=2 SV=1</t>
  </si>
  <si>
    <t>D-aminoacyl-tRNA deacylase OS=Arabidopsis thaliana GN=GEK1 PE=1 SV=2</t>
  </si>
  <si>
    <t>Probable inactive receptor kinase At2g26730 OS=Arabidopsis thaliana GN=At2g26730 PE=1 SV=1</t>
  </si>
  <si>
    <t>Uncharacterized protein At5g43822 OS=Arabidopsis thaliana GN=At5g43822 PE=2 SV=1</t>
  </si>
  <si>
    <t>Laccase-7 OS=Arabidopsis thaliana GN=LAC7 PE=2 SV=1</t>
  </si>
  <si>
    <t>Phosphatidate phosphatase PAH1 OS=Arabidopsis thaliana GN=PAH1 PE=1 SV=1</t>
  </si>
  <si>
    <t>Protein NEN4 OS=Arabidopsis thaliana GN=NEN4 PE=2 SV=1</t>
  </si>
  <si>
    <t>Ubiquitin-conjugating enzyme E2 10 OS=Arabidopsis thaliana GN=UBC10 PE=1 SV=1</t>
  </si>
  <si>
    <t>Probable WRKY transcription factor 2 OS=Arabidopsis thaliana GN=WRKY2 PE=2 SV=1</t>
  </si>
  <si>
    <t>Methyl-CpG-binding domain-containing protein 10 OS=Arabidopsis thaliana GN=MBD10 PE=1 SV=1</t>
  </si>
  <si>
    <t>Pentatricopeptide repeat-containing protein At5g27270 OS=Arabidopsis thaliana GN=EMB976 PE=2 SV=2</t>
  </si>
  <si>
    <t>DEAD-box ATP-dependent RNA helicase 1 OS=Arabidopsis thaliana GN=RH1 PE=2 SV=3</t>
  </si>
  <si>
    <t>Pentatricopeptide repeat-containing protein At1g74900, mitochondrial OS=Arabidopsis thaliana GN=OTP43 PE=2 SV=1</t>
  </si>
  <si>
    <t>Coiled-coil domain-containing protein 130 OS=Bos taurus GN=CCDC130 PE=2 SV=1</t>
  </si>
  <si>
    <t>G-type lectin S-receptor-like serine/threonine-protein kinase At1g11410 OS=Arabidopsis thaliana GN=At1g11410 PE=3 SV=3</t>
  </si>
  <si>
    <t>GDT1-like protein 2, chloroplastic OS=Arabidopsis thaliana GN=At4g13590 PE=1 SV=2</t>
  </si>
  <si>
    <t>U-box domain-containing protein 9 OS=Arabidopsis thaliana GN=PUB9 PE=1 SV=1</t>
  </si>
  <si>
    <t>Putative callose synthase 8 OS=Arabidopsis thaliana GN=CALS8 PE=2 SV=2</t>
  </si>
  <si>
    <t>ABC transporter C family member 9 OS=Arabidopsis thaliana GN=ABCC9 PE=2 SV=2</t>
  </si>
  <si>
    <t>NO-associated protein 1, chloroplastic/mitochondrial OS=Arabidopsis thaliana GN=NOA1 PE=1 SV=1</t>
  </si>
  <si>
    <t>Protein PHR1-LIKE 1 OS=Arabidopsis thaliana GN=PHL1 PE=1 SV=1</t>
  </si>
  <si>
    <t>Pentatricopeptide repeat-containing protein At5g15300 OS=Arabidopsis thaliana GN=PCMP-E40 PE=2 SV=2</t>
  </si>
  <si>
    <t>DNA replication ATP-dependent helicase/nuclease DNA2 OS=Xenopus laevis GN=dna2 PE=1 SV=1</t>
  </si>
  <si>
    <t>F-box/kelch-repeat protein SKIP4 OS=Arabidopsis thaliana GN=SKIP4 PE=1 SV=1</t>
  </si>
  <si>
    <t>Transmembrane protein 205 OS=Xenopus laevis GN=tmem205 PE=2 SV=1</t>
  </si>
  <si>
    <t>Isoflavone reductase-like protein OS=Olea europaea PE=1 SV=1</t>
  </si>
  <si>
    <t>Olea europaea</t>
  </si>
  <si>
    <t>60S ribosomal protein L7-2 OS=Arabidopsis thaliana GN=RPL7B PE=2 SV=1</t>
  </si>
  <si>
    <t>Mannan endo-1,4-beta-mannosidase 6 OS=Arabidopsis thaliana GN=MAN6 PE=2 SV=1</t>
  </si>
  <si>
    <t>Pentatricopeptide repeat-containing protein At1g62350 OS=Arabidopsis thaliana GN=At1g62350 PE=2 SV=1</t>
  </si>
  <si>
    <t>Probable 2-oxoglutarate/Fe(II)-dependent dioxygenase OS=Papaver somniferum GN=DIOX2 PE=2 SV=1</t>
  </si>
  <si>
    <t>Papaver somniferum</t>
  </si>
  <si>
    <t>Protein CHAPERONE-LIKE PROTEIN OF POR1, chloroplastic OS=Arabidopsis thaliana GN=CPP1 PE=1 SV=1</t>
  </si>
  <si>
    <t>Alpha-1,4 glucan phosphorylase L isozyme, chloroplastic/amyloplastic OS=Vicia faba GN=PHO1 PE=2 SV=2</t>
  </si>
  <si>
    <t>Vicia faba</t>
  </si>
  <si>
    <t>Zinc finger CCCH domain-containing protein 19 OS=Arabidopsis thaliana GN=NERD PE=1 SV=3</t>
  </si>
  <si>
    <t>Piezo-type mechanosensitive ion channel homolog OS=Arabidopsis thaliana GN=At2g48040/At2g48050/At2g48060 PE=2 SV=1</t>
  </si>
  <si>
    <t>Pentatricopeptide repeat-containing protein At4g19191, mitochondrial OS=Arabidopsis thaliana GN=PCMP-E1 PE=2 SV=1</t>
  </si>
  <si>
    <t>Probable protein S-acyltransferase 4 OS=Arabidopsis thaliana GN=PAT04 PE=2 SV=1</t>
  </si>
  <si>
    <t>Pumilio homolog 2 OS=Arabidopsis thaliana GN=APUM2 PE=1 SV=1</t>
  </si>
  <si>
    <t>CBS domain-containing protein CBSX5 OS=Arabidopsis thaliana GN=CBSX5 PE=2 SV=2</t>
  </si>
  <si>
    <t>Indole-3-acetic acid-induced protein ARG2 OS=Vigna radiata var. radiata GN=ARG2 PE=2 SV=1</t>
  </si>
  <si>
    <t>Vigna radiata</t>
  </si>
  <si>
    <t>CBL-interacting serine/threonine-protein kinase 23 OS=Arabidopsis thaliana GN=CIPK23 PE=1 SV=1</t>
  </si>
  <si>
    <t>SEC1 family transport protein SLY1 OS=Arabidopsis thaliana GN=SLY1 PE=1 SV=1</t>
  </si>
  <si>
    <t>Probable indole-3-acetic acid-amido synthetase GH3.5 OS=Oryza sativa subsp. japonica GN=GH3.5 PE=2 SV=1</t>
  </si>
  <si>
    <t>Respiratory burst oxidase homolog protein C OS=Solanum tuberosum GN=RBOHC PE=1 SV=2</t>
  </si>
  <si>
    <t>Protein MEN-8 OS=Silene latifolia GN=MEN-8 PE=3 SV=1</t>
  </si>
  <si>
    <t>Silene latifolia</t>
  </si>
  <si>
    <t>Potassium transporter 11 OS=Arabidopsis thaliana GN=POT11 PE=2 SV=1</t>
  </si>
  <si>
    <t>ATP-dependent RNA helicase DHX36 OS=Mus musculus GN=Dhx36 PE=1 SV=2</t>
  </si>
  <si>
    <t>Protein ECERIFERUM 3 OS=Arabidopsis thaliana GN=CER3 PE=1 SV=1</t>
  </si>
  <si>
    <t>Cyclin-dependent kinase inhibitor 7 OS=Arabidopsis thaliana GN=KRP7 PE=1 SV=2</t>
  </si>
  <si>
    <t>Probable inactive shikimate kinase like 2, chloroplastic OS=Arabidopsis thaliana GN=SKL2 PE=2 SV=2</t>
  </si>
  <si>
    <t>Sugar transport protein 13 OS=Arabidopsis thaliana GN=STP13 PE=1 SV=2</t>
  </si>
  <si>
    <t>Dual specificity protein kinase splA OS=Dictyostelium discoideum GN=splA PE=1 SV=3</t>
  </si>
  <si>
    <t>Monothiol glutaredoxin-S14, chloroplastic OS=Arabidopsis thaliana GN=GRXS14 PE=1 SV=2</t>
  </si>
  <si>
    <t>Endoglucanase 9 OS=Arabidopsis thaliana GN=CEL3 PE=1 SV=1</t>
  </si>
  <si>
    <t>Protein SYM1 OS=Gibberella zeae (strain PH-1 / ATCC MYA-4620 / FGSC 9075 / NRRL 31084) GN=SYM1 PE=3 SV=1</t>
  </si>
  <si>
    <t>Gibberella zeae</t>
  </si>
  <si>
    <t>Fructose-1,6-bisphosphatase, chloroplastic OS=Brassica napus GN=FBP PE=2 SV=1</t>
  </si>
  <si>
    <t>Dof zinc finger protein DOF5.4 OS=Arabidopsis thaliana GN=DOF5.4 PE=2 SV=2</t>
  </si>
  <si>
    <t>Pollen-specific leucine-rich repeat extensin-like protein 1 OS=Arabidopsis thaliana GN=PEX1 PE=2 SV=1</t>
  </si>
  <si>
    <t>Nascent polypeptide-associated complex subunit alpha-like protein 2 OS=Arabidopsis thaliana GN=At3g49470 PE=2 SV=2</t>
  </si>
  <si>
    <t>Dirigent protein 2 OS=Arabidopsis thaliana GN=DIR2 PE=2 SV=1</t>
  </si>
  <si>
    <t>Pentatricopeptide repeat-containing protein At3g07290, mitochondrial OS=Arabidopsis thaliana GN=At3g07290 PE=2 SV=1</t>
  </si>
  <si>
    <t>Polygalacturonase QRT3 OS=Arabidopsis thaliana GN=QRT3 PE=2 SV=1</t>
  </si>
  <si>
    <t>Probable carboxylesterase 13 OS=Arabidopsis thaliana GN=CXE13 PE=1 SV=1</t>
  </si>
  <si>
    <t>CDPK-related kinase 1 OS=Arabidopsis thaliana GN=CRK1 PE=1 SV=1</t>
  </si>
  <si>
    <t>Ras-related protein RABE1a OS=Arabidopsis thaliana GN=RABE1A PE=1 SV=1</t>
  </si>
  <si>
    <t>Replication factor C subunit 2 OS=Oryza sativa subsp. japonica GN=RFC2 PE=2 SV=1</t>
  </si>
  <si>
    <t>Probable nucleoredoxin 3 OS=Arabidopsis thaliana GN=At4g31240 PE=2 SV=1</t>
  </si>
  <si>
    <t>Transmembrane protein 56-B OS=Xenopus laevis GN=tmem56-b PE=2 SV=1</t>
  </si>
  <si>
    <t>SufE-like protein 1, chloroplastic/mitochondrial OS=Arabidopsis thaliana GN=SUFE1 PE=1 SV=2</t>
  </si>
  <si>
    <t>BTB/POZ domain-containing protein At2g24240 OS=Arabidopsis thaliana GN=At2g24240 PE=2 SV=1</t>
  </si>
  <si>
    <t>Chitinase 4 OS=Oryza sativa subsp. japonica GN=Cht4 PE=2 SV=2</t>
  </si>
  <si>
    <t>L-type lectin-domain containing receptor kinase S.1 OS=Arabidopsis thaliana GN=LECRKS1 PE=2 SV=1</t>
  </si>
  <si>
    <t>Protein CDI OS=Arabidopsis thaliana GN=CDI PE=2 SV=1</t>
  </si>
  <si>
    <t>Putative vacuolar protein sorting-associated protein 13C OS=Dictyostelium discoideum GN=tipC PE=3 SV=1</t>
  </si>
  <si>
    <t>RNA polymerase sigma factor sigA OS=Arabidopsis thaliana GN=SIGA PE=1 SV=1</t>
  </si>
  <si>
    <t>Patatin-like protein 2 OS=Arabidopsis thaliana GN=PLP2 PE=1 SV=1</t>
  </si>
  <si>
    <t>Levodione reductase OS=Leifsonia aquatica GN=lvr PE=1 SV=1</t>
  </si>
  <si>
    <t>Leifsonia aquatica</t>
  </si>
  <si>
    <t>NEDD4-binding protein 2 OS=Homo sapiens GN=N4BP2 PE=1 SV=2</t>
  </si>
  <si>
    <t>Pentatricopeptide repeat-containing protein At2g34400 OS=Arabidopsis thaliana GN=PCMP-E23 PE=3 SV=2</t>
  </si>
  <si>
    <t>Trihelix transcription factor PTL OS=Arabidopsis thaliana GN=PTL PE=2 SV=1</t>
  </si>
  <si>
    <t>Ammonium transporter 1 member 1 OS=Arabidopsis thaliana GN=AMT1-1 PE=1 SV=1</t>
  </si>
  <si>
    <t>Probable ADP-ribosylation factor GTPase-activating protein AGD8 OS=Arabidopsis thaliana GN=AGD8 PE=1 SV=1</t>
  </si>
  <si>
    <t>Protein CHLOROPLAST IMPORT APPARATUS 2 OS=Arabidopsis thaliana GN=CIA2 PE=2 SV=1</t>
  </si>
  <si>
    <t>UBX domain-containing protein 1 OS=Xenopus tropicalis GN=ubxn1 PE=2 SV=1</t>
  </si>
  <si>
    <t>Cullin-1 OS=Arabidopsis thaliana GN=CUL1 PE=1 SV=1</t>
  </si>
  <si>
    <t>Pectin acetylesterase 12 OS=Arabidopsis thaliana GN=PAE12 PE=2 SV=1</t>
  </si>
  <si>
    <t>Serine carboxypeptidase-like 48 OS=Arabidopsis thaliana GN=SCPL48 PE=2 SV=2</t>
  </si>
  <si>
    <t>Isopentenyl-diphosphate Delta-isomerase II OS=Camptotheca acuminata GN=IPI2 PE=2 SV=1</t>
  </si>
  <si>
    <t>Camptotheca acuminata</t>
  </si>
  <si>
    <t>CMP-sialic acid transporter 1 OS=Arabidopsis thaliana GN=At5g41760 PE=2 SV=1</t>
  </si>
  <si>
    <t>Protein S-acyltransferase 24 OS=Arabidopsis thaliana GN=PAT24 PE=2 SV=1</t>
  </si>
  <si>
    <t>PGR5-like protein 1A, chloroplastic OS=Arabidopsis thaliana GN=PGRL1A PE=1 SV=1</t>
  </si>
  <si>
    <t>Serine/arginine-rich-splicing factor SR34 OS=Arabidopsis thaliana GN=SR34 PE=1 SV=1</t>
  </si>
  <si>
    <t>Probable ribosome-binding factor A, chloroplastic OS=Arabidopsis thaliana GN=At4g34730 PE=2 SV=2</t>
  </si>
  <si>
    <t>Aquaporin NIP6-1 OS=Arabidopsis thaliana GN=NIP6-1 PE=1 SV=1</t>
  </si>
  <si>
    <t>Methyltransferase-like protein 13 OS=Bos taurus GN=METTL13 PE=2 SV=1</t>
  </si>
  <si>
    <t>Polyamine oxidase 1 OS=Arabidopsis thaliana GN=PAO1 PE=1 SV=1</t>
  </si>
  <si>
    <t>RING-H2 finger protein ATL5 OS=Arabidopsis thaliana GN=ATL5 PE=2 SV=1</t>
  </si>
  <si>
    <t>Pectinesterase 3 OS=Phaseolus vulgaris GN=MPE3 PE=2 SV=1</t>
  </si>
  <si>
    <t>Rho GTPase-activating protein REN1 OS=Arabidopsis thaliana GN=REN1 PE=1 SV=2</t>
  </si>
  <si>
    <t>Protein WAVE-DAMPENED 2 OS=Arabidopsis thaliana GN=WVD2 PE=2 SV=1</t>
  </si>
  <si>
    <t>Putative pre-mRNA-splicing factor ATP-dependent RNA helicase DHX16 OS=Homo sapiens GN=DHX16 PE=1 SV=2</t>
  </si>
  <si>
    <t>5'-deoxyadenosine deaminase OS=Methanobrevibacter smithii (strain PS / ATCC 35061 / DSM 861) GN=dadD PE=3 SV=1</t>
  </si>
  <si>
    <t>Methanobrevibacter smithii</t>
  </si>
  <si>
    <t>Vacuolar-processing enzyme OS=Citrus sinensis PE=2 SV=1</t>
  </si>
  <si>
    <t>Protein TIC 62, chloroplastic OS=Pisum sativum GN=TIC62 PE=1 SV=2</t>
  </si>
  <si>
    <t>Putative D-cysteine desulfhydrase 1, mitochondrial OS=Oryza sativa subsp. japonica GN=Os02g0773300 PE=2 SV=2</t>
  </si>
  <si>
    <t>Zinc finger protein CONSTANS-LIKE 5 OS=Arabidopsis thaliana GN=COL5 PE=2 SV=2</t>
  </si>
  <si>
    <t>Probable CCR4-associated factor 1 homolog 7 OS=Arabidopsis thaliana GN=CAF1-7 PE=2 SV=2</t>
  </si>
  <si>
    <t>tRNA 2'-phosphotransferase 1 OS=Danio rerio GN=trpt1 PE=2 SV=2</t>
  </si>
  <si>
    <t>Glyoxysomal processing protease, glyoxysomal OS=Arabidopsis thaliana GN=DEG15 PE=1 SV=2</t>
  </si>
  <si>
    <t>Pentatricopeptide repeat-containing protein At4g35850, mitochondrial OS=Arabidopsis thaliana GN=At4g35850 PE=2 SV=1</t>
  </si>
  <si>
    <t>Probable ADP-ribosylation factor GTPase-activating protein AGD11 OS=Arabidopsis thaliana GN=AGD11 PE=2 SV=1</t>
  </si>
  <si>
    <t>Proteasome subunit beta type-6 OS=Arabidopsis thaliana GN=PBA1 PE=1 SV=2</t>
  </si>
  <si>
    <t>Tetratricopeptide repeat protein 7B OS=Homo sapiens GN=TTC7B PE=1 SV=3</t>
  </si>
  <si>
    <t>Glucan endo-1,3-beta-glucosidase, acidic isoform GL153 OS=Nicotiana tabacum GN=GGL4 PE=2 SV=1</t>
  </si>
  <si>
    <t>Vacuolar amino acid transporter 6 OS=Saccharomyces cerevisiae (strain ATCC 204508 / S288c) GN=AVT6 PE=1 SV=1</t>
  </si>
  <si>
    <t>Threonine--tRNA ligase, mitochondrial 1 OS=Arabidopsis thaliana GN=THRRS PE=2 SV=3</t>
  </si>
  <si>
    <t>Ethylene-responsive transcription factor ERF106 OS=Arabidopsis thaliana GN=ERF106 PE=2 SV=1</t>
  </si>
  <si>
    <t>Alkylated DNA repair protein alkB homolog 8 OS=Macaca fascicularis GN=ALKBH8 PE=2 SV=1</t>
  </si>
  <si>
    <t>Zinc finger A20 and AN1 domain-containing stress-associated protein 8 OS=Oryza sativa subsp. japonica GN=SAP8 PE=2 SV=1</t>
  </si>
  <si>
    <t>Outer envelope protein 64, mitochondrial OS=Arabidopsis thaliana GN=OM64 PE=1 SV=1</t>
  </si>
  <si>
    <t>Transcription factor GTE3, chloroplastic OS=Arabidopsis thaliana GN=GTE3 PE=1 SV=1</t>
  </si>
  <si>
    <t>5'-adenylylsulfate reductase 3, chloroplastic OS=Arabidopsis thaliana GN=APR3 PE=2 SV=2</t>
  </si>
  <si>
    <t>Zinc finger matrin-type protein 2 OS=Mus musculus GN=Zmat2 PE=2 SV=1</t>
  </si>
  <si>
    <t>60S ribosomal protein L27a-3 OS=Arabidopsis thaliana GN=RPL27AC PE=2 SV=2</t>
  </si>
  <si>
    <t>UBP1-associated protein 2A OS=Arabidopsis thaliana GN=UBA2A PE=1 SV=1</t>
  </si>
  <si>
    <t>Putative phospholipid:diacylglycerol acyltransferase 2 OS=Arabidopsis thaliana GN=PDAT2 PE=3 SV=1</t>
  </si>
  <si>
    <t>Heat stress transcription factor A-4b OS=Oryza sativa subsp. japonica GN=HSFA4B PE=2 SV=1</t>
  </si>
  <si>
    <t>MADS-box transcription factor 16 OS=Oryza sativa subsp. japonica GN=MADS16 PE=1 SV=2</t>
  </si>
  <si>
    <t>Uncharacterized ATP-dependent helicase C29A10.10c OS=Schizosaccharomyces pombe (strain 972 / ATCC 24843) GN=SPBC29A10.10c PE=3 SV=1</t>
  </si>
  <si>
    <t>Pentatricopeptide repeat-containing protein At1g74850, chloroplastic OS=Arabidopsis thaliana GN=PTAC2 PE=2 SV=1</t>
  </si>
  <si>
    <t>Glutamine--tRNA ligase OS=Lupinus luteus PE=2 SV=2</t>
  </si>
  <si>
    <t>Lupinus luteus</t>
  </si>
  <si>
    <t>Protein NSP-INTERACTING KINASE 1 OS=Arabidopsis thaliana GN=NIK1 PE=1 SV=1</t>
  </si>
  <si>
    <t>Poly(ADP-ribose) glycohydrolase 1 OS=Arabidopsis thaliana GN=PARG1 PE=1 SV=2</t>
  </si>
  <si>
    <t>Scarecrow-like protein 3 OS=Arabidopsis thaliana GN=SCL3 PE=2 SV=1</t>
  </si>
  <si>
    <t>PHD finger protein At1g33420 OS=Arabidopsis thaliana GN=At1g33420 PE=1 SV=1</t>
  </si>
  <si>
    <t>Transcription initiation factor TFIid subunit 7 OS=Arabidopsis thaliana GN=TAF7 PE=1 SV=1</t>
  </si>
  <si>
    <t>Cytochrome P450 724B1 OS=Oryza sativa subsp. japonica GN=CYP724B1 PE=1 SV=1</t>
  </si>
  <si>
    <t>Coatomer subunit beta'-2 OS=Arabidopsis thaliana GN=At1g52360 PE=2 SV=1</t>
  </si>
  <si>
    <t>Probable polygalacturonase OS=Vitis vinifera GN=GSVIVT00026920001 PE=1 SV=1</t>
  </si>
  <si>
    <t>Dual specificity protein phosphatase 1 OS=Arabidopsis thaliana GN=DSPTP1 PE=1 SV=1</t>
  </si>
  <si>
    <t>Probable steroid-binding protein 3 OS=Arabidopsis thaliana GN=MP3 PE=1 SV=1</t>
  </si>
  <si>
    <t>Probable protein phosphatase 2C 78 OS=Oryza sativa subsp. japonica GN=Os12g0580900 PE=2 SV=1</t>
  </si>
  <si>
    <t>Transcription factor UNE12 OS=Arabidopsis thaliana GN=UNE12 PE=2 SV=2</t>
  </si>
  <si>
    <t>Probable zinc protease PqqL OS=Escherichia coli (strain K12) GN=pqqL PE=3 SV=2</t>
  </si>
  <si>
    <t>Escherichia coli</t>
  </si>
  <si>
    <t>BTB/POZ domain-containing protein At3g50780 OS=Arabidopsis thaliana GN=At3g50780 PE=2 SV=1</t>
  </si>
  <si>
    <t>Auxin-responsive protein IAA31 OS=Arabidopsis thaliana GN=IAA31 PE=2 SV=2</t>
  </si>
  <si>
    <t>TBC1 domain family member 22B OS=Homo sapiens GN=TBC1D22B PE=1 SV=3</t>
  </si>
  <si>
    <t>Growth-regulating factor 5 OS=Oryza sativa subsp. japonica GN=GRF5 PE=2 SV=1</t>
  </si>
  <si>
    <t>SNAP25 homologous protein SNAP33 OS=Arabidopsis thaliana GN=SNAP33 PE=1 SV=1</t>
  </si>
  <si>
    <t>Pumilio homolog 1 OS=Arabidopsis thaliana GN=APUM1 PE=1 SV=1</t>
  </si>
  <si>
    <t>E3 ubiquitin-protein ligase UPL2 OS=Arabidopsis thaliana GN=UPL2 PE=1 SV=3</t>
  </si>
  <si>
    <t>DNA-directed RNA polymerase III subunit RPC10 OS=Mus musculus GN=Polr3k PE=3 SV=1</t>
  </si>
  <si>
    <t>High affinity nitrate transporter 2.7 OS=Arabidopsis thaliana GN=NRT2.7 PE=2 SV=1</t>
  </si>
  <si>
    <t>Phosphoglycerate mutase-like protein 4 OS=Arabidopsis thaliana GN=At3g50520 PE=2 SV=1</t>
  </si>
  <si>
    <t>5'-adenylylsulfate reductase-like 4 OS=Arabidopsis thaliana GN=APRL4 PE=2 SV=1</t>
  </si>
  <si>
    <t>Calcium homeostasis endoplasmic reticulum protein OS=Mus musculus GN=Cherp PE=1 SV=1</t>
  </si>
  <si>
    <t>Putative uncharacterized protein At4g01020, chloroplastic OS=Arabidopsis thaliana GN=At4g01020 PE=3 SV=1</t>
  </si>
  <si>
    <t>2,3-dimethylmalate lyase OS=Eubacterium barkeri GN=Dml PE=1 SV=1</t>
  </si>
  <si>
    <t>Eubacterium barkeri</t>
  </si>
  <si>
    <t>Vacuolar protein sorting-associated protein 55 homolog OS=Arabidopsis thaliana GN=At1g32410 PE=2 SV=1</t>
  </si>
  <si>
    <t>2-oxoglutarate dehydrogenase, mitochondrial OS=Dictyostelium discoideum GN=ogdh PE=3 SV=1</t>
  </si>
  <si>
    <t>Probable prolyl 4-hydroxylase 7 OS=Arabidopsis thaliana GN=P4H7 PE=2 SV=1</t>
  </si>
  <si>
    <t>ER membrane protein complex subunit 4 OS=Danio rerio GN=emc4 PE=2 SV=1</t>
  </si>
  <si>
    <t>RNA exonuclease 4 OS=Schizosaccharomyces pombe (strain 972 / ATCC 24843) GN=rex4 PE=3 SV=1</t>
  </si>
  <si>
    <t>Histone-lysine N-methyltransferase ATXR4 OS=Arabidopsis thaliana GN=ATXR4 PE=2 SV=2</t>
  </si>
  <si>
    <t>Small glutamine-rich tetratricopeptide repeat-containing protein beta OS=Rattus norvegicus GN=Sgtb PE=1 SV=1</t>
  </si>
  <si>
    <t>Brefeldin A-inhibited guanine nucleotide-exchange protein 5 OS=Arabidopsis thaliana GN=BIG5 PE=1 SV=2</t>
  </si>
  <si>
    <t>Ocs element-binding factor 1 OS=Zea mays GN=OBF1 PE=2 SV=2</t>
  </si>
  <si>
    <t>Auxin-induced protein 15A OS=Glycine max PE=2 SV=1</t>
  </si>
  <si>
    <t>Proline synthase co-transcribed bacterial homolog protein OS=Mus musculus GN=Prosc PE=1 SV=1</t>
  </si>
  <si>
    <t>Probable LRR receptor-like serine/threonine-protein kinase At2g24230 OS=Arabidopsis thaliana GN=At2g24230 PE=2 SV=1</t>
  </si>
  <si>
    <t>EH domain-containing protein 2 OS=Arabidopsis thaliana GN=EHD2 PE=1 SV=1</t>
  </si>
  <si>
    <t>Putative serine/threonine-protein kinase haspin homolog OS=Drosophila melanogaster GN=Haspin PE=2 SV=1</t>
  </si>
  <si>
    <t>10 kDa chaperonin OS=Synechococcus sp. (strain ATCC 27144 / PCC 6301 / SAUG 1402/1) GN=groS PE=3 SV=1</t>
  </si>
  <si>
    <t>Synechococcus sp.</t>
  </si>
  <si>
    <t>Protein TSS OS=Arabidopsis thaliana GN=TSS PE=1 SV=1</t>
  </si>
  <si>
    <t>Protein IQ-DOMAIN 31 OS=Arabidopsis thaliana GN=IQD31 PE=1 SV=1</t>
  </si>
  <si>
    <t>Premnaspirodiene oxygenase OS=Hyoscyamus muticus GN=CYP71D55 PE=1 SV=1</t>
  </si>
  <si>
    <t>Hyoscyamus muticus</t>
  </si>
  <si>
    <t>Ribulose-1,5 bisphosphate carboxylase/oxygenase large subunit N-methyltransferase, chloroplastic OS=Nicotiana tabacum GN=RBCMT PE=2 SV=1</t>
  </si>
  <si>
    <t>Beta-amylase OS=Glycine max GN=BMY1 PE=1 SV=3</t>
  </si>
  <si>
    <t>Cyclin-A2-1 OS=Arabidopsis thaliana GN=CYCA2-1 PE=2 SV=3</t>
  </si>
  <si>
    <t>Probable protein Pop3 OS=Arabidopsis thaliana GN=At3g17210 PE=1 SV=1</t>
  </si>
  <si>
    <t>Probable N-acetyltransferase HLS1-like OS=Arabidopsis thaliana GN=At2g23060 PE=2 SV=1</t>
  </si>
  <si>
    <t>Calcium-dependent protein kinase 4 OS=Solanum tuberosum GN=CPK4 PE=2 SV=1</t>
  </si>
  <si>
    <t>Cystathionine beta-lyase, chloroplastic OS=Arabidopsis thaliana GN=At3g57050 PE=1 SV=1</t>
  </si>
  <si>
    <t>Serine hydroxymethyltransferase, mitochondrial OS=Solanum tuberosum PE=2 SV=1</t>
  </si>
  <si>
    <t>Zinc finger protein JAGGED OS=Arabidopsis thaliana GN=JAG PE=2 SV=1</t>
  </si>
  <si>
    <t>Tetraspanin-19 OS=Arabidopsis thaliana GN=TOM2AH3 PE=2 SV=1</t>
  </si>
  <si>
    <t>Pre-mRNA-splicing factor ISY1 homolog OS=Dictyostelium discoideum GN=isy1 PE=3 SV=1</t>
  </si>
  <si>
    <t>Glucomannan 4-beta-mannosyltransferase 2 OS=Arabidopsis thaliana GN=CSLA2 PE=2 SV=1</t>
  </si>
  <si>
    <t>Protein disulfide isomerase-like 2-3 OS=Oryza sativa subsp. japonica GN=PDIL2-3 PE=2 SV=1</t>
  </si>
  <si>
    <t>Translationally-controlled tumor protein homolog OS=Fragaria ananassa GN=TCTP PE=2 SV=1</t>
  </si>
  <si>
    <t>Probable linoleate 9S-lipoxygenase 5 OS=Solanum tuberosum GN=LOX1.5 PE=2 SV=1</t>
  </si>
  <si>
    <t>Probable receptor-like protein kinase At5g15080 OS=Arabidopsis thaliana GN=At5g15080 PE=2 SV=1</t>
  </si>
  <si>
    <t>Protein C2-DOMAIN ABA-RELATED 4 OS=Arabidopsis thaliana GN=CAR4 PE=1 SV=1</t>
  </si>
  <si>
    <t>Bifunctional nuclease 2 OS=Oryza sativa subsp. japonica GN=BBD2 PE=2 SV=1</t>
  </si>
  <si>
    <t>Chloroplastic group IIB intron splicing facilitator CRS2-B, chloroplastic OS=Arabidopsis thaliana GN=CRS2B PE=2 SV=1</t>
  </si>
  <si>
    <t>UDP-glycosyltransferase 87A1 OS=Arabidopsis thaliana GN=UGT87A1 PE=2 SV=1</t>
  </si>
  <si>
    <t>Probable glycerol-3-phosphate acyltransferase 8 OS=Arabidopsis thaliana GN=GPAT8 PE=2 SV=1</t>
  </si>
  <si>
    <t>THO complex subunit 4A OS=Arabidopsis thaliana GN=ALY1 PE=1 SV=1</t>
  </si>
  <si>
    <t>60S acidic ribosomal protein P1 OS=Zea mays GN=RPP1A PE=1 SV=1</t>
  </si>
  <si>
    <t>60S ribosomal protein L13-1 OS=Arabidopsis thaliana GN=RPL13B PE=1 SV=1</t>
  </si>
  <si>
    <t>Polyadenylate-binding protein 1 OS=Arabidopsis thaliana GN=PABN1 PE=1 SV=1</t>
  </si>
  <si>
    <t>U4/U6.U5 small nuclear ribonucleoprotein 27 kDa protein OS=Mus musculus GN=Snrnp27 PE=2 SV=1</t>
  </si>
  <si>
    <t>Nucleolin 2 OS=Oryza sativa subsp. japonica GN=Os04g0620700 PE=2 SV=2</t>
  </si>
  <si>
    <t>Shikimate O-hydroxycinnamoyltransferase OS=Arabidopsis thaliana GN=HST PE=2 SV=1</t>
  </si>
  <si>
    <t>Probable WRKY transcription factor 41 OS=Arabidopsis thaliana GN=WRKY41 PE=2 SV=2</t>
  </si>
  <si>
    <t>Serine acetyltransferase 3, mitochondrial OS=Arabidopsis thaliana GN=SAT3 PE=1 SV=3</t>
  </si>
  <si>
    <t>Serine carboxypeptidase-like 18 OS=Arabidopsis thaliana GN=SCPL18 PE=2 SV=2</t>
  </si>
  <si>
    <t>Secoisolariciresinol dehydrogenase (Fragment) OS=Forsythia intermedia PE=1 SV=1</t>
  </si>
  <si>
    <t>Forsythia intermedia</t>
  </si>
  <si>
    <t>Bromodomain adjacent to zinc finger domain protein 2B OS=Gallus gallus GN=BAZ2B PE=2 SV=1</t>
  </si>
  <si>
    <t>UDP-sugar-dependent glycosyltransferase 52 OS=Dictyostelium discoideum GN=ugt52 PE=2 SV=1</t>
  </si>
  <si>
    <t>Probable alpha,alpha-trehalose-phosphate synthase [UDP-forming] 10 OS=Arabidopsis thaliana GN=TPS10 PE=2 SV=1</t>
  </si>
  <si>
    <t>Protein argonaute 7 OS=Arabidopsis thaliana GN=AGO7 PE=2 SV=1</t>
  </si>
  <si>
    <t>Probable nucleolar protein 5-2 OS=Arabidopsis thaliana GN=NOP5-2 PE=2 SV=1</t>
  </si>
  <si>
    <t>Pathogenesis-related protein PR-1 OS=Medicago truncatula GN=PR-1 PE=2 SV=1</t>
  </si>
  <si>
    <t>Ankyrin repeat and SAM domain-containing protein 1A OS=Homo sapiens GN=ANKS1A PE=1 SV=4</t>
  </si>
  <si>
    <t>DEAD-box ATP-dependent RNA helicase 50 OS=Arabidopsis thaliana GN=RH50 PE=2 SV=2</t>
  </si>
  <si>
    <t>Probable leucine-rich repeat receptor-like protein kinase At1g35710 OS=Arabidopsis thaliana GN=At1g35710 PE=2 SV=1</t>
  </si>
  <si>
    <t>Protein EARLY RESPONSIVE TO DEHYDRATION 15 OS=Arabidopsis thaliana GN=ERD15 PE=1 SV=1</t>
  </si>
  <si>
    <t>Auxin-induced protein AUX28 OS=Glycine max GN=AUX28 PE=2 SV=1</t>
  </si>
  <si>
    <t>Probable sulfate transporter 3.3 OS=Arabidopsis thaliana GN=SULTR3;3 PE=2 SV=2</t>
  </si>
  <si>
    <t>ABC transporter G family member 44 OS=Oryza sativa subsp. japonica GN=ABCG44 PE=2 SV=2</t>
  </si>
  <si>
    <t>Phospholipase D delta OS=Arabidopsis thaliana GN=PLDDELTA PE=1 SV=2</t>
  </si>
  <si>
    <t>Cellulose synthase-like protein G3 OS=Arabidopsis thaliana GN=CSLG3 PE=2 SV=2</t>
  </si>
  <si>
    <t>Mitogen-activated protein kinase 10 OS=Oryza sativa subsp. japonica GN=MPK10 PE=2 SV=2</t>
  </si>
  <si>
    <t>ATP-dependent zinc metalloprotease FTSH 4, mitochondrial OS=Arabidopsis thaliana GN=FTSH4 PE=1 SV=2</t>
  </si>
  <si>
    <t>Ethylene-responsive transcription factor ERF017 OS=Arabidopsis thaliana GN=ERF017 PE=2 SV=1</t>
  </si>
  <si>
    <t>E3 ubiquitin-protein ligase KEG OS=Arabidopsis thaliana GN=KEG PE=1 SV=2</t>
  </si>
  <si>
    <t>Protein NRT1/ PTR FAMILY 2.6 OS=Arabidopsis thaliana GN=NPF2.6 PE=2 SV=1</t>
  </si>
  <si>
    <t>Probable inorganic phosphate transporter 1-7 OS=Arabidopsis thaliana GN=PHT1-7 PE=2 SV=2</t>
  </si>
  <si>
    <t>Adenylate kinase isoenzyme 6 homolog OS=Arabidopsis thaliana GN=AAK6 PE=1 SV=1</t>
  </si>
  <si>
    <t>UNC93-like protein C922.05c OS=Schizosaccharomyces pombe (strain 972 / ATCC 24843) GN=SPAC922.05c PE=3 SV=1</t>
  </si>
  <si>
    <t>Probable cyclic nucleotide-gated ion channel 10 OS=Arabidopsis thaliana GN=CNGC10 PE=2 SV=2</t>
  </si>
  <si>
    <t>CSC1-like protein At3g54510 OS=Arabidopsis thaliana GN=At3g54510 PE=2 SV=1</t>
  </si>
  <si>
    <t>ATP-dependent zinc metalloprotease FTSH, chloroplastic OS=Nicotiana tabacum GN=FTSH PE=2 SV=2</t>
  </si>
  <si>
    <t>1-aminocyclopropane-1-carboxylate oxidase 5 OS=Arabidopsis thaliana GN=At1g77330 PE=2 SV=1</t>
  </si>
  <si>
    <t>Mavicyanin OS=Cucurbita pepo PE=1 SV=1</t>
  </si>
  <si>
    <t>Cucurbita pepo</t>
  </si>
  <si>
    <t>DNA-directed RNA polymerase subunit beta OS=Buxus microphylla GN=rpoB PE=3 SV=1</t>
  </si>
  <si>
    <t>Buxus microphylla</t>
  </si>
  <si>
    <t>Serine/threonine-protein phosphatase PP-X isozyme 2 OS=Arabidopsis thaliana GN=PPX2 PE=2 SV=2</t>
  </si>
  <si>
    <t>Random slug protein 5 OS=Dictyostelium discoideum GN=rsc5 PE=2 SV=1</t>
  </si>
  <si>
    <t>Mitogen-activated protein kinase kinase kinase NPK1 OS=Nicotiana tabacum GN=NPK1 PE=1 SV=1</t>
  </si>
  <si>
    <t>Callose synthase 10 OS=Arabidopsis thaliana GN=CALS10 PE=2 SV=5</t>
  </si>
  <si>
    <t>[Pyruvate dehydrogenase (acetyl-transferring)] kinase, mitochondrial OS=Arabidopsis thaliana GN=PDK PE=1 SV=1</t>
  </si>
  <si>
    <t>Clock-controlled protein 6 OS=Neurospora crassa (strain ATCC 24698 / 74-OR23-1A / CBS 708.71 / DSM 1257 / FGSC 987) GN=ccg-6 PE=2 SV=2</t>
  </si>
  <si>
    <t>Serine/threonine-protein kinase AFC3 OS=Arabidopsis thaliana GN=AFC3 PE=2 SV=2</t>
  </si>
  <si>
    <t>40S ribosomal protein S1 OS=Nectria haematococca (strain 77-13-4 / ATCC MYA-4622 / FGSC 9596 / MPVI) GN=RPS1 PE=3 SV=1</t>
  </si>
  <si>
    <t>Nectria haematococca</t>
  </si>
  <si>
    <t>BTB/POZ domain-containing protein At3g56230 OS=Arabidopsis thaliana GN=At3g56230 PE=2 SV=1</t>
  </si>
  <si>
    <t>Probable beta-D-xylosidase 2 OS=Arabidopsis thaliana GN=BXL2 PE=2 SV=1</t>
  </si>
  <si>
    <t>Pentatricopeptide repeat-containing protein At3g22470, mitochondrial OS=Arabidopsis thaliana GN=At3g22470 PE=2 SV=1</t>
  </si>
  <si>
    <t>Alcohol dehydrogenase 1 OS=Neurospora crassa (strain ATCC 24698 / 74-OR23-1A / CBS 708.71 / DSM 1257 / FGSC 987) GN=adh-1 PE=3 SV=1</t>
  </si>
  <si>
    <t>60S ribosomal protein L6 OS=Mesembryanthemum crystallinum GN=RPL6 PE=2 SV=1</t>
  </si>
  <si>
    <t>Mesembryanthemum crystallinum</t>
  </si>
  <si>
    <t>Non-specific phospholipase C3 OS=Arabidopsis thaliana GN=NPC3 PE=2 SV=1</t>
  </si>
  <si>
    <t>ABC transporter I family member 17 OS=Arabidopsis thaliana GN=ABCI17 PE=2 SV=1</t>
  </si>
  <si>
    <t>Putative E3 ubiquitin-protein ligase SINAT1 OS=Arabidopsis thaliana GN=SINAT1 PE=3 SV=1</t>
  </si>
  <si>
    <t>ATP-dependent RNA helicase SKI2 OS=Arabidopsis thaliana GN=SKI2 PE=1 SV=1</t>
  </si>
  <si>
    <t>E3 ubiquitin-protein ligase ORTHRUS 2 OS=Arabidopsis thaliana GN=ORTH2 PE=1 SV=1</t>
  </si>
  <si>
    <t>Transcription factor PERIANTHIA OS=Arabidopsis thaliana GN=PAN PE=1 SV=1</t>
  </si>
  <si>
    <t>GPN-loop GTPase 3 OS=Ustilago maydis (strain 521 / FGSC 9021) GN=UM01243 PE=3 SV=1</t>
  </si>
  <si>
    <t>Cyanogenic beta-glucosidase (Fragment) OS=Trifolium repens GN=LI PE=1 SV=1</t>
  </si>
  <si>
    <t>Protein SIEL OS=Arabidopsis thaliana GN=SIEL PE=1 SV=1</t>
  </si>
  <si>
    <t>OPA3-like protein OS=Schizosaccharomyces pombe (strain 972 / ATCC 24843) GN=SPBC1703.11 PE=3 SV=1</t>
  </si>
  <si>
    <t>APO protein 3, mitochondrial OS=Arabidopsis thaliana GN=APO3 PE=2 SV=1</t>
  </si>
  <si>
    <t>DDB1- and CUL4-associated factor 13 OS=Gallus gallus GN=DCAF13 PE=2 SV=1</t>
  </si>
  <si>
    <t>ATPase family AAA domain-containing protein 1 OS=Rattus norvegicus GN=Atad1 PE=1 SV=1</t>
  </si>
  <si>
    <t>Serine/threonine-protein kinase ATM OS=Arabidopsis thaliana GN=ATM PE=2 SV=1</t>
  </si>
  <si>
    <t>RNA-binding protein 42 OS=Rattus norvegicus GN=Rbm42 PE=1 SV=1</t>
  </si>
  <si>
    <t>Serine/threonine-protein kinase PBS1 OS=Arabidopsis thaliana GN=PBS1 PE=1 SV=1</t>
  </si>
  <si>
    <t>Protein NRT1/ PTR FAMILY 2.11 OS=Arabidopsis thaliana GN=NPF2.11 PE=1 SV=1</t>
  </si>
  <si>
    <t>Auxin-binding protein ABP19a OS=Prunus persica GN=ABP19A PE=3 SV=1</t>
  </si>
  <si>
    <t>Ethylene-responsive transcription factor SHINE 2 OS=Arabidopsis thaliana GN=SHN2 PE=2 SV=1</t>
  </si>
  <si>
    <t>UDP-glycosyltransferase 91A1 OS=Arabidopsis thaliana GN=UGT91A1 PE=2 SV=1</t>
  </si>
  <si>
    <t>Protein STRICTOSidINE SYNTHASE-LIKE 5 OS=Arabidopsis thaliana GN=SSL5 PE=2 SV=1</t>
  </si>
  <si>
    <t>Probable WRKY transcription factor 16 OS=Arabidopsis thaliana GN=WRKY16 PE=2 SV=1</t>
  </si>
  <si>
    <t>Probable strigolactone esterase D14 homolog OS=Arabidopsis thaliana GN=D14 PE=1 SV=1</t>
  </si>
  <si>
    <t>Zinc finger protein WIP2 OS=Arabidopsis thaliana GN=WIP2 PE=1 SV=1</t>
  </si>
  <si>
    <t>Beta-galactosidase 16 OS=Arabidopsis thaliana GN=BGAL16 PE=2 SV=2</t>
  </si>
  <si>
    <t>Protein EXORDIUM-like 2 OS=Arabidopsis thaliana GN=EXL2 PE=2 SV=1</t>
  </si>
  <si>
    <t>Pentatricopeptide repeat-containing protein At2g03380, mitochondrial OS=Arabidopsis thaliana GN=PCMP-E47 PE=3 SV=1</t>
  </si>
  <si>
    <t>Transmembrane protein 45A OS=Homo sapiens GN=TMEM45A PE=2 SV=1</t>
  </si>
  <si>
    <t>COBW domain-containing protein 1 OS=Homo sapiens GN=CBWD1 PE=1 SV=1</t>
  </si>
  <si>
    <t>Dicer-like protein 4 OS=Arabidopsis thaliana GN=DCL4 PE=1 SV=2</t>
  </si>
  <si>
    <t>BTB/POZ domain-containing protein At3g22104 OS=Arabidopsis thaliana GN=At3g22104 PE=2 SV=1</t>
  </si>
  <si>
    <t>Protochlorophyllide reductase, chloroplastic OS=Cucumis sativus GN=PORA PE=2 SV=1</t>
  </si>
  <si>
    <t>Phosphoglucan, water dikinase, chloroplastic OS=Arabidopsis thaliana GN=GWD3 PE=1 SV=1</t>
  </si>
  <si>
    <t>26S proteasome non-ATPase regulatory subunit 7 homolog B OS=Arabidopsis thaliana GN=RPN8B PE=1 SV=1</t>
  </si>
  <si>
    <t>WAT1-related protein At4g01440 OS=Arabidopsis thaliana GN=At4g01440 PE=2 SV=1</t>
  </si>
  <si>
    <t>Lactation elevated protein 1 OS=Mus musculus GN=Lace1 PE=2 SV=1</t>
  </si>
  <si>
    <t>Probable acyl-activating enzyme 12, peroxisomal OS=Arabidopsis thaliana GN=AAE12 PE=2 SV=1</t>
  </si>
  <si>
    <t>Glycine-rich RNA-binding protein 6, mitochondrial OS=Arabidopsis thaliana GN=RBG6 PE=2 SV=1</t>
  </si>
  <si>
    <t>(-)-isopiperitenol/(-)-carveol dehydrogenase, mitochondrial OS=Mentha piperita PE=1 SV=1</t>
  </si>
  <si>
    <t>Mentha piperita</t>
  </si>
  <si>
    <t>Truncated basic helix-loop-helix protein A OS=Pisum sativum GN=BHLH PE=4 SV=1</t>
  </si>
  <si>
    <t>ADP,ATP carrier protein 3, mitochondrial OS=Arabidopsis thaliana GN=AAC3 PE=2 SV=1</t>
  </si>
  <si>
    <t>Putative F-box protein At1g47790 OS=Arabidopsis thaliana GN=At1g47790 PE=3 SV=1</t>
  </si>
  <si>
    <t>Protein CROWDED NUCLEI 1 OS=Arabidopsis thaliana GN=CRWN1 PE=1 SV=1</t>
  </si>
  <si>
    <t>Protein trichome birefringence-like 11 OS=Arabidopsis thaliana GN=TBL11 PE=2 SV=1</t>
  </si>
  <si>
    <t>Pleiotropic drug resistance protein 2 OS=Nicotiana plumbaginifolia GN=PDR2 PE=2 SV=1</t>
  </si>
  <si>
    <t>Ubiquitin carboxyl-terminal hydrolase 8 OS=Arabidopsis thaliana GN=UBP8 PE=2 SV=2</t>
  </si>
  <si>
    <t>NAC transcription factor 29 OS=Arabidopsis thaliana GN=NAC029 PE=2 SV=1</t>
  </si>
  <si>
    <t>Transcription factor DYT1 OS=Arabidopsis thaliana GN=DYT1 PE=2 SV=1</t>
  </si>
  <si>
    <t>U-box domain-containing protein 6 OS=Arabidopsis thaliana GN=PUB6 PE=2 SV=2</t>
  </si>
  <si>
    <t>PRA1 family protein B1 OS=Arabidopsis thaliana GN=PRA1B1 PE=1 SV=1</t>
  </si>
  <si>
    <t>U-box domain-containing protein 17 OS=Arabidopsis thaliana GN=PUB17 PE=2 SV=1</t>
  </si>
  <si>
    <t>Calcium-binding protein KIC OS=Arabidopsis thaliana GN=KIC PE=1 SV=2</t>
  </si>
  <si>
    <t>mRNA-decapping enzyme-like protein OS=Arabidopsis thaliana GN=At1g08370 PE=1 SV=2</t>
  </si>
  <si>
    <t>Cyclin-U1-1 OS=Arabidopsis thaliana GN=CYCU1-1 PE=1 SV=1</t>
  </si>
  <si>
    <t>DNA replication licensing factor MCM4 OS=Oryza sativa subsp. japonica GN=MCM4 PE=3 SV=2</t>
  </si>
  <si>
    <t>Putative white-brown complex homolog protein 30 OS=Arabidopsis thaliana GN=WBC30 PE=1 SV=3</t>
  </si>
  <si>
    <t>Pentatricopeptide repeat-containing protein At1g18485 OS=Arabidopsis thaliana GN=PCMP-H8 PE=2 SV=2</t>
  </si>
  <si>
    <t>Tryptophan aminotransferase-related protein 4 OS=Arabidopsis thaliana GN=TAR4 PE=2 SV=2</t>
  </si>
  <si>
    <t>Hyoscyamine 6-dioxygenase OS=Hyoscyamus niger GN=H6H PE=1 SV=1</t>
  </si>
  <si>
    <t>Hyoscyamus niger</t>
  </si>
  <si>
    <t>NADH-ubiquinone oxidoreductase chain 4 OS=Arabidopsis thaliana GN=ND4 PE=2 SV=2</t>
  </si>
  <si>
    <t>ABC transporter G family member 6 OS=Arabidopsis thaliana GN=ABCG6 PE=2 SV=1</t>
  </si>
  <si>
    <t>Fidgetin-like protein 1 OS=Homo sapiens GN=FIGNL1 PE=1 SV=2</t>
  </si>
  <si>
    <t>U-box domain-containing protein 16 OS=Arabidopsis thaliana GN=PUB16 PE=2 SV=1</t>
  </si>
  <si>
    <t>Uncharacterized protein HI_0933 OS=Haemophilus influenzae (strain ATCC 51907 / DSM 11121 / KW20 / Rd) GN=HI_0933 PE=1 SV=1</t>
  </si>
  <si>
    <t>Haemophilus influenzae</t>
  </si>
  <si>
    <t>Heat shock 70 kDa protein 16 OS=Arabidopsis thaliana GN=HSP70-16 PE=2 SV=1</t>
  </si>
  <si>
    <t>Uncharacterized protein At1g51745 OS=Arabidopsis thaliana GN=At1g51745 PE=2 SV=2</t>
  </si>
  <si>
    <t>Pentatricopeptide repeat-containing protein At2g13420, mitochondrial OS=Arabidopsis thaliana GN=At2g13420 PE=2 SV=1</t>
  </si>
  <si>
    <t>Probable DNA helicase MCM8 OS=Arabidopsis thaliana GN=MCM8 PE=2 SV=2</t>
  </si>
  <si>
    <t>Myb-like protein O OS=Dictyostelium discoideum GN=mybO PE=3 SV=1</t>
  </si>
  <si>
    <t>Deoxynucleoside triphosphate triphosphohydrolase SAMHD1 homolog OS=Dictyostelium discoideum GN=DDB_G0272484 PE=3 SV=1</t>
  </si>
  <si>
    <t>Scopoletin glucosyltransferase OS=Nicotiana tabacum GN=TOGT1 PE=1 SV=1</t>
  </si>
  <si>
    <t>Probable phospholipid-transporting ATPase 4 OS=Arabidopsis thaliana GN=ALA4 PE=3 SV=2</t>
  </si>
  <si>
    <t>Enoyl-[acyl-carrier-protein] reductase [NADH], chloroplastic OS=Arabidopsis thaliana GN=MOD1 PE=1 SV=1</t>
  </si>
  <si>
    <t>Transcriptional adapter ADA2 OS=Oryza sativa subsp. japonica GN=ADA2 PE=2 SV=2</t>
  </si>
  <si>
    <t>Sugar transport protein 7 OS=Arabidopsis thaliana GN=STP7 PE=2 SV=1</t>
  </si>
  <si>
    <t>Probable U6 snRNA-associated Sm-like protein LSm4 OS=Nicotiana tabacum PE=2 SV=1</t>
  </si>
  <si>
    <t>Pentatricopeptide repeat-containing protein At3g29230 OS=Arabidopsis thaliana GN=PCMP-E27 PE=2 SV=1</t>
  </si>
  <si>
    <t>Nuclear export mediator factor Nemf OS=Mus musculus GN=Nemf PE=1 SV=2</t>
  </si>
  <si>
    <t>4-alpha-glucanotransferase DPE2 OS=Arabidopsis thaliana GN=DPE2 PE=1 SV=1</t>
  </si>
  <si>
    <t>Probable cytokinin riboside 5'-monophosphate phosphoribohydrolase LOGL1 OS=Oryza sativa subsp. japonica GN=LOGL1 PE=2 SV=1</t>
  </si>
  <si>
    <t>Phragmoplast orienting kinesin-1 OS=Arabidopsis thaliana GN=POK1 PE=1 SV=1</t>
  </si>
  <si>
    <t>Structural maintenance of chromosomes protein 4 OS=Arabidopsis thaliana GN=SMC4 PE=1 SV=1</t>
  </si>
  <si>
    <t>Cysteine desulfurase 1, chloroplastic OS=Arabidopsis thaliana GN=NFS2 PE=1 SV=1</t>
  </si>
  <si>
    <t>Microtubule-associated protein TORTIFOLIA1 OS=Arabidopsis thaliana GN=TOR1 PE=1 SV=2</t>
  </si>
  <si>
    <t>Importin-5 OS=Homo sapiens GN=IPO5 PE=1 SV=4</t>
  </si>
  <si>
    <t>Protein DGCR14 OS=Mus musculus GN=Dgcr14 PE=2 SV=2</t>
  </si>
  <si>
    <t>Putative GPI-anchor transamidase OS=Drosophila melanogaster GN=CG4406 PE=2 SV=1</t>
  </si>
  <si>
    <t>D-inositol 3-phosphate glycosyltransferase OS=Xylanimonas cellulosilytica (strain DSM 15894 / CECT 5975 / LMG 20990 / XIL07) GN=mshA PE=3 SV=1</t>
  </si>
  <si>
    <t>Xylanimonas cellulosilytica</t>
  </si>
  <si>
    <t>Organic cation/carnitine transporter 2 OS=Arabidopsis thaliana GN=OCT2 PE=2 SV=1</t>
  </si>
  <si>
    <t>Squamous cell carcinoma antigen recognized by T-cells 3 OS=Danio rerio GN=sart3 PE=2 SV=1</t>
  </si>
  <si>
    <t>Ribosomal RNA small subunit methyltransferase NEP1 OS=Mus musculus GN=Emg1 PE=2 SV=1</t>
  </si>
  <si>
    <t>DEAD-box ATP-dependent RNA helicase 17 OS=Arabidopsis thaliana GN=RH17 PE=2 SV=1</t>
  </si>
  <si>
    <t>Exosome complex component MTR3 OS=Danio rerio GN=exosc6 PE=2 SV=2</t>
  </si>
  <si>
    <t>Mediator of RNA polymerase II transcription subunit 10b OS=Arabidopsis thaliana GN=MED10B PE=1 SV=1</t>
  </si>
  <si>
    <t>Putative glucose-6-phosphate 1-epimerase OS=Cenchrus ciliaris PE=2 SV=1</t>
  </si>
  <si>
    <t>Cenchrus ciliaris</t>
  </si>
  <si>
    <t>Mitotic spindle checkpoint protein MAD1 OS=Arabidopsis thaliana GN=MAD1 PE=1 SV=1</t>
  </si>
  <si>
    <t>Dihydroxy-acid dehydratase, chloroplastic OS=Arabidopsis thaliana GN=DHAD PE=2 SV=1</t>
  </si>
  <si>
    <t>Chitinase 2 OS=Tulipa bakeri PE=1 SV=1</t>
  </si>
  <si>
    <t>Tulipa bakeri</t>
  </si>
  <si>
    <t>WEB family protein At2g40480 OS=Arabidopsis thaliana GN=At2g40480 PE=2 SV=1</t>
  </si>
  <si>
    <t>E3 ubiquitin-protein ligase BRE1-like 2 OS=Arabidopsis thaliana GN=HUB2 PE=2 SV=2</t>
  </si>
  <si>
    <t>Ethylene-responsive transcription factor ERF034 OS=Arabidopsis thaliana GN=ERF034 PE=2 SV=2</t>
  </si>
  <si>
    <t>Armadillo repeat-containing protein 7 OS=Mus musculus GN=Armc7 PE=2 SV=2</t>
  </si>
  <si>
    <t>OTU domain-containing protein At3g57810 OS=Arabidopsis thaliana GN=At3g57810 PE=2 SV=1</t>
  </si>
  <si>
    <t>Protein disulfide-isomerase OS=Datisca glomerata GN=PDI PE=2 SV=1</t>
  </si>
  <si>
    <t>Datisca glomerata</t>
  </si>
  <si>
    <t>Fatty acid desaturase 4, chloroplastic OS=Arabidopsis thaliana GN=FAD4 PE=2 SV=1</t>
  </si>
  <si>
    <t>Allene oxide cyclase 4, chloroplastic OS=Arabidopsis thaliana GN=AOC4 PE=2 SV=1</t>
  </si>
  <si>
    <t>Transcription initiation factor TFIid subunit 1 OS=Arabidopsis thaliana GN=TAF1 PE=1 SV=1</t>
  </si>
  <si>
    <t>Fructokinase-like 2, chloroplastic OS=Arabidopsis thaliana GN=FLN2 PE=1 SV=2</t>
  </si>
  <si>
    <t>SWI/SNF complex component SNF12 homolog OS=Arabidopsis thaliana GN=At5g14170 PE=1 SV=1</t>
  </si>
  <si>
    <t>Arginine--tRNA ligase, chloroplastic/mitochondrial OS=Arabidopsis thaliana GN=EMB1027 PE=3 SV=1</t>
  </si>
  <si>
    <t>Probable serine/threonine-protein kinase At1g01540 OS=Arabidopsis thaliana GN=At1g01540 PE=1 SV=2</t>
  </si>
  <si>
    <t>Mitochondrial substrate carrier family protein J OS=Dictyostelium discoideum GN=mcfJ PE=2 SV=1</t>
  </si>
  <si>
    <t>Transcription factor bHLH47 OS=Arabidopsis thaliana GN=BHLH47 PE=2 SV=1</t>
  </si>
  <si>
    <t>E3 ubiquitin-protein ligase XBAT33 OS=Arabidopsis thaliana GN=XBAT33 PE=2 SV=1</t>
  </si>
  <si>
    <t>Zinc finger CCCH domain-containing protein 3 OS=Oryza sativa subsp. japonica GN=Os01g0252200 PE=2 SV=2</t>
  </si>
  <si>
    <t>Probable sugar phosphate/phosphate translocator At1g06470 OS=Arabidopsis thaliana GN=At1g06470 PE=2 SV=1</t>
  </si>
  <si>
    <t>Xylosyltransferase 1 (Fragment) OS=Rattus norvegicus GN=Xylt1 PE=2 SV=1</t>
  </si>
  <si>
    <t>DNA damage-binding protein 1 OS=Solanum lycopersicum GN=DDB1 PE=1 SV=1</t>
  </si>
  <si>
    <t>Probable protein phosphatase 2C 42 OS=Arabidopsis thaliana GN=At3g17090 PE=2 SV=1</t>
  </si>
  <si>
    <t>Staphylococcal nuclease domain-containing protein 1 OS=Bos taurus GN=SND1 PE=1 SV=1</t>
  </si>
  <si>
    <t>Cell division cycle-associated 7-like protein OS=Homo sapiens GN=CDCA7L PE=1 SV=2</t>
  </si>
  <si>
    <t>Oxygen-evolving enhancer protein 1, chloroplastic OS=Nicotiana tabacum GN=PSBO PE=2 SV=1</t>
  </si>
  <si>
    <t>Transcription factor MYB1R1 OS=Solanum tuberosum PE=2 SV=1</t>
  </si>
  <si>
    <t>BEL1-like homeodomain protein 9 OS=Arabidopsis thaliana GN=BLH9 PE=1 SV=1</t>
  </si>
  <si>
    <t>T-complex protein 1 subunit beta OS=Arabidopsis thaliana GN=CCT2 PE=1 SV=1</t>
  </si>
  <si>
    <t>Pentatricopeptide repeat-containing protein At5g24830 OS=Arabidopsis thaliana GN=At5g24830 PE=2 SV=1</t>
  </si>
  <si>
    <t>Homeobox protein knotted-1-like 6 OS=Arabidopsis thaliana GN=KNAT6 PE=1 SV=1</t>
  </si>
  <si>
    <t>Protein-tyrosine-phosphatase IBR5 OS=Arabidopsis thaliana GN=IBR5 PE=1 SV=1</t>
  </si>
  <si>
    <t>NAC transcription factor 56 OS=Arabidopsis thaliana GN=NAC056 PE=2 SV=1</t>
  </si>
  <si>
    <t>Peptidyl-prolyl cis-trans isomerase FKBP12 OS=Vicia faba GN=FKBP12 PE=1 SV=1</t>
  </si>
  <si>
    <t>Probable chlorophyll(ide) b reductase NYC1, chloroplastic OS=Oryza sativa subsp. japonica GN=NYC1 PE=1 SV=1</t>
  </si>
  <si>
    <t>Non-canonical poly(A) RNA polymerase PAPD7 OS=Mus musculus GN=Papd7 PE=2 SV=2</t>
  </si>
  <si>
    <t>Cytochrome c biogenesis CcmF C-terminal-like mitochondrial protein OS=Arabidopsis thaliana GN=CCMFC PE=1 SV=2</t>
  </si>
  <si>
    <t>RNA exonuclease 4 OS=Mus musculus GN=Rexo4 PE=2 SV=2</t>
  </si>
  <si>
    <t>Zinc finger protein 2 OS=Arabidopsis thaliana GN=ZFP2 PE=2 SV=1</t>
  </si>
  <si>
    <t>Acetyl-coenzyme A carboxylase carboxyl transferase subunit beta, chloroplastic OS=Carica papaya GN=accD PE=3 SV=1</t>
  </si>
  <si>
    <t>Carica papaya</t>
  </si>
  <si>
    <t>Pentatricopeptide repeat-containing protein At2g20710, mitochondrial OS=Arabidopsis thaliana GN=At2g20710 PE=2 SV=1</t>
  </si>
  <si>
    <t>Death-associated inhibitor of apoptosis 1 OS=Drosophila melanogaster GN=Diap1 PE=1 SV=2</t>
  </si>
  <si>
    <t>Metalloendoproteinase 1-MMP OS=Arabidopsis thaliana GN=1MMP PE=1 SV=1</t>
  </si>
  <si>
    <t>SAC3 family protein 1 OS=Schizosaccharomyces pombe (strain 972 / ATCC 24843) GN=SPCC576.05 PE=1 SV=1</t>
  </si>
  <si>
    <t>Receptor protein kinase CLAVATA1 OS=Arabidopsis thaliana GN=CLV1 PE=1 SV=3</t>
  </si>
  <si>
    <t>Protein timeless homolog OS=Homo sapiens GN=TIMELESS PE=1 SV=2</t>
  </si>
  <si>
    <t>B3 domain-containing transcription repressor VAL2 OS=Arabidopsis thaliana GN=VAL2 PE=2 SV=1</t>
  </si>
  <si>
    <t>GDSL esterase/lipase At1g28570 OS=Arabidopsis thaliana GN=At1g28570 PE=2 SV=1</t>
  </si>
  <si>
    <t>V-type proton ATPase subunit c4 OS=Arabidopsis thaliana GN=VHA-c4 PE=2 SV=1</t>
  </si>
  <si>
    <t>Pyridine nucleotide-disulfide oxidoreductase domain-containing protein 2 OS=Rattus norvegicus GN=Pyroxd2 PE=2 SV=1</t>
  </si>
  <si>
    <t>Proline-rich receptor-like protein kinase PERK8 OS=Arabidopsis thaliana GN=PERK8 PE=1 SV=1</t>
  </si>
  <si>
    <t>Mitochondrial thiamine pyrophosphate carrier OS=Homo sapiens GN=SLC25A19 PE=1 SV=1</t>
  </si>
  <si>
    <t>NAD-dependent protein deacylase SRT2 OS=Arabidopsis thaliana GN=SRT2 PE=2 SV=1</t>
  </si>
  <si>
    <t>AT-rich interactive domain-containing protein 5 OS=Arabidopsis thaliana GN=ARid5 PE=1 SV=1</t>
  </si>
  <si>
    <t>DDB1- and CUL4-associated factor 13 OS=Mus musculus GN=Dcaf13 PE=2 SV=2</t>
  </si>
  <si>
    <t>Trafficking protein particle complex II-specific subunit 120 homolog OS=Arabidopsis thaliana GN=TRS120 PE=1 SV=1</t>
  </si>
  <si>
    <t>TBC1 domain family member 8B OS=Mus musculus GN=Tbc1d8b PE=2 SV=1</t>
  </si>
  <si>
    <t>Pentatricopeptide repeat-containing protein At5g16860 OS=Arabidopsis thaliana GN=PCMP-H92 PE=2 SV=1</t>
  </si>
  <si>
    <t>Phosphoglycolate phosphatase 2 OS=Arabidopsis thaliana GN=PGLP2 PE=1 SV=1</t>
  </si>
  <si>
    <t>Pentatricopeptide repeat-containing protein At2g37310 OS=Arabidopsis thaliana GN=PCMP-E49 PE=2 SV=1</t>
  </si>
  <si>
    <t>NF-X1-type zinc finger protein NFXL2 OS=Arabidopsis thaliana GN=NFXL2 PE=1 SV=2</t>
  </si>
  <si>
    <t>ETO1-like protein 1 OS=Arabidopsis thaliana GN=EOL1 PE=1 SV=1</t>
  </si>
  <si>
    <t>Floral homeotic protein APETALA 2 OS=Arabidopsis thaliana GN=AP2 PE=1 SV=1</t>
  </si>
  <si>
    <t>Protein-lysine methyltransferase METTL21D OS=Mus musculus GN=Vcpkmt PE=2 SV=2</t>
  </si>
  <si>
    <t>Protein LURP-one-related 15 OS=Arabidopsis thaliana GN=At5g01750 PE=1 SV=1</t>
  </si>
  <si>
    <t>Putative G3BP-like protein OS=Schizosaccharomyces pombe (strain 972 / ATCC 24843) GN=nxt3 PE=1 SV=1</t>
  </si>
  <si>
    <t>Phosphoinositide phospholipase C 6 OS=Arabidopsis thaliana GN=PLC6 PE=2 SV=2</t>
  </si>
  <si>
    <t>ARM REPEAT PROTEIN INTERACTING WITH ABF2 OS=Arabidopsis thaliana GN=ARIA PE=1 SV=2</t>
  </si>
  <si>
    <t>ABC transporter G family member 3 OS=Arabidopsis thaliana GN=ABCG3 PE=1 SV=2</t>
  </si>
  <si>
    <t>Uncharacterized protein At3g61260 OS=Arabidopsis thaliana GN=At3g61260 PE=1 SV=1</t>
  </si>
  <si>
    <t>Farnesyl pyrophosphate synthase 1 OS=Lupinus albus GN=FPS1 PE=2 SV=1</t>
  </si>
  <si>
    <t>Dipeptidyl peptidase 8 OS=Mus musculus GN=Dpp8 PE=2 SV=1</t>
  </si>
  <si>
    <t>Anaphase-promoting complex subunit 5 OS=Arabidopsis thaliana GN=APC5 PE=1 SV=1</t>
  </si>
  <si>
    <t>U-box domain-containing protein 8 OS=Arabidopsis thaliana GN=PUB8 PE=2 SV=1</t>
  </si>
  <si>
    <t>Cyclin-dependent kinase F-4 OS=Oryza sativa subsp. japonica GN=CDKF-4 PE=2 SV=1</t>
  </si>
  <si>
    <t>Proteasome subunit beta type-1 OS=Petunia hybrida GN=PBF1 PE=2 SV=1</t>
  </si>
  <si>
    <t>Photosystem II reaction center protein Z OS=Cucumis sativus GN=psbZ PE=3 SV=1</t>
  </si>
  <si>
    <t>Constitutive photomorphogenesis protein 10 OS=Arabidopsis thaliana GN=COP10 PE=1 SV=1</t>
  </si>
  <si>
    <t>Receptor-like serine/threonine-protein kinase At2g45590 OS=Arabidopsis thaliana GN=At2g45590 PE=2 SV=1</t>
  </si>
  <si>
    <t>Cyclic dof factor 3 OS=Arabidopsis thaliana GN=CDF3 PE=1 SV=2</t>
  </si>
  <si>
    <t>Beta-carotene isomerase D27, chloroplastic OS=Arabidopsis thaliana GN=D27 PE=1 SV=1</t>
  </si>
  <si>
    <t>Photosynthetic NDH subunit of subcomplex B 3, chloroplastic OS=Arabidopsis thaliana GN=PNSB3 PE=2 SV=1</t>
  </si>
  <si>
    <t>Probable prolyl 4-hydroxylase 9 OS=Arabidopsis thaliana GN=P4H9 PE=2 SV=1</t>
  </si>
  <si>
    <t>Nuclear pore complex protein NUP98A OS=Arabidopsis thaliana GN=NUP98A PE=1 SV=1</t>
  </si>
  <si>
    <t>Glutathione gamma-glutamylcysteinyltransferase 3 OS=Lotus japonicus GN=PCS3 PE=2 SV=1</t>
  </si>
  <si>
    <t>Dihydrolipoyllysine-residue acetyltransferase component 4 of pyruvate dehydrogenase complex, chloroplastic OS=Arabidopsis thaliana GN=LTA2 PE=2 SV=1</t>
  </si>
  <si>
    <t>39S ribosomal protein L47, mitochondrial OS=Mus musculus GN=Mrpl47 PE=2 SV=2</t>
  </si>
  <si>
    <t>ABC transporter A family member 2 OS=Arabidopsis thaliana GN=ABCA2 PE=2 SV=1</t>
  </si>
  <si>
    <t>Blue copper protein OS=Pisum sativum PE=2 SV=1</t>
  </si>
  <si>
    <t>Serine carboxypeptidase-like 40 OS=Arabidopsis thaliana GN=SCPL40 PE=2 SV=2</t>
  </si>
  <si>
    <t>Probable indole-3-pyruvate monooxygenase YUCCA4 OS=Arabidopsis thaliana GN=YUC4 PE=1 SV=1</t>
  </si>
  <si>
    <t>Vacuolar protein sorting-associated protein 32 homolog 1 OS=Arabidopsis thaliana GN=VPS32.1 PE=1 SV=1</t>
  </si>
  <si>
    <t>Trifunctional UDP-glucose 4,6-dehydratase/UDP-4-keto-6-deoxy-D-glucose 3,5-epimerase/UDP-4-keto-L-rhamnose-reductase RHM1 OS=Arabidopsis thaliana GN=RHM1 PE=1 SV=1</t>
  </si>
  <si>
    <t>Transmembrane emp24 domain-containing protein p24beta2 OS=Arabidopsis thaliana GN=At3g07680 PE=1 SV=1</t>
  </si>
  <si>
    <t>Probable caffeoyl-CoA O-methyltransferase At4g26220 OS=Arabidopsis thaliana GN=At4g26220 PE=2 SV=1</t>
  </si>
  <si>
    <t>36.4 kDa proline-rich protein OS=Solanum lycopersicum GN=TPRP-F1 PE=2 SV=1</t>
  </si>
  <si>
    <t>Asparagine--tRNA ligase, cytoplasmic 1 OS=Arabidopsis thaliana GN=SYNC1 PE=1 SV=1</t>
  </si>
  <si>
    <t>Transcription factor GTE12 OS=Arabidopsis thaliana GN=GTE12 PE=2 SV=2</t>
  </si>
  <si>
    <t>Nudix hydrolase 4 OS=Arabidopsis thaliana GN=NUDT4 PE=1 SV=1</t>
  </si>
  <si>
    <t>DNA topoisomerase 3-alpha OS=Arabidopsis thaliana GN=TOP3A PE=1 SV=1</t>
  </si>
  <si>
    <t>Vicilin-like antimicrobial peptides 2-3 (Fragment) OS=Macadamia integrifolia GN=AMP2-3 PE=1 SV=1</t>
  </si>
  <si>
    <t>A/G-specific adenine DNA glycosylase OS=Arabidopsis thaliana GN=MYH PE=3 SV=1</t>
  </si>
  <si>
    <t>Protein yippee-like At4g27745 OS=Arabidopsis thaliana GN=At4g27745 PE=3 SV=2</t>
  </si>
  <si>
    <t>Phenylalanine ammonia-lyase 1 OS=Prunus avium GN=PAL1 PE=2 SV=1</t>
  </si>
  <si>
    <t>Ethylene-responsive transcription factor 1A OS=Arabidopsis thaliana GN=ERF1A PE=1 SV=2</t>
  </si>
  <si>
    <t>3-ketoacyl-CoA synthase 1 OS=Arabidopsis thaliana GN=KCS1 PE=2 SV=1</t>
  </si>
  <si>
    <t>UDP-glucose iridoid glucosyltransferase OS=Catharanthus roseus GN=UGT76A2 PE=1 SV=1</t>
  </si>
  <si>
    <t>Rac-like GTP-binding protein ARAC3 OS=Arabidopsis thaliana GN=ARAC3 PE=1 SV=1</t>
  </si>
  <si>
    <t>Patatin-like protein 6 OS=Arabidopsis thaliana GN=PLP6 PE=2 SV=1</t>
  </si>
  <si>
    <t>F-box protein At4g35930 OS=Arabidopsis thaliana GN=At4g35930 PE=2 SV=1</t>
  </si>
  <si>
    <t>Glutamine synthetase nodule isozyme OS=Vigna aconitifolia PE=2 SV=1</t>
  </si>
  <si>
    <t>Vigna aconitifolia</t>
  </si>
  <si>
    <t>14-3-3-like protein D OS=Glycine max GN=GF14D PE=2 SV=1</t>
  </si>
  <si>
    <t>Cyclin-dependent kinase B2-2 OS=Arabidopsis thaliana GN=CDKB2-2 PE=1 SV=2</t>
  </si>
  <si>
    <t>Auxin response factor 19 OS=Arabidopsis thaliana GN=ARF19 PE=1 SV=2</t>
  </si>
  <si>
    <t>Putative methyltransferase DDB_G0268948 OS=Dictyostelium discoideum GN=DDB_G0268948 PE=1 SV=2</t>
  </si>
  <si>
    <t>Uncharacterized protein At5g22580 OS=Arabidopsis thaliana GN=At5g22580 PE=1 SV=1</t>
  </si>
  <si>
    <t>ESF1 homolog OS=Rattus norvegicus GN=Esf1 PE=1 SV=1</t>
  </si>
  <si>
    <t>Alpha-1,6-mannosyl-glycoprotein 2-beta-N-acetylglucosaminyltransferase OS=Sus scrofa GN=MGAT2 PE=3 SV=1</t>
  </si>
  <si>
    <t>Uncharacterized protein YMR315W OS=Saccharomyces cerevisiae (strain ATCC 204508 / S288c) GN=YMR315W PE=1 SV=1</t>
  </si>
  <si>
    <t>Haloacid dehalogenase-like hydrolase domain-containing protein 3 OS=Xenopus laevis GN=hdhd3 PE=2 SV=1</t>
  </si>
  <si>
    <t>Probable phosphoribosylformylglycinamidine synthase, chloroplastic/mitochondrial OS=Arabidopsis thaliana GN=At1g74260 PE=2 SV=3</t>
  </si>
  <si>
    <t>E3 ubiquitin-protein ligase FANCL OS=Homo sapiens GN=FANCL PE=1 SV=2</t>
  </si>
  <si>
    <t>Chaperonin CPN60-like 2, mitochondrial OS=Arabidopsis thaliana GN=At3g13860 PE=2 SV=2</t>
  </si>
  <si>
    <t>Probable LRR receptor-like serine/threonine-protein kinase At4g36180 OS=Arabidopsis thaliana GN=At4g36180 PE=2 SV=1</t>
  </si>
  <si>
    <t>Calcium-transporting ATPase, endoplasmic reticulum-type OS=Solanum lycopersicum GN=LCA1 PE=2 SV=1</t>
  </si>
  <si>
    <t>Sucrose nonfermenting 4-like protein OS=Arabidopsis thaliana GN=SNF4 PE=1 SV=1</t>
  </si>
  <si>
    <t>MADS-box protein JOINTLESS OS=Solanum lycopersicum GN=J PE=1 SV=1</t>
  </si>
  <si>
    <t>Probable serine incorporator OS=Nematostella vectensis GN=serinc PE=3 SV=1</t>
  </si>
  <si>
    <t>Protein AUXIN RESPONSE 4 OS=Arabidopsis thaliana GN=AXR4 PE=2 SV=1</t>
  </si>
  <si>
    <t>Phosphoenolpyruvate/phosphate translocator 1, chloroplastic OS=Arabidopsis thaliana GN=PPT1 PE=1 SV=1</t>
  </si>
  <si>
    <t>Protein STRUBBELIG-RECEPTOR FAMILY 3 OS=Arabidopsis thaliana GN=SRF3 PE=2 SV=1</t>
  </si>
  <si>
    <t>Diacylglycerol kinase 6 OS=Arabidopsis thaliana GN=DGK6 PE=3 SV=1</t>
  </si>
  <si>
    <t>G-type lectin S-receptor-like serine/threonine-protein kinase B120 OS=Arabidopsis thaliana GN=B120 PE=2 SV=1</t>
  </si>
  <si>
    <t>Protein DOWNSTREAM OF FLC OS=Arabidopsis thaliana GN=DFC PE=2 SV=1</t>
  </si>
  <si>
    <t>Putative pentatricopeptide repeat-containing protein At3g28640 OS=Arabidopsis thaliana GN=PCMP-E79 PE=3 SV=1</t>
  </si>
  <si>
    <t>Wee1-like protein kinase OS=Arabidopsis thaliana GN=WEE1 PE=1 SV=1</t>
  </si>
  <si>
    <t>S-adenosylmethionine decarboxylase proenzyme 4 OS=Arabidopsis thaliana GN=SAMDC4 PE=1 SV=1</t>
  </si>
  <si>
    <t>Glyceraldehyde-3-phosphate dehydrogenase A, chloroplastic OS=Pisum sativum GN=GAPA PE=2 SV=2</t>
  </si>
  <si>
    <t>Probable receptor-like protein kinase At5g47070 OS=Arabidopsis thaliana GN=At5g47070 PE=1 SV=1</t>
  </si>
  <si>
    <t>Transcription factor IIIA OS=Mus musculus GN=Gtf3a PE=2 SV=2</t>
  </si>
  <si>
    <t>Transcription initiation factor IIB OS=Oryza sativa subsp. japonica GN=TFIIB PE=1 SV=1</t>
  </si>
  <si>
    <t>Agamous-like MADS-box protein AGL8 homolog OS=Solanum tuberosum PE=2 SV=1</t>
  </si>
  <si>
    <t>Putative E3 ubiquitin-protein ligase LIN-1 OS=Lotus japonicus GN=CERBERUS PE=2 SV=2</t>
  </si>
  <si>
    <t>Non-lysosomal glucosylceramidase OS=Mus musculus GN=Gba2 PE=1 SV=2</t>
  </si>
  <si>
    <t>Peroxidase 9 OS=Arabidopsis thaliana GN=PER9 PE=1 SV=1</t>
  </si>
  <si>
    <t>15.7 kDa heat shock protein, peroxisomal OS=Arabidopsis thaliana GN=HSP15.7 PE=2 SV=1</t>
  </si>
  <si>
    <t>3-ketoacyl-CoA synthase 21 OS=Arabidopsis thaliana GN=KCS21 PE=2 SV=1</t>
  </si>
  <si>
    <t>Pentatricopeptide repeat-containing protein At2g32630 OS=Arabidopsis thaliana GN=At2g32630 PE=3 SV=1</t>
  </si>
  <si>
    <t>Lysophospholipid acyltransferase 1 OS=Arabidopsis thaliana GN=LPLAT1 PE=1 SV=1</t>
  </si>
  <si>
    <t>Nicotinate-nucleotide pyrophosphorylase [carboxylating], chloroplastic OS=Arabidopsis thaliana GN=QPT PE=2 SV=2</t>
  </si>
  <si>
    <t>Serine/threonine-protein kinase AFC2 OS=Arabidopsis thaliana GN=AFC2 PE=1 SV=1</t>
  </si>
  <si>
    <t>Transcription repressor MYB5 OS=Arabidopsis thaliana GN=MYB5 PE=1 SV=1</t>
  </si>
  <si>
    <t>Uncharacterized zinc finger CCHC domain-containing protein At4g19190 OS=Arabidopsis thaliana GN=At4g19190 PE=2 SV=1</t>
  </si>
  <si>
    <t>TLD domain-containing protein 1 OS=Mus musculus GN=Tldc1 PE=2 SV=1</t>
  </si>
  <si>
    <t>Patellin-3 OS=Arabidopsis thaliana GN=PATL3 PE=1 SV=2</t>
  </si>
  <si>
    <t>Putative pentatricopeptide repeat-containing protein At3g49142 OS=Arabidopsis thaliana GN=PCMP-H77 PE=3 SV=1</t>
  </si>
  <si>
    <t>Eukaryotic translation initiation factor 3 subunit M OS=Dictyostelium discoideum GN=eif3m PE=1 SV=1</t>
  </si>
  <si>
    <t>Aquaporin PIP1-2 OS=Arabidopsis thaliana GN=PIP1-2 PE=1 SV=1</t>
  </si>
  <si>
    <t>Serine/threonine-protein kinase 16 OS=Rattus norvegicus GN=Stk16 PE=2 SV=2</t>
  </si>
  <si>
    <t>Polyadenylate-binding protein RBP47 OS=Nicotiana plumbaginifolia GN=RBP47 PE=1 SV=1</t>
  </si>
  <si>
    <t>WAT1-related protein At3g30340 OS=Arabidopsis thaliana GN=At3g30340 PE=2 SV=1</t>
  </si>
  <si>
    <t>AT-hook motif nuclear-localized protein 1 OS=Arabidopsis thaliana GN=AHL1 PE=1 SV=1</t>
  </si>
  <si>
    <t>SNF1-related protein kinase regulatory subunit gamma-like PV42a OS=Arabidopsis thaliana GN=PV42A PE=2 SV=1</t>
  </si>
  <si>
    <t>Coenzyme Q-binding protein COQ10 homolog, mitochondrial OS=Danio rerio GN=zgc:73324 PE=2 SV=2</t>
  </si>
  <si>
    <t>Nuclear pore complex protein GP210 OS=Arabidopsis thaliana GN=GB210 PE=1 SV=1</t>
  </si>
  <si>
    <t>Polygalacturonase OS=Actinidia deliciosa PE=2 SV=1</t>
  </si>
  <si>
    <t>Serine carboxypeptidase-like 31 OS=Arabidopsis thaliana GN=SCPL31 PE=2 SV=2</t>
  </si>
  <si>
    <t>13S globulin basic chain OS=Fagopyrum esculentum PE=1 SV=1</t>
  </si>
  <si>
    <t>Fagopyrum esculentum</t>
  </si>
  <si>
    <t>Protein ESKIMO 1 OS=Arabidopsis thaliana GN=ESK1 PE=1 SV=1</t>
  </si>
  <si>
    <t>Phosphoenolpyruvate carboxykinase [ATP] OS=Emericella nidulans (strain FGSC A4 / ATCC 38163 / CBS 112.46 / NRRL 194 / M139) GN=acuF PE=3 SV=3</t>
  </si>
  <si>
    <t>CDK-activating kinase assembly factor MAT1 OS=Xenopus laevis GN=mnat1 PE=2 SV=1</t>
  </si>
  <si>
    <t>Probable acyl-activating enzyme 2 OS=Arabidopsis thaliana GN=AAE2 PE=2 SV=1</t>
  </si>
  <si>
    <t>Putative disease resistance protein At1g50180 OS=Arabidopsis thaliana GN=At1g50180 PE=3 SV=2</t>
  </si>
  <si>
    <t>Respiratory burst oxidase homolog protein A OS=Solanum tuberosum GN=RBOHA PE=1 SV=1</t>
  </si>
  <si>
    <t>Probable methyltransferase PMT2 OS=Arabidopsis thaliana GN=At1g26850 PE=2 SV=2</t>
  </si>
  <si>
    <t>UPF0098 protein MTH_273 OS=Methanothermobacter thermautotrophicus (strain ATCC 29096 / DSM 1053 / JCM 10044 / NBRC 100330 / Delta H) GN=MTH_273 PE=3 SV=1</t>
  </si>
  <si>
    <t>Dof zinc finger protein DOF1.4 OS=Arabidopsis thaliana GN=DOF1.4 PE=2 SV=1</t>
  </si>
  <si>
    <t>Calnexin homolog OS=Glycine max PE=2 SV=1</t>
  </si>
  <si>
    <t>Prohibitin-3, mitochondrial OS=Arabidopsis thaliana GN=PHB3 PE=1 SV=1</t>
  </si>
  <si>
    <t>Calcium-transporting ATPase 10, plasma membrane-type OS=Arabidopsis thaliana GN=ACA10 PE=1 SV=2</t>
  </si>
  <si>
    <t>Ras-related protein RABC1 OS=Arabidopsis thaliana GN=RABC1 PE=1 SV=1</t>
  </si>
  <si>
    <t>NADH-ubiquinone oxidoreductase chain 2 OS=Oenothera berteroana GN=ND2 PE=2 SV=2</t>
  </si>
  <si>
    <t>Oenothera berteroana</t>
  </si>
  <si>
    <t>Quinate permease OS=Emericella nidulans (strain FGSC A4 / ATCC 38163 / CBS 112.46 / NRRL 194 / M139) GN=qutD PE=1 SV=2</t>
  </si>
  <si>
    <t>Probable mitochondrial chaperone BCS1-B OS=Dictyostelium discoideum GN=bcsl1b PE=3 SV=1</t>
  </si>
  <si>
    <t>Aldehyde dehydrogenase family 3 member I1, chloroplastic OS=Arabidopsis thaliana GN=ALDH3I1 PE=1 SV=2</t>
  </si>
  <si>
    <t>GDSL esterase/lipase At2g04570 OS=Arabidopsis thaliana GN=At2g04570 PE=2 SV=1</t>
  </si>
  <si>
    <t>pEARLI1-like lipid transfer protein 3 OS=Arabidopsis thaliana GN=At4g12500 PE=2 SV=1</t>
  </si>
  <si>
    <t>Coatomer subunit epsilon-1 OS=Arabidopsis thaliana GN=At1g30630 PE=2 SV=1</t>
  </si>
  <si>
    <t>Vacuolar protein sorting-associated protein 36 OS=Arabidopsis thaliana GN=VPS36 PE=1 SV=1</t>
  </si>
  <si>
    <t>Putative Myb family transcription factor At1g14600 OS=Arabidopsis thaliana GN=At1g14600 PE=2 SV=2</t>
  </si>
  <si>
    <t>COBRA-like protein 4 OS=Arabidopsis thaliana GN=COBL4 PE=2 SV=2</t>
  </si>
  <si>
    <t>Pentatricopeptide repeat-containing protein At5g21222 OS=Arabidopsis thaliana GN=ATC401 PE=2 SV=1</t>
  </si>
  <si>
    <t>NAC transcription factor 25 OS=Arabidopsis thaliana GN=NAC025 PE=2 SV=1</t>
  </si>
  <si>
    <t>Ankyrin repeat domain-containing protein, chloroplastic OS=Arabidopsis thaliana GN=AKRP PE=1 SV=2</t>
  </si>
  <si>
    <t>YTH domain-containing family protein 2 OS=Mus musculus GN=Ythdf2 PE=2 SV=1</t>
  </si>
  <si>
    <t>Probable serine/threonine-protein kinase DDB_G0276461 OS=Dictyostelium discoideum GN=DDB_G0276461 PE=3 SV=1</t>
  </si>
  <si>
    <t>Alkaline/neutral invertase A, mitochondrial OS=Arabidopsis thaliana GN=INVA PE=1 SV=1</t>
  </si>
  <si>
    <t>CBL-interacting serine/threonine-protein kinase 3 OS=Arabidopsis thaliana GN=CIPK3 PE=1 SV=2</t>
  </si>
  <si>
    <t>Wall-associated receptor kinase 2 OS=Arabidopsis thaliana GN=WAK2 PE=1 SV=1</t>
  </si>
  <si>
    <t>B3 domain-containing protein Os01g0723500 OS=Oryza sativa subsp. japonica GN=Os01g0723500 PE=3 SV=1</t>
  </si>
  <si>
    <t>GDSL esterase/lipase At5g14450 OS=Arabidopsis thaliana GN=At5g14450 PE=2 SV=1</t>
  </si>
  <si>
    <t>EG45-like domain containing protein 2 OS=Arabidopsis thaliana GN=EGC2 PE=2 SV=2</t>
  </si>
  <si>
    <t>MADS-box protein SVP OS=Arabidopsis thaliana GN=SVP PE=1 SV=1</t>
  </si>
  <si>
    <t>Auxin-responsive protein SAUR20 OS=Arabidopsis thaliana GN=SAUR20 PE=2 SV=1</t>
  </si>
  <si>
    <t>Lysine-specific demethylase JMJ706 OS=Oryza sativa subsp. japonica GN=JMJ706 PE=2 SV=1</t>
  </si>
  <si>
    <t>Axial regulator YABBY 5 OS=Arabidopsis thaliana GN=YAB5 PE=1 SV=1</t>
  </si>
  <si>
    <t>Probable inorganic phosphate transporter 1-9 OS=Arabidopsis thaliana GN=PHT1-9 PE=2 SV=1</t>
  </si>
  <si>
    <t>Myb-related protein Myb4 OS=Oryza sativa subsp. japonica GN=MYB4 PE=2 SV=2</t>
  </si>
  <si>
    <t>Telomerase reverse transcriptase OS=Arabidopsis thaliana GN=TERT PE=1 SV=1</t>
  </si>
  <si>
    <t>Putative ripening-related protein 2 OS=Oryza sativa subsp. japonica GN=Os02g0637000 PE=3 SV=1</t>
  </si>
  <si>
    <t>Glutathione gamma-glutamylcysteinyltransferase 1 OS=Lotus japonicus GN=PCS1 PE=2 SV=1</t>
  </si>
  <si>
    <t>Probable WRKY transcription factor 51 OS=Arabidopsis thaliana GN=WRKY51 PE=1 SV=1</t>
  </si>
  <si>
    <t>Probable indole-3-acetic acid-amido synthetase GH3.1 OS=Arabidopsis thaliana GN=GH3.1 PE=2 SV=1</t>
  </si>
  <si>
    <t>Threonine--tRNA ligase, chloroplastic/mitochondrial 2 OS=Arabidopsis thaliana GN=EMB2761 PE=2 SV=1</t>
  </si>
  <si>
    <t>(+)-neomenthol dehydrogenase OS=Capsicum annuum GN=MNR1 PE=1 SV=1</t>
  </si>
  <si>
    <t>Pentatricopeptide repeat-containing protein At2g35130 OS=Arabidopsis thaliana GN=At2g35130 PE=2 SV=1</t>
  </si>
  <si>
    <t>Tetratricopeptide repeat protein 5 OS=Bos taurus GN=TTC5 PE=2 SV=1</t>
  </si>
  <si>
    <t>UDP-glycosyltransferase 92A1 OS=Arabidopsis thaliana GN=UGT92A1 PE=2 SV=1</t>
  </si>
  <si>
    <t>Probable beta-1,3-galactosyltransferase 14 OS=Arabidopsis thaliana GN=B3GALT14 PE=2 SV=1</t>
  </si>
  <si>
    <t>Sorting nexin 1 OS=Arabidopsis thaliana GN=SNX1 PE=1 SV=1</t>
  </si>
  <si>
    <t>Protein trichome birefringence-like 2 OS=Arabidopsis thaliana GN=TBL2 PE=2 SV=1</t>
  </si>
  <si>
    <t>Vinorine synthase OS=Rauvolfia serpentina GN=ACT PE=1 SV=2</t>
  </si>
  <si>
    <t>Rauvolfia serpentina</t>
  </si>
  <si>
    <t>Serine/threonine-protein kinase STN8, chloroplastic OS=Arabidopsis thaliana GN=STN8 PE=2 SV=1</t>
  </si>
  <si>
    <t>Eukaryotic translation initiation factor isoform 4G-1 OS=Triticum aestivum PE=1 SV=2</t>
  </si>
  <si>
    <t>Dynamin-2B OS=Arabidopsis thaliana GN=DRP2B PE=1 SV=2</t>
  </si>
  <si>
    <t>2-Cys peroxiredoxin BAS1-like, chloroplastic OS=Arabidopsis thaliana GN=At5g06290 PE=2 SV=3</t>
  </si>
  <si>
    <t>Putative B3 domain-containing protein At5g58280 OS=Arabidopsis thaliana GN=At5g58280 PE=3 SV=1</t>
  </si>
  <si>
    <t>CDK5RAP3-like protein OS=Arabidopsis thaliana GN=At5g06830 PE=2 SV=2</t>
  </si>
  <si>
    <t>Polyadenylation and cleavage factor homolog 4 OS=Arabidopsis thaliana GN=PCFS4 PE=1 SV=1</t>
  </si>
  <si>
    <t>UDP-glucose flavonoid 3-O-glucosyltransferase 7 OS=Fragaria ananassa GN=GT7 PE=1 SV=1</t>
  </si>
  <si>
    <t>Magnesium-transporting ATPase, P-type 1 OS=Escherichia coli (strain K12) GN=mgtA PE=1 SV=1</t>
  </si>
  <si>
    <t>Methylesterase 3 OS=Arabidopsis thaliana GN=MES3 PE=2 SV=1</t>
  </si>
  <si>
    <t>ATP-dependent RNA helicase DBP2 OS=Debaryomyces hansenii (strain ATCC 36239 / CBS 767 / JCM 1990 / NBRC 0083 / IGC 2968) GN=DBP2 PE=3 SV=1</t>
  </si>
  <si>
    <t>Calmodulin-binding protein 60 A OS=Arabidopsis thaliana GN=CBP60A PE=2 SV=1</t>
  </si>
  <si>
    <t>Probable receptor-like protein kinase At1g11050 OS=Arabidopsis thaliana GN=At1g11050 PE=2 SV=1</t>
  </si>
  <si>
    <t>Monocopper oxidase-like protein SKS1 OS=Arabidopsis thaliana GN=SKS1 PE=1 SV=1</t>
  </si>
  <si>
    <t>Uncharacterized protein At1g27050 OS=Arabidopsis thaliana GN=At1g27050 PE=2 SV=1</t>
  </si>
  <si>
    <t>Transmembrane 9 superfamily member 9 OS=Arabidopsis thaliana GN=TMN9 PE=2 SV=1</t>
  </si>
  <si>
    <t>DNA primase small subunit OS=Mus musculus GN=Prim1 PE=1 SV=1</t>
  </si>
  <si>
    <t>Inositol monophosphatase 3 OS=Solanum lycopersicum GN=IMP3 PE=1 SV=1</t>
  </si>
  <si>
    <t>Ras-related protein Rab11C OS=Lotus japonicus GN=RAB11C PE=2 SV=1</t>
  </si>
  <si>
    <t>Probable Xaa-Pro aminopeptidase P OS=Sordaria macrospora (strain ATCC MYA-333 / DSM 997 / K(L3346) / K-hell) GN=AMPP PE=3 SV=1</t>
  </si>
  <si>
    <t>Sordaria macrospora</t>
  </si>
  <si>
    <t>Translation factor GUF1 homolog, chloroplastic OS=Vitis vinifera GN=VITISV_013255 PE=3 SV=1</t>
  </si>
  <si>
    <t>tRNA (guanine(10)-N2)-methyltransferase homolog OS=Rattus norvegicus GN=Trmt11 PE=2 SV=1</t>
  </si>
  <si>
    <t>Expansin-A10 OS=Arabidopsis thaliana GN=EXPA10 PE=2 SV=1</t>
  </si>
  <si>
    <t>UDP-N-acetylmuramoyl-L-alanyl-D-glutamate--2,6-diaminopimelate ligase OS=Bacillus licheniformis (strain ATCC 14580 / DSM 13 / JCM 2505 / NBRC 12200 / NCIMB 9375 / NRRL NRS-1264 / Gibson 46) GN=murE PE=3 SV=1</t>
  </si>
  <si>
    <t>Bacillus licheniformis</t>
  </si>
  <si>
    <t>Protein FAR1-RELATED SEQUENCE 3 OS=Arabidopsis thaliana GN=FRS3 PE=2 SV=2</t>
  </si>
  <si>
    <t>NHL repeat-containing protein 2 OS=Gallus gallus GN=NHLRC2 PE=2 SV=1</t>
  </si>
  <si>
    <t>E3 ubiquitin ligase BIG BROTHER OS=Arabidopsis thaliana GN=BB PE=1 SV=1</t>
  </si>
  <si>
    <t>Probable inactive leucine-rich repeat receptor-like protein kinase At1g66830 OS=Arabidopsis thaliana GN=At1g66830 PE=2 SV=1</t>
  </si>
  <si>
    <t>Protein BOBBER 1 OS=Arabidopsis thaliana GN=BOB1 PE=1 SV=1</t>
  </si>
  <si>
    <t>Protein Mpv17 OS=Danio rerio GN=mpv17 PE=2 SV=1</t>
  </si>
  <si>
    <t>Nuclear pore complex protein NUP107 OS=Arabidopsis thaliana GN=NUP107 PE=1 SV=1</t>
  </si>
  <si>
    <t>Transposon TX1 uncharacterized 149 kDa protein OS=Xenopus laevis PE=3 SV=1</t>
  </si>
  <si>
    <t>Probable cinnamyl alcohol dehydrogenase 9 OS=Arabidopsis thaliana GN=CAD9 PE=2 SV=2</t>
  </si>
  <si>
    <t>Probable GABA transporter 2 OS=Arabidopsis thaliana GN=At5g41800 PE=1 SV=1</t>
  </si>
  <si>
    <t>Histone H2AX OS=Picea abies PE=2 SV=1</t>
  </si>
  <si>
    <t>Picea abies</t>
  </si>
  <si>
    <t>Putative ion channel POLLUX-like 2 OS=Arabidopsis thaliana GN=At5g43745 PE=2 SV=1</t>
  </si>
  <si>
    <t>Putative MO25-like protein At5g47540 OS=Arabidopsis thaliana GN=At5g47540 PE=2 SV=1</t>
  </si>
  <si>
    <t>Helicase SEN1 OS=Saccharomyces cerevisiae (strain ATCC 204508 / S288c) GN=SEN1 PE=1 SV=2</t>
  </si>
  <si>
    <t>EH domain-containing protein 1 OS=Arabidopsis thaliana GN=EHD1 PE=1 SV=1</t>
  </si>
  <si>
    <t>ADP-ribosylation factor-like protein 8A OS=Gallus gallus GN=ARL8A PE=2 SV=1</t>
  </si>
  <si>
    <t>GDP-Man:Man(3)GlcNAc(2)-PP-Dol alpha-1,2-mannosyltransferase OS=Arabidopsis thaliana GN=ALG11 PE=1 SV=2</t>
  </si>
  <si>
    <t>UTP--glucose-1-phosphate uridylyltransferase OS=Pyrus pyrifolia PE=2 SV=1</t>
  </si>
  <si>
    <t>Pyrus pyrifolia</t>
  </si>
  <si>
    <t>Calmodulin-binding protein 60 B OS=Arabidopsis thaliana GN=CBP60B PE=2 SV=1</t>
  </si>
  <si>
    <t>Tonoplast dicarboxylate transporter OS=Arabidopsis thaliana GN=TDT PE=2 SV=2</t>
  </si>
  <si>
    <t>TATA-binding protein 2 OS=Oryza sativa subsp. japonica GN=TBP2 PE=1 SV=2</t>
  </si>
  <si>
    <t>Callose synthase 11 OS=Arabidopsis thaliana GN=CALS11 PE=2 SV=1</t>
  </si>
  <si>
    <t>SEC14 cytosolic factor OS=Kluyveromyces lactis (strain ATCC 8585 / CBS 2359 / DSM 70799 / NBRC 1267 / NRRL Y-1140 / WM37) GN=SEC14 PE=3 SV=2</t>
  </si>
  <si>
    <t>Kluyveromyces lactis</t>
  </si>
  <si>
    <t>Single-stranded DNA-bindig protein WHY2, mitochondrial OS=Solanum tuberosum GN=WHY2 PE=1 SV=1</t>
  </si>
  <si>
    <t>RING-H2 finger protein ATL74 OS=Arabidopsis thaliana GN=ATL74 PE=2 SV=1</t>
  </si>
  <si>
    <t>F-box/kelch-repeat protein At1g22040 OS=Arabidopsis thaliana GN=At1g22040 PE=2 SV=1</t>
  </si>
  <si>
    <t>Myosin-6 OS=Arabidopsis thaliana GN=XI-2 PE=1 SV=1</t>
  </si>
  <si>
    <t>Inorganic pyrophosphatase 3 OS=Arabidopsis thaliana GN=At4g29530 PE=2 SV=1</t>
  </si>
  <si>
    <t>Pentatricopeptide repeat-containing protein At2g15630, mitochondrial OS=Arabidopsis thaliana GN=At2g15630 PE=3 SV=1</t>
  </si>
  <si>
    <t>Uncharacterized protein At3g03773 OS=Arabidopsis thaliana GN=At3g03773 PE=1 SV=1</t>
  </si>
  <si>
    <t>Homeobox-leucine zipper protein HAT5 OS=Arabidopsis thaliana GN=HAT5 PE=1 SV=1</t>
  </si>
  <si>
    <t>Protein MODIFIER OF SNC1 11 OS=Arabidopsis thaliana GN=MOS11 PE=1 SV=1</t>
  </si>
  <si>
    <t>Alanine--tRNA ligase OS=Arabidopsis thaliana GN=ALATS PE=1 SV=3</t>
  </si>
  <si>
    <t>Homocysteine S-methyltransferase 2 OS=Arabidopsis thaliana GN=HMT-2 PE=1 SV=1</t>
  </si>
  <si>
    <t>Aspartic proteinase oryzasin-1 OS=Oryza sativa subsp. japonica GN=Os05g0567100 PE=2 SV=2</t>
  </si>
  <si>
    <t>E3 UFM1-protein ligase 1 homolog OS=Arabidopsis thaliana GN=At3g46220 PE=1 SV=1</t>
  </si>
  <si>
    <t>Uncharacterized protein C20orf24 homolog OS=Mus musculus PE=2 SV=1</t>
  </si>
  <si>
    <t>LOB domain-containing protein 4 OS=Arabidopsis thaliana GN=LBD4 PE=2 SV=1</t>
  </si>
  <si>
    <t>Internal alternative NAD(P)H-ubiquinone oxidoreductase A1, mitochondrial OS=Arabidopsis thaliana GN=NDA1 PE=2 SV=1</t>
  </si>
  <si>
    <t>Protein ELC OS=Arabidopsis thaliana GN=ELC PE=1 SV=1</t>
  </si>
  <si>
    <t>Actin-related protein 5 OS=Arabidopsis thaliana GN=ARP5 PE=1 SV=2</t>
  </si>
  <si>
    <t>Protein ALWAYS EARLY 2 OS=Arabidopsis thaliana GN=ALY2 PE=1 SV=1</t>
  </si>
  <si>
    <t>Inositol-tetrakisphosphate 1-kinase 5 OS=Oryza sativa subsp. japonica GN=ITPK5 PE=2 SV=1</t>
  </si>
  <si>
    <t>IST1 homolog OS=Homo sapiens GN=IST1 PE=1 SV=1</t>
  </si>
  <si>
    <t>Beta-galactosidase 8 OS=Arabidopsis thaliana GN=BGAL8 PE=2 SV=2</t>
  </si>
  <si>
    <t>Glucose-6-phosphate 1-dehydrogenase, chloroplastic OS=Solanum tuberosum PE=1 SV=1</t>
  </si>
  <si>
    <t>Thioredoxin-like protein CITRX1, chloroplastic OS=Nicotiana benthamiana GN=CITRX1 PE=2 SV=1</t>
  </si>
  <si>
    <t>RING-H2 finger protein ATL32 OS=Arabidopsis thaliana GN=ATL32 PE=2 SV=3</t>
  </si>
  <si>
    <t>Rho guanine nucleotide exchange factor 6 OS=Mus musculus GN=Arhgef6 PE=1 SV=1</t>
  </si>
  <si>
    <t>RuvB-like 2 OS=Xenopus laevis GN=ruvbl2 PE=2 SV=1</t>
  </si>
  <si>
    <t>Serine/arginine repetitive matrix protein 1 OS=Homo sapiens GN=SRRM1 PE=1 SV=2</t>
  </si>
  <si>
    <t>Bromodomain-containing protein 4 OS=Danio rerio GN=brd4 PE=1 SV=1</t>
  </si>
  <si>
    <t>Phospho-2-dehydro-3-deoxyheptonate aldolase 1, chloroplastic OS=Nicotiana tabacum GN=DHAPS-1 PE=2 SV=1</t>
  </si>
  <si>
    <t>Cytochrome c oxidase subunit 3 OS=Arabidopsis thaliana GN=COX3 PE=2 SV=2</t>
  </si>
  <si>
    <t>Uncharacterized transporter C5D6.04 OS=Schizosaccharomyces pombe (strain 972 / ATCC 24843) GN=SPAC5D6.04 PE=3 SV=1</t>
  </si>
  <si>
    <t>Zinc finger CCCH domain-containing protein 17 OS=Oryza sativa subsp. japonica GN=Os02g0677700 PE=2 SV=2</t>
  </si>
  <si>
    <t>Proline synthase co-transcribed bacterial homolog protein OS=Homo sapiens GN=PROSC PE=1 SV=1</t>
  </si>
  <si>
    <t>Presenilin-like protein At1g08700 OS=Arabidopsis thaliana GN=At1g08700 PE=1 SV=1</t>
  </si>
  <si>
    <t>40S ribosomal protein S11 OS=Glycine max GN=RPS11 PE=2 SV=2</t>
  </si>
  <si>
    <t>Uncharacterized protein At5g01610 OS=Arabidopsis thaliana GN=At5g01610 PE=1 SV=1</t>
  </si>
  <si>
    <t>Probable acyl-activating enzyme 18, peroxisomal OS=Arabidopsis thaliana GN=AAE18 PE=2 SV=1</t>
  </si>
  <si>
    <t>Citrate synthase, glyoxysomal OS=Cucurbita maxima PE=1 SV=1</t>
  </si>
  <si>
    <t>Putative EG45-like domain containing protein 1 OS=Arabidopsis thaliana GN=EGC1 PE=3 SV=1</t>
  </si>
  <si>
    <t>La-related protein 1B OS=Arabidopsis thaliana GN=LARP1B PE=2 SV=1</t>
  </si>
  <si>
    <t>Photosystem II CP47 reaction center protein OS=Vitis vinifera GN=psbB PE=3 SV=1</t>
  </si>
  <si>
    <t>UDP-arabinose 4-epimerase 1 OS=Arabidopsis thaliana GN=MUR4 PE=1 SV=1</t>
  </si>
  <si>
    <t>YTH domain-containing family protein 1 OS=Mus musculus GN=Ythdf1 PE=2 SV=1</t>
  </si>
  <si>
    <t>Cyprosin (Fragment) OS=Cynara cardunculus GN=CYPRO1 PE=1 SV=2</t>
  </si>
  <si>
    <t>Shaggy-related protein kinase theta OS=Arabidopsis thaliana GN=ASK8 PE=2 SV=3</t>
  </si>
  <si>
    <t>tRNA-dihydrouridine(20) synthase [NAD(P)+]-like OS=Homo sapiens GN=DUS2 PE=1 SV=1</t>
  </si>
  <si>
    <t>Ubiquinol oxidase 1a, mitochondrial OS=Arabidopsis thaliana GN=AOX1A PE=1 SV=2</t>
  </si>
  <si>
    <t>UDP-glucuronate 4-epimerase 1 OS=Arabidopsis thaliana GN=GAE1 PE=1 SV=1</t>
  </si>
  <si>
    <t>Acyl-coenzyme A thioesterase 9, mitochondrial OS=Homo sapiens GN=ACOT9 PE=1 SV=2</t>
  </si>
  <si>
    <t>Probable serine/threonine-protein kinase dyrk2 OS=Dictyostelium discoideum GN=dyrk2 PE=3 SV=1</t>
  </si>
  <si>
    <t>Aldehyde dehydrogenase 22A1 OS=Arabidopsis thaliana GN=ALDH22A1 PE=2 SV=2</t>
  </si>
  <si>
    <t>Peroxisomal membrane protein PEX14 OS=Arabidopsis thaliana GN=PEX14 PE=1 SV=2</t>
  </si>
  <si>
    <t>Gibberellin 2-beta-dioxygenase 8 OS=Arabidopsis thaliana GN=GA2OX8 PE=1 SV=2</t>
  </si>
  <si>
    <t>Glycerol kinase OS=Arabidopsis thaliana GN=GLPK PE=1 SV=1</t>
  </si>
  <si>
    <t>Probable protein phosphatase 2C 57 OS=Oryza sativa subsp. japonica GN=Os06g0597200 PE=2 SV=1</t>
  </si>
  <si>
    <t>Splicing factor 3B subunit 4 OS=Homo sapiens GN=SF3B4 PE=1 SV=1</t>
  </si>
  <si>
    <t>Transcription factor GTE8 OS=Arabidopsis thaliana GN=GTE8 PE=2 SV=2</t>
  </si>
  <si>
    <t>Protein STRUBBELIG-RECEPTOR FAMILY 1 OS=Arabidopsis thaliana GN=SRF1 PE=2 SV=2</t>
  </si>
  <si>
    <t>Squamosa promoter-binding-like protein 7 OS=Arabidopsis thaliana GN=SPL7 PE=1 SV=2</t>
  </si>
  <si>
    <t>F-box protein At5g06550 OS=Arabidopsis thaliana GN=At5g06550 PE=2 SV=1</t>
  </si>
  <si>
    <t>Probable alpha-mannosidase I MNS5 OS=Arabidopsis thaliana GN=MNS5 PE=2 SV=1</t>
  </si>
  <si>
    <t>Protein trichome birefringence-like 5 OS=Arabidopsis thaliana GN=TBL5 PE=2 SV=1</t>
  </si>
  <si>
    <t>Adenylosuccinate lyase OS=Pseudomonas aeruginosa (strain ATCC 15692 / PAO1 / 1C / PRS 101 / LMG 12228) GN=purB PE=3 SV=1</t>
  </si>
  <si>
    <t>Pseudomonas aeruginosa</t>
  </si>
  <si>
    <t>CBL-interacting serine/threonine-protein kinase 26 OS=Arabidopsis thaliana GN=CIPK26 PE=1 SV=2</t>
  </si>
  <si>
    <t>Pentatricopeptide repeat-containing protein At1g02150 OS=Arabidopsis thaliana GN=At1g02150 PE=2 SV=2</t>
  </si>
  <si>
    <t>CASP-like protein 5B2 OS=Arabidopsis thaliana GN=At3g53850 PE=2 SV=1</t>
  </si>
  <si>
    <t>Transcription factor MYC2 OS=Arabidopsis thaliana GN=MYC2 PE=1 SV=2</t>
  </si>
  <si>
    <t>Phosphatidylinositol glycan anchor biosynthesis class U protein OS=Cricetulus griseus GN=PIGU PE=1 SV=3</t>
  </si>
  <si>
    <t>Signal recognition particle subunit SRP72 OS=Canis familiaris GN=SRP72 PE=1 SV=3</t>
  </si>
  <si>
    <t>Canis familiaris</t>
  </si>
  <si>
    <t>Exosome complex exonuclease RRP46 homolog OS=Oryza sativa subsp. japonica GN=RRP46 PE=1 SV=2</t>
  </si>
  <si>
    <t>Quinone oxidoreductase OS=Pseudomonas aeruginosa (strain ATCC 15692 / PAO1 / 1C / PRS 101 / LMG 12228) GN=qor PE=3 SV=2</t>
  </si>
  <si>
    <t>WD repeat-containing protein 91 OS=Xenopus tropicalis GN=wdr91 PE=2 SV=1</t>
  </si>
  <si>
    <t>Myosin-binding protein 1 OS=Arabidopsis thaliana GN=MYOB1 PE=1 SV=1</t>
  </si>
  <si>
    <t>Probable protein phosphatase 2C 10 OS=Arabidopsis thaliana GN=At1g34750 PE=2 SV=1</t>
  </si>
  <si>
    <t>Photosynthetic NDH subunit of subcomplex B 2, chloroplastic OS=Arabidopsis thaliana GN=PNSB2 PE=2 SV=1</t>
  </si>
  <si>
    <t>Uncharacterized protein C24B11.05 OS=Schizosaccharomyces pombe (strain 972 / ATCC 24843) GN=SPAC24B11.05 PE=3 SV=1</t>
  </si>
  <si>
    <t>Mitogen-activated protein kinase 3 OS=Arabidopsis thaliana GN=MPK3 PE=1 SV=2</t>
  </si>
  <si>
    <t>3-oxoacyl-[acyl-carrier-protein] reductase, chloroplastic OS=Cuphea lanceolata GN=CLKR27 PE=2 SV=1</t>
  </si>
  <si>
    <t>Cuphea lanceolata</t>
  </si>
  <si>
    <t>BES1/BZR1 homolog protein 2 OS=Arabidopsis thaliana GN=BEH2 PE=1 SV=1</t>
  </si>
  <si>
    <t>Probable L-cysteine desulfhydrase, chloroplastic OS=Arabidopsis thaliana GN=CpNIFS3 PE=1 SV=1</t>
  </si>
  <si>
    <t>RNA-binding KH domain-containing protein PEPPER OS=Arabidopsis thaliana GN=PEP PE=2 SV=1</t>
  </si>
  <si>
    <t>Chitotriosidase-1 OS=Homo sapiens GN=CHIT1 PE=1 SV=1</t>
  </si>
  <si>
    <t>Sn1-specific diacylglycerol lipase alpha OS=Homo sapiens GN=DAGLA PE=1 SV=3</t>
  </si>
  <si>
    <t>Cleavage stimulating factor 64 OS=Arabidopsis thaliana GN=CSTF64 PE=1 SV=1</t>
  </si>
  <si>
    <t>RNA-binding protein CP31B, chloroplastic OS=Arabidopsis thaliana GN=CP31B PE=1 SV=1</t>
  </si>
  <si>
    <t>LRR receptor-like serine/threonine-protein kinase FLS2 OS=Arabidopsis thaliana GN=FLS2 PE=1 SV=1</t>
  </si>
  <si>
    <t>UDP-glycosyltransferase 79B6 OS=Arabidopsis thaliana GN=UGT79B6 PE=2 SV=1</t>
  </si>
  <si>
    <t>Putative FBD-associated F-box protein At1g78730 OS=Arabidopsis thaliana GN=At1g78730 PE=2 SV=2</t>
  </si>
  <si>
    <t>Laccase-4 OS=Arabidopsis thaliana GN=IRX12 PE=2 SV=2</t>
  </si>
  <si>
    <t>TBC1 domain family member 15 OS=Homo sapiens GN=TBC1D15 PE=1 SV=2</t>
  </si>
  <si>
    <t>Ubiquitin receptor RAD23c OS=Arabidopsis thaliana GN=RAD23C PE=1 SV=2</t>
  </si>
  <si>
    <t>Phosphatidylinositol/phosphatidylcholine transfer protein SFH11 OS=Arabidopsis thaliana GN=SFH11 PE=3 SV=1</t>
  </si>
  <si>
    <t>Serine/threonine-protein kinase fray2 OS=Dictyostelium discoideum GN=fray2 PE=3 SV=1</t>
  </si>
  <si>
    <t>Monocopper oxidase-like protein SKU5 OS=Arabidopsis thaliana GN=SKU5 PE=1 SV=1</t>
  </si>
  <si>
    <t>Putative pentatricopeptide repeat-containing protein At5g52630 OS=Arabidopsis thaliana GN=PCMP-H52 PE=3 SV=1</t>
  </si>
  <si>
    <t>Probable protein S-acyltransferase 14 OS=Arabidopsis thaliana GN=PAT14 PE=2 SV=1</t>
  </si>
  <si>
    <t>Alpha-L-fucosidase 2 OS=Arabidopsis thaliana GN=FUC95A PE=1 SV=1</t>
  </si>
  <si>
    <t>Sugar transporter ERD6-like 7 OS=Arabidopsis thaliana GN=At2g48020 PE=2 SV=2</t>
  </si>
  <si>
    <t>Chaperone protein DnaJ OS=Clostridium tetani (strain Massachusetts / E88) GN=dnaJ PE=3 SV=1</t>
  </si>
  <si>
    <t>Clostridium tetani</t>
  </si>
  <si>
    <t>Cationic amino acid transporter 5 OS=Arabidopsis thaliana GN=CAT5 PE=1 SV=1</t>
  </si>
  <si>
    <t>Probable protein phosphatase 2C 63 OS=Arabidopsis thaliana GN=At4g33920 PE=2 SV=1</t>
  </si>
  <si>
    <t>Transcription factor RF2b OS=Oryza sativa subsp. japonica GN=RF2b PE=1 SV=2</t>
  </si>
  <si>
    <t>Probable cyclic nucleotide-gated ion channel 5 OS=Arabidopsis thaliana GN=CNGC5 PE=2 SV=1</t>
  </si>
  <si>
    <t>Vacuolar protein sorting-associated protein 52 A OS=Arabidopsis thaliana GN=VPS52 PE=1 SV=1</t>
  </si>
  <si>
    <t>L-ascorbate oxidase homolog OS=Nicotiana tabacum PE=2 SV=1</t>
  </si>
  <si>
    <t>tRNA modification GTPase MnmE OS=Anabaena variabilis (strain ATCC 29413 / PCC 7937) GN=mnmE PE=3 SV=1</t>
  </si>
  <si>
    <t>Anabaena variabilis</t>
  </si>
  <si>
    <t>Protein FAM32A-like OS=Danio rerio GN=fam32al PE=3 SV=1</t>
  </si>
  <si>
    <t>Syntaxin-31 OS=Arabidopsis thaliana GN=SYP31 PE=1 SV=1</t>
  </si>
  <si>
    <t>Cytochrome P450 704C1 OS=Pinus taeda GN=CYP704C1 PE=2 SV=1</t>
  </si>
  <si>
    <t>DNA repair protein RAD51 homolog 2 OS=Arabidopsis thaliana GN=RAD51B PE=2 SV=2</t>
  </si>
  <si>
    <t>Protein NEDD1 OS=Arabidopsis thaliana GN=NEDD1 PE=2 SV=1</t>
  </si>
  <si>
    <t>Putative UDP-sugar transporter DDB_G0278631 OS=Dictyostelium discoideum GN=DDB_G0278631 PE=3 SV=2</t>
  </si>
  <si>
    <t>Probable glutathione S-transferase OS=Glycine max GN=HSP26-A PE=2 SV=1</t>
  </si>
  <si>
    <t>Putative F-box/FBD/LRR-repeat protein At4g03220 OS=Arabidopsis thaliana GN=At4g03220 PE=3 SV=1</t>
  </si>
  <si>
    <t>Adenosine deaminase-like protein OS=Homo sapiens GN=ADAL PE=2 SV=2</t>
  </si>
  <si>
    <t>Pentatricopeptide repeat-containing protein At5g52850, chloroplastic OS=Arabidopsis thaliana GN=PCMP-H31 PE=2 SV=1</t>
  </si>
  <si>
    <t>Beta-galactosidase 6 OS=Oryza sativa subsp. japonica GN=Os03g0255100 PE=1 SV=2</t>
  </si>
  <si>
    <t>Reactive Intermediate Deaminase A, chloroplastic OS=Arabidopsis thaliana GN=RidA PE=1 SV=1</t>
  </si>
  <si>
    <t>Methylsterol monooxygenase 1-1 OS=Arabidopsis thaliana GN=SMO1-1 PE=1 SV=1</t>
  </si>
  <si>
    <t>ATP-dependent DNA helicase Q-like 1 OS=Arabidopsis thaliana GN=RECQL1 PE=2 SV=1</t>
  </si>
  <si>
    <t>Pyridine nucleotide-disulfide oxidoreductase domain-containing protein 2 OS=Mus musculus GN=Pyroxd2 PE=2 SV=3</t>
  </si>
  <si>
    <t>Protein TIC110, chloroplastic OS=Arabidopsis thaliana GN=TIC110 PE=1 SV=1</t>
  </si>
  <si>
    <t>Serine carboxypeptidase II-3 OS=Hordeum vulgare GN=CXP;2-3 PE=2 SV=1</t>
  </si>
  <si>
    <t>50S ribosomal protein L4, chloroplastic OS=Nicotiana tabacum GN=RPL4 PE=2 SV=1</t>
  </si>
  <si>
    <t>Kinesin-like protein KIN12B OS=Arabidopsis thaliana GN=KIN12B PE=1 SV=1</t>
  </si>
  <si>
    <t>Homeobox-leucine zipper protein HDG11 OS=Arabidopsis thaliana GN=HDG11 PE=1 SV=1</t>
  </si>
  <si>
    <t>3-oxoacyl-[acyl-carrier-protein] synthase I, chloroplastic OS=Arabidopsis thaliana GN=KAS1 PE=2 SV=2</t>
  </si>
  <si>
    <t>Two-component response regulator-like APRR1 OS=Arabidopsis thaliana GN=APRR1 PE=1 SV=1</t>
  </si>
  <si>
    <t>Topless-related protein 4 OS=Arabidopsis thaliana GN=TPR4 PE=1 SV=2</t>
  </si>
  <si>
    <t>50S ribosomal protein L21, chloroplastic OS=Arabidopsis thaliana GN=RPL21 PE=2 SV=1</t>
  </si>
  <si>
    <t>Thylakoid lumenal 17.4 kDa protein, chloroplastic OS=Arabidopsis thaliana GN=At5g53490 PE=1 SV=2</t>
  </si>
  <si>
    <t>ABC transporter I family member 10, chloroplastic OS=Arabidopsis thaliana GN=ABCI10 PE=2 SV=1</t>
  </si>
  <si>
    <t>Alkaline/neutral invertase E, chloroplastic OS=Arabidopsis thaliana GN=INVE PE=1 SV=1</t>
  </si>
  <si>
    <t>BTB/POZ domain-containing protein At5g48800 OS=Arabidopsis thaliana GN=At5g48800 PE=2 SV=1</t>
  </si>
  <si>
    <t>Purple acid phosphatase 17 OS=Arabidopsis thaliana GN=PAP17 PE=2 SV=1</t>
  </si>
  <si>
    <t>MATH domain-containing protein At5g43560 OS=Arabidopsis thaliana GN=At5g43560 PE=1 SV=1</t>
  </si>
  <si>
    <t>Photosynthetic NDH subunit of lumenal location 5, chloroplastic OS=Arabidopsis thaliana GN=PNSL5 PE=1 SV=1</t>
  </si>
  <si>
    <t>Subtilisin-like protease SBT1.6 OS=Arabidopsis thaliana GN=SBT1.6 PE=2 SV=1</t>
  </si>
  <si>
    <t>Kinesin-like protein KIF19 OS=Xenopus laevis GN=kif19 PE=2 SV=1</t>
  </si>
  <si>
    <t>Bidirectional sugar transporter SWEET17 OS=Arabidopsis thaliana GN=SWEET17 PE=2 SV=2</t>
  </si>
  <si>
    <t>Homeobox-leucine zipper protein ATHB-6 OS=Arabidopsis thaliana GN=ATHB-6 PE=1 SV=1</t>
  </si>
  <si>
    <t>(S)-coclaurine N-methyltransferase OS=Thalictrum flavum subsp. glaucum PE=1 SV=1</t>
  </si>
  <si>
    <t>Thalictrum flavum</t>
  </si>
  <si>
    <t>F-box protein SKIP5 OS=Arabidopsis thaliana GN=SKIP5 PE=1 SV=1</t>
  </si>
  <si>
    <t>Chorismate mutase 3, chloroplastic OS=Arabidopsis thaliana GN=CM3 PE=1 SV=1</t>
  </si>
  <si>
    <t>Shikimate O-hydroxycinnamoyltransferase OS=Nicotiana tabacum GN=HST PE=1 SV=1</t>
  </si>
  <si>
    <t>PLASMODESMATA CALLOSE-BINDING PROTEIN 3 OS=Arabidopsis thaliana GN=PDCB3 PE=1 SV=1</t>
  </si>
  <si>
    <t>Non-specific lipid-transfer protein OS=Prunus avium PE=1 SV=1</t>
  </si>
  <si>
    <t>Calcineurin B-like protein 4 OS=Arabidopsis thaliana GN=CBL4 PE=1 SV=3</t>
  </si>
  <si>
    <t>50S ribosomal protein L3-2, chloroplastic OS=Arabidopsis thaliana GN=RPL3B PE=2 SV=1</t>
  </si>
  <si>
    <t>Wall-associated receptor kinase-like 1 OS=Arabidopsis thaliana GN=WAKL1 PE=2 SV=1</t>
  </si>
  <si>
    <t>Uncharacterized protein At4g14100 OS=Arabidopsis thaliana GN=At4g14100 PE=2 SV=1</t>
  </si>
  <si>
    <t>Transcription factor ABORTED MICROSPORES OS=Arabidopsis thaliana GN=AMS PE=1 SV=2</t>
  </si>
  <si>
    <t>UNC93-like protein 2 OS=Arabidopsis thaliana GN=At1g18010 PE=2 SV=2</t>
  </si>
  <si>
    <t>Acetolactate synthase 2, chloroplastic OS=Nicotiana tabacum GN=ALS SURB PE=1 SV=1</t>
  </si>
  <si>
    <t>Ascorbate transporter, chloroplastic OS=Arabidopsis thaliana GN=PHT4;4 PE=1 SV=1</t>
  </si>
  <si>
    <t>Protein Brevis radix-like 4 OS=Arabidopsis thaliana GN=BRXL4 PE=2 SV=1</t>
  </si>
  <si>
    <t>Macrophage erythroblast attacher OS=Danio rerio GN=maea PE=2 SV=2</t>
  </si>
  <si>
    <t>Protein trichome birefringence-like 39 OS=Arabidopsis thaliana GN=TBL39 PE=2 SV=1</t>
  </si>
  <si>
    <t>Septin and tuftelin-interacting protein 1 homolog 1 OS=Arabidopsis thaliana GN=STIPL1 PE=2 SV=1</t>
  </si>
  <si>
    <t>CCR4-NOT transcription complex subunit 1 OS=Xenopus tropicalis GN=cnot1 PE=2 SV=1</t>
  </si>
  <si>
    <t>Protein LATERAL ROOT PRIMORDIUM 1 OS=Arabidopsis thaliana GN=LRP1 PE=1 SV=1</t>
  </si>
  <si>
    <t>Actin OS=Gossypium hirsutum PE=3 SV=1</t>
  </si>
  <si>
    <t>Pectin acetylesterase 10 OS=Arabidopsis thaliana GN=PAE10 PE=2 SV=1</t>
  </si>
  <si>
    <t>La-related protein 6A OS=Arabidopsis thaliana GN=LARP6A PE=2 SV=1</t>
  </si>
  <si>
    <t>MAG2-interacting protein 2 OS=Arabidopsis thaliana GN=MIP2 PE=1 SV=1</t>
  </si>
  <si>
    <t>UPF0187 protein At3g61320, chloroplastic OS=Arabidopsis thaliana GN=At3g61320 PE=2 SV=2</t>
  </si>
  <si>
    <t>1-phosphatidylinositol-3-phosphate 5-kinase FAB1B OS=Arabidopsis thaliana GN=FAB1B PE=2 SV=1</t>
  </si>
  <si>
    <t>Sucrose synthase 2 OS=Arabidopsis thaliana GN=SUS2 PE=2 SV=3</t>
  </si>
  <si>
    <t>Zinc finger A20 and AN1 domain-containing stress-associated protein 7 OS=Arabidopsis thaliana GN=SAP7 PE=1 SV=1</t>
  </si>
  <si>
    <t>Ribonuclease P protein subunit p25-like protein OS=Mus musculus GN=Rpp25l PE=2 SV=1</t>
  </si>
  <si>
    <t>Protein tesmin/TSO1-like CXC 2 OS=Arabidopsis thaliana GN=TCX2 PE=1 SV=1</t>
  </si>
  <si>
    <t>Hydroxymethylglutaryl-CoA lyase, mitochondrial OS=Arabidopsis thaliana GN=HMGCL PE=1 SV=2</t>
  </si>
  <si>
    <t>Adenylosuccinate synthetase 2, chloroplastic OS=Ricinus communis GN=PURA2 PE=3 SV=1</t>
  </si>
  <si>
    <t>Dihydroflavonol-4-reductase OS=Dianthus caryophyllus GN=A PE=2 SV=1</t>
  </si>
  <si>
    <t>Dianthus caryophyllus</t>
  </si>
  <si>
    <t>Probable pectate lyase 8 OS=Arabidopsis thaliana GN=At3g07010 PE=2 SV=1</t>
  </si>
  <si>
    <t>5-formyltetrahydrofolate cyclo-ligase-like protein COG0212 OS=Arabidopsis thaliana GN=COG0212 PE=2 SV=1</t>
  </si>
  <si>
    <t>E3 ubiquitin-protein ligase MBR2 OS=Arabidopsis thaliana GN=MBR2 PE=1 SV=1</t>
  </si>
  <si>
    <t>50S ribosomal protein L2, chloroplastic OS=Cucumis sativus GN=rpl2-A PE=3 SV=1</t>
  </si>
  <si>
    <t>Putative kinase-like protein TMKL1 OS=Arabidopsis thaliana GN=TMKL1 PE=1 SV=1</t>
  </si>
  <si>
    <t>Mediator of RNA polymerase II transcription subunit 12 OS=Arabidopsis thaliana GN=MED12 PE=1 SV=1</t>
  </si>
  <si>
    <t>Calmodulin-binding protein 60 E OS=Arabidopsis thaliana GN=CBP60E PE=2 SV=1</t>
  </si>
  <si>
    <t>Sister chromatid cohesion 1 protein 3 OS=Arabidopsis thaliana GN=SYN3 PE=2 SV=2</t>
  </si>
  <si>
    <t>Protein LOW PSII ACCUMULATION 3, chloroplastic OS=Arabidopsis thaliana GN=LPA3 PE=1 SV=1</t>
  </si>
  <si>
    <t>Calmodulin-like protein 5 OS=Arabidopsis thaliana GN=CML5 PE=2 SV=2</t>
  </si>
  <si>
    <t>Putative glutathione-specific gamma-glutamylcyclotransferase 2 OS=Rattus norvegicus GN=Chac2 PE=2 SV=1</t>
  </si>
  <si>
    <t>Cilia- and flagella-associated protein 20 OS=Drosophila melanogaster GN=CFAP20 PE=1 SV=1</t>
  </si>
  <si>
    <t>Mitogen-activated protein kinase 7 OS=Arabidopsis thaliana GN=MPK7 PE=1 SV=2</t>
  </si>
  <si>
    <t>Methylthioribose kinase 2 OS=Oryza sativa subsp. japonica GN=MTK2 PE=2 SV=1</t>
  </si>
  <si>
    <t>Putative G-type lectin S-receptor-like serine/threonine-protein kinase At1g61610 OS=Arabidopsis thaliana GN=At1g61610 PE=3 SV=1</t>
  </si>
  <si>
    <t>Cell wall protein ECM33 OS=Saccharomyces cerevisiae (strain AWRI1631) GN=ECM33 PE=3 SV=2</t>
  </si>
  <si>
    <t>Bifunctional aspartokinase/homoserine dehydrogenase 1, chloroplastic OS=Arabidopsis thaliana GN=AKHSDH1 PE=1 SV=1</t>
  </si>
  <si>
    <t>Legumin type B OS=Vicia faba GN=LEB4 PE=3 SV=1</t>
  </si>
  <si>
    <t>DNA replication ATP-dependent helicase/nuclease DNA2 OS=Gallus gallus GN=DNA2 PE=2 SV=2</t>
  </si>
  <si>
    <t>Fasciclin-like arabinogalactan protein 8 OS=Arabidopsis thaliana GN=FLA8 PE=1 SV=1</t>
  </si>
  <si>
    <t>60S ribosomal protein L10 OS=Saccharomyces cerevisiae (strain ATCC 204508 / S288c) GN=RPL10 PE=1 SV=1</t>
  </si>
  <si>
    <t>ABC transporter G family member 7 OS=Arabidopsis thaliana GN=ABCG7 PE=2 SV=1</t>
  </si>
  <si>
    <t>Protein kri1 OS=Schizosaccharomyces pombe (strain 972 / ATCC 24843) GN=kri1 PE=1 SV=1</t>
  </si>
  <si>
    <t>Pathogenesis-related protein 1 OS=Arabidopsis thaliana GN=At2g14610 PE=1 SV=1</t>
  </si>
  <si>
    <t>Probable serine/threonine-protein kinase At1g18390 OS=Arabidopsis thaliana GN=At1g18390 PE=2 SV=2</t>
  </si>
  <si>
    <t>Nucleobase-ascorbate transporter 7 OS=Arabidopsis thaliana GN=NAT7 PE=2 SV=2</t>
  </si>
  <si>
    <t>Probable methyltransferase PMT18 OS=Arabidopsis thaliana GN=At1g33170 PE=2 SV=1</t>
  </si>
  <si>
    <t>NAC domain-containing protein 74 OS=Oryza sativa subsp. japonica GN=NAC74 PE=2 SV=1</t>
  </si>
  <si>
    <t>Long chain acyl-CoA synthetase 6, peroxisomal OS=Arabidopsis thaliana GN=LACS6 PE=1 SV=1</t>
  </si>
  <si>
    <t>Mitochondrial import inner membrane translocase subunit tim16 OS=Neurospora crassa (strain ATCC 24698 / 74-OR23-1A / CBS 708.71 / DSM 1257 / FGSC 987) GN=un-4 PE=3 SV=1</t>
  </si>
  <si>
    <t>Glucan endo-1,3-beta-glucosidase OS=Vitis vinifera GN=VIT_06s0061g00120 PE=1 SV=2</t>
  </si>
  <si>
    <t>Probable serine/threonine-protein phosphatase 2A activator 1 OS=Dictyostelium discoideum GN=ppp2r4A PE=3 SV=1</t>
  </si>
  <si>
    <t>E3 ubiquitin-protein ligase ZNRF3 OS=Mus musculus GN=Znrf3 PE=1 SV=1</t>
  </si>
  <si>
    <t>WAT1-related protein At4g08300 OS=Arabidopsis thaliana GN=At4g08300 PE=2 SV=1</t>
  </si>
  <si>
    <t>DNA-directed RNA polymerase subunit beta' OS=Morus indica GN=rpoC1 PE=3 SV=1</t>
  </si>
  <si>
    <t>Transketolase, chloroplastic OS=Solanum tuberosum PE=2 SV=1</t>
  </si>
  <si>
    <t>SPX and EXS domain-containing protein 1 OS=Dictyostelium discoideum GN=DDB_G0271664 PE=3 SV=2</t>
  </si>
  <si>
    <t>Protein PAF1 homolog OS=Arabidopsis thaliana GN=VIP2 PE=1 SV=1</t>
  </si>
  <si>
    <t>Cysteine proteinase 15A OS=Pisum sativum PE=2 SV=1</t>
  </si>
  <si>
    <t>Putative F-box protein PP2-B12 OS=Arabidopsis thaliana GN=PP2B12 PE=3 SV=1</t>
  </si>
  <si>
    <t>N-acetylglucosaminyl-phosphatidylinositol biosynthetic protein OS=Mus musculus GN=Piga PE=2 SV=1</t>
  </si>
  <si>
    <t>UDP-glucuronate 4-epimerase 3 OS=Arabidopsis thaliana GN=GAE3 PE=2 SV=1</t>
  </si>
  <si>
    <t>Putative potassium transporter 12 OS=Oryza sativa subsp. japonica GN=HAK12 PE=2 SV=1</t>
  </si>
  <si>
    <t>40S ribosomal protein S6 OS=Asparagus officinalis GN=rps6 PE=2 SV=1</t>
  </si>
  <si>
    <t>Asparagus officinalis</t>
  </si>
  <si>
    <t>Cytochrome P450 CYP749A22 OS=Panax ginseng PE=2 SV=1</t>
  </si>
  <si>
    <t>WD repeat-containing protein 11 OS=Mus musculus GN=Wdr11 PE=2 SV=1</t>
  </si>
  <si>
    <t>Protein SABRE OS=Arabidopsis thaliana GN=SAB PE=1 SV=1</t>
  </si>
  <si>
    <t>Ninja-family protein AFP2 OS=Arabidopsis thaliana GN=AFP2 PE=1 SV=1</t>
  </si>
  <si>
    <t>Histone-lysine N-methyltransferase, H3 lysine-9 specific SUVH3 OS=Arabidopsis thaliana GN=SUVH3 PE=2 SV=2</t>
  </si>
  <si>
    <t>MATE efflux family protein LAL5 OS=Arabidopsis thaliana GN=LAL5 PE=2 SV=1</t>
  </si>
  <si>
    <t>3-hydroxybenzoate 6-hydroxylase 1 OS=Pseudomonas alcaligenes GN=xlnD PE=1 SV=1</t>
  </si>
  <si>
    <t>Pseudomonas alcaligenes</t>
  </si>
  <si>
    <t>Subtilisin-like protease SBT3.3 OS=Arabidopsis thaliana GN=SBT3.3 PE=2 SV=1</t>
  </si>
  <si>
    <t>RHOMBOid-like protein 5 OS=Arabidopsis thaliana GN=RBL5 PE=3 SV=1</t>
  </si>
  <si>
    <t>Glutamate receptor 2.8 OS=Arabidopsis thaliana GN=GLR2.8 PE=2 SV=2</t>
  </si>
  <si>
    <t>Glucan endo-1,3-beta-glucosidase 13 OS=Arabidopsis thaliana GN=At5g56590 PE=1 SV=1</t>
  </si>
  <si>
    <t>Serine/threonine-protein phosphatase 7 OS=Arabidopsis thaliana GN=PP7 PE=1 SV=1</t>
  </si>
  <si>
    <t>MLO-like protein 6 OS=Arabidopsis thaliana GN=MLO6 PE=2 SV=2</t>
  </si>
  <si>
    <t>Putative UDP-glucose flavonoid 3-O-glucosyltransferase 3 OS=Fragaria ananassa GN=GT3 PE=2 SV=1</t>
  </si>
  <si>
    <t>Pentatricopeptide repeat-containing protein At5g12100, mitochondrial OS=Arabidopsis thaliana GN=At5g12100 PE=2 SV=1</t>
  </si>
  <si>
    <t>Protein H2A.7 OS=Triticum aestivum GN=H2A-4 PE=2 SV=3</t>
  </si>
  <si>
    <t>Trihelix transcription factor GT-3a OS=Arabidopsis thaliana GN=GT-3A PE=1 SV=1</t>
  </si>
  <si>
    <t>Potassium transporter 2 OS=Arabidopsis thaliana GN=POT2 PE=1 SV=2</t>
  </si>
  <si>
    <t>Ycf49-like protein OS=Synechocystis sp. (strain PCC 6803 / Kazusa) GN=sll0608 PE=3 SV=1</t>
  </si>
  <si>
    <t>Cell wall / vacuolar inhibitor of fructosidase 1 OS=Arabidopsis thaliana GN=C/VIF1 PE=1 SV=1</t>
  </si>
  <si>
    <t>Zinc finger A20 and AN1 domain-containing stress-associated protein 5 OS=Arabidopsis thaliana GN=SAP5 PE=2 SV=1</t>
  </si>
  <si>
    <t>Activating molecule in BECN1-regulated autophagy protein 1 OS=Mus musculus GN=Ambra1 PE=1 SV=1</t>
  </si>
  <si>
    <t>Arginase 1, mitochondrial OS=Arabidopsis thaliana GN=ARGAH1 PE=2 SV=1</t>
  </si>
  <si>
    <t>Phosphoglucomutase, cytoplasmic OS=Populus tremula GN=PGM1 PE=2 SV=1</t>
  </si>
  <si>
    <t>Populus tremula</t>
  </si>
  <si>
    <t>Probable mediator of RNA polymerase II transcription subunit 19b OS=Arabidopsis thaliana GN=MED19B PE=2 SV=1</t>
  </si>
  <si>
    <t>Phenylalanine--tRNA ligase alpha subunit, cytoplasmic OS=Arabidopsis thaliana GN=At4g39280 PE=2 SV=3</t>
  </si>
  <si>
    <t>Nucleolar complex protein 2 homolog OS=Arabidopsis thaliana GN=At2g18220 PE=3 SV=2</t>
  </si>
  <si>
    <t>Cellulose synthase A catalytic subunit 2 [UDP-forming] OS=Arabidopsis thaliana GN=CESA2 PE=1 SV=1</t>
  </si>
  <si>
    <t>CASP-like protein 5A1 OS=Ginkgo biloba GN=gba_locus_10451 PE=3 SV=1</t>
  </si>
  <si>
    <t>Ginkgo biloba</t>
  </si>
  <si>
    <t>ABC transporter G family member 34 OS=Arabidopsis thaliana GN=ABCG34 PE=2 SV=1</t>
  </si>
  <si>
    <t>D-amino-acid transaminase, chloroplastic OS=Arabidopsis thaliana GN=DAAT PE=1 SV=1</t>
  </si>
  <si>
    <t>Proteinaceous RNase P 1, chloroplastic/mitochondrial OS=Arabidopsis thaliana GN=PRORP1 PE=1 SV=1</t>
  </si>
  <si>
    <t>ATPase family AAA domain-containing protein 3 OS=Xenopus tropicalis GN=atad3 PE=2 SV=1</t>
  </si>
  <si>
    <t>CBL-interacting serine/threonine-protein kinase 15 OS=Arabidopsis thaliana GN=CIPK15 PE=1 SV=2</t>
  </si>
  <si>
    <t>Protein NRT1/ PTR FAMILY 5.6 OS=Arabidopsis thaliana GN=NPF5.6 PE=2 SV=1</t>
  </si>
  <si>
    <t>F-box protein At1g52490 OS=Arabidopsis thaliana GN=At1g52490 PE=3 SV=1</t>
  </si>
  <si>
    <t>Probable receptor-like protein kinase At1g67000 OS=Arabidopsis thaliana GN=At1g67000 PE=2 SV=2</t>
  </si>
  <si>
    <t>GPI inositol-deacylase OS=Aspergillus oryzae (strain ATCC 42149 / RIB 40) GN=bst1 PE=3 SV=2</t>
  </si>
  <si>
    <t>Non-specific phospholipase C6 OS=Arabidopsis thaliana GN=NPC6 PE=2 SV=1</t>
  </si>
  <si>
    <t>Protein GLUTAMINE DUMPER 5 OS=Arabidopsis thaliana GN=GDU5 PE=2 SV=2</t>
  </si>
  <si>
    <t>F-box/kelch-repeat protein At1g55270 OS=Arabidopsis thaliana GN=At1g55270 PE=2 SV=1</t>
  </si>
  <si>
    <t>Subtilisin-like protease SBT1.2 OS=Arabidopsis thaliana GN=SBT1.2 PE=2 SV=1</t>
  </si>
  <si>
    <t>Manganese-dependent ADP-ribose/CDP-alcohol diphosphatase OS=Oryza sativa subsp. japonica GN=Os07g0688000 PE=2 SV=1</t>
  </si>
  <si>
    <t>Uncharacterized protein sll0005 OS=Synechocystis sp. (strain PCC 6803 / Kazusa) GN=sll0005 PE=3 SV=1</t>
  </si>
  <si>
    <t>AMSH-like ubiquitin thioesterase 3 OS=Arabidopsis thaliana GN=AMSH3 PE=1 SV=2</t>
  </si>
  <si>
    <t>RNA-directed RNA polymerase 2a OS=Alfalfa mosaic virus (strain 425 / isolate Leiden) GN=ORF2a PE=3 SV=2</t>
  </si>
  <si>
    <t>Alfalfa mosaic</t>
  </si>
  <si>
    <t>Phosphatidylinositol/phosphatidylcholine transfer protein SFH13 OS=Arabidopsis thaliana GN=SFH13 PE=2 SV=1</t>
  </si>
  <si>
    <t>Pentatricopeptide repeat-containing protein At1g06145 OS=Arabidopsis thaliana GN=EMB1444 PE=2 SV=2</t>
  </si>
  <si>
    <t>Peptide methionine sulfoxide reductase B1, chloroplastic OS=Oryza sativa subsp. japonica GN=MSRB1 PE=2 SV=2</t>
  </si>
  <si>
    <t>Protein trichome birefringence-like 38 OS=Arabidopsis thaliana GN=TBL38 PE=2 SV=1</t>
  </si>
  <si>
    <t>Uncharacterized CRM domain-containing protein At3g25440, chloroplastic OS=Arabidopsis thaliana GN=At3g25440 PE=2 SV=1</t>
  </si>
  <si>
    <t>Chlorophyll a-b binding protein 16, chloroplastic OS=Nicotiana tabacum GN=CAB16 PE=2 SV=1</t>
  </si>
  <si>
    <t>Auxin-responsive protein SAUR71 OS=Arabidopsis thaliana GN=SAUR71 PE=2 SV=1</t>
  </si>
  <si>
    <t>Biogenesis of lysosome-related organelles complex 1 subunit 2 OS=Arabidopsis thaliana GN=BLOS2 PE=1 SV=1</t>
  </si>
  <si>
    <t>Annexin D3 OS=Arabidopsis thaliana GN=ANN3 PE=2 SV=2</t>
  </si>
  <si>
    <t>DNA polymerase V OS=Schizosaccharomyces pombe (strain 972 / ATCC 24843) GN=pol5 PE=1 SV=2</t>
  </si>
  <si>
    <t>Interferon-related developmental regulator 1 OS=Sus scrofa GN=IFRD1 PE=2 SV=1</t>
  </si>
  <si>
    <t>UDP-galactose transporter 2 OS=Arabidopsis thaliana GN=UDP-GALT2 PE=2 SV=1</t>
  </si>
  <si>
    <t>(S)-ureidoglycine aminohydrolase OS=Arabidopsis thaliana GN=UGLYAH PE=1 SV=1</t>
  </si>
  <si>
    <t>Glycerophosphodiester phosphodiesterase GDPD4 OS=Arabidopsis thaliana GN=GDPD4 PE=2 SV=1</t>
  </si>
  <si>
    <t>Nitrate reductase [NADH] OS=Lotus japonicus GN=NIA PE=3 SV=1</t>
  </si>
  <si>
    <t>Long chain acyl-CoA synthetase 4 OS=Arabidopsis thaliana GN=LACS4 PE=2 SV=1</t>
  </si>
  <si>
    <t>Basic leucine zipper 6 OS=Oryza sativa subsp. japonica GN=BZIP06 PE=2 SV=1</t>
  </si>
  <si>
    <t>Probable beta-1,3-galactosyltransferase 2 OS=Arabidopsis thaliana GN=B3GALT2 PE=2 SV=1</t>
  </si>
  <si>
    <t>Histone deacetylase 19 OS=Arabidopsis thaliana GN=HDA19 PE=1 SV=2</t>
  </si>
  <si>
    <t>Cyclin-B1-2 OS=Oryza sativa subsp. japonica GN=CYCB1-2 PE=3 SV=1</t>
  </si>
  <si>
    <t>Zinc finger protein CONSTANS-LIKE 4 OS=Arabidopsis thaliana GN=COL4 PE=2 SV=2</t>
  </si>
  <si>
    <t>2-oxoisovalerate dehydrogenase subunit alpha 2, mitochondrial OS=Arabidopsis thaliana GN=At5g09300 PE=1 SV=1</t>
  </si>
  <si>
    <t>LRR receptor-like serine/threonine-protein kinase RPK2 OS=Arabidopsis thaliana GN=RPK2 PE=2 SV=1</t>
  </si>
  <si>
    <t>60S ribosomal protein L3-2 OS=Arabidopsis thaliana GN=ARP2 PE=2 SV=4</t>
  </si>
  <si>
    <t>Sister chromatid cohesion protein DCC1 OS=Homo sapiens GN=DSCC1 PE=1 SV=2</t>
  </si>
  <si>
    <t>Probable GTP diphosphokinase RSH3, chloroplastic OS=Arabidopsis thaliana GN=RSH3 PE=2 SV=1</t>
  </si>
  <si>
    <t>Probable strigolactone esterase D14 OS=Oryza sativa subsp. japonica GN=D14 PE=1 SV=1</t>
  </si>
  <si>
    <t>Release factor glutamine methyltransferase OS=Gloeobacter violaceus (strain PCC 7421) GN=prmC PE=3 SV=1</t>
  </si>
  <si>
    <t>Gloeobacter violaceus</t>
  </si>
  <si>
    <t>NAC domain-containing protein 90 OS=Arabidopsis thaliana GN=NAC090 PE=2 SV=1</t>
  </si>
  <si>
    <t>Auxin-responsive protein IAA11 OS=Arabidopsis thaliana GN=IAA11 PE=1 SV=1</t>
  </si>
  <si>
    <t>Protein NDH-DEPENDENT CYCLIC ELECTRON FLOW 5 OS=Arabidopsis thaliana GN=NDF5 PE=2 SV=1</t>
  </si>
  <si>
    <t>Thaumatin-like protein 1 OS=Prunus persica PE=2 SV=1</t>
  </si>
  <si>
    <t>Eyes absent homolog 2 OS=Homo sapiens GN=EYA2 PE=1 SV=2</t>
  </si>
  <si>
    <t>LysM domain receptor-like kinase 4 OS=Arabidopsis thaliana GN=LYK4 PE=1 SV=1</t>
  </si>
  <si>
    <t>Mitochondrial succinate-fumarate transporter 1 OS=Arabidopsis thaliana GN=SFC1 PE=2 SV=1</t>
  </si>
  <si>
    <t>Testis-expressed sequence 10 protein homolog OS=Gallus gallus GN=TEX10 PE=2 SV=1</t>
  </si>
  <si>
    <t>tRNA-dihydrouridine(16/17) synthase [NAD(P)(+)]-like OS=Rattus norvegicus GN=Dus1l PE=2 SV=1</t>
  </si>
  <si>
    <t>Uncharacterized protein At5g41620 OS=Arabidopsis thaliana GN=At5g41620 PE=2 SV=2</t>
  </si>
  <si>
    <t>Vacuolar protein sorting-associated protein 35B OS=Arabidopsis thaliana GN=VPS35B PE=1 SV=1</t>
  </si>
  <si>
    <t>DnaJ homolog subfamily C member 7 OS=Homo sapiens GN=DNAJC7 PE=1 SV=2</t>
  </si>
  <si>
    <t>Mitochondrial-processing peptidase subunit alpha OS=Solanum tuberosum GN=MPP PE=1 SV=1</t>
  </si>
  <si>
    <t>Mitochondrial fission protein ELM1 OS=Arabidopsis thaliana GN=ELM1 PE=1 SV=1</t>
  </si>
  <si>
    <t>MAU2 chromatid cohesion factor homolog OS=Homo sapiens GN=MAU2 PE=1 SV=2</t>
  </si>
  <si>
    <t>Carboxyl-terminal-processing peptidase 1, chloroplastic OS=Arabidopsis thaliana GN=CTPA1 PE=1 SV=1</t>
  </si>
  <si>
    <t>Pentatricopeptide repeat-containing protein At4g02820, mitochondrial OS=Arabidopsis thaliana GN=At4g02820 PE=2 SV=1</t>
  </si>
  <si>
    <t>Triose phosphate/phosphate translocator, chloroplastic OS=Spinacia oleracea PE=1 SV=1</t>
  </si>
  <si>
    <t>Auxilin-related protein 2 OS=Arabidopsis thaliana GN=At4g12770 PE=1 SV=1</t>
  </si>
  <si>
    <t>Trihelix transcription factor GT-4 OS=Arabidopsis thaliana GN=GT-4 PE=2 SV=1</t>
  </si>
  <si>
    <t>WAT1-related protein At2g39510 OS=Arabidopsis thaliana GN=At2g39510 PE=2 SV=1</t>
  </si>
  <si>
    <t>Protein PAM68, chloroplastic OS=Arabidopsis thaliana GN=PAM68 PE=1 SV=1</t>
  </si>
  <si>
    <t>Calcium permeable stress-gated cation channel 1 OS=Arabidopsis thaliana GN=CSC1 PE=2 SV=1</t>
  </si>
  <si>
    <t>Protein LIGHT-DEPENDENT SHORT HYPOCOTYLS 3 OS=Arabidopsis thaliana GN=LSH3 PE=1 SV=1</t>
  </si>
  <si>
    <t>Polyribonucleotide nucleotidyltransferase 1, chloroplastic OS=Arabidopsis thaliana GN=PNP1 PE=1 SV=1</t>
  </si>
  <si>
    <t>Golgin candidate 1 OS=Arabidopsis thaliana GN=GC1 PE=2 SV=2</t>
  </si>
  <si>
    <t>Cycloartenol synthase OS=Betula platyphylla GN=CASBPX1 PE=1 SV=1</t>
  </si>
  <si>
    <t>Inhibitor of Bruton tyrosine kinase OS=Xenopus laevis GN=ibtk PE=2 SV=1</t>
  </si>
  <si>
    <t>Transcription and mRNA export factor SUS1 OS=Arabidopsis thaliana GN=SUS1 PE=3 SV=1</t>
  </si>
  <si>
    <t>Protein transport protein Sec23A OS=Pongo abelii GN=SEC23A PE=2 SV=1</t>
  </si>
  <si>
    <t>Protein EXORDIUM-like 7 OS=Arabidopsis thaliana GN=EXL7 PE=2 SV=2</t>
  </si>
  <si>
    <t>WRKY transcription factor 18 OS=Arabidopsis thaliana GN=WRKY18 PE=1 SV=2</t>
  </si>
  <si>
    <t>WAT1-related protein At3g02690, chloroplastic OS=Arabidopsis thaliana GN=At3g02690 PE=2 SV=1</t>
  </si>
  <si>
    <t>Chlorophyllase-2, chloroplastic OS=Arabidopsis thaliana GN=CLH2 PE=1 SV=1</t>
  </si>
  <si>
    <t>Peroxidase 17 OS=Arabidopsis thaliana GN=PER17 PE=2 SV=1</t>
  </si>
  <si>
    <t>Pentatricopeptide repeat-containing protein At3g16010 OS=Arabidopsis thaliana GN=At3g16010 PE=2 SV=1</t>
  </si>
  <si>
    <t>Putative transcription elongation factor SPT5 homolog 1 OS=Arabidopsis thaliana GN=At4g08350 PE=1 SV=2</t>
  </si>
  <si>
    <t>Macrophage migration inhibitory factor homolog OS=Trichinella spiralis PE=1 SV=2</t>
  </si>
  <si>
    <t>Trichinella spiralis</t>
  </si>
  <si>
    <t>Nudix hydrolase 26, chloroplastic OS=Arabidopsis thaliana GN=NUDT26 PE=1 SV=1</t>
  </si>
  <si>
    <t>Cell division cycle protein 48 homolog OS=Glycine max GN=CDC48 PE=2 SV=1</t>
  </si>
  <si>
    <t>Myb-related protein B OS=Xenopus laevis GN=mybl2 PE=2 SV=2</t>
  </si>
  <si>
    <t>Dual specificity phosphatase Cdc25 OS=Arabidopsis thaliana GN=CDC25 PE=1 SV=1</t>
  </si>
  <si>
    <t>Cyclin-H1-1 OS=Arabidopsis thaliana GN=CYCH1-1 PE=1 SV=1</t>
  </si>
  <si>
    <t>Protein translocase subunit SECA2, chloroplastic OS=Arabidopsis thaliana GN=SECA2 PE=2 SV=1</t>
  </si>
  <si>
    <t>Putative glycerol-3-phosphate transporter 4 OS=Arabidopsis thaliana GN=At4g17550 PE=3 SV=2</t>
  </si>
  <si>
    <t>C2 and GRAM domain-containing protein At5g50170 OS=Arabidopsis thaliana GN=At5g50170 PE=2 SV=1</t>
  </si>
  <si>
    <t>DNA helicase INO80 OS=Arabidopsis thaliana GN=INO80 PE=2 SV=2</t>
  </si>
  <si>
    <t>Protein transport protein SEC13 homolog B OS=Arabidopsis thaliana GN=SEC13B PE=1 SV=1</t>
  </si>
  <si>
    <t>Probable cyclic nucleotide-gated ion channel 17 OS=Arabidopsis thaliana GN=CNGC17 PE=2 SV=1</t>
  </si>
  <si>
    <t>Protein phosphatase 1 regulatory subunit 7 OS=Xenopus tropicalis GN=ppp1r7 PE=2 SV=1</t>
  </si>
  <si>
    <t>40S ribosomal protein S3a-2 OS=Arabidopsis thaliana GN=RPS3AB PE=2 SV=3</t>
  </si>
  <si>
    <t>Probable fructokinase-6, chloroplastic OS=Arabidopsis thaliana GN=At1g66430 PE=2 SV=1</t>
  </si>
  <si>
    <t>AMSH-like ubiquitin thioesterase 1 OS=Arabidopsis thaliana GN=AMSH1 PE=2 SV=1</t>
  </si>
  <si>
    <t>Phytoene synthase, chloroplastic OS=Daucus carota GN=PSY PE=2 SV=1</t>
  </si>
  <si>
    <t>tRNA-dihydrouridine(20/20a) synthase OS=Escherichia coli O6:H1 (strain CFT073 / ATCC 700928 / UPEC) GN=dusA PE=3 SV=1</t>
  </si>
  <si>
    <t>Serine/threonine-protein kinase BRI1-like 2 OS=Arabidopsis thaliana GN=BRL2 PE=1 SV=1</t>
  </si>
  <si>
    <t>Crooked neck-like protein 1 OS=Rattus norvegicus GN=Crnkl1 PE=2 SV=1</t>
  </si>
  <si>
    <t>Magnesium-protoporphyrin IX monomethyl ester [oxidative] cyclase, chloroplastic OS=Gossypium hirsutum GN=CRD1 PE=2 SV=2</t>
  </si>
  <si>
    <t>DNA mismatch repair protein MSH5 OS=Arabidopsis thaliana GN=MSH5 PE=2 SV=1</t>
  </si>
  <si>
    <t>Galactinol synthase 2 OS=Solanum lycopersicum GN=GOLS2 PE=2 SV=1</t>
  </si>
  <si>
    <t>L-gulonolactone oxidase 3 OS=Arabidopsis thaliana GN=GULLO3 PE=1 SV=1</t>
  </si>
  <si>
    <t>SWI/SNF complex subunit SWI3D OS=Arabidopsis thaliana GN=SWI3D PE=1 SV=3</t>
  </si>
  <si>
    <t>Pumilio homolog 3 OS=Arabidopsis thaliana GN=APUM3 PE=1 SV=1</t>
  </si>
  <si>
    <t>Calcineurin subunit B OS=Naegleria gruberi GN=CNB1 PE=3 SV=1</t>
  </si>
  <si>
    <t>Naegleria gruberi</t>
  </si>
  <si>
    <t>Magnesium-chelatase subunit ChlI, chloroplastic OS=Glycine max GN=CHLI PE=2 SV=1</t>
  </si>
  <si>
    <t>ABC transporter A family member 7 OS=Arabidopsis thaliana GN=ABCA7 PE=3 SV=2</t>
  </si>
  <si>
    <t>Glycosyltransferase-like At3g57200 OS=Arabidopsis thaliana GN=At3g57200 PE=2 SV=1</t>
  </si>
  <si>
    <t>Pyrophosphate-energized vacuolar membrane proton pump 1 OS=Arabidopsis thaliana GN=AVP1 PE=1 SV=1</t>
  </si>
  <si>
    <t>DNA repair protein RAD51 homolog 3 OS=Arabidopsis thaliana GN=RAD51C PE=1 SV=2</t>
  </si>
  <si>
    <t>Probable purple acid phosphatase 20 OS=Arabidopsis thaliana GN=PAP20 PE=2 SV=1</t>
  </si>
  <si>
    <t>KH domain-containing protein SPIN1 OS=Oryza sativa subsp. japonica GN=SPIN1 PE=1 SV=1</t>
  </si>
  <si>
    <t>Phosphoglycerate kinase, cytosolic OS=Nicotiana tabacum PE=2 SV=1</t>
  </si>
  <si>
    <t>U-box domain-containing protein 3 OS=Arabidopsis thaliana GN=PUB3 PE=2 SV=2</t>
  </si>
  <si>
    <t>LL-diaminopimelate aminotransferase, chloroplastic OS=Arabidopsis thaliana GN=DAP PE=1 SV=1</t>
  </si>
  <si>
    <t>Glutamate dehydrogenase 2 OS=Arabidopsis thaliana GN=GDH2 PE=1 SV=1</t>
  </si>
  <si>
    <t>DnaJ homolog subfamily B member 3 OS=Mus musculus GN=Dnajb3 PE=2 SV=1</t>
  </si>
  <si>
    <t>Peptide methionine sulfoxide reductase B5 OS=Oryza sativa subsp. japonica GN=MSRB5 PE=2 SV=1</t>
  </si>
  <si>
    <t>Cytochrome b561 and DOMON domain-containing protein At4g17280 OS=Arabidopsis thaliana GN=At4g17280 PE=2 SV=1</t>
  </si>
  <si>
    <t>Peptide chain release factor PrfB2, chloroplastic OS=Arabidopsis thaliana GN=PRFB2 PE=3 SV=1</t>
  </si>
  <si>
    <t>Protein CHUP1, chloroplastic OS=Arabidopsis thaliana GN=CHUP1 PE=1 SV=1</t>
  </si>
  <si>
    <t>Profilin OS=Pyrus communis PE=1 SV=1</t>
  </si>
  <si>
    <t>Pyrus communis</t>
  </si>
  <si>
    <t>Probable plastid-lipid-associated protein 6, chloroplastic OS=Arabidopsis thaliana GN=PAP6 PE=1 SV=1</t>
  </si>
  <si>
    <t>Protein NRT1/ PTR FAMILY 6.4 OS=Arabidopsis thaliana GN=NPF6.4 PE=1 SV=1</t>
  </si>
  <si>
    <t>Protein transport protein SEC31 homolog B OS=Arabidopsis thaliana GN=SEC31B PE=1 SV=1</t>
  </si>
  <si>
    <t>Chloride channel protein CLC-a OS=Arabidopsis thaliana GN=CLC-A PE=1 SV=2</t>
  </si>
  <si>
    <t>Nuclear transcription factor Y subunit B-3 OS=Arabidopsis thaliana GN=NFYB3 PE=2 SV=1</t>
  </si>
  <si>
    <t>Putative AC transposase OS=Zea mays PE=2 SV=2</t>
  </si>
  <si>
    <t>Flavonoid 3'-monooxygenase OS=Petunia hybrida GN=CYP75B2 PE=2 SV=1</t>
  </si>
  <si>
    <t>Receptor-like serine/threonine-protein kinase ALE2 OS=Arabidopsis thaliana GN=ALE2 PE=1 SV=1</t>
  </si>
  <si>
    <t>Notchless protein homolog OS=Arabidopsis thaliana GN=NLE1 PE=2 SV=1</t>
  </si>
  <si>
    <t>Phytoene synthase, chloroplastic OS=Cucumis melo GN=PSY PE=2 SV=1</t>
  </si>
  <si>
    <t>Hydrophobic protein RCI2B OS=Arabidopsis thaliana GN=RCI2B PE=2 SV=1</t>
  </si>
  <si>
    <t>Far upstream element-binding protein 3 OS=Homo sapiens GN=FUBP3 PE=1 SV=2</t>
  </si>
  <si>
    <t>Nicotinamide adenine dinucleotide transporter 2, mitochondrial OS=Arabidopsis thaliana GN=NDT2 PE=1 SV=1</t>
  </si>
  <si>
    <t>Sodium/hydrogen exchanger 6 OS=Arabidopsis thaliana GN=NHX6 PE=1 SV=3</t>
  </si>
  <si>
    <t>Two-component response regulator ARR3 OS=Arabidopsis thaliana GN=ARR3 PE=2 SV=1</t>
  </si>
  <si>
    <t>Exonuclease DPD1, chloroplastic/mitochondrial OS=Arabidopsis thaliana GN=DPD1 PE=1 SV=1</t>
  </si>
  <si>
    <t>Protein KAKU4 OS=Arabidopsis thaliana GN=KAKU4 PE=1 SV=1</t>
  </si>
  <si>
    <t>Kinesin-1 OS=Arabidopsis thaliana GN=ATK1 PE=2 SV=1</t>
  </si>
  <si>
    <t>Zinc transporter 6, chloroplastic OS=Arabidopsis thaliana GN=ZIP6 PE=3 SV=1</t>
  </si>
  <si>
    <t>Glycosyltransferase 6 OS=Arabidopsis thaliana GN=GT6 PE=2 SV=1</t>
  </si>
  <si>
    <t>Uroporphyrinogen-III synthase, chloroplastic OS=Arabidopsis thaliana GN=UROS PE=2 SV=2</t>
  </si>
  <si>
    <t>Autophagy-related protein 8i OS=Arabidopsis thaliana GN=ATG8I PE=2 SV=1</t>
  </si>
  <si>
    <t>Probable inactive heme oxygenase 2, chloroplastic OS=Arabidopsis thaliana GN=HO2 PE=2 SV=2</t>
  </si>
  <si>
    <t>Rac-like GTP-binding protein ARAC9 OS=Arabidopsis thaliana GN=ARAC9 PE=1 SV=1</t>
  </si>
  <si>
    <t>Uridylate kinase OS=Synechococcus sp. (strain CC9902) GN=pyrH PE=3 SV=1</t>
  </si>
  <si>
    <t>Hydroxypyruvate reductase OS=Thermotoga maritima (strain ATCC 43589 / MSB8 / DSM 3109 / JCM 10099) GN=TM_1401 PE=1 SV=1</t>
  </si>
  <si>
    <t>Thermotoga maritima</t>
  </si>
  <si>
    <t>Importin-9 OS=Mus musculus GN=Ipo9 PE=1 SV=3</t>
  </si>
  <si>
    <t>Inositol-tetrakisphosphate 1-kinase 3 OS=Arabidopsis thaliana GN=ITPK3 PE=1 SV=2</t>
  </si>
  <si>
    <t>Ankyrin repeat domain-containing protein 13B OS=Homo sapiens GN=ANKRD13B PE=1 SV=4</t>
  </si>
  <si>
    <t>GPI mannosyltransferase 3 OS=Bos taurus GN=PIGB PE=2 SV=1</t>
  </si>
  <si>
    <t>Tetrahydrocannabinolic acid synthase OS=Cannabis sativa PE=1 SV=1</t>
  </si>
  <si>
    <t>Cannabis sativa</t>
  </si>
  <si>
    <t>Plant UBX domain-containing protein 2 OS=Arabidopsis thaliana GN=PUX2 PE=1 SV=2</t>
  </si>
  <si>
    <t>ADP,ATP carrier protein ER-ANT1 OS=Arabidopsis thaliana GN=ER-ANT1 PE=2 SV=2</t>
  </si>
  <si>
    <t>Protein prune homolog OS=Bos taurus GN=PRUNE PE=2 SV=1</t>
  </si>
  <si>
    <t>Auxin-responsive protein IAA29 OS=Arabidopsis thaliana GN=IAA29 PE=2 SV=2</t>
  </si>
  <si>
    <t>GTP-binding nuclear protein Ran1 OS=Solanum lycopersicum GN=RAN1 PE=2 SV=1</t>
  </si>
  <si>
    <t>Protein CPR-5 OS=Arabidopsis thaliana GN=CPR5 PE=1 SV=1</t>
  </si>
  <si>
    <t>Callose synthase 2 OS=Arabidopsis thaliana GN=CALS2 PE=2 SV=3</t>
  </si>
  <si>
    <t>Probable LRR receptor-like serine/threonine-protein kinase At1g06840 OS=Arabidopsis thaliana GN=At1g06840 PE=2 SV=2</t>
  </si>
  <si>
    <t>Diphosphomevalonate decarboxylase OS=Bos taurus GN=MVD PE=2 SV=1</t>
  </si>
  <si>
    <t>Aconitate hydratase 1 OS=Arabidopsis thaliana GN=ACO1 PE=1 SV=2</t>
  </si>
  <si>
    <t>Putative formate acetyltransferase 3 OS=Escherichia coli (strain K12) GN=ybiW PE=3 SV=1</t>
  </si>
  <si>
    <t>Protein TIC110, chloroplastic OS=Pisum sativum GN=TIC110 PE=1 SV=1</t>
  </si>
  <si>
    <t>Transcription factor TT2 OS=Arabidopsis thaliana GN=TT2 PE=1 SV=1</t>
  </si>
  <si>
    <t>Cysteine-rich receptor-like protein kinase 25 OS=Arabidopsis thaliana GN=CRK25 PE=3 SV=1</t>
  </si>
  <si>
    <t>Putative germin-like protein 2-1 OS=Oryza sativa subsp. japonica GN=Os02g0491600 PE=3 SV=1</t>
  </si>
  <si>
    <t>Non-specific lipid-transfer protein 1 OS=Prunus dulcis PE=3 SV=1</t>
  </si>
  <si>
    <t>Cell division topological specificity factor homolog, chloroplastic OS=Arabidopsis thaliana GN=MINE1 PE=1 SV=1</t>
  </si>
  <si>
    <t>Single myb histone 5 OS=Zea mays GN=SMH5 PE=2 SV=1</t>
  </si>
  <si>
    <t>40S ribosomal protein S21-2 OS=Arabidopsis thaliana GN=RPS21C PE=1 SV=2</t>
  </si>
  <si>
    <t>Mitochondrial dicarboxylate/tricarboxylate transporter DTC OS=Arabidopsis thaliana GN=DTC PE=1 SV=1</t>
  </si>
  <si>
    <t>Putative pentatricopeptide repeat-containing protein At1g02420 OS=Arabidopsis thaliana GN=At1g02420 PE=3 SV=2</t>
  </si>
  <si>
    <t>Double-stranded RNA-binding protein 1 OS=Arabidopsis thaliana GN=DRB1 PE=1 SV=1</t>
  </si>
  <si>
    <t>Acyl carrier protein 2, mitochondrial OS=Arabidopsis thaliana GN=MTACP2 PE=1 SV=1</t>
  </si>
  <si>
    <t>Probable aquaporin NIP5-1 OS=Arabidopsis thaliana GN=NIP5-1 PE=2 SV=1</t>
  </si>
  <si>
    <t>Glucosamine 6-phosphate N-acetyltransferase OS=Arabidopsis thaliana GN=GNA1 PE=1 SV=1</t>
  </si>
  <si>
    <t>Protein arginine N-methyltransferase 1.5 OS=Arabidopsis thaliana GN=PMRT15 PE=1 SV=2</t>
  </si>
  <si>
    <t>Disease resistance protein RML1B OS=Arabidopsis thaliana GN=RLM1B PE=2 SV=1</t>
  </si>
  <si>
    <t>60S ribosomal protein L17-2 OS=Arabidopsis thaliana GN=RPL17B PE=2 SV=2</t>
  </si>
  <si>
    <t>Developmentally-regulated G-protein 2 OS=Arabidopsis thaliana GN=DRG2 PE=2 SV=1</t>
  </si>
  <si>
    <t>Aquaporin PIP2-7 OS=Arabidopsis thaliana GN=PIP2-7 PE=1 SV=2</t>
  </si>
  <si>
    <t>Cytochrome P450 86A2 OS=Arabidopsis thaliana GN=CYP86A2 PE=1 SV=1</t>
  </si>
  <si>
    <t>Cell division control protein 45 homolog OS=Schizosaccharomyces pombe (strain 972 / ATCC 24843) GN=sna41 PE=1 SV=1</t>
  </si>
  <si>
    <t>ABC transporter F family member 3 OS=Arabidopsis thaliana GN=ABCF3 PE=1 SV=1</t>
  </si>
  <si>
    <t>3-hydroxy-3-methylglutaryl-coenzyme A reductase 1 OS=Hevea brasiliensis GN=HMGR1 PE=2 SV=1</t>
  </si>
  <si>
    <t>Metal tolerance protein 11 OS=Arabidopsis thaliana GN=MTP11 PE=2 SV=1</t>
  </si>
  <si>
    <t>Phragmoplast orienting kinesin 2 OS=Arabidopsis thaliana GN=POK2 PE=2 SV=1</t>
  </si>
  <si>
    <t>Sister-chromatid cohesion protein 3 OS=Arabidopsis thaliana GN=SCC3 PE=1 SV=2</t>
  </si>
  <si>
    <t>Putative invertase inhibitor OS=Platanus acerifolia PE=1 SV=1</t>
  </si>
  <si>
    <t>Platanus acerifolia</t>
  </si>
  <si>
    <t>Mitochondrial pyruvate carrier 4 OS=Arabidopsis thaliana GN=MPC4 PE=3 SV=1</t>
  </si>
  <si>
    <t>Uncharacterized protein KIAA0930 homolog OS=Xenopus laevis PE=2 SV=2</t>
  </si>
  <si>
    <t>Probable histone H2B.1 OS=Medicago truncatula PE=3 SV=3</t>
  </si>
  <si>
    <t>Glutelin type-A 2 OS=Oryza sativa subsp. japonica GN=GLUA2 PE=1 SV=1</t>
  </si>
  <si>
    <t>CD2 antigen cytoplasmic tail-binding protein 2 OS=Mus musculus GN=Cd2bp2 PE=1 SV=1</t>
  </si>
  <si>
    <t>Lycopene epsilon cyclase, chloroplastic OS=Arabidopsis thaliana GN=LUT2 PE=1 SV=2</t>
  </si>
  <si>
    <t>60S ribosomal protein L23A OS=Fritillaria agrestis GN=RPL23A PE=2 SV=1</t>
  </si>
  <si>
    <t>Fritillaria agrestis</t>
  </si>
  <si>
    <t>60S ribosomal protein L7a OS=Oryza sativa subsp. japonica GN=RPL7A PE=2 SV=1</t>
  </si>
  <si>
    <t>30S ribosomal protein S31, chloroplastic OS=Arabidopsis thaliana GN=RPS31 PE=1 SV=1</t>
  </si>
  <si>
    <t>GDSL esterase/lipase At1g74460 OS=Arabidopsis thaliana GN=At1g74460 PE=2 SV=1</t>
  </si>
  <si>
    <t>Pentatricopeptide repeat-containing protein At3g12770 OS=Arabidopsis thaliana GN=PCMP-H43 PE=2 SV=1</t>
  </si>
  <si>
    <t>L-ascorbate oxidase OS=Nicotiana tabacum GN=AAO PE=2 SV=1</t>
  </si>
  <si>
    <t>Putative uncharacterized protein ART2 OS=Saccharomyces cerevisiae (strain ATCC 204508 / S288c) GN=ART2 PE=5 SV=1</t>
  </si>
  <si>
    <t>E3 ubiquitin-protein ligase RGLG2 OS=Arabidopsis thaliana GN=RGLG2 PE=1 SV=1</t>
  </si>
  <si>
    <t>Urea-proton symporter DUR3 OS=Arabidopsis thaliana GN=DUR3 PE=1 SV=1</t>
  </si>
  <si>
    <t>Major allergen Pru av 1 OS=Prunus avium GN=PRUA1 PE=1 SV=1</t>
  </si>
  <si>
    <t>Protein SPIRAL1-like 1 OS=Arabidopsis thaliana GN=SP1L1 PE=2 SV=1</t>
  </si>
  <si>
    <t>Probable carboxylesterase 17 OS=Arabidopsis thaliana GN=CXE17 PE=2 SV=1</t>
  </si>
  <si>
    <t>Nucleoside diphosphate kinase IV, chloroplastic/mitochondrial OS=Arabidopsis thaliana GN=NDK4 PE=1 SV=2</t>
  </si>
  <si>
    <t>Germin-like protein subfamily 2 member 4 OS=Arabidopsis thaliana GN=GLP10 PE=2 SV=1</t>
  </si>
  <si>
    <t>Vesicle-associated membrane protein 724 OS=Arabidopsis thaliana GN=VAMP724 PE=2 SV=2</t>
  </si>
  <si>
    <t>Serine/threonine-protein kinase mph1 OS=Schizosaccharomyces pombe (strain 972 / ATCC 24843) GN=mph1 PE=2 SV=1</t>
  </si>
  <si>
    <t>Eukaryotic translation initiation factor 3 subunit L OS=Nematostella vectensis GN=v1g169424 PE=3 SV=1</t>
  </si>
  <si>
    <t>Galactomannan galactosyltransferase 1 OS=Cyamopsis tetragonoloba GN=GMGT1 PE=1 SV=1</t>
  </si>
  <si>
    <t>Uncharacterized protein C167.05 OS=Schizosaccharomyces pombe (strain 972 / ATCC 24843) GN=SPAC167.05 PE=1 SV=2</t>
  </si>
  <si>
    <t>Proteasome subunit alpha type-3 OS=Spinacia oleracea GN=PAG1 PE=2 SV=1</t>
  </si>
  <si>
    <t>Protein YIF1B OS=Mus musculus GN=Yif1b PE=1 SV=2</t>
  </si>
  <si>
    <t>Cysteine synthase, chloroplastic/chromoplastic OS=Solanum tuberosum PE=2 SV=1</t>
  </si>
  <si>
    <t>60S acidic ribosomal protein P2 OS=Parthenium argentatum PE=3 SV=1</t>
  </si>
  <si>
    <t>Parthenium argentatum</t>
  </si>
  <si>
    <t>Pentatricopeptide repeat-containing protein At5g27460 OS=Arabidopsis thaliana GN=At5g27460 PE=2 SV=1</t>
  </si>
  <si>
    <t>Disease resistance protein RRS1 OS=Arabidopsis thaliana GN=RRS1 PE=2 SV=1</t>
  </si>
  <si>
    <t>Bifunctional protein FolD 1, mitochondrial OS=Arabidopsis thaliana GN=FOLD1 PE=2 SV=1</t>
  </si>
  <si>
    <t>Flavin-containing monooxygenase FMO GS-OX-like 4 OS=Arabidopsis thaliana GN=At1g62600 PE=2 SV=1</t>
  </si>
  <si>
    <t>Separase OS=Arabidopsis thaliana GN=ESP1 PE=2 SV=1</t>
  </si>
  <si>
    <t>Transcriptional regulator SUPERMAN OS=Arabidopsis thaliana GN=SUP PE=1 SV=1</t>
  </si>
  <si>
    <t>Protein FANTASTIC FOUR 3 OS=Arabidopsis thaliana GN=FAF3 PE=2 SV=1</t>
  </si>
  <si>
    <t>Transcription factor steA OS=Emericella nidulans (strain FGSC A4 / ATCC 38163 / CBS 112.46 / NRRL 194 / M139) GN=steA PE=2 SV=1</t>
  </si>
  <si>
    <t>Protein SCAR3 OS=Arabidopsis thaliana GN=SCAR3 PE=1 SV=1</t>
  </si>
  <si>
    <t>Putative disease resistance protein At1g59780 OS=Arabidopsis thaliana GN=At1g59780 PE=3 SV=1</t>
  </si>
  <si>
    <t>GTP-binding protein TypA/BipA homolog OS=Helicobacter pylori (strain ATCC 700392 / 26695) GN=typA PE=3 SV=1</t>
  </si>
  <si>
    <t>Helicobacter pylori</t>
  </si>
  <si>
    <t>Serine/threonine-protein kinase PRP4 homolog OS=Rattus norvegicus GN=Prpf4b PE=1 SV=1</t>
  </si>
  <si>
    <t>Probable protein phosphatase 2C 60 OS=Oryza sativa subsp. japonica GN=Os06g0717800 PE=2 SV=1</t>
  </si>
  <si>
    <t>WAT1-related protein At1g21890 OS=Arabidopsis thaliana GN=At1g21890 PE=2 SV=1</t>
  </si>
  <si>
    <t>Probable anion transporter 4, chloroplastic OS=Arabidopsis thaliana GN=ANTR4 PE=2 SV=1</t>
  </si>
  <si>
    <t>Stomatal closure-related actin-binding protein 1 OS=Arabidopsis thaliana GN=SCAB1 PE=1 SV=1</t>
  </si>
  <si>
    <t>BAH and coiled-coil domain-containing protein 1 OS=Homo sapiens GN=BAHCC1 PE=1 SV=3</t>
  </si>
  <si>
    <t>Mitogen-activated protein kinase homolog MMK2 OS=Medicago sativa GN=MMK2 PE=2 SV=1</t>
  </si>
  <si>
    <t>Pentatricopeptide repeat-containing protein At1g33350 OS=Arabidopsis thaliana GN=PCMP-E57 PE=2 SV=1</t>
  </si>
  <si>
    <t>Protein SDE2 homolog OS=Mus musculus GN=Sde2 PE=1 SV=1</t>
  </si>
  <si>
    <t>Probable beta-1,4-xylosyltransferase IRX9H OS=Arabidopsis thaliana GN=IRX9H PE=2 SV=2</t>
  </si>
  <si>
    <t>Histone acetyltransferase GCN5 OS=Arabidopsis thaliana GN=HAG1 PE=1 SV=1</t>
  </si>
  <si>
    <t>Protein ABSCISIC ACid-INSENSITIVE 5 OS=Arabidopsis thaliana GN=ABI5 PE=1 SV=1</t>
  </si>
  <si>
    <t>Probable WRKY transcription factor 28 OS=Arabidopsis thaliana GN=WRKY28 PE=2 SV=1</t>
  </si>
  <si>
    <t>Flavin-containing monooxygenase FMO GS-OX-like 5 OS=Arabidopsis thaliana GN=At1g63370 PE=2 SV=2</t>
  </si>
  <si>
    <t>Putative cytochrome c biogenesis ccmB-like mitochondrial protein OS=Arabidopsis thaliana GN=CCMB PE=2 SV=2</t>
  </si>
  <si>
    <t>Probable fructose-bisphosphate aldolase 2, chloroplastic OS=Arabidopsis thaliana GN=FBA2 PE=1 SV=2</t>
  </si>
  <si>
    <t>Potassium channel SKOR OS=Arabidopsis thaliana GN=SKOR PE=1 SV=1</t>
  </si>
  <si>
    <t>Casein kinase II subunit beta OS=Arabidopsis thaliana GN=CKB1 PE=1 SV=1</t>
  </si>
  <si>
    <t>L-ascorbate oxidase OS=Cucumis sativus PE=1 SV=1</t>
  </si>
  <si>
    <t>Thioredoxin-like protein YLS8 OS=Arabidopsis thaliana GN=YLS8 PE=2 SV=1</t>
  </si>
  <si>
    <t>Probable leucine-rich repeat receptor-like protein kinase At5g63930 OS=Arabidopsis thaliana GN=At5g63930 PE=2 SV=1</t>
  </si>
  <si>
    <t>Transcription factor bHLH70 OS=Arabidopsis thaliana GN=BHLH70 PE=2 SV=1</t>
  </si>
  <si>
    <t>Cytochrome b561 and DOMON domain-containing protein At4g12980 OS=Arabidopsis thaliana GN=At4g12980 PE=2 SV=1</t>
  </si>
  <si>
    <t>Probable glycosyltransferase At5g20260 OS=Arabidopsis thaliana GN=At5g20260 PE=3 SV=3</t>
  </si>
  <si>
    <t>Pentatricopeptide repeat-containing protein At1g08070, chloroplastic OS=Arabidopsis thaliana GN=PCMP-H12 PE=2 SV=1</t>
  </si>
  <si>
    <t>Probable protein phosphatase 2C 40 OS=Arabidopsis thaliana GN=At3g16560 PE=2 SV=1</t>
  </si>
  <si>
    <t>Diacylglycerol kinase 7 OS=Arabidopsis thaliana GN=DGK7 PE=1 SV=1</t>
  </si>
  <si>
    <t>ATP synthase subunit beta, chloroplastic OS=Morus indica GN=atpB PE=3 SV=1</t>
  </si>
  <si>
    <t>Agamous-like MADS-box protein AGL16 OS=Arabidopsis thaliana GN=AGL16 PE=1 SV=1</t>
  </si>
  <si>
    <t>Methyltransferase-like protein 23 OS=Xenopus laevis GN=mettl23 PE=2 SV=1</t>
  </si>
  <si>
    <t>Polyketide synthase 5 OS=Rubus idaeus GN=PKS5 PE=1 SV=1</t>
  </si>
  <si>
    <t>Transcription factor bHLH93 OS=Arabidopsis thaliana GN=BHLH93 PE=1 SV=1</t>
  </si>
  <si>
    <t>U-box domain-containing protein 32 OS=Arabidopsis thaliana GN=PUB32 PE=2 SV=1</t>
  </si>
  <si>
    <t>Probable 3-beta-hydroxysteroid-Delta(8),Delta(7)-isomerase OS=Arabidopsis thaliana GN=At1g20050 PE=2 SV=1</t>
  </si>
  <si>
    <t>ATP-dependent Clp protease proteolytic subunit 6, chloroplastic OS=Arabidopsis thaliana GN=CLPP6 PE=1 SV=1</t>
  </si>
  <si>
    <t>Methyl-CpG-binding domain-containing protein 8 OS=Arabidopsis thaliana GN=MBD8 PE=2 SV=1</t>
  </si>
  <si>
    <t>Auxin response factor 8 OS=Arabidopsis thaliana GN=ARF8 PE=2 SV=2</t>
  </si>
  <si>
    <t>Serine/threonine-protein kinase SAPK3 OS=Oryza sativa subsp. japonica GN=SAPK3 PE=1 SV=1</t>
  </si>
  <si>
    <t>CASP-like protein 2D1 OS=Vitis vinifera GN=VIT_19s0090g00570 PE=2 SV=1</t>
  </si>
  <si>
    <t>F-box protein At2g39490 OS=Arabidopsis thaliana GN=At2g39490 PE=2 SV=1</t>
  </si>
  <si>
    <t>Alpha-amylase OS=Vigna mungo GN=AMY1.1 PE=2 SV=1</t>
  </si>
  <si>
    <t>Protein CHLORORESPIRATORY REDUCTION 7, chloroplastic OS=Arabidopsis thaliana GN=CRR7 PE=2 SV=1</t>
  </si>
  <si>
    <t>Mannosyl-oligosaccharide 1,2-alpha-mannosidase MNS2 OS=Arabidopsis thaliana GN=MNS2 PE=1 SV=1</t>
  </si>
  <si>
    <t>Receptor-like serine/threonine-protein kinase SD1-8 OS=Arabidopsis thaliana GN=SD18 PE=1 SV=1</t>
  </si>
  <si>
    <t>Dolichyl-diphosphooligosaccharide--protein glycosyltransferase subunit 1A OS=Arabidopsis thaliana GN=OST1A PE=2 SV=1</t>
  </si>
  <si>
    <t>Protein HAPLESS 2 OS=Arabidopsis thaliana GN=HAP2 PE=2 SV=1</t>
  </si>
  <si>
    <t>Pentatricopeptide repeat-containing protein At3g46870 OS=Arabidopsis thaliana GN=At3g46870 PE=1 SV=1</t>
  </si>
  <si>
    <t>Probable acyl-[acyl-carrier-protein]--UDP-N-acetylglucosamine O-acyltransferase, mitochondrial OS=Arabidopsis thaliana GN=LPXA PE=1 SV=1</t>
  </si>
  <si>
    <t>Mitochondrial import inner membrane translocase subunit TIM14-1 OS=Arabidopsis thaliana GN=TIM14-1 PE=1 SV=1</t>
  </si>
  <si>
    <t>Polyadenylate-binding protein 7 OS=Arabidopsis thaliana GN=PAB7 PE=2 SV=1</t>
  </si>
  <si>
    <t>Cysteine-rich receptor-like protein kinase 3 OS=Arabidopsis thaliana GN=CRK3 PE=2 SV=1</t>
  </si>
  <si>
    <t>Ankyrin repeat and zinc finger domain-containing protein 1 OS=Homo sapiens GN=ANKZF1 PE=1 SV=1</t>
  </si>
  <si>
    <t>40S ribosomal protein S14 OS=Zea mays PE=3 SV=1</t>
  </si>
  <si>
    <t>Pentatricopeptide repeat-containing protein At5g39350 OS=Arabidopsis thaliana GN=PCMP-E16 PE=2 SV=1</t>
  </si>
  <si>
    <t>Protein NTM1-like 9 OS=Arabidopsis thaliana GN=NTL9 PE=1 SV=1</t>
  </si>
  <si>
    <t>MLO-like protein 3 OS=Arabidopsis thaliana GN=MLO3 PE=2 SV=1</t>
  </si>
  <si>
    <t>Putative pentatricopeptide repeat-containing protein At3g11460 OS=Arabidopsis thaliana GN=PCMP-H52 PE=3 SV=1</t>
  </si>
  <si>
    <t>Translocase of chloroplast 120, chloroplastic OS=Arabidopsis thaliana GN=TOC120 PE=1 SV=1</t>
  </si>
  <si>
    <t>Pentatricopeptide repeat-containing protein At3g56550 OS=Arabidopsis thaliana GN=PCMP-H80 PE=2 SV=1</t>
  </si>
  <si>
    <t>DNA polymerase zeta processivity subunit OS=Arabidopsis thaliana GN=REV7 PE=2 SV=1</t>
  </si>
  <si>
    <t>Peptidyl-prolyl cis-trans isomerase CYP37, chloroplastic OS=Arabidopsis thaliana GN=CYP37 PE=1 SV=3</t>
  </si>
  <si>
    <t>Vacuolar protein sorting-associated protein 51 homolog OS=Gallus gallus GN=VPS51 PE=2 SV=1</t>
  </si>
  <si>
    <t>Protein FAM63A OS=Danio rerio GN=fam63a PE=3 SV=1</t>
  </si>
  <si>
    <t>Receptor-like protein kinase HERK 1 OS=Arabidopsis thaliana GN=HERK1 PE=1 SV=1</t>
  </si>
  <si>
    <t>Alternative NAD(P)H-ubiquinone oxidoreductase C1, chloroplastic/mitochondrial OS=Arabidopsis thaliana GN=NDC1 PE=1 SV=2</t>
  </si>
  <si>
    <t>Probable beta-D-xylosidase 6 OS=Arabidopsis thaliana GN=BXL6 PE=2 SV=1</t>
  </si>
  <si>
    <t>4-hydroxyphenylpyruvate dioxygenase OS=Arabidopsis thaliana GN=HPD PE=1 SV=2</t>
  </si>
  <si>
    <t>Acyl carrier protein 1, chloroplastic OS=Casuarina glauca GN=ACP1 PE=2 SV=1</t>
  </si>
  <si>
    <t>Casuarina glauca</t>
  </si>
  <si>
    <t>Pentatricopeptide repeat-containing protein At2g17140 OS=Arabidopsis thaliana GN=At2g17140 PE=2 SV=1</t>
  </si>
  <si>
    <t>60S ribosomal protein L10a-1 OS=Arabidopsis thaliana GN=RPL10AA PE=1 SV=1</t>
  </si>
  <si>
    <t>Ribonuclease II, chloroplastic/mitochondrial OS=Arabidopsis thaliana GN=RNR1 PE=2 SV=1</t>
  </si>
  <si>
    <t>NAD-dependent malic enzyme 62 kDa isoform, mitochondrial OS=Solanum tuberosum PE=1 SV=1</t>
  </si>
  <si>
    <t>Oxygen-dependent coproporphyrinogen-III oxidase, chloroplastic OS=Glycine max GN=CPX PE=2 SV=1</t>
  </si>
  <si>
    <t>Uncharacterized protein At2g40430 OS=Arabidopsis thaliana GN=At2g40430 PE=1 SV=2</t>
  </si>
  <si>
    <t>Histone-lysine N-methyltransferase CLF OS=Arabidopsis thaliana GN=CLF PE=1 SV=2</t>
  </si>
  <si>
    <t>Switch 2 OS=Arabidopsis thaliana GN=SWI2 PE=3 SV=1</t>
  </si>
  <si>
    <t>Pentatricopeptide repeat-containing protein At2g33760 OS=Arabidopsis thaliana GN=PCMP-H6 PE=3 SV=1</t>
  </si>
  <si>
    <t>Exosome complex exonuclease RRP44 OS=Homo sapiens GN=DIS3 PE=1 SV=2</t>
  </si>
  <si>
    <t>Protein LITTLE ZIPPER 2 OS=Arabidopsis thaliana GN=ZPR2 PE=1 SV=1</t>
  </si>
  <si>
    <t>Probable galactinol--sucrose galactosyltransferase 6 OS=Arabidopsis thaliana GN=RFS6 PE=2 SV=2</t>
  </si>
  <si>
    <t>Probable inactive purple acid phosphatase 16 OS=Arabidopsis thaliana GN=PAP16 PE=2 SV=1</t>
  </si>
  <si>
    <t>Pentatricopeptide repeat-containing protein At5g13270, chloroplastic OS=Arabidopsis thaliana GN=PCMP-H90 PE=2 SV=1</t>
  </si>
  <si>
    <t>Helicase protein MOM1 OS=Arabidopsis thaliana GN=MOM1 PE=1 SV=1</t>
  </si>
  <si>
    <t>ALBINO3-like protein 1, chloroplastic OS=Arabidopsis thaliana GN=ALB3L1 PE=2 SV=3</t>
  </si>
  <si>
    <t>ATPase 11, plasma membrane-type OS=Arabidopsis thaliana GN=AHA11 PE=1 SV=1</t>
  </si>
  <si>
    <t>UPF0496 protein At3g49070 OS=Arabidopsis thaliana GN=At3g49070 PE=2 SV=1</t>
  </si>
  <si>
    <t>Kelch repeat-containing protein At3g27220 OS=Arabidopsis thaliana GN=At3g27220 PE=2 SV=1</t>
  </si>
  <si>
    <t>Mini-chromosome maintenance complex-binding protein OS=Arabidopsis thaliana GN=ETG1 PE=1 SV=1</t>
  </si>
  <si>
    <t>Auxin response factor 5 OS=Arabidopsis thaliana GN=ARF5 PE=1 SV=3</t>
  </si>
  <si>
    <t>Nuclear pore complex protein NUP62 OS=Arabidopsis thaliana GN=NUP62 PE=1 SV=1</t>
  </si>
  <si>
    <t>Cytosolic purine 5'-nucleotidase OS=Xenopus laevis GN=nt5c2 PE=2 SV=1</t>
  </si>
  <si>
    <t>Delta(8)-fatty-acid desaturase OS=Helianthus annuus GN=sld1 PE=1 SV=1</t>
  </si>
  <si>
    <t>BTB/POZ domain-containing protein At3g44820 OS=Arabidopsis thaliana GN=At3g44820 PE=2 SV=2</t>
  </si>
  <si>
    <t>NADP-dependent D-sorbitol-6-phosphate dehydrogenase OS=Malus domestica GN=S6PDH PE=2 SV=1</t>
  </si>
  <si>
    <t>Pentatricopeptide repeat-containing protein At5g55740, chloroplastic OS=Arabidopsis thaliana GN=CRR21 PE=2 SV=1</t>
  </si>
  <si>
    <t>Protein phosphatase 2C 32 OS=Arabidopsis thaliana GN=POL PE=1 SV=2</t>
  </si>
  <si>
    <t>Beta-amylase OS=Trifolium repens GN=BMY1 PE=2 SV=1</t>
  </si>
  <si>
    <t>E3 ubiquitin-protein ligase At1g12760 OS=Arabidopsis thaliana GN=At1g12760 PE=1 SV=1</t>
  </si>
  <si>
    <t>NAC domain-containing protein 37 OS=Arabidopsis thaliana GN=NAC037 PE=1 SV=1</t>
  </si>
  <si>
    <t>WAT1-related protein At5g64700 OS=Arabidopsis thaliana GN=At5g64700 PE=2 SV=1</t>
  </si>
  <si>
    <t>XIAP-associated factor 1 OS=Homo sapiens GN=XAF1 PE=1 SV=1</t>
  </si>
  <si>
    <t>Transcription factor GTE10 OS=Arabidopsis thaliana GN=GTE10 PE=1 SV=2</t>
  </si>
  <si>
    <t>Glutaredoxin OS=Pseudomonas aeruginosa (strain ATCC 15692 / PAO1 / 1C / PRS 101 / LMG 12228) GN=grx PE=3 SV=1</t>
  </si>
  <si>
    <t>28S ribosomal protein S29, mitochondrial OS=Bos taurus GN=DAP3 PE=1 SV=3</t>
  </si>
  <si>
    <t>Inactive TPR repeat-containing thioredoxin TTL3 OS=Arabidopsis thaliana GN=TTL3 PE=1 SV=2</t>
  </si>
  <si>
    <t>G-type lectin S-receptor-like serine/threonine-protein kinase At1g11330 OS=Arabidopsis thaliana GN=At1g11330 PE=2 SV=3</t>
  </si>
  <si>
    <t>AP-5 complex subunit zeta-1 OS=Mus musculus GN=Ap5z1 PE=2 SV=1</t>
  </si>
  <si>
    <t>Pentatricopeptide repeat-containing protein At5g11310, mitochondrial OS=Arabidopsis thaliana GN=At5g11310 PE=2 SV=1</t>
  </si>
  <si>
    <t>Vacuolar protein sorting-associated protein 32 homolog 2 OS=Arabidopsis thaliana GN=VPS32.2 PE=1 SV=1</t>
  </si>
  <si>
    <t>Protein phosphatase methylesterase 1 OS=Bos taurus GN=PPME1 PE=2 SV=3</t>
  </si>
  <si>
    <t>Gem-associated protein 2 OS=Dictyostelium discoideum GN=gemin2 PE=3 SV=1</t>
  </si>
  <si>
    <t>Vacuolar protein sorting-associated protein 24 homolog 1 OS=Arabidopsis thaliana GN=VPS24-1 PE=1 SV=1</t>
  </si>
  <si>
    <t>Potassium transporter 6 OS=Arabidopsis thaliana GN=POT6 PE=2 SV=1</t>
  </si>
  <si>
    <t>Calcium-binding mitochondrial carrier protein SCaMC-1 OS=Mus musculus GN=Slc25a24 PE=1 SV=1</t>
  </si>
  <si>
    <t>Thioredoxin H-type OS=Ricinus communis PE=3 SV=1</t>
  </si>
  <si>
    <t>ATP-dependent RNA helicase SUV3L, mitochondrial OS=Arabidopsis thaliana GN=At5g39840 PE=3 SV=1</t>
  </si>
  <si>
    <t>Aquaporin TIP1-3 OS=Arabidopsis thaliana GN=TIP1-3 PE=1 SV=1</t>
  </si>
  <si>
    <t>Ferredoxin-thioredoxin reductase catalytic chain, chloroplastic OS=Glycine max GN=FTRC PE=2 SV=1</t>
  </si>
  <si>
    <t>Protease Do-like 5, chloroplastic OS=Arabidopsis thaliana GN=DEGP5 PE=1 SV=3</t>
  </si>
  <si>
    <t>Uncharacterized protein At2g33490 OS=Arabidopsis thaliana GN=At2g33490 PE=4 SV=2</t>
  </si>
  <si>
    <t>Probable acyl-activating enzyme 17, peroxisomal OS=Arabidopsis thaliana GN=AAE17 PE=2 SV=1</t>
  </si>
  <si>
    <t>Ubiquitin-conjugating enzyme E2 variant 1C OS=Arabidopsis thaliana GN=UEV1C PE=1 SV=1</t>
  </si>
  <si>
    <t>Probable RNA 3'-terminal phosphate cyclase-like protein OS=Arabidopsis thaliana GN=At5g22100 PE=2 SV=1</t>
  </si>
  <si>
    <t>E2F-associated phosphoprotein OS=Homo sapiens GN=EAPP PE=1 SV=4</t>
  </si>
  <si>
    <t>Glutamine--fructose-6-phosphate aminotransferase [isomerizing] 2 OS=Rattus norvegicus GN=Gfpt2 PE=2 SV=3</t>
  </si>
  <si>
    <t>Heparanase-like protein 2 OS=Arabidopsis thaliana GN=At5g61250 PE=2 SV=1</t>
  </si>
  <si>
    <t>Probable methyltransferase PMT11 OS=Arabidopsis thaliana GN=At2g39750 PE=2 SV=1</t>
  </si>
  <si>
    <t>FAM10 family protein At4g22670 OS=Arabidopsis thaliana GN=At4g22670 PE=1 SV=1</t>
  </si>
  <si>
    <t>Hypersensitive-induced response protein 1 OS=Arabidopsis thaliana GN=HIR1 PE=1 SV=1</t>
  </si>
  <si>
    <t>Erythroid differentiation-related factor 1 OS=Mus musculus GN=Edrf1 PE=2 SV=1</t>
  </si>
  <si>
    <t>COP9 signalosome complex subunit 3 OS=Arabidopsis thaliana GN=CSN3 PE=1 SV=2</t>
  </si>
  <si>
    <t>Protein XRI1 OS=Arabidopsis thaliana GN=XRI1 PE=1 SV=2</t>
  </si>
  <si>
    <t>Putative acyl-activating enzyme 19 OS=Arabidopsis thaliana GN=At5g35930 PE=2 SV=1</t>
  </si>
  <si>
    <t>Copper-transporting ATPase RAN1 OS=Arabidopsis thaliana GN=RAN1 PE=1 SV=1</t>
  </si>
  <si>
    <t>Peroxisomal (S)-2-hydroxy-acid oxidase GLO4 OS=Arabidopsis thaliana GN=GLO4 PE=2 SV=1</t>
  </si>
  <si>
    <t>DNA repair helicase UVH6 OS=Arabidopsis thaliana GN=UVH6 PE=1 SV=1</t>
  </si>
  <si>
    <t>Coiled-coil domain-containing protein 12 OS=Homo sapiens GN=CCDC12 PE=1 SV=1</t>
  </si>
  <si>
    <t>ADP-ribosylation factor 1 OS=Locusta migratoria GN=ARF1 PE=2 SV=2</t>
  </si>
  <si>
    <t>Locusta migratoria</t>
  </si>
  <si>
    <t>Bis(5'-adenosyl)-triphosphatase OS=Dictyostelium discoideum GN=fhit PE=3 SV=1</t>
  </si>
  <si>
    <t>F-box protein At5g39450 OS=Arabidopsis thaliana GN=At5g39450 PE=2 SV=1</t>
  </si>
  <si>
    <t>Regulatory protein NPR1 OS=Arabidopsis thaliana GN=NPR1 PE=1 SV=1</t>
  </si>
  <si>
    <t>ACT domain-containing protein ACR12 OS=Arabidopsis thaliana GN=ACR12 PE=2 SV=1</t>
  </si>
  <si>
    <t>Cytochrome c oxidase assembly factor 5 OS=Pongo abelii GN=Coa5 PE=3 SV=1</t>
  </si>
  <si>
    <t>Mitogen-activated protein kinase kinase 3 OS=Arabidopsis thaliana GN=MKK3 PE=1 SV=1</t>
  </si>
  <si>
    <t>Myosin-15 OS=Arabidopsis thaliana GN=XI-I PE=1 SV=1</t>
  </si>
  <si>
    <t>AP-2 complex subunit mu OS=Arabidopsis thaliana GN=AP2M PE=1 SV=1</t>
  </si>
  <si>
    <t>Dolichyl-phosphate beta-glucosyltransferase OS=Homo sapiens GN=ALG5 PE=1 SV=1</t>
  </si>
  <si>
    <t>Pentatricopeptide repeat-containing protein At3g02650, mitochondrial OS=Arabidopsis thaliana GN=At3g02650 PE=2 SV=1</t>
  </si>
  <si>
    <t>Protein kinase G11A OS=Oryza sativa subsp. indica GN=OsI_021818 PE=2 SV=1</t>
  </si>
  <si>
    <t>Mediator of RNA polymerase II transcription subunit 25 OS=Arabidopsis thaliana GN=MED25 PE=1 SV=1</t>
  </si>
  <si>
    <t>Thermospermine synthase ACAULIS5 OS=Arabidopsis thaliana GN=ACL5 PE=1 SV=1</t>
  </si>
  <si>
    <t>Putative nuclease HARBI1 OS=Rattus norvegicus GN=Harbi1 PE=2 SV=1</t>
  </si>
  <si>
    <t>Glutamyl-tRNA(Gln) amidotransferase subunit B, chloroplastic/mitochondrial OS=Ricinus communis GN=GATB PE=3 SV=1</t>
  </si>
  <si>
    <t>Sirohydrochlorin ferrochelatase OS=Bacillus megaterium GN=sirB PE=3 SV=1</t>
  </si>
  <si>
    <t>Bacillus megaterium</t>
  </si>
  <si>
    <t>CAAX prenyl protease 1 homolog OS=Arabidopsis thaliana GN=FACE1 PE=1 SV=1</t>
  </si>
  <si>
    <t>RINT1-like protein MAG2 OS=Arabidopsis thaliana GN=MAG2 PE=1 SV=1</t>
  </si>
  <si>
    <t>Serine decarboxylase OS=Arabidopsis thaliana GN=SDC PE=1 SV=1</t>
  </si>
  <si>
    <t>NADH dehydrogenase (ubiquinone) complex I, assembly factor 6 OS=Bos taurus GN=NDUFAF6 PE=2 SV=1</t>
  </si>
  <si>
    <t>Putative fasciclin-like arabinogalactan protein 20 OS=Arabidopsis thaliana GN=FLA20 PE=3 SV=1</t>
  </si>
  <si>
    <t>Protein E6 OS=Gossypium hirsutum GN=E6 PE=2 SV=1</t>
  </si>
  <si>
    <t>Clp protease-related protein At4g12060, chloroplastic OS=Arabidopsis thaliana GN=At4g12060 PE=1 SV=1</t>
  </si>
  <si>
    <t>1,4-dihydroxy-2-naphthoyl-CoA synthase, peroxisomal OS=Arabidopsis thaliana GN=MENB PE=1 SV=2</t>
  </si>
  <si>
    <t>Cullin-4 OS=Arabidopsis thaliana GN=CUL4 PE=1 SV=1</t>
  </si>
  <si>
    <t>HEAT repeat-containing protein 5B OS=Xenopus tropicalis GN=heatr5b PE=2 SV=1</t>
  </si>
  <si>
    <t>Histone deacetylase 14 OS=Arabidopsis thaliana GN=HDA14 PE=2 SV=1</t>
  </si>
  <si>
    <t>Probable 6-phosphogluconolactonase 1 OS=Arabidopsis thaliana GN=At1g13700 PE=2 SV=1</t>
  </si>
  <si>
    <t>Zinc finger CCHC domain-containing protein 8 OS=Gallus gallus GN=ZCCHC8 PE=2 SV=1</t>
  </si>
  <si>
    <t>65-kDa microtubule-associated protein 8 OS=Arabidopsis thaliana GN=MAP65-8 PE=1 SV=2</t>
  </si>
  <si>
    <t>Allene oxide synthase, chloroplastic OS=Linum usitatissimum GN=CYP74A PE=1 SV=1</t>
  </si>
  <si>
    <t>Linum usitatissimum</t>
  </si>
  <si>
    <t>tRNA pseudouridine synthase A, mitochondrial OS=Mus musculus GN=Pus1 PE=1 SV=2</t>
  </si>
  <si>
    <t>Protein N-terminal asparagine amidohydrolase OS=Mus musculus GN=Ntan1 PE=2 SV=3</t>
  </si>
  <si>
    <t>Aspartate aminotransferase, cytoplasmic OS=Daucus carota PE=2 SV=1</t>
  </si>
  <si>
    <t>Endoplasmic reticulum-Golgi intermediate compartment protein 3 OS=Bos taurus GN=ERGIC3 PE=2 SV=1</t>
  </si>
  <si>
    <t>Probable plastid-lipid-associated protein 12, chloroplastic OS=Arabidopsis thaliana GN=PAP12 PE=2 SV=1</t>
  </si>
  <si>
    <t>Exosome complex component RRP43 OS=Homo sapiens GN=EXOSC8 PE=1 SV=1</t>
  </si>
  <si>
    <t>PITH domain-containing protein At3g04780 OS=Arabidopsis thaliana GN=At3g04780 PE=1 SV=2</t>
  </si>
  <si>
    <t>Probable serine/threonine-protein kinase DDB_G0267514 OS=Dictyostelium discoideum GN=DDB_G0267514 PE=3 SV=1</t>
  </si>
  <si>
    <t>Probable galacturonosyltransferase 7 OS=Arabidopsis thaliana GN=GAUT7 PE=1 SV=2</t>
  </si>
  <si>
    <t>Probable fructokinase-7 OS=Arabidopsis thaliana GN=At5g51830 PE=1 SV=1</t>
  </si>
  <si>
    <t>Probable 26S proteasome regulatory subunit p27 OS=Saccharomyces cerevisiae (strain ATCC 204508 / S288c) GN=NAS2 PE=1 SV=1</t>
  </si>
  <si>
    <t>Nucleolar protein 56 OS=Schizosaccharomyces pombe (strain 972 / ATCC 24843) GN=nop56 PE=3 SV=1</t>
  </si>
  <si>
    <t>Influenza virus NS1A-binding protein homolog A OS=Danio rerio GN=ivns1abpa PE=2 SV=1</t>
  </si>
  <si>
    <t>GATA transcription factor 28 OS=Arabidopsis thaliana GN=GATA28 PE=2 SV=1</t>
  </si>
  <si>
    <t>Protein SAR DEFICIENT 1 OS=Arabidopsis thaliana GN=SARD1 PE=1 SV=1</t>
  </si>
  <si>
    <t>Protein CHROMATIN REMODELING 8 OS=Arabidopsis thaliana GN=CHR8 PE=2 SV=1</t>
  </si>
  <si>
    <t>Mitochondrial phosphate carrier protein 2, mitochondrial OS=Arabidopsis thaliana GN=MPT2 PE=2 SV=1</t>
  </si>
  <si>
    <t>Ribosomal RNA processing protein 1 homolog B OS=Homo sapiens GN=RRP1B PE=1 SV=3</t>
  </si>
  <si>
    <t>Ras-related protein RABE1c OS=Arabidopsis thaliana GN=RABE1C PE=1 SV=1</t>
  </si>
  <si>
    <t>Serine/threonine-protein kinase CTR1 OS=Arabidopsis thaliana GN=CTR1 PE=1 SV=1</t>
  </si>
  <si>
    <t>Protein SERAC1 OS=Bos taurus GN=SERAC1 PE=2 SV=1</t>
  </si>
  <si>
    <t>Heat stress transcription factor A-1 OS=Oryza sativa subsp. japonica GN=HSFA1 PE=2 SV=1</t>
  </si>
  <si>
    <t>Disease resistance-like protein CSA1 OS=Arabidopsis thaliana GN=CSA1 PE=3 SV=1</t>
  </si>
  <si>
    <t>Microtubule-associated protein RP/EB family member 1C OS=Arabidopsis thaliana GN=EB1C PE=1 SV=1</t>
  </si>
  <si>
    <t>Peroxisomal membrane protein 2 OS=Bos taurus GN=PXMP2 PE=2 SV=3</t>
  </si>
  <si>
    <t>Serine/threonine-protein kinase-like protein At5g23170 OS=Arabidopsis thaliana GN=At5g23170 PE=2 SV=1</t>
  </si>
  <si>
    <t>CASP-like protein 3A1 OS=Populus trichocarpa GN=POPTRDRAFT_553757 PE=3 SV=2</t>
  </si>
  <si>
    <t>G-type lectin S-receptor-like serine/threonine-protein kinase At1g11300 OS=Arabidopsis thaliana GN=At1g11300 PE=2 SV=1</t>
  </si>
  <si>
    <t>Triphosphate tunel metalloenzyme 3 OS=Arabidopsis thaliana GN=TTM3 PE=1 SV=1</t>
  </si>
  <si>
    <t>Auxin-induced protein X10A OS=Glycine max PE=2 SV=1</t>
  </si>
  <si>
    <t>Uncharacterized protein YpgQ OS=Bacillus subtilis (strain 168) GN=ypgQ PE=4 SV=1</t>
  </si>
  <si>
    <t>50S ribosomal protein L18 OS=Aromatoleum aromaticum (strain EbN1) GN=rplR PE=3 SV=1</t>
  </si>
  <si>
    <t>Aromatoleum aromaticum</t>
  </si>
  <si>
    <t>Ribonucleoside-diphosphate reductase small chain OS=Nicotiana tabacum PE=2 SV=1</t>
  </si>
  <si>
    <t>Probable pectate lyase 12 OS=Arabidopsis thaliana GN=At3g53190 PE=2 SV=2</t>
  </si>
  <si>
    <t>Carbamoyl-phosphate synthase small chain, chloroplastic OS=Arabidopsis thaliana GN=CARA PE=1 SV=1</t>
  </si>
  <si>
    <t>Rop guanine nucleotide exchange factor 1 OS=Arabidopsis thaliana GN=ROPGEF1 PE=1 SV=2</t>
  </si>
  <si>
    <t>Transcription factor MYB113 OS=Arabidopsis thaliana GN=MYB113 PE=1 SV=1</t>
  </si>
  <si>
    <t>Protein DEFECTIVE IN MERISTEM SILENCING 3 OS=Arabidopsis thaliana GN=DMS3 PE=1 SV=1</t>
  </si>
  <si>
    <t>ATP-dependent Clp protease ATP-binding subunit ClpX OS=Ruegeria sp. (strain TM1040) GN=clpX PE=3 SV=1</t>
  </si>
  <si>
    <t>Ruegeria sp.</t>
  </si>
  <si>
    <t>Formate--tetrahydrofolate ligase OS=Spinacia oleracea PE=1 SV=3</t>
  </si>
  <si>
    <t>GDSL esterase/lipase At2g23540 OS=Arabidopsis thaliana GN=At2g23540 PE=2 SV=1</t>
  </si>
  <si>
    <t>F-box/LRR-repeat protein 14 OS=Homo sapiens GN=FBXL14 PE=1 SV=1</t>
  </si>
  <si>
    <t>Probable protein S-acyltransferase 7 OS=Arabidopsis thaliana GN=PAT07 PE=1 SV=1</t>
  </si>
  <si>
    <t>Glutathionyl-hydroquinone reductase YqjG OS=Escherichia coli (strain K12) GN=yqjG PE=1 SV=1</t>
  </si>
  <si>
    <t>Kinesin-4 OS=Arabidopsis thaliana GN=ATK4 PE=1 SV=2</t>
  </si>
  <si>
    <t>Metacaspase-9 OS=Arabidopsis thaliana GN=AMC9 PE=1 SV=1</t>
  </si>
  <si>
    <t>ATP synthase subunit epsilon, mitochondrial OS=Arabidopsis thaliana GN=At1g51650 PE=1 SV=3</t>
  </si>
  <si>
    <t>Ethylene-responsive transcription factor 12 OS=Arabidopsis thaliana GN=ERF12 PE=2 SV=1</t>
  </si>
  <si>
    <t>Choline/ethanolaminephosphotransferase 1 OS=Arabidopsis thaliana GN=AAPT1 PE=1 SV=1</t>
  </si>
  <si>
    <t>Calcium-dependent protein kinase 8 OS=Arabidopsis thaliana GN=CPK8 PE=1 SV=1</t>
  </si>
  <si>
    <t>Zinc finger protein MAGPIE OS=Arabidopsis thaliana GN=MGP PE=1 SV=1</t>
  </si>
  <si>
    <t>Squamosa promoter-binding-like protein 13B OS=Arabidopsis thaliana GN=SPL13B PE=3 SV=1</t>
  </si>
  <si>
    <t>U3 small nucleolar ribonucleoprotein protein IMP4 OS=Homo sapiens GN=IMP4 PE=1 SV=1</t>
  </si>
  <si>
    <t>Calcium-dependent protein kinase 13 OS=Arabidopsis thaliana GN=CPK13 PE=1 SV=2</t>
  </si>
  <si>
    <t>DNA-directed RNA polymerases II, IV and V subunit 6A OS=Arabidopsis thaliana GN=NRPB6A PE=1 SV=1</t>
  </si>
  <si>
    <t>GTP-binding protein SAR1A OS=Arabidopsis thaliana GN=SAR1A PE=2 SV=1</t>
  </si>
  <si>
    <t>4-hydroxy-tetrahydrodipicolinate reductase 2, chloroplastic OS=Arabidopsis thaliana GN=DAPB2 PE=2 SV=1</t>
  </si>
  <si>
    <t>Reticulon-4-interacting protein 1, mitochondrial OS=Mus musculus GN=Rtn4ip1 PE=1 SV=2</t>
  </si>
  <si>
    <t>60S ribosomal protein L23a OS=Daucus carota GN=RPL23A PE=2 SV=1</t>
  </si>
  <si>
    <t>ABC transporter B family member 2 OS=Arabidopsis thaliana GN=ABCB2 PE=1 SV=3</t>
  </si>
  <si>
    <t>Soluble inorganic pyrophosphatase 4 OS=Arabidopsis thaliana GN=PPA4 PE=1 SV=1</t>
  </si>
  <si>
    <t>Putative disease resistance protein At3g14460 OS=Arabidopsis thaliana GN=At3g14460 PE=3 SV=1</t>
  </si>
  <si>
    <t>Pentatricopeptide repeat-containing protein At1g79540 OS=Arabidopsis thaliana GN=At1g79540 PE=2 SV=1</t>
  </si>
  <si>
    <t>Probable protein S-acyltransferase 22 OS=Arabidopsis thaliana GN=PAT22 PE=2 SV=2</t>
  </si>
  <si>
    <t>Putative F-box/LRR-repeat protein At4g13960 OS=Arabidopsis thaliana GN=At4g13960 PE=3 SV=1</t>
  </si>
  <si>
    <t>Cytochrome c oxidase subunit 6a, mitochondrial OS=Arabidopsis thaliana GN=COX6A PE=2 SV=1</t>
  </si>
  <si>
    <t>Uncharacterized mitochondrial protein AtMg00370 OS=Arabidopsis thaliana GN=AtMg00370 PE=3 SV=1</t>
  </si>
  <si>
    <t>Helicase and polymerase-containing protein TEBICHI OS=Arabidopsis thaliana GN=TEB PE=2 SV=1</t>
  </si>
  <si>
    <t>Growth-regulating factor 1 OS=Arabidopsis thaliana GN=GRF1 PE=1 SV=1</t>
  </si>
  <si>
    <t>Cytochrome P450 734A1 OS=Arabidopsis thaliana GN=CYP734A1 PE=2 SV=1</t>
  </si>
  <si>
    <t>WD repeat-containing protein 26 OS=Xenopus tropicalis GN=wdr26 PE=2 SV=2</t>
  </si>
  <si>
    <t>Actin-related protein 8 OS=Oryza sativa subsp. japonica GN=ARP8 PE=2 SV=1</t>
  </si>
  <si>
    <t>Putative cyclic nucleotide-gated ion channel 15 OS=Arabidopsis thaliana GN=CNGC15 PE=3 SV=1</t>
  </si>
  <si>
    <t>Putative ABC transporter B family member 8 OS=Arabidopsis thaliana GN=ABCB8 PE=5 SV=1</t>
  </si>
  <si>
    <t>Signal recognition particle 54 kDa protein 2 OS=Solanum lycopersicum PE=2 SV=1</t>
  </si>
  <si>
    <t>Protein transport protein Sec24A OS=Bos taurus GN=SEC24A PE=2 SV=1</t>
  </si>
  <si>
    <t>High mobility group B protein 2 OS=Arabidopsis thaliana GN=HMGB2 PE=1 SV=1</t>
  </si>
  <si>
    <t>Putative glycerol-3-phosphate transporter 5 OS=Arabidopsis thaliana GN=At2g13100 PE=2 SV=2</t>
  </si>
  <si>
    <t>Ras-related protein RABH1e OS=Arabidopsis thaliana GN=RABH1E PE=2 SV=1</t>
  </si>
  <si>
    <t>Formin-like protein 11 OS=Arabidopsis thaliana GN=FH11 PE=2 SV=1</t>
  </si>
  <si>
    <t>3-oxoacyl-[acyl-carrier-protein] synthase II, chloroplastic OS=Arabidopsis thaliana GN=KAS2 PE=1 SV=1</t>
  </si>
  <si>
    <t>Protein LAZ1 homolog 2 OS=Arabidopsis thaliana GN=At1g23070 PE=2 SV=1</t>
  </si>
  <si>
    <t>Probable LRR receptor-like serine/threonine-protein kinase At1g56140 OS=Arabidopsis thaliana GN=At1g56140 PE=2 SV=2</t>
  </si>
  <si>
    <t>Vicilin-like antimicrobial peptides 2-2 OS=Macadamia integrifolia GN=AMP2-2 PE=2 SV=1</t>
  </si>
  <si>
    <t>Aspartate--tRNA ligase 2, cytoplasmic OS=Arabidopsis thaliana GN=IBI1 PE=1 SV=1</t>
  </si>
  <si>
    <t>Cytochrome P450 71B2 OS=Arabidopsis thaliana GN=CYP71B2 PE=2 SV=2</t>
  </si>
  <si>
    <t>Ubiquitin carboxyl-terminal hydrolase 27 OS=Arabidopsis thaliana GN=UBP27 PE=2 SV=1</t>
  </si>
  <si>
    <t>Probable calcium-binding protein CML13 OS=Arabidopsis thaliana GN=CML13 PE=2 SV=1</t>
  </si>
  <si>
    <t>Sodium/hydrogen exchanger 4 OS=Arabidopsis thaliana GN=NHX4 PE=2 SV=2</t>
  </si>
  <si>
    <t>Alpha-aminoadipic semialdehyde synthase OS=Arabidopsis thaliana GN=LKR/SDH PE=1 SV=1</t>
  </si>
  <si>
    <t>AP2/ERF and B3 domain-containing transcription factor At1g50680 OS=Arabidopsis thaliana GN=At1g50680 PE=2 SV=1</t>
  </si>
  <si>
    <t>High-affinity glucose transporter SNF3 OS=Saccharomyces cerevisiae (strain ATCC 204508 / S288c) GN=SNF3 PE=1 SV=3</t>
  </si>
  <si>
    <t>ATP synthase delta chain, chloroplastic OS=Nicotiana tabacum GN=ATPD PE=2 SV=1</t>
  </si>
  <si>
    <t>Tubulin beta-6 chain OS=Zea mays GN=TUBB6 PE=2 SV=1</t>
  </si>
  <si>
    <t>E3 ubiquitin-protein ligase HERC2 OS=Mus musculus GN=Herc2 PE=1 SV=3</t>
  </si>
  <si>
    <t>Glutathione S-transferase U10 OS=Arabidopsis thaliana GN=GSTU10 PE=2 SV=1</t>
  </si>
  <si>
    <t>Endoribonuclease Dicer homolog 2 OS=Arabidopsis thaliana GN=At3g03300 PE=1 SV=2</t>
  </si>
  <si>
    <t>40S ribosomal protein S27 OS=Neurospora crassa (strain ATCC 24698 / 74-OR23-1A / CBS 708.71 / DSM 1257 / FGSC 987) GN=crp-6 PE=3 SV=1</t>
  </si>
  <si>
    <t>Probable galacturonosyltransferase 9 OS=Arabidopsis thaliana GN=GAUT9 PE=2 SV=1</t>
  </si>
  <si>
    <t>Chloroplast stem-loop binding protein of 41 kDa b, chloroplastic OS=Arabidopsis thaliana GN=CSP41B PE=1 SV=1</t>
  </si>
  <si>
    <t>DNA (cytosine-5)-methyltransferase 2 OS=Arabidopsis thaliana GN=MET2 PE=2 SV=1</t>
  </si>
  <si>
    <t>Formate dehydrogenase, mitochondrial OS=Solanum tuberosum GN=FDH1 PE=1 SV=2</t>
  </si>
  <si>
    <t>Cyclin-dependent kinase F-1 OS=Arabidopsis thaliana GN=CDKF-1 PE=1 SV=1</t>
  </si>
  <si>
    <t>Lipid phosphate phosphatase 2 OS=Arabidopsis thaliana GN=LPP2 PE=2 SV=1</t>
  </si>
  <si>
    <t>Glutathione S-transferase U9 OS=Arabidopsis thaliana GN=GSTU9 PE=2 SV=1</t>
  </si>
  <si>
    <t>60S ribosomal protein L31 OS=Panax ginseng GN=RPL31 PE=2 SV=1</t>
  </si>
  <si>
    <t>Geraniol 8-hydroxylase OS=Catharanthus roseus GN=CYP76B6 PE=1 SV=1</t>
  </si>
  <si>
    <t>Autophagy-related protein 8 OS=Podospora anserina GN=ATG8 PE=2 SV=1</t>
  </si>
  <si>
    <t>Podospora anserina</t>
  </si>
  <si>
    <t>Pyrophosphate--fructose 6-phosphate 1-phosphotransferase subunit alpha OS=Ricinus communis GN=PFP-ALPHA PE=3 SV=1</t>
  </si>
  <si>
    <t>DNA mismatch repair protein MSH7 OS=Arabidopsis thaliana GN=MSH7 PE=1 SV=1</t>
  </si>
  <si>
    <t>Growth-regulating factor 12 OS=Oryza sativa subsp. japonica GN=GRF12 PE=2 SV=1</t>
  </si>
  <si>
    <t>LOB domain-containing protein 15 OS=Arabidopsis thaliana GN=LBD15 PE=2 SV=2</t>
  </si>
  <si>
    <t>DENN domain-containing protein 5B OS=Danio rerio GN=dennd5b PE=2 SV=2</t>
  </si>
  <si>
    <t>Protein STICHEL-like 3 OS=Arabidopsis thaliana GN=At4g18820 PE=3 SV=1</t>
  </si>
  <si>
    <t>Pentatricopeptide repeat-containing protein At3g59040 OS=Arabidopsis thaliana GN=At3g59040 PE=2 SV=2</t>
  </si>
  <si>
    <t>Guanosine nucleotide diphosphate dissociation inhibitor 1 OS=Arabidopsis thaliana GN=GDI1 PE=1 SV=1</t>
  </si>
  <si>
    <t>ALBINO3-like protein 3, mitochondrial OS=Arabidopsis thaliana GN=ALB3L3 PE=2 SV=1</t>
  </si>
  <si>
    <t>Pentatricopeptide repeat-containing protein At1g12300, mitochondrial OS=Arabidopsis thaliana GN=At1g12300 PE=2 SV=1</t>
  </si>
  <si>
    <t>Protein FLX-like 2 OS=Arabidopsis thaliana GN=FLXL2 PE=1 SV=1</t>
  </si>
  <si>
    <t>Zinc-finger homeodomain protein 4 OS=Arabidopsis thaliana GN=ZHD4 PE=1 SV=1</t>
  </si>
  <si>
    <t>Piriformospora indica-insensitive protein 2 OS=Arabidopsis thaliana GN=PII-2 PE=2 SV=1</t>
  </si>
  <si>
    <t>Glycine cleavage system H protein, mitochondrial OS=Flaveria anomala GN=GDCSH PE=2 SV=1</t>
  </si>
  <si>
    <t>Flaveria anomala</t>
  </si>
  <si>
    <t>Proline-rich protein 4 OS=Arabidopsis thaliana GN=PRP4 PE=2 SV=1</t>
  </si>
  <si>
    <t>Natterin-4 OS=Thalassophryne nattereri PE=2 SV=1</t>
  </si>
  <si>
    <t>Thalassophryne nattereri</t>
  </si>
  <si>
    <t>1-aminocyclopropane-1-carboxylate oxidase 1 OS=Solanum lycopersicum GN=ACO1 PE=2 SV=2</t>
  </si>
  <si>
    <t>Probable xyloglucan endotransglucosylase/hydrolase protein 7 OS=Arabidopsis thaliana GN=XTH7 PE=2 SV=2</t>
  </si>
  <si>
    <t>Probable inactive nicotinamidase At3g16190 OS=Arabidopsis thaliana GN=At3g16190 PE=2 SV=1</t>
  </si>
  <si>
    <t>Tetraketide alpha-pyrone reductase 2 OS=Arabidopsis thaliana GN=TKPR2 PE=1 SV=1</t>
  </si>
  <si>
    <t>Probable potassium transporter 13 OS=Oryza sativa subsp. japonica GN=HAK13 PE=2 SV=1</t>
  </si>
  <si>
    <t>Probable galacturonosyltransferase-like 7 OS=Arabidopsis thaliana GN=GATL7 PE=2 SV=1</t>
  </si>
  <si>
    <t>Pentatricopeptide repeat-containing protein At5g39980, chloroplastic OS=Arabidopsis thaliana GN=At5g39980 PE=2 SV=1</t>
  </si>
  <si>
    <t>DeSI-like protein At4g17486 OS=Arabidopsis thaliana GN=At4g17486 PE=2 SV=1</t>
  </si>
  <si>
    <t>65-kDa microtubule-associated protein 5 OS=Arabidopsis thaliana GN=MAP65-5 PE=1 SV=2</t>
  </si>
  <si>
    <t>Pectinesterase 31 OS=Arabidopsis thaliana GN=PME31 PE=1 SV=1</t>
  </si>
  <si>
    <t>Inactive protein RESTRICTED TEV MOVEMENT 2 OS=Arabidopsis thaliana GN=RTM2 PE=3 SV=1</t>
  </si>
  <si>
    <t>Alpha/beta hydrolase domain-containing protein 17B OS=Homo sapiens GN=ABHD17B PE=2 SV=1</t>
  </si>
  <si>
    <t>Protein CYPRO4 OS=Cynara cardunculus GN=CYPRO4 PE=2 SV=1</t>
  </si>
  <si>
    <t>30S ribosomal protein S10, chloroplastic OS=Arabidopsis thaliana GN=RPS10 PE=2 SV=1</t>
  </si>
  <si>
    <t>Ethylene-responsive transcription factor 1B OS=Arabidopsis thaliana GN=ERF1B PE=1 SV=2</t>
  </si>
  <si>
    <t>Nuclear transport factor 2 OS=Arabidopsis thaliana GN=NTF2 PE=1 SV=1</t>
  </si>
  <si>
    <t>Chloride channel protein CLC-c OS=Arabidopsis thaliana GN=CLC-C PE=1 SV=1</t>
  </si>
  <si>
    <t>Pentatricopeptide repeat-containing protein At1g11290, chloroplastic OS=Arabidopsis thaliana GN=PCMP-H40 PE=2 SV=1</t>
  </si>
  <si>
    <t>Protein TAPETUM DETERMINANT 1 OS=Arabidopsis thaliana GN=TPD1 PE=1 SV=1</t>
  </si>
  <si>
    <t>Protein RMD5 homolog A OS=Xenopus laevis GN=rmnd5a PE=2 SV=1</t>
  </si>
  <si>
    <t>Ubiquitin carboxyl-terminal hydrolase 13 OS=Arabidopsis thaliana GN=UBP13 PE=1 SV=1</t>
  </si>
  <si>
    <t>Guanine nucleotide-binding protein subunit gamma 1 OS=Arabidopsis thaliana GN=GG1 PE=1 SV=1</t>
  </si>
  <si>
    <t>Ubiquitin-conjugating enzyme E2 32 OS=Arabidopsis thaliana GN=UBC32 PE=2 SV=1</t>
  </si>
  <si>
    <t>Probable folate-biopterin transporter 7 OS=Arabidopsis thaliana GN=At1g64890 PE=2 SV=1</t>
  </si>
  <si>
    <t>Protein BOLA4, chloroplastic/mitochondrial OS=Arabidopsis thaliana GN=BOLA4 PE=1 SV=1</t>
  </si>
  <si>
    <t>Glycerol-3-phosphate acyltransferase 3 OS=Mus musculus GN=Agpat9 PE=1 SV=1</t>
  </si>
  <si>
    <t>Putative phosphatidylglycerol/phosphatidylinositol transfer protein DDB_G0282179 OS=Dictyostelium discoideum GN=DDB_G0282179 PE=3 SV=2</t>
  </si>
  <si>
    <t>Hexokinase-4 OS=Arabidopsis thaliana GN=At3g20040 PE=2 SV=2</t>
  </si>
  <si>
    <t>Cytokinin dehydrogenase 5 OS=Arabidopsis thaliana GN=CKX5 PE=2 SV=1</t>
  </si>
  <si>
    <t>50S ribosomal protein L13, chloroplastic OS=Arabidopsis thaliana GN=RPL13 PE=2 SV=1</t>
  </si>
  <si>
    <t>Dof zinc finger protein PBF OS=Zea mays GN=PBF PE=1 SV=1</t>
  </si>
  <si>
    <t>Beta-1,4-mannosyl-glycoprotein 4-beta-N-acetylglucosaminyltransferase OS=Rattus norvegicus GN=Mgat3 PE=1 SV=2</t>
  </si>
  <si>
    <t>Uncharacterized protein At2g27730, mitochondrial OS=Arabidopsis thaliana GN=At2g27730 PE=1 SV=1</t>
  </si>
  <si>
    <t>G-type lectin S-receptor-like serine/threonine-protein kinase RKS1 OS=Arabidopsis thaliana GN=RKS1 PE=3 SV=3</t>
  </si>
  <si>
    <t>GDSL esterase/lipase At2g30310 OS=Arabidopsis thaliana GN=At2g30310 PE=2 SV=1</t>
  </si>
  <si>
    <t>Protein COFACTOR ASSEMBLY OF COMPLEX C SUBUNIT B CCB2, chloroplastic OS=Arabidopsis thaliana GN=CCB2 PE=1 SV=1</t>
  </si>
  <si>
    <t>Cysteine-rich repeat secretory protein 38 OS=Arabidopsis thaliana GN=CRRSP38 PE=2 SV=1</t>
  </si>
  <si>
    <t>Polyadenylate-binding protein RBP47B' OS=Arabidopsis thaliana GN=RBP47B' PE=2 SV=1</t>
  </si>
  <si>
    <t>Oleoyl-acyl carrier protein thioesterase, chloroplastic (Fragment) OS=Coriandrum sativum GN=FATA PE=2 SV=1</t>
  </si>
  <si>
    <t>Coriandrum sativum</t>
  </si>
  <si>
    <t>6-phosphogluconate dehydrogenase, decarboxylating 3 OS=Arabidopsis thaliana GN=At3g02360 PE=2 SV=1</t>
  </si>
  <si>
    <t>RNA polymerase I termination factor OS=Saccharomyces cerevisiae (strain ATCC 204508 / S288c) GN=NSI1 PE=1 SV=1</t>
  </si>
  <si>
    <t>Cytochrome b5 domain-containing protein RLF OS=Arabidopsis thaliana GN=RLF PE=2 SV=1</t>
  </si>
  <si>
    <t>Peroxiredoxin Q, chloroplastic OS=Gentiana triflora GN=AFP1 PE=1 SV=1</t>
  </si>
  <si>
    <t>Gentiana triflora</t>
  </si>
  <si>
    <t>Protein RBL OS=Arabidopsis thaliana GN=RBL PE=1 SV=1</t>
  </si>
  <si>
    <t>General transcription factor IIE subunit 2 OS=Dictyostelium discoideum GN=gtf2e2 PE=3 SV=1</t>
  </si>
  <si>
    <t>Cell number regulator 8 OS=Zea mays GN=CNR8 PE=2 SV=1</t>
  </si>
  <si>
    <t>Nucleolar MIF4G domain-containing protein 1 OS=Mus musculus GN=Nom1 PE=2 SV=2</t>
  </si>
  <si>
    <t>RING-H2 finger protein ATL1 OS=Arabidopsis thaliana GN=ATL1 PE=2 SV=1</t>
  </si>
  <si>
    <t>Serine--glyoxylate aminotransferase OS=Arabidopsis thaliana GN=AGT1 PE=1 SV=2</t>
  </si>
  <si>
    <t>Pentatricopeptide repeat-containing protein At5g15340, mitochondrial OS=Arabidopsis thaliana GN=PCMP-H91 PE=2 SV=1</t>
  </si>
  <si>
    <t>Ubiquitin-conjugating enzyme E2 5 OS=Arabidopsis thaliana GN=UBC5 PE=2 SV=2</t>
  </si>
  <si>
    <t>Glutathione transferase GST 23 OS=Zea mays PE=2 SV=1</t>
  </si>
  <si>
    <t>Mitochondrial fission 1 protein A OS=Arabidopsis thaliana GN=FIS1A PE=1 SV=1</t>
  </si>
  <si>
    <t>Protein kinase PVPK-1 OS=Phaseolus vulgaris PE=2 SV=1</t>
  </si>
  <si>
    <t>Hexokinase-2 OS=Arabidopsis thaliana GN=HXK2 PE=1 SV=1</t>
  </si>
  <si>
    <t>Exocyst complex component SEC3A OS=Arabidopsis thaliana GN=SEC3A PE=1 SV=1</t>
  </si>
  <si>
    <t>RNA-dependent RNA polymerase 6 OS=Arabidopsis thaliana GN=RDR6 PE=1 SV=1</t>
  </si>
  <si>
    <t>DNA-dependent metalloprotease WSS1 OS=Saccharomyces cerevisiae (strain ATCC 204508 / S288c) GN=WSS1 PE=1 SV=1</t>
  </si>
  <si>
    <t>CASP-like protein 5B3 OS=Arabidopsis thaliana GN=At3g23200 PE=2 SV=1</t>
  </si>
  <si>
    <t>Protein SAD1/UNC-84 domain protein 1 OS=Arabidopsis thaliana GN=SUN1 PE=1 SV=1</t>
  </si>
  <si>
    <t>F-box/kelch-repeat protein At5g43190 OS=Arabidopsis thaliana GN=At5g43190 PE=2 SV=1</t>
  </si>
  <si>
    <t>Probable carboxylesterase SOBER1-like OS=Arabidopsis thaliana GN=At4g22300 PE=2 SV=1</t>
  </si>
  <si>
    <t>Xylosyltransferase oxt OS=Drosophila pseudoobscura pseudoobscura GN=oxt PE=2 SV=1</t>
  </si>
  <si>
    <t>Drosophila pseudoobscura</t>
  </si>
  <si>
    <t>S-adenosylmethionine decarboxylase proenzyme OS=Ipomoea nil GN=SAMDC PE=3 SV=1</t>
  </si>
  <si>
    <t>Ipomoea nil</t>
  </si>
  <si>
    <t>Uncharacterized protein At1g08160 OS=Arabidopsis thaliana GN=At1g08160 PE=2 SV=1</t>
  </si>
  <si>
    <t>Pentatricopeptide repeat-containing protein At5g40410, mitochondrial OS=Arabidopsis thaliana GN=PCMP-H15 PE=2 SV=1</t>
  </si>
  <si>
    <t>B-box zinc finger protein 21 OS=Arabidopsis thaliana GN=BBX21 PE=1 SV=1</t>
  </si>
  <si>
    <t>HMG1/2-like protein OS=Ipomoea nil PE=2 SV=1</t>
  </si>
  <si>
    <t>Tobamovirus multiplication protein 2A OS=Arabidopsis thaliana GN=TOM2A PE=1 SV=1</t>
  </si>
  <si>
    <t>NifU-like protein 3, chloroplastic OS=Arabidopsis thaliana GN=NIFU3 PE=2 SV=1</t>
  </si>
  <si>
    <t>Auxin transporter-like protein 2 OS=Medicago truncatula GN=LAX2 PE=2 SV=1</t>
  </si>
  <si>
    <t>Mannosyl-oligosaccharide 1,2-alpha-mannosidase MNS1 OS=Arabidopsis thaliana GN=MNS1 PE=1 SV=1</t>
  </si>
  <si>
    <t>1-aminocyclopropane-1-carboxylate oxidase homolog OS=Solanum lycopersicum GN=ACO3 PE=2 SV=1</t>
  </si>
  <si>
    <t>30S ribosomal protein S15 OS=Thermosipho africanus (strain TCF52B) GN=rpsO PE=3 SV=1</t>
  </si>
  <si>
    <t>Thermosipho africanus</t>
  </si>
  <si>
    <t>Probable importin subunit beta-4 OS=Schizosaccharomyces pombe (strain 972 / ATCC 24843) GN=kap123 PE=3 SV=1</t>
  </si>
  <si>
    <t>Tocopherol O-methyltransferase, chloroplastic OS=Arabidopsis thaliana GN=VTE4 PE=2 SV=2</t>
  </si>
  <si>
    <t>Signal recognition particle 14 kDa protein OS=Arabidopsis thaliana GN=SRP14 PE=2 SV=2</t>
  </si>
  <si>
    <t>Amino acid transporter ANT1 OS=Arabidopsis thaliana GN=ANT1 PE=1 SV=1</t>
  </si>
  <si>
    <t>Beta carbonic anhydrase 5, chloroplastic OS=Arabidopsis thaliana GN=BCA5 PE=2 SV=1</t>
  </si>
  <si>
    <t>Dolichyl-diphosphooligosaccharide--protein glycosyltransferase subunit STT3B OS=Arabidopsis thaliana GN=STT3B PE=2 SV=1</t>
  </si>
  <si>
    <t>Polyprenol reductase 2 OS=Arabidopsis thaliana GN=At2g16530 PE=1 SV=2</t>
  </si>
  <si>
    <t>Phytanoyl-CoA dioxygenase OS=Arabidopsis thaliana GN=PAHX PE=2 SV=2</t>
  </si>
  <si>
    <t>Succinyl-CoA ligase [ADP-forming] subunit alpha-1, mitochondrial OS=Solanum lycopersicum GN=SCOA PE=1 SV=1</t>
  </si>
  <si>
    <t>Nucleobase-ascorbate transporter 3 OS=Arabidopsis thaliana GN=NAT3 PE=2 SV=2</t>
  </si>
  <si>
    <t>Calmodulin-binding transcription activator 5 OS=Arabidopsis thaliana GN=CMTA5 PE=2 SV=2</t>
  </si>
  <si>
    <t>Putative lysine-specific demethylase JMJD5 OS=Arabidopsis thaliana GN=JMJD5 PE=2 SV=1</t>
  </si>
  <si>
    <t>CAX-interacting protein 4 OS=Arabidopsis thaliana GN=CXIP4 PE=1 SV=2</t>
  </si>
  <si>
    <t>Auxin response factor 9 OS=Arabidopsis thaliana GN=ARF9 PE=1 SV=1</t>
  </si>
  <si>
    <t>Casein kinase II subunit alpha-1 OS=Arabidopsis thaliana GN=CKA1 PE=1 SV=3</t>
  </si>
  <si>
    <t>Pentatricopeptide repeat-containing protein At2g17525, mitochondrial OS=Arabidopsis thaliana GN=At2g17525 PE=2 SV=2</t>
  </si>
  <si>
    <t>Dynein regulatory complex subunit 7 (Fragment) OS=Chlamydomonas reinhardtii GN=DRC7 PE=1 SV=1</t>
  </si>
  <si>
    <t>Polygalacturonate 4-alpha-galacturonosyltransferase OS=Arabidopsis thaliana GN=GAUT1 PE=1 SV=1</t>
  </si>
  <si>
    <t>Heat shock factor protein HSF8 OS=Solanum peruvianum GN=HSF8 PE=2 SV=1</t>
  </si>
  <si>
    <t>Solanum peruvianum</t>
  </si>
  <si>
    <t>Pentatricopeptide repeat-containing protein At4g08210 OS=Arabidopsis thaliana GN=PCMP-E100 PE=3 SV=1</t>
  </si>
  <si>
    <t>F-box/LRR-repeat protein 14 OS=Mus musculus GN=Fbxl14 PE=2 SV=1</t>
  </si>
  <si>
    <t>Aldehyde dehydrogenase family 2 member B4, mitochondrial OS=Arabidopsis thaliana GN=ALDH2B4 PE=2 SV=1</t>
  </si>
  <si>
    <t>Protein POLAR LOCALIZATION DURING ASYMMETRIC DIVISION AND REDISTRIBUTION OS=Arabidopsis thaliana GN=POLAR PE=2 SV=1</t>
  </si>
  <si>
    <t>SPX domain-containing membrane protein At4g22990 OS=Arabidopsis thaliana GN=At4g22990 PE=2 SV=2</t>
  </si>
  <si>
    <t>Staphylococcal-like nuclease CAN2 OS=Arabidopsis thaliana GN=CAN2 PE=1 SV=1</t>
  </si>
  <si>
    <t>Oxalate--CoA ligase OS=Arabidopsis thaliana GN=AAE3 PE=1 SV=1</t>
  </si>
  <si>
    <t>N-acylphosphatidylethanolamine synthase OS=Arabidopsis thaliana GN=At1g78690 PE=2 SV=1</t>
  </si>
  <si>
    <t>Thyroid adenoma-associated protein homolog OS=Canis familiaris GN=THADA PE=2 SV=1</t>
  </si>
  <si>
    <t>E3 ubiquitin-protein ligase Os04g0590900 OS=Oryza sativa subsp. japonica GN=Os04g0590900 PE=2 SV=2</t>
  </si>
  <si>
    <t>Protein NRDE2 homolog OS=Homo sapiens GN=NRDE2 PE=1 SV=3</t>
  </si>
  <si>
    <t>Serine/threonine-protein phosphatase 4 regulatory subunit 3 OS=Xenopus laevis GN=smek1 PE=2 SV=1</t>
  </si>
  <si>
    <t>WD repeat-containing protein 82 OS=Danio rerio GN=wdr82 PE=2 SV=1</t>
  </si>
  <si>
    <t>Peroxisomal membrane protein 11D OS=Arabidopsis thaliana GN=PEX11D PE=1 SV=2</t>
  </si>
  <si>
    <t>Mediator of RNA polymerase II transcription subunit 15a OS=Arabidopsis thaliana GN=MED15A PE=1 SV=1</t>
  </si>
  <si>
    <t>Copper-transporting ATPase PAA2, chloroplastic OS=Arabidopsis thaliana GN=PAA2 PE=2 SV=1</t>
  </si>
  <si>
    <t>Putative pentatricopeptide repeat-containing protein At5g43820 OS=Arabidopsis thaliana GN=At5g43820 PE=3 SV=1</t>
  </si>
  <si>
    <t>Autophagy-related protein 18h OS=Arabidopsis thaliana GN=ATG18H PE=2 SV=1</t>
  </si>
  <si>
    <t>40S ribosomal protein S17-4 OS=Arabidopsis thaliana GN=RPS17D PE=2 SV=3</t>
  </si>
  <si>
    <t>Chitin elicitor receptor kinase 1 OS=Arabidopsis thaliana GN=CERK1 PE=1 SV=1</t>
  </si>
  <si>
    <t>Chaperone protein DnaJ 2 OS=Aquifex aeolicus (strain VF5) GN=dnaJ2 PE=3 SV=1</t>
  </si>
  <si>
    <t>Rhodanese-like domain-containing protein 8, chloroplastic OS=Arabidopsis thaliana GN=STR8 PE=2 SV=1</t>
  </si>
  <si>
    <t>E3 ubiquitin-protein ligase SINA-like 10 OS=Arabidopsis thaliana GN=At5g37930 PE=2 SV=1</t>
  </si>
  <si>
    <t>Omega-3 fatty acid desaturase, chloroplastic OS=Glycine max GN=FAD7 PE=2 SV=1</t>
  </si>
  <si>
    <t>Caffeine synthase 1 OS=Camellia sinensis GN=TCS1 PE=1 SV=1</t>
  </si>
  <si>
    <t>Camellia sinensis</t>
  </si>
  <si>
    <t>Transmembrane protein 120 homolog OS=Dictyostelium discoideum GN=tmem120 PE=3 SV=1</t>
  </si>
  <si>
    <t>Anaphase-promoting complex subunit 2 OS=Arabidopsis thaliana GN=APC2 PE=1 SV=1</t>
  </si>
  <si>
    <t>Putative amidohydrolase YtcJ OS=Bacillus subtilis (strain 168) GN=ytcJ PE=4 SV=1</t>
  </si>
  <si>
    <t>Lysosomal Pro-X carboxypeptidase OS=Pongo abelii GN=PRCP PE=2 SV=1</t>
  </si>
  <si>
    <t>E3 ubiquitin protein ligase RIN2 OS=Arabidopsis thaliana GN=RIN2 PE=1 SV=1</t>
  </si>
  <si>
    <t>Carboxypeptidase D (Fragment) OS=Lophonetta specularioides GN=CPD PE=1 SV=1</t>
  </si>
  <si>
    <t>Lophonetta specularioides</t>
  </si>
  <si>
    <t>Probable U3 small nucleolar RNA-associated protein 11 OS=Oryza sativa subsp. japonica GN=Os01g0810000 PE=2 SV=2</t>
  </si>
  <si>
    <t>Pentatricopeptide repeat-containing protein At1g71490 OS=Arabidopsis thaliana GN=PCMP-E67 PE=2 SV=1</t>
  </si>
  <si>
    <t>Metal tolerance protein C2 OS=Arabidopsis thaliana GN=MTPC2 PE=2 SV=1</t>
  </si>
  <si>
    <t>Serine/threonine-protein kinase-like protein At1g28390 OS=Arabidopsis thaliana GN=At1g28390 PE=2 SV=1</t>
  </si>
  <si>
    <t>UDP-N-acetylglucosamine/UDP-glucose/GDP-mannose transporter OS=Mus musculus GN=Slc35d2 PE=2 SV=1</t>
  </si>
  <si>
    <t>3-oxo-Delta(4,5)-steroid 5-beta-reductase OS=Arabidopsis thaliana GN=VEP1 PE=1 SV=1</t>
  </si>
  <si>
    <t>Transcription factor bHLH121 OS=Arabidopsis thaliana GN=BHLH121 PE=2 SV=1</t>
  </si>
  <si>
    <t>Zinc finger CCCH domain-containing protein 22 OS=Oryza sativa subsp. japonica GN=Os03g0328900 PE=2 SV=2</t>
  </si>
  <si>
    <t>Tubulin-folding cofactor B OS=Arabidopsis thaliana GN=TFCB PE=1 SV=1</t>
  </si>
  <si>
    <t>C-type lectin receptor-like tyrosine-protein kinase At1g52310 OS=Arabidopsis thaliana GN=At1g52310 PE=2 SV=1</t>
  </si>
  <si>
    <t>Protein TIFY 10A OS=Arabidopsis thaliana GN=TIFY10A PE=1 SV=1</t>
  </si>
  <si>
    <t>Ethylene-responsive transcription factor ERF003 OS=Arabidopsis thaliana GN=ERF003 PE=2 SV=1</t>
  </si>
  <si>
    <t>Probable LRR receptor-like serine/threonine-protein kinase At5g63710 OS=Arabidopsis thaliana GN=At5g63710 PE=2 SV=1</t>
  </si>
  <si>
    <t>NAD-dependent malic enzyme 59 kDa isoform, mitochondrial OS=Solanum tuberosum PE=1 SV=1</t>
  </si>
  <si>
    <t>Cytochrome c-type biogenesis CcmH-like mitochondrial protein OS=Oryza sativa subsp. indica GN=CCMH PE=3 SV=1</t>
  </si>
  <si>
    <t>V-type proton ATPase 16 kDa proteolipid subunit OS=Gossypium hirsutum GN=CVA16-2 PE=2 SV=1</t>
  </si>
  <si>
    <t>Microsomal glutathione S-transferase 3 OS=Mus musculus GN=Mgst3 PE=1 SV=1</t>
  </si>
  <si>
    <t>Cell wall integrity protein scw1 OS=Schizosaccharomyces pombe (strain 972 / ATCC 24843) GN=scw1 PE=1 SV=1</t>
  </si>
  <si>
    <t>Protein NETWORKED 3C OS=Arabidopsis thaliana GN=NET3C PE=1 SV=1</t>
  </si>
  <si>
    <t>Probable plastid-lipid-associated protein 8, chloroplastic OS=Arabidopsis thaliana GN=PAP8 PE=2 SV=1</t>
  </si>
  <si>
    <t>Protein RER1B OS=Arabidopsis thaliana GN=RER1B PE=1 SV=2</t>
  </si>
  <si>
    <t>Microtubule-associated protein SPIRAL2-like OS=Arabidopsis thaliana GN=SP2L PE=2 SV=1</t>
  </si>
  <si>
    <t>Protein SMG9 OS=Rattus norvegicus GN=Smg9 PE=2 SV=1</t>
  </si>
  <si>
    <t>Linoleate 13S-lipoxygenase 3-1, chloroplastic OS=Solanum tuberosum GN=LOX3.1 PE=1 SV=1</t>
  </si>
  <si>
    <t>Nef-associated protein 1 OS=Homo sapiens GN=C9orf156 PE=1 SV=2</t>
  </si>
  <si>
    <t>DNA (cytosine-5)-methyltransferase CMT2 OS=Arabidopsis thaliana GN=CMT2 PE=2 SV=3</t>
  </si>
  <si>
    <t>Cytochrome P450 82A4 OS=Glycine max GN=CYP82A4 PE=2 SV=1</t>
  </si>
  <si>
    <t>Desiccation-related protein PCC13-62 OS=Craterostigma plantagineum PE=2 SV=1</t>
  </si>
  <si>
    <t>DnaJ homolog subfamily A member 1 OS=Rattus norvegicus GN=Dnaja1 PE=1 SV=1</t>
  </si>
  <si>
    <t>Endo-1,4-beta-xylanase OS=Agaricus bisporus GN=xlnA PE=2 SV=1</t>
  </si>
  <si>
    <t>Agaricus bisporus</t>
  </si>
  <si>
    <t>Ras-related protein Rab7 OS=Pisum sativum PE=2 SV=1</t>
  </si>
  <si>
    <t>Hexokinase-1 OS=Spinacia oleracea GN=HXK1 PE=2 SV=1</t>
  </si>
  <si>
    <t>Endophilin-A2 OS=Gallus gallus GN=SH3GL1 PE=1 SV=1</t>
  </si>
  <si>
    <t>ATP synthase subunit alpha, chloroplastic OS=Manihot esculenta GN=atpA PE=3 SV=1</t>
  </si>
  <si>
    <t>Poly(A)-specific ribonuclease PARN OS=Arabidopsis thaliana GN=PARN PE=1 SV=2</t>
  </si>
  <si>
    <t>Probable acetyltransferase NATA1-like OS=Arabidopsis thaliana GN=At2g39020 PE=2 SV=1</t>
  </si>
  <si>
    <t>Regulatory protein NPR3 OS=Arabidopsis thaliana GN=NPR3 PE=1 SV=1</t>
  </si>
  <si>
    <t>Protein trichome birefringence-like 43 OS=Arabidopsis thaliana GN=TBL43 PE=2 SV=1</t>
  </si>
  <si>
    <t>Glutaredoxin-C9 OS=Oryza sativa subsp. japonica GN=GRXC9 PE=3 SV=1</t>
  </si>
  <si>
    <t>Protein UXT homolog OS=Dictyostelium discoideum GN=DDB_G0285389 PE=3 SV=1</t>
  </si>
  <si>
    <t>Bifunctional dihydroflavonol 4-reductase/flavanone 4-reductase OS=Pyrus communis GN=DFR PE=1 SV=1</t>
  </si>
  <si>
    <t>Translocon-associated protein subunit beta OS=Canis familiaris GN=SSR2 PE=1 SV=1</t>
  </si>
  <si>
    <t>Probable beta-1,3-galactosyltransferase 16 OS=Arabidopsis thaliana GN=B3GALT16 PE=2 SV=1</t>
  </si>
  <si>
    <t>Multiple organellar RNA editing factor 7, mitochondrial OS=Arabidopsis thaliana GN=MORF7 PE=2 SV=1</t>
  </si>
  <si>
    <t>Ribosomal protein S4, mitochondrial OS=Arabidopsis thaliana GN=RPS4 PE=2 SV=2</t>
  </si>
  <si>
    <t>Homeobox-leucine zipper protein HAT7 OS=Arabidopsis thaliana GN=HAT7 PE=2 SV=4</t>
  </si>
  <si>
    <t>Cytochrome P450 CYP72A219 OS=Panax ginseng PE=2 SV=1</t>
  </si>
  <si>
    <t>Auxin-responsive protein IAA26 OS=Arabidopsis thaliana GN=IAA26 PE=1 SV=2</t>
  </si>
  <si>
    <t>Phosphoenolpyruvate carboxylase, housekeeping isozyme OS=Glycine max GN=PPC16 PE=2 SV=1</t>
  </si>
  <si>
    <t>LysM and putative peptidoglycan-binding domain-containing protein 2 OS=Danio rerio GN=lysmd2 PE=2 SV=1</t>
  </si>
  <si>
    <t>Beta-glucosidase 27 OS=Oryza sativa subsp. japonica GN=BGLU27 PE=2 SV=1</t>
  </si>
  <si>
    <t>F-box/kelch-repeat protein At5g42350 OS=Arabidopsis thaliana GN=At5g42350 PE=2 SV=1</t>
  </si>
  <si>
    <t>Uncharacterized oxidoreductase YgbJ OS=Escherichia coli (strain K12) GN=ygbJ PE=3 SV=1</t>
  </si>
  <si>
    <t>Alpha-xylosidase 1 OS=Arabidopsis thaliana GN=XYL1 PE=1 SV=1</t>
  </si>
  <si>
    <t>Armadillo repeat-containing protein 8 OS=Bos taurus GN=ARMC8 PE=2 SV=1</t>
  </si>
  <si>
    <t>Pyrroline-5-carboxylate reductase OS=Actinidia chinensis PE=2 SV=1</t>
  </si>
  <si>
    <t>Phosphoinositide phospholipase C 4 OS=Arabidopsis thaliana GN=PLC4 PE=2 SV=2</t>
  </si>
  <si>
    <t>Uncharacterized protein At1g18480 OS=Arabidopsis thaliana GN=At1g18480 PE=2 SV=1</t>
  </si>
  <si>
    <t>Serine/arginine-rich SC35-like splicing factor SCL30 OS=Arabidopsis thaliana GN=SCL30 PE=1 SV=1</t>
  </si>
  <si>
    <t>Very-long-chain 3-oxoacyl-CoA reductase-like protein At1g24470 OS=Arabidopsis thaliana GN=KCR2 PE=2 SV=1</t>
  </si>
  <si>
    <t>Glucan endo-1,3-beta-glucosidase 8 OS=Arabidopsis thaliana GN=At1g64760 PE=1 SV=2</t>
  </si>
  <si>
    <t>Glycine-rich RNA-binding protein GRP1A OS=Sinapis alba PE=2 SV=1</t>
  </si>
  <si>
    <t>Sinapis alba</t>
  </si>
  <si>
    <t>Phospholipase A1-Igamma3, chloroplastic OS=Arabidopsis thaliana GN=At1g51440 PE=1 SV=1</t>
  </si>
  <si>
    <t>Metal tolerance protein 10 OS=Arabidopsis thaliana GN=MTP10 PE=2 SV=1</t>
  </si>
  <si>
    <t>60S ribosomal protein L18 (Fragment) OS=Cicer arietinum GN=RPL18 PE=2 SV=1</t>
  </si>
  <si>
    <t>Zinc finger protein ZAT12 OS=Arabidopsis thaliana GN=ZAT12 PE=2 SV=1</t>
  </si>
  <si>
    <t>40S ribosomal protein S26-3 OS=Arabidopsis thaliana GN=RPS26C PE=2 SV=1</t>
  </si>
  <si>
    <t>Tubulin beta-1 chain OS=Lupinus albus GN=TUBB1 PE=3 SV=1</t>
  </si>
  <si>
    <t>40S ribosomal protein S16 OS=Gossypium hirsutum GN=RPS16 PE=2 SV=1</t>
  </si>
  <si>
    <t>Methyl-CpG-binding domain-containing protein 13 OS=Arabidopsis thaliana GN=MBD13 PE=2 SV=1</t>
  </si>
  <si>
    <t>Branched-chain-amino-acid aminotransferase-like protein 2 OS=Arabidopsis thaliana GN=At5g27410 PE=2 SV=1</t>
  </si>
  <si>
    <t>Probable beta-1,3-galactosyltransferase 19 OS=Arabidopsis thaliana GN=B3GALT19 PE=2 SV=2</t>
  </si>
  <si>
    <t>StAR-related lipid transfer protein 7, mitochondrial OS=Homo sapiens GN=STARD7 PE=1 SV=2</t>
  </si>
  <si>
    <t>Cryptochrome DASH, chloroplastic/mitochondrial OS=Oryza sativa subsp. japonica GN=CRYD PE=2 SV=1</t>
  </si>
  <si>
    <t>40S ribosomal protein S15a-5 OS=Arabidopsis thaliana GN=RPS15AE PE=2 SV=1</t>
  </si>
  <si>
    <t>Eukaryotic initiation factor 4A-11 OS=Nicotiana tabacum PE=2 SV=1</t>
  </si>
  <si>
    <t>Calmodulin OS=Lilium longiflorum PE=2 SV=2</t>
  </si>
  <si>
    <t>Lilium longiflorum</t>
  </si>
  <si>
    <t>Phytoene dehydrogenase OS=Synechocystis sp. (strain PCC 6803 / Kazusa) GN=pds PE=3 SV=2</t>
  </si>
  <si>
    <t>Pentatricopeptide repeat-containing protein At5g03800 OS=Arabidopsis thaliana GN=EMB175 PE=2 SV=1</t>
  </si>
  <si>
    <t>60S ribosomal protein L36-2 OS=Arabidopsis thaliana GN=RPL36B PE=2 SV=1</t>
  </si>
  <si>
    <t>Ribonuclease Z, chloroplastic OS=Arabidopsis thaliana GN=CPZ PE=2 SV=1</t>
  </si>
  <si>
    <t>Protein LIGHT-DEPENDENT SHORT HYPOCOTYLS 6 OS=Arabidopsis thaliana GN=LSH6 PE=1 SV=1</t>
  </si>
  <si>
    <t>7-deoxyloganetin glucosyltransferase OS=Catharanthus roseus GN=UGT85A23 PE=1 SV=1</t>
  </si>
  <si>
    <t>Pentatricopeptide repeat-containing protein At1g51965, mitochondrial OS=Arabidopsis thaliana GN=At1g51965 PE=2 SV=1</t>
  </si>
  <si>
    <t>Cyclic pyranopterin monophosphate synthase, mitochondrial OS=Arabidopsis thaliana GN=CNX2 PE=1 SV=1</t>
  </si>
  <si>
    <t>Protein NRT1/ PTR FAMILY 7.2 OS=Arabidopsis thaliana GN=NPF7.2 PE=2 SV=2</t>
  </si>
  <si>
    <t>B3 domain-containing transcription factor ABI3 OS=Arabidopsis thaliana GN=ABI3 PE=1 SV=1</t>
  </si>
  <si>
    <t>Zeaxanthin epoxidase, chloroplastic OS=Arabidopsis thaliana GN=ZEP PE=1 SV=1</t>
  </si>
  <si>
    <t>Chaperone protein dnaJ 11, chloroplastic OS=Arabidopsis thaliana GN=ATJ11 PE=1 SV=2</t>
  </si>
  <si>
    <t>Thebaine 6-O-demethylase OS=Papaver somniferum GN=T6ODM PE=1 SV=1</t>
  </si>
  <si>
    <t>F-box protein At2g02240 OS=Arabidopsis thaliana GN=At2g02240 PE=2 SV=1</t>
  </si>
  <si>
    <t>Lipid phosphate phosphatase delta OS=Arabidopsis thaliana GN=LPPD PE=2 SV=1</t>
  </si>
  <si>
    <t>Ubiquitin-conjugating enzyme E2-16 kDa OS=Magnaporthe oryzae (strain 70-15 / ATCC MYA-4617 / FGSC 8958) GN=UBC1 PE=3 SV=2</t>
  </si>
  <si>
    <t>Magnaporthe oryzae</t>
  </si>
  <si>
    <t>Ubiquitin-conjugating enzyme E2-16 kDa OS=Colletotrichum gloeosporioides GN=UBC1 PE=2 SV=1</t>
  </si>
  <si>
    <t>Colletotrichum gloeosporioides</t>
  </si>
  <si>
    <t>Calmodulin-binding protein 60 C OS=Arabidopsis thaliana GN=CBP60C PE=2 SV=1</t>
  </si>
  <si>
    <t>Transcription factor bHLH66 OS=Arabidopsis thaliana GN=BHLH66 PE=2 SV=1</t>
  </si>
  <si>
    <t>Syntaxin-51 OS=Arabidopsis thaliana GN=SYP51 PE=1 SV=1</t>
  </si>
  <si>
    <t>Nephrocystin-3 OS=Homo sapiens GN=NPHP3 PE=1 SV=1</t>
  </si>
  <si>
    <t>Squamosa promoter-binding-like protein 17 OS=Oryza sativa subsp. japonica GN=SPL17 PE=2 SV=2</t>
  </si>
  <si>
    <t>Protein RADIALIS-like 6 OS=Arabidopsis thaliana GN=RL6 PE=2 SV=1</t>
  </si>
  <si>
    <t>MADS-box transcription factor 27 OS=Oryza sativa subsp. japonica GN=MADS27 PE=2 SV=2</t>
  </si>
  <si>
    <t>Uncharacterized protein At4g28440 OS=Arabidopsis thaliana GN=At4g28440 PE=1 SV=1</t>
  </si>
  <si>
    <t>UDP-glycosyltransferase 73D1 OS=Arabidopsis thaliana GN=UGT73D1 PE=3 SV=1</t>
  </si>
  <si>
    <t>Histone-lysine N-methyltransferase, H3 lysine-9 specific SUVH6 OS=Arabidopsis thaliana GN=SUVH6 PE=2 SV=2</t>
  </si>
  <si>
    <t>Common plant regulatory factor 1 OS=Petroselinum crispum GN=CPRF1 PE=2 SV=1</t>
  </si>
  <si>
    <t>Arogenate dehydratase/prephenate dehydratase 2, chloroplastic OS=Arabidopsis thaliana GN=ADT2 PE=1 SV=1</t>
  </si>
  <si>
    <t>IAA-amino acid hydrolase ILR1-like 5 OS=Oryza sativa subsp. japonica GN=ILL5 PE=2 SV=1</t>
  </si>
  <si>
    <t>Transcription factor bHLH126 OS=Arabidopsis thaliana GN=BHLH126 PE=2 SV=1</t>
  </si>
  <si>
    <t>Probable plastidic glucose transporter 2 OS=Arabidopsis thaliana GN=At1g67300 PE=2 SV=1</t>
  </si>
  <si>
    <t>Protein SUPPRESSOR OF npr1-1, CONSTITUTIVE 1 OS=Arabidopsis thaliana GN=SNC1 PE=1 SV=3</t>
  </si>
  <si>
    <t>Cytokinin hydroxylase OS=Arabidopsis thaliana GN=CYP735A1 PE=1 SV=1</t>
  </si>
  <si>
    <t>Dicarboxylic amino acid permease OS=Saccharomyces cerevisiae (strain ATCC 204508 / S288c) GN=DIP5 PE=1 SV=1</t>
  </si>
  <si>
    <t>Transcription factor TCP20 OS=Arabidopsis thaliana GN=TCP20 PE=1 SV=1</t>
  </si>
  <si>
    <t>Copper chaperone for superoxide dismutase, chloroplastic/cytosolic OS=Arabidopsis thaliana GN=CCS PE=1 SV=1</t>
  </si>
  <si>
    <t>Purple acid phosphatase OS=Glycine max GN=PAP PE=1 SV=2</t>
  </si>
  <si>
    <t>Probable alpha,alpha-trehalose-phosphate synthase [UDP-forming] 7 OS=Arabidopsis thaliana GN=TPS7 PE=1 SV=1</t>
  </si>
  <si>
    <t>Protein RESTRICTED TEV MOVEMENT 2 OS=Arabidopsis thaliana GN=RTM2 PE=2 SV=1</t>
  </si>
  <si>
    <t>Abscisic acid receptor PYL4 OS=Arabidopsis thaliana GN=PYL4 PE=1 SV=1</t>
  </si>
  <si>
    <t>Short-chain dehydrogenase TIC 32, chloroplastic OS=Pisum sativum GN=TIC32 PE=1 SV=1</t>
  </si>
  <si>
    <t>Histone-lysine N-methyltransferase ASHR1 OS=Arabidopsis thaliana GN=ASHR1 PE=2 SV=2</t>
  </si>
  <si>
    <t>Probable indole-3-pyruvate monooxygenase YUCCA8 OS=Arabidopsis thaliana GN=YUC8 PE=2 SV=1</t>
  </si>
  <si>
    <t>Vestitone reductase OS=Medicago sativa PE=1 SV=1</t>
  </si>
  <si>
    <t>G-type lectin S-receptor-like serine/threonine-protein kinase At1g61370 OS=Arabidopsis thaliana GN=At1g61370 PE=3 SV=2</t>
  </si>
  <si>
    <t>Serine/threonine-protein kinase TIO OS=Arabidopsis thaliana GN=TIO PE=1 SV=1</t>
  </si>
  <si>
    <t>Indole-3-acetic acid-induced protein ARG7 OS=Vigna radiata var. radiata GN=ARG7 PE=2 SV=1</t>
  </si>
  <si>
    <t>Uncharacterized protein At1g28695 OS=Arabidopsis thaliana GN=At1g28695 PE=2 SV=1</t>
  </si>
  <si>
    <t>Vacuolar cation/proton exchanger 5 OS=Arabidopsis thaliana GN=CAX5 PE=2 SV=1</t>
  </si>
  <si>
    <t>Probable BOI-related E3 ubiquitin-protein ligase 3 OS=Arabidopsis thaliana GN=BRG3 PE=1 SV=1</t>
  </si>
  <si>
    <t>Glycerophosphodiester phosphodiesterase protein kinase domain-containing GDPDL2 OS=Arabidopsis thaliana GN=GDPDL2 PE=1 SV=1</t>
  </si>
  <si>
    <t>RNA polymerase sigma factor sigF, chloroplastic OS=Arabidopsis thaliana GN=SIGF PE=1 SV=1</t>
  </si>
  <si>
    <t>Chlorophyll a-b binding protein 8, chloroplastic OS=Solanum lycopersicum GN=CAB8 PE=3 SV=1</t>
  </si>
  <si>
    <t>Histone H2A variant 1 OS=Arabidopsis thaliana GN=H2AV PE=1 SV=1</t>
  </si>
  <si>
    <t>SWI/SNF complex subunit SWI3A OS=Arabidopsis thaliana GN=SWI3A PE=1 SV=1</t>
  </si>
  <si>
    <t>T-complex protein 1 subunit delta OS=Arabidopsis thaliana GN=CCT4 PE=1 SV=1</t>
  </si>
  <si>
    <t>Succinate dehydrogenase [ubiquinone] flavoprotein subunit 1, mitochondrial OS=Arabidopsis thaliana GN=SDH1-1 PE=1 SV=1</t>
  </si>
  <si>
    <t>Glutaredoxin-C6 OS=Arabidopsis thaliana GN=GRXC6 PE=2 SV=2</t>
  </si>
  <si>
    <t>Ethylene-overproduction protein 1 OS=Arabidopsis thaliana GN=ETO1 PE=1 SV=2</t>
  </si>
  <si>
    <t>RNA pseudouridine synthase 3, mitochondrial OS=Arabidopsis thaliana GN=At1g78910 PE=2 SV=1</t>
  </si>
  <si>
    <t>60S ribosomal protein L36-1 OS=Arabidopsis thaliana GN=RPL36A PE=2 SV=1</t>
  </si>
  <si>
    <t>Multiple organellar RNA editing factor 8, chloroplastic/mitochondrial OS=Arabidopsis thaliana GN=MORF8 PE=1 SV=1</t>
  </si>
  <si>
    <t>Pentatricopeptide repeat-containing protein At4g16470 OS=Arabidopsis thaliana GN=PCMP-E12 PE=2 SV=2</t>
  </si>
  <si>
    <t>60S ribosomal protein L19-1 OS=Arabidopsis thaliana GN=RPL19A PE=2 SV=1</t>
  </si>
  <si>
    <t>IAA-amino acid hydrolase ILR1-like 4 OS=Arabidopsis thaliana GN=ILL4 PE=1 SV=2</t>
  </si>
  <si>
    <t>Pyruvate kinase isozyme A, chloroplastic OS=Ricinus communis PE=1 SV=1</t>
  </si>
  <si>
    <t>Peptidyl-prolyl cis-trans isomerase CYP65 OS=Arabidopsis thaliana GN=CYP65 PE=2 SV=1</t>
  </si>
  <si>
    <t>Putative leucine-rich repeat receptor-like serine/threonine-protein kinase At2g24130 OS=Arabidopsis thaliana GN=At2g24130 PE=3 SV=1</t>
  </si>
  <si>
    <t>F-box/kelch-repeat protein SKIP30 OS=Arabidopsis thaliana GN=SKIP30 PE=1 SV=2</t>
  </si>
  <si>
    <t>Ubiquitin-like-conjugating enzyme ATG10 OS=Arabidopsis thaliana GN=ATG10 PE=1 SV=1</t>
  </si>
  <si>
    <t>1-aminocyclopropane-1-carboxylate oxidase homolog 4 OS=Arabidopsis thaliana GN=At1g03400 PE=2 SV=1</t>
  </si>
  <si>
    <t>CTP synthase 2 OS=Xenopus laevis GN=ctps2 PE=2 SV=1</t>
  </si>
  <si>
    <t>BEL1-like homeodomain protein 8 OS=Arabidopsis thaliana GN=BLH8 PE=1 SV=1</t>
  </si>
  <si>
    <t>WD-40 repeat-containing protein MSI1 OS=Solanum lycopersicum GN=MSI1 PE=2 SV=1</t>
  </si>
  <si>
    <t>DEAD-box ATP-dependent RNA helicase 32 OS=Arabidopsis thaliana GN=RH32 PE=2 SV=1</t>
  </si>
  <si>
    <t>Jasmonate O-methyltransferase OS=Brassica rapa subsp. pekinensis GN=JMT PE=1 SV=1</t>
  </si>
  <si>
    <t>Brassica rapa</t>
  </si>
  <si>
    <t>Origin of replication complex subunit 6 OS=Arabidopsis thaliana GN=ORC6 PE=1 SV=2</t>
  </si>
  <si>
    <t>Mitochondrial inner membrane protease subunit 2 OS=Danio rerio GN=immp2l PE=2 SV=1</t>
  </si>
  <si>
    <t>Macrophage migration inhibitory factor homolog OS=Brugia malayi GN=Bm1_28435 PE=3 SV=4</t>
  </si>
  <si>
    <t>Brugia malayi</t>
  </si>
  <si>
    <t>Eukaryotic translation initiation factor 2D OS=Rattus norvegicus GN=Eif2d PE=2 SV=1</t>
  </si>
  <si>
    <t>Cationic amino acid transporter 4, vacuolar OS=Arabidopsis thaliana GN=CAT4 PE=2 SV=1</t>
  </si>
  <si>
    <t>Far upstream element-binding protein 1 OS=Mus musculus GN=Fubp1 PE=1 SV=1</t>
  </si>
  <si>
    <t>Cytochrome P450 714A1 OS=Arabidopsis thaliana GN=CYP714A1 PE=2 SV=1</t>
  </si>
  <si>
    <t>4-coumarate--CoA ligase-like 9 OS=Arabidopsis thaliana GN=4CLL9 PE=1 SV=2</t>
  </si>
  <si>
    <t>Protein Simiate OS=Xenopus laevis GN=fam206a PE=2 SV=1</t>
  </si>
  <si>
    <t>Protein IQ-DOMAIN 32 OS=Arabidopsis thaliana GN=IQD32 PE=1 SV=3</t>
  </si>
  <si>
    <t>Cyclin-dependent kinase inhibitor 2 OS=Arabidopsis thaliana GN=KRP2 PE=1 SV=1</t>
  </si>
  <si>
    <t>U3 small nucleolar ribonucleoprotein protein MPP10 OS=Homo sapiens GN=MPHOSPH10 PE=1 SV=2</t>
  </si>
  <si>
    <t>60S ribosomal protein L35 OS=Euphorbia esula GN=RPL35 PE=2 SV=1</t>
  </si>
  <si>
    <t>B-box zinc finger protein 32 OS=Arabidopsis thaliana GN=BBX32 PE=1 SV=1</t>
  </si>
  <si>
    <t>U3 small nucleolar ribonucleoprotein protein IMP4 OS=Rattus norvegicus GN=Imp4 PE=2 SV=1</t>
  </si>
  <si>
    <t>ER membrane protein complex subunit 2 OS=Danio rerio GN=emc2 PE=2 SV=1</t>
  </si>
  <si>
    <t>FRIGidA-like protein 4a OS=Arabidopsis thaliana GN=FRL4A PE=2 SV=1</t>
  </si>
  <si>
    <t>Omega-6 fatty acid desaturase, endoplasmic reticulum isozyme 2 OS=Glycine max GN=FAD2-2 PE=2 SV=1</t>
  </si>
  <si>
    <t>UPF0496 protein At4g34320 OS=Arabidopsis thaliana GN=At4g34320 PE=2 SV=1</t>
  </si>
  <si>
    <t>Multiple inositol polyphosphate phosphatase 1 OS=Dictyostelium discoideum GN=mipp1 PE=1 SV=1</t>
  </si>
  <si>
    <t>Aspartate-semialdehyde dehydrogenase OS=Prochlorococcus marinus (strain SARG / CCMP1375 / SS120) GN=asd PE=3 SV=2</t>
  </si>
  <si>
    <t>Prochlorococcus marinus</t>
  </si>
  <si>
    <t>Peptidyl-prolyl cis-trans isomerase FKBP19, chloroplastic OS=Arabidopsis thaliana GN=FKBP19 PE=1 SV=1</t>
  </si>
  <si>
    <t>U-box domain-containing protein 10 OS=Arabidopsis thaliana GN=PUB10 PE=2 SV=1</t>
  </si>
  <si>
    <t>Transcription factor bHLH82 OS=Arabidopsis thaliana GN=BHLH82 PE=2 SV=1</t>
  </si>
  <si>
    <t>Solute carrier family 40 member 3, chloroplastic OS=Arabidopsis thaliana GN=IREG3 PE=1 SV=1</t>
  </si>
  <si>
    <t>DnaJ protein ERDJ3B OS=Arabidopsis thaliana GN=ERDJ3B PE=1 SV=1</t>
  </si>
  <si>
    <t>DmX-like protein 1 OS=Mus musculus GN=Dmxl1 PE=1 SV=1</t>
  </si>
  <si>
    <t>Cyclin-C1-2 OS=Arabidopsis thaliana GN=CYCC1-2 PE=2 SV=1</t>
  </si>
  <si>
    <t>Octanoyltransferase OS=Arabidopsis thaliana GN=LIP2 PE=2 SV=1</t>
  </si>
  <si>
    <t>G-type lectin S-receptor-like serine/threonine-protein kinase At4g03230 OS=Arabidopsis thaliana GN=At4g03230 PE=3 SV=3</t>
  </si>
  <si>
    <t>Cyclic nucleotide-gated ion channel 4 OS=Arabidopsis thaliana GN=CNGC4 PE=2 SV=2</t>
  </si>
  <si>
    <t>CDP-diacylglycerol--glycerol-3-phosphate 3-phosphatidyltransferase 1, chloroplastic OS=Arabidopsis thaliana GN=PGPS1 PE=1 SV=1</t>
  </si>
  <si>
    <t>30S ribosomal protein S5 OS=Pseudomonas fluorescens (strain SBW25) GN=rpsE PE=3 SV=1</t>
  </si>
  <si>
    <t>Transmembrane protein 45B OS=Danio rerio GN=tmem45b PE=2 SV=1</t>
  </si>
  <si>
    <t>U2 snRNP-associated SURP motif-containing protein OS=Pongo abelii GN=U2SURP PE=2 SV=1</t>
  </si>
  <si>
    <t>Guanosine nucleotide diphosphate dissociation inhibitor At5g09550 OS=Arabidopsis thaliana GN=At5g09550 PE=3 SV=1</t>
  </si>
  <si>
    <t>Transmembrane and coiled-coil domain-containing protein 4 OS=Homo sapiens GN=TMCO4 PE=2 SV=1</t>
  </si>
  <si>
    <t>Mitotic checkpoint serine/threonine-protein kinase BUB1 OS=Arabidopsis thaliana GN=BUB1 PE=1 SV=1</t>
  </si>
  <si>
    <t>BEL1-like homeodomain protein 6 OS=Arabidopsis thaliana GN=BLH6 PE=1 SV=1</t>
  </si>
  <si>
    <t>Histone H4 OS=Glycine max PE=3 SV=1</t>
  </si>
  <si>
    <t>Probable N-acetyl-gamma-glutamyl-phosphate reductase, chloroplastic OS=Arabidopsis thaliana GN=At2g19940 PE=1 SV=2</t>
  </si>
  <si>
    <t>Protein trichome birefringence-like 8 OS=Arabidopsis thaliana GN=TBL8 PE=2 SV=1</t>
  </si>
  <si>
    <t>Rac-like GTP-binding protein RHO1 OS=Pisum sativum GN=RHO1 PE=2 SV=1</t>
  </si>
  <si>
    <t>Phytohormone-binding protein OS=Medicago truncatula GN=MTR_3g055120 PE=1 SV=1</t>
  </si>
  <si>
    <t>THO complex subunit 7A OS=Arabidopsis thaliana GN=THO7A PE=1 SV=1</t>
  </si>
  <si>
    <t>Uncharacterized protein YnbB OS=Bacillus subtilis (strain 168) GN=ynbB PE=4 SV=2</t>
  </si>
  <si>
    <t>Probable 1-deoxy-D-xylulose-5-phosphate synthase 2, chloroplastic OS=Oryza sativa subsp. japonica GN=Os07g0190000 PE=2 SV=1</t>
  </si>
  <si>
    <t>F-box protein At3g58530 OS=Arabidopsis thaliana GN=At3g58530 PE=2 SV=1</t>
  </si>
  <si>
    <t>Mitogen-activated protein kinase kinase 5 OS=Arabidopsis thaliana GN=MKK5 PE=1 SV=2</t>
  </si>
  <si>
    <t>ATPase family AAA domain-containing protein At1g05910 OS=Arabidopsis thaliana GN=At1g05910 PE=2 SV=1</t>
  </si>
  <si>
    <t>Phosphatidylinositol/phosphatidylcholine transfer protein SFH8 OS=Arabidopsis thaliana GN=SFH8 PE=2 SV=1</t>
  </si>
  <si>
    <t>Pentatricopeptide repeat-containing protein At5g66631 OS=Arabidopsis thaliana GN=At5g66631 PE=2 SV=1</t>
  </si>
  <si>
    <t>Polynucleotide 5'-hydroxyl-kinase NOL9 OS=Arabidopsis thaliana GN=At5g11010 PE=2 SV=1</t>
  </si>
  <si>
    <t>40S ribosomal protein S27-2 OS=Arabidopsis thaliana GN=RPS27B PE=2 SV=2</t>
  </si>
  <si>
    <t>ARF guanine-nucleotide exchange factor GNL2 OS=Arabidopsis thaliana GN=GNL2 PE=2 SV=1</t>
  </si>
  <si>
    <t>Probable E3 ubiquitin-protein ligase LOG2 OS=Arabidopsis thaliana GN=LOG2 PE=1 SV=1</t>
  </si>
  <si>
    <t>Outer envelope pore protein 24B, chloroplastic OS=Arabidopsis thaliana GN=OEP24B PE=2 SV=1</t>
  </si>
  <si>
    <t>CSC1-like protein At4g35870 OS=Arabidopsis thaliana GN=GFS10 PE=2 SV=1</t>
  </si>
  <si>
    <t>Flavonoid 4'-O-methyltransferase OS=Glycine max PE=1 SV=1</t>
  </si>
  <si>
    <t>Probable prolyl 4-hydroxylase 12 OS=Arabidopsis thaliana GN=P4H12 PE=2 SV=1</t>
  </si>
  <si>
    <t>NAD kinase 2, chloroplastic OS=Arabidopsis thaliana GN=NADK2 PE=1 SV=1</t>
  </si>
  <si>
    <t>Uncharacterized protein At5g64816 OS=Arabidopsis thaliana GN=At5g64816 PE=2 SV=1</t>
  </si>
  <si>
    <t>Histidine kinase 3 OS=Arabidopsis thaliana GN=AHK3 PE=1 SV=1</t>
  </si>
  <si>
    <t>Zinc finger protein ZAT5 OS=Arabidopsis thaliana GN=ZAT5 PE=2 SV=1</t>
  </si>
  <si>
    <t>Pentatricopeptide repeat-containing protein At1g07740, mitochondrial OS=Arabidopsis thaliana GN=At1g07740 PE=2 SV=1</t>
  </si>
  <si>
    <t>Uncharacterized protein At5g06450 OS=Arabidopsis thaliana GN=At5g06450 PE=1 SV=1</t>
  </si>
  <si>
    <t>Probable glucuronoxylan glucuronosyltransferase F8H OS=Arabidopsis thaliana GN=F8H PE=2 SV=1</t>
  </si>
  <si>
    <t>Protein AAR2 homolog OS=Caenorhabditis elegans GN=F10B5.2 PE=1 SV=1</t>
  </si>
  <si>
    <t>Dehydrogenase/reductase SDR family member on chromosome X OS=Homo sapiens GN=DHRSX PE=2 SV=2</t>
  </si>
  <si>
    <t>Small nuclear ribonucleoprotein-associated protein B OS=Mus musculus GN=Snrpb PE=1 SV=1</t>
  </si>
  <si>
    <t>F-box/WD-40 repeat-containing protein At3g52030 OS=Arabidopsis thaliana GN=At3g52030 PE=2 SV=2</t>
  </si>
  <si>
    <t>Fumarate hydratase 1, mitochondrial OS=Arabidopsis thaliana GN=FUM1 PE=2 SV=2</t>
  </si>
  <si>
    <t>Probable glutamyl endopeptidase, chloroplastic OS=Arabidopsis thaliana GN=GEP PE=2 SV=2</t>
  </si>
  <si>
    <t>Mannosyl-oligosaccharide glucosidase GCS1 OS=Arabidopsis thaliana GN=GCS1 PE=1 SV=1</t>
  </si>
  <si>
    <t>Peptidyl-prolyl cis-trans isomerase CYP59 OS=Arabidopsis thaliana GN=CYP59 PE=1 SV=1</t>
  </si>
  <si>
    <t>Transcription factor bHLH78 OS=Arabidopsis thaliana GN=BHLH78 PE=2 SV=1</t>
  </si>
  <si>
    <t>Protein TIC 62, chloroplastic OS=Arabidopsis thaliana GN=TIC62 PE=1 SV=1</t>
  </si>
  <si>
    <t>NAD(P)H-quinone oxidoreductase subunit 5, chloroplastic OS=Manihot esculenta GN=ndhF PE=3 SV=1</t>
  </si>
  <si>
    <t>Activating signal cointegrator 1 complex subunit 3 OS=Bos taurus GN=ascc3 PE=3 SV=1</t>
  </si>
  <si>
    <t>Dihydroorotase, mitochondrial OS=Arabidopsis thaliana GN=PYR4 PE=2 SV=1</t>
  </si>
  <si>
    <t>Calcium-dependent protein kinase 28 OS=Arabidopsis thaliana GN=CPK28 PE=1 SV=1</t>
  </si>
  <si>
    <t>15-hydroxyprostaglandin dehydrogenase [NAD(+)] OS=Bos taurus GN=HPGD PE=2 SV=1</t>
  </si>
  <si>
    <t>Receptor-like protein kinase 2 OS=Arabidopsis thaliana GN=RCH2 PE=1 SV=1</t>
  </si>
  <si>
    <t>Ubiquitin-conjugating enzyme E2 8 OS=Arabidopsis thaliana GN=UBC8 PE=1 SV=1</t>
  </si>
  <si>
    <t>Protein ENHANCED DISEASE RESISTANCE 2 OS=Arabidopsis thaliana GN=EDR2 PE=2 SV=1</t>
  </si>
  <si>
    <t>Protein PELOTA 1 OS=Arabidopsis thaliana GN=PEL1 PE=2 SV=1</t>
  </si>
  <si>
    <t>DEAD-box ATP-dependent RNA helicase 2 OS=Oryza sativa subsp. japonica GN=Os01g0639100 PE=2 SV=1</t>
  </si>
  <si>
    <t>Probable protein phosphatase 2C 38 OS=Arabidopsis thaliana GN=At3g12620 PE=2 SV=1</t>
  </si>
  <si>
    <t>Macro domain-containing protein XCC3184 OS=Xanthomonas campestris pv. campestris (strain ATCC 33913 / DSM 3586 / NCPPB 528 / LMG 568 / P 25) GN=XCC3184 PE=3 SV=1</t>
  </si>
  <si>
    <t>Xanthomonas campestris</t>
  </si>
  <si>
    <t>Nucleolar complex protein 4 homolog B OS=Xenopus laevis GN=noc4l-b PE=2 SV=1</t>
  </si>
  <si>
    <t>Aspartic proteinase OS=Cucurbita pepo PE=2 SV=1</t>
  </si>
  <si>
    <t>LisH domain and HEAT repeat-containing protein KIAA1468 homolog OS=Xenopus tropicalis PE=2 SV=1</t>
  </si>
  <si>
    <t>Sucrose transport protein SUC3 OS=Arabidopsis thaliana GN=SUC3 PE=1 SV=1</t>
  </si>
  <si>
    <t>Membrane-associated 30 kDa protein, chloroplastic OS=Pisum sativum GN=IM30 PE=2 SV=1</t>
  </si>
  <si>
    <t>ABC transporter B family member 26, chloroplastic OS=Arabidopsis thaliana GN=ABCB26 PE=2 SV=1</t>
  </si>
  <si>
    <t>Protein PHLOEM PROTEIN 2-LIKE A10 OS=Arabidopsis thaliana GN=PP2A10 PE=2 SV=1</t>
  </si>
  <si>
    <t>F-box/LRR-repeat protein 25 OS=Arabidopsis thaliana GN=FBL25 PE=2 SV=1</t>
  </si>
  <si>
    <t>Mediator of RNA polymerase II transcription subunit 22b OS=Arabidopsis thaliana GN=MED22B PE=1 SV=1</t>
  </si>
  <si>
    <t>Uridylate kinase OS=Trichodesmium erythraeum (strain IMS101) GN=pyrH PE=3 SV=1</t>
  </si>
  <si>
    <t>Trichodesmium erythraeum</t>
  </si>
  <si>
    <t>Probable LRR receptor-like serine/threonine-protein kinase RFK1 OS=Arabidopsis thaliana GN=RKF1 PE=1 SV=1</t>
  </si>
  <si>
    <t>Ethylene-responsive transcription factor ERF118 OS=Arabidopsis thaliana GN=ERF118 PE=2 SV=1</t>
  </si>
  <si>
    <t>DNA repair protein REV1 OS=Arabidopsis thaliana GN=REV1 PE=2 SV=1</t>
  </si>
  <si>
    <t>Leucine-rich repeat receptor-like protein CLAVATA2 OS=Arabidopsis thaliana GN=CLV2 PE=1 SV=1</t>
  </si>
  <si>
    <t>Peptidyl-prolyl cis-trans isomerase CYP20-1 OS=Arabidopsis thaliana GN=CYP20-1 PE=1 SV=1</t>
  </si>
  <si>
    <t>Pentatricopeptide repeat-containing protein At3g06430, chloroplastic OS=Arabidopsis thaliana GN=EMB2750 PE=2 SV=1</t>
  </si>
  <si>
    <t>Telomere repeat-binding factor 2 OS=Arabidopsis thaliana GN=TRB2 PE=1 SV=1</t>
  </si>
  <si>
    <t>B3 domain-containing transcription factor VRN1 OS=Arabidopsis thaliana GN=VRN1 PE=1 SV=1</t>
  </si>
  <si>
    <t>Bax inhibitor 1 OS=Arabidopsis thaliana GN=BI-1 PE=1 SV=1</t>
  </si>
  <si>
    <t>tRNA-specific 2-thiouridylase MnmA OS=Borrelia hermsii (strain HS1 / DAH) GN=mnmA PE=3 SV=2</t>
  </si>
  <si>
    <t>Borrelia hermsii</t>
  </si>
  <si>
    <t>B3 domain-containing protein Os07g0679700 OS=Oryza sativa subsp. japonica GN=Os07g0679700 PE=2 SV=1</t>
  </si>
  <si>
    <t>2-oxoisovalerate dehydrogenase subunit beta 2, mitochondrial OS=Arabidopsis thaliana GN=DIN4 PE=1 SV=1</t>
  </si>
  <si>
    <t>Transcription factor GTE4 OS=Arabidopsis thaliana GN=GTE4 PE=2 SV=1</t>
  </si>
  <si>
    <t>Binding partner of ACD11 1 OS=Arabidopsis thaliana GN=BPA1 PE=1 SV=1</t>
  </si>
  <si>
    <t>NEDD8-activating enzyme E1 catalytic subunit OS=Arabidopsis thaliana GN=ECR1 PE=1 SV=2</t>
  </si>
  <si>
    <t>Regulator of nonsense transcripts UPF2 OS=Arabidopsis thaliana GN=UPF2 PE=2 SV=1</t>
  </si>
  <si>
    <t>Pentatricopeptide repeat-containing protein At4g26680, mitochondrial OS=Arabidopsis thaliana GN=At4g26680 PE=2 SV=1</t>
  </si>
  <si>
    <t>Alpha-crystallin domain-containing protein 22.3 OS=Arabidopsis thaliana GN=ACD22.3 PE=1 SV=1</t>
  </si>
  <si>
    <t>Dehydrogenase/reductase SDR family member 7 OS=Homo sapiens GN=DHRS7 PE=1 SV=1</t>
  </si>
  <si>
    <t>ACT domain-containing protein ACR9 OS=Arabidopsis thaliana GN=ACR9 PE=2 SV=1</t>
  </si>
  <si>
    <t>NADH dehydrogenase [ubiquinone] 1 alpha subcomplex subunit 13-A OS=Arabidopsis thaliana GN=MEE4 PE=2 SV=1</t>
  </si>
  <si>
    <t>Cysteine-rich receptor-like protein kinase 29 OS=Arabidopsis thaliana GN=CRK29 PE=2 SV=1</t>
  </si>
  <si>
    <t>Pentatricopeptide repeat-containing protein At5g10690 OS=Arabidopsis thaliana GN=CBSPPR1 PE=2 SV=1</t>
  </si>
  <si>
    <t>Disease resistance protein ADR2 OS=Arabidopsis thaliana GN=ADR2 PE=2 SV=1</t>
  </si>
  <si>
    <t>Polygalacturonase At1g48100 OS=Arabidopsis thaliana GN=At1g48100 PE=2 SV=1</t>
  </si>
  <si>
    <t>Nitrogen regulatory protein P-II homolog OS=Arabidopsis thaliana GN=GLB1 PE=1 SV=1</t>
  </si>
  <si>
    <t>PAN domain-containing protein At5g03700 OS=Arabidopsis thaliana GN=At5g03700 PE=1 SV=1</t>
  </si>
  <si>
    <t>Peptidyl-prolyl cis-trans isomerase NIMA-interacting 4 OS=Bos taurus GN=PIN4 PE=2 SV=1</t>
  </si>
  <si>
    <t>Small nuclear ribonucleoprotein-associated protein B' OS=Macropus eugenii GN=SNRPB PE=2 SV=1</t>
  </si>
  <si>
    <t>Macropus eugenii</t>
  </si>
  <si>
    <t>Protein SHORT-ROOT OS=Arabidopsis thaliana GN=SHR PE=1 SV=1</t>
  </si>
  <si>
    <t>Protein CLT2, chloroplastic OS=Arabidopsis thaliana GN=CLT2 PE=2 SV=1</t>
  </si>
  <si>
    <t>Transcription factor MYB23 OS=Arabidopsis thaliana GN=MYB23 PE=1 SV=1</t>
  </si>
  <si>
    <t>Protein MCM10 homolog OS=Mus musculus GN=Mcm10 PE=2 SV=1</t>
  </si>
  <si>
    <t>NAC domain-containing protein 14 OS=Arabidopsis thaliana GN=NAC014 PE=2 SV=1</t>
  </si>
  <si>
    <t>Cytochrome c oxidase subunit 5b-1, mitochondrial OS=Arabidopsis thaliana GN=COX5B-1 PE=2 SV=1</t>
  </si>
  <si>
    <t>Transcription factor MYC3 OS=Arabidopsis thaliana GN=MYC3 PE=1 SV=1</t>
  </si>
  <si>
    <t>Protein SCARECROW OS=Pisum sativum GN=SCR PE=2 SV=1</t>
  </si>
  <si>
    <t>Multiple organellar RNA editing factor 9, chloroplastic OS=Arabidopsis thaliana GN=MORF9 PE=1 SV=1</t>
  </si>
  <si>
    <t>ELMO domain-containing protein A OS=Dictyostelium discoideum GN=elmoA PE=1 SV=1</t>
  </si>
  <si>
    <t>Formin-like protein 18 OS=Arabidopsis thaliana GN=FH18 PE=2 SV=2</t>
  </si>
  <si>
    <t>Protodermal factor 1 OS=Arabidopsis thaliana GN=PDF1 PE=2 SV=1</t>
  </si>
  <si>
    <t>Basic helix-loop-helix protein A OS=Pisum sativum GN=BHLH PE=3 SV=1</t>
  </si>
  <si>
    <t>Cytosolic 5'-nucleotidase 3A OS=Mus musculus GN=Nt5c3a PE=1 SV=4</t>
  </si>
  <si>
    <t>Rac-like GTP-binding protein ARAC7 OS=Arabidopsis thaliana GN=ARAC7 PE=1 SV=1</t>
  </si>
  <si>
    <t>Disease resistance protein RPS6 OS=Arabidopsis thaliana GN=RPS6 PE=1 SV=1</t>
  </si>
  <si>
    <t>Protein IQ-DOMAIN 14 OS=Arabidopsis thaliana GN=IQD14 PE=1 SV=1</t>
  </si>
  <si>
    <t>E3 ubiquitin-protein ligase RHF2A OS=Arabidopsis thaliana GN=RHF2A PE=2 SV=1</t>
  </si>
  <si>
    <t>Protein BTR1 OS=Arabidopsis thaliana GN=BTR1 PE=1 SV=1</t>
  </si>
  <si>
    <t>Cytochrome P450 93A3 OS=Glycine max GN=CYP93A3 PE=2 SV=1</t>
  </si>
  <si>
    <t>Glucan endo-1,3-beta-glucosidase 1 OS=Arabidopsis thaliana GN=At1g11820 PE=1 SV=3</t>
  </si>
  <si>
    <t>Ras-related protein RABA5e OS=Arabidopsis thaliana GN=RABA5E PE=2 SV=1</t>
  </si>
  <si>
    <t>Homeobox-leucine zipper protein ATHB-14 OS=Arabidopsis thaliana GN=ATHB-14 PE=1 SV=1</t>
  </si>
  <si>
    <t>Rho GTPase-activating protein 3 OS=Arabidopsis thaliana GN=ROPGAP3 PE=2 SV=1</t>
  </si>
  <si>
    <t>K(+) efflux antiporter 2, chloroplastic OS=Arabidopsis thaliana GN=KEA2 PE=1 SV=2</t>
  </si>
  <si>
    <t>Programmed cell death protein 2 OS=Bos taurus GN=PDCD2 PE=2 SV=1</t>
  </si>
  <si>
    <t>Protein trichome birefringence-like 41 OS=Arabidopsis thaliana GN=TBL41 PE=2 SV=1</t>
  </si>
  <si>
    <t>65-kDa microtubule-associated protein 4 OS=Arabidopsis thaliana GN=MAP65-4 PE=1 SV=2</t>
  </si>
  <si>
    <t>ABC transporter E family member 2 OS=Arabidopsis thaliana GN=ABCE2 PE=2 SV=1</t>
  </si>
  <si>
    <t>60S ribosomal protein L21-1 OS=Arabidopsis thaliana GN=RPL21A PE=2 SV=2</t>
  </si>
  <si>
    <t>Probably inactive leucine-rich repeat receptor-like protein kinase At5g06940 OS=Arabidopsis thaliana GN=At5g06940 PE=3 SV=1</t>
  </si>
  <si>
    <t>17.8 kDa class I heat shock protein OS=Daucus carota PE=3 SV=1</t>
  </si>
  <si>
    <t>Protoheme IX farnesyltransferase, mitochondrial OS=Arabidopsis thaliana GN=COX10 PE=2 SV=4</t>
  </si>
  <si>
    <t>Abrin-b OS=Abrus precatorius PE=1 SV=1</t>
  </si>
  <si>
    <t>Abrus precatorius</t>
  </si>
  <si>
    <t>C2 domain-containing protein At1g63220 OS=Arabidopsis thaliana GN=At1g63220 PE=1 SV=1</t>
  </si>
  <si>
    <t>Probable WRKY transcription factor 29 OS=Arabidopsis thaliana GN=WRKY29 PE=2 SV=1</t>
  </si>
  <si>
    <t>Calvin cycle protein CP12-3, chloroplastic OS=Arabidopsis thaliana GN=CP12-3 PE=1 SV=1</t>
  </si>
  <si>
    <t>DEAD-box ATP-dependent RNA helicase 31 OS=Arabidopsis thaliana GN=RH31 PE=2 SV=2</t>
  </si>
  <si>
    <t>Pre-mRNA-processing protein 40B OS=Arabidopsis thaliana GN=PRP40B PE=1 SV=1</t>
  </si>
  <si>
    <t>Probable disease resistance protein RDL6 OS=Arabidopsis thaliana GN=RDL6 PE=2 SV=1</t>
  </si>
  <si>
    <t>ER membrane protein complex subunit 6 OS=Dictyostelium discoideum GN=emc6 PE=3 SV=1</t>
  </si>
  <si>
    <t>HIPL1 protein OS=Arabidopsis thaliana GN=HIPL1 PE=1 SV=2</t>
  </si>
  <si>
    <t>LOB domain-containing protein 1 OS=Arabidopsis thaliana GN=LBD1 PE=2 SV=1</t>
  </si>
  <si>
    <t>Kinesin-like protein NACK1 OS=Nicotiana tabacum GN=NACK1 PE=1 SV=1</t>
  </si>
  <si>
    <t>Phosphate transporter PHO1 homolog 10 OS=Arabidopsis thaliana GN=PHO1-H10 PE=2 SV=1</t>
  </si>
  <si>
    <t>La-related protein 1C OS=Arabidopsis thaliana GN=LARP1C PE=1 SV=1</t>
  </si>
  <si>
    <t>Protein SIEVE ELEMENT OCCLUSION B OS=Arabidopsis thaliana GN=SEOB PE=1 SV=1</t>
  </si>
  <si>
    <t>Elongation of fatty acids protein A OS=Dictyostelium discoideum GN=eloA PE=2 SV=1</t>
  </si>
  <si>
    <t>Nuclear poly(A) polymerase 4 OS=Arabidopsis thaliana GN=PAPS4 PE=1 SV=1</t>
  </si>
  <si>
    <t>UDP-N-acetylglucosamine transferase subunit ALG13 homolog OS=Rattus norvegicus GN=Alg13 PE=1 SV=1</t>
  </si>
  <si>
    <t>RING-H2 finger protein ATL72 OS=Arabidopsis thaliana GN=ATL72 PE=2 SV=1</t>
  </si>
  <si>
    <t>3-hydroxyisobutyryl-CoA hydrolase-like protein 4, mitochondrial OS=Arabidopsis thaliana GN=At3g24360 PE=2 SV=1</t>
  </si>
  <si>
    <t>Bifunctional dTDP-4-dehydrorhamnose 3,5-epimerase/dTDP-4-dehydrorhamnose reductase OS=Arabidopsis thaliana GN=NRS/ER PE=1 SV=1</t>
  </si>
  <si>
    <t>WD repeat domain-containing protein 83 OS=Rattus norvegicus GN=Wdr83 PE=1 SV=1</t>
  </si>
  <si>
    <t>F-box protein SKIP19 OS=Arabidopsis thaliana GN=SKIP19 PE=1 SV=1</t>
  </si>
  <si>
    <t>Histidine protein methyltransferase 1 homolog OS=Bos taurus GN=METTL18 PE=2 SV=1</t>
  </si>
  <si>
    <t>Heme-binding-like protein At3g10130, chloroplastic OS=Arabidopsis thaliana GN=At3g10130 PE=2 SV=1</t>
  </si>
  <si>
    <t>RNA pseudouridine synthase 5 OS=Arabidopsis thaliana GN=At3g52260 PE=2 SV=2</t>
  </si>
  <si>
    <t>Protein PROTON GRADIENT REGULATION 5, chloroplastic OS=Arabidopsis thaliana GN=PGR5 PE=1 SV=1</t>
  </si>
  <si>
    <t>Probable methionine--tRNA ligase OS=Oryza sativa subsp. japonica GN=Os06g0508700 PE=2 SV=2</t>
  </si>
  <si>
    <t>Pathogenesis-related protein PR-1 type OS=Sambucus nigra PE=2 SV=1</t>
  </si>
  <si>
    <t>Sambucus nigra</t>
  </si>
  <si>
    <t>Probable protein phosphatase 2C 76 OS=Arabidopsis thaliana GN=At5g53140 PE=2 SV=1</t>
  </si>
  <si>
    <t>Pre-mRNA-splicing factor RSE1 OS=Ustilago maydis (strain 521 / FGSC 9021) GN=RSE1 PE=3 SV=1</t>
  </si>
  <si>
    <t>Protein POLLEN DEFECTIVE IN GUidANCE 1 OS=Arabidopsis thaliana GN=POD1 PE=1 SV=1</t>
  </si>
  <si>
    <t>Heat shock 70 kDa protein OS=Glycine max GN=HSP70 PE=3 SV=1</t>
  </si>
  <si>
    <t>NAD(P)H-quinone oxidoreductase subunit M, chloroplastic OS=Vitis vinifera GN=ndhM PE=2 SV=1</t>
  </si>
  <si>
    <t>Myb-related protein Zm1 OS=Zea mays PE=2 SV=1</t>
  </si>
  <si>
    <t>Fasciclin-like arabinogalactan protein 7 OS=Arabidopsis thaliana GN=FLA7 PE=1 SV=1</t>
  </si>
  <si>
    <t>GDP-mannose 3,5-epimerase 1 OS=Oryza sativa subsp. indica GN=OsI_032456 PE=2 SV=1</t>
  </si>
  <si>
    <t>Tubby-like F-box protein 3 OS=Arabidopsis thaliana GN=TULP3 PE=1 SV=1</t>
  </si>
  <si>
    <t>Bifunctional epoxide hydrolase 2 OS=Sus scrofa GN=EPHX2 PE=2 SV=1</t>
  </si>
  <si>
    <t>Haloacid dehalogenase-like hydrolase domain-containing protein 3 OS=Danio rerio GN=hdhd3 PE=2 SV=1</t>
  </si>
  <si>
    <t>Probable prolyl 4-hydroxylase 3 OS=Arabidopsis thaliana GN=P4H3 PE=2 SV=1</t>
  </si>
  <si>
    <t>Acyl-[acyl-carrier-protein] desaturase 6, chloroplastic OS=Arabidopsis thaliana GN=S-ACP-DES6 PE=2 SV=2</t>
  </si>
  <si>
    <t>Mechanosensitive ion channel protein 8 OS=Arabidopsis thaliana GN=MSL8 PE=2 SV=2</t>
  </si>
  <si>
    <t>Mediator of RNA polymerase II transcription subunit 33A OS=Arabidopsis thaliana GN=MED33A PE=1 SV=1</t>
  </si>
  <si>
    <t>Acetolactate synthase 3, chloroplastic OS=Brassica napus PE=3 SV=1</t>
  </si>
  <si>
    <t>VQ motif-containing protein 17 OS=Arabidopsis thaliana GN=VQ17 PE=2 SV=1</t>
  </si>
  <si>
    <t>NADH-ubiquinone oxidoreductase chain 2 OS=Arabidopsis thaliana GN=ND2 PE=2 SV=2</t>
  </si>
  <si>
    <t>Uncharacterized protein OsI_027940 OS=Oryza sativa subsp. indica GN=OsI_027940 PE=1 SV=2</t>
  </si>
  <si>
    <t>Condensin complex subunit 2 OS=Arabidopsis thaliana GN=CAPH PE=1 SV=1</t>
  </si>
  <si>
    <t>Probable aldo-keto reductase 2 OS=Oryza sativa subsp. japonica GN=Os04g0338000 PE=2 SV=2</t>
  </si>
  <si>
    <t>Callose synthase 7 OS=Arabidopsis thaliana GN=CALS7 PE=3 SV=3</t>
  </si>
  <si>
    <t>Probable diphthine methyl ester synthase OS=Arabidopsis thaliana GN=At4g31790 PE=2 SV=1</t>
  </si>
  <si>
    <t>Beta-amyrin 28-oxidase OS=Panax ginseng PE=2 SV=1</t>
  </si>
  <si>
    <t>Methylmalonate-semialdehyde dehydrogenase [acylating], mitochondrial OS=Arabidopsis thaliana GN=ALDH6B2 PE=2 SV=2</t>
  </si>
  <si>
    <t>G-type lectin S-receptor-like serine/threonine-protein kinase SD2-5 OS=Arabidopsis thaliana GN=SD25 PE=1 SV=1</t>
  </si>
  <si>
    <t>60S ribosomal protein L34-1 OS=Arabidopsis thaliana GN=RPL34A PE=2 SV=1</t>
  </si>
  <si>
    <t>C2 and GRAM domain-containing protein At1g03370 OS=Arabidopsis thaliana GN=At1g03370 PE=2 SV=4</t>
  </si>
  <si>
    <t>Protein MEI2-like 5 OS=Oryza sativa subsp. japonica GN=ML5 PE=2 SV=1</t>
  </si>
  <si>
    <t>Cellulose synthase-like protein E1 OS=Arabidopsis thaliana GN=CSLE1 PE=2 SV=1</t>
  </si>
  <si>
    <t>Mediator of RNA polymerase II transcription subunit 7a OS=Arabidopsis thaliana GN=MED7A PE=1 SV=1</t>
  </si>
  <si>
    <t>Ribonuclease 1 OS=Arabidopsis thaliana GN=RNS1 PE=1 SV=1</t>
  </si>
  <si>
    <t>Probable carboxylesterase 15 OS=Arabidopsis thaliana GN=CXE15 PE=2 SV=1</t>
  </si>
  <si>
    <t>Protein TRM32 OS=Arabidopsis thaliana GN=TRM32 PE=2 SV=1</t>
  </si>
  <si>
    <t>Molybdenum cofactor sulfurase OS=Mus musculus GN=Mocos PE=2 SV=1</t>
  </si>
  <si>
    <t>Cytochrome P450 81D1 OS=Arabidopsis thaliana GN=CYP81D1 PE=2 SV=1</t>
  </si>
  <si>
    <t>Alcohol dehydrogenase-like 3 OS=Arabidopsis thaliana GN=At1g32780 PE=2 SV=1</t>
  </si>
  <si>
    <t>Probable BOI-related E3 ubiquitin-protein ligase 2 OS=Arabidopsis thaliana GN=BRG2 PE=1 SV=1</t>
  </si>
  <si>
    <t>Ribosomal RNA small subunit methyltransferase, chloroplastic OS=Arabidopsis thaliana GN=PFC1 PE=2 SV=1</t>
  </si>
  <si>
    <t>tRNA wybutosine-synthesizing protein 2/3/4 OS=Arabidopsis thaliana GN=At4g04670 PE=2 SV=1</t>
  </si>
  <si>
    <t>Uncharacterized sugar kinase slr0537 OS=Synechocystis sp. (strain PCC 6803 / Kazusa) GN=slr0537 PE=3 SV=1</t>
  </si>
  <si>
    <t>Ferredoxin OS=Mastigocladus laminosus GN=petF PE=1 SV=2</t>
  </si>
  <si>
    <t>Mastigocladus laminosus</t>
  </si>
  <si>
    <t>Lectin OS=Lathyrus sphaericus PE=1 SV=1</t>
  </si>
  <si>
    <t>Lathyrus sphaericus</t>
  </si>
  <si>
    <t>Expansin-A13 OS=Arabidopsis thaliana GN=EXPA13 PE=2 SV=2</t>
  </si>
  <si>
    <t>G-type lectin S-receptor-like serine/threonine-protein kinase SD3-1 OS=Arabidopsis thaliana GN=SD31 PE=3 SV=1</t>
  </si>
  <si>
    <t>Subtilisin-like protease SBT4.14 OS=Arabidopsis thaliana GN=SBT4.14 PE=2 SV=1</t>
  </si>
  <si>
    <t>Chloroplast envelope membrane protein OS=Rhodomonas salina GN=cemA PE=3 SV=1</t>
  </si>
  <si>
    <t>Rhodomonas salina</t>
  </si>
  <si>
    <t>Pentatricopeptide repeat-containing protein At3g13880 OS=Arabidopsis thaliana GN=PCMP-E89 PE=2 SV=1</t>
  </si>
  <si>
    <t>HBS1-like protein OS=Bos taurus GN=HBS1L PE=2 SV=1</t>
  </si>
  <si>
    <t>Pentatricopeptide repeat-containing protein At5g57250, mitochondrial OS=Arabidopsis thaliana GN=At5g57250 PE=2 SV=2</t>
  </si>
  <si>
    <t>Eukaryotic translation initiation factor isoform 4G-1 OS=Oryza sativa subsp. japonica GN=Os04g0499300 PE=2 SV=2</t>
  </si>
  <si>
    <t>Phospholipase A2-alpha OS=Arabidopsis thaliana GN=PLA2-ALPHA PE=1 SV=1</t>
  </si>
  <si>
    <t>Inactive poly [ADP-ribose] polymerase RCD1 OS=Arabidopsis thaliana GN=RCD1 PE=1 SV=1</t>
  </si>
  <si>
    <t>Guanylate kinase 2 OS=Arabidopsis thaliana GN=GK-2 PE=2 SV=1</t>
  </si>
  <si>
    <t>Anthocyanidin 3-O-glucosyltransferase 5 OS=Manihot esculenta GN=GT5 PE=2 SV=1</t>
  </si>
  <si>
    <t>WAT1-related protein At4g19185 OS=Arabidopsis thaliana GN=At4g19185 PE=2 SV=1</t>
  </si>
  <si>
    <t>Ribonuclease 3 OS=Arabidopsis thaliana GN=RNS3 PE=2 SV=1</t>
  </si>
  <si>
    <t>AP2-like ethylene-responsive transcription factor At2g41710 OS=Arabidopsis thaliana GN=At2g41710 PE=2 SV=2</t>
  </si>
  <si>
    <t>TPR and ankyrin repeat-containing protein 1 OS=Homo sapiens GN=TRANK1 PE=2 SV=4</t>
  </si>
  <si>
    <t>Histone deacetylase complex subunit SAP18 OS=Arabidopsis thaliana GN=At2g45640 PE=1 SV=1</t>
  </si>
  <si>
    <t>Zinc finger protein GIS2 OS=Saccharomyces cerevisiae (strain ATCC 204508 / S288c) GN=GIS2 PE=1 SV=1</t>
  </si>
  <si>
    <t>Protein BREVIS RADIX OS=Arabidopsis thaliana GN=BRX PE=1 SV=2</t>
  </si>
  <si>
    <t>F-box protein At4g19940 OS=Arabidopsis thaliana GN=At4g19940 PE=3 SV=1</t>
  </si>
  <si>
    <t>DnaJ homolog subfamily B member 13 OS=Homo sapiens GN=DNAJB13 PE=2 SV=1</t>
  </si>
  <si>
    <t>Probable zinc protease PqqL OS=Haemophilus influenzae (strain ATCC 51907 / DSM 11121 / KW20 / Rd) GN=pqqL PE=3 SV=1</t>
  </si>
  <si>
    <t>Fatty-acid-binding protein 1 OS=Arabidopsis thaliana GN=FAP1 PE=1 SV=1</t>
  </si>
  <si>
    <t>Superoxide dismutase [Mn], mitochondrial OS=Capsicum annuum GN=SODA PE=2 SV=1</t>
  </si>
  <si>
    <t>Protein TRIGALACTOSYLDIACYLGLYCEROL 1, chloroplastic OS=Arabidopsis thaliana GN=TGD1 PE=1 SV=1</t>
  </si>
  <si>
    <t>Biogenesis of lysosome-related organelles complex 1 subunit 1 OS=Arabidopsis thaliana GN=BLOS1 PE=1 SV=1</t>
  </si>
  <si>
    <t>Glycine--tRNA ligase, mitochondrial 1 OS=Arabidopsis thaliana GN=At1g29880 PE=1 SV=1</t>
  </si>
  <si>
    <t>Polyadenylate-binding protein 8 OS=Arabidopsis thaliana GN=PAB8 PE=1 SV=1</t>
  </si>
  <si>
    <t>Protein STRUBBELIG-RECEPTOR FAMILY 8 OS=Arabidopsis thaliana GN=SRF8 PE=2 SV=1</t>
  </si>
  <si>
    <t>QWRF motif-containing protein 2 OS=Arabidopsis thaliana GN=QWRF2 PE=2 SV=1</t>
  </si>
  <si>
    <t>Protein LURP-one-related 6 OS=Arabidopsis thaliana GN=At2g05910 PE=2 SV=1</t>
  </si>
  <si>
    <t>CWF19-like protein 2 OS=Mus musculus GN=Cwf19l2 PE=2 SV=1</t>
  </si>
  <si>
    <t>Electron transfer flavoprotein subunit alpha, mitochondrial OS=Arabidopsis thaliana GN=ETFA PE=1 SV=1</t>
  </si>
  <si>
    <t>Lipoxygenase 6, chloroplastic OS=Arabidopsis thaliana GN=LOX6 PE=2 SV=1</t>
  </si>
  <si>
    <t>Cysteine proteinase inhibitor 6 OS=Arabidopsis thaliana GN=CYS6 PE=1 SV=2</t>
  </si>
  <si>
    <t>Pentatricopeptide repeat-containing protein At4g14820 OS=Arabidopsis thaliana GN=PCMP-H3 PE=2 SV=1</t>
  </si>
  <si>
    <t>Non-specific lipid-transfer protein 8 OS=Arabidopsis thaliana GN=LTP8 PE=3 SV=1</t>
  </si>
  <si>
    <t>Histone-lysine N-methyltransferase ATXR7 OS=Arabidopsis thaliana GN=ATXR7 PE=2 SV=1</t>
  </si>
  <si>
    <t>Protein root UVB sensitive 4 OS=Arabidopsis thaliana GN=RUS4 PE=2 SV=1</t>
  </si>
  <si>
    <t>RRP15-like protein OS=Bos taurus GN=RRP15 PE=2 SV=1</t>
  </si>
  <si>
    <t>S-adenosylmethionine carrier 1, chloroplastic/mitochondrial OS=Arabidopsis thaliana GN=SAMC1 PE=1 SV=1</t>
  </si>
  <si>
    <t>Galacturonokinase OS=Arabidopsis thaliana GN=GALAK PE=1 SV=1</t>
  </si>
  <si>
    <t>Ribosomal RNA small subunit methyltransferase H OS=Protochlamydia amoebophila (strain UWE25) GN=rsmH PE=3 SV=1</t>
  </si>
  <si>
    <t>Protochlamydia amoebophila</t>
  </si>
  <si>
    <t>Probable calcium-binding protein CML22 OS=Arabidopsis thaliana GN=CML22 PE=3 SV=1</t>
  </si>
  <si>
    <t>Probable phosphoinositide phosphatase SAC9 OS=Arabidopsis thaliana GN=SAC9 PE=1 SV=1</t>
  </si>
  <si>
    <t>Chloroplastic group IIA intron splicing facilitator CRS1, chloroplastic OS=Oryza sativa subsp. japonica GN=Os08g0360100 PE=2 SV=1</t>
  </si>
  <si>
    <t>Chlorophyll synthase, chloroplastic OS=Arabidopsis thaliana GN=CHLG PE=2 SV=1</t>
  </si>
  <si>
    <t>Probable dynein light chain OS=Schistosoma mansoni PE=3 SV=1</t>
  </si>
  <si>
    <t>Schistosoma mansoni</t>
  </si>
  <si>
    <t>Josephin-like protein OS=Arabidopsis thaliana GN=At2g29640 PE=2 SV=1</t>
  </si>
  <si>
    <t>F-box/LRR-repeat protein At5g63520 OS=Arabidopsis thaliana GN=At5g63520 PE=2 SV=1</t>
  </si>
  <si>
    <t>Derlin-1.1 OS=Zea mays GN=DER1.1 PE=2 SV=2</t>
  </si>
  <si>
    <t>Cytochrome b561, DM13 and DOMON domain-containing protein At5g54830 OS=Arabidopsis thaliana GN=At5g54830 PE=2 SV=1</t>
  </si>
  <si>
    <t>Putative WEB family protein At1g65010, chloroplastic OS=Arabidopsis thaliana GN=At1g65010 PE=1 SV=1</t>
  </si>
  <si>
    <t>Succinate-semialdehyde dehydrogenase, mitochondrial OS=Arabidopsis thaliana GN=ALDH5F1 PE=1 SV=2</t>
  </si>
  <si>
    <t>Haloacid dehalogenase-like hydrolase domain-containing protein At3g48420 OS=Arabidopsis thaliana GN=At3g48420 PE=1 SV=1</t>
  </si>
  <si>
    <t>Cycloartenol-C-24-methyltransferase OS=Arabidopsis thaliana GN=SMT1 PE=1 SV=1</t>
  </si>
  <si>
    <t>Putative tRNA pseudouridine synthase Pus10 OS=Homo sapiens GN=PUS10 PE=1 SV=1</t>
  </si>
  <si>
    <t>E3 ubiquitin protein ligase DRIP2 OS=Arabidopsis thaliana GN=DRIP2 PE=1 SV=1</t>
  </si>
  <si>
    <t>Putative cyclic nucleotide-gated ion channel 18 OS=Arabidopsis thaliana GN=CNGC18 PE=3 SV=1</t>
  </si>
  <si>
    <t>2-oxoglutarate-dependent dioxygenase DAO OS=Oryza sativa subsp. japonica GN=DAO PE=2 SV=2</t>
  </si>
  <si>
    <t>Coiled-coil domain-containing protein 130 OS=Rattus norvegicus GN=Ccdc130 PE=2 SV=1</t>
  </si>
  <si>
    <t>Scarecrow-like protein 4 OS=Arabidopsis thaliana GN=SCL4 PE=2 SV=1</t>
  </si>
  <si>
    <t>Ubiquitin carboxyl-terminal hydrolase 5 OS=Arabidopsis thaliana GN=UBP5 PE=1 SV=2</t>
  </si>
  <si>
    <t>Probable 26S proteasome non-ATPase regulatory subunit 3 OS=Daucus carota GN=21D7 PE=1 SV=2</t>
  </si>
  <si>
    <t>Pentatricopeptide repeat-containing protein At3g16610 OS=Arabidopsis thaliana GN=PCMP-E91 PE=2 SV=1</t>
  </si>
  <si>
    <t>BAG family molecular chaperone regulator 1 OS=Arabidopsis thaliana GN=BAG1 PE=1 SV=1</t>
  </si>
  <si>
    <t>ATP-citrate synthase beta chain protein 1 OS=Oryza sativa subsp. japonica GN=ACLB-1 PE=2 SV=1</t>
  </si>
  <si>
    <t>Receptor-like protein kinase HSL1 OS=Arabidopsis thaliana GN=HSL1 PE=2 SV=1</t>
  </si>
  <si>
    <t>Adenylosuccinate lyase OS=Haemophilus influenzae (strain ATCC 51907 / DSM 11121 / KW20 / Rd) GN=purB PE=3 SV=1</t>
  </si>
  <si>
    <t>ATP-dependent Clp protease proteolytic subunit 5, chloroplastic OS=Arabidopsis thaliana GN=CLPP5 PE=1 SV=1</t>
  </si>
  <si>
    <t>tRNA dimethylallyltransferase 2 OS=Arabidopsis thaliana GN=IPT2 PE=1 SV=2</t>
  </si>
  <si>
    <t>Probable galacturonosyltransferase 4 OS=Arabidopsis thaliana GN=GAUT4 PE=2 SV=1</t>
  </si>
  <si>
    <t>Peroxisome biogenesis protein 19-1 OS=Arabidopsis thaliana GN=PEX19-1 PE=1 SV=1</t>
  </si>
  <si>
    <t>Ubiquitin-like-specific protease 1D OS=Arabidopsis thaliana GN=ULP1D PE=1 SV=1</t>
  </si>
  <si>
    <t>Ubiquitin-conjugating enzyme E2 7 OS=Arabidopsis thaliana GN=UBC7 PE=2 SV=1</t>
  </si>
  <si>
    <t>RNA pseudouridine synthase 4, mitochondrial OS=Arabidopsis thaliana GN=At3g19440 PE=2 SV=1</t>
  </si>
  <si>
    <t>Plant intracellular Ras-group-related LRR protein 5 OS=Oryza sativa subsp. japonica GN=IRL5 PE=2 SV=1</t>
  </si>
  <si>
    <t>ADP-ribosylation factor GTPase-activating protein AGD12 OS=Arabidopsis thaliana GN=AGD12 PE=1 SV=1</t>
  </si>
  <si>
    <t>IST1 homolog OS=Mus musculus GN=Ist1 PE=2 SV=1</t>
  </si>
  <si>
    <t>Peroxidase 21 OS=Arabidopsis thaliana GN=PER21 PE=1 SV=1</t>
  </si>
  <si>
    <t>Haloacid dehalogenase-like hydrolase domain-containing protein At4g39970 OS=Arabidopsis thaliana GN=At4g39970 PE=2 SV=1</t>
  </si>
  <si>
    <t>Stress-induced-phosphoprotein 1 OS=Caenorhabditis elegans GN=sti-1 PE=1 SV=1</t>
  </si>
  <si>
    <t>Acyl-coenzyme A oxidase 4, peroxisomal OS=Arabidopsis thaliana GN=ACX4 PE=1 SV=1</t>
  </si>
  <si>
    <t>Profilin OS=Prunus persica PE=1 SV=1</t>
  </si>
  <si>
    <t>RHOMBOid-like protein 8 OS=Arabidopsis thaliana GN=KOM PE=2 SV=1</t>
  </si>
  <si>
    <t>50S ribosomal protein L9 OS=Solibacter usitatus (strain Ellin6076) GN=rplI PE=3 SV=1</t>
  </si>
  <si>
    <t>Solibacter usitatus</t>
  </si>
  <si>
    <t>Adenylyl-sulfate kinase 3 OS=Arabidopsis thaliana GN=APK3 PE=1 SV=1</t>
  </si>
  <si>
    <t>Probable serine/threonine-protein kinase At5g41260 OS=Arabidopsis thaliana GN=At5g41260 PE=1 SV=1</t>
  </si>
  <si>
    <t>Ubiquitin-like modifier-activating enzyme atg7 OS=Arabidopsis thaliana GN=ATG7 PE=1 SV=1</t>
  </si>
  <si>
    <t>E3 ubiquitin-protein ligase RNF170 OS=Danio rerio GN=rnf170 PE=2 SV=1</t>
  </si>
  <si>
    <t>Dolichyl-diphosphooligosaccharide--protein glycosyltransferase 48 kDa subunit OS=Oryza sativa subsp. japonica GN=OST48 PE=2 SV=1</t>
  </si>
  <si>
    <t>Protein phosphatase 2C and cyclic nucleotide-binding/kinase domain-containing protein OS=Arabidopsis thaliana GN=At2g20050/At2g20040 PE=2 SV=2</t>
  </si>
  <si>
    <t>Beta-amyrin synthase OS=Betula platyphylla GN=OSCBPY PE=1 SV=1</t>
  </si>
  <si>
    <t>Tetratricopeptide repeat protein 4 homolog OS=Dictyostelium discoideum GN=ttc4 PE=3 SV=1</t>
  </si>
  <si>
    <t>Syntaxin-43 OS=Arabidopsis thaliana GN=SYP43 PE=2 SV=2</t>
  </si>
  <si>
    <t>Probable LRR receptor-like serine/threonine-protein kinase At4g20940 OS=Arabidopsis thaliana GN=At4g20940 PE=1 SV=1</t>
  </si>
  <si>
    <t>Protein ELF4-LIKE 4 OS=Arabidopsis thaliana GN=EFL4 PE=2 SV=1</t>
  </si>
  <si>
    <t>CBL-interacting serine/threonine-protein kinase 11 OS=Arabidopsis thaliana GN=CIPK11 PE=1 SV=1</t>
  </si>
  <si>
    <t>Protein DCL, chloroplastic OS=Solanum lycopersicum GN=DCL PE=2 SV=1</t>
  </si>
  <si>
    <t>Major capsid protein OS=Barley yellow dwarf virus (isolate MAV) GN=ORF3 PE=3 SV=1</t>
  </si>
  <si>
    <t>Barley yellow</t>
  </si>
  <si>
    <t>Aspartokinase 1, chloroplastic OS=Arabidopsis thaliana GN=AK1 PE=1 SV=1</t>
  </si>
  <si>
    <t>Protein DENND6A OS=Mus musculus GN=Dennd6a PE=2 SV=1</t>
  </si>
  <si>
    <t>6-phosphogluconate dehydrogenase, decarboxylating 2, chloroplastic OS=Arabidopsis thaliana GN=At5g41670 PE=1 SV=1</t>
  </si>
  <si>
    <t>DNA/RNA-binding protein KIN17 OS=Mus musculus GN=Kin PE=2 SV=1</t>
  </si>
  <si>
    <t>Mannose-1-phosphate guanyltransferase alpha-B OS=Danio rerio GN=gmppab PE=2 SV=1</t>
  </si>
  <si>
    <t>MACPF domain-containing protein At1g14780 OS=Arabidopsis thaliana GN=At1g14780 PE=2 SV=1</t>
  </si>
  <si>
    <t>Type IV inositol polyphosphate 5-phosphatase 3 OS=Arabidopsis thaliana GN=IP5P3 PE=1 SV=1</t>
  </si>
  <si>
    <t>Acid phosphatase 1 OS=Solanum lycopersicum GN=APS1 PE=2 SV=1</t>
  </si>
  <si>
    <t>Accelerated cell death 11 OS=Arabidopsis thaliana GN=ACD11 PE=1 SV=1</t>
  </si>
  <si>
    <t>Peroxidase 25 OS=Arabidopsis thaliana GN=PER25 PE=2 SV=2</t>
  </si>
  <si>
    <t>E3 ubiquitin-protein ligase Hakai OS=Gallus gallus GN=CBLL1 PE=2 SV=1</t>
  </si>
  <si>
    <t>Protein unc-50 homolog OS=Dictyostelium discoideum GN=DDB_G0292320 PE=3 SV=1</t>
  </si>
  <si>
    <t>Nucleobase-ascorbate transporter 2 OS=Arabidopsis thaliana GN=NAT2 PE=2 SV=2</t>
  </si>
  <si>
    <t>Zinc finger CCCH domain-containing protein 14 OS=Oryza sativa subsp. japonica GN=Os02g0194200 PE=2 SV=1</t>
  </si>
  <si>
    <t>Serine/arginine-rich splicing factor RS2Z33 OS=Arabidopsis thaliana GN=RS2Z33 PE=1 SV=1</t>
  </si>
  <si>
    <t>V-type proton ATPase subunit H OS=Arabidopsis thaliana GN=VHA-H PE=1 SV=1</t>
  </si>
  <si>
    <t>Signal peptide peptidase-like 5 OS=Arabidopsis thaliana GN=SPPL5 PE=2 SV=1</t>
  </si>
  <si>
    <t>CTD small phosphatase-like protein 2 OS=Dictyostelium discoideum GN=ctdspl2 PE=3 SV=1</t>
  </si>
  <si>
    <t>Microspherule protein 1 OS=Mus musculus GN=Mcrs1 PE=1 SV=1</t>
  </si>
  <si>
    <t>NEP1-interacting protein-like 2 OS=Arabidopsis thaliana GN=ATL24 PE=1 SV=2</t>
  </si>
  <si>
    <t>Probable glycosyltransferase At3g42180 OS=Arabidopsis thaliana GN=At3g42180 PE=2 SV=2</t>
  </si>
  <si>
    <t>Chaperone protein dnaJ 13 OS=Arabidopsis thaliana GN=ATJ13 PE=1 SV=2</t>
  </si>
  <si>
    <t>Probable mitochondrial adenine nucleotide transporter BTL3 OS=Arabidopsis thaliana GN=At5g64970 PE=2 SV=1</t>
  </si>
  <si>
    <t>Probable bifunctional TENA-E protein OS=Glycine max GN=TENA_E PE=2 SV=1</t>
  </si>
  <si>
    <t>Eukaryotic translation initiation factor 3 subunit F OS=Arabidopsis thaliana GN=TIF3F1 PE=1 SV=1</t>
  </si>
  <si>
    <t>Alkylated DNA repair protein alkB homolog 8 OS=Xenopus tropicalis GN=alkbh8 PE=2 SV=2</t>
  </si>
  <si>
    <t>Neutral ceramidase OS=Arabidopsis thaliana GN=At2g38010 PE=3 SV=1</t>
  </si>
  <si>
    <t>Auxin-induced in root cultures protein 12 OS=Arabidopsis thaliana GN=AIR12 PE=1 SV=3</t>
  </si>
  <si>
    <t>Formin-like protein 5 OS=Arabidopsis thaliana GN=FH5 PE=2 SV=2</t>
  </si>
  <si>
    <t>Probable proteasome inhibitor OS=Arabidopsis thaliana GN=At3g53970 PE=1 SV=1</t>
  </si>
  <si>
    <t>SNF1-related protein kinase regulatory subunit beta-2 OS=Arabidopsis thaliana GN=KINB2 PE=1 SV=1</t>
  </si>
  <si>
    <t>Vacuolar protein sorting-associated protein 2 homolog 1 OS=Arabidopsis thaliana GN=VPS2.1 PE=1 SV=2</t>
  </si>
  <si>
    <t>Zinc finger protein ZAT10 OS=Arabidopsis thaliana GN=ZAT10 PE=2 SV=1</t>
  </si>
  <si>
    <t>Protein MEI2-like 2 OS=Oryza sativa subsp. japonica GN=ML2 PE=2 SV=1</t>
  </si>
  <si>
    <t>Delta(24)-sterol reductase OS=Pisum sativum GN=DIM PE=1 SV=1</t>
  </si>
  <si>
    <t>V-type proton ATPase subunit e1 OS=Arabidopsis thaliana GN=VHA-e1 PE=2 SV=1</t>
  </si>
  <si>
    <t>Brefeldin A-inhibited guanine nucleotide-exchange protein 1 OS=Arabidopsis thaliana GN=BIG1 PE=2 SV=1</t>
  </si>
  <si>
    <t>Cyclin-J18 OS=Arabidopsis thaliana GN=CYCJ18 PE=2 SV=2</t>
  </si>
  <si>
    <t>EPidERMAL PATTERNING FACTOR-like protein 3 OS=Arabidopsis thaliana GN=EPFL3 PE=1 SV=1</t>
  </si>
  <si>
    <t>Hydroxyacylglutathione hydrolase cytoplasmic OS=Arabidopsis thaliana GN=GLX2-2 PE=1 SV=2</t>
  </si>
  <si>
    <t>Cytochrome b561 and DOMON domain-containing protein At5g47530 OS=Arabidopsis thaliana GN=At5g47530 PE=2 SV=1</t>
  </si>
  <si>
    <t>Galactinol synthase 1 OS=Ajuga reptans GN=GOLS1 PE=1 SV=1</t>
  </si>
  <si>
    <t>Ajuga reptans</t>
  </si>
  <si>
    <t>F-box protein SKIP17 OS=Arabidopsis thaliana GN=SKIP17 PE=1 SV=1</t>
  </si>
  <si>
    <t>Potassium channel KAT3 OS=Arabidopsis thaliana GN=KAT3 PE=1 SV=1</t>
  </si>
  <si>
    <t>Peroxiredoxin Q, chloroplastic OS=Populus jackii GN=PRXQ PE=1 SV=1</t>
  </si>
  <si>
    <t>Populus jackii</t>
  </si>
  <si>
    <t>Actin, alpha skeletal muscle OS=Oryzias latipes GN=acta1 PE=2 SV=1</t>
  </si>
  <si>
    <t>Oryzias latipes</t>
  </si>
  <si>
    <t>Probable 6-phosphogluconolactonase 4, chloroplastic OS=Oryza sativa subsp. japonica GN=Os09g0529100 PE=2 SV=2</t>
  </si>
  <si>
    <t>Endoglucanase 23 OS=Oryza sativa subsp. japonica GN=GLU12 PE=2 SV=1</t>
  </si>
  <si>
    <t>60S ribosomal protein L38 OS=Arabidopsis thaliana GN=RPL38A PE=3 SV=1</t>
  </si>
  <si>
    <t>SUMO-activating enzyme subunit 1A OS=Arabidopsis thaliana GN=SAE1A PE=1 SV=1</t>
  </si>
  <si>
    <t>Probable L-ascorbate peroxidase 8, chloroplastic OS=Oryza sativa subsp. japonica GN=APX8 PE=2 SV=2</t>
  </si>
  <si>
    <t>3-hydroxyisobutyryl-CoA hydrolase-like protein 5 OS=Arabidopsis thaliana GN=At1g06550 PE=1 SV=2</t>
  </si>
  <si>
    <t>GDSL esterase/lipase At5g62930 OS=Arabidopsis thaliana GN=At5g62930 PE=2 SV=3</t>
  </si>
  <si>
    <t>5'-nucleotidase SurE OS=Thermosipho melanesiensis (strain BI429 / DSM 12029) GN=surE PE=3 SV=1</t>
  </si>
  <si>
    <t>Thermosipho melanesiensis</t>
  </si>
  <si>
    <t>Phenylalanine--tRNA ligase beta subunit, cytoplasmic OS=Arabidopsis thaliana GN=At1g72550 PE=2 SV=1</t>
  </si>
  <si>
    <t>BAG family molecular chaperone regulator 3 OS=Arabidopsis thaliana GN=BAG3 PE=1 SV=1</t>
  </si>
  <si>
    <t>Molybdopterin synthase sulfur carrier subunit OS=Arabidopsis thaliana GN=At4g10100 PE=2 SV=1</t>
  </si>
  <si>
    <t>Heat shock protein 90-1 OS=Arabidopsis thaliana GN=HSP90-1 PE=1 SV=3</t>
  </si>
  <si>
    <t>Mitochondrial import receptor subunit TOM9-2 OS=Arabidopsis thaliana GN=TOM9-2 PE=1 SV=3</t>
  </si>
  <si>
    <t>Ferredoxin--NADP reductase, leaf isozyme, chloroplastic OS=Pisum sativum GN=PETH PE=1 SV=1</t>
  </si>
  <si>
    <t>BTB/POZ and MATH domain-containing protein 3 OS=Arabidopsis thaliana GN=BPM3 PE=1 SV=1</t>
  </si>
  <si>
    <t>Elongation factor 1-gamma OS=Prunus avium PE=2 SV=1</t>
  </si>
  <si>
    <t>Transcription factor bHLH123 OS=Arabidopsis thaliana GN=BHLH123 PE=2 SV=1</t>
  </si>
  <si>
    <t>Probable beta-1,4-xylosyltransferase IRX10L OS=Arabidopsis thaliana GN=IRX10L PE=2 SV=1</t>
  </si>
  <si>
    <t>Protein BRANCHLESS TRICHOME OS=Arabidopsis thaliana GN=BLT PE=1 SV=1</t>
  </si>
  <si>
    <t>Protein NLP8 OS=Arabidopsis thaliana GN=NLP8 PE=2 SV=1</t>
  </si>
  <si>
    <t>DNA repair protein RAD51 homolog OS=Solanum lycopersicum GN=RAD51 PE=2 SV=1</t>
  </si>
  <si>
    <t>Protein YABBY 5 OS=Oryza sativa subsp. japonica GN=YAB5 PE=2 SV=1</t>
  </si>
  <si>
    <t>Putative lipid-transfer protein DIR1 OS=Arabidopsis thaliana GN=DIR1 PE=1 SV=1</t>
  </si>
  <si>
    <t>Dual specificity protein kinase shkC OS=Dictyostelium discoideum GN=shkC PE=3 SV=1</t>
  </si>
  <si>
    <t>BTB/POZ domain-containing protein DOT3 OS=Arabidopsis thaliana GN=DOT3 PE=2 SV=1</t>
  </si>
  <si>
    <t>Sugar transporter ERD6-like 6 OS=Arabidopsis thaliana GN=At1g75220 PE=1 SV=1</t>
  </si>
  <si>
    <t>Probable calcium-binding protein CML49 OS=Arabidopsis thaliana GN=CML49 PE=2 SV=1</t>
  </si>
  <si>
    <t>DnaJ homolog subfamily B member 14 OS=Xenopus tropicalis GN=dnajb14 PE=2 SV=1</t>
  </si>
  <si>
    <t>4-coumarate--CoA ligase-like 7 OS=Arabidopsis thaliana GN=4CLL7 PE=1 SV=1</t>
  </si>
  <si>
    <t>Probable WRKY transcription factor 40 OS=Arabidopsis thaliana GN=WRKY40 PE=1 SV=1</t>
  </si>
  <si>
    <t>DNA-damage-repair/toleration protein DRT100 OS=Arabidopsis thaliana GN=DRT100 PE=2 SV=2</t>
  </si>
  <si>
    <t>CTP synthase OS=Dictyostelium discoideum GN=ctps PE=3 SV=1</t>
  </si>
  <si>
    <t>Protein GrpE OS=Rhodopseudomonas palustris (strain BisA53) GN=grpE PE=3 SV=1</t>
  </si>
  <si>
    <t>Rhodopseudomonas palustris</t>
  </si>
  <si>
    <t>Transcription initiation factor IIB-2 OS=Arabidopsis thaliana GN=TFIIB2 PE=2 SV=1</t>
  </si>
  <si>
    <t>4-coumarate--CoA ligase 1 OS=Nicotiana tabacum GN=4CL1 PE=2 SV=1</t>
  </si>
  <si>
    <t>MLO-like protein 12 OS=Arabidopsis thaliana GN=MLO12 PE=2 SV=2</t>
  </si>
  <si>
    <t>Homocysteine S-methyltransferase 3 OS=Arabidopsis thaliana GN=HMT3 PE=1 SV=2</t>
  </si>
  <si>
    <t>Pentatricopeptide repeat-containing protein At3g04130, mitochondrial OS=Arabidopsis thaliana GN=At3g04130 PE=2 SV=2</t>
  </si>
  <si>
    <t>UDP-glycosyltransferase 82A1 OS=Arabidopsis thaliana GN=UGT82A1 PE=2 SV=1</t>
  </si>
  <si>
    <t>Succinate dehydrogenase [ubiquinone] iron-sulfur subunit 2, mitochondrial OS=Arabidopsis thaliana GN=SDH2-2 PE=1 SV=2</t>
  </si>
  <si>
    <t>GPI-anchored protein LORELEI OS=Arabidopsis thaliana GN=LRE PE=2 SV=1</t>
  </si>
  <si>
    <t>Histone H2B.2 OS=Arabidopsis thaliana GN=At1g08170 PE=2 SV=1</t>
  </si>
  <si>
    <t>Probable receptor-like protein kinase At1g49730 OS=Arabidopsis thaliana GN=At1g49730 PE=2 SV=1</t>
  </si>
  <si>
    <t>Transcription factor TCP15 OS=Arabidopsis thaliana GN=TCP15 PE=2 SV=1</t>
  </si>
  <si>
    <t>ABC transporter B family member 14 OS=Arabidopsis thaliana GN=ABCB14 PE=3 SV=1</t>
  </si>
  <si>
    <t>Carboxyl-terminal-processing peptidase 3, chloroplastic OS=Arabidopsis thaliana GN=CTPA3 PE=3 SV=1</t>
  </si>
  <si>
    <t>NADH dehydrogenase [ubiquinone] complex I, assembly factor 7 OS=Dictyostelium discoideum GN=midA PE=1 SV=1</t>
  </si>
  <si>
    <t>Peroxidase 3 OS=Arabidopsis thaliana GN=PER3 PE=2 SV=1</t>
  </si>
  <si>
    <t>NAD(P)H-quinone oxidoreductase subunit 5, chloroplastic OS=Gossypium hirsutum GN=ndhF PE=3 SV=1</t>
  </si>
  <si>
    <t>Ankyrin-1 OS=Homo sapiens GN=ANK1 PE=1 SV=3</t>
  </si>
  <si>
    <t>Pentatricopeptide repeat-containing protein At5g55840 OS=Arabidopsis thaliana GN=At5g55840 PE=3 SV=2</t>
  </si>
  <si>
    <t>Disease resistance protein TAO1 OS=Arabidopsis thaliana GN=TAO1 PE=3 SV=1</t>
  </si>
  <si>
    <t>60S ribosomal protein L37 (Fragment) OS=Solanum lycopersicum GN=RPL37 PE=2 SV=1</t>
  </si>
  <si>
    <t>Catechol 1,2-dioxygenase OS=Candida albicans (strain SC5314 / ATCC MYA-2876) GN=HQD2 PE=1 SV=1</t>
  </si>
  <si>
    <t>Candida albicans</t>
  </si>
  <si>
    <t>Probable glutathione S-transferase parA OS=Nicotiana tabacum GN=PARA PE=2 SV=1</t>
  </si>
  <si>
    <t>Protein IQ-DOMAIN 1 OS=Arabidopsis thaliana GN=IQD1 PE=1 SV=1</t>
  </si>
  <si>
    <t>Probable galacturonosyltransferase-like 1 OS=Arabidopsis thaliana GN=GATL1 PE=2 SV=1</t>
  </si>
  <si>
    <t>Aldehyde dehydrogenase OS=Davidiella tassiana GN=CLAH10 PE=1 SV=2</t>
  </si>
  <si>
    <t>Davidiella tassiana</t>
  </si>
  <si>
    <t>Cationic peroxidase 1 OS=Arachis hypogaea GN=PNC1 PE=1 SV=2</t>
  </si>
  <si>
    <t>Arachis hypogaea</t>
  </si>
  <si>
    <t>E3 ubiquitin-protein ligase COP1 OS=Arabidopsis thaliana GN=COP1 PE=1 SV=2</t>
  </si>
  <si>
    <t>Phosphoinositide phosphatase SAC3 OS=Arabidopsis thaliana GN=SAC3 PE=2 SV=1</t>
  </si>
  <si>
    <t>Dehydrodolichyl diphosphate syntase complex subunit NUS1 OS=Homo sapiens GN=NUS1 PE=1 SV=1</t>
  </si>
  <si>
    <t>Cytochrome c oxidase subunit 6b-1 OS=Arabidopsis thaliana GN=COX6B-1 PE=1 SV=1</t>
  </si>
  <si>
    <t>Polygalacturonase inhibitor OS=Pyrus communis GN=PGIP PE=1 SV=1</t>
  </si>
  <si>
    <t>Phosphoenolpyruvate carboxylase 4 OS=Arabidopsis thaliana GN=PPC4 PE=2 SV=1</t>
  </si>
  <si>
    <t>CBL-interacting protein kinase 5 OS=Oryza sativa subsp. japonica GN=CIPK5 PE=2 SV=1</t>
  </si>
  <si>
    <t>Fanconi-associated nuclease 1 homolog OS=Oryza sativa subsp. japonica GN=Os06g0171800 PE=3 SV=1</t>
  </si>
  <si>
    <t>F-box/LRR-repeat protein At3g03360 OS=Arabidopsis thaliana GN=At3g03360 PE=2 SV=2</t>
  </si>
  <si>
    <t>Xyloglucan endotransglucosylase/hydrolase 2 OS=Glycine max PE=2 SV=1</t>
  </si>
  <si>
    <t>Glutaredoxin-C13 OS=Arabidopsis thaliana GN=GRXC13 PE=3 SV=1</t>
  </si>
  <si>
    <t>Pre-mRNA-splicing factor ATP-dependent RNA helicase-like protein cdc28 OS=Schizosaccharomyces pombe (strain 972 / ATCC 24843) GN=cdc28 PE=3 SV=2</t>
  </si>
  <si>
    <t>BAG family molecular chaperone regulator 4 OS=Arabidopsis thaliana GN=BAG4 PE=1 SV=1</t>
  </si>
  <si>
    <t>G-type lectin S-receptor-like serine/threonine-protein kinase At1g61480 OS=Arabidopsis thaliana GN=At1g61480 PE=2 SV=2</t>
  </si>
  <si>
    <t>Delta-1-pyrroline-5-carboxylate synthase OS=Actinidia deliciosa PE=2 SV=1</t>
  </si>
  <si>
    <t>Protein SUPPRESSOR OF GENE SILENCING 3 OS=Arabidopsis thaliana GN=SGS3 PE=1 SV=1</t>
  </si>
  <si>
    <t>UDP-glycosyltransferase 74F2 OS=Arabidopsis thaliana GN=UGT74F2 PE=1 SV=1</t>
  </si>
  <si>
    <t>Disease resistance protein RPH8A OS=Arabidopsis thaliana GN=RPH8A PE=3 SV=1</t>
  </si>
  <si>
    <t>Heat shock 70 kDa protein OS=Chlamydomonas reinhardtii GN=HSP70 PE=2 SV=2</t>
  </si>
  <si>
    <t>Protein ECERIFERUM 26-like OS=Arabidopsis thaliana GN=CER26L PE=2 SV=1</t>
  </si>
  <si>
    <t>Glutathione S-transferase U7 OS=Arabidopsis thaliana GN=GSTU7 PE=2 SV=1</t>
  </si>
  <si>
    <t>Transcription repressor OFP13 OS=Arabidopsis thaliana GN=OFP13 PE=2 SV=1</t>
  </si>
  <si>
    <t>Protein TIFY 3B OS=Arabidopsis thaliana GN=TIFY3B PE=1 SV=1</t>
  </si>
  <si>
    <t>Pentatricopeptide repeat-containing protein At2g41080 OS=Arabidopsis thaliana GN=PCMP-H29 PE=2 SV=2</t>
  </si>
  <si>
    <t>Endoglucanase 9 OS=Oryza sativa subsp. japonica GN=GLU1 PE=2 SV=1</t>
  </si>
  <si>
    <t>Glutamate receptor 2.9 OS=Arabidopsis thaliana GN=GLR2.9 PE=2 SV=1</t>
  </si>
  <si>
    <t>Polygalacturonase ADPG2 OS=Arabidopsis thaliana GN=ADPG2 PE=2 SV=2</t>
  </si>
  <si>
    <t>UPF0496 protein At1g20180 OS=Arabidopsis thaliana GN=At1g20180 PE=2 SV=2</t>
  </si>
  <si>
    <t>Wound-induced protein 1 OS=Solanum tuberosum GN=WUN1 PE=2 SV=1</t>
  </si>
  <si>
    <t>Transcription repressor OFP6 OS=Arabidopsis thaliana GN=OFP6 PE=1 SV=1</t>
  </si>
  <si>
    <t>Zinc finger CCCH domain-containing protein 25 OS=Oryza sativa subsp. japonica GN=Os03g0826400 PE=2 SV=1</t>
  </si>
  <si>
    <t>Fasciclin-like arabinogalactan protein 11 OS=Arabidopsis thaliana GN=FLA11 PE=2 SV=2</t>
  </si>
  <si>
    <t>Transcription factor DIVARICATA OS=Antirrhinum majus GN=DIVARICATA PE=2 SV=1</t>
  </si>
  <si>
    <t>Protein RETICULATA-RELATED 4 OS=Arabidopsis thaliana GN=RER4 PE=2 SV=1</t>
  </si>
  <si>
    <t>Alanyl-tRNA editing protein AlaX-L OS=Pyrococcus horikoshii (strain ATCC 700860 / DSM 12428 / JCM 9974 / NBRC 100139 / OT-3) GN=alaXL PE=3 SV=1</t>
  </si>
  <si>
    <t>DNA-directed RNA polymerase subunit beta' OS=Populus trichocarpa GN=rpoC1 PE=3 SV=1</t>
  </si>
  <si>
    <t>Ras-related protein RABA2a OS=Arabidopsis thaliana GN=RABA2A PE=2 SV=1</t>
  </si>
  <si>
    <t>Peroxisome biogenesis protein 22 OS=Arabidopsis thaliana GN=PEX22 PE=1 SV=1</t>
  </si>
  <si>
    <t>Glutaredoxin-C11 OS=Arabidopsis thaliana GN=GRXC11 PE=3 SV=1</t>
  </si>
  <si>
    <t>Signal recognition particle 43 kDa protein, chloroplastic OS=Arabidopsis thaliana GN=CAO PE=1 SV=2</t>
  </si>
  <si>
    <t>Tetraspanin-6 OS=Arabidopsis thaliana GN=TET6 PE=2 SV=1</t>
  </si>
  <si>
    <t>Transcription factor bHLH13 OS=Arabidopsis thaliana GN=BHLH13 PE=2 SV=1</t>
  </si>
  <si>
    <t>Serine/threonine-protein kinase WNK2 OS=Arabidopsis thaliana GN=WNK2 PE=1 SV=1</t>
  </si>
  <si>
    <t>Zinc finger CCCH domain-containing protein 56 OS=Oryza sativa subsp. japonica GN=Os08g0159800 PE=3 SV=1</t>
  </si>
  <si>
    <t>Probable E3 ubiquitin-protein ligase XBOS32 OS=Oryza sativa subsp. japonica GN=XBOS32 PE=2 SV=2</t>
  </si>
  <si>
    <t>Gibberellin receptor Gid1C OS=Arabidopsis thaliana GN=Gid1C PE=1 SV=1</t>
  </si>
  <si>
    <t>tRNA methyltransferase 10 homolog A OS=Homo sapiens GN=TRMT10A PE=1 SV=1</t>
  </si>
  <si>
    <t>mRNA cap guanine-N7 methyltransferase 1 OS=Arabidopsis thaliana GN=At3g20650 PE=2 SV=1</t>
  </si>
  <si>
    <t>Zinc finger BED domain-containing protein RICESLEEPER 2 OS=Oryza sativa subsp. japonica GN=Os03g0733400 PE=2 SV=1</t>
  </si>
  <si>
    <t>Protein TIC 20-II, chloroplastic OS=Arabidopsis thaliana GN=TIC20-II PE=2 SV=1</t>
  </si>
  <si>
    <t>Auxin-induced protein IAA4 OS=Pisum sativum GN=IAA4/5 PE=1 SV=1</t>
  </si>
  <si>
    <t>Dehydrodolichyl diphosphate synthase 6 OS=Arabidopsis thaliana GN=At2g17570 PE=2 SV=2</t>
  </si>
  <si>
    <t>Protein RALF-like 33 OS=Arabidopsis thaliana GN=RALFL33 PE=2 SV=1</t>
  </si>
  <si>
    <t>Casein kinase II subunit alpha, chloroplastic OS=Arabidopsis thaliana GN=At2g23070 PE=2 SV=1</t>
  </si>
  <si>
    <t>Purine-uracil permease NCS1 OS=Arabidopsis thaliana GN=NCS1 PE=1 SV=1</t>
  </si>
  <si>
    <t>Branched-chain-amino-acid aminotransferase 3, chloroplastic OS=Arabidopsis thaliana GN=BCAT3 PE=1 SV=1</t>
  </si>
  <si>
    <t>V-type proton ATPase subunit B2 OS=Arabidopsis thaliana GN=VHA-B2 PE=1 SV=1</t>
  </si>
  <si>
    <t>Adrenodoxin-like protein 2, mitochondrial OS=Arabidopsis thaliana GN=MFDX2 PE=2 SV=1</t>
  </si>
  <si>
    <t>Uncharacterized protein C23G7.06c OS=Schizosaccharomyces pombe (strain 972 / ATCC 24843) GN=SPBC23G7.06c PE=1 SV=3</t>
  </si>
  <si>
    <t>Cell number regulator 10 OS=Zea mays GN=CNR10 PE=2 SV=1</t>
  </si>
  <si>
    <t>Probable acyl-activating enzyme 1, peroxisomal OS=Arabidopsis thaliana GN=AAE1 PE=2 SV=1</t>
  </si>
  <si>
    <t>(R,S)-reticuline 7-O-methyltransferase OS=Papaver somniferum GN=PSOMT1 PE=1 SV=1</t>
  </si>
  <si>
    <t>Copper transporter 5 OS=Arabidopsis thaliana GN=COPT5 PE=1 SV=1</t>
  </si>
  <si>
    <t>CDGSH iron-sulfur domain-containing protein NEET OS=Arabidopsis thaliana GN=NEET PE=1 SV=1</t>
  </si>
  <si>
    <t>F-box-like/WD repeat-containing protein TBL1X OS=Mus musculus GN=Tbl1x PE=2 SV=2</t>
  </si>
  <si>
    <t>RING-H2 finger protein ATL2 OS=Arabidopsis thaliana GN=ATL2 PE=2 SV=2</t>
  </si>
  <si>
    <t>Bifunctional nitrilase/nitrile hydratase NIT4B OS=Nicotiana tabacum GN=NIT4B PE=2 SV=1</t>
  </si>
  <si>
    <t>Sucrose synthase 7 OS=Oryza sativa subsp. japonica GN=SUS7 PE=2 SV=2</t>
  </si>
  <si>
    <t>Lysine--tRNA ligase, cytoplasmic OS=Arabidopsis thaliana GN=At3g11710 PE=1 SV=1</t>
  </si>
  <si>
    <t>Pre-mRNA-splicing factor ATP-dependent RNA helicase PRP16 OS=Homo sapiens GN=DHX38 PE=1 SV=2</t>
  </si>
  <si>
    <t>Serine/threonine-protein kinase KIPK OS=Arabidopsis thaliana GN=KIPK PE=1 SV=1</t>
  </si>
  <si>
    <t>Trimethylguanosine synthase OS=Rattus norvegicus GN=Tgs1 PE=1 SV=1</t>
  </si>
  <si>
    <t>Protein COBRA OS=Arabidopsis thaliana GN=COB PE=2 SV=1</t>
  </si>
  <si>
    <t>DNA-(apurinic or apyrimidinic site) lyase 2 OS=Arabidopsis thaliana GN=APE2 PE=1 SV=1</t>
  </si>
  <si>
    <t>Ribosome production factor 1 OS=Mus musculus GN=Rpf1 PE=2 SV=2</t>
  </si>
  <si>
    <t>AT-hook motif nuclear-localized protein 9 OS=Arabidopsis thaliana GN=AHL9 PE=2 SV=1</t>
  </si>
  <si>
    <t>Pheophytinase, chloroplastic OS=Arabidopsis thaliana GN=PPH PE=1 SV=1</t>
  </si>
  <si>
    <t>Eukaryotic peptide chain release factor subunit 1-3 OS=Arabidopsis thaliana GN=ERF1-3 PE=1 SV=1</t>
  </si>
  <si>
    <t>Cation/calcium exchanger 4 OS=Arabidopsis thaliana GN=CCX4 PE=2 SV=1</t>
  </si>
  <si>
    <t>Glycine dehydrogenase (decarboxylating), mitochondrial OS=Solanum tuberosum GN=GDCSP PE=2 SV=1</t>
  </si>
  <si>
    <t>Zinc finger CCCH domain-containing protein ZFN-like OS=Pisum sativum PE=2 SV=1</t>
  </si>
  <si>
    <t>DEAD-box ATP-dependent RNA helicase 30 OS=Arabidopsis thaliana GN=RH30 PE=2 SV=2</t>
  </si>
  <si>
    <t>Copper transport protein CCH OS=Arabidopsis thaliana GN=CCH PE=1 SV=1</t>
  </si>
  <si>
    <t>Vacuolar fusion protein CCZ1 homolog OS=Nematostella vectensis GN=v1g238755 PE=3 SV=1</t>
  </si>
  <si>
    <t>Pentatricopeptide repeat-containing protein At2g26790, mitochondrial OS=Arabidopsis thaliana GN=At2g26790 PE=3 SV=1</t>
  </si>
  <si>
    <t>Suppressor of mec-8 and unc-52 protein homolog 1 OS=Arabidopsis thaliana GN=SMU1 PE=1 SV=1</t>
  </si>
  <si>
    <t>Geranylgeranyl transferase type-2 subunit alpha OS=Sus scrofa GN=RABGGTA PE=2 SV=1</t>
  </si>
  <si>
    <t>DNA-directed RNA polymerase III subunit RPC2 OS=Mus musculus GN=Polr3b PE=2 SV=2</t>
  </si>
  <si>
    <t>Gamma-soluble NSF attachment protein OS=Arabidopsis thaliana GN=GSNAP PE=2 SV=1</t>
  </si>
  <si>
    <t>AT-hook motif nuclear-localized protein 10 OS=Arabidopsis thaliana GN=AHL10 PE=1 SV=2</t>
  </si>
  <si>
    <t>Phototropin-2 OS=Arabidopsis thaliana GN=PHOT2 PE=1 SV=2</t>
  </si>
  <si>
    <t>Sphingoid long-chain bases kinase 2, mitochondrial OS=Arabidopsis thaliana GN=LCKB2 PE=2 SV=1</t>
  </si>
  <si>
    <t>DnaJ homolog subfamily C member 14 OS=Homo sapiens GN=DNAJC14 PE=2 SV=2</t>
  </si>
  <si>
    <t>Uncharacterized GTP-binding protein At5g64813 OS=Arabidopsis thaliana GN=At5g64813 PE=1 SV=1</t>
  </si>
  <si>
    <t>Protein downstream neighbor of Son OS=Mus musculus GN=Donson PE=2 SV=2</t>
  </si>
  <si>
    <t>Uncharacterized ATP-dependent helicase YprA OS=Bacillus subtilis (strain 168) GN=yprA PE=3 SV=1</t>
  </si>
  <si>
    <t>IAA-amino acid hydrolase ILR1-like 3 OS=Arabidopsis thaliana GN=ILL3 PE=2 SV=1</t>
  </si>
  <si>
    <t>Laccase-15 OS=Arabidopsis thaliana GN=TT10 PE=1 SV=1</t>
  </si>
  <si>
    <t>Armadillo repeat-containing kinesin-like protein 1 OS=Arabidopsis thaliana GN=ARK1 PE=1 SV=2</t>
  </si>
  <si>
    <t>CDP-diacylglycerol--serine O-phosphatidyltransferase 1 OS=Arabidopsis thaliana GN=PSS1 PE=1 SV=1</t>
  </si>
  <si>
    <t>Protein TRANSPARENT TESTA GLABRA 1 OS=Arabidopsis thaliana GN=TTG1 PE=1 SV=1</t>
  </si>
  <si>
    <t>Protein YIPF7 OS=Homo sapiens GN=YIPF7 PE=2 SV=2</t>
  </si>
  <si>
    <t>Ycf20-like protein OS=Arabidopsis thaliana GN=At1g65420 PE=2 SV=2</t>
  </si>
  <si>
    <t>Zinc finger CCCH domain-containing protein 41 OS=Arabidopsis thaliana GN=At3g27700 PE=1 SV=1</t>
  </si>
  <si>
    <t>26S proteasome non-ATPase regulatory subunit 4 homolog OS=Arabidopsis thaliana GN=RPN10 PE=1 SV=1</t>
  </si>
  <si>
    <t>Pentatricopeptide repeat-containing protein At1g31920 OS=Arabidopsis thaliana GN=PCMP-H11 PE=2 SV=1</t>
  </si>
  <si>
    <t>18.5 kDa class I heat shock protein OS=Glycine max GN=HSP18.5-C PE=3 SV=1</t>
  </si>
  <si>
    <t>Alpha-(1,4)-fucosyltransferase OS=Arabidopsis thaliana GN=FUT13 PE=2 SV=2</t>
  </si>
  <si>
    <t>Beta-1,4-mannosyl-glycoprotein 4-beta-N-acetylglucosaminyltransferase OS=Homo sapiens GN=MGAT3 PE=2 SV=3</t>
  </si>
  <si>
    <t>Auxin-responsive protein IAA13 OS=Arabidopsis thaliana GN=IAA13 PE=1 SV=2</t>
  </si>
  <si>
    <t>Vacuolar protein-sorting-associated protein 33 homolog OS=Arabidopsis thaliana GN=VPS33 PE=1 SV=1</t>
  </si>
  <si>
    <t>DNA repair protein recA homolog 3, mitochondrial OS=Arabidopsis thaliana GN=At2g19490 PE=2 SV=2</t>
  </si>
  <si>
    <t>Oligouridylate-binding protein 1 OS=Nicotiana plumbaginifolia GN=UBP1 PE=2 SV=1</t>
  </si>
  <si>
    <t>Serine/threonine-protein kinase 24 OS=Rattus norvegicus GN=Stk24 PE=2 SV=1</t>
  </si>
  <si>
    <t>Uncharacterized protein YciO OS=Shigella flexneri GN=yciO PE=3 SV=1</t>
  </si>
  <si>
    <t>E3 ubiquitin-protein ligase At3g02290 OS=Arabidopsis thaliana GN=At3g02290 PE=2 SV=1</t>
  </si>
  <si>
    <t>Phosphatidylinositol 4-phosphate 5-kinase 6 OS=Arabidopsis thaliana GN=PIP5K6 PE=2 SV=1</t>
  </si>
  <si>
    <t>Alanine--glyoxylate aminotransferase 2 homolog 2, mitochondrial OS=Arabidopsis thaliana GN=AGT3 PE=1 SV=2</t>
  </si>
  <si>
    <t>Probable sucrose-phosphate synthase 1 OS=Citrus unshiu GN=SPS1 PE=2 SV=1</t>
  </si>
  <si>
    <t>Citrus unshiu</t>
  </si>
  <si>
    <t>RNA-binding protein CP33, chloroplastic OS=Arabidopsis thaliana GN=CP33 PE=2 SV=1</t>
  </si>
  <si>
    <t>Protein ALWAYS EARLY 3 OS=Arabidopsis thaliana GN=ALY3 PE=1 SV=1</t>
  </si>
  <si>
    <t>RING-H2 finger protein ATL67 OS=Arabidopsis thaliana GN=ATL67 PE=2 SV=1</t>
  </si>
  <si>
    <t>Uncharacterized WD repeat-containing protein C343.04c OS=Schizosaccharomyces pombe (strain 972 / ATCC 24843) GN=SPAC343.04c PE=3 SV=1</t>
  </si>
  <si>
    <t>Early nodulin-like protein 1 OS=Arabidopsis thaliana GN=At2g25060 PE=1 SV=2</t>
  </si>
  <si>
    <t>Mitogen-activated protein kinase homolog MMK1 OS=Medicago sativa GN=MMK1 PE=1 SV=1</t>
  </si>
  <si>
    <t>Ubiquitin-conjugating enzyme E2 36 OS=Arabidopsis thaliana GN=UBC36 PE=1 SV=1</t>
  </si>
  <si>
    <t>Myb-like protein L OS=Dictyostelium discoideum GN=mybL PE=3 SV=1</t>
  </si>
  <si>
    <t>Protein C2-DOMAIN ABA-RELATED 7 OS=Arabidopsis thaliana GN=CAR7 PE=2 SV=1</t>
  </si>
  <si>
    <t>Ubiquitin domain-containing protein DSK2b OS=Arabidopsis thaliana GN=DSK2B PE=1 SV=1</t>
  </si>
  <si>
    <t>BTB/POZ domain-containing protein At2g30600 OS=Arabidopsis thaliana GN=At2g30600/At2g30610 PE=2 SV=1</t>
  </si>
  <si>
    <t>Pentatricopeptide repeat-containing protein At1g53600, mitochondrial OS=Arabidopsis thaliana GN=PCMP-E63 PE=2 SV=2</t>
  </si>
  <si>
    <t>Protoporphyrinogen oxidase 1, chloroplastic OS=Arabidopsis thaliana GN=PPOX1 PE=1 SV=1</t>
  </si>
  <si>
    <t>Pyrimidine-specific ribonucleoside hydrolase RihA OS=Shewanella woodyi (strain ATCC 51908 / MS32) GN=rihA PE=3 SV=1</t>
  </si>
  <si>
    <t>Shewanella woodyi</t>
  </si>
  <si>
    <t>Probable sodium/metabolite cotransporter BASS3, chloroplastic OS=Arabidopsis thaliana GN=BASS3 PE=2 SV=1</t>
  </si>
  <si>
    <t>UDP-sugar pyrophosphorylase OS=Cucumis melo GN=USP PE=1 SV=1</t>
  </si>
  <si>
    <t>Triosephosphate isomerase, cytosolic OS=Petunia hybrida GN=TPIP1 PE=2 SV=1</t>
  </si>
  <si>
    <t>Mitochondrial Rho GTPase 1 OS=Arabidopsis thaliana GN=MIRO1 PE=1 SV=1</t>
  </si>
  <si>
    <t>Serine/threonine-protein kinase Nek5 OS=Arabidopsis thaliana GN=NEK5 PE=1 SV=1</t>
  </si>
  <si>
    <t>Dolichyl-diphosphooligosaccharide--protein glycosyltransferase 48 kDa subunit OS=Arabidopsis thaliana GN=OST48 PE=2 SV=1</t>
  </si>
  <si>
    <t>Callose synthase 9 OS=Arabidopsis thaliana GN=CALS9 PE=2 SV=2</t>
  </si>
  <si>
    <t>EG45-like domain containing protein OS=Citrus jambhiri GN=CjBAp12 PE=1 SV=1</t>
  </si>
  <si>
    <t>Citrus jambhiri</t>
  </si>
  <si>
    <t>Transcription initiation factor IIA subunit 2 OS=Arabidopsis thaliana GN=TFIIA-S PE=2 SV=2</t>
  </si>
  <si>
    <t>Phosphatidylinositol 4-phosphate 5-kinase 1 OS=Arabidopsis thaliana GN=PIP5K1 PE=1 SV=1</t>
  </si>
  <si>
    <t>SPX domain-containing protein 4 OS=Arabidopsis thaliana GN=SPX4 PE=2 SV=1</t>
  </si>
  <si>
    <t>Arginine biosynthesis bifunctional protein ArgJ, chloroplastic OS=Ricinus communis GN=RCOM_1202350 PE=3 SV=1</t>
  </si>
  <si>
    <t>Oxygen-evolving enhancer protein 3, chloroplastic OS=Spinacia oleracea GN=PSBQ PE=1 SV=1</t>
  </si>
  <si>
    <t>Uncharacterized protein At2g34460, chloroplastic OS=Arabidopsis thaliana GN=At2g34460 PE=2 SV=1</t>
  </si>
  <si>
    <t>Inositol 1,3,4-trisphosphate 5/6-kinase 4 OS=Arabidopsis thaliana GN=ITPK4 PE=1 SV=2</t>
  </si>
  <si>
    <t>RHOMBOid-like protein 13 OS=Arabidopsis thaliana GN=RBL13 PE=3 SV=1</t>
  </si>
  <si>
    <t>Transcription factor HBP-1a OS=Triticum aestivum PE=2 SV=1</t>
  </si>
  <si>
    <t>RNA-binding protein BRN1 OS=Arabidopsis thaliana GN=BRN1 PE=2 SV=1</t>
  </si>
  <si>
    <t>dCTP pyrophosphatase 1 OS=Mus musculus GN=Dctpp1 PE=1 SV=1</t>
  </si>
  <si>
    <t>Ribonuclease Z 1 OS=Schizosaccharomyces pombe (strain 972 / ATCC 24843) GN=trz1 PE=3 SV=1</t>
  </si>
  <si>
    <t>Transcription factor IBH1 OS=Arabidopsis thaliana GN=IBH1 PE=1 SV=1</t>
  </si>
  <si>
    <t>3-oxoacyl-[acyl-carrier-protein] synthase, mitochondrial OS=Arabidopsis thaliana GN=KAS PE=1 SV=1</t>
  </si>
  <si>
    <t>BRCA1-associated RING domain protein 1 OS=Homo sapiens GN=BARD1 PE=1 SV=2</t>
  </si>
  <si>
    <t>Trihelix transcription factor GT-3b OS=Arabidopsis thaliana GN=GT-3B PE=1 SV=1</t>
  </si>
  <si>
    <t>Chaperone protein ClpD, chloroplastic OS=Arabidopsis thaliana GN=CLPD PE=1 SV=1</t>
  </si>
  <si>
    <t>EGF domain-specific O-linked N-acetylglucosamine transferase OS=Gallus gallus GN=EOGT PE=2 SV=2</t>
  </si>
  <si>
    <t>UDP-N-acetylmuramoylalanine--D-glutamate ligase OS=Pelobacter carbinolicus (strain DSM 2380 / Gra Bd 1) GN=murD PE=3 SV=1</t>
  </si>
  <si>
    <t>Pelobacter carbinolicus</t>
  </si>
  <si>
    <t>COP9 signalosome complex subunit 8 OS=Arabidopsis thaliana GN=CSN8 PE=1 SV=1</t>
  </si>
  <si>
    <t>Vacuole membrane protein KMS1 OS=Arabidopsis thaliana GN=KMS1 PE=1 SV=1</t>
  </si>
  <si>
    <t>Serine incorporator 2 OS=Mus musculus GN=Serinc2 PE=2 SV=1</t>
  </si>
  <si>
    <t>ABC transporter B family member 28 OS=Arabidopsis thaliana GN=ABCB28 PE=2 SV=1</t>
  </si>
  <si>
    <t>Pre-mRNA-splicing factor 38 OS=Arabidopsis thaliana GN=PRP38 PE=1 SV=1</t>
  </si>
  <si>
    <t>Pentatricopeptide repeat-containing protein At4g14850 OS=Arabidopsis thaliana GN=LOI1 PE=1 SV=1</t>
  </si>
  <si>
    <t>ATP-dependent DNA helicase RecQ OS=Pasteurella multocida (strain Pm70) GN=recQ PE=3 SV=1</t>
  </si>
  <si>
    <t>Pasteurella multocida</t>
  </si>
  <si>
    <t>L-type lectin-domain containing receptor kinase IV.1 OS=Arabidopsis thaliana GN=LECRK41 PE=2 SV=1</t>
  </si>
  <si>
    <t>Leucine-rich repeat receptor protein kinase EMS1 OS=Arabidopsis thaliana GN=EMS1 PE=1 SV=1</t>
  </si>
  <si>
    <t>Glutamyl-tRNA(Gln) amidotransferase subunit A, chloroplastic/mitochondrial OS=Vitis vinifera GN=GATA PE=3 SV=1</t>
  </si>
  <si>
    <t>Pathogenesis-related protein 1 OS=Arabidopsis thaliana GN=PRB1 PE=2 SV=1</t>
  </si>
  <si>
    <t>Probable L-gulonolactone oxidase 6 OS=Arabidopsis thaliana GN=GULLO6 PE=3 SV=1</t>
  </si>
  <si>
    <t>Aluminum-activated malate transporter 9 OS=Arabidopsis thaliana GN=ALMT9 PE=2 SV=1</t>
  </si>
  <si>
    <t>Probable receptor-like serine/threonine-protein kinase At5g57670 OS=Arabidopsis thaliana GN=At5g57670 PE=2 SV=1</t>
  </si>
  <si>
    <t>Transcription factor bHLH36 OS=Arabidopsis thaliana GN=BHLH36 PE=2 SV=1</t>
  </si>
  <si>
    <t>Calcyclin-binding protein OS=Mus musculus GN=Cacybp PE=1 SV=1</t>
  </si>
  <si>
    <t>Probable tRNA N6-adenosine threonylcarbamoyltransferase OS=Xenopus laevis GN=osgep PE=2 SV=1</t>
  </si>
  <si>
    <t>Transcription repressor OFP8 OS=Arabidopsis thaliana GN=OFP8 PE=2 SV=1</t>
  </si>
  <si>
    <t>40S ribosomal protein S11 OS=Euphorbia esula GN=RPS11 PE=2 SV=1</t>
  </si>
  <si>
    <t>Testis-expressed sequence 2 protein OS=Mus musculus GN=Tex2 PE=1 SV=2</t>
  </si>
  <si>
    <t>Ribosomal RNA small subunit methyltransferase E OS=Bacillus subtilis (strain 168) GN=rsmE PE=1 SV=1</t>
  </si>
  <si>
    <t>Agamous-like MADS-box protein AGL80 OS=Arabidopsis thaliana GN=AGL80 PE=1 SV=1</t>
  </si>
  <si>
    <t>Probable methyltransferase PMT9 OS=Arabidopsis thaliana GN=At5g14430 PE=2 SV=1</t>
  </si>
  <si>
    <t>SNARE-interacting protein KEULE OS=Arabidopsis thaliana GN=KEU PE=1 SV=2</t>
  </si>
  <si>
    <t>Rhodanese-like domain-containing protein 4A, chloroplastic OS=Arabidopsis thaliana GN=STR4A PE=2 SV=1</t>
  </si>
  <si>
    <t>Endo-1,4-beta-xylanase A OS=Streptomyces lividans GN=xlnA PE=1 SV=2</t>
  </si>
  <si>
    <t>Streptomyces lividans</t>
  </si>
  <si>
    <t>Photosynthetic NDH subunit of lumenal location 1, chloroplastic OS=Arabidopsis thaliana GN=PNSL1 PE=1 SV=2</t>
  </si>
  <si>
    <t>V-type proton ATPase 16 kDa proteolipid subunit OS=Kalanchoe daigremontiana PE=2 SV=1</t>
  </si>
  <si>
    <t>Kalanchoe daigremontiana</t>
  </si>
  <si>
    <t>Cold-regulated 413 plasma membrane protein 4 OS=Arabidopsis thaliana GN=At4g37220 PE=2 SV=2</t>
  </si>
  <si>
    <t>Serine/threonine-protein kinase Aurora-1 OS=Arabidopsis thaliana GN=AUR1 PE=1 SV=1</t>
  </si>
  <si>
    <t>Serine/threonine-protein phosphatase 2A 65 kDa regulatory subunit A beta isoform OS=Arabidopsis thaliana GN=PP2AA2 PE=1 SV=2</t>
  </si>
  <si>
    <t>Squamosa promoter-binding-like protein 5 OS=Arabidopsis thaliana GN=SPL5 PE=2 SV=1</t>
  </si>
  <si>
    <t>Golgin candidate 5 OS=Arabidopsis thaliana GN=GC5 PE=1 SV=1</t>
  </si>
  <si>
    <t>Annexin D5 OS=Arabidopsis thaliana GN=ANN5 PE=2 SV=2</t>
  </si>
  <si>
    <t>Protein NETWORKED 1A OS=Arabidopsis thaliana GN=NET1A PE=1 SV=1</t>
  </si>
  <si>
    <t>Beta-glucosidase 11 OS=Arabidopsis thaliana GN=BGLU11 PE=2 SV=2</t>
  </si>
  <si>
    <t>Probable carbohydrate esterase At4g34215 OS=Arabidopsis thaliana GN=At4g34215 PE=1 SV=2</t>
  </si>
  <si>
    <t>KxDL motif-containing protein 1 OS=Danio rerio GN=kxd1 PE=2 SV=1</t>
  </si>
  <si>
    <t>Deacetylvindoline O-acetyltransferase OS=Catharanthus roseus GN=DAT PE=1 SV=1</t>
  </si>
  <si>
    <t>CSC1-like protein At1g69450 OS=Arabidopsis thaliana GN=At1g69450 PE=2 SV=1</t>
  </si>
  <si>
    <t>RNA-binding protein pno1 OS=Nematostella vectensis GN=pno1 PE=3 SV=1</t>
  </si>
  <si>
    <t>Pyruvate kinase, cytosolic isozyme OS=Solanum tuberosum PE=2 SV=1</t>
  </si>
  <si>
    <t>Protein RRP5 homolog OS=Homo sapiens GN=PDCD11 PE=1 SV=3</t>
  </si>
  <si>
    <t>Flowering-promoting factor 1 OS=Arabidopsis thaliana GN=FPF1 PE=2 SV=1</t>
  </si>
  <si>
    <t>Uncharacterized protein At2g24330 OS=Arabidopsis thaliana GN=At2g24330 PE=2 SV=1</t>
  </si>
  <si>
    <t>Ninja-family protein 3 OS=Zea mays PE=2 SV=1</t>
  </si>
  <si>
    <t>Mitochondrial inner membrane protease subunit 1 OS=Mus musculus GN=Immp1l PE=2 SV=1</t>
  </si>
  <si>
    <t>Alcohol dehydrogenase 1 OS=Trifolium repens GN=ADH1 PE=2 SV=1</t>
  </si>
  <si>
    <t>Aquaporin PIP2-7 OS=Zea mays GN=PIP2-7 PE=2 SV=1</t>
  </si>
  <si>
    <t>Uncharacterized protein At1g65710 OS=Arabidopsis thaliana GN=At1g65710 PE=2 SV=1</t>
  </si>
  <si>
    <t>Sulfite reductase 1 [ferredoxin], chloroplastic OS=Nicotiana tabacum GN=SIR1 PE=1 SV=1</t>
  </si>
  <si>
    <t>Pentatricopeptide repeat-containing protein At1g74630 OS=Arabidopsis thaliana GN=PCMP-H71 PE=2 SV=1</t>
  </si>
  <si>
    <t>Probable low-specificity L-threonine aldolase 1 OS=Arabidopsis thaliana GN=THA1 PE=1 SV=1</t>
  </si>
  <si>
    <t>60S ribosomal protein L12 OS=Prunus armeniaca GN=RPL12 PE=2 SV=1</t>
  </si>
  <si>
    <t>Lipase OS=Rhizopus oryzae PE=1 SV=1</t>
  </si>
  <si>
    <t>Rhizopus oryzae</t>
  </si>
  <si>
    <t>Gibberellin 20 oxidase 1 OS=Arabidopsis thaliana GN=GA20OX1 PE=2 SV=2</t>
  </si>
  <si>
    <t>Metal transporter Nramp4 OS=Arabidopsis thaliana GN=NRAMP4 PE=2 SV=1</t>
  </si>
  <si>
    <t>ATP synthase subunit alpha, mitochondrial OS=Nicotiana plumbaginifolia GN=ATPA PE=3 SV=1</t>
  </si>
  <si>
    <t>Extradiol ring-cleavage dioxygenase OS=Arabidopsis thaliana GN=LIGB PE=2 SV=1</t>
  </si>
  <si>
    <t>Regulator of G-protein signaling 1 OS=Arabidopsis thaliana GN=RGS1 PE=1 SV=1</t>
  </si>
  <si>
    <t>Eukaryotic translation initiation factor 2 subunit 3 OS=Rattus norvegicus GN=Eif2s3 PE=1 SV=2</t>
  </si>
  <si>
    <t>Probable pectinesterase/pectinesterase inhibitor 36 OS=Arabidopsis thaliana GN=PME36 PE=2 SV=2</t>
  </si>
  <si>
    <t>Calmodulin-like protein 4 OS=Arabidopsis thaliana GN=CML4 PE=2 SV=1</t>
  </si>
  <si>
    <t>NADH dehydrogenase [ubiquinone] 1 alpha subcomplex subunit 6 OS=Arabidopsis thaliana GN=At3g12260 PE=2 SV=1</t>
  </si>
  <si>
    <t>Protein CLEC16A homolog OS=Dictyostelium discoideum GN=DDB_G0289943 PE=3 SV=1</t>
  </si>
  <si>
    <t>Protein MEI2-like 4 OS=Oryza sativa subsp. japonica GN=ML4 PE=2 SV=1</t>
  </si>
  <si>
    <t>Disease resistance protein RML1A OS=Arabidopsis thaliana GN=RLM1A PE=3 SV=1</t>
  </si>
  <si>
    <t>NADH dehydrogenase [ubiquinone] 1 alpha subcomplex assembly factor 3 OS=Xenopus tropicalis GN=ndufaf3 PE=2 SV=1</t>
  </si>
  <si>
    <t>1,3-beta-glucanosyltransferase gel4 OS=Neosartorya fumigata (strain ATCC MYA-4609 / Af293 / CBS 101355 / FGSC A1100) GN=gel4 PE=3 SV=1</t>
  </si>
  <si>
    <t>Neosartorya fumigata</t>
  </si>
  <si>
    <t>NAD(P)H dehydrogenase (quinone) FQR1 OS=Arabidopsis thaliana GN=FQR1 PE=1 SV=1</t>
  </si>
  <si>
    <t>Cannabidiolic acid synthase-like 1 OS=Cannabis sativa GN=CBDAS2 PE=2 SV=1</t>
  </si>
  <si>
    <t>Deacetoxyvindoline 4-hydroxylase OS=Catharanthus roseus GN=D4H PE=1 SV=2</t>
  </si>
  <si>
    <t>3beta-hydroxysteroid-dehydrogenase/decarboxylase isoform 3 OS=Arabidopsis thaliana GN=3BETAHSD/D3 PE=2 SV=2</t>
  </si>
  <si>
    <t>RING finger protein 141 OS=Gallus gallus GN=RNF141 PE=2 SV=1</t>
  </si>
  <si>
    <t>MOB kinase activator-like 1A OS=Arabidopsis thaliana GN=MOB1A PE=2 SV=1</t>
  </si>
  <si>
    <t>Inter alpha-trypsin inhibitor, heavy chain 4 OS=Mus musculus GN=Itih4 PE=1 SV=2</t>
  </si>
  <si>
    <t>Homeobox protein knotted-1-like 3 OS=Malus domestica PE=2 SV=1</t>
  </si>
  <si>
    <t>Sphingosine kinase 2 OS=Arabidopsis thaliana GN=SPHK2 PE=1 SV=1</t>
  </si>
  <si>
    <t>Phosphoenolpyruvate carboxykinase [ATP] OS=Cucumis sativus GN=PCK PE=2 SV=1</t>
  </si>
  <si>
    <t>Phytosulfokine receptor 1 OS=Arabidopsis thaliana GN=PSKR1 PE=2 SV=4</t>
  </si>
  <si>
    <t>Probable methyltransferase PMT16 OS=Arabidopsis thaliana GN=At2g45750 PE=3 SV=1</t>
  </si>
  <si>
    <t>Dual specificity tyrosine-phosphorylation-regulated kinase 3 OS=Rattus norvegicus GN=Dyrk3 PE=2 SV=1</t>
  </si>
  <si>
    <t>Pentatricopeptide repeat-containing protein At3g14730 OS=Arabidopsis thaliana GN=PCMP-E31 PE=2 SV=1</t>
  </si>
  <si>
    <t>Receptor-like serine/threonine-protein kinase At4g25390 OS=Arabidopsis thaliana GN=At4g25390 PE=2 SV=1</t>
  </si>
  <si>
    <t>Apoptotic chromatin condensation inducer in the nucleus OS=Homo sapiens GN=ACIN1 PE=1 SV=2</t>
  </si>
  <si>
    <t>GTP-binding protein OBGC, chloroplastic OS=Arabidopsis thaliana GN=OBGL PE=2 SV=1</t>
  </si>
  <si>
    <t>Asparagine synthetase domain-containing protein 1 OS=Bos taurus GN=ASNSD1 PE=2 SV=1</t>
  </si>
  <si>
    <t>Alkylated DNA repair protein alkB homolog 8 OS=Mus musculus GN=Alkbh8 PE=1 SV=1</t>
  </si>
  <si>
    <t>Ferric reduction oxidase 4 OS=Arabidopsis thaliana GN=FRO4 PE=2 SV=1</t>
  </si>
  <si>
    <t>Transcription factor FAMA OS=Arabidopsis thaliana GN=FAMA PE=1 SV=1</t>
  </si>
  <si>
    <t>Probable calcium-binding protein CML45 OS=Arabidopsis thaliana GN=CML45 PE=1 SV=1</t>
  </si>
  <si>
    <t>Leucine-rich repeat receptor-like serine/threonine-protein kinase At1g17230 OS=Arabidopsis thaliana GN=At1g17230 PE=2 SV=2</t>
  </si>
  <si>
    <t>Uncharacterized protein At5g39865 OS=Arabidopsis thaliana GN=At5g39865 PE=2 SV=1</t>
  </si>
  <si>
    <t>CLAVATA3/ESR (CLE)-related protein 25 OS=Arabidopsis thaliana GN=CLE25 PE=2 SV=1</t>
  </si>
  <si>
    <t>Putative pentatricopeptide repeat-containing protein At1g74400 OS=Arabidopsis thaliana GN=PCMP-E68 PE=3 SV=1</t>
  </si>
  <si>
    <t>Calcium-dependent protein kinase 24 OS=Arabidopsis thaliana GN=CPK24 PE=2 SV=1</t>
  </si>
  <si>
    <t>Eukaryotic translation initiation factor 4G OS=Arabidopsis thaliana GN=EIF4G PE=1 SV=2</t>
  </si>
  <si>
    <t>Dynamin-related protein 1C OS=Arabidopsis thaliana GN=DRP1C PE=1 SV=2</t>
  </si>
  <si>
    <t>Putative pentatricopeptide repeat-containing protein At3g25970 OS=Arabidopsis thaliana GN=PCMP-E46 PE=3 SV=2</t>
  </si>
  <si>
    <t>Pentatricopeptide repeat-containing protein At4g16390, chloroplastic OS=Arabidopsis thaliana GN=P67 PE=1 SV=3</t>
  </si>
  <si>
    <t>Transcription repressor OFP7 OS=Arabidopsis thaliana GN=OFP7 PE=2 SV=1</t>
  </si>
  <si>
    <t>Pre-rRNA-processing protein ESF2 OS=Scheffersomyces stipitis (strain ATCC 58785 / CBS 6054 / NBRC 10063 / NRRL Y-11545) GN=ESF2 PE=3 SV=2</t>
  </si>
  <si>
    <t>Scheffersomyces stipitis</t>
  </si>
  <si>
    <t>Probable galacturonosyltransferase-like 10 OS=Arabidopsis thaliana GN=GATL10 PE=2 SV=1</t>
  </si>
  <si>
    <t>CBS domain-containing protein CBSX6 OS=Arabidopsis thaliana GN=CBSX6 PE=1 SV=1</t>
  </si>
  <si>
    <t>Imidazoleglycerol-phosphate dehydratase OS=Pisum sativum GN=HIS3 PE=2 SV=1</t>
  </si>
  <si>
    <t>PHD and RING finger domain-containing protein 1 OS=Mus musculus GN=Phrf1 PE=2 SV=2</t>
  </si>
  <si>
    <t>4-diphosphocytidyl-2-C-methyl-D-erythritol kinase, chloroplastic/chromoplastic (Fragment) OS=Solanum lycopersicum GN=ISPE PE=1 SV=1</t>
  </si>
  <si>
    <t>Fasciclin-like arabinogalactan protein 21 OS=Arabidopsis thaliana GN=FLA21 PE=2 SV=1</t>
  </si>
  <si>
    <t>Probable cytochrome c biosynthesis protein OS=Oenothera berteroana PE=2 SV=3</t>
  </si>
  <si>
    <t>Protein CURVATURE THYLAKOid 1A, chloroplastic OS=Arabidopsis thaliana GN=CURT1A PE=1 SV=1</t>
  </si>
  <si>
    <t>Auxin-responsive protein SAUR36 OS=Arabidopsis thaliana GN=SAUR36 PE=2 SV=1</t>
  </si>
  <si>
    <t>Chaperone protein DnaJ 1 OS=Mycobacterium leprae (strain TN) GN=dnaJ1 PE=3 SV=2</t>
  </si>
  <si>
    <t>Mycobacterium leprae</t>
  </si>
  <si>
    <t>Putative late blight resistance protein homolog R1B-19 OS=Solanum demissum GN=R1B-19 PE=5 SV=2</t>
  </si>
  <si>
    <t>Solanum demissum</t>
  </si>
  <si>
    <t>Annexin-like protein RJ4 OS=Fragaria ananassa PE=2 SV=2</t>
  </si>
  <si>
    <t>Histone deacetylase 5 OS=Arabidopsis thaliana GN=HDA5 PE=1 SV=1</t>
  </si>
  <si>
    <t>Serine/threonine-protein phosphatase 7 long form homolog OS=Arabidopsis thaliana GN=At1g48120 PE=2 SV=1</t>
  </si>
  <si>
    <t>Protein NRT1/ PTR FAMILY 4.2 OS=Arabidopsis thaliana GN=NPF4.2 PE=2 SV=1</t>
  </si>
  <si>
    <t>Zinc transporter 5 OS=Arabidopsis thaliana GN=ZIP5 PE=2 SV=1</t>
  </si>
  <si>
    <t>Probable protein phosphatase 2C 2 OS=Oryza sativa subsp. japonica GN=Os01g0295700 PE=2 SV=1</t>
  </si>
  <si>
    <t>ABSCISIC ACid-INSENSITIVE 5-like protein 2 OS=Arabidopsis thaliana GN=DPBF3 PE=1 SV=1</t>
  </si>
  <si>
    <t>Trafficking protein particle complex subunit 2B OS=Homo sapiens GN=TRAPPC2B PE=1 SV=1</t>
  </si>
  <si>
    <t>Heat stress transcription factor B-2b OS=Arabidopsis thaliana GN=HSFB2B PE=2 SV=1</t>
  </si>
  <si>
    <t>ABC transporter G family member 15 OS=Arabidopsis thaliana GN=ABCG15 PE=2 SV=2</t>
  </si>
  <si>
    <t>Cell wall / vacuolar inhibitor of fructosidase 2 OS=Arabidopsis thaliana GN=C/VIF2 PE=1 SV=1</t>
  </si>
  <si>
    <t>Pseudouridine-5'-phosphate glycosidase OS=Brevibacillus brevis (strain 47 / JCM 6285 / NBRC 100599) GN=psuG PE=3 SV=1</t>
  </si>
  <si>
    <t>Brevibacillus brevis</t>
  </si>
  <si>
    <t>Protein MEI2-like 5 OS=Arabidopsis thaliana GN=ML5 PE=1 SV=1</t>
  </si>
  <si>
    <t>C-terminal binding protein AN OS=Arabidopsis thaliana GN=AN PE=1 SV=1</t>
  </si>
  <si>
    <t>Auxin-responsive protein IAA9 OS=Arabidopsis thaliana GN=IAA9 PE=1 SV=1</t>
  </si>
  <si>
    <t>Chaperone protein DnaJ OS=Ruegeria pomeroyi (strain ATCC 700808 / DSM 15171 / DSS-3) GN=dnaJ PE=3 SV=1</t>
  </si>
  <si>
    <t>Ruegeria pomeroyi</t>
  </si>
  <si>
    <t>Probable membrane-associated kinase regulator 1 OS=Arabidopsis thaliana GN=MAKR1 PE=1 SV=1</t>
  </si>
  <si>
    <t>Mitochondrial outer membrane import complex protein METAXIN OS=Arabidopsis thaliana GN=MTX1 PE=1 SV=1</t>
  </si>
  <si>
    <t>SWI/SNF complex subunit SWI3B OS=Arabidopsis thaliana GN=SWI3B PE=1 SV=1</t>
  </si>
  <si>
    <t>Glycine-rich RNA-binding protein 2, mitochondrial OS=Arabidopsis thaliana GN=RBG2 PE=1 SV=1</t>
  </si>
  <si>
    <t>Probable inactive poly [ADP-ribose] polymerase SRO5 OS=Arabidopsis thaliana GN=SRO5 PE=1 SV=1</t>
  </si>
  <si>
    <t>Photosystem II repair protein PSB27-H1, chloroplastic OS=Arabidopsis thaliana GN=PSB27-1 PE=1 SV=1</t>
  </si>
  <si>
    <t>Xanthine dehydrogenase 1 OS=Arabidopsis thaliana GN=XDH1 PE=1 SV=1</t>
  </si>
  <si>
    <t>Divinyl chlorophyllide a 8-vinyl-reductase, chloroplastic OS=Cucumis sativus GN=DVR PE=1 SV=1</t>
  </si>
  <si>
    <t>Cyclin-dependent kinase inhibitor 3 OS=Arabidopsis thaliana GN=KRP3 PE=1 SV=1</t>
  </si>
  <si>
    <t>Xyloglucan endotransglucosylase/hydrolase protein 9 OS=Arabidopsis thaliana GN=XTH9 PE=2 SV=2</t>
  </si>
  <si>
    <t>Protein SIP5 OS=Meyerozyma guilliermondii (strain ATCC 6260 / CBS 566 / DSM 6381 / JCM 1539 / NBRC 10279 / NRRL Y-324) GN=SIP5 PE=3 SV=2</t>
  </si>
  <si>
    <t>Meyerozyma guilliermondii</t>
  </si>
  <si>
    <t>Probable 1-acylglycerol-3-phosphate O-acyltransferase OS=Oryza sativa subsp. japonica GN=Os09g0520200 PE=3 SV=3</t>
  </si>
  <si>
    <t>Eukaryotic translation initiation factor 3 subunit D OS=Arabidopsis thaliana GN=TIF3D1 PE=1 SV=1</t>
  </si>
  <si>
    <t>2-methylene-furan-3-one reductase OS=Fragaria vesca GN=EO PE=2 SV=2</t>
  </si>
  <si>
    <t>Conserved oligomeric Golgi complex subunit 7 OS=Mus musculus GN=Cog7 PE=2 SV=1</t>
  </si>
  <si>
    <t>Probable beta-D-xylosidase 5 OS=Arabidopsis thaliana GN=BXL5 PE=2 SV=2</t>
  </si>
  <si>
    <t>F-box/LRR-repeat protein 15 OS=Arabidopsis thaliana GN=FBL15 PE=2 SV=2</t>
  </si>
  <si>
    <t>Chaperone protein dnaJ 49 OS=Arabidopsis thaliana GN=ATJ49 PE=2 SV=2</t>
  </si>
  <si>
    <t>Calcium-transporting ATPase 9, plasma membrane-type OS=Arabidopsis thaliana GN=ACA9 PE=2 SV=2</t>
  </si>
  <si>
    <t>F-box only protein 13 OS=Arabidopsis thaliana GN=FBX13 PE=2 SV=2</t>
  </si>
  <si>
    <t>Calcium sensing receptor, chloroplastic OS=Arabidopsis thaliana GN=CAS PE=1 SV=1</t>
  </si>
  <si>
    <t>Cytochrome b6-f complex subunit 7 (Fragment) OS=Spinacia oleracea GN=petM PE=1 SV=1</t>
  </si>
  <si>
    <t>F-box/kelch-repeat protein SKIP6 OS=Arabidopsis thaliana GN=SKIP6 PE=1 SV=1</t>
  </si>
  <si>
    <t>E3 ISG15--protein ligase HERC5 OS=Homo sapiens GN=HERC5 PE=1 SV=2</t>
  </si>
  <si>
    <t>Condensin complex subunit 1 OS=Mus musculus GN=Ncapd2 PE=1 SV=2</t>
  </si>
  <si>
    <t>ABC transporter B family member 29, chloroplastic OS=Arabidopsis thaliana GN=ABCB29 PE=2 SV=1</t>
  </si>
  <si>
    <t>Long chain base biosynthesis protein 2a OS=Oryza sativa subsp. japonica GN=Os11g0516000 PE=2 SV=1</t>
  </si>
  <si>
    <t>Reticulon-like protein B12 OS=Arabidopsis thaliana GN=RTNLB12 PE=2 SV=1</t>
  </si>
  <si>
    <t>ATP-dependent zinc metalloprotease FTSH 8, chloroplastic OS=Arabidopsis thaliana GN=FTSH8 PE=1 SV=1</t>
  </si>
  <si>
    <t>Transcription factor CPC OS=Arabidopsis thaliana GN=CPC PE=1 SV=1</t>
  </si>
  <si>
    <t>Epimerase family protein SDR39U1 homolog, chloroplastic OS=Arabidopsis thaliana GN=GC1 PE=2 SV=2</t>
  </si>
  <si>
    <t>Calmodulin-interacting protein 111 OS=Arabidopsis thaliana GN=CIP111 PE=1 SV=1</t>
  </si>
  <si>
    <t>Probable protein phosphatase 2C 47 OS=Arabidopsis thaliana GN=At3g51470 PE=1 SV=1</t>
  </si>
  <si>
    <t>NADPH:quinone oxidoreductase OS=Arabidopsis thaliana GN=NQR PE=1 SV=1</t>
  </si>
  <si>
    <t>Heat stress transcription factor C-1 OS=Arabidopsis thaliana GN=HSFC1 PE=2 SV=1</t>
  </si>
  <si>
    <t>COBRA-like protein 7 OS=Arabidopsis thaliana GN=COBL7 PE=1 SV=2</t>
  </si>
  <si>
    <t>Acidic endochitinase OS=Cicer arietinum PE=2 SV=1</t>
  </si>
  <si>
    <t>ATP-dependent Clp protease proteolytic subunit-related protein 1, chloroplastic OS=Arabidopsis thaliana GN=CLPR1 PE=1 SV=1</t>
  </si>
  <si>
    <t>Ethylene-responsive transcription factor ERF115 OS=Arabidopsis thaliana GN=ERF115 PE=1 SV=1</t>
  </si>
  <si>
    <t>Auxin-binding protein T85 OS=Nicotiana tabacum GN=T85 PE=3 SV=1</t>
  </si>
  <si>
    <t>Adenine nucleotide transporter BT1, chloroplastic/mitochondrial OS=Arabidopsis thaliana GN=BT1 PE=1 SV=1</t>
  </si>
  <si>
    <t>Pentatricopeptide repeat-containing protein At3g62470, mitochondrial OS=Arabidopsis thaliana GN=At3g62470 PE=2 SV=1</t>
  </si>
  <si>
    <t>Protein RTF2 homolog OS=Sus scrofa GN=RTFDC1 PE=3 SV=1</t>
  </si>
  <si>
    <t>Ammonium transporter 2 OS=Arabidopsis thaliana GN=AMT2 PE=1 SV=2</t>
  </si>
  <si>
    <t>S-adenosylmethionine synthase OS=Litchi chinensis GN=SAMS PE=2 SV=1</t>
  </si>
  <si>
    <t>Litchi chinensis</t>
  </si>
  <si>
    <t>Neurochondrin OS=Gallus gallus GN=NCDN PE=2 SV=1</t>
  </si>
  <si>
    <t>Methyl-CpG-binding domain-containing protein 2 OS=Arabidopsis thaliana GN=MBD2 PE=1 SV=1</t>
  </si>
  <si>
    <t>Fasciclin-like arabinogalactan protein 14 OS=Arabidopsis thaliana GN=FLA14 PE=2 SV=1</t>
  </si>
  <si>
    <t>Sister chromatid cohesion 1 protein 4 OS=Arabidopsis thaliana GN=SYN4 PE=2 SV=1</t>
  </si>
  <si>
    <t>Endoplasmic reticulum oxidoreductin-1 OS=Arabidopsis thaliana GN=AERO1 PE=1 SV=1</t>
  </si>
  <si>
    <t>Mitochondrial substrate carrier family protein ucpB OS=Dictyostelium discoideum GN=ucpB PE=3 SV=1</t>
  </si>
  <si>
    <t>ER membrane protein complex subunit 3 OS=Danio rerio GN=emc3 PE=2 SV=1</t>
  </si>
  <si>
    <t>Agglutinin-2 OS=Cladrastis kentukea PE=1 SV=1</t>
  </si>
  <si>
    <t>Cladrastis kentukea</t>
  </si>
  <si>
    <t>26S proteasome non-ATPase regulatory subunit 10 OS=Dictyostelium discoideum GN=psmD10 PE=2 SV=1</t>
  </si>
  <si>
    <t>Mitochondrial inner membrane protein OXA1-like OS=Arabidopsis thaliana GN=OXA1L PE=2 SV=1</t>
  </si>
  <si>
    <t>Uncharacterized zinc finger protein At4g06634 OS=Arabidopsis thaliana GN=At4g06634 PE=1 SV=1</t>
  </si>
  <si>
    <t>Polycomb group protein FIE2 OS=Zea mays GN=FIE2 PE=2 SV=1</t>
  </si>
  <si>
    <t>Uncharacterized protein YKR070W OS=Saccharomyces cerevisiae (strain ATCC 204508 / S288c) GN=YKR070W PE=1 SV=1</t>
  </si>
  <si>
    <t>Zinc finger protein CONSTANS-LIKE 16 OS=Arabidopsis thaliana GN=COL16 PE=2 SV=2</t>
  </si>
  <si>
    <t>Ribosome biogenesis protein BMS1 homolog OS=Homo sapiens GN=BMS1 PE=1 SV=1</t>
  </si>
  <si>
    <t>Probable acetyl-CoA acetyltransferase, cytosolic 2 OS=Arabidopsis thaliana GN=At5g47720 PE=2 SV=1</t>
  </si>
  <si>
    <t>Pentatricopeptide repeat-containing protein At5g50280, chloroplastic OS=Arabidopsis thaliana GN=EMB1006 PE=2 SV=1</t>
  </si>
  <si>
    <t>Peptidyl-prolyl cis-trans isomerase CYP21-4 OS=Arabidopsis thaliana GN=CYP21-4 PE=2 SV=1</t>
  </si>
  <si>
    <t>50S ribosomal protein L11, chloroplastic OS=Arabidopsis thaliana GN=RPL11 PE=2 SV=1</t>
  </si>
  <si>
    <t>Superoxide dismutase [Mn], mitochondrial OS=Prunus persica GN=SOD PE=2 SV=1</t>
  </si>
  <si>
    <t>Probable iron/ascorbate oxidoreductase DDB_G0283291 OS=Dictyostelium discoideum GN=DDB_G0283291 PE=3 SV=1</t>
  </si>
  <si>
    <t>Protein DEHYDRATION-INDUCED 19 homolog 3 OS=Arabidopsis thaliana GN=DI19-3 PE=1 SV=1</t>
  </si>
  <si>
    <t>Putative ALA-interacting subunit 4 OS=Arabidopsis thaliana GN=ALIS4 PE=2 SV=2</t>
  </si>
  <si>
    <t>Kinesin-related protein 11 OS=Dictyostelium discoideum GN=kif11 PE=3 SV=1</t>
  </si>
  <si>
    <t>Syntaxin-61 OS=Arabidopsis thaliana GN=SYP61 PE=1 SV=1</t>
  </si>
  <si>
    <t>Serine/threonine-protein kinase dst1 OS=Dictyostelium discoideum GN=dst1 PE=3 SV=1</t>
  </si>
  <si>
    <t>Glycerol-3-phosphate dehydrogenase [NAD(+)] OS=Cuphea lanceolata GN=GPDH PE=2 SV=1</t>
  </si>
  <si>
    <t>Cyclin-T1-3 OS=Oryza sativa subsp. japonica GN=CYCT1-3 PE=3 SV=2</t>
  </si>
  <si>
    <t>Alpha-glucan water dikinase, chloroplastic OS=Citrus reticulata GN=R1 PE=2 SV=1</t>
  </si>
  <si>
    <t>Citrus reticulata</t>
  </si>
  <si>
    <t>WD repeat-containing protein 81 OS=Homo sapiens GN=WDR81 PE=1 SV=2</t>
  </si>
  <si>
    <t>RING finger and transmembrane domain-containing protein 2 OS=Homo sapiens GN=RNFT2 PE=2 SV=2</t>
  </si>
  <si>
    <t>Ubiquinone biosynthesis protein COQ4 homolog, mitochondrial OS=Arabidopsis thaliana GN=At2g03690 PE=2 SV=1</t>
  </si>
  <si>
    <t>Probable glucan endo-1,3-beta-glucosidase A6 OS=Arabidopsis thaliana GN=A6 PE=2 SV=1</t>
  </si>
  <si>
    <t>Cation-chloride cotransporter 1 OS=Oryza sativa subsp. japonica GN=CCC1 PE=2 SV=1</t>
  </si>
  <si>
    <t>Actin-7 OS=Arabidopsis thaliana GN=ACT7 PE=1 SV=1</t>
  </si>
  <si>
    <t>Ubiquitin-related modifier 1 homolog 2 OS=Arabidopsis thaliana GN=URM1-2 PE=3 SV=1</t>
  </si>
  <si>
    <t>Endoglucanase 25 OS=Arabidopsis thaliana GN=KOR PE=1 SV=1</t>
  </si>
  <si>
    <t>DNA-repair protein XRCC1 OS=Arabidopsis thaliana GN=XRCC1 PE=1 SV=1</t>
  </si>
  <si>
    <t>Paladin OS=Homo sapiens GN=PALD1 PE=1 SV=3</t>
  </si>
  <si>
    <t>Rhomboid-like protein 15 OS=Arabidopsis thaliana GN=RBL15 PE=1 SV=2</t>
  </si>
  <si>
    <t>Vacuolar-processing enzyme OS=Glycine max PE=2 SV=1</t>
  </si>
  <si>
    <t>Expansin-A9 OS=Arabidopsis thaliana GN=EXPA9 PE=2 SV=1</t>
  </si>
  <si>
    <t>CHD3-type chromatin-remodeling factor PICKLE OS=Arabidopsis thaliana GN=PKL PE=1 SV=1</t>
  </si>
  <si>
    <t>Putative S-adenosyl-L-methionine-dependent methyltransferase Mvan_0910 OS=Mycobacterium vanbaalenii (strain DSM 7251 / PYR-1) GN=Mvan_0910 PE=3 SV=1</t>
  </si>
  <si>
    <t>Mycobacterium vanbaalenii</t>
  </si>
  <si>
    <t>SUMO-conjugating enzyme SCE1 OS=Arabidopsis thaliana GN=SCE1 PE=1 SV=1</t>
  </si>
  <si>
    <t>Putative glutathione-specific gamma-glutamylcyclotransferase 2 OS=Danio rerio GN=chac2 PE=2 SV=1</t>
  </si>
  <si>
    <t>F-box protein At4g35733 OS=Arabidopsis thaliana GN=At4g35733 PE=2 SV=1</t>
  </si>
  <si>
    <t>Protein TOO MANY MOUTHS OS=Arabidopsis thaliana GN=TMM PE=1 SV=1</t>
  </si>
  <si>
    <t>Histidine-containing phosphotransfer protein 2 OS=Arabidopsis thaliana GN=AHP2 PE=1 SV=1</t>
  </si>
  <si>
    <t>Peroxidase 18 OS=Arabidopsis thaliana GN=PER18 PE=3 SV=1</t>
  </si>
  <si>
    <t>Protein trichome birefringence-like 25 OS=Arabidopsis thaliana GN=TBL25 PE=2 SV=1</t>
  </si>
  <si>
    <t>Uncharacterized isomerase BH0283 OS=Bacillus halodurans (strain ATCC BAA-125 / DSM 18197 / FERM 7344 / JCM 9153 / C-125) GN=BH0283 PE=3 SV=1</t>
  </si>
  <si>
    <t>Bacillus halodurans</t>
  </si>
  <si>
    <t>50S ribosomal protein L10, chloroplastic OS=Arabidopsis thaliana GN=RPL10 PE=2 SV=1</t>
  </si>
  <si>
    <t>Probable LRR receptor-like serine/threonine-protein kinase At1g12460 OS=Arabidopsis thaliana GN=At1g12460 PE=2 SV=1</t>
  </si>
  <si>
    <t>Centromere protein X OS=Bos taurus GN=STRA13 PE=3 SV=1</t>
  </si>
  <si>
    <t>Rubisco accumulation factor 2, chloroplastic OS=Arabidopsis thaliana GN=RAF2 PE=2 SV=1</t>
  </si>
  <si>
    <t>Transcription factor GTE1 OS=Arabidopsis thaliana GN=GTE1 PE=2 SV=1</t>
  </si>
  <si>
    <t>Polyubiquitin OS=Pisum sativum GN=PU1 PE=2 SV=2</t>
  </si>
  <si>
    <t>Non-specific lipid-transfer protein-like protein At5g64080 OS=Arabidopsis thaliana GN=At5g64080 PE=1 SV=1</t>
  </si>
  <si>
    <t>Fatty-acid-binding protein 3 OS=Arabidopsis thaliana GN=FAP3 PE=1 SV=1</t>
  </si>
  <si>
    <t>Actin, alpha skeletal muscle OS=Rattus norvegicus GN=Acta1 PE=1 SV=1</t>
  </si>
  <si>
    <t>Ethylene-responsive transcription factor ERF109 OS=Arabidopsis thaliana GN=ERF109 PE=1 SV=1</t>
  </si>
  <si>
    <t>Cytochrome P450 71AV8 OS=Cichorium intybus GN=CYP71AV8 PE=2 SV=1</t>
  </si>
  <si>
    <t>Cichorium intybus</t>
  </si>
  <si>
    <t>Zinc-binding alcohol dehydrogenase domain-containing protein 2 OS=Mus musculus GN=Zadh2 PE=1 SV=1</t>
  </si>
  <si>
    <t>Eukaryotic translation initiation factor 2 subunit 3 OS=Drosophila melanogaster GN=eIF-2gamma PE=2 SV=1</t>
  </si>
  <si>
    <t>Serine/threonine-protein kinase ATR OS=Oryza sativa subsp. japonica GN=Os06g0724700 PE=2 SV=1</t>
  </si>
  <si>
    <t>DNA polymerase I OS=Bacillus caldotenax GN=polA PE=1 SV=1</t>
  </si>
  <si>
    <t>Bacillus caldotenax</t>
  </si>
  <si>
    <t>Serine hydroxymethyltransferase 2, mitochondrial OS=Arabidopsis thaliana GN=SHM2 PE=2 SV=2</t>
  </si>
  <si>
    <t>Flavin-containing monooxygenase FMO GS-OX-like 2 OS=Arabidopsis thaliana GN=At1g12200 PE=2 SV=1</t>
  </si>
  <si>
    <t>Dehydration-responsive element-binding protein 3 OS=Arabidopsis thaliana GN=DREB3 PE=2 SV=1</t>
  </si>
  <si>
    <t>Solanesyl diphosphate synthase 3, chloroplastic/mitochondrial OS=Arabidopsis thaliana GN=SPS3 PE=1 SV=1</t>
  </si>
  <si>
    <t>DnaJ protein ERDJ2A OS=Arabidopsis thaliana GN=ERDJ2A PE=1 SV=1</t>
  </si>
  <si>
    <t>4-coumarate--CoA ligase 2 OS=Glycine max PE=2 SV=2</t>
  </si>
  <si>
    <t>Filament-like plant protein 3 OS=Arabidopsis thaliana GN=FPP3 PE=2 SV=2</t>
  </si>
  <si>
    <t>Anthocyanidin 3-O-glucosyltransferase 7 (Fragment) OS=Manihot esculenta GN=GT7 PE=2 SV=1</t>
  </si>
  <si>
    <t>Dynamin-related protein 3A OS=Arabidopsis thaliana GN=DRP3A PE=1 SV=2</t>
  </si>
  <si>
    <t>Putative receptor-like protein kinase At5g39000 OS=Arabidopsis thaliana GN=At5g39000 PE=3 SV=1</t>
  </si>
  <si>
    <t>Protein trichome birefringence-like 6 OS=Arabidopsis thaliana GN=TBL6 PE=2 SV=1</t>
  </si>
  <si>
    <t>4-hydroxybenzoate polyprenyltransferase, mitochondrial OS=Arabidopsis thaliana GN=PPT1 PE=2 SV=1</t>
  </si>
  <si>
    <t>F-box protein At3g12350 OS=Arabidopsis thaliana GN=At3g12350 PE=2 SV=1</t>
  </si>
  <si>
    <t>ATP-dependent DNA helicase 2 subunit KU80 OS=Arabidopsis thaliana GN=KU80 PE=1 SV=1</t>
  </si>
  <si>
    <t>Peroxidase 19 OS=Arabidopsis thaliana GN=PER19 PE=2 SV=1</t>
  </si>
  <si>
    <t>Nuclear factor related to kappa-B-binding protein OS=Homo sapiens GN=NFRKB PE=1 SV=2</t>
  </si>
  <si>
    <t>Glutamate receptor 2.2 OS=Arabidopsis thaliana GN=GLR2.2 PE=2 SV=1</t>
  </si>
  <si>
    <t>Mitochondrial carrier protein MTM1 OS=Arabidopsis thaliana GN=MTM1 PE=2 SV=1</t>
  </si>
  <si>
    <t>Embryonic polyadenylate-binding protein 2 OS=Homo sapiens GN=PABPN1L PE=2 SV=1</t>
  </si>
  <si>
    <t>DnaJ homolog subfamily B member 6 OS=Macaca fascicularis GN=DNAJB6 PE=2 SV=1</t>
  </si>
  <si>
    <t>Replication protein A 70 kDa DNA-binding subunit B OS=Arabidopsis thaliana GN=RPA1B PE=3 SV=1</t>
  </si>
  <si>
    <t>Bromodomain and WD repeat-containing protein 1 OS=Mus musculus GN=Brwd1 PE=1 SV=2</t>
  </si>
  <si>
    <t>Probable pectinesterase/pectinesterase inhibitor 21 OS=Arabidopsis thaliana GN=PME21 PE=2 SV=2</t>
  </si>
  <si>
    <t>ABSCISIC ACid-INSENSITIVE 5-like protein 1 OS=Arabidopsis thaliana GN=DPBF2 PE=1 SV=1</t>
  </si>
  <si>
    <t>Protein GUCD1 OS=Mus musculus GN=Gucd1 PE=2 SV=2</t>
  </si>
  <si>
    <t>Dirigent protein 3 OS=Arabidopsis thaliana GN=DIR3 PE=3 SV=1</t>
  </si>
  <si>
    <t>Alpha-1,3/1,6-mannosyltransferase ALG2 OS=Dictyostelium discoideum GN=alg2 PE=3 SV=1</t>
  </si>
  <si>
    <t>Probable xyloglucan endotransglucosylase/hydrolase protein B OS=Phaseolus angularis GN=XTHB PE=2 SV=1</t>
  </si>
  <si>
    <t>Phaseolus angularis</t>
  </si>
  <si>
    <t>Probable lysine-specific demethylase ELF6 OS=Arabidopsis thaliana GN=ELF6 PE=1 SV=1</t>
  </si>
  <si>
    <t>Trafficking protein particle complex subunit 8 OS=Homo sapiens GN=TRAPPC8 PE=1 SV=2</t>
  </si>
  <si>
    <t>Phosphoenolpyruvate carboxykinase [ATP] OS=Arabidopsis thaliana GN=PCKA PE=1 SV=1</t>
  </si>
  <si>
    <t>Protein RSI-1 OS=Solanum lycopersicum GN=RSI-1 PE=2 SV=1</t>
  </si>
  <si>
    <t>Zinc finger CCCH domain-containing protein 43 OS=Arabidopsis thaliana GN=At3g48440 PE=2 SV=1</t>
  </si>
  <si>
    <t>Organ-specific protein S2 OS=Pisum sativum PE=2 SV=1</t>
  </si>
  <si>
    <t>Phosphoenolpyruvate/phosphate translocator 2, chloroplastic OS=Arabidopsis thaliana GN=PPT2 PE=2 SV=1</t>
  </si>
  <si>
    <t>Serine protease SPPA, chloroplastic OS=Arabidopsis thaliana GN=SPPA PE=2 SV=1</t>
  </si>
  <si>
    <t>Polygalacturonase OS=Brassica napus PE=2 SV=1</t>
  </si>
  <si>
    <t>Cytochrome P450 87A3 OS=Oryza sativa subsp. japonica GN=CYP87A3 PE=2 SV=3</t>
  </si>
  <si>
    <t>FACT complex subunit SSRP1 OS=Vicia faba GN=SSRP1 PE=2 SV=1</t>
  </si>
  <si>
    <t>Plant UBX domain-containing protein 4 OS=Arabidopsis thaliana GN=PUX4 PE=1 SV=1</t>
  </si>
  <si>
    <t>Protein ecm33 OS=Neosartorya fumigata (strain ATCC MYA-4609 / Af293 / CBS 101355 / FGSC A1100) GN=ecm33 PE=1 SV=1</t>
  </si>
  <si>
    <t>Cytosolic endo-beta-N-acetylglucosaminidase 1 OS=Arabidopsis thaliana GN=ENGASE1 PE=1 SV=1</t>
  </si>
  <si>
    <t>Tudor domain-containing protein 3 OS=Gallus gallus GN=TDRD3 PE=2 SV=1</t>
  </si>
  <si>
    <t>GDSL esterase/lipase At5g45920 OS=Arabidopsis thaliana GN=At5g45920 PE=2 SV=1</t>
  </si>
  <si>
    <t>Protein-L-isoaspartate O-methyltransferase 1 OS=Arabidopsis thaliana GN=PIMT1 PE=1 SV=3</t>
  </si>
  <si>
    <t>Probable ATP-dependent RNA helicase DHX37 OS=Homo sapiens GN=DHX37 PE=1 SV=1</t>
  </si>
  <si>
    <t>Probable boron transporter 6 OS=Arabidopsis thaliana GN=BOR6 PE=2 SV=2</t>
  </si>
  <si>
    <t>Ubiquitin-conjugating enzyme E2 1 OS=Arabidopsis thaliana GN=UBC1 PE=1 SV=1</t>
  </si>
  <si>
    <t>Single-stranded DNA-binding protein WHY1, chloroplastic OS=Arabidopsis thaliana GN=WHY1 PE=1 SV=1</t>
  </si>
  <si>
    <t>AT-hook motif nuclear-localized protein 23 OS=Arabidopsis thaliana GN=AHL23 PE=1 SV=1</t>
  </si>
  <si>
    <t>RNA-binding protein with multiple splicing 2 OS=Mus musculus GN=Rbpms2 PE=1 SV=1</t>
  </si>
  <si>
    <t>Alcohol oxidase 1 OS=Komagataella pastoris (strain GS115 / ATCC 20864) GN=AOX1 PE=1 SV=2</t>
  </si>
  <si>
    <t>Komagataella pastoris</t>
  </si>
  <si>
    <t>ADP-ribosylation factor OS=Neurospora crassa (strain ATCC 24698 / 74-OR23-1A / CBS 708.71 / DSM 1257 / FGSC 987) GN=NCU08340 PE=3 SV=3</t>
  </si>
  <si>
    <t>LRR receptor-like serine/threonine-protein kinase FEI 1 OS=Arabidopsis thaliana GN=FEI1 PE=1 SV=1</t>
  </si>
  <si>
    <t>Stress-related protein OS=Vitis riparia GN=SRP PE=2 SV=1</t>
  </si>
  <si>
    <t>Vitis riparia</t>
  </si>
  <si>
    <t>CDPK-related kinase 4 OS=Arabidopsis thaliana GN=CRK4 PE=2 SV=1</t>
  </si>
  <si>
    <t>Glu S.griseus protease inhibitor OS=Momordica charantia PE=1 SV=1</t>
  </si>
  <si>
    <t>Momordica charantia</t>
  </si>
  <si>
    <t>DNA replication licensing factor MCM2 OS=Oryza sativa subsp. japonica GN=MCM2 PE=2 SV=1</t>
  </si>
  <si>
    <t>Uncharacterized protein At4g06744 OS=Arabidopsis thaliana GN=At4g06744 PE=2 SV=1</t>
  </si>
  <si>
    <t>Zinc finger CCCH domain-containing protein 64 OS=Arabidopsis thaliana GN=At5g56900 PE=2 SV=1</t>
  </si>
  <si>
    <t>Rac-like GTP-binding protein ARAC5 OS=Arabidopsis thaliana GN=ARAC5 PE=1 SV=1</t>
  </si>
  <si>
    <t>LRR receptor-like serine/threonine-protein kinase RCH1 OS=Arabidopsis thaliana GN=RCH1 PE=2 SV=1</t>
  </si>
  <si>
    <t>Cytochrome P450 78A6 OS=Arabidopsis thaliana GN=CYP78A6 PE=2 SV=1</t>
  </si>
  <si>
    <t>Reticuline oxidase-like protein OS=Arabidopsis thaliana GN=At4g20830 PE=1 SV=2</t>
  </si>
  <si>
    <t>Patatin-like protein 1 OS=Oryza sativa subsp. indica GN=PLP1 PE=3 SV=1</t>
  </si>
  <si>
    <t>COP9 signalosome complex subunit 2 OS=Arabidopsis thaliana GN=CSN2 PE=1 SV=1</t>
  </si>
  <si>
    <t>Uncharacterized methyltransferase At1g78140, chloroplastic OS=Arabidopsis thaliana GN=At1g78140 PE=2 SV=1</t>
  </si>
  <si>
    <t>Serine/threonine-protein kinase 38-like OS=Homo sapiens GN=STK38L PE=1 SV=3</t>
  </si>
  <si>
    <t>Protein NEN1 OS=Arabidopsis thaliana GN=NEN1 PE=2 SV=1</t>
  </si>
  <si>
    <t>Mitochondrial import receptor subunit TOM70 OS=Rattus norvegicus GN=Tomm70a PE=1 SV=1</t>
  </si>
  <si>
    <t>Pentatricopeptide repeat-containing protein PNM1, mitochondrial OS=Arabidopsis thaliana GN=PNM1 PE=1 SV=1</t>
  </si>
  <si>
    <t>Thioredoxin M3, chloroplastic OS=Arabidopsis thaliana GN=GAT1 PE=2 SV=2</t>
  </si>
  <si>
    <t>Probable purine permease 5 OS=Arabidopsis thaliana GN=PUP5 PE=2 SV=2</t>
  </si>
  <si>
    <t>Putative receptor protein kinase ZmPK1 OS=Zea mays GN=PK1 PE=2 SV=2</t>
  </si>
  <si>
    <t>Probable carboxylesterase 11 OS=Arabidopsis thaliana GN=CXE11 PE=2 SV=1</t>
  </si>
  <si>
    <t>Urease OS=Arabidopsis thaliana GN=URE PE=3 SV=1</t>
  </si>
  <si>
    <t>Protein NRT1/ PTR FAMILY 5.1 OS=Arabidopsis thaliana GN=NPF5.1 PE=2 SV=2</t>
  </si>
  <si>
    <t>AT-rich interactive domain-containing protein 3 OS=Arabidopsis thaliana GN=ARid3 PE=1 SV=1</t>
  </si>
  <si>
    <t>Zinc finger HIT domain-containing protein 3 (Fragment) OS=Macaca mulatta GN=ZNHIT3 PE=2 SV=1</t>
  </si>
  <si>
    <t>Macaca mulatta</t>
  </si>
  <si>
    <t>Two-component response regulator ARR9 OS=Arabidopsis thaliana GN=ARR9 PE=1 SV=1</t>
  </si>
  <si>
    <t>Probable calcium-binding protein CML36 OS=Arabidopsis thaliana GN=CML36 PE=2 SV=1</t>
  </si>
  <si>
    <t>Box C/D snoRNA protein 1 OS=Pongo abelii GN=ZNHIT6 PE=2 SV=1</t>
  </si>
  <si>
    <t>Probable WRKY transcription factor 4 OS=Arabidopsis thaliana GN=WRKY4 PE=1 SV=2</t>
  </si>
  <si>
    <t>Microspherule protein 1 OS=Homo sapiens GN=MCRS1 PE=1 SV=1</t>
  </si>
  <si>
    <t>ATP synthase subunit a OS=Oenothera berteroana GN=ATP6 PE=2 SV=2</t>
  </si>
  <si>
    <t>Germinal-center associated nuclear protein OS=Homo sapiens GN=MCM3AP PE=1 SV=2</t>
  </si>
  <si>
    <t>Vesicle-associated membrane protein 714 OS=Arabidopsis thaliana GN=VAMP714 PE=1 SV=1</t>
  </si>
  <si>
    <t>NAC domain-containing protein 83 OS=Arabidopsis thaliana GN=NAC083 PE=1 SV=1</t>
  </si>
  <si>
    <t>1,2-dihydroxy-3-keto-5-methylthiopentene dioxygenase 2 OS=Vitis vinifera GN=VIT_05s0020g04080 PE=3 SV=1</t>
  </si>
  <si>
    <t>Ornithine aminotransferase, mitochondrial OS=Arabidopsis thaliana GN=DELTA-OAT PE=1 SV=1</t>
  </si>
  <si>
    <t>Mannose-1-phosphate guanylyltransferase 1 OS=Arabidopsis thaliana GN=CYT1 PE=1 SV=1</t>
  </si>
  <si>
    <t>Probable LRR receptor-like serine/threonine-protein kinase At5g45840 OS=Arabidopsis thaliana GN=At5g45840 PE=2 SV=1</t>
  </si>
  <si>
    <t>F-box/kelch-repeat protein At1g23390 OS=Arabidopsis thaliana GN=At1g23390 PE=2 SV=1</t>
  </si>
  <si>
    <t>Multiple myeloma tumor-associated protein 2 homolog OS=Mus musculus GN=Mmtag2 PE=2 SV=1</t>
  </si>
  <si>
    <t>Beta-hexosaminidase 2 OS=Arabidopsis thaliana GN=HEXO2 PE=1 SV=1</t>
  </si>
  <si>
    <t>CRS2-associated factor 2, chloroplastic OS=Arabidopsis thaliana GN=At1g23400 PE=2 SV=1</t>
  </si>
  <si>
    <t>Inositol polyphosphate multikinase beta OS=Arabidopsis thaliana GN=IPK2b PE=1 SV=1</t>
  </si>
  <si>
    <t>Alpha-taxilin OS=Mus musculus GN=Txlna PE=2 SV=1</t>
  </si>
  <si>
    <t>Polyadenylate-binding protein-interacting protein 4 OS=Arabidopsis thaliana GN=Cid4 PE=2 SV=1</t>
  </si>
  <si>
    <t>Uncharacterized protein YnbD OS=Escherichia coli (strain K12) GN=ynbD PE=1 SV=1</t>
  </si>
  <si>
    <t>Ubiquitin-conjugating enzyme E2 variant 1A OS=Arabidopsis thaliana GN=UEV1A PE=1 SV=1</t>
  </si>
  <si>
    <t>Glycine-rich RNA-binding protein RZ1C OS=Arabidopsis thaliana GN=RZ1C PE=1 SV=1</t>
  </si>
  <si>
    <t>Pyruvate dehydrogenase E1 component subunit alpha, mitochondrial OS=Pisum sativum PE=2 SV=1</t>
  </si>
  <si>
    <t>Protein PLANT CADMIUM RESISTANCE 2 OS=Arabidopsis thaliana GN=PCR2 PE=1 SV=1</t>
  </si>
  <si>
    <t>Exopolygalacturonase clone GBGE184 OS=Arabidopsis thaliana GN=PGA3 PE=2 SV=1</t>
  </si>
  <si>
    <t>Tobamovirus multiplication protein 1 OS=Nicotiana tabacum GN=TOM1 PE=1 SV=1</t>
  </si>
  <si>
    <t>Probable tetraacyldisaccharide 4'-kinase, mitochondrial OS=Arabidopsis thaliana GN=LPXK PE=2 SV=1</t>
  </si>
  <si>
    <t>Calcium-dependent protein kinase 3 OS=Arabidopsis thaliana GN=CPK3 PE=1 SV=1</t>
  </si>
  <si>
    <t>Serine/threonine-protein phosphatase 5 OS=Arabidopsis thaliana GN=PAPP5 PE=1 SV=1</t>
  </si>
  <si>
    <t>Probable complex I intermediate-associated protein 30 OS=Arabidopsis thaliana GN=At1g17350 PE=1 SV=2</t>
  </si>
  <si>
    <t>Thioredoxin-like 2, chloroplastic OS=Oryza sativa subsp. japonica GN=Os05g0200100 PE=2 SV=1</t>
  </si>
  <si>
    <t>Cold shock domain-containing protein 3 OS=Arabidopsis thaliana GN=CSP3 PE=1 SV=1</t>
  </si>
  <si>
    <t>Cationic amino acid transporter 7, chloroplastic OS=Arabidopsis thaliana GN=CAT7 PE=3 SV=1</t>
  </si>
  <si>
    <t>Protein LOW PSII ACCUMULATION 2, chloroplastic OS=Arabidopsis thaliana GN=LPA2 PE=1 SV=1</t>
  </si>
  <si>
    <t>Ubiquitin carboxyl-terminal hydrolase 17 OS=Arabidopsis thaliana GN=UBP17 PE=2 SV=1</t>
  </si>
  <si>
    <t>Protein MIZU-KUSSEI 1 OS=Arabidopsis thaliana GN=MIZ1 PE=1 SV=1</t>
  </si>
  <si>
    <t>Alpha-glucosidase YihQ OS=Escherichia coli (strain K12) GN=yihQ PE=1 SV=3</t>
  </si>
  <si>
    <t>Asparagine synthetase [glutamine-hydrolyzing] 3 OS=Arabidopsis thaliana GN=ASN3 PE=2 SV=1</t>
  </si>
  <si>
    <t>Protein usf OS=Aquifex pyrophilus GN=usf PE=4 SV=1</t>
  </si>
  <si>
    <t>Aquifex pyrophilus</t>
  </si>
  <si>
    <t>Pentatricopeptide repeat-containing protein At1g30610, chloroplastic OS=Arabidopsis thaliana GN=EMB2279 PE=2 SV=1</t>
  </si>
  <si>
    <t>Putative E3 ubiquitin-protein ligase XBAT31 OS=Arabidopsis thaliana GN=XBAT31 PE=2 SV=1</t>
  </si>
  <si>
    <t>50S ribosomal protein L29, chloroplastic OS=Arabidopsis thaliana GN=RPL29 PE=1 SV=1</t>
  </si>
  <si>
    <t>DNA-directed RNA polymerases II, IV and V subunit 8B OS=Arabidopsis thaliana GN=NRPB8B PE=1 SV=1</t>
  </si>
  <si>
    <t>Polyadenylate-binding protein-interacting protein 11 OS=Arabidopsis thaliana GN=Cid11 PE=2 SV=1</t>
  </si>
  <si>
    <t>Shaggy-related protein kinase eta OS=Arabidopsis thaliana GN=ASK7 PE=1 SV=2</t>
  </si>
  <si>
    <t>Myb-related protein 3R-1 OS=Arabidopsis thaliana GN=MYB3R-1 PE=2 SV=1</t>
  </si>
  <si>
    <t>Uroporphyrinogen decarboxylase 1, chloroplastic OS=Arabidopsis thaliana GN=HEME1 PE=2 SV=2</t>
  </si>
  <si>
    <t>3-dehydroquinate synthase OS=Methanothermobacter thermautotrophicus (strain ATCC 29096 / DSM 1053 / JCM 10044 / NBRC 100330 / Delta H) GN=aroB' PE=3 SV=2</t>
  </si>
  <si>
    <t>DNA (cytosine-5)-methyltransferase 1 OS=Zea mays GN=MET2A PE=1 SV=1</t>
  </si>
  <si>
    <t>Plastid division protein PDV2 OS=Arabidopsis thaliana GN=PDV2 PE=1 SV=1</t>
  </si>
  <si>
    <t>Cyclic phosphodiesterase OS=Arabidopsis thaliana GN=At4g18930 PE=1 SV=1</t>
  </si>
  <si>
    <t>Histone-lysine N-methyltransferase, H3 lysine-9 specific SUVH4 OS=Arabidopsis thaliana GN=SUVH4 PE=1 SV=2</t>
  </si>
  <si>
    <t>Deoxyhypusine synthase OS=Arabidopsis thaliana GN=DHS PE=2 SV=1</t>
  </si>
  <si>
    <t>Tubulin--tyrosine ligase-like protein 12 OS=Mus musculus GN=Ttll12 PE=2 SV=1</t>
  </si>
  <si>
    <t>Transcription factor bHLH104 OS=Arabidopsis thaliana GN=BHLH104 PE=2 SV=1</t>
  </si>
  <si>
    <t>D-lactate dehydrogenase [cytochrome], mitochondrial OS=Arabidopsis thaliana GN=DLD PE=1 SV=1</t>
  </si>
  <si>
    <t>Putative pentatricopeptide repeat-containing protein At1g09680 OS=Arabidopsis thaliana GN=At1g09680 PE=3 SV=1</t>
  </si>
  <si>
    <t>LOB domain-containing protein 36 OS=Arabidopsis thaliana GN=LBD36 PE=2 SV=1</t>
  </si>
  <si>
    <t>Transcription factor TGA1 OS=Arabidopsis thaliana GN=TGA1 PE=1 SV=2</t>
  </si>
  <si>
    <t>Trafficking protein particle complex subunit 11 OS=Bos taurus GN=TRAPPC11 PE=2 SV=1</t>
  </si>
  <si>
    <t>1-acyl-sn-glycerol-3-phosphate acyltransferase 1, chloroplastic OS=Brassica napus GN=LPAT1 PE=2 SV=1</t>
  </si>
  <si>
    <t>TAF5-like RNA polymerase II p300/CBP-associated factor-associated factor 65 kDa subunit 5L OS=Mus musculus GN=Taf5l PE=2 SV=1</t>
  </si>
  <si>
    <t>Transmembrane protein 147 OS=Xenopus tropicalis GN=tmem147 PE=2 SV=1</t>
  </si>
  <si>
    <t>E3 ubiquitin-protein ligase SINAT4 OS=Arabidopsis thaliana GN=SINAT4 PE=2 SV=1</t>
  </si>
  <si>
    <t>Protein PHLOEM PROTEIN 2-LIKE A9 OS=Arabidopsis thaliana GN=PP2A9 PE=2 SV=1</t>
  </si>
  <si>
    <t>Protein RST1 OS=Arabidopsis thaliana GN=RST1 PE=2 SV=2</t>
  </si>
  <si>
    <t>Probable carboxylesterase 9 OS=Arabidopsis thaliana GN=CXE9 PE=2 SV=1</t>
  </si>
  <si>
    <t>RING-H2 finger protein ATL78 OS=Arabidopsis thaliana GN=ATL78 PE=2 SV=1</t>
  </si>
  <si>
    <t>Probable WRKY transcription factor 33 OS=Arabidopsis thaliana GN=WRKY33 PE=1 SV=2</t>
  </si>
  <si>
    <t>Transcription factor TCP19 OS=Arabidopsis thaliana GN=TCP19 PE=2 SV=1</t>
  </si>
  <si>
    <t>Protein DA1 OS=Arabidopsis thaliana GN=DA1 PE=1 SV=1</t>
  </si>
  <si>
    <t>Protein WVD2-like 1 OS=Arabidopsis thaliana GN=WDL1 PE=1 SV=1</t>
  </si>
  <si>
    <t>Tubulin-folding cofactor D OS=Arabidopsis thaliana GN=TFCD PE=2 SV=1</t>
  </si>
  <si>
    <t>Nudix hydrolase 15, mitochondrial OS=Arabidopsis thaliana GN=NUDT15 PE=1 SV=2</t>
  </si>
  <si>
    <t>Histone-lysine N-methyltransferase setd3 OS=Canis familiaris GN=SETD3 PE=3 SV=1</t>
  </si>
  <si>
    <t>Telomere repeat-binding factor 5 OS=Arabidopsis thaliana GN=At1g72740 PE=2 SV=1</t>
  </si>
  <si>
    <t>ER membrane protein complex subunit 8/9 homolog OS=Arabidopsis thaliana GN=EMB2731 PE=2 SV=1</t>
  </si>
  <si>
    <t>L-ascorbate peroxidase 3, peroxisomal OS=Arabidopsis thaliana GN=APX3 PE=1 SV=1</t>
  </si>
  <si>
    <t>MMS19 nucleotide excision repair protein homolog OS=Arabidopsis thaliana GN=MMS19 PE=1 SV=1</t>
  </si>
  <si>
    <t>Probable LRR receptor-like serine/threonine-protein kinase RKF3 OS=Arabidopsis thaliana GN=RKF3 PE=2 SV=1</t>
  </si>
  <si>
    <t>Ammonium transporter 1 member 3 OS=Solanum lycopersicum GN=AMT1-3 PE=2 SV=1</t>
  </si>
  <si>
    <t>Nucleobase-ascorbate transporter 4 OS=Arabidopsis thaliana GN=NAT4 PE=2 SV=2</t>
  </si>
  <si>
    <t>Probable calcium-binding protein CML25 OS=Arabidopsis thaliana GN=CML25 PE=2 SV=1</t>
  </si>
  <si>
    <t>Folylpolyglutamate synthase OS=Bacillus subtilis (strain 168) GN=folC PE=3 SV=2</t>
  </si>
  <si>
    <t>Protein TRANSPORT INHIBITOR RESPONSE 1 OS=Arabidopsis thaliana GN=TIR1 PE=1 SV=2</t>
  </si>
  <si>
    <t>AT-hook motif nuclear-localized protein 5 OS=Arabidopsis thaliana GN=AHL5 PE=1 SV=1</t>
  </si>
  <si>
    <t>Non-specific lipid-transfer protein 2 OS=Prunus armeniaca PE=1 SV=1</t>
  </si>
  <si>
    <t>DNA-directed primase/polymerase protein OS=Danio rerio GN=primpol PE=2 SV=2</t>
  </si>
  <si>
    <t>Auxin response factor 18 OS=Oryza sativa subsp. japonica GN=ARF18 PE=2 SV=1</t>
  </si>
  <si>
    <t>50S ribosomal protein L21, mitochondrial OS=Arabidopsis thaliana GN=RPL21M PE=2 SV=1</t>
  </si>
  <si>
    <t>Probable GMP synthase [glutamine-hydrolyzing] OS=Helicobacter hepaticus (strain ATCC 51449 / 3B1) GN=guaA PE=3 SV=1</t>
  </si>
  <si>
    <t>Helicobacter hepaticus</t>
  </si>
  <si>
    <t>Pentatricopeptide repeat-containing protein At2g02980, chloroplastic OS=Arabidopsis thaliana GN=PCMP-H26 PE=2 SV=2</t>
  </si>
  <si>
    <t>Putative pentatricopeptide repeat-containing protein At1g77010, mitochondrial OS=Arabidopsis thaliana GN=PCMP-E5 PE=3 SV=1</t>
  </si>
  <si>
    <t>Eukaryotic translation initiation factor 1A OS=Onobrychis viciifolia PE=2 SV=2</t>
  </si>
  <si>
    <t>Onobrychis viciifolia</t>
  </si>
  <si>
    <t>ATP synthase subunit b', chloroplastic OS=Spinacia oleracea GN=ATPG PE=1 SV=2</t>
  </si>
  <si>
    <t>Agamous-like MADS-box protein AGL90 OS=Arabidopsis thaliana GN=AGL90 PE=1 SV=2</t>
  </si>
  <si>
    <t>Structural maintenance of chromosomes protein 6B OS=Arabidopsis thaliana GN=SMC6B PE=2 SV=1</t>
  </si>
  <si>
    <t>40S ribosomal protein S13 OS=Glycine max GN=RPS13 PE=2 SV=1</t>
  </si>
  <si>
    <t>Pentatricopeptide repeat-containing protein At1g05600 OS=Arabidopsis thaliana GN=At1g05600 PE=2 SV=1</t>
  </si>
  <si>
    <t>Mannan endo-1,4-beta-mannosidase 7 OS=Arabidopsis thaliana GN=MAN7 PE=2 SV=1</t>
  </si>
  <si>
    <t>Lipid phosphate phosphatase 1 OS=Arabidopsis thaliana GN=LPP1 PE=2 SV=2</t>
  </si>
  <si>
    <t>Protein GDAP2 homolog OS=Nematostella vectensis GN=gdap2 PE=3 SV=1</t>
  </si>
  <si>
    <t>D-2-hydroxyglutarate dehydrogenase, mitochondrial OS=Arabidopsis thaliana GN=D2HGDH PE=1 SV=3</t>
  </si>
  <si>
    <t>PH-interacting protein OS=Homo sapiens GN=PHIP PE=1 SV=2</t>
  </si>
  <si>
    <t>Oxysterol-binding protein-related protein 3C OS=Arabidopsis thaliana GN=ORP3C PE=2 SV=1</t>
  </si>
  <si>
    <t>Two-component response regulator-like APRR7 OS=Arabidopsis thaliana GN=APRR7 PE=1 SV=1</t>
  </si>
  <si>
    <t>AT-rich interactive domain-containing protein 4 OS=Arabidopsis thaliana GN=ARid4 PE=2 SV=1</t>
  </si>
  <si>
    <t>NADP-dependent malic enzyme OS=Vitis vinifera PE=2 SV=1</t>
  </si>
  <si>
    <t>Polyribonucleotide nucleotidyltransferase 2, mitochondrial OS=Arabidopsis thaliana GN=PNP2 PE=2 SV=1</t>
  </si>
  <si>
    <t>Coiled-coil domain-containing protein 90B, mitochondrial OS=Mus musculus GN=Ccdc90b PE=2 SV=1</t>
  </si>
  <si>
    <t>Acyl-CoA-binding domain-containing protein 4 OS=Arabidopsis thaliana GN=ACBP4 PE=1 SV=1</t>
  </si>
  <si>
    <t>Choline monooxygenase, chloroplastic OS=Arabidopsis thaliana GN=At4g29890 PE=2 SV=2</t>
  </si>
  <si>
    <t>Putative proline-rich receptor-like protein kinase PERK11 OS=Arabidopsis thaliana GN=PERK11 PE=2 SV=2</t>
  </si>
  <si>
    <t>Protein odr-4 homolog OS=Xenopus laevis GN=odr4 PE=2 SV=1</t>
  </si>
  <si>
    <t>Pentatricopeptide repeat-containing protein At1g79490, mitochondrial OS=Arabidopsis thaliana GN=EMB2217 PE=2 SV=1</t>
  </si>
  <si>
    <t>Phosphatidylinositol 4-kinase alpha 1 OS=Arabidopsis thaliana GN=PI4KA1 PE=1 SV=2</t>
  </si>
  <si>
    <t>Hypersensitive-induced response protein 2 OS=Arabidopsis thaliana GN=HIR2 PE=1 SV=1</t>
  </si>
  <si>
    <t>E3 ubiquitin-protein ligase HOS1 OS=Arabidopsis thaliana GN=HOS1 PE=1 SV=1</t>
  </si>
  <si>
    <t>Deoxyhypusine hydroxylase OS=Arabidopsis thaliana GN=At3g58180 PE=1 SV=1</t>
  </si>
  <si>
    <t>NADH-ubiquinone oxidoreductase chain 5 OS=Oenothera berteroana GN=ND5 PE=2 SV=2</t>
  </si>
  <si>
    <t>Transcription factor-like protein DPB OS=Arabidopsis thaliana GN=DPB PE=1 SV=1</t>
  </si>
  <si>
    <t>Peroxisomal fatty acid beta-oxidation multifunctional protein AIM1 OS=Arabidopsis thaliana GN=AIM1 PE=1 SV=1</t>
  </si>
  <si>
    <t>OTU domain-containing protein 6B OS=Danio rerio GN=otud6b PE=2 SV=1</t>
  </si>
  <si>
    <t>WD repeat and FYVE domain-containing protein 3 OS=Homo sapiens GN=WDFY3 PE=1 SV=2</t>
  </si>
  <si>
    <t>Calcium-binding protein CML38 OS=Arabidopsis thaliana GN=CML38 PE=2 SV=1</t>
  </si>
  <si>
    <t>Telomerase Cajal body protein 1 OS=Mesocricetus auratus GN=Wrap53 PE=2 SV=1</t>
  </si>
  <si>
    <t>Mesocricetus auratus</t>
  </si>
  <si>
    <t>NADH dehydrogenase [ubiquinone] iron-sulfur protein 2 OS=Arabidopsis thaliana GN=NAD7 PE=2 SV=2</t>
  </si>
  <si>
    <t>Sorting nexin-13 OS=Homo sapiens GN=SNX13 PE=1 SV=4</t>
  </si>
  <si>
    <t>Scarecrow-like protein 13 OS=Arabidopsis thaliana GN=SCL13 PE=2 SV=2</t>
  </si>
  <si>
    <t>CBL-interacting serine/threonine-protein kinase 21 OS=Arabidopsis thaliana GN=CIPK21 PE=1 SV=1</t>
  </si>
  <si>
    <t>Probable beta-1,4-xylosyltransferase IRX10 OS=Arabidopsis thaliana GN=IRX10 PE=2 SV=1</t>
  </si>
  <si>
    <t>Serine/threonine-protein kinase ULK4 OS=Pongo abelii GN=ULK4 PE=2 SV=1</t>
  </si>
  <si>
    <t>Phosphoglycolate phosphatase 1B, chloroplastic OS=Arabidopsis thaliana GN=PGLP1B PE=1 SV=1</t>
  </si>
  <si>
    <t>Poly [ADP-ribose] polymerase 2 OS=Arabidopsis thaliana GN=PARP2 PE=2 SV=1</t>
  </si>
  <si>
    <t>Ornithine decarboxylase OS=Datura stramonium PE=2 SV=1</t>
  </si>
  <si>
    <t>Datura stramonium</t>
  </si>
  <si>
    <t>Protein EPidERMAL PATTERNING FACTOR 2 OS=Arabidopsis thaliana GN=EPF2 PE=1 SV=1</t>
  </si>
  <si>
    <t>Tyrosine-specific transport protein OS=Shigella flexneri GN=tyrP PE=3 SV=1</t>
  </si>
  <si>
    <t>ABC transporter G family member 1 OS=Arabidopsis thaliana GN=ABCG1 PE=2 SV=1</t>
  </si>
  <si>
    <t>Phytochrome E OS=Ipomoea nil GN=PHYE PE=2 SV=1</t>
  </si>
  <si>
    <t>Valine N-monooxygenase 1 OS=Manihot esculenta GN=CYP79D1 PE=1 SV=1</t>
  </si>
  <si>
    <t>DNA damage-binding protein 2 OS=Homo sapiens GN=DDB2 PE=1 SV=1</t>
  </si>
  <si>
    <t>Fructose-bisphosphate aldolase A OS=Rattus norvegicus GN=Aldoa PE=1 SV=2</t>
  </si>
  <si>
    <t>(-)-germacrene D synthase OS=Vitis vinifera GN=VIT_19s0014g04930 PE=1 SV=1</t>
  </si>
  <si>
    <t>Microtubule-associated protein 70-5 OS=Arabidopsis thaliana GN=MAP70.5 PE=1 SV=1</t>
  </si>
  <si>
    <t>U3 snoRNP-associated protein-like YAO OS=Arabidopsis thaliana GN=YAO PE=2 SV=1</t>
  </si>
  <si>
    <t>30S ribosomal protein S17, chloroplastic OS=Arabidopsis thaliana GN=RPS17 PE=1 SV=1</t>
  </si>
  <si>
    <t>Putative ATP-dependent helicase hrq1 OS=Schizosaccharomyces pombe (strain 972 / ATCC 24843) GN=hrq1 PE=3 SV=4</t>
  </si>
  <si>
    <t>CASP-like protein 4C2 OS=Populus trichocarpa GN=POPTRDRAFT_822486 PE=3 SV=1</t>
  </si>
  <si>
    <t>Signal peptidase complex catalytic subunit SEC11C OS=Pongo abelii GN=SEC11C PE=2 SV=3</t>
  </si>
  <si>
    <t>Trihelix transcription factor GT-2 OS=Arabidopsis thaliana GN=GT-2 PE=2 SV=1</t>
  </si>
  <si>
    <t>ATP-dependent zinc metalloprotease FTSH 10, mitochondrial OS=Arabidopsis thaliana GN=FTSH10 PE=1 SV=1</t>
  </si>
  <si>
    <t>ADP-ribosylation factor-like protein 8A OS=Xenopus tropicalis GN=arl8a PE=2 SV=1</t>
  </si>
  <si>
    <t>B3 domain-containing protein Os04g0386900 OS=Oryza sativa subsp. japonica GN=Os04g0386900 PE=2 SV=3</t>
  </si>
  <si>
    <t>Homeobox-leucine zipper protein ATHB-13 OS=Arabidopsis thaliana GN=ATHB-13 PE=2 SV=2</t>
  </si>
  <si>
    <t>UDP-glycosyltransferase 78D2 OS=Arabidopsis thaliana GN=UGT78D2 PE=2 SV=1</t>
  </si>
  <si>
    <t>Protein GAST1 OS=Solanum lycopersicum GN=GAST1 PE=2 SV=1</t>
  </si>
  <si>
    <t>Peroxidase 66 OS=Arabidopsis thaliana GN=PER66 PE=2 SV=1</t>
  </si>
  <si>
    <t>DNA replication complex GINS protein PSF1 OS=Mus musculus GN=Gins1 PE=2 SV=1</t>
  </si>
  <si>
    <t>40S ribosomal protein S24-2 OS=Arabidopsis thaliana GN=RPS24B PE=2 SV=2</t>
  </si>
  <si>
    <t>Glycogen synthase kinase-3 homolog MsK-3 OS=Medicago sativa GN=MSK-3 PE=2 SV=2</t>
  </si>
  <si>
    <t>Probable E3 ubiquitin-protein ligase BAH1-like 1 OS=Oryza sativa subsp. japonica GN=Os03g0650900 PE=2 SV=1</t>
  </si>
  <si>
    <t>Probable UMP/CMP kinase 4 OS=Oryza sativa subsp. japonica GN=Os02g0778400 PE=2 SV=1</t>
  </si>
  <si>
    <t>L-type lectin-domain containing receptor kinase IX.1 OS=Arabidopsis thaliana GN=LECRK91 PE=2 SV=1</t>
  </si>
  <si>
    <t>Late embryogenesis abundant protein 2 OS=Cicer arietinum PE=2 SV=1</t>
  </si>
  <si>
    <t>ATP synthase subunit beta, mitochondrial OS=Nicotiana plumbaginifolia GN=ATPB PE=1 SV=1</t>
  </si>
  <si>
    <t>Tubulin alpha chain OS=Prunus dulcis GN=TUBA PE=2 SV=1</t>
  </si>
  <si>
    <t>MATE efflux family protein 3, chloroplastic OS=Arabidopsis thaliana GN=DTX45 PE=2 SV=2</t>
  </si>
  <si>
    <t>Transmembrane 9 superfamily member 3 OS=Arabidopsis thaliana GN=TMN3 PE=2 SV=1</t>
  </si>
  <si>
    <t>Pentatricopeptide repeat-containing protein At1g71420 OS=Arabidopsis thaliana GN=PCMP-H70 PE=2 SV=1</t>
  </si>
  <si>
    <t>Afadin- and alpha-actinin-binding protein OS=Homo sapiens GN=SSX2IP PE=1 SV=3</t>
  </si>
  <si>
    <t>Probable LRR receptor-like serine/threonine-protein kinase At1g53420 OS=Arabidopsis thaliana GN=At1g53420 PE=2 SV=2</t>
  </si>
  <si>
    <t>Mitogen-activated protein kinase 12 OS=Oryza sativa subsp. japonica GN=MPK12 PE=1 SV=2</t>
  </si>
  <si>
    <t>Putative cyclin-D6-1 OS=Arabidopsis thaliana GN=CYCD6-1 PE=3 SV=1</t>
  </si>
  <si>
    <t>Uncharacterized protein At5g19025 OS=Arabidopsis thaliana GN=At5g19025 PE=2 SV=3</t>
  </si>
  <si>
    <t>DNA-binding protein RHL1 OS=Arabidopsis thaliana GN=RHL1 PE=1 SV=1</t>
  </si>
  <si>
    <t>Chromatin-remodeling complex subunit ies6 OS=Schizosaccharomyces pombe (strain 972 / ATCC 24843) GN=ies6 PE=3 SV=1</t>
  </si>
  <si>
    <t>Probable inactive shikimate kinase like 1, chloroplastic OS=Arabidopsis thaliana GN=SKL1 PE=2 SV=1</t>
  </si>
  <si>
    <t>Phytochrome-associated serine/threonine-protein phosphatase 1 OS=Arabidopsis thaliana GN=FYPP1 PE=2 SV=1</t>
  </si>
  <si>
    <t>B3 domain-containing protein REM10 OS=Arabidopsis thaliana GN=REM10 PE=2 SV=1</t>
  </si>
  <si>
    <t>Proline-rich receptor-like protein kinase PERK1 OS=Arabidopsis thaliana GN=PERK1 PE=2 SV=1</t>
  </si>
  <si>
    <t>Probable xyloglucan endotransglucosylase/hydrolase protein 25 OS=Arabidopsis thaliana GN=XTH25 PE=2 SV=2</t>
  </si>
  <si>
    <t>Myosin-12 OS=Arabidopsis thaliana GN=XI-F PE=2 SV=1</t>
  </si>
  <si>
    <t>Metalloendoproteinase 2-MMP OS=Arabidopsis thaliana GN=2MMP PE=1 SV=1</t>
  </si>
  <si>
    <t>2-carboxy-D-arabinitol-1-phosphatase OS=Triticum aestivum PE=1 SV=1</t>
  </si>
  <si>
    <t>Sucrose synthase 3 OS=Arabidopsis thaliana GN=SUS3 PE=1 SV=1</t>
  </si>
  <si>
    <t>Probable ethanolamine kinase OS=Arabidopsis thaliana GN=EMB1187 PE=2 SV=1</t>
  </si>
  <si>
    <t>Maf-like protein DDB_G0281937 OS=Dictyostelium discoideum GN=DDB_G0281937 PE=3 SV=1</t>
  </si>
  <si>
    <t>Polyadenylate-binding protein RBP45B OS=Arabidopsis thaliana GN=RBP45B PE=1 SV=1</t>
  </si>
  <si>
    <t>Protein FAR1-RELATED SEQUENCE 7 OS=Arabidopsis thaliana GN=FRS7 PE=2 SV=1</t>
  </si>
  <si>
    <t>Phytochrome-associated serine/threonine-protein phosphatase OS=Pisum sativum GN=FYPP PE=1 SV=1</t>
  </si>
  <si>
    <t>Translation initiation factor eIF-2B subunit alpha OS=Dictyostelium discoideum GN=eif2b1 PE=3 SV=1</t>
  </si>
  <si>
    <t>Putative methylesterase 11, chloroplastic OS=Arabidopsis thaliana GN=MES11 PE=2 SV=1</t>
  </si>
  <si>
    <t>30S ribosomal protein 3, chloroplastic OS=Spinacia oleracea GN=PSRP3 PE=1 SV=1</t>
  </si>
  <si>
    <t>Nicotinamide/nicotinic acid mononucleotide adenylyltransferase OS=Arabidopsis thaliana GN=NMNAT PE=2 SV=1</t>
  </si>
  <si>
    <t>Geranylgeranyl transferase type-1 subunit beta OS=Arabidopsis thaliana GN=GGB PE=1 SV=1</t>
  </si>
  <si>
    <t>L-type lectin-domain containing receptor kinase VII.1 OS=Arabidopsis thaliana GN=LECRK71 PE=2 SV=1</t>
  </si>
  <si>
    <t>Pentatricopeptide repeat-containing protein At4g04790, mitochondrial OS=Arabidopsis thaliana GN=At4g04790 PE=2 SV=2</t>
  </si>
  <si>
    <t>Probable pectate lyase F OS=Aspergillus terreus (strain NIH 2624 / FGSC A1156) GN=plyF PE=3 SV=1</t>
  </si>
  <si>
    <t>Vegetative incompatibility protein HET-E-1 OS=Podospora anserina GN=HET-E1 PE=3 SV=1</t>
  </si>
  <si>
    <t>Probable galacturonosyltransferase-like 9 OS=Arabidopsis thaliana GN=GATL9 PE=2 SV=1</t>
  </si>
  <si>
    <t>Probable galacturonosyltransferase-like 3 OS=Arabidopsis thaliana GN=GATL3 PE=2 SV=1</t>
  </si>
  <si>
    <t>Protein P80 OS=Dictyostelium discoideum GN=p80 PE=2 SV=1</t>
  </si>
  <si>
    <t>Protein PLASTid MOVEMENT IMPAIRED 2 OS=Arabidopsis thaliana GN=PMI2 PE=1 SV=1</t>
  </si>
  <si>
    <t>Translin OS=Gallus gallus GN=TSN PE=1 SV=1</t>
  </si>
  <si>
    <t>Cell differentiation protein RCD1 homolog OS=Xenopus tropicalis GN=rqcd1 PE=2 SV=1</t>
  </si>
  <si>
    <t>11-beta-hydroxysteroid dehydrogenase-like 4B OS=Arabidopsis thaliana GN=HSD7 PE=2 SV=2</t>
  </si>
  <si>
    <t>Glucuronoxylan 4-O-methyltransferase 1 OS=Arabidopsis thaliana GN=GXM1 PE=1 SV=1</t>
  </si>
  <si>
    <t>Protein LOL1 OS=Arabidopsis thaliana GN=LOL1 PE=2 SV=1</t>
  </si>
  <si>
    <t>Peroxisomal membrane protein 11B OS=Arabidopsis thaliana GN=PEX11B PE=1 SV=1</t>
  </si>
  <si>
    <t>Glucose-1-phosphate adenylyltransferase large subunit 1, chloroplastic OS=Arabidopsis thaliana GN=ADG2 PE=1 SV=3</t>
  </si>
  <si>
    <t>NAD(P)H-quinone oxidoreductase subunit U, chloroplastic OS=Arabidopsis thaliana GN=ndhU PE=1 SV=1</t>
  </si>
  <si>
    <t>Probable anion transporter 3, chloroplastic OS=Arabidopsis thaliana GN=ANTR3 PE=2 SV=2</t>
  </si>
  <si>
    <t>Ethylene-responsive transcription factor ABR1 OS=Arabidopsis thaliana GN=ABR1 PE=2 SV=1</t>
  </si>
  <si>
    <t>Polyneuridine-aldehyde esterase OS=Rauvolfia serpentina GN=PNAE PE=1 SV=1</t>
  </si>
  <si>
    <t>Outer envelope pore protein 16-2, chloroplastic OS=Arabidopsis thaliana GN=OEP162 PE=2 SV=1</t>
  </si>
  <si>
    <t>Nitrile-specifier protein 5 OS=Arabidopsis thaliana GN=NSP5 PE=2 SV=1</t>
  </si>
  <si>
    <t>Zinc finger protein CONSTANS-LIKE 13 OS=Arabidopsis thaliana GN=COL13 PE=2 SV=1</t>
  </si>
  <si>
    <t>Protein argonaute 4A OS=Oryza sativa subsp. japonica GN=AGO4A PE=2 SV=1</t>
  </si>
  <si>
    <t>Pentatricopeptide repeat-containing protein At5g18390, mitochondrial OS=Arabidopsis thaliana GN=At5g18390 PE=2 SV=2</t>
  </si>
  <si>
    <t>Pectinesterase/pectinesterase inhibitor OS=Ficus pumila var. awkeotsang PE=1 SV=1</t>
  </si>
  <si>
    <t>Ficus pumila</t>
  </si>
  <si>
    <t>Alpha-mannosidase 2 OS=Arabidopsis thaliana GN=GMII PE=1 SV=1</t>
  </si>
  <si>
    <t>RHOMBOid-like protein 1 OS=Arabidopsis thaliana GN=RBL1 PE=2 SV=1</t>
  </si>
  <si>
    <t>Pentatricopeptide repeat-containing protein At5g25630 OS=Arabidopsis thaliana GN=At5g25630 PE=2 SV=2</t>
  </si>
  <si>
    <t>PAX-interacting protein 1 OS=Bos taurus GN=PAXIP1 PE=2 SV=1</t>
  </si>
  <si>
    <t>Protein KRTCAP2 homolog OS=Aedes aegypti GN=AAEL007634 PE=2 SV=1</t>
  </si>
  <si>
    <t>Pyruvate dehydrogenase E1 component subunit beta-1, mitochondrial OS=Oryza sativa subsp. japonica GN=Os08g0536000 PE=2 SV=1</t>
  </si>
  <si>
    <t>Uncharacterized protein C18orf8 OS=Homo sapiens GN=C18orf8 PE=2 SV=2</t>
  </si>
  <si>
    <t>Conserved oligomeric Golgi complex subunit 1 OS=Homo sapiens GN=COG1 PE=1 SV=1</t>
  </si>
  <si>
    <t>Folate synthesis bifunctional protein, mitochondrial OS=Pisum sativum GN=MitHPPK/DHPS PE=1 SV=1</t>
  </si>
  <si>
    <t>Carboxylesterase 1 OS=Actinidia eriantha GN=CXE1 PE=1 SV=1</t>
  </si>
  <si>
    <t>Actinidia eriantha</t>
  </si>
  <si>
    <t>Protein EXECUTER 2, chloroplastic OS=Arabidopsis thaliana GN=EX2 PE=2 SV=1</t>
  </si>
  <si>
    <t>Pentatricopeptide repeat-containing protein At2g36980, mitochondrial OS=Arabidopsis thaliana GN=PCMP-E73 PE=2 SV=1</t>
  </si>
  <si>
    <t>Putative protein phosphatase 2C-like protein 44 OS=Arabidopsis thaliana GN=At3g23360 PE=5 SV=1</t>
  </si>
  <si>
    <t>Putative phospholipid-transporting ATPase 9 OS=Arabidopsis thaliana GN=ALA9 PE=3 SV=1</t>
  </si>
  <si>
    <t>Pentatricopeptide repeat-containing protein At5g09450, mitochondrial OS=Arabidopsis thaliana GN=At5g09450 PE=2 SV=1</t>
  </si>
  <si>
    <t>Probable serine/threonine-protein kinase WNK5 OS=Arabidopsis thaliana GN=WNK5 PE=1 SV=2</t>
  </si>
  <si>
    <t>Subtilisin-like protease SBT2.5 OS=Arabidopsis thaliana GN=SBT2.5 PE=2 SV=1</t>
  </si>
  <si>
    <t>Putative phosphatidylinositol 4-phosphate 5-kinase 11 OS=Arabidopsis thaliana GN=PIP5K11 PE=3 SV=1</t>
  </si>
  <si>
    <t>Type I inositol polyphosphate 5-phosphatase 10 OS=Arabidopsis thaliana GN=IP5P10 PE=2 SV=1</t>
  </si>
  <si>
    <t>Farnesylcysteine lyase OS=Arabidopsis thaliana GN=FLCY PE=1 SV=1</t>
  </si>
  <si>
    <t>Nudix hydrolase 2 OS=Arabidopsis thaliana GN=NUDT2 PE=1 SV=1</t>
  </si>
  <si>
    <t>Multiple organellar RNA editing factor 5, mitochondrial OS=Arabidopsis thaliana GN=MORF5 PE=2 SV=1</t>
  </si>
  <si>
    <t>AP-3 complex subunit mu OS=Arabidopsis thaliana GN=AP3M PE=1 SV=1</t>
  </si>
  <si>
    <t>Germ cell-less protein-like 1 OS=Mus musculus GN=Gmcl1 PE=1 SV=2</t>
  </si>
  <si>
    <t>Plant cysteine oxidase 2 OS=Arabidopsis thaliana GN=PCO2 PE=1 SV=1</t>
  </si>
  <si>
    <t>Ribosomal RNA small subunit methyltransferase OS=Arabidopsis thaliana GN=DIM1A PE=1 SV=1</t>
  </si>
  <si>
    <t>F-box/FBD/LRR-repeat protein At4g00160 OS=Arabidopsis thaliana GN=At4g00160 PE=2 SV=2</t>
  </si>
  <si>
    <t>Aminoacylase-1 OS=Mus musculus GN=Acy1 PE=1 SV=1</t>
  </si>
  <si>
    <t>2,3-bisphosphoglycerate-dependent phosphoglycerate mutase OS=Bartonella henselae (strain ATCC 49882 / DSM 28221 / Houston 1) GN=gpmA PE=3 SV=1</t>
  </si>
  <si>
    <t>Bartonella henselae</t>
  </si>
  <si>
    <t>Thioredoxin H2 OS=Arabidopsis thaliana GN=TRX2 PE=2 SV=2</t>
  </si>
  <si>
    <t>F-actin-capping protein subunit alpha OS=Arabidopsis thaliana GN=At3g05520 PE=2 SV=2</t>
  </si>
  <si>
    <t>Alcohol dehydrogenase-like 7 OS=Arabidopsis thaliana GN=At5g42250 PE=2 SV=1</t>
  </si>
  <si>
    <t>Cytosolic Fe-S cluster assembly factor NBP35 OS=Arabidopsis thaliana GN=NBP35 PE=1 SV=1</t>
  </si>
  <si>
    <t>RING-H2 finger protein ATL80 OS=Arabidopsis thaliana GN=ATL80 PE=2 SV=1</t>
  </si>
  <si>
    <t>Basic leucine zipper 43 OS=Arabidopsis thaliana GN=BZIP43 PE=1 SV=1</t>
  </si>
  <si>
    <t>Ribosome-recycling factor OS=Thermus thermophilus (strain HB8 / ATCC 27634 / DSM 579) GN=frr PE=1 SV=1</t>
  </si>
  <si>
    <t>Alpha carbonic anhydrase 4 OS=Arabidopsis thaliana GN=ACA4 PE=3 SV=1</t>
  </si>
  <si>
    <t>GTP cyclohydrolase 1 OS=Solanum lycopersicum GN=GCH1 PE=1 SV=1</t>
  </si>
  <si>
    <t>NADPH:adrenodoxin oxidoreductase, mitochondrial OS=Arabidopsis thaliana GN=MFDR PE=1 SV=1</t>
  </si>
  <si>
    <t>Hexokinase-1 OS=Nicotiana tabacum GN=HXK1 PE=2 SV=1</t>
  </si>
  <si>
    <t>Protein PNS1 OS=Debaryomyces hansenii (strain ATCC 36239 / CBS 767 / JCM 1990 / NBRC 0083 / IGC 2968) GN=PNS1 PE=3 SV=2</t>
  </si>
  <si>
    <t>Actin-related protein 2/3 complex subunit 4 OS=Arabidopsis thaliana GN=ARPC4 PE=1 SV=1</t>
  </si>
  <si>
    <t>Probable catabolite repression protein creC OS=Neosartorya fischeri (strain ATCC 1020 / DSM 3700 / FGSC A1164 / NRRL 181) GN=creC PE=3 SV=1</t>
  </si>
  <si>
    <t>Ribosome maturation protein SBDS OS=Bos taurus GN=SBDS PE=2 SV=1</t>
  </si>
  <si>
    <t>Mevalonate kinase OS=Arabidopsis thaliana GN=At5g27450 PE=2 SV=1</t>
  </si>
  <si>
    <t>Chlorophyll a-b binding protein of LHCII type I, chloroplastic OS=Lemna gibba PE=3 SV=1</t>
  </si>
  <si>
    <t>Lemna gibba</t>
  </si>
  <si>
    <t>GMP synthase [glutamine-hydrolyzing] OS=Bradyrhizobium diazoefficiens (strain JCM 10833 / IAM 13628 / NBRC 14792 / USDA 110) GN=guaA PE=3 SV=1</t>
  </si>
  <si>
    <t>Sugar transport protein 14 OS=Arabidopsis thaliana GN=STP14 PE=2 SV=2</t>
  </si>
  <si>
    <t>2,4-dichlorophenol 6-monooxygenase OS=Delftia acidovorans GN=tfdB PE=1 SV=3</t>
  </si>
  <si>
    <t>Delftia acidovorans</t>
  </si>
  <si>
    <t>Homeobox-leucine zipper protein HAT14 OS=Arabidopsis thaliana GN=HAT14 PE=2 SV=3</t>
  </si>
  <si>
    <t>HVA22-like protein k OS=Arabidopsis thaliana GN=HVA22K PE=2 SV=1</t>
  </si>
  <si>
    <t>Pectin acetylesterase 5 OS=Arabidopsis thaliana GN=PAE5 PE=2 SV=1</t>
  </si>
  <si>
    <t>RAN GTPase-activating protein 2 OS=Arabidopsis thaliana GN=RANGAP2 PE=1 SV=2</t>
  </si>
  <si>
    <t>Transmembrane E3 ubiquitin-protein ligase 1 OS=Saccharomyces cerevisiae (strain ATCC 204508 / S288c) GN=TUL1 PE=1 SV=1</t>
  </si>
  <si>
    <t>Nuclear-pore anchor OS=Arabidopsis thaliana GN=NUA PE=1 SV=1</t>
  </si>
  <si>
    <t>Protein EI24 homolog OS=Arabidopsis thaliana GN=At4g06676 PE=2 SV=1</t>
  </si>
  <si>
    <t>D-3-phosphoglycerate dehydrogenase 1, chloroplastic OS=Arabidopsis thaliana GN=PGDH1 PE=1 SV=1</t>
  </si>
  <si>
    <t>Alpha/beta hydrolase domain-containing protein 17C OS=Gallus gallus GN=ABHD17C PE=2 SV=1</t>
  </si>
  <si>
    <t>Ribonuclease P protein subunit p30 OS=Bos taurus GN=RPP30 PE=2 SV=1</t>
  </si>
  <si>
    <t>Leukocyte receptor cluster member 8 homolog OS=Xenopus laevis GN=leng8 PE=2 SV=1</t>
  </si>
  <si>
    <t>Pentatricopeptide repeat-containing protein At4g13650 OS=Arabidopsis thaliana GN=PCMP-H42 PE=2 SV=2</t>
  </si>
  <si>
    <t>Adenylate kinase 1, chloroplastic OS=Arabidopsis thaliana GN=ADK PE=2 SV=1</t>
  </si>
  <si>
    <t>Serine/threonine-protein kinase WAG1 OS=Arabidopsis thaliana GN=WAG1 PE=2 SV=1</t>
  </si>
  <si>
    <t>Mitogen-activated protein kinase kinase kinase A OS=Dictyostelium discoideum GN=mkkA PE=1 SV=2</t>
  </si>
  <si>
    <t>Eukaryotic translation initiation factor 3 subunit K OS=Oryza sativa subsp. japonica GN=TIF3K1 PE=2 SV=1</t>
  </si>
  <si>
    <t>Serine/threonine-protein kinase CBK1 OS=Pneumocystis carinii GN=CBK1 PE=2 SV=1</t>
  </si>
  <si>
    <t>Pneumocystis carinii</t>
  </si>
  <si>
    <t>F-box protein At1g55000 OS=Arabidopsis thaliana GN=At1g55000 PE=1 SV=1</t>
  </si>
  <si>
    <t>Elongation factor G-2, mitochondrial OS=Arabidopsis thaliana GN=MEFG2 PE=2 SV=1</t>
  </si>
  <si>
    <t>Probable polyol transporter 4 OS=Arabidopsis thaliana GN=PLT4 PE=2 SV=1</t>
  </si>
  <si>
    <t>Golgi SNAP receptor complex member 1-2 OS=Arabidopsis thaliana GN=GOS12 PE=1 SV=2</t>
  </si>
  <si>
    <t>Ubiquitin-conjugating enzyme E2 34 OS=Arabidopsis thaliana GN=UBC34 PE=2 SV=1</t>
  </si>
  <si>
    <t>Ribonucleoside-diphosphate reductase large subunit OS=Arabidopsis thaliana GN=RNR1 PE=1 SV=1</t>
  </si>
  <si>
    <t>UDP-galactose transporter 1 OS=Arabidopsis thaliana GN=UDP-GALT1 PE=2 SV=1</t>
  </si>
  <si>
    <t>LOB domain-containing protein 39 OS=Arabidopsis thaliana GN=LBD39 PE=2 SV=1</t>
  </si>
  <si>
    <t>Glutathione S-transferase OS=Hyoscyamus muticus PE=1 SV=1</t>
  </si>
  <si>
    <t>ER membrane protein complex subunit 7 homolog OS=Arabidopsis thaliana GN=At4g32130 PE=2 SV=1</t>
  </si>
  <si>
    <t>S-adenosylmethionine decarboxylase proenzyme OS=Catharanthus roseus GN=SAMDC PE=1 SV=1</t>
  </si>
  <si>
    <t>Probable folate-biopterin transporter 6 OS=Arabidopsis thaliana GN=At5g10820 PE=2 SV=1</t>
  </si>
  <si>
    <t>Putative F-box protein At1g65770 OS=Arabidopsis thaliana GN=At1g65770 PE=4 SV=1</t>
  </si>
  <si>
    <t>Putative clathrin assembly protein At2g01600 OS=Arabidopsis thaliana GN=At2g01600 PE=2 SV=2</t>
  </si>
  <si>
    <t>Nudix hydrolase 17, mitochondrial OS=Arabidopsis thaliana GN=NUDT17 PE=2 SV=1</t>
  </si>
  <si>
    <t>Phosphatidylinositol 4-kinase beta 1 OS=Arabidopsis thaliana GN=PI4KB1 PE=1 SV=1</t>
  </si>
  <si>
    <t>Ethylene-responsive transcription factor ERF062 OS=Arabidopsis thaliana GN=ERF062 PE=2 SV=1</t>
  </si>
  <si>
    <t>Ribosome biogenesis protein BOP1 homolog OS=Chlamydomonas reinhardtii GN=CHLREDRAFT_111274 PE=3 SV=2</t>
  </si>
  <si>
    <t>Kinesin-like protein NACK2 OS=Arabidopsis thaliana GN=NACK2 PE=1 SV=1</t>
  </si>
  <si>
    <t>Protein transport protein Sec61 subunit gamma OS=Oryza sativa subsp. japonica GN=Os02g0178400 PE=3 SV=1</t>
  </si>
  <si>
    <t>Ninja-family protein AFP3 OS=Arabidopsis thaliana GN=AFP3 PE=1 SV=1</t>
  </si>
  <si>
    <t>SNF1-related protein kinase catalytic subunit alpha KIN10 OS=Arabidopsis thaliana GN=KIN10 PE=1 SV=2</t>
  </si>
  <si>
    <t>Protein RTE1-HOMOLOG OS=Arabidopsis thaliana GN=RTH PE=2 SV=1</t>
  </si>
  <si>
    <t>Protein YIPF1 homolog OS=Dictyostelium discoideum GN=yipf1 PE=3 SV=1</t>
  </si>
  <si>
    <t>Translational activator GCN1 OS=Homo sapiens GN=GCN1L1 PE=1 SV=6</t>
  </si>
  <si>
    <t>Glucan endo-1,3-beta-glucosidase 11 OS=Arabidopsis thaliana GN=At1g32860 PE=1 SV=1</t>
  </si>
  <si>
    <t>Protein kinase APK1A, chloroplastic OS=Arabidopsis thaliana GN=APK1A PE=2 SV=1</t>
  </si>
  <si>
    <t>L-Ala-D/L-amino acid epimerase OS=Populus trichocarpa GN=POPTR_0012s05040g PE=3 SV=2</t>
  </si>
  <si>
    <t>Protein CWC15 homolog OS=Drosophila melanogaster GN=c12.1 PE=2 SV=1</t>
  </si>
  <si>
    <t>Two-component response regulator-like APRR2 OS=Arabidopsis thaliana GN=APRR2 PE=2 SV=2</t>
  </si>
  <si>
    <t>DNA-binding protein SMUBP-2 OS=Mus musculus GN=Ighmbp2 PE=1 SV=1</t>
  </si>
  <si>
    <t>Exocyst complex component SEC15B OS=Arabidopsis thaliana GN=SEC15B PE=1 SV=1</t>
  </si>
  <si>
    <t>Pto-interacting protein 1 OS=Solanum lycopersicum GN=PTI1 PE=1 SV=2</t>
  </si>
  <si>
    <t>Probable dolichyl pyrophosphate Glc1Man9GlcNAc2 alpha-1,3-glucosyltransferase OS=Arabidopsis thaliana GN=At2g44660 PE=2 SV=3</t>
  </si>
  <si>
    <t>Probable serine/threonine protein kinase IRE OS=Arabidopsis thaliana GN=IRE PE=2 SV=1</t>
  </si>
  <si>
    <t>Ribonuclease 3-like protein 2 OS=Arabidopsis thaliana GN=RTL2 PE=1 SV=1</t>
  </si>
  <si>
    <t>Probable UDP-arabinopyranose mutase 5 OS=Arabidopsis thaliana GN=RGP5 PE=1 SV=1</t>
  </si>
  <si>
    <t>Probable LRR receptor-like serine/threonine-protein kinase At1g63430 OS=Arabidopsis thaliana GN=At1g63430 PE=2 SV=1</t>
  </si>
  <si>
    <t>Disease resistance protein RPP8 OS=Arabidopsis thaliana GN=RPP8 PE=1 SV=2</t>
  </si>
  <si>
    <t>Cryptochrome DASH OS=Gloeobacter violaceus (strain PCC 7421) GN=cry PE=3 SV=1</t>
  </si>
  <si>
    <t>CMP-N-acetylneuraminate-beta-galactosamide-alpha-2,3-sialyltransferase 2 OS=Homo sapiens GN=ST3GAL2 PE=2 SV=1</t>
  </si>
  <si>
    <t>Transportin-3 OS=Mus musculus GN=Tnpo3 PE=1 SV=1</t>
  </si>
  <si>
    <t>Methionine aminopeptidase 1D, chloroplastic/mitochondrial OS=Arabidopsis thaliana GN=MAP1D PE=2 SV=1</t>
  </si>
  <si>
    <t>UDP-D-apiose/UDP-D-xylose synthase 2 OS=Arabidopsis thaliana GN=AXS2 PE=2 SV=1</t>
  </si>
  <si>
    <t>NAD(H) kinase 1 OS=Arabidopsis thaliana GN=NADK1 PE=1 SV=2</t>
  </si>
  <si>
    <t>Filament-like plant protein 7 OS=Arabidopsis thaliana GN=FPP7 PE=3 SV=2</t>
  </si>
  <si>
    <t>Transcription initiation factor TFIid subunit 14b OS=Arabidopsis thaliana GN=TAF14B PE=1 SV=1</t>
  </si>
  <si>
    <t>Auxilin-related protein 1 OS=Arabidopsis thaliana GN=At4g12780 PE=1 SV=2</t>
  </si>
  <si>
    <t>Transcription factor 25 OS=Homo sapiens GN=TCF25 PE=1 SV=1</t>
  </si>
  <si>
    <t>Putative BPI/LBP family protein At1g04970 OS=Arabidopsis thaliana GN=At1g04970 PE=2 SV=1</t>
  </si>
  <si>
    <t>Rab3 GTPase-activating protein catalytic subunit OS=Homo sapiens GN=RAB3GAP1 PE=1 SV=3</t>
  </si>
  <si>
    <t>Aspartate aminotransferase OS=Thermotoga maritima (strain ATCC 43589 / MSB8 / DSM 3109 / JCM 10099) GN=aspC PE=1 SV=1</t>
  </si>
  <si>
    <t>Serine/threonine protein phosphatase 2A 57 kDa regulatory subunit B' alpha isoform OS=Arabidopsis thaliana GN=B'ALPHA PE=1 SV=1</t>
  </si>
  <si>
    <t>Fatty acid amide hydrolase OS=Arabidopsis thaliana GN=FAAH PE=1 SV=1</t>
  </si>
  <si>
    <t>Transcription factor ILR3 OS=Arabidopsis thaliana GN=ILR3 PE=1 SV=1</t>
  </si>
  <si>
    <t>Mediator of RNA polymerase II transcription subunit 13 OS=Arabidopsis thaliana GN=MED13 PE=1 SV=1</t>
  </si>
  <si>
    <t>Low affinity sulfate transporter 3 OS=Stylosanthes hamata GN=ST3 PE=2 SV=1</t>
  </si>
  <si>
    <t>Stylosanthes hamata</t>
  </si>
  <si>
    <t>E3 ubiquitin-protein ligase At4g11680 OS=Arabidopsis thaliana GN=At4g11680 PE=2 SV=1</t>
  </si>
  <si>
    <t>Uncharacterized protein sll0103 OS=Synechocystis sp. (strain PCC 6803 / Kazusa) GN=sll0103 PE=3 SV=1</t>
  </si>
  <si>
    <t>Malonate--CoA ligase OS=Arabidopsis thaliana GN=AAE13 PE=1 SV=1</t>
  </si>
  <si>
    <t>Adagio protein 1 OS=Arabidopsis thaliana GN=ADO1 PE=1 SV=2</t>
  </si>
  <si>
    <t>Calcineurin B-like protein 9 OS=Arabidopsis thaliana GN=CBL9 PE=1 SV=3</t>
  </si>
  <si>
    <t>CCAAT/enhancer-binding protein zeta OS=Homo sapiens GN=CEBPZ PE=1 SV=3</t>
  </si>
  <si>
    <t>Polypyrimidine tract-binding protein homolog 2 OS=Arabidopsis thaliana GN=At5g53180 PE=1 SV=1</t>
  </si>
  <si>
    <t>H/ACA ribonucleoprotein complex subunit 2-like protein OS=Arabidopsis thaliana GN=At5g08180 PE=1 SV=1</t>
  </si>
  <si>
    <t>Major allergen Mal d 1 OS=Malus domestica PE=1 SV=3</t>
  </si>
  <si>
    <t>Probable hydroxyacylglutathione hydrolase 2, chloroplast OS=Arabidopsis thaliana GN=GLX2-4 PE=2 SV=1</t>
  </si>
  <si>
    <t>Putative serine/threonine-protein kinase-like protein CCR3 OS=Arabidopsis thaliana GN=CCR3 PE=2 SV=1</t>
  </si>
  <si>
    <t>Probable tRNA N6-adenosine threonylcarbamoyltransferase OS=Bos taurus GN=OSGEP PE=2 SV=1</t>
  </si>
  <si>
    <t>CBS domain-containing protein CBSCBSPB1 OS=Arabidopsis thaliana GN=CBSCBSPB1 PE=1 SV=1</t>
  </si>
  <si>
    <t>Proteasome assembly chaperone 2 OS=Danio rerio GN=psmg2 PE=2 SV=1</t>
  </si>
  <si>
    <t>Phosphatidylinositol 4-kinase gamma 1 OS=Arabidopsis thaliana GN=PI4KG1 PE=2 SV=1</t>
  </si>
  <si>
    <t>Calmodulin-binding receptor-like cytoplasmic kinase 1 OS=Arabidopsis thaliana GN=CRCK1 PE=1 SV=1</t>
  </si>
  <si>
    <t>GDP-mannose 3,5-epimerase OS=Arabidopsis thaliana GN=At5g28840 PE=1 SV=1</t>
  </si>
  <si>
    <t>Mitochondrial outer membrane protein porin 5 OS=Oryza sativa subsp. japonica GN=VDAC5 PE=2 SV=1</t>
  </si>
  <si>
    <t>CDPK-related protein kinase OS=Daucus carota GN=CRK PE=2 SV=1</t>
  </si>
  <si>
    <t>Galacturonosyltransferase 8 OS=Arabidopsis thaliana GN=GAUT8 PE=1 SV=1</t>
  </si>
  <si>
    <t>Calcium-dependent protein kinase 32 OS=Arabidopsis thaliana GN=CPK32 PE=1 SV=1</t>
  </si>
  <si>
    <t>Formin-like protein 6 OS=Arabidopsis thaliana GN=FH6 PE=2 SV=1</t>
  </si>
  <si>
    <t>7-hydroxymethyl chlorophyll a reductase, chloroplastic OS=Arabidopsis thaliana GN=HCAR PE=1 SV=1</t>
  </si>
  <si>
    <t>D-xylose-proton symporter-like 2 OS=Arabidopsis thaliana GN=At5g17010 PE=1 SV=1</t>
  </si>
  <si>
    <t>Probable xyloglucan endotransglucosylase/hydrolase protein 28 OS=Arabidopsis thaliana GN=XTH28 PE=2 SV=1</t>
  </si>
  <si>
    <t>Uncharacterized protein At2g34160 OS=Arabidopsis thaliana GN=At2g34160 PE=1 SV=1</t>
  </si>
  <si>
    <t>Glyceraldehyde-3-phosphate dehydrogenase (Fragment) OS=Ovis aries GN=GAPDH PE=2 SV=4</t>
  </si>
  <si>
    <t>Ovis aries</t>
  </si>
  <si>
    <t>Indole-3-pyruvate monooxygenase YUCCA6 OS=Arabidopsis thaliana GN=YUC6 PE=1 SV=1</t>
  </si>
  <si>
    <t>Pentatricopeptide repeat-containing protein At2g33680 OS=Arabidopsis thaliana GN=PCMP-E19 PE=3 SV=1</t>
  </si>
  <si>
    <t>40S ribosomal protein S9-2 OS=Arabidopsis thaliana GN=RPS9C PE=2 SV=1</t>
  </si>
  <si>
    <t>ABC transporter B family member 1 OS=Arabidopsis thaliana GN=ABCB1 PE=1 SV=1</t>
  </si>
  <si>
    <t>F-box/kelch-repeat protein At3g27150 OS=Arabidopsis thaliana GN=At3g27150 PE=2 SV=1</t>
  </si>
  <si>
    <t>Peroxiredoxin-2B OS=Arabidopsis thaliana GN=PRXIIB PE=1 SV=1</t>
  </si>
  <si>
    <t>Transcription repressor OFP11 OS=Arabidopsis thaliana GN=OFP11 PE=2 SV=1</t>
  </si>
  <si>
    <t>DNA replication licensing factor MCM3 OS=Arabidopsis thaliana GN=MCM3 PE=1 SV=1</t>
  </si>
  <si>
    <t>DNA-directed RNA polymerase V subunit 5A OS=Arabidopsis thaliana GN=NRPE5A PE=1 SV=1</t>
  </si>
  <si>
    <t>Thiosulfate sulfurtransferase 18 OS=Arabidopsis thaliana GN=STR18 PE=1 SV=1</t>
  </si>
  <si>
    <t>BRCA1-associated protein OS=Mus musculus GN=Brap PE=2 SV=1</t>
  </si>
  <si>
    <t>Protein TIC 100 OS=Arabidopsis thaliana GN=TIC100 PE=1 SV=1</t>
  </si>
  <si>
    <t>U3 small nucleolar RNA-associated protein 18 homolog OS=Arabidopsis thaliana GN=At5g14050 PE=1 SV=1</t>
  </si>
  <si>
    <t>ER lumen protein-retaining receptor OS=Caenorhabditis elegans GN=erd-2 PE=3 SV=2</t>
  </si>
  <si>
    <t>Superoxide dismutase [Cu-Zn] OS=Nicotiana plumbaginifolia GN=SODCC PE=2 SV=2</t>
  </si>
  <si>
    <t>RNA-binding protein 8A OS=Drosophila melanogaster GN=tsu PE=1 SV=1</t>
  </si>
  <si>
    <t>Probable esterase KAI2 OS=Arabidopsis thaliana GN=KAI2 PE=1 SV=1</t>
  </si>
  <si>
    <t>GDSL esterase/lipase At1g28590 OS=Arabidopsis thaliana GN=At1g28590 PE=2 SV=2</t>
  </si>
  <si>
    <t>Disease resistance protein RRS1 OS=Arabidopsis thaliana GN=RRS1 PE=1 SV=1</t>
  </si>
  <si>
    <t>Peroxisomal acyl-coenzyme A oxidase 1 OS=Arabidopsis thaliana GN=ACX1 PE=1 SV=1</t>
  </si>
  <si>
    <t>Sulfate transporter 1.3 OS=Arabidopsis thaliana GN=SULTR1;3 PE=2 SV=1</t>
  </si>
  <si>
    <t>Probable WRKY transcription factor 65 OS=Arabidopsis thaliana GN=WRKY65 PE=2 SV=1</t>
  </si>
  <si>
    <t>Aldehyde dehydrogenase family 2 member B7, mitochondrial OS=Arabidopsis thaliana GN=ALDH2B7 PE=2 SV=2</t>
  </si>
  <si>
    <t>Stromal 70 kDa heat shock-related protein, chloroplastic OS=Pisum sativum GN=HSP70 PE=2 SV=1</t>
  </si>
  <si>
    <t>Probable fructose-bisphosphate aldolase 3, chloroplastic OS=Arabidopsis thaliana GN=FBA3 PE=1 SV=1</t>
  </si>
  <si>
    <t>Major pollen allergen Lig v 1 OS=Ligustrum vulgare PE=1 SV=2</t>
  </si>
  <si>
    <t>Ligustrum vulgare</t>
  </si>
  <si>
    <t>DNA-directed RNA polymerases II, IV and V subunit 3 OS=Arabidopsis thaliana GN=NRPB3 PE=1 SV=1</t>
  </si>
  <si>
    <t>Gibberellin-regulated protein 4 OS=Arabidopsis thaliana GN=GASA4 PE=1 SV=2</t>
  </si>
  <si>
    <t>Protein ETHYLENE INSENSITIVE 3 OS=Arabidopsis thaliana GN=EIN3 PE=1 SV=1</t>
  </si>
  <si>
    <t>Protein TOPLESS OS=Arabidopsis thaliana GN=TPL PE=1 SV=1</t>
  </si>
  <si>
    <t>Conserved oligomeric Golgi complex subunit 5 OS=Homo sapiens GN=COG5 PE=1 SV=3</t>
  </si>
  <si>
    <t>Leucine-rich repeat receptor-like protein kinase PXL1 OS=Arabidopsis thaliana GN=PXL1 PE=2 SV=1</t>
  </si>
  <si>
    <t>MLO-like protein 11 OS=Arabidopsis thaliana GN=MLO11 PE=2 SV=1</t>
  </si>
  <si>
    <t>Putative pentatricopeptide repeat-containing protein At1g74580 OS=Arabidopsis thaliana GN=At1g74580 PE=3 SV=1</t>
  </si>
  <si>
    <t>Myosin-13 OS=Arabidopsis thaliana GN=XI-G PE=3 SV=1</t>
  </si>
  <si>
    <t>Ubiquitin carboxyl-terminal hydrolase 9 OS=Arabidopsis thaliana GN=UBP9 PE=2 SV=1</t>
  </si>
  <si>
    <t>Pentatricopeptide repeat-containing protein At3g23020 OS=Arabidopsis thaliana GN=At3g23020 PE=2 SV=1</t>
  </si>
  <si>
    <t>CSC1-like protein At1g32090 OS=Arabidopsis thaliana GN=At1g32090 PE=1 SV=1</t>
  </si>
  <si>
    <t>Cytochrome b561 and DOMON domain-containing protein At3g07570 OS=Arabidopsis thaliana GN=At3g07570 PE=2 SV=1</t>
  </si>
  <si>
    <t>Uncharacterized mitochondrial carrier YMR166C OS=Saccharomyces cerevisiae (strain ATCC 204508 / S288c) GN=YMR166C PE=1 SV=1</t>
  </si>
  <si>
    <t>GPN-loop GTPase 1 OS=Dictyostelium discoideum GN=gpn1 PE=3 SV=1</t>
  </si>
  <si>
    <t>NAC domain-containing protein 73 OS=Arabidopsis thaliana GN=NAC073 PE=2 SV=1</t>
  </si>
  <si>
    <t>Beta-galactosidase 13 OS=Arabidopsis thaliana GN=BGAL13 PE=2 SV=1</t>
  </si>
  <si>
    <t>Protein Ycf2 OS=Vitis vinifera GN=ycf2-A PE=3 SV=1</t>
  </si>
  <si>
    <t>Zinc finger CCCH domain-containing protein 29 OS=Arabidopsis thaliana GN=At2g40140 PE=2 SV=1</t>
  </si>
  <si>
    <t>Phosphopantothenoylcysteine decarboxylase OS=Arabidopsis thaliana GN=HAL3A PE=1 SV=1</t>
  </si>
  <si>
    <t>Cullin-associated NEDD8-dissociated protein 1 OS=Arabidopsis thaliana GN=CAND1 PE=1 SV=1</t>
  </si>
  <si>
    <t>Glycerol-3-phosphate dehydrogenase [NAD(+)] GPDHC1, cytosolic OS=Arabidopsis thaliana GN=GPDHC1 PE=2 SV=1</t>
  </si>
  <si>
    <t>Haloalkane dehalogenase OS=Mycobacterium marinum (strain ATCC BAA-535 / M) GN=dhmA PE=3 SV=1</t>
  </si>
  <si>
    <t>Mycobacterium marinum</t>
  </si>
  <si>
    <t>UDP-glycosyltransferase 73C1 OS=Arabidopsis thaliana GN=UGT73C1 PE=2 SV=1</t>
  </si>
  <si>
    <t>Glycogen phosphorylase 1 OS=Dictyostelium discoideum GN=glpV PE=1 SV=3</t>
  </si>
  <si>
    <t>Kinesin-like protein NACK2 OS=Nicotiana tabacum GN=NACK2 PE=1 SV=1</t>
  </si>
  <si>
    <t>G-type lectin S-receptor-like serine/threonine-protein kinase At2g19130 OS=Arabidopsis thaliana GN=At2g19130 PE=2 SV=1</t>
  </si>
  <si>
    <t>50S ribosomal protein L25 OS=Novosphingobium aromaticivorans (strain DSM 12444 / F199) GN=rplY PE=3 SV=1</t>
  </si>
  <si>
    <t>Novosphingobium aromaticivorans</t>
  </si>
  <si>
    <t>MACPF domain-containing protein NSL1 OS=Arabidopsis thaliana GN=NSL1 PE=2 SV=1</t>
  </si>
  <si>
    <t>B3 domain-containing transcription factor FUS3 OS=Arabidopsis thaliana GN=FUS3 PE=2 SV=2</t>
  </si>
  <si>
    <t>Beta-carotene hydroxylase 2, chloroplastic (Fragment) OS=Capsicum annuum GN=CA2 PE=2 SV=1</t>
  </si>
  <si>
    <t>Probably inactive leucine-rich repeat receptor-like protein kinase At5g48380 OS=Arabidopsis thaliana GN=At5g48380 PE=1 SV=1</t>
  </si>
  <si>
    <t>PI-PLC X domain-containing protein At5g67130 OS=Arabidopsis thaliana GN=At5g67130 PE=1 SV=1</t>
  </si>
  <si>
    <t>Carbon catabolite repressor protein 4 homolog 5 OS=Arabidopsis thaliana GN=CCR4-5 PE=2 SV=2</t>
  </si>
  <si>
    <t>4-coumarate--CoA ligase-like 1 OS=Arabidopsis thaliana GN=4CLL1 PE=1 SV=1</t>
  </si>
  <si>
    <t>Basic 7S globulin OS=Glycine max GN=BG PE=1 SV=2</t>
  </si>
  <si>
    <t>Autophagy-related protein 18b OS=Arabidopsis thaliana GN=ATG18B PE=2 SV=2</t>
  </si>
  <si>
    <t>ADP,ATP carrier protein OS=Neurospora crassa (strain ATCC 24698 / 74-OR23-1A / CBS 708.71 / DSM 1257 / FGSC 987) GN=aac PE=3 SV=1</t>
  </si>
  <si>
    <t>Tyrosine/DOPA decarboxylase 2 OS=Papaver somniferum GN=TYDC2 PE=2 SV=1</t>
  </si>
  <si>
    <t>Protein EPD1 OS=Candida maltosa GN=EPD1 PE=3 SV=1</t>
  </si>
  <si>
    <t>Basic blue protein OS=Arabidopsis thaliana GN=ARPN PE=2 SV=2</t>
  </si>
  <si>
    <t>Probable glycerol kinase OS=Dictyostelium discoideum GN=gk PE=3 SV=1</t>
  </si>
  <si>
    <t>Phosphoenolpyruvate carboxykinase [ATP] OS=Neurospora crassa (strain ATCC 24698 / 74-OR23-1A / CBS 708.71 / DSM 1257 / FGSC 987) GN=acu-6 PE=3 SV=2</t>
  </si>
  <si>
    <t>Putative pentatricopeptide repeat-containing protein At5g59200, chloroplastic OS=Arabidopsis thaliana GN=PCMP-E41 PE=3 SV=1</t>
  </si>
  <si>
    <t>Ribulose bisphosphate carboxylase/oxygenase activase 1, chloroplastic OS=Larrea tridentata GN=RCA1 PE=1 SV=1</t>
  </si>
  <si>
    <t>Larrea tridentata</t>
  </si>
  <si>
    <t>Putative non-heme bromoperoxidase BpoC OS=Mycobacterium tuberculosis (strain ATCC 25618 / H37Rv) GN=bpoC PE=1 SV=1</t>
  </si>
  <si>
    <t>Serine/threonine-protein kinase Smg1 OS=Drosophila melanogaster GN=nonC PE=1 SV=2</t>
  </si>
  <si>
    <t>Probable pectinesterase/pectinesterase inhibitor 7 OS=Arabidopsis thaliana GN=PME7 PE=2 SV=1</t>
  </si>
  <si>
    <t>Long-chain-alcohol O-fatty-acyltransferase OS=Simmondsia chinensis PE=1 SV=1</t>
  </si>
  <si>
    <t>Simmondsia chinensis</t>
  </si>
  <si>
    <t>Photosystem I assembly protein Ycf4 OS=Platanus occidentalis GN=ycf4 PE=3 SV=1</t>
  </si>
  <si>
    <t>Platanus occidentalis</t>
  </si>
  <si>
    <t>Chromodomain-helicase-DNA-binding protein 3 OS=Drosophila melanogaster GN=Chd3 PE=2 SV=3</t>
  </si>
  <si>
    <t>Aminodeoxychorismate synthase, chloroplastic OS=Solanum lycopersicum GN=ADCS PE=2 SV=1</t>
  </si>
  <si>
    <t>Protein yippee-like OS=Solanum tuberosum PE=2 SV=1</t>
  </si>
  <si>
    <t>ATP-dependent Clp protease proteolytic subunit-related protein 3, chloroplastic OS=Arabidopsis thaliana GN=CLPR3 PE=1 SV=1</t>
  </si>
  <si>
    <t>BRCA1-associated protein OS=Homo sapiens GN=BRAP PE=1 SV=2</t>
  </si>
  <si>
    <t>mRNA-decapping enzyme 1B OS=Pongo abelii GN=DCP1B PE=2 SV=1</t>
  </si>
  <si>
    <t>Protein RTF1 homolog OS=Arabidopsis thaliana GN=VIP5 PE=1 SV=1</t>
  </si>
  <si>
    <t>Sorbitol dehydrogenase OS=Arabidopsis thaliana GN=SDH PE=1 SV=1</t>
  </si>
  <si>
    <t>Acyl carrier protein 1, mitochondrial OS=Arabidopsis thaliana GN=MTACP1 PE=2 SV=1</t>
  </si>
  <si>
    <t>Structure-specific endonuclease subunit SLX1 OS=Mus musculus GN=Slx1b PE=2 SV=1</t>
  </si>
  <si>
    <t>Probable UDP-3-O-[3-hydroxymyristoyl] N-acetylglucosamine deacetylase 5 OS=Arabidopsis thaliana GN=LPXC5 PE=2 SV=2</t>
  </si>
  <si>
    <t>Probable acyl-activating enzyme 6 OS=Arabidopsis thaliana GN=AAE6 PE=2 SV=1</t>
  </si>
  <si>
    <t>Probable monofunctional riboflavin biosynthesis protein RIBA 3, chloroplastic OS=Oryza sativa subsp. japonica GN=RIBA3 PE=2 SV=1</t>
  </si>
  <si>
    <t>Putative disease resistance RPP13-like protein 3 OS=Arabidopsis thaliana GN=RPP13L3 PE=3 SV=1</t>
  </si>
  <si>
    <t>Uncharacterized protein At4g19900 OS=Arabidopsis thaliana GN=At4g19900 PE=2 SV=1</t>
  </si>
  <si>
    <t>Subtilisin-like protease SBT1.1 OS=Arabidopsis thaliana GN=SBTI1.1 PE=1 SV=1</t>
  </si>
  <si>
    <t>Carboxymethylenebutenolidase homolog OS=Homo sapiens GN=CMBL PE=1 SV=1</t>
  </si>
  <si>
    <t>Beta-carotene 3-hydroxylase, chloroplastic OS=Gentiana lutea GN=BHY PE=2 SV=1</t>
  </si>
  <si>
    <t>Gentiana lutea</t>
  </si>
  <si>
    <t>U3 small nucleolar RNA-associated protein 21 homolog OS=Schizosaccharomyces pombe (strain 972 / ATCC 24843) GN=SPCC1672.07 PE=3 SV=1</t>
  </si>
  <si>
    <t>Sm-like protein LSM36B OS=Arabidopsis thaliana GN=LSM6B PE=1 SV=1</t>
  </si>
  <si>
    <t>NADPH-dependent diflavin oxidoreductase 1 OS=Arabidopsis thaliana GN=ATR3 PE=1 SV=1</t>
  </si>
  <si>
    <t>Oxygen-independent coproporphyrinogen-III oxidase-like protein sll1917 OS=Synechocystis sp. (strain PCC 6803 / Kazusa) GN=sll1917 PE=2 SV=1</t>
  </si>
  <si>
    <t>Cytochrome P450 705A20 OS=Arabidopsis thaliana GN=CYP705A20 PE=2 SV=1</t>
  </si>
  <si>
    <t>Peroxisome biogenesis protein 1 OS=Arabidopsis thaliana GN=PEX1 PE=2 SV=2</t>
  </si>
  <si>
    <t>Probable serine/threonine-protein kinase vps15 OS=Dictyostelium discoideum GN=vps15 PE=3 SV=1</t>
  </si>
  <si>
    <t>Pentatricopeptide repeat-containing protein At2g19280 OS=Arabidopsis thaliana GN=At2g19280 PE=2 SV=2</t>
  </si>
  <si>
    <t>NAC domain-containing protein 86 OS=Arabidopsis thaliana GN=NAC086 PE=2 SV=1</t>
  </si>
  <si>
    <t>CASP-like protein 2C1 OS=Populus trichocarpa GN=POPTRDRAFT_578614 PE=3 SV=2</t>
  </si>
  <si>
    <t>RNA polymerase II C-terminal domain phosphatase-like 3 OS=Arabidopsis thaliana GN=CPL3 PE=1 SV=2</t>
  </si>
  <si>
    <t>Digestive organ expansion factor homolog OS=Xenopus tropicalis GN=diexf PE=2 SV=1</t>
  </si>
  <si>
    <t>Thyroid adenoma-associated protein homolog OS=Gallus gallus GN=THADA PE=2 SV=1</t>
  </si>
  <si>
    <t>DAR GTPase 3, chloroplastic OS=Arabidopsis thaliana GN=DGP3 PE=2 SV=1</t>
  </si>
  <si>
    <t>Salutaridinol 7-O-acetyltransferase OS=Papaver somniferum GN=SALAT PE=1 SV=1</t>
  </si>
  <si>
    <t>Zinc finger protein VAR3, chloroplastic OS=Arabidopsis thaliana GN=VAR3 PE=1 SV=2</t>
  </si>
  <si>
    <t>Enoyl-CoA delta isomerase 3 OS=Arabidopsis thaliana GN=ECI3 PE=1 SV=1</t>
  </si>
  <si>
    <t>Probable galacturonosyltransferase-like 6 OS=Arabidopsis thaliana GN=GATL6 PE=2 SV=1</t>
  </si>
  <si>
    <t>Dof zinc finger protein DOF1.2 OS=Arabidopsis thaliana GN=DOF1.2 PE=2 SV=1</t>
  </si>
  <si>
    <t>Protein SEH1 OS=Arabidopsis thaliana GN=SEH1 PE=1 SV=1</t>
  </si>
  <si>
    <t>BTB/POZ domain-containing protein At3g05675 OS=Arabidopsis thaliana GN=At3g05675 PE=2 SV=1</t>
  </si>
  <si>
    <t>dCTP pyrophosphatase 1 OS=Rattus norvegicus GN=Dctpp1 PE=2 SV=1</t>
  </si>
  <si>
    <t>AP-3 complex subunit delta OS=Arabidopsis thaliana GN=DELTA-ADR PE=1 SV=1</t>
  </si>
  <si>
    <t>26S proteasome non-ATPase regulatory subunit 14 homolog OS=Arabidopsis thaliana GN=RPN11 PE=1 SV=1</t>
  </si>
  <si>
    <t>RRP12-like protein OS=Gallus gallus GN=RRP12 PE=2 SV=1</t>
  </si>
  <si>
    <t>Protein GrpE OS=Thermosynechococcus elongatus (strain BP-1) GN=grpE PE=3 SV=1</t>
  </si>
  <si>
    <t>Thermosynechococcus elongatus</t>
  </si>
  <si>
    <t>Granule-bound starch synthase 2, chloroplastic/amyloplastic OS=Solanum tuberosum GN=SS2 PE=1 SV=3</t>
  </si>
  <si>
    <t>Probable WRKY transcription factor 32 OS=Arabidopsis thaliana GN=WRKY32 PE=2 SV=1</t>
  </si>
  <si>
    <t>50S ribosomal protein L14, chloroplastic OS=Coffea arabica GN=rpl14 PE=3 SV=1</t>
  </si>
  <si>
    <t>Coffea arabica</t>
  </si>
  <si>
    <t>DCN1-like protein OS=Drosophila melanogaster GN=CG7427 PE=2 SV=2</t>
  </si>
  <si>
    <t>Succinate dehydrogenase subunit 5, mitochondrial OS=Arabidopsis thaliana GN=SDH5 PE=1 SV=1</t>
  </si>
  <si>
    <t>Enhancer of mRNA-decapping protein 4 OS=Arabidopsis thaliana GN=VCS PE=1 SV=1</t>
  </si>
  <si>
    <t>Serine/threonine-protein kinase rio2 OS=Dictyostelium discoideum GN=rio2 PE=3 SV=1</t>
  </si>
  <si>
    <t>Tricin synthase 1 OS=Oryza sativa subsp. japonica GN=ROMT-15 PE=1 SV=1</t>
  </si>
  <si>
    <t>Phosphatidylinositol 4-phosphate 5-kinase 8 OS=Arabidopsis thaliana GN=PIP5K8 PE=1 SV=1</t>
  </si>
  <si>
    <t>BOI-related E3 ubiquitin-protein ligase 1 OS=Arabidopsis thaliana GN=BRG1 PE=1 SV=1</t>
  </si>
  <si>
    <t>Translation initiation factor eIF-2B subunit gamma OS=Dictyostelium discoideum GN=eif2b3 PE=3 SV=1</t>
  </si>
  <si>
    <t>Protein phosphatase 2C 29 OS=Arabidopsis thaliana GN=PLL1 PE=1 SV=2</t>
  </si>
  <si>
    <t>Ubiquinone biosynthesis monooxygenase COQ6, mitochondrial OS=Danio rerio GN=coq6 PE=2 SV=1</t>
  </si>
  <si>
    <t>Probable receptor-like protein kinase At5g59700 OS=Arabidopsis thaliana GN=At5g59700 PE=3 SV=1</t>
  </si>
  <si>
    <t>17.4 kDa class III heat shock protein OS=Arabidopsis thaliana GN=HSP17.4B PE=2 SV=1</t>
  </si>
  <si>
    <t>Probable sugar phosphate/phosphate translocator At3g11320 OS=Arabidopsis thaliana GN=At3g11320 PE=2 SV=1</t>
  </si>
  <si>
    <t>Probable galacturonosyltransferase 6 OS=Arabidopsis thaliana GN=GAUT6 PE=2 SV=1</t>
  </si>
  <si>
    <t>Endothelin-converting enzyme 2 OS=Homo sapiens GN=ECE2 PE=1 SV=4</t>
  </si>
  <si>
    <t>T-complex protein 11-like protein 1 OS=Homo sapiens GN=TCP11L1 PE=1 SV=1</t>
  </si>
  <si>
    <t>Two-component response regulator ARR11 OS=Arabidopsis thaliana GN=ARR11 PE=1 SV=1</t>
  </si>
  <si>
    <t>Cell division cycle 5-like protein OS=Arabidopsis thaliana GN=CDC5 PE=1 SV=2</t>
  </si>
  <si>
    <t>Probable RNA-binding protein EIF1AD OS=Danio rerio GN=eif1ad PE=2 SV=1</t>
  </si>
  <si>
    <t>Thaumatin-like protein 1 OS=Pyrus pyrifolia GN=TL1 PE=1 SV=1</t>
  </si>
  <si>
    <t>Calcium-transporting ATPase 1, plasma membrane-type OS=Oryza sativa subsp. japonica GN=Os12g0586600 PE=2 SV=1</t>
  </si>
  <si>
    <t>Sterol 3-beta-glucosyltransferase UGT80B1 OS=Arabidopsis thaliana GN=UGT80B1 PE=2 SV=1</t>
  </si>
  <si>
    <t>Putative membrane-bound O-acyltransferase C24H6.01c OS=Schizosaccharomyces pombe (strain 972 / ATCC 24843) GN=SPAC24H6.01c PE=3 SV=4</t>
  </si>
  <si>
    <t>Ras-related protein Rab7 OS=Prunus armeniaca PE=2 SV=1</t>
  </si>
  <si>
    <t>Pseudouridine kinase OS=Escherichia coli (strain K12) GN=psuK PE=1 SV=2</t>
  </si>
  <si>
    <t>Probable CCR4-associated factor 1 homolog 9 OS=Arabidopsis thaliana GN=CAF1-9 PE=2 SV=1</t>
  </si>
  <si>
    <t>Regulator of nonsense transcripts UPF3 OS=Arabidopsis thaliana GN=UPF3 PE=1 SV=1</t>
  </si>
  <si>
    <t>4-sulfomuconolactone hydrolase OS=Hydrogenophaga intermedia PE=1 SV=1</t>
  </si>
  <si>
    <t>Hydrogenophaga intermedia</t>
  </si>
  <si>
    <t>Ribose-phosphate pyrophosphokinase 5, chloroplastic OS=Arabidopsis thaliana GN=PRS5 PE=2 SV=2</t>
  </si>
  <si>
    <t>Alpha carbonic anhydrase 1, chloroplastic OS=Arabidopsis thaliana GN=ACA1 PE=1 SV=2</t>
  </si>
  <si>
    <t>Protein NLP5 OS=Arabidopsis thaliana GN=NLP5 PE=2 SV=1</t>
  </si>
  <si>
    <t>Cytochrome b OS=Solanum tuberosum GN=MT-CYB PE=1 SV=4</t>
  </si>
  <si>
    <t>Probable uridine nucleosidase 2 OS=Arabidopsis thaliana GN=URH2 PE=2 SV=1</t>
  </si>
  <si>
    <t>Primary amine oxidase OS=Arabidopsis thaliana GN=At1g62810 PE=2 SV=1</t>
  </si>
  <si>
    <t>Hippocampus abundant transcript 1 protein OS=Mus musculus GN=Hiat1 PE=2 SV=3</t>
  </si>
  <si>
    <t>Ketol-acid reductoisomerase, chloroplastic OS=Pisum sativum GN=PGAAIR PE=2 SV=1</t>
  </si>
  <si>
    <t>Pentatricopeptide repeat-containing protein At5g40400 OS=Arabidopsis thaliana GN=At5g40400 PE=2 SV=1</t>
  </si>
  <si>
    <t>Hexose carrier protein HEX6 OS=Ricinus communis GN=HEX6 PE=2 SV=1</t>
  </si>
  <si>
    <t>WEB family protein At1g75720 OS=Arabidopsis thaliana GN=At1g75720 PE=2 SV=1</t>
  </si>
  <si>
    <t>Two-on-two hemoglobin-3 OS=Arabidopsis thaliana GN=GLB3 PE=1 SV=1</t>
  </si>
  <si>
    <t>Scarecrow-like protein 9 OS=Arabidopsis thaliana GN=SCL9 PE=2 SV=1</t>
  </si>
  <si>
    <t>Inositol transporter 4 OS=Arabidopsis thaliana GN=INT4 PE=1 SV=1</t>
  </si>
  <si>
    <t>U-box domain-containing protein 15 OS=Arabidopsis thaliana GN=PUB15 PE=2 SV=2</t>
  </si>
  <si>
    <t>1-aminocyclopropane-1-carboxylate synthase OS=Glycine max GN=ACS1 PE=2 SV=1</t>
  </si>
  <si>
    <t>Putative pentatricopeptide repeat-containing protein At1g53330 OS=Arabidopsis thaliana GN=At1g53330 PE=3 SV=1</t>
  </si>
  <si>
    <t>High mobility group B protein 10 OS=Arabidopsis thaliana GN=HMGB10 PE=2 SV=1</t>
  </si>
  <si>
    <t>Serine/threonine protein phosphatase 2A 57 kDa regulatory subunit B' beta isoform OS=Arabidopsis thaliana GN=B'BETA PE=1 SV=1</t>
  </si>
  <si>
    <t>Receptor-like cytosolic serine/threonine-protein kinase RBK1 OS=Arabidopsis thaliana GN=RBK1 PE=1 SV=1</t>
  </si>
  <si>
    <t>Membrane protein of ER body-like protein OS=Arabidopsis thaliana GN=MEBL PE=2 SV=1</t>
  </si>
  <si>
    <t>Protein farnesyltransferase/geranylgeranyltransferase type-1 subunit alpha OS=Pisum sativum GN=FTA PE=1 SV=1</t>
  </si>
  <si>
    <t>Sulfite oxidase OS=Arabidopsis thaliana GN=SOX PE=1 SV=1</t>
  </si>
  <si>
    <t>Wall-associated receptor kinase-like 9 OS=Arabidopsis thaliana GN=WAKL9 PE=2 SV=1</t>
  </si>
  <si>
    <t>Zinc finger protein-like 1 homolog OS=Caenorhabditis briggsae GN=CBG06644 PE=3 SV=1</t>
  </si>
  <si>
    <t>Caenorhabditis briggsae</t>
  </si>
  <si>
    <t>Homeobox protein LUMINidEPENDENS OS=Arabidopsis thaliana GN=LD PE=1 SV=2</t>
  </si>
  <si>
    <t>Solute carrier family 35 member F5 OS=Homo sapiens GN=SLC35F5 PE=2 SV=1</t>
  </si>
  <si>
    <t>Protein TIFY 4B OS=Arabidopsis thaliana GN=TIFY4B PE=1 SV=1</t>
  </si>
  <si>
    <t>Serine/arginine-rich splicing factor SR45 OS=Arabidopsis thaliana GN=SR45 PE=1 SV=1</t>
  </si>
  <si>
    <t>Translocase of chloroplast 34 OS=Pisum sativum GN=TOC34 PE=1 SV=1</t>
  </si>
  <si>
    <t>Protein PTST, chloroplastic OS=Arabidopsis thaliana GN=PTST PE=1 SV=1</t>
  </si>
  <si>
    <t>Cytochrome P450 94A1 OS=Vicia sativa GN=CYP94A1 PE=2 SV=2</t>
  </si>
  <si>
    <t>NADPH--cytochrome P450 reductase OS=Vigna radiata var. radiata PE=1 SV=1</t>
  </si>
  <si>
    <t>Serine/threonine-protein kinase ATG1 OS=Magnaporthe oryzae (strain 70-15 / ATCC MYA-4617 / FGSC 8958) GN=ATG1 PE=1 SV=1</t>
  </si>
  <si>
    <t>Mitochondrial import inner membrane translocase subunit TIM14-3 OS=Arabidopsis thaliana GN=TIM14-3 PE=1 SV=1</t>
  </si>
  <si>
    <t>DNA-directed RNA polymerase I subunit rpa1 OS=Dictyostelium discoideum GN=polr1a PE=3 SV=1</t>
  </si>
  <si>
    <t>Serine/threonine-protein phosphatase 6 regulatory subunit 1 OS=Homo sapiens GN=PPP6R1 PE=1 SV=5</t>
  </si>
  <si>
    <t>Proline-rich receptor-like protein kinase PERK9 OS=Arabidopsis thaliana GN=PERK9 PE=2 SV=1</t>
  </si>
  <si>
    <t>Carbonic anhydrase, chloroplastic OS=Pisum sativum PE=1 SV=1</t>
  </si>
  <si>
    <t>Putative pentatricopeptide repeat-containing protein At1g19290 OS=Arabidopsis thaliana GN=At1g19290 PE=3 SV=2</t>
  </si>
  <si>
    <t>K(+) efflux antiporter 6 OS=Arabidopsis thaliana GN=KEA6 PE=2 SV=1</t>
  </si>
  <si>
    <t>Importin-11 OS=Mus musculus GN=Ipo11 PE=1 SV=1</t>
  </si>
  <si>
    <t>Twinkle homolog protein, chloroplastic/mitochondrial OS=Arabidopsis thaliana GN=At1g30680 PE=1 SV=1</t>
  </si>
  <si>
    <t>Rhodanese-like/PpiC domain-containing protein 12 OS=Arabidopsis thaliana GN=At5g19370 PE=2 SV=1</t>
  </si>
  <si>
    <t>Carnosine N-methyltransferase OS=Rattus norvegicus PE=1 SV=1</t>
  </si>
  <si>
    <t>Histone-lysine N-methyltransferase ATX3 OS=Arabidopsis thaliana GN=ATX3 PE=2 SV=2</t>
  </si>
  <si>
    <t>Probable xyloglucan endotransglucosylase/hydrolase protein 23 OS=Arabidopsis thaliana GN=XTH23 PE=2 SV=1</t>
  </si>
  <si>
    <t>40S ribosomal protein S25 OS=Solanum lycopersicum GN=RPS25 PE=3 SV=1</t>
  </si>
  <si>
    <t>Eukaryotic initiation factor 4A-6 (Fragment) OS=Nicotiana tabacum PE=2 SV=1</t>
  </si>
  <si>
    <t>Katanin p80 WD40 repeat-containing subunit B1 homolog OS=Arabidopsis thaliana GN=At5g23430 PE=2 SV=3</t>
  </si>
  <si>
    <t>E3 ubiquitin-protein ligase RFWD3 OS=Ailuropoda melanoleuca GN=RFWD3 PE=3 SV=1</t>
  </si>
  <si>
    <t>Ailuropoda melanoleuca</t>
  </si>
  <si>
    <t>1,4-dihydroxy-2-naphthoyl-CoA thioesterase 1 OS=Arabidopsis thaliana GN=DHNAT1 PE=1 SV=1</t>
  </si>
  <si>
    <t>rRNA-processing protein FCF1 homolog OS=Pongo abelii GN=FCF1 PE=2 SV=1</t>
  </si>
  <si>
    <t>Mitochondrial outer membrane protein porin 2 OS=Arabidopsis thaliana GN=VDAC2 PE=1 SV=1</t>
  </si>
  <si>
    <t>UPF0505 protein C16orf62 OS=Homo sapiens GN=C16orf62 PE=1 SV=2</t>
  </si>
  <si>
    <t>50S ribosomal protein L23 OS=Aeromonas hydrophila subsp. hydrophila (strain ATCC 7966 / DSM 30187 / JCM 1027 / KCTC 2358 / NCIMB 9240) GN=rplW PE=3 SV=1</t>
  </si>
  <si>
    <t>Aeromonas hydrophila</t>
  </si>
  <si>
    <t>Probable ubiquitin-conjugating enzyme E2 37 OS=Arabidopsis thaliana GN=UBC37 PE=2 SV=2</t>
  </si>
  <si>
    <t>Acetylornithine aminotransferase, mitochondrial OS=Alnus glutinosa GN=AG118 PE=2 SV=1</t>
  </si>
  <si>
    <t>Alnus glutinosa</t>
  </si>
  <si>
    <t>F-box protein SKIP3 OS=Arabidopsis thaliana GN=SKIP3 PE=1 SV=2</t>
  </si>
  <si>
    <t>Protein SUPPRESSOR OF PHYA-105 1 OS=Arabidopsis thaliana GN=SPA1 PE=1 SV=1</t>
  </si>
  <si>
    <t>General transcription factor IIH subunit 4 OS=Pan troglodytes GN=GTF2H4 PE=3 SV=1</t>
  </si>
  <si>
    <t>UDP-glycosyltransferase 89B1 OS=Arabidopsis thaliana GN=UGT89B1 PE=2 SV=2</t>
  </si>
  <si>
    <t>Serine/arginine repetitive matrix protein 2 OS=Homo sapiens GN=SRRM2 PE=1 SV=2</t>
  </si>
  <si>
    <t>E3 ubiquitin-protein ligase PRT1 OS=Arabidopsis thaliana GN=PRT1 PE=2 SV=2</t>
  </si>
  <si>
    <t>Pentatricopeptide repeat-containing protein At1g09190 OS=Arabidopsis thaliana GN=PCMP-E70 PE=2 SV=1</t>
  </si>
  <si>
    <t>Myb-related protein 308 OS=Antirrhinum majus GN=MYB308 PE=2 SV=1</t>
  </si>
  <si>
    <t>Histone-lysine N-methyltransferase EZA1 OS=Arabidopsis thaliana GN=EZA1 PE=1 SV=1</t>
  </si>
  <si>
    <t>Probable ADP-ribosylation factor GTPase-activating protein AGD14 OS=Arabidopsis thaliana GN=AGD14 PE=1 SV=2</t>
  </si>
  <si>
    <t>DNL-type zinc finger protein OS=Xenopus laevis GN=dnlz PE=2 SV=1</t>
  </si>
  <si>
    <t>Phosphate transporter PHO1 OS=Arabidopsis thaliana GN=PHO1 PE=2 SV=1</t>
  </si>
  <si>
    <t>Transcription initiation factor TFIid subunit 11 OS=Arabidopsis thaliana GN=TAF11 PE=1 SV=1</t>
  </si>
  <si>
    <t>Dual-specificity RNA methyltransferase RlmN OS=Geobacter sulfurreducens (strain ATCC 51573 / DSM 12127 / PCA) GN=rlmN PE=3 SV=1</t>
  </si>
  <si>
    <t>Ubiquitin-conjugating enzyme E2-17 kDa OS=Solanum lycopersicum PE=2 SV=1</t>
  </si>
  <si>
    <t>tRNA pseudouridine(38/39) synthase OS=Bos taurus GN=PUS3 PE=2 SV=1</t>
  </si>
  <si>
    <t>Long chain acyl-CoA synthetase 2 OS=Arabidopsis thaliana GN=LACS2 PE=2 SV=1</t>
  </si>
  <si>
    <t>DNA-directed RNA polymerases I and III subunit RPAC2 OS=Mus musculus GN=Polr1d PE=2 SV=1</t>
  </si>
  <si>
    <t>Probable GTP-binding protein OBGC2 OS=Oryza sativa subsp. japonica GN=Os03g0799700 PE=2 SV=1</t>
  </si>
  <si>
    <t>Probable DNA helicase MCM9 OS=Arabidopsis thaliana GN=MCM9 PE=3 SV=1</t>
  </si>
  <si>
    <t>Transmembrane protein 184C OS=Pongo abelii GN=TMEM184C PE=2 SV=1</t>
  </si>
  <si>
    <t>Serine/arginine-rich splicing factor RS40 OS=Arabidopsis thaliana GN=RS40 PE=1 SV=2</t>
  </si>
  <si>
    <t>Pentatricopeptide repeat-containing protein At1g05750, chloroplastic OS=Arabidopsis thaliana GN=PDE247 PE=2 SV=1</t>
  </si>
  <si>
    <t>Activating signal cointegrator 1 complex subunit 2 OS=Mus musculus GN=Ascc2 PE=2 SV=1</t>
  </si>
  <si>
    <t>U-box domain-containing protein 29 OS=Arabidopsis thaliana GN=PUB29 PE=1 SV=1</t>
  </si>
  <si>
    <t>Translation initiation factor eIF-2B subunit alpha OS=Rattus norvegicus GN=Eif2b1 PE=2 SV=1</t>
  </si>
  <si>
    <t>Histone H3.2 OS=Triticum aestivum PE=1 SV=2</t>
  </si>
  <si>
    <t>Isoaspartyl peptidase/L-asparaginase OS=Lupinus angustifolius PE=2 SV=1</t>
  </si>
  <si>
    <t>Lupinus angustifolius</t>
  </si>
  <si>
    <t>Translin-associated protein X OS=Rattus norvegicus GN=Tsnax PE=1 SV=1</t>
  </si>
  <si>
    <t>Polypyrimidine tract-binding protein homolog 3 OS=Arabidopsis thaliana GN=At1g43190 PE=2 SV=1</t>
  </si>
  <si>
    <t>Protein TIC 20-IV, chloroplastic OS=Arabidopsis thaliana GN=TIC20-IV PE=2 SV=1</t>
  </si>
  <si>
    <t>Transcription initiation factor TFIid subunit 2 OS=Arabidopsis thaliana GN=TAF2 PE=2 SV=1</t>
  </si>
  <si>
    <t>Creatine kinase M-type OS=Sus scrofa GN=CKM PE=2 SV=1</t>
  </si>
  <si>
    <t>Ribulose bisphosphate carboxylase large chain OS=Liquidambar styraciflua GN=rbcL PE=3 SV=1</t>
  </si>
  <si>
    <t>Liquidambar styraciflua</t>
  </si>
  <si>
    <t>Late embryogenesis abundant protein Lea5 OS=Citrus sinensis GN=LEA5 PE=2 SV=1</t>
  </si>
  <si>
    <t>Homeobox protein ATH1 OS=Arabidopsis thaliana GN=ATH1 PE=1 SV=1</t>
  </si>
  <si>
    <t>Cyclin-dependent kinases regulatory subunit 1 OS=Oryza sativa subsp. japonica GN=CKS1 PE=2 SV=1</t>
  </si>
  <si>
    <t>Probable beta-1,3-galactosyltransferase 6 OS=Arabidopsis thaliana GN=B3GALT6 PE=2 SV=1</t>
  </si>
  <si>
    <t>Putative UPF0481 protein At3g02645 OS=Arabidopsis thaliana GN=At3g02645 PE=3 SV=1</t>
  </si>
  <si>
    <t>Sucrose transport protein OS=Spinacia oleracea PE=2 SV=1</t>
  </si>
  <si>
    <t>Protein HOTHEAD OS=Arabidopsis thaliana GN=HTH PE=1 SV=1</t>
  </si>
  <si>
    <t>DEAD-box ATP-dependent RNA helicase 39 OS=Oryza sativa subsp. japonica GN=Os01g0184500 PE=2 SV=1</t>
  </si>
  <si>
    <t>Probable cyclic nucleotide-gated ion channel 20, chloroplastic OS=Arabidopsis thaliana GN=CNGC20 PE=2 SV=1</t>
  </si>
  <si>
    <t>Transcription factor-like protein DPA OS=Arabidopsis thaliana GN=DPA PE=1 SV=1</t>
  </si>
  <si>
    <t>Paternally-expressed gene 3 protein OS=Bos taurus GN=PEG3 PE=2 SV=1</t>
  </si>
  <si>
    <t>Snurportin-1 OS=Rattus norvegicus GN=Snupn PE=2 SV=1</t>
  </si>
  <si>
    <t>WD repeat-containing protein LWD1 OS=Arabidopsis thaliana GN=LWD1 PE=2 SV=1</t>
  </si>
  <si>
    <t>WD-40 repeat-containing protein MSI4 OS=Arabidopsis thaliana GN=MSI4 PE=1 SV=3</t>
  </si>
  <si>
    <t>Probable LRR receptor-like serine/threonine-protein kinase At5g45780 OS=Arabidopsis thaliana GN=At5g45780 PE=2 SV=1</t>
  </si>
  <si>
    <t>Copper methylamine oxidase OS=Arthrobacter sp. (strain P1) GN=maoII PE=1 SV=1</t>
  </si>
  <si>
    <t>WUSCHEL-related homeobox 4 OS=Arabidopsis thaliana GN=WOX4 PE=2 SV=1</t>
  </si>
  <si>
    <t>Galactose oxidase OS=Gibberella zeae (strain PH-1 / ATCC MYA-4620 / FGSC 9075 / NRRL 31084) GN=GAOA PE=3 SV=1</t>
  </si>
  <si>
    <t>Protein ECERIFERUM 26 OS=Arabidopsis thaliana GN=CER26 PE=2 SV=1</t>
  </si>
  <si>
    <t>Serine/threonine-protein kinase tricorner OS=Drosophila pseudoobscura pseudoobscura GN=trc PE=3 SV=1</t>
  </si>
  <si>
    <t>Dof zinc finger protein DOF3.4 OS=Arabidopsis thaliana GN=DOF3.4 PE=1 SV=2</t>
  </si>
  <si>
    <t>Squamosa promoter-binding-like protein 9 OS=Arabidopsis thaliana GN=SPL9 PE=2 SV=2</t>
  </si>
  <si>
    <t>Receptor-like protein kinase THESEUS 1 OS=Arabidopsis thaliana GN=THE1 PE=1 SV=1</t>
  </si>
  <si>
    <t>Glucan endo-1,3-beta-glucosidase 6 OS=Arabidopsis thaliana GN=At5g58090 PE=1 SV=2</t>
  </si>
  <si>
    <t>GILT-like protein F37H8.5 OS=Caenorhabditis elegans GN=F37H8.5 PE=1 SV=1</t>
  </si>
  <si>
    <t>Putative disease resistance protein At4g11170 OS=Arabidopsis thaliana GN=At4g11170 PE=2 SV=1</t>
  </si>
  <si>
    <t>Chlorophyll a-b binding protein 7, chloroplastic OS=Solanum lycopersicum GN=CAB7 PE=3 SV=1</t>
  </si>
  <si>
    <t>Phosphatidylinositol/phosphatidylcholine transfer protein SFH10 OS=Arabidopsis thaliana GN=SFH10 PE=3 SV=1</t>
  </si>
  <si>
    <t>Glutamine synthetase cytosolic isozyme OS=Medicago sativa PE=2 SV=1</t>
  </si>
  <si>
    <t>BI1-like protein OS=Arabidopsis thaliana GN=At4g15470 PE=2 SV=1</t>
  </si>
  <si>
    <t>Zinc finger CCCH domain-containing protein 49 OS=Arabidopsis thaliana GN=At4g29190 PE=2 SV=1</t>
  </si>
  <si>
    <t>Histidine kinase 4 OS=Arabidopsis thaliana GN=AHK4 PE=1 SV=1</t>
  </si>
  <si>
    <t>S-adenosylmethionine synthase 3 OS=Catharanthus roseus GN=SAMS3 PE=1 SV=1</t>
  </si>
  <si>
    <t>Midasin OS=Homo sapiens GN=MDN1 PE=1 SV=2</t>
  </si>
  <si>
    <t>Coatomer subunit gamma-2 OS=Oryza sativa subsp. japonica GN=Os07g0201100 PE=2 SV=1</t>
  </si>
  <si>
    <t>Probable LRR receptor-like serine/threonine-protein kinase At1g67720 OS=Arabidopsis thaliana GN=At1g67720 PE=2 SV=1</t>
  </si>
  <si>
    <t>Uncharacterized endoplasmic reticulum membrane protein C16E8.02 OS=Schizosaccharomyces pombe (strain 972 / ATCC 24843) GN=SPAC16E8.02 PE=4 SV=2</t>
  </si>
  <si>
    <t>Protein disulfide isomerase-like 1-6 OS=Arabidopsis thaliana GN=PDIL1-6 PE=2 SV=1</t>
  </si>
  <si>
    <t>Peroxidase 42 OS=Arabidopsis thaliana GN=PER42 PE=1 SV=2</t>
  </si>
  <si>
    <t>Pentatricopeptide repeat-containing protein At5g14080 OS=Arabidopsis thaliana GN=At5g14080 PE=2 SV=2</t>
  </si>
  <si>
    <t>(6-4)DNA photolyase OS=Arabidopsis thaliana GN=UVR3 PE=1 SV=2</t>
  </si>
  <si>
    <t>ABC transporter G family member 11 OS=Arabidopsis thaliana GN=ABCG11 PE=1 SV=1</t>
  </si>
  <si>
    <t>Probable methyltransferase PMT23 OS=Arabidopsis thaliana GN=At2g40280 PE=2 SV=2</t>
  </si>
  <si>
    <t>Probable sucrose-phosphate synthase 4 OS=Arabidopsis thaliana GN=SPS4 PE=1 SV=1</t>
  </si>
  <si>
    <t>Probable galactinol--sucrose galactosyltransferase 2 OS=Arabidopsis thaliana GN=RFS2 PE=2 SV=2</t>
  </si>
  <si>
    <t>Dolichyl-diphosphooligosaccharide--protein glycosyltransferase subunit 2 OS=Arabidopsis thaliana GN=RPN2 PE=2 SV=1</t>
  </si>
  <si>
    <t>High mobility group B protein 13 OS=Arabidopsis thaliana GN=HMGB13 PE=2 SV=1</t>
  </si>
  <si>
    <t>4-coumarate--CoA ligase-like 5 OS=Arabidopsis thaliana GN=4CLL5 PE=1 SV=2</t>
  </si>
  <si>
    <t>AT-hook motif nuclear-localized protein 20 OS=Arabidopsis thaliana GN=AHL20 PE=2 SV=1</t>
  </si>
  <si>
    <t>Cytokinin riboside 5'-monophosphate phosphoribohydrolase LOG8 OS=Arabidopsis thaliana GN=LOG8 PE=1 SV=1</t>
  </si>
  <si>
    <t>7-deoxyloganetic acid glucosyltransferase OS=Catharanthus roseus GN=UGT709C2 PE=1 SV=1</t>
  </si>
  <si>
    <t>Probable carboxylesterase 12 OS=Arabidopsis thaliana GN=CXE12 PE=1 SV=1</t>
  </si>
  <si>
    <t>Squamosa promoter-binding protein 2 OS=Antirrhinum majus GN=SBP2 PE=2 SV=1</t>
  </si>
  <si>
    <t>Putative clathrin assembly protein At2g25430 OS=Arabidopsis thaliana GN=At2g25430 PE=1 SV=2</t>
  </si>
  <si>
    <t>14-3-3 protein 4 OS=Solanum lycopersicum GN=TFT4 PE=2 SV=1</t>
  </si>
  <si>
    <t>Branched-chain-amino-acid aminotransferase 2, chloroplastic OS=Arabidopsis thaliana GN=BCAT2 PE=1 SV=1</t>
  </si>
  <si>
    <t>Calcium-binding allergen Bet v 3 OS=Betula pendula GN=BETVIII PE=1 SV=1</t>
  </si>
  <si>
    <t>Betula pendula</t>
  </si>
  <si>
    <t>BUD13 homolog OS=Mus musculus GN=Bud13 PE=1 SV=1</t>
  </si>
  <si>
    <t>Phosphatidate cytidylyltransferase, mitochondrial OS=Mus musculus GN=Tamm41 PE=2 SV=2</t>
  </si>
  <si>
    <t>CASP-like protein 1B1 OS=Populus trichocarpa GN=POPTRDRAFT_823125 PE=3 SV=1</t>
  </si>
  <si>
    <t>YlmG homolog protein 2, chloroplastic OS=Arabidopsis thaliana GN=YLMG2 PE=2 SV=1</t>
  </si>
  <si>
    <t>Probable terpene synthase 4 OS=Ricinus communis GN=TPS4 PE=3 SV=1</t>
  </si>
  <si>
    <t>Protein Mid1-COMPLEMENTING ACTIVITY 2 OS=Arabidopsis thaliana GN=MCA2 PE=2 SV=1</t>
  </si>
  <si>
    <t>Malonyl-coenzyme A:anthocyanin 3-O-glucoside-6''-O-malonyltransferase OS=Dahlia pinnata GN=3MAT PE=1 SV=1</t>
  </si>
  <si>
    <t>Dahlia pinnata</t>
  </si>
  <si>
    <t>Pectinesterase PPME1 OS=Arabidopsis thaliana GN=PPME1 PE=1 SV=1</t>
  </si>
  <si>
    <t>60S ribosomal protein L10-B OS=Schizosaccharomyces pombe (strain 972 / ATCC 24843) GN=rpl1002 PE=3 SV=1</t>
  </si>
  <si>
    <t>Agamous-like MADS-box protein AGL11 OS=Arabidopsis thaliana GN=AGL11 PE=1 SV=1</t>
  </si>
  <si>
    <t>Wall-associated receptor kinase 3 OS=Arabidopsis thaliana GN=WAK3 PE=2 SV=2</t>
  </si>
  <si>
    <t>Pentatricopeptide repeat-containing protein At3g22150, chloroplastic OS=Arabidopsis thaliana GN=PCMP-E95 PE=2 SV=1</t>
  </si>
  <si>
    <t>CMP-sialic acid transporter 3 OS=Arabidopsis thaliana GN=UTR6 PE=2 SV=1</t>
  </si>
  <si>
    <t>Esterase OS=Hevea brasiliensis PE=1 SV=1</t>
  </si>
  <si>
    <t>Ubiquitin carboxyl-terminal hydrolase 12 OS=Arabidopsis thaliana GN=UBP12 PE=1 SV=2</t>
  </si>
  <si>
    <t>Pentatricopeptide repeat-containing protein At4g01570 OS=Arabidopsis thaliana GN=At4g01570 PE=2 SV=1</t>
  </si>
  <si>
    <t>WD repeat-containing protein 89 homolog OS=Dictyostelium discoideum GN=wdr89 PE=3 SV=1</t>
  </si>
  <si>
    <t>Probably inactive leucine-rich repeat receptor-like protein kinase At2g25790 OS=Arabidopsis thaliana GN=At2g25790 PE=2 SV=1</t>
  </si>
  <si>
    <t>Photosystem I reaction center subunit VI, chloroplastic OS=Brassica campestris GN=PSAH PE=2 SV=1</t>
  </si>
  <si>
    <t>GDT1-like protein 1, chloroplastic OS=Arabidopsis thaliana GN=At1g64150 PE=2 SV=2</t>
  </si>
  <si>
    <t>Myosin-11 OS=Arabidopsis thaliana GN=XI-E PE=3 SV=1</t>
  </si>
  <si>
    <t>Putative UDP-glucose glucosyltransferase OS=Fragaria ananassa GN=GT5 PE=2 SV=1</t>
  </si>
  <si>
    <t>Probable 3-hydroxyisobutyrate dehydrogenase, mitochondrial OS=Arabidopsis thaliana GN=At4g20930 PE=2 SV=3</t>
  </si>
  <si>
    <t>Isocitrate lyase OS=Gossypium hirsutum PE=2 SV=1</t>
  </si>
  <si>
    <t>Lysosomal Pro-X carboxypeptidase OS=Mus musculus GN=Prcp PE=2 SV=2</t>
  </si>
  <si>
    <t>Cytochrome P450 CYP73A100 OS=Panax ginseng PE=2 SV=1</t>
  </si>
  <si>
    <t>Cellulose synthase-like protein D1 OS=Oryza sativa subsp. japonica GN=CSLD1 PE=2 SV=1</t>
  </si>
  <si>
    <t>Putative pentatricopeptide repeat-containing protein At1g10330 OS=Arabidopsis thaliana GN=PCMP-E71 PE=3 SV=1</t>
  </si>
  <si>
    <t>Dof zinc finger protein DOF3.6 OS=Arabidopsis thaliana GN=DOF3.6 PE=1 SV=2</t>
  </si>
  <si>
    <t>Protein indeterminate-domain 14 OS=Arabidopsis thaliana GN=idD14 PE=1 SV=1</t>
  </si>
  <si>
    <t>Eukaryotic translation initiation factor isoform 4E-2 OS=Triticum aestivum PE=1 SV=1</t>
  </si>
  <si>
    <t>Putative receptor-like protein kinase At3g47110 OS=Arabidopsis thaliana GN=At3g47110 PE=3 SV=1</t>
  </si>
  <si>
    <t>U-box domain-containing protein 34 OS=Arabidopsis thaliana GN=PUB34 PE=3 SV=1</t>
  </si>
  <si>
    <t>Calcium-dependent protein kinase 20 OS=Arabidopsis thaliana GN=CPK20 PE=3 SV=1</t>
  </si>
  <si>
    <t>Proline-rich receptor-like protein kinase PERK13 OS=Arabidopsis thaliana GN=PERK13 PE=2 SV=1</t>
  </si>
  <si>
    <t>ABC transporter F family member 4 OS=Arabidopsis thaliana GN=ABCF4 PE=2 SV=1</t>
  </si>
  <si>
    <t>EKC/KEOPS complex subunit bud32 OS=Dictyostelium discoideum GN=bud32 PE=3 SV=1</t>
  </si>
  <si>
    <t>Superoxide dismutase [Cu-Zn] 2 OS=Mesembryanthemum crystallinum GN=SODCC.2 PE=2 SV=1</t>
  </si>
  <si>
    <t>Metal tolerance protein 5 OS=Oryza sativa subsp. japonica GN=MTP5 PE=2 SV=1</t>
  </si>
  <si>
    <t>Rhamnogalacturonate lyase OS=Dickeya dadantii (strain 3937) GN=rhiE PE=1 SV=1</t>
  </si>
  <si>
    <t>Dickeya dadantii</t>
  </si>
  <si>
    <t>CBL-interacting serine/threonine-protein kinase 12 OS=Arabidopsis thaliana GN=CIPK12 PE=1 SV=1</t>
  </si>
  <si>
    <t>Outer envelope protein 80, chloroplastic OS=Arabidopsis thaliana GN=OEP80 PE=2 SV=1</t>
  </si>
  <si>
    <t>Iron-sulfur assembly protein IscA-like 1, mitochondrial OS=Arabidopsis thaliana GN=At2g16710 PE=2 SV=2</t>
  </si>
  <si>
    <t>Probable polyamine transporter At3g13620 OS=Arabidopsis thaliana GN=At3g13620 PE=2 SV=1</t>
  </si>
  <si>
    <t>GPI ethanolamine phosphate transferase 2 OS=Homo sapiens GN=PIGG PE=1 SV=1</t>
  </si>
  <si>
    <t>Cationic amino acid transporter 8, vacuolar OS=Arabidopsis thaliana GN=CAT8 PE=2 SV=1</t>
  </si>
  <si>
    <t>BRI1 kinase inhibitor 1 OS=Arabidopsis thaliana GN=BKI1 PE=1 SV=1</t>
  </si>
  <si>
    <t>50S ribosomal protein L1 OS=Rhodospirillum centenum (strain ATCC 51521 / SW) GN=rplA PE=3 SV=1</t>
  </si>
  <si>
    <t>Putative receptor-like protein kinase At1g72540 OS=Arabidopsis thaliana GN=At1g72540 PE=2 SV=1</t>
  </si>
  <si>
    <t>Aquaporin PIP2-1 OS=Zea mays GN=PIP2-1 PE=1 SV=2</t>
  </si>
  <si>
    <t>Alpha-galactosidase 1 OS=Arabidopsis thaliana GN=AGAL1 PE=2 SV=1</t>
  </si>
  <si>
    <t>Pentatricopeptide repeat-containing protein At2g01740 OS=Arabidopsis thaliana GN=At2g01740 PE=3 SV=1</t>
  </si>
  <si>
    <t>E3 ubiquitin-protein ligase MARCH1 OS=Homo sapiens GN=MARCH1 PE=1 SV=1</t>
  </si>
  <si>
    <t>ATPase family AAA domain-containing protein 5 OS=Mus musculus GN=Atad5 PE=1 SV=1</t>
  </si>
  <si>
    <t>Probable LRR receptor-like serine/threonine-protein kinase At1g69990 OS=Arabidopsis thaliana GN=At1g69990 PE=2 SV=1</t>
  </si>
  <si>
    <t>Protein REVEILLE 8 OS=Arabidopsis thaliana GN=RVE8 PE=2 SV=1</t>
  </si>
  <si>
    <t>Mitochondrial uncoupling protein 1 OS=Arabidopsis thaliana GN=PUMP1 PE=1 SV=1</t>
  </si>
  <si>
    <t>Glucose-1-phosphate adenylyltransferase small subunit 2, chloroplastic OS=Vicia faba GN=AGPP PE=2 SV=1</t>
  </si>
  <si>
    <t>Peptidyl-prolyl cis-trans isomerase FKBP18, chloroplastic OS=Arabidopsis thaliana GN=FKBP18 PE=1 SV=2</t>
  </si>
  <si>
    <t>High mobility group B protein 1 OS=Arabidopsis thaliana GN=HMGB1 PE=1 SV=1</t>
  </si>
  <si>
    <t>BTB/POZ domain-containing protein At5g47800 OS=Arabidopsis thaliana GN=At5g47800 PE=2 SV=1</t>
  </si>
  <si>
    <t>CSC1-like protein ERD4 OS=Arabidopsis thaliana GN=ERD4 PE=2 SV=1</t>
  </si>
  <si>
    <t>Probable E3 ubiquitin-protein ligase XERICO OS=Arabidopsis thaliana GN=XERICO PE=1 SV=1</t>
  </si>
  <si>
    <t>Pentatricopeptide repeat-containing protein At3g25210, mitochondrial OS=Arabidopsis thaliana GN=At3g25210 PE=2 SV=1</t>
  </si>
  <si>
    <t>Endoribonuclease Dicer homolog 1 OS=Arabidopsis thaliana GN=DCL1 PE=1 SV=2</t>
  </si>
  <si>
    <t>Ethylene-responsive transcription factor WRI1 OS=Arabidopsis thaliana GN=WRI1 PE=2 SV=1</t>
  </si>
  <si>
    <t>Protein ALTERED XYLOGLUCAN 4 OS=Arabidopsis thaliana GN=AXY4 PE=1 SV=1</t>
  </si>
  <si>
    <t>Germin-like protein subfamily 2 member 1 OS=Arabidopsis thaliana GN=GLP4 PE=2 SV=2</t>
  </si>
  <si>
    <t>Putative leucine-rich repeat receptor-like protein kinase At2g19210 OS=Arabidopsis thaliana GN=At2g19210 PE=3 SV=1</t>
  </si>
  <si>
    <t>Zinc finger MYND domain-containing protein 15 OS=Homo sapiens GN=ZMYND15 PE=2 SV=2</t>
  </si>
  <si>
    <t>Nuclear pore complex protein NUP50A OS=Arabidopsis thaliana GN=NUP50A PE=1 SV=1</t>
  </si>
  <si>
    <t>Serine/threonine-protein kinase Nek2 OS=Oryza sativa subsp. japonica GN=NEK2 PE=2 SV=1</t>
  </si>
  <si>
    <t>NAD(P)H-quinone oxidoreductase subunit T, chloroplastic OS=Arabidopsis thaliana GN=ndhT PE=1 SV=1</t>
  </si>
  <si>
    <t>F-box/FBD/LRR-repeat protein At5g56420 OS=Arabidopsis thaliana GN=At5g56420 PE=2 SV=1</t>
  </si>
  <si>
    <t>RING-H2 finger protein ATL17 OS=Arabidopsis thaliana GN=ATL17 PE=2 SV=2</t>
  </si>
  <si>
    <t>Sphinganine C(4)-monooxygenase 1 OS=Arabidopsis thaliana GN=SBH1 PE=1 SV=1</t>
  </si>
  <si>
    <t>Rhodanese-like domain-containing protein 14, chloroplastic OS=Arabidopsis thaliana GN=At4g27700 PE=2 SV=1</t>
  </si>
  <si>
    <t>S-adenosylmethionine synthase 2 OS=Catharanthus roseus GN=SAMS2 PE=1 SV=1</t>
  </si>
  <si>
    <t>CASP-like protein 1D1 OS=Ricinus communis GN=RCOM_0679870 PE=2 SV=1</t>
  </si>
  <si>
    <t>Probable protein phosphatase 2C 60 OS=Arabidopsis thaliana GN=At4g31860 PE=2 SV=1</t>
  </si>
  <si>
    <t>Endonuclease 2 OS=Arabidopsis thaliana GN=ENDO2 PE=1 SV=1</t>
  </si>
  <si>
    <t>ADP-ribosylation factor GTPase-activating protein AGD2 OS=Arabidopsis thaliana GN=AGD2 PE=2 SV=1</t>
  </si>
  <si>
    <t>Probable plastidic glucose transporter 1 OS=Arabidopsis thaliana GN=At1g05030 PE=2 SV=2</t>
  </si>
  <si>
    <t>Acyltransferase-like protein At1g54570, chloroplastic OS=Arabidopsis thaliana GN=At1g54570 PE=2 SV=1</t>
  </si>
  <si>
    <t>Basic form of pathogenesis-related protein 1 OS=Nicotiana tabacum PE=3 SV=1</t>
  </si>
  <si>
    <t>Obg-like ATPase 1 OS=Arabidopsis thaliana GN=YchF1 PE=1 SV=1</t>
  </si>
  <si>
    <t>Dol-P-Man:Man(6)GlcNAc(2)-PP-Dol alpha-1,2-mannosyltransferase OS=Arabidopsis thaliana GN=ALG9 PE=1 SV=1</t>
  </si>
  <si>
    <t>U11/U12 small nuclear ribonucleoprotein 65 kDa protein OS=Arabidopsis thaliana GN=SNRNP65 PE=1 SV=1</t>
  </si>
  <si>
    <t>Mediator of RNA polymerase II transcription subunit 18 OS=Arabidopsis thaliana GN=MED18 PE=1 SV=1</t>
  </si>
  <si>
    <t>Squamosa promoter-binding-like protein 14 OS=Arabidopsis thaliana GN=SPL14 PE=2 SV=3</t>
  </si>
  <si>
    <t>Isoleucine--tRNA ligase, cytoplasmic OS=Arabidopsis thaliana GN=At4g10320 PE=2 SV=1</t>
  </si>
  <si>
    <t>Sodium/hydrogen exchanger 7 OS=Arabidopsis thaliana GN=NHX7 PE=1 SV=1</t>
  </si>
  <si>
    <t>Auxin efflux carrier component 3 OS=Arabidopsis thaliana GN=PIN3 PE=1 SV=1</t>
  </si>
  <si>
    <t>Alkaline/neutral invertase C, mitochondrial OS=Arabidopsis thaliana GN=INVC PE=1 SV=1</t>
  </si>
  <si>
    <t>Luminal-binding protein OS=Solanum lycopersicum PE=2 SV=1</t>
  </si>
  <si>
    <t>Replication protein A 70 kDa DNA-binding subunit B OS=Oryza sativa subsp. japonica GN=RPA1B PE=1 SV=1</t>
  </si>
  <si>
    <t>Uncharacterized protein At2g39910 OS=Arabidopsis thaliana GN=At2g39910 PE=2 SV=2</t>
  </si>
  <si>
    <t>Actin-related protein 2 OS=Arabidopsis thaliana GN=ARP2 PE=1 SV=1</t>
  </si>
  <si>
    <t>Autophagy-related protein 8f OS=Arabidopsis thaliana GN=ATG8F PE=2 SV=1</t>
  </si>
  <si>
    <t>Enoyl-CoA hydratase 2, peroxisomal OS=Arabidopsis thaliana GN=ECH2 PE=1 SV=1</t>
  </si>
  <si>
    <t>UBP1-associated proteins 1C OS=Arabidopsis thaliana GN=UBA1C PE=3 SV=2</t>
  </si>
  <si>
    <t>Non-specific phospholipase C2 OS=Arabidopsis thaliana GN=NPC2 PE=2 SV=1</t>
  </si>
  <si>
    <t>Fructose-bisphosphate aldolase, chloroplastic OS=Spinacia oleracea PE=1 SV=3</t>
  </si>
  <si>
    <t>Sulfoquinovosyl transferase SQD2 OS=Arabidopsis thaliana GN=SQD2 PE=1 SV=1</t>
  </si>
  <si>
    <t>Syntaxin-52 OS=Arabidopsis thaliana GN=SYP52 PE=1 SV=1</t>
  </si>
  <si>
    <t>Probable protein phosphatase 2C 34 OS=Arabidopsis thaliana GN=At3g05640 PE=2 SV=1</t>
  </si>
  <si>
    <t>Probable alpha-amylase 2 OS=Arabidopsis thaliana GN=AMY2 PE=2 SV=1</t>
  </si>
  <si>
    <t>Cryptochrome-2 OS=Arabidopsis thaliana GN=CRY2 PE=1 SV=2</t>
  </si>
  <si>
    <t>Probable magnesium transporter NIPA3 OS=Arabidopsis thaliana GN=At1g34470 PE=2 SV=1</t>
  </si>
  <si>
    <t>Uncharacterized protein C14G10.02 OS=Schizosaccharomyces pombe (strain 972 / ATCC 24843) GN=SPCC14G10.02 PE=4 SV=1</t>
  </si>
  <si>
    <t>50S ribosomal protein L7/L12 OS=Solibacter usitatus (strain Ellin6076) GN=rplL PE=3 SV=1</t>
  </si>
  <si>
    <t>Aldehyde dehydrogenase family 3 member F1 OS=Arabidopsis thaliana GN=ALDH3F1 PE=2 SV=2</t>
  </si>
  <si>
    <t>Methionine--tRNA ligase, chloroplastic/mitochondrial OS=Arabidopsis thaliana GN=OVA1 PE=2 SV=1</t>
  </si>
  <si>
    <t>5-oxoprolinase OS=Arabidopsis thaliana GN=OXP1 PE=2 SV=1</t>
  </si>
  <si>
    <t>Probable beta-1,4-xylosyltransferase IRX14H OS=Arabidopsis thaliana GN=IRX14H PE=2 SV=1</t>
  </si>
  <si>
    <t>Calmodulin-binding transcription activator 2 OS=Arabidopsis thaliana GN=CMTA2 PE=1 SV=1</t>
  </si>
  <si>
    <t>Monodehydroascorbate reductase, chloroplastic OS=Arabidopsis thaliana GN=At1g63940 PE=2 SV=3</t>
  </si>
  <si>
    <t>Transmembrane and coiled-coil domains protein 1 OS=Rattus norvegicus GN=Tmco1 PE=2 SV=1</t>
  </si>
  <si>
    <t>Serine/threonine-protein kinase-like protein At3g51990 OS=Arabidopsis thaliana GN=At3g51990 PE=2 SV=1</t>
  </si>
  <si>
    <t>Phytochrome A-associated F-box protein OS=Arabidopsis thaliana GN=Eid1 PE=1 SV=2</t>
  </si>
  <si>
    <t>Heat stress transcription factor A-3 OS=Arabidopsis thaliana GN=HSFA3 PE=2 SV=2</t>
  </si>
  <si>
    <t>ATP-dependent DNA helicase Q-like SIM OS=Arabidopsis thaliana GN=RECQSIM PE=2 SV=1</t>
  </si>
  <si>
    <t>Small ribosomal subunit protein S13, mitochondrial OS=Glycine max GN=RSP13 PE=3 SV=1</t>
  </si>
  <si>
    <t>Iron-sulfur assembly protein IscA, chloroplastic OS=Arabidopsis thaliana GN=ISCA PE=2 SV=2</t>
  </si>
  <si>
    <t>WD repeat-containing protein 7 OS=Homo sapiens GN=WDR7 PE=1 SV=2</t>
  </si>
  <si>
    <t>Probable E3 ubiquitin-protein ligase HIP1 OS=Oryza sativa subsp. japonica GN=HIP1 PE=1 SV=2</t>
  </si>
  <si>
    <t>Photosynthetic NDH subunit of subcomplex B 5, chloroplastic OS=Arabidopsis thaliana GN=PNSB5 PE=2 SV=1</t>
  </si>
  <si>
    <t>Putative F-box/LRR-repeat protein At3g28410 OS=Arabidopsis thaliana GN=At3g28410 PE=4 SV=2</t>
  </si>
  <si>
    <t>Mitogen-activated protein kinase kinase 6 OS=Arabidopsis thaliana GN=MKK6 PE=1 SV=1</t>
  </si>
  <si>
    <t>Putative DEAD-box ATP-dependent RNA helicase 29 OS=Arabidopsis thaliana GN=RH29 PE=3 SV=1</t>
  </si>
  <si>
    <t>Protein kinase and PP2C-like domain-containing protein OS=Oryza sativa subsp. japonica GN=Os01g0541900 PE=2 SV=1</t>
  </si>
  <si>
    <t>Protein LAZ1 homolog 1 OS=Arabidopsis thaliana GN=At1g77220 PE=2 SV=1</t>
  </si>
  <si>
    <t>Peroxisomal membrane protein 13 OS=Arabidopsis thaliana GN=PEX13 PE=1 SV=1</t>
  </si>
  <si>
    <t>Down syndrome critical region protein 3 homolog OS=Mus musculus GN=Dscr3 PE=2 SV=1</t>
  </si>
  <si>
    <t>Anthranilate synthase beta subunit 1, chloroplastic OS=Arabidopsis thaliana GN=ASB1 PE=1 SV=1</t>
  </si>
  <si>
    <t>GDT1-like protein 4 OS=Oryza sativa subsp. japonica GN=Os08g0528500 PE=2 SV=1</t>
  </si>
  <si>
    <t>Bifunctional phosphatase IMPL2, chloroplastic OS=Arabidopsis thaliana GN=HISN7 PE=1 SV=1</t>
  </si>
  <si>
    <t>Cytochrome c oxidase subunit 5b-2, mitochondrial OS=Arabidopsis thaliana GN=COX5B-2 PE=2 SV=1</t>
  </si>
  <si>
    <t>Luc7-like protein 3 OS=Mus musculus GN=Luc7l3 PE=1 SV=1</t>
  </si>
  <si>
    <t>Protein SAWADEE HOMEODOMAIN HOMOLOG 2 OS=Arabidopsis thaliana GN=SHH2 PE=2 SV=1</t>
  </si>
  <si>
    <t>Aspartic proteinase OS=Oryza sativa subsp. japonica GN=RAP PE=2 SV=2</t>
  </si>
  <si>
    <t>4'-phosphopantetheinyl transferase OS=Bacillus subtilis GN=lpa-14 PE=3 SV=1</t>
  </si>
  <si>
    <t>Lysophospholipid acyltransferase LPEAT1 OS=Arabidopsis thaliana GN=LPEAT1 PE=1 SV=1</t>
  </si>
  <si>
    <t>tRNA:m(4)X modification enzyme TRM13 homolog OS=Homo sapiens GN=TRMT13 PE=1 SV=2</t>
  </si>
  <si>
    <t>Pentatricopeptide repeat-containing protein At3g18110, chloroplastic OS=Arabidopsis thaliana GN=EMB1270 PE=2 SV=2</t>
  </si>
  <si>
    <t>F-box/kelch-repeat protein At1g30090 OS=Arabidopsis thaliana GN=At1g30090 PE=2 SV=1</t>
  </si>
  <si>
    <t>F-box protein SKP2A OS=Arabidopsis thaliana GN=SKP2A PE=1 SV=1</t>
  </si>
  <si>
    <t>Protein NETWORKED 4A OS=Arabidopsis thaliana GN=NET4A PE=2 SV=1</t>
  </si>
  <si>
    <t>Ferrochelatase-2, chloroplastic OS=Oryza sativa subsp. indica GN=HEMH PE=2 SV=2</t>
  </si>
  <si>
    <t>Aspartate aminotransferase, mitochondrial OS=Arabidopsis thaliana GN=ASP1 PE=1 SV=1</t>
  </si>
  <si>
    <t>Probable enoyl-CoA hydratase, mitochondrial OS=Dictyostelium discoideum GN=echs1 PE=3 SV=1</t>
  </si>
  <si>
    <t>WAT1-related protein At5g40240 OS=Arabidopsis thaliana GN=At5g40240 PE=2 SV=1</t>
  </si>
  <si>
    <t>Peptidyl-prolyl cis-trans isomerase FKBP16-1, chloroplastic OS=Arabidopsis thaliana GN=FKBP16-1 PE=2 SV=1</t>
  </si>
  <si>
    <t>Chromo domain-containing protein LHP1 OS=Arabidopsis thaliana GN=LHP1 PE=1 SV=2</t>
  </si>
  <si>
    <t>Uncharacterized protein At1g01500 OS=Arabidopsis thaliana GN=At1g01500 PE=2 SV=1</t>
  </si>
  <si>
    <t>Exonuclease 3'-5' domain-containing protein 1 OS=Mus musculus GN=Exd1 PE=2 SV=1</t>
  </si>
  <si>
    <t>Protein PHYTOCHROME KINASE SUBSTRATE 3 OS=Arabidopsis thaliana GN=PKS3 PE=2 SV=2</t>
  </si>
  <si>
    <t>Putative sodium-coupled neutral amino acid transporter 7 OS=Danio rerio GN=slc38a7 PE=2 SV=1</t>
  </si>
  <si>
    <t>Gamma-interferon-inducible lysosomal thiol reductase OS=Homo sapiens GN=IFI30 PE=1 SV=3</t>
  </si>
  <si>
    <t>Splicing factor U2af large subunit B OS=Nicotiana plumbaginifolia GN=U2AF65B PE=2 SV=1</t>
  </si>
  <si>
    <t>Protein EMBRYO DEFECTIVE 1674 OS=Arabidopsis thaliana GN=EMB1674 PE=2 SV=1</t>
  </si>
  <si>
    <t>Autophagy-related protein 13 OS=Yarrowia lipolytica (strain CLIB 122 / E 150) GN=ATG13 PE=3 SV=1</t>
  </si>
  <si>
    <t>F-box/kelch-repeat protein At1g74510 OS=Arabidopsis thaliana GN=At1g74510 PE=2 SV=1</t>
  </si>
  <si>
    <t>Non-specific lipid-transfer protein 3 OS=Hordeum vulgare GN=LTP3 PE=3 SV=1</t>
  </si>
  <si>
    <t>tRNA (guanine(37)-N1)-methyltransferase 2 OS=Vitis vinifera GN=VIT_11s0016g04350 PE=3 SV=1</t>
  </si>
  <si>
    <t>Clathrin interactor EPSIN 1 OS=Arabidopsis thaliana GN=EPSIN1 PE=1 SV=1</t>
  </si>
  <si>
    <t>14-3-3 protein 9 OS=Solanum lycopersicum GN=TFT9 PE=2 SV=2</t>
  </si>
  <si>
    <t>Transmembrane 9 superfamily member 12 OS=Arabidopsis thaliana GN=TMN12 PE=2 SV=1</t>
  </si>
  <si>
    <t>Double-strand break repair protein MRE11 OS=Arabidopsis thaliana GN=MRE11 PE=1 SV=1</t>
  </si>
  <si>
    <t>Tropomyosin beta chain OS=Rattus norvegicus GN=Tpm2 PE=3 SV=1</t>
  </si>
  <si>
    <t>AT-hook motif nuclear-localized protein 29 OS=Arabidopsis thaliana GN=AHL29 PE=1 SV=1</t>
  </si>
  <si>
    <t>1,4-alpha-glucan-branching enzyme 1, chloroplastic/amyloplastic (Fragment) OS=Pisum sativum GN=SBEII PE=1 SV=1</t>
  </si>
  <si>
    <t>Ubiquitin carboxyl-terminal hydrolase isozyme L5 OS=Homo sapiens GN=UCHL5 PE=1 SV=3</t>
  </si>
  <si>
    <t>Sacsin OS=Mus musculus GN=Sacs PE=1 SV=2</t>
  </si>
  <si>
    <t>Transcription factor MYB86 OS=Arabidopsis thaliana GN=MYB86 PE=2 SV=1</t>
  </si>
  <si>
    <t>Cyclin-A2-4 OS=Arabidopsis thaliana GN=CYCA2-4 PE=2 SV=1</t>
  </si>
  <si>
    <t>Serine/threonine-protein phosphatase 6 regulatory ankyrin repeat subunit C OS=Danio rerio GN=ankrd52 PE=2 SV=1</t>
  </si>
  <si>
    <t>Ras-related protein RABA1b OS=Arabidopsis thaliana GN=RABA1B PE=2 SV=1</t>
  </si>
  <si>
    <t>F-box protein SKIP27 OS=Arabidopsis thaliana GN=SKIP27 PE=1 SV=2</t>
  </si>
  <si>
    <t>Multisubstrate pseudouridine synthase 7 OS=Saccharomyces cerevisiae (strain ATCC 204508 / S288c) GN=PUS7 PE=1 SV=1</t>
  </si>
  <si>
    <t>PsbP domain-containing protein 7, chloroplastic OS=Arabidopsis thaliana GN=PPD7 PE=2 SV=1</t>
  </si>
  <si>
    <t>DNA-(apurinic or apyrimidinic site) lyase OS=Arabidopsis thaliana GN=APE1L PE=1 SV=1</t>
  </si>
  <si>
    <t>Sugar phosphatase YidA OS=Shigella flexneri GN=yidA PE=3 SV=1</t>
  </si>
  <si>
    <t>RuBisCO large subunit-binding protein subunit alpha, chloroplastic OS=Pisum sativum PE=1 SV=2</t>
  </si>
  <si>
    <t>GRF1-interacting factor 1 OS=Arabidopsis thaliana GN=GIF1 PE=1 SV=1</t>
  </si>
  <si>
    <t>Zinc-finger homeodomain protein 6 OS=Arabidopsis thaliana GN=ZHD6 PE=1 SV=1</t>
  </si>
  <si>
    <t>Microfibrillar-associated protein 1 OS=Gallus gallus GN=MFAP1 PE=2 SV=1</t>
  </si>
  <si>
    <t>Glucomannan 4-beta-mannosyltransferase 9 OS=Arabidopsis thaliana GN=CSLA9 PE=2 SV=1</t>
  </si>
  <si>
    <t>Pentatricopeptide repeat-containing protein At1g76280 OS=Arabidopsis thaliana GN=At1g76280 PE=2 SV=2</t>
  </si>
  <si>
    <t>Rho GTPase-activating protein 7 OS=Arabidopsis thaliana GN=ROPGAP7 PE=2 SV=1</t>
  </si>
  <si>
    <t>Protein THYLAKOid FORMATION1, chloroplastic OS=Solanum tuberosum GN=THF1 PE=2 SV=1</t>
  </si>
  <si>
    <t>Alpha-ketoglutarate-dependent dioxygenase alkB homolog 2 OS=Arabidopsis thaliana GN=ALKBH2 PE=2 SV=2</t>
  </si>
  <si>
    <t>Uric acid degradation bifunctional protein TTL OS=Arabidopsis thaliana GN=TTL PE=1 SV=1</t>
  </si>
  <si>
    <t>Perakine reductase OS=Rauvolfia serpentina GN=PR PE=1 SV=1</t>
  </si>
  <si>
    <t>Abnormal spindle-like microcephaly-associated protein homolog OS=Canis familiaris GN=ASPM PE=2 SV=2</t>
  </si>
  <si>
    <t>BTB/POZ domain-containing protein At5g67385 OS=Arabidopsis thaliana GN=At5g67385 PE=1 SV=2</t>
  </si>
  <si>
    <t>Agamous-like MADS-box protein AGL12 OS=Arabidopsis thaliana GN=AGL12 PE=2 SV=2</t>
  </si>
  <si>
    <t>Ribonucleases P/MRP protein subunit POP1 OS=Homo sapiens GN=POP1 PE=1 SV=2</t>
  </si>
  <si>
    <t>Phosphoribosylformylglycinamidine cyclo-ligase, chloroplastic/mitochondrial OS=Vigna unguiculata GN=PUR5 PE=2 SV=1</t>
  </si>
  <si>
    <t>Protein CHROMATIN REMODELING 24 OS=Arabidopsis thaliana GN=CHR24 PE=2 SV=1</t>
  </si>
  <si>
    <t>Shikimate kinase, chloroplastic OS=Solanum lycopersicum GN=SK PE=1 SV=1</t>
  </si>
  <si>
    <t>60S ribosomal protein L18a OS=Castanea sativa GN=RPL18A PE=2 SV=1</t>
  </si>
  <si>
    <t>Castanea sativa</t>
  </si>
  <si>
    <t>Dolichyl-diphosphooligosaccharide--protein glycosyltransferase subunit 1B OS=Arabidopsis thaliana GN=OST1B PE=2 SV=1</t>
  </si>
  <si>
    <t>DNA-directed RNA polymerase III subunit RPC1 OS=Homo sapiens GN=POLR3A PE=1 SV=2</t>
  </si>
  <si>
    <t>LOB domain-containing protein 42 OS=Arabidopsis thaliana GN=LBD42 PE=2 SV=1</t>
  </si>
  <si>
    <t>Scarecrow-like protein 28 OS=Arabidopsis thaliana GN=SCL28 PE=1 SV=1</t>
  </si>
  <si>
    <t>Probable ubiquitin receptor RAD23 OS=Oryza sativa subsp. japonica GN=RAD23 PE=1 SV=2</t>
  </si>
  <si>
    <t>Malate dehydrogenase, mitochondrial OS=Citrullus lanatus GN=MMDH PE=1 SV=1</t>
  </si>
  <si>
    <t>Proteasome subunit alpha type-7 OS=Cicer arietinum GN=PAD1 PE=2 SV=1</t>
  </si>
  <si>
    <t>L-ascorbate peroxidase 2, cytosolic OS=Arabidopsis thaliana GN=APX2 PE=2 SV=3</t>
  </si>
  <si>
    <t>B3 domain-containing protein Os03g0120900 OS=Oryza sativa subsp. japonica GN=Os03g0120900 PE=2 SV=1</t>
  </si>
  <si>
    <t>Gamma-tubulin complex component 6 OS=Homo sapiens GN=TUBGCP6 PE=1 SV=3</t>
  </si>
  <si>
    <t>AP2-like ethylene-responsive transcription factor AIL6 OS=Arabidopsis thaliana GN=AIL6 PE=2 SV=1</t>
  </si>
  <si>
    <t>UDP-glucuronic acid decarboxylase 1 OS=Arabidopsis thaliana GN=UXS1 PE=1 SV=1</t>
  </si>
  <si>
    <t>H/ACA ribonucleoprotein complex subunit 4 OS=Arabidopsis thaliana GN=CBF5 PE=1 SV=1</t>
  </si>
  <si>
    <t>Lysosomal Pro-X carboxypeptidase OS=Homo sapiens GN=PRCP PE=1 SV=1</t>
  </si>
  <si>
    <t>Meiotically up-regulated gene 73 protein OS=Schizosaccharomyces pombe (strain 972 / ATCC 24843) GN=mug73 PE=1 SV=1</t>
  </si>
  <si>
    <t>Putative cysteine-rich repeat secretory protein 28 OS=Arabidopsis thaliana GN=CRRSP28 PE=5 SV=2</t>
  </si>
  <si>
    <t>Wall-associated receptor kinase-like 17 OS=Arabidopsis thaliana GN=WAKL17 PE=3 SV=2</t>
  </si>
  <si>
    <t>UPF0301 protein Plut_0637 OS=Pelodictyon luteolum (strain DSM 273) GN=Plut_0637 PE=3 SV=1</t>
  </si>
  <si>
    <t>Pelodictyon luteolum</t>
  </si>
  <si>
    <t>Probable envelope ADP,ATP carrier protein, chloroplastic OS=Arabidopsis thaliana GN=EAAC PE=2 SV=2</t>
  </si>
  <si>
    <t>Glutaredoxin-3 OS=Escherichia coli (strain K12) GN=grxC PE=1 SV=2</t>
  </si>
  <si>
    <t>Protein GAMETE EXPRESSED 2 OS=Arabidopsis thaliana GN=GEX2 PE=2 SV=1</t>
  </si>
  <si>
    <t>GATA transcription factor 12 OS=Arabidopsis thaliana GN=GATA12 PE=2 SV=1</t>
  </si>
  <si>
    <t>S-formylglutathione hydrolase OS=Arabidopsis thaliana GN=SFGH PE=1 SV=2</t>
  </si>
  <si>
    <t>Methylesterase 10 OS=Arabidopsis thaliana GN=MES10 PE=2 SV=1</t>
  </si>
  <si>
    <t>Uncharacterized protein At4g18257 OS=Arabidopsis thaliana GN=At4g18257 PE=1 SV=1</t>
  </si>
  <si>
    <t>BTB/POZ and MATH domain-containing protein 2 OS=Arabidopsis thaliana GN=BPM2 PE=1 SV=1</t>
  </si>
  <si>
    <t>PHD finger protein MALE MEIOCYTE DEATH 1 OS=Arabidopsis thaliana GN=MMD1 PE=2 SV=1</t>
  </si>
  <si>
    <t>Pentatricopeptide repeat-containing protein At3g06920 OS=Arabidopsis thaliana GN=At3g06920 PE=2 SV=1</t>
  </si>
  <si>
    <t>Homeobox-leucine zipper protein ANTHOCYANINLESS 2 OS=Arabidopsis thaliana GN=ANL2 PE=2 SV=1</t>
  </si>
  <si>
    <t>Ribonuclease inhibitor OS=Sus scrofa GN=RNH1 PE=1 SV=1</t>
  </si>
  <si>
    <t>Urease accessory protein UreH OS=Bacillus sp. (strain TB-90) GN=ureH PE=3 SV=1</t>
  </si>
  <si>
    <t>Bacillus sp.</t>
  </si>
  <si>
    <t>Probable galacturonosyltransferase-like 2 OS=Arabidopsis thaliana GN=GATL2 PE=2 SV=1</t>
  </si>
  <si>
    <t>Splicing factor U2AF 50 kDa subunit OS=Drosophila melanogaster GN=U2af50 PE=1 SV=1</t>
  </si>
  <si>
    <t>Naringenin,2-oxoglutarate 3-dioxygenase OS=Callistephus chinensis GN=FHT PE=2 SV=1</t>
  </si>
  <si>
    <t>Callistephus chinensis</t>
  </si>
  <si>
    <t>Genome polyprotein OS=Maize rayado fino virus (isolate Costa Rica/Guapiles) GN=ORF1 PE=3 SV=1</t>
  </si>
  <si>
    <t>Maize rayado</t>
  </si>
  <si>
    <t>Phosphomethylpyrimidine synthase, chloroplastic OS=Arabidopsis thaliana GN=THIC PE=1 SV=1</t>
  </si>
  <si>
    <t>Splicing factor 3B subunit 1 OS=Xenopus laevis GN=sf3b1 PE=2 SV=1</t>
  </si>
  <si>
    <t>Probable pectinesterase/pectinesterase inhibitor 6 OS=Arabidopsis thaliana GN=PME6 PE=2 SV=1</t>
  </si>
  <si>
    <t>G-type lectin S-receptor-like serine/threonine-protein kinase At1g61500 OS=Arabidopsis thaliana GN=At1g61500 PE=2 SV=2</t>
  </si>
  <si>
    <t>Xyloglucan galactosyltransferase KATAMARI1 OS=Arabidopsis thaliana GN=KAM1 PE=1 SV=1</t>
  </si>
  <si>
    <t>RPW8-like protein 1 OS=Arabidopsis thaliana GN=HR1 PE=2 SV=1</t>
  </si>
  <si>
    <t>Probable leucine-rich repeat receptor-like serine/threonine-protein kinase At5g15730 OS=Arabidopsis thaliana GN=At5g15730 PE=2 SV=1</t>
  </si>
  <si>
    <t>Glycerol-3-phosphate acyltransferase 5 OS=Arabidopsis thaliana GN=GPAT5 PE=1 SV=1</t>
  </si>
  <si>
    <t>Germin-like protein 12-2 OS=Oryza sativa subsp. japonica GN=Os12g0154800 PE=2 SV=1</t>
  </si>
  <si>
    <t>5-methyltetrahydropteroyltriglutamate--homocysteine methyltransferase OS=Catharanthus roseus GN=METE PE=2 SV=1</t>
  </si>
  <si>
    <t>Ribosome biogenesis protein BRX1 homolog OS=Xenopus laevis GN=brix1 PE=2 SV=1</t>
  </si>
  <si>
    <t>Auxin transport protein BIG OS=Arabidopsis thaliana GN=BIG PE=1 SV=2</t>
  </si>
  <si>
    <t>Actin-depolymerizing factor 5 OS=Arabidopsis thaliana GN=ADF5 PE=1 SV=1</t>
  </si>
  <si>
    <t>Coiled-coil domain-containing protein 94 homolog OS=Dictyostelium discoideum GN=ccdc94 PE=3 SV=1</t>
  </si>
  <si>
    <t>Tubulin alpha-6 chain OS=Zea mays GN=TUBA6 PE=2 SV=1</t>
  </si>
  <si>
    <t>Clathrin interactor EPSIN 2 OS=Arabidopsis thaliana GN=EPSIN2 PE=1 SV=1</t>
  </si>
  <si>
    <t>Putative cyclic nucleotide-gated ion channel 13 OS=Arabidopsis thaliana GN=CNGC13 PE=3 SV=2</t>
  </si>
  <si>
    <t>DNA-damage-repair/toleration protein DRT111, chloroplastic OS=Arabidopsis thaliana GN=DRT111 PE=1 SV=2</t>
  </si>
  <si>
    <t>Protein CHROMATIN REMODELING 19 OS=Arabidopsis thaliana GN=ETL1 PE=2 SV=1</t>
  </si>
  <si>
    <t>Cytochrome f OS=Morus indica GN=petA PE=3 SV=1</t>
  </si>
  <si>
    <t>Phosphoinositide phospholipase C 2 OS=Arabidopsis thaliana GN=PLC2 PE=1 SV=1</t>
  </si>
  <si>
    <t>Transaldolase OS=Renibacterium salmoninarum (strain ATCC 33209 / DSM 20767 / JCM 11484 / NBRC 15589 / NCIMB 2235) GN=tal PE=3 SV=1</t>
  </si>
  <si>
    <t>Renibacterium salmoninarum</t>
  </si>
  <si>
    <t>Adenine/guanine permease AZG1 OS=Arabidopsis thaliana GN=AZG1 PE=2 SV=1</t>
  </si>
  <si>
    <t>Ribosome biogenesis protein WDR12 homolog OS=Chlamydomonas reinhardtii GN=CHLREDRAFT_128420 PE=3 SV=2</t>
  </si>
  <si>
    <t>Uncharacterized protein Cbei_0202 OS=Clostridium beijerinckii (strain ATCC 51743 / NCIMB 8052) GN=Cbei_0202 PE=4 SV=2</t>
  </si>
  <si>
    <t>Clostridium beijerinckii</t>
  </si>
  <si>
    <t>Dipeptidyl aminopeptidase BI OS=Pseudoxanthomonas mexicana GN=dapb1 PE=1 SV=1</t>
  </si>
  <si>
    <t>Pseudoxanthomonas mexicana</t>
  </si>
  <si>
    <t>Tetratricopeptide repeat protein SKI3 OS=Arabidopsis thaliana GN=SKI3 PE=1 SV=1</t>
  </si>
  <si>
    <t>GTPase LSG1-2 OS=Arabidopsis thaliana GN=LSG1-2 PE=1 SV=1</t>
  </si>
  <si>
    <t>RNA polymerase sigma factor sigE, chloroplastic/mitochondrial OS=Arabidopsis thaliana GN=SIGE PE=1 SV=1</t>
  </si>
  <si>
    <t>Pentatricopeptide repeat-containing protein At1g55630 OS=Arabidopsis thaliana GN=At1g55630 PE=2 SV=1</t>
  </si>
  <si>
    <t>Guanine nucleotide-binding protein subunit beta-2 OS=Nicotiana tabacum PE=2 SV=1</t>
  </si>
  <si>
    <t>Xanthoxin dehydrogenase OS=Arabidopsis thaliana GN=ABA2 PE=1 SV=1</t>
  </si>
  <si>
    <t>Transmembrane 9 superfamily member 5 OS=Arabidopsis thaliana GN=TMN5 PE=2 SV=1</t>
  </si>
  <si>
    <t>Dynamin-related protein 1A OS=Arabidopsis thaliana GN=DRP1A PE=1 SV=3</t>
  </si>
  <si>
    <t>Serine hydroxymethyltransferase 3, chloroplastic OS=Arabidopsis thaliana GN=SHM3 PE=1 SV=2</t>
  </si>
  <si>
    <t>ABC transporter G family member 28 OS=Arabidopsis thaliana GN=ABCG28 PE=3 SV=1</t>
  </si>
  <si>
    <t>Autolysin OS=Enterococcus faecalis (strain ATCC 700802 / V583) GN=EF_0799 PE=1 SV=2</t>
  </si>
  <si>
    <t>Probable xyloglucan glycosyltransferase 12 OS=Arabidopsis thaliana GN=CSLC12 PE=1 SV=1</t>
  </si>
  <si>
    <t>Kinetochore protein NDC80 homolog OS=Homo sapiens GN=NDC80 PE=1 SV=1</t>
  </si>
  <si>
    <t>Aspartate--tRNA ligase, chloroplastic/mitochondrial OS=Arabidopsis thaliana GN=At4g33760 PE=2 SV=1</t>
  </si>
  <si>
    <t>Protein transport protein SEC16B homolog OS=Arabidopsis thaliana GN=SEC16B PE=1 SV=1</t>
  </si>
  <si>
    <t>Protein FD OS=Arabidopsis thaliana GN=FD PE=1 SV=1</t>
  </si>
  <si>
    <t>Alpha/beta hydrolase domain-containing protein 11 OS=Danio rerio GN=abhd11 PE=2 SV=1</t>
  </si>
  <si>
    <t>Leucine-rich repeat receptor-like tyrosine-protein kinase PXC3 OS=Arabidopsis thaliana GN=PXC3 PE=2 SV=1</t>
  </si>
  <si>
    <t>ATP-dependent zinc metalloprotease FtsH OS=Cyanidium caldarium GN=ftsH PE=3 SV=1</t>
  </si>
  <si>
    <t>R3H domain-containing protein 2 OS=Bos taurus GN=R3HDM2 PE=2 SV=1</t>
  </si>
  <si>
    <t>ABC transporter G family member 21 OS=Arabidopsis thaliana GN=ABCG21 PE=2 SV=2</t>
  </si>
  <si>
    <t>Transcription factor MYB39 OS=Arabidopsis thaliana GN=MYB39 PE=2 SV=1</t>
  </si>
  <si>
    <t>Glycine-rich RNA-binding protein OS=Daucus carota PE=2 SV=1</t>
  </si>
  <si>
    <t>UBP1-associated protein 2B OS=Arabidopsis thaliana GN=UBA2B PE=2 SV=1</t>
  </si>
  <si>
    <t>Multiple organellar RNA editing factor 2, chloroplastic OS=Arabidopsis thaliana GN=MORF2 PE=1 SV=1</t>
  </si>
  <si>
    <t>BTB/POZ domain-containing protein POB1 OS=Arabidopsis thaliana GN=POB1 PE=2 SV=2</t>
  </si>
  <si>
    <t>Acid beta-fructofuranosidase OS=Vigna radiata var. radiata GN=INVA PE=1 SV=1</t>
  </si>
  <si>
    <t>ABC transporter C family member 1 OS=Arabidopsis thaliana GN=ABCC1 PE=1 SV=1</t>
  </si>
  <si>
    <t>Protein FAM126B OS=Mus musculus GN=Fam126b PE=2 SV=1</t>
  </si>
  <si>
    <t>Ribosome-binding factor PSRP1, chloroplastic OS=Spinacia oleracea GN=PSRP1 PE=1 SV=2</t>
  </si>
  <si>
    <t>AT-hook motif nuclear-localized protein 14 OS=Arabidopsis thaliana GN=AHL14 PE=1 SV=1</t>
  </si>
  <si>
    <t>Chorismate synthase, chloroplastic OS=Arabidopsis thaliana GN=EMB1144 PE=2 SV=2</t>
  </si>
  <si>
    <t>Sphingosine-1-phosphate lyase OS=Arabidopsis thaliana GN=DPL1 PE=1 SV=1</t>
  </si>
  <si>
    <t>Cytoplasmic tRNA 2-thiolation protein 1 OS=Arabidopsis thaliana GN=NCS6 PE=2 SV=2</t>
  </si>
  <si>
    <t>Programmed cell death protein 2-like OS=Gallus gallus GN=PDCD2L PE=2 SV=1</t>
  </si>
  <si>
    <t>Acetyl-coenzyme A carboxylase carboxyl transferase subunit alpha, chloroplastic OS=Arabidopsis thaliana GN=CAC3 PE=1 SV=1</t>
  </si>
  <si>
    <t>Zinc finger CCCH domain-containing protein 40 OS=Arabidopsis thaliana GN=At3g21810 PE=1 SV=1</t>
  </si>
  <si>
    <t>Probable U3 small nucleolar RNA-associated protein 7 OS=Schizosaccharomyces pombe (strain 972 / ATCC 24843) GN=utp7 PE=3 SV=1</t>
  </si>
  <si>
    <t>PHD finger protein ING2 OS=Arabidopsis thaliana GN=ING2 PE=1 SV=1</t>
  </si>
  <si>
    <t>Protein JASON OS=Arabidopsis thaliana GN=JASON PE=2 SV=1</t>
  </si>
  <si>
    <t>SKP1-like protein 1B OS=Arabidopsis thaliana GN=SKP1B PE=1 SV=1</t>
  </si>
  <si>
    <t>Vacuolar protein sorting-associated protein 18 homolog OS=Danio rerio GN=vps18 PE=2 SV=2</t>
  </si>
  <si>
    <t>Heterogeneous nuclear ribonucleoprotein Q OS=Rattus norvegicus GN=Syncrip PE=2 SV=1</t>
  </si>
  <si>
    <t>LAG1 longevity assurance homolog 3 OS=Arabidopsis thaliana GN=At1g13580 PE=2 SV=2</t>
  </si>
  <si>
    <t>Protein trichome birefringence-like 23 OS=Arabidopsis thaliana GN=TBL23 PE=2 SV=1</t>
  </si>
  <si>
    <t>Thioredoxin-like 3-2, chloroplastic OS=Arabidopsis thaliana GN=WCRKC2 PE=2 SV=1</t>
  </si>
  <si>
    <t>Probable metal-nicotianamine transporter YSL7 OS=Arabidopsis thaliana GN=YSL7 PE=2 SV=1</t>
  </si>
  <si>
    <t>Ubiquitin-conjugating enzyme E2-17 kDa OS=Drosophila melanogaster GN=UbcD6 PE=2 SV=2</t>
  </si>
  <si>
    <t>Probable LRR receptor-like serine/threonine-protein kinase At2g28960 OS=Arabidopsis thaliana GN=At2g28960 PE=2 SV=1</t>
  </si>
  <si>
    <t>Glyoxylate/succinic semialdehyde reductase 2, chloroplastic OS=Arabidopsis thaliana GN=GLYR2 PE=1 SV=1</t>
  </si>
  <si>
    <t>Cyclic dof factor 2 OS=Arabidopsis thaliana GN=CDF2 PE=1 SV=2</t>
  </si>
  <si>
    <t>Protein LURP-one-related 7 OS=Arabidopsis thaliana GN=At2g30270 PE=2 SV=1</t>
  </si>
  <si>
    <t>Probable receptor-like protein kinase At2g42960 OS=Arabidopsis thaliana GN=At2g42960 PE=3 SV=1</t>
  </si>
  <si>
    <t>Pyridoxine/pyridoxamine 5'-phosphate oxidase 2 OS=Arabidopsis thaliana GN=PPOX2 PE=1 SV=2</t>
  </si>
  <si>
    <t>Probable receptor-like protein kinase At1g80640 OS=Arabidopsis thaliana GN=At1g80640 PE=2 SV=1</t>
  </si>
  <si>
    <t>Chlorophyll a-b binding protein CP24 10A, chloroplastic OS=Solanum lycopersicum GN=CAP10A PE=3 SV=1</t>
  </si>
  <si>
    <t>DEAD-box ATP-dependent RNA helicase 22 OS=Arabidopsis thaliana GN=RH22 PE=2 SV=1</t>
  </si>
  <si>
    <t>Protease Do-like 7 OS=Arabidopsis thaliana GN=DEGP7 PE=2 SV=1</t>
  </si>
  <si>
    <t>Calmodulin-like protein 1 OS=Arabidopsis thaliana GN=CML1 PE=2 SV=1</t>
  </si>
  <si>
    <t>Bifunctional purine biosynthesis protein PurH OS=Bacillus cereus (strain 03BB102) GN=purH PE=3 SV=1</t>
  </si>
  <si>
    <t>Bacillus cereus</t>
  </si>
  <si>
    <t>Gag-Pol polyprotein OS=Simian immunodeficiency virus agm.vervet (isolate AGM3) GN=gag-pol PE=3 SV=2</t>
  </si>
  <si>
    <t>Simian immunodeficiency</t>
  </si>
  <si>
    <t>Glutamyl-tRNA reductase-binding protein, chloroplastic OS=Arabidopsis thaliana GN=GLUTRBP PE=1 SV=1</t>
  </si>
  <si>
    <t>SWI/SNF complex subunit SWI3C OS=Arabidopsis thaliana GN=SWI3C PE=1 SV=1</t>
  </si>
  <si>
    <t>Dehydrogenase/reductase SDR family member 12 OS=Bos taurus GN=DHRS12 PE=2 SV=1</t>
  </si>
  <si>
    <t>26S protease regulatory subunit 7 OS=Prunus persica GN=RPT1 PE=2 SV=1</t>
  </si>
  <si>
    <t>Peptidyl-prolyl cis-trans isomerase CYP38, chloroplastic OS=Arabidopsis thaliana GN=CYP38 PE=1 SV=1</t>
  </si>
  <si>
    <t>Probable 3-hydroxyisobutyrate dehydrogenase-like 3, mitochondrial OS=Arabidopsis thaliana GN=At1g71180 PE=2 SV=1</t>
  </si>
  <si>
    <t>Chaperone protein ClpB 1 OS=Synechocystis sp. (strain PCC 6803 / Kazusa) GN=clpB1 PE=3 SV=1</t>
  </si>
  <si>
    <t>Auxin-responsive protein IAA1 OS=Oryza sativa subsp. japonica GN=IAA1 PE=2 SV=1</t>
  </si>
  <si>
    <t>Transmembrane protein 18 OS=Danio rerio GN=tmem18 PE=2 SV=1</t>
  </si>
  <si>
    <t>Uncharacterized membrane protein C776.05 OS=Schizosaccharomyces pombe (strain 972 / ATCC 24843) GN=SPBC776.05 PE=4 SV=2</t>
  </si>
  <si>
    <t>Potassium transporter 4 OS=Arabidopsis thaliana GN=POT4 PE=1 SV=2</t>
  </si>
  <si>
    <t>Protein HAIKU1 OS=Arabidopsis thaliana GN=IKU1 PE=1 SV=1</t>
  </si>
  <si>
    <t>Isocitrate dehydrogenase [NADP] OS=Nicotiana tabacum PE=2 SV=1</t>
  </si>
  <si>
    <t>Translation initiation factor eIF-2B subunit epsilon OS=Dictyostelium discoideum GN=eif2b5 PE=3 SV=1</t>
  </si>
  <si>
    <t>Probable RNA-binding protein ARP1 OS=Arabidopsis thaliana GN=ARP1 PE=2 SV=1</t>
  </si>
  <si>
    <t>Cytochrome P450 CYP736A12 OS=Panax ginseng PE=2 SV=1</t>
  </si>
  <si>
    <t>Thylakoid lumenal protein At1g12250, chloroplastic OS=Arabidopsis thaliana GN=At1g12250 PE=1 SV=1</t>
  </si>
  <si>
    <t>Membrane-bound transcription factor site-2 protease homolog OS=Arabidopsis thaliana GN=S2P PE=2 SV=2</t>
  </si>
  <si>
    <t>Aminopeptidase M1 OS=Arabidopsis thaliana GN=APM1 PE=1 SV=1</t>
  </si>
  <si>
    <t>Imidazole glycerol phosphate synthase hisHF, chloroplastic OS=Arabidopsis thaliana GN=HISN4 PE=2 SV=1</t>
  </si>
  <si>
    <t>Protein CREG1 OS=Homo sapiens GN=CREG1 PE=1 SV=1</t>
  </si>
  <si>
    <t>Magnesium transporter MRS2-1 OS=Arabidopsis thaliana GN=MRS2-1 PE=2 SV=1</t>
  </si>
  <si>
    <t>L-lactate dehydrogenase B (Fragment) OS=Hordeum vulgare PE=1 SV=1</t>
  </si>
  <si>
    <t>Protein ULTRAPETALA 1 OS=Arabidopsis thaliana GN=ULT1 PE=1 SV=1</t>
  </si>
  <si>
    <t>Monosaccharide-sensing protein 2 OS=Arabidopsis thaliana GN=MSSP2 PE=1 SV=2</t>
  </si>
  <si>
    <t>Sodium-coupled neutral amino acid transporter 4 OS=Rattus norvegicus GN=Slc38a4 PE=2 SV=1</t>
  </si>
  <si>
    <t>Uncharacterized protein YqeG OS=Bacillus subtilis (strain 168) GN=yqeG PE=4 SV=1</t>
  </si>
  <si>
    <t>UMP-CMP kinase 3 OS=Arabidopsis thaliana GN=UMK3 PE=1 SV=1</t>
  </si>
  <si>
    <t>Iron-sulfur protein NUBPL OS=Dictyostelium discoideum GN=nubpl PE=3 SV=1</t>
  </si>
  <si>
    <t>Oligouridylate-binding protein 1B OS=Arabidopsis thaliana GN=UBP1B PE=1 SV=1</t>
  </si>
  <si>
    <t>Myosin-1 OS=Bos taurus GN=MYH1 PE=2 SV=2</t>
  </si>
  <si>
    <t>Vacuolar protein sorting-associated protein 29 OS=Arabidopsis thaliana GN=VPS29 PE=2 SV=1</t>
  </si>
  <si>
    <t>Probable NADH dehydrogenase [ubiquinone] 1 alpha subcomplex subunit 12 OS=Arabidopsis thaliana GN=At3g03100 PE=1 SV=1</t>
  </si>
  <si>
    <t>Glucan endo-1,3-beta-glucosidase OS=Prunus avium PE=1 SV=1</t>
  </si>
  <si>
    <t>Chaperone protein ClpB3, chloroplastic OS=Arabidopsis thaliana GN=CLPB3 PE=2 SV=1</t>
  </si>
  <si>
    <t>NADH dehydrogenase [ubiquinone] iron-sulfur protein 7, mitochondrial OS=Brassica oleracea PE=2 SV=1</t>
  </si>
  <si>
    <t>GDSL esterase/lipase At5g45670 OS=Arabidopsis thaliana GN=At5g45670 PE=2 SV=1</t>
  </si>
  <si>
    <t>Transcription factor bHLH69 OS=Arabidopsis thaliana GN=BHLH69 PE=2 SV=2</t>
  </si>
  <si>
    <t>IN2-2 protein OS=Zea mays GN=IN2-2 PE=2 SV=1</t>
  </si>
  <si>
    <t>NAD(P)H-quinone oxidoreductase subunit J, chloroplastic OS=Manihot esculenta GN=ndhJ PE=3 SV=1</t>
  </si>
  <si>
    <t>Serine/arginine-rich SC35-like splicing factor SCL33 OS=Arabidopsis thaliana GN=SCL33 PE=1 SV=1</t>
  </si>
  <si>
    <t>Serine/arginine-rich splicing factor SR45a OS=Arabidopsis thaliana GN=SR45A PE=1 SV=1</t>
  </si>
  <si>
    <t>Homeobox-leucine zipper protein HDG2 OS=Arabidopsis thaliana GN=HDG2 PE=2 SV=1</t>
  </si>
  <si>
    <t>50S ribosomal protein L25 OS=Caulobacter crescentus (strain ATCC 19089 / CB15) GN=rplY PE=3 SV=1</t>
  </si>
  <si>
    <t>Caulobacter crescentus</t>
  </si>
  <si>
    <t>Zinc finger CCCH domain-containing protein 46 OS=Oryza sativa subsp. japonica GN=Os06g0704300 PE=2 SV=1</t>
  </si>
  <si>
    <t>Dof zinc finger protein DOF5.8 OS=Arabidopsis thaliana GN=DOF5.8 PE=2 SV=1</t>
  </si>
  <si>
    <t>Photosystem II 5 kDa protein, chloroplastic OS=Gossypium hirsutum GN=PSBT PE=4 SV=1</t>
  </si>
  <si>
    <t>Guanine nucleotide-binding protein subunit beta-like protein OS=Glycine max PE=2 SV=1</t>
  </si>
  <si>
    <t>Calcium-dependent protein kinase 4 OS=Arabidopsis thaliana GN=CPK4 PE=1 SV=1</t>
  </si>
  <si>
    <t>Cellulose synthase-like protein G1 OS=Arabidopsis thaliana GN=CSLG1 PE=2 SV=1</t>
  </si>
  <si>
    <t>Protein trichome berefringence-like 7 OS=Arabidopsis thaliana GN=TBL7 PE=3 SV=1</t>
  </si>
  <si>
    <t>ABC transporter A family member 9 OS=Arabidopsis thaliana GN=ABCA9 PE=1 SV=1</t>
  </si>
  <si>
    <t>TPR repeat-containing thioredoxin TTL4 OS=Arabidopsis thaliana GN=TTL4 PE=2 SV=1</t>
  </si>
  <si>
    <t>Flap endonuclease 1 OS=Glycine max GN=FEN1 PE=2 SV=1</t>
  </si>
  <si>
    <t>Ubiquitin-60S ribosomal protein L40 OS=Brassica rapa subsp. pekinensis PE=2 SV=2</t>
  </si>
  <si>
    <t>Basic 7S globulin 2 OS=Glycine max PE=1 SV=1</t>
  </si>
  <si>
    <t>Putative pentatricopeptide repeat-containing protein At3g15930 OS=Arabidopsis thaliana GN=PCMP-E51 PE=3 SV=2</t>
  </si>
  <si>
    <t>Protein prenyltransferase alpha subunit repeat-containing protein 1 OS=Homo sapiens GN=PTAR1 PE=1 SV=2</t>
  </si>
  <si>
    <t>Uncharacterized protein At5g39570 OS=Arabidopsis thaliana GN=At5g39570 PE=1 SV=1</t>
  </si>
  <si>
    <t>Dehydration-responsive element-binding protein 2D OS=Arabidopsis thaliana GN=DREB2D PE=2 SV=1</t>
  </si>
  <si>
    <t>Plant intracellular Ras-group-related LRR protein 6 OS=Arabidopsis thaliana GN=PIRL6 PE=2 SV=1</t>
  </si>
  <si>
    <t>Arogenate dehydrogenase 1, chloroplastic OS=Arabidopsis thaliana GN=TYRAAT1 PE=1 SV=1</t>
  </si>
  <si>
    <t>Proline--tRNA ligase, chloroplastic/mitochondrial OS=Arabidopsis thaliana GN=OVA6 PE=2 SV=1</t>
  </si>
  <si>
    <t>Bifunctional nitrilase/nitrile hydratase NIT4A OS=Lupinus angustifolius GN=NIT4A PE=1 SV=1</t>
  </si>
  <si>
    <t>Putative pentatricopeptide repeat-containing protein At3g15200 OS=Arabidopsis thaliana GN=At3g15200 PE=3 SV=1</t>
  </si>
  <si>
    <t>ABC transporter B family member 21 OS=Arabidopsis thaliana GN=ABCB21 PE=1 SV=2</t>
  </si>
  <si>
    <t>Homogentisate solanesyltransferase, chloroplastic OS=Arabidopsis thaliana GN=HST PE=1 SV=1</t>
  </si>
  <si>
    <t>Malate dehydrogenase [NADP], chloroplastic OS=Medicago sativa GN=MDH1 PE=2 SV=1</t>
  </si>
  <si>
    <t>Histone-lysine N-methyltransferase ATX2 OS=Arabidopsis thaliana GN=ATX2 PE=2 SV=1</t>
  </si>
  <si>
    <t>Probable serine/threonine protein kinase IREH1 OS=Arabidopsis thaliana GN=IREH1 PE=1 SV=1</t>
  </si>
  <si>
    <t>Magnesium transporter MRS2-11, chloroplastic OS=Arabidopsis thaliana GN=MRS2-11 PE=2 SV=1</t>
  </si>
  <si>
    <t>Splicing factor, suppressor of white-apricot homolog OS=Mus musculus GN=Sfswap PE=1 SV=2</t>
  </si>
  <si>
    <t>Wall-associated receptor kinase-like 2 OS=Arabidopsis thaliana GN=WAKL2 PE=2 SV=1</t>
  </si>
  <si>
    <t>Photosynthetic NDH subunit of subcomplex B 1, chloroplastic OS=Arabidopsis thaliana GN=PNSB1 PE=2 SV=1</t>
  </si>
  <si>
    <t>Protein S100-A8 OS=Homo sapiens GN=S100A8 PE=1 SV=1</t>
  </si>
  <si>
    <t>Probable apyrase 6 OS=Arabidopsis thaliana GN=APY6 PE=2 SV=2</t>
  </si>
  <si>
    <t>Pyrrolidone-carboxylate peptidase OS=Pyrococcus furiosus (strain ATCC 43587 / DSM 3638 / JCM 8422 / Vc1) GN=pcp PE=1 SV=1</t>
  </si>
  <si>
    <t>Pyrococcus furiosus</t>
  </si>
  <si>
    <t>Thyroid adenoma-associated protein homolog OS=Mus musculus GN=Thada PE=2 SV=1</t>
  </si>
  <si>
    <t>Probable magnesium transporter NIPA8 OS=Arabidopsis thaliana GN=At3g26670 PE=2 SV=1</t>
  </si>
  <si>
    <t>40S ribosomal protein S10-A OS=Saccharomyces cerevisiae (strain ATCC 204508 / S288c) GN=RPS10A PE=1 SV=1</t>
  </si>
  <si>
    <t>60S ribosomal protein L10a OS=Neurospora crassa (strain ATCC 24698 / 74-OR23-1A / CBS 708.71 / DSM 1257 / FGSC 987) GN=crp-74 PE=3 SV=1</t>
  </si>
  <si>
    <t>Putative phosphatase M6_Spy0533 OS=Streptococcus pyogenes serotype M6 (strain ATCC BAA-946 / MGAS10394) GN=M6_Spy0533 PE=1 SV=1</t>
  </si>
  <si>
    <t>Streptococcus pyogenes</t>
  </si>
  <si>
    <t>Flavin-containing monooxygenase FMO GS-OX-like 9 OS=Arabidopsis thaliana GN=At5g07800 PE=2 SV=1</t>
  </si>
  <si>
    <t>60S ribosomal protein L33-A OS=Schizosaccharomyces pombe (strain 972 / ATCC 24843) GN=rpl35b PE=3 SV=2</t>
  </si>
  <si>
    <t>ATP-dependent zinc metalloprotease FtsH 3 OS=Synechocystis sp. (strain PCC 6803 / Kazusa) GN=ftsH3 PE=1 SV=1</t>
  </si>
  <si>
    <t>Glutamyl-tRNA reductase 1, chloroplastic OS=Cucumis sativus GN=HEMA1 PE=2 SV=1</t>
  </si>
  <si>
    <t>Plasma membrane ATPase OS=Neurospora crassa (strain ATCC 24698 / 74-OR23-1A / CBS 708.71 / DSM 1257 / FGSC 987) GN=pma-1 PE=1 SV=1</t>
  </si>
  <si>
    <t>Defensin-like protein 2 OS=Arabidopsis thaliana GN=PDF2.2 PE=2 SV=1</t>
  </si>
  <si>
    <t>Tuftelin-interacting protein 11 OS=Xenopus tropicalis GN=tfip11 PE=2 SV=2</t>
  </si>
  <si>
    <t>Putative glutamine amidotransferase-like protein C13C5.04 OS=Schizosaccharomyces pombe (strain 972 / ATCC 24843) GN=SPAC13C5.04 PE=3 SV=1</t>
  </si>
  <si>
    <t>Nucleobase-ascorbate transporter 1 OS=Arabidopsis thaliana GN=NAT1 PE=2 SV=1</t>
  </si>
  <si>
    <t>Alpha carbonic anhydrase 7 OS=Arabidopsis thaliana GN=ACA7 PE=2 SV=1</t>
  </si>
  <si>
    <t>Peroxisome biogenesis protein 5 OS=Arabidopsis thaliana GN=PEX5 PE=1 SV=1</t>
  </si>
  <si>
    <t>DEAD-box ATP-dependent RNA helicase 56 OS=Arabidopsis thaliana GN=RH56 PE=1 SV=2</t>
  </si>
  <si>
    <t>Probable lactoylglutathione lyase, chloroplast OS=Arabidopsis thaliana GN=At1g67280 PE=1 SV=1</t>
  </si>
  <si>
    <t>Mechanosensitive ion channel protein 3, chloroplastic OS=Arabidopsis thaliana GN=MSL3 PE=1 SV=1</t>
  </si>
  <si>
    <t>NADH dehydrogenase [ubiquinone] iron-sulfur protein 4, mitochondrial OS=Arabidopsis thaliana GN=FRO1 PE=2 SV=1</t>
  </si>
  <si>
    <t>60S ribosomal protein L39-1 OS=Arabidopsis thaliana GN=RPL39A PE=3 SV=2</t>
  </si>
  <si>
    <t>GDSL esterase/lipase At4g01130 OS=Arabidopsis thaliana GN=At4g01130 PE=2 SV=1</t>
  </si>
  <si>
    <t>Exportin-T OS=Arabidopsis thaliana GN=PSD PE=2 SV=1</t>
  </si>
  <si>
    <t>Homeobox-leucine zipper protein MERISTEM L1 OS=Arabidopsis thaliana GN=ATML1 PE=2 SV=1</t>
  </si>
  <si>
    <t>Beta-xylosidase/alpha-L-arabinofuranosidase 1 (Fragment) OS=Medicago sativa subsp. varia GN=Xyl1 PE=1 SV=1</t>
  </si>
  <si>
    <t>Probable pectinesterase 8 OS=Arabidopsis thaliana GN=PME8 PE=2 SV=2</t>
  </si>
  <si>
    <t>Putative protein NRT1/ PTR FAMILY 2.2 OS=Arabidopsis thaliana GN=NPF2.2 PE=5 SV=1</t>
  </si>
  <si>
    <t>Lignin-forming anionic peroxidase OS=Nicotiana sylvestris PE=2 SV=1</t>
  </si>
  <si>
    <t>Phosphomannomutase/phosphoglucomutase OS=Pseudomonas syringae pv. tomato (strain DC3000) GN=algC PE=3 SV=1</t>
  </si>
  <si>
    <t>Pseudomonas syringae</t>
  </si>
  <si>
    <t>Uncharacterized protein At1g76070 OS=Arabidopsis thaliana GN=At1g76070 PE=1 SV=1</t>
  </si>
  <si>
    <t>Probable glucan 1,3-beta-glucosidase A OS=Emericella nidulans (strain FGSC A4 / ATCC 38163 / CBS 112.46 / NRRL 194 / M139) GN=exgA PE=3 SV=2</t>
  </si>
  <si>
    <t>DEAD-box ATP-dependent RNA helicase 58, chloroplastic OS=Arabidopsis thaliana GN=RH58 PE=2 SV=1</t>
  </si>
  <si>
    <t>Dirigent protein 16 OS=Arabidopsis thaliana GN=DIR16 PE=2 SV=1</t>
  </si>
  <si>
    <t>Cell cycle checkpoint protein RAD1 OS=Mus musculus GN=Rad1 PE=1 SV=1</t>
  </si>
  <si>
    <t>MATH domain and coiled-coil domain-containing protein At3g58210 OS=Arabidopsis thaliana GN=At3g58210 PE=3 SV=1</t>
  </si>
  <si>
    <t>tRNA uridine 5-carboxymethylaminomethyl modification enzyme MnmG OS=Synechocystis sp. (strain PCC 6803 / Kazusa) GN=mnmG PE=3 SV=1</t>
  </si>
  <si>
    <t>Probable nucleoredoxin 1 OS=Arabidopsis thaliana GN=At1g60420 PE=1 SV=1</t>
  </si>
  <si>
    <t>14-3-3-like protein GF14 iota OS=Arabidopsis thaliana GN=GRF12 PE=2 SV=1</t>
  </si>
  <si>
    <t>Cytochrome b6-f complex iron-sulfur subunit, chloroplastic OS=Pisum sativum GN=petC PE=2 SV=1</t>
  </si>
  <si>
    <t>SKP1-like protein 16 OS=Arabidopsis thaliana GN=ASK16 PE=1 SV=1</t>
  </si>
  <si>
    <t>Nucleolar protein 6 OS=Xenopus laevis GN=nol6 PE=2 SV=2</t>
  </si>
  <si>
    <t>Pentatricopeptide repeat-containing protein At1g11710, mitochondrial OS=Arabidopsis thaliana GN=At1g11710 PE=2 SV=1</t>
  </si>
  <si>
    <t>Pentatricopeptide repeat-containing protein At5g18475 OS=Arabidopsis thaliana GN=At5g18475 PE=2 SV=1</t>
  </si>
  <si>
    <t>GDP-mannose transporter GONST4 OS=Arabidopsis thaliana GN=GONST4 PE=2 SV=1</t>
  </si>
  <si>
    <t>Pentatricopeptide repeat-containing protein At2g46050, mitochondrial OS=Arabidopsis thaliana GN=PCMP-E39 PE=3 SV=1</t>
  </si>
  <si>
    <t>22.0 kDa heat shock protein OS=Arabidopsis thaliana GN=HSP22.0 PE=2 SV=1</t>
  </si>
  <si>
    <t>Villin-1 OS=Arabidopsis thaliana GN=VLN1 PE=2 SV=2</t>
  </si>
  <si>
    <t>U5 small nuclear ribonucleoprotein 200 kDa helicase OS=Homo sapiens GN=SNRNP200 PE=1 SV=2</t>
  </si>
  <si>
    <t>Phosphorylated carbohydrates phosphatase TM_1254 OS=Thermotoga maritima (strain ATCC 43589 / MSB8 / DSM 3109 / JCM 10099) GN=TM_1254 PE=1 SV=1</t>
  </si>
  <si>
    <t>Probable receptor-like protein kinase At5g61350 OS=Arabidopsis thaliana GN=At5g61350 PE=2 SV=1</t>
  </si>
  <si>
    <t>Interactor of constitutive active ROPs 3 OS=Arabidopsis thaliana GN=ICR3 PE=1 SV=1</t>
  </si>
  <si>
    <t>Alpha-L-fucosidase 1 OS=Arabidopsis thaliana GN=FUC1 PE=1 SV=2</t>
  </si>
  <si>
    <t>NADP-dependent glyceraldehyde-3-phosphate dehydrogenase OS=Arabidopsis thaliana GN=ALDH11A3 PE=1 SV=2</t>
  </si>
  <si>
    <t>Endoribonuclease Dicer homolog 3 OS=Arabidopsis thaliana GN=DCL3 PE=1 SV=2</t>
  </si>
  <si>
    <t>Putative rRNA methyltransferase YlbH OS=Bacillus subtilis (strain 168) GN=ylbH PE=3 SV=2</t>
  </si>
  <si>
    <t>Protein FMP32, mitochondrial OS=Saccharomyces cerevisiae (strain ATCC 204508 / S288c) GN=FMP32 PE=1 SV=1</t>
  </si>
  <si>
    <t>Probable trehalose-phosphate phosphatase D OS=Arabidopsis thaliana GN=TPPD PE=2 SV=1</t>
  </si>
  <si>
    <t>Histidine--tRNA ligase, cytoplasmic OS=Arabidopsis thaliana GN=At3g02760 PE=2 SV=1</t>
  </si>
  <si>
    <t>2-methyl-6-phytyl-1,4-hydroquinone methyltransferase, chloroplastic OS=Arabidopsis thaliana GN=VTE3 PE=1 SV=1</t>
  </si>
  <si>
    <t>Acetolactate synthase small subunit 1, chloroplastic OS=Arabidopsis thaliana GN=VAT1 PE=1 SV=1</t>
  </si>
  <si>
    <t>Serine/threonine-protein phosphatase BSL3 OS=Arabidopsis thaliana GN=BSL3 PE=1 SV=2</t>
  </si>
  <si>
    <t>Ribonuclease E/G-like protein, chloroplastic OS=Arabidopsis thaliana GN=RNE PE=1 SV=1</t>
  </si>
  <si>
    <t>Ninja-family protein mc410 OS=Nicotiana tabacum GN=MC410 PE=2 SV=1</t>
  </si>
  <si>
    <t>Probable carboxylesterase 8 OS=Arabidopsis thaliana GN=CXE8 PE=2 SV=1</t>
  </si>
  <si>
    <t>Pentatricopeptide repeat-containing protein At1g15510, chloroplastic OS=Arabidopsis thaliana GN=PCMP-H73 PE=3 SV=1</t>
  </si>
  <si>
    <t>Phosphatidylcholine:diacylglycerol cholinephosphotransferase 1 OS=Arabidopsis thaliana GN=ROD1 PE=1 SV=1</t>
  </si>
  <si>
    <t>Sugar transporter ERD6-like 16 OS=Arabidopsis thaliana GN=At5g18840 PE=2 SV=2</t>
  </si>
  <si>
    <t>Poly(A)-specific ribonuclease PARN-like OS=Arabidopsis thaliana GN=At3g25430 PE=2 SV=1</t>
  </si>
  <si>
    <t>Transmembrane protein 230 OS=Gallus gallus GN=TMEM230 PE=2 SV=1</t>
  </si>
  <si>
    <t>Bidirectional sugar transporter SWEET10 OS=Arabidopsis thaliana GN=SWEET10 PE=2 SV=1</t>
  </si>
  <si>
    <t>Protein GLUTAMINE DUMPER 3 OS=Arabidopsis thaliana GN=GDU3 PE=2 SV=1</t>
  </si>
  <si>
    <t>Probable starch synthase 4, chloroplastic/amyloplastic OS=Arabidopsis thaliana GN=SS4 PE=2 SV=1</t>
  </si>
  <si>
    <t>Ubiquitin fusion degradation protein 1 homolog OS=Rattus norvegicus GN=Ufd1l PE=1 SV=1</t>
  </si>
  <si>
    <t>Rab9 effector protein with kelch motifs OS=Xenopus laevis GN=rabepk PE=2 SV=1</t>
  </si>
  <si>
    <t>Chlorophyll a-b binding protein CP29.2, chloroplastic OS=Arabidopsis thaliana GN=LHCB4.2 PE=1 SV=1</t>
  </si>
  <si>
    <t>Glycosyltransferase family 64 protein C4 OS=Arabidopsis thaliana GN=EPC1 PE=2 SV=1</t>
  </si>
  <si>
    <t>Pentatricopeptide repeat-containing protein At4g20090 OS=Arabidopsis thaliana GN=EMB1025 PE=3 SV=1</t>
  </si>
  <si>
    <t>UPF0301 protein Cag_1601 OS=Chlorobium chlorochromatii (strain CaD3) GN=Cag_1601 PE=3 SV=1</t>
  </si>
  <si>
    <t>Chlorobium chlorochromatii</t>
  </si>
  <si>
    <t>DNA polymerase delta small subunit OS=Arabidopsis thaliana GN=POLD2 PE=2 SV=2</t>
  </si>
  <si>
    <t>UDP-glycosyltransferase 83A1 OS=Arabidopsis thaliana GN=UGT83A1 PE=2 SV=1</t>
  </si>
  <si>
    <t>Dolichyl-diphosphooligosaccharide--protein glycosyltransferase subunit DAD1 OS=Malus domestica GN=DAD1 PE=3 SV=1</t>
  </si>
  <si>
    <t>DNA-directed RNA polymerase I subunit RPA2 OS=Homo sapiens GN=POLR1B PE=1 SV=2</t>
  </si>
  <si>
    <t>Pentatricopeptide repeat-containing protein At3g63370, chloroplastic OS=Arabidopsis thaliana GN=PCMP-H83 PE=2 SV=2</t>
  </si>
  <si>
    <t>Coatomer subunit alpha-2 OS=Arabidopsis thaliana GN=At2g21390 PE=2 SV=1</t>
  </si>
  <si>
    <t>Granule-bound starch synthase 1, chloroplastic/amyloplastic OS=Antirrhinum majus GN=WAXY PE=2 SV=1</t>
  </si>
  <si>
    <t>Casein kinase II subunit beta' OS=Arabidopsis thaliana GN=CKB2 PE=1 SV=1</t>
  </si>
  <si>
    <t>Magnesium protoporphyrin IX methyltransferase, chloroplastic OS=Arabidopsis thaliana GN=CHLM PE=1 SV=1</t>
  </si>
  <si>
    <t>Glycolipid transfer protein 1 OS=Arabidopsis thaliana GN=GLTP1 PE=2 SV=1</t>
  </si>
  <si>
    <t>Dihydrolipoyllysine-residue acetyltransferase component 1 of pyruvate dehydrogenase complex, mitochondrial OS=Arabidopsis thaliana GN=LTA3 PE=2 SV=2</t>
  </si>
  <si>
    <t>50S ribosomal protein L19, chloroplastic OS=Spinacia oleracea GN=RPL19 PE=1 SV=2</t>
  </si>
  <si>
    <t>Elongation factor P OS=Methylobacterium nodulans (strain ORS2060 / LMG 21967) GN=efp PE=3 SV=1</t>
  </si>
  <si>
    <t>Methylobacterium nodulans</t>
  </si>
  <si>
    <t>UPF0051 protein ABCI8, chloroplastic OS=Arabidopsis thaliana GN=ABCI8 PE=2 SV=1</t>
  </si>
  <si>
    <t>F-box protein SKIP22 OS=Arabidopsis thaliana GN=SKIP22 PE=1 SV=1</t>
  </si>
  <si>
    <t>Protein MOS2 OS=Arabidopsis thaliana GN=MOS2 PE=2 SV=1</t>
  </si>
  <si>
    <t>Aldehyde dehydrogenase family 3 member H1 OS=Arabidopsis thaliana GN=ALDH3H1 PE=1 SV=2</t>
  </si>
  <si>
    <t>Cysteine--tRNA ligase 2, cytoplasmic OS=Arabidopsis thaliana GN=At5g38830 PE=2 SV=1</t>
  </si>
  <si>
    <t>Probable E3 ubiquitin ligase SUD1 OS=Arabidopsis thaliana GN=SUD1 PE=1 SV=1</t>
  </si>
  <si>
    <t>F-box protein At3g07870 OS=Arabidopsis thaliana GN=At3g07870 PE=2 SV=1</t>
  </si>
  <si>
    <t>Histone-lysine N-methyltransferase 2B OS=Mus musculus GN=Kmt2b PE=1 SV=3</t>
  </si>
  <si>
    <t>Protein disulfide-isomerase SCO2 OS=Arabidopsis thaliana GN=SCO2 PE=1 SV=1</t>
  </si>
  <si>
    <t>Rhomboid-like protein 14, mitochondrial OS=Arabidopsis thaliana GN=RBL14 PE=2 SV=1</t>
  </si>
  <si>
    <t>Serine/threonine-protein kinase BRI1-like 1 OS=Arabidopsis thaliana GN=BRL1 PE=1 SV=1</t>
  </si>
  <si>
    <t>Methyltransferase-like protein 16 OS=Danio rerio GN=mettl16 PE=2 SV=1</t>
  </si>
  <si>
    <t>Syntaxin-32 OS=Arabidopsis thaliana GN=SYP32 PE=2 SV=1</t>
  </si>
  <si>
    <t>Zinc finger CCCH domain-containing protein 17 OS=Arabidopsis thaliana GN=At2g02160 PE=1 SV=1</t>
  </si>
  <si>
    <t>Beta-adaptin-like protein A OS=Arabidopsis thaliana GN=BETAA-AD PE=1 SV=1</t>
  </si>
  <si>
    <t>Putative peroxisomal acyl-coenzyme A oxidase 1.2 OS=Arabidopsis thaliana GN=ACX1.2 PE=2 SV=1</t>
  </si>
  <si>
    <t>Ubiquinol oxidase 4, chloroplastic/chromoplastic OS=Arabidopsis thaliana GN=AOX4 PE=1 SV=2</t>
  </si>
  <si>
    <t>Nuclear cap-binding protein subunit 2 OS=Arabidopsis thaliana GN=CBP20 PE=1 SV=1</t>
  </si>
  <si>
    <t>Nicotinamidase 1 OS=Arabidopsis thaliana GN=NIC1 PE=1 SV=1</t>
  </si>
  <si>
    <t>Group II intron-encoded protein LtrA OS=Lactococcus lactis subsp. cremoris (strain MG1363) GN=ltrA PE=1 SV=1</t>
  </si>
  <si>
    <t>Lactococcus lactis</t>
  </si>
  <si>
    <t>Leucine aminopeptidase 3, chloroplastic OS=Arabidopsis thaliana GN=At4g30920 PE=2 SV=2</t>
  </si>
  <si>
    <t>Formin-like protein 13 OS=Arabidopsis thaliana GN=FH13 PE=2 SV=3</t>
  </si>
  <si>
    <t>Serine carboxypeptidase 1 OS=Oryza sativa subsp. japonica GN=CBP1 PE=2 SV=1</t>
  </si>
  <si>
    <t>Probable transcription factor PosF21 OS=Arabidopsis thaliana GN=POSF21 PE=2 SV=1</t>
  </si>
  <si>
    <t>Glycerol-3-phosphate dehydrogenase SDP6, mitochondrial OS=Arabidopsis thaliana GN=SDP6 PE=1 SV=1</t>
  </si>
  <si>
    <t>RING-H2 finger protein ATL73 OS=Arabidopsis thaliana GN=ATL73 PE=2 SV=1</t>
  </si>
  <si>
    <t>Phospholipase D alpha 1 OS=Ricinus communis GN=PLD1 PE=1 SV=1</t>
  </si>
  <si>
    <t>Anaphase-promoting complex subunit 6 OS=Arabidopsis thaliana GN=APC6 PE=2 SV=1</t>
  </si>
  <si>
    <t>ATP-dependent Clp protease ATP-binding subunit ClpX OS=Synechococcus sp. (strain JA-3-3Ab) GN=clpX PE=3 SV=1</t>
  </si>
  <si>
    <t>DEAD-box ATP-dependent RNA helicase 42 OS=Arabidopsis thaliana GN=RH42 PE=1 SV=2</t>
  </si>
  <si>
    <t>Secretory carrier-associated membrane protein 4 OS=Arabidopsis thaliana GN=SCAMP4 PE=2 SV=1</t>
  </si>
  <si>
    <t>Pentatricopeptide repeat-containing protein At2g41720 OS=Arabidopsis thaliana GN=EMB2654 PE=2 SV=1</t>
  </si>
  <si>
    <t>Armadillo repeat-containing protein 6 OS=Homo sapiens GN=ARMC6 PE=1 SV=2</t>
  </si>
  <si>
    <t>ATP-dependent helicase rhp16 OS=Schizosaccharomyces pombe (strain 972 / ATCC 24843) GN=rhp16 PE=3 SV=2</t>
  </si>
  <si>
    <t>Methylthioribose-1-phosphate isomerase OS=Ricinus communis GN=RCOM_0711420 PE=2 SV=1</t>
  </si>
  <si>
    <t>Phosphoinositide phosphatase SAC1 OS=Arabidopsis thaliana GN=SAC1 PE=1 SV=1</t>
  </si>
  <si>
    <t>Transmembrane protein 245 OS=Mus musculus GN=Tmem245 PE=1 SV=1</t>
  </si>
  <si>
    <t>DEAD-box ATP-dependent RNA helicase 20 OS=Arabidopsis thaliana GN=RH20 PE=2 SV=1</t>
  </si>
  <si>
    <t>Eukaryotic translation initiation factor 2 subunit beta OS=Malus domestica PE=2 SV=2</t>
  </si>
  <si>
    <t>Abscisic acid receptor PYL8 OS=Arabidopsis thaliana GN=PYL8 PE=1 SV=1</t>
  </si>
  <si>
    <t>DUF21 domain-containing protein At1g47330 OS=Arabidopsis thaliana GN=CBSDUF7 PE=1 SV=1</t>
  </si>
  <si>
    <t>Protein NRT1/ PTR FAMILY 5.4 OS=Arabidopsis thaliana GN=NPF5.4 PE=2 SV=1</t>
  </si>
  <si>
    <t>Zinc finger protein CONSTANS-LIKE 15 OS=Arabidopsis thaliana GN=COL15 PE=2 SV=1</t>
  </si>
  <si>
    <t>L-galactono-1,4-lactone dehydrogenase, mitochondrial OS=Brassica oleracea PE=1 SV=1</t>
  </si>
  <si>
    <t>Probable serine protease EDA2 OS=Arabidopsis thaliana GN=EDA2 PE=2 SV=2</t>
  </si>
  <si>
    <t>Pentatricopeptide repeat-containing protein At2g27800, mitochondrial OS=Arabidopsis thaliana GN=At2g27800 PE=3 SV=2</t>
  </si>
  <si>
    <t>Diacylglycerol kinase 1 OS=Arabidopsis thaliana GN=DGK1 PE=1 SV=2</t>
  </si>
  <si>
    <t>17.9 kDa class II heat shock protein OS=Glycine max GN=HSP17.9-D PE=3 SV=1</t>
  </si>
  <si>
    <t>50S ribosomal protein L9, chloroplastic OS=Ipomoea trifida GN=RPL9 PE=3 SV=1</t>
  </si>
  <si>
    <t>Ipomoea trifida</t>
  </si>
  <si>
    <t>Protein NRT1/ PTR FAMILY 3.1 OS=Arabidopsis thaliana GN=NPF3.1 PE=2 SV=1</t>
  </si>
  <si>
    <t>DNA repair endonuclease UVH1 OS=Arabidopsis thaliana GN=UVH1 PE=1 SV=2</t>
  </si>
  <si>
    <t>F-box/kelch-repeat protein At1g57790 OS=Arabidopsis thaliana GN=At1g57790 PE=2 SV=1</t>
  </si>
  <si>
    <t>DUF21 domain-containing protein At2g14520 OS=Arabidopsis thaliana GN=CBSDUF3 PE=2 SV=2</t>
  </si>
  <si>
    <t>Phospholipase A I OS=Arabidopsis thaliana GN=PLA1 PE=2 SV=1</t>
  </si>
  <si>
    <t>Acetyltransferase NSI OS=Arabidopsis thaliana GN=NSI PE=1 SV=1</t>
  </si>
  <si>
    <t>Elongation factor Tu, chloroplastic OS=Glycine max GN=TUFB1 PE=3 SV=1</t>
  </si>
  <si>
    <t>Electron transfer flavoprotein-ubiquinone oxidoreductase, mitochondrial OS=Arabidopsis thaliana GN=ETFQO PE=2 SV=1</t>
  </si>
  <si>
    <t>Ent-kaurenoic acid oxidase 1 OS=Arabidopsis thaliana GN=KAO1 PE=2 SV=1</t>
  </si>
  <si>
    <t>Protein FAM136A OS=Xenopus laevis GN=fam136a PE=2 SV=1</t>
  </si>
  <si>
    <t>Probable phytol kinase 1, chloroplastic OS=Glycine max PE=2 SV=1</t>
  </si>
  <si>
    <t>Cleavage and polyadenylation specificity factor subunit 2 OS=Arabidopsis thaliana GN=CPSF100 PE=1 SV=2</t>
  </si>
  <si>
    <t>BRCA1-A complex subunit BRE OS=Danio rerio GN=bre PE=2 SV=1</t>
  </si>
  <si>
    <t>Acetyl-coenzyme A synthetase, chloroplastic/glyoxysomal OS=Arabidopsis thaliana GN=ACS PE=1 SV=1</t>
  </si>
  <si>
    <t>Phosphatidate cytidylyltransferase 4, chloroplastic OS=Arabidopsis thaliana GN=CDS4 PE=1 SV=1</t>
  </si>
  <si>
    <t>Protein phosphatase 2C 56 OS=Arabidopsis thaliana GN=ABI1 PE=1 SV=2</t>
  </si>
  <si>
    <t>Ganglioside-induced differentiation-associated protein 2 OS=Xenopus tropicalis PE=2 SV=1</t>
  </si>
  <si>
    <t>Heat shock 70 kDa protein 18 OS=Arabidopsis thaliana GN=HSP70-18 PE=2 SV=1</t>
  </si>
  <si>
    <t>Protein trichome birefringence-like 34 OS=Arabidopsis thaliana GN=TBL34 PE=2 SV=2</t>
  </si>
  <si>
    <t>Protein decapping 5 OS=Arabidopsis thaliana GN=DCP5 PE=1 SV=1</t>
  </si>
  <si>
    <t>Probable xyloglucan glycosyltransferase 6 OS=Arabidopsis thaliana GN=CSLC6 PE=1 SV=1</t>
  </si>
  <si>
    <t>GDP-mannose transporter GONST1 OS=Arabidopsis thaliana GN=GONST1 PE=1 SV=2</t>
  </si>
  <si>
    <t>1-deoxy-D-xylulose-5-phosphate synthase, chloroplastic OS=Arabidopsis thaliana GN=DXS PE=1 SV=2</t>
  </si>
  <si>
    <t>Solute carrier family 25 member 44 OS=Homo sapiens GN=SLC25A44 PE=2 SV=1</t>
  </si>
  <si>
    <t>Kinesin-like protein KIFC3 OS=Homo sapiens GN=KIFC3 PE=1 SV=4</t>
  </si>
  <si>
    <t>ABC transporter C family member 3 OS=Arabidopsis thaliana GN=ABCC3 PE=1 SV=1</t>
  </si>
  <si>
    <t>Probable purine permease 10 OS=Arabidopsis thaliana GN=PUP10 PE=2 SV=2</t>
  </si>
  <si>
    <t>Rop guanine nucleotide exchange factor 2 OS=Arabidopsis thaliana GN=ROPGEF2 PE=1 SV=2</t>
  </si>
  <si>
    <t>Sigma factor binding protein 1, chloroplastic OS=Arabidopsis thaliana GN=SIB1 PE=1 SV=1</t>
  </si>
  <si>
    <t>FAD synthase OS=Mus musculus GN=Flad1 PE=1 SV=1</t>
  </si>
  <si>
    <t>DNA mismatch repair protein MSH3 OS=Arabidopsis thaliana GN=MSH3 PE=1 SV=2</t>
  </si>
  <si>
    <t>Purple acid phosphatase 2 OS=Ipomoea batatas GN=PAP2 PE=1 SV=1</t>
  </si>
  <si>
    <t>Ipomoea batatas</t>
  </si>
  <si>
    <t>Transcription factor RAX3 OS=Arabidopsis thaliana GN=RAX3 PE=2 SV=1</t>
  </si>
  <si>
    <t>Protein ECERIFERUM 1 OS=Arabidopsis thaliana GN=CER1 PE=1 SV=1</t>
  </si>
  <si>
    <t>Ubiquitin carboxyl-terminal hydrolase 14 OS=Arabidopsis thaliana GN=UBP14 PE=1 SV=1</t>
  </si>
  <si>
    <t>GDSL esterase/lipase At1g29670 OS=Arabidopsis thaliana GN=At1g29670 PE=2 SV=1</t>
  </si>
  <si>
    <t>ARF guanine-nucleotide exchange factor GNOM OS=Arabidopsis thaliana GN=GN PE=1 SV=1</t>
  </si>
  <si>
    <t>Squamosa promoter-binding-like protein 7 OS=Oryza sativa subsp. japonica GN=SPL7 PE=2 SV=2</t>
  </si>
  <si>
    <t>SART-1 family protein DOT2 OS=Arabidopsis thaliana GN=DOT2 PE=1 SV=1</t>
  </si>
  <si>
    <t>Transcription factor TCP4 OS=Arabidopsis thaliana GN=TCP4 PE=1 SV=1</t>
  </si>
  <si>
    <t>Putative ankyrin repeat protein RF_0381 OS=Rickettsia felis (strain ATCC VR-1525 / URRWXCal2) GN=RF_0381 PE=3 SV=1</t>
  </si>
  <si>
    <t>Rickettsia felis</t>
  </si>
  <si>
    <t>Cytokinin riboside 5'-monophosphate phosphoribohydrolase LOG4 OS=Arabidopsis thaliana GN=LOG4 PE=1 SV=1</t>
  </si>
  <si>
    <t>Protein STAY-GREEN LIKE, chloroplastic OS=Arabidopsis thaliana GN=SGRL PE=2 SV=1</t>
  </si>
  <si>
    <t>Inactive tetrahydrocannabinolic acid synthase OS=Cannabis sativa PE=3 SV=1</t>
  </si>
  <si>
    <t>Trihelix transcription factor GTL2 OS=Arabidopsis thaliana GN=At5g28300 PE=2 SV=1</t>
  </si>
  <si>
    <t>Rho GTPase-activating protein 1 OS=Arabidopsis thaliana GN=ROPGAP1 PE=2 SV=1</t>
  </si>
  <si>
    <t>E3 ubiquitin-protein ligase SINAT3 OS=Arabidopsis thaliana GN=SINAT3 PE=2 SV=1</t>
  </si>
  <si>
    <t>Protein trichome birefringence-like 12 OS=Arabidopsis thaliana GN=TBL12 PE=2 SV=1</t>
  </si>
  <si>
    <t>Protein Asterix OS=Arabidopsis thaliana GN=At5g07960 PE=3 SV=1</t>
  </si>
  <si>
    <t>Peptide deformylase 1B, chloroplastic/mitochondrial OS=Arabidopsis thaliana GN=PDF1B PE=1 SV=2</t>
  </si>
  <si>
    <t>Peroxidase 15 OS=Ipomoea batatas GN=pod PE=1 SV=1</t>
  </si>
  <si>
    <t>Gamma carbonic anhydrase 1, mitochondrial OS=Arabidopsis thaliana GN=GAMMACA1 PE=1 SV=1</t>
  </si>
  <si>
    <t>Chlorophyll a-b binding protein, chloroplastic OS=Spinacia oleracea PE=1 SV=1</t>
  </si>
  <si>
    <t>Transcription factor BIM1 OS=Arabidopsis thaliana GN=BIM1 PE=1 SV=2</t>
  </si>
  <si>
    <t>Cytochrome b-c1 complex subunit 7-2 OS=Arabidopsis thaliana GN=QCR7-2 PE=1 SV=1</t>
  </si>
  <si>
    <t>Pectate lyase OS=Lilium longiflorum PE=2 SV=1</t>
  </si>
  <si>
    <t>NAC domain-containing protein 78 OS=Arabidopsis thaliana GN=NAC078 PE=2 SV=2</t>
  </si>
  <si>
    <t>Putative F-box protein At3g25750 OS=Arabidopsis thaliana GN=At3g25750 PE=4 SV=2</t>
  </si>
  <si>
    <t>Putative pentatricopeptide repeat-containing protein At5g06400, mitochondrial OS=Arabidopsis thaliana GN=At5g06400 PE=3 SV=1</t>
  </si>
  <si>
    <t>Late embryogenesis abundant protein OS=Raphanus sativus PE=2 SV=1</t>
  </si>
  <si>
    <t>Raphanus sativus</t>
  </si>
  <si>
    <t>Uncharacterized aarF domain-containing protein kinase 1 OS=Homo sapiens GN=ADCK1 PE=2 SV=2</t>
  </si>
  <si>
    <t>50S ribosomal protein L34 OS=Marinomonas sp. (strain MWYL1) GN=rpmH PE=3 SV=1</t>
  </si>
  <si>
    <t>Marinomonas sp.</t>
  </si>
  <si>
    <t>Mitochondrial ubiquitin ligase activator of nfkb 1-A OS=Danio rerio GN=mul1a PE=2 SV=1</t>
  </si>
  <si>
    <t>HVA22-like protein i OS=Arabidopsis thaliana GN=HVA22I PE=2 SV=2</t>
  </si>
  <si>
    <t>GATA transcription factor 8 OS=Arabidopsis thaliana GN=GATA8 PE=2 SV=1</t>
  </si>
  <si>
    <t>Thioredoxin-like protein CXXS1 OS=Arabidopsis thaliana GN=CXXS1 PE=2 SV=2</t>
  </si>
  <si>
    <t>Protein FATTY ACid EXPORT 1, chloroplastic OS=Arabidopsis thaliana GN=FAX1 PE=2 SV=1</t>
  </si>
  <si>
    <t>Elongator complex protein 1 OS=Arabidopsis thaliana GN=ELP1 PE=1 SV=1</t>
  </si>
  <si>
    <t>ABC transporter G family member 22 OS=Arabidopsis thaliana GN=ABCG22 PE=1 SV=1</t>
  </si>
  <si>
    <t>NADH-ubiquinone oxidoreductase chain 3 OS=Panax ginseng GN=ND3 PE=3 SV=1</t>
  </si>
  <si>
    <t>ABC transporter G family member 14 OS=Arabidopsis thaliana GN=ABCG14 PE=2 SV=1</t>
  </si>
  <si>
    <t>Cytochrome P450 86A8 OS=Arabidopsis thaliana GN=CYP86A8 PE=2 SV=1</t>
  </si>
  <si>
    <t>Probable protein S-acyltransferase 15 OS=Arabidopsis thaliana GN=PAT15 PE=2 SV=1</t>
  </si>
  <si>
    <t>Pentatricopeptide repeat-containing protein At4g19890 OS=Arabidopsis thaliana GN=At4g19890 PE=2 SV=1</t>
  </si>
  <si>
    <t>Cytochrome b6 OS=Oenothera elata subsp. hookeri GN=petB PE=3 SV=2</t>
  </si>
  <si>
    <t>Oenothera elata</t>
  </si>
  <si>
    <t>BAG family molecular chaperone regulator 2 OS=Arabidopsis thaliana GN=BAG2 PE=1 SV=1</t>
  </si>
  <si>
    <t>F-box/WD repeat-containing protein sel-10 OS=Caenorhabditis briggsae GN=sel-10 PE=3 SV=1</t>
  </si>
  <si>
    <t>Xyloglucan 6-xylosyltransferase 2 OS=Arabidopsis thaliana GN=XXT2 PE=1 SV=1</t>
  </si>
  <si>
    <t>Zinc finger protein JACKDAW OS=Arabidopsis thaliana GN=JKD PE=1 SV=1</t>
  </si>
  <si>
    <t>Uncharacterized aarF domain-containing protein kinase At1g71810, chloroplastic OS=Arabidopsis thaliana GN=At1g71810 PE=2 SV=1</t>
  </si>
  <si>
    <t>Amino-acid permease inda1 OS=Hypocrea atroviridis GN=inda1 PE=2 SV=1</t>
  </si>
  <si>
    <t>Hypocrea atroviridis</t>
  </si>
  <si>
    <t>Probable WRKY transcription factor 70 OS=Arabidopsis thaliana GN=WRKY70 PE=2 SV=1</t>
  </si>
  <si>
    <t>Golgin candidate 6 OS=Arabidopsis thaliana GN=GC6 PE=1 SV=2</t>
  </si>
  <si>
    <t>ABC transporter G family member 20 OS=Arabidopsis thaliana GN=ABCG20 PE=2 SV=1</t>
  </si>
  <si>
    <t>Callose synthase 12 OS=Arabidopsis thaliana GN=CALS12 PE=2 SV=1</t>
  </si>
  <si>
    <t>Olee1-like protein OS=Betula pendula PE=2 SV=1</t>
  </si>
  <si>
    <t>Legumin J OS=Pisum sativum GN=LEGJ PE=1 SV=1</t>
  </si>
  <si>
    <t>Uncharacterized ATP-dependent helicase C23E6.02 OS=Schizosaccharomyces pombe (strain 972 / ATCC 24843) GN=SPBC23E6.02 PE=3 SV=1</t>
  </si>
  <si>
    <t>Methyltransferase-like protein 2 OS=Arabidopsis thaliana GN=At1g19340 PE=2 SV=2</t>
  </si>
  <si>
    <t>Probable protein arginine N-methyltransferase 6 OS=Arabidopsis thaliana GN=PRMT6 PE=2 SV=1</t>
  </si>
  <si>
    <t>Pentatricopeptide repeat-containing protein At2g18940, chloroplastic OS=Arabidopsis thaliana GN=At2g18940 PE=2 SV=1</t>
  </si>
  <si>
    <t>ABSCISIC ACid-INSENSITIVE 5-like protein 5 OS=Arabidopsis thaliana GN=ABF2 PE=1 SV=1</t>
  </si>
  <si>
    <t>Interactor of constitutive active ROPs 4 OS=Arabidopsis thaliana GN=ICR4 PE=1 SV=2</t>
  </si>
  <si>
    <t>Endoglucanase 24 OS=Arabidopsis thaliana GN=At4g39010 PE=2 SV=1</t>
  </si>
  <si>
    <t>Probable protein phosphatase 2C 4 OS=Arabidopsis thaliana GN=PLL5 PE=2 SV=1</t>
  </si>
  <si>
    <t>Endoplasmic reticulum metallopeptidase 1 OS=Homo sapiens GN=ERMP1 PE=1 SV=2</t>
  </si>
  <si>
    <t>E3 ubiquitin-protein ligase RNF6 OS=Homo sapiens GN=RNF6 PE=1 SV=1</t>
  </si>
  <si>
    <t>Calcium-transporting ATPase 4, plasma membrane-type OS=Arabidopsis thaliana GN=ACA4 PE=1 SV=1</t>
  </si>
  <si>
    <t>Protein GRIM REAPER OS=Arabidopsis thaliana GN=GRI PE=1 SV=1</t>
  </si>
  <si>
    <t>Phospholipase A1-IIgamma OS=Arabidopsis thaliana GN=DSEL PE=1 SV=1</t>
  </si>
  <si>
    <t>Cytochrome P450 71A22 OS=Arabidopsis thaliana GN=CYP71A22 PE=2 SV=1</t>
  </si>
  <si>
    <t>Subtilisin-like protease SBT5.3 OS=Arabidopsis thaliana GN=AIR3 PE=2 SV=1</t>
  </si>
  <si>
    <t>Gibberellin 3-beta-dioxygenase 1 OS=Arabidopsis thaliana GN=GA3OX1 PE=1 SV=2</t>
  </si>
  <si>
    <t>Pentatricopeptide repeat-containing protein At3g20730 OS=Arabidopsis thaliana GN=PCMP-E94 PE=2 SV=1</t>
  </si>
  <si>
    <t>Mediator of RNA polymerase II transcription subunit 32 OS=Arabidopsis thaliana GN=MED32 PE=1 SV=1</t>
  </si>
  <si>
    <t>Pentatricopeptide repeat-containing protein At4g33170 OS=Arabidopsis thaliana GN=PCMP-H53 PE=3 SV=1</t>
  </si>
  <si>
    <t>Ectonucleotide pyrophosphatase/phosphodiesterase family member 3 OS=Homo sapiens GN=ENPP3 PE=1 SV=2</t>
  </si>
  <si>
    <t>Eukaryotic translation initiation factor 5 OS=Zea mays GN=EIF5 PE=2 SV=1</t>
  </si>
  <si>
    <t>Threonine dehydratase biosynthetic, chloroplastic OS=Arabidopsis thaliana GN=OMR1 PE=1 SV=1</t>
  </si>
  <si>
    <t>60S ribosomal protein L13a-1 OS=Arabidopsis thaliana GN=RPL13AA PE=2 SV=1</t>
  </si>
  <si>
    <t>Receptor homology region, transmembrane domain- and RING domain-containing protein 2 OS=Arabidopsis thaliana GN=RMR2 PE=2 SV=1</t>
  </si>
  <si>
    <t>Serine/threonine-protein kinase OXI1 OS=Arabidopsis thaliana GN=OXI1 PE=1 SV=1</t>
  </si>
  <si>
    <t>Systemin receptor SR160 OS=Solanum peruvianum PE=1 SV=1</t>
  </si>
  <si>
    <t>Probable inactive receptor kinase At5g58300 OS=Arabidopsis thaliana GN=At5g58300 PE=2 SV=1</t>
  </si>
  <si>
    <t>DCC family protein At1g52590, chloroplastic OS=Arabidopsis thaliana GN=At1g52590 PE=2 SV=1</t>
  </si>
  <si>
    <t>Probable serine/threonine-protein kinase ndrA OS=Dictyostelium discoideum GN=ndrA PE=3 SV=1</t>
  </si>
  <si>
    <t>4-hydroxy-3-methylbut-2-en-1-yl diphosphate synthase (ferredoxin), chloroplastic OS=Arabidopsis thaliana GN=ISPG PE=1 SV=1</t>
  </si>
  <si>
    <t>Probable calcium-binding protein CML18 OS=Arabidopsis thaliana GN=CML18 PE=1 SV=1</t>
  </si>
  <si>
    <t>3-hydroxy-3-methylglutaryl-coenzyme A reductase 2 (Fragment) OS=Hevea brasiliensis GN=HMGR2 PE=2 SV=1</t>
  </si>
  <si>
    <t>Transcription factor E2FA OS=Arabidopsis thaliana GN=E2FA PE=1 SV=1</t>
  </si>
  <si>
    <t>Actin-related protein 2/3 complex subunit 5A OS=Arabidopsis thaliana GN=ARPC5A PE=1 SV=2</t>
  </si>
  <si>
    <t>ATP-dependent Clp protease adapter protein ClpS OS=Synechococcus elongatus (strain PCC 7942) GN=clpS PE=3 SV=1</t>
  </si>
  <si>
    <t>Synechococcus elongatus</t>
  </si>
  <si>
    <t>Probable LRR receptor-like serine/threonine-protein kinase At4g37250 OS=Arabidopsis thaliana GN=At4g37250 PE=2 SV=1</t>
  </si>
  <si>
    <t>MLP-like protein 423 OS=Arabidopsis thaliana GN=MLP423 PE=2 SV=1</t>
  </si>
  <si>
    <t>Probable voltage-gated potassium channel subunit beta OS=Arabidopsis thaliana GN=KAB1 PE=1 SV=1</t>
  </si>
  <si>
    <t>RING finger and CHY zinc finger domain-containing protein 1 OS=Mus musculus GN=Rchy1 PE=1 SV=1</t>
  </si>
  <si>
    <t>F-box/kelch-repeat protein At5g15710 OS=Arabidopsis thaliana GN=At5g15710 PE=2 SV=1</t>
  </si>
  <si>
    <t>Protochlorophyllide-dependent translocon component 52, chloroplastic OS=Arabidopsis thaliana GN=PTC52 PE=2 SV=1</t>
  </si>
  <si>
    <t>Uncharacterized exonuclease domain-containing protein At3g15140 OS=Arabidopsis thaliana GN=At3g15140 PE=2 SV=1</t>
  </si>
  <si>
    <t>Zinc finger CCCH domain-containing protein 65 OS=Arabidopsis thaliana GN=EMB1789 PE=2 SV=1</t>
  </si>
  <si>
    <t>Endoglucanase 6 OS=Arabidopsis thaliana GN=At1g64390 PE=2 SV=2</t>
  </si>
  <si>
    <t>WD-40 repeat-containing protein MSI2 OS=Arabidopsis thaliana GN=MSI2 PE=2 SV=1</t>
  </si>
  <si>
    <t>Vacuolar protein sorting-associated protein 41 homolog OS=Solanum lycopersicum GN=VPS41 PE=2 SV=1</t>
  </si>
  <si>
    <t>F-box protein At5g07610 OS=Arabidopsis thaliana GN=At5g07610 PE=2 SV=1</t>
  </si>
  <si>
    <t>Putative B3 domain-containing protein At5g66980 OS=Arabidopsis thaliana GN=At5g66980 PE=3 SV=1</t>
  </si>
  <si>
    <t>Serine/threonine-protein kinase AGC1-7 OS=Arabidopsis thaliana GN=AGC1-7 PE=1 SV=1</t>
  </si>
  <si>
    <t>Translocase of chloroplast 159, chloroplastic OS=Arabidopsis thaliana GN=TOC159 PE=1 SV=1</t>
  </si>
  <si>
    <t>protein SLOW GREEN 1, chloroplastic OS=Arabidopsis thaliana GN=SG1 PE=1 SV=1</t>
  </si>
  <si>
    <t>Protein FRIGidA-ESSENTIAL 1 OS=Arabidopsis thaliana GN=FES1 PE=1 SV=2</t>
  </si>
  <si>
    <t>Endoplasmic reticulum-Golgi intermediate compartment protein 3 OS=Xenopus tropicalis GN=ergic3 PE=2 SV=1</t>
  </si>
  <si>
    <t>Homeobox-leucine zipper protein HAT22 OS=Arabidopsis thaliana GN=HAT22 PE=1 SV=1</t>
  </si>
  <si>
    <t>CBL-interacting serine/threonine-protein kinase 9 OS=Arabidopsis thaliana GN=CIPK9 PE=1 SV=2</t>
  </si>
  <si>
    <t>Coatomer subunit zeta-2 OS=Arabidopsis thaliana GN=At3g09800 PE=2 SV=1</t>
  </si>
  <si>
    <t>Protein KTI12 homolog OS=Arabidopsis thaliana GN=KTI12 PE=1 SV=1</t>
  </si>
  <si>
    <t>Probable methyltransferase PMT14 OS=Arabidopsis thaliana GN=At4g18030 PE=2 SV=1</t>
  </si>
  <si>
    <t>Probable receptor-like protein kinase At5g56460 OS=Arabidopsis thaliana GN=At5g56460 PE=2 SV=1</t>
  </si>
  <si>
    <t>Casein kinase I homolog hhp1 OS=Schizosaccharomyces pombe (strain 972 / ATCC 24843) GN=hhp1 PE=2 SV=1</t>
  </si>
  <si>
    <t>Digalactosyldiacylglycerol synthase 2, chloroplastic OS=Lotus japonicus GN=DGD2 PE=2 SV=1</t>
  </si>
  <si>
    <t>Protein AIG1 OS=Arabidopsis thaliana GN=AIG1 PE=2 SV=1</t>
  </si>
  <si>
    <t>BTB/POZ domain-containing protein FBL11 OS=Arabidopsis thaliana GN=FBL11 PE=2 SV=2</t>
  </si>
  <si>
    <t>Boron transporter 1 OS=Arabidopsis thaliana GN=BOR1 PE=1 SV=1</t>
  </si>
  <si>
    <t>Heat shock factor protein HSF30 OS=Solanum peruvianum GN=HSF30 PE=2 SV=1</t>
  </si>
  <si>
    <t>Isovaleryl-CoA dehydrogenase, mitochondrial OS=Arabidopsis thaliana GN=IVD PE=1 SV=2</t>
  </si>
  <si>
    <t>Calcium-transporting ATPase 1, endoplasmic reticulum-type OS=Arabidopsis thaliana GN=ECA1 PE=1 SV=2</t>
  </si>
  <si>
    <t>Protein EMSY-LIKE 3 OS=Arabidopsis thaliana GN=EML3 PE=1 SV=1</t>
  </si>
  <si>
    <t>Iron-sulfur assembly protein IscA-like 2, mitochondrial OS=Arabidopsis thaliana GN=At5g03905 PE=2 SV=2</t>
  </si>
  <si>
    <t>Phosphoinositide phosphatase SAC6 OS=Arabidopsis thaliana GN=SAC6 PE=2 SV=1</t>
  </si>
  <si>
    <t>Cell division cycle 20.1, cofactor of APC complex OS=Arabidopsis thaliana GN=CDC20-1 PE=1 SV=1</t>
  </si>
  <si>
    <t>Factor of DNA methylation 3 OS=Arabidopsis thaliana GN=FDM3 PE=2 SV=1</t>
  </si>
  <si>
    <t>ATP synthase subunit beta, mitochondrial OS=Hevea brasiliensis GN=ATPB PE=2 SV=1</t>
  </si>
  <si>
    <t>DEAD-box ATP-dependent RNA helicase 21 OS=Arabidopsis thaliana GN=RH21 PE=2 SV=1</t>
  </si>
  <si>
    <t>Next to BRCA1 gene 1 protein OS=Pongo abelii GN=NBR1 PE=2 SV=1</t>
  </si>
  <si>
    <t>Probable serine/threonine protein phosphatase 2A regulatory subunit B''gamma OS=Arabidopsis thaliana GN=B''GAMMA PE=2 SV=1</t>
  </si>
  <si>
    <t>F-box/WD repeat-containing protein pof1 OS=Schizosaccharomyces pombe (strain 972 / ATCC 24843) GN=pof1 PE=1 SV=1</t>
  </si>
  <si>
    <t>Histone-lysine N-methyltransferase SUVR2 OS=Arabidopsis thaliana GN=SUVR2 PE=2 SV=2</t>
  </si>
  <si>
    <t>Sister chromatid cohesion protein PDS5 OS=Saccharomyces cerevisiae (strain ATCC 204508 / S288c) GN=PDS5 PE=1 SV=1</t>
  </si>
  <si>
    <t>RuBisCO large subunit-binding protein subunit beta, chloroplastic OS=Pisum sativum PE=1 SV=2</t>
  </si>
  <si>
    <t>Sucrose synthase 6 OS=Arabidopsis thaliana GN=SUS6 PE=1 SV=1</t>
  </si>
  <si>
    <t>Adaptin ear-binding coat-associated protein 2 OS=Homo sapiens GN=NECAP2 PE=1 SV=1</t>
  </si>
  <si>
    <t>Zinc finger CCCH domain-containing protein 22 OS=Arabidopsis thaliana GN=At2g24830 PE=2 SV=1</t>
  </si>
  <si>
    <t>Mannan endo-1,4-beta-mannosidase 2 OS=Arabidopsis thaliana GN=MAN2 PE=2 SV=1</t>
  </si>
  <si>
    <t>E3 ubiquitin protein ligase RIE1 OS=Arabidopsis thaliana GN=RIE1 PE=2 SV=1</t>
  </si>
  <si>
    <t>Glycine-rich domain-containing protein 2 OS=Arabidopsis thaliana GN=GRDP2 PE=2 SV=1</t>
  </si>
  <si>
    <t>Probable polyamine oxidase 2 OS=Arabidopsis thaliana GN=PAO2 PE=2 SV=1</t>
  </si>
  <si>
    <t>Pre-mRNA-splicing factor SYF1 OS=Mus musculus GN=Xab2 PE=2 SV=1</t>
  </si>
  <si>
    <t>AP-1 complex subunit gamma-2 OS=Arabidopsis thaliana GN=At1g60070 PE=1 SV=2</t>
  </si>
  <si>
    <t>Bifunctional aspartate aminotransferase and glutamate/aspartate-prephenate aminotransferase OS=Petunia hybrida PE=1 SV=1</t>
  </si>
  <si>
    <t>Transmembrane emp24 domain-containing protein p24beta3 OS=Arabidopsis thaliana GN=At3g22845 PE=2 SV=1</t>
  </si>
  <si>
    <t>Cytochrome B5-like protein OS=Arabidopsis thaliana GN=CB5LP PE=2 SV=1</t>
  </si>
  <si>
    <t>Early endosome antigen 1 OS=Homo sapiens GN=EEA1 PE=1 SV=2</t>
  </si>
  <si>
    <t>Probable 3-deoxy-D-manno-octulosonic acid transferase, mitochondrial OS=Arabidopsis thaliana GN=KDTA PE=2 SV=1</t>
  </si>
  <si>
    <t>Thioredoxin-like protein AAED1, chloroplastic OS=Arabidopsis thaliana GN=At2g37240 PE=2 SV=2</t>
  </si>
  <si>
    <t>ATP-dependent 6-phosphofructokinase 4, chloroplastic OS=Arabidopsis thaliana GN=PFK4 PE=1 SV=1</t>
  </si>
  <si>
    <t>Calmodulin-like protein 11 OS=Arabidopsis thaliana GN=CML11 PE=2 SV=1</t>
  </si>
  <si>
    <t>E3 ubiquitin-protein ligase UPL4 OS=Arabidopsis thaliana GN=UPL4 PE=3 SV=1</t>
  </si>
  <si>
    <t>Tyrosine--tRNA ligase 1, cytoplasmic OS=Arabidopsis thaliana GN=At2g33840 PE=2 SV=1</t>
  </si>
  <si>
    <t>Formin-like protein 8 OS=Arabidopsis thaliana GN=FH8 PE=1 SV=1</t>
  </si>
  <si>
    <t>Peroxisomal nicotinamide adenine dinucleotide carrier OS=Arabidopsis thaliana GN=PXN PE=1 SV=1</t>
  </si>
  <si>
    <t>Zinc finger protein CONSTANS-LIKE 6 OS=Arabidopsis thaliana GN=COL6 PE=2 SV=2</t>
  </si>
  <si>
    <t>NAP1-related protein 2 OS=Arabidopsis thaliana GN=NRP2 PE=1 SV=2</t>
  </si>
  <si>
    <t>Mitogen-activated protein kinase kinase kinase MLK4 OS=Mus musculus GN=Mlk4 PE=2 SV=2</t>
  </si>
  <si>
    <t>G2/mitotic-specific cyclin S13-7 (Fragment) OS=Glycine max PE=2 SV=1</t>
  </si>
  <si>
    <t>U1 small nuclear ribonucleoprotein 70 kDa OS=Arabidopsis thaliana GN=RNU1 PE=1 SV=1</t>
  </si>
  <si>
    <t>Putative 3,4-dihydroxy-2-butanone kinase OS=Solanum lycopersicum GN=DHBK PE=2 SV=1</t>
  </si>
  <si>
    <t>Suppressor of mec-8 and unc-52 protein homolog 2 OS=Arabidopsis thaliana GN=SMU2 PE=1 SV=1</t>
  </si>
  <si>
    <t>Metallophosphoesterase 1 OS=Danio rerio GN=mppe1 PE=2 SV=1</t>
  </si>
  <si>
    <t>LEC14B protein OS=Lithospermum erythrorhizon PE=2 SV=1</t>
  </si>
  <si>
    <t>Lithospermum erythrorhizon</t>
  </si>
  <si>
    <t>GEM-like protein 5 OS=Arabidopsis thaliana GN=At5g13200 PE=1 SV=1</t>
  </si>
  <si>
    <t>U4/U6 small nuclear ribonucleoprotein Prp31 OS=Mus musculus GN=Prpf31 PE=1 SV=3</t>
  </si>
  <si>
    <t>Probable serine/threonine-protein kinase RLCKVII OS=Arabidopsis thaliana GN=At1g07870 PE=2 SV=1</t>
  </si>
  <si>
    <t>Probable indole-3-acetic acid-amido synthetase GH3.6 OS=Oryza sativa subsp. japonica GN=GH3.6 PE=2 SV=2</t>
  </si>
  <si>
    <t>ATPase family AAA domain-containing protein 1-A OS=Danio rerio GN=atad1a PE=2 SV=2</t>
  </si>
  <si>
    <t>Cytochrome c biogenesis protein CCS1, chloroplastic OS=Arabidopsis thaliana GN=CCS1 PE=1 SV=1</t>
  </si>
  <si>
    <t>AP-4 complex subunit epsilon OS=Arabidopsis thaliana GN=At1g31730 PE=1 SV=1</t>
  </si>
  <si>
    <t>Vacuolar fusion protein MON1 homolog A OS=Homo sapiens GN=MON1A PE=1 SV=2</t>
  </si>
  <si>
    <t>TBC1 domain family member 5 homolog A OS=Dictyostelium discoideum GN=tbc1d5A PE=1 SV=1</t>
  </si>
  <si>
    <t>Protein DEK OS=Rattus norvegicus GN=Dek PE=2 SV=1</t>
  </si>
  <si>
    <t>BTB/POZ and TAZ domain-containing protein 3 OS=Arabidopsis thaliana GN=BT3 PE=1 SV=2</t>
  </si>
  <si>
    <t>GPI ethanolamine phosphate transferase 1 OS=Aspergillus oryzae (strain ATCC 42149 / RIB 40) GN=mcd4 PE=3 SV=1</t>
  </si>
  <si>
    <t>Phosphosulfolactate synthase OS=Methanothermobacter thermautotrophicus (strain ATCC 29096 / DSM 1053 / JCM 10044 / NBRC 100330 / Delta H) GN=comA PE=3 SV=1</t>
  </si>
  <si>
    <t>Putative PAP-specific phosphatase, mitochondrial OS=Arabidopsis thaliana GN=At4g05090 PE=2 SV=1</t>
  </si>
  <si>
    <t>Pentatricopeptide repeat-containing protein At1g26900, mitochondrial OS=Arabidopsis thaliana GN=PCMP-E54 PE=2 SV=1</t>
  </si>
  <si>
    <t>Putative low molecular weight protein-tyrosine-phosphatase slr0328 OS=Synechocystis sp. (strain PCC 6803 / Kazusa) GN=slr0328 PE=3 SV=1</t>
  </si>
  <si>
    <t>Inosine-5'-monophosphate dehydrogenase 2 OS=Arabidopsis thaliana GN=At1g16350 PE=1 SV=1</t>
  </si>
  <si>
    <t>UDP-glycosyltransferase 71D1 OS=Arabidopsis thaliana GN=UGT71D1 PE=2 SV=1</t>
  </si>
  <si>
    <t>Profilin OS=Prunus dulcis PE=1 SV=1</t>
  </si>
  <si>
    <t>Copper transporter 1 OS=Arabidopsis thaliana GN=COPT1 PE=2 SV=2</t>
  </si>
  <si>
    <t>Beta-1,3-glucosyltransferase OS=Mus musculus GN=B3galtl PE=2 SV=3</t>
  </si>
  <si>
    <t>Uncharacterized membrane protein At1g16860 OS=Arabidopsis thaliana GN=At1g16860 PE=1 SV=1</t>
  </si>
  <si>
    <t>40S ribosomal protein S7-1 OS=Arabidopsis thaliana GN=RPS7A PE=2 SV=1</t>
  </si>
  <si>
    <t>Probable beta-D-xylosidase 7 OS=Arabidopsis thaliana GN=BXL7 PE=2 SV=2</t>
  </si>
  <si>
    <t>Transcription factor bHLH130 OS=Arabidopsis thaliana GN=BHLH130 PE=1 SV=1</t>
  </si>
  <si>
    <t>Phosphate transporter PHO1 homolog 9 OS=Arabidopsis thaliana GN=PHO1-H9 PE=2 SV=1</t>
  </si>
  <si>
    <t>DENN domain and WD repeat-containing protein SCD1 OS=Arabidopsis thaliana GN=SCD1 PE=1 SV=1</t>
  </si>
  <si>
    <t>Transcription factor bHLH61 OS=Arabidopsis thaliana GN=BHLH61 PE=2 SV=1</t>
  </si>
  <si>
    <t>Glutathione S-transferase U17 OS=Arabidopsis thaliana GN=GSTU17 PE=2 SV=1</t>
  </si>
  <si>
    <t>40S ribosomal protein S18 OS=Arabidopsis thaliana GN=RPS18A PE=1 SV=1</t>
  </si>
  <si>
    <t>Probable pre-mRNA-splicing factor ATP-dependent RNA helicase OS=Arabidopsis thaliana GN=At2g47250 PE=2 SV=1</t>
  </si>
  <si>
    <t>Ethylene-responsive transcription factor 9 OS=Arabidopsis thaliana GN=ERF9 PE=2 SV=1</t>
  </si>
  <si>
    <t>Amino acid transporter ANTL2 OS=Arabidopsis thaliana GN=At4g38250 PE=1 SV=1</t>
  </si>
  <si>
    <t>Syntaxin-related protein KNOLLE OS=Arabidopsis thaliana GN=KN PE=1 SV=1</t>
  </si>
  <si>
    <t>Probable alkaline/neutral invertase B OS=Arabidopsis thaliana GN=INVB PE=1 SV=1</t>
  </si>
  <si>
    <t>Protein AATF OS=Gallus gallus GN=AATF PE=2 SV=1</t>
  </si>
  <si>
    <t>DNA mismatch repair protein MSH2 OS=Arabidopsis thaliana GN=MSH2 PE=1 SV=1</t>
  </si>
  <si>
    <t>Uncharacterized protein ycf39 OS=Cyanophora paradoxa GN=ycf39 PE=3 SV=1</t>
  </si>
  <si>
    <t>Cyanophora paradoxa</t>
  </si>
  <si>
    <t>Protein TIC 40, chloroplastic OS=Pisum sativum GN=TIC40 PE=1 SV=1</t>
  </si>
  <si>
    <t>DnaJ protein homolog OS=Cucumis sativus GN=DNAJ1 PE=2 SV=1</t>
  </si>
  <si>
    <t>UDP-arabinopyranose mutase 1 OS=Oryza sativa subsp. japonica GN=UAM1 PE=1 SV=1</t>
  </si>
  <si>
    <t>DNA-directed RNA polymerase I subunit rpa1 OS=Schizosaccharomyces pombe (strain 972 / ATCC 24843) GN=rpa1 PE=1 SV=2</t>
  </si>
  <si>
    <t>Sec-independent protein translocase protein TATB, chloroplastic OS=Pisum sativum GN=TATB PE=1 SV=1</t>
  </si>
  <si>
    <t>Uncharacterized deoxyribonuclease YabD OS=Bacillus subtilis (strain 168) GN=yabD PE=3 SV=1</t>
  </si>
  <si>
    <t>12-oxophytodienoate reductase 2 OS=Arabidopsis thaliana GN=OPR2 PE=1 SV=2</t>
  </si>
  <si>
    <t>TBC1 domain family member 13 OS=Homo sapiens GN=TBC1D13 PE=1 SV=3</t>
  </si>
  <si>
    <t>Polypyrimidine tract-binding protein homolog 1 OS=Arabidopsis thaliana GN=PTB PE=1 SV=1</t>
  </si>
  <si>
    <t>Probable protein phosphatase 2C 75 OS=Arabidopsis thaliana GN=AHG1 PE=2 SV=1</t>
  </si>
  <si>
    <t>Probable WRKY transcription factor 69 OS=Arabidopsis thaliana GN=WRKY69 PE=2 SV=1</t>
  </si>
  <si>
    <t>Protein DJ-1 homolog D OS=Arabidopsis thaliana GN=DJ1D PE=1 SV=1</t>
  </si>
  <si>
    <t>ER membrane protein complex subunit 1 OS=Gallus gallus GN=EMC1 PE=2 SV=1</t>
  </si>
  <si>
    <t>Glycosyltransferase-like KOBITO 1 OS=Arabidopsis thaliana GN=ELD1 PE=1 SV=1</t>
  </si>
  <si>
    <t>Farnesyl pyrophosphate synthase 2 OS=Lupinus albus GN=FPS2 PE=2 SV=1</t>
  </si>
  <si>
    <t>Activator of 90 kDa heat shock protein ATPase homolog 2 OS=Mus musculus GN=Ahsa2 PE=2 SV=2</t>
  </si>
  <si>
    <t>Bifunctional L-3-cyanoalanine synthase/cysteine synthase D1 OS=Arabidopsis thaliana GN=CYSD1 PE=1 SV=1</t>
  </si>
  <si>
    <t>Protein TIFY 5A OS=Arabidopsis thaliana GN=TIFY5A PE=1 SV=1</t>
  </si>
  <si>
    <t>Uncharacterized protein C9orf85 homolog OS=Mus musculus PE=2 SV=1</t>
  </si>
  <si>
    <t>Protein BASIC PENTACYSTEINE2 OS=Arabidopsis thaliana GN=BPC2 PE=1 SV=1</t>
  </si>
  <si>
    <t>Gibberellin 3-beta-dioxygenase 1 OS=Pisum sativum GN=LE PE=1 SV=1</t>
  </si>
  <si>
    <t>Putative lipase ROG1 OS=Saccharomyces cerevisiae (strain ATCC 204508 / S288c) GN=ROG1 PE=1 SV=1</t>
  </si>
  <si>
    <t>Inositol-3-phosphate synthase OS=Nicotiana tabacum PE=2 SV=1</t>
  </si>
  <si>
    <t>Chloride channel protein CLC-b OS=Arabidopsis thaliana GN=CLC-B PE=1 SV=1</t>
  </si>
  <si>
    <t>Pumilio homolog 4 OS=Arabidopsis thaliana GN=APUM4 PE=1 SV=2</t>
  </si>
  <si>
    <t>Lipase OS=Thermomyces lanuginosus GN=LIP PE=1 SV=1</t>
  </si>
  <si>
    <t>Thermomyces lanuginosus</t>
  </si>
  <si>
    <t>ABC transporter D family member 1 OS=Arabidopsis thaliana GN=ABCC1 PE=1 SV=1</t>
  </si>
  <si>
    <t>Coleoptile phototropism protein 1 OS=Oryza sativa subsp. japonica GN=CPT1 PE=2 SV=1</t>
  </si>
  <si>
    <t>Calcium-transporting ATPase 1, chloroplastic OS=Arabidopsis thaliana GN=ACA1 PE=1 SV=3</t>
  </si>
  <si>
    <t>Ethylene-responsive transcription factor RAP2-12 OS=Arabidopsis thaliana GN=RAP2-12 PE=1 SV=1</t>
  </si>
  <si>
    <t>Ubiquinol oxidase 2, mitochondrial OS=Glycine max GN=AOX2 PE=1 SV=2</t>
  </si>
  <si>
    <t>Nicotianamine synthase OS=Solanum lycopersicum GN=CHLN PE=2 SV=1</t>
  </si>
  <si>
    <t>Pathogen-related protein OS=Hordeum vulgare PE=2 SV=2</t>
  </si>
  <si>
    <t>C2 domain-containing protein At1g53590 OS=Arabidopsis thaliana GN=NTMC2T6.1 PE=1 SV=2</t>
  </si>
  <si>
    <t>Carotenoid cleavage dioxygenase 7, chloroplastic OS=Arabidopsis thaliana GN=CCD7 PE=1 SV=1</t>
  </si>
  <si>
    <t>Transcription factor bHLH92 OS=Arabidopsis thaliana GN=BHLH92 PE=2 SV=1</t>
  </si>
  <si>
    <t>Malate synthase, glyoxysomal OS=Gossypium hirsutum PE=2 SV=1</t>
  </si>
  <si>
    <t>50S ribosomal protein L15 OS=Methylobacterium radiotolerans (strain ATCC 27329 / DSM 1819 / JCM 2831) GN=rplO PE=3 SV=1</t>
  </si>
  <si>
    <t>Methylobacterium radiotolerans</t>
  </si>
  <si>
    <t>OTU domain-containing protein DDB_G0284757 OS=Dictyostelium discoideum GN=DDB_G0284757 PE=3 SV=2</t>
  </si>
  <si>
    <t>Probable CCR4-associated factor 1 homolog 11 OS=Arabidopsis thaliana GN=CAF1-11 PE=2 SV=1</t>
  </si>
  <si>
    <t>F-box/LRR-repeat protein At5g35995 OS=Arabidopsis thaliana GN=At5g35995 PE=2 SV=1</t>
  </si>
  <si>
    <t>NAP1-related protein 2 OS=Oryza sativa subsp. japonica GN=Os02g0576700 PE=2 SV=1</t>
  </si>
  <si>
    <t>Type II inositol polyphosphate 5-phosphatase 15 OS=Arabidopsis thaliana GN=IP5P15 PE=1 SV=2</t>
  </si>
  <si>
    <t>Chaperone protein dnaJ 8, chloroplastic OS=Arabidopsis thaliana GN=ATJ8 PE=2 SV=1</t>
  </si>
  <si>
    <t>Probable transcription factor KAN4 OS=Arabidopsis thaliana GN=KAN4 PE=1 SV=1</t>
  </si>
  <si>
    <t>Serine carboxypeptidase-like 22 OS=Arabidopsis thaliana GN=SCPL22 PE=2 SV=1</t>
  </si>
  <si>
    <t>ABC transporter G family member 39 OS=Arabidopsis thaliana GN=ABCG39 PE=3 SV=1</t>
  </si>
  <si>
    <t>Transposon Tf2-9 polyprotein OS=Schizosaccharomyces pombe (strain 972 / ATCC 24843) GN=Tf2-9 PE=3 SV=1</t>
  </si>
  <si>
    <t>Probable receptor-like protein kinase At5g39020 OS=Arabidopsis thaliana GN=At5g39020 PE=2 SV=1</t>
  </si>
  <si>
    <t>Fatty acyl-CoA reductase 3 OS=Arabidopsis thaliana GN=FAR3 PE=2 SV=1</t>
  </si>
  <si>
    <t>Proteasome subunit beta type-5-B OS=Arabidopsis thaliana GN=PBE2 PE=1 SV=1</t>
  </si>
  <si>
    <t>Xylosyltransferase 1 OS=Canis familiaris GN=XYLT1 PE=2 SV=1</t>
  </si>
  <si>
    <t>Putative boron transporter 5 OS=Arabidopsis thaliana GN=BOR5 PE=3 SV=1</t>
  </si>
  <si>
    <t>E3 ubiquitin-protein ligase ATL23 OS=Arabidopsis thaliana GN=ATL23 PE=1 SV=2</t>
  </si>
  <si>
    <t>Serine/threonine-protein kinase At3g07070 OS=Arabidopsis thaliana GN=At3g07070 PE=2 SV=1</t>
  </si>
  <si>
    <t>LOB domain-containing protein 12 OS=Arabidopsis thaliana GN=LBD12 PE=2 SV=2</t>
  </si>
  <si>
    <t>Ribonuclease H2 subunit C OS=Homo sapiens GN=RNASEH2C PE=1 SV=1</t>
  </si>
  <si>
    <t>Translation initiation factor eIF-2B subunit delta OS=Oryctolagus cuniculus GN=EIF2B4 PE=2 SV=2</t>
  </si>
  <si>
    <t>Oryctolagus cuniculus</t>
  </si>
  <si>
    <t>Ferredoxin--nitrite reductase, chloroplastic OS=Betula pendula GN=NIR1 PE=2 SV=1</t>
  </si>
  <si>
    <t>Pentatricopeptide repeat-containing protein At1g14470 OS=Arabidopsis thaliana GN=PCMP-A4 PE=2 SV=2</t>
  </si>
  <si>
    <t>ATP-dependent DNA helicase Q-like 3 OS=Arabidopsis thaliana GN=RECQL3 PE=1 SV=1</t>
  </si>
  <si>
    <t>Uncharacterized protein At4g14450, chloroplastic OS=Arabidopsis thaliana GN=At4g14450 PE=2 SV=1</t>
  </si>
  <si>
    <t>NADPH--cytochrome P450 reductase 2 OS=Arabidopsis thaliana GN=ATR2 PE=1 SV=1</t>
  </si>
  <si>
    <t>F-box protein At1g67340 OS=Arabidopsis thaliana GN=At1g67340 PE=1 SV=1</t>
  </si>
  <si>
    <t>ORM1-like protein 2 OS=Homo sapiens GN=ORMDL2 PE=2 SV=2</t>
  </si>
  <si>
    <t>Protein transport protein SEC23 OS=Ashbya gossypii (strain ATCC 10895 / CBS 109.51 / FGSC 9923 / NRRL Y-1056) GN=SEC23 PE=3 SV=1</t>
  </si>
  <si>
    <t>Ashbya gossypii</t>
  </si>
  <si>
    <t>Glutamate-rich WD repeat-containing protein 1 OS=Dictyostelium discoideum GN=grwd1 PE=3 SV=1</t>
  </si>
  <si>
    <t>AP-4 complex subunit sigma OS=Arabidopsis thaliana GN=At2g19790 PE=1 SV=1</t>
  </si>
  <si>
    <t>Pentatricopeptide repeat-containing protein At3g49710 OS=Arabidopsis thaliana GN=PCMP-H79 PE=2 SV=1</t>
  </si>
  <si>
    <t>NADH dehydrogenase [ubiquinone] flavoprotein 2, mitochondrial OS=Arabidopsis thaliana GN=At4g02580 PE=2 SV=3</t>
  </si>
  <si>
    <t>BAG family molecular chaperone regulator 5, mitochondrial OS=Arabidopsis thaliana GN=BAG5 PE=1 SV=1</t>
  </si>
  <si>
    <t>E3 ubiquitin-protein ligase SHPRH OS=Mus musculus GN=Shprh PE=1 SV=1</t>
  </si>
  <si>
    <t>Molybdate transporter 1 OS=Arabidopsis thaliana GN=MOT1 PE=1 SV=1</t>
  </si>
  <si>
    <t>Probable protein phosphatase 2C 13 OS=Arabidopsis thaliana GN=At1g48040 PE=2 SV=2</t>
  </si>
  <si>
    <t>Probable transcription factor KAN2 OS=Arabidopsis thaliana GN=KAN2 PE=2 SV=1</t>
  </si>
  <si>
    <t>Protein STICHEL OS=Arabidopsis thaliana GN=STI PE=1 SV=2</t>
  </si>
  <si>
    <t>Transcription factor TCP14 OS=Arabidopsis thaliana GN=TCP14 PE=1 SV=1</t>
  </si>
  <si>
    <t>Aquaporin NIP1-2 OS=Arabidopsis thaliana GN=NIP1-2 PE=2 SV=2</t>
  </si>
  <si>
    <t>Transcription factor TGA5 OS=Arabidopsis thaliana GN=TGA5 PE=1 SV=2</t>
  </si>
  <si>
    <t>Putative ATP-dependent RNA helicase DDX11-like protein 8 OS=Homo sapiens GN=DDX11L8 PE=1 SV=1</t>
  </si>
  <si>
    <t>Probable prefoldin subunit 5 OS=Arabidopsis thaliana GN=At5g23290 PE=2 SV=1</t>
  </si>
  <si>
    <t>VQ motif-containing protein 4 OS=Arabidopsis thaliana GN=VQ4 PE=1 SV=1</t>
  </si>
  <si>
    <t>Glucan endo-1,3-beta-glucosidase 3 OS=Arabidopsis thaliana GN=At2g01630 PE=1 SV=2</t>
  </si>
  <si>
    <t>DNA replication licensing factor MCM7 OS=Arabidopsis thaliana GN=MCM7 PE=1 SV=2</t>
  </si>
  <si>
    <t>Dynein assembly factor 1, axonemal OS=Mus musculus GN=Dnaaf1 PE=2 SV=1</t>
  </si>
  <si>
    <t>Lipase 1 OS=Staphylococcus aureus (strain MRSA252) GN=lip1 PE=3 SV=2</t>
  </si>
  <si>
    <t>Staphylococcus aureus</t>
  </si>
  <si>
    <t>Leucine-rich repeat receptor-like protein kinase PXL2 OS=Arabidopsis thaliana GN=PXL2 PE=2 SV=1</t>
  </si>
  <si>
    <t>Ras-related protein RABF1 OS=Arabidopsis thaliana GN=RABF1 PE=1 SV=1</t>
  </si>
  <si>
    <t>Transcription factor PCF1 OS=Oryza sativa subsp. japonica GN=PCF1 PE=1 SV=1</t>
  </si>
  <si>
    <t>BTB/POZ domain-containing protein At1g30440 OS=Arabidopsis thaliana GN=At1g30440 PE=1 SV=2</t>
  </si>
  <si>
    <t>Gibberellin receptor Gid1B OS=Arabidopsis thaliana GN=Gid1B PE=1 SV=1</t>
  </si>
  <si>
    <t>Membrane protein PB1A10.07c OS=Schizosaccharomyces pombe (strain 972 / ATCC 24843) GN=SPAPB1A10.07c PE=3 SV=1</t>
  </si>
  <si>
    <t>Soluble starch synthase 3, chloroplastic/amyloplastic OS=Solanum tuberosum GN=SS3 PE=1 SV=1</t>
  </si>
  <si>
    <t>Aquaporin TIP1-1 OS=Arabidopsis thaliana GN=TIP1-1 PE=1 SV=1</t>
  </si>
  <si>
    <t>PsbP-like protein 1, chloroplastic OS=Arabidopsis thaliana GN=PPL1 PE=1 SV=1</t>
  </si>
  <si>
    <t>Proline transporter 1 OS=Arabidopsis thaliana GN=PROT1 PE=1 SV=1</t>
  </si>
  <si>
    <t>Exonuclease V, chloroplastic OS=Arabidopsis thaliana GN=At5g60370 PE=2 SV=1</t>
  </si>
  <si>
    <t>Pectinesterase 1 OS=Citrus sinensis GN=PECS-1.1 PE=2 SV=1</t>
  </si>
  <si>
    <t>Cell division protein FtsZ homolog 1, chloroplastic OS=Arabidopsis thaliana GN=FTSZ1 PE=1 SV=2</t>
  </si>
  <si>
    <t>Pyridoxine/pyridoxamine 5'-phosphate oxidase 1, chloroplastic OS=Arabidopsis thaliana GN=PPOX1 PE=1 SV=1</t>
  </si>
  <si>
    <t>Uncharacterized protein PHLOEM PROTEIN 2-LIKE A4 OS=Arabidopsis thaliana GN=PP2A4 PE=4 SV=1</t>
  </si>
  <si>
    <t>Heterogeneous nuclear ribonucleoprotein F OS=Bos taurus GN=HNRNPF PE=2 SV=3</t>
  </si>
  <si>
    <t>Probable 3-hydroxyisobutyrate dehydrogenase-like 1, mitochondrial OS=Arabidopsis thaliana GN=At4g29120 PE=2 SV=1</t>
  </si>
  <si>
    <t>Probable peroxygenase 4 OS=Arabidopsis thaliana GN=PXG4 PE=1 SV=1</t>
  </si>
  <si>
    <t>Ethylene-responsive transcription factor CRF4 OS=Arabidopsis thaliana GN=CRF4 PE=1 SV=2</t>
  </si>
  <si>
    <t>Sugar transporter ERD6-like 5 OS=Arabidopsis thaliana GN=At1g54730 PE=2 SV=2</t>
  </si>
  <si>
    <t>Capsanthin/capsorubin synthase, chromoplast OS=Citrus sinensis GN=CCS PE=3 SV=1</t>
  </si>
  <si>
    <t>Pentatricopeptide repeat-containing protein At3g50420 OS=Arabidopsis thaliana GN=PCMP-E85 PE=2 SV=1</t>
  </si>
  <si>
    <t>GDP-mannose 4,6 dehydratase 2 OS=Arabidopsis thaliana GN=MUR1 PE=1 SV=3</t>
  </si>
  <si>
    <t>Zinc-finger homeodomain protein 9 OS=Arabidopsis thaliana GN=ZHD9 PE=1 SV=1</t>
  </si>
  <si>
    <t>Histidine protein methyltransferase 1 homolog OS=Dictyostelium discoideum GN=DDB_G0270580 PE=3 SV=1</t>
  </si>
  <si>
    <t>Putative nuclease HARBI1 OS=Mus musculus GN=Harbi1 PE=2 SV=1</t>
  </si>
  <si>
    <t>Nuclear receptor coactivator 7 OS=Gallus gallus GN=NCOA7 PE=2 SV=1</t>
  </si>
  <si>
    <t>DNA-directed RNA polymerase subunit alpha OS=Platanus occidentalis GN=rpoA PE=3 SV=1</t>
  </si>
  <si>
    <t>Calcium-binding mitochondrial carrier protein SCaMC-1 OS=Xenopus tropicalis GN=slc25a24 PE=2 SV=1</t>
  </si>
  <si>
    <t>Probable galacturonosyltransferase 10 OS=Arabidopsis thaliana GN=GAUT10 PE=2 SV=2</t>
  </si>
  <si>
    <t>WPP domain-interacting tail-anchored protein 1 OS=Arabidopsis thaliana GN=WIT1 PE=1 SV=2</t>
  </si>
  <si>
    <t>DNA topoisomerase 1 OS=Rickettsia felis (strain ATCC VR-1525 / URRWXCal2) GN=topA PE=3 SV=1</t>
  </si>
  <si>
    <t>Benzyl alcohol O-benzoyltransferase OS=Nicotiana tabacum GN=HSR201 PE=1 SV=1</t>
  </si>
  <si>
    <t>Signal peptide peptidase-like 1 OS=Arabidopsis thaliana GN=SPPL1 PE=2 SV=1</t>
  </si>
  <si>
    <t>U-box domain-containing protein 11 OS=Arabidopsis thaliana GN=PUB11 PE=2 SV=2</t>
  </si>
  <si>
    <t>High mobility group B protein 9 OS=Arabidopsis thaliana GN=HMGB9 PE=2 SV=1</t>
  </si>
  <si>
    <t>Zinc finger protein 511 OS=Danio rerio GN=znf511 PE=2 SV=1</t>
  </si>
  <si>
    <t>Transcription factor bHLH147 OS=Arabidopsis thaliana GN=BHLH147 PE=1 SV=1</t>
  </si>
  <si>
    <t>Interferon-induced guanylate-binding protein 1 OS=Mus musculus GN=Gbp1 PE=1 SV=1</t>
  </si>
  <si>
    <t>Protein ROOT INITIATION DEFECTIVE 3 OS=Arabidopsis thaliana GN=Rid3 PE=1 SV=1</t>
  </si>
  <si>
    <t>SufE-like protein 2, chloroplastic OS=Arabidopsis thaliana GN=SUFE2 PE=2 SV=1</t>
  </si>
  <si>
    <t>Serine hydroxymethyltransferase 4 OS=Arabidopsis thaliana GN=SHM4 PE=1 SV=1</t>
  </si>
  <si>
    <t>Probable aminotransferase TAT2 OS=Arabidopsis thaliana GN=At5g53970 PE=2 SV=1</t>
  </si>
  <si>
    <t>Pentatricopeptide repeat-containing protein At3g29290 OS=Arabidopsis thaliana GN=EMB2076 PE=2 SV=1</t>
  </si>
  <si>
    <t>Protein TRIGALACTOSYLDIACYLGLYCEROL 4, chloroplastic OS=Arabidopsis thaliana GN=TGD4 PE=1 SV=1</t>
  </si>
  <si>
    <t>Cytochrome P450 72A14 OS=Arabidopsis thaliana GN=CYP72A14 PE=2 SV=1</t>
  </si>
  <si>
    <t>UV-stimulated scaffold protein A homolog OS=Arabidopsis thaliana GN=At3g61800 PE=3 SV=1</t>
  </si>
  <si>
    <t>DEAD-box ATP-dependent RNA helicase 52 OS=Arabidopsis thaliana GN=RH52 PE=1 SV=1</t>
  </si>
  <si>
    <t>Transcription initiation factor TFIid subunit 15b OS=Arabidopsis thaliana GN=TAF15B PE=1 SV=1</t>
  </si>
  <si>
    <t>Mitochondrial protein import protein ZIM17 OS=Saccharomyces cerevisiae (strain ATCC 204508 / S288c) GN=ZIM17 PE=1 SV=2</t>
  </si>
  <si>
    <t>Vesicle transport protein SFT2B OS=Homo sapiens GN=SFT2D2 PE=1 SV=1</t>
  </si>
  <si>
    <t>Probable E3 ubiquitin-protein ligase rbrA OS=Dictyostelium discoideum GN=rbrA PE=3 SV=1</t>
  </si>
  <si>
    <t>Heat stress transcription factor B-3 OS=Arabidopsis thaliana GN=HSFB3 PE=2 SV=1</t>
  </si>
  <si>
    <t>Protein CHROMATIN REMODELING 5 OS=Arabidopsis thaliana GN=CHR5 PE=3 SV=1</t>
  </si>
  <si>
    <t>Palmitoyl-protein thioesterase 1 OS=Caenorhabditis elegans GN=ppt-1 PE=2 SV=2</t>
  </si>
  <si>
    <t>Nuclear transcription factor Y subunit A-7 OS=Arabidopsis thaliana GN=NFYA7 PE=2 SV=1</t>
  </si>
  <si>
    <t>Thiamine pyrophosphokinase 1 OS=Arabidopsis thaliana GN=TPK1 PE=2 SV=1</t>
  </si>
  <si>
    <t>Actin-97 OS=Solanum tuberosum GN=AC97 PE=3 SV=1</t>
  </si>
  <si>
    <t>Two-component response regulator ARR12 OS=Arabidopsis thaliana GN=ARR12 PE=2 SV=2</t>
  </si>
  <si>
    <t>Cell division control protein 48 homolog C OS=Arabidopsis thaliana GN=CDC48C PE=2 SV=2</t>
  </si>
  <si>
    <t>Pentatricopeptide repeat-containing protein At1g13040, mitochondrial OS=Arabidopsis thaliana GN=At1g13040 PE=2 SV=1</t>
  </si>
  <si>
    <t>Probable mitochondrial intermediate peptidase, mitochondrial OS=Arabidopsis thaliana GN=MIP PE=3 SV=1</t>
  </si>
  <si>
    <t>Ubiquitin carboxyl-terminal hydrolase 4 OS=Arabidopsis thaliana GN=UBP4 PE=1 SV=2</t>
  </si>
  <si>
    <t>RNA polymerase II C-terminal domain phosphatase-like 4 OS=Arabidopsis thaliana GN=CPL4 PE=1 SV=1</t>
  </si>
  <si>
    <t>Erlin-2-B OS=Xenopus laevis GN=erlin2-b PE=2 SV=1</t>
  </si>
  <si>
    <t>Protein kinase 2B, chloroplastic OS=Arabidopsis thaliana GN=APK2B PE=2 SV=1</t>
  </si>
  <si>
    <t>Tubulin-folding cofactor E OS=Arabidopsis thaliana GN=TFCE PE=2 SV=1</t>
  </si>
  <si>
    <t>Carbon catabolite repressor protein 4 homolog 6 OS=Arabidopsis thaliana GN=CCR4-6 PE=2 SV=2</t>
  </si>
  <si>
    <t>Putative septum site-determining protein minD homolog, chloroplastic OS=Arabidopsis thaliana GN=MIND1 PE=1 SV=1</t>
  </si>
  <si>
    <t>3-ketoacyl-CoA synthase 11 OS=Arabidopsis thaliana GN=KCS11 PE=2 SV=1</t>
  </si>
  <si>
    <t>5'-3' exoribonuclease 2 OS=Arabidopsis thaliana GN=XRN2 PE=2 SV=1</t>
  </si>
  <si>
    <t>Probable sodium/metabolite cotransporter BASS4, chloroplastic OS=Arabidopsis thaliana GN=BASS4 PE=3 SV=1</t>
  </si>
  <si>
    <t>Peroxidase 53 OS=Arabidopsis thaliana GN=PER53 PE=1 SV=1</t>
  </si>
  <si>
    <t>Probable protein phosphatase 2C 6 OS=Arabidopsis thaliana GN=At1g16220 PE=2 SV=1</t>
  </si>
  <si>
    <t>Transcription factor bHLH49 OS=Arabidopsis thaliana GN=BHLH49 PE=1 SV=1</t>
  </si>
  <si>
    <t>Protein SUPPRESSOR OF K(+) TRANSPORT GROWTH DEFECT 1 OS=Arabidopsis thaliana GN=SKD1 PE=1 SV=1</t>
  </si>
  <si>
    <t>NudC domain-containing protein 2 OS=Mus musculus GN=Nudcd2 PE=1 SV=1</t>
  </si>
  <si>
    <t>Dof zinc finger protein DOF5.6 OS=Arabidopsis thaliana GN=DOF5.6 PE=2 SV=2</t>
  </si>
  <si>
    <t>Probable L-gulonolactone oxidase 1 OS=Arabidopsis thaliana GN=GULLO1 PE=3 SV=1</t>
  </si>
  <si>
    <t>UDP-glycosyltransferase 76F1 OS=Arabidopsis thaliana GN=UGT76F1 PE=2 SV=1</t>
  </si>
  <si>
    <t>B3 domain-containing protein LOC_Os12g40080 OS=Oryza sativa subsp. japonica GN=Os12g0591400 PE=3 SV=1</t>
  </si>
  <si>
    <t>T-complex protein 1 subunit zeta 1 OS=Arabidopsis thaliana GN=CCT6A PE=1 SV=1</t>
  </si>
  <si>
    <t>Chaperone protein DnaJ OS=Helicobacter pylori (strain ATCC 700392 / 26695) GN=dnaJ PE=3 SV=1</t>
  </si>
  <si>
    <t>40S ribosomal protein S20-2 OS=Arabidopsis thaliana GN=RPS20B PE=2 SV=1</t>
  </si>
  <si>
    <t>Cellulose synthase-like protein B4 OS=Arabidopsis thaliana GN=CSLB4 PE=3 SV=1</t>
  </si>
  <si>
    <t>Putative pentatricopeptide repeat-containing protein At5g40405 OS=Arabidopsis thaliana GN=PCMP-H14 PE=3 SV=1</t>
  </si>
  <si>
    <t>E3 ubiquitin-protein ligase FANCL OS=Mus musculus GN=Fancl PE=1 SV=1</t>
  </si>
  <si>
    <t>Protein RDM1 OS=Arabidopsis thaliana GN=RDM1 PE=1 SV=1</t>
  </si>
  <si>
    <t>Mhp operon transcriptional activator OS=Escherichia coli (strain K12) GN=mhpR PE=3 SV=2</t>
  </si>
  <si>
    <t>Reticulon-like protein B1 OS=Arabidopsis thaliana GN=RTNLB1 PE=1 SV=1</t>
  </si>
  <si>
    <t>Beta-lactamase-like protein 2 OS=Xenopus tropicalis GN=lactb2 PE=2 SV=1</t>
  </si>
  <si>
    <t>Transcription factor bHLH155 OS=Arabidopsis thaliana GN=BHLH155 PE=2 SV=1</t>
  </si>
  <si>
    <t>Transcription factor SPEECHLESS OS=Arabidopsis thaliana GN=SPCH PE=1 SV=1</t>
  </si>
  <si>
    <t>Protein terminal ear1 OS=Zea mays GN=TE1 PE=2 SV=1</t>
  </si>
  <si>
    <t>Ethylene-responsive transcription factor 2 OS=Nicotiana tabacum GN=ERF2 PE=2 SV=1</t>
  </si>
  <si>
    <t>Protein ROOT HAIR DEFECTIVE 3 homolog 2 OS=Arabidopsis thaliana GN=At5g45160 PE=2 SV=1</t>
  </si>
  <si>
    <t>Putative cyclin-B3-1 OS=Arabidopsis thaliana GN=CYCB3-1 PE=3 SV=2</t>
  </si>
  <si>
    <t>Cyclin-T1-5 OS=Arabidopsis thaliana GN=CYCT1-5 PE=1 SV=2</t>
  </si>
  <si>
    <t>Eukaryotic initiation factor 4A-2 OS=Nicotiana plumbaginifolia PE=2 SV=1</t>
  </si>
  <si>
    <t>Probable ribose-5-phosphate isomerase 2 OS=Arabidopsis thaliana GN=RPI2 PE=1 SV=1</t>
  </si>
  <si>
    <t>3-dehydrosphinganine reductase TSC10A OS=Arabidopsis thaliana GN=TSC10A PE=1 SV=1</t>
  </si>
  <si>
    <t>Transcription initiation factor TFIid subunit 9 OS=Arabidopsis thaliana GN=TAF9 PE=1 SV=1</t>
  </si>
  <si>
    <t>CEN-like protein 2 OS=Nicotiana tabacum GN=CET2 PE=2 SV=1</t>
  </si>
  <si>
    <t>Argininosuccinate synthase, chloroplastic OS=Arabidopsis thaliana GN=At4g24830 PE=2 SV=3</t>
  </si>
  <si>
    <t>Putative calcium-transporting ATPase 11, plasma membrane-type OS=Arabidopsis thaliana GN=ACA11 PE=1 SV=1</t>
  </si>
  <si>
    <t>Protein CONTINUOUS VASCULAR RING 1 OS=Arabidopsis thaliana GN=COV1 PE=1 SV=2</t>
  </si>
  <si>
    <t>Metacaspase-2 OS=Arabidopsis thaliana GN=AMC2 PE=1 SV=1</t>
  </si>
  <si>
    <t>Pentatricopeptide repeat-containing protein At2g42920, chloroplastic OS=Arabidopsis thaliana GN=PCMP-E75 PE=2 SV=1</t>
  </si>
  <si>
    <t>Heat shock 70 kDa protein 8 OS=Arabidopsis thaliana GN=HSP70-8 PE=1 SV=1</t>
  </si>
  <si>
    <t>Photosystem I reaction center subunit IV A, chloroplastic OS=Nicotiana sylvestris GN=PSAEA PE=1 SV=1</t>
  </si>
  <si>
    <t>COBW domain-containing protein 5 OS=Homo sapiens GN=CBWD5 PE=2 SV=1</t>
  </si>
  <si>
    <t>Pentatricopeptide repeat-containing protein At5g65560 OS=Arabidopsis thaliana GN=At5g65560 PE=2 SV=1</t>
  </si>
  <si>
    <t>Aspartic proteinase nepenthesin-1 OS=Nepenthes gracilis GN=nep1 PE=1 SV=1</t>
  </si>
  <si>
    <t>Nepenthes gracilis</t>
  </si>
  <si>
    <t>Probable galacturonosyltransferase 12 OS=Arabidopsis thaliana GN=GAUT12 PE=2 SV=1</t>
  </si>
  <si>
    <t>Uridylate kinase OS=Synechococcus sp. (strain JA-3-3Ab) GN=pyrH PE=3 SV=1</t>
  </si>
  <si>
    <t>Prefoldin subunit 1 OS=Mus musculus GN=Pfdn1 PE=2 SV=1</t>
  </si>
  <si>
    <t>Trans-cinnamate 4-monooxygenase OS=Vigna radiata var. radiata GN=CYP73A2 PE=1 SV=1</t>
  </si>
  <si>
    <t>Serine/threonine-protein kinase CBK1 OS=Candida albicans (strain SC5314 / ATCC MYA-2876) GN=CBK1 PE=1 SV=1</t>
  </si>
  <si>
    <t>16.9 kDa class I heat shock protein 1 OS=Oryza sativa subsp. japonica GN=HSP16.9A PE=1 SV=1</t>
  </si>
  <si>
    <t>2-isopropylmalate synthase 1, chloroplastic OS=Arabidopsis thaliana GN=IPMS1 PE=1 SV=2</t>
  </si>
  <si>
    <t>Serine/threonine-protein kinase RIO1 OS=Homo sapiens GN=RIOK1 PE=1 SV=2</t>
  </si>
  <si>
    <t>Cyclin-A1-1 OS=Arabidopsis thaliana GN=CYCA1-1 PE=1 SV=1</t>
  </si>
  <si>
    <t>Protein PHYLLO, chloroplastic OS=Arabidopsis thaliana GN=PHYLLO PE=2 SV=2</t>
  </si>
  <si>
    <t>Cadmium/zinc-transporting ATPase HMA2 OS=Arabidopsis thaliana GN=HMA2 PE=2 SV=1</t>
  </si>
  <si>
    <t>Heat shock protein 83 OS=Ipomoea nil GN=HSP83A PE=2 SV=1</t>
  </si>
  <si>
    <t>ATP synthase subunit beta, mitochondrial OS=Neurospora crassa (strain ATCC 24698 / 74-OR23-1A / CBS 708.71 / DSM 1257 / FGSC 987) GN=atp-2 PE=2 SV=1</t>
  </si>
  <si>
    <t>ATPase family AAA domain-containing protein 1-B OS=Danio rerio GN=atad1b PE=2 SV=2</t>
  </si>
  <si>
    <t>30S ribosomal protein S20, chloroplastic OS=Arabidopsis thaliana GN=RPS20 PE=2 SV=1</t>
  </si>
  <si>
    <t>DNA-directed RNA polymerases II and IV subunit 5A OS=Arabidopsis thaliana GN=NRPB5A PE=1 SV=1</t>
  </si>
  <si>
    <t>Aluminum-activated malate transporter 13 OS=Arabidopsis thaliana GN=ALMT13 PE=2 SV=1</t>
  </si>
  <si>
    <t>Ribosomal biogenesis protein LAS1L OS=Homo sapiens GN=LAS1L PE=1 SV=2</t>
  </si>
  <si>
    <t>Protein XAP5 CIRCADIAN TIMEKEEPER OS=Arabidopsis thaliana GN=XCT PE=1 SV=1</t>
  </si>
  <si>
    <t>Sodium transporter HKT1 OS=Arabidopsis thaliana GN=HKT1 PE=1 SV=1</t>
  </si>
  <si>
    <t>Miraculin OS=Synsepalum dulcificum PE=1 SV=3</t>
  </si>
  <si>
    <t>Synsepalum dulcificum</t>
  </si>
  <si>
    <t>Elongation factor 1-alpha OS=Hypocrea jecorina GN=tef1 PE=3 SV=1</t>
  </si>
  <si>
    <t>Hypocrea jecorina</t>
  </si>
  <si>
    <t>Respiratory burst oxidase homolog protein D OS=Arabidopsis thaliana GN=RBOHD PE=1 SV=1</t>
  </si>
  <si>
    <t>Pentatricopeptide repeat-containing protein At2g37320 OS=Arabidopsis thaliana GN=PCMP-E50 PE=2 SV=1</t>
  </si>
  <si>
    <t>Vicilin GC72-A OS=Gossypium hirsutum PE=3 SV=1</t>
  </si>
  <si>
    <t>Uncharacterized transporter C1683.12 OS=Schizosaccharomyces pombe (strain 972 / ATCC 24843) GN=SPBC1683.12 PE=3 SV=1</t>
  </si>
  <si>
    <t>Reticulon-like protein B8 OS=Arabidopsis thaliana GN=RTNLB8 PE=2 SV=1</t>
  </si>
  <si>
    <t>Actin-related protein 2/3 complex subunit 2A OS=Arabidopsis thaliana GN=ARPC2A PE=1 SV=1</t>
  </si>
  <si>
    <t>U3 small nucleolar RNA-associated protein 20 OS=Saccharomyces cerevisiae (strain ATCC 204508 / S288c) GN=UTP20 PE=1 SV=3</t>
  </si>
  <si>
    <t>HEAT repeat-containing protein 6 OS=Rattus norvegicus GN=Heatr6 PE=2 SV=1</t>
  </si>
  <si>
    <t>Cyclin-D1-1 OS=Arabidopsis thaliana GN=CYCD1-1 PE=1 SV=3</t>
  </si>
  <si>
    <t>Putative pumilio homolog 21 OS=Arabidopsis thaliana GN=APUM21 PE=3 SV=1</t>
  </si>
  <si>
    <t>Ferredoxin-dependent glutamate synthase 1, chloroplastic/mitochondrial OS=Arabidopsis thaliana GN=GLU1 PE=1 SV=3</t>
  </si>
  <si>
    <t>MADS-box transcription factor 50 OS=Oryza sativa subsp. japonica GN=MADS50 PE=2 SV=1</t>
  </si>
  <si>
    <t>Endochitinase PR4 OS=Phaseolus vulgaris GN=CHI4 PE=2 SV=1</t>
  </si>
  <si>
    <t>Pre-mRNA-processing-splicing factor 8 OS=Homo sapiens GN=PRPF8 PE=1 SV=2</t>
  </si>
  <si>
    <t>E3 ubiquitin-protein ligase ATL41 OS=Arabidopsis thaliana GN=ATL41 PE=1 SV=1</t>
  </si>
  <si>
    <t>1-aminocyclopropane-1-carboxylate oxidase OS=Dendrobium crumenatum GN=ACO PE=2 SV=1</t>
  </si>
  <si>
    <t>Dendrobium crumenatum</t>
  </si>
  <si>
    <t>VQ motif-containing protein 9 OS=Arabidopsis thaliana GN=VQ9 PE=1 SV=1</t>
  </si>
  <si>
    <t>RING-H2 finger protein ATL60 OS=Arabidopsis thaliana GN=ATL60 PE=2 SV=1</t>
  </si>
  <si>
    <t>21.7 kDa class VI heat shock protein OS=Arabidopsis thaliana GN=HSP21.7 PE=2 SV=1</t>
  </si>
  <si>
    <t>Jacalin-related lectin 3 OS=Arabidopsis thaliana GN=JAL3 PE=2 SV=1</t>
  </si>
  <si>
    <t>PAX-interacting protein 1 OS=Mus musculus GN=Paxip1 PE=1 SV=1</t>
  </si>
  <si>
    <t>Phosphatidylinositol N-acetylglucosaminyltransferase subunit Q OS=Mus musculus GN=Pigq PE=2 SV=3</t>
  </si>
  <si>
    <t>Fasciclin-like arabinogalactan protein 9 OS=Arabidopsis thaliana GN=FLA9 PE=1 SV=1</t>
  </si>
  <si>
    <t>Probable pyridoxal 5'-phosphate synthase subunit PDX1 OS=Hevea brasiliensis GN=PDX1 PE=2 SV=1</t>
  </si>
  <si>
    <t>Clathrin heavy chain 1 OS=Oryza sativa subsp. japonica GN=Os11g0104900 PE=3 SV=1</t>
  </si>
  <si>
    <t>Isoleucine--tRNA ligase, chloroplastic/mitochondrial OS=Arabidopsis thaliana GN=OVA2 PE=2 SV=1</t>
  </si>
  <si>
    <t>Leucine-rich repeat receptor-like serine/threonine-protein kinase BAM3 OS=Arabidopsis thaliana GN=BAM3 PE=2 SV=3</t>
  </si>
  <si>
    <t>Structural maintenance of chromosomes protein 1 OS=Arabidopsis thaliana GN=SMC1 PE=2 SV=2</t>
  </si>
  <si>
    <t>E3 ubiquitin-protein ligase HERC2 OS=Homo sapiens GN=HERC2 PE=1 SV=2</t>
  </si>
  <si>
    <t>Protein SCAR2 OS=Arabidopsis thaliana GN=SCAR2 PE=1 SV=1</t>
  </si>
  <si>
    <t>Protein HASTY 1 OS=Arabidopsis thaliana GN=HST1 PE=1 SV=1</t>
  </si>
  <si>
    <t>TPD1 protein homolog 1 OS=Arabidopsis thaliana GN=TDL1 PE=2 SV=1</t>
  </si>
  <si>
    <t>GDSL esterase/lipase CPRD49 OS=Arabidopsis thaliana GN=CPRD49 PE=2 SV=1</t>
  </si>
  <si>
    <t>Probable auxin efflux carrier component 1c OS=Oryza sativa subsp. japonica GN=PIN1C PE=2 SV=1</t>
  </si>
  <si>
    <t>SNF1-related protein kinase regulatory subunit gamma-1-like OS=Arabidopsis thaliana GN=CBSCBS2 PE=1 SV=1</t>
  </si>
  <si>
    <t>Photosystem I reaction center subunit V, chloroplastic OS=Arabidopsis thaliana GN=PSAG PE=2 SV=1</t>
  </si>
  <si>
    <t>Syntaxin-132 OS=Arabidopsis thaliana GN=SYP132 PE=1 SV=1</t>
  </si>
  <si>
    <t>Werner Syndrome-like exonuclease OS=Arabidopsis thaliana GN=WEX PE=1 SV=1</t>
  </si>
  <si>
    <t>Disease resistance protein At4g27190 OS=Arabidopsis thaliana GN=At4g27190 PE=2 SV=1</t>
  </si>
  <si>
    <t>Actin-related protein 7 OS=Arabidopsis thaliana GN=ARP7 PE=1 SV=1</t>
  </si>
  <si>
    <t>Molybdate-anion transporter OS=Mus musculus GN=Mfsd5 PE=2 SV=1</t>
  </si>
  <si>
    <t>Iron-sulfur cluster co-chaperone protein HscB, mitochondrial OS=Mus musculus GN=Hscb PE=2 SV=2</t>
  </si>
  <si>
    <t>Probable WRKY transcription factor 20 OS=Arabidopsis thaliana GN=WRKY20 PE=2 SV=1</t>
  </si>
  <si>
    <t>Pentatricopeptide repeat-containing protein At3g57430, chloroplastic OS=Arabidopsis thaliana GN=PCMP-H81 PE=2 SV=2</t>
  </si>
  <si>
    <t>DNA mismatch repair protein MSH1, mitochondrial OS=Arabidopsis thaliana GN=MSH1 PE=1 SV=1</t>
  </si>
  <si>
    <t>Proliferating cell nuclear antigen OS=Nicotiana tabacum GN=PCNA PE=2 SV=1</t>
  </si>
  <si>
    <t>Long-chain-alcohol oxidase FAO2 OS=Lotus japonicus GN=FAO2 PE=2 SV=1</t>
  </si>
  <si>
    <t>Vacuolar-sorting receptor 1 OS=Arabidopsis thaliana GN=VSR1 PE=1 SV=2</t>
  </si>
  <si>
    <t>K(+) efflux antiporter 5 OS=Arabidopsis thaliana GN=KEA5 PE=2 SV=1</t>
  </si>
  <si>
    <t>Probable NOT transcription complex subunit VIP2 (Fragment) OS=Nicotiana benthamiana GN=VIP2 PE=1 SV=1</t>
  </si>
  <si>
    <t>Peptidyl-prolyl cis-trans isomerase FKBP62 OS=Arabidopsis thaliana GN=FKBP62 PE=1 SV=2</t>
  </si>
  <si>
    <t>AIG2-like protein OS=Arabidopsis thaliana GN=At5g39720 PE=1 SV=1</t>
  </si>
  <si>
    <t>DNA-directed RNA polymerases IV and V subunit 2 OS=Arabidopsis thaliana GN=NRPD2 PE=1 SV=1</t>
  </si>
  <si>
    <t>Soluble inorganic pyrophosphatase OS=Zea mays GN=IPP PE=2 SV=1</t>
  </si>
  <si>
    <t>Alpha-1,4-glucan-protein synthase [UDP-forming] OS=Pisum sativum GN=UPTG PE=1 SV=1</t>
  </si>
  <si>
    <t>tRNA (cytosine(34)-C(5))-methyltransferase OS=Gallus gallus GN=NSUN2 PE=2 SV=1</t>
  </si>
  <si>
    <t>Probable calcium-binding protein CML48 OS=Arabidopsis thaliana GN=CML48 PE=2 SV=2</t>
  </si>
  <si>
    <t>RNA-binding protein NOB1 OS=Pongo abelii GN=NOB1 PE=2 SV=1</t>
  </si>
  <si>
    <t>Protein MODIFIER OF SNC1 1 OS=Arabidopsis thaliana GN=MOS1 PE=1 SV=2</t>
  </si>
  <si>
    <t>Sec-independent protein translocase protein TATA, chloroplastic OS=Pisum sativum GN=TATA PE=1 SV=1</t>
  </si>
  <si>
    <t>Pentatricopeptide repeat-containing protein At3g53170 OS=Arabidopsis thaliana GN=At3g53170 PE=3 SV=1</t>
  </si>
  <si>
    <t>Peptidyl-prolyl cis-trans isomerase CYP28, chloroplastic OS=Arabidopsis thaliana GN=CYP28 PE=1 SV=1</t>
  </si>
  <si>
    <t>Sorting nexin 2A OS=Arabidopsis thaliana GN=SNX2A PE=1 SV=1</t>
  </si>
  <si>
    <t>Kelch domain-containing protein 4 OS=Mus musculus GN=Klhdc4 PE=2 SV=2</t>
  </si>
  <si>
    <t>Probable LRR receptor-like serine/threonine-protein kinase At1g14390 OS=Arabidopsis thaliana GN=At1g14390 PE=2 SV=1</t>
  </si>
  <si>
    <t>ATP synthase subunit gamma, mitochondrial OS=Ipomoea batatas GN=ATPC PE=1 SV=2</t>
  </si>
  <si>
    <t>Long chain acyl-CoA synthetase 8 OS=Arabidopsis thaliana GN=LACS8 PE=1 SV=1</t>
  </si>
  <si>
    <t>Peroxisome biogenesis protein 16 OS=Arabidopsis thaliana GN=PEX16 PE=1 SV=1</t>
  </si>
  <si>
    <t>Pheophorbide a oxygenase, chloroplastic OS=Arabidopsis thaliana GN=PAO PE=1 SV=1</t>
  </si>
  <si>
    <t>THO complex subunit 5B OS=Arabidopsis thaliana GN=THO5B PE=1 SV=1</t>
  </si>
  <si>
    <t>Probable WRKY transcription factor 23 OS=Arabidopsis thaliana GN=WRKY23 PE=2 SV=1</t>
  </si>
  <si>
    <t>Protein COFACTOR ASSEMBLY OF COMPLEX C SUBUNIT B CCB3, chloroplastic OS=Arabidopsis thaliana GN=CCB3 PE=1 SV=1</t>
  </si>
  <si>
    <t>Uncharacterized protein At4g26450 OS=Arabidopsis thaliana GN=At4g26450 PE=4 SV=1</t>
  </si>
  <si>
    <t>Digalactosyldiacylglycerol synthase 1, chloroplastic OS=Lotus japonicus GN=DGD1 PE=2 SV=1</t>
  </si>
  <si>
    <t>Eid1-like F-box protein 2 OS=Arabidopsis thaliana GN=EDL2 PE=2 SV=1</t>
  </si>
  <si>
    <t>DNA topoisomerase 1 OS=Arabidopsis thaliana GN=TOP1 PE=1 SV=1</t>
  </si>
  <si>
    <t>ABC transporter B family member 20 OS=Arabidopsis thaliana GN=ABCB20 PE=1 SV=1</t>
  </si>
  <si>
    <t>Ubiquitin-conjugating enzyme E2 28 OS=Arabidopsis thaliana GN=UBC28 PE=2 SV=1</t>
  </si>
  <si>
    <t>Ribosomal protein L11 methyltransferase OS=Chromobacterium violaceum (strain ATCC 12472 / DSM 30191 / JCM 1249 / NBRC 12614 / NCIMB 9131 / NCTC 9757) GN=prmA PE=3 SV=1</t>
  </si>
  <si>
    <t>Chromobacterium violaceum</t>
  </si>
  <si>
    <t>AP-2 complex subunit alpha-2 OS=Arabidopsis thaliana GN=ALPHAC-AD PE=1 SV=1</t>
  </si>
  <si>
    <t>Potassium transporter 7 OS=Arabidopsis thaliana GN=POT7 PE=1 SV=2</t>
  </si>
  <si>
    <t>Signal recognition particle 9 kDa protein OS=Arabidopsis thaliana GN=SRP9 PE=3 SV=1</t>
  </si>
  <si>
    <t>Histidine triad nucleotide-binding protein 3 OS=Xenopus tropicalis GN=hint3 PE=2 SV=1</t>
  </si>
  <si>
    <t>Triose phosphate/phosphate translocator, chloroplastic OS=Pisum sativum PE=1 SV=1</t>
  </si>
  <si>
    <t>Methyltransferase-like protein 22 OS=Mus musculus GN=Mettl22 PE=2 SV=1</t>
  </si>
  <si>
    <t>Probable splicing factor 3A subunit 1 OS=Arabidopsis thaliana GN=At1g14650 PE=1 SV=2</t>
  </si>
  <si>
    <t>Putative glutathione peroxidase 7, chloroplastic OS=Arabidopsis thaliana GN=GPX7 PE=3 SV=2</t>
  </si>
  <si>
    <t>Adrenodoxin-like protein 1, mitochondrial OS=Arabidopsis thaliana GN=MFDX1 PE=1 SV=1</t>
  </si>
  <si>
    <t>Protein HLJ1 OS=Saccharomyces cerevisiae (strain ATCC 204508 / S288c) GN=HLJ1 PE=1 SV=1</t>
  </si>
  <si>
    <t>Pentatricopeptide repeat-containing protein At2g27610 OS=Arabidopsis thaliana GN=PCMP-H60 PE=2 SV=1</t>
  </si>
  <si>
    <t>Uncharacterized protein C4orf29 homolog OS=Rattus norvegicus PE=2 SV=2</t>
  </si>
  <si>
    <t>5-formyltetrahydrofolate cyclo-ligase, mitochondrial OS=Arabidopsis thaliana GN=5FCL PE=1 SV=1</t>
  </si>
  <si>
    <t>Serine/threonine-protein kinase TOUSLED OS=Arabidopsis thaliana GN=TOUSLED PE=1 SV=1</t>
  </si>
  <si>
    <t>Chloroplast sensor kinase, chloroplastic OS=Arabidopsis thaliana GN=CSK PE=1 SV=1</t>
  </si>
  <si>
    <t>Inositol hexakisphosphate and diphosphoinositol-pentakisphosphate kinase OS=Drosophila melanogaster GN=l(1)G0196 PE=1 SV=2</t>
  </si>
  <si>
    <t>Pentatricopeptide repeat-containing protein At4g20770 OS=Arabidopsis thaliana GN=PCMP-E35 PE=3 SV=2</t>
  </si>
  <si>
    <t>DNA topoisomerase 6 subunit A OS=Arabidopsis thaliana GN=TOP6A PE=1 SV=1</t>
  </si>
  <si>
    <t>Protein slowmo homolog OS=Dictyostelium discoideum GN=slmo PE=3 SV=1</t>
  </si>
  <si>
    <t>Protein BPS1, chloroplastic OS=Arabidopsis thaliana GN=BPS1 PE=2 SV=1</t>
  </si>
  <si>
    <t>DNA mismatch repair protein MSH6 OS=Arabidopsis thaliana GN=MSH6 PE=1 SV=2</t>
  </si>
  <si>
    <t>Acylphosphatase OS=Sphingomonas wittichii (strain RW1 / DSM 6014 / JCM 10273) GN=acyP PE=3 SV=1</t>
  </si>
  <si>
    <t>Sphingomonas wittichii</t>
  </si>
  <si>
    <t>5-dehydro-2-deoxygluconokinase OS=Bacillus thuringiensis subsp. konkukian (strain 97-27) GN=iolC PE=3 SV=1</t>
  </si>
  <si>
    <t>Bacillus thuringiensis</t>
  </si>
  <si>
    <t>1,2-dihydroxy-3-keto-5-methylthiopentene dioxygenase 1 OS=Vitis vinifera GN=VIT_05s0020g04070 PE=3 SV=1</t>
  </si>
  <si>
    <t>Inactive beta-amylase 9 OS=Arabidopsis thaliana GN=BAM9 PE=2 SV=1</t>
  </si>
  <si>
    <t>Pentatricopeptide repeat-containing protein At3g42630 OS=Arabidopsis thaliana GN=At3g42630 PE=2 SV=2</t>
  </si>
  <si>
    <t>Acetylglutamate kinase, chloroplastic OS=Arabidopsis thaliana GN=NAGK PE=1 SV=1</t>
  </si>
  <si>
    <t>Presenilin-like protein At2g29900 OS=Arabidopsis thaliana GN=At2g29900 PE=2 SV=1</t>
  </si>
  <si>
    <t>GTPase Der OS=Synechococcus sp. (strain JA-3-3Ab) GN=der PE=3 SV=1</t>
  </si>
  <si>
    <t>UDP-galactose/UDP-glucose transporter 4 OS=Arabidopsis thaliana GN=UTR4 PE=2 SV=1</t>
  </si>
  <si>
    <t>Nodulation receptor kinase OS=Medicago truncatula GN=NORK PE=1 SV=2</t>
  </si>
  <si>
    <t>NAC domain-containing protein 72 OS=Arabidopsis thaliana GN=NAC072 PE=2 SV=1</t>
  </si>
  <si>
    <t>Uncharacterized protein At4g26485 OS=Arabidopsis thaliana GN=At4g26485 PE=4 SV=1</t>
  </si>
  <si>
    <t>Alpha-ketoglutarate-dependent dioxygenase alkB OS=Arabidopsis thaliana GN=At1g11780 PE=2 SV=2</t>
  </si>
  <si>
    <t>Membrane steroid-binding protein 2 OS=Arabidopsis thaliana GN=MSBP2 PE=1 SV=1</t>
  </si>
  <si>
    <t>General transcription factor IIH subunit 3 OS=Dictyostelium discoideum GN=gtf2h3 PE=3 SV=1</t>
  </si>
  <si>
    <t>ELMO domain-containing protein 2 OS=Homo sapiens GN=ELMOD2 PE=1 SV=1</t>
  </si>
  <si>
    <t>Protein EFR3 homolog B OS=Homo sapiens GN=EFR3B PE=1 SV=2</t>
  </si>
  <si>
    <t>Ras-related protein RABA3 OS=Arabidopsis thaliana GN=RABA3 PE=2 SV=1</t>
  </si>
  <si>
    <t>Poly(A) RNA polymerase, mitochondrial OS=Mus musculus GN=Mtpap PE=2 SV=1</t>
  </si>
  <si>
    <t>Mediator-associated protein 1 OS=Arabidopsis thaliana GN=At4g25210 PE=1 SV=1</t>
  </si>
  <si>
    <t>Bifunctional dihydrofolate reductase-thymidylate synthase OS=Glycine max PE=1 SV=1</t>
  </si>
  <si>
    <t>Protein RAE1 OS=Arabidopsis thaliana GN=RAE1 PE=1 SV=2</t>
  </si>
  <si>
    <t>Prolyl endopeptidase OS=Mus musculus GN=Prep PE=2 SV=1</t>
  </si>
  <si>
    <t>5'-nucleotidase SurE OS=Thermoanaerobacter sp. (strain X514) GN=surE PE=3 SV=1</t>
  </si>
  <si>
    <t>Thermoanaerobacter sp.</t>
  </si>
  <si>
    <t>Putative calcium-transporting ATPase 13, plasma membrane-type OS=Arabidopsis thaliana GN=ACA13 PE=3 SV=1</t>
  </si>
  <si>
    <t>Probable RNA polymerase II transcription factor B subunit 1-3 OS=Arabidopsis thaliana GN=TFB1-3 PE=2 SV=2</t>
  </si>
  <si>
    <t>Protein YIF1B OS=Rattus norvegicus GN=Yif1b PE=2 SV=2</t>
  </si>
  <si>
    <t>P-loop NTPase domain-containing protein LPA1 homolog 1 OS=Arabidopsis thaliana GN=At5g60760 PE=2 SV=1</t>
  </si>
  <si>
    <t>Serine/threonine-protein kinase 11-interacting protein OS=Xenopus tropicalis GN=stk11ip PE=2 SV=1</t>
  </si>
  <si>
    <t>Regulation of nuclear pre-mRNA domain-containing protein 1B OS=Mus musculus GN=Rprd1b PE=1 SV=2</t>
  </si>
  <si>
    <t>Nodal modulator 1 OS=Homo sapiens GN=NOMO1 PE=1 SV=5</t>
  </si>
  <si>
    <t>Probable beta-1,3-galactosyltransferase 11 OS=Arabidopsis thaliana GN=B3GALT11 PE=2 SV=1</t>
  </si>
  <si>
    <t>Delta(8)-fatty-acid desaturase OS=Borago officinalis GN=sld1 PE=1 SV=1</t>
  </si>
  <si>
    <t>Borago officinalis</t>
  </si>
  <si>
    <t>Probable potassium transporter 17 OS=Oryza sativa subsp. japonica GN=HAK17 PE=2 SV=2</t>
  </si>
  <si>
    <t>Putative chloride channel-like protein CLC-g OS=Arabidopsis thaliana GN=CBSCLC6 PE=3 SV=2</t>
  </si>
  <si>
    <t>KAT8 regulatory NSL complex subunit 3 OS=Danio rerio GN=kansl3 PE=2 SV=1</t>
  </si>
  <si>
    <t>Putative RNA polymerase II subunit B1 CTD phosphatase RPAP2 homolog OS=Arabidopsis thaliana GN=At5g26760 PE=2 SV=1</t>
  </si>
  <si>
    <t>Origin of replication complex subunit 1 OS=Oryza sativa subsp. japonica GN=ORC1 PE=2 SV=1</t>
  </si>
  <si>
    <t>Protein fluG OS=Emericella nidulans (strain FGSC A4 / ATCC 38163 / CBS 112.46 / NRRL 194 / M139) GN=fluG PE=1 SV=1</t>
  </si>
  <si>
    <t>Protein NETWORKED 2D OS=Arabidopsis thaliana GN=NET2D PE=3 SV=1</t>
  </si>
  <si>
    <t>Cytochrome b5 isoform B OS=Arabidopsis thaliana GN=CYTB5-B PE=1 SV=1</t>
  </si>
  <si>
    <t>Transcription initiation factor TFIid subunit 15 OS=Arabidopsis thaliana GN=TAF15 PE=1 SV=1</t>
  </si>
  <si>
    <t>Putative E3 ubiquitin-protein ligase XBAT35 OS=Arabidopsis thaliana GN=XBAT35 PE=2 SV=1</t>
  </si>
  <si>
    <t>D-tyrosyl-tRNA(Tyr) deacylase OS=Dictyostelium discoideum GN=dtd PE=3 SV=1</t>
  </si>
  <si>
    <t>Trafficking protein particle complex subunit 3 OS=Gallus gallus GN=TRAPPC3 PE=2 SV=1</t>
  </si>
  <si>
    <t>Probable polyamine transporter At1g31830 OS=Arabidopsis thaliana GN=At1g31830 PE=2 SV=1</t>
  </si>
  <si>
    <t>Glyceraldehyde-3-phosphate dehydrogenase OS=Bos taurus GN=GAPDH PE=1 SV=4</t>
  </si>
  <si>
    <t>Centromere-associated protein E OS=Mus musculus GN=Cenpe PE=1 SV=1</t>
  </si>
  <si>
    <t>Purple acid phosphatase 15 OS=Arabidopsis thaliana GN=PAP15 PE=1 SV=1</t>
  </si>
  <si>
    <t>Lateral signaling target protein 2 homolog OS=Drosophila yakuba GN=GE10583 PE=3 SV=1</t>
  </si>
  <si>
    <t>Drosophila yakuba</t>
  </si>
  <si>
    <t>Probable xyloglucan endotransglucosylase/hydrolase protein 27 OS=Arabidopsis thaliana GN=XTH27 PE=2 SV=2</t>
  </si>
  <si>
    <t>F-box protein SKIP8 OS=Arabidopsis thaliana GN=SKIP8 PE=1 SV=1</t>
  </si>
  <si>
    <t>Glutathione gamma-glutamylcysteinyltransferase 2 OS=Lotus japonicus GN=PCS2 PE=2 SV=2</t>
  </si>
  <si>
    <t>Tryptophan synthase beta chain 2 OS=Aquifex aeolicus (strain VF5) GN=trpB2 PE=3 SV=1</t>
  </si>
  <si>
    <t>Cytochrome P450 71D10 OS=Glycine max GN=CYP71D10 PE=2 SV=1</t>
  </si>
  <si>
    <t>Condensin complex subunit 1 OS=Xenopus laevis GN=ncapd2 PE=1 SV=1</t>
  </si>
  <si>
    <t>Basic leucine zipper 34 OS=Arabidopsis thaliana GN=BZIP34 PE=1 SV=1</t>
  </si>
  <si>
    <t>30S ribosomal protein 2, chloroplastic OS=Spinacia oleracea GN=PSRP2 PE=1 SV=1</t>
  </si>
  <si>
    <t>UDP-N-acetylglucosamine transferase subunit ALG14 homolog OS=Mus musculus GN=Alg14 PE=2 SV=1</t>
  </si>
  <si>
    <t>Protein TPX2 OS=Arabidopsis thaliana GN=TPX2 PE=1 SV=1</t>
  </si>
  <si>
    <t>Probable inactive beta-glucosidase 14 OS=Oryza sativa subsp. japonica GN=BGLU14 PE=2 SV=2</t>
  </si>
  <si>
    <t>F-box protein At5g07670 OS=Arabidopsis thaliana GN=At5g07670 PE=2 SV=1</t>
  </si>
  <si>
    <t>Coatomer subunit zeta-1 OS=Arabidopsis thaliana GN=At1g60970 PE=2 SV=1</t>
  </si>
  <si>
    <t>60S ribosomal protein L9-1 OS=Arabidopsis thaliana GN=RPL9B PE=1 SV=3</t>
  </si>
  <si>
    <t>8-hydroxygeraniol dehydrogenase OS=Catharanthus roseus GN=10HGO PE=1 SV=1</t>
  </si>
  <si>
    <t>60S ribosomal protein L18a-2 OS=Arabidopsis thaliana GN=RPL18AB PE=2 SV=2</t>
  </si>
  <si>
    <t>Thylakoid membrane protein slr0575 OS=Synechocystis sp. (strain PCC 6803 / Kazusa) GN=slr0575 PE=4 SV=1</t>
  </si>
  <si>
    <t>ACT domain-containing protein ACR11 OS=Arabidopsis thaliana GN=ACR11 PE=1 SV=1</t>
  </si>
  <si>
    <t>30S ribosomal protein S9, chloroplastic OS=Arabidopsis thaliana GN=RPS9 PE=2 SV=1</t>
  </si>
  <si>
    <t>Probable aminopyrimidine aminohydrolase, mitochondrial OS=Arabidopsis thaliana GN=TNEA_C PE=2 SV=1</t>
  </si>
  <si>
    <t>Probable cyclic nucleotide-gated ion channel 14 OS=Arabidopsis thaliana GN=CNGC14 PE=2 SV=2</t>
  </si>
  <si>
    <t>Trafficking protein particle complex subunit 6B OS=Homo sapiens GN=TRAPPC6B PE=1 SV=1</t>
  </si>
  <si>
    <t>Putative F-box/LRR-repeat protein At5g02700 OS=Arabidopsis thaliana GN=At5g02700 PE=4 SV=1</t>
  </si>
  <si>
    <t>Leucine-rich repeat receptor-like kinase protein FLORAL ORGAN NUMBER1 OS=Oryza sativa subsp. japonica GN=FON1 PE=1 SV=1</t>
  </si>
  <si>
    <t>Endoglucanase 2 OS=Arabidopsis thaliana GN=At1g19940 PE=2 SV=1</t>
  </si>
  <si>
    <t>Protein TolB OS=Rhodopseudomonas palustris (strain ATCC BAA-98 / CGA009) GN=tolB PE=3 SV=1</t>
  </si>
  <si>
    <t>Lysine-specific histone demethylase 1 homolog 1 OS=Arabidopsis thaliana GN=LDL1 PE=1 SV=1</t>
  </si>
  <si>
    <t>Biotin carboxyl carrier protein of acetyl-CoA carboxylase, chloroplastic OS=Glycine max GN=ACCB-1 PE=1 SV=1</t>
  </si>
  <si>
    <t>Adenosylhomocysteinase OS=Medicago sativa GN=SAHH PE=2 SV=1</t>
  </si>
  <si>
    <t>Probable L-type lectin-domain containing receptor kinase VII.2 OS=Arabidopsis thaliana GN=LECRK72 PE=3 SV=2</t>
  </si>
  <si>
    <t>Tripeptidyl-peptidase 2 OS=Arabidopsis thaliana GN=TPP2 PE=1 SV=1</t>
  </si>
  <si>
    <t>Signal peptide peptidase-like 3 OS=Arabidopsis thaliana GN=SPPL3 PE=2 SV=1</t>
  </si>
  <si>
    <t>Pentatricopeptide repeat-containing protein At1g03540 OS=Arabidopsis thaliana GN=PCMP-E4 PE=2 SV=1</t>
  </si>
  <si>
    <t>Clustered mitochondria protein OS=Arabidopsis thaliana GN=FMT PE=2 SV=1</t>
  </si>
  <si>
    <t>Glucose-6-phosphate 1-dehydrogenase, cytoplasmic isoform 2 OS=Arabidopsis thaliana GN=ACG12 PE=2 SV=1</t>
  </si>
  <si>
    <t>Ribosomal protein S10, mitochondrial OS=Pisum sativum GN=RPS10 PE=2 SV=1</t>
  </si>
  <si>
    <t>Probable ATP synthase 24 kDa subunit, mitochondrial OS=Arabidopsis thaliana GN=At2g21870 PE=1 SV=1</t>
  </si>
  <si>
    <t>50S ribosomal protein 5, chloroplastic OS=Pisum sativum GN=PSRP5 PE=2 SV=1</t>
  </si>
  <si>
    <t>Zinc finger CCCH domain-containing protein 20 OS=Arabidopsis thaliana GN=At2g19810 PE=2 SV=1</t>
  </si>
  <si>
    <t>Peptidyl-prolyl cis-trans isomerase CYP71 OS=Arabidopsis thaliana GN=CYP71 PE=1 SV=1</t>
  </si>
  <si>
    <t>40S ribosomal protein S15a-1 OS=Arabidopsis thaliana GN=RPS15AA PE=2 SV=2</t>
  </si>
  <si>
    <t>Guanine deaminase OS=Bacillus subtilis (strain 168) GN=guaD PE=1 SV=1</t>
  </si>
  <si>
    <t>External alternative NAD(P)H-ubiquinone oxidoreductase B2, mitochondrial OS=Arabidopsis thaliana GN=NDB2 PE=1 SV=1</t>
  </si>
  <si>
    <t>Far upstream element-binding protein 2 OS=Gallus gallus GN=KHSRP PE=1 SV=1</t>
  </si>
  <si>
    <t>Probable pectate lyase F OS=Emericella nidulans (strain FGSC A4 / ATCC 38163 / CBS 112.46 / NRRL 194 / M139) GN=plyF PE=3 SV=2</t>
  </si>
  <si>
    <t>Apoptosis inhibitor 5 OS=Gallus gallus GN=API5 PE=2 SV=1</t>
  </si>
  <si>
    <t>Histone-lysine N-methyltransferase ATX1 OS=Arabidopsis thaliana GN=ATX1 PE=1 SV=2</t>
  </si>
  <si>
    <t>1-Cys peroxiredoxin OS=Medicago truncatula PE=2 SV=1</t>
  </si>
  <si>
    <t>Dynein light chain LC6, flagellar outer arm OS=Heliocidaris crassispina PE=3 SV=1</t>
  </si>
  <si>
    <t>Heliocidaris crassispina</t>
  </si>
  <si>
    <t>Cytochrome P450 71B36 OS=Arabidopsis thaliana GN=CYP71B36 PE=3 SV=1</t>
  </si>
  <si>
    <t>Pentatricopeptide repeat-containing protein At3g28660 OS=Arabidopsis thaliana GN=PCMP-E80 PE=2 SV=1</t>
  </si>
  <si>
    <t>Pyruvate kinase, cytosolic isozyme OS=Glycine max PE=2 SV=1</t>
  </si>
  <si>
    <t>RanBP2-type zinc finger protein At1g67325 OS=Arabidopsis thaliana GN=At1g67325 PE=1 SV=1</t>
  </si>
  <si>
    <t>Serine/threonine-protein phosphatase 7 inactive homolog OS=Arabidopsis thaliana GN=At5g10900 PE=3 SV=1</t>
  </si>
  <si>
    <t>2,3-bisphosphoglycerate-independent phosphoglycerate mutase OS=Mesembryanthemum crystallinum GN=PGM1 PE=2 SV=1</t>
  </si>
  <si>
    <t>Probable mediator of RNA polymerase II transcription subunit 37b OS=Arabidopsis thaliana GN=MED37B PE=1 SV=1</t>
  </si>
  <si>
    <t>Valine--tRNA ligase, mitochondrial 1 OS=Arabidopsis thaliana GN=TWN2 PE=2 SV=2</t>
  </si>
  <si>
    <t>Mitogen-activated protein kinase 8 OS=Arabidopsis thaliana GN=MPK8 PE=1 SV=2</t>
  </si>
  <si>
    <t>Putative 2-succinyl-6-hydroxy-2,4-cyclohexadiene-1-carboxylate synthase OS=Bacillus subtilis (strain 168) GN=menH PE=3 SV=2</t>
  </si>
  <si>
    <t>Heat shock 70 kDa protein 17 OS=Arabidopsis thaliana GN=HSP70-17 PE=2 SV=1</t>
  </si>
  <si>
    <t>Glucan endo-1,3-beta-glucosidase 5 OS=Arabidopsis thaliana GN=At4g31140 PE=1 SV=1</t>
  </si>
  <si>
    <t>Glyoxylate reductase OS=Thermofilum pendens (strain Hrk 5) GN=gyaR PE=3 SV=1</t>
  </si>
  <si>
    <t>Thermofilum pendens</t>
  </si>
  <si>
    <t>Cyclin-L1-1 OS=Arabidopsis thaliana GN=CYCL1-1 PE=1 SV=2</t>
  </si>
  <si>
    <t>Probably inactive leucine-rich repeat receptor-like protein kinase IMK2 OS=Arabidopsis thaliana GN=IMK2 PE=1 SV=1</t>
  </si>
  <si>
    <t>NAD(P)H-quinone oxidoreductase subunit N, chloroplastic OS=Arabidopsis thaliana GN=ndhN PE=2 SV=1</t>
  </si>
  <si>
    <t>CCR4-NOT transcription complex subunit 4 OS=Mus musculus GN=Cnot4 PE=1 SV=2</t>
  </si>
  <si>
    <t>ACT domain-containing protein ACR1 OS=Arabidopsis thaliana GN=ACR1 PE=2 SV=1</t>
  </si>
  <si>
    <t>Phytosulfokine receptor 1 OS=Daucus carota GN=PSKR PE=1 SV=1</t>
  </si>
  <si>
    <t>Inorganic phosphate transporter 1-4 OS=Arabidopsis thaliana GN=PHT1-4 PE=1 SV=1</t>
  </si>
  <si>
    <t>Polyadenylate-binding protein-interacting protein 5 OS=Arabidopsis thaliana GN=Cid5 PE=2 SV=1</t>
  </si>
  <si>
    <t>PRA1 family protein E OS=Arabidopsis thaliana GN=PRA1E PE=1 SV=1</t>
  </si>
  <si>
    <t>Protein FAF-like, chloroplastic OS=Arabidopsis thaliana GN=At5g22090 PE=2 SV=1</t>
  </si>
  <si>
    <t>Pentatricopeptide repeat-containing protein At3g18970 OS=Arabidopsis thaliana GN=PCMP-E93 PE=2 SV=1</t>
  </si>
  <si>
    <t>Fasciclin-like arabinogalactan protein 1 OS=Arabidopsis thaliana GN=FLA1 PE=1 SV=1</t>
  </si>
  <si>
    <t>Transcription factor HY5 OS=Arabidopsis thaliana GN=HY5 PE=1 SV=1</t>
  </si>
  <si>
    <t>DNA polymerase lambda OS=Macaca fascicularis GN=POLL PE=2 SV=1</t>
  </si>
  <si>
    <t>Putative protease Do-like 14 OS=Arabidopsis thaliana GN=DEGP14 PE=3 SV=2</t>
  </si>
  <si>
    <t>30S ribosomal protein S18, chloroplastic OS=Gossypium barbadense GN=rps18 PE=3 SV=1</t>
  </si>
  <si>
    <t>Gossypium barbadense</t>
  </si>
  <si>
    <t>Mitochondrial import inner membrane translocase subunit TIM23-2 OS=Arabidopsis thaliana GN=TIM23-2 PE=1 SV=1</t>
  </si>
  <si>
    <t>Zinc finger protein 1 OS=Arabidopsis thaliana GN=ZFP1 PE=2 SV=1</t>
  </si>
  <si>
    <t>Metal transporter Nramp2 OS=Arabidopsis thaliana GN=NRAMP2 PE=2 SV=1</t>
  </si>
  <si>
    <t>Pentatricopeptide repeat-containing protein At5g04780 OS=Arabidopsis thaliana GN=PCMP-H16 PE=2 SV=2</t>
  </si>
  <si>
    <t>Methionine aminotransferase OS=Escherichia coli (strain K12) GN=ybdL PE=1 SV=1</t>
  </si>
  <si>
    <t>40S ribosomal protein S19-3 OS=Arabidopsis thaliana GN=RPS19C PE=2 SV=1</t>
  </si>
  <si>
    <t>Probable inactive purple acid phosphatase 28 OS=Arabidopsis thaliana GN=PAP28 PE=2 SV=1</t>
  </si>
  <si>
    <t>Protein GrpE OS=Prochlorococcus marinus (strain MIT 9211) GN=grpE PE=3 SV=1</t>
  </si>
  <si>
    <t>Presequence protease 1, chloroplastic/mitochondrial OS=Arabidopsis thaliana GN=PREP1 PE=1 SV=2</t>
  </si>
  <si>
    <t>Nuclear pore complex protein NUP1 OS=Arabidopsis thaliana GN=NUP1 PE=1 SV=1</t>
  </si>
  <si>
    <t>Vacuolar iron transporter homolog 4 OS=Arabidopsis thaliana GN=At3g43660 PE=2 SV=1</t>
  </si>
  <si>
    <t>Cyclin-A3-2 OS=Arabidopsis thaliana GN=CYCA3-2 PE=2 SV=1</t>
  </si>
  <si>
    <t>Putative AAA family ATPase L572 OS=Acanthamoeba polyphaga mimivirus GN=MIMI_L572 PE=3 SV=1</t>
  </si>
  <si>
    <t>Nuclear transcription factor Y subunit A-3 OS=Arabidopsis thaliana GN=NFYA3 PE=2 SV=2</t>
  </si>
  <si>
    <t>ERBB-3 BINDING PROTEIN 1 OS=Arabidopsis thaliana GN=EBP1 PE=2 SV=1</t>
  </si>
  <si>
    <t>Ribonuclease 3 OS=Geobacillus kaustophilus (strain HTA426) GN=rnc PE=3 SV=1</t>
  </si>
  <si>
    <t>Geobacillus kaustophilus</t>
  </si>
  <si>
    <t>Peptide methionine sulfoxide reductase OS=Fragaria ananassa PE=2 SV=2</t>
  </si>
  <si>
    <t>F-box/LRR-repeat protein 17 OS=Arabidopsis thaliana GN=FBL17 PE=1 SV=1</t>
  </si>
  <si>
    <t>Stress enhanced protein 2, chloroplastic OS=Arabidopsis thaliana GN=SEP2 PE=2 SV=1</t>
  </si>
  <si>
    <t>Histidine-containing phosphotransfer protein 4 OS=Arabidopsis thaliana GN=AHP4 PE=1 SV=2</t>
  </si>
  <si>
    <t>60S acidic ribosomal protein P0 OS=Glycine max PE=2 SV=1</t>
  </si>
  <si>
    <t>Delta(3,5)-Delta(2,4)-dienoyl-CoA isomerase, mitochondrial OS=Mus musculus GN=Ech1 PE=1 SV=1</t>
  </si>
  <si>
    <t>40S ribosomal protein S14-3 OS=Arabidopsis thaliana GN=RPS14C PE=2 SV=2</t>
  </si>
  <si>
    <t>Thiol-disulfide oxidoreductase LTO1 OS=Arabidopsis thaliana GN=LTO1 PE=1 SV=1</t>
  </si>
  <si>
    <t>BSD domain-containing protein 1 OS=Gallus gallus GN=BSDC1 PE=2 SV=1</t>
  </si>
  <si>
    <t>Protein DYAD OS=Arabidopsis thaliana GN=DYAD PE=1 SV=2</t>
  </si>
  <si>
    <t>Diaminopimelate epimerase, chloroplastic OS=Arabidopsis thaliana GN=DAPF PE=1 SV=1</t>
  </si>
  <si>
    <t>Queuine tRNA-ribosyltransferase subunit QTRTD1 OS=Mus musculus GN=Qtrtd1 PE=1 SV=2</t>
  </si>
  <si>
    <t>Pentatricopeptide repeat-containing protein At3g49740 OS=Arabidopsis thaliana GN=PCMP-E84 PE=2 SV=1</t>
  </si>
  <si>
    <t>Pentatricopeptide repeat-containing protein At5g66500, mitochondrial OS=Arabidopsis thaliana GN=PCMP-E38 PE=2 SV=1</t>
  </si>
  <si>
    <t>Probable sugar phosphate/phosphate translocator At5g25400 OS=Arabidopsis thaliana GN=At5g25400 PE=2 SV=1</t>
  </si>
  <si>
    <t>Probable WRKY transcription factor 75 OS=Arabidopsis thaliana GN=WRKY75 PE=2 SV=1</t>
  </si>
  <si>
    <t>Protein EXORDIUM-like 5 OS=Arabidopsis thaliana GN=EXL5 PE=2 SV=1</t>
  </si>
  <si>
    <t>Myosin-binding protein 2 OS=Arabidopsis thaliana GN=MYOB2 PE=1 SV=1</t>
  </si>
  <si>
    <t>Chlorophyll(ide) b reductase NOL, chloroplastic OS=Arabidopsis thaliana GN=NOL PE=1 SV=1</t>
  </si>
  <si>
    <t>Uncharacterized protein At3g49055 OS=Arabidopsis thaliana GN=At3g49055 PE=2 SV=1</t>
  </si>
  <si>
    <t>SKP1-like protein 1A OS=Arabidopsis thaliana GN=SKP1A PE=1 SV=1</t>
  </si>
  <si>
    <t>F-box protein At4g22390 OS=Arabidopsis thaliana GN=At4g22390 PE=2 SV=3</t>
  </si>
  <si>
    <t>F-box protein At2g16365 OS=Arabidopsis thaliana GN=At2g16365 PE=2 SV=2</t>
  </si>
  <si>
    <t>Protein RETICULATA-RELATED 5 OS=Arabidopsis thaliana GN=RER5 PE=2 SV=1</t>
  </si>
  <si>
    <t>U-box domain-containing protein 62 OS=Arabidopsis thaliana GN=PUB62 PE=2 SV=1</t>
  </si>
  <si>
    <t>Zinc finger CCCH domain-containing protein 5 OS=Arabidopsis thaliana GN=At1g10320 PE=2 SV=2</t>
  </si>
  <si>
    <t>DNA-directed RNA polymerase V subunit 7 OS=Arabidopsis thaliana GN=NRPE7 PE=1 SV=1</t>
  </si>
  <si>
    <t>Cell division control protein 48 homolog B OS=Arabidopsis thaliana GN=CDC48B PE=2 SV=1</t>
  </si>
  <si>
    <t>Pentatricopeptide repeat-containing protein At1g03100, mitochondrial OS=Arabidopsis thaliana GN=At1g03100 PE=2 SV=1</t>
  </si>
  <si>
    <t>Protein TONSOKU OS=Arabidopsis thaliana GN=TSK PE=1 SV=2</t>
  </si>
  <si>
    <t>Formin-like protein 1 OS=Arabidopsis thaliana GN=FH1 PE=1 SV=1</t>
  </si>
  <si>
    <t>Probable methyltransferase PMT15 OS=Arabidopsis thaliana GN=At4g00750 PE=2 SV=1</t>
  </si>
  <si>
    <t>Cyclin-dependent kinase B2-1 OS=Arabidopsis thaliana GN=CDKB2-1 PE=1 SV=2</t>
  </si>
  <si>
    <t>Pentatricopeptide repeat-containing protein At1g11900 OS=Arabidopsis thaliana GN=At1g11900 PE=2 SV=1</t>
  </si>
  <si>
    <t>Ribulose bisphosphate carboxylase small chain, chloroplastic OS=Pyrus pyrifolia GN=RBCS PE=2 SV=1</t>
  </si>
  <si>
    <t>Lon protease 2 OS=Myxococcus xanthus GN=lon2 PE=1 SV=3</t>
  </si>
  <si>
    <t>Myxococcus xanthus</t>
  </si>
  <si>
    <t>MORC family CW-type zinc finger protein 4 OS=Homo sapiens GN=MORC4 PE=1 SV=2</t>
  </si>
  <si>
    <t>Ras-related protein RABF2a OS=Arabidopsis thaliana GN=RABF2A PE=1 SV=1</t>
  </si>
  <si>
    <t>N-acetyl-D-glucosamine kinase OS=Dictyostelium discoideum GN=nagk PE=3 SV=2</t>
  </si>
  <si>
    <t>Hsp70-Hsp90 organizing protein 2 OS=Arabidopsis thaliana GN=HOP2 PE=1 SV=1</t>
  </si>
  <si>
    <t>Pentatricopeptide repeat-containing protein At1g77170 OS=Arabidopsis thaliana GN=PCMP-E21 PE=2 SV=1</t>
  </si>
  <si>
    <t>Alpha-glucan water dikinase, chloroplastic OS=Solanum tuberosum GN=R1 PE=1 SV=2</t>
  </si>
  <si>
    <t>Glucuronoxylan 4-O-methyltransferase 3 OS=Arabidopsis thaliana GN=GXM3 PE=1 SV=1</t>
  </si>
  <si>
    <t>ABC transporter C family member 2 OS=Arabidopsis thaliana GN=ABCC2 PE=1 SV=2</t>
  </si>
  <si>
    <t>Fructose-1,6-bisphosphatase, cytosolic OS=Oryza sativa subsp. japonica GN=Os01g0866400 PE=2 SV=2</t>
  </si>
  <si>
    <t>Aluminum-activated malate transporter 2 OS=Arabidopsis thaliana GN=ALMT2 PE=2 SV=2</t>
  </si>
  <si>
    <t>Zinc finger CCCH domain-containing protein 30 OS=Arabidopsis thaliana GN=At2g41900 PE=1 SV=2</t>
  </si>
  <si>
    <t>Eukaryotic translation initiation factor 4E-1 OS=Arabidopsis thaliana GN=EIF4E1 PE=1 SV=1</t>
  </si>
  <si>
    <t>Probable protein arginine N-methyltransferase 3 OS=Arabidopsis thaliana GN=PRMT3 PE=2 SV=1</t>
  </si>
  <si>
    <t>Ubiquitin-fold modifier-conjugating enzyme 1 OS=Arabidopsis thaliana GN=At1g27530 PE=2 SV=1</t>
  </si>
  <si>
    <t>50S ribosomal protein L35, chloroplastic OS=Spinacia oleracea GN=RPL35 PE=1 SV=1</t>
  </si>
  <si>
    <t>2-methyl-6-phytyl-1,4-hydroquinone methyltransferase 1, chloroplastic OS=Oryza sativa subsp. japonica GN=ARSM2 PE=2 SV=1</t>
  </si>
  <si>
    <t>Riboflavin synthase OS=Schizosaccharomyces pombe (strain 972 / ATCC 24843) GN=rib5 PE=1 SV=1</t>
  </si>
  <si>
    <t>Protein tesmin/TSO1-like CXC 5 OS=Arabidopsis thaliana GN=TCX5 PE=1 SV=1</t>
  </si>
  <si>
    <t>T-complex protein 1 subunit eta OS=Arabidopsis thaliana GN=CCT7 PE=1 SV=1</t>
  </si>
  <si>
    <t>Magnesium transporter MRS2-4 OS=Arabidopsis thaliana GN=MRS2-4 PE=2 SV=1</t>
  </si>
  <si>
    <t>Tetratricopeptide repeat protein 38 OS=Homo sapiens GN=TTC38 PE=1 SV=1</t>
  </si>
  <si>
    <t>Putative glucuronosyltransferase PGSIP8 OS=Arabidopsis thaliana GN=PGSIP8 PE=2 SV=1</t>
  </si>
  <si>
    <t>Nucleoside diphosphate kinase 2, chloroplastic OS=Spinacia oleracea GN=NDPK2 PE=1 SV=1</t>
  </si>
  <si>
    <t>Uncharacterized GPI-anchored protein At5g19250 OS=Arabidopsis thaliana GN=At5g19250 PE=1 SV=1</t>
  </si>
  <si>
    <t>AT-rich interactive domain-containing protein 2 OS=Arabidopsis thaliana GN=ARid2 PE=2 SV=1</t>
  </si>
  <si>
    <t>Floral homeotic protein APETALA 1 OS=Arabidopsis thaliana GN=AP1 PE=1 SV=2</t>
  </si>
  <si>
    <t>Pentatricopeptide repeat-containing protein At5g16420, mitochondrial OS=Arabidopsis thaliana GN=At5g16420 PE=2 SV=1</t>
  </si>
  <si>
    <t>Probable E3 ubiquitin-protein ligase LUL4 OS=Arabidopsis thaliana GN=LUL4 PE=2 SV=1</t>
  </si>
  <si>
    <t>Exosome component 10 OS=Mus musculus GN=Exosc10 PE=1 SV=2</t>
  </si>
  <si>
    <t>Organic cation/carnitine transporter 3 OS=Arabidopsis thaliana GN=OCT3 PE=2 SV=1</t>
  </si>
  <si>
    <t>Exopolyphosphatase OS=Pseudomonas aeruginosa (strain ATCC 15692 / PAO1 / 1C / PRS 101 / LMG 12228) GN=ppx PE=3 SV=1</t>
  </si>
  <si>
    <t>Uridine kinase-like protein 4 OS=Arabidopsis thaliana GN=UKL4 PE=2 SV=2</t>
  </si>
  <si>
    <t>Probable adenylate kinase 1, chloroplastic OS=Oryza sativa subsp. japonica GN=Os03g0130400 PE=2 SV=1</t>
  </si>
  <si>
    <t>Serine/arginine-rich splicing factor SR34A OS=Arabidopsis thaliana GN=SR34A PE=2 SV=1</t>
  </si>
  <si>
    <t>Nuclear transcription factor Y subunit B-10 OS=Arabidopsis thaliana GN=NFYB10 PE=2 SV=1</t>
  </si>
  <si>
    <t>DEAD-box ATP-dependent RNA helicase 7 OS=Spinacia oleracea GN=RH7 PE=2 SV=1</t>
  </si>
  <si>
    <t>Origin of replication complex subunit 3 OS=Oryza sativa subsp. japonica GN=ORC3 PE=2 SV=1</t>
  </si>
  <si>
    <t>Short-chain dehydrogenase/reductase family 42E member 1 OS=Macaca fascicularis GN=SDR42E1 PE=2 SV=1</t>
  </si>
  <si>
    <t>Solute carrier family 35 member F1 OS=Homo sapiens GN=SLC35F1 PE=2 SV=2</t>
  </si>
  <si>
    <t>Exonuclease 1 OS=Arabidopsis thaliana GN=EXO1 PE=2 SV=2</t>
  </si>
  <si>
    <t>Probable sugar phosphate/phosphate translocator At1g12500 OS=Arabidopsis thaliana GN=At1g12500 PE=1 SV=1</t>
  </si>
  <si>
    <t>Formin-like protein 3 OS=Oryza sativa subsp. japonica GN=FH3 PE=2 SV=2</t>
  </si>
  <si>
    <t>Arginine decarboxylase OS=Bacillus halodurans (strain ATCC BAA-125 / DSM 18197 / FERM 7344 / JCM 9153 / C-125) GN=speA PE=3 SV=1</t>
  </si>
  <si>
    <t>Tropinone reductase homolog At1g07440 OS=Arabidopsis thaliana GN=At1g07440 PE=1 SV=1</t>
  </si>
  <si>
    <t>Pentatricopeptide repeat-containing protein At4g39530 OS=Arabidopsis thaliana GN=PCMP-E52 PE=3 SV=1</t>
  </si>
  <si>
    <t>Mitogen-activated protein kinase kinase kinase ANP1 OS=Arabidopsis thaliana GN=ANP1 PE=1 SV=2</t>
  </si>
  <si>
    <t>Uncharacterized protein At4g00950 OS=Arabidopsis thaliana GN=At4g00950 PE=2 SV=1</t>
  </si>
  <si>
    <t>Pre-mRNA-processing factor 39 OS=Xenopus laevis GN=prpf39 PE=2 SV=1</t>
  </si>
  <si>
    <t>Nudix hydrolase 19, chloroplastic OS=Arabidopsis thaliana GN=NUDT19 PE=1 SV=1</t>
  </si>
  <si>
    <t>Ras-related protein RABB1b OS=Arabidopsis thaliana GN=RABB1B PE=2 SV=1</t>
  </si>
  <si>
    <t>Photosystem I reaction center subunit N, chloroplastic OS=Arabidopsis thaliana GN=PSAN PE=1 SV=2</t>
  </si>
  <si>
    <t>Post-GPI attachment to proteins factor 3 OS=Drosophila melanogaster GN=PGAP3 PE=1 SV=2</t>
  </si>
  <si>
    <t>Peptidyl-prolyl cis-trans isomerase, chloroplastic OS=Vicia faba PE=1 SV=1</t>
  </si>
  <si>
    <t>Replication factor C subunit 3 OS=Arabidopsis thaliana GN=RFC3 PE=2 SV=1</t>
  </si>
  <si>
    <t>Histone deacetylase 15 OS=Arabidopsis thaliana GN=HDA15 PE=2 SV=2</t>
  </si>
  <si>
    <t>Xylose isomerase OS=Arabidopsis thaliana GN=XYLA PE=2 SV=2</t>
  </si>
  <si>
    <t>Pentatricopeptide repeat-containing protein At3g58590 OS=Arabidopsis thaliana GN=At3g58590 PE=2 SV=2</t>
  </si>
  <si>
    <t>Myoglobin OS=Bos taurus GN=MB PE=1 SV=3</t>
  </si>
  <si>
    <t>Rosmarinate synthase OS=Melissa officinalis GN=RAS PE=1 SV=1</t>
  </si>
  <si>
    <t>Melissa officinalis</t>
  </si>
  <si>
    <t>Auxin-responsive protein IAA33 OS=Arabidopsis thaliana GN=IAA33 PE=2 SV=1</t>
  </si>
  <si>
    <t>NADH dehydrogenase [ubiquinone] 1 alpha subcomplex subunit 2 OS=Arabidopsis thaliana GN=At5g47890 PE=3 SV=1</t>
  </si>
  <si>
    <t>Photosystem II 10 kDa polypeptide, chloroplastic OS=Solanum tuberosum GN=PSBR PE=2 SV=1</t>
  </si>
  <si>
    <t>Respiratory burst oxidase homolog protein B OS=Solanum tuberosum GN=RBOHB PE=1 SV=1</t>
  </si>
  <si>
    <t>Putative glutamine amidotransferase YLR126C OS=Saccharomyces cerevisiae (strain ATCC 204508 / S288c) GN=YLR126C PE=1 SV=1</t>
  </si>
  <si>
    <t>DnaJ homolog subfamily C member 7 OS=Pongo abelii GN=DNAJC7 PE=2 SV=1</t>
  </si>
  <si>
    <t>GDSL esterase/lipase At1g29660 OS=Arabidopsis thaliana GN=At1g29660 PE=2 SV=1</t>
  </si>
  <si>
    <t>Phosphoserine aminotransferase 1, chloroplastic OS=Arabidopsis thaliana GN=PSAT1 PE=1 SV=1</t>
  </si>
  <si>
    <t>Glutathione synthetase, chloroplastic OS=Brassica juncea GN=GSH2 PE=2 SV=1</t>
  </si>
  <si>
    <t>Brassica juncea</t>
  </si>
  <si>
    <t>40S ribosomal protein S3a OS=Cicer arietinum PE=2 SV=1</t>
  </si>
  <si>
    <t>Cell division control protein 48 homolog D OS=Arabidopsis thaliana GN=CDC48D PE=1 SV=1</t>
  </si>
  <si>
    <t>UDP-glycosyltransferase 87A2 OS=Arabidopsis thaliana GN=UGT87A2 PE=1 SV=1</t>
  </si>
  <si>
    <t>Mitochondrial metalloendopeptidase OMA1 OS=Schizosaccharomyces pombe (strain 972 / ATCC 24843) GN=oma1 PE=3 SV=1</t>
  </si>
  <si>
    <t>B-box zinc finger protein 24 OS=Arabidopsis thaliana GN=BBX24 PE=1 SV=1</t>
  </si>
  <si>
    <t>E3 ubiquitin-protein ligase ATL4 OS=Arabidopsis thaliana GN=ATL4 PE=1 SV=1</t>
  </si>
  <si>
    <t>Chalcone--flavonone isomerase OS=Pyrus communis GN=CHI PE=2 SV=1</t>
  </si>
  <si>
    <t>YTH domain-containing family protein 2 OS=Macaca fascicularis GN=YTHDF2 PE=2 SV=1</t>
  </si>
  <si>
    <t>60S ribosomal protein L34 OS=Pisum sativum GN=RPL34 PE=2 SV=1</t>
  </si>
  <si>
    <t>DNA topoisomerase 2 OS=Arabidopsis thaliana GN=TOP2 PE=2 SV=2</t>
  </si>
  <si>
    <t>Protein EFR3 homolog B OS=Mus musculus GN=Efr3b PE=2 SV=2</t>
  </si>
  <si>
    <t>Prolyl endopeptidase FAP OS=Bos taurus GN=FAP PE=1 SV=1</t>
  </si>
  <si>
    <t>Telomere repeat-binding protein 5 OS=Arabidopsis thaliana GN=TRP5 PE=1 SV=2</t>
  </si>
  <si>
    <t>IAA-amino acid hydrolase ILR1-like 6 OS=Arabidopsis thaliana GN=ILL6 PE=2 SV=2</t>
  </si>
  <si>
    <t>RHOMBOid-like protein 2 OS=Arabidopsis thaliana GN=RBL2 PE=1 SV=1</t>
  </si>
  <si>
    <t>Chlorophyll a-b binding protein 40, chloroplastic OS=Nicotiana tabacum GN=CAB40 PE=2 SV=1</t>
  </si>
  <si>
    <t>Chromophore lyase CRL, chloroplastic OS=Arabidopsis thaliana GN=CRL PE=1 SV=1</t>
  </si>
  <si>
    <t>60S ribosomal protein L35a-1 OS=Arabidopsis thaliana GN=RPL35AA PE=3 SV=1</t>
  </si>
  <si>
    <t>Deoxyribodipyrimidine photo-lyase OS=Arabidopsis thaliana GN=PHR1 PE=2 SV=1</t>
  </si>
  <si>
    <t>Nuclear transcription factor Y subunit C-9 OS=Arabidopsis thaliana GN=NFYC9 PE=2 SV=1</t>
  </si>
  <si>
    <t>Calmodulin-binding transcription activator 3 OS=Arabidopsis thaliana GN=CMTA3 PE=1 SV=1</t>
  </si>
  <si>
    <t>Probable WRKY transcription factor 60 OS=Arabidopsis thaliana GN=WRKY60 PE=1 SV=1</t>
  </si>
  <si>
    <t>Rhodanese-like domain-containing protein 7 OS=Arabidopsis thaliana GN=STR7 PE=2 SV=1</t>
  </si>
  <si>
    <t>Elongation factor Ts OS=Cyanothece sp. (strain PCC 7424) GN=tsf PE=3 SV=1</t>
  </si>
  <si>
    <t>Cyanothece sp.</t>
  </si>
  <si>
    <t>ABC transporter F family member 1 OS=Arabidopsis thaliana GN=ABCF1 PE=1 SV=1</t>
  </si>
  <si>
    <t>Nitrate reductase [NADH] OS=Cucurbita maxima PE=2 SV=1</t>
  </si>
  <si>
    <t>NAD(P)H-quinone oxidoreductase subunit 5, chloroplastic OS=Platanus occidentalis GN=ndhF PE=3 SV=1</t>
  </si>
  <si>
    <t>WRKY transcription factor 22 OS=Arabidopsis thaliana GN=WRKY22 PE=2 SV=1</t>
  </si>
  <si>
    <t>F-box protein At2g23160 OS=Arabidopsis thaliana GN=At2g23160 PE=2 SV=1</t>
  </si>
  <si>
    <t>Telomere repeat-binding factor 4 OS=Arabidopsis thaliana GN=At1g17520 PE=2 SV=2</t>
  </si>
  <si>
    <t>WAT1-related protein At5g07050 OS=Arabidopsis thaliana GN=At5g07050 PE=2 SV=1</t>
  </si>
  <si>
    <t>UDP-N-acetylglucosamine--dolichyl-phosphate N-acetylglucosaminephosphotransferase OS=Dictyostelium discoideum GN=alg7 PE=3 SV=1</t>
  </si>
  <si>
    <t>Condensin-2 complex subunit G2 OS=Xenopus laevis GN=ncapg2 PE=1 SV=1</t>
  </si>
  <si>
    <t>E3 ubiquitin-protein ligase hel2 OS=Schizosaccharomyces pombe (strain 972 / ATCC 24843) GN=SPCC1223.01 PE=1 SV=2</t>
  </si>
  <si>
    <t>Ribulose-1,5 bisphosphate carboxylase/oxygenase large subunit N-methyltransferase, chloroplastic OS=Pisum sativum GN=RBCMT PE=1 SV=1</t>
  </si>
  <si>
    <t>Laccase-11 OS=Arabidopsis thaliana GN=LAC11 PE=2 SV=1</t>
  </si>
  <si>
    <t>Putative late blight resistance protein homolog R1A-6 OS=Solanum demissum GN=R1A-6 PE=3 SV=2</t>
  </si>
  <si>
    <t>TOM1-like protein 2 OS=Xenopus laevis GN=tom1l2 PE=2 SV=1</t>
  </si>
  <si>
    <t>Transcriptional corepressor LEUNIG OS=Arabidopsis thaliana GN=LUG PE=1 SV=2</t>
  </si>
  <si>
    <t>Plant intracellular Ras-group-related LRR protein 6 OS=Oryza sativa subsp. japonica GN=IRL6 PE=2 SV=1</t>
  </si>
  <si>
    <t>40S ribosomal protein SA OS=Vitis vinifera GN=GSVIVT00034021001 PE=3 SV=1</t>
  </si>
  <si>
    <t>Mediator of RNA polymerase II transcription subunit 27 OS=Arabidopsis thaliana GN=MED27 PE=1 SV=1</t>
  </si>
  <si>
    <t>40S ribosomal protein S4 OS=Yarrowia lipolytica (strain CLIB 122 / E 150) GN=RPS4 PE=2 SV=1</t>
  </si>
  <si>
    <t>Extra-large guanine nucleotide-binding protein 2 OS=Arabidopsis thaliana GN=XLG2 PE=1 SV=1</t>
  </si>
  <si>
    <t>Exportin-7 OS=Gallus gallus GN=XPO7 PE=2 SV=1</t>
  </si>
  <si>
    <t>Cyanovirin-N homolog OS=Neurospora crassa (strain ATCC 24698 / 74-OR23-1A / CBS 708.71 / DSM 1257 / FGSC 987) GN=NCU05495 PE=1 SV=2</t>
  </si>
  <si>
    <t>Beta-carotene 3-hydroxylase 2, chloroplastic OS=Arabidopsis thaliana GN=BETA-OHASE 2 PE=2 SV=1</t>
  </si>
  <si>
    <t>GATA transcription factor 4 OS=Arabidopsis thaliana GN=GATA4 PE=2 SV=1</t>
  </si>
  <si>
    <t>Caffeic acid 3-O-methyltransferase OS=Zea mays PE=3 SV=1</t>
  </si>
  <si>
    <t>Putative FBD-associated F-box protein At1g61330 OS=Arabidopsis thaliana GN=At1g61330 PE=4 SV=1</t>
  </si>
  <si>
    <t>Pentatricopeptide repeat-containing protein At1g32415, mitochondrial OS=Arabidopsis thaliana GN=PCMP-E56 PE=2 SV=1</t>
  </si>
  <si>
    <t>RING-box protein 1a OS=Arabidopsis thaliana GN=RBX1A PE=1 SV=1</t>
  </si>
  <si>
    <t>Thioredoxin M1, chloroplastic OS=Arabidopsis thaliana GN=At1g03680 PE=2 SV=1</t>
  </si>
  <si>
    <t>Glucose-6-phosphate 1-dehydrogenase, chloroplastic OS=Nicotiana tabacum PE=2 SV=1</t>
  </si>
  <si>
    <t>Zinc finger BED domain-containing protein RICESLEEPER 1 OS=Oryza sativa subsp. japonica GN=Os05g0239150 PE=3 SV=1</t>
  </si>
  <si>
    <t>Putative pentatricopeptide repeat-containing protein At3g16890, mitochondrial OS=Arabidopsis thaliana GN=PPR40 PE=3 SV=1</t>
  </si>
  <si>
    <t>Uncharacterized protein YNL011C OS=Saccharomyces cerevisiae (strain ATCC 204508 / S288c) GN=YNL011C PE=1 SV=1</t>
  </si>
  <si>
    <t>Dynamin-related protein 4C OS=Arabidopsis thaliana GN=DRP4C PE=2 SV=1</t>
  </si>
  <si>
    <t>RNA-binding protein 8A OS=Salmo salar GN=rbm8a PE=2 SV=1</t>
  </si>
  <si>
    <t>Methyltransferase-like protein 1 OS=Arabidopsis thaliana GN=EMB1691 PE=2 SV=1</t>
  </si>
  <si>
    <t>2-C-methyl-D-erythritol 2,4-cyclodiphosphate synthase, chloroplastic OS=Arabidopsis thaliana GN=ISPF PE=1 SV=1</t>
  </si>
  <si>
    <t>Protein-lysine methyltransferase METTL21B OS=Bos taurus GN=METTL21B PE=2 SV=1</t>
  </si>
  <si>
    <t>Probable isoaspartyl peptidase/L-asparaginase 2 OS=Arabidopsis thaliana GN=At3g16150 PE=2 SV=2</t>
  </si>
  <si>
    <t>Cytochrome P450 710A1 OS=Arabidopsis thaliana GN=CYP710A1 PE=1 SV=1</t>
  </si>
  <si>
    <t>Protein transport protein SFT2 OS=Saccharomyces cerevisiae (strain ATCC 204508 / S288c) GN=SFT2 PE=1 SV=1</t>
  </si>
  <si>
    <t>Ubiquinol oxidase, mitochondrial OS=Mangifera indica GN=AOMI 1 PE=1 SV=2</t>
  </si>
  <si>
    <t>Mangifera indica</t>
  </si>
  <si>
    <t>Glutathione S-transferase DHAR3, chloroplastic OS=Arabidopsis thaliana GN=DHAR3 PE=1 SV=1</t>
  </si>
  <si>
    <t>Transmembrane emp24 domain-containing protein p24delta3 OS=Arabidopsis thaliana GN=At1g09580 PE=1 SV=1</t>
  </si>
  <si>
    <t>Cycloartenol synthase OS=Cucurbita pepo GN=CPX PE=1 SV=1</t>
  </si>
  <si>
    <t>N-(5'-phosphoribosyl)anthranilate isomerase 1, chloroplastic OS=Arabidopsis thaliana GN=PAI1 PE=2 SV=1</t>
  </si>
  <si>
    <t>Putative leucine-rich repeat receptor-like serine/threonine-protein kinase At2g14440 OS=Arabidopsis thaliana GN=At2g14440 PE=3 SV=1</t>
  </si>
  <si>
    <t>Histidine-containing phosphotransfer protein 1 OS=Oryza sativa subsp. japonica GN=OHP1 PE=2 SV=1</t>
  </si>
  <si>
    <t>Geranylgeranyl diphosphate reductase, chloroplastic OS=Nicotiana tabacum GN=CHLP PE=2 SV=1</t>
  </si>
  <si>
    <t>Zinc finger CCCH domain-containing protein 66 OS=Arabidopsis thaliana GN=At5g58620 PE=2 SV=1</t>
  </si>
  <si>
    <t>G-type lectin S-receptor-like serine/threonine-protein kinase CES101 OS=Arabidopsis thaliana GN=CES101 PE=2 SV=2</t>
  </si>
  <si>
    <t>Structural maintenance of chromosomes protein 2-1 OS=Arabidopsis thaliana GN=SMC2-1 PE=2 SV=2</t>
  </si>
  <si>
    <t>Replication protein A 14 kDa subunit B OS=Arabidopsis thaliana GN=RPA3B PE=1 SV=1</t>
  </si>
  <si>
    <t>Crooked neck-like protein 1 OS=Homo sapiens GN=CRNKL1 PE=1 SV=4</t>
  </si>
  <si>
    <t>Minor capsid protein P3-RTD OS=Pea enation mosaic virus-1 (strain WSG) GN=ORF3/ORF5 PE=3 SV=2</t>
  </si>
  <si>
    <t>Pea enation</t>
  </si>
  <si>
    <t>Zinc finger protein WIP3 OS=Arabidopsis thaliana GN=WIP3 PE=2 SV=1</t>
  </si>
  <si>
    <t>Conserved oligomeric Golgi complex subunit 2 OS=Homo sapiens GN=COG2 PE=1 SV=1</t>
  </si>
  <si>
    <t>Myb-related protein 306 OS=Antirrhinum majus GN=MYB306 PE=2 SV=1</t>
  </si>
  <si>
    <t>Protein TIC 40, chloroplastic OS=Arabidopsis thaliana GN=TIC40 PE=1 SV=1</t>
  </si>
  <si>
    <t>UBX domain-containing protein 6 OS=Homo sapiens GN=UBXN6 PE=1 SV=1</t>
  </si>
  <si>
    <t>Probable LRR receptor-like serine/threonine-protein kinase MRH1 OS=Arabidopsis thaliana GN=MRH1 PE=2 SV=1</t>
  </si>
  <si>
    <t>Molybdenum cofactor sulfurase OS=Solanum lycopersicum GN=FLACCA PE=2 SV=1</t>
  </si>
  <si>
    <t>Fimbrin-5 OS=Arabidopsis thaliana GN=FIM5 PE=1 SV=1</t>
  </si>
  <si>
    <t>U4/U6 small nuclear ribonucleoprotein Prp3 OS=Bos taurus GN=PRPF3 PE=2 SV=1</t>
  </si>
  <si>
    <t>Glyoxylate/succinic semialdehyde reductase 1 OS=Arabidopsis thaliana GN=GLYR1 PE=1 SV=1</t>
  </si>
  <si>
    <t>GTP-binding protein TypA/BipA homolog OS=Synechocystis sp. (strain PCC 6803 / Kazusa) GN=typA PE=3 SV=1</t>
  </si>
  <si>
    <t>Protein Iojap-related, mitochondrial OS=Arabidopsis thaliana GN=At1g67620 PE=2 SV=1</t>
  </si>
  <si>
    <t>Putative pentatricopeptide repeat-containing protein At3g01580 OS=Arabidopsis thaliana GN=PCMP-E87 PE=3 SV=2</t>
  </si>
  <si>
    <t>Malate dehydrogenase, glyoxysomal OS=Cucumis sativus GN=MDHG PE=2 SV=1</t>
  </si>
  <si>
    <t>Syntaxin-71 OS=Arabidopsis thaliana GN=SYP71 PE=1 SV=1</t>
  </si>
  <si>
    <t>30S ribosomal protein S18 OS=Thermus thermophilus (strain HB8 / ATCC 27634 / DSM 579) GN=rpsR PE=1 SV=3</t>
  </si>
  <si>
    <t>BTB/POZ domain-containing protein At3g08570 OS=Arabidopsis thaliana GN=At3g08570 PE=2 SV=2</t>
  </si>
  <si>
    <t>Biotin carboxylase 1, chloroplastic OS=Populus trichocarpa GN=POPTRDRAFT_831870 PE=2 SV=1</t>
  </si>
  <si>
    <t>Zinc finger CCCH domain-containing protein 11 OS=Oryza sativa subsp. japonica GN=Os01g0834700 PE=2 SV=2</t>
  </si>
  <si>
    <t>Arginyl-tRNA--protein transferase 1 OS=Arabidopsis thaliana GN=ATE1 PE=2 SV=2</t>
  </si>
  <si>
    <t>RNA exonuclease 4 OS=Xenopus laevis GN=rexo4 PE=2 SV=2</t>
  </si>
  <si>
    <t>Uncharacterized AAA domain-containing protein C31G5.19 OS=Schizosaccharomyces pombe (strain 972 / ATCC 24843) GN=SPAC31G5.19 PE=3 SV=1</t>
  </si>
  <si>
    <t>Chaperone protein DnaJ OS=Thermosynechococcus elongatus (strain BP-1) GN=dnaJ PE=3 SV=2</t>
  </si>
  <si>
    <t>Inactive beta-amylase 4, chloroplastic OS=Arabidopsis thaliana GN=BAM4 PE=2 SV=1</t>
  </si>
  <si>
    <t>DnaJ protein P58IPK homolog OS=Arabidopsis thaliana GN=P58IPK PE=1 SV=1</t>
  </si>
  <si>
    <t>Glutaredoxin-C9 OS=Arabidopsis thaliana GN=GRXC9 PE=1 SV=1</t>
  </si>
  <si>
    <t>HUA2-like protein 3 OS=Arabidopsis thaliana GN=At2g48160 PE=2 SV=2</t>
  </si>
  <si>
    <t>Protein Hikeshi OS=Danio rerio GN=zgc:110091 PE=2 SV=2</t>
  </si>
  <si>
    <t>Hydroquinone glucosyltransferase OS=Rauvolfia serpentina GN=AS PE=1 SV=1</t>
  </si>
  <si>
    <t>Chaperone protein HtpG OS=Rhodopseudomonas palustris (strain BisB18) GN=htpG PE=3 SV=1</t>
  </si>
  <si>
    <t>Syntaxin-binding protein 5 OS=Mus musculus GN=Stxbp5 PE=1 SV=3</t>
  </si>
  <si>
    <t>Chemocyanin OS=Lilium longiflorum PE=1 SV=1</t>
  </si>
  <si>
    <t>Putative F-box/LRR-repeat protein 23 OS=Arabidopsis thaliana GN=FBL23 PE=3 SV=1</t>
  </si>
  <si>
    <t>Regulatory-associated protein of TOR 1 OS=Arabidopsis thaliana GN=RAPTOR1 PE=1 SV=1</t>
  </si>
  <si>
    <t>DnaJ homolog subfamily C member 21 OS=Danio rerio GN=dnajc21 PE=2 SV=1</t>
  </si>
  <si>
    <t>Putative serine/threonine-protein kinase (Fragment) OS=Helianthus annuus PE=1 SV=1</t>
  </si>
  <si>
    <t>Protein trichome birefringence OS=Arabidopsis thaliana GN=TBR PE=1 SV=1</t>
  </si>
  <si>
    <t>HVA22-like protein f OS=Arabidopsis thaliana GN=HVA22F PE=2 SV=1</t>
  </si>
  <si>
    <t>Aberrant root formation protein 4 OS=Arabidopsis thaliana GN=ALF4 PE=1 SV=2</t>
  </si>
  <si>
    <t>Eukaryotic translation initiation factor 3 subunit J OS=Xenopus laevis GN=eif3j PE=2 SV=1</t>
  </si>
  <si>
    <t>Probable disease resistance protein At1g58390 OS=Arabidopsis thaliana GN=At1g58390 PE=2 SV=4</t>
  </si>
  <si>
    <t>F-box/kelch-repeat protein At1g16250 OS=Arabidopsis thaliana GN=At1g16250 PE=2 SV=1</t>
  </si>
  <si>
    <t>ATP synthase protein I OS=Synechococcus sp. (strain ATCC 27144 / PCC 6301 / SAUG 1402/1) GN=atpI PE=3 SV=1</t>
  </si>
  <si>
    <t>Reticulon-like protein B22 OS=Arabidopsis thaliana GN=RTNLB22 PE=2 SV=1</t>
  </si>
  <si>
    <t>Glutathione S-transferase TCHQD OS=Arabidopsis thaliana GN=TCHQD PE=2 SV=1</t>
  </si>
  <si>
    <t>Ubiquitin fusion degradation protein 1 homolog OS=Dictyostelium discoideum GN=ufd1 PE=3 SV=1</t>
  </si>
  <si>
    <t>Pentatricopeptide repeat-containing protein At3g14330 OS=Arabidopsis thaliana GN=PCMP-H57 PE=2 SV=2</t>
  </si>
  <si>
    <t>Non-structural maintenance of chromosomes element 1 homolog OS=Xenopus laevis GN=nsmce1 PE=2 SV=1</t>
  </si>
  <si>
    <t>Embryonic stem cell-specific 5-hydroxymethylcytosine-binding protein OS=Xenopus tropicalis GN=hmces PE=2 SV=1</t>
  </si>
  <si>
    <t>Geraniol 8-hydroxylase OS=Swertia mussotii GN=CYP76B10 PE=1 SV=1</t>
  </si>
  <si>
    <t>Swertia mussotii</t>
  </si>
  <si>
    <t>23 kDa jasmonate-induced protein OS=Hordeum vulgare PE=2 SV=1</t>
  </si>
  <si>
    <t>Ran-binding protein 10 OS=Danio rerio GN=ranbp10 PE=3 SV=1</t>
  </si>
  <si>
    <t>U11/U12 small nuclear ribonucleoprotein 31 kDa protein OS=Arabidopsis thaliana GN=SNRNP31 PE=2 SV=1</t>
  </si>
  <si>
    <t>Phosphoribulokinase, chloroplastic OS=Triticum aestivum PE=2 SV=1</t>
  </si>
  <si>
    <t>Proteasome subunit alpha type-2 OS=Oryza sativa subsp. japonica GN=PAB1 PE=2 SV=1</t>
  </si>
  <si>
    <t>2,3-bisphosphoglycerate-dependent phosphoglycerate mutase OS=Protochlamydia amoebophila (strain UWE25) GN=gpmA PE=3 SV=1</t>
  </si>
  <si>
    <t>UPF0392 protein RCOM_0530710 OS=Ricinus communis GN=RCOM_0699480 PE=3 SV=1</t>
  </si>
  <si>
    <t>Methyltransferase-like protein 17, mitochondrial OS=Mus musculus GN=Mettl17 PE=2 SV=2</t>
  </si>
  <si>
    <t>Protein NRT1/ PTR FAMILY 5.10 OS=Arabidopsis thaliana GN=NPF5.10 PE=2 SV=1</t>
  </si>
  <si>
    <t>GDSL esterase/lipase At5g03610 OS=Arabidopsis thaliana GN=At5g03610 PE=2 SV=1</t>
  </si>
  <si>
    <t>UPF0183 protein At3g51130 OS=Arabidopsis thaliana GN=At3g51130 PE=2 SV=2</t>
  </si>
  <si>
    <t>Ethylene-responsive transcription factor 5 OS=Arabidopsis thaliana GN=ERF5 PE=2 SV=1</t>
  </si>
  <si>
    <t>Signal recognition particle receptor subunit alpha OS=Mus musculus GN=Srpr PE=1 SV=1</t>
  </si>
  <si>
    <t>Uncharacterized membrane protein At1g75140 OS=Arabidopsis thaliana GN=At1g75140 PE=1 SV=3</t>
  </si>
  <si>
    <t>N-carbamoylputrescine amidase OS=Solanum tuberosum GN=CPA PE=2 SV=1</t>
  </si>
  <si>
    <t>Lysine--tRNA ligase, chloroplastic/mitochondrial OS=Arabidopsis thaliana GN=OVA5 PE=2 SV=1</t>
  </si>
  <si>
    <t>Ribosome production factor 2 homolog OS=Arabidopsis thaliana GN=At3g23620 PE=2 SV=1</t>
  </si>
  <si>
    <t>Ubiquitin carboxyl-terminal hydrolase 6 OS=Arabidopsis thaliana GN=UBP6 PE=1 SV=1</t>
  </si>
  <si>
    <t>Rhomboid-like protein 19 OS=Arabidopsis thaliana GN=RBL19 PE=2 SV=1</t>
  </si>
  <si>
    <t>Cyclic pyranopterin monophosphate synthase accessory protein, mitochondrial OS=Arabidopsis thaliana GN=CNX3 PE=1 SV=1</t>
  </si>
  <si>
    <t>Lysine-specific histone demethylase 1 homolog 3 OS=Arabidopsis thaliana GN=LDL3 PE=2 SV=1</t>
  </si>
  <si>
    <t>Calcium-transporting ATPase 2, plasma membrane-type OS=Arabidopsis thaliana GN=ACA2 PE=1 SV=1</t>
  </si>
  <si>
    <t>Condensin-2 complex subunit D3 OS=Mus musculus GN=Ncapd3 PE=1 SV=3</t>
  </si>
  <si>
    <t>LYR motif-containing protein 4 OS=Taeniopygia guttata GN=LYRM4 PE=3 SV=1</t>
  </si>
  <si>
    <t>Taeniopygia guttata</t>
  </si>
  <si>
    <t>Peptidyl-prolyl cis-trans isomerase CYP18-1 OS=Arabidopsis thaliana GN=CYP18-1 PE=2 SV=1</t>
  </si>
  <si>
    <t>Checkpoint protein hus1 homolog OS=Dictyostelium discoideum GN=hus1 PE=3 SV=1</t>
  </si>
  <si>
    <t>U-box domain-containing protein 35 OS=Arabidopsis thaliana GN=PUB35 PE=1 SV=2</t>
  </si>
  <si>
    <t>Glucuronokinase 1 OS=Arabidopsis thaliana GN=GLCAK1 PE=1 SV=1</t>
  </si>
  <si>
    <t>APO protein 4, mitochondrial OS=Arabidopsis thaliana GN=APO4 PE=2 SV=2</t>
  </si>
  <si>
    <t>50S ribosomal protein L34, chloroplastic OS=Spinacia oleracea GN=RPL34 PE=1 SV=1</t>
  </si>
  <si>
    <t>Pentatricopeptide repeat-containing protein At1g09220, mitochondrial OS=Arabidopsis thaliana GN=PCMP-E25 PE=2 SV=1</t>
  </si>
  <si>
    <t>Microtubule-associated protein RP/EB family member 1B OS=Arabidopsis thaliana GN=EB1B PE=1 SV=1</t>
  </si>
  <si>
    <t>Nudix hydrolase 23, chloroplastic OS=Arabidopsis thaliana GN=NUDT23 PE=1 SV=2</t>
  </si>
  <si>
    <t>Probable Xaa-Pro aminopeptidase 3 OS=Rattus norvegicus GN=Xpnpep3 PE=1 SV=1</t>
  </si>
  <si>
    <t>Plant cysteine oxidase 4 OS=Arabidopsis thaliana GN=PCO4 PE=1 SV=2</t>
  </si>
  <si>
    <t>Phosphate transporter PHO1 homolog 1 OS=Arabidopsis thaliana GN=PHO1-H1 PE=2 SV=1</t>
  </si>
  <si>
    <t>Trafficking protein particle complex II-specific subunit 130 homolog OS=Arabidopsis thaliana GN=TRS130 PE=1 SV=1</t>
  </si>
  <si>
    <t>Ras-related protein RABD2c OS=Arabidopsis thaliana GN=RABD2C PE=2 SV=1</t>
  </si>
  <si>
    <t>Very-long-chain (3R)-3-hydroxyacyl-CoA dehydratase PASTICCINO 2 OS=Arabidopsis thaliana GN=PAS2 PE=1 SV=1</t>
  </si>
  <si>
    <t>Upstream activation factor subunit UAF30 OS=Saccharomyces cerevisiae (strain ATCC 204508 / S288c) GN=UAF30 PE=1 SV=1</t>
  </si>
  <si>
    <t>Phospholipase A1-IIdelta OS=Arabidopsis thaliana GN=At2g42690 PE=1 SV=1</t>
  </si>
  <si>
    <t>26S proteasome non-ATPase regulatory subunit 7 homolog A OS=Arabidopsis thaliana GN=RPN8A PE=1 SV=1</t>
  </si>
  <si>
    <t>ATP-dependent DNA helicase DDM1 OS=Arabidopsis thaliana GN=DDM1 PE=1 SV=1</t>
  </si>
  <si>
    <t>RING finger protein 10 OS=Xenopus laevis GN=rnf10 PE=2 SV=1</t>
  </si>
  <si>
    <t>DNA polymerase epsilon subunit C OS=Debaryomyces hansenii (strain ATCC 36239 / CBS 767 / JCM 1990 / NBRC 0083 / IGC 2968) GN=DPB3 PE=3 SV=1</t>
  </si>
  <si>
    <t>Linoleate 9S-lipoxygenase 5, chloroplastic OS=Arabidopsis thaliana GN=LOX5 PE=2 SV=2</t>
  </si>
  <si>
    <t>ATP-dependent zinc metalloprotease FtsH 1 OS=Synechocystis sp. (strain PCC 6803 / Kazusa) GN=ftsH1 PE=2 SV=1</t>
  </si>
  <si>
    <t>Paired amphipathic helix protein Sin3-like 4 OS=Arabidopsis thaliana GN=SNL4 PE=3 SV=3</t>
  </si>
  <si>
    <t>MADS-box protein CMB1 OS=Dianthus caryophyllus GN=CMB1 PE=2 SV=1</t>
  </si>
  <si>
    <t>Phytochrome C OS=Oryza sativa subsp. japonica GN=PHYC PE=2 SV=1</t>
  </si>
  <si>
    <t>Proteasome activator subunit 4 OS=Arabidopsis thaliana GN=PA200 PE=2 SV=2</t>
  </si>
  <si>
    <t>Inositol transporter 1 OS=Arabidopsis thaliana GN=INT1 PE=1 SV=1</t>
  </si>
  <si>
    <t>Heparanase-like protein 1 OS=Arabidopsis thaliana GN=At5g07830 PE=2 SV=1</t>
  </si>
  <si>
    <t>Serine/threonine-protein phosphatase PP1 isozyme 8 OS=Arabidopsis thaliana GN=TOPP8 PE=2 SV=3</t>
  </si>
  <si>
    <t>Protein FAR1-RELATED SEQUENCE 8 OS=Arabidopsis thaliana GN=FRS8 PE=2 SV=2</t>
  </si>
  <si>
    <t>Pyridine nucleotide-disulfide oxidoreductase domain-containing protein 2 OS=Homo sapiens GN=PYROXD2 PE=1 SV=2</t>
  </si>
  <si>
    <t>Membrane-anchored ubiquitin-fold protein 3 OS=Arabidopsis thaliana GN=MUB3 PE=1 SV=1</t>
  </si>
  <si>
    <t>Probable pectate lyase 4 OS=Arabidopsis thaliana GN=At1g30350 PE=2 SV=1</t>
  </si>
  <si>
    <t>Small subunit processome component 20 homolog OS=Mus musculus GN=Utp20 PE=2 SV=2</t>
  </si>
  <si>
    <t>Probable zinc metallopeptidase EGY3, chloroplastic OS=Arabidopsis thaliana GN=EGY3 PE=2 SV=1</t>
  </si>
  <si>
    <t>Peptide-N4-(N-acetyl-beta-glucosaminyl)asparagine amidase A OS=Prunus dulcis PE=1 SV=2</t>
  </si>
  <si>
    <t>Chloride channel protein CLC-e OS=Arabidopsis thaliana GN=CLC-E PE=2 SV=2</t>
  </si>
  <si>
    <t>Pre-mRNA-processing protein 40C OS=Arabidopsis thaliana GN=MED35C PE=1 SV=1</t>
  </si>
  <si>
    <t>Omega-3 fatty acid desaturase, endoplasmic reticulum OS=Nicotiana tabacum GN=FAD3 PE=2 SV=1</t>
  </si>
  <si>
    <t>Reticulon-like protein B3 OS=Arabidopsis thaliana GN=RTNLB3 PE=2 SV=1</t>
  </si>
  <si>
    <t>Ethylene-responsive transcription factor RAP2-11 OS=Arabidopsis thaliana GN=RAP2-11 PE=2 SV=1</t>
  </si>
  <si>
    <t>DnaJ protein homolog 2 OS=Allium porrum GN=LDJ2 PE=2 SV=1</t>
  </si>
  <si>
    <t>Allium porrum</t>
  </si>
  <si>
    <t>Protein RNA-directed DNA methylation 3 OS=Arabidopsis thaliana GN=RDM3 PE=1 SV=1</t>
  </si>
  <si>
    <t>Ribulose-phosphate 3-epimerase, cytoplasmic isoform OS=Oryza sativa subsp. japonica GN=Os09g0505700 PE=1 SV=1</t>
  </si>
  <si>
    <t>Troponin C, skeletal muscle OS=Oryctolagus cuniculus GN=TNNC2 PE=1 SV=2</t>
  </si>
  <si>
    <t>Transcription factor VOZ1 OS=Arabidopsis thaliana GN=VOZ1 PE=1 SV=1</t>
  </si>
  <si>
    <t>Dihydrofolate reductase OS=Schizosaccharomyces pombe (strain 972 / ATCC 24843) GN=dfr1 PE=2 SV=2</t>
  </si>
  <si>
    <t>Heptahelical transmembrane protein 1 OS=Arabidopsis thaliana GN=HHP1 PE=1 SV=1</t>
  </si>
  <si>
    <t>Aspartate aminotransferase, chloroplastic OS=Arabidopsis thaliana GN=ASP5 PE=1 SV=2</t>
  </si>
  <si>
    <t>Probably inactive leucine-rich repeat receptor-like protein kinase At3g28040 OS=Arabidopsis thaliana GN=At3g28040 PE=2 SV=1</t>
  </si>
  <si>
    <t>Glutamine-dependent NAD(+) synthetase OS=Arabidopsis thaliana GN=At1g55090 PE=2 SV=1</t>
  </si>
  <si>
    <t>Polyadenylate-binding protein RBP47B OS=Arabidopsis thaliana GN=RBP47B PE=2 SV=1</t>
  </si>
  <si>
    <t>S-adenosylmethionine synthase 2 OS=Elaeagnus umbellata GN=SAMS2 PE=2 SV=1</t>
  </si>
  <si>
    <t>Elaeagnus umbellata</t>
  </si>
  <si>
    <t>Protein trichome birefringence-like 19 OS=Arabidopsis thaliana GN=TBL19 PE=3 SV=1</t>
  </si>
  <si>
    <t>Chaperone protein DnaJ OS=Cyanothece sp. (strain PCC 7424) GN=dnaJ PE=3 SV=1</t>
  </si>
  <si>
    <t>40S ribosomal protein SA OS=Glycine max PE=2 SV=1</t>
  </si>
  <si>
    <t>Glutamine synthetase leaf isozyme, chloroplastic OS=Phaseolus vulgaris PE=2 SV=1</t>
  </si>
  <si>
    <t>Heat stress transcription factor B-2b OS=Oryza sativa subsp. japonica GN=HSFB2B PE=2 SV=1</t>
  </si>
  <si>
    <t>Transport inhibitor response 1-like protein OS=Arabidopsis thaliana GN=At5g49980 PE=2 SV=1</t>
  </si>
  <si>
    <t>Asparagine synthetase [glutamine-hydrolyzing] OS=Asparagus officinalis PE=2 SV=2</t>
  </si>
  <si>
    <t>Transcription factor bHLH144 OS=Arabidopsis thaliana GN=BHLH144 PE=1 SV=1</t>
  </si>
  <si>
    <t>Heat shock factor protein HSF24 OS=Solanum peruvianum GN=HSF24 PE=2 SV=1</t>
  </si>
  <si>
    <t>PCI domain-containing protein 2 OS=Homo sapiens GN=PCid2 PE=1 SV=2</t>
  </si>
  <si>
    <t>Uncharacterized protein At2g02148 OS=Arabidopsis thaliana GN=At2g02148 PE=2 SV=1</t>
  </si>
  <si>
    <t>Transcription factor bHLH106 OS=Arabidopsis thaliana GN=BHLH106 PE=2 SV=1</t>
  </si>
  <si>
    <t>ABC transporter G family member 27 OS=Arabidopsis thaliana GN=ABCG27 PE=2 SV=1</t>
  </si>
  <si>
    <t>Acetyl-CoA acetyltransferase, cytosolic 1 OS=Arabidopsis thaliana GN=AAT1 PE=2 SV=1</t>
  </si>
  <si>
    <t>Probable pectinesterase 48 OS=Arabidopsis thaliana GN=PME48 PE=2 SV=2</t>
  </si>
  <si>
    <t>ADP,ATP carrier protein, mitochondrial (Fragment) OS=Solanum tuberosum GN=ANT1 PE=2 SV=1</t>
  </si>
  <si>
    <t>Probable xyloglucan glycosyltransferase 5 OS=Arabidopsis thaliana GN=CSLC5 PE=1 SV=1</t>
  </si>
  <si>
    <t>Diacylglycerol O-acyltransferase 2 OS=Arabidopsis thaliana GN=DGAT2 PE=2 SV=1</t>
  </si>
  <si>
    <t>5'-methylthioadenosine/S-adenosylhomocysteine nucleosidase 1 OS=Arabidopsis thaliana GN=MTN1 PE=1 SV=1</t>
  </si>
  <si>
    <t>Probable protein phosphatase methylesterase 1 OS=Caenorhabditis elegans GN=B0464.9 PE=3 SV=1</t>
  </si>
  <si>
    <t>Adenylate kinase 5, chloroplastic OS=Arabidopsis thaliana GN=At5g35170 PE=1 SV=1</t>
  </si>
  <si>
    <t>DDB1- and CUL4-associated factor homolog 1 OS=Arabidopsis thaliana GN=DCAF1 PE=1 SV=2</t>
  </si>
  <si>
    <t>Meiosis arrest female protein 1 OS=Homo sapiens GN=KIAA0430 PE=1 SV=6</t>
  </si>
  <si>
    <t>Phosphoglycerate mutase-like protein AT74 OS=Arabidopsis thaliana GN=At3g05170 PE=2 SV=1</t>
  </si>
  <si>
    <t>Reticulon-like protein B13 OS=Arabidopsis thaliana GN=RTNLB13 PE=2 SV=1</t>
  </si>
  <si>
    <t>Putative movement protein OS=Apple chlorotic leaf spot virus (isolate plum P863) PE=3 SV=1</t>
  </si>
  <si>
    <t>Aldehyde dehydrogenase OS=Alternaria alternata GN=ALTA10 PE=1 SV=2</t>
  </si>
  <si>
    <t>Alternaria alternata</t>
  </si>
  <si>
    <t>tRNA pseudouridine synthase A OS=Xanthobacter autotrophicus (strain ATCC BAA-1158 / Py2) GN=truA PE=3 SV=1</t>
  </si>
  <si>
    <t>Glucose-6-phosphate 1-dehydrogenase 4, chloroplastic OS=Arabidopsis thaliana GN=At1g09420 PE=2 SV=1</t>
  </si>
  <si>
    <t>Sulfate transporter 4.1, chloroplastic OS=Arabidopsis thaliana GN=SULTR4;1 PE=1 SV=1</t>
  </si>
  <si>
    <t>3-phosphoshikimate 1-carboxyvinyltransferase, chloroplastic OS=Petunia hybrida PE=1 SV=1</t>
  </si>
  <si>
    <t>GTP-binding nuclear protein GSP1/Ran OS=Neurospora crassa (strain ATCC 24698 / 74-OR23-1A / CBS 708.71 / DSM 1257 / FGSC 987) GN=ran PE=2 SV=1</t>
  </si>
  <si>
    <t>GDSL esterase/lipase At2g42990 OS=Arabidopsis thaliana GN=At2g42990 PE=2 SV=1</t>
  </si>
  <si>
    <t>Chitinase-like protein 1 OS=Arabidopsis thaliana GN=CTL1 PE=1 SV=1</t>
  </si>
  <si>
    <t>GDSL esterase/lipase APG OS=Arabidopsis thaliana GN=APG PE=1 SV=1</t>
  </si>
  <si>
    <t>Nuclear/nucleolar GTPase 2 OS=Arabidopsis thaliana GN=NUG2 PE=1 SV=1</t>
  </si>
  <si>
    <t>Nuclear poly(A) polymerase 1 OS=Arabidopsis thaliana GN=PAPS1 PE=1 SV=1</t>
  </si>
  <si>
    <t>Exportin-4 OS=Homo sapiens GN=XPO4 PE=1 SV=2</t>
  </si>
  <si>
    <t>Protein TIC 20-v, chloroplastic OS=Arabidopsis thaliana GN=TIC20-V PE=2 SV=1</t>
  </si>
  <si>
    <t>Zinc finger CCCH domain-containing protein 1 OS=Arabidopsis thaliana GN=At1g01350 PE=2 SV=2</t>
  </si>
  <si>
    <t>Leukocyte receptor cluster member 8 homolog OS=Danio rerio GN=leng8 PE=2 SV=1</t>
  </si>
  <si>
    <t>Phospholipase D alpha 1 OS=Carica papaya GN=PLD1 PE=1 SV=1</t>
  </si>
  <si>
    <t>Glycerate dehydrogenase HPR, peroxisomal OS=Arabidopsis thaliana GN=HPR PE=1 SV=1</t>
  </si>
  <si>
    <t>Probable galacturonosyltransferase 15 OS=Arabidopsis thaliana GN=GAUT15 PE=2 SV=1</t>
  </si>
  <si>
    <t>Receptor-like protein 2 OS=Arabidopsis thaliana GN=RLP2 PE=2 SV=1</t>
  </si>
  <si>
    <t>ATP synthase subunit 9, mitochondrial OS=Podospora anserina GN=ATP9 PE=3 SV=1</t>
  </si>
  <si>
    <t>High affinity nitrate transporter 2.5 OS=Arabidopsis thaliana GN=NRT2.5 PE=2 SV=1</t>
  </si>
  <si>
    <t>Pleiotropic drug resistance protein 3 OS=Nicotiana tabacum GN=PDR3 PE=2 SV=1</t>
  </si>
  <si>
    <t>VQ motif-containing protein 1 OS=Arabidopsis thaliana GN=VQ1 PE=1 SV=1</t>
  </si>
  <si>
    <t>WAT1-related protein At1g09380 OS=Arabidopsis thaliana GN=At1g09380 PE=2 SV=1</t>
  </si>
  <si>
    <t>VQ motif-containing protein 11 OS=Arabidopsis thaliana GN=VQ11 PE=1 SV=1</t>
  </si>
  <si>
    <t>Pentatricopeptide repeat-containing protein At5g18950 OS=Arabidopsis thaliana GN=At5g18950 PE=2 SV=2</t>
  </si>
  <si>
    <t>Scarecrow-like protein 1 OS=Arabidopsis thaliana GN=SCL1 PE=2 SV=1</t>
  </si>
  <si>
    <t>Probable pyruvate, phosphate dikinase regulatory protein, chloroplastic OS=Oryza sativa subsp. japonica GN=PDRP1 PE=2 SV=2</t>
  </si>
  <si>
    <t>Photosystem II stability/assembly factor HCF136, chloroplastic OS=Arabidopsis thaliana GN=HCF136 PE=1 SV=1</t>
  </si>
  <si>
    <t>Flotillin-like protein 1 OS=Medicago truncatula GN=FLOT1 PE=2 SV=1</t>
  </si>
  <si>
    <t>Transcription initiation factor TFIid subunit 10 OS=Arabidopsis thaliana GN=TAF10 PE=1 SV=1</t>
  </si>
  <si>
    <t>Regulator of nonsense transcripts 1 homolog OS=Arabidopsis thaliana GN=UPF1 PE=1 SV=2</t>
  </si>
  <si>
    <t>U-box domain-containing protein 25 OS=Arabidopsis thaliana GN=PUB25 PE=2 SV=1</t>
  </si>
  <si>
    <t>Protein ENHANCED DOWNY MILDEW 2 OS=Arabidopsis thaliana GN=EDM2 PE=1 SV=1</t>
  </si>
  <si>
    <t>Thylakoid lumenal 19 kDa protein, chloroplastic OS=Arabidopsis thaliana GN=At3g63540 PE=1 SV=2</t>
  </si>
  <si>
    <t>Trihelix transcription factor ASIL1 OS=Arabidopsis thaliana GN=ASIL1 PE=1 SV=1</t>
  </si>
  <si>
    <t>Protein-lysine N-methyltransferase Mettl10 OS=Mus musculus GN=Mettl10 PE=2 SV=1</t>
  </si>
  <si>
    <t>RING-H2 finger protein ATL52 OS=Arabidopsis thaliana GN=ATL52 PE=2 SV=1</t>
  </si>
  <si>
    <t>Basic leucine zipper 9 OS=Arabidopsis thaliana GN=BZIP9 PE=1 SV=1</t>
  </si>
  <si>
    <t>Triacylglycerol lipase SDP1 OS=Arabidopsis thaliana GN=SDP1 PE=1 SV=1</t>
  </si>
  <si>
    <t>Protein LST8 homolog OS=Dictyostelium discoideum GN=lst8 PE=1 SV=1</t>
  </si>
  <si>
    <t>Probable S-sulfocysteine synthase, chloroplastic OS=Arabidopsis thaliana GN=At3g03630 PE=1 SV=1</t>
  </si>
  <si>
    <t>Replication factor C subunit 3 OS=Oryza sativa subsp. japonica GN=RFC3 PE=2 SV=1</t>
  </si>
  <si>
    <t>Serine/threonine-protein phosphatase 6 regulatory subunit 3 OS=Gallus gallus GN=PPP6R3 PE=2 SV=1</t>
  </si>
  <si>
    <t>AP-4 complex subunit mu OS=Arabidopsis thaliana GN=AP4M PE=2 SV=1</t>
  </si>
  <si>
    <t>Tubby-like F-box protein 5 OS=Oryza sativa subsp. japonica GN=TULP5 PE=2 SV=1</t>
  </si>
  <si>
    <t>JmjC domain-containing protein 7 OS=Homo sapiens GN=JMJD7 PE=1 SV=1</t>
  </si>
  <si>
    <t>GATA transcription factor 26 OS=Arabidopsis thaliana GN=GATA26 PE=2 SV=1</t>
  </si>
  <si>
    <t>Oligopeptide transporter 7 OS=Arabidopsis thaliana GN=OPT7 PE=2 SV=1</t>
  </si>
  <si>
    <t>Pentatricopeptide repeat-containing protein At3g04750, mitochondrial OS=Arabidopsis thaliana GN=PCMP-E81 PE=2 SV=1</t>
  </si>
  <si>
    <t>Serine carboxypeptidase-like 27 OS=Arabidopsis thaliana GN=SCPL27 PE=2 SV=1</t>
  </si>
  <si>
    <t>DNA repair protein RAD51 homolog 4 OS=Arabidopsis thaliana GN=RAD51D PE=2 SV=2</t>
  </si>
  <si>
    <t>Zinc finger RNA-binding protein OS=Xenopus laevis GN=zfr PE=2 SV=1</t>
  </si>
  <si>
    <t>Vacuolar-sorting receptor 7 OS=Arabidopsis thaliana GN=VSR7 PE=2 SV=2</t>
  </si>
  <si>
    <t>ATP-dependent Clp protease proteolytic subunit 2, mitochondrial OS=Arabidopsis thaliana GN=CLPP2 PE=1 SV=1</t>
  </si>
  <si>
    <t>Serine--tRNA ligase OS=Helianthus annuus PE=2 SV=1</t>
  </si>
  <si>
    <t>CBL-interacting serine/threonine-protein kinase 25 OS=Arabidopsis thaliana GN=CIPK25 PE=2 SV=1</t>
  </si>
  <si>
    <t>Zinc/RING finger protein 4 OS=Macaca fascicularis GN=ZNRF4 PE=2 SV=1</t>
  </si>
  <si>
    <t>Plant intracellular Ras-group-related LRR protein 7 OS=Oryza sativa subsp. japonica GN=IRL7 PE=2 SV=1</t>
  </si>
  <si>
    <t>DnaJ homolog subfamily B member 12 OS=Mus musculus GN=Dnajb12 PE=2 SV=2</t>
  </si>
  <si>
    <t>3-epi-6-deoxocathasterone 23-monooxygenase OS=Arabidopsis thaliana GN=ROT3 PE=2 SV=3</t>
  </si>
  <si>
    <t>APO protein 2, chloroplastic OS=Arabidopsis thaliana GN=APO2 PE=2 SV=1</t>
  </si>
  <si>
    <t>Nudix hydrolase 20, chloroplastic OS=Arabidopsis thaliana GN=NUDT20 PE=2 SV=1</t>
  </si>
  <si>
    <t>Transcription factor TCP23 OS=Arabidopsis thaliana GN=TCP23 PE=1 SV=1</t>
  </si>
  <si>
    <t>Scarecrow-like protein 31 OS=Arabidopsis thaliana GN=SCL31 PE=2 SV=3</t>
  </si>
  <si>
    <t>26S proteasome non-ATPase regulatory subunit 1 homolog A OS=Arabidopsis thaliana GN=RPN2A PE=1 SV=1</t>
  </si>
  <si>
    <t>Phosphomannomutase/phosphoglucomutase OS=Pseudomonas putida (strain KT2440) GN=algC PE=3 SV=1</t>
  </si>
  <si>
    <t>Vacuolar protein sorting-associated protein 53 A OS=Arabidopsis thaliana GN=VPS53 PE=1 SV=1</t>
  </si>
  <si>
    <t>Origin of replication complex subunit 4 OS=Arabidopsis thaliana GN=ORC4 PE=1 SV=1</t>
  </si>
  <si>
    <t>Pentatricopeptide repeat-containing protein At1g73400, mitochondrial OS=Arabidopsis thaliana GN=At1g73400 PE=2 SV=2</t>
  </si>
  <si>
    <t>DNA replication complex GINS protein SLD5 OS=Rattus norvegicus GN=Gins4 PE=2 SV=1</t>
  </si>
  <si>
    <t>1-acyl-sn-glycerol-3-phosphate acyltransferase 2 OS=Arabidopsis thaliana GN=LPAT2 PE=1 SV=2</t>
  </si>
  <si>
    <t>Ferric reduction oxidase 8, mitochondrial OS=Arabidopsis thaliana GN=FRO8 PE=2 SV=1</t>
  </si>
  <si>
    <t>Probable galactinol--sucrose galactosyltransferase 5 OS=Arabidopsis thaliana GN=RFS5 PE=1 SV=1</t>
  </si>
  <si>
    <t>MKI67 FHA domain-interacting nucleolar phosphoprotein-like OS=Xenopus tropicalis GN=nifk PE=2 SV=1</t>
  </si>
  <si>
    <t>Putative pectinesterase/pectinesterase inhibitor 22 OS=Arabidopsis thaliana GN=PME22 PE=3 SV=1</t>
  </si>
  <si>
    <t>Methyltransferase-like protein 6 OS=Mus musculus GN=Mettl6 PE=2 SV=2</t>
  </si>
  <si>
    <t>RNA polymerase II transcriptional coactivator KIWI OS=Arabidopsis thaliana GN=KIWI PE=1 SV=1</t>
  </si>
  <si>
    <t>Vesicle-fusing ATPase OS=Arabidopsis thaliana GN=NSF PE=2 SV=2</t>
  </si>
  <si>
    <t>Glycine-rich RNA-binding protein 3, mitochondrial OS=Arabidopsis thaliana GN=RBG3 PE=2 SV=1</t>
  </si>
  <si>
    <t>E3 ubiquitin-protein ligase RNF185 OS=Gallus gallus GN=RNF185 PE=2 SV=1</t>
  </si>
  <si>
    <t>65-kDa microtubule-associated protein 1 OS=Arabidopsis thaliana GN=MAP65-1 PE=1 SV=1</t>
  </si>
  <si>
    <t>Chaperone protein dnaJ 6 OS=Arabidopsis thaliana GN=ATJ6 PE=2 SV=1</t>
  </si>
  <si>
    <t>Protein CHAPERONE-LIKE PROTEIN OF POR1, chloroplastic OS=Nicotiana benthamiana GN=CPP1 PE=1 SV=1</t>
  </si>
  <si>
    <t>Probable apyrase 7 OS=Arabidopsis thaliana GN=APY7 PE=2 SV=1</t>
  </si>
  <si>
    <t>Cell division control protein 6 homolog B OS=Arabidopsis thaliana GN=CDC6B PE=2 SV=1</t>
  </si>
  <si>
    <t>Isocitrate dehydrogenase [NADP] OS=Solanum tuberosum GN=ICDH-1 PE=2 SV=1</t>
  </si>
  <si>
    <t>65-kDa microtubule-associated protein 6 OS=Arabidopsis thaliana GN=MAP65-6 PE=1 SV=1</t>
  </si>
  <si>
    <t>Leucine-rich repeat receptor-like serine/threonine-protein kinase BAM1 OS=Arabidopsis thaliana GN=BAM1 PE=1 SV=1</t>
  </si>
  <si>
    <t>Peptidyl-prolyl cis-trans isomerase FKBP17-2, chloroplastic OS=Arabidopsis thaliana GN=FKBP17-2 PE=1 SV=1</t>
  </si>
  <si>
    <t>Thaumatin-like protein 1 OS=Castanea sativa GN=TL1 PE=2 SV=1</t>
  </si>
  <si>
    <t>ORM1-like protein 3 OS=Mus musculus GN=Ormdl3 PE=2 SV=1</t>
  </si>
  <si>
    <t>Syntaxin-22 OS=Arabidopsis thaliana GN=SYP22 PE=1 SV=1</t>
  </si>
  <si>
    <t>Probable magnesium transporter NIPA7 OS=Arabidopsis thaliana GN=At4g38730 PE=2 SV=1</t>
  </si>
  <si>
    <t>Two-component response regulator ARR1 OS=Arabidopsis thaliana GN=ARR1 PE=1 SV=2</t>
  </si>
  <si>
    <t>DEAD-box ATP-dependent RNA helicase 27 OS=Oryza sativa subsp. japonica GN=Os03g0802700 PE=3 SV=1</t>
  </si>
  <si>
    <t>E3 ubiquitin-protein ligase SINAT2 OS=Arabidopsis thaliana GN=SINAT2 PE=1 SV=1</t>
  </si>
  <si>
    <t>Putative tRNA (cytidine(34)-2'-O)-methyltransferase OS=Synechocystis sp. (strain PCC 6803 / Kazusa) GN=slr0992 PE=3 SV=1</t>
  </si>
  <si>
    <t>ADP-ribosylation factor GTPase-activating protein AGD7 OS=Arabidopsis thaliana GN=AGD7 PE=1 SV=1</t>
  </si>
  <si>
    <t>Pirin-like protein At1g50590 OS=Arabidopsis thaliana GN=At1g50590 PE=2 SV=1</t>
  </si>
  <si>
    <t>Integrator complex subunit 9 homolog OS=Nematostella vectensis GN=ints9 PE=3 SV=1</t>
  </si>
  <si>
    <t>Programmed cell death protein 5 OS=Pongo abelii GN=PDCD5 PE=2 SV=3</t>
  </si>
  <si>
    <t>Pre-mRNA-splicing factor SLU7 OS=Oryza sativa subsp. japonica GN=Os08g0127700 PE=2 SV=1</t>
  </si>
  <si>
    <t>Uncharacterized lipoprotein syc1174_c OS=Synechococcus sp. (strain ATCC 27144 / PCC 6301 / SAUG 1402/1) GN=syc1174_c PE=3 SV=2</t>
  </si>
  <si>
    <t>Cytochrome c-type biogenesis protein CcmE OS=Rhodospirillum rubrum (strain ATCC 11170 / ATH 1.1.1 / DSM 467 / LMG 4362 / NCIB 8255 / S1) GN=ccmE PE=3 SV=1</t>
  </si>
  <si>
    <t>Rhodospirillum rubrum</t>
  </si>
  <si>
    <t>Protein NRT1/ PTR FAMILY 6.3 OS=Arabidopsis thaliana GN=NPF6.3 PE=1 SV=1</t>
  </si>
  <si>
    <t>60S ribosomal protein L31 OS=Perilla frutescens GN=RPL31 PE=2 SV=1</t>
  </si>
  <si>
    <t>Perilla frutescens</t>
  </si>
  <si>
    <t>Ribosomal lysine N-methyltransferase set10 OS=Schizosaccharomyces pombe (strain 972 / ATCC 24843) GN=set10 PE=3 SV=1</t>
  </si>
  <si>
    <t>ATP-dependent 6-phosphofructokinase 5, chloroplastic OS=Arabidopsis thaliana GN=PFK5 PE=1 SV=1</t>
  </si>
  <si>
    <t>Bifunctional nuclease 1 OS=Arabidopsis thaliana GN=BBD1 PE=2 SV=1</t>
  </si>
  <si>
    <t>Thioredoxin F1, chloroplastic OS=Arabidopsis thaliana GN=At3g02730 PE=1 SV=2</t>
  </si>
  <si>
    <t>Calcium uptake protein 1 homolog, mitochondrial OS=Caenorhabditis elegans GN=Y67H2A.4 PE=3 SV=2</t>
  </si>
  <si>
    <t>UPF0261 protein y4oU OS=Rhizobium sp. (strain NGR234) GN=NGR_a02150 PE=3 SV=1</t>
  </si>
  <si>
    <t>Rhizobium sp.</t>
  </si>
  <si>
    <t>Histone-lysine N-methyltransferase ATXR6 OS=Arabidopsis thaliana GN=ATXR6 PE=1 SV=1</t>
  </si>
  <si>
    <t>Cytochrome c oxidase subunit 1 OS=Raphanus sativus GN=COX1 PE=3 SV=1</t>
  </si>
  <si>
    <t>Ras-related protein RABH1b OS=Arabidopsis thaliana GN=RABH1B PE=1 SV=1</t>
  </si>
  <si>
    <t>Mitochondrial substrate carrier family protein B OS=Dictyostelium discoideum GN=mcfB PE=3 SV=1</t>
  </si>
  <si>
    <t>Activating signal cointegrator 1 OS=Mus musculus GN=Trip4 PE=1 SV=2</t>
  </si>
  <si>
    <t>Metal tolerance protein 8 OS=Oryza sativa subsp. japonica GN=MTP8 PE=2 SV=2</t>
  </si>
  <si>
    <t>Biotin--protein ligase 1, chloroplastic OS=Arabidopsis thaliana GN=HCS1 PE=1 SV=2</t>
  </si>
  <si>
    <t>U-box domain-containing protein 13 OS=Arabidopsis thaliana GN=PUB13 PE=1 SV=1</t>
  </si>
  <si>
    <t>Protein ABIL3 OS=Arabidopsis thaliana GN=ABIL3 PE=2 SV=1</t>
  </si>
  <si>
    <t>Salutaridine reductase OS=Papaver bracteatum GN=SALR PE=1 SV=1</t>
  </si>
  <si>
    <t>Papaver bracteatum</t>
  </si>
  <si>
    <t>Peptidyl-prolyl cis-trans isomerase CYP95 OS=Arabidopsis thaliana GN=CYP95 PE=1 SV=2</t>
  </si>
  <si>
    <t>Probable nucleoredoxin 2 OS=Oryza sativa subsp. japonica GN=Os01g0794400 PE=2 SV=1</t>
  </si>
  <si>
    <t>DNA polymerase I B, chloroplastic/mitochondrial OS=Arabidopsis thaliana GN=POLIB PE=2 SV=1</t>
  </si>
  <si>
    <t>Somatic embryogenesis receptor kinase 2 OS=Arabidopsis thaliana GN=SERK2 PE=1 SV=1</t>
  </si>
  <si>
    <t>Transcription factor bHLH63 OS=Arabidopsis thaliana GN=BHLH63 PE=1 SV=1</t>
  </si>
  <si>
    <t>DEAD-box ATP-dependent RNA helicase 10 OS=Arabidopsis thaliana GN=RH10 PE=2 SV=2</t>
  </si>
  <si>
    <t>CBS domain-containing protein CBSX1, chloroplastic OS=Arabidopsis thaliana GN=CBSX1 PE=1 SV=2</t>
  </si>
  <si>
    <t>Casein kinase I OS=Toxoplasma gondii PE=2 SV=1</t>
  </si>
  <si>
    <t>Toxoplasma gondii</t>
  </si>
  <si>
    <t>Agamous-like MADS-box protein AGL1 OS=Arabidopsis thaliana GN=AGL1 PE=1 SV=1</t>
  </si>
  <si>
    <t>Linoleate 13S-lipoxygenase 2-1, chloroplastic OS=Solanum tuberosum GN=LOX2.1 PE=1 SV=1</t>
  </si>
  <si>
    <t>Nudix hydrolase 7 OS=Arabidopsis thaliana GN=NUDT7 PE=1 SV=1</t>
  </si>
  <si>
    <t>Protein DECREASED SIZE EXCLUSION LIMIT 1 OS=Nicotiana benthamiana GN=DSE1 PE=2 SV=1</t>
  </si>
  <si>
    <t>RCC1 and BTB domain-containing protein 2 OS=Rattus norvegicus GN=Rcbtb2 PE=2 SV=1</t>
  </si>
  <si>
    <t>Probable methyltransferase PMT13 OS=Arabidopsis thaliana GN=At4g00740 PE=2 SV=1</t>
  </si>
  <si>
    <t>tRNA(Ile)-lysidine synthase OS=Wolbachia pipientis subsp. Culex pipiens (strain wPip) GN=tilS PE=3 SV=1</t>
  </si>
  <si>
    <t>Wolbachia pipientis</t>
  </si>
  <si>
    <t>Protein CutA, chloroplastic OS=Arabidopsis thaliana GN=CUTA PE=1 SV=1</t>
  </si>
  <si>
    <t>StAR-related lipid transfer protein 7, mitochondrial OS=Mus musculus GN=Stard7 PE=2 SV=2</t>
  </si>
  <si>
    <t>Isoamylase 2, chloroplastic OS=Arabidopsis thaliana GN=ISA2 PE=1 SV=2</t>
  </si>
  <si>
    <t>Probable F-actin-capping protein subunit beta OS=Arabidopsis thaliana GN=At1g71790 PE=1 SV=1</t>
  </si>
  <si>
    <t>60S ribosomal protein L28-2 OS=Arabidopsis thaliana GN=RPL28C PE=2 SV=1</t>
  </si>
  <si>
    <t>Protein GDAP2 homolog OS=Drosophila melanogaster GN=CG18812 PE=2 SV=1</t>
  </si>
  <si>
    <t>Cysteine-rich repeat secretory protein 60 OS=Arabidopsis thaliana GN=CRRSP60 PE=1 SV=1</t>
  </si>
  <si>
    <t>Protein N-terminal glutamine amidohydrolase OS=Arabidopsis thaliana GN=At2g41760 PE=1 SV=1</t>
  </si>
  <si>
    <t>Mediator of RNA polymerase II transcription subunit 14 OS=Arabidopsis thaliana GN=MED14 PE=1 SV=1</t>
  </si>
  <si>
    <t>Annexin D4 OS=Arabidopsis thaliana GN=ANN4 PE=2 SV=1</t>
  </si>
  <si>
    <t>Protein NRT1/ PTR FAMILY 7.1 OS=Arabidopsis thaliana GN=NPF7.1 PE=2 SV=1</t>
  </si>
  <si>
    <t>Guanylate-binding protein 5 OS=Homo sapiens GN=GBP5 PE=1 SV=1</t>
  </si>
  <si>
    <t>EPidERMAL PATTERNING FACTOR-like protein 1 OS=Arabidopsis thaliana GN=EPFL1 PE=1 SV=1</t>
  </si>
  <si>
    <t>HMP-PP phosphatase OS=Shigella boydii serotype 4 (strain Sb227) GN=cof PE=3 SV=1</t>
  </si>
  <si>
    <t>Shigella boydii</t>
  </si>
  <si>
    <t>Formamidase OS=Methylophilus methylotrophus GN=fmdA PE=1 SV=1</t>
  </si>
  <si>
    <t>Methylophilus methylotrophus</t>
  </si>
  <si>
    <t>Dirigent protein 19 OS=Arabidopsis thaliana GN=DIR19 PE=2 SV=1</t>
  </si>
  <si>
    <t>Chitin-inducible gibberellin-responsive protein 2 OS=Oryza sativa subsp. japonica GN=CIGR2 PE=2 SV=1</t>
  </si>
  <si>
    <t>Dihydroorotate dehydrogenase (quinone), mitochondrial OS=Arabidopsis thaliana GN=PYRD PE=1 SV=2</t>
  </si>
  <si>
    <t>5'-nucleotidase SurE OS=Desulfitobacterium hafniense (strain Y51) GN=surE PE=3 SV=1</t>
  </si>
  <si>
    <t>Desulfitobacterium hafniense</t>
  </si>
  <si>
    <t>FKBP12-interacting protein of 37 kDa OS=Arabidopsis thaliana GN=FIP37 PE=1 SV=1</t>
  </si>
  <si>
    <t>Fructose-bisphosphate aldolase A OS=Oryctolagus cuniculus GN=ALDOA PE=1 SV=2</t>
  </si>
  <si>
    <t>F-box protein FBW2 OS=Arabidopsis thaliana GN=FBW2 PE=1 SV=1</t>
  </si>
  <si>
    <t>Mitochondrial outer membrane protein porin of 34 kDa OS=Solanum tuberosum PE=1 SV=2</t>
  </si>
  <si>
    <t>Protein TIFY 8 OS=Arabidopsis thaliana GN=TIFY8 PE=1 SV=1</t>
  </si>
  <si>
    <t>LOB domain-containing protein 38 OS=Arabidopsis thaliana GN=LBD38 PE=2 SV=1</t>
  </si>
  <si>
    <t>EPidERMAL PATTERNING FACTOR-like protein 4 OS=Arabidopsis thaliana GN=EPFL4 PE=1 SV=1</t>
  </si>
  <si>
    <t>Auxin-responsive protein IAA16 OS=Arabidopsis thaliana GN=IAA16 PE=1 SV=1</t>
  </si>
  <si>
    <t>Anthocyanidin 3-O-glucoside 6''-O-acyltransferase (Fragment) OS=Perilla frutescens PE=1 SV=1</t>
  </si>
  <si>
    <t>Probable pectinesterase/pectinesterase inhibitor 51 OS=Arabidopsis thaliana GN=PME51 PE=2 SV=1</t>
  </si>
  <si>
    <t>Putative uncharacterized protein ART3 OS=Saccharomyces cerevisiae (strain ATCC 204508 / S288c) GN=ART3 PE=5 SV=1</t>
  </si>
  <si>
    <t>UPF0603 protein At1g54780, chloroplastic OS=Arabidopsis thaliana GN=At1g54780 PE=1 SV=1</t>
  </si>
  <si>
    <t>Transcription repressor OFP17 OS=Arabidopsis thaliana GN=OFP17 PE=2 SV=1</t>
  </si>
  <si>
    <t>Defensin-like protein OS=Glycine max PE=3 SV=1</t>
  </si>
  <si>
    <t>Lipase-like PAD4 OS=Arabidopsis thaliana GN=PAD4 PE=1 SV=1</t>
  </si>
  <si>
    <t>Brefeldin A-inhibited guanine nucleotide-exchange protein 2 OS=Arabidopsis thaliana GN=BIG2 PE=2 SV=1</t>
  </si>
  <si>
    <t>Phospho-2-dehydro-3-deoxyheptonate aldolase 2, chloroplastic OS=Arabidopsis thaliana GN=DHS2 PE=2 SV=2</t>
  </si>
  <si>
    <t>Uncharacterized membrane protein At1g06890 OS=Arabidopsis thaliana GN=At1g06890 PE=1 SV=1</t>
  </si>
  <si>
    <t>Probable protein phosphatase 2C 28 OS=Oryza sativa subsp. japonica GN=Os03g0137200 PE=2 SV=1</t>
  </si>
  <si>
    <t>Gibberellin 2-beta-dioxygenase 2 OS=Pisum sativum GN=GA2OX2 PE=2 SV=1</t>
  </si>
  <si>
    <t>Dehydrodolichyl diphosphate synthase 2 OS=Arabidopsis thaliana GN=At5g58770 PE=2 SV=2</t>
  </si>
  <si>
    <t>Probable ribosome biogenesis protein RLP24 OS=Arabidopsis thaliana GN=At2g44860 PE=2 SV=1</t>
  </si>
  <si>
    <t>Protein NRT1/ PTR FAMILY 2.9 OS=Arabidopsis thaliana GN=NPF2.9 PE=1 SV=1</t>
  </si>
  <si>
    <t>3-hydroxy-3-methylglutaryl-coenzyme A reductase 1 OS=Solanum tuberosum GN=HMG1 PE=2 SV=1</t>
  </si>
  <si>
    <t>1-aminocyclopropane-1-carboxylate oxidase OS=Prunus mume GN=ACO1 PE=2 SV=1</t>
  </si>
  <si>
    <t>Prunus mume</t>
  </si>
  <si>
    <t>K(+) efflux antiporter 3, chloroplastic OS=Arabidopsis thaliana GN=KEA3 PE=2 SV=2</t>
  </si>
  <si>
    <t>Peptide chain release factor 1 OS=Cupriavidus pinatubonensis (strain JMP 134 / LMG 1197) GN=prfA PE=3 SV=1</t>
  </si>
  <si>
    <t>Cupriavidus pinatubonensis</t>
  </si>
  <si>
    <t>Protein MKS1 OS=Arabidopsis thaliana GN=MKS1 PE=1 SV=2</t>
  </si>
  <si>
    <t>Probable galactinol--sucrose galactosyltransferase 1 OS=Arabidopsis thaliana GN=RFS1 PE=2 SV=1</t>
  </si>
  <si>
    <t>Probable transcription factor GLK2 OS=Oryza sativa subsp. japonica GN=GLK2 PE=2 SV=1</t>
  </si>
  <si>
    <t>Splicing factor U2AF-associated protein 2 OS=Schizosaccharomyces pombe (strain 972 / ATCC 24843) GN=uap2 PE=1 SV=1</t>
  </si>
  <si>
    <t>Capsid protein OS=Grapevine fleck virus (isolate Italy/MT48) PE=4 SV=1</t>
  </si>
  <si>
    <t>Grapevine fleck</t>
  </si>
  <si>
    <t>Profilin-1 OS=Betula pendula GN=BETVII PE=1 SV=1</t>
  </si>
  <si>
    <t>UPF0187 protein sll1024 OS=Synechocystis sp. (strain PCC 6803 / Kazusa) GN=sll1024 PE=3 SV=2</t>
  </si>
  <si>
    <t>Putative laccase-9 OS=Oryza sativa subsp. japonica GN=LAC9 PE=3 SV=1</t>
  </si>
  <si>
    <t>Rhodanese-like domain-containing protein 15, chloroplastic OS=Arabidopsis thaliana GN=STR15 PE=2 SV=1</t>
  </si>
  <si>
    <t>Proline synthase co-transcribed bacterial homolog protein OS=Bos taurus GN=PROSC PE=2 SV=1</t>
  </si>
  <si>
    <t>Serine carboxypeptidase-like 35 OS=Arabidopsis thaliana GN=SCPL35 PE=2 SV=1</t>
  </si>
  <si>
    <t>WD repeat-containing protein VIP3 OS=Arabidopsis thaliana GN=VIP3 PE=1 SV=1</t>
  </si>
  <si>
    <t>Guanine nucleotide-binding protein alpha-1 subunit OS=Pisum sativum GN=GPA1 PE=2 SV=1</t>
  </si>
  <si>
    <t>Purple acid phosphatase 8 OS=Arabidopsis thaliana GN=PAP8 PE=2 SV=1</t>
  </si>
  <si>
    <t>Sodium transport ATPase 2 OS=Saccharomyces cerevisiae (strain ATCC 204508 / S288c) GN=ENA2 PE=1 SV=1</t>
  </si>
  <si>
    <t>Condensin complex subunit 1 OS=Schizosaccharomyces pombe (strain 972 / ATCC 24843) GN=cnd1 PE=1 SV=1</t>
  </si>
  <si>
    <t>Aquaporin TIP2-3 OS=Arabidopsis thaliana GN=TIP2-3 PE=1 SV=1</t>
  </si>
  <si>
    <t>Protein FDD123 OS=Trametes versicolor GN=FDD123 PE=2 SV=1</t>
  </si>
  <si>
    <t>Trametes versicolor</t>
  </si>
  <si>
    <t>Protein SLE3 OS=Glycine max GN=SLE3 PE=2 SV=1</t>
  </si>
  <si>
    <t>Glutamate dehydrogenase OS=Vitis vinifera GN=GDH PE=2 SV=1</t>
  </si>
  <si>
    <t>Zinc finger CCCH domain-containing protein 2 OS=Arabidopsis thaliana GN=At1g03790 PE=2 SV=1</t>
  </si>
  <si>
    <t>Proline-rich receptor-like protein kinase PERK3 OS=Arabidopsis thaliana GN=PERK3 PE=2 SV=2</t>
  </si>
  <si>
    <t>Mitochondrial intermembrane space import and assembly protein 40 OS=Cryptococcus neoformans var. neoformans serotype D (strain JEC21 / ATCC MYA-565) GN=MIA40 PE=3 SV=1</t>
  </si>
  <si>
    <t>Tetrapyrrole-binding protein, chloroplastic OS=Arabidopsis thaliana GN=GUN4 PE=1 SV=1</t>
  </si>
  <si>
    <t>NEP1-interacting protein 2 OS=Arabidopsis thaliana GN=NIP2 PE=1 SV=1</t>
  </si>
  <si>
    <t>Tetraspanin-11 OS=Arabidopsis thaliana GN=TET11 PE=2 SV=1</t>
  </si>
  <si>
    <t>D-galacturonate reductase OS=Fragaria ananassa GN=GALUR PE=1 SV=1</t>
  </si>
  <si>
    <t>Dephospho-CoA kinase OS=Arabidopsis thaliana GN=COAE PE=2 SV=1</t>
  </si>
  <si>
    <t>UDP-galactose/UDP-glucose transporter 5B OS=Arabidopsis thaliana GN=At5g59740 PE=2 SV=1</t>
  </si>
  <si>
    <t>CCR4-NOT transcription complex subunit 1 OS=Mus musculus GN=Cnot1 PE=1 SV=2</t>
  </si>
  <si>
    <t>DUF21 domain-containing protein At4g14240 OS=Arabidopsis thaliana GN=CBSDUF1 PE=1 SV=1</t>
  </si>
  <si>
    <t>Putative clathrin assembly protein At4g40080 OS=Arabidopsis thaliana GN=At4g40080 PE=2 SV=2</t>
  </si>
  <si>
    <t>DIS3-like exonuclease 2 OS=Arabidopsis thaliana GN=SOV PE=1 SV=1</t>
  </si>
  <si>
    <t>Patellin-4 OS=Arabidopsis thaliana GN=PATL4 PE=1 SV=2</t>
  </si>
  <si>
    <t>Bifunctional riboflavin biosynthesis protein RIBA 1, chloroplastic OS=Arabidopsis thaliana GN=RIBA1 PE=1 SV=2</t>
  </si>
  <si>
    <t>Thaumatin-like protein OS=Oryza sativa subsp. japonica GN=Os11g0706600 PE=2 SV=1</t>
  </si>
  <si>
    <t>Probable F-box protein At1g60180 OS=Arabidopsis thaliana GN=At2g36090 PE=2 SV=1</t>
  </si>
  <si>
    <t>Phosphoglycerate kinase OS=Prochlorococcus marinus (strain MIT 9211) GN=pgk PE=3 SV=1</t>
  </si>
  <si>
    <t>DNA polymerase epsilon subunit 3 OS=Pongo abelii GN=POLE3 PE=2 SV=1</t>
  </si>
  <si>
    <t>Bifunctional aspartate aminotransferase and glutamate/aspartate-prephenate aminotransferase OS=Arabidopsis thaliana GN=PAT PE=1 SV=2</t>
  </si>
  <si>
    <t>Histone H1 OS=Solanum pennellii PE=2 SV=1</t>
  </si>
  <si>
    <t>Solanum pennellii</t>
  </si>
  <si>
    <t>O-glucosyltransferase rumi OS=Drosophila melanogaster GN=rumi PE=1 SV=1</t>
  </si>
  <si>
    <t>BSD domain-containing protein 1 OS=Danio rerio GN=bsdc1 PE=1 SV=1</t>
  </si>
  <si>
    <t>Geranylgeranyl transferase type-2 subunit alpha OS=Pongo abelii GN=RABGGTA PE=2 SV=1</t>
  </si>
  <si>
    <t>Chitinase 1 OS=Tulipa bakeri PE=1 SV=1</t>
  </si>
  <si>
    <t>Pentatricopeptide repeat-containing protein At5g01110 OS=Arabidopsis thaliana GN=At5g01110 PE=2 SV=1</t>
  </si>
  <si>
    <t>1-aminocyclopropane-1-carboxylate synthase 1 OS=Prunus mume GN=ACS1 PE=2 SV=1</t>
  </si>
  <si>
    <t>Histidinol dehydrogenase, chloroplastic OS=Arabidopsis thaliana GN=HISN8 PE=2 SV=1</t>
  </si>
  <si>
    <t>Bystin OS=Bos taurus GN=BYSL PE=2 SV=1</t>
  </si>
  <si>
    <t>Uncharacterized vacuolar membrane protein YML018C OS=Saccharomyces cerevisiae (strain ATCC 204508 / S288c) GN=YML018C PE=1 SV=1</t>
  </si>
  <si>
    <t>Transcription factor bHLH91 OS=Arabidopsis thaliana GN=BHLH91 PE=2 SV=1</t>
  </si>
  <si>
    <t>Protein FLX-like 1 OS=Arabidopsis thaliana GN=FLXL1 PE=1 SV=1</t>
  </si>
  <si>
    <t>NF-X1-type zinc finger protein NFXL1 OS=Arabidopsis thaliana GN=NFXL1 PE=2 SV=1</t>
  </si>
  <si>
    <t>Alpha-galactosidase 3 OS=Arabidopsis thaliana GN=AGAL3 PE=1 SV=1</t>
  </si>
  <si>
    <t>Chromatin assembly factor 1 subunit FAS1 OS=Arabidopsis thaliana GN=FAS1 PE=1 SV=1</t>
  </si>
  <si>
    <t>Lipase OS=Rhizomucor miehei PE=1 SV=2</t>
  </si>
  <si>
    <t>Rhizomucor miehei</t>
  </si>
  <si>
    <t>General negative regulator of transcription subunit 4 OS=Saccharomyces cerevisiae (strain ATCC 204508 / S288c) GN=MOT2 PE=1 SV=1</t>
  </si>
  <si>
    <t>CASP-like protein 4A2 OS=Arabidopsis lyrata subsp. lyrata GN=ARALYDRAFT_919556 PE=3 SV=1</t>
  </si>
  <si>
    <t>Arabidopsis lyrata</t>
  </si>
  <si>
    <t>Protein LYK5 OS=Arabidopsis thaliana GN=LYK5 PE=2 SV=1</t>
  </si>
  <si>
    <t>N-lysine methyltransferase SETD6 OS=Gallus gallus GN=SETD6 PE=2 SV=2</t>
  </si>
  <si>
    <t>Tubulin alpha-1 chain OS=Hordeum vulgare GN=TUBA1 PE=2 SV=1</t>
  </si>
  <si>
    <t>Protein TIC 21, chloroplastic OS=Arabidopsis thaliana GN=TIC21 PE=1 SV=1</t>
  </si>
  <si>
    <t>F-box protein PP2-A12 OS=Arabidopsis thaliana GN=P2A12 PE=2 SV=1</t>
  </si>
  <si>
    <t>Graves disease carrier protein OS=Bos taurus GN=SLC25A16 PE=2 SV=1</t>
  </si>
  <si>
    <t>Mediator of DNA damage checkpoint protein 1 OS=Pan troglodytes GN=MDC1 PE=3 SV=1</t>
  </si>
  <si>
    <t>Putative S-adenosyl-L-methionine-dependent methyltransferase MAV_4873 OS=Mycobacterium avium (strain 104) GN=MAV_4873 PE=3 SV=1</t>
  </si>
  <si>
    <t>Mycobacterium avium</t>
  </si>
  <si>
    <t>E3 ubiquitin-protein ligase RNF181 OS=Mus musculus GN=Rnf181 PE=2 SV=1</t>
  </si>
  <si>
    <t>Serine/threonine-protein kinase tricorner OS=Drosophila melanogaster GN=trc PE=1 SV=1</t>
  </si>
  <si>
    <t>Allene oxide synthase OS=Parthenium argentatum GN=CYP74A2 PE=1 SV=2</t>
  </si>
  <si>
    <t>Germin-like protein subfamily T member 2 OS=Arabidopsis thaliana GN=At1g18980 PE=2 SV=1</t>
  </si>
  <si>
    <t>Valine--tRNA ligase, chloroplastic/mitochondrial 2 OS=Arabidopsis thaliana GN=EMB2247 PE=3 SV=1</t>
  </si>
  <si>
    <t>E3 ubiquitin-protein ligase SINAT5 OS=Arabidopsis thaliana GN=SINAT5 PE=1 SV=2</t>
  </si>
  <si>
    <t>CLPTM1-like membrane protein cnrB OS=Dictyostelium discoideum GN=cnrB PE=3 SV=1</t>
  </si>
  <si>
    <t>Uncharacterized protein ycf54 OS=Porphyra purpurea GN=ycf54 PE=3 SV=1</t>
  </si>
  <si>
    <t>Peroxisomal and mitochondrial division factor 2 OS=Arabidopsis thaliana GN=PMD2 PE=1 SV=1</t>
  </si>
  <si>
    <t>Uncharacterized protein At5g65660 OS=Arabidopsis thaliana GN=At5g65660 PE=2 SV=1</t>
  </si>
  <si>
    <t>Trafficking protein particle complex subunit 4 OS=Dictyostelium discoideum GN=trappc4 PE=3 SV=1</t>
  </si>
  <si>
    <t>Protein arginine N-methyltransferase PRMT10 OS=Arabidopsis thaliana GN=PRMT10 PE=1 SV=1</t>
  </si>
  <si>
    <t>ENHANCER OF AG-4 protein 2 OS=Arabidopsis thaliana GN=HUA2 PE=2 SV=1</t>
  </si>
  <si>
    <t>RNA polymerase sigma factor sigC OS=Arabidopsis thaliana GN=SIGC PE=2 SV=1</t>
  </si>
  <si>
    <t>ATP-dependent RNA helicase dhx8 OS=Dictyostelium discoideum GN=dhx8 PE=3 SV=1</t>
  </si>
  <si>
    <t>WD repeat and HMG-box DNA-binding protein 1 OS=Xenopus laevis GN=wdhd1 PE=1 SV=1</t>
  </si>
  <si>
    <t>Fanconi anemia group M protein homolog OS=Mus musculus GN=Fancm PE=1 SV=3</t>
  </si>
  <si>
    <t>WUSCHEL-related homeobox 13 OS=Arabidopsis thaliana GN=WOX13 PE=2 SV=1</t>
  </si>
  <si>
    <t>Uncharacterized protein At4g15545 OS=Arabidopsis thaliana GN=At4g15545 PE=1 SV=1</t>
  </si>
  <si>
    <t>Protein-tyrosine sulfotransferase OS=Arabidopsis thaliana GN=TPST PE=1 SV=3</t>
  </si>
  <si>
    <t>Protein RER1A OS=Arabidopsis thaliana GN=RER1A PE=1 SV=1</t>
  </si>
  <si>
    <t>CMP-sialic acid transporter 4 OS=Arabidopsis thaliana GN=At4g35335 PE=2 SV=1</t>
  </si>
  <si>
    <t>ACT domain-containing protein ACR3 OS=Arabidopsis thaliana GN=ACR3 PE=2 SV=1</t>
  </si>
  <si>
    <t>Putative ALA-interacting subunit 2 OS=Arabidopsis thaliana GN=ALIS2 PE=2 SV=1</t>
  </si>
  <si>
    <t>Probable xyloglucan endotransglucosylase/hydrolase protein 30 OS=Arabidopsis thaliana GN=XTH30 PE=2 SV=2</t>
  </si>
  <si>
    <t>Phosphoglucan phosphatase DSP4, amyloplastic OS=Castanea sativa GN=DSP4 PE=1 SV=1</t>
  </si>
  <si>
    <t>Adenylyl-sulfate kinase 1, chloroplastic OS=Arabidopsis thaliana GN=APK1 PE=1 SV=1</t>
  </si>
  <si>
    <t>Transcription repressor OFP14 OS=Arabidopsis thaliana GN=OFP14 PE=1 SV=1</t>
  </si>
  <si>
    <t>Translation initiation factor IF-1, chloroplastic OS=Solanum lycopersicum GN=infA PE=2 SV=1</t>
  </si>
  <si>
    <t>Signal peptidase complex catalytic subunit SEC11A OS=Rattus norvegicus GN=Sec11a PE=2 SV=1</t>
  </si>
  <si>
    <t>Cytochrome P450 81E8 OS=Medicago truncatula GN=CYP81E8 PE=2 SV=1</t>
  </si>
  <si>
    <t>Uncharacterized membrane protein YjcL OS=Bacillus subtilis (strain 168) GN=yjcL PE=4 SV=1</t>
  </si>
  <si>
    <t>TSL-kinase interacting protein 1 OS=Arabidopsis thaliana GN=TKI1 PE=1 SV=2</t>
  </si>
  <si>
    <t>DNA (cytosine-5)-methyltransferase CMT3 OS=Arabidopsis thaliana GN=CMT3 PE=1 SV=2</t>
  </si>
  <si>
    <t>Auxin-responsive protein SAUR72 OS=Arabidopsis thaliana GN=SAUR72 PE=2 SV=1</t>
  </si>
  <si>
    <t>Probable beta-1,4-xylosyltransferase IRX9 OS=Arabidopsis thaliana GN=IRX9 PE=2 SV=1</t>
  </si>
  <si>
    <t>GTPase HflX OS=Clostridium saccharolyticum (strain ATCC 35040 / DSM 2544 / NRCC 2533 / WM1) GN=hflX PE=3 SV=1</t>
  </si>
  <si>
    <t>Clostridium saccharolyticum</t>
  </si>
  <si>
    <t>Protein root UVB sensitive 3 OS=Arabidopsis thaliana GN=RUS3 PE=2 SV=1</t>
  </si>
  <si>
    <t>Bidirectional sugar transporter N3 OS=Medicago truncatula GN=N3 PE=2 SV=1</t>
  </si>
  <si>
    <t>Superkiller viralicidic activity 2-like 2 OS=Homo sapiens GN=SKIV2L2 PE=1 SV=3</t>
  </si>
  <si>
    <t>Chromodomain-helicase-DNA-binding protein 1-like OS=Homo sapiens GN=CHD1L PE=1 SV=2</t>
  </si>
  <si>
    <t>28 kDa ribonucleoprotein, chloroplastic OS=Spinacia oleracea PE=1 SV=1</t>
  </si>
  <si>
    <t>Putative exosome complex component rrp40 OS=Dictyostelium discoideum GN=exosc3 PE=3 SV=1</t>
  </si>
  <si>
    <t>Replication protein A 70 kDa DNA-binding subunit A OS=Arabidopsis thaliana GN=RPA1A PE=1 SV=1</t>
  </si>
  <si>
    <t>Auxin-responsive protein IAA7 OS=Arabidopsis thaliana GN=IAA7 PE=1 SV=1</t>
  </si>
  <si>
    <t>Glycerol-3-phosphate acyltransferase, chloroplastic OS=Cucumis sativus PE=2 SV=1</t>
  </si>
  <si>
    <t>Glutamate synthase [NADH], amyloplastic OS=Medicago sativa PE=1 SV=1</t>
  </si>
  <si>
    <t>Calmodulin-binding receptor-like cytoplasmic kinase 2 OS=Arabidopsis thaliana GN=CRCK2 PE=2 SV=1</t>
  </si>
  <si>
    <t>E3 ubiquitin-protein ligase RBBP6 OS=Mus musculus GN=Rbbp6 PE=1 SV=5</t>
  </si>
  <si>
    <t>O-methyltransferase 3 OS=Dictyostelium discoideum GN=omt3 PE=2 SV=1</t>
  </si>
  <si>
    <t>Probable protein phosphatase 2C 9 OS=Arabidopsis thaliana GN=At1g22280 PE=1 SV=1</t>
  </si>
  <si>
    <t>Putative pentatricopeptide repeat-containing protein At1g26500 OS=Arabidopsis thaliana GN=At1g26500 PE=3 SV=1</t>
  </si>
  <si>
    <t>Heparan-alpha-glucosaminide N-acetyltransferase OS=Homo sapiens GN=HGSNAT PE=1 SV=2</t>
  </si>
  <si>
    <t>Phytochromobilin:ferredoxin oxidoreductase, chloroplastic OS=Arabidopsis thaliana GN=HY2 PE=2 SV=1</t>
  </si>
  <si>
    <t>bZIP transcription factor 17 OS=Arabidopsis thaliana GN=BZIP17 PE=1 SV=2</t>
  </si>
  <si>
    <t>OTU domain-containing protein 5 OS=Rattus norvegicus GN=Otud5 PE=2 SV=2</t>
  </si>
  <si>
    <t>Transmembrane protein 214-B OS=Xenopus laevis GN=tmem214-b PE=2 SV=1</t>
  </si>
  <si>
    <t>Beta-1,3-galactosyltransferase 7 OS=Arabidopsis thaliana GN=B3GALT7 PE=2 SV=1</t>
  </si>
  <si>
    <t>Protein NUCLEAR FUSION DEFECTIVE 6, chloroplastic/mitochondrial OS=Arabidopsis thaliana GN=NFD6 PE=2 SV=1</t>
  </si>
  <si>
    <t>Serine/threonine-protein kinase/endoribonuclease IRE1b OS=Arabidopsis thaliana GN=IRE1B PE=2 SV=1</t>
  </si>
  <si>
    <t>Pre-mRNA-processing factor 17 OS=Mus musculus GN=Cdc40 PE=2 SV=1</t>
  </si>
  <si>
    <t>E3 ubiquitin-protein ligase makorin OS=Oryza sativa subsp. japonica GN=MKRN PE=2 SV=1</t>
  </si>
  <si>
    <t>GDP-mannose transporter GONST2 OS=Arabidopsis thaliana GN=GONST2 PE=2 SV=1</t>
  </si>
  <si>
    <t>Ubiquitin receptor RAD23d OS=Arabidopsis thaliana GN=RAD23D PE=1 SV=2</t>
  </si>
  <si>
    <t>F-box protein SKIP31 OS=Arabidopsis thaliana GN=SKIP31 PE=1 SV=1</t>
  </si>
  <si>
    <t>Serrate RNA effector molecule OS=Arabidopsis thaliana GN=SE PE=1 SV=2</t>
  </si>
  <si>
    <t>Nudix hydrolase 16, mitochondrial OS=Arabidopsis thaliana GN=NUDT16 PE=2 SV=1</t>
  </si>
  <si>
    <t>50S ribosomal protein L17, chloroplastic OS=Nicotiana tabacum GN=RPL17 PE=2 SV=1</t>
  </si>
  <si>
    <t>Serine/threonine-protein phosphatase PP2A catalytic subunit OS=Nicotiana tabacum PE=2 SV=1</t>
  </si>
  <si>
    <t>Protease Do-like 2, chloroplastic OS=Arabidopsis thaliana GN=DEGP2 PE=1 SV=2</t>
  </si>
  <si>
    <t>Putative GTP diphosphokinase RSH1, chloroplastic OS=Arabidopsis thaliana GN=RSH1 PE=1 SV=1</t>
  </si>
  <si>
    <t>Toll/interleukin-1 receptor-like protein OS=Arabidopsis thaliana GN=TIR PE=1 SV=1</t>
  </si>
  <si>
    <t>Protein BASIC PENTACYSTEINE4 OS=Arabidopsis thaliana GN=BPC4 PE=1 SV=1</t>
  </si>
  <si>
    <t>Flagellar radial spoke protein 5 OS=Chlamydomonas reinhardtii GN=RSP5 PE=1 SV=1</t>
  </si>
  <si>
    <t>Transcription initiation factor TFIid subunit 12 OS=Arabidopsis thaliana GN=TAF12 PE=1 SV=1</t>
  </si>
  <si>
    <t>Thioredoxin-like protein Clot OS=Arabidopsis thaliana GN=At5g42850 PE=2 SV=1</t>
  </si>
  <si>
    <t>Vesicle-associated protein 4-2 OS=Arabidopsis thaliana GN=PVA42 PE=1 SV=1</t>
  </si>
  <si>
    <t>NADH-ubiquinone oxidoreductase chain 1 OS=Citrullus lanatus GN=ND1 PE=2 SV=1</t>
  </si>
  <si>
    <t>Probable ADP-ribosylation factor GTPase-activating protein AGD5 OS=Arabidopsis thaliana GN=AGD5 PE=1 SV=1</t>
  </si>
  <si>
    <t>Oligopeptide transporter 4 OS=Arabidopsis thaliana GN=OPT4 PE=1 SV=1</t>
  </si>
  <si>
    <t>SKP1-like protein 4 OS=Arabidopsis thaliana GN=ASK4 PE=1 SV=1</t>
  </si>
  <si>
    <t>Fatty acid 2-hydroxylase 2 OS=Arabidopsis thaliana GN=FAH2 PE=1 SV=1</t>
  </si>
  <si>
    <t>Probable protein phosphatase 2C 24 OS=Arabidopsis thaliana GN=At2g29380 PE=2 SV=1</t>
  </si>
  <si>
    <t>Lactation elevated protein 1 OS=Homo sapiens GN=LACE1 PE=1 SV=2</t>
  </si>
  <si>
    <t>Protein FAM188A OS=Bos taurus GN=FAM188A PE=2 SV=1</t>
  </si>
  <si>
    <t>Probable serine/threonine-protein kinase GCN2 OS=Arabidopsis thaliana GN=GCN2 PE=2 SV=2</t>
  </si>
  <si>
    <t>Ankyrin repeat-containing protein P16F5.05c OS=Schizosaccharomyces pombe (strain 972 / ATCC 24843) GN=SPBP16F5.05c PE=3 SV=1</t>
  </si>
  <si>
    <t>Glyceraldehyde-3-phosphate dehydrogenase, cytosolic OS=Antirrhinum majus GN=GAPC PE=2 SV=1</t>
  </si>
  <si>
    <t>PsbP domain-containing protein 6, chloroplastic OS=Arabidopsis thaliana GN=PPD6 PE=1 SV=1</t>
  </si>
  <si>
    <t>CASP-like protein 2A1 OS=Vitis vinifera GN=VIT_01s0010g01870 PE=2 SV=1</t>
  </si>
  <si>
    <t>Basic blue protein OS=Cucumis sativus PE=1 SV=1</t>
  </si>
  <si>
    <t>DEAD-box ATP-dependent RNA helicase 47A OS=Oryza sativa subsp. japonica GN=Os02g0636300 PE=2 SV=1</t>
  </si>
  <si>
    <t>Exocyst complex component EXO70B1 OS=Arabidopsis thaliana GN=EXO70B1 PE=1 SV=1</t>
  </si>
  <si>
    <t>Protein FATTY ACid EXPORT 2, chloroplastic OS=Arabidopsis thaliana GN=FAX2 PE=2 SV=1</t>
  </si>
  <si>
    <t>GDP-mannose transporter GONST5 OS=Arabidopsis thaliana GN=GONST5 PE=2 SV=1</t>
  </si>
  <si>
    <t>Peptidyl-prolyl cis-trans isomerase FKBP15-1 OS=Arabidopsis thaliana GN=FKBP15-1 PE=2 SV=2</t>
  </si>
  <si>
    <t>Elongation factor 1-beta 1 OS=Arabidopsis thaliana GN=At5g12110 PE=2 SV=2</t>
  </si>
  <si>
    <t>Pyrophosphate-energized vacuolar membrane proton pump OS=Vigna radiata var. radiata PE=1 SV=4</t>
  </si>
  <si>
    <t>Nucleolar protein 14 OS=Mus musculus GN=Nop14 PE=1 SV=2</t>
  </si>
  <si>
    <t>Probable receptor-like protein kinase At5g18500 OS=Arabidopsis thaliana GN=At5g18500 PE=2 SV=1</t>
  </si>
  <si>
    <t>Trafficking protein particle complex subunit 1 OS=Dictyostelium discoideum GN=trappc1-1 PE=3 SV=1</t>
  </si>
  <si>
    <t>N-alpha-acetyltransferase 40 OS=Danio rerio GN=naa40 PE=2 SV=1</t>
  </si>
  <si>
    <t>Zinc finger CCCH domain-containing protein 67 OS=Arabidopsis thaliana GN=At5g63260 PE=2 SV=2</t>
  </si>
  <si>
    <t>EPidERMAL PATTERNING FACTOR-like protein 9 OS=Arabidopsis thaliana GN=EPFL9 PE=1 SV=1</t>
  </si>
  <si>
    <t>Katanin p60 ATPase-containing subunit A-like 2 OS=Xenopus tropicalis GN=katnal2 PE=2 SV=1</t>
  </si>
  <si>
    <t>Protein TPLATE OS=Arabidopsis thaliana GN=TPLATE PE=1 SV=1</t>
  </si>
  <si>
    <t>B3 domain-containing protein REM5 OS=Arabidopsis thaliana GN=REM5 PE=2 SV=1</t>
  </si>
  <si>
    <t>DEAD-box ATP-dependent RNA helicase 57 OS=Arabidopsis thaliana GN=RH57 PE=2 SV=1</t>
  </si>
  <si>
    <t>DNA-directed RNA polymerases IV and V subunit 4 OS=Arabidopsis thaliana GN=NRPD4 PE=1 SV=2</t>
  </si>
  <si>
    <t>Protein TAR1 OS=Saccharomyces cerevisiae (strain ATCC 204508 / S288c) GN=TAR1 PE=2 SV=1</t>
  </si>
  <si>
    <t>Pre-rRNA-processing protein TSR2 homolog OS=Homo sapiens GN=TSR2 PE=1 SV=1</t>
  </si>
  <si>
    <t>Short-chain type dehydrogenase/reductase OS=Picea abies PE=2 SV=1</t>
  </si>
  <si>
    <t>Patatin-like protein 8 OS=Arabidopsis thaliana GN=PLP8 PE=2 SV=1</t>
  </si>
  <si>
    <t>Probable ubiquitin-conjugating enzyme E2 18 OS=Arabidopsis thaliana GN=UBC18 PE=2 SV=1</t>
  </si>
  <si>
    <t>Chloroplast stem-loop binding protein of 41 kDa a, chloroplastic OS=Arabidopsis thaliana GN=CSP41A PE=1 SV=1</t>
  </si>
  <si>
    <t>Uncharacterized protein YtfP OS=Bacillus subtilis (strain 168) GN=ytfP PE=4 SV=2</t>
  </si>
  <si>
    <t>Cytosolic invertase 1 OS=Oryza sativa subsp. japonica GN=CINV1 PE=1 SV=1</t>
  </si>
  <si>
    <t>Cirhin OS=Homo sapiens GN=CIRH1A PE=1 SV=1</t>
  </si>
  <si>
    <t>Glutamate receptor 3.4 OS=Arabidopsis thaliana GN=GLR3.4 PE=2 SV=2</t>
  </si>
  <si>
    <t>Zinc finger AN1 domain-containing stress-associated protein 12 OS=Arabidopsis thaliana GN=SAP12 PE=2 SV=2</t>
  </si>
  <si>
    <t>Heat stress transcription factor A-9 OS=Arabidopsis thaliana GN=HSFA9 PE=2 SV=1</t>
  </si>
  <si>
    <t>ATP-dependent Clp protease proteolytic subunit OS=Coffea arabica GN=clpP PE=3 SV=1</t>
  </si>
  <si>
    <t>Peroxidase 6 OS=Arabidopsis thaliana GN=PER6 PE=2 SV=1</t>
  </si>
  <si>
    <t>Probable S-adenosylmethionine-dependent methyltransferase At5g37990 OS=Arabidopsis thaliana GN=At5g37990 PE=3 SV=2</t>
  </si>
  <si>
    <t>Phospholipase A1-II 4 OS=Oryza sativa subsp. japonica GN=Os01g0652300 PE=2 SV=2</t>
  </si>
  <si>
    <t>Chloride channel protein CLC-f OS=Arabidopsis thaliana GN=CLC-F PE=2 SV=2</t>
  </si>
  <si>
    <t>U6 snRNA phosphodiesterase OS=Mus musculus GN=Usb1 PE=2 SV=1</t>
  </si>
  <si>
    <t>Choline-phosphate cytidylyltransferase 1 OS=Arabidopsis thaliana GN=CCT1 PE=1 SV=1</t>
  </si>
  <si>
    <t>Protein TIC 214 OS=Vitis vinifera GN=TIC214 PE=3 SV=1</t>
  </si>
  <si>
    <t>Pentatricopeptide repeat-containing protein ELI1, chloroplastic OS=Arabidopsis thaliana GN=ELI1 PE=3 SV=1</t>
  </si>
  <si>
    <t>GPI ethanolamine phosphate transferase 1 OS=Neosartorya fumigata (strain ATCC MYA-4609 / Af293 / CBS 101355 / FGSC A1100) GN=mcd4 PE=2 SV=1</t>
  </si>
  <si>
    <t>GDSL esterase/lipase 1 OS=Arabidopsis thaliana GN=GLIP1 PE=1 SV=1</t>
  </si>
  <si>
    <t>VQ motif-containing protein 8, chloroplastic OS=Arabidopsis thaliana GN=VQ8 PE=2 SV=1</t>
  </si>
  <si>
    <t>Putative RING-H2 finger protein ATL21A OS=Arabidopsis thaliana GN=ATL21A PE=3 SV=1</t>
  </si>
  <si>
    <t>Probable L-type lectin-domain containing receptor kinase VI.1 OS=Arabidopsis thaliana GN=LECRK61 PE=2 SV=1</t>
  </si>
  <si>
    <t>Glucan 1,3-beta-glucosidase A OS=Aspergillus oryzae (strain ATCC 42149 / RIB 40) GN=exgA PE=1 SV=1</t>
  </si>
  <si>
    <t>E3 ubiquitin-protein ligase ATL31 OS=Arabidopsis thaliana GN=ATL31 PE=1 SV=2</t>
  </si>
  <si>
    <t>Kiwellin OS=Actinidia deliciosa PE=1 SV=1</t>
  </si>
  <si>
    <t>Enhancer of rudimentary homolog OS=Arabidopsis thaliana GN=At5g10810 PE=3 SV=1</t>
  </si>
  <si>
    <t>Malonyl-CoA-acyl carrier protein transacylase, mitochondrial OS=Mus musculus GN=Mcat PE=1 SV=3</t>
  </si>
  <si>
    <t>Transmembrane protein 87A OS=Xenopus tropicalis GN=tmem87a PE=2 SV=1</t>
  </si>
  <si>
    <t>F-box/kelch-repeat protein At2g44130 OS=Arabidopsis thaliana GN=At2g44130 PE=2 SV=2</t>
  </si>
  <si>
    <t>Putative F-box protein At3g16210 OS=Arabidopsis thaliana GN=At3g16210 PE=3 SV=1</t>
  </si>
  <si>
    <t>Proteasome subunit beta type-2-A OS=Arabidopsis thaliana GN=PBD1 PE=1 SV=1</t>
  </si>
  <si>
    <t>Protein STRUBBELIG-RECEPTOR FAMILY 6 OS=Arabidopsis thaliana GN=SRF6 PE=1 SV=1</t>
  </si>
  <si>
    <t>Large proline-rich protein BAG6 OS=Mus musculus GN=Bag6 PE=1 SV=1</t>
  </si>
  <si>
    <t>Probable receptor-like protein kinase At5g20050 OS=Arabidopsis thaliana GN=At5g20050 PE=2 SV=1</t>
  </si>
  <si>
    <t>FHA domain-containing protein FHA1 OS=Arabidopsis thaliana GN=FHA1 PE=2 SV=1</t>
  </si>
  <si>
    <t>Glucan endo-1,3-beta-glucosidase 10 OS=Arabidopsis thaliana GN=At5g42100 PE=1 SV=1</t>
  </si>
  <si>
    <t>Protein FIZZY-RELATED 3 OS=Arabidopsis thaliana GN=FZR3 PE=1 SV=1</t>
  </si>
  <si>
    <t>Probable serine/threonine-protein kinase WNK3 OS=Arabidopsis thaliana GN=WNK3 PE=2 SV=1</t>
  </si>
  <si>
    <t>Importin beta-like SAD2 OS=Arabidopsis thaliana GN=SAD2 PE=1 SV=1</t>
  </si>
  <si>
    <t>CRS2-associated factor 1, mitochondrial OS=Arabidopsis thaliana GN=At4g31010 PE=2 SV=1</t>
  </si>
  <si>
    <t>Putative RNA-directed RNA polymerase OS=Barley yellow dwarf virus (isolate P-PAV) GN=ORF1/ORF2 PE=3 SV=1</t>
  </si>
  <si>
    <t>Cytochrome P450 78A3 OS=Glycine max GN=CYP78A3 PE=2 SV=1</t>
  </si>
  <si>
    <t>Protein UPSTREAM OF FLC OS=Arabidopsis thaliana GN=UFC PE=2 SV=1</t>
  </si>
  <si>
    <t>Auxin response factor 5 OS=Oryza sativa subsp. japonica GN=ARF5 PE=2 SV=2</t>
  </si>
  <si>
    <t>Heat stress transcription factor A-7b OS=Arabidopsis thaliana GN=HSFA7B PE=2 SV=1</t>
  </si>
  <si>
    <t>Nuclear pore complex protein NUP155 OS=Arabidopsis thaliana GN=NUP155 PE=1 SV=1</t>
  </si>
  <si>
    <t>Phosphoribosylaminoimidazole-succinocarboxamide synthase, chloroplastic OS=Arabidopsis thaliana GN=PUR7 PE=2 SV=2</t>
  </si>
  <si>
    <t>Citrate-binding protein OS=Hevea brasiliensis GN=CBP PE=1 SV=1</t>
  </si>
  <si>
    <t>PRA1 family protein F2 OS=Arabidopsis thaliana GN=PRA1F2 PE=1 SV=1</t>
  </si>
  <si>
    <t>Zinc finger CCCH domain-containing protein 16 OS=Arabidopsis thaliana GN=CG1 PE=1 SV=2</t>
  </si>
  <si>
    <t>Pyruvate kinase isozyme G, chloroplastic OS=Nicotiana tabacum PE=2 SV=1</t>
  </si>
  <si>
    <t>Serine/threonine-protein kinase BCK1/SLK1/SSP31 OS=Saccharomyces cerevisiae (strain ATCC 204508 / S288c) GN=BCK1 PE=1 SV=1</t>
  </si>
  <si>
    <t>BRCA1-associated RING domain protein 1 OS=Arabidopsis thaliana GN=BARD1 PE=1 SV=1</t>
  </si>
  <si>
    <t>Putative RNA methyltransferase At5g10620 OS=Arabidopsis thaliana GN=At5g10620 PE=3 SV=1</t>
  </si>
  <si>
    <t>F-box protein At2g26850 OS=Arabidopsis thaliana GN=At2g26850 PE=2 SV=1</t>
  </si>
  <si>
    <t>Probable folate-biopterin transporter 3 OS=Arabidopsis thaliana GN=At1g79710 PE=2 SV=1</t>
  </si>
  <si>
    <t>Protein FLOWERING LOCUS D OS=Arabidopsis thaliana GN=FLD PE=1 SV=1</t>
  </si>
  <si>
    <t>Acylamino-acid-releasing enzyme OS=Mus musculus GN=Apeh PE=2 SV=3</t>
  </si>
  <si>
    <t>Uncharacterized protein C23H3.12c OS=Schizosaccharomyces pombe (strain 972 / ATCC 24843) GN=SPAC23H3.12c PE=4 SV=1</t>
  </si>
  <si>
    <t>Chaperone protein DnaJ OS=Prochlorococcus marinus (strain SARG / CCMP1375 / SS120) GN=dnaJ PE=3 SV=1</t>
  </si>
  <si>
    <t>UPF0613 protein PB24D3.06c OS=Schizosaccharomyces pombe (strain 972 / ATCC 24843) GN=SPAPB24D3.06c PE=3 SV=1</t>
  </si>
  <si>
    <t>Nucleolar pre-ribosomal-associated protein 1 OS=Homo sapiens GN=URB1 PE=1 SV=4</t>
  </si>
  <si>
    <t>Protein COFACTOR ASSEMBLY OF COMPLEX C SUBUNIT B CCB4, chloroplastic OS=Arabidopsis thaliana GN=CCB4 PE=1 SV=1</t>
  </si>
  <si>
    <t>Peptidyl-prolyl cis-trans isomerase CYP26-2, chloroplastic OS=Arabidopsis thaliana GN=CYP26-2 PE=2 SV=1</t>
  </si>
  <si>
    <t>Signal recognition particle subunit SRP68 OS=Canis familiaris GN=SRP68 PE=1 SV=1</t>
  </si>
  <si>
    <t>Protein GAMETE EXPRESSED 1 OS=Arabidopsis thaliana GN=GEX1 PE=1 SV=1</t>
  </si>
  <si>
    <t>C-Maf-inducing protein OS=Homo sapiens GN=CMIP PE=1 SV=3</t>
  </si>
  <si>
    <t>Uncharacterized membrane protein STKORF319 OS=Myxococcus xanthus PE=3 SV=1</t>
  </si>
  <si>
    <t>Protein ApaG OS=Agrobacterium fabrum (strain C58 / ATCC 33970) GN=apaG PE=3 SV=2</t>
  </si>
  <si>
    <t>Agrobacterium fabrum</t>
  </si>
  <si>
    <t>Pentatricopeptide repeat-containing protein At4g28010 OS=Arabidopsis thaliana GN=At4g28010 PE=2 SV=1</t>
  </si>
  <si>
    <t>F-box protein PP2-A13 OS=Arabidopsis thaliana GN=PP2A13 PE=1 SV=1</t>
  </si>
  <si>
    <t>Histidinol-phosphate aminotransferase, chloroplastic OS=Nicotiana tabacum GN=HPA PE=2 SV=1</t>
  </si>
  <si>
    <t>Partner of Y14 and mago OS=Bombyx mori GN=wibg PE=2 SV=1</t>
  </si>
  <si>
    <t>Bombyx mori</t>
  </si>
  <si>
    <t>SH3 domain-containing protein PJ696.02 OS=Schizosaccharomyces pombe (strain 972 / ATCC 24843) GN=SPAPJ696.02 PE=1 SV=1</t>
  </si>
  <si>
    <t>Galactinol--sucrose galactosyltransferase OS=Pisum sativum GN=RFS PE=1 SV=1</t>
  </si>
  <si>
    <t>Mediator of RNA polymerase II transcription subunit 17 OS=Arabidopsis thaliana GN=MED17 PE=1 SV=1</t>
  </si>
  <si>
    <t>Probable 2-oxoglutarate-dependent dioxygenase At3g49630 OS=Arabidopsis thaliana GN=At3g50210 PE=2 SV=1</t>
  </si>
  <si>
    <t>Ethylene-responsive transcription factor ERF021 OS=Arabidopsis thaliana GN=ERF021 PE=2 SV=1</t>
  </si>
  <si>
    <t>RNA-binding protein 42 OS=Bos taurus GN=RBM42 PE=2 SV=1</t>
  </si>
  <si>
    <t>Inactive disease resistance protein RPS4 OS=Arabidopsis thaliana GN=RPS4 PE=3 SV=1</t>
  </si>
  <si>
    <t>DNA polymerase delta subunit 3 OS=Mus musculus GN=Pold3 PE=1 SV=2</t>
  </si>
  <si>
    <t>Xaa-Pro dipeptidase OS=Homo sapiens GN=PEPD PE=1 SV=3</t>
  </si>
  <si>
    <t>U1 small nuclear ribonucleoprotein C-2 OS=Sorghum bicolor GN=Sb04g028260 PE=3 SV=1</t>
  </si>
  <si>
    <t>DNA-directed RNA polymerase III subunit rpc9 OS=Dictyostelium discoideum GN=rpc9 PE=3 SV=1</t>
  </si>
  <si>
    <t>Oligopeptide transporter 5 OS=Arabidopsis thaliana GN=OPT5 PE=2 SV=1</t>
  </si>
  <si>
    <t>Putative uridine kinase C227.14 OS=Schizosaccharomyces pombe (strain 972 / ATCC 24843) GN=SPAC227.14 PE=3 SV=1</t>
  </si>
  <si>
    <t>Protein SPA, chloroplastic OS=Solanum lycopersicum GN=SPA PE=2 SV=1</t>
  </si>
  <si>
    <t>Uncharacterized FCP1 homology domain-containing protein C1271.03c OS=Schizosaccharomyces pombe (strain 972 / ATCC 24843) GN=SPBC1271.03c PE=3 SV=1</t>
  </si>
  <si>
    <t>Probable beta-1,3-galactosyltransferase 17 OS=Arabidopsis thaliana GN=B3GALT17 PE=2 SV=2</t>
  </si>
  <si>
    <t>Transcription factor bHLH80 OS=Arabidopsis thaliana GN=BHLH80 PE=2 SV=1</t>
  </si>
  <si>
    <t>V-type proton ATPase subunit a3 OS=Arabidopsis thaliana GN=VHA-a3 PE=1 SV=1</t>
  </si>
  <si>
    <t>Receptor-like kinase TMK3 OS=Arabidopsis thaliana GN=TMK3 PE=2 SV=1</t>
  </si>
  <si>
    <t>AP-2 complex subunit sigma OS=Arabidopsis thaliana GN=AP17 PE=2 SV=1</t>
  </si>
  <si>
    <t>Cytochrome b5 OS=Nicotiana tabacum PE=2 SV=1</t>
  </si>
  <si>
    <t>Guanylate kinase 2, chloroplastic/mitochondrial OS=Oryza sativa subsp. japonica GN=V2 PE=1 SV=1</t>
  </si>
  <si>
    <t>F-box/kelch-repeat protein At5g60570 OS=Arabidopsis thaliana GN=At5g60570 PE=2 SV=1</t>
  </si>
  <si>
    <t>Short integuments 2, mitochondrial OS=Arabidopsis thaliana GN=SIN2 PE=1 SV=1</t>
  </si>
  <si>
    <t>Na(+)/H(+) antiporter NhaD OS=Vibrio cholerae serotype O1 (strain ATCC 39541 / Classical Ogawa 395 / O395) GN=nhaD PE=1 SV=1</t>
  </si>
  <si>
    <t>60S ribosome subunit biogenesis protein NIP7 homolog OS=Xenopus tropicalis GN=nip7 PE=2 SV=1</t>
  </si>
  <si>
    <t>La protein 1 OS=Arabidopsis thaliana GN=LA1 PE=1 SV=1</t>
  </si>
  <si>
    <t>125 kDa kinesin-related protein OS=Nicotiana tabacum GN=TKRP125 PE=1 SV=1</t>
  </si>
  <si>
    <t>Pentatricopeptide repeat-containing protein At4g32450, mitochondrial OS=Arabidopsis thaliana GN=PCMP-H63 PE=2 SV=1</t>
  </si>
  <si>
    <t>Phosphatase IMPL1, chloroplastic OS=Arabidopsis thaliana GN=IMPL1 PE=1 SV=2</t>
  </si>
  <si>
    <t>Putative 4-hydroxy-4-methyl-2-oxoglutarate aldolase 2 OS=Arabidopsis thaliana GN=At5g16450 PE=1 SV=1</t>
  </si>
  <si>
    <t>Ribonuclease 3-like protein 1 OS=Arabidopsis thaliana GN=RTL1 PE=2 SV=1</t>
  </si>
  <si>
    <t>Serine/threonine-protein kinase 19 OS=Homo sapiens GN=STK19 PE=1 SV=2</t>
  </si>
  <si>
    <t>LAG1 longevity assurance homolog 2 OS=Arabidopsis thaliana GN=LAG2 PE=1 SV=1</t>
  </si>
  <si>
    <t>Cytokinin riboside 5'-monophosphate phosphoribohydrolase LOG3 OS=Arabidopsis thaliana GN=LOG3 PE=1 SV=1</t>
  </si>
  <si>
    <t>Nuclear ribonuclease Z OS=Arabidopsis thaliana GN=NUZ PE=2 SV=3</t>
  </si>
  <si>
    <t>Extra-large guanine nucleotide-binding protein 3 OS=Arabidopsis thaliana GN=XLG3 PE=1 SV=1</t>
  </si>
  <si>
    <t>Coatomer subunit beta'-1 OS=Oryza sativa subsp. japonica GN=Os06g0143900 PE=2 SV=1</t>
  </si>
  <si>
    <t>ATP synthase subunit delta, chloroplastic OS=Arabidopsis thaliana GN=ATPD PE=1 SV=1</t>
  </si>
  <si>
    <t>Single myb histone 4 OS=Zea mays GN=SMH4 PE=2 SV=1</t>
  </si>
  <si>
    <t>Pre-mRNA-splicing factor SPF27 homolog OS=Arabidopsis thaliana GN=MOS4 PE=1 SV=1</t>
  </si>
  <si>
    <t>Probable acyl-CoA dehydrogenase IBR3 OS=Arabidopsis thaliana GN=IBR3 PE=1 SV=1</t>
  </si>
  <si>
    <t>Nuclear inhibitor of protein phosphatase 1 OS=Mus musculus GN=Ppp1r8 PE=1 SV=1</t>
  </si>
  <si>
    <t>DNA-directed RNA polymerase III subunit rpc6 OS=Dictyostelium discoideum GN=polr3f PE=3 SV=1</t>
  </si>
  <si>
    <t>Conserved oligomeric Golgi complex subunit 8 OS=Mus musculus GN=Cog8 PE=2 SV=3</t>
  </si>
  <si>
    <t>Very-long-chain (3R)-3-hydroxyacyl-CoA dehydratase 2 OS=Bos taurus GN=HACD2 PE=2 SV=2</t>
  </si>
  <si>
    <t>Putative 1-phosphatidylinositol-3-phosphate 5-kinase FAB1D OS=Arabidopsis thaliana GN=FAB1D PE=3 SV=1</t>
  </si>
  <si>
    <t>Pentatricopeptide repeat-containing protein At1g34160 OS=Arabidopsis thaliana GN=PCMP-H68 PE=2 SV=2</t>
  </si>
  <si>
    <t>Thioredoxin reductase 2 OS=Arabidopsis thaliana GN=NTR2 PE=2 SV=2</t>
  </si>
  <si>
    <t>UTP--glucose-1-phosphate uridylyltransferase OS=Musa acuminata GN=UGPA PE=2 SV=1</t>
  </si>
  <si>
    <t>Musa acuminata</t>
  </si>
  <si>
    <t>Pentatricopeptide repeat-containing protein At3g24000, mitochondrial OS=Arabidopsis thaliana GN=PCMP-H87 PE=3 SV=1</t>
  </si>
  <si>
    <t>Pentatricopeptide repeat-containing protein At5g61990, mitochondrial OS=Arabidopsis thaliana GN=At5g61990 PE=2 SV=1</t>
  </si>
  <si>
    <t>V-type proton ATPase subunit d1 OS=Arabidopsis thaliana GN=VHA-d1 PE=2 SV=1</t>
  </si>
  <si>
    <t>Glucan endo-1,3-beta-glucosidase 14 OS=Arabidopsis thaliana GN=At2g27500 PE=1 SV=2</t>
  </si>
  <si>
    <t>Protein EXPORTIN 1A OS=Arabidopsis thaliana GN=XPO1 PE=1 SV=1</t>
  </si>
  <si>
    <t>Mediator of RNA polymerase II transcription subunit 11 OS=Arabidopsis thaliana GN=MED11 PE=1 SV=1</t>
  </si>
  <si>
    <t>Protein WEAK CHLOROPLAST MOVEMENT UNDER BLUE LIGHT 1 OS=Arabidopsis thaliana GN=WEB1 PE=1 SV=1</t>
  </si>
  <si>
    <t>Uncharacterized WD repeat-containing protein C17D11.16 OS=Schizosaccharomyces pombe (strain 972 / ATCC 24843) GN=SPBC1711.16 PE=1 SV=1</t>
  </si>
  <si>
    <t>Methionine aminopeptidase 1A OS=Arabidopsis thaliana GN=MAP1A PE=1 SV=1</t>
  </si>
  <si>
    <t>UPF0047 protein YjbQ OS=Escherichia coli (strain K12) GN=yjbQ PE=3 SV=1</t>
  </si>
  <si>
    <t>Uridine kinase-like protein 1, chloroplastic OS=Arabidopsis thaliana GN=UKL1 PE=1 SV=1</t>
  </si>
  <si>
    <t>Pre-rRNA-processing protein TSR1 homolog OS=Xenopus laevis GN=tsr1 PE=2 SV=1</t>
  </si>
  <si>
    <t>WD repeat-containing protein 13 OS=Mus musculus GN=Wdr13 PE=1 SV=1</t>
  </si>
  <si>
    <t>Xyloglucan endotransglucosylase/hydrolase protein 2 OS=Arabidopsis thaliana GN=XTH2 PE=2 SV=1</t>
  </si>
  <si>
    <t>Splicing factor U2af small subunit A OS=Oryza sativa subsp. japonica GN=U2AF35A PE=2 SV=1</t>
  </si>
  <si>
    <t>Tetraspanin-3 OS=Arabidopsis thaliana GN=TET3 PE=2 SV=1</t>
  </si>
  <si>
    <t>Adenine phosphoribosyltransferase 3 OS=Arabidopsis thaliana GN=APT3 PE=1 SV=1</t>
  </si>
  <si>
    <t>Peptide-N(4)-(N-acetyl-beta-glucosaminyl)asparagine amidase OS=Arabidopsis thaliana GN=PNG1 PE=2 SV=1</t>
  </si>
  <si>
    <t>Protein phosphatase 2C 57 OS=Arabidopsis thaliana GN=PPH1 PE=1 SV=2</t>
  </si>
  <si>
    <t>Alpha/beta hydrolase domain-containing protein 17B OS=Gallus gallus GN=ABHD17B PE=2 SV=1</t>
  </si>
  <si>
    <t>Pachytene checkpoint protein 2 homolog OS=Arabidopsis thaliana GN=At4g24710 PE=2 SV=1</t>
  </si>
  <si>
    <t>Photosystem I reaction center subunit psaK, chloroplastic OS=Arabidopsis thaliana GN=PSAK PE=2 SV=2</t>
  </si>
  <si>
    <t>Putative yippee-like protein Os10g0369500 OS=Oryza sativa subsp. japonica GN=Os10g0369500 PE=3 SV=1</t>
  </si>
  <si>
    <t>Scarecrow-like transcription factor PAT1 OS=Arabidopsis thaliana GN=PAT1 PE=2 SV=1</t>
  </si>
  <si>
    <t>Non-specific lipid transfer protein GPI-anchored 1 OS=Arabidopsis thaliana GN=LTPG1 PE=1 SV=1</t>
  </si>
  <si>
    <t>Uncharacterized protein At4g13200, chloroplastic OS=Arabidopsis thaliana GN=At4g13200 PE=2 SV=2</t>
  </si>
  <si>
    <t>Ornithine decarboxylase OS=Solanum lycopersicum GN=ODC PE=2 SV=2</t>
  </si>
  <si>
    <t>Ethylene-responsive transcription factor RAP2-7 OS=Arabidopsis thaliana GN=RAP2-7 PE=2 SV=2</t>
  </si>
  <si>
    <t>Nucleolar and coiled-body phosphoprotein 1 OS=Rattus norvegicus GN=Nolc1 PE=1 SV=1</t>
  </si>
  <si>
    <t>DNA-directed RNA polymerases II and V subunit 8A OS=Arabidopsis thaliana GN=NRPB8A PE=1 SV=1</t>
  </si>
  <si>
    <t>PsbP domain-containing protein 2, chloroplastic OS=Arabidopsis thaliana GN=PPD2 PE=1 SV=1</t>
  </si>
  <si>
    <t>Interactor of constitutive active ROPs 2, chloroplastic OS=Arabidopsis thaliana GN=ICR2 PE=1 SV=1</t>
  </si>
  <si>
    <t>60S ribosomal protein L30 OS=Lupinus luteus GN=RPL30 PE=3 SV=1</t>
  </si>
  <si>
    <t>Mitotic spindle checkpoint protein BUBR1 OS=Arabidopsis thaliana GN=BUBR1 PE=1 SV=2</t>
  </si>
  <si>
    <t>Auxin response factor 3 OS=Arabidopsis thaliana GN=ARF3 PE=1 SV=2</t>
  </si>
  <si>
    <t>NADP-dependent malic enzyme OS=Populus trichocarpa PE=2 SV=3</t>
  </si>
  <si>
    <t>Scarecrow-like protein 6 OS=Arabidopsis thaliana GN=SCL6 PE=1 SV=1</t>
  </si>
  <si>
    <t>Protein SHI RELATED SEQUENCE 5 OS=Arabidopsis thaliana GN=SRS5 PE=2 SV=1</t>
  </si>
  <si>
    <t>Malate dehydrogenase, mitochondrial OS=Fragaria ananassa GN=MMDHI PE=1 SV=1</t>
  </si>
  <si>
    <t>BAHD acyltransferase At3g29680 OS=Arabidopsis thaliana GN=At3g29680 PE=2 SV=1</t>
  </si>
  <si>
    <t>NAD(P)H-quinone oxidoreductase chain 4, chloroplastic OS=Carica papaya GN=ndhD PE=3 SV=1</t>
  </si>
  <si>
    <t>Thymidine kinase OS=Oryza sativa subsp. japonica GN=TK PE=2 SV=2</t>
  </si>
  <si>
    <t>KRR1 small subunit processome component homolog OS=Schizosaccharomyces pombe (strain 972 / ATCC 24843) GN=mis3 PE=3 SV=1</t>
  </si>
  <si>
    <t>Isoflavone reductase homolog OS=Solanum tuberosum PE=2 SV=1</t>
  </si>
  <si>
    <t>50S ribosomal protein L22 OS=Sinorhizobium medicae (strain WSM419) GN=rplV PE=3 SV=1</t>
  </si>
  <si>
    <t>Sinorhizobium medicae</t>
  </si>
  <si>
    <t>MLO-like protein 1 OS=Arabidopsis thaliana GN=MLO1 PE=1 SV=1</t>
  </si>
  <si>
    <t>FHA domain-containing protein FHA2 OS=Arabidopsis thaliana GN=FHA2 PE=1 SV=1</t>
  </si>
  <si>
    <t>Peroxygenase 1 OS=Arabidopsis thaliana GN=PXG1 PE=1 SV=1</t>
  </si>
  <si>
    <t>Receptor protein kinase-like protein At4g34220 OS=Arabidopsis thaliana GN=At4g34220 PE=2 SV=1</t>
  </si>
  <si>
    <t>Protein SPIRAL1-like 2 OS=Arabidopsis thaliana GN=SP1L2 PE=2 SV=1</t>
  </si>
  <si>
    <t>NADP-dependent malic enzyme 2 OS=Arabidopsis thaliana GN=NADP-ME2 PE=1 SV=1</t>
  </si>
  <si>
    <t>ABC transporter G family member 32 OS=Arabidopsis thaliana GN=ABCG32 PE=1 SV=1</t>
  </si>
  <si>
    <t>Pentatricopeptide repeat-containing protein At1g26460, mitochondrial OS=Arabidopsis thaliana GN=At1g26460 PE=2 SV=1</t>
  </si>
  <si>
    <t>Transcription factor PIF4 OS=Arabidopsis thaliana GN=PIF4 PE=1 SV=1</t>
  </si>
  <si>
    <t>Protein TIC 214 OS=Morus indica GN=TIC214 PE=3 SV=1</t>
  </si>
  <si>
    <t>GTP-binding protein At2g22870 OS=Arabidopsis thaliana GN=EMB2001 PE=2 SV=2</t>
  </si>
  <si>
    <t>Plastidic glucose transporter 4 OS=Arabidopsis thaliana GN=At5g16150 PE=1 SV=2</t>
  </si>
  <si>
    <t>Probable monogalactosyldiacylglycerol synthase, chloroplastic OS=Glycine max GN=MGD A PE=2 SV=1</t>
  </si>
  <si>
    <t>RNA-binding protein 5-B OS=Xenopus laevis GN=rbm5-b PE=2 SV=1</t>
  </si>
  <si>
    <t>Nicotinamide adenine dinucleotide transporter 1, chloroplastic OS=Arabidopsis thaliana GN=NDT1 PE=1 SV=2</t>
  </si>
  <si>
    <t>Integrator complex subunit 7 OS=Gallus gallus GN=INTS7 PE=2 SV=1</t>
  </si>
  <si>
    <t>Siroheme synthase OS=Acinetobacter baylyi (strain ATCC 33305 / BD413 / ADP1) GN=cysG PE=3 SV=1</t>
  </si>
  <si>
    <t>Acinetobacter baylyi</t>
  </si>
  <si>
    <t>Bromodomain-containing factor 2 OS=Saccharomyces cerevisiae (strain ATCC 204508 / S288c) GN=BDF2 PE=1 SV=1</t>
  </si>
  <si>
    <t>NAC domain-containing protein 82 OS=Arabidopsis thaliana GN=NAC082 PE=1 SV=1</t>
  </si>
  <si>
    <t>Protein DEFECTIVE IN EXINE FORMATION 1 OS=Arabidopsis thaliana GN=DEX1 PE=2 SV=1</t>
  </si>
  <si>
    <t>Phenolic glucoside malonyltransferase 2 OS=Arabidopsis thaliana GN=PMAT2 PE=1 SV=1</t>
  </si>
  <si>
    <t>UDP-glucose 6-dehydrogenase 4 OS=Oryza sativa subsp. japonica GN=UGD4 PE=2 SV=1</t>
  </si>
  <si>
    <t>Ubiquitin-like-specific protease ESD4 OS=Arabidopsis thaliana GN=ESD4 PE=1 SV=1</t>
  </si>
  <si>
    <t>PITH domain-containing protein 1 OS=Dictyostelium discoideum GN=DDB_G0277951 PE=3 SV=1</t>
  </si>
  <si>
    <t>Uncharacterized TPR repeat-containing protein At1g05150 OS=Arabidopsis thaliana GN=At1g05150 PE=1 SV=1</t>
  </si>
  <si>
    <t>Zinc-finger homeodomain protein 5 OS=Arabidopsis thaliana GN=ZHD5 PE=1 SV=1</t>
  </si>
  <si>
    <t>ABC transporter I family member 19 OS=Arabidopsis thaliana GN=ABCI19 PE=2 SV=1</t>
  </si>
  <si>
    <t>WD repeat-containing protein 26 OS=Danio rerio GN=wdr26 PE=1 SV=1</t>
  </si>
  <si>
    <t>3-ketoacyl-CoA synthase 6 OS=Arabidopsis thaliana GN=CUT1 PE=1 SV=1</t>
  </si>
  <si>
    <t>Fruit protein pKIWI502 OS=Actinidia deliciosa GN=pKIWI502 PE=2 SV=1</t>
  </si>
  <si>
    <t>Anthocyanidin 5,3-O-glucosyltransferase OS=Rosa hybrid cultivar GN=RhGT1 PE=2 SV=1</t>
  </si>
  <si>
    <t>Rosa hybrid</t>
  </si>
  <si>
    <t>ER membrane protein complex subunit 2-A OS=Xenopus laevis GN=emc2-a PE=2 SV=1</t>
  </si>
  <si>
    <t>NAC domain-containing protein 76 OS=Arabidopsis thaliana GN=NAC076 PE=1 SV=1</t>
  </si>
  <si>
    <t>Inactive leucine-rich repeat receptor-like protein kinase CORYNE OS=Arabidopsis thaliana GN=CRN PE=1 SV=1</t>
  </si>
  <si>
    <t>Malate dehydrogenase OS=Nicotiana tabacum GN=MD1 PE=1 SV=1</t>
  </si>
  <si>
    <t>Probable pectinesterase 68 OS=Arabidopsis thaliana GN=PME68 PE=2 SV=1</t>
  </si>
  <si>
    <t>Auxin-responsive protein IAA14 OS=Arabidopsis thaliana GN=IAA14 PE=1 SV=2</t>
  </si>
  <si>
    <t>ABC transporter C family member 8 OS=Arabidopsis thaliana GN=ABCC8 PE=2 SV=3</t>
  </si>
  <si>
    <t>Zinc finger protein STOP1 homolog OS=Oryza sativa subsp. japonica GN=Os01g0871200 PE=2 SV=1</t>
  </si>
  <si>
    <t>Protein HOMOLOG OF MAMMALIAN LYST-INTERACTING PROTEIN 5 OS=Arabidopsis thaliana GN=LIP5 PE=1 SV=1</t>
  </si>
  <si>
    <t>tRNA-dihydrouridine(47) synthase [NAD(P)(+)]-like OS=Arabidopsis thaliana GN=At4g38890 PE=1 SV=2</t>
  </si>
  <si>
    <t>Nucleobase-ascorbate transporter 11 OS=Arabidopsis thaliana GN=NAT11 PE=2 SV=1</t>
  </si>
  <si>
    <t>18 kDa seed maturation protein OS=Glycine max GN=GMPM1 PE=2 SV=1</t>
  </si>
  <si>
    <t>Probable inactive serine/threonine-protein kinase scy1 OS=Dictyostelium discoideum GN=scy1 PE=3 SV=1</t>
  </si>
  <si>
    <t>Xyloglucan glycosyltransferase 4 OS=Arabidopsis thaliana GN=CSLC4 PE=1 SV=1</t>
  </si>
  <si>
    <t>Protein STRICTOSidINE SYNTHASE-LIKE 3 OS=Arabidopsis thaliana GN=SSL3 PE=2 SV=1</t>
  </si>
  <si>
    <t>Translocon at the outer membrane of chloroplasts 64 OS=Pisum sativum GN=TOC64 PE=1 SV=1</t>
  </si>
  <si>
    <t>F-box/kelch-repeat protein SKIP25 OS=Arabidopsis thaliana GN=SKIP25 PE=1 SV=1</t>
  </si>
  <si>
    <t>Magnesium/proton exchanger OS=Arabidopsis thaliana GN=MHX PE=2 SV=3</t>
  </si>
  <si>
    <t>Cytochrome c oxidase copper chaperone 1 OS=Arabidopsis thaliana GN=COX17-1 PE=2 SV=1</t>
  </si>
  <si>
    <t>Malate dehydrogenase, cytoplasmic OS=Oryza sativa subsp. japonica GN=Os10g0478200 PE=1 SV=3</t>
  </si>
  <si>
    <t>Pentatricopeptide repeat-containing protein At1g06270 OS=Arabidopsis thaliana GN=At1g06270 PE=2 SV=1</t>
  </si>
  <si>
    <t>Serine/threonine-protein kinase ULK4 OS=Homo sapiens GN=ULK4 PE=1 SV=2</t>
  </si>
  <si>
    <t>SNF1-related protein kinase regulatory subunit gamma-1 OS=Arabidopsis thaliana GN=KING1 PE=1 SV=2</t>
  </si>
  <si>
    <t>PRA1 family protein B4 OS=Arabidopsis thaliana GN=PRA1B4 PE=1 SV=1</t>
  </si>
  <si>
    <t>Patellin-6 OS=Arabidopsis thaliana GN=PATL6 PE=2 SV=1</t>
  </si>
  <si>
    <t>Desumoylating isopeptidase 1 OS=Xenopus laevis GN=desi1 PE=2 SV=1</t>
  </si>
  <si>
    <t>U-box domain-containing protein 40 OS=Arabidopsis thaliana GN=PUB40 PE=2 SV=2</t>
  </si>
  <si>
    <t>Protoporphyrinogen oxidase, mitochondrial OS=Nicotiana tabacum GN=PPXII PE=1 SV=1</t>
  </si>
  <si>
    <t>Pre-mRNA-processing-splicing factor 8 OS=Mus musculus GN=Prpf8 PE=1 SV=2</t>
  </si>
  <si>
    <t>UPF0160 protein MYG1, mitochondrial OS=Homo sapiens GN=C12orf10 PE=1 SV=2</t>
  </si>
  <si>
    <t>Pentatricopeptide repeat-containing protein At3g18020 OS=Arabidopsis thaliana GN=At3g18020 PE=2 SV=1</t>
  </si>
  <si>
    <t>Probable LRR receptor-like serine/threonine-protein kinase At4g29180 OS=Arabidopsis thaliana GN=At4g29180 PE=2 SV=2</t>
  </si>
  <si>
    <t>ATP-dependent Clp protease proteolytic subunit 4, chloroplastic OS=Arabidopsis thaliana GN=CLPP4 PE=1 SV=1</t>
  </si>
  <si>
    <t>Probable ubiquitin-conjugating enzyme E2 24 OS=Arabidopsis thaliana GN=UBC24 PE=2 SV=1</t>
  </si>
  <si>
    <t>QWRF motif-containing protein 8 OS=Arabidopsis thaliana GN=QWRF8 PE=2 SV=1</t>
  </si>
  <si>
    <t>Cleavage and polyadenylation specificity factor subunit 1 OS=Arabidopsis thaliana GN=CPSF160 PE=1 SV=2</t>
  </si>
  <si>
    <t>Acetolactate synthase 1, chloroplastic OS=Nicotiana tabacum GN=ALS SURA PE=1 SV=1</t>
  </si>
  <si>
    <t>Probable cell division control protein 7 homolog 1 OS=Encephalitozoon cuniculi (strain GB-M1) GN=CDC7-1 PE=3 SV=1</t>
  </si>
  <si>
    <t>Encephalitozoon cuniculi</t>
  </si>
  <si>
    <t>Sorting and assembly machinery component 50 homolog B OS=Danio rerio GN=samm50b PE=2 SV=1</t>
  </si>
  <si>
    <t>Carboxyl-terminal-processing peptidase 2, chloroplastic OS=Arabidopsis thaliana GN=CTPA2 PE=1 SV=1</t>
  </si>
  <si>
    <t>Post-GPI attachment to proteins factor 3 OS=Danio rerio GN=pgap3 PE=2 SV=1</t>
  </si>
  <si>
    <t>30S ribosomal protein S1 homolog A OS=Synechocystis sp. (strain PCC 6803 / Kazusa) GN=rps1A PE=3 SV=1</t>
  </si>
  <si>
    <t>Putative tRNA (cytidine(32)/guanosine(34)-2'-O)-methyltransferase OS=Homo sapiens GN=FTSJ1 PE=1 SV=2</t>
  </si>
  <si>
    <t>Putative U-box domain-containing protein 42 OS=Arabidopsis thaliana GN=PUB42 PE=2 SV=1</t>
  </si>
  <si>
    <t>Actin-93 (Fragment) OS=Nicotiana tabacum PE=3 SV=1</t>
  </si>
  <si>
    <t>YrdC domain-containing protein, mitochondrial OS=Rattus norvegicus GN=Yrdc PE=2 SV=1</t>
  </si>
  <si>
    <t>Probable signal peptidase complex subunit 2 OS=Arabidopsis thaliana GN=At2g39960 PE=2 SV=1</t>
  </si>
  <si>
    <t>Putative lysine-specific demethylase JMJ16 OS=Arabidopsis thaliana GN=JMJ16 PE=2 SV=1</t>
  </si>
  <si>
    <t>Glucan endo-1,3-beta-glucosidase 2 OS=Arabidopsis thaliana GN=At1g66250 PE=1 SV=2</t>
  </si>
  <si>
    <t>5'-3' exonuclease OS=Aquifex aeolicus (strain VF5) GN=aq_1628 PE=3 SV=1</t>
  </si>
  <si>
    <t>Proteasome-associated protein ECM29 homolog OS=Homo sapiens GN=ECM29 PE=1 SV=2</t>
  </si>
  <si>
    <t>GATA transcription factor 9 OS=Arabidopsis thaliana GN=GATA9 PE=2 SV=1</t>
  </si>
  <si>
    <t>Multiprotein-bridging factor 1b OS=Arabidopsis thaliana GN=MBF1B PE=2 SV=1</t>
  </si>
  <si>
    <t>Exportin-4 OS=Xenopus laevis GN=xpo4 PE=2 SV=1</t>
  </si>
  <si>
    <t>H/ACA ribonucleoprotein complex subunit 1-like protein 2 OS=Arabidopsis thaliana GN=At5g18180 PE=2 SV=1</t>
  </si>
  <si>
    <t>Ferredoxin-1, chloroplastic OS=Solanum lycopersicum GN=SEND33 PE=2 SV=1</t>
  </si>
  <si>
    <t>UPF0396 protein OS=Dictyostelium discoideum GN=DDB_G0269284 PE=3 SV=1</t>
  </si>
  <si>
    <t>Protein SET DOMAIN GROUP 40 OS=Arabidopsis thaliana GN=SDG40 PE=2 SV=1</t>
  </si>
  <si>
    <t>GEM-like protein 4 OS=Arabidopsis thaliana GN=At5g08350 PE=2 SV=1</t>
  </si>
  <si>
    <t>Amino acid permease 6 OS=Arabidopsis thaliana GN=AAP6 PE=1 SV=1</t>
  </si>
  <si>
    <t>Frataxin, mitochondrial OS=Arabidopsis thaliana GN=FH PE=1 SV=2</t>
  </si>
  <si>
    <t>50S ribosomal protein L12-1, chloroplastic OS=Arabidopsis thaliana GN=RPL12A PE=2 SV=1</t>
  </si>
  <si>
    <t>Tubby-like F-box protein 10 OS=Arabidopsis thaliana GN=TULP10 PE=1 SV=1</t>
  </si>
  <si>
    <t>Nucleobase-ascorbate transporter 6 OS=Arabidopsis thaliana GN=NAT6 PE=2 SV=2</t>
  </si>
  <si>
    <t>Magnesium transporter MRS2-5 OS=Arabidopsis thaliana GN=MRS2-5 PE=2 SV=1</t>
  </si>
  <si>
    <t>Inosine-uridine preferring nucleoside hydrolase OS=Leishmania major GN=NSNH PE=1 SV=3</t>
  </si>
  <si>
    <t>Ubiquitin carboxyl-terminal hydrolase 25 OS=Arabidopsis thaliana GN=UBP25 PE=2 SV=1</t>
  </si>
  <si>
    <t>DNA-directed RNA polymerase III subunit RPC4 OS=Mus musculus GN=Polr3d PE=2 SV=2</t>
  </si>
  <si>
    <t>Sphinganine C(4)-monooxygenase 2 OS=Arabidopsis thaliana GN=SBH2 PE=1 SV=1</t>
  </si>
  <si>
    <t>Serine/threonine-protein kinase-like protein CCR4 OS=Arabidopsis thaliana GN=CCR4 PE=1 SV=1</t>
  </si>
  <si>
    <t>5'-3' exoribonuclease 4 OS=Arabidopsis thaliana GN=XRN4 PE=2 SV=1</t>
  </si>
  <si>
    <t>Probable disease resistance protein At1g61310 OS=Arabidopsis thaliana GN=At1g61310 PE=2 SV=1</t>
  </si>
  <si>
    <t>Serine/threonine-protein kinase ppk15 OS=Schizosaccharomyces pombe (strain 972 / ATCC 24843) GN=ppk15 PE=1 SV=1</t>
  </si>
  <si>
    <t>Ubiquitin carboxyl-terminal hydrolase 21 OS=Arabidopsis thaliana GN=UBP21 PE=2 SV=1</t>
  </si>
  <si>
    <t>Glutamyl-tRNA(Gln) amidotransferase subunit C, chloroplastic/mitochondrial OS=Vitis vinifera GN=GATC PE=3 SV=1</t>
  </si>
  <si>
    <t>Dihydroflavonol-4-reductase OS=Arabidopsis thaliana GN=DFRA PE=1 SV=2</t>
  </si>
  <si>
    <t>Zinc transporter ZTP29 OS=Arabidopsis thaliana GN=ZTP29 PE=2 SV=1</t>
  </si>
  <si>
    <t>GPI mannosyltransferase 1 OS=Arabidopsis thaliana GN=PIGM PE=2 SV=1</t>
  </si>
  <si>
    <t>CRS2-associated factor 1, chloroplastic OS=Arabidopsis thaliana GN=At2g20020 PE=2 SV=2</t>
  </si>
  <si>
    <t>Probable WRKY transcription factor 11 OS=Arabidopsis thaliana GN=WRKY11 PE=2 SV=2</t>
  </si>
  <si>
    <t>Zinc finger protein 3 OS=Arabidopsis thaliana GN=ZFP3 PE=2 SV=1</t>
  </si>
  <si>
    <t>Protein NRT1/ PTR FAMILY 6.2 OS=Arabidopsis thaliana GN=NPF6.2 PE=1 SV=1</t>
  </si>
  <si>
    <t>TGACG-sequence-specific DNA-binding protein TGA-2.1 OS=Nicotiana tabacum GN=TGA21 PE=1 SV=1</t>
  </si>
  <si>
    <t>Kinesin light chain 3 OS=Homo sapiens GN=KLC3 PE=1 SV=2</t>
  </si>
  <si>
    <t>Protein FAR1-RELATED SEQUENCE 2 OS=Arabidopsis thaliana GN=FRS2 PE=1 SV=1</t>
  </si>
  <si>
    <t>Ferredoxin--NADP reductase, root isozyme, chloroplastic OS=Pisum sativum PE=2 SV=2</t>
  </si>
  <si>
    <t>Mitogen-activated protein kinase 4 OS=Arabidopsis thaliana GN=MPK4 PE=1 SV=2</t>
  </si>
  <si>
    <t>Phosphoglycerate kinase, chloroplastic OS=Nicotiana tabacum PE=2 SV=1</t>
  </si>
  <si>
    <t>WPP domain-interacting protein 1 OS=Arabidopsis thaliana GN=WIP1 PE=1 SV=1</t>
  </si>
  <si>
    <t>Pantothenate kinase 2 OS=Arabidopsis thaliana GN=PANK2 PE=1 SV=2</t>
  </si>
  <si>
    <t>Methionine aminopeptidase 2B OS=Arabidopsis thaliana GN=MAP2B PE=2 SV=2</t>
  </si>
  <si>
    <t>ABC transporter A family member 1 OS=Arabidopsis thaliana GN=ABCA1 PE=2 SV=2</t>
  </si>
  <si>
    <t>SAP30-binding protein OS=Mus musculus GN=Sap30bp PE=2 SV=2</t>
  </si>
  <si>
    <t>Aquaporin TIP3-2 OS=Zea mays GN=TIP3-2 PE=2 SV=1</t>
  </si>
  <si>
    <t>Cryptochrome DASH, chloroplastic/mitochondrial OS=Solanum lycopersicum GN=CRYD PE=3 SV=2</t>
  </si>
  <si>
    <t>Naringenin,2-oxoglutarate 3-dioxygenase OS=Malus domestica PE=2 SV=1</t>
  </si>
  <si>
    <t>Probable 1-deoxy-D-xylulose-5-phosphate synthase, chloroplastic OS=Capsicum annuum GN=TKT2 PE=2 SV=1</t>
  </si>
  <si>
    <t>Chlorophyll a-b binding protein CP26, chloroplastic OS=Arabidopsis thaliana GN=LHCB5 PE=1 SV=1</t>
  </si>
  <si>
    <t>Casein kinase I homolog 2 OS=Schizosaccharomyces pombe (strain 972 / ATCC 24843) GN=cki2 PE=1 SV=2</t>
  </si>
  <si>
    <t>Mediator of RNA polymerase II transcription subunit 21 OS=Arabidopsis thaliana GN=MED21 PE=1 SV=1</t>
  </si>
  <si>
    <t>Photosynthetic NDH subunit of lumenal location 2, chloroplastic OS=Arabidopsis thaliana GN=PNSL2 PE=1 SV=1</t>
  </si>
  <si>
    <t>1-(5-phosphoribosyl)-5-[(5-phosphoribosylamino)methylideneamino] imidazole-4-carboxamide isomerase, chloroplastic OS=Arabidopsis thaliana GN=HISN3 PE=2 SV=1</t>
  </si>
  <si>
    <t>Dolichol-phosphate mannosyltransferase subunit 1 OS=Homo sapiens GN=DPM1 PE=1 SV=1</t>
  </si>
  <si>
    <t>F-box/LRR-repeat protein 14 OS=Arabidopsis thaliana GN=FBL14 PE=2 SV=1</t>
  </si>
  <si>
    <t>Lipoyl synthase, mitochondrial OS=Medicago truncatula GN=LIP1 PE=2 SV=1</t>
  </si>
  <si>
    <t>Probable sugar phosphate/phosphate translocator At5g04160 OS=Arabidopsis thaliana GN=At5g04160 PE=2 SV=1</t>
  </si>
  <si>
    <t>NADP-dependent malic enzyme 4, chloroplastic OS=Arabidopsis thaliana GN=NADP-ME4 PE=1 SV=1</t>
  </si>
  <si>
    <t>Zinc finger CCCH domain-containing protein 32 OS=Arabidopsis thaliana GN=At2g47850 PE=2 SV=2</t>
  </si>
  <si>
    <t>Beta-amylase 8 OS=Arabidopsis thaliana GN=BAM8 PE=2 SV=1</t>
  </si>
  <si>
    <t>Pentatricopeptide repeat-containing protein At4g35130, chloroplastic OS=Arabidopsis thaliana GN=PCMP-H27 PE=3 SV=1</t>
  </si>
  <si>
    <t>4-alpha-glucanotransferase, chloroplastic/amyloplastic OS=Solanum tuberosum GN=DPEP PE=1 SV=1</t>
  </si>
  <si>
    <t>Pathogenesis-related homeodomain protein OS=Petroselinum crispum GN=PRH PE=2 SV=1</t>
  </si>
  <si>
    <t>ATP-dependent DNA helicase 2 subunit KU70 OS=Arabidopsis thaliana GN=KU70 PE=1 SV=1</t>
  </si>
  <si>
    <t>Pentatricopeptide repeat-containing protein At1g71060, mitochondrial OS=Arabidopsis thaliana GN=At1g71060 PE=2 SV=1</t>
  </si>
  <si>
    <t>Putative 1-phosphatidylinositol-3-phosphate 5-kinase FAB1C OS=Arabidopsis thaliana GN=FAB1C PE=2 SV=1</t>
  </si>
  <si>
    <t>Glucose-6-phosphate isomerase, cytosolic OS=Arabidopsis halleri subsp. gemmifera GN=PGIC PE=3 SV=2</t>
  </si>
  <si>
    <t>Arabidopsis halleri</t>
  </si>
  <si>
    <t>Serine/arginine-rich splicing factor RS31 OS=Arabidopsis thaliana GN=RS31 PE=1 SV=2</t>
  </si>
  <si>
    <t>Probable aquaporin PIP2-5 OS=Arabidopsis thaliana GN=PIP2-5 PE=1 SV=1</t>
  </si>
  <si>
    <t>Spastin OS=Xenopus tropicalis GN=spast PE=2 SV=1</t>
  </si>
  <si>
    <t>Cyclin-dependent kinase D-1 OS=Oryza sativa subsp. japonica GN=CDKD-1 PE=1 SV=1</t>
  </si>
  <si>
    <t>Flowering time control protein FCA OS=Arabidopsis thaliana GN=FCA PE=1 SV=2</t>
  </si>
  <si>
    <t>Myosin heavy chain kinase C OS=Dictyostelium discoideum GN=mhkC PE=1 SV=1</t>
  </si>
  <si>
    <t>DNA gyrase subunit B, chloroplastic/mitochondrial OS=Nicotiana benthamiana GN=GYRB PE=2 SV=1</t>
  </si>
  <si>
    <t>Putative aluminum-activated malate transporter 3 OS=Arabidopsis thaliana GN=ALMT3 PE=3 SV=1</t>
  </si>
  <si>
    <t>Auxin-responsive protein SAUR41 OS=Arabidopsis thaliana GN=SAUR41 PE=2 SV=1</t>
  </si>
  <si>
    <t>GDSL esterase/lipase At1g71691 OS=Arabidopsis thaliana GN=At1g71691 PE=2 SV=1</t>
  </si>
  <si>
    <t>Elongation factor 1-alpha OS=Zea mays GN=EF1A PE=3 SV=1</t>
  </si>
  <si>
    <t>Protein ROOT HAIR DEFECTIVE 3 homolog 1 OS=Arabidopsis thaliana GN=At1g72960 PE=2 SV=2</t>
  </si>
  <si>
    <t>Probable xyloglucan endotransglucosylase/hydrolase protein 32 OS=Arabidopsis thaliana GN=XTH32 PE=2 SV=1</t>
  </si>
  <si>
    <t>Putative lipid-binding protein At4g00165 OS=Arabidopsis thaliana GN=At4g00165 PE=2 SV=1</t>
  </si>
  <si>
    <t>Chromosome transmission fidelity protein 18 homolog OS=Xenopus laevis GN=chtf18 PE=2 SV=1</t>
  </si>
  <si>
    <t>Two-component response regulator ARR17 OS=Arabidopsis thaliana GN=ARR17 PE=2 SV=1</t>
  </si>
  <si>
    <t>Probable LRR receptor-like serine/threonine-protein kinase IRK OS=Arabidopsis thaliana GN=IRK PE=1 SV=1</t>
  </si>
  <si>
    <t>Cellulose synthase A catalytic subunit 6 [UDP-forming] OS=Arabidopsis thaliana GN=CESA6 PE=1 SV=2</t>
  </si>
  <si>
    <t>Callose synthase 3 OS=Arabidopsis thaliana GN=CALS3 PE=2 SV=3</t>
  </si>
  <si>
    <t>Pentatricopeptide repeat-containing protein At1g20300, mitochondrial OS=Arabidopsis thaliana GN=At1g20300 PE=2 SV=1</t>
  </si>
  <si>
    <t>Protein POLLENLESS 3-LIKE 2 OS=Arabidopsis thaliana GN=At3g51280 PE=2 SV=1</t>
  </si>
  <si>
    <t>Cysteine proteinase inhibitor 12 OS=Oryza sativa subsp. japonica GN=Os01g0270100 PE=2 SV=1</t>
  </si>
  <si>
    <t>Peroxidase 45 OS=Arabidopsis thaliana GN=PER45 PE=1 SV=1</t>
  </si>
  <si>
    <t>Putative nuclease HARBI1 OS=Bos taurus GN=HARBI1 PE=2 SV=1</t>
  </si>
  <si>
    <t>Pectinesterase OS=Petunia integrifolia GN=PPE1 PE=2 SV=1</t>
  </si>
  <si>
    <t>Petunia integrifolia</t>
  </si>
  <si>
    <t>Phosphomevalonate kinase OS=Saccharomyces cerevisiae (strain ATCC 204508 / S288c) GN=ERG8 PE=1 SV=2</t>
  </si>
  <si>
    <t>Protein SENSITIVITY TO RED LIGHT REDUCED 1 OS=Arabidopsis thaliana GN=SRR1 PE=2 SV=2</t>
  </si>
  <si>
    <t>Developmental protein SEPALLATA 2 OS=Arabidopsis thaliana GN=SEP2 PE=1 SV=1</t>
  </si>
  <si>
    <t>Adenine phosphoribosyltransferase 1, chloroplastic OS=Arabidopsis thaliana GN=APT1 PE=1 SV=2</t>
  </si>
  <si>
    <t>Chitin-inducible gibberellin-responsive protein 1 OS=Oryza sativa subsp. japonica GN=CIGR1 PE=2 SV=1</t>
  </si>
  <si>
    <t>Ethylene-responsive transcription factor RAP2-3 OS=Arabidopsis thaliana GN=RAP2-3 PE=1 SV=2</t>
  </si>
  <si>
    <t>DNA repair protein RAD50 OS=Arabidopsis thaliana GN=RAD50 PE=1 SV=2</t>
  </si>
  <si>
    <t>S-adenosylmethionine synthase OS=Camellia sinensis GN=SAM PE=2 SV=1</t>
  </si>
  <si>
    <t>Pentatricopeptide repeat-containing protein At1g52620 OS=Arabidopsis thaliana GN=At1g52620 PE=2 SV=1</t>
  </si>
  <si>
    <t>Beta-glucosidase 24 OS=Oryza sativa subsp. japonica GN=BGLU24 PE=2 SV=1</t>
  </si>
  <si>
    <t>Glycosyltransferase family protein 64 protein C5 OS=Arabidopsis thaliana GN=At5g04500 PE=2 SV=1</t>
  </si>
  <si>
    <t>Transcription factor MYB26 OS=Arabidopsis thaliana GN=MYB26 PE=2 SV=1</t>
  </si>
  <si>
    <t>Transcription factor RAX2 OS=Arabidopsis thaliana GN=RAX2 PE=1 SV=1</t>
  </si>
  <si>
    <t>Protein DEHYDRATION-INDUCED 19 homolog 7 OS=Arabidopsis thaliana GN=DI19-7 PE=1 SV=2</t>
  </si>
  <si>
    <t>Cytochrome P450 71A6 (Fragment) OS=Nepeta racemosa GN=CYP71A6 PE=2 SV=1</t>
  </si>
  <si>
    <t>Nepeta racemosa</t>
  </si>
  <si>
    <t>ATP phosphoribosyltransferase 2, chloroplastic OS=Arabidopsis thaliana GN=HISN1B PE=1 SV=1</t>
  </si>
  <si>
    <t>Agamous-like MADS-box protein AGL19 OS=Arabidopsis thaliana GN=AGL19 PE=1 SV=1</t>
  </si>
  <si>
    <t>Histone-lysine N-methyltransferase ASHH3 OS=Arabidopsis thaliana GN=ASHH3 PE=2 SV=2</t>
  </si>
  <si>
    <t>Probable glycosyltransferase At3g07620 OS=Arabidopsis thaliana GN=At3g07620 PE=3 SV=1</t>
  </si>
  <si>
    <t>Ras-related protein Rab5 OS=Nicotiana tabacum GN=RAB5 PE=2 SV=1</t>
  </si>
  <si>
    <t>Auxilin-like protein 1 OS=Arabidopsis thaliana GN=AUL1 PE=2 SV=2</t>
  </si>
  <si>
    <t>WD repeat-containing protein 13 OS=Pan troglodytes GN=WDR13 PE=3 SV=1</t>
  </si>
  <si>
    <t>Eukaryotic translation initiation factor 5A OS=Candida albicans (strain SC5314 / ATCC MYA-2876) GN=ANB1 PE=3 SV=1</t>
  </si>
  <si>
    <t>Probable endo-beta-1,4-glucanase D OS=Aspergillus terreus (strain NIH 2624 / FGSC A1156) GN=eglD PE=3 SV=1</t>
  </si>
  <si>
    <t>Probable thylakoidal processing peptidase 2, chloroplastic OS=Arabidopsis thaliana GN=TPP2 PE=2 SV=1</t>
  </si>
  <si>
    <t>Histone deacetylase 2 OS=Arabidopsis thaliana GN=HDA2 PE=2 SV=2</t>
  </si>
  <si>
    <t>Probable adenylate kinase 7, mitochondrial OS=Arabidopsis thaliana GN=At3g01820 PE=2 SV=1</t>
  </si>
  <si>
    <t>Leucine-rich repeat receptor-like protein kinase PXC1 OS=Arabidopsis thaliana GN=PXC1 PE=2 SV=1</t>
  </si>
  <si>
    <t>Poly [ADP-ribose] polymerase 2 OS=Zea mays GN=PARP2 PE=2 SV=1</t>
  </si>
  <si>
    <t>THO complex subunit 3 OS=Arabidopsis thaliana GN=THO3 PE=1 SV=1</t>
  </si>
  <si>
    <t>Zinc finger A20 and AN1 domain-containing stress-associated protein 9 OS=Oryza sativa subsp. japonica GN=SAP9 PE=2 SV=1</t>
  </si>
  <si>
    <t>Putative peptidyl-tRNA hydrolase PTRHD1 OS=Bos taurus GN=PTRHD1 PE=2 SV=2</t>
  </si>
  <si>
    <t>Protein gar2 OS=Schizosaccharomyces pombe (strain 972 / ATCC 24843) GN=gar2 PE=1 SV=2</t>
  </si>
  <si>
    <t>S-linalool synthase OS=Clarkia breweri GN=LIS PE=2 SV=1</t>
  </si>
  <si>
    <t>LINE-1 retrotransposable element ORF2 protein OS=Homo sapiens PE=1 SV=1</t>
  </si>
  <si>
    <t>Flotillin-like protein 4 OS=Medicago truncatula GN=FLOT4 PE=2 SV=1</t>
  </si>
  <si>
    <t>Uncharacterized N-acetyltransferase ycf52 OS=Porphyra purpurea GN=ycf52 PE=3 SV=1</t>
  </si>
  <si>
    <t>CASP-like protein 2B2 OS=Populus trichocarpa GN=POPTRDRAFT_818956 PE=3 SV=1</t>
  </si>
  <si>
    <t>Leucine-rich repeat-containing protein 63 OS=Rattus norvegicus GN=Lrrc63 PE=2 SV=1</t>
  </si>
  <si>
    <t>Putative DUF21 domain-containing protein At1g03270 OS=Arabidopsis thaliana GN=CBSDUF4 PE=4 SV=2</t>
  </si>
  <si>
    <t>9-cis-epoxycarotenoid dioxygenase NCED1, chloroplastic OS=Phaseolus vulgaris GN=NCED1 PE=2 SV=1</t>
  </si>
  <si>
    <t>Nicotinate phosphoribosyltransferase 2 OS=Arabidopsis thaliana GN=NAPRT2 PE=2 SV=1</t>
  </si>
  <si>
    <t>Egg cell-secreted protein 1.1 OS=Arabidopsis thaliana GN=EC1.1 PE=2 SV=1</t>
  </si>
  <si>
    <t>Pumilio homolog 12 OS=Arabidopsis thaliana GN=APUM12 PE=2 SV=2</t>
  </si>
  <si>
    <t>UPF0587 protein C1orf123 homolog OS=Xenopus laevis PE=2 SV=1</t>
  </si>
  <si>
    <t>Importin subunit alpha-1 OS=Arabidopsis thaliana GN=IMPA1 PE=1 SV=2</t>
  </si>
  <si>
    <t>Cyclin-A3-4 OS=Arabidopsis thaliana GN=CYCA3-4 PE=1 SV=1</t>
  </si>
  <si>
    <t>Probable protein phosphatase 2C 8 OS=Arabidopsis thaliana GN=At1g18030 PE=2 SV=2</t>
  </si>
  <si>
    <t>Protein trichome birefringence-like 13 OS=Arabidopsis thaliana GN=TBL13 PE=2 SV=1</t>
  </si>
  <si>
    <t>Methyl-CpG-binding domain-containing protein 6 OS=Arabidopsis thaliana GN=MBD6 PE=1 SV=1</t>
  </si>
  <si>
    <t>Phospholipase A2-gamma OS=Arabidopsis thaliana GN=PLA2-GAMMA PE=1 SV=1</t>
  </si>
  <si>
    <t>Organic cation/carnitine transporter 7 OS=Arabidopsis thaliana GN=OCT7 PE=2 SV=1</t>
  </si>
  <si>
    <t>60S ribosomal protein L7-4 OS=Arabidopsis thaliana GN=RPL7D PE=2 SV=1</t>
  </si>
  <si>
    <t>Lycopene beta cyclase, chloroplastic OS=Solanum lycopersicum GN=LCY1 PE=1 SV=1</t>
  </si>
  <si>
    <t>Peptide chain release factor PrfB1, chloroplastic OS=Arabidopsis thaliana GN=PRFB1 PE=2 SV=1</t>
  </si>
  <si>
    <t>E3 ubiquitin-protein ligase UPL1 OS=Arabidopsis thaliana GN=UPL1 PE=1 SV=3</t>
  </si>
  <si>
    <t>Pentatricopeptide repeat-containing protein At2g15820, chloropastic OS=Arabidopsis thaliana GN=OTP51 PE=2 SV=3</t>
  </si>
  <si>
    <t>Very-long-chain enoyl-CoA reductase OS=Dictyostelium discoideum GN=gpsn2 PE=3 SV=1</t>
  </si>
  <si>
    <t>Coiled-coil domain-containing protein 22 OS=Mus musculus GN=Ccdc22 PE=1 SV=1</t>
  </si>
  <si>
    <t>Protein yippee-like At5g53940 OS=Arabidopsis thaliana GN=At5g53940 PE=2 SV=1</t>
  </si>
  <si>
    <t>Eukaryotic translation initiation factor 5B OS=Schizosaccharomyces pombe (strain 972 / ATCC 24843) GN=SPAC56F8.03 PE=1 SV=1</t>
  </si>
  <si>
    <t>Calcium-dependent protein kinase isoform 2 OS=Oryza sativa subsp. japonica GN=CPK2 PE=2 SV=2</t>
  </si>
  <si>
    <t>Bifunctional aspartokinase/homoserine dehydrogenase 1, chloroplastic OS=Zea mays GN=AKHSDH1 PE=2 SV=1</t>
  </si>
  <si>
    <t>Armadillo repeat-containing protein LFR OS=Arabidopsis thaliana GN=LFR PE=2 SV=1</t>
  </si>
  <si>
    <t>NAD(P)H-quinone oxidoreductase subunit 3, chloroplastic OS=Buxus microphylla GN=ndhC PE=3 SV=1</t>
  </si>
  <si>
    <t>Transcription factor LUX OS=Arabidopsis thaliana GN=LUX PE=1 SV=1</t>
  </si>
  <si>
    <t>Probable aspartyl aminopeptidase OS=Ricinus communis GN=RCOM_1506700 PE=2 SV=2</t>
  </si>
  <si>
    <t>Protein disulfide isomerase-like 5-1 OS=Oryza sativa subsp. japonica GN=PDIL5-1 PE=2 SV=1</t>
  </si>
  <si>
    <t>F-box/WD-40 repeat-containing protein At5g21040 OS=Arabidopsis thaliana GN=At5g21040 PE=2 SV=1</t>
  </si>
  <si>
    <t>Uncharacterized N-acetyltransferase p20 OS=Bacillus licheniformis GN=p20 PE=3 SV=1</t>
  </si>
  <si>
    <t>Probable NAD(P)H dehydrogenase (quinone) FQR1-like 1 OS=Arabidopsis thaliana GN=At4g27270 PE=2 SV=1</t>
  </si>
  <si>
    <t>Protein TIC 214 OS=Coffea arabica GN=TIC214 PE=3 SV=1</t>
  </si>
  <si>
    <t>Histone acetyltransferase of the MYST family 1 OS=Arabidopsis thaliana GN=HAM1 PE=1 SV=1</t>
  </si>
  <si>
    <t>Glucan endo-1,3-beta-glucosidase, basic vacuolar isoform OS=Hevea brasiliensis GN=HGN1 PE=1 SV=2</t>
  </si>
  <si>
    <t>Polyubiquitin-A OS=Caenorhabditis elegans GN=ubq-1 PE=3 SV=1</t>
  </si>
  <si>
    <t>Ras-related protein RABC2a OS=Arabidopsis thaliana GN=RABC2A PE=1 SV=1</t>
  </si>
  <si>
    <t>Violaxanthin de-epoxidase, chloroplastic OS=Spinacia oleracea GN=VDE1 PE=1 SV=2</t>
  </si>
  <si>
    <t>Putative methylesterase 12, chloroplastic OS=Arabidopsis thaliana GN=MES12 PE=2 SV=1</t>
  </si>
  <si>
    <t>Homeobox protein HD1 OS=Brassica napus GN=HD1 PE=2 SV=1</t>
  </si>
  <si>
    <t>Pentatricopeptide repeat-containing protein At3g02490, mitochondrial OS=Arabidopsis thaliana GN=At3g02490 PE=2 SV=1</t>
  </si>
  <si>
    <t>Zinc finger CCCH domain-containing protein 37 OS=Arabidopsis thaliana GN=HUA1 PE=1 SV=1</t>
  </si>
  <si>
    <t>Probable boron transporter 2 OS=Arabidopsis thaliana GN=BOR2 PE=2 SV=1</t>
  </si>
  <si>
    <t>Protein translation factor SUI1 homolog 1 OS=Arabidopsis thaliana GN=At4g27130 PE=1 SV=2</t>
  </si>
  <si>
    <t>PRA1 family protein B5 OS=Arabidopsis thaliana GN=PRA1B5 PE=1 SV=1</t>
  </si>
  <si>
    <t>Protein FAR1-RELATED SEQUENCE 11 OS=Arabidopsis thaliana GN=FRS11 PE=2 SV=1</t>
  </si>
  <si>
    <t>LanC-like protein GCR2 OS=Arabidopsis thaliana GN=GCR2 PE=1 SV=1</t>
  </si>
  <si>
    <t>Pentatricopeptide repeat-containing protein At3g47530 OS=Arabidopsis thaliana GN=PCMP-H76 PE=2 SV=1</t>
  </si>
  <si>
    <t>Coiled-coil domain-containing protein 93 OS=Mus musculus GN=Ccdc93 PE=2 SV=1</t>
  </si>
  <si>
    <t>Protein disulfide-isomerase 5-2 OS=Arabidopsis thaliana GN=PDIL5-2 PE=1 SV=1</t>
  </si>
  <si>
    <t>Peptidyl-tRNA hydrolase 2, mitochondrial OS=Homo sapiens GN=PTRH2 PE=1 SV=1</t>
  </si>
  <si>
    <t>DNA polymerase alpha catalytic subunit OS=Oryza sativa subsp. japonica GN=Os01g0868300 PE=2 SV=2</t>
  </si>
  <si>
    <t>D-xylose-proton symporter-like 3, chloroplastic OS=Arabidopsis thaliana GN=At5g59250 PE=2 SV=2</t>
  </si>
  <si>
    <t>CASP-like protein 4A1 OS=Arabidopsis thaliana GN=At5g40300 PE=2 SV=1</t>
  </si>
  <si>
    <t>Rop guanine nucleotide exchange factor 14 OS=Arabidopsis thaliana GN=ROPGEF14 PE=1 SV=1</t>
  </si>
  <si>
    <t>Bidirectional sugar transporter SWEET2a OS=Oryza sativa subsp. japonica GN=SWEET2A PE=2 SV=1</t>
  </si>
  <si>
    <t>TIMELESS-interacting protein OS=Homo sapiens GN=TIPIN PE=1 SV=2</t>
  </si>
  <si>
    <t>Cytoplasmic tRNA 2-thiolation protein 2 OS=Arabidopsis thaliana GN=CTU2 PE=2 SV=3</t>
  </si>
  <si>
    <t>Probable NAD(P)H dehydrogenase (quinone) FQR1-like 2 OS=Arabidopsis thaliana GN=At4g36750 PE=1 SV=1</t>
  </si>
  <si>
    <t>Ethylene-responsive transcription factor ERF012 OS=Arabidopsis thaliana GN=ERF012 PE=2 SV=1</t>
  </si>
  <si>
    <t>Multiple RNA-binding domain-containing protein 1 OS=Dictyostelium discoideum GN=mrd1 PE=3 SV=1</t>
  </si>
  <si>
    <t>Zinc finger A20 and AN1 domain-containing stress-associated protein 4 OS=Arabidopsis thaliana GN=SAP4 PE=1 SV=1</t>
  </si>
  <si>
    <t>Penicillin-binding protein 1A OS=Aquifex aeolicus (strain VF5) GN=mrcA PE=1 SV=1</t>
  </si>
  <si>
    <t>Tyrosine decarboxylase 1 OS=Arabidopsis thaliana GN=ELI5 PE=2 SV=1</t>
  </si>
  <si>
    <t>Amino-acid permease BAT1 OS=Arabidopsis thaliana GN=BAT1 PE=2 SV=2</t>
  </si>
  <si>
    <t>Protein ABCI12, chloroplastic OS=Arabidopsis thaliana GN=ABCI12 PE=2 SV=1</t>
  </si>
  <si>
    <t>Chaperonin 60 subunit alpha 2, chloroplastic OS=Arabidopsis thaliana GN=CPN60A2 PE=2 SV=1</t>
  </si>
  <si>
    <t>mRNA-capping enzyme OS=Mus musculus GN=Rngtt PE=1 SV=1</t>
  </si>
  <si>
    <t>DnaJ homolog subfamily C member 2 OS=Bos taurus GN=DNAJC2 PE=2 SV=1</t>
  </si>
  <si>
    <t>Protein NLRC3 OS=Homo sapiens GN=NLRC3 PE=2 SV=2</t>
  </si>
  <si>
    <t>Mitochondrial carnitine/acylcarnitine carrier-like protein OS=Arabidopsis thaliana GN=BOU PE=2 SV=1</t>
  </si>
  <si>
    <t>Translation initiation factor IF-1, chloroplastic OS=Coffea arabica GN=infA PE=3 SV=1</t>
  </si>
  <si>
    <t>Histone-lysine N-methyltransferase SUVR4 OS=Arabidopsis thaliana GN=SUVR4 PE=1 SV=2</t>
  </si>
  <si>
    <t>Rab3 GTPase-activating protein catalytic subunit (Fragments) OS=Rattus norvegicus GN=Rab3gap1 PE=1 SV=2</t>
  </si>
  <si>
    <t>Phosphatidylinositol 4-kinase gamma 7 OS=Arabidopsis thaliana GN=PI4KG7 PE=1 SV=2</t>
  </si>
  <si>
    <t>Lariat debranching enzyme OS=Arabidopsis thaliana GN=DBR1 PE=2 SV=1</t>
  </si>
  <si>
    <t>Arabinogalactan peptide 20 OS=Arabidopsis thaliana GN=AGP20 PE=3 SV=1</t>
  </si>
  <si>
    <t>Spastin OS=Gallus gallus GN=SPAST PE=2 SV=1</t>
  </si>
  <si>
    <t>Pyrophosphate-energized membrane proton pump 3 OS=Arabidopsis thaliana GN=AVPL2 PE=3 SV=1</t>
  </si>
  <si>
    <t>Sorting nexin 2B OS=Arabidopsis thaliana GN=SNX2B PE=1 SV=1</t>
  </si>
  <si>
    <t>DNA (cytosine-5)-methyltransferase DRM1 OS=Arabidopsis thaliana GN=DRM1 PE=3 SV=2</t>
  </si>
  <si>
    <t>Pectinesterase 1 OS=Arabidopsis thaliana GN=PME1 PE=1 SV=1</t>
  </si>
  <si>
    <t>Methylsterol monooxygenase 2-2 OS=Arabidopsis thaliana GN=SMO2-2 PE=2 SV=1</t>
  </si>
  <si>
    <t>Isoamylase 3, chloroplastic OS=Arabidopsis thaliana GN=ISA3 PE=2 SV=2</t>
  </si>
  <si>
    <t>Chorismate mutase 1, chloroplastic OS=Arabidopsis thaliana GN=CM1 PE=1 SV=3</t>
  </si>
  <si>
    <t>Histone acetyltransferase HAC1 OS=Arabidopsis thaliana GN=HAC1 PE=1 SV=2</t>
  </si>
  <si>
    <t>Ankyrin repeat protein SKIP35 OS=Arabidopsis thaliana GN=SKIP35 PE=1 SV=1</t>
  </si>
  <si>
    <t>Rhodanese-like domain-containing protein 6 OS=Arabidopsis thaliana GN=STR6 PE=2 SV=1</t>
  </si>
  <si>
    <t>DNA replication complex GINS protein PSF2 OS=Arabidopsis thaliana GN=GINS2 PE=2 SV=2</t>
  </si>
  <si>
    <t>GPCR-type G protein 2 OS=Arabidopsis thaliana GN=GTG2 PE=1 SV=2</t>
  </si>
  <si>
    <t>Protein NLP3 OS=Oryza sativa subsp. japonica GN=NLP3 PE=3 SV=1</t>
  </si>
  <si>
    <t>Probable E3 ubiquitin-protein ligase HERC1 OS=Homo sapiens GN=HERC1 PE=1 SV=2</t>
  </si>
  <si>
    <t>Probable 28S rRNA (cytosine-C(5))-methyltransferase OS=Homo sapiens GN=NSUN5 PE=1 SV=2</t>
  </si>
  <si>
    <t>3-hydroxyisobutyryl-CoA hydrolase-like protein 2, mitochondrial OS=Arabidopsis thaliana GN=At4g31810 PE=2 SV=1</t>
  </si>
  <si>
    <t>GPN-loop GTPase 2 OS=Mus musculus GN=Gpn2 PE=2 SV=2</t>
  </si>
  <si>
    <t>Dehydration-responsive element-binding protein 1B OS=Arabidopsis thaliana GN=DREB1B PE=2 SV=2</t>
  </si>
  <si>
    <t>Serine/threonine-protein kinase Aurora-3 OS=Arabidopsis thaliana GN=AUR3 PE=2 SV=1</t>
  </si>
  <si>
    <t>Serine hydroxymethyltransferase 1, mitochondrial OS=Flaveria pringlei PE=2 SV=1</t>
  </si>
  <si>
    <t>Flaveria pringlei</t>
  </si>
  <si>
    <t>CBL-interacting protein kinase 2 OS=Oryza sativa subsp. japonica GN=CIPK2 PE=2 SV=1</t>
  </si>
  <si>
    <t>Chaperone protein DnaJ OS=Bacillus pumilus (strain SAFR-032) GN=dnaJ PE=3 SV=1</t>
  </si>
  <si>
    <t>Bacillus pumilus</t>
  </si>
  <si>
    <t>Non-specific lipid-transfer protein-like protein At2g13820 OS=Arabidopsis thaliana GN=At2g13820 PE=1 SV=1</t>
  </si>
  <si>
    <t>General transcription factor IIF subunit 2 OS=Bos taurus GN=GTF2F2 PE=2 SV=1</t>
  </si>
  <si>
    <t>Probable zinc metalloprotease EGY2, chloroplastic OS=Arabidopsis thaliana GN=EGY2 PE=2 SV=1</t>
  </si>
  <si>
    <t>Probable disease resistance protein At5g66910 OS=Arabidopsis thaliana GN=At5g66910 PE=2 SV=1</t>
  </si>
  <si>
    <t>Probable histone H2A variant 3 OS=Arabidopsis thaliana GN=At1g52740 PE=1 SV=1</t>
  </si>
  <si>
    <t>Serine/threonine-protein phosphatase BSL1 OS=Arabidopsis thaliana GN=BSL1 PE=1 SV=2</t>
  </si>
  <si>
    <t>Uncharacterized aarF domain-containing protein kinase 1 OS=Gallus gallus GN=ADCK1 PE=2 SV=1</t>
  </si>
  <si>
    <t>ATP synthase subunit O, mitochondrial OS=Ipomoea batatas PE=1 SV=1</t>
  </si>
  <si>
    <t>Cytochrome P450 94B3 OS=Arabidopsis thaliana GN=CYP94B3 PE=2 SV=1</t>
  </si>
  <si>
    <t>ABC transporter G family member 51 OS=Oryza sativa subsp. japonica GN=ABCG51 PE=3 SV=1</t>
  </si>
  <si>
    <t>Protein kinase PINOid 2 OS=Arabidopsis thaliana GN=Pid2 PE=1 SV=1</t>
  </si>
  <si>
    <t>Cysteine synthase, chloroplastic/chromoplastic OS=Capsicum annuum PE=2 SV=1</t>
  </si>
  <si>
    <t>Probable pectinesterase 53 OS=Arabidopsis thaliana GN=PME53 PE=2 SV=1</t>
  </si>
  <si>
    <t>EPidERMAL PATTERNING FACTOR-like protein 2 OS=Arabidopsis thaliana GN=EPFL2 PE=2 SV=1</t>
  </si>
  <si>
    <t>Serine/arginine-rich SC35-like splicing factor SCL30A OS=Arabidopsis thaliana GN=SCL30A PE=1 SV=1</t>
  </si>
  <si>
    <t>Inositol-tetrakisphosphate 1-kinase 1 OS=Oryza sativa subsp. indica GN=ITPK1 PE=3 SV=1</t>
  </si>
  <si>
    <t>Luc7-like protein 3 OS=Pongo abelii GN=LUC7L3 PE=2 SV=1</t>
  </si>
  <si>
    <t>Equilibrative nucleotide transporter 8 OS=Arabidopsis thaliana GN=ETN8 PE=2 SV=1</t>
  </si>
  <si>
    <t>F-box/LRR-repeat protein At4g14096 OS=Arabidopsis thaliana GN=At4g14096 PE=2 SV=1</t>
  </si>
  <si>
    <t>Transcription factor MYB12 OS=Arabidopsis thaliana GN=MYB12 PE=2 SV=1</t>
  </si>
  <si>
    <t>AP2-like ethylene-responsive transcription factor AIL1 OS=Arabidopsis thaliana GN=AIL1 PE=2 SV=1</t>
  </si>
  <si>
    <t>AT-rich interactive domain-containing protein 1 OS=Arabidopsis thaliana GN=ARid1 PE=2 SV=1</t>
  </si>
  <si>
    <t>Auxin response factor 1 OS=Arabidopsis thaliana GN=ARF1 PE=1 SV=2</t>
  </si>
  <si>
    <t>Glycerophosphodiester phosphodiesterase GDPD2 OS=Arabidopsis thaliana GN=GDPD2 PE=2 SV=1</t>
  </si>
  <si>
    <t>Cytochrome P450 720B2 OS=Pinus taeda GN=CYP720B2 PE=2 SV=1</t>
  </si>
  <si>
    <t>Sulfate transporter 2.1 OS=Arabidopsis thaliana GN=SULTR2;1 PE=2 SV=1</t>
  </si>
  <si>
    <t>B3 domain-containing protein Os06g0194400 OS=Oryza sativa subsp. japonica GN=Os06g0194400 PE=2 SV=1</t>
  </si>
  <si>
    <t>Glucan endo-1,3-beta-glucosidase 12 OS=Arabidopsis thaliana GN=At4g29360 PE=1 SV=1</t>
  </si>
  <si>
    <t>Elongation factor Tu, mitochondrial OS=Arabidopsis thaliana GN=TUFA PE=1 SV=1</t>
  </si>
  <si>
    <t>Abscisic acid 8'-hydroxylase 2 OS=Arabidopsis thaliana GN=CYP707A2 PE=2 SV=1</t>
  </si>
  <si>
    <t>40S ribosomal protein S2-4 OS=Arabidopsis thaliana GN=RPS2D PE=2 SV=1</t>
  </si>
  <si>
    <t>Putative transcription factor bHLH041 OS=Arabidopsis thaliana GN=BHLH41 PE=3 SV=1</t>
  </si>
  <si>
    <t>Villin-2 OS=Arabidopsis thaliana GN=VLN2 PE=1 SV=2</t>
  </si>
  <si>
    <t>Tubulin beta-6 chain OS=Gossypium hirsutum PE=2 SV=1</t>
  </si>
  <si>
    <t>Uncharacterized protein C17orf53 homolog OS=Mus musculus PE=2 SV=2</t>
  </si>
  <si>
    <t>NAD(P)H-quinone oxidoreductase chain 4, chloroplastic OS=Morus indica GN=ndhD PE=3 SV=1</t>
  </si>
  <si>
    <t>Hydrophobic protein LTI6B OS=Oryza sativa subsp. japonica GN=LTI6B PE=2 SV=1</t>
  </si>
  <si>
    <t>Multiprotein-bridging factor 1c OS=Arabidopsis thaliana GN=MBF1C PE=1 SV=1</t>
  </si>
  <si>
    <t>Origin of replication complex subunit 1A OS=Arabidopsis thaliana GN=ORC1A PE=1 SV=1</t>
  </si>
  <si>
    <t>Uncharacterized aarF domain-containing protein kinase 2 OS=Homo sapiens GN=ADCK2 PE=2 SV=1</t>
  </si>
  <si>
    <t>Thioredoxin-like 1-2, chloroplastic OS=Arabidopsis thaliana GN=At5g61440 PE=2 SV=1</t>
  </si>
  <si>
    <t>14-3-3-like protein OS=Pisum sativum PE=2 SV=1</t>
  </si>
  <si>
    <t>Aspartic proteinase A1 OS=Arabidopsis thaliana GN=APA1 PE=1 SV=1</t>
  </si>
  <si>
    <t>Probable RNA-dependent RNA polymerase 5 OS=Arabidopsis thaliana GN=RDR5 PE=2 SV=2</t>
  </si>
  <si>
    <t>Protein-tyrosine-phosphatase MKP1 OS=Arabidopsis thaliana GN=MKP1 PE=1 SV=1</t>
  </si>
  <si>
    <t>NAC domain-containing protein 43 OS=Arabidopsis thaliana GN=NAC043 PE=2 SV=2</t>
  </si>
  <si>
    <t>Germin-like protein subfamily 1 member 7 OS=Arabidopsis thaliana GN=At3g05950 PE=2 SV=1</t>
  </si>
  <si>
    <t>General amino acid permease AGP2 OS=Saccharomyces cerevisiae (strain ATCC 204508 / S288c) GN=AGP2 PE=1 SV=1</t>
  </si>
  <si>
    <t>40S ribosomal protein S26E OS=Neurospora crassa (strain ATCC 24698 / 74-OR23-1A / CBS 708.71 / DSM 1257 / FGSC 987) GN=rps-26 PE=3 SV=2</t>
  </si>
  <si>
    <t>Cellulose synthase A catalytic subunit 3 [UDP-forming] OS=Arabidopsis thaliana GN=CESA3 PE=1 SV=2</t>
  </si>
  <si>
    <t>Spermatogenesis-associated protein 20 OS=Homo sapiens GN=SPATA20 PE=2 SV=3</t>
  </si>
  <si>
    <t>Probable quinate permease OS=Aspergillus clavatus (strain ATCC 1007 / CBS 513.65 / DSM 816 / NCTC 3887 / NRRL 1) GN=qutD PE=3 SV=1</t>
  </si>
  <si>
    <t>Aspergillus clavatus</t>
  </si>
  <si>
    <t>Anaphase-promoting complex subunit 1 OS=Arabidopsis thaliana GN=APC1 PE=2 SV=1</t>
  </si>
  <si>
    <t>Proline iminopeptidase OS=Arabidopsis thaliana GN=PIP PE=2 SV=3</t>
  </si>
  <si>
    <t>Malate dehydrogenase, cytoplasmic OS=Medicago sativa GN=CMDH PE=2 SV=1</t>
  </si>
  <si>
    <t>17.3 kDa class I heat shock protein OS=Glycine max GN=HSP17.3-B PE=3 SV=1</t>
  </si>
  <si>
    <t>Peptidoglycan-N-acetylglucosamine deacetylase OS=Streptococcus pneumoniae (strain ATCC BAA-255 / R6) GN=pgdA PE=1 SV=1</t>
  </si>
  <si>
    <t>Streptococcus pneumoniae</t>
  </si>
  <si>
    <t>Fasciclin-like arabinogalactan protein 2 OS=Arabidopsis thaliana GN=FLA2 PE=1 SV=1</t>
  </si>
  <si>
    <t>Probable quinate permease OS=Aspergillus oryzae (strain ATCC 42149 / RIB 40) GN=qutD PE=3 SV=1</t>
  </si>
  <si>
    <t>Elongation factor P OS=Synechococcus sp. (strain ATCC 27264 / PCC 7002 / PR-6) GN=efp PE=3 SV=1</t>
  </si>
  <si>
    <t>DEAD-box ATP-dependent RNA helicase 16 OS=Arabidopsis thaliana GN=RH16 PE=2 SV=1</t>
  </si>
  <si>
    <t>Cleft lip and palate transmembrane protein 1 homolog OS=Danio rerio GN=clptm1 PE=2 SV=1</t>
  </si>
  <si>
    <t>Cysteine-rich repeat secretory protein 55 OS=Arabidopsis thaliana GN=CRRSP55 PE=2 SV=1</t>
  </si>
  <si>
    <t>Probable fructokinase-5 OS=Arabidopsis thaliana GN=At4g10260 PE=2 SV=1</t>
  </si>
  <si>
    <t>Probable disease resistance RPP8-like protein 4 OS=Arabidopsis thaliana GN=RPP8L4 PE=2 SV=1</t>
  </si>
  <si>
    <t>Dehydration-responsive element-binding protein 2B OS=Oryza sativa subsp. japonica GN=DREB2B PE=2 SV=2</t>
  </si>
  <si>
    <t>Ribosome assembly protein 1 OS=Schizosaccharomyces pombe (strain 972 / ATCC 24843) GN=ria1 PE=3 SV=1</t>
  </si>
  <si>
    <t>Chaperonin 60 subunit beta 4, chloroplastic OS=Arabidopsis thaliana GN=CPN60B4 PE=1 SV=1</t>
  </si>
  <si>
    <t>Nephrocystin-3 OS=Xenopus tropicalis GN=nphp3 PE=2 SV=2</t>
  </si>
  <si>
    <t>Zinc finger CCCH domain-containing protein 18 OS=Arabidopsis thaliana GN=At2g05160 PE=2 SV=1</t>
  </si>
  <si>
    <t>Microtubule-associated protein 70-1 OS=Arabidopsis thaliana GN=MAP70.1 PE=1 SV=1</t>
  </si>
  <si>
    <t>Receptor like protein kinase S.2 OS=Arabidopsis thaliana GN=LECRKS2 PE=2 SV=2</t>
  </si>
  <si>
    <t>HAUS augmin-like complex subunit 2 OS=Homo sapiens GN=HAUS2 PE=1 SV=1</t>
  </si>
  <si>
    <t>Ubiquitin carboxyl-terminal hydrolase 16 OS=Arabidopsis thaliana GN=UBP16 PE=1 SV=1</t>
  </si>
  <si>
    <t>Double-stranded RNA-binding protein 1 OS=Oryza sativa subsp. japonica GN=DRB1 PE=2 SV=1</t>
  </si>
  <si>
    <t>Desiccation protectant protein Lea14 homolog OS=Glycine max PE=2 SV=1</t>
  </si>
  <si>
    <t>Probable ubiquitin-conjugating enzyme E2 C OS=Dictyostelium discoideum GN=ube2c PE=3 SV=1</t>
  </si>
  <si>
    <t>WD repeat-containing protein 3 OS=Homo sapiens GN=WDR3 PE=1 SV=1</t>
  </si>
  <si>
    <t>UPF0392 protein RCOM_0530710 OS=Ricinus communis GN=RCOM_0530710 PE=3 SV=1</t>
  </si>
  <si>
    <t>G-type lectin S-receptor-like serine/threonine-protein kinase At5g35370 OS=Arabidopsis thaliana GN=At5g35370 PE=2 SV=2</t>
  </si>
  <si>
    <t>Protein SPA1-RELATED 2 OS=Arabidopsis thaliana GN=SPA2 PE=1 SV=2</t>
  </si>
  <si>
    <t>Splicing factor 3B subunit 2 OS=Homo sapiens GN=SF3B2 PE=1 SV=2</t>
  </si>
  <si>
    <t>Mitogen-activated protein kinase 19 OS=Arabidopsis thaliana GN=MPK19 PE=2 SV=2</t>
  </si>
  <si>
    <t>Transcription factor TCP13 OS=Arabidopsis thaliana GN=TCP13 PE=1 SV=1</t>
  </si>
  <si>
    <t>GDP-mannose transporter GONST3 OS=Arabidopsis thaliana GN=GONST3 PE=2 SV=1</t>
  </si>
  <si>
    <t>Serine/threonine-protein kinase SAPK7 OS=Oryza sativa subsp. japonica GN=SAPK7 PE=2 SV=2</t>
  </si>
  <si>
    <t>Trehalase OS=Arabidopsis thaliana GN=TRE1 PE=2 SV=1</t>
  </si>
  <si>
    <t>Small heat shock protein C2 OS=Rickettsia felis (strain ATCC VR-1525 / URRWXCal2) GN=hspC2 PE=3 SV=1</t>
  </si>
  <si>
    <t>Ribonuclease 2 OS=Arabidopsis thaliana GN=RNS2 PE=2 SV=1</t>
  </si>
  <si>
    <t>Cytochrome P450 704B1 OS=Arabidopsis thaliana GN=CYP704B1 PE=2 SV=1</t>
  </si>
  <si>
    <t>Allantoinase OS=Arabidopsis thaliana GN=ALN PE=1 SV=1</t>
  </si>
  <si>
    <t>Glyoxylate/hydroxypyruvate reductase HPR3 OS=Arabidopsis thaliana GN=HPR3 PE=2 SV=1</t>
  </si>
  <si>
    <t>RING-H2 finger protein ATL70 OS=Arabidopsis thaliana GN=ATL70 PE=2 SV=1</t>
  </si>
  <si>
    <t>F-box/kelch-repeat protein OR23 OS=Arabidopsis thaliana GN=OR23 PE=2 SV=1</t>
  </si>
  <si>
    <t>Vesicle-associated protein 4-1 OS=Arabidopsis thaliana GN=PVA41 PE=2 SV=1</t>
  </si>
  <si>
    <t>Rhomboid-like protein 20 OS=Arabidopsis thaliana GN=RBL20 PE=2 SV=1</t>
  </si>
  <si>
    <t>Probable tRNA (guanine(26)-N(2))-dimethyltransferase 2 OS=Arabidopsis thaliana GN=At3g02320 PE=2 SV=3</t>
  </si>
  <si>
    <t>Conserved oligomeric Golgi complex subunit 4 OS=Arabidopsis thaliana GN=COG4 PE=2 SV=1</t>
  </si>
  <si>
    <t>Transmembrane protein 209 OS=Mus musculus GN=Tmem209 PE=2 SV=1</t>
  </si>
  <si>
    <t>Protein GRIP OS=Arabidopsis thaliana GN=GRIP PE=1 SV=2</t>
  </si>
  <si>
    <t>Elicitor-responsive protein 1 OS=Oryza sativa subsp. japonica GN=ERG1 PE=2 SV=1</t>
  </si>
  <si>
    <t>24-methylenesterol C-methyltransferase 2 OS=Arabidopsis thaliana GN=SMT2 PE=1 SV=2</t>
  </si>
  <si>
    <t>Phosphatidylinositol transfer protein 1 OS=Dictyostelium discoideum GN=pitA PE=1 SV=1</t>
  </si>
  <si>
    <t>Probable RNA methyltransferase At5g51130 OS=Arabidopsis thaliana GN=At5g51130 PE=2 SV=1</t>
  </si>
  <si>
    <t>Protein argonaute 5 OS=Arabidopsis thaliana GN=AGO5 PE=1 SV=2</t>
  </si>
  <si>
    <t>Protein TORNADO 1 OS=Arabidopsis thaliana GN=TRN1 PE=2 SV=1</t>
  </si>
  <si>
    <t>Protein FAR1-RELATED SEQUENCE 9 OS=Arabidopsis thaliana GN=FRS9 PE=2 SV=2</t>
  </si>
  <si>
    <t>Fanconi anemia group J protein OS=Homo sapiens GN=BRIP1 PE=1 SV=1</t>
  </si>
  <si>
    <t>Transcription factor E2FC OS=Arabidopsis thaliana GN=E2FC PE=1 SV=1</t>
  </si>
  <si>
    <t>Conserved oligomeric Golgi complex subunit 6 OS=Bos taurus GN=COG6 PE=2 SV=1</t>
  </si>
  <si>
    <t>Beta-amylase 7 OS=Arabidopsis thaliana GN=BAM7 PE=2 SV=2</t>
  </si>
  <si>
    <t>Pentatricopeptide repeat-containing protein At2g36240 OS=Arabidopsis thaliana GN=At2g36240 PE=2 SV=1</t>
  </si>
  <si>
    <t>Ras-related protein RGP1 OS=Oryza sativa subsp. japonica GN=RGP1 PE=2 SV=2</t>
  </si>
  <si>
    <t>Lysine-specific demethylase JMJ18 OS=Arabidopsis thaliana GN=JMJ18 PE=2 SV=1</t>
  </si>
  <si>
    <t>Adenylate kinase 2, chloroplastic OS=Arabidopsis thaliana GN=At5g47840 PE=1 SV=1</t>
  </si>
  <si>
    <t>Type I inositol polyphosphate 5-phosphatase 2 OS=Arabidopsis thaliana GN=IP5P2 PE=1 SV=2</t>
  </si>
  <si>
    <t>Dihydrolipoyllysine-residue succinyltransferase component of 2-oxoglutarate dehydrogenase complex 1, mitochondrial OS=Arabidopsis thaliana GN=At5g55070 PE=2 SV=1</t>
  </si>
  <si>
    <t>Exocyst complex component EXO84B OS=Arabidopsis thaliana GN=EXO84B PE=1 SV=1</t>
  </si>
  <si>
    <t>DNA repair protein XRCC4 OS=Arabidopsis thaliana GN=XRCC4 PE=1 SV=2</t>
  </si>
  <si>
    <t>Uncharacterized protein At2g37660, chloroplastic OS=Arabidopsis thaliana GN=At2g37660 PE=2 SV=2</t>
  </si>
  <si>
    <t>31 kDa ribonucleoprotein, chloroplastic OS=Nicotiana sylvestris PE=1 SV=1</t>
  </si>
  <si>
    <t>Protein OS-9 homolog OS=Arabidopsis thaliana GN=OS9 PE=1 SV=1</t>
  </si>
  <si>
    <t>Probable mediator of RNA polymerase II transcription subunit 37c OS=Arabidopsis thaliana GN=MED37D PE=1 SV=2</t>
  </si>
  <si>
    <t>Auxin response factor 16 OS=Arabidopsis thaliana GN=ARF16 PE=2 SV=1</t>
  </si>
  <si>
    <t>Protein EXORDIUM-like 3 OS=Arabidopsis thaliana GN=EXL3 PE=2 SV=1</t>
  </si>
  <si>
    <t>Protein GLE1 OS=Arabidopsis thaliana GN=GLE1 PE=1 SV=1</t>
  </si>
  <si>
    <t>Topless-related protein 1 OS=Arabidopsis thaliana GN=TPR1 PE=1 SV=3</t>
  </si>
  <si>
    <t>Probable anion transporter 5 OS=Arabidopsis thaliana GN=ANTR5 PE=2 SV=1</t>
  </si>
  <si>
    <t>Ras-related protein RABB1c OS=Arabidopsis thaliana GN=RABB1C PE=1 SV=1</t>
  </si>
  <si>
    <t>Nudix hydrolase 14, chloroplastic OS=Arabidopsis thaliana GN=NUDT14 PE=1 SV=2</t>
  </si>
  <si>
    <t>Growth-regulating factor 10 OS=Oryza sativa subsp. japonica GN=GRF10 PE=2 SV=1</t>
  </si>
  <si>
    <t>Rac-like GTP-binding protein RAC2 OS=Lotus japonicus GN=RAC2 PE=2 SV=1</t>
  </si>
  <si>
    <t>Beta-galactosidase 17 OS=Arabidopsis thaliana GN=BGAL17 PE=2 SV=1</t>
  </si>
  <si>
    <t>50S ribosomal protein L3, chloroplastic (Fragment) OS=Nicotiana tabacum GN=RPL3 PE=2 SV=1</t>
  </si>
  <si>
    <t>E3 ubiquitin-protein ligase UPL6 OS=Arabidopsis thaliana GN=UPL6 PE=2 SV=1</t>
  </si>
  <si>
    <t>Endoplasmic reticulum metallopeptidase 1 OS=Rattus norvegicus GN=Ermp1 PE=1 SV=1</t>
  </si>
  <si>
    <t>Malonyl-CoA decarboxylase, mitochondrial OS=Homo sapiens GN=MLYCD PE=1 SV=3</t>
  </si>
  <si>
    <t>Poly(U)-specific endoribonuclease-B OS=Danio rerio GN=endoub PE=2 SV=1</t>
  </si>
  <si>
    <t>ABC transporter C family member 5 OS=Arabidopsis thaliana GN=ABCC5 PE=2 SV=2</t>
  </si>
  <si>
    <t>G2/mitotic-specific cyclin-2 OS=Antirrhinum majus PE=2 SV=1</t>
  </si>
  <si>
    <t>Polyadenylate-binding protein 5 OS=Arabidopsis thaliana GN=PAB5 PE=1 SV=3</t>
  </si>
  <si>
    <t>CASP-like protein 5A1 OS=Brachypodium distachyon PE=2 SV=1</t>
  </si>
  <si>
    <t>Brachypodium distachyon</t>
  </si>
  <si>
    <t>EKC/KEOPS complex subunit Tprkb OS=Mus musculus GN=Tprkb PE=2 SV=1</t>
  </si>
  <si>
    <t>Insulin-degrading enzyme OS=Homo sapiens GN=idE PE=1 SV=4</t>
  </si>
  <si>
    <t>Probable dual-specificity RNA methyltransferase RlmN OS=Symbiobacterium thermophilum (strain T / IAM 14863) GN=rlmN PE=3 SV=1</t>
  </si>
  <si>
    <t>Symbiobacterium thermophilum</t>
  </si>
  <si>
    <t>DEAD-box ATP-dependent RNA helicase 13 OS=Oryza sativa subsp. japonica GN=Os04g0510400 PE=2 SV=2</t>
  </si>
  <si>
    <t>3-hydroxyisobutyryl-CoA hydrolase-like protein 1, mitochondrial OS=Arabidopsis thaliana GN=At3g60510 PE=2 SV=1</t>
  </si>
  <si>
    <t>Calcineurin-binding protein cabin-1 OS=Rattus norvegicus GN=Cabin1 PE=1 SV=1</t>
  </si>
  <si>
    <t>Elongation factor Tu GTP-binding domain-containing protein 1 OS=Mus musculus GN=Eftud1 PE=2 SV=1</t>
  </si>
  <si>
    <t>Uncharacterized protein YqeH OS=Bacillus subtilis (strain 168) GN=yqeH PE=1 SV=1</t>
  </si>
  <si>
    <t>Peroxisome biogenesis factor 10 OS=Arabidopsis thaliana GN=PEX10 PE=1 SV=1</t>
  </si>
  <si>
    <t>UDP-D-xylose:L-fucose alpha-1,3-D-xylosyltransferase MGP4 OS=Arabidopsis thaliana GN=MGP4 PE=2 SV=1</t>
  </si>
  <si>
    <t>Protein-tyrosine-phosphatase PTP1 OS=Arabidopsis thaliana GN=PTP1 PE=1 SV=1</t>
  </si>
  <si>
    <t>Telomere repeat-binding protein 4 OS=Arabidopsis thaliana GN=TRP4 PE=1 SV=1</t>
  </si>
  <si>
    <t>Nephrocystin-3 OS=Danio rerio GN=nphp3 PE=3 SV=1</t>
  </si>
  <si>
    <t>Bidirectional sugar transporter SWEET4 OS=Oryza sativa subsp. japonica GN=SWEET4 PE=2 SV=1</t>
  </si>
  <si>
    <t>Probable leucine-rich repeat receptor-like protein kinase IMK3 OS=Arabidopsis thaliana GN=IMK3 PE=1 SV=1</t>
  </si>
  <si>
    <t>Pentatricopeptide repeat-containing protein At4g14190, chloroplastic OS=Arabidopsis thaliana GN=At4g14190 PE=2 SV=2</t>
  </si>
  <si>
    <t>Mechanosensitive ion channel protein 1, mitochondrial OS=Arabidopsis thaliana GN=MSL1 PE=2 SV=1</t>
  </si>
  <si>
    <t>Probable RNA-dependent RNA polymerase 1 OS=Oryza sativa subsp. japonica GN=RDR1 PE=2 SV=2</t>
  </si>
  <si>
    <t>Serine/threonine-protein phosphatase PP1 isozyme 4 OS=Arabidopsis thaliana GN=TOPP4 PE=1 SV=1</t>
  </si>
  <si>
    <t>Eukaryotic translation initiation factor 2 subunit 3 OS=Dictyostelium discoideum GN=eif2s3 PE=2 SV=1</t>
  </si>
  <si>
    <t>Ethylene receptor 2 OS=Arabidopsis thaliana GN=ETR2 PE=1 SV=2</t>
  </si>
  <si>
    <t>Protein CROWDED NUCLEI 4 OS=Arabidopsis thaliana GN=CRWN4 PE=1 SV=2</t>
  </si>
  <si>
    <t>Probable plastid-lipid-associated protein 10, chloroplastic OS=Arabidopsis thaliana GN=PAP10 PE=2 SV=1</t>
  </si>
  <si>
    <t>Kinesin-like protein 5 OS=Schizosaccharomyces pombe (strain 972 / ATCC 24843) GN=klp5 PE=1 SV=1</t>
  </si>
  <si>
    <t>Transmembrane 9 superfamily member 2 OS=Arabidopsis thaliana GN=TMN2 PE=2 SV=1</t>
  </si>
  <si>
    <t>Nucleolar protein 8 OS=Mus musculus GN=Nol8 PE=1 SV=2</t>
  </si>
  <si>
    <t>40S ribosomal protein S7-3 OS=Arabidopsis thaliana GN=RPS7C PE=1 SV=2</t>
  </si>
  <si>
    <t>Protein ARABidILLO 1 OS=Arabidopsis thaliana GN=FBX5 PE=1 SV=1</t>
  </si>
  <si>
    <t>Mitochondrial inner membrane protease ATP23 OS=Cryptococcus neoformans var. neoformans serotype D (strain JEC21 / ATCC MYA-565) GN=ATP23 PE=3 SV=1</t>
  </si>
  <si>
    <t>tRNA pseudouridine synthase A 1 OS=Protochlamydia amoebophila (strain UWE25) GN=truA1 PE=3 SV=1</t>
  </si>
  <si>
    <t>DnaJ homolog subfamily B member 13 OS=Mus musculus GN=Dnajb13 PE=2 SV=1</t>
  </si>
  <si>
    <t>Homeobox-leucine zipper protein GLABRA 2 OS=Arabidopsis thaliana GN=GL2 PE=2 SV=3</t>
  </si>
  <si>
    <t>Pentatricopeptide repeat-containing protein At5g64320, mitochondrial OS=Arabidopsis thaliana GN=At5g64320 PE=2 SV=1</t>
  </si>
  <si>
    <t>Protein phosphatase 1 regulatory subunit pprA OS=Dictyostelium discoideum GN=pprA PE=3 SV=1</t>
  </si>
  <si>
    <t>GPI mannosyltransferase 2 OS=Mus musculus GN=Pigv PE=2 SV=2</t>
  </si>
  <si>
    <t>GDT1-like protein 4 OS=Arabidopsis thaliana GN=At1g25520 PE=2 SV=1</t>
  </si>
  <si>
    <t>Laccase-2 OS=Oryza sativa subsp. japonica GN=LAC2 PE=2 SV=1</t>
  </si>
  <si>
    <t>Plant UBX domain-containing protein 10 OS=Arabidopsis thaliana GN=PUX10 PE=2 SV=1</t>
  </si>
  <si>
    <t>Probable isoprenylcysteine alpha-carbonyl methylesterase ICMEL1 OS=Arabidopsis thaliana GN=ICMEL1 PE=2 SV=1</t>
  </si>
  <si>
    <t>Nuclear factor NF-kappa-B p105 subunit (Fragment) OS=Rattus norvegicus GN=Nfkb1 PE=1 SV=1</t>
  </si>
  <si>
    <t>Probable 1-aminocyclopropane-1-carboxylate oxidase OS=Dianthus caryophyllus GN=ACO PE=2 SV=1</t>
  </si>
  <si>
    <t>UPF0553 protein OS=Dictyostelium discoideum GN=DDB_G0288723 PE=3 SV=1</t>
  </si>
  <si>
    <t>SH3 domain-containing YSC84-like protein 1 OS=Xenopus laevis GN=sh3yl1 PE=2 SV=1</t>
  </si>
  <si>
    <t>50S ribosomal protein L7/L12 OS=Liberibacter africanus subsp. capensis GN=rplL PE=3 SV=1</t>
  </si>
  <si>
    <t>Liberibacter africanus</t>
  </si>
  <si>
    <t>Protein SPIRAL1-like 5 OS=Arabidopsis thaliana GN=SP1L5 PE=2 SV=1</t>
  </si>
  <si>
    <t>Zinc finger protein CONSTANS-LIKE 1 OS=Arabidopsis thaliana GN=COL1 PE=1 SV=1</t>
  </si>
  <si>
    <t>Serine/threonine-protein kinase Nek1 OS=Arabidopsis thaliana GN=NEK1 PE=2 SV=2</t>
  </si>
  <si>
    <t>Viral IAP-associated factor homolog OS=Drosophila melanogaster GN=viaf PE=1 SV=1</t>
  </si>
  <si>
    <t>Probable polyamine oxidase 5 OS=Arabidopsis thaliana GN=PAO5 PE=2 SV=1</t>
  </si>
  <si>
    <t>Probable glutathione peroxidase 4 OS=Arabidopsis thaliana GN=GPX4 PE=2 SV=1</t>
  </si>
  <si>
    <t>Photosystem II core complex proteins psbY, chloroplastic OS=Spinacia oleracea GN=PSBY PE=1 SV=2</t>
  </si>
  <si>
    <t>60S ribosomal protein L18-2 OS=Arabidopsis thaliana GN=RPL18B PE=1 SV=2</t>
  </si>
  <si>
    <t>Major facilitator superfamily domain-containing protein 12 OS=Homo sapiens GN=MFSD12 PE=1 SV=2</t>
  </si>
  <si>
    <t>GDSL esterase/lipase At3g26430 OS=Arabidopsis thaliana GN=At3g26430 PE=2 SV=1</t>
  </si>
  <si>
    <t>Alcohol dehydrogenase class-3 OS=Arabidopsis thaliana GN=ADH2 PE=1 SV=2</t>
  </si>
  <si>
    <t>Chalcone synthase 2 OS=Camellia sinensis GN=CHS2 PE=2 SV=1</t>
  </si>
  <si>
    <t>Fimbrin-2 OS=Arabidopsis thaliana GN=FIM2 PE=2 SV=1</t>
  </si>
  <si>
    <t>Putative aminoacrylate hydrolase RutD OS=Variovorax paradoxus (strain S110) GN=rutD PE=3 SV=1</t>
  </si>
  <si>
    <t>Variovorax paradoxus</t>
  </si>
  <si>
    <t>B3 domain-containing protein Os03g0184500 OS=Oryza sativa subsp. japonica GN=Os03g0184500 PE=2 SV=1</t>
  </si>
  <si>
    <t>(E,E)-alpha-farnesene synthase OS=Malus domestica GN=AFS1 PE=1 SV=2</t>
  </si>
  <si>
    <t>Probable WRKY transcription factor 9 OS=Arabidopsis thaliana GN=WRKY9 PE=2 SV=1</t>
  </si>
  <si>
    <t>Probable transmembrane ascorbate ferrireductase 4 OS=Arabidopsis thaliana GN=CYB561D PE=2 SV=1</t>
  </si>
  <si>
    <t>Kinesin KP1 OS=Arabidopsis thaliana GN=KP1 PE=1 SV=2</t>
  </si>
  <si>
    <t>Protein EXORDIUM OS=Arabidopsis thaliana GN=EXO PE=2 SV=1</t>
  </si>
  <si>
    <t>Peptide chain release factor PrfB3, chloroplastic OS=Arabidopsis thaliana GN=PRFB3 PE=2 SV=1</t>
  </si>
  <si>
    <t>Glycine-rich domain-containing protein 1 OS=Arabidopsis thaliana GN=GRDP1 PE=2 SV=1</t>
  </si>
  <si>
    <t>Probable inactive receptor kinase At5g67200 OS=Arabidopsis thaliana GN=At5g67200 PE=1 SV=1</t>
  </si>
  <si>
    <t>Pleckstrin homology domain-containing protein 1 OS=Arabidopsis thaliana GN=PH1 PE=2 SV=2</t>
  </si>
  <si>
    <t>Microtubule-associated protein 70-4 OS=Oryza sativa subsp. japonica GN=MAP70.4 PE=2 SV=1</t>
  </si>
  <si>
    <t>Protein TIC 55, chloroplastic OS=Pisum sativum GN=TIC55 PE=1 SV=1</t>
  </si>
  <si>
    <t>Tubulin alpha-4 chain OS=Arabidopsis thaliana GN=TUBA4 PE=2 SV=2</t>
  </si>
  <si>
    <t>Putative ribosomal-protein-alanine acetyltransferase OS=Bacillus subtilis (strain 168) GN=yjcK PE=3 SV=1</t>
  </si>
  <si>
    <t>Centromere protein V OS=Mus musculus GN=Cenpv PE=2 SV=2</t>
  </si>
  <si>
    <t>Clathrin light chain 2 OS=Arabidopsis thaliana GN=CLC2 PE=1 SV=1</t>
  </si>
  <si>
    <t>Chaperone protein dnaJ 1, mitochondrial OS=Arabidopsis thaliana GN=ATJ1 PE=2 SV=2</t>
  </si>
  <si>
    <t>AP2-like ethylene-responsive transcription factor AIL5 OS=Arabidopsis thaliana GN=AIL5 PE=2 SV=2</t>
  </si>
  <si>
    <t>Condensin complex subunit 3 OS=Xenopus laevis GN=ncapg PE=1 SV=1</t>
  </si>
  <si>
    <t>Histidine kinase 1 OS=Arabidopsis thaliana GN=AHK1 PE=1 SV=2</t>
  </si>
  <si>
    <t>Beta-glucosidase 12 OS=Oryza sativa subsp. japonica GN=BGLU12 PE=2 SV=2</t>
  </si>
  <si>
    <t>Protein S100-A9 OS=Homo sapiens GN=S100A9 PE=1 SV=1</t>
  </si>
  <si>
    <t>Histone acetyltransferase GCN5 OS=Yarrowia lipolytica (strain CLIB 122 / E 150) GN=GCN5 PE=3 SV=1</t>
  </si>
  <si>
    <t>Probable mannitol dehydrogenase OS=Mesembryanthemum crystallinum GN=ELI3 PE=2 SV=1</t>
  </si>
  <si>
    <t>Homeobox-leucine zipper protein ATHB-7 OS=Arabidopsis thaliana GN=ATHB-7 PE=2 SV=2</t>
  </si>
  <si>
    <t>Origin of replication complex subunit 5 OS=Arabidopsis thaliana GN=ORC5 PE=1 SV=1</t>
  </si>
  <si>
    <t>Probable small nuclear ribonucleoprotein G OS=Arabidopsis thaliana GN=At2g23930 PE=2 SV=1</t>
  </si>
  <si>
    <t>Protein RIK OS=Arabidopsis thaliana GN=RIK PE=1 SV=2</t>
  </si>
  <si>
    <t>Laccase-3 OS=Arabidopsis thaliana GN=LAC3 PE=2 SV=2</t>
  </si>
  <si>
    <t>Probable endo-beta-1,4-glucanase D OS=Aspergillus clavatus (strain ATCC 1007 / CBS 513.65 / DSM 816 / NCTC 3887 / NRRL 1) GN=eglD PE=3 SV=1</t>
  </si>
  <si>
    <t>Prolyl 4-hydroxylase 1 OS=Arabidopsis thaliana GN=P4H1 PE=1 SV=1</t>
  </si>
  <si>
    <t>Phospholipase A1-Igamma1, chloroplastic OS=Arabidopsis thaliana GN=At1g06800 PE=1 SV=2</t>
  </si>
  <si>
    <t>Tryptophan synthase beta chain 2, chloroplastic OS=Camptotheca acuminata GN=TSB PE=2 SV=1</t>
  </si>
  <si>
    <t>Double-stranded RNA-specific editase 1 OS=Rattus norvegicus GN=Adarb1 PE=1 SV=1</t>
  </si>
  <si>
    <t>Transmembrane protein 19 OS=Pongo abelii GN=TMEM19 PE=2 SV=1</t>
  </si>
  <si>
    <t>Germin-like protein subfamily 3 member 2 OS=Arabidopsis thaliana GN=At3g10080 PE=2 SV=1</t>
  </si>
  <si>
    <t>Putative cyclic nucleotide-gated ion channel 19 OS=Arabidopsis thaliana GN=CNGC19 PE=3 SV=1</t>
  </si>
  <si>
    <t>Geranylgeranyl transferase type-2 subunit beta OS=Bos taurus GN=RABGGTB PE=2 SV=1</t>
  </si>
  <si>
    <t>Thiamine thiazole synthase, chloroplastic OS=Citrus sinensis GN=THI1 PE=2 SV=1</t>
  </si>
  <si>
    <t>Protein SMG7L OS=Arabidopsis thaliana GN=SMG7L PE=2 SV=1</t>
  </si>
  <si>
    <t>Isocitrate dehydrogenase [NAD] regulatory subunit 1, mitochondrial OS=Arabidopsis thaliana GN=idH1 PE=2 SV=2</t>
  </si>
  <si>
    <t>Protein FAM214B OS=Bos taurus GN=FAM214B PE=2 SV=1</t>
  </si>
  <si>
    <t>Bidirectional sugar transporter SWEET1 OS=Arabidopsis thaliana GN=SWEET1 PE=1 SV=1</t>
  </si>
  <si>
    <t>RNA-binding protein CP29B, chloroplastic OS=Arabidopsis thaliana GN=CP29B PE=1 SV=1</t>
  </si>
  <si>
    <t>Eukaryotic translation initiation factor 6-2 OS=Arabidopsis thaliana GN=EIF6-2 PE=2 SV=1</t>
  </si>
  <si>
    <t>ATP-dependent DNA helicase RecQ OS=Haemophilus influenzae (strain ATCC 51907 / DSM 11121 / KW20 / Rd) GN=recQ PE=3 SV=1</t>
  </si>
  <si>
    <t>Pentatricopeptide repeat-containing protein At4g01400, mitochondrial OS=Arabidopsis thaliana GN=At4g01400 PE=2 SV=2</t>
  </si>
  <si>
    <t>Ribosomal RNA small subunit methyltransferase G OS=Alkaliphilus metalliredigens (strain QYMF) GN=rsmG PE=3 SV=1</t>
  </si>
  <si>
    <t>Alkaliphilus metalliredigens</t>
  </si>
  <si>
    <t>Ethylene-responsive transcription factor ERF091 OS=Arabidopsis thaliana GN=ERF091 PE=1 SV=1</t>
  </si>
  <si>
    <t>Pre-mRNA-processing factor 39 OS=Schizosaccharomyces pombe (strain 972 / ATCC 24843) GN=prp39 PE=3 SV=1</t>
  </si>
  <si>
    <t>Cytokinin dehydrogenase 3 OS=Arabidopsis thaliana GN=CKX3 PE=1 SV=1</t>
  </si>
  <si>
    <t>tRNA pseudouridine synthase B OS=Flavobacterium johnsoniae (strain ATCC 17061 / DSM 2064 / UW101) GN=truB PE=3 SV=1</t>
  </si>
  <si>
    <t>Flavobacterium johnsoniae</t>
  </si>
  <si>
    <t>Protein EARLY FLOWERING 4 OS=Arabidopsis thaliana GN=ELF4 PE=1 SV=1</t>
  </si>
  <si>
    <t>Peptide methionine sulfoxide reductase A5 OS=Arabidopsis thaliana GN=MSRA5 PE=2 SV=1</t>
  </si>
  <si>
    <t>Pentatricopeptide repeat-containing protein At5g15280 OS=Arabidopsis thaliana GN=At5g15280 PE=2 SV=1</t>
  </si>
  <si>
    <t>Pentatricopeptide repeat-containing protein At5g38730 OS=Arabidopsis thaliana GN=At5g38730 PE=2 SV=1</t>
  </si>
  <si>
    <t>U-box domain-containing protein 38 OS=Arabidopsis thaliana GN=PUB38 PE=1 SV=1</t>
  </si>
  <si>
    <t>Ubiquitin-conjugating enzyme E2 2 OS=Arabidopsis thaliana GN=UBC2 PE=2 SV=1</t>
  </si>
  <si>
    <t>Cyclic nucleotide-gated ion channel 2 OS=Arabidopsis thaliana GN=CNGC2 PE=1 SV=1</t>
  </si>
  <si>
    <t>Homoserine kinase OS=Arabidopsis thaliana GN=HSK PE=1 SV=1</t>
  </si>
  <si>
    <t>Serine/threonine-protein kinase SRPK OS=Physarum polycephalum PE=1 SV=1</t>
  </si>
  <si>
    <t>Physarum polycephalum</t>
  </si>
  <si>
    <t>S-type anion channel SLAH3 OS=Arabidopsis thaliana GN=SLAH3 PE=1 SV=1</t>
  </si>
  <si>
    <t>Cytochrome P450 85A OS=Phaseolus vulgaris GN=BA13 PE=3 SV=2</t>
  </si>
  <si>
    <t>Probable WRKY transcription factor 47 OS=Arabidopsis thaliana GN=WRKY47 PE=2 SV=2</t>
  </si>
  <si>
    <t>Blue-light photoreceptor PHR2 OS=Arabidopsis thaliana GN=PHR2 PE=2 SV=2</t>
  </si>
  <si>
    <t>Abscisic acid 8'-hydroxylase 1 OS=Arabidopsis thaliana GN=CYP707A1 PE=2 SV=1</t>
  </si>
  <si>
    <t>Protein Jade-1 OS=Danio rerio GN=jade1 PE=2 SV=1</t>
  </si>
  <si>
    <t>Cullin-3A OS=Arabidopsis thaliana GN=CUL3A PE=1 SV=1</t>
  </si>
  <si>
    <t>Serine/threonine-protein kinase ATG1 OS=Debaryomyces hansenii (strain ATCC 36239 / CBS 767 / JCM 1990 / NBRC 0083 / IGC 2968) GN=ATG1 PE=3 SV=2</t>
  </si>
  <si>
    <t>Septum-promoting GTP-binding protein 1 OS=Schizosaccharomyces pombe (strain 972 / ATCC 24843) GN=spg1 PE=1 SV=1</t>
  </si>
  <si>
    <t>CBL-interacting serine/threonine-protein kinase 8 OS=Arabidopsis thaliana GN=CIPK8 PE=1 SV=1</t>
  </si>
  <si>
    <t>Protein gamma response 1 OS=Arabidopsis thaliana GN=GR1 PE=1 SV=2</t>
  </si>
  <si>
    <t>NADH dehydrogenase [ubiquinone] 1 alpha subcomplex subunit 9, mitochondrial OS=Arabidopsis thaliana GN=At2g20360 PE=1 SV=2</t>
  </si>
  <si>
    <t>Cactin OS=Arabidopsis thaliana GN=CTN PE=1 SV=1</t>
  </si>
  <si>
    <t>Zinc finger protein ZAT11 OS=Arabidopsis thaliana GN=ZAT11 PE=2 SV=1</t>
  </si>
  <si>
    <t>Protein TOC75-3, chloroplastic OS=Arabidopsis thaliana GN=TOC75-3 PE=1 SV=1</t>
  </si>
  <si>
    <t>Pentatricopeptide repeat-containing protein At5g42450, mitochondrial OS=Arabidopsis thaliana GN=PCMP-E102 PE=2 SV=1</t>
  </si>
  <si>
    <t>Thylakoid lumenal 15 kDa protein 1, chloroplastic OS=Arabidopsis thaliana GN=At2g44920 PE=1 SV=2</t>
  </si>
  <si>
    <t>Transforming growth factor-beta receptor-associated protein 1 OS=Bos taurus GN=TGFBRAP1 PE=2 SV=1</t>
  </si>
  <si>
    <t>L-aminoadipate-semialdehyde dehydrogenase-phosphopantetheinyl transferase OS=Xenopus laevis GN=aasdhppt PE=2 SV=1</t>
  </si>
  <si>
    <t>Peptide methionine sulfoxide reductase OS=Brassica napus GN=PMSR PE=2 SV=1</t>
  </si>
  <si>
    <t>Protein REVEILLE 6 OS=Arabidopsis thaliana GN=RVE6 PE=2 SV=1</t>
  </si>
  <si>
    <t>Ubiquitin thioesterase OTU1 OS=Danio rerio GN=yod1 PE=2 SV=1</t>
  </si>
  <si>
    <t>Cycloeucalenol cycloisomerase OS=Arabidopsis thaliana GN=CPI1 PE=2 SV=1</t>
  </si>
  <si>
    <t>Calmodulin-binding receptor-like cytoplasmic kinase 3 OS=Arabidopsis thaliana GN=CRCK3 PE=2 SV=1</t>
  </si>
  <si>
    <t>V-type proton ATPase subunit F OS=Arabidopsis thaliana GN=VHA-F PE=2 SV=1</t>
  </si>
  <si>
    <t>AP2/ERF and B3 domain-containing transcription repressor TEM1 OS=Arabidopsis thaliana GN=TEM1 PE=1 SV=1</t>
  </si>
  <si>
    <t>Ras-related protein RHN1 OS=Nicotiana plumbaginifolia GN=RHN1 PE=2 SV=1</t>
  </si>
  <si>
    <t>Cationic amino acid transporter 1 OS=Arabidopsis thaliana GN=CAT1 PE=1 SV=1</t>
  </si>
  <si>
    <t>Probable WRKY transcription factor 35 OS=Arabidopsis thaliana GN=WRKY35 PE=2 SV=1</t>
  </si>
  <si>
    <t>Tyrosine--tRNA ligase, chloroplastic/mitochondrial OS=Arabidopsis thaliana GN=EMB2768 PE=2 SV=1</t>
  </si>
  <si>
    <t>Lipoyl synthase, chloroplastic OS=Ricinus communis GN=LIP1P PE=3 SV=1</t>
  </si>
  <si>
    <t>Putative glycosyltransferase 7 OS=Arabidopsis thaliana GN=GT7 PE=2 SV=1</t>
  </si>
  <si>
    <t>Protein argonaute 4 OS=Arabidopsis thaliana GN=AGO4 PE=1 SV=2</t>
  </si>
  <si>
    <t>PXMP2/4 family protein 2 OS=Dictyostelium discoideum GN=DDB_G0278529 PE=3 SV=1</t>
  </si>
  <si>
    <t>Probable anion transporter 6, chloroplastic OS=Arabidopsis thaliana GN=ANTR6 PE=2 SV=1</t>
  </si>
  <si>
    <t>Gibberellin 20 oxidase 1 OS=Oryza sativa subsp. japonica GN=20ox1 PE=2 SV=2</t>
  </si>
  <si>
    <t>Galactoside 2-alpha-L-fucosyltransferase OS=Pisum sativum GN=FT1 PE=2 SV=1</t>
  </si>
  <si>
    <t>Squamosa promoter-binding-like protein 6 OS=Arabidopsis thaliana GN=SPL6 PE=2 SV=2</t>
  </si>
  <si>
    <t>SelT-like protein OS=Arabidopsis thaliana GN=At3g47300 PE=2 SV=2</t>
  </si>
  <si>
    <t>Dof zinc finger protein DOF2.5 OS=Arabidopsis thaliana GN=DOF2.5 PE=2 SV=3</t>
  </si>
  <si>
    <t>Putative RNA-binding protein YlmH OS=Bacillus subtilis (strain 168) GN=ylmH PE=3 SV=1</t>
  </si>
  <si>
    <t>Phospholipase D p1 OS=Arabidopsis thaliana GN=PLDP1 PE=1 SV=1</t>
  </si>
  <si>
    <t>Protein O-glucosyltransferase 1 OS=Bos taurus GN=POGLUT1 PE=2 SV=1</t>
  </si>
  <si>
    <t>Protein Dr1 homolog OS=Arabidopsis thaliana GN=DR1 PE=2 SV=1</t>
  </si>
  <si>
    <t>30S ribosomal protein S13, chloroplastic OS=Arabidopsis thaliana GN=RPS13 PE=2 SV=1</t>
  </si>
  <si>
    <t>Actin-related protein 9 OS=Oryza sativa subsp. indica GN=ARP9 PE=3 SV=2</t>
  </si>
  <si>
    <t>Microtubule-associated protein 70-2 OS=Arabidopsis thaliana GN=MAP70.2 PE=1 SV=1</t>
  </si>
  <si>
    <t>Pentatricopeptide repeat-containing protein At1g06710, mitochondrial OS=Arabidopsis thaliana GN=At1g06710 PE=3 SV=1</t>
  </si>
  <si>
    <t>Nuclear transcription factor Y subunit A-9 OS=Arabidopsis thaliana GN=NFYA9 PE=2 SV=1</t>
  </si>
  <si>
    <t>Protein translocase subunit SECA1, chloroplastic OS=Arabidopsis thaliana GN=SECA1 PE=2 SV=2</t>
  </si>
  <si>
    <t>Methionyl-tRNA formyltransferase OS=Bacillus licheniformis (strain ATCC 14580 / DSM 13 / JCM 2505 / NBRC 12200 / NCIMB 9375 / NRRL NRS-1264 / Gibson 46) GN=fmt PE=3 SV=1</t>
  </si>
  <si>
    <t>Long chain acyl-CoA synthetase 7, peroxisomal OS=Arabidopsis thaliana GN=LACS7 PE=1 SV=2</t>
  </si>
  <si>
    <t>Probable lipid-A-disaccharide synthase, mitochondrial OS=Arabidopsis thaliana GN=LPXB PE=2 SV=1</t>
  </si>
  <si>
    <t>Cryptochrome-1 OS=Arabidopsis thaliana GN=CRY1 PE=1 SV=2</t>
  </si>
  <si>
    <t>Ribosome biogenesis protein TSR3 homolog OS=Mus musculus GN=Tsr3 PE=2 SV=1</t>
  </si>
  <si>
    <t>Isocitrate dehydrogenase [NAD] catalytic subunit 5, mitochondrial OS=Arabidopsis thaliana GN=idH5 PE=2 SV=1</t>
  </si>
  <si>
    <t>Probable galacturonosyltransferase 3 OS=Arabidopsis thaliana GN=GAUT3 PE=2 SV=2</t>
  </si>
  <si>
    <t>MACPF domain-containing protein At4g24290 OS=Arabidopsis thaliana GN=At4g24290 PE=2 SV=1</t>
  </si>
  <si>
    <t>Cleavage stimulation factor subunit 77 OS=Arabidopsis thaliana GN=CSTF77 PE=1 SV=1</t>
  </si>
  <si>
    <t>Probable ubiquitin conjugation factor E4 OS=Arabidopsis thaliana GN=PUB1 PE=2 SV=1</t>
  </si>
  <si>
    <t>Cytokinin dehydrogenase 6 OS=Arabidopsis thaliana GN=CKX6 PE=2 SV=2</t>
  </si>
  <si>
    <t>Protease 2 OS=Moraxella lacunata GN=ptrB PE=3 SV=1</t>
  </si>
  <si>
    <t>Moraxella lacunata</t>
  </si>
  <si>
    <t>Peptidyl-prolyl cis-trans isomerase CYP22 OS=Arabidopsis thaliana GN=CYP22 PE=2 SV=1</t>
  </si>
  <si>
    <t>Putative gamma-glutamylcyclotransferase At3g02910 OS=Arabidopsis thaliana GN=At3g02910 PE=2 SV=2</t>
  </si>
  <si>
    <t>WD repeat-containing protein 70 OS=Xenopus tropicalis GN=wdr70 PE=2 SV=1</t>
  </si>
  <si>
    <t>Glycerate dehydrogenase OS=Cucumis sativus GN=HPR-A PE=2 SV=1</t>
  </si>
  <si>
    <t>Bifunctional UDP-glucose 4-epimerase and UDP-xylose 4-epimerase 1 OS=Pisum sativum GN=UGE1 PE=1 SV=2</t>
  </si>
  <si>
    <t>Probable E3 ubiquitin-protein ligase ARI7 OS=Arabidopsis thaliana GN=ARI7 PE=2 SV=1</t>
  </si>
  <si>
    <t>Trafficking protein particle complex subunit 12 OS=Homo sapiens GN=TRAPPC12 PE=1 SV=3</t>
  </si>
  <si>
    <t>Beclin-1-like protein OS=Arabidopsis thaliana GN=At3g61710 PE=2 SV=2</t>
  </si>
  <si>
    <t>Acyl-CoA-binding domain-containing protein 3 OS=Arabidopsis thaliana GN=ACBP3 PE=1 SV=1</t>
  </si>
  <si>
    <t>Pentatricopeptide repeat-containing protein At1g10270 OS=Arabidopsis thaliana GN=GRP23 PE=1 SV=1</t>
  </si>
  <si>
    <t>tRNA (guanosine(18)-2'-O)-methyltransferase OS=Aquifex aeolicus (strain VF5) GN=trmH PE=1 SV=1</t>
  </si>
  <si>
    <t>Citrate synthase, mitochondrial OS=Citrus maxima GN=CIT PE=2 SV=1</t>
  </si>
  <si>
    <t>Citrus maxima</t>
  </si>
  <si>
    <t>GDSL esterase/lipase At1g54790 OS=Arabidopsis thaliana GN=At1g54790 PE=2 SV=1</t>
  </si>
  <si>
    <t>Sterol 3-beta-glucosyltransferase UGT80A2 OS=Arabidopsis thaliana GN=UGT80A2 PE=1 SV=1</t>
  </si>
  <si>
    <t>DNA-directed RNA polymerase 2A (Fragment) OS=Nicotiana tabacum GN=RPOT2-SYL PE=3 SV=1</t>
  </si>
  <si>
    <t>TBC1 domain family member 2A OS=Homo sapiens GN=TBC1D2 PE=1 SV=3</t>
  </si>
  <si>
    <t>Probable E3 ubiquitin-protein ligase RNF217 OS=Homo sapiens GN=RNF217 PE=2 SV=4</t>
  </si>
  <si>
    <t>Amidase 1 OS=Arabidopsis thaliana GN=AMI1 PE=1 SV=1</t>
  </si>
  <si>
    <t>Cytochrome P450 82C4 OS=Arabidopsis thaliana GN=CYP82C4 PE=2 SV=1</t>
  </si>
  <si>
    <t>Putative receptor-like protein kinase At1g80870 OS=Arabidopsis thaliana GN=At1g80870 PE=3 SV=1</t>
  </si>
  <si>
    <t>Transcription factor Pur-alpha 1 OS=Arabidopsis thaliana GN=PURA1 PE=1 SV=2</t>
  </si>
  <si>
    <t>Uncharacterized membrane protein At4g09580 OS=Arabidopsis thaliana GN=At4g09580 PE=1 SV=1</t>
  </si>
  <si>
    <t>Oligoribonuclease OS=Arabidopsis thaliana GN=At2g26970 PE=2 SV=2</t>
  </si>
  <si>
    <t>Glutaredoxin-C3 OS=Arabidopsis thaliana GN=GRXC3 PE=2 SV=1</t>
  </si>
  <si>
    <t>Probable sugar phosphate/phosphate translocator At3g17430 OS=Arabidopsis thaliana GN=At3g17430 PE=1 SV=1</t>
  </si>
  <si>
    <t>Anthranilate synthase alpha subunit 2, chloroplastic OS=Arabidopsis thaliana GN=ASA2 PE=2 SV=1</t>
  </si>
  <si>
    <t>Putative E3 ubiquitin-protein ligase XBAT34 OS=Arabidopsis thaliana GN=XBAT34 PE=2 SV=1</t>
  </si>
  <si>
    <t>Trafficking protein particle complex subunit 2-like protein OS=Dictyostelium discoideum GN=trappc2l PE=3 SV=1</t>
  </si>
  <si>
    <t>Pentatricopeptide repeat-containing protein At1g52640, mitochondrial OS=Arabidopsis thaliana GN=At1g52640 PE=2 SV=1</t>
  </si>
  <si>
    <t>Protein PLASTid TRANSCRIPTIONALLY ACTIVE 7 OS=Arabidopsis thaliana GN=PTAC7 PE=1 SV=1</t>
  </si>
  <si>
    <t>Transaldolase OS=Histophilus somni (strain 2336) GN=tal PE=3 SV=1</t>
  </si>
  <si>
    <t>Histophilus somni</t>
  </si>
  <si>
    <t>UDP-galactose/UDP-glucose transporter 3 OS=Arabidopsis thaliana GN=UTR3 PE=1 SV=1</t>
  </si>
  <si>
    <t>Histone deacetylase HDT3 OS=Arabidopsis thaliana GN=HDT3 PE=1 SV=2</t>
  </si>
  <si>
    <t>Apoptosis-inducing factor homolog B OS=Dictyostelium discoideum GN=aifB PE=3 SV=1</t>
  </si>
  <si>
    <t>Probable E3 ubiquitin-protein ligase HERC2 OS=Drosophila melanogaster GN=HERC2 PE=1 SV=3</t>
  </si>
  <si>
    <t>Thioredoxin Y1, chloroplastic OS=Arabidopsis thaliana GN=At1g76760 PE=2 SV=1</t>
  </si>
  <si>
    <t>ABC transporter G family member 29 OS=Arabidopsis thaliana GN=ABCG29 PE=2 SV=2</t>
  </si>
  <si>
    <t>F-box protein SKP2B OS=Arabidopsis thaliana GN=SKP2B PE=1 SV=1</t>
  </si>
  <si>
    <t>60S ribosomal protein L23 OS=Arabidopsis thaliana GN=RPL23A PE=2 SV=3</t>
  </si>
  <si>
    <t>Putative late blight resistance protein homolog R1A-3 OS=Solanum demissum GN=R1A-3 PE=5 SV=2</t>
  </si>
  <si>
    <t>Ribosomal protein S14, mitochondrial OS=Vicia faba GN=RPS14 PE=3 SV=2</t>
  </si>
  <si>
    <t>UPF0235 protein C15orf40 homolog OS=Mus musculus PE=2 SV=1</t>
  </si>
  <si>
    <t>Probable ADP-ribosylation factor GTPase-activating protein AGD15 OS=Arabidopsis thaliana GN=AGD15 PE=2 SV=1</t>
  </si>
  <si>
    <t>High affinity nitrate transporter 2.4 OS=Arabidopsis thaliana GN=NRT2.4 PE=2 SV=1</t>
  </si>
  <si>
    <t>Serine/threonine-protein kinase GRIK2 OS=Arabidopsis thaliana GN=GRIK2 PE=1 SV=1</t>
  </si>
  <si>
    <t>Boron transporter 4 OS=Arabidopsis thaliana GN=BOR4 PE=2 SV=1</t>
  </si>
  <si>
    <t>Glucose-1-phosphate adenylyltransferase OS=Nostoc sp. (strain PCC 7120 / UTEX 2576) GN=glgC PE=1 SV=1</t>
  </si>
  <si>
    <t>MND1-interacting protein 1 OS=Arabidopsis thaliana GN=MIP1 PE=1 SV=1</t>
  </si>
  <si>
    <t>Kinesin light chain 3 OS=Pongo abelii GN=KLC3 PE=2 SV=1</t>
  </si>
  <si>
    <t>Osmotin-like protein OS=Solanum lycopersicum PE=1 SV=1</t>
  </si>
  <si>
    <t>Rho GTPase-activating protein 2 OS=Arabidopsis thaliana GN=ROPGAP2 PE=1 SV=1</t>
  </si>
  <si>
    <t>Homeobox-leucine zipper protein HAT4 OS=Arabidopsis thaliana GN=HAT4 PE=1 SV=1</t>
  </si>
  <si>
    <t>DNA replication licensing factor MCM6 OS=Arabidopsis thaliana GN=MCM6 PE=1 SV=1</t>
  </si>
  <si>
    <t>Oxygen-evolving enhancer protein 2, chloroplastic OS=Cucumis sativus GN=PSBP PE=2 SV=1</t>
  </si>
  <si>
    <t>UDP-glucuronic acid decarboxylase 2 OS=Arabidopsis thaliana GN=UXS2 PE=1 SV=1</t>
  </si>
  <si>
    <t>Ycf3-interacting protein 1, chloroplastic OS=Nicotiana tabacum PE=1 SV=2</t>
  </si>
  <si>
    <t>Shaggy-related protein kinase zeta OS=Arabidopsis thaliana GN=ASK6 PE=2 SV=2</t>
  </si>
  <si>
    <t>Peptidyl-prolyl cis-trans isomerase CYP63 OS=Arabidopsis thaliana GN=CYP63 PE=1 SV=1</t>
  </si>
  <si>
    <t>Homeobox protein BEL1 homolog OS=Arabidopsis thaliana GN=BEL1 PE=1 SV=2</t>
  </si>
  <si>
    <t>Kinesin-like protein KIF22 OS=Xenopus tropicalis GN=kif22 PE=2 SV=1</t>
  </si>
  <si>
    <t>DNA gyrase subunit A, chloroplastic/mitochondrial OS=Nicotiana benthamiana GN=GYRA PE=2 SV=1</t>
  </si>
  <si>
    <t>Probable DNA-directed RNA polymerase I subunit RPA43 OS=Dictyostelium discoideum GN=rpa43 PE=2 SV=1</t>
  </si>
  <si>
    <t>Subtilisin-like protease SBT3.5 OS=Arabidopsis thaliana GN=SBT3.5 PE=1 SV=1</t>
  </si>
  <si>
    <t>Agamous-like MADS-box protein AGL9 homolog OS=Petunia hybrida GN=FBP2 PE=1 SV=2</t>
  </si>
  <si>
    <t>Probable O-acetyltransferase CAS1 OS=Cryptococcus neoformans var. neoformans serotype D (strain JEC21 / ATCC MYA-565) GN=CAS1 PE=3 SV=1</t>
  </si>
  <si>
    <t>Pollen allergen Che a 1 OS=Chenopodium album PE=1 SV=1</t>
  </si>
  <si>
    <t>Chenopodium album</t>
  </si>
  <si>
    <t>Protein TAR1 OS=Kluyveromyces lactis (strain ATCC 8585 / CBS 2359 / DSM 70799 / NBRC 1267 / NRRL Y-1140 / WM37) GN=TAR1-A PE=4 SV=2</t>
  </si>
  <si>
    <t>70 kDa peptidyl-prolyl isomerase OS=Triticum aestivum GN=FKBP70 PE=1 SV=1</t>
  </si>
  <si>
    <t>Pentatricopeptide repeat-containing protein At5g06540 OS=Arabidopsis thaliana GN=PCMP-H88 PE=3 SV=1</t>
  </si>
  <si>
    <t>Multiple C2 and transmembrane domain-containing protein 1 OS=Homo sapiens GN=MCTP1 PE=2 SV=2</t>
  </si>
  <si>
    <t>WAT1-related protein At1g68170 OS=Arabidopsis thaliana GN=At1g68170 PE=3 SV=1</t>
  </si>
  <si>
    <t>GDT1-like protein 3 OS=Arabidopsis thaliana GN=At5g36290 PE=2 SV=1</t>
  </si>
  <si>
    <t>Oligopeptide transporter 1 OS=Arabidopsis thaliana GN=OPT1 PE=2 SV=1</t>
  </si>
  <si>
    <t>Protease Do-like 8, chloroplastic OS=Arabidopsis thaliana GN=DEGP8 PE=1 SV=1</t>
  </si>
  <si>
    <t>Translation machinery-associated protein 22 OS=Schizosaccharomyces pombe (strain 972 / ATCC 24843) GN=tma22 PE=3 SV=1</t>
  </si>
  <si>
    <t>Probable ribose-5-phosphate isomerase 4, chloroplastic OS=Arabidopsis thaliana GN=RPI4 PE=2 SV=1</t>
  </si>
  <si>
    <t>NAC domain-containing protein 12 OS=Arabidopsis thaliana GN=NAC012 PE=2 SV=1</t>
  </si>
  <si>
    <t>40S ribosomal protein S15 OS=Podospora anserina GN=RPS15 PE=3 SV=1</t>
  </si>
  <si>
    <t>E3 ubiquitin-protein ligase CHFR OS=Mus musculus GN=Chfr PE=1 SV=1</t>
  </si>
  <si>
    <t>66 kDa stress protein OS=Physarum polycephalum PE=2 SV=1</t>
  </si>
  <si>
    <t>Calcium uniporter protein 6, mitochondrial OS=Arabidopsis thaliana GN=At1g09575 PE=2 SV=1</t>
  </si>
  <si>
    <t>Glucose-6-phosphate isomerase, cytosolic OS=Arabidopsis lyrata subsp. petraea GN=PGIC PE=3 SV=1</t>
  </si>
  <si>
    <t>ABC transporter B family member 4 OS=Arabidopsis thaliana GN=ABCB4 PE=1 SV=1</t>
  </si>
  <si>
    <t>GTP-binding protein rhoA OS=Emericella nidulans (strain FGSC A4 / ATCC 38163 / CBS 112.46 / NRRL 194 / M139) GN=rhoA PE=3 SV=1</t>
  </si>
  <si>
    <t>3-isopropylmalate dehydrogenase, chloroplastic OS=Brassica napus PE=2 SV=1</t>
  </si>
  <si>
    <t>Metalloendoproteinase 5-MMP OS=Arabidopsis thaliana GN=5MMP PE=1 SV=1</t>
  </si>
  <si>
    <t>12-oxophytodienoate reductase 3 OS=Solanum lycopersicum GN=OPR3 PE=1 SV=1</t>
  </si>
  <si>
    <t>Disease resistance response protein 206 OS=Pisum sativum GN=PI206 PE=1 SV=2</t>
  </si>
  <si>
    <t>Probable aminotransferase ACS12 OS=Arabidopsis thaliana GN=ACS12 PE=2 SV=2</t>
  </si>
  <si>
    <t>Cyclin-T1-3 OS=Arabidopsis thaliana GN=CYCT1-3 PE=1 SV=2</t>
  </si>
  <si>
    <t>Protein MAK16 homolog A OS=Xenopus laevis GN=mak16-a PE=2 SV=1</t>
  </si>
  <si>
    <t>Uncharacterized WD repeat-containing protein C3H5.08c OS=Schizosaccharomyces pombe (strain 972 / ATCC 24843) GN=SPAC3H5.08c PE=1 SV=2</t>
  </si>
  <si>
    <t>Serine incorporator 3 OS=Pongo abelii GN=SERINC3 PE=2 SV=1</t>
  </si>
  <si>
    <t>Probable protein phosphatase 2C 35 OS=Arabidopsis thaliana GN=At3g06270 PE=2 SV=1</t>
  </si>
  <si>
    <t>14-3-3 protein 7 OS=Solanum lycopersicum GN=TFT7 PE=2 SV=2</t>
  </si>
  <si>
    <t>Endo-polygalacturonase OS=Sclerotinia sclerotiorum GN=PG1 PE=3 SV=1</t>
  </si>
  <si>
    <t>Sclerotinia sclerotiorum</t>
  </si>
  <si>
    <t>Phosphate transporter PHO1 homolog 3 OS=Arabidopsis thaliana GN=PHO1;H3 PE=2 SV=2</t>
  </si>
  <si>
    <t>Protein NtpR OS=Enterococcus hirae (strain ATCC 9790 / DSM 20160 / JCM 8729 / LMG 6399 / NBRC 3181 / NCIMB 6459 / NCDO 1258) GN=ntpR PE=3 SV=2</t>
  </si>
  <si>
    <t>Enterococcus hirae</t>
  </si>
  <si>
    <t>Lactosylceramide 4-alpha-galactosyltransferase OS=Mus musculus GN=A4galt PE=2 SV=1</t>
  </si>
  <si>
    <t>Transcription factor MYB108 OS=Arabidopsis thaliana GN=MYB108 PE=1 SV=1</t>
  </si>
  <si>
    <t>WEB family protein At3g51220 OS=Arabidopsis thaliana GN=At3g51220 PE=2 SV=1</t>
  </si>
  <si>
    <t>DEAD-box ATP-dependent RNA helicase 24 OS=Arabidopsis thaliana GN=RH24 PE=1 SV=2</t>
  </si>
  <si>
    <t>Anaphase-promoting complex subunit 4 OS=Arabidopsis thaliana GN=APC4 PE=2 SV=2</t>
  </si>
  <si>
    <t>Elongation factor 1-gamma 2 OS=Oryza sativa subsp. japonica GN=Os02g0220500 PE=2 SV=2</t>
  </si>
  <si>
    <t>Leishmanolysin-like peptidase OS=Drosophila pseudoobscura pseudoobscura GN=GA17800 PE=3 SV=1</t>
  </si>
  <si>
    <t>Polygalacturonase OS=Malus domestica PE=2 SV=1</t>
  </si>
  <si>
    <t>Probable S-adenosylmethionine carrier 2, chloroplastic OS=Arabidopsis thaliana GN=SAMC2 PE=2 SV=1</t>
  </si>
  <si>
    <t>Floral homeotic protein DEFICIENS OS=Antirrhinum majus GN=DEFA PE=1 SV=1</t>
  </si>
  <si>
    <t>Calreticulin OS=Prunus armeniaca PE=2 SV=1</t>
  </si>
  <si>
    <t>Peptidyl-tRNA hydrolase 2, mitochondrial OS=Bos taurus GN=PTRH2 PE=2 SV=1</t>
  </si>
  <si>
    <t>N-alpha-acetyltransferase MAK3 OS=Arabidopsis thaliana GN=MAK3 PE=2 SV=1</t>
  </si>
  <si>
    <t>APO protein 1, chloroplastic OS=Arabidopsis thaliana GN=APO1 PE=2 SV=1</t>
  </si>
  <si>
    <t>Zinc finger protein CONSTANS-LIKE 3 OS=Arabidopsis thaliana GN=COL3 PE=1 SV=1</t>
  </si>
  <si>
    <t>Protein TIC 214 OS=Gossypium hirsutum GN=TIC214 PE=3 SV=1</t>
  </si>
  <si>
    <t>Peptidyl-prolyl cis-trans isomerase OS=Catharanthus roseus GN=PCKR1 PE=1 SV=1</t>
  </si>
  <si>
    <t>Probable deoxycytidylate deaminase OS=Drosophila melanogaster GN=CG6951 PE=2 SV=1</t>
  </si>
  <si>
    <t>Ethylene-responsive transcription factor ERF010 OS=Arabidopsis thaliana GN=ERF010 PE=2 SV=1</t>
  </si>
  <si>
    <t>Sec-independent protein translocase protein TATB, chloroplastic OS=Arabidopsis thaliana GN=TATB PE=1 SV=1</t>
  </si>
  <si>
    <t>Fasciclin-like arabinogalactan protein 4 OS=Arabidopsis thaliana GN=FLA4 PE=1 SV=1</t>
  </si>
  <si>
    <t>Glutamate decarboxylase 4 OS=Arabidopsis thaliana GN=GAD4 PE=1 SV=1</t>
  </si>
  <si>
    <t>Galactolipase DONGLE, chloroplastic OS=Arabidopsis thaliana GN=DGL PE=1 SV=1</t>
  </si>
  <si>
    <t>Syntaxin-21 OS=Arabidopsis thaliana GN=SYP21 PE=1 SV=1</t>
  </si>
  <si>
    <t>Glucose-6-phosphate isomerase 1, chloroplastic OS=Arabidopsis thaliana GN=PGI1 PE=1 SV=1</t>
  </si>
  <si>
    <t>NADH-ubiquinone oxidoreductase chain 2 OS=Beta vulgaris GN=ND2 PE=3 SV=2</t>
  </si>
  <si>
    <t>Probable 2-carboxy-D-arabinitol-1-phosphatase OS=Arabidopsis thaliana GN=At5g22620 PE=1 SV=1</t>
  </si>
  <si>
    <t>Elongation factor 1-delta 2 OS=Arabidopsis thaliana GN=At2g18110 PE=1 SV=1</t>
  </si>
  <si>
    <t>ATP-dependent RNA helicase SUV3, mitochondrial OS=Arabidopsis thaliana GN=SUV3 PE=1 SV=1</t>
  </si>
  <si>
    <t>Protein trichome birefringence-like 16 OS=Arabidopsis thaliana GN=TBL16 PE=2 SV=1</t>
  </si>
  <si>
    <t>Protein RALF-like 24 OS=Arabidopsis thaliana GN=RALFL24 PE=3 SV=1</t>
  </si>
  <si>
    <t>V-type proton ATPase subunit D OS=Arabidopsis thaliana GN=VHA-D PE=1 SV=2</t>
  </si>
  <si>
    <t>RNA pseudouridine synthase 1 OS=Oryza sativa subsp. japonica GN=Os12g0560500 PE=2 SV=1</t>
  </si>
  <si>
    <t>Probable magnesium transporter NIPA9 OS=Arabidopsis thaliana GN=At5g11960 PE=2 SV=1</t>
  </si>
  <si>
    <t>Nuclear pore complex protein NUP43 OS=Arabidopsis thaliana GN=NUP43 PE=1 SV=1</t>
  </si>
  <si>
    <t>Protein CAJ1 OS=Saccharomyces cerevisiae (strain ATCC 204508 / S288c) GN=CAJ1 PE=1 SV=1</t>
  </si>
  <si>
    <t>Probable mediator of RNA polymerase II transcription subunit 36b OS=Arabidopsis thaliana GN=MED36B PE=1 SV=1</t>
  </si>
  <si>
    <t>Pentatricopeptide repeat-containing protein At4g25270, chloroplastic OS=Arabidopsis thaliana GN=PCMP-E53 PE=3 SV=1</t>
  </si>
  <si>
    <t>Syndetin OS=Homo sapiens GN=CCDC132 PE=1 SV=3</t>
  </si>
  <si>
    <t>Uncharacterized N-acetyltransferase STK_02580 OS=Sulfolobus tokodaii (strain DSM 16993 / JCM 10545 / NBRC 100140 / 7) GN=STK_02580 PE=3 SV=1</t>
  </si>
  <si>
    <t>Sulfolobus tokodaii</t>
  </si>
  <si>
    <t>Alpha-glucosidase 2 OS=Bacillus thermoamyloliquefaciens PE=3 SV=1</t>
  </si>
  <si>
    <t>Bacillus thermoamyloliquefaciens</t>
  </si>
  <si>
    <t>Ubiquitin-conjugating enzyme E2 22 OS=Arabidopsis thaliana GN=UBC22 PE=1 SV=1</t>
  </si>
  <si>
    <t>Pentatricopeptide repeat-containing protein At1g08610 OS=Arabidopsis thaliana GN=At1g08610 PE=2 SV=1</t>
  </si>
  <si>
    <t>G patch domain-containing protein TGH OS=Arabidopsis thaliana GN=TGH PE=2 SV=1</t>
  </si>
  <si>
    <t>Abscisic-aldehyde oxidase OS=Arabidopsis thaliana GN=AAO3 PE=1 SV=1</t>
  </si>
  <si>
    <t>Histone-lysine N-methyltransferase, H3 lysine-9 specific SUVH1 OS=Nicotiana tabacum GN=SUVH1 PE=1 SV=1</t>
  </si>
  <si>
    <t>Trigger factor OS=Gloeobacter violaceus (strain PCC 7421) GN=tig PE=3 SV=1</t>
  </si>
  <si>
    <t>Xylem cysteine proteinase 1 OS=Arabidopsis thaliana GN=XCP1 PE=1 SV=1</t>
  </si>
  <si>
    <t>Galactokinase OS=Arabidopsis thaliana GN=GAL1 PE=1 SV=2</t>
  </si>
  <si>
    <t>Ceramide kinase OS=Arabidopsis thaliana GN=CERK PE=1 SV=1</t>
  </si>
  <si>
    <t>1-phosphatidylinositol phosphodiesterase OS=Listeria monocytogenes serovar 1/2a (strain ATCC BAA-679 / EGD-e) GN=plcA PE=1 SV=1</t>
  </si>
  <si>
    <t>Listeria monocytogenes</t>
  </si>
  <si>
    <t>Ras-related protein RABD1 OS=Arabidopsis thaliana GN=RABD1 PE=1 SV=1</t>
  </si>
  <si>
    <t>Probable protein S-acyltransferase 17 OS=Arabidopsis thaliana GN=PAT17 PE=2 SV=1</t>
  </si>
  <si>
    <t>BON1-associated protein 2 OS=Arabidopsis thaliana GN=BAP2 PE=1 SV=1</t>
  </si>
  <si>
    <t>G patch domain-containing protein 11 OS=Danio rerio GN=gpatch11 PE=2 SV=1</t>
  </si>
  <si>
    <t>Zinc finger CCCH domain-containing protein 14 OS=Caenorhabditis elegans GN=sut-2 PE=3 SV=2</t>
  </si>
  <si>
    <t>Heme-binding protein 2 OS=Mus musculus GN=Hebp2 PE=1 SV=1</t>
  </si>
  <si>
    <t>Probable plastid-lipid-associated protein 11 OS=Arabidopsis thaliana GN=PAP11 PE=2 SV=1</t>
  </si>
  <si>
    <t>RING finger protein B OS=Dictyostelium discoideum GN=rngB PE=2 SV=2</t>
  </si>
  <si>
    <t>Protein PLANT CADMIUM RESISTANCE 10 OS=Arabidopsis thaliana GN=PCR10 PE=2 SV=1</t>
  </si>
  <si>
    <t>Calpain-type cysteine protease DEK1 OS=Arabidopsis thaliana GN=DEK1 PE=1 SV=1</t>
  </si>
  <si>
    <t>Lipid droplet-associated hydrolase OS=Gallus gallus GN=LDAH PE=2 SV=2</t>
  </si>
  <si>
    <t>Cleavage and polyadenylation specificity factor subunit 3-II OS=Arabidopsis thaliana GN=CPSF73-II PE=1 SV=2</t>
  </si>
  <si>
    <t>Serine/threonine-protein phosphatase PP2A-3 catalytic subunit OS=Arabidopsis thaliana GN=PP2A3 PE=2 SV=1</t>
  </si>
  <si>
    <t>Melanoma-associated antigen G1 OS=Mus musculus GN=Ndnl2 PE=1 SV=1</t>
  </si>
  <si>
    <t>N-alpha-acetyltransferase 50 OS=Xenopus laevis GN=naa50 PE=2 SV=1</t>
  </si>
  <si>
    <t>Ribulose-phosphate 3-epimerase, chloroplastic OS=Spinacia oleracea GN=RPE PE=1 SV=1</t>
  </si>
  <si>
    <t>Phosphatidylinositol N-acetylglucosaminyltransferase subunit P OS=Arabidopsis thaliana GN=At1g61280 PE=2 SV=1</t>
  </si>
  <si>
    <t>Multicopper oxidase LPR1 OS=Arabidopsis thaliana GN=LPR1 PE=2 SV=1</t>
  </si>
  <si>
    <t>Serine/threonine-protein kinase/endoribonuclease IRE1a OS=Arabidopsis thaliana GN=IRE1A PE=1 SV=1</t>
  </si>
  <si>
    <t>Pentatricopeptide repeat-containing protein At2g17670 OS=Arabidopsis thaliana GN=At2g17670 PE=2 SV=1</t>
  </si>
  <si>
    <t>Protein OBERON 3 OS=Arabidopsis thaliana GN=OBE3 PE=1 SV=1</t>
  </si>
  <si>
    <t>Methionine adenosyltransferase 2 subunit beta OS=Danio rerio GN=mat2b PE=2 SV=1</t>
  </si>
  <si>
    <t>Coatomer subunit delta OS=Arabidopsis thaliana GN=At5g05010 PE=1 SV=2</t>
  </si>
  <si>
    <t>RNA polymerase II subunit 5-mediating protein homolog OS=Dictyostelium discoideum GN=rmp PE=3 SV=2</t>
  </si>
  <si>
    <t>Protein ACCUMULATION AND REPLICATION OF CHLOROPLASTS 3 OS=Arabidopsis thaliana GN=ARC3 PE=1 SV=2</t>
  </si>
  <si>
    <t>Mitochondrial uncoupling protein 4 OS=Arabidopsis thaliana GN=PUMP4 PE=2 SV=1</t>
  </si>
  <si>
    <t>Putative GTPase-activating protein AN11010 OS=Emericella nidulans (strain FGSC A4 / ATCC 38163 / CBS 112.46 / NRRL 194 / M139) GN=AN11010 PE=3 SV=1</t>
  </si>
  <si>
    <t>54S ribosomal protein L51, mitochondrial OS=Schizosaccharomyces pombe (strain 972 / ATCC 24843) GN=mrpl51 PE=3 SV=1</t>
  </si>
  <si>
    <t>Pentatricopeptide repeat-containing protein At5g65570 OS=Arabidopsis thaliana GN=PCMP-H47 PE=2 SV=1</t>
  </si>
  <si>
    <t>Probable trans-2-enoyl-CoA reductase, mitochondrial OS=Arabidopsis thaliana GN=At3g45770 PE=2 SV=1</t>
  </si>
  <si>
    <t>Protein root UVB sensitive 1, chloroplastic OS=Arabidopsis thaliana GN=RUS1 PE=1 SV=1</t>
  </si>
  <si>
    <t>Increased DNA methylation 3 OS=Arabidopsis thaliana GN=idM3 PE=1 SV=1</t>
  </si>
  <si>
    <t>30S ribosomal protein S6 alpha, chloroplastic OS=Arabidopsis thaliana GN=RPS6 PE=2 SV=1</t>
  </si>
  <si>
    <t>Outer envelope pore protein 16-3, chloroplastic/mitochondrial OS=Arabidopsis thaliana GN=OEP163 PE=1 SV=1</t>
  </si>
  <si>
    <t>Eukaryotic translation initiation factor 3 subunit C OS=Medicago truncatula GN=TIF3C1 PE=2 SV=1</t>
  </si>
  <si>
    <t>Pre-mRNA-splicing factor CWC22 homolog OS=Homo sapiens GN=CWC22 PE=1 SV=3</t>
  </si>
  <si>
    <t>Glucose-induced degradation protein 4 homolog OS=Mus musculus GN=Gid4 PE=2 SV=1</t>
  </si>
  <si>
    <t>WRKY transcription factor 44 OS=Arabidopsis thaliana GN=WRKY44 PE=1 SV=2</t>
  </si>
  <si>
    <t>U5 small nuclear ribonucleoprotein 40 kDa protein OS=Homo sapiens GN=SNRNP40 PE=1 SV=1</t>
  </si>
  <si>
    <t>Sm-like protein LSM7 OS=Arabidopsis thaliana GN=LSM7 PE=1 SV=1</t>
  </si>
  <si>
    <t>IAA-alanine resistance protein 1 OS=Arabidopsis thaliana GN=IAR1 PE=1 SV=3</t>
  </si>
  <si>
    <t>Uncharacterized calcium-binding protein At1g02270 OS=Arabidopsis thaliana GN=At1g02270 PE=2 SV=2</t>
  </si>
  <si>
    <t>Phosphatidylinositol 3,4,5-trisphosphate 3-phosphatase and dual-specificity protein phosphatase PTEN OS=Dictyostelium discoideum GN=pteN PE=2 SV=1</t>
  </si>
  <si>
    <t>30S ribosomal protein S1 OS=Neisseria meningitidis serogroup B (strain MC58) GN=rpsA PE=1 SV=1</t>
  </si>
  <si>
    <t>Neisseria meningitidis</t>
  </si>
  <si>
    <t>Protein FAR1-RELATED SEQUENCE 4 OS=Arabidopsis thaliana GN=FRS4 PE=2 SV=2</t>
  </si>
  <si>
    <t>Plant cysteine oxidase 3 OS=Arabidopsis thaliana GN=PCO3 PE=1 SV=1</t>
  </si>
  <si>
    <t>Transcription initiation factor TFIid subunit 5 OS=Arabidopsis thaliana GN=TAF5 PE=1 SV=1</t>
  </si>
  <si>
    <t>Uncharacterized protein At5g02240 OS=Arabidopsis thaliana GN=At5g02240 PE=1 SV=1</t>
  </si>
  <si>
    <t>Protein PEROXIN-4 OS=Arabidopsis thaliana GN=PEX4 PE=1 SV=1</t>
  </si>
  <si>
    <t>WPP domain-associated protein (Fragment) OS=Solanum lycopersicum GN=WAP PE=1 SV=1</t>
  </si>
  <si>
    <t>Thioredoxin-like 3-1, chloroplastic OS=Arabidopsis thaliana GN=WCRKC1 PE=2 SV=3</t>
  </si>
  <si>
    <t>Kanadaptin OS=Homo sapiens GN=SLC4A1AP PE=1 SV=1</t>
  </si>
  <si>
    <t>Ribosomal RNA-processing protein 7 homolog A OS=Pongo abelii GN=RRP7A PE=2 SV=1</t>
  </si>
  <si>
    <t>VIN3-like protein 2 OS=Arabidopsis thaliana GN=VIL2 PE=1 SV=1</t>
  </si>
  <si>
    <t>Probable calcium-binding protein CML21 OS=Arabidopsis thaliana GN=CML21 PE=2 SV=1</t>
  </si>
  <si>
    <t>Pentatricopeptide repeat-containing protein At4g39620, chloroplastic OS=Arabidopsis thaliana GN=EMB2453 PE=2 SV=1</t>
  </si>
  <si>
    <t>Exonuclease mut-7 homolog OS=Aedes aegypti GN=AAEL005527 PE=3 SV=1</t>
  </si>
  <si>
    <t>Desumoylating isopeptidase 2 OS=Xenopus laevis GN=desi2 PE=2 SV=1</t>
  </si>
  <si>
    <t>Protease Do-like 10, mitochondrial OS=Arabidopsis thaliana GN=DEGP10 PE=2 SV=1</t>
  </si>
  <si>
    <t>LIM domain-containing protein WLIM1 OS=Arabidopsis thaliana GN=WLIM1 PE=1 SV=1</t>
  </si>
  <si>
    <t>Ethylene-responsive transcription factor 5 OS=Nicotiana tabacum GN=ERF5 PE=2 SV=1</t>
  </si>
  <si>
    <t>Gamma aminobutyrate transaminase 3, chloroplastic OS=Solanum lycopersicum GN=GABA-TP3 PE=1 SV=1</t>
  </si>
  <si>
    <t>Transport and Golgi organization protein 2 homolog OS=Homo sapiens GN=TANGO2 PE=2 SV=1</t>
  </si>
  <si>
    <t>Probable ubiquitin-conjugating enzyme E2 25 OS=Arabidopsis thaliana GN=UBC25 PE=2 SV=1</t>
  </si>
  <si>
    <t>RNA polymerase II subunit A C-terminal domain phosphatase SSU72 OS=Dictyostelium discoideum GN=ssu72 PE=3 SV=1</t>
  </si>
  <si>
    <t>L-ascorbate peroxidase T, chloroplastic OS=Arabidopsis thaliana GN=APXT PE=2 SV=2</t>
  </si>
  <si>
    <t>SNF2 domain-containing protein CLASSY 2 OS=Arabidopsis thaliana GN=CLSY2 PE=1 SV=1</t>
  </si>
  <si>
    <t>Ribosomal RNA processing protein 36 homolog OS=Bos taurus GN=RRP36 PE=2 SV=1</t>
  </si>
  <si>
    <t>Magnesium-transporting ATPase, P-type 1 OS=Salmonella typhimurium (strain LT2 / SGSC1412 / ATCC 700720) GN=mgtB PE=1 SV=3</t>
  </si>
  <si>
    <t>Alpha-galactosidase 2 OS=Arabidopsis thaliana GN=AGAL2 PE=1 SV=1</t>
  </si>
  <si>
    <t>ABC transporter B family member 9 OS=Arabidopsis thaliana GN=ABCB9 PE=3 SV=2</t>
  </si>
  <si>
    <t>LYR motif-containing protein 4B OS=Salmo salar GN=lyrm4b PE=3 SV=1</t>
  </si>
  <si>
    <t>Probable inactive receptor kinase At1g27190 OS=Arabidopsis thaliana GN=At1g27190 PE=1 SV=1</t>
  </si>
  <si>
    <t>Protein indeterminate-domain 9 OS=Arabidopsis thaliana GN=idD9 PE=2 SV=1</t>
  </si>
  <si>
    <t>GTP-binding nuclear protein Ran-B1 OS=Nicotiana tabacum GN=RAN-B1 PE=2 SV=1</t>
  </si>
  <si>
    <t>Cyclin-B2-3 OS=Arabidopsis thaliana GN=CYCB2-3 PE=2 SV=2</t>
  </si>
  <si>
    <t>Protein LIGHT-DEPENDENT SHORT HYPOCOTYLS 4 OS=Arabidopsis thaliana GN=LSH4 PE=1 SV=1</t>
  </si>
  <si>
    <t>Elongation factor G-2, chloroplastic OS=Glycine max GN=fusA2 PE=3 SV=1</t>
  </si>
  <si>
    <t>Serine/threonine-protein kinase WNK1 OS=Arabidopsis thaliana GN=WNK1 PE=1 SV=1</t>
  </si>
  <si>
    <t>Ethylene-responsive transcription factor ESR2 OS=Arabidopsis thaliana GN=ESR2 PE=1 SV=1</t>
  </si>
  <si>
    <t>5-methyltetrahydropteroyltriglutamate--homocysteine methyltransferase 2 OS=Oryza sativa subsp. japonica GN=Os12g0624000 PE=2 SV=1</t>
  </si>
  <si>
    <t>Methylmalonate-semialdehyde dehydrogenase [acylating], mitochondrial OS=Homo sapiens GN=ALDH6A1 PE=1 SV=2</t>
  </si>
  <si>
    <t>3beta-hydroxysteroid-dehydrogenase/decarboxylase isoform 2 OS=Arabidopsis thaliana GN=3BETAHSD/D2 PE=2 SV=2</t>
  </si>
  <si>
    <t>Probable rhamnogalacturonate lyase B OS=Aspergillus niger (strain CBS 513.88 / FGSC A1513) GN=rglB PE=3 SV=1</t>
  </si>
  <si>
    <t>Aspergillus niger</t>
  </si>
  <si>
    <t>Chlorophyll a-b binding protein, chloroplastic OS=Oryza sativa subsp. japonica GN=RCABP89 PE=2 SV=1</t>
  </si>
  <si>
    <t>Golgin candidate 4 OS=Arabidopsis thaliana GN=GC4 PE=2 SV=1</t>
  </si>
  <si>
    <t>Annexin D2 OS=Arabidopsis thaliana GN=ANN2 PE=1 SV=1</t>
  </si>
  <si>
    <t>Calmodulin-like protein 3 OS=Arabidopsis thaliana GN=CML3 PE=2 SV=1</t>
  </si>
  <si>
    <t>Diacylglycerol O-acyltransferase 1 OS=Arabidopsis thaliana GN=DGAT1 PE=1 SV=2</t>
  </si>
  <si>
    <t>Protein MOTHER of FT and TF 1 OS=Arabidopsis thaliana GN=MFT PE=1 SV=1</t>
  </si>
  <si>
    <t>Mediator of RNA polymerase II transcription subunit 4 OS=Arabidopsis thaliana GN=MED4 PE=1 SV=1</t>
  </si>
  <si>
    <t>Diacylglycerol kinase 2 OS=Arabidopsis thaliana GN=DGK2 PE=1 SV=1</t>
  </si>
  <si>
    <t>Plant intracellular Ras-group-related LRR protein 3 OS=Arabidopsis thaliana GN=PIRL3 PE=2 SV=1</t>
  </si>
  <si>
    <t>Pentatricopeptide repeat-containing protein At3g49240 OS=Arabidopsis thaliana GN=EMB1796 PE=2 SV=1</t>
  </si>
  <si>
    <t>Probable receptor-like protein kinase At5g38990 OS=Arabidopsis thaliana GN=At5g38990 PE=2 SV=1</t>
  </si>
  <si>
    <t>LON peptidase N-terminal domain and RING finger protein 3 OS=Mus musculus GN=Lonrf3 PE=2 SV=1</t>
  </si>
  <si>
    <t>9-cis-epoxycarotenoid dioxygenase NCED3, chloroplastic OS=Arabidopsis thaliana GN=NCED3 PE=2 SV=1</t>
  </si>
  <si>
    <t>Cytochrome b561 and DOMON domain-containing protein At3g61750 OS=Arabidopsis thaliana GN=At3g61750 PE=3 SV=1</t>
  </si>
  <si>
    <t>Gamma carbonic anhydrase-like 1, mitochondrial OS=Arabidopsis thaliana GN=GAMMACAL1 PE=1 SV=1</t>
  </si>
  <si>
    <t>Poly [ADP-ribose] polymerase 3 OS=Glycine max GN=PARP3 PE=2 SV=1</t>
  </si>
  <si>
    <t>Delta(8)-fatty-acid desaturase 1 OS=Arabidopsis thaliana GN=SLD1 PE=1 SV=1</t>
  </si>
  <si>
    <t>WD repeat-containing protein DWA2 OS=Arabidopsis thaliana GN=DWA2 PE=1 SV=1</t>
  </si>
  <si>
    <t>ABC transporter I family member 1 OS=Arabidopsis thaliana GN=ABCI1 PE=2 SV=1</t>
  </si>
  <si>
    <t>Ent-kaurene oxidase, chloroplastic OS=Arabidopsis thaliana GN=KO PE=1 SV=2</t>
  </si>
  <si>
    <t>F-box/kelch-repeat protein At3g23880 OS=Arabidopsis thaliana GN=At3g23880 PE=2 SV=1</t>
  </si>
  <si>
    <t>UDP-glucuronate:xylan alpha-glucuronosyltransferase 2 OS=Arabidopsis thaliana GN=GUX2 PE=2 SV=1</t>
  </si>
  <si>
    <t>Betaine aldehyde dehydrogenase 1, chloroplastic OS=Arabidopsis thaliana GN=ALDH10A8 PE=2 SV=1</t>
  </si>
  <si>
    <t>Polyubiquitin 11 OS=Arabidopsis thaliana GN=UBQ11 PE=1 SV=1</t>
  </si>
  <si>
    <t>1-aminocyclopropane-1-carboxylate synthase OS=Malus domestica GN=ACS-1 PE=1 SV=2</t>
  </si>
  <si>
    <t>Glucose-1-phosphate adenylyltransferase large subunit, chloroplastic/amyloplastic OS=Beta vulgaris GN=AGPS1 PE=2 SV=1</t>
  </si>
  <si>
    <t>Protein HHL1, chloroplastic OS=Arabidopsis thaliana GN=HHL1 PE=1 SV=1</t>
  </si>
  <si>
    <t>PTI1-like tyrosine-protein kinase At3g15890 OS=Arabidopsis thaliana GN=At3g15890 PE=2 SV=1</t>
  </si>
  <si>
    <t>Phospholipid:diacylglycerol acyltransferase 1 OS=Arabidopsis thaliana GN=PDAT1 PE=2 SV=1</t>
  </si>
  <si>
    <t>NADH dehydrogenase [ubiquinone] iron-sulfur protein 6, mitochondrial OS=Arabidopsis thaliana GN=At3g03070 PE=3 SV=1</t>
  </si>
  <si>
    <t>3'-N-debenzoyl-2'-deoxytaxol N-benzoyltransferase OS=Taxus canadensis GN=TAX10 PE=1 SV=1</t>
  </si>
  <si>
    <t>Taxus canadensis</t>
  </si>
  <si>
    <t>Nucleolar protein 10 OS=Xenopus laevis GN=nol10 PE=2 SV=1</t>
  </si>
  <si>
    <t>Auxin-responsive protein SAUR24 OS=Arabidopsis thaliana GN=SAUR24 PE=2 SV=1</t>
  </si>
  <si>
    <t>(R)-mandelonitrile lyase 1 OS=Prunus dulcis GN=MDL1 PE=2 SV=1</t>
  </si>
  <si>
    <t>Pentatricopeptide repeat-containing protein At2g17033 OS=Arabidopsis thaliana GN=At2g17033 PE=2 SV=1</t>
  </si>
  <si>
    <t>U11/U12 small nuclear ribonucleoprotein 25 kDa protein OS=Arabidopsis thaliana GN=SNRNP25 PE=2 SV=1</t>
  </si>
  <si>
    <t>Probable E3 ubiquitin-protein ligase RNF217 OS=Xenopus laevis GN=rnf217 PE=2 SV=1</t>
  </si>
  <si>
    <t>Peroxidase 44 OS=Arabidopsis thaliana GN=PER44 PE=2 SV=1</t>
  </si>
  <si>
    <t>Probable flavin-containing monooxygenase 1 OS=Arabidopsis thaliana GN=FMO1 PE=2 SV=1</t>
  </si>
  <si>
    <t>Kynurenine formamidase OS=Salinibacter ruber (strain DSM 13855 / M31) GN=kynB PE=3 SV=1</t>
  </si>
  <si>
    <t>Salinibacter ruber</t>
  </si>
  <si>
    <t>E3 SUMO-protein ligase pli1 OS=Schizosaccharomyces pombe (strain 972 / ATCC 24843) GN=pli1 PE=1 SV=3</t>
  </si>
  <si>
    <t>Transcription factor PAR2 OS=Arabidopsis thaliana GN=PAR2 PE=3 SV=1</t>
  </si>
  <si>
    <t>F-box/FBD/LRR-repeat protein At1g16930 OS=Arabidopsis thaliana GN=At1g16930 PE=2 SV=1</t>
  </si>
  <si>
    <t>Pentatricopeptide repeat-containing protein At1g71460, chloroplastic OS=Arabidopsis thaliana GN=PCMP-A3 PE=2 SV=1</t>
  </si>
  <si>
    <t>Protein RETICULATA-RELATED 2 OS=Arabidopsis thaliana GN=RER2 PE=2 SV=1</t>
  </si>
  <si>
    <t>60S ribosomal protein L17-1 OS=Arabidopsis thaliana GN=RPL17A PE=2 SV=1</t>
  </si>
  <si>
    <t>Root phototropism protein 3 OS=Arabidopsis thaliana GN=RPT3 PE=1 SV=2</t>
  </si>
  <si>
    <t>Probable galacturonosyltransferase-like 4 OS=Arabidopsis thaliana GN=GATL4 PE=2 SV=1</t>
  </si>
  <si>
    <t>Argininosuccinate lyase, chloroplastic OS=Arabidopsis thaliana GN=At5g10920 PE=2 SV=1</t>
  </si>
  <si>
    <t>Putative vesicle-associated membrane protein 726 OS=Arabidopsis thaliana GN=VAMP726 PE=3 SV=2</t>
  </si>
  <si>
    <t>3-ketoacyl-CoA synthase 7 OS=Arabidopsis thaliana GN=KCS7 PE=2 SV=1</t>
  </si>
  <si>
    <t>Pentatricopeptide repeat-containing protein At1g07590, mitochondrial OS=Arabidopsis thaliana GN=At1g07590 PE=2 SV=1</t>
  </si>
  <si>
    <t>DEAD-box ATP-dependent RNA helicase 37 OS=Arabidopsis thaliana GN=RH37 PE=2 SV=2</t>
  </si>
  <si>
    <t>Probable RNA-dependent RNA polymerase 4 OS=Arabidopsis thaliana GN=RDR4 PE=3 SV=2</t>
  </si>
  <si>
    <t>Probable gamma-secretase subunit PEN-2 OS=Arabidopsis thaliana GN=At5g09310 PE=2 SV=1</t>
  </si>
  <si>
    <t>Vacuolar cation/proton exchanger 2 OS=Oryza sativa subsp. japonica GN=CAX2 PE=2 SV=2</t>
  </si>
  <si>
    <t>Serine/threonine-protein phosphatase 6 regulatory subunit 3 OS=Mus musculus GN=Ppp6r3 PE=1 SV=1</t>
  </si>
  <si>
    <t>Zinc finger protein 7 OS=Arabidopsis thaliana GN=ZFP7 PE=2 SV=1</t>
  </si>
  <si>
    <t>S-norcoclaurine synthase OS=Thalictrum flavum subsp. glaucum PE=1 SV=1</t>
  </si>
  <si>
    <t>C-Myc-binding protein OS=Bos taurus GN=MYCBP PE=3 SV=3</t>
  </si>
  <si>
    <t>Germin-like protein subfamily 1 member 1 OS=Arabidopsis thaliana GN=GLP7 PE=2 SV=2</t>
  </si>
  <si>
    <t>Peroxisomal multifunctional enzyme type 2 OS=Rattus norvegicus GN=Hsd17b4 PE=1 SV=3</t>
  </si>
  <si>
    <t>Putative HVA22-like protein g OS=Arabidopsis thaliana GN=HVA22G PE=3 SV=2</t>
  </si>
  <si>
    <t>Probable protein phosphatase 2C 52 OS=Arabidopsis thaliana GN=At4g03415 PE=2 SV=1</t>
  </si>
  <si>
    <t>Probable Xaa-Pro aminopeptidase P OS=Neurospora crassa (strain ATCC 24698 / 74-OR23-1A / CBS 708.71 / DSM 1257 / FGSC 987) GN=ampp PE=3 SV=2</t>
  </si>
  <si>
    <t>Filament-like plant protein 6 OS=Arabidopsis thaliana GN=FPP6 PE=1 SV=1</t>
  </si>
  <si>
    <t>UDP-glucose 6-dehydrogenase 5 OS=Oryza sativa subsp. japonica GN=UGD5 PE=2 SV=1</t>
  </si>
  <si>
    <t>E3 ubiquitin-protein ligase RNF181 OS=Xenopus laevis GN=rnf181 PE=2 SV=1</t>
  </si>
  <si>
    <t>PRA1 family protein A1 OS=Arabidopsis thaliana GN=PRA1A1 PE=2 SV=1</t>
  </si>
  <si>
    <t>Extracellular ribonuclease OS=Bacillus amyloliquefaciens GN=bsn PE=1 SV=1</t>
  </si>
  <si>
    <t>Bacillus amyloliquefaciens</t>
  </si>
  <si>
    <t>Transportin-1 OS=Oryza sativa subsp. japonica GN=TRN1 PE=3 SV=2</t>
  </si>
  <si>
    <t>Aconitate hydratase 2, mitochondrial OS=Arabidopsis thaliana GN=ACO2 PE=1 SV=2</t>
  </si>
  <si>
    <t>Probable protein phosphatase 2C 11 OS=Arabidopsis thaliana GN=At1g43900 PE=2 SV=1</t>
  </si>
  <si>
    <t>Probable GTP-binding protein OBGM, mitochondrial OS=Arabidopsis thaliana GN=ATOBGM PE=2 SV=1</t>
  </si>
  <si>
    <t>Pentatricopeptide repeat-containing protein At2g17210 OS=Arabidopsis thaliana GN=PCMP-E77 PE=3 SV=2</t>
  </si>
  <si>
    <t>Cyclin-dependent kinase C-1 OS=Oryza sativa subsp. japonica GN=CDKC-1 PE=2 SV=1</t>
  </si>
  <si>
    <t>Peroxisome biogenesis protein 3-2 OS=Arabidopsis thaliana GN=PEX3-2 PE=2 SV=1</t>
  </si>
  <si>
    <t>Probable pectinesterase/pectinesterase inhibitor 13 OS=Arabidopsis thaliana GN=PME13 PE=2 SV=2</t>
  </si>
  <si>
    <t>Transcription factor bHLH140 OS=Arabidopsis thaliana GN=BHLH140 PE=3 SV=1</t>
  </si>
  <si>
    <t>Uncharacterized hydrolase YugF OS=Bacillus subtilis (strain 168) GN=yugF PE=3 SV=1</t>
  </si>
  <si>
    <t>Ran guanine nucleotide release factor OS=Bos taurus GN=RANGRF PE=2 SV=1</t>
  </si>
  <si>
    <t>Clavaminate synthase-like protein At3g21360 OS=Arabidopsis thaliana GN=At3g21360 PE=1 SV=1</t>
  </si>
  <si>
    <t>DnaJ homolog subfamily C GRV2 OS=Arabidopsis thaliana GN=GRV2 PE=1 SV=1</t>
  </si>
  <si>
    <t>Glutathione reductase, chloroplastic (Fragment) OS=Nicotiana tabacum GN=GOR PE=1 SV=1</t>
  </si>
  <si>
    <t>Myosin heavy chain kinase B OS=Dictyostelium discoideum GN=mhkB PE=2 SV=1</t>
  </si>
  <si>
    <t>Aminoacylase-1 OS=Sus scrofa GN=ACY1 PE=1 SV=2</t>
  </si>
  <si>
    <t>DEAD-box ATP-dependent RNA helicase 24 OS=Oryza sativa subsp. japonica GN=Os03g0308500 PE=2 SV=1</t>
  </si>
  <si>
    <t>Reticulon-like protein B9 OS=Arabidopsis thaliana GN=RTNLB9 PE=2 SV=1</t>
  </si>
  <si>
    <t>Kinesin-1-like protein PSS1 OS=Oryza sativa subsp. japonica GN=PSS1 PE=1 SV=1</t>
  </si>
  <si>
    <t>DNA damage-inducible protein 1 OS=Phaeosphaeria nodorum (strain SN15 / ATCC MYA-4574 / FGSC 10173) GN=DDI1 PE=3 SV=2</t>
  </si>
  <si>
    <t>Phaeosphaeria nodorum</t>
  </si>
  <si>
    <t>Soluble starch synthase 1, chloroplastic/amyloplastic OS=Solanum tuberosum PE=2 SV=1</t>
  </si>
  <si>
    <t>40S ribosomal protein S23 OS=Fragaria ananassa GN=RPS23 PE=2 SV=1</t>
  </si>
  <si>
    <t>Uridine 5'-monophosphate synthase (Fragment) OS=Nicotiana tabacum GN=PYR5-6 PE=2 SV=1</t>
  </si>
  <si>
    <t>Vacuolar protein sorting-associated protein 28 homolog 2 OS=Arabidopsis thaliana GN=VPS28-2 PE=1 SV=2</t>
  </si>
  <si>
    <t>DNA-directed RNA polymerase II subunit RPB7 OS=Glycine max PE=2 SV=1</t>
  </si>
  <si>
    <t>Chaperone protein ClpC, chloroplastic OS=Pisum sativum PE=2 SV=1</t>
  </si>
  <si>
    <t>Translocase of chloroplast 90, chloroplastic OS=Arabidopsis thaliana GN=TOC90 PE=1 SV=1</t>
  </si>
  <si>
    <t>Ribose-phosphate pyrophosphokinase 3, mitochondrial OS=Spinacia oleracea GN=PRS3 PE=2 SV=1</t>
  </si>
  <si>
    <t>Protein SMG8 OS=Homo sapiens GN=SMG8 PE=1 SV=1</t>
  </si>
  <si>
    <t>Pentatricopeptide repeat-containing protein At2g30100, chloroplastic OS=Arabidopsis thaliana GN=At2g30100 PE=2 SV=2</t>
  </si>
  <si>
    <t>Cell division control protein 1 OS=Saccharomyces cerevisiae (strain ATCC 204508 / S288c) GN=CDC1 PE=1 SV=2</t>
  </si>
  <si>
    <t>Phosphoenolpyruvate carboxylase 2 OS=Flaveria trinervia GN=PPCC PE=1 SV=1</t>
  </si>
  <si>
    <t>Flaveria trinervia</t>
  </si>
  <si>
    <t>Pentatricopeptide repeat-containing protein At1g62670, mitochondrial OS=Arabidopsis thaliana GN=At1g62670 PE=3 SV=2</t>
  </si>
  <si>
    <t>Protein LSD1 OS=Arabidopsis thaliana GN=LSD1 PE=1 SV=1</t>
  </si>
  <si>
    <t>Serine/threonine-protein phosphatase PP1 OS=Medicago sativa subsp. varia GN=PP1 PE=2 SV=1</t>
  </si>
  <si>
    <t>Phospholipid-transporting ATPase 3 OS=Arabidopsis thaliana GN=ALA3 PE=1 SV=2</t>
  </si>
  <si>
    <t>Zinc transporter 4, chloroplastic OS=Arabidopsis thaliana GN=ZIP4 PE=2 SV=1</t>
  </si>
  <si>
    <t>Aspartic proteinase Asp1 OS=Oryza sativa subsp. japonica GN=ASP1 PE=2 SV=1</t>
  </si>
  <si>
    <t>Putative ATP-dependent RNA helicase DHX57 OS=Mus musculus GN=Dhx57 PE=2 SV=2</t>
  </si>
  <si>
    <t>Purple acid phosphatase 22 OS=Arabidopsis thaliana GN=PAP22 PE=2 SV=1</t>
  </si>
  <si>
    <t>PHD finger-like domain-containing protein 5B OS=Arabidopsis thaliana GN=At1g07170 PE=2 SV=1</t>
  </si>
  <si>
    <t>4-hydroxy-tetrahydrodipicolinate synthase 2, chloroplastic OS=Arabidopsis thaliana GN=DHDPS2 PE=1 SV=2</t>
  </si>
  <si>
    <t>Tubby-like F-box protein 14 OS=Oryza sativa subsp. japonica GN=TULP14 PE=2 SV=1</t>
  </si>
  <si>
    <t>E3 ubiquitin-protein ligase Topors OS=Mus musculus GN=Topors PE=1 SV=1</t>
  </si>
  <si>
    <t>BTB/POZ domain-containing protein At3g19850 OS=Arabidopsis thaliana GN=At3g19850 PE=2 SV=1</t>
  </si>
  <si>
    <t>Zinc finger CCCH domain-containing protein 31 OS=Arabidopsis thaliana GN=At2g47680 PE=2 SV=2</t>
  </si>
  <si>
    <t>Protein sym-1 OS=Neurospora crassa (strain ATCC 24698 / 74-OR23-1A / CBS 708.71 / DSM 1257 / FGSC 987) GN=sym-1 PE=3 SV=2</t>
  </si>
  <si>
    <t>Ubiquitin-conjugating enzyme E2 35 OS=Arabidopsis thaliana GN=UBC35 PE=1 SV=1</t>
  </si>
  <si>
    <t>MOB kinase activator-like 1A OS=Medicago sativa subsp. falcata GN=MOB1-A PE=2 SV=2</t>
  </si>
  <si>
    <t>Crossover junction endonuclease EME1B OS=Arabidopsis thaliana GN=EME1B PE=1 SV=1</t>
  </si>
  <si>
    <t>UPF0161 protein At3g09310 OS=Arabidopsis thaliana GN=At3g09310 PE=2 SV=2</t>
  </si>
  <si>
    <t>Probable mediator of RNA polymerase II transcription subunit 26c OS=Arabidopsis thaliana GN=MED26C PE=1 SV=1</t>
  </si>
  <si>
    <t>Methylcrotonoyl-CoA carboxylase subunit alpha, mitochondrial OS=Glycine max GN=MCCA PE=1 SV=2</t>
  </si>
  <si>
    <t>Glucose-induced degradation protein 8 homolog OS=Dictyostelium discoideum GN=DDB_G0279265 PE=3 SV=2</t>
  </si>
  <si>
    <t>RING-H2 finger protein ATL22 OS=Arabidopsis thaliana GN=ATL22 PE=2 SV=2</t>
  </si>
  <si>
    <t>Plastidic ATP/ADP-transporter OS=Solanum tuberosum PE=2 SV=2</t>
  </si>
  <si>
    <t>Putative pumilio homolog 8, chloroplastic OS=Arabidopsis thaliana GN=APUM8 PE=3 SV=2</t>
  </si>
  <si>
    <t>Reticulon-like protein B16 OS=Arabidopsis thaliana GN=RTNLB16 PE=2 SV=1</t>
  </si>
  <si>
    <t>Histone-lysine N-methyltransferase ASHH2 OS=Arabidopsis thaliana GN=ASHH2 PE=1 SV=1</t>
  </si>
  <si>
    <t>Transcription factor EMB1444 OS=Arabidopsis thaliana GN=EMB1444 PE=2 SV=1</t>
  </si>
  <si>
    <t>Cytidine deaminase 1 OS=Arabidopsis thaliana GN=CDA1 PE=1 SV=1</t>
  </si>
  <si>
    <t>Protein CASP OS=Arabidopsis thaliana GN=CASP PE=1 SV=2</t>
  </si>
  <si>
    <t>Shikimate kinase 3, chloroplastic OS=Oryza sativa subsp. japonica GN=SK3 PE=1 SV=2</t>
  </si>
  <si>
    <t>Uncharacterized protein ycf36 OS=Porphyra purpurea GN=ycf36 PE=3 SV=1</t>
  </si>
  <si>
    <t>T-complex protein 1 subunit gamma OS=Arabidopsis thaliana GN=CCT3 PE=1 SV=1</t>
  </si>
  <si>
    <t>COP9 signalosome complex subunit 4 OS=Arabidopsis thaliana GN=CSN4 PE=1 SV=2</t>
  </si>
  <si>
    <t>Probable mediator of RNA polymerase II transcription subunit 26b OS=Arabidopsis thaliana GN=MED26B PE=2 SV=1</t>
  </si>
  <si>
    <t>ADP-ribosylation factor 1 OS=Brassica rapa subsp. pekinensis GN=ARF1 PE=2 SV=3</t>
  </si>
  <si>
    <t>ATP-dependent DNA helicase pfh1 OS=Schizosaccharomyces pombe (strain 972 / ATCC 24843) GN=pfh1 PE=1 SV=1</t>
  </si>
  <si>
    <t>Alpha-1,3-mannosyl-glycoprotein 2-beta-N-acetylglucosaminyltransferase OS=Arabidopsis thaliana GN=GNTI PE=1 SV=1</t>
  </si>
  <si>
    <t>Protein-lysine methyltransferase METTL21C OS=Bos taurus GN=METTL21C PE=2 SV=1</t>
  </si>
  <si>
    <t>Flavin-containing monooxygenase FMO GS-OX-like 8 OS=Arabidopsis thaliana GN=At5g61290 PE=2 SV=1</t>
  </si>
  <si>
    <t>Carotenoid 9,10(9',10')-cleavage dioxygenase 1 OS=Pisum sativum GN=CCD1 PE=2 SV=1</t>
  </si>
  <si>
    <t>NADH dehydrogenase [ubiquinone] 1 alpha subcomplex subunit 8-B OS=Arabidopsis thaliana GN=At5g18800 PE=1 SV=1</t>
  </si>
  <si>
    <t>E3 ubiquitin-protein ligase RNF168 OS=Homo sapiens GN=RNF168 PE=1 SV=1</t>
  </si>
  <si>
    <t>Succinate dehydrogenase subunit 7B, mitochondrial OS=Arabidopsis thaliana GN=SDH7B PE=1 SV=1</t>
  </si>
  <si>
    <t>General transcription factor 3C polypeptide 5 OS=Dictyostelium discoideum GN=gtf3c5 PE=3 SV=1</t>
  </si>
  <si>
    <t>BTB/POZ domain-containing protein NPY3 OS=Arabidopsis thaliana GN=NPY3 PE=2 SV=1</t>
  </si>
  <si>
    <t>Gibberellin-regulated protein 14 OS=Arabidopsis thaliana GN=GASA14 PE=1 SV=1</t>
  </si>
  <si>
    <t>Dirigent protein 21 OS=Arabidopsis thaliana GN=DIR21 PE=3 SV=1</t>
  </si>
  <si>
    <t>Kinesin-3 OS=Arabidopsis thaliana GN=ATK3 PE=2 SV=1</t>
  </si>
  <si>
    <t>BRISC and BRCA1-A complex member 1 OS=Xenopus tropicalis GN=babam1 PE=2 SV=1</t>
  </si>
  <si>
    <t>Dof zinc finger protein DOF5.3 OS=Arabidopsis thaliana GN=DOF5.3 PE=2 SV=1</t>
  </si>
  <si>
    <t>Zinc-finger homeodomain protein 1 OS=Oryza sativa subsp. indica GN=ZHD1 PE=3 SV=1</t>
  </si>
  <si>
    <t>Auxin-induced protein AUX22 OS=Glycine max GN=AUX22 PE=2 SV=1</t>
  </si>
  <si>
    <t>Eukaryotic translation initiation factor 3 subunit E OS=Nematostella vectensis GN=v1g163572 PE=3 SV=1</t>
  </si>
  <si>
    <t>Uncharacterized protein C115.02c OS=Schizosaccharomyces pombe (strain 972 / ATCC 24843) GN=SPBC115.02c PE=3 SV=1</t>
  </si>
  <si>
    <t>Homeobox-leucine zipper protein ATHB-15 OS=Arabidopsis thaliana GN=ATHB-15 PE=1 SV=1</t>
  </si>
  <si>
    <t>Probable WRKY transcription factor 12 OS=Arabidopsis thaliana GN=WRKY12 PE=2 SV=1</t>
  </si>
  <si>
    <t>Uncharacterized protein At1g05835 OS=Arabidopsis thaliana GN=At1g05835 PE=2 SV=1</t>
  </si>
  <si>
    <t>Thioredoxin O1, mitochondrial OS=Arabidopsis thaliana GN=At2g35010 PE=2 SV=1</t>
  </si>
  <si>
    <t>Heat stress transcription factor B-4b OS=Oryza sativa subsp. japonica GN=HSFB4B PE=1 SV=1</t>
  </si>
  <si>
    <t>ABC transporter G family member 8 OS=Arabidopsis thaliana GN=ABCG8 PE=2 SV=1</t>
  </si>
  <si>
    <t>Polyubiquitin 10 OS=Arabidopsis thaliana GN=UBQ10 PE=1 SV=2</t>
  </si>
  <si>
    <t>Acylpyruvase FAHD1, mitochondrial OS=Dictyostelium discoideum GN=fahd1 PE=3 SV=1</t>
  </si>
  <si>
    <t>Receptor-like protein kinase ANXUR2 OS=Arabidopsis thaliana GN=ANX2 PE=2 SV=1</t>
  </si>
  <si>
    <t>Endo-1,4-beta-xylanase C OS=Neosartorya fumigata (strain ATCC MYA-4609 / Af293 / CBS 101355 / FGSC A1100) GN=xlnC PE=2 SV=2</t>
  </si>
  <si>
    <t>BURP domain-containing protein 5 OS=Oryza sativa subsp. japonica GN=BURP5 PE=2 SV=2</t>
  </si>
  <si>
    <t>Germanicol synthase OS=Rhizophora stylosa GN=M1 PE=1 SV=1</t>
  </si>
  <si>
    <t>Rhizophora stylosa</t>
  </si>
  <si>
    <t>Small subunit processome component 20 homolog OS=Homo sapiens GN=UTP20 PE=1 SV=3</t>
  </si>
  <si>
    <t>Chlorophyllase-1 OS=Arabidopsis thaliana GN=CLH1 PE=1 SV=1</t>
  </si>
  <si>
    <t>RAN GTPase-activating protein 1 OS=Arabidopsis thaliana GN=RANGAP1 PE=1 SV=1</t>
  </si>
  <si>
    <t>Heat stress transcription factor A-8 OS=Arabidopsis thaliana GN=HSFA8 PE=2 SV=1</t>
  </si>
  <si>
    <t>SET and MYND domain-containing protein 4 OS=Homo sapiens GN=SMYD4 PE=2 SV=3</t>
  </si>
  <si>
    <t>F-box protein PP2-B5 OS=Arabidopsis thaliana GN=PP2B5 PE=2 SV=1</t>
  </si>
  <si>
    <t>Uncharacterized mitochondrial protein AtMg00030 OS=Arabidopsis thaliana GN=AtMg00030 PE=4 SV=1</t>
  </si>
  <si>
    <t>Serine/threonine protein phosphatase 2A 57 kDa regulatory subunit B' epsilon isoform OS=Arabidopsis thaliana GN=B'EPSILON PE=2 SV=1</t>
  </si>
  <si>
    <t>Protein trichome birefringence-like 31 OS=Arabidopsis thaliana GN=TBL31 PE=2 SV=1</t>
  </si>
  <si>
    <t>Plasma membrane ATPase OS=Ajellomyces capsulatus GN=PMA1 PE=3 SV=1</t>
  </si>
  <si>
    <t>Ajellomyces capsulatus</t>
  </si>
  <si>
    <t>Probable pectinesterase/pectinesterase inhibitor 20 OS=Arabidopsis thaliana GN=PME20 PE=2 SV=2</t>
  </si>
  <si>
    <t>FAD-dependent urate hydroxylase OS=Klebsiella pneumoniae GN=hpxO PE=3 SV=1</t>
  </si>
  <si>
    <t>Klebsiella pneumoniae</t>
  </si>
  <si>
    <t>Cysteine-rich PDZ-binding protein OS=Rattus norvegicus GN=Cript PE=1 SV=1</t>
  </si>
  <si>
    <t>Probable protein phosphatase 2C 15 OS=Arabidopsis thaliana GN=At1g68410 PE=2 SV=1</t>
  </si>
  <si>
    <t>Acetolactate synthase small subunit 2, chloroplastic OS=Arabidopsis thaliana GN=At2g31810 PE=1 SV=1</t>
  </si>
  <si>
    <t>Peroxidase 39 OS=Arabidopsis thaliana GN=PER39 PE=1 SV=1</t>
  </si>
  <si>
    <t>DNA-directed RNA polymerase subunit beta OS=Vitis vinifera GN=rpoB PE=3 SV=1</t>
  </si>
  <si>
    <t>Dihydrodipicolinate reductase-like protein CRR1, chloroplastic OS=Arabidopsis thaliana GN=DAPB3 PE=2 SV=1</t>
  </si>
  <si>
    <t>Transcription factor bHLH120 OS=Arabidopsis thaliana GN=BHLH120 PE=2 SV=2</t>
  </si>
  <si>
    <t>40S ribosomal protein S18-B OS=Saccharomyces cerevisiae (strain ATCC 204508 / S288c) GN=RPS18B PE=1 SV=1</t>
  </si>
  <si>
    <t>Ribosome biogenesis protein NSA2 OS=Ashbya gossypii (strain ATCC 10895 / CBS 109.51 / FGSC 9923 / NRRL Y-1056) GN=NSA2 PE=3 SV=1</t>
  </si>
  <si>
    <t>Retinol dehydrogenase 11 OS=Homo sapiens GN=RDH11 PE=1 SV=2</t>
  </si>
  <si>
    <t>Chromodomain-helicase-DNA-binding protein 1-like OS=Bos taurus GN=CHD1L PE=2 SV=1</t>
  </si>
  <si>
    <t>Potassium channel AKT1 OS=Arabidopsis thaliana GN=AKT1 PE=1 SV=2</t>
  </si>
  <si>
    <t>Nudix hydrolase 10 OS=Arabidopsis thaliana GN=NUDT10 PE=1 SV=1</t>
  </si>
  <si>
    <t>Auxin-induced protein 22D OS=Vigna radiata var. radiata GN=AUX22D PE=2 SV=1</t>
  </si>
  <si>
    <t>Probable xyloglucan glycosyltransferase 8 OS=Arabidopsis thaliana GN=CSLC8 PE=2 SV=1</t>
  </si>
  <si>
    <t>3-epi-6-deoxocathasterone 23-monooxygenase OS=Arabidopsis thaliana GN=CYP90D1 PE=2 SV=1</t>
  </si>
  <si>
    <t>ADP,ATP carrier protein, mitochondrial OS=Solanum tuberosum GN=ANT PE=2 SV=1</t>
  </si>
  <si>
    <t>Putative RING-H2 finger protein ATL36 OS=Arabidopsis thaliana GN=ATL36 PE=3 SV=1</t>
  </si>
  <si>
    <t>Protein NRT1/ PTR FAMILY 5.2 OS=Arabidopsis thaliana GN=NPF5.2 PE=2 SV=1</t>
  </si>
  <si>
    <t>Probable WRKY transcription factor 49 OS=Arabidopsis thaliana GN=WRKY49 PE=2 SV=1</t>
  </si>
  <si>
    <t>RING finger protein 5 OS=Caenorhabditis elegans GN=rnf-5 PE=1 SV=1</t>
  </si>
  <si>
    <t>Pentatricopeptide repeat-containing protein At1g02060, chloroplastic OS=Arabidopsis thaliana GN=At1g02060 PE=2 SV=2</t>
  </si>
  <si>
    <t>V-type proton ATPase subunit c''1 OS=Arabidopsis thaliana GN=VHA-c''1 PE=1 SV=1</t>
  </si>
  <si>
    <t>Ubiquinol-cytochrome-c reductase complex assembly factor 1 OS=Xenopus laevis GN=uqcc1 PE=2 SV=1</t>
  </si>
  <si>
    <t>Thioredoxin X, chloroplastic OS=Arabidopsis thaliana GN=ATHX PE=2 SV=2</t>
  </si>
  <si>
    <t>Phosphatidylinositol 4-kinase gamma 3 OS=Arabidopsis thaliana GN=PI4KG3 PE=2 SV=1</t>
  </si>
  <si>
    <t>Chaperone protein dnaJ 16 OS=Arabidopsis thaliana GN=ATJ16 PE=2 SV=1</t>
  </si>
  <si>
    <t>Endochitinase 1 OS=Gossypium hirsutum PE=3 SV=1</t>
  </si>
  <si>
    <t>Plasma membrane ATPase 4 OS=Nicotiana plumbaginifolia GN=PMA4 PE=2 SV=1</t>
  </si>
  <si>
    <t>3-hydroxyacyl-[acyl-carrier-protein] dehydratase FabZ OS=Thermosynechococcus elongatus (strain BP-1) GN=fabZ PE=3 SV=1</t>
  </si>
  <si>
    <t>Receptor-like protein kinase At3g21340 OS=Arabidopsis thaliana GN=At3g21340 PE=1 SV=1</t>
  </si>
  <si>
    <t>Uclacyanin-3 OS=Arabidopsis thaliana GN=UCC3 PE=2 SV=1</t>
  </si>
  <si>
    <t>Uncharacterized transporter AF_0788 OS=Archaeoglobus fulgidus (strain ATCC 49558 / VC-16 / DSM 4304 / JCM 9628 / NBRC 100126) GN=AF_0788 PE=3 SV=1</t>
  </si>
  <si>
    <t>Archaeoglobus fulgidus</t>
  </si>
  <si>
    <t>Protein SMG7 OS=Arabidopsis thaliana GN=SMG7 PE=2 SV=1</t>
  </si>
  <si>
    <t>30-kDa cleavage and polyadenylation specificity factor 30 OS=Arabidopsis thaliana GN=CPSF30 PE=1 SV=1</t>
  </si>
  <si>
    <t>B-box zinc finger protein 22 OS=Arabidopsis thaliana GN=BBX22 PE=1 SV=2</t>
  </si>
  <si>
    <t>TBCC domain-containing protein 1 OS=Xenopus tropicalis GN=tbccd1 PE=2 SV=1</t>
  </si>
  <si>
    <t>Probable tyrosine-protein phosphatase At1g05000 OS=Arabidopsis thaliana GN=At1g05000 PE=1 SV=1</t>
  </si>
  <si>
    <t>Transcription factor bHLH28 OS=Arabidopsis thaliana GN=BHLH28 PE=2 SV=1</t>
  </si>
  <si>
    <t>Probable galacturonosyltransferase 11 OS=Arabidopsis thaliana GN=GAUT11 PE=2 SV=1</t>
  </si>
  <si>
    <t>ATP-dependent RNA helicase DHX29 OS=Xenopus laevis GN=dhx29 PE=2 SV=1</t>
  </si>
  <si>
    <t>Hexokinase-2, chloroplastic OS=Nicotiana tabacum GN=HXK2 PE=2 SV=1</t>
  </si>
  <si>
    <t>Ras-related protein Rab7 OS=Glycine max PE=2 SV=1</t>
  </si>
  <si>
    <t>Dipeptidyl aminopeptidase BIII OS=Pseudoxanthomonas mexicana GN=dapb3 PE=1 SV=1</t>
  </si>
  <si>
    <t>Phosphomannomutase OS=Triticum aestivum PE=2 SV=1</t>
  </si>
  <si>
    <t>Protein NDR1 OS=Arabidopsis thaliana GN=NDR1 PE=1 SV=1</t>
  </si>
  <si>
    <t>Coiled-coil domain-containing protein SCD2 OS=Arabidopsis thaliana GN=SCD2 PE=1 SV=1</t>
  </si>
  <si>
    <t>DEAD-box ATP-dependent RNA helicase ISE2, chloroplastic OS=Arabidopsis thaliana GN=ISE2 PE=1 SV=2</t>
  </si>
  <si>
    <t>N-alpha-acetyltransferase 16, NatA auxiliary subunit OS=Mus musculus GN=Naa16 PE=2 SV=1</t>
  </si>
  <si>
    <t>18.1 kDa class I heat shock protein OS=Arabidopsis thaliana GN=HSP18.1 PE=2 SV=1</t>
  </si>
  <si>
    <t>mRNA-capping enzyme OS=Homo sapiens GN=RNGTT PE=1 SV=1</t>
  </si>
  <si>
    <t>Multiple organellar RNA editing factor 3, mitochondrial OS=Arabidopsis thaliana GN=MORF3 PE=1 SV=1</t>
  </si>
  <si>
    <t>Oligosaccharyltransferase complex subunit OSTC OS=Gallus gallus GN=OSTC PE=2 SV=1</t>
  </si>
  <si>
    <t>Protein PALE CRESS, chloroplastic OS=Arabidopsis thaliana GN=PAC PE=2 SV=1</t>
  </si>
  <si>
    <t>Fatty-acid-binding protein 2 OS=Arabidopsis thaliana GN=FAP2 PE=2 SV=2</t>
  </si>
  <si>
    <t>ADP-ribosylation factor GTPase-activating protein AGD3 OS=Arabidopsis thaliana GN=AGD3 PE=1 SV=1</t>
  </si>
  <si>
    <t>F-box/kelch-repeat protein At1g15670 OS=Arabidopsis thaliana GN=At1g15670 PE=2 SV=1</t>
  </si>
  <si>
    <t>PsbP domain-containing protein 5, chloroplastic OS=Arabidopsis thaliana GN=PPD5 PE=1 SV=3</t>
  </si>
  <si>
    <t>Protein tipD OS=Dictyostelium discoideum GN=tipD PE=3 SV=1</t>
  </si>
  <si>
    <t>Actin-related protein 4 OS=Arabidopsis thaliana GN=ARP4 PE=1 SV=1</t>
  </si>
  <si>
    <t>Protein EIN4 OS=Arabidopsis thaliana GN=EIN4 PE=1 SV=1</t>
  </si>
  <si>
    <t>Alpha-galactosidase OS=Coffea arabica PE=1 SV=1</t>
  </si>
  <si>
    <t>GDSL esterase/lipase At1g09390 OS=Arabidopsis thaliana GN=At1g09390 PE=2 SV=1</t>
  </si>
  <si>
    <t>Sterol 14-demethylase OS=Arabidopsis thaliana GN=CYP51G1 PE=1 SV=1</t>
  </si>
  <si>
    <t>60S ribosomal protein L10 OS=Vitis riparia GN=RPL10 PE=2 SV=1</t>
  </si>
  <si>
    <t>ADP,ATP carrier protein 1, mitochondrial OS=Gossypium hirsutum GN=ANT1 PE=2 SV=1</t>
  </si>
  <si>
    <t>Chaperone protein dnaJ 72 OS=Arabidopsis thaliana GN=ATJ72 PE=2 SV=1</t>
  </si>
  <si>
    <t>50S ribosomal protein L28, chloroplastic OS=Arabidopsis thaliana GN=RPL28 PE=2 SV=2</t>
  </si>
  <si>
    <t>Inactive ubiquitin carboxyl-terminal hydrolase 53 OS=Homo sapiens GN=USP53 PE=2 SV=2</t>
  </si>
  <si>
    <t>LETM1 and EF-hand domain-containing protein 1, mitochondrial OS=Gallus gallus GN=LETM1 PE=2 SV=1</t>
  </si>
  <si>
    <t>Pentatricopeptide repeat-containing protein MRL1, chloroplastic OS=Arabidopsis thaliana GN=MRL1 PE=2 SV=2</t>
  </si>
  <si>
    <t>2-heptyl-3-hydroxy-4(1H)-quinolone synthase OS=Pseudomonas aeruginosa (strain UCBPP-PA14) GN=pqsH PE=1 SV=1</t>
  </si>
  <si>
    <t>Proline--tRNA ligase, cytoplasmic OS=Arabidopsis thaliana GN=At3g62120 PE=2 SV=1</t>
  </si>
  <si>
    <t>Uncharacterized membrane protein sll0875 OS=Synechocystis sp. (strain PCC 6803 / Kazusa) GN=sll0875 PE=3 SV=1</t>
  </si>
  <si>
    <t>Vacuolar protein sorting-associated protein 20 homolog 2 OS=Arabidopsis thaliana GN=VPS20.2 PE=1 SV=1</t>
  </si>
  <si>
    <t>CDPK-related kinase 3 OS=Arabidopsis thaliana GN=CRK3 PE=1 SV=1</t>
  </si>
  <si>
    <t>Probable N-acetyltransferase HLS1 OS=Arabidopsis thaliana GN=HLS1 PE=1 SV=1</t>
  </si>
  <si>
    <t>Probable glucuronoxylan glucuronosyltransferase IRX7 OS=Arabidopsis thaliana GN=IRX7 PE=2 SV=1</t>
  </si>
  <si>
    <t>Pentatricopeptide repeat-containing protein At2g31400, chloroplastic OS=Arabidopsis thaliana GN=At2g31400 PE=2 SV=1</t>
  </si>
  <si>
    <t>Uncharacterized mitochondrial protein AtMg01250 OS=Arabidopsis thaliana GN=AtMg01250 PE=4 SV=1</t>
  </si>
  <si>
    <t>THO complex subunit 2 OS=Arabidopsis thaliana GN=THO2 PE=1 SV=1</t>
  </si>
  <si>
    <t>Structure-specific endonuclease subunit slx1 OS=Schizosaccharomyces japonicus (strain yFS275 / FY16936) GN=slx1 PE=3 SV=1</t>
  </si>
  <si>
    <t>Schizosaccharomyces japonicus</t>
  </si>
  <si>
    <t>Single-stranded DNA-binding protein, mitochondrial OS=Arabidopsis thaliana GN=At4g11060 PE=2 SV=1</t>
  </si>
  <si>
    <t>Putative pterin-4-alpha-carbinolamine dehydratase OS=Microcystis aeruginosa (strain NIES-843) GN=MAE_39970 PE=3 SV=1</t>
  </si>
  <si>
    <t>Microcystis aeruginosa</t>
  </si>
  <si>
    <t>Annexin A5 OS=Cynops pyrrhogaster PE=2 SV=1</t>
  </si>
  <si>
    <t>Cynops pyrrhogaster</t>
  </si>
  <si>
    <t>Rop guanine nucleotide exchange factor 7 OS=Arabidopsis thaliana GN=ROPGEF7 PE=1 SV=1</t>
  </si>
  <si>
    <t>Ribosomal RNA small subunit methyltransferase B OS=Bacillus subtilis (strain 168) GN=rsmB PE=3 SV=2</t>
  </si>
  <si>
    <t>Protein RRNAD1 OS=Bos taurus GN=RRNAD1 PE=2 SV=1</t>
  </si>
  <si>
    <t>Nucleolar GTP-binding protein 1 OS=Encephalitozoon cuniculi (strain GB-M1) GN=NOG1 PE=3 SV=1</t>
  </si>
  <si>
    <t>Probable disease resistance protein At4g33300 OS=Arabidopsis thaliana GN=At4g33300 PE=2 SV=3</t>
  </si>
  <si>
    <t>D-glycerate 3-kinase, chloroplastic OS=Arabidopsis thaliana GN=GLYK PE=1 SV=2</t>
  </si>
  <si>
    <t>DnaJ homolog subfamily B member 8 OS=Homo sapiens GN=DNAJB8 PE=1 SV=1</t>
  </si>
  <si>
    <t>DNL-type zinc finger protein OS=Homo sapiens GN=DNLZ PE=1 SV=1</t>
  </si>
  <si>
    <t>DNA excision repair protein ERCC-1 OS=Arabidopsis thaliana GN=ERCC1 PE=2 SV=1</t>
  </si>
  <si>
    <t>Dynamin-related protein 12A OS=Glycine max PE=1 SV=1</t>
  </si>
  <si>
    <t>3-deoxy-manno-octulosonate cytidylyltransferase, mitochondrial OS=Arabidopsis thaliana GN=KDSB PE=1 SV=1</t>
  </si>
  <si>
    <t>Protein PHLOEM PROTEIN 2-LIKE A1 OS=Arabidopsis thaliana GN=PP2A1 PE=2 SV=1</t>
  </si>
  <si>
    <t>Nicastrin OS=Arabidopsis thaliana GN=At3g52640/At3g52650 PE=2 SV=1</t>
  </si>
  <si>
    <t>Stomatal closure-related actin-binding protein 2 OS=Arabidopsis thaliana GN=SCAB2 PE=2 SV=1</t>
  </si>
  <si>
    <t>Autophagy protein 5 OS=Arabidopsis thaliana GN=ATG5 PE=2 SV=1</t>
  </si>
  <si>
    <t>Transmembrane emp24 domain-containing protein p24delta9 OS=Arabidopsis thaliana GN=At1g26690 PE=2 SV=1</t>
  </si>
  <si>
    <t>Protein NETWORKED 1D OS=Arabidopsis thaliana GN=NET1D PE=3 SV=1</t>
  </si>
  <si>
    <t>Zinc finger protein CONSTANS-LIKE 9 OS=Arabidopsis thaliana GN=COL9 PE=2 SV=1</t>
  </si>
  <si>
    <t>WD repeat-containing protein 43 OS=Homo sapiens GN=WDR43 PE=1 SV=3</t>
  </si>
  <si>
    <t>Probable monodehydroascorbate reductase, cytoplasmic isoform 2 OS=Arabidopsis thaliana GN=At3g27820 PE=2 SV=1</t>
  </si>
  <si>
    <t>Auxin response factor 6 OS=Arabidopsis thaliana GN=ARF6 PE=1 SV=2</t>
  </si>
  <si>
    <t>N-alpha-acetyltransferase 35, NatC auxiliary subunit OS=Pongo abelii GN=NAA35 PE=2 SV=1</t>
  </si>
  <si>
    <t>Fanconi-associated nuclease 1 homolog OS=Arabidopsis thaliana GN=At1g48360 PE=2 SV=2</t>
  </si>
  <si>
    <t>Putative E3 ubiquitin-protein ligase LIN-2 OS=Lotus japonicus GN=LIN PE=1 SV=1</t>
  </si>
  <si>
    <t>Protein indeterminate-domain 2 OS=Arabidopsis thaliana GN=idD2 PE=2 SV=1</t>
  </si>
  <si>
    <t>CCR4-NOT transcription complex subunit 11 OS=Homo sapiens GN=CNOT11 PE=1 SV=1</t>
  </si>
  <si>
    <t>26S protease regulatory subunit 8 homolog A OS=Arabidopsis thaliana GN=RPT6A PE=1 SV=1</t>
  </si>
  <si>
    <t>Phosphatidylinositol:ceramide inositolphosphotransferase OS=Oryza sativa subsp. japonica GN=ERH1 PE=2 SV=1</t>
  </si>
  <si>
    <t>(DL)-glycerol-3-phosphatase 2 OS=Arabidopsis thaliana GN=GPP2 PE=1 SV=1</t>
  </si>
  <si>
    <t>Succinyl-CoA ligase [ADP-forming] subunit beta, mitochondrial OS=Arabidopsis thaliana GN=At2g20420 PE=1 SV=1</t>
  </si>
  <si>
    <t>Probable methyltransferase PMT21 OS=Arabidopsis thaliana GN=ERD3 PE=2 SV=1</t>
  </si>
  <si>
    <t>COP9 signalosome complex subunit 7 OS=Arabidopsis thaliana GN=CSN7 PE=1 SV=1</t>
  </si>
  <si>
    <t>CRC domain-containing protein TSO1 OS=Arabidopsis thaliana GN=TSO1 PE=1 SV=1</t>
  </si>
  <si>
    <t>FAS1 domain-containing protein SELMODRAFT_448915 OS=Selaginella moellendorffii GN=SELMODRAFT_448915 PE=2 SV=1</t>
  </si>
  <si>
    <t>Probable WRKY transcription factor 13 OS=Arabidopsis thaliana GN=WRKY13 PE=2 SV=1</t>
  </si>
  <si>
    <t>Chaperone protein ClpB4, mitochondrial OS=Arabidopsis thaliana GN=CLPB4 PE=2 SV=1</t>
  </si>
  <si>
    <t>LOB domain-containing protein 21 OS=Arabidopsis thaliana GN=LBD21 PE=2 SV=1</t>
  </si>
  <si>
    <t>Protein RALF-like 34 OS=Arabidopsis thaliana GN=RALFL34 PE=2 SV=1</t>
  </si>
  <si>
    <t>Dipeptidyl peptidase 2 OS=Rattus norvegicus GN=Dpp7 PE=1 SV=1</t>
  </si>
  <si>
    <t>Uncharacterized protein At4g30180 OS=Arabidopsis thaliana GN=At4g30180 PE=2 SV=1</t>
  </si>
  <si>
    <t>BTB/POZ domain-containing protein NPY1 OS=Arabidopsis thaliana GN=NPY1 PE=2 SV=1</t>
  </si>
  <si>
    <t>Phosphomannomutase OS=Arabidopsis thaliana GN=PMM PE=1 SV=1</t>
  </si>
  <si>
    <t>Beta-glucosidase 44 OS=Arabidopsis thaliana GN=BGLU44 PE=2 SV=1</t>
  </si>
  <si>
    <t>AP2-like ethylene-responsive transcription factor ANT OS=Arabidopsis thaliana GN=ANT PE=1 SV=2</t>
  </si>
  <si>
    <t>High mobility group B protein 7 OS=Arabidopsis thaliana GN=HMGB7 PE=1 SV=1</t>
  </si>
  <si>
    <t>Vesicle-associated membrane protein 712 OS=Arabidopsis thaliana GN=VAMP712 PE=3 SV=1</t>
  </si>
  <si>
    <t>Ubiquitin-conjugating enzyme E2 19 OS=Arabidopsis thaliana GN=UBC19 PE=1 SV=1</t>
  </si>
  <si>
    <t>Histone H3.2 OS=Lilium longiflorum GN=YAH3 PE=1 SV=3</t>
  </si>
  <si>
    <t>Cytochrome P450 84A1 OS=Arabidopsis thaliana GN=CYP84A1 PE=1 SV=1</t>
  </si>
  <si>
    <t>Protein bicaudal C homolog 1-B OS=Xenopus laevis GN=bicc1-b PE=2 SV=1</t>
  </si>
  <si>
    <t>Selenium-binding protein 2 OS=Arabidopsis thaliana GN=SBP2 PE=1 SV=1</t>
  </si>
  <si>
    <t>BTB/POZ domain-containing protein At3g03510 OS=Arabidopsis thaliana GN=At3g03510 PE=2 SV=2</t>
  </si>
  <si>
    <t>Pre-mRNA-splicing factor SLU7-A OS=Arabidopsis thaliana GN=At1g65660 PE=1 SV=2</t>
  </si>
  <si>
    <t>Ubiquitin-conjugating enzyme E2 2 OS=Medicago sativa GN=UBC2 PE=2 SV=1</t>
  </si>
  <si>
    <t>Uncharacterized protein At3g49720 OS=Arabidopsis thaliana GN=At3g49720 PE=2 SV=1</t>
  </si>
  <si>
    <t>CCR4-NOT transcription complex subunit 4 OS=Homo sapiens GN=CNOT4 PE=1 SV=3</t>
  </si>
  <si>
    <t>26S proteasome non-ATPase regulatory subunit 11 homolog OS=Arabidopsis thaliana GN=RPN6 PE=1 SV=1</t>
  </si>
  <si>
    <t>Outer envelope pore protein 16, chloroplastic OS=Pisum sativum GN=OEP16 PE=1 SV=1</t>
  </si>
  <si>
    <t>60S ribosomal protein L13a-4 OS=Arabidopsis thaliana GN=RPL13AD PE=2 SV=1</t>
  </si>
  <si>
    <t>Calcium-binding protein 39 OS=Homo sapiens GN=CAB39 PE=1 SV=1</t>
  </si>
  <si>
    <t>Ubiquitin and WLM domain-containing metalloprotease SPCC1442.07c OS=Schizosaccharomyces pombe (strain 972 / ATCC 24843) GN=SPCC1442.07c PE=3 SV=1</t>
  </si>
  <si>
    <t>E3 ubiquitin-protein ligase CHIP OS=Arabidopsis thaliana GN=CHIP PE=1 SV=1</t>
  </si>
  <si>
    <t>Sister chromatid cohesion protein PDS5 homolog B OS=Gallus gallus GN=PDS5B PE=2 SV=3</t>
  </si>
  <si>
    <t>Heat shock protein 82 (Fragment) OS=Nicotiana tabacum GN=HSP82 PE=2 SV=1</t>
  </si>
  <si>
    <t>Histone-lysine N-methyltransferase setd3 OS=Homo sapiens GN=SETD3 PE=1 SV=1</t>
  </si>
  <si>
    <t>Protein FATTY ACid EXPORT 5 OS=Arabidopsis thaliana GN=FAX5 PE=3 SV=1</t>
  </si>
  <si>
    <t>Histone H4 OS=Aspergillus oryzae (strain ATCC 42149 / RIB 40) GN=hhfA PE=3 SV=3</t>
  </si>
  <si>
    <t>Diacylglycerol kinase 5 OS=Arabidopsis thaliana GN=DGK5 PE=2 SV=1</t>
  </si>
  <si>
    <t>Cytochrome P450 76A1 (Fragment) OS=Solanum melongena GN=CYP76A1 PE=2 SV=1</t>
  </si>
  <si>
    <t>Solanum melongena</t>
  </si>
  <si>
    <t>E3 ubiquitin-protein ligase RGLG1 OS=Arabidopsis thaliana GN=RGLG1 PE=1 SV=1</t>
  </si>
  <si>
    <t>Uncharacterized transporter C11D3.18C OS=Schizosaccharomyces pombe (strain 972 / ATCC 24843) GN=SPAC11D3.18c PE=3 SV=1</t>
  </si>
  <si>
    <t>Carboxy-terminal domain RNA polymerase II polypeptide A small phosphatase 1 OS=Mus musculus GN=Ctdsp1 PE=1 SV=1</t>
  </si>
  <si>
    <t>COBRA-like protein 10 OS=Arabidopsis thaliana GN=COBL10 PE=2 SV=1</t>
  </si>
  <si>
    <t>Tetratricopeptide repeat protein 27 homolog OS=Dictyostelium discoideum GN=ttc27 PE=3 SV=1</t>
  </si>
  <si>
    <t>Probable xyloglucan endotransglucosylase/hydrolase protein 16 OS=Arabidopsis thaliana GN=XTH16 PE=2 SV=2</t>
  </si>
  <si>
    <t>Inositol phosphorylceramide glucuronosyltransferase 1 OS=Arabidopsis thaliana GN=IPUT1 PE=1 SV=1</t>
  </si>
  <si>
    <t>NADH dehydrogenase [ubiquinone] 1 beta subcomplex subunit 8, mitochondrial OS=Arabidopsis thaliana GN=At5g47570 PE=2 SV=1</t>
  </si>
  <si>
    <t>Transcription factor bHLH111 OS=Arabidopsis thaliana GN=BHLH111 PE=2 SV=1</t>
  </si>
  <si>
    <t>Ethylene-responsive transcription factor ERF019 OS=Arabidopsis thaliana GN=ERF019 PE=2 SV=1</t>
  </si>
  <si>
    <t>Alpha-L-arabinofuranosidase 1 OS=Arabidopsis thaliana GN=ASD1 PE=1 SV=1</t>
  </si>
  <si>
    <t>Phosphatidylinositol:ceramide inositolphosphotransferase 1 OS=Arabidopsis thaliana GN=IPCS1 PE=2 SV=1</t>
  </si>
  <si>
    <t>Receptor-like protein kinase OS=Ipomoea nil GN=INRPK1 PE=2 SV=2</t>
  </si>
  <si>
    <t>Phosphatidylinositol-3-phosphatase myotubularin-1 OS=Arabidopsis thaliana GN=MTM1 PE=1 SV=1</t>
  </si>
  <si>
    <t>Short-chain dehydrogenase reductase 2a OS=Arabidopsis thaliana GN=SDR2a PE=3 SV=1</t>
  </si>
  <si>
    <t>Peroxidase N OS=Armoracia rusticana GN=HRPN PE=2 SV=1</t>
  </si>
  <si>
    <t>Late embryogenesis abundant protein D-29 OS=Gossypium hirsutum PE=3 SV=1</t>
  </si>
  <si>
    <t>RING-H2 finger protein ATL13 OS=Arabidopsis thaliana GN=ATL13 PE=2 SV=2</t>
  </si>
  <si>
    <t>Protein CHROMATIN REMODELING 25 OS=Arabidopsis thaliana GN=CHR25 PE=1 SV=1</t>
  </si>
  <si>
    <t>Sugar carrier protein C OS=Ricinus communis GN=STC PE=2 SV=1</t>
  </si>
  <si>
    <t>Probable rRNA-processing protein EBP2 homolog OS=Arabidopsis thaliana GN=At3g22660 PE=2 SV=1</t>
  </si>
  <si>
    <t>Probable dual-specificity RNA methyltransferase RlmN OS=Acaryochloris marina (strain MBIC 11017) GN=rlmN PE=3 SV=1</t>
  </si>
  <si>
    <t>Acaryochloris marina</t>
  </si>
  <si>
    <t>FHA domain-containing protein DDL OS=Arabidopsis thaliana GN=DDL PE=1 SV=1</t>
  </si>
  <si>
    <t>Putative DUF21 domain-containing protein At3g13070, chloroplastic OS=Arabidopsis thaliana GN=CBSDUFCH1 PE=3 SV=1</t>
  </si>
  <si>
    <t>Proteinaceous RNase P 2 OS=Arabidopsis thaliana GN=PRORP2 PE=1 SV=1</t>
  </si>
  <si>
    <t>Protein TIFY 6B OS=Arabidopsis thaliana GN=TIFY6B PE=1 SV=1</t>
  </si>
  <si>
    <t>Ribose-phosphate pyrophosphokinase 4 OS=Spinacia oleracea GN=PRS4 PE=2 SV=1</t>
  </si>
  <si>
    <t>UPF0678 fatty acid-binding protein-like protein At1g79260 OS=Arabidopsis thaliana GN=At1g79260 PE=1 SV=1</t>
  </si>
  <si>
    <t>Serine/threonine-protein kinase UCNL OS=Arabidopsis thaliana GN=UCNL PE=2 SV=1</t>
  </si>
  <si>
    <t>DNA topoisomerase 6 subunit B OS=Arabidopsis thaliana GN=TOP6B PE=1 SV=1</t>
  </si>
  <si>
    <t>Protein DEHYDRATION-INDUCED 19 OS=Oryza sativa subsp. japonica GN=DI19-1 PE=2 SV=1</t>
  </si>
  <si>
    <t>Putative pentatricopeptide repeat-containing protein At1g03510 OS=Arabidopsis thaliana GN=PCMP-E3 PE=3 SV=1</t>
  </si>
  <si>
    <t>Ergosterol biosynthetic protein 28 OS=Arabidopsis thaliana GN=At1g10030 PE=2 SV=2</t>
  </si>
  <si>
    <t>Pre-mRNA-processing factor 19 OS=Oryza sativa subsp. japonica GN=PRP19 PE=2 SV=1</t>
  </si>
  <si>
    <t>Protein ABIL2 OS=Arabidopsis thaliana GN=ABIL2 PE=2 SV=1</t>
  </si>
  <si>
    <t>Pentatricopeptide repeat-containing protein At4g36680, mitochondrial OS=Arabidopsis thaliana GN=At4g36680 PE=2 SV=1</t>
  </si>
  <si>
    <t>Probable thiamine biosynthetic bifunctional enzyme, chloroplastic OS=Oryza sativa subsp. japonica GN=Os12g0192500 PE=2 SV=2</t>
  </si>
  <si>
    <t>Replication protein 1a OS=Alfalfa mosaic virus (strain 425 / isolate Leiden) GN=ORF1a PE=3 SV=1</t>
  </si>
  <si>
    <t>Sphingoid long-chain bases kinase 1 OS=Arabidopsis thaliana GN=LCBK1 PE=1 SV=1</t>
  </si>
  <si>
    <t>Transcription factor bHLH48 OS=Arabidopsis thaliana GN=BHLH48 PE=2 SV=1</t>
  </si>
  <si>
    <t>WEB family protein At2g38370 OS=Arabidopsis thaliana GN=At2g38370 PE=2 SV=1</t>
  </si>
  <si>
    <t>Transmembrane protein 184A OS=Homo sapiens GN=TMEM184A PE=2 SV=1</t>
  </si>
  <si>
    <t>Transcription elongation factor SPT4 homolog 1 OS=Arabidopsis thaliana GN=At5g08565 PE=2 SV=3</t>
  </si>
  <si>
    <t>Nucleobase-ascorbate transporter 12 OS=Arabidopsis thaliana GN=NAT12 PE=1 SV=3</t>
  </si>
  <si>
    <t>DNA-3-methyladenine glycosylase 1 OS=Schizosaccharomyces pombe (strain 972 / ATCC 24843) GN=mag1 PE=1 SV=1</t>
  </si>
  <si>
    <t>Protein translation factor SUI1 homolog OS=Salix bakko PE=3 SV=1</t>
  </si>
  <si>
    <t>Salix bakko</t>
  </si>
  <si>
    <t>Myosin-17 OS=Arabidopsis thaliana GN=XI-K PE=1 SV=2</t>
  </si>
  <si>
    <t>Putative pentatricopeptide repeat-containing protein At3g47840 OS=Arabidopsis thaliana GN=PCMP-E43 PE=3 SV=1</t>
  </si>
  <si>
    <t>Zinc finger CCCH domain-containing protein 45 OS=Oryza sativa subsp. japonica GN=Os06g0677700 PE=3 SV=1</t>
  </si>
  <si>
    <t>Ethylene-responsive transcription factor 3 OS=Nicotiana tabacum GN=ERF3 PE=2 SV=1</t>
  </si>
  <si>
    <t>26S proteasome regulatory subunit RPN13 OS=Arabidopsis thaliana GN=RPN13 PE=1 SV=2</t>
  </si>
  <si>
    <t>Peroxisomal membrane protein 11A OS=Arabidopsis thaliana GN=PEX11A PE=1 SV=1</t>
  </si>
  <si>
    <t>Probable ribose-5-phosphate isomerase 3, chloroplastic OS=Arabidopsis thaliana GN=RPI3 PE=1 SV=1</t>
  </si>
  <si>
    <t>Pentatricopeptide repeat-containing protein At1g73710 OS=Arabidopsis thaliana GN=At1g73710 PE=2 SV=1</t>
  </si>
  <si>
    <t>Cyclin-P3-1 OS=Oryza sativa subsp. japonica GN=CYCP3-1 PE=3 SV=1</t>
  </si>
  <si>
    <t>Preprotein translocase subunit SCY2, chloroplastic OS=Arabidopsis thaliana GN=SCY2 PE=2 SV=1</t>
  </si>
  <si>
    <t>Alkaline phosphatase D OS=Bacillus subtilis (strain 168) GN=phoD PE=1 SV=3</t>
  </si>
  <si>
    <t>Serine/threonine protein phosphatase 2A regulatory subunit B''beta OS=Arabidopsis thaliana GN=B''BETA PE=1 SV=1</t>
  </si>
  <si>
    <t>Probable LRR receptor-like serine/threonine-protein kinase At1g74360 OS=Arabidopsis thaliana GN=At1g74360 PE=2 SV=1</t>
  </si>
  <si>
    <t>Vacuolar protein sorting-associated protein 35A OS=Arabidopsis thaliana GN=VPS35A PE=1 SV=1</t>
  </si>
  <si>
    <t>Mechanosensitive ion channel protein 6 OS=Arabidopsis thaliana GN=MSL6 PE=1 SV=1</t>
  </si>
  <si>
    <t>F-box protein 7 OS=Arabidopsis thaliana GN=SKIP32 PE=1 SV=1</t>
  </si>
  <si>
    <t>WPP domain-interacting tail-anchored protein 2 OS=Arabidopsis thaliana GN=WIT2 PE=1 SV=1</t>
  </si>
  <si>
    <t>Myb-related protein 305 OS=Antirrhinum majus GN=MYB305 PE=2 SV=1</t>
  </si>
  <si>
    <t>Xylulose kinase OS=Mus musculus GN=Xylb PE=2 SV=1</t>
  </si>
  <si>
    <t>Protein OBERON 4 OS=Arabidopsis thaliana GN=OBE4 PE=1 SV=2</t>
  </si>
  <si>
    <t>Scarecrow-like protein 23 OS=Arabidopsis thaliana GN=SCL23 PE=1 SV=1</t>
  </si>
  <si>
    <t>UDP-glycosyltransferase 90A1 OS=Arabidopsis thaliana GN=UGT90A1 PE=2 SV=1</t>
  </si>
  <si>
    <t>PTI1-like tyrosine-protein kinase 3 OS=Arabidopsis thaliana GN=PTI13 PE=1 SV=1</t>
  </si>
  <si>
    <t>E3 ubiquitin-protein ligase RHA1B OS=Arabidopsis thaliana GN=RHA1B PE=2 SV=1</t>
  </si>
  <si>
    <t>Leucoanthocyanidin dioxygenase OS=Malus domestica GN=ANS PE=2 SV=1</t>
  </si>
  <si>
    <t>Putative pumilio homolog 7, chloroplastic OS=Arabidopsis thaliana GN=APUM7 PE=3 SV=2</t>
  </si>
  <si>
    <t>Probable aminotransferase ACS10 OS=Arabidopsis thaliana GN=ACS10 PE=1 SV=1</t>
  </si>
  <si>
    <t>Senescence-associated carboxylesterase 101 OS=Arabidopsis thaliana GN=SAG101 PE=1 SV=1</t>
  </si>
  <si>
    <t>Protein GPR107 OS=Mus musculus GN=Gpr107 PE=2 SV=2</t>
  </si>
  <si>
    <t>Histone H3-like centromeric protein HTR12 OS=Arabidopsis thaliana GN=HTR12 PE=1 SV=3</t>
  </si>
  <si>
    <t>Surfeit locus protein 1 OS=Arabidopsis thaliana GN=SURF1 PE=2 SV=1</t>
  </si>
  <si>
    <t>Uncharacterized protein At5g49945 OS=Arabidopsis thaliana GN=At5g49945 PE=2 SV=1</t>
  </si>
  <si>
    <t>Transcription initiation factor TFIid subunit 13 OS=Arabidopsis thaliana GN=TAF13 PE=1 SV=1</t>
  </si>
  <si>
    <t>Histone-lysine N-methyltransferase SUVR5 OS=Arabidopsis thaliana GN=SUVR5 PE=1 SV=3</t>
  </si>
  <si>
    <t>NAD(P)H-quinone oxidoreductase subunit S, chloroplastic OS=Arabidopsis thaliana GN=ndhS PE=1 SV=1</t>
  </si>
  <si>
    <t>Pectinesterase/pectinesterase inhibitor PPE8B OS=Prunus persica PE=2 SV=1</t>
  </si>
  <si>
    <t>Dolichol kinase OS=Homo sapiens GN=DOLK PE=1 SV=1</t>
  </si>
  <si>
    <t>Chloride conductance regulatory protein ICln OS=Arabidopsis thaliana GN=At5g62290 PE=2 SV=1</t>
  </si>
  <si>
    <t>Transmembrane protein 136 OS=Homo sapiens GN=TMEM136 PE=2 SV=2</t>
  </si>
  <si>
    <t>3-hydroxyisobutyryl-CoA hydrolase-like protein 3, mitochondrial OS=Arabidopsis thaliana GN=At4g13360 PE=2 SV=2</t>
  </si>
  <si>
    <t>Polycomb group protein EMBRYONIC FLOWER 2 OS=Arabidopsis thaliana GN=EMF2 PE=1 SV=2</t>
  </si>
  <si>
    <t>Probable protein ABIL5 OS=Oryza sativa subsp. japonica GN=Os01g0760900 PE=2 SV=1</t>
  </si>
  <si>
    <t>Bifunctional epoxide hydrolase 2 OS=Rattus norvegicus GN=Ephx2 PE=1 SV=1</t>
  </si>
  <si>
    <t>Probable pyridoxal 5'-phosphate synthase subunit PDX2 OS=Arabidopsis thaliana GN=PDX2 PE=1 SV=1</t>
  </si>
  <si>
    <t>Mediator of RNA polymerase II transcription subunit 34 OS=Arabidopsis thaliana GN=MED34 PE=1 SV=1</t>
  </si>
  <si>
    <t>RNA-binding protein 25 OS=Homo sapiens GN=RBM25 PE=1 SV=3</t>
  </si>
  <si>
    <t>Methylesterase 17 OS=Arabidopsis thaliana GN=MES17 PE=1 SV=1</t>
  </si>
  <si>
    <t>DNA mismatch repair protein MLH1 OS=Arabidopsis thaliana GN=MLH1 PE=2 SV=1</t>
  </si>
  <si>
    <t>ALA-interacting subunit 3 OS=Arabidopsis thaliana GN=ALIS3 PE=1 SV=1</t>
  </si>
  <si>
    <t>Glutamate dehydrogenase 1 OS=Arabidopsis thaliana GN=GDH1 PE=2 SV=1</t>
  </si>
  <si>
    <t>Phosphoribosylaminoimidazole carboxylase, chloroplastic (Fragment) OS=Vigna aconitifolia GN=PURKE PE=2 SV=1</t>
  </si>
  <si>
    <t>Phospholipase A-2-activating protein OS=Homo sapiens GN=PLAA PE=1 SV=2</t>
  </si>
  <si>
    <t>3-methyl-2-oxobutanoate hydroxymethyltransferase 2, mitochondrial OS=Arabidopsis thaliana GN=KPHMT2 PE=1 SV=1</t>
  </si>
  <si>
    <t>Tetratricopeptide repeat protein 33 OS=Homo sapiens GN=TTC33 PE=1 SV=2</t>
  </si>
  <si>
    <t>Putative DNA glycosylase At3g47830 OS=Arabidopsis thaliana GN=At3g47830 PE=3 SV=1</t>
  </si>
  <si>
    <t>Ethylene-responsive transcription factor ERF011 OS=Arabidopsis thaliana GN=ERF011 PE=2 SV=1</t>
  </si>
  <si>
    <t>Monogalactosyldiacylglycerol synthase 2, chloroplastic OS=Arabidopsis thaliana GN=MGD2 PE=1 SV=1</t>
  </si>
  <si>
    <t>Probable inactive tRNA-specific adenosine deaminase-like protein 3 OS=Mus musculus GN=Adat3 PE=2 SV=1</t>
  </si>
  <si>
    <t>Mitochondrial import inner membrane translocase subunit TIM50 OS=Arabidopsis thaliana GN=TIM50 PE=1 SV=1</t>
  </si>
  <si>
    <t>Putative methyltransferase At1g22800 OS=Arabidopsis thaliana GN=At1g22800 PE=2 SV=2</t>
  </si>
  <si>
    <t>Lysine-specific demethylase JMJ703 OS=Oryza sativa subsp. japonica GN=JMJ703 PE=1 SV=1</t>
  </si>
  <si>
    <t>Thymidylate kinase OS=Homo sapiens GN=DTYMK PE=1 SV=4</t>
  </si>
  <si>
    <t>Serine/threonine-protein kinase AGC1-5 OS=Arabidopsis thaliana GN=AGC1-5 PE=1 SV=1</t>
  </si>
  <si>
    <t>Periodic tryptophan protein 2 OS=Saccharomyces cerevisiae (strain ATCC 204508 / S288c) GN=PWP2 PE=1 SV=2</t>
  </si>
  <si>
    <t>Beta-(1,2)-xylosyltransferase OS=Arabidopsis thaliana GN=XYLT PE=1 SV=1</t>
  </si>
  <si>
    <t>Sanguinarine reductase OS=Eschscholzia californica GN=SARED1 PE=1 SV=1</t>
  </si>
  <si>
    <t>Eschscholzia californica</t>
  </si>
  <si>
    <t>U11/U12 small nuclear ribonucleoprotein 59 kDa protein OS=Arabidopsis thaliana GN=SNRNP59 PE=2 SV=1</t>
  </si>
  <si>
    <t>Bet1-like protein At4g14600 OS=Arabidopsis thaliana GN=At4g14600 PE=2 SV=1</t>
  </si>
  <si>
    <t>ABC transporter I family member 20 OS=Arabidopsis thaliana GN=ABCI20 PE=2 SV=1</t>
  </si>
  <si>
    <t>Protein FAR-RED IMPAIRED RESPONSE 1 OS=Arabidopsis thaliana GN=FAR1 PE=1 SV=1</t>
  </si>
  <si>
    <t>Protein bem46 OS=Schizosaccharomyces pombe (strain 972 / ATCC 24843) GN=bem46 PE=2 SV=3</t>
  </si>
  <si>
    <t>Regulator of telomere elongation helicase 1 OS=Danio rerio GN=rtel1 PE=3 SV=1</t>
  </si>
  <si>
    <t>Abrin-d OS=Abrus precatorius PE=2 SV=1</t>
  </si>
  <si>
    <t>Protein SULFUR DEFICIENCY-INDUCED 1 OS=Arabidopsis thaliana GN=SDI1 PE=2 SV=1</t>
  </si>
  <si>
    <t>Formamidopyrimidine-DNA glycosylase OS=Arabidopsis thaliana GN=FPG1 PE=1 SV=1</t>
  </si>
  <si>
    <t>Zinc finger CCCH domain-containing protein 3 OS=Arabidopsis thaliana GN=At1g04990 PE=2 SV=1</t>
  </si>
  <si>
    <t>60S ribosomal protein L14-2 OS=Arabidopsis thaliana GN=RPL14B PE=2 SV=1</t>
  </si>
  <si>
    <t>60S acidic ribosomal protein P3-2 OS=Arabidopsis thaliana GN=RPP3B PE=2 SV=1</t>
  </si>
  <si>
    <t>60S ribosomal protein L28-1 OS=Arabidopsis thaliana GN=RPL28A PE=2 SV=1</t>
  </si>
  <si>
    <t>Growth-regulating factor 5 OS=Arabidopsis thaliana GN=GRF5 PE=1 SV=1</t>
  </si>
  <si>
    <t>Abnormal spindle-like microcephaly-associated protein homolog OS=Colobus guereza GN=ASPM PE=3 SV=1</t>
  </si>
  <si>
    <t>Colobus guereza</t>
  </si>
  <si>
    <t>F-box protein At1g10780 OS=Arabidopsis thaliana GN=At1g10780 PE=2 SV=1</t>
  </si>
  <si>
    <t>BAHD acyltransferase DCR OS=Arabidopsis thaliana GN=DCR PE=2 SV=1</t>
  </si>
  <si>
    <t>Zinc finger protein 593 OS=Xenopus tropicalis GN=znf593 PE=2 SV=1</t>
  </si>
  <si>
    <t>Flavonol synthase/flavanone 3-hydroxylase OS=Malus domestica GN=FLS PE=2 SV=1</t>
  </si>
  <si>
    <t>NADH dehydrogenase [ubiquinone] iron-sulfur protein 1, mitochondrial OS=Solanum tuberosum PE=2 SV=1</t>
  </si>
  <si>
    <t>BTB/POZ domain-containing protein At3g49900 OS=Arabidopsis thaliana GN=At3g49900 PE=2 SV=1</t>
  </si>
  <si>
    <t>G patch domain-containing protein 8 OS=Mus musculus GN=Gpatch8 PE=1 SV=1</t>
  </si>
  <si>
    <t>Expansin-A3 OS=Arabidopsis thaliana GN=EXPA3 PE=2 SV=1</t>
  </si>
  <si>
    <t>Glutaredoxin-C4 OS=Arabidopsis thaliana GN=GRXC4 PE=2 SV=2</t>
  </si>
  <si>
    <t>Mitotic spindle checkpoint protein MAD2 OS=Arabidopsis thaliana GN=MAD2 PE=1 SV=1</t>
  </si>
  <si>
    <t>EPidERMAL PATTERNING FACTOR-like protein 8 OS=Arabidopsis thaliana GN=EPFL8 PE=1 SV=1</t>
  </si>
  <si>
    <t>Vacuolar protein sorting-associated protein 26B OS=Arabidopsis thaliana GN=VPS26B PE=2 SV=2</t>
  </si>
  <si>
    <t>Cellulose synthase-like protein D3 OS=Arabidopsis thaliana GN=CSLD3 PE=1 SV=1</t>
  </si>
  <si>
    <t>Oxysterol-binding protein-related protein 3A OS=Arabidopsis thaliana GN=ORP3A PE=1 SV=1</t>
  </si>
  <si>
    <t>Protein root UVB sensitive 5 OS=Arabidopsis thaliana GN=RUS5 PE=2 SV=1</t>
  </si>
  <si>
    <t>LIMR family protein At5g01460 OS=Arabidopsis thaliana GN=At5g01460 PE=2 SV=1</t>
  </si>
  <si>
    <t>RNA pseudouridine synthase 6, chloroplastic OS=Arabidopsis thaliana GN=At4g21770 PE=2 SV=1</t>
  </si>
  <si>
    <t>Disease resistance protein RLM3 OS=Arabidopsis thaliana GN=RLM3 PE=2 SV=1</t>
  </si>
  <si>
    <t>Protein HIRA OS=Oryza sativa subsp. japonica GN=Os09g0567700 PE=2 SV=1</t>
  </si>
  <si>
    <t>Uncharacterized protein At4g37920, chloroplastic OS=Arabidopsis thaliana GN=At4g37920 PE=1 SV=2</t>
  </si>
  <si>
    <t>Exopolygalacturonase (Fragment) OS=Oenothera organensis PE=2 SV=1</t>
  </si>
  <si>
    <t>Oenothera organensis</t>
  </si>
  <si>
    <t>DNA repair protein rhp7 OS=Schizosaccharomyces pombe (strain 972 / ATCC 24843) GN=rhp7 PE=3 SV=1</t>
  </si>
  <si>
    <t>Peptidyl-tRNA hydrolase, mitochondrial OS=Arabidopsis thaliana GN=At5g19830 PE=2 SV=1</t>
  </si>
  <si>
    <t>Transcription factor MYB59 OS=Arabidopsis thaliana GN=MYB59 PE=2 SV=2</t>
  </si>
  <si>
    <t>GDSL esterase/lipase At3g05180 OS=Arabidopsis thaliana GN=At3g05180 PE=2 SV=1</t>
  </si>
  <si>
    <t>Probable magnesium transporter NIPA6 OS=Arabidopsis thaliana GN=At2g21120 PE=2 SV=1</t>
  </si>
  <si>
    <t>Peroxidase 64 OS=Arabidopsis thaliana GN=PER64 PE=1 SV=1</t>
  </si>
  <si>
    <t>14-3-3 protein 6 OS=Solanum lycopersicum GN=TFT6 PE=2 SV=2</t>
  </si>
  <si>
    <t>Probable RNA-binding protein 19 OS=Homo sapiens GN=RBM19 PE=1 SV=3</t>
  </si>
  <si>
    <t>Calcium/calmodulin-dependent serine/threonine-protein kinase OS=Malus domestica PE=2 SV=1</t>
  </si>
  <si>
    <t>DNA repair protein recA homolog 1, chloroplastic OS=Arabidopsis thaliana GN=RECA PE=2 SV=1</t>
  </si>
  <si>
    <t>SNW/SKI-interacting protein OS=Arabidopsis thaliana GN=SKIP PE=1 SV=1</t>
  </si>
  <si>
    <t>Transcription factor HBP-1b(c38) OS=Triticum aestivum PE=2 SV=1</t>
  </si>
  <si>
    <t>11-beta-hydroxysteroid dehydrogenase 1B OS=Arabidopsis thaliana GN=HSD1 PE=1 SV=1</t>
  </si>
  <si>
    <t>Mitogen-activated protein kinase homolog NTF3 OS=Nicotiana tabacum GN=NTF3 PE=1 SV=1</t>
  </si>
  <si>
    <t>ER lumen protein-retaining receptor OS=Petunia hybrida GN=ERD2 PE=2 SV=1</t>
  </si>
  <si>
    <t>Uroporphyrinogen decarboxylase, chloroplastic OS=Nicotiana tabacum GN=DCUP PE=1 SV=1</t>
  </si>
  <si>
    <t>ATP-dependent RNA helicase eIF4A OS=Magnaporthe oryzae (strain 70-15 / ATCC MYA-4617 / FGSC 8958) GN=TIF1 PE=3 SV=1</t>
  </si>
  <si>
    <t>Double-stranded RNA-binding protein 4 OS=Arabidopsis thaliana GN=DBR4 PE=1 SV=1</t>
  </si>
  <si>
    <t>Zeta-carotene desaturase, chloroplastic/chromoplastic OS=Capsicum annuum GN=ZDS PE=1 SV=1</t>
  </si>
  <si>
    <t>KH domain-containing protein At4g26480 OS=Arabidopsis thaliana GN=At4g26480 PE=2 SV=1</t>
  </si>
  <si>
    <t>Phototropin-1 OS=Arabidopsis thaliana GN=PHOT1 PE=1 SV=1</t>
  </si>
  <si>
    <t>Polyadenylate-binding protein-interacting protein 7 OS=Arabidopsis thaliana GN=Cid7 PE=1 SV=1</t>
  </si>
  <si>
    <t>Transcription termination factor 2 OS=Homo sapiens GN=TTF2 PE=1 SV=2</t>
  </si>
  <si>
    <t>Signal recognition particle receptor subunit beta OS=Dictyostelium discoideum GN=srprb PE=3 SV=1</t>
  </si>
  <si>
    <t>Cannabidiolic acid synthase OS=Cannabis sativa GN=CBDAS PE=1 SV=1</t>
  </si>
  <si>
    <t>ADP-ribosylation factor-like protein 8B-A OS=Danio rerio GN=arl8ba PE=2 SV=1</t>
  </si>
  <si>
    <t>RNA demethylase ALKBH5 OS=Rattus norvegicus GN=Alkbh5 PE=3 SV=1</t>
  </si>
  <si>
    <t>Protein FIZZY-RELATED 2 OS=Arabidopsis thaliana GN=FZR2 PE=1 SV=1</t>
  </si>
  <si>
    <t>V-type proton ATPase subunit C OS=Arabidopsis thaliana GN=VHA-C PE=1 SV=1</t>
  </si>
  <si>
    <t>Probable mitochondrial saccharopine dehydrogenase-like oxidoreductase At5g39410 OS=Arabidopsis thaliana GN=At5g39410 PE=1 SV=2</t>
  </si>
  <si>
    <t>Pathogenesis-related protein 5 OS=Arabidopsis thaliana GN=At1g75040 PE=1 SV=1</t>
  </si>
  <si>
    <t>Expansin-like B1 OS=Oryza sativa subsp. japonica GN=EXLB1 PE=2 SV=2</t>
  </si>
  <si>
    <t>Maturase K OS=Prunus persica GN=matK PE=3 SV=1</t>
  </si>
  <si>
    <t>Protein TIC 56, chloroplastic OS=Arabidopsis thaliana GN=TIC56 PE=1 SV=1</t>
  </si>
  <si>
    <t>Fasciclin-like arabinogalactan protein 17 OS=Arabidopsis thaliana GN=FLA17 PE=2 SV=1</t>
  </si>
  <si>
    <t>Pentatricopeptide repeat-containing protein At3g51320 OS=Arabidopsis thaliana GN=At3g51320 PE=2 SV=1</t>
  </si>
  <si>
    <t>Histone deacetylase 6 OS=Arabidopsis thaliana GN=HDA6 PE=1 SV=1</t>
  </si>
  <si>
    <t>Unknown protein 1 OS=Helianthus annuus PE=1 SV=1</t>
  </si>
  <si>
    <t>NAC transcription factor ONAC010 OS=Oryza sativa subsp. indica GN=ONAC010 PE=3 SV=1</t>
  </si>
  <si>
    <t>ATP sulfurylase 1, chloroplastic OS=Arabidopsis thaliana GN=APS1 PE=1 SV=1</t>
  </si>
  <si>
    <t>Polygalacturonase-1 non-catalytic subunit beta OS=Solanum lycopersicum GN=GP1 PE=1 SV=1</t>
  </si>
  <si>
    <t>Protein RETICULATA OS=Arabidopsis thaliana GN=RE PE=1 SV=1</t>
  </si>
  <si>
    <t>Leucine-rich repeat extensin-like protein 2 OS=Arabidopsis thaliana GN=LRX2 PE=2 SV=1</t>
  </si>
  <si>
    <t>Heat shock 70 kDa protein 15 OS=Arabidopsis thaliana GN=HSP70-15 PE=1 SV=1</t>
  </si>
  <si>
    <t>26S protease regulatory subunit 6B homolog OS=Arabidopsis thaliana GN=RPT3 PE=1 SV=1</t>
  </si>
  <si>
    <t>Protein cornichon homolog 4 OS=Arabidopsis thaliana GN=At1g12390 PE=1 SV=1</t>
  </si>
  <si>
    <t>Protein Mid1-COMPLEMENTING ACTIVITY 1 OS=Arabidopsis thaliana GN=MCA1 PE=1 SV=1</t>
  </si>
  <si>
    <t>PXMP2/4 family protein 4 OS=Dictyostelium discoideum GN=DDB_G0290631 PE=3 SV=1</t>
  </si>
  <si>
    <t>Protein phosphatase 2C 37 OS=Arabidopsis thaliana GN=PP2CA PE=1 SV=1</t>
  </si>
  <si>
    <t>Kinesin-like calmodulin-binding protein OS=Arabidopsis thaliana GN=KCBP PE=1 SV=1</t>
  </si>
  <si>
    <t>RNA-dependent RNA polymerase 2 OS=Arabidopsis thaliana GN=RDR2 PE=1 SV=1</t>
  </si>
  <si>
    <t>ATP-dependent zinc metalloprotease FTSH 7, chloroplastic OS=Oryza sativa subsp. japonica GN=FTSH7 PE=3 SV=1</t>
  </si>
  <si>
    <t>DNA repair protein UVH3 OS=Arabidopsis thaliana GN=UVH3 PE=2 SV=1</t>
  </si>
  <si>
    <t>Protein CMSS1 OS=Mus musculus GN=Cmss1 PE=2 SV=1</t>
  </si>
  <si>
    <t>3-hydroxy-3-methylglutaryl-coenzyme A reductase 2 OS=Gossypium hirsutum GN=HMG2 PE=3 SV=1</t>
  </si>
  <si>
    <t>Probable 18S rRNA (guanine-N(7))-methyltransferase OS=Mus musculus GN=Wbscr22 PE=2 SV=1</t>
  </si>
  <si>
    <t>Protection of telomeres protein 1b OS=Arabidopsis thaliana GN=POT1B PE=1 SV=1</t>
  </si>
  <si>
    <t>Protein ZINC INDUCED FACILITATOR-LIKE 1 OS=Arabidopsis thaliana GN=ZIFL1 PE=2 SV=1</t>
  </si>
  <si>
    <t>F-box protein At-B OS=Arabidopsis thaliana GN=ATB PE=2 SV=1</t>
  </si>
  <si>
    <t>Beta-galactosidase 10 OS=Arabidopsis thaliana GN=BGAL10 PE=2 SV=1</t>
  </si>
  <si>
    <t>Chlorophyll a-b binding protein 6A, chloroplastic OS=Solanum lycopersicum GN=CAB6A PE=2 SV=1</t>
  </si>
  <si>
    <t>LanC-like protein GCL1 OS=Arabidopsis thaliana GN=GCL1 PE=2 SV=1</t>
  </si>
  <si>
    <t>Homeobox-leucine zipper protein ATHB-8 OS=Arabidopsis thaliana GN=ATHB-8 PE=1 SV=1</t>
  </si>
  <si>
    <t>Putative RING-H2 finger protein ATL21B OS=Arabidopsis thaliana GN=ATL21B PE=3 SV=1</t>
  </si>
  <si>
    <t>Endonuclease MutS2 OS=Synechocystis sp. (strain PCC 6803 / Kazusa) GN=mutS2 PE=3 SV=1</t>
  </si>
  <si>
    <t>Molybdate transporter 2 OS=Arabidopsis thaliana GN=MOT2 PE=1 SV=2</t>
  </si>
  <si>
    <t>Serine/threonine-protein kinase-like protein CCR1 OS=Arabidopsis thaliana GN=CCR1 PE=1 SV=1</t>
  </si>
  <si>
    <t>Ethylene-responsive transcription factor ERF113 OS=Arabidopsis thaliana GN=ERF113 PE=2 SV=1</t>
  </si>
  <si>
    <t>Diphthine methyltransferase homolog OS=Dictyostelium discoideum GN=wdr85 PE=3 SV=1</t>
  </si>
  <si>
    <t>Endonuclease 1 OS=Arabidopsis thaliana GN=ENDO1 PE=1 SV=1</t>
  </si>
  <si>
    <t>Probable transcription-associated protein 1 OS=Dictyostelium discoideum GN=tra1 PE=3 SV=2</t>
  </si>
  <si>
    <t>Probable transmembrane GTPase FZO-like, chloroplastic OS=Arabidopsis thaliana GN=FZL PE=1 SV=1</t>
  </si>
  <si>
    <t>Gamma-secretase subunit APH1-like OS=Arabidopsis thaliana GN=At2g31440 PE=2 SV=2</t>
  </si>
  <si>
    <t>CASP-like protein 1E2 OS=Vitis vinifera GN=VIT_05s0020g01820 PE=2 SV=1</t>
  </si>
  <si>
    <t>Protein ARV1 OS=Mus musculus GN=Arv1 PE=2 SV=1</t>
  </si>
  <si>
    <t>Serine/threonine protein phosphatase 2A 59 kDa regulatory subunit B' gamma isoform OS=Arabidopsis thaliana GN=B'GAMMA PE=1 SV=2</t>
  </si>
  <si>
    <t>F-box protein At4g00755 OS=Arabidopsis thaliana GN=At4g00755 PE=2 SV=1</t>
  </si>
  <si>
    <t>Long chain acyl-CoA synthetase 9, chloroplastic OS=Arabidopsis thaliana GN=LACS9 PE=2 SV=1</t>
  </si>
  <si>
    <t>Glycerol uptake protein 1 OS=Saccharomyces cerevisiae (strain ATCC 204508 / S288c) GN=GUP1 PE=1 SV=1</t>
  </si>
  <si>
    <t>Cell division control protein 2 homolog C OS=Antirrhinum majus GN=CDC2C PE=2 SV=1</t>
  </si>
  <si>
    <t>Serine/threonine-protein kinase SRK2I OS=Arabidopsis thaliana GN=SRK2I PE=1 SV=1</t>
  </si>
  <si>
    <t>Structural maintenance of chromosomes protein 5 OS=Arabidopsis thaliana GN=SMC5 PE=2 SV=1</t>
  </si>
  <si>
    <t>Elongation of fatty acids protein 3-like OS=Arabidopsis thaliana GN=HOS3 PE=2 SV=1</t>
  </si>
  <si>
    <t>Anthocyanidin 3-O-glucoside 2''-O-glucosyltransferase OS=Ipomoea nil GN=3GGT PE=1 SV=1</t>
  </si>
  <si>
    <t>Cytochrome b5 OS=Brassica oleracea var. botrytis GN=CYB5 PE=1 SV=1</t>
  </si>
  <si>
    <t>FRIGidA-like protein 5 OS=Arabidopsis thaliana GN=FRL5 PE=2 SV=1</t>
  </si>
  <si>
    <t>Pyruvate dehydrogenase E1 component subunit beta-3, chloroplastic OS=Arabidopsis thaliana GN=E1-BETA-2 PE=2 SV=1</t>
  </si>
  <si>
    <t>Ribulose bisphosphate carboxylase/oxygenase activase 2, chloroplastic OS=Larrea tridentata GN=RCA2 PE=2 SV=1</t>
  </si>
  <si>
    <t>Probable ATP-dependent DNA helicase CHR12 OS=Arabidopsis thaliana GN=CHR12 PE=2 SV=1</t>
  </si>
  <si>
    <t>ADP-ribosylation factor-like protein 5 OS=Dictyostelium discoideum GN=arl5 PE=3 SV=1</t>
  </si>
  <si>
    <t>GPI transamidase component PIG-T OS=Homo sapiens GN=PIGT PE=1 SV=1</t>
  </si>
  <si>
    <t>DTW domain-containing protein 2 OS=Macaca fascicularis GN=DTWD2 PE=2 SV=1</t>
  </si>
  <si>
    <t>Probable methyltransferase PMT8 OS=Arabidopsis thaliana GN=At1g04430 PE=2 SV=1</t>
  </si>
  <si>
    <t>WD repeat-containing protein WRAP73 OS=Mus musculus GN=Wrap73 PE=2 SV=2</t>
  </si>
  <si>
    <t>Eukaryotic translation initiation factor 2 subunit alpha OS=Schizosaccharomyces pombe (strain 972 / ATCC 24843) GN=tif211 PE=1 SV=1</t>
  </si>
  <si>
    <t>Putative metallophosphoesterase At3g03305 OS=Arabidopsis thaliana GN=At3g03305 PE=2 SV=1</t>
  </si>
  <si>
    <t>Squamosa promoter-binding-like protein 6 OS=Oryza sativa subsp. japonica GN=SPL6 PE=2 SV=1</t>
  </si>
  <si>
    <t>Eukaryotic translation initiation factor 5 OS=Phaseolus vulgaris GN=EIF5 PE=2 SV=1</t>
  </si>
  <si>
    <t>Serpin-ZX OS=Hordeum vulgare GN=PAZX PE=1 SV=1</t>
  </si>
  <si>
    <t>Glucose-induced degradation protein 8 homolog OS=Nematostella vectensis GN=v1g247787 PE=3 SV=1</t>
  </si>
  <si>
    <t>UDP-glucose:glycoprotein glucosyltransferase OS=Arabidopsis thaliana GN=UGGT PE=1 SV=1</t>
  </si>
  <si>
    <t>2-hydroxy-6-oxo-6-phenylhexa-2,4-dienoate hydrolase OS=Burkholderia cepacia GN=bphD PE=3 SV=1</t>
  </si>
  <si>
    <t>Burkholderia cepacia</t>
  </si>
  <si>
    <t>Peptide methionine sulfoxide reductase B2, chloroplastic OS=Arabidopsis thaliana GN=MSRB2 PE=1 SV=1</t>
  </si>
  <si>
    <t>Uncharacterized protein slp1 OS=Schizosaccharomyces pombe (strain 972 / ATCC 24843) GN=SPBC3E7.09 PE=3 SV=1</t>
  </si>
  <si>
    <t>Magnesium-chelatase subunit ChlD, chloroplastic OS=Pisum sativum GN=CHLD PE=2 SV=1</t>
  </si>
  <si>
    <t>Probable ATP-dependent RNA helicase DHX35 OS=Homo sapiens GN=DHX35 PE=1 SV=2</t>
  </si>
  <si>
    <t>Vesicle-associated membrane protein 727 OS=Arabidopsis thaliana GN=VAMP727 PE=2 SV=1</t>
  </si>
  <si>
    <t>F-box-like/WD repeat-containing protein TBL1X OS=Homo sapiens GN=TBL1X PE=1 SV=3</t>
  </si>
  <si>
    <t>mRNA-decapping enzyme subunit 2 OS=Arabidopsis thaliana GN=DCP2 PE=1 SV=1</t>
  </si>
  <si>
    <t>Enolase OS=Ricinus communis PE=2 SV=1</t>
  </si>
  <si>
    <t>Probable protein phosphatase 2C 12 OS=Arabidopsis thaliana GN=At1g47380 PE=2 SV=1</t>
  </si>
  <si>
    <t>Bifunctional monothiol glutaredoxin-S16, chloroplastic OS=Arabidopsis thaliana GN=GRXS16 PE=1 SV=2</t>
  </si>
  <si>
    <t>Chorismate mutase 2 OS=Arabidopsis thaliana GN=CM2 PE=1 SV=1</t>
  </si>
  <si>
    <t>SWR1-complex protein 4 OS=Arabidopsis thaliana GN=SWC4 PE=1 SV=1</t>
  </si>
  <si>
    <t>Protein ecdysoneless homolog OS=Arabidopsis thaliana GN=At5g65490 PE=1 SV=1</t>
  </si>
  <si>
    <t>GDSL esterase/lipase At4g10955 OS=Arabidopsis thaliana GN=At4g10955 PE=2 SV=1</t>
  </si>
  <si>
    <t>Serine/threonine-protein phosphatase PP1 isozyme 1 OS=Acetabularia peniculus PE=3 SV=1</t>
  </si>
  <si>
    <t>Acetabularia peniculus</t>
  </si>
  <si>
    <t>Phospholipase A(1) LCAT3 OS=Arabidopsis thaliana GN=LCAT3 PE=1 SV=1</t>
  </si>
  <si>
    <t>RNA polymerase I-specific transcription initiation factor RRN3 OS=Pongo abelii GN=RRN3 PE=2 SV=1</t>
  </si>
  <si>
    <t>Protein S-acyltransferase 8 OS=Arabidopsis thaliana GN=PAT08 PE=1 SV=2</t>
  </si>
  <si>
    <t>ERAD-associated E3 ubiquitin-protein ligase component HRD3A OS=Arabidopsis thaliana GN=HRD3A PE=1 SV=1</t>
  </si>
  <si>
    <t>PP2A regulatory subunit TAP46 OS=Arabidopsis thaliana GN=TAP46 PE=1 SV=2</t>
  </si>
  <si>
    <t>60S ribosomal protein L37-3 OS=Arabidopsis thaliana GN=RPL37C PE=3 SV=1</t>
  </si>
  <si>
    <t>60S ribosomal protein L14-1 OS=Arabidopsis thaliana GN=RPL14A PE=2 SV=1</t>
  </si>
  <si>
    <t>Condensin-2 complex subunit G2 OS=Mus musculus GN=Ncapg2 PE=2 SV=2</t>
  </si>
  <si>
    <t>Probable non-specific lipid-transfer protein 2 OS=Parietaria judaica PE=1 SV=1</t>
  </si>
  <si>
    <t>Parietaria judaica</t>
  </si>
  <si>
    <t>F-box protein PP2-B15 OS=Arabidopsis thaliana GN=PP2B15 PE=2 SV=2</t>
  </si>
  <si>
    <t>DNA-binding protein BIN4 OS=Arabidopsis thaliana GN=BIN4 PE=1 SV=2</t>
  </si>
  <si>
    <t>BTB/POZ domain-containing protein At5g66560 OS=Arabidopsis thaliana GN=At5g66560 PE=2 SV=2</t>
  </si>
  <si>
    <t>60S ribosomal protein L26-1 OS=Arabidopsis thaliana GN=RPL26A PE=2 SV=2</t>
  </si>
  <si>
    <t>Serine/arginine-rich splicing factor RSZ23 OS=Oryza sativa subsp. japonica GN=RSZ23 PE=2 SV=1</t>
  </si>
  <si>
    <t>Uncharacterized RNA-binding protein C1827.05c OS=Schizosaccharomyces pombe (strain 972 / ATCC 24843) GN=SPCC1827.05c PE=3 SV=1</t>
  </si>
  <si>
    <t>Cellulose synthase A catalytic subunit 1 [UDP-forming] OS=Arabidopsis thaliana GN=CESA1 PE=1 SV=1</t>
  </si>
  <si>
    <t>Cytochrome P450 97B3, chloroplastic OS=Arabidopsis thaliana GN=CYP97B3 PE=2 SV=2</t>
  </si>
  <si>
    <t>Homeobox protein SBH1 OS=Glycine max GN=H1 PE=2 SV=1</t>
  </si>
  <si>
    <t>Probable inactive receptor kinase At1g48480 OS=Arabidopsis thaliana GN=RKL1 PE=2 SV=1</t>
  </si>
  <si>
    <t>Zinc finger protein 8 OS=Arabidopsis thaliana GN=ZFP8 PE=2 SV=1</t>
  </si>
  <si>
    <t>Adenylosuccinate lyase OS=Dictyostelium discoideum GN=purB PE=3 SV=1</t>
  </si>
  <si>
    <t>Probable membrane-associated kinase regulator 2 OS=Arabidopsis thaliana GN=MAKR2 PE=2 SV=1</t>
  </si>
  <si>
    <t>F-box/LRR-repeat MAX2 homolog A OS=Petunia hybrida GN=MAX2A PE=1 SV=1</t>
  </si>
  <si>
    <t>Phosphatidylinositol 4-phosphate 5-kinase 9 OS=Arabidopsis thaliana GN=PIP5K9 PE=1 SV=2</t>
  </si>
  <si>
    <t>11-beta-hydroxysteroid dehydrogenase-like 5 OS=Arabidopsis thaliana GN=HSD5 PE=2 SV=1</t>
  </si>
  <si>
    <t>SUMO-activating enzyme subunit 2 OS=Arabidopsis thaliana GN=SAE2 PE=1 SV=1</t>
  </si>
  <si>
    <t>Laccase-10 OS=Arabidopsis thaliana GN=LAC10 PE=2 SV=1</t>
  </si>
  <si>
    <t>Heat shock 70 kDa protein, mitochondrial OS=Phaseolus vulgaris PE=2 SV=1</t>
  </si>
  <si>
    <t>Protein RALF-like 22 OS=Arabidopsis thaliana GN=RALFL22 PE=3 SV=1</t>
  </si>
  <si>
    <t>(RS)-norcoclaurine 6-O-methyltransferase OS=Coptis japonica PE=1 SV=1</t>
  </si>
  <si>
    <t>Trehalose-phosphate phosphatase A OS=Arabidopsis thaliana GN=TPPA PE=1 SV=1</t>
  </si>
  <si>
    <t>TATA-box-binding protein OS=Glycine max GN=TBP1 PE=2 SV=1</t>
  </si>
  <si>
    <t>Protein NRT1/ PTR FAMILY 4.6 OS=Arabidopsis thaliana GN=NPF4.6 PE=1 SV=1</t>
  </si>
  <si>
    <t>Protein MOR1 OS=Arabidopsis thaliana GN=MOR1 PE=1 SV=1</t>
  </si>
  <si>
    <t>Tropinone reductase-like 3 OS=Erythroxylum coca PE=2 SV=1</t>
  </si>
  <si>
    <t>Erythroxylum coca</t>
  </si>
  <si>
    <t>Niemann-Pick C1 protein OS=Sus scrofa GN=NPC1 PE=2 SV=1</t>
  </si>
  <si>
    <t>Lysozyme C OS=Pan troglodytes GN=LYZ PE=2 SV=1</t>
  </si>
  <si>
    <t>Serine/threonine-protein kinase SMG1 OS=Mus musculus GN=Smg1 PE=1 SV=3</t>
  </si>
  <si>
    <t>Cytochrome P450 86A1 OS=Arabidopsis thaliana GN=CYP86A1 PE=1 SV=2</t>
  </si>
  <si>
    <t>Apyrase 2 OS=Arabidopsis thaliana GN=APY2 PE=1 SV=1</t>
  </si>
  <si>
    <t>Polycomb group protein VERNALIZATION 2 OS=Arabidopsis thaliana GN=VRN2 PE=1 SV=2</t>
  </si>
  <si>
    <t>Protein TIC 214 OS=Buxus microphylla GN=TIC214 PE=3 SV=1</t>
  </si>
  <si>
    <t>Nitric oxide synthase-interacting protein OS=Xenopus laevis GN=nosip PE=2 SV=1</t>
  </si>
  <si>
    <t>Heat shock 70 kDa protein OS=Neurospora crassa (strain ATCC 24698 / 74-OR23-1A / CBS 708.71 / DSM 1257 / FGSC 987) GN=hsps-1 PE=2 SV=2</t>
  </si>
  <si>
    <t>Alpha,alpha-trehalose-phosphate synthase [UDP-forming] 6 OS=Arabidopsis thaliana GN=TPS6 PE=1 SV=2</t>
  </si>
  <si>
    <t>Pentatricopeptide repeat-containing protein At1g55890, mitochondrial OS=Arabidopsis thaliana GN=At1g55890 PE=2 SV=1</t>
  </si>
  <si>
    <t>Transcription factor ICE1 OS=Arabidopsis thaliana GN=SCRM PE=1 SV=1</t>
  </si>
  <si>
    <t>Serine carboxypeptidase-like 42 OS=Arabidopsis thaliana GN=SCPL42 PE=2 SV=1</t>
  </si>
  <si>
    <t>RNA polymerase sigma factor sigB OS=Arabidopsis thaliana GN=SIGB PE=2 SV=2</t>
  </si>
  <si>
    <t>Thaumatin-like protein 1a OS=Malus domestica GN=TL1 PE=1 SV=1</t>
  </si>
  <si>
    <t>GATA transcription factor 21 OS=Arabidopsis thaliana GN=GATA21 PE=1 SV=2</t>
  </si>
  <si>
    <t>Very-long-chain 3-oxoacyl-CoA reductase OS=Bos taurus GN=HSD17B12 PE=2 SV=1</t>
  </si>
  <si>
    <t>Peroxidase 55 OS=Arabidopsis thaliana GN=PER55 PE=1 SV=1</t>
  </si>
  <si>
    <t>Programmed cell death protein 4 OS=Gallus gallus GN=PDCD4 PE=2 SV=1</t>
  </si>
  <si>
    <t>Formin-like protein 14 OS=Arabidopsis thaliana GN=FH14 PE=3 SV=3</t>
  </si>
  <si>
    <t>Pentatricopeptide repeat-containing protein At3g46610 OS=Arabidopsis thaliana GN=At3g46610 PE=2 SV=1</t>
  </si>
  <si>
    <t>Protein At-4/1 OS=Arabidopsis thaliana GN=At4g26020 PE=1 SV=1</t>
  </si>
  <si>
    <t>60S ribosomal protein L15-1 OS=Arabidopsis thaliana GN=RPL15A PE=2 SV=1</t>
  </si>
  <si>
    <t>Zinc finger protein 830 OS=Xenopus tropicalis GN=znf830 PE=2 SV=1</t>
  </si>
  <si>
    <t>Protein OSB2, chloroplastic OS=Arabidopsis thaliana GN=OSB2 PE=1 SV=2</t>
  </si>
  <si>
    <t>Bidirectional sugar transporter SWEET2 OS=Arabidopsis thaliana GN=SWEET2 PE=2 SV=1</t>
  </si>
  <si>
    <t>Pumilio homolog 24 OS=Arabidopsis thaliana GN=APUM24 PE=2 SV=1</t>
  </si>
  <si>
    <t>Eid1-like F-box protein 3 OS=Arabidopsis thaliana GN=EDL3 PE=2 SV=1</t>
  </si>
  <si>
    <t>Protein ACCUMULATION AND REPLICATION OF CHLOROPLASTS 6, chloroplastic OS=Arabidopsis thaliana GN=ARC6 PE=1 SV=1</t>
  </si>
  <si>
    <t>Cysteine and histidine-rich domain-containing protein RAR1 OS=Arabidopsis thaliana GN=RAR1 PE=1 SV=1</t>
  </si>
  <si>
    <t>Cyclin-D3-2 OS=Arabidopsis thaliana GN=CYCD3-2 PE=2 SV=1</t>
  </si>
  <si>
    <t>Phytochrome C OS=Oryza sativa subsp. indica GN=PHYC PE=3 SV=2</t>
  </si>
  <si>
    <t>F-box/LRR-repeat protein 12 OS=Arabidopsis thaliana GN=FBL12 PE=2 SV=1</t>
  </si>
  <si>
    <t>Probable receptor-like protein kinase At2g39360 OS=Arabidopsis thaliana GN=At2g39360 PE=2 SV=1</t>
  </si>
  <si>
    <t>NEDD8 ultimate buster 1 OS=Mus musculus GN=Nub1 PE=1 SV=2</t>
  </si>
  <si>
    <t>NADH dehydrogenase [ubiquinone] 1 beta subcomplex subunit 7 OS=Arabidopsis thaliana GN=At2g02050 PE=3 SV=1</t>
  </si>
  <si>
    <t>Ubiquitin-activating enzyme E1 2 OS=Arabidopsis thaliana GN=UBA2 PE=1 SV=1</t>
  </si>
  <si>
    <t>rRNA-processing protein fcf2 OS=Schizosaccharomyces pombe (strain 972 / ATCC 24843) GN=fcf2 PE=3 SV=1</t>
  </si>
  <si>
    <t>Protein PHLOEM PROTEIN 2-LIKE A5 OS=Arabidopsis thaliana GN=PP2A5 PE=2 SV=1</t>
  </si>
  <si>
    <t>Poly(A) polymerase I OS=Haemophilus influenzae (strain ATCC 51907 / DSM 11121 / KW20 / Rd) GN=pcnB PE=3 SV=1</t>
  </si>
  <si>
    <t>LMBR1 domain-containing protein 2 homolog A OS=Dictyostelium discoideum GN=DDB_G0284019 PE=3 SV=1</t>
  </si>
  <si>
    <t>CMP-sialic acid transporter 5 OS=Arabidopsis thaliana GN=At5g65000 PE=2 SV=1</t>
  </si>
  <si>
    <t>Probable folate-biopterin transporter 9, chloroplastic OS=Arabidopsis thaliana GN=At2g33280 PE=3 SV=2</t>
  </si>
  <si>
    <t>Lichenase OS=Nicotiana plumbaginifolia GN=GN1 PE=2 SV=3</t>
  </si>
  <si>
    <t>Uncharacterized protein At4g10930 OS=Arabidopsis thaliana GN=At4g10930 PE=2 SV=1</t>
  </si>
  <si>
    <t>Pentatricopeptide repeat-containing protein At2g06000 OS=Arabidopsis thaliana GN=At2g06000 PE=2 SV=1</t>
  </si>
  <si>
    <t>Pentatricopeptide repeat-containing protein At5g04810, chloroplastic OS=Arabidopsis thaliana GN=PPR4 PE=1 SV=1</t>
  </si>
  <si>
    <t>Macrophage migration inhibitory factor homolog OS=Trichuris trichiura PE=1 SV=2</t>
  </si>
  <si>
    <t>Trichuris trichiura</t>
  </si>
  <si>
    <t>Serine carboxypeptidase-like 51 OS=Arabidopsis thaliana GN=SCPL51 PE=2 SV=2</t>
  </si>
  <si>
    <t>F-box protein AFR OS=Arabidopsis thaliana GN=AFR PE=1 SV=2</t>
  </si>
  <si>
    <t>Putative pentatricopeptide repeat-containing protein At3g15130 OS=Arabidopsis thaliana GN=PCMP-H86 PE=3 SV=1</t>
  </si>
  <si>
    <t>Cytochrome P450 711A1 OS=Arabidopsis thaliana GN=CYP711A1 PE=2 SV=1</t>
  </si>
  <si>
    <t>Probable inactive receptor kinase At4g23740 OS=Arabidopsis thaliana GN=At4g23740 PE=2 SV=1</t>
  </si>
  <si>
    <t>KH domain-containing protein At1g09660/At1g09670 OS=Arabidopsis thaliana GN=At1g09660 PE=2 SV=1</t>
  </si>
  <si>
    <t>Metal transporter Nramp1 OS=Arabidopsis thaliana GN=NRAMP1 PE=1 SV=1</t>
  </si>
  <si>
    <t>WEB family protein At5g16730, chloroplastic OS=Arabidopsis thaliana GN=At5g16730 PE=1 SV=1</t>
  </si>
  <si>
    <t>Putative pentatricopeptide repeat-containing protein At1g69350, mitochondrial OS=Arabidopsis thaliana GN=PCMP-E66 PE=3 SV=1</t>
  </si>
  <si>
    <t>Probable Ufm1-specific protease OS=Arabidopsis thaliana GN=At3g48380 PE=1 SV=2</t>
  </si>
  <si>
    <t>WD repeat-containing protein 75 OS=Danio rerio GN=wdr75 PE=2 SV=2</t>
  </si>
  <si>
    <t>Bifunctional protein FolD 2 OS=Arabidopsis thaliana GN=FOLD2 PE=2 SV=1</t>
  </si>
  <si>
    <t>SWR1 complex subunit 6 OS=Arabidopsis thaliana GN=SWC6 PE=1 SV=1</t>
  </si>
  <si>
    <t>Transcription factor TCP7 OS=Arabidopsis thaliana GN=TCP7 PE=2 SV=1</t>
  </si>
  <si>
    <t>Proteasome subunit alpha type-1-A OS=Arabidopsis thaliana GN=PAF1 PE=1 SV=3</t>
  </si>
  <si>
    <t>Cysteine-rich receptor-like protein kinase 6 OS=Arabidopsis thaliana GN=CRK6 PE=1 SV=1</t>
  </si>
  <si>
    <t>N-alpha-acetyltransferase 20 OS=Dictyostelium discoideum GN=nat5 PE=3 SV=2</t>
  </si>
  <si>
    <t>Probable inositol oxygenase OS=Oryza sativa subsp. japonica GN=Os06g0561000 PE=2 SV=1</t>
  </si>
  <si>
    <t>Inositol-tetrakisphosphate 1-kinase 1 OS=Zea mays GN=ITPK1 PE=2 SV=1</t>
  </si>
  <si>
    <t>Protein KRI1 homolog OS=Bos taurus GN=KRI1 PE=2 SV=3</t>
  </si>
  <si>
    <t>Probable UDP-N-acetylglucosamine--peptide N-acetylglucosaminyltransferase SPINDLY OS=Arabidopsis thaliana GN=SPY PE=1 SV=1</t>
  </si>
  <si>
    <t>Mitochondrial Rho GTPase 2 OS=Arabidopsis thaliana GN=MIRO2 PE=2 SV=1</t>
  </si>
  <si>
    <t>MATE efflux family protein 7 OS=Arabidopsis thaliana GN=DTXL3 PE=2 SV=1</t>
  </si>
  <si>
    <t>Protein N-lysine methyltransferase METTL21A OS=Homo sapiens GN=METTL21A PE=1 SV=2</t>
  </si>
  <si>
    <t>Pentatricopeptide repeat-containing protein At2g38420, mitochondrial OS=Arabidopsis thaliana GN=At2g38420 PE=2 SV=2</t>
  </si>
  <si>
    <t>2-succinylbenzoate--CoA ligase, chloroplastic/peroxisomal OS=Arabidopsis thaliana GN=AAE14 PE=1 SV=1</t>
  </si>
  <si>
    <t>Pectin acetylesterase 3 OS=Arabidopsis thaliana GN=PAE3 PE=2 SV=1</t>
  </si>
  <si>
    <t>Protein TRAUCO OS=Arabidopsis thaliana GN=TRO PE=1 SV=1</t>
  </si>
  <si>
    <t>Peroxygenase 2 OS=Arabidopsis thaliana GN=PXG2 PE=1 SV=1</t>
  </si>
  <si>
    <t>Probable glutathione S-transferase parC OS=Nicotiana tabacum GN=PARC PE=2 SV=1</t>
  </si>
  <si>
    <t>Superoxide dismutase [Cu-Zn] OS=Ananas comosus GN=SOD1 PE=2 SV=1</t>
  </si>
  <si>
    <t>Ananas comosus</t>
  </si>
  <si>
    <t>Fructokinase-like 1, chloroplastic OS=Arabidopsis thaliana GN=FLN1 PE=1 SV=1</t>
  </si>
  <si>
    <t>AP-5 complex subunit beta-1 OS=Xenopus tropicalis GN=ap5b1 PE=3 SV=1</t>
  </si>
  <si>
    <t>Mitogen-activated protein kinase homolog NTF6 OS=Nicotiana tabacum GN=NTF6 PE=2 SV=1</t>
  </si>
  <si>
    <t>Acidic leucine-rich nuclear phosphoprotein 32-related protein OS=Arabidopsis thaliana GN=At3g50690 PE=2 SV=1</t>
  </si>
  <si>
    <t>CSC1-like protein HYP1 OS=Arabidopsis thaliana GN=HYP1 PE=2 SV=1</t>
  </si>
  <si>
    <t>Receptor-like serine/threonine-protein kinase At1g78530 OS=Arabidopsis thaliana GN=At1g78530 PE=2 SV=1</t>
  </si>
  <si>
    <t>Amino-acid permease BAT1 homolog OS=Oryza sativa subsp. japonica GN=BAT1 PE=2 SV=1</t>
  </si>
  <si>
    <t>F-box/kelch-repeat protein At3g18720 OS=Arabidopsis thaliana GN=At3g18720 PE=2 SV=1</t>
  </si>
  <si>
    <t>Putative pentatricopeptide repeat-containing protein At3g05240 OS=Arabidopsis thaliana GN=PCMP-E82 PE=3 SV=2</t>
  </si>
  <si>
    <t>Glutathione S-transferase F12 OS=Arabidopsis thaliana GN=GSTF12 PE=1 SV=1</t>
  </si>
  <si>
    <t>Actin-related protein 8 OS=Arabidopsis thaliana GN=ARP8 PE=2 SV=1</t>
  </si>
  <si>
    <t>Protein TORNADO 2 OS=Arabidopsis thaliana GN=TRN2 PE=1 SV=1</t>
  </si>
  <si>
    <t>Transmembrane protein 53-B OS=Xenopus laevis GN=tmem53-b PE=2 SV=1</t>
  </si>
  <si>
    <t>116 kDa U5 small nuclear ribonucleoprotein component OS=Mus musculus GN=Eftud2 PE=2 SV=1</t>
  </si>
  <si>
    <t>Cell division cycle-associated protein 7 OS=Bos taurus GN=CDCA7 PE=2 SV=1</t>
  </si>
  <si>
    <t>Endo-1,4-beta-xylanase A OS=Thermoanaerobacterium saccharolyticum GN=xynA PE=1 SV=1</t>
  </si>
  <si>
    <t>Thermoanaerobacterium saccharolyticum</t>
  </si>
  <si>
    <t>Elongator complex protein 3 OS=Arabidopsis thaliana GN=HAG3 PE=1 SV=1</t>
  </si>
  <si>
    <t>Pyruvate, phosphate dikinase, chloroplastic OS=Mesembryanthemum crystallinum GN=PPD PE=2 SV=1</t>
  </si>
  <si>
    <t>Zinc finger with UFM1-specific peptidase domain protein OS=Rattus norvegicus GN=Zufsp PE=2 SV=1</t>
  </si>
  <si>
    <t>Transcription initiation factor TFIid subunit 12b OS=Arabidopsis thaliana GN=TAF12B PE=1 SV=1</t>
  </si>
  <si>
    <t>RING-H2 finger protein ATL56 OS=Arabidopsis thaliana GN=ATL56 PE=2 SV=1</t>
  </si>
  <si>
    <t>Probable metal-nicotianamine transporter YSL6 OS=Arabidopsis thaliana GN=YSL6 PE=2 SV=2</t>
  </si>
  <si>
    <t>Protein CHLORORESPIRATORY REDUCTION 6, chloroplastic OS=Arabidopsis thaliana GN=CRR6 PE=2 SV=1</t>
  </si>
  <si>
    <t>Diphthamide biosynthesis protein 2 OS=Danio rerio GN=dph2 PE=2 SV=1</t>
  </si>
  <si>
    <t>Splicing factor 3B subunit 3 OS=Mus musculus GN=Sf3b3 PE=2 SV=1</t>
  </si>
  <si>
    <t>Cystathionine gamma-synthase 1, chloroplastic OS=Arabidopsis thaliana GN=CGS1 PE=1 SV=3</t>
  </si>
  <si>
    <t>Ribosome-recycling factor, chloroplastic OS=Spinacia oleracea GN=RRF PE=1 SV=1</t>
  </si>
  <si>
    <t>Peptidyl-prolyl cis-trans isomerase Pin1 OS=Malus domestica GN=PIN1 PE=2 SV=1</t>
  </si>
  <si>
    <t>DNA mismatch repair protein MLH3 OS=Arabidopsis thaliana GN=MLH3 PE=2 SV=2</t>
  </si>
  <si>
    <t>Zinc finger CCCH domain-containing protein 39 OS=Oryza sativa subsp. japonica GN=Os05g0576300 PE=2 SV=1</t>
  </si>
  <si>
    <t>Small glutamine-rich tetratricopeptide repeat-containing protein alpha OS=Homo sapiens GN=SGTA PE=1 SV=1</t>
  </si>
  <si>
    <t>Protein DEHYDRATION-INDUCED 19 homolog 5 OS=Oryza sativa subsp. japonica GN=DI19-5 PE=2 SV=1</t>
  </si>
  <si>
    <t>Protein SHOOT GRAVITROPISM 6 OS=Arabidopsis thaliana GN=SGR6 PE=2 SV=1</t>
  </si>
  <si>
    <t>Glucan endo-1,3-beta-glucosidase 4 OS=Arabidopsis thaliana GN=At3g13560 PE=1 SV=1</t>
  </si>
  <si>
    <t>Fimbrin-1 OS=Arabidopsis thaliana GN=FIM1 PE=1 SV=2</t>
  </si>
  <si>
    <t>DCN1-like protein 1 OS=Homo sapiens GN=DCUN1D1 PE=1 SV=1</t>
  </si>
  <si>
    <t>CASP-like protein ARALYDRAFT_485429 OS=Arabidopsis lyrata subsp. lyrata GN=ARALYDRAFT_485429 PE=3 SV=2</t>
  </si>
  <si>
    <t>Trafficking protein particle complex subunit 13 OS=Bos taurus GN=TRAPPC13 PE=2 SV=1</t>
  </si>
  <si>
    <t>Outer envelope pore protein 21B, chloroplastic OS=Arabidopsis thaliana GN=OEP21B PE=2 SV=1</t>
  </si>
  <si>
    <t>GDSL esterase/lipase At3g48460 OS=Arabidopsis thaliana GN=At3g48460 PE=2 SV=1</t>
  </si>
  <si>
    <t>CASP-like protein 4B1 OS=Arabidopsis lyrata subsp. lyrata GN=ARALYDRAFT_321547 PE=3 SV=1</t>
  </si>
  <si>
    <t>Plastidal glycolate/glycerate translocator 1, chloroplastic OS=Arabidopsis thaliana GN=PLGG1 PE=2 SV=1</t>
  </si>
  <si>
    <t>Two-component response regulator ARR22 OS=Arabidopsis thaliana GN=ARR22 PE=2 SV=1</t>
  </si>
  <si>
    <t>Transcription factor bHLH51 OS=Arabidopsis thaliana GN=BHLH51 PE=2 SV=1</t>
  </si>
  <si>
    <t>Peroxisome biogenesis protein 6 OS=Arabidopsis thaliana GN=PEX6 PE=1 SV=1</t>
  </si>
  <si>
    <t>TATA box-binding protein-associated factor RNA polymerase I subunit B OS=Arabidopsis thaliana GN=MEE12 PE=1 SV=1</t>
  </si>
  <si>
    <t>Pentatricopeptide repeat-containing protein At4g04370 OS=Arabidopsis thaliana GN=PCMP-E99 PE=3 SV=1</t>
  </si>
  <si>
    <t>Tropinone reductase homolog At2g29150 OS=Arabidopsis thaliana GN=At2g29150 PE=1 SV=1</t>
  </si>
  <si>
    <t>Allene oxide cyclase 3, chloroplastic OS=Arabidopsis thaliana GN=AOC3 PE=2 SV=1</t>
  </si>
  <si>
    <t>Ribosomal L1 domain-containing protein 1 OS=Pongo abelii GN=RSL1D1 PE=2 SV=2</t>
  </si>
  <si>
    <t>Protein EMSY-LIKE 1 OS=Arabidopsis thaliana GN=EML1 PE=1 SV=1</t>
  </si>
  <si>
    <t>Aldose 1-epimerase OS=Bos taurus GN=GALM PE=2 SV=1</t>
  </si>
  <si>
    <t>Expansin-like B1 OS=Arabidopsis thaliana GN=EXLB1 PE=2 SV=2</t>
  </si>
  <si>
    <t>Phosphatidylserine decarboxylase proenzyme 1, mitochondrial OS=Arabidopsis thaliana GN=PSD1 PE=2 SV=1</t>
  </si>
  <si>
    <t>CTD small phosphatase-like protein OS=Gallus gallus GN=NFI1 PE=2 SV=2</t>
  </si>
  <si>
    <t>Lactoylglutathione lyase OS=Glycine max GN=GLXI PE=1 SV=1</t>
  </si>
  <si>
    <t>V-type proton ATPase subunit E OS=Citrus limon GN=VATE PE=2 SV=1</t>
  </si>
  <si>
    <t>DNA polymerase epsilon subunit 2 OS=Dictyostelium discoideum GN=pole2 PE=3 SV=1</t>
  </si>
  <si>
    <t>40S ribosomal protein S4 OS=Solanum tuberosum GN=RPS4 PE=2 SV=1</t>
  </si>
  <si>
    <t>DNA-directed RNA polymerase I subunit RPA12 OS=Rattus norvegicus GN=Znrd1 PE=3 SV=1</t>
  </si>
  <si>
    <t>2-keto-3-deoxy-L-rhamnonate aldolase OS=Escherichia coli O7:K1 (strain IAI39 / ExPEC) GN=rhmA PE=3 SV=1</t>
  </si>
  <si>
    <t>RNA-binding protein 1 OS=Arabidopsis thaliana GN=RBP1 PE=2 SV=1</t>
  </si>
  <si>
    <t>Homeobox-leucine zipper protein HDG5 OS=Arabidopsis thaliana GN=HDG5 PE=2 SV=3</t>
  </si>
  <si>
    <t>UDP-N-acetylglucosamine--N-acetylmuramyl-(pentapeptide) pyrophosphoryl-undecaprenol N-acetylglucosamine transferase OS=Salinibacter ruber (strain DSM 13855 / M31) GN=murG PE=3 SV=1</t>
  </si>
  <si>
    <t>Ethylene-responsive transcription factor CRF2 OS=Arabidopsis thaliana GN=CRF2 PE=1 SV=1</t>
  </si>
  <si>
    <t>Protein tesmin/TSO1-like CXC 4 OS=Arabidopsis thaliana GN=TCX4 PE=1 SV=1</t>
  </si>
  <si>
    <t>Transcription factor bHLH143 OS=Arabidopsis thaliana GN=BHLH143 PE=2 SV=1</t>
  </si>
  <si>
    <t>Mitogen-activated protein kinase 9 OS=Arabidopsis thaliana GN=MPK9 PE=2 SV=2</t>
  </si>
  <si>
    <t>Sucrose-phosphatase 2 OS=Nicotiana tabacum GN=SPP2 PE=2 SV=1</t>
  </si>
  <si>
    <t>Alpha-glucosidase OS=Spinacia oleracea PE=1 SV=1</t>
  </si>
  <si>
    <t>Probable LRR receptor-like serine/threonine-protein kinase At1g05700 OS=Arabidopsis thaliana GN=At1g05700 PE=2 SV=1</t>
  </si>
  <si>
    <t>Protein ODORANT1 OS=Petunia hybrida GN=ODO1 PE=2 SV=1</t>
  </si>
  <si>
    <t>Homeobox-leucine zipper protein ROC5 OS=Oryza sativa subsp. japonica GN=ROC5 PE=2 SV=1</t>
  </si>
  <si>
    <t>Oleosin 16 kDa OS=Bromus secalinus GN=OLE16 PE=2 SV=1</t>
  </si>
  <si>
    <t>Bromus secalinus</t>
  </si>
  <si>
    <t>RNA-directed RNA polymerase OS=Apple chlorotic leaf spot virus (isolate apple) PE=3 SV=1</t>
  </si>
  <si>
    <t>ABC transporter G family member 39 OS=Oryza sativa subsp. japonica GN=ABCG39 PE=3 SV=1</t>
  </si>
  <si>
    <t>Metal tolerance protein 1 OS=Arabidopsis thaliana GN=MTP1 PE=1 SV=2</t>
  </si>
  <si>
    <t>50S ribosomal protein L5, chloroplastic OS=Arabidopsis thaliana GN=RPL5 PE=2 SV=1</t>
  </si>
  <si>
    <t>1,3-beta-glucanosyltransferase gel1 OS=Neosartorya fumigata (strain ATCC MYA-4609 / Af293 / CBS 101355 / FGSC A1100) GN=gel1 PE=3 SV=1</t>
  </si>
  <si>
    <t>Cyclin-T1-4 OS=Arabidopsis thaliana GN=CYCT1-4 PE=1 SV=1</t>
  </si>
  <si>
    <t>1,3-beta-glucanosyltransferase gel3 OS=Neosartorya fumigata (strain CEA10 / CBS 144.89 / FGSC A1163) GN=gel3 PE=1 SV=1</t>
  </si>
  <si>
    <t>Glutathione S-transferase U8 OS=Arabidopsis thaliana GN=GSTU8 PE=2 SV=1</t>
  </si>
  <si>
    <t>Haloalkane dehalogenase OS=Xanthobacter flavus GN=dhlA PE=3 SV=1</t>
  </si>
  <si>
    <t>Xanthobacter flavus</t>
  </si>
  <si>
    <t>Serine carboxypeptidase-like 49 OS=Arabidopsis thaliana GN=SCPL49 PE=2 SV=2</t>
  </si>
  <si>
    <t>Polyubiquitin (Fragment) OS=Nicotiana sylvestris GN=UBI4 PE=2 SV=1</t>
  </si>
  <si>
    <t>ELMO domain-containing protein C OS=Dictyostelium discoideum GN=elmoC PE=3 SV=1</t>
  </si>
  <si>
    <t>Protein BRASSINOSTEROid INSENSITIVE 1 OS=Arabidopsis thaliana GN=BRI1 PE=1 SV=1</t>
  </si>
  <si>
    <t>Putative GATA transcription factor 22 OS=Arabidopsis thaliana GN=GATA22 PE=3 SV=1</t>
  </si>
  <si>
    <t>Serine-threonine kinase receptor-associated protein OS=Dictyostelium discoideum GN=strap PE=3 SV=1</t>
  </si>
  <si>
    <t>Abscisic acid receptor PYR1 OS=Arabidopsis thaliana GN=PYR1 PE=1 SV=1</t>
  </si>
  <si>
    <t>Thioredoxin-related transmembrane protein 2 OS=Xenopus tropicalis GN=tmx2 PE=2 SV=1</t>
  </si>
  <si>
    <t>Protein PHYTOCHROME KINASE SUBSTRATE 2 OS=Arabidopsis thaliana GN=PKS2 PE=1 SV=1</t>
  </si>
  <si>
    <t>Protein NETWORKED 4B OS=Arabidopsis thaliana GN=NET4B PE=2 SV=1</t>
  </si>
  <si>
    <t>4-coumarate--CoA ligase-like 6 OS=Arabidopsis thaliana GN=4CLL6 PE=2 SV=2</t>
  </si>
  <si>
    <t>WD repeat-containing protein 55 OS=Bos taurus GN=WDR55 PE=2 SV=1</t>
  </si>
  <si>
    <t>Pentatricopeptide repeat-containing protein At1g01970 OS=Arabidopsis thaliana GN=At1g01970 PE=2 SV=1</t>
  </si>
  <si>
    <t>La-related protein 6B OS=Arabidopsis thaliana GN=LARP6B PE=1 SV=2</t>
  </si>
  <si>
    <t>Pre-mRNA-splicing factor ATP-dependent RNA helicase PRP16 OS=Bos taurus GN=DHX38 PE=2 SV=1</t>
  </si>
  <si>
    <t>Aquaporin SIP1-2 OS=Zea mays GN=SIP1-2 PE=2 SV=1</t>
  </si>
  <si>
    <t>Putative pentatricopeptide repeat-containing protein At3g13770, mitochondrial OS=Arabidopsis thaliana GN=PCMP-H85 PE=3 SV=1</t>
  </si>
  <si>
    <t>187-kDa microtubule-associated protein AIR9 OS=Arabidopsis thaliana GN=AIR9 PE=1 SV=1</t>
  </si>
  <si>
    <t>Cationic amino acid transporter 9, chloroplastic OS=Arabidopsis thaliana GN=CAT9 PE=2 SV=1</t>
  </si>
  <si>
    <t>Vacuolar protein sorting-associated protein 25 OS=Arabidopsis thaliana GN=VPS25 PE=1 SV=1</t>
  </si>
  <si>
    <t>17.7 kDa class I heat shock protein OS=Oryza sativa subsp. japonica GN=HSP17.7 PE=2 SV=1</t>
  </si>
  <si>
    <t>Pentatricopeptide repeat-containing protein At1g69290 OS=Arabidopsis thaliana GN=At1g69290 PE=2 SV=1</t>
  </si>
  <si>
    <t>E3 ubiquitin-protein ligase CCNB1IP1 homolog OS=Arabidopsis thaliana GN=HEI10 PE=2 SV=1</t>
  </si>
  <si>
    <t>ABC transporter I family member 6, chloroplastic OS=Arabidopsis thaliana GN=ABCI6 PE=1 SV=1</t>
  </si>
  <si>
    <t>Plastid-lipid-associated protein, chloroplastic OS=Citrus unshiu GN=PAP PE=2 SV=1</t>
  </si>
  <si>
    <t>Mitochondrial uncoupling protein 3 OS=Arabidopsis thaliana GN=PUMP3 PE=2 SV=1</t>
  </si>
  <si>
    <t>DAZ-associated protein 1 OS=Mus musculus GN=Dazap1 PE=2 SV=2</t>
  </si>
  <si>
    <t>Patatin-like protein 7 OS=Arabidopsis thaliana GN=PLP7 PE=2 SV=1</t>
  </si>
  <si>
    <t>Calcium-dependent protein kinase 5 OS=Solanum tuberosum GN=CPK5 PE=2 SV=1</t>
  </si>
  <si>
    <t>Heterogeneous nuclear ribonucleoprotein Q OS=Homo sapiens GN=SYNCRIP PE=1 SV=2</t>
  </si>
  <si>
    <t>Electron transfer flavoprotein subunit beta, mitochondrial OS=Arabidopsis thaliana GN=ETFB PE=1 SV=1</t>
  </si>
  <si>
    <t>D-alanine--D-alanine ligase OS=Streptococcus thermophilus (strain CNRZ 1066) GN=ddl PE=3 SV=1</t>
  </si>
  <si>
    <t>Streptococcus thermophilus</t>
  </si>
  <si>
    <t>Sodium/hydrogen exchanger 2 OS=Arabidopsis thaliana GN=NHX2 PE=2 SV=2</t>
  </si>
  <si>
    <t>Probable serine/threonine-protein kinase DDB_G0272254 OS=Dictyostelium discoideum GN=DDB_G0272254 PE=3 SV=1</t>
  </si>
  <si>
    <t>N-alpha-acetyltransferase 11 OS=Homo sapiens GN=NAA11 PE=1 SV=3</t>
  </si>
  <si>
    <t>Disease resistance protein RPS4 OS=Arabidopsis thaliana GN=RPS4 PE=1 SV=1</t>
  </si>
  <si>
    <t>Lon protease homolog 2, peroxisomal OS=Spinacia oleracea PE=2 SV=2</t>
  </si>
  <si>
    <t>Inositol 3-kinase OS=Arabidopsis thaliana GN=At5g58730 PE=2 SV=1</t>
  </si>
  <si>
    <t>Cysteine desulfurase, mitochondrial OS=Arabidopsis thaliana GN=NIFS1 PE=1 SV=1</t>
  </si>
  <si>
    <t>1-aminocyclopropane-1-carboxylate oxidase 2 OS=Malus domestica GN=ACO2 PE=2 SV=1</t>
  </si>
  <si>
    <t>Transcription factor PIF3 OS=Arabidopsis thaliana GN=PIF3 PE=1 SV=1</t>
  </si>
  <si>
    <t>Probable sulfate transporter 4.2 OS=Arabidopsis thaliana GN=SULTR4;2 PE=2 SV=2</t>
  </si>
  <si>
    <t>Protein CDC73 homolog OS=Arabidopsis thaliana GN=CDC73 PE=1 SV=1</t>
  </si>
  <si>
    <t>DEAD-box ATP-dependent RNA helicase 18 OS=Arabidopsis thaliana GN=RH18 PE=2 SV=1</t>
  </si>
  <si>
    <t>Probable alpha-mannosidase I MNS4 OS=Arabidopsis thaliana GN=MNS4 PE=2 SV=1</t>
  </si>
  <si>
    <t>Putative cysteine-rich receptor-like protein kinase 35 OS=Arabidopsis thaliana GN=CRK35 PE=3 SV=3</t>
  </si>
  <si>
    <t>Peroxisome biogenesis protein 7 OS=Arabidopsis thaliana GN=PEX7 PE=1 SV=2</t>
  </si>
  <si>
    <t>QWRF motif-containing protein 3 OS=Arabidopsis thaliana GN=QWRF3 PE=2 SV=1</t>
  </si>
  <si>
    <t>Uncharacterized mitochondrial protein ymf11 OS=Marchantia polymorpha GN=YMF11 PE=3 SV=1</t>
  </si>
  <si>
    <t>Marchantia polymorpha</t>
  </si>
  <si>
    <t>Chaperone protein DnaJ OS=Clostridium thermocellum (strain ATCC 27405 / DSM 1237 / NBRC 103400 / NCIMB 10682 / NRRL B-4536 / VPI 7372) GN=dnaJ PE=3 SV=1</t>
  </si>
  <si>
    <t>Clostridium thermocellum</t>
  </si>
  <si>
    <t>Chaperone protein DnaJ OS=Bacillus cereus (strain B4264) GN=dnaJ PE=3 SV=1</t>
  </si>
  <si>
    <t>Indole-3-acetic acid-amido synthetase GH3.17 OS=Arabidopsis thaliana GN=GH3.17 PE=1 SV=1</t>
  </si>
  <si>
    <t>Membrin-11 OS=Arabidopsis thaliana GN=MEMB11 PE=1 SV=1</t>
  </si>
  <si>
    <t>Phytochrome type A OS=Lathyrus sativus GN=PHYA PE=3 SV=1</t>
  </si>
  <si>
    <t>Lathyrus sativus</t>
  </si>
  <si>
    <t>RNA-binding protein 28 OS=Homo sapiens GN=RBM28 PE=1 SV=3</t>
  </si>
  <si>
    <t>GDSL esterase/lipase 2 OS=Arabidopsis thaliana GN=GLIP2 PE=2 SV=1</t>
  </si>
  <si>
    <t>Protein high chlorophyll fluorescent 107 OS=Arabidopsis thaliana GN=HCF107 PE=1 SV=1</t>
  </si>
  <si>
    <t>Protein DA1-related 5 OS=Arabidopsis thaliana GN=DAR5 PE=2 SV=2</t>
  </si>
  <si>
    <t>Membrane-anchored ubiquitin-fold protein 2 OS=Arabidopsis thaliana GN=MUB2 PE=1 SV=1</t>
  </si>
  <si>
    <t>Thylakoid lumenal 17.9 kDa protein, chloroplastic OS=Arabidopsis thaliana GN=At4g24930 PE=1 SV=1</t>
  </si>
  <si>
    <t>CRIB domain-containing protein RIC7 OS=Arabidopsis thaliana GN=RIC7 PE=1 SV=1</t>
  </si>
  <si>
    <t>26S proteasome regulatory subunit 4 homolog A OS=Arabidopsis thaliana GN=RPT2A PE=1 SV=1</t>
  </si>
  <si>
    <t>Beta-hexosaminidase 1 OS=Arabidopsis thaliana GN=HEXO1 PE=1 SV=1</t>
  </si>
  <si>
    <t>Nuclear pore complex protein NUP214 OS=Arabidopsis thaliana GN=NUP214 PE=1 SV=1</t>
  </si>
  <si>
    <t>Peroxidase 73 OS=Arabidopsis thaliana GN=PER73 PE=1 SV=1</t>
  </si>
  <si>
    <t>Fanconi anemia group I protein homolog OS=Mus musculus GN=Fanci PE=1 SV=2</t>
  </si>
  <si>
    <t>Vacuolar-sorting receptor 3 OS=Arabidopsis thaliana GN=VSR3 PE=2 SV=1</t>
  </si>
  <si>
    <t>Stigma-specific STIG1-like protein 3 OS=Arabidopsis thaliana GN=At1g50720 PE=2 SV=1</t>
  </si>
  <si>
    <t>Acyl-coenzyme A oxidase, peroxisomal OS=Cucurbita maxima GN=Acx PE=1 SV=1</t>
  </si>
  <si>
    <t>E3 ubiquitin-protein ligase RMA2 OS=Arabidopsis thaliana GN=RMA2 PE=1 SV=1</t>
  </si>
  <si>
    <t>Homeobox-leucine zipper protein ATHB-16 OS=Arabidopsis thaliana GN=ATHB-16 PE=2 SV=2</t>
  </si>
  <si>
    <t>Ubiquitin-conjugating enzyme E2 13 OS=Arabidopsis thaliana GN=UBC13 PE=2 SV=1</t>
  </si>
  <si>
    <t>E3 ubiquitin-protein ligase MARCH3 OS=Xenopus laevis GN=march3 PE=2 SV=1</t>
  </si>
  <si>
    <t>DnaJ homolog subfamily B member 1 OS=Mus musculus GN=Dnajb1 PE=2 SV=3</t>
  </si>
  <si>
    <t>Meiotic nuclear division protein 1 homolog OS=Arabidopsis thaliana GN=MND1 PE=1 SV=1</t>
  </si>
  <si>
    <t>DEAD-box ATP-dependent RNA helicase 8 OS=Oryza sativa subsp. japonica GN=Os02g0641800 PE=2 SV=2</t>
  </si>
  <si>
    <t>26S protease regulatory subunit 6A homolog OS=Brassica campestris GN=TBP1 PE=2 SV=1</t>
  </si>
  <si>
    <t>Putative endo-1,3(4)-beta-glucanase 2 OS=Schizosaccharomyces pombe (strain 972 / ATCC 24843) GN=eng2 PE=3 SV=1</t>
  </si>
  <si>
    <t>MAP3K epsilon protein kinase 1 OS=Arabidopsis thaliana GN=M3KE1 PE=1 SV=1</t>
  </si>
  <si>
    <t>Uncharacterized PKHD-type hydroxylase At1g22950 OS=Arabidopsis thaliana GN=At1g22950 PE=2 SV=2</t>
  </si>
  <si>
    <t>Small RNA degrading nuclease 5 OS=Arabidopsis thaliana GN=SDN5 PE=2 SV=2</t>
  </si>
  <si>
    <t>Importin subunit beta-1 OS=Arabidopsis thaliana GN=KPNB1 PE=1 SV=1</t>
  </si>
  <si>
    <t>Porphobilinogen deaminase, chloroplastic OS=Pisum sativum GN=HEMC PE=1 SV=1</t>
  </si>
  <si>
    <t>RWD domain-containing protein 1 OS=Mus musculus GN=Rwdd1 PE=1 SV=1</t>
  </si>
  <si>
    <t>Cell division protein FtsZ homolog 2-1, chloroplastic OS=Arabidopsis thaliana GN=FTSZ2-1 PE=1 SV=2</t>
  </si>
  <si>
    <t>Diaminopimelate decarboxylase 1, chloroplastic OS=Arabidopsis thaliana GN=LYSA1 PE=2 SV=1</t>
  </si>
  <si>
    <t>Zinc finger protein 622 OS=Homo sapiens GN=ZNF622 PE=1 SV=1</t>
  </si>
  <si>
    <t>E3 ubiquitin-protein ligase CHFR OS=Xenopus laevis GN=chfr PE=1 SV=1</t>
  </si>
  <si>
    <t>Phosphoinositide phosphatase SAC8 OS=Arabidopsis thaliana GN=SAC8 PE=2 SV=1</t>
  </si>
  <si>
    <t>Methyltransferase-like protein 7A OS=Homo sapiens GN=METTL7A PE=1 SV=1</t>
  </si>
  <si>
    <t>Ribosomal RNA-processing protein 8 OS=Arabidopsis thaliana GN=At5g40530 PE=2 SV=1</t>
  </si>
  <si>
    <t>L-3-cyanoalanine synthase 1, mitochondrial OS=Malus domestica GN=CAS1 PE=1 SV=1</t>
  </si>
  <si>
    <t>Light-regulated protein OS=Oryza sativa subsp. japonica GN=LIR1 PE=2 SV=1</t>
  </si>
  <si>
    <t>Probable beta-1,3-galactosyltransferase 20 OS=Arabidopsis thaliana GN=B3GALT20 PE=2 SV=1</t>
  </si>
  <si>
    <t>Non-classical arabinogalactan protein 31 OS=Arabidopsis thaliana GN=AGP31 PE=1 SV=1</t>
  </si>
  <si>
    <t>L-aspartate oxidase, chloroplastic OS=Arabidopsis thaliana GN=AO PE=1 SV=1</t>
  </si>
  <si>
    <t>14 kDa zinc-binding protein OS=Zea mays GN=ZBP14 PE=1 SV=1</t>
  </si>
  <si>
    <t>Guanine nucleotide exchange factor SPIKE 1 OS=Arabidopsis thaliana GN=SPK1 PE=1 SV=1</t>
  </si>
  <si>
    <t>Thioredoxin-like protein 4B OS=Homo sapiens GN=TXNL4B PE=1 SV=1</t>
  </si>
  <si>
    <t>Probable E3 ubiquitin-protein ligase HERC4 OS=Mus musculus GN=Herc4 PE=2 SV=2</t>
  </si>
  <si>
    <t>Elongator complex protein 2 OS=Arabidopsis thaliana GN=ELP2 PE=1 SV=1</t>
  </si>
  <si>
    <t>Zinc finger protein 6 OS=Arabidopsis thaliana GN=ZFP6 PE=2 SV=1</t>
  </si>
  <si>
    <t>ATP synthase subunit delta', mitochondrial OS=Ipomoea batatas PE=1 SV=1</t>
  </si>
  <si>
    <t>Calcium-dependent protein kinase 34 OS=Arabidopsis thaliana GN=CPK34 PE=2 SV=1</t>
  </si>
  <si>
    <t>Uncharacterized calcium-binding protein C800.10c OS=Schizosaccharomyces pombe (strain 972 / ATCC 24843) GN=SPBC800.10c PE=3 SV=1</t>
  </si>
  <si>
    <t>Tubulin gamma-1 chain OS=Arabidopsis thaliana GN=TUBG1 PE=1 SV=1</t>
  </si>
  <si>
    <t>Ubiquinone biosynthesis O-methyltransferase, mitochondrial OS=Arabidopsis thaliana GN=COQ3 PE=2 SV=2</t>
  </si>
  <si>
    <t>Phenylalanine--tRNA ligase, chloroplastic/mitochondrial OS=Arabidopsis thaliana GN=At3g58140 PE=2 SV=1</t>
  </si>
  <si>
    <t>Serine/threonine-protein kinase GRIK1 OS=Arabidopsis thaliana GN=GRIK1 PE=1 SV=1</t>
  </si>
  <si>
    <t>Equilibrative nucleotide transporter 1 OS=Arabidopsis thaliana GN=ENT1 PE=1 SV=1</t>
  </si>
  <si>
    <t>Flavonoid 3',5'-hydroxylase OS=Solanum melongena GN=CYP75A2 PE=2 SV=1</t>
  </si>
  <si>
    <t>Protein CIA1 OS=Arabidopsis thaliana GN=CIA1 PE=1 SV=2</t>
  </si>
  <si>
    <t>Alcohol dehydrogenase-like 6 OS=Arabidopsis thaliana GN=At5g24760 PE=2 SV=2</t>
  </si>
  <si>
    <t>Stachyose synthase OS=Pisum sativum GN=STS1 PE=1 SV=1</t>
  </si>
  <si>
    <t>E3 SUMO-protein ligase MMS21 OS=Arabidopsis thaliana GN=MMS21 PE=1 SV=1</t>
  </si>
  <si>
    <t>Phospholipase D beta 1 OS=Arabidopsis thaliana GN=PLDBETA1 PE=2 SV=4</t>
  </si>
  <si>
    <t>Delta(7)-sterol-C5(6)-desaturase OS=Nicotiana tabacum PE=2 SV=1</t>
  </si>
  <si>
    <t>Glutathione S-transferase zeta class OS=Euphorbia esula PE=2 SV=1</t>
  </si>
  <si>
    <t>Alpha/beta hydrolase domain-containing protein 17A OS=Homo sapiens GN=ABHD17A PE=1 SV=1</t>
  </si>
  <si>
    <t>Alanine aminotransferase 2, mitochondrial OS=Arabidopsis thaliana GN=ALAAT2 PE=2 SV=1</t>
  </si>
  <si>
    <t>Homeobox-leucine zipper protein HDG1 OS=Arabidopsis thaliana GN=HDG1 PE=2 SV=1</t>
  </si>
  <si>
    <t>Soyasaponin III rhamnosyltransferase OS=Glycine max GN=GmSGT3 PE=1 SV=1</t>
  </si>
  <si>
    <t>Protein CUP-SHAPED COTYLEDON 2 OS=Arabidopsis thaliana GN=NAC098 PE=1 SV=1</t>
  </si>
  <si>
    <t>Probable microtubule-binding protein TANGLED OS=Arabidopsis thaliana GN=TAN PE=2 SV=1</t>
  </si>
  <si>
    <t>Probable 28S rRNA (cytosine(4447)-C(5))-methyltransferase OS=Homo sapiens GN=NOP2 PE=1 SV=2</t>
  </si>
  <si>
    <t>ABC transporter B family member 12 OS=Arabidopsis thaliana GN=ABCB12 PE=2 SV=2</t>
  </si>
  <si>
    <t>Omega-3 fatty acid desaturase, chloroplastic OS=Ricinus communis GN=FAD7A-1 PE=2 SV=1</t>
  </si>
  <si>
    <t>Protein FAR1-RELATED SEQUENCE 1 OS=Arabidopsis thaliana GN=FRS1 PE=1 SV=1</t>
  </si>
  <si>
    <t>Protein FAM179B OS=Mus musculus GN=Fam179b PE=3 SV=3</t>
  </si>
  <si>
    <t>Proline-rich receptor-like protein kinase PERK10 OS=Arabidopsis thaliana GN=PERK10 PE=2 SV=2</t>
  </si>
  <si>
    <t>Ubiquitin carboxyl-terminal hydrolase 24 OS=Arabidopsis thaliana GN=UBP24 PE=1 SV=1</t>
  </si>
  <si>
    <t>DEAD-box ATP-dependent RNA helicase 8 OS=Arabidopsis thaliana GN=RH8 PE=2 SV=1</t>
  </si>
  <si>
    <t>(R)-mandelonitrile lyase 4 OS=Prunus serotina GN=MDL4 PE=2 SV=1</t>
  </si>
  <si>
    <t>Translation initiation factor eIF-2B subunit beta OS=Dictyostelium discoideum GN=eif2b2 PE=3 SV=1</t>
  </si>
  <si>
    <t>Serine/threonine-protein kinase SRK2E OS=Arabidopsis thaliana GN=SRK2E PE=1 SV=1</t>
  </si>
  <si>
    <t>Probable S-adenosylmethionine-dependent methyltransferase At5g38100 OS=Arabidopsis thaliana GN=At5g38100 PE=2 SV=1</t>
  </si>
  <si>
    <t>Protein RRNAD1 OS=Homo sapiens GN=RRNAD1 PE=2 SV=2</t>
  </si>
  <si>
    <t>Ketohexokinase OS=Homo sapiens GN=KHK PE=1 SV=2</t>
  </si>
  <si>
    <t>Probable beta-1,3-galactosyltransferase 9 OS=Arabidopsis thaliana GN=B3GALT9 PE=2 SV=1</t>
  </si>
  <si>
    <t>STS14 protein OS=Solanum tuberosum GN=STS14 PE=2 SV=1</t>
  </si>
  <si>
    <t>Protein pleiotropic regulatory locus 1 OS=Arabidopsis thaliana GN=PRL1 PE=1 SV=1</t>
  </si>
  <si>
    <t>Non-specific lipid-transfer protein 1 OS=Prunus persica PE=1 SV=1</t>
  </si>
  <si>
    <t>Peptidyl-prolyl cis-trans isomerase FKBP20-1 OS=Arabidopsis thaliana GN=FKBP20-1 PE=1 SV=1</t>
  </si>
  <si>
    <t>Protein disulfide isomerase-like 1-4 OS=Arabidopsis thaliana GN=PDIL1-4 PE=1 SV=1</t>
  </si>
  <si>
    <t>F-box protein Gid2 OS=Arabidopsis thaliana GN=Gid2 PE=1 SV=1</t>
  </si>
  <si>
    <t>Superoxide dismutase [Cu-Zn], chloroplastic OS=Solidago canadensis var. scabra GN=SODCP PE=2 SV=1</t>
  </si>
  <si>
    <t>Solidago canadensis</t>
  </si>
  <si>
    <t>Peroxidase 43 OS=Arabidopsis thaliana GN=PER43 PE=3 SV=2</t>
  </si>
  <si>
    <t>Formimidoyltransferase-cyclodeaminase OS=Sus scrofa GN=FTCD PE=1 SV=1</t>
  </si>
  <si>
    <t>Pentatricopeptide repeat-containing protein At5g02830, chloroplastic OS=Arabidopsis thaliana GN=At5g02830 PE=2 SV=3</t>
  </si>
  <si>
    <t>Oleosin 21.2 kDa OS=Arabidopsis thaliana GN=At5g40420 PE=1 SV=1</t>
  </si>
  <si>
    <t>High affinity sulfate transporter 1 OS=Stylosanthes hamata GN=ST1 PE=2 SV=1</t>
  </si>
  <si>
    <t>Putative movement protein OS=Apple chlorotic leaf spot virus (isolate apple) PE=3 SV=1</t>
  </si>
  <si>
    <t>Cysteine proteinase 1 OS=Zea mays GN=CCP1 PE=2 SV=1</t>
  </si>
  <si>
    <t>DCN1-like protein 2 OS=Dictyostelium discoideum GN=DDB_G0272016 PE=3 SV=1</t>
  </si>
  <si>
    <t>target of Myb protein 1 OS=Homo sapiens GN=TOM1 PE=1 SV=2</t>
  </si>
  <si>
    <t>Kinesin-like protein KIF11-B OS=Xenopus laevis GN=kif11-b PE=1 SV=2</t>
  </si>
  <si>
    <t>Xylulose kinase OS=Homo sapiens GN=XYLB PE=1 SV=3</t>
  </si>
  <si>
    <t>Anthocyanidin reductase OS=Arabidopsis thaliana GN=BAN PE=1 SV=2</t>
  </si>
  <si>
    <t>DNA-directed RNA polymerases II, IV and V subunit 11 OS=Arabidopsis thaliana GN=NRPB11 PE=1 SV=1</t>
  </si>
  <si>
    <t>PRA1 family protein H OS=Arabidopsis thaliana GN=PRA1H PE=2 SV=1</t>
  </si>
  <si>
    <t>Cellulose synthase A catalytic subunit 4 [UDP-forming] OS=Arabidopsis thaliana GN=CESA4 PE=1 SV=1</t>
  </si>
  <si>
    <t>Ethylene-responsive transcription factor ERF061 OS=Arabidopsis thaliana GN=ERF061 PE=2 SV=1</t>
  </si>
  <si>
    <t>Cytosolic sulfotransferase 15 OS=Arabidopsis thaliana GN=SOT15 PE=1 SV=1</t>
  </si>
  <si>
    <t>Oleosin 1 OS=Prunus dulcis GN=OLE1 PE=2 SV=1</t>
  </si>
  <si>
    <t>Cytochrome P450 86B1 OS=Arabidopsis thaliana GN=CYP86B1 PE=2 SV=1</t>
  </si>
  <si>
    <t>Protein kish-A OS=Danio rerio GN=tmem167a PE=3 SV=1</t>
  </si>
  <si>
    <t>Protein O-glucosyltransferase 1 OS=Homo sapiens GN=POGLUT1 PE=1 SV=1</t>
  </si>
  <si>
    <t>Dynein light chain 1, cytoplasmic OS=Rattus norvegicus GN=Dynll1 PE=1 SV=1</t>
  </si>
  <si>
    <t>Myosin-9 OS=Arabidopsis thaliana GN=XI-C PE=2 SV=1</t>
  </si>
  <si>
    <t>Isoflavone 2'-hydroxylase OS=Medicago truncatula GN=CYP81E7 PE=1 SV=1</t>
  </si>
  <si>
    <t>Urease accessory protein D OS=Arabidopsis thaliana GN=URED PE=2 SV=1</t>
  </si>
  <si>
    <t>Cysteine-rich receptor-like protein kinase 8 OS=Arabidopsis thaliana GN=CRK8 PE=3 SV=2</t>
  </si>
  <si>
    <t>Protein trichome birefringence-like 26 OS=Arabidopsis thaliana GN=TBL26 PE=2 SV=1</t>
  </si>
  <si>
    <t>NADPH--cytochrome P450 reductase OS=Catharanthus roseus GN=CPR PE=2 SV=1</t>
  </si>
  <si>
    <t>17.5 kDa class I heat shock protein OS=Glycine max GN=HSP17.5-M PE=3 SV=1</t>
  </si>
  <si>
    <t>Peptidyl-prolyl cis-trans isomerase FKBP13, chloroplastic OS=Arabidopsis thaliana GN=FKBP13 PE=1 SV=2</t>
  </si>
  <si>
    <t>Cytokinin riboside 5'-monophosphate phosphoribohydrolase LOG5 OS=Arabidopsis thaliana GN=LOG5 PE=1 SV=1</t>
  </si>
  <si>
    <t>Chitinase domain-containing protein 1 OS=Xenopus tropicalis GN=chid1 PE=2 SV=1</t>
  </si>
  <si>
    <t>Probable nucleoside diphosphate kinase 5 OS=Arabidopsis thaliana GN=At1g17410 PE=2 SV=1</t>
  </si>
  <si>
    <t>Vesicle transport protein GOT1A OS=Mus musculus GN=Golt1a PE=2 SV=1</t>
  </si>
  <si>
    <t>F-box/LRR-repeat protein 10 OS=Arabidopsis thaliana GN=FBL10 PE=2 SV=1</t>
  </si>
  <si>
    <t>Sulfiredoxin, chloroplastic/mitochondrial OS=Arabidopsis thaliana GN=SRX PE=1 SV=1</t>
  </si>
  <si>
    <t>Amino acid permease 8 OS=Arabidopsis thaliana GN=AAP8 PE=1 SV=1</t>
  </si>
  <si>
    <t>Uncharacterized oxidoreductase At1g06690, chloroplastic OS=Arabidopsis thaliana GN=At1g06690 PE=2 SV=1</t>
  </si>
  <si>
    <t>Vesicle transport protein GOT1B OS=Mus musculus GN=Golt1b PE=2 SV=1</t>
  </si>
  <si>
    <t>Probable inactive poly [ADP-ribose] polymerase SRO2 OS=Arabidopsis thaliana GN=SRO2 PE=1 SV=1</t>
  </si>
  <si>
    <t>DNA repair protein recA homolog 2, mitochondrial OS=Arabidopsis thaliana GN=At3g10140 PE=2 SV=1</t>
  </si>
  <si>
    <t>tRNA (guanine(26)-N(2))-dimethyltransferase OS=Methanothermobacter thermautotrophicus (strain ATCC 29096 / DSM 1053 / JCM 10044 / NBRC 100330 / Delta H) GN=trm1 PE=3 SV=1</t>
  </si>
  <si>
    <t>Very-long-chain 3-oxoacyl-CoA reductase 1 OS=Arabidopsis thaliana GN=KCR1 PE=1 SV=1</t>
  </si>
  <si>
    <t>DEAD-box ATP-dependent RNA helicase 53 OS=Arabidopsis thaliana GN=RH53 PE=2 SV=1</t>
  </si>
  <si>
    <t>Ribulose bisphosphate carboxylase small chain, chloroplastic OS=Marchantia paleacea GN=RBCS PE=2 SV=1</t>
  </si>
  <si>
    <t>Marchantia paleacea</t>
  </si>
  <si>
    <t>Serine acetyltransferase 5 OS=Arabidopsis thaliana GN=SAT5 PE=1 SV=1</t>
  </si>
  <si>
    <t>ATP-dependent helicase BRM OS=Arabidopsis thaliana GN=BRM PE=1 SV=1</t>
  </si>
  <si>
    <t>Probable protein phosphatase 2C 72 OS=Arabidopsis thaliana GN=At5g26010 PE=2 SV=2</t>
  </si>
  <si>
    <t>tRNA (adenine(58)-N(1))-methyltransferase catalytic subunit trmt61a OS=Dictyostelium discoideum GN=trmt61a PE=1 SV=1</t>
  </si>
  <si>
    <t>Plant intracellular Ras-group-related LRR protein 9 OS=Arabidopsis thaliana GN=PIRL9 PE=2 SV=1</t>
  </si>
  <si>
    <t>Probable DEAD-box ATP-dependent RNA helicase 48 OS=Arabidopsis thaliana GN=RH48 PE=3 SV=1</t>
  </si>
  <si>
    <t>Probable LRR receptor-like serine/threonine-protein kinase At2g23950 OS=Arabidopsis thaliana GN=At2g23950 PE=2 SV=1</t>
  </si>
  <si>
    <t>Calcium-binding mitochondrial carrier protein SCaMC-3 OS=Homo sapiens GN=SLC25A23 PE=1 SV=2</t>
  </si>
  <si>
    <t>Protein NEN2 OS=Arabidopsis thaliana GN=NEN2 PE=2 SV=1</t>
  </si>
  <si>
    <t>Mitochondrial import inner membrane translocase subunit TIM44-2 OS=Arabidopsis thaliana GN=TIM44-2 PE=1 SV=1</t>
  </si>
  <si>
    <t>Transmembrane protein 245 OS=Rattus norvegicus GN=Tmem245 PE=3 SV=1</t>
  </si>
  <si>
    <t>Lysine-specific demethylase REF6 OS=Arabidopsis thaliana GN=REF6 PE=1 SV=1</t>
  </si>
  <si>
    <t>DNA-directed RNA polymerases II, IV and V subunit 9A OS=Arabidopsis thaliana GN=NRPB9A PE=1 SV=1</t>
  </si>
  <si>
    <t>Protein ABIL1 OS=Arabidopsis thaliana GN=ABIL1 PE=1 SV=1</t>
  </si>
  <si>
    <t>GTP-binding protein At3g49725, chloroplastic OS=Arabidopsis thaliana GN=At3g49725 PE=2 SV=2</t>
  </si>
  <si>
    <t>Peptide deformylase 1A, chloroplastic/mitochondrial OS=Arabidopsis thaliana GN=PDF1A PE=1 SV=3</t>
  </si>
  <si>
    <t>DELLA protein GAIP-B OS=Cucurbita maxima GN=GAIPB PE=2 SV=1</t>
  </si>
  <si>
    <t>40S ribosomal protein S17 OS=Solanum lycopersicum GN=RPS17 PE=2 SV=3</t>
  </si>
  <si>
    <t>Phosphatidylinositol 3-kinase, root isoform OS=Glycine max PE=2 SV=1</t>
  </si>
  <si>
    <t>Ran guanine nucleotide release factor OS=Mus musculus GN=Rangrf PE=1 SV=1</t>
  </si>
  <si>
    <t>F-box only protein 21 OS=Pongo abelii GN=FBXO21 PE=2 SV=1</t>
  </si>
  <si>
    <t>50S ribosomal protein L1, chloroplastic (Fragment) OS=Pisum sativum GN=RPL1 PE=2 SV=1</t>
  </si>
  <si>
    <t>Transmembrane protein 208 OS=Danio rerio GN=tmem208 PE=2 SV=1</t>
  </si>
  <si>
    <t>Pyrroline-5-carboxylate reductase OS=Glycine max PE=2 SV=1</t>
  </si>
  <si>
    <t>Protein FLC EXPRESSOR OS=Arabidopsis thaliana GN=FLX PE=1 SV=1</t>
  </si>
  <si>
    <t>WW domain-binding protein 4 OS=Gallus gallus GN=WBP4 PE=2 SV=1</t>
  </si>
  <si>
    <t>Beta-1,3-galactosyltransferase 15 OS=Arabidopsis thaliana GN=B3GALT15 PE=2 SV=1</t>
  </si>
  <si>
    <t>GTPase Era OS=Geobacter metallireducens (strain GS-15 / ATCC 53774 / DSM 7210) GN=era PE=3 SV=1</t>
  </si>
  <si>
    <t>Geobacter metallireducens</t>
  </si>
  <si>
    <t>Lysine histidine transporter 1 OS=Arabidopsis thaliana GN=LHT1 PE=1 SV=1</t>
  </si>
  <si>
    <t>BRCT domain-containing protein At4g02110 OS=Arabidopsis thaliana GN=At4g02110 PE=3 SV=3</t>
  </si>
  <si>
    <t>Disease resistance protein RPS2 OS=Arabidopsis thaliana GN=RPS2 PE=1 SV=1</t>
  </si>
  <si>
    <t>Putative zinc transporter At3g08650 OS=Arabidopsis thaliana GN=At3g08650 PE=2 SV=2</t>
  </si>
  <si>
    <t>ATP-dependent zinc metalloprotease FtsH OS=Syntrophobacter fumaroxidans (strain DSM 10017 / MPOB) GN=ftsH PE=3 SV=1</t>
  </si>
  <si>
    <t>Syntrophobacter fumaroxidans</t>
  </si>
  <si>
    <t>50S ribosomal protein HLP, mitochondrial OS=Arabidopsis thaliana GN=HLP PE=2 SV=1</t>
  </si>
  <si>
    <t>Hypersensitive-induced response protein 4 OS=Arabidopsis thaliana GN=HIR4 PE=1 SV=1</t>
  </si>
  <si>
    <t>Protein NAP1 OS=Arabidopsis thaliana GN=NAP1 PE=1 SV=2</t>
  </si>
  <si>
    <t>Squamosa promoter-binding-like protein 4 OS=Arabidopsis thaliana GN=SPL4 PE=1 SV=1</t>
  </si>
  <si>
    <t>Hippocampus abundant transcript 1 protein OS=Homo sapiens GN=HIAT1 PE=2 SV=2</t>
  </si>
  <si>
    <t>Wall-associated receptor kinase-like 22 OS=Arabidopsis thaliana GN=WAKL22 PE=2 SV=1</t>
  </si>
  <si>
    <t>TATA-binding protein-associated factor BTAF1 OS=Arabidopsis thaliana GN=BTAF1 PE=1 SV=1</t>
  </si>
  <si>
    <t>Factor of DNA methylation 4 OS=Arabidopsis thaliana GN=FDM4 PE=4 SV=1</t>
  </si>
  <si>
    <t>Chaperone protein dnaJ 50 OS=Arabidopsis thaliana GN=C50 PE=2 SV=1</t>
  </si>
  <si>
    <t>U4/U6.U5 tri-snRNP-associated protein 2 OS=Homo sapiens GN=USP39 PE=1 SV=2</t>
  </si>
  <si>
    <t>Adrenodoxin-like protein, mitochondrial OS=Mus musculus GN=Fdx1l PE=2 SV=1</t>
  </si>
  <si>
    <t>Vesicle-associated membrane protein 713 OS=Arabidopsis thaliana GN=VAMP713 PE=2 SV=1</t>
  </si>
  <si>
    <t>Pre-mRNA-splicing factor 18 OS=Bos taurus GN=PRPF18 PE=2 SV=1</t>
  </si>
  <si>
    <t>Zinc finger protein CONSTANS-LIKE 2 OS=Arabidopsis thaliana GN=COL2 PE=1 SV=1</t>
  </si>
  <si>
    <t>E3 ubiquitin-protein ligase listerin OS=Arabidopsis thaliana GN=At5g58410 PE=3 SV=1</t>
  </si>
  <si>
    <t>Protein NRT1/ PTR FAMILY 8.3 OS=Arabidopsis thaliana GN=NPF8.3 PE=1 SV=1</t>
  </si>
  <si>
    <t>Methyl-CpG-binding domain-containing protein 7 OS=Arabidopsis thaliana GN=MBD7 PE=1 SV=1</t>
  </si>
  <si>
    <t>UDP-N-acetylglucosamine--N-acetylmuramyl-(pentapeptide) pyrophosphoryl-undecaprenol N-acetylglucosamine transferase OS=Flavobacterium psychrophilum (strain JIP02/86 / ATCC 49511) GN=murG PE=3 SV=1</t>
  </si>
  <si>
    <t>Flavobacterium psychrophilum</t>
  </si>
  <si>
    <t>Homogentisate 1,2-dioxygenase OS=Arabidopsis thaliana GN=HGO PE=2 SV=2</t>
  </si>
  <si>
    <t>Altered inheritance of mitochondria protein 32 OS=Zygosaccharomyces rouxii (strain ATCC 2623 / CBS 732 / NBRC 1130 / NCYC 568 / NRRL Y-229) GN=AIM32 PE=3 SV=1</t>
  </si>
  <si>
    <t>Zygosaccharomyces rouxii</t>
  </si>
  <si>
    <t>Probable serine/threonine-protein kinase cdc7 OS=Dictyostelium discoideum GN=cdc7 PE=3 SV=1</t>
  </si>
  <si>
    <t>Expansin-like A2 OS=Arabidopsis thaliana GN=EXLA2 PE=2 SV=1</t>
  </si>
  <si>
    <t>Putative transporter arsB OS=Dictyostelium discoideum GN=arsB PE=2 SV=1</t>
  </si>
  <si>
    <t>Phosphoribosylamine--glycine ligase, chloroplastic OS=Arabidopsis thaliana GN=PUR2 PE=2 SV=2</t>
  </si>
  <si>
    <t>Pentatricopeptide repeat-containing protein At2g01860 OS=Arabidopsis thaliana GN=EMB975 PE=2 SV=1</t>
  </si>
  <si>
    <t>Cytochrome P450 97B2, chloroplastic OS=Glycine max GN=CYP97B2 PE=2 SV=1</t>
  </si>
  <si>
    <t>Exosome complex component RRP42 OS=Homo sapiens GN=EXOSC7 PE=1 SV=3</t>
  </si>
  <si>
    <t>Germin-like protein 11-1 OS=Oryza sativa subsp. japonica GN=Os11g0537300 PE=2 SV=1</t>
  </si>
  <si>
    <t>Probable prolyl 4-hydroxylase 4 OS=Arabidopsis thaliana GN=P4H4 PE=2 SV=1</t>
  </si>
  <si>
    <t>Mitochondrial import inner membrane translocase subunit TIM17-1 OS=Arabidopsis thaliana GN=TIM17-1 PE=2 SV=1</t>
  </si>
  <si>
    <t>Peroxisomal adenine nucleotide carrier 1 OS=Arabidopsis thaliana GN=PNC1 PE=1 SV=1</t>
  </si>
  <si>
    <t>50S ribosomal protein L20, chloroplastic OS=Platanus occidentalis GN=rpl20 PE=3 SV=1</t>
  </si>
  <si>
    <t>Probable auxin efflux carrier component 6 OS=Arabidopsis thaliana GN=PIN6 PE=2 SV=2</t>
  </si>
  <si>
    <t>Probable pectinesterase/pectinesterase inhibitor 34 OS=Arabidopsis thaliana GN=PME34 PE=2 SV=1</t>
  </si>
  <si>
    <t>GDSL esterase/lipase At5g45950 OS=Arabidopsis thaliana GN=At5g45950 PE=2 SV=1</t>
  </si>
  <si>
    <t>Regulatory protein NPR5 OS=Arabidopsis thaliana GN=NPR5 PE=1 SV=1</t>
  </si>
  <si>
    <t>Small ubiquitin-related modifier 1 OS=Arabidopsis thaliana GN=SUMO1 PE=1 SV=2</t>
  </si>
  <si>
    <t>WD repeat-containing protein RUP2 OS=Arabidopsis thaliana GN=RUP2 PE=1 SV=1</t>
  </si>
  <si>
    <t>Protein BREAST CANCER SUSCEPTIBILITY 2 homolog B OS=Arabidopsis thaliana GN=BRCA2B PE=1 SV=1</t>
  </si>
  <si>
    <t>Putative homeobox-leucine zipper protein ATHB-51 OS=Arabidopsis thaliana GN=ATHB-51 PE=2 SV=2</t>
  </si>
  <si>
    <t>Myosin-14 OS=Arabidopsis thaliana GN=XI-H PE=3 SV=1</t>
  </si>
  <si>
    <t>Secretory carrier-associated membrane protein 5 OS=Arabidopsis thaliana GN=SCAMP5 PE=2 SV=2</t>
  </si>
  <si>
    <t>Protein kinase APK1B, chloroplastic OS=Arabidopsis thaliana GN=APK1B PE=2 SV=2</t>
  </si>
  <si>
    <t>Rop guanine nucleotide exchange factor 3 OS=Arabidopsis thaliana GN=ROPGEF3 PE=2 SV=1</t>
  </si>
  <si>
    <t>Zinc finger AN1 and C2H2 domain-containing stress-associated protein 11 OS=Arabidopsis thaliana GN=SAP11 PE=2 SV=1</t>
  </si>
  <si>
    <t>Glutamine synthetase cytosolic isozyme OS=Lotus japonicus GN=GLN1 PE=2 SV=2</t>
  </si>
  <si>
    <t>Homeobox protein knotted-1-like 2 OS=Malus domestica PE=2 SV=1</t>
  </si>
  <si>
    <t>Protein SCO1 homolog 2, mitochondrial OS=Arabidopsis thaliana GN=HCC2 PE=2 SV=1</t>
  </si>
  <si>
    <t>G2/mitotic-specific cyclin-2 OS=Medicago sativa subsp. varia PE=2 SV=1</t>
  </si>
  <si>
    <t>Methyl-CpG-binding domain-containing protein 11 OS=Arabidopsis thaliana GN=MBD11 PE=1 SV=1</t>
  </si>
  <si>
    <t>WRKY transcription factor 1 OS=Arabidopsis thaliana GN=WRKY1 PE=1 SV=1</t>
  </si>
  <si>
    <t>Transcription factor bHLH137 OS=Arabidopsis thaliana GN=BHLH137 PE=2 SV=1</t>
  </si>
  <si>
    <t>RNA polymerase II-associated protein 3 OS=Xenopus laevis GN=rpap3 PE=2 SV=1</t>
  </si>
  <si>
    <t>60S ribosomal protein L22-2 OS=Arabidopsis thaliana GN=RPL22B PE=2 SV=1</t>
  </si>
  <si>
    <t>Protein PLASTid TRANSCRIPTIONALLY ACTIVE 14 OS=Arabidopsis thaliana GN=PTAC14 PE=1 SV=1</t>
  </si>
  <si>
    <t>Calcineurin B-like protein 7 OS=Oryza sativa subsp. japonica GN=CBL7 PE=2 SV=1</t>
  </si>
  <si>
    <t>Cytochrome P450 76C4 OS=Arabidopsis thaliana GN=CYP76C4 PE=3 SV=1</t>
  </si>
  <si>
    <t>Glutamate receptor 1.4 OS=Arabidopsis thaliana GN=GLR1.4 PE=2 SV=2</t>
  </si>
  <si>
    <t>Probable calcium-binding protein CML20 OS=Arabidopsis thaliana GN=CML20 PE=1 SV=1</t>
  </si>
  <si>
    <t>UDP-arabinopyranose mutase 1 OS=Arabidopsis thaliana GN=RGP1 PE=1 SV=1</t>
  </si>
  <si>
    <t>Uncharacterized sugar kinase YeiI OS=Escherichia coli (strain K12) GN=yeiI PE=3 SV=2</t>
  </si>
  <si>
    <t>Glucose-6-phosphate/phosphate translocator 1, chloroplastic OS=Arabidopsis thaliana GN=GPT1 PE=2 SV=1</t>
  </si>
  <si>
    <t>RNA-directed DNA polymerase homolog OS=Oenothera berteroana PE=4 SV=1</t>
  </si>
  <si>
    <t>Pre-mRNA-splicing factor syf2 OS=Xenopus tropicalis GN=syf2 PE=2 SV=1</t>
  </si>
  <si>
    <t>Eukaryotic translation initiation factor 3 subunit I OS=Arabidopsis thaliana GN=TIF3I1 PE=2 SV=2</t>
  </si>
  <si>
    <t>Quinate permease OS=Neurospora africana GN=qa-y PE=3 SV=1</t>
  </si>
  <si>
    <t>Neurospora africana</t>
  </si>
  <si>
    <t>Peroxidase 5 OS=Vitis vinifera GN=GSVIVT00037159001 PE=1 SV=2</t>
  </si>
  <si>
    <t>F-box protein At1g78280 OS=Arabidopsis thaliana GN=At1g78280 PE=2 SV=3</t>
  </si>
  <si>
    <t>Seed biotin-containing protein SBP65 OS=Glycine max GN=SBP65 PE=2 SV=1</t>
  </si>
  <si>
    <t>Nuclear transcription factor Y subunit B-5 OS=Arabidopsis thaliana GN=NFYB5 PE=2 SV=1</t>
  </si>
  <si>
    <t>V-type proton ATPase catalytic subunit A OS=Citrus unshiu PE=2 SV=1</t>
  </si>
  <si>
    <t>Cytochrome P450 71A9 OS=Glycine max GN=CYP71A9 PE=2 SV=1</t>
  </si>
  <si>
    <t>ABC transporter C family member 14 OS=Arabidopsis thaliana GN=ABCC14 PE=1 SV=1</t>
  </si>
  <si>
    <t>G-type lectin S-receptor-like serine/threonine-protein kinase At1g61430 OS=Arabidopsis thaliana GN=At1g61430 PE=2 SV=2</t>
  </si>
  <si>
    <t>Probable endo-beta-1,4-glucanase D OS=Aspergillus oryzae (strain ATCC 42149 / RIB 40) GN=eglD PE=3 SV=1</t>
  </si>
  <si>
    <t>Endo-1,3(4)-beta-glucanase 1 OS=Saccharomyces cerevisiae (strain ATCC 204508 / S288c) GN=DSE4 PE=1 SV=1</t>
  </si>
  <si>
    <t>S-adenosylmethionine mitochondrial carrier protein OS=Xenopus tropicalis GN=slc25a26 PE=2 SV=1</t>
  </si>
  <si>
    <t>Preprotein translocase subunit SCY1, chloroplastic OS=Arabidopsis thaliana GN=SCY1 PE=1 SV=2</t>
  </si>
  <si>
    <t>G2/mitotic-specific cyclin S13-6 OS=Glycine max PE=2 SV=1</t>
  </si>
  <si>
    <t>Phospholipase ABHD3 OS=Mus musculus GN=Abhd3 PE=2 SV=1</t>
  </si>
  <si>
    <t>Inositol hexakisphosphate and diphosphoinositol-pentakisphosphate kinase 1 OS=Homo sapiens GN=PPIP5K1 PE=1 SV=1</t>
  </si>
  <si>
    <t>Enolase OS=Oryza sativa subsp. japonica GN=ENO1 PE=1 SV=2</t>
  </si>
  <si>
    <t>BTB/POZ domain-containing protein At1g03010 OS=Arabidopsis thaliana GN=At1g03010 PE=2 SV=1</t>
  </si>
  <si>
    <t>Glutamate receptor 2.5 OS=Arabidopsis thaliana GN=GLR2.5 PE=2 SV=2</t>
  </si>
  <si>
    <t>Non-specific lipid-transfer protein 1 OS=Solanum lycopersicum GN=TSW12 PE=2 SV=1</t>
  </si>
  <si>
    <t>tRNA dimethylallyltransferase 9 OS=Arabidopsis thaliana GN=IPT9 PE=2 SV=1</t>
  </si>
  <si>
    <t>Serine/threonine-protein kinase TOR OS=Arabidopsis thaliana GN=TOR PE=1 SV=1</t>
  </si>
  <si>
    <t>Nuclear receptor corepressor 1 OS=Xenopus tropicalis GN=ncor1 PE=2 SV=1</t>
  </si>
  <si>
    <t>Abscisic acid 8'-hydroxylase 3 OS=Oryza sativa subsp. indica GN=CYP707A7 PE=3 SV=1</t>
  </si>
  <si>
    <t>ACD11 homolog protein OS=Arabidopsis thaliana GN=At4g39670 PE=2 SV=1</t>
  </si>
  <si>
    <t>BTB/POZ domain-containing protein At2g04740 OS=Arabidopsis thaliana GN=At2g04740 PE=2 SV=2</t>
  </si>
  <si>
    <t>Thioredoxin domain-containing protein 9 homolog OS=Arabidopsis thaliana GN=At2g18990 PE=2 SV=1</t>
  </si>
  <si>
    <t>Protein CHROMOSOME TRANSMISSION FidELITY 7 OS=Arabidopsis thaliana GN=CTF7 PE=1 SV=1</t>
  </si>
  <si>
    <t>DEAD-box ATP-dependent RNA helicase 3, chloroplastic OS=Arabidopsis thaliana GN=RH3 PE=1 SV=2</t>
  </si>
  <si>
    <t>Uncharacterized protein PAM68-like OS=Arabidopsis thaliana GN=At5g52780 PE=2 SV=1</t>
  </si>
  <si>
    <t>Tankyrase-2 OS=Mus musculus GN=Tnks2 PE=2 SV=2</t>
  </si>
  <si>
    <t>CRS2-associated factor 2, mitochondrial OS=Arabidopsis thaliana GN=At5g54890 PE=2 SV=1</t>
  </si>
  <si>
    <t>Ubiquitin carboxyl-terminal hydrolase 15 OS=Arabidopsis thaliana GN=UBP15 PE=2 SV=2</t>
  </si>
  <si>
    <t>Mitochondrial zinc maintenance protein 1, mitochondrial OS=Phaeosphaeria nodorum (strain SN15 / ATCC MYA-4574 / FGSC 10173) GN=MZM1 PE=3 SV=2</t>
  </si>
  <si>
    <t>UPF0565 protein C2orf69 homolog OS=Danio rerio GN=zgc:153521 PE=2 SV=1</t>
  </si>
  <si>
    <t>Ubiquitin-40S ribosomal protein S27a OS=Solanum tuberosum GN=UBI3 PE=2 SV=2</t>
  </si>
  <si>
    <t>Factor of DNA methylation 1 OS=Arabidopsis thaliana GN=FDM1 PE=1 SV=1</t>
  </si>
  <si>
    <t>Probable WRKY transcription factor 74 OS=Arabidopsis thaliana GN=WRKY74 PE=2 SV=2</t>
  </si>
  <si>
    <t>Calcium uniporter protein 4, mitochondrial OS=Arabidopsis thaliana GN=At5g42610 PE=2 SV=1</t>
  </si>
  <si>
    <t>L-arabinokinase OS=Arabidopsis thaliana GN=ARA1 PE=1 SV=1</t>
  </si>
  <si>
    <t>Heat stress transcription factor A-5 OS=Arabidopsis thaliana GN=HSFA5 PE=2 SV=1</t>
  </si>
  <si>
    <t>Pentatricopeptide repeat-containing protein At2g04860 OS=Arabidopsis thaliana GN=PCMP-E74 PE=2 SV=3</t>
  </si>
  <si>
    <t>Uncharacterized N-acetyltransferase ycf52 OS=Pyropia yezoensis GN=ycf52 PE=3 SV=1</t>
  </si>
  <si>
    <t>Pyropia yezoensis</t>
  </si>
  <si>
    <t>LOB domain-containing protein 41 OS=Arabidopsis thaliana GN=LBD41 PE=2 SV=1</t>
  </si>
  <si>
    <t>NAD(P)H-quinone oxidoreductase subunit O, chloroplastic OS=Arabidopsis thaliana GN=ndhO PE=2 SV=1</t>
  </si>
  <si>
    <t>26S proteasome non-ATPase regulatory subunit 13 homolog B OS=Arabidopsis thaliana GN=RPN9B PE=1 SV=1</t>
  </si>
  <si>
    <t>tRNA wybutosine-synthesizing protein 4 OS=Mus musculus GN=Lcmt2 PE=2 SV=4</t>
  </si>
  <si>
    <t>GATA transcription factor 15 OS=Arabidopsis thaliana GN=GATA15 PE=2 SV=2</t>
  </si>
  <si>
    <t>Probable small nuclear ribonucleoprotein F OS=Arabidopsis thaliana GN=At4g30220 PE=2 SV=1</t>
  </si>
  <si>
    <t>Glycine--tRNA ligase, chloroplastic/mitochondrial 2 OS=Arabidopsis thaliana GN=EDD1 PE=1 SV=1</t>
  </si>
  <si>
    <t>Metal tolerance protein B OS=Arabidopsis thaliana GN=MTPB PE=2 SV=1</t>
  </si>
  <si>
    <t>Eukaryotic peptide chain release factor GTP-binding subunit ERF3A OS=Homo sapiens GN=GSPT1 PE=1 SV=1</t>
  </si>
  <si>
    <t>ERAD-associated E3 ubiquitin-protein ligase HRD1A OS=Arabidopsis thaliana GN=HRD1A PE=2 SV=1</t>
  </si>
  <si>
    <t>Exocyst complex component EXO84A OS=Arabidopsis thaliana GN=EXO84A PE=3 SV=1</t>
  </si>
  <si>
    <t>Rop guanine nucleotide exchange factor 5 OS=Arabidopsis thaliana GN=ROPGEF5 PE=2 SV=1</t>
  </si>
  <si>
    <t>U-box domain-containing protein 26 OS=Arabidopsis thaliana GN=PUB26 PE=2 SV=1</t>
  </si>
  <si>
    <t>Kinesin-like protein KIF18A OS=Homo sapiens GN=KIF18A PE=1 SV=2</t>
  </si>
  <si>
    <t>Oxysterol-binding protein-related protein 1D OS=Arabidopsis thaliana GN=ORP1D PE=2 SV=1</t>
  </si>
  <si>
    <t>Inorganic phosphate transporter 2-1, chloroplastic OS=Arabidopsis thaliana GN=PHT2-1 PE=1 SV=1</t>
  </si>
  <si>
    <t>GDSL esterase/lipase At3g27950 OS=Arabidopsis thaliana GN=At3g27950 PE=2 SV=1</t>
  </si>
  <si>
    <t>Inter-alpha-trypsin inhibitor heavy chain H5 OS=Mus musculus GN=Itih5 PE=2 SV=1</t>
  </si>
  <si>
    <t>Probable mitochondrial import inner membrane translocase subunit TIM21 OS=Arabidopsis thaliana GN=TIM21 PE=1 SV=1</t>
  </si>
  <si>
    <t>AP-1 complex subunit sigma-2 OS=Arabidopsis thaliana GN=AAP19-2 PE=2 SV=1</t>
  </si>
  <si>
    <t>Poly(A) polymerase I OS=Salmonella typhi GN=pcnB PE=3 SV=2</t>
  </si>
  <si>
    <t>Salmonella typhi</t>
  </si>
  <si>
    <t>Protein MEMO1 OS=Xenopus tropicalis GN=memo1 PE=2 SV=1</t>
  </si>
  <si>
    <t>Probable serine/threonine-protein kinase abkC OS=Dictyostelium discoideum GN=abkC PE=3 SV=1</t>
  </si>
  <si>
    <t>Protein BREAST CANCER SUSCEPTIBILITY 1 homolog OS=Arabidopsis thaliana GN=BRCA1 PE=1 SV=1</t>
  </si>
  <si>
    <t>EVI5-like protein OS=Homo sapiens GN=EVI5L PE=1 SV=1</t>
  </si>
  <si>
    <t>Exocyst complex component SEC6 OS=Arabidopsis thaliana GN=SEC6 PE=1 SV=1</t>
  </si>
  <si>
    <t>Cold-regulated 413 plasma membrane protein 2 OS=Arabidopsis thaliana GN=COR413PM2 PE=2 SV=1</t>
  </si>
  <si>
    <t>Zinc finger protein CONSTANS-LIKE 14 OS=Arabidopsis thaliana GN=COL14 PE=2 SV=2</t>
  </si>
  <si>
    <t>Histidine--tRNA ligase, chloroplastic/mitochondrial OS=Arabidopsis thaliana GN=At3g46100 PE=2 SV=1</t>
  </si>
  <si>
    <t>Probable indole-3-pyruvate monooxygenase YUCCA10 OS=Arabidopsis thaliana GN=YUC10 PE=2 SV=1</t>
  </si>
  <si>
    <t>Probable L-ascorbate peroxidase 3 OS=Oryza sativa subsp. japonica GN=APX3 PE=3 SV=1</t>
  </si>
  <si>
    <t>Probable N6-adenosine-methyltransferase MT-A70-like OS=Oryza sativa subsp. japonica GN=Os02g0672600 PE=2 SV=1</t>
  </si>
  <si>
    <t>Putative ataxin-3 homolog OS=Oryza sativa subsp. japonica GN=Os01g0851400 PE=3 SV=1</t>
  </si>
  <si>
    <t>Probable methyltransferase TARBP1 OS=Homo sapiens GN=TARBP1 PE=1 SV=1</t>
  </si>
  <si>
    <t>2-methoxy-6-polyprenyl-1,4-benzoquinol methylase, mitochondrial OS=Arabidopsis thaliana GN=COQ5 PE=2 SV=1</t>
  </si>
  <si>
    <t>L-galactose dehydrogenase OS=Arabidopsis thaliana GN=LGALDH PE=1 SV=1</t>
  </si>
  <si>
    <t>Ribonuclease HI OS=Halobacterium salinarum (strain ATCC 700922 / JCM 11081 / NRC-1) GN=rnhA PE=1 SV=1</t>
  </si>
  <si>
    <t>Halobacterium salinarum</t>
  </si>
  <si>
    <t>UPF0392 protein Os08g0121900 OS=Oryza sativa subsp. japonica GN=Os08g0121900 PE=2 SV=1</t>
  </si>
  <si>
    <t>RAB6A-GEF complex partner protein 1 OS=Mus musculus GN=Ric1 PE=2 SV=2</t>
  </si>
  <si>
    <t>Peptidyl-prolyl cis-trans isomerase CYP18-2 OS=Arabidopsis thaliana GN=CYP18-2 PE=2 SV=1</t>
  </si>
  <si>
    <t>F-box protein At3g54460 OS=Arabidopsis thaliana GN=At3g54460 PE=2 SV=1</t>
  </si>
  <si>
    <t>GATA transcription factor 16 OS=Arabidopsis thaliana GN=GATA16 PE=2 SV=1</t>
  </si>
  <si>
    <t>Biotin carboxyl carrier protein of acetyl-CoA carboxylase 1, chloroplastic OS=Arabidopsis thaliana GN=BCCP1 PE=1 SV=2</t>
  </si>
  <si>
    <t>Protein trichome birefringence-like 14 OS=Arabidopsis thaliana GN=TBL14 PE=2 SV=1</t>
  </si>
  <si>
    <t>Acetyl-coenzyme A carboxylase carboxyl transferase subunit alpha, chloroplastic OS=Pisum sativum GN=ACCA PE=1 SV=1</t>
  </si>
  <si>
    <t>Nitrate reductase [NAD(P)H] OS=Betula pendula GN=NIA1 PE=2 SV=1</t>
  </si>
  <si>
    <t>Signal peptide peptidase OS=Arabidopsis thaliana GN=SPP PE=2 SV=1</t>
  </si>
  <si>
    <t>Protein trichome birefringence-like 35 OS=Arabidopsis thaliana GN=TBL35 PE=2 SV=1</t>
  </si>
  <si>
    <t>Xylosyltransferase 1 OS=Mus musculus GN=Xylt1 PE=2 SV=1</t>
  </si>
  <si>
    <t>Gamma-tubulin complex component 5 (Fragment) OS=Macaca fascicularis GN=TUBGCP5 PE=2 SV=2</t>
  </si>
  <si>
    <t>Chaperone protein DnaJ OS=Rickettsia bellii (strain RML369-C) GN=dnaJ PE=3 SV=1</t>
  </si>
  <si>
    <t>Rickettsia bellii</t>
  </si>
  <si>
    <t>Mannosylglycoprotein endo-beta-mannosidase OS=Lilium longiflorum GN=EBM PE=1 SV=4</t>
  </si>
  <si>
    <t>7-dehydrocholesterol reductase OS=Arabidopsis thaliana GN=DWF5 PE=1 SV=1</t>
  </si>
  <si>
    <t>Sperm-associated antigen 1A OS=Danio rerio GN=spag1a PE=2 SV=1</t>
  </si>
  <si>
    <t>Protein GIGANTEA OS=Arabidopsis thaliana GN=GI PE=1 SV=2</t>
  </si>
  <si>
    <t>Calmodulin-lysine N-methyltransferase OS=Rattus norvegicus GN=Camkmt PE=1 SV=1</t>
  </si>
  <si>
    <t>Mitochondrial distribution and morphology protein 38 OS=Saccharomyces cerevisiae (strain ATCC 204508 / S288c) GN=MDM38 PE=1 SV=1</t>
  </si>
  <si>
    <t>Zeaxanthin epoxidase, chloroplastic OS=Oryza sativa subsp. japonica GN=ZEP PE=2 SV=1</t>
  </si>
  <si>
    <t>Telomere length regulation protein TEL2 homolog OS=Mus musculus GN=Telo2 PE=1 SV=2</t>
  </si>
  <si>
    <t>Isoprenylcysteine alpha-carbonyl methylesterase ICME OS=Arabidopsis thaliana GN=ICME PE=2 SV=1</t>
  </si>
  <si>
    <t>Diphthamide biosynthesis protein 1 OS=Dictyostelium discoideum GN=dph1 PE=3 SV=1</t>
  </si>
  <si>
    <t>DEAD-box ATP-dependent RNA helicase 52C OS=Oryza sativa subsp. japonica GN=Os11g0599500 PE=3 SV=1</t>
  </si>
  <si>
    <t>RNA pseudouridine synthase 7 OS=Oryza sativa subsp. japonica GN=Os02g0512300 PE=2 SV=2</t>
  </si>
  <si>
    <t>ABC transporter I family member 11, chloroplastic OS=Arabidopsis thaliana GN=ABCI11 PE=2 SV=1</t>
  </si>
  <si>
    <t>Flowering-promoting factor 1-like protein 3 OS=Oryza sativa subsp. japonica GN=Os02g0460200 PE=2 SV=1</t>
  </si>
  <si>
    <t>Golgi SNAP receptor complex member 1-1 OS=Arabidopsis thaliana GN=GOS11 PE=2 SV=1</t>
  </si>
  <si>
    <t>Nucleosome assembly protein 1;2 OS=Arabidopsis thaliana GN=NAP1;2 PE=1 SV=1</t>
  </si>
  <si>
    <t>Agmatine deiminase OS=Arabidopsis thaliana GN=AIH PE=1 SV=2</t>
  </si>
  <si>
    <t>Probable inactive protein kinase At3g63330 OS=Arabidopsis thaliana GN=At3g63330 PE=2 SV=1</t>
  </si>
  <si>
    <t>60S ribosomal export protein NMD3 OS=Dictyostelium discoideum GN=nmd3 PE=3 SV=1</t>
  </si>
  <si>
    <t>DNA repair protein RadA homolog OS=Listeria innocua serovar 6a (strain CLIP 11262) GN=radA PE=3 SV=1</t>
  </si>
  <si>
    <t>Listeria innocua</t>
  </si>
  <si>
    <t>Pentatricopeptide repeat-containing protein At2g39230, mitochondrial OS=Arabidopsis thaliana GN=LOJ PE=1 SV=1</t>
  </si>
  <si>
    <t>Uncharacterized aarF domain-containing protein kinase 1 OS=Xenopus tropicalis GN=adck1 PE=2 SV=1</t>
  </si>
  <si>
    <t>WD repeat-containing protein 48 OS=Xenopus tropicalis GN=wdr48 PE=2 SV=1</t>
  </si>
  <si>
    <t>DEAD-box ATP-dependent RNA helicase 46 OS=Arabidopsis thaliana GN=RH46 PE=2 SV=2</t>
  </si>
  <si>
    <t>Prolyl-tRNA synthetase associated domain-containing protein 1 OS=Xenopus laevis GN=prorsd1p PE=2 SV=1</t>
  </si>
  <si>
    <t>Phospholipid-transporting ATPase 2 OS=Arabidopsis thaliana GN=ALA2 PE=1 SV=1</t>
  </si>
  <si>
    <t>Carbon catabolite repressor protein 4 homolog 4 OS=Arabidopsis thaliana GN=CCR4-4 PE=2 SV=1</t>
  </si>
  <si>
    <t>Probable magnesium transporter NIPA1 OS=Arabidopsis thaliana GN=At3g23870 PE=2 SV=1</t>
  </si>
  <si>
    <t>CBL-interacting serine/threonine-protein kinase 7 OS=Arabidopsis thaliana GN=CIPK7 PE=1 SV=1</t>
  </si>
  <si>
    <t>Xylosyltransferase 2 OS=Rattus norvegicus GN=Xylt2 PE=2 SV=1</t>
  </si>
  <si>
    <t>Cytochrome c6, chloroplastic OS=Arabidopsis thaliana GN=petJ PE=1 SV=1</t>
  </si>
  <si>
    <t>Tyrosyl-DNA phosphodiesterase 1 OS=Arabidopsis thaliana GN=TDP1 PE=1 SV=1</t>
  </si>
  <si>
    <t>Probable protein disulfide-isomerase A6 OS=Medicago sativa PE=2 SV=1</t>
  </si>
  <si>
    <t>Monosaccharide-sensing protein 3 OS=Arabidopsis thaliana GN=MSSP3 PE=2 SV=1</t>
  </si>
  <si>
    <t>Protein BUD31 homolog 1 OS=Oryza sativa subsp. japonica GN=Os01g0857700 PE=2 SV=1</t>
  </si>
  <si>
    <t>ABC transporter C family member 13 OS=Arabidopsis thaliana GN=ABCC13 PE=2 SV=3</t>
  </si>
  <si>
    <t>Kinesin-like protein KIFC3 OS=Mus musculus GN=Kifc3 PE=1 SV=4</t>
  </si>
  <si>
    <t>Antifungal protein ginkbilobin-2 OS=Ginkgo biloba GN=GNK2 PE=1 SV=1</t>
  </si>
  <si>
    <t>Peroxidase 72 OS=Arabidopsis thaliana GN=PER72 PE=1 SV=1</t>
  </si>
  <si>
    <t>Probable protein phosphatase 2C 27 OS=Oryza sativa subsp. japonica GN=Os02g0799000 PE=2 SV=1</t>
  </si>
  <si>
    <t>Auxin transporter-like protein 5 OS=Medicago truncatula GN=LAX5 PE=2 SV=1</t>
  </si>
  <si>
    <t>Protein-lysine N-methyltransferase EEF2KMT OS=Homo sapiens GN=EEF2KMT PE=1 SV=2</t>
  </si>
  <si>
    <t>Lon protease homolog, mitochondrial OS=Oryza sativa subsp. japonica GN=Os07g0689300 PE=2 SV=1</t>
  </si>
  <si>
    <t>Phosphoacetylglucosamine mutase OS=Arabidopsis thaliana GN=DRT101 PE=1 SV=1</t>
  </si>
  <si>
    <t>Peroxidase 40 OS=Arabidopsis thaliana GN=PER40 PE=2 SV=2</t>
  </si>
  <si>
    <t>Thiamine biosynthetic bifunctional enzyme TH1, chloroplastic OS=Arabidopsis thaliana GN=TH1 PE=1 SV=1</t>
  </si>
  <si>
    <t>Cytochrome P450 71A8 OS=Mentha piperita GN=CYP71A8 PE=3 SV=1</t>
  </si>
  <si>
    <t>Cysteine-rich receptor-like protein kinase 41 OS=Arabidopsis thaliana GN=CRK41 PE=3 SV=2</t>
  </si>
  <si>
    <t>Probable acyl-activating enzyme 5, peroxisomal OS=Arabidopsis thaliana GN=AAE5 PE=2 SV=1</t>
  </si>
  <si>
    <t>B3 domain-containing protein At5g26805 OS=Arabidopsis thaliana GN=At5g26805 PE=2 SV=1</t>
  </si>
  <si>
    <t>Protein TIFY 9 OS=Arabidopsis thaliana GN=TIFY9 PE=1 SV=1</t>
  </si>
  <si>
    <t>Serine/threonine-protein phosphatase PP2A catalytic subunit OS=Hevea brasiliensis GN=PP2A PE=2 SV=1</t>
  </si>
  <si>
    <t>RHOMBOid-like protein 3 OS=Arabidopsis thaliana GN=RBL3 PE=2 SV=1</t>
  </si>
  <si>
    <t>Probable NAD(P)H dehydrogenase (quinone) FQR1-like 3 OS=Arabidopsis thaliana GN=At5g58800 PE=2 SV=1</t>
  </si>
  <si>
    <t>Mitochondrial phosphate carrier protein OS=Saccharomyces cerevisiae (strain ATCC 204508 / S288c) GN=MIR1 PE=1 SV=1</t>
  </si>
  <si>
    <t>Protein trichome birefringence-like 3 OS=Arabidopsis thaliana GN=TBL3 PE=2 SV=1</t>
  </si>
  <si>
    <t>Probable prefoldin subunit 3 OS=Arabidopsis thaliana GN=At5g49510 PE=1 SV=1</t>
  </si>
  <si>
    <t>Probable glycerol-3-phosphate dehydrogenase [NAD(+)] 1, cytosolic OS=Oryza sativa subsp. japonica GN=Os01g0939600 PE=2 SV=1</t>
  </si>
  <si>
    <t>Ribosomal RNA large subunit methyltransferase E OS=Halorubrum lacusprofundi (strain ATCC 49239 / DSM 5036 / JCM 8891 / ACAM 34) GN=rlmE PE=3 SV=1</t>
  </si>
  <si>
    <t>Halorubrum lacusprofundi</t>
  </si>
  <si>
    <t>ATP-dependent zinc metalloprotease FtsH 1 OS=Methylacidiphilum infernorum (isolate V4) GN=ftsH1 PE=3 SV=1</t>
  </si>
  <si>
    <t>Methylacidiphilum infernorum</t>
  </si>
  <si>
    <t>Nuclear transcription factor Y subunit C-4 OS=Arabidopsis thaliana GN=NFYC4 PE=2 SV=1</t>
  </si>
  <si>
    <t>Rubredoxin OS=Synechocystis sp. (strain PCC 6803 / Kazusa) GN=rub PE=3 SV=1</t>
  </si>
  <si>
    <t>Probable pectate lyase B OS=Aspergillus oryzae (strain ATCC 42149 / RIB 40) GN=plyB PE=3 SV=1</t>
  </si>
  <si>
    <t>Methionine--tRNA ligase, cytoplasmic OS=Arabidopsis thaliana GN=At4g13780 PE=2 SV=1</t>
  </si>
  <si>
    <t>Lon protease homolog, mitochondrial OS=Oryza sativa subsp. indica GN=OsI_27415 PE=2 SV=1</t>
  </si>
  <si>
    <t>Uncharacterized mitochondrial protein AtMg00820 OS=Arabidopsis thaliana GN=AtMg00820 PE=4 SV=1</t>
  </si>
  <si>
    <t>Methylesterase 1 OS=Arabidopsis thaliana GN=MES1 PE=1 SV=1</t>
  </si>
  <si>
    <t>Protein LUTEIN DEFICIENT 5, chloroplastic OS=Arabidopsis thaliana GN=CYP97A3 PE=1 SV=1</t>
  </si>
  <si>
    <t>17.6 kDa class II heat shock protein OS=Arabidopsis thaliana GN=HSP17.6 PE=2 SV=1</t>
  </si>
  <si>
    <t>Ribulose bisphosphate carboxylase/oxygenase activase, chloroplastic OS=Solanum pennellii PE=2 SV=1</t>
  </si>
  <si>
    <t>Transcription factor TCP8 OS=Arabidopsis thaliana GN=TCP8 PE=1 SV=1</t>
  </si>
  <si>
    <t>Photosystem II 22 kDa protein, chloroplastic OS=Spinacia oleracea GN=PSBS PE=1 SV=1</t>
  </si>
  <si>
    <t>Non-symbiotic hemoglobin OS=Trema tomentosa GN=GLB1 PE=1 SV=1</t>
  </si>
  <si>
    <t>Trema tomentosa</t>
  </si>
  <si>
    <t>Probable 3-hydroxyisobutyryl-CoA hydrolase 3 OS=Arabidopsis thaliana GN=At2g30660 PE=2 SV=1</t>
  </si>
  <si>
    <t>Transcription factor bHLH90 OS=Arabidopsis thaliana GN=BHLH90 PE=2 SV=1</t>
  </si>
  <si>
    <t>Glutamate decarboxylase OS=Petunia hybrida GN=GAD PE=1 SV=1</t>
  </si>
  <si>
    <t>Mitochondrial import inner membrane translocase subunit Tim9 OS=Oryza sativa subsp. japonica GN=TIM9 PE=3 SV=2</t>
  </si>
  <si>
    <t>Tubulin-folding cofactor C OS=Arabidopsis thaliana GN=TFCC PE=1 SV=1</t>
  </si>
  <si>
    <t>Small RNA degrading nuclease 3 OS=Arabidopsis thaliana GN=SDN3 PE=1 SV=1</t>
  </si>
  <si>
    <t>Pentatricopeptide repeat-containing protein At2g44880 OS=Arabidopsis thaliana GN=PCMP-E9 PE=2 SV=2</t>
  </si>
  <si>
    <t>Endochitinase OS=Pisum sativum PE=2 SV=1</t>
  </si>
  <si>
    <t>Ent-kaur-16-ene synthase, chloroplastic OS=Cucurbita maxima PE=1 SV=1</t>
  </si>
  <si>
    <t>Superoxide dismutase [Fe] 2, chloroplastic OS=Arabidopsis thaliana GN=FSD2 PE=1 SV=1</t>
  </si>
  <si>
    <t>26.5 kDa heat shock protein, mitochondrial OS=Arabidopsis thaliana GN=HSP26.5 PE=2 SV=1</t>
  </si>
  <si>
    <t>Ras-related protein RABA5b OS=Arabidopsis thaliana GN=RABA5B PE=2 SV=1</t>
  </si>
  <si>
    <t>Malignant T-cell-amplified sequence 1-A OS=Xenopus laevis GN=mcts1-a PE=2 SV=1</t>
  </si>
  <si>
    <t>Pentatricopeptide repeat-containing protein At5g02860 OS=Arabidopsis thaliana GN=At5g02860 PE=2 SV=1</t>
  </si>
  <si>
    <t>Pentatricopeptide repeat-containing protein At4g21190 OS=Arabidopsis thaliana GN=EMB1417 PE=2 SV=1</t>
  </si>
  <si>
    <t>DEAD-box ATP-dependent RNA helicase 38 OS=Arabidopsis thaliana GN=RH38 PE=1 SV=2</t>
  </si>
  <si>
    <t>ER membrane protein complex subunit 6 OS=Mus musculus GN=Emc6 PE=3 SV=1</t>
  </si>
  <si>
    <t>Maspardin OS=Rattus norvegicus GN=Spg21 PE=2 SV=1</t>
  </si>
  <si>
    <t>Peroxisome biogenesis protein 2 OS=Arabidopsis thaliana GN=PEX2 PE=1 SV=1</t>
  </si>
  <si>
    <t>Aminodeoxychorismate synthase, chloroplastic OS=Arabidopsis thaliana GN=ADCS PE=1 SV=1</t>
  </si>
  <si>
    <t>Aspartate racemase OS=Pyrococcus horikoshii (strain ATCC 700860 / DSM 12428 / JCM 9974 / NBRC 100139 / OT-3) GN=PH0670 PE=1 SV=1</t>
  </si>
  <si>
    <t>D-3-phosphoglycerate dehydrogenase 2, chloroplastic OS=Arabidopsis thaliana GN=PGDH2 PE=1 SV=2</t>
  </si>
  <si>
    <t>Suppressor of RPS4-RLD 1 OS=Arabidopsis thaliana GN=SRFR1 PE=1 SV=1</t>
  </si>
  <si>
    <t>E3 ubiquitin-protein ligase RNF185 OS=Mus musculus GN=Rnf185 PE=2 SV=1</t>
  </si>
  <si>
    <t>Truncated FRIGidA-like protein 1 OS=Arabidopsis thaliana GN=FRL1 PE=3 SV=1</t>
  </si>
  <si>
    <t>Proteasome subunit beta type-4 OS=Arabidopsis thaliana GN=PBG1 PE=1 SV=2</t>
  </si>
  <si>
    <t>Lactoylglutathione lyase OS=Schizosaccharomyces pombe (strain 972 / ATCC 24843) GN=glo1 PE=1 SV=1</t>
  </si>
  <si>
    <t>Transcription factor GLABRA 3 OS=Arabidopsis thaliana GN=GL3 PE=1 SV=1</t>
  </si>
  <si>
    <t>Probable thimet oligopeptidase OS=Arabidopsis thaliana GN=At1g67690 PE=3 SV=1</t>
  </si>
  <si>
    <t>Autophagy-related protein 18f OS=Arabidopsis thaliana GN=ATG18F PE=2 SV=1</t>
  </si>
  <si>
    <t>Disease resistance RPP13-like protein 4 OS=Arabidopsis thaliana GN=RPP13L4 PE=1 SV=2</t>
  </si>
  <si>
    <t>Ubiquitin-activating enzyme E1 1 OS=Triticum aestivum GN=UBA1 PE=1 SV=1</t>
  </si>
  <si>
    <t>FAD-linked sulfhydryl oxidase ERV1 OS=Arabidopsis thaliana GN=ERV1 PE=1 SV=1</t>
  </si>
  <si>
    <t>Homeobox protein knotted-1-like 1 OS=Oryza sativa subsp. japonica GN=OSH6 PE=2 SV=1</t>
  </si>
  <si>
    <t>Serine/threonine-protein phosphatase PP2A-5 catalytic subunit OS=Arabidopsis thaliana GN=PP2A5 PE=1 SV=1</t>
  </si>
  <si>
    <t>Thioredoxin-like protein HCF164, chloroplastic OS=Oryza sativa subsp. japonica GN=Os03g0767500 PE=2 SV=1</t>
  </si>
  <si>
    <t>1-deoxy-D-xylulose 5-phosphate reductoisomerase, chloroplastic OS=Arabidopsis thaliana GN=DXR PE=2 SV=2</t>
  </si>
  <si>
    <t>DNA repair helicase XPB1 OS=Arabidopsis thaliana GN=XPB1 PE=2 SV=3</t>
  </si>
  <si>
    <t>UMP-CMP kinase OS=Prunus armeniaca PE=2 SV=1</t>
  </si>
  <si>
    <t>CRIB domain-containing protein RIC4 OS=Arabidopsis thaliana GN=RIC4 PE=1 SV=1</t>
  </si>
  <si>
    <t>Protein OSB1, mitochondrial OS=Arabidopsis thaliana GN=OSB1 PE=1 SV=1</t>
  </si>
  <si>
    <t>Mitotic checkpoint protein BUB3.3 OS=Arabidopsis thaliana GN=BUB3.3 PE=2 SV=1</t>
  </si>
  <si>
    <t>CBL-interacting serine/threonine-protein kinase 1 OS=Arabidopsis thaliana GN=CIPK1 PE=1 SV=2</t>
  </si>
  <si>
    <t>ABC transporter G family member 36 OS=Oryza sativa subsp. japonica GN=ABCG36 PE=2 SV=1</t>
  </si>
  <si>
    <t>Pullulanase 1, chloroplastic OS=Arabidopsis thaliana GN=PU1 PE=2 SV=2</t>
  </si>
  <si>
    <t>AP3-complex subunit beta-A OS=Arabidopsis thaliana GN=AP3BA PE=2 SV=2</t>
  </si>
  <si>
    <t>Cell division protein FtsY homolog, chloroplastic OS=Arabidopsis thaliana GN=CPFTSY PE=1 SV=2</t>
  </si>
  <si>
    <t>Protein CLT3, chloroplastic OS=Arabidopsis thaliana GN=CLT3 PE=2 SV=1</t>
  </si>
  <si>
    <t>Origin of replication complex subunit 2 OS=Arabidopsis thaliana GN=ORC2 PE=1 SV=1</t>
  </si>
  <si>
    <t>60S ribosomal protein L5-2 OS=Arabidopsis thaliana GN=RPL5B PE=2 SV=3</t>
  </si>
  <si>
    <t>2-C-methyl-D-erythritol 4-phosphate cytidylyltransferase, chloroplastic OS=Arabidopsis thaliana GN=ISPD PE=1 SV=1</t>
  </si>
  <si>
    <t>Plastid division protein PDV1 OS=Arabidopsis thaliana GN=PDV1 PE=1 SV=1</t>
  </si>
  <si>
    <t>Putative pentatricopeptide repeat-containing protein At1g13630 OS=Arabidopsis thaliana GN=At1g13630 PE=2 SV=3</t>
  </si>
  <si>
    <t>ABC transporter F family member 5 OS=Arabidopsis thaliana GN=ABCF5 PE=2 SV=1</t>
  </si>
  <si>
    <t>Protein CHROMATIN REMODELING 20 OS=Arabidopsis thaliana GN=ATRX PE=2 SV=2</t>
  </si>
  <si>
    <t>T-complex protein 1 subunit alpha OS=Arabidopsis thaliana GN=CCT1 PE=1 SV=1</t>
  </si>
  <si>
    <t>Armadillo repeat-containing kinesin-like protein 3 OS=Arabidopsis thaliana GN=ARK3 PE=1 SV=1</t>
  </si>
  <si>
    <t>Probable sodium/metabolite cotransporter BASS6, chloroplastic OS=Arabidopsis thaliana GN=BASS6 PE=2 SV=1</t>
  </si>
  <si>
    <t>Deoxycytidine kinase OS=Homo sapiens GN=DCK PE=1 SV=1</t>
  </si>
  <si>
    <t>Superoxide dismutase [Cu-Zn], chloroplastic OS=Pisum sativum GN=SODCP PE=2 SV=1</t>
  </si>
  <si>
    <t>UPF0496 protein At2g18630 OS=Arabidopsis thaliana GN=At2g18630 PE=2 SV=3</t>
  </si>
  <si>
    <t>J domain-containing protein required for chloroplast accumulation response 1 OS=Arabidopsis thaliana GN=JAC1 PE=1 SV=1</t>
  </si>
  <si>
    <t>Protein NRT1/ PTR FAMILY 4.5 OS=Arabidopsis thaliana GN=NPF4.5 PE=2 SV=1</t>
  </si>
  <si>
    <t>Probable transcriptional regulatory protein At2g25830 OS=Arabidopsis thaliana GN=At2g25830 PE=2 SV=2</t>
  </si>
  <si>
    <t>Peptidyl-prolyl cis-trans isomerase CYP21-1 OS=Arabidopsis thaliana GN=CYP21-1 PE=2 SV=1</t>
  </si>
  <si>
    <t>Protein Iojap, chloroplastic OS=Arabidopsis thaliana GN=IJ PE=2 SV=1</t>
  </si>
  <si>
    <t>Pentatricopeptide repeat-containing protein At1g60770 OS=Arabidopsis thaliana GN=At1g60770 PE=2 SV=1</t>
  </si>
  <si>
    <t>Calmodulin-binding transcription activator 4 OS=Arabidopsis thaliana GN=CMTA4 PE=1 SV=1</t>
  </si>
  <si>
    <t>Uridine nucleosidase 1 OS=Arabidopsis thaliana GN=URH1 PE=1 SV=2</t>
  </si>
  <si>
    <t>Protein MRG1 OS=Arabidopsis thaliana GN=MRG1 PE=1 SV=1</t>
  </si>
  <si>
    <t>Exportin-2 OS=Arabidopsis thaliana GN=CAS PE=2 SV=1</t>
  </si>
  <si>
    <t>Histone-lysine N-methyltransferase SUVR3 OS=Arabidopsis thaliana GN=SUVR3 PE=2 SV=3</t>
  </si>
  <si>
    <t>8-amino-7-oxononanoate synthase OS=Petrotoga mobilis (strain DSM 10674 / SJ95) GN=Pmob_1549 PE=3 SV=1</t>
  </si>
  <si>
    <t>Petrotoga mobilis</t>
  </si>
  <si>
    <t>Pentatricopeptide repeat-containing protein At4g38150 OS=Arabidopsis thaliana GN=At4g38150 PE=2 SV=1</t>
  </si>
  <si>
    <t>Guanylate-binding protein 4 OS=Homo sapiens GN=GBP4 PE=2 SV=2</t>
  </si>
  <si>
    <t>Derlin-2.2 OS=Arabidopsis thaliana GN=DER2.2 PE=2 SV=1</t>
  </si>
  <si>
    <t>Eukaryotic translation initiation factor 5A-4 OS=Solanum lycopersicum PE=2 SV=1</t>
  </si>
  <si>
    <t>Potassium channel AKT2/3 OS=Arabidopsis thaliana GN=AKT2 PE=1 SV=1</t>
  </si>
  <si>
    <t>Protein MON2 homolog OS=Drosophila melanogaster GN=mon2 PE=2 SV=4</t>
  </si>
  <si>
    <t>Probable protein phosphatase 2C 8 OS=Oryza sativa subsp. japonica GN=Os01g0656200 PE=2 SV=1</t>
  </si>
  <si>
    <t>Transmembrane 9 superfamily member 11 OS=Arabidopsis thaliana GN=TMN11 PE=2 SV=1</t>
  </si>
  <si>
    <t>BEL1-like homeodomain protein 2 OS=Arabidopsis thaliana GN=BLH2 PE=1 SV=3</t>
  </si>
  <si>
    <t>BUD13 homolog OS=Homo sapiens GN=BUD13 PE=1 SV=1</t>
  </si>
  <si>
    <t>Homogentisate phytyltransferase 1, chloroplastic OS=Arabidopsis thaliana GN=HPT1 PE=1 SV=1</t>
  </si>
  <si>
    <t>Folate transporter 1, chloroplastic OS=Arabidopsis thaliana GN=FOLT1 PE=2 SV=1</t>
  </si>
  <si>
    <t>Methylenetetrahydrofolate reductase 2 OS=Arabidopsis thaliana GN=MTHFR2 PE=1 SV=2</t>
  </si>
  <si>
    <t>Asparagine synthetase domain-containing protein 1 OS=Mus musculus GN=Asnsd1 PE=2 SV=1</t>
  </si>
  <si>
    <t>Probable glucan 1,3-alpha-glucosidase OS=Arabidopsis thaliana GN=PSL5 PE=1 SV=1</t>
  </si>
  <si>
    <t>Nuclear cap-binding protein subunit 1 OS=Arabidopsis thaliana GN=ABH1 PE=1 SV=2</t>
  </si>
  <si>
    <t>Serine/threonine-protein kinase AtPK2/AtPK19 OS=Arabidopsis thaliana GN=ATPK2 PE=1 SV=2</t>
  </si>
  <si>
    <t>Adagio protein 3 OS=Arabidopsis thaliana GN=ADO3 PE=1 SV=1</t>
  </si>
  <si>
    <t>Pentatricopeptide repeat-containing protein At1g10910, chloroplastic OS=Arabidopsis thaliana GN=At1g10910 PE=2 SV=1</t>
  </si>
  <si>
    <t>Cytosolic 5'-nucleotidase 3 OS=Danio rerio GN=nt5c3 PE=2 SV=2</t>
  </si>
  <si>
    <t>Ferrochelatase-2, chloroplastic OS=Cucumis sativus GN=HEMH PE=2 SV=1</t>
  </si>
  <si>
    <t>Protein IN2-1 homolog B OS=Oryza sativa subsp. japonica GN=GSTZ5 PE=2 SV=1</t>
  </si>
  <si>
    <t>Succinate dehydrogenase assembly factor 2, mitochondrial OS=Arabidopsis thaliana GN=SDHAF2 PE=1 SV=1</t>
  </si>
  <si>
    <t>Oxysterol-binding protein-related protein 2A OS=Arabidopsis thaliana GN=ORP2A PE=2 SV=1</t>
  </si>
  <si>
    <t>DNA replication licensing factor MCM2 OS=Oryza sativa subsp. indica GN=OsI_36121 PE=3 SV=1</t>
  </si>
  <si>
    <t>Peptidyl-prolyl cis-trans isomerase FKBP17-1, chloroplastic OS=Arabidopsis thaliana GN=FKBP17-1 PE=2 SV=1</t>
  </si>
  <si>
    <t>Dol-P-Man:Man(5)GlcNAc(2)-PP-Dol alpha-1,3-mannosyltransferase OS=Arabidopsis thaliana GN=ALG3 PE=1 SV=1</t>
  </si>
  <si>
    <t>Tobamovirus multiplication protein 3 OS=Arabidopsis thaliana GN=TOM3 PE=1 SV=2</t>
  </si>
  <si>
    <t>Mediator of RNA polymerase II transcription subunit 20a OS=Arabidopsis thaliana GN=MED20A PE=1 SV=1</t>
  </si>
  <si>
    <t>Endonuclease III homolog 1, chloroplastic OS=Arabidopsis thaliana GN=NTH1 PE=2 SV=2</t>
  </si>
  <si>
    <t>Uncharacterized aarF domain-containing protein kinase 1 OS=Mus musculus GN=Adck1 PE=2 SV=1</t>
  </si>
  <si>
    <t>Charged multivesicular body protein 5 OS=Dictyostelium discoideum GN=chmp5 PE=3 SV=1</t>
  </si>
  <si>
    <t>Peroxidase 47 OS=Arabidopsis thaliana GN=PER47 PE=2 SV=2</t>
  </si>
  <si>
    <t>Red chlorophyll catabolite reductase, chloroplastic OS=Arabidopsis thaliana GN=RCCR PE=1 SV=2</t>
  </si>
  <si>
    <t>Ubiquitin domain-containing protein 1 OS=Danio rerio GN=ubtd1 PE=2 SV=1</t>
  </si>
  <si>
    <t>Protein RCC2 OS=Homo sapiens GN=RCC2 PE=1 SV=2</t>
  </si>
  <si>
    <t>Uncharacterized protein ycf23 OS=Pyropia yezoensis GN=ycf23 PE=3 SV=1</t>
  </si>
  <si>
    <t>Clathrin heavy chain 2 OS=Oryza sativa subsp. japonica GN=Os12g0104800 PE=3 SV=1</t>
  </si>
  <si>
    <t>50S ribosomal protein L18, chloroplastic OS=Arabidopsis thaliana GN=RPL18 PE=2 SV=1</t>
  </si>
  <si>
    <t>Probable trehalose-phosphate phosphatase 7 OS=Oryza sativa subsp. japonica GN=TPP7 PE=2 SV=2</t>
  </si>
  <si>
    <t>Rab9 effector protein with kelch motifs OS=Bos taurus GN=RABEPK PE=2 SV=1</t>
  </si>
  <si>
    <t>Homeobox-leucine zipper protein HAT3 OS=Arabidopsis thaliana GN=HAT3 PE=2 SV=2</t>
  </si>
  <si>
    <t>Probable protein phosphatase 2C 51 OS=Arabidopsis thaliana GN=At3g63340 PE=2 SV=2</t>
  </si>
  <si>
    <t>Vacuolar protein sorting-associated protein 2 homolog 3 OS=Arabidopsis thaliana GN=VPS2.3 PE=2 SV=1</t>
  </si>
  <si>
    <t>Phosphoethanolamine N-methyltransferase 1 OS=Arabidopsis thaliana GN=NMT1 PE=1 SV=1</t>
  </si>
  <si>
    <t>Ribonuclease H2 subunit A OS=Arabidopsis thaliana GN=At2g25100 PE=2 SV=2</t>
  </si>
  <si>
    <t>Mediator of RNA polymerase II transcription subunit 31 OS=Arabidopsis thaliana GN=MED31 PE=1 SV=1</t>
  </si>
  <si>
    <t>ABC transporter G family member 5 OS=Arabidopsis thaliana GN=ABCG5 PE=2 SV=1</t>
  </si>
  <si>
    <t>Cytochrome b5 isoform A OS=Arabidopsis thaliana GN=CB5-A PE=1 SV=1</t>
  </si>
  <si>
    <t>Epoxide hydrolase 4 OS=Homo sapiens GN=EPHX4 PE=2 SV=2</t>
  </si>
  <si>
    <t>Phosphatidylinositol N-acetylglucosaminyltransferase gpi3 subunit OS=Schizosaccharomyces pombe (strain 972 / ATCC 24843) GN=gpi3 PE=3 SV=1</t>
  </si>
  <si>
    <t>Magnesium transporter MRS2-2 OS=Arabidopsis thaliana GN=MRS2-2 PE=2 SV=1</t>
  </si>
  <si>
    <t>T-complex protein 1 subunit epsilon OS=Arabidopsis thaliana GN=CCT5 PE=1 SV=1</t>
  </si>
  <si>
    <t>Rhodanese-like domain-containing protein 11, chloroplastic OS=Arabidopsis thaliana GN=STR11 PE=2 SV=1</t>
  </si>
  <si>
    <t>COP9 signalosome complex subunit 6a OS=Arabidopsis thaliana GN=CSN6A PE=1 SV=2</t>
  </si>
  <si>
    <t>Cysteine-rich repeat secretory protein 1 OS=Arabidopsis thaliana GN=CRRSP1 PE=3 SV=3</t>
  </si>
  <si>
    <t>Centromere-associated protein E OS=Homo sapiens GN=CENPE PE=1 SV=2</t>
  </si>
  <si>
    <t>COMPASS-like H3K4 histone methylase component WDR5A OS=Arabidopsis thaliana GN=WDR5A PE=1 SV=1</t>
  </si>
  <si>
    <t>YLP motif-containing protein 1 OS=Rattus norvegicus GN=Ylpm1 PE=1 SV=1</t>
  </si>
  <si>
    <t>Werner syndrome ATP-dependent helicase OS=Homo sapiens GN=WRN PE=1 SV=2</t>
  </si>
  <si>
    <t>Myosin heavy chain IB OS=Acanthamoeba castellanii GN=MIB PE=1 SV=2</t>
  </si>
  <si>
    <t>Acanthamoeba castellanii</t>
  </si>
  <si>
    <t>Translationally-controlled tumor protein homolog OS=Solanum tuberosum GN=TCTP PE=2 SV=2</t>
  </si>
  <si>
    <t>Cellulose synthase-like protein G2 OS=Arabidopsis thaliana GN=CSLG2 PE=2 SV=1</t>
  </si>
  <si>
    <t>Cytochrome P450 76C1 OS=Arabidopsis thaliana GN=CYP76C1 PE=2 SV=1</t>
  </si>
  <si>
    <t>Multiple organellar RNA editing factor 1, mitochondrial OS=Arabidopsis thaliana GN=MORF1 PE=1 SV=1</t>
  </si>
  <si>
    <t>REF/SRPP-like protein At1g67360 OS=Arabidopsis thaliana GN=At1g67360 PE=2 SV=1</t>
  </si>
  <si>
    <t>Glutaminyl-peptide cyclotransferase OS=Arabidopsis thaliana GN=QCT PE=1 SV=1</t>
  </si>
  <si>
    <t>50S ribosomal protein L18 OS=Thermomicrobium roseum (strain ATCC 27502 / DSM 5159 / P-2) GN=rplR PE=3 SV=1</t>
  </si>
  <si>
    <t>Thermomicrobium roseum</t>
  </si>
  <si>
    <t>Lecithin-cholesterol acyltransferase-like 4 OS=Arabidopsis thaliana GN=LCAT4 PE=1 SV=1</t>
  </si>
  <si>
    <t>Transmembrane 9 superfamily member 1 OS=Arabidopsis thaliana GN=TMN1 PE=1 SV=1</t>
  </si>
  <si>
    <t>Putative ribosome biogenesis GTPase RsgA OS=Anabaena variabilis (strain ATCC 29413 / PCC 7937) GN=rsgA PE=3 SV=1</t>
  </si>
  <si>
    <t>Probable terpene synthase 9 OS=Ricinus communis GN=TPS9 PE=3 SV=1</t>
  </si>
  <si>
    <t>Developmentally-regulated G-protein 3 OS=Arabidopsis thaliana GN=DRG3 PE=1 SV=1</t>
  </si>
  <si>
    <t>Serine/threonine-protein phosphatase 6 regulatory ankyrin repeat subunit B OS=Gallus gallus GN=ANKRD44 PE=2 SV=1</t>
  </si>
  <si>
    <t>S-adenosylmethionine synthase OS=Gossypium hirsutum GN=SAMS PE=2 SV=1</t>
  </si>
  <si>
    <t>Photosynthetic NDH subunit of subcomplex B 4, chloroplastic OS=Arabidopsis thaliana GN=PNSB4 PE=2 SV=1</t>
  </si>
  <si>
    <t>3-ketoacyl-CoA synthase 10 OS=Arabidopsis thaliana GN=FDH PE=1 SV=2</t>
  </si>
  <si>
    <t>Putative expansin-B2 OS=Arabidopsis thaliana GN=EXPB2 PE=3 SV=2</t>
  </si>
  <si>
    <t>Lecithin retinol acyltransferase OS=Homo sapiens GN=LRAT PE=1 SV=2</t>
  </si>
  <si>
    <t>Transcription factor MYB21 OS=Arabidopsis thaliana GN=MYB21 PE=1 SV=1</t>
  </si>
  <si>
    <t>Ethylene-responsive transcription factor ERF110 OS=Arabidopsis thaliana GN=ERF110 PE=2 SV=2</t>
  </si>
  <si>
    <t>Probable chalcone--flavonone isomerase 3 OS=Arabidopsis thaliana GN=CHI3 PE=1 SV=1</t>
  </si>
  <si>
    <t>Probable prefoldin subunit 2 OS=Arabidopsis thaliana GN=At3g22480 PE=2 SV=1</t>
  </si>
  <si>
    <t>Pentatricopeptide repeat-containing protein At1g09900 OS=Arabidopsis thaliana GN=At1g09900 PE=2 SV=1</t>
  </si>
  <si>
    <t>Intron-binding protein aquarius OS=Homo sapiens GN=AQR PE=1 SV=4</t>
  </si>
  <si>
    <t>E3 ubiquitin-protein ligase RNF14 OS=Mus musculus GN=Rnf14 PE=2 SV=2</t>
  </si>
  <si>
    <t>Probable plastid-lipid-associated protein 14, chloroplastic OS=Arabidopsis thaliana GN=PAP14 PE=1 SV=1</t>
  </si>
  <si>
    <t>Vacuolar protein sorting-associated protein 26A OS=Arabidopsis thaliana GN=VPS26A PE=2 SV=1</t>
  </si>
  <si>
    <t>Protein FATTY ACid EXPORT 4, chloroplastic OS=Arabidopsis thaliana GN=FAX4 PE=2 SV=1</t>
  </si>
  <si>
    <t>Phospholipase A1-Ibeta2, chloroplastic OS=Arabidopsis thaliana GN=At4g16820 PE=1 SV=2</t>
  </si>
  <si>
    <t>Glycosyltransferase family protein 64 C3 OS=Arabidopsis thaliana GN=At1g80290 PE=2 SV=1</t>
  </si>
  <si>
    <t>CDT1-like protein b OS=Arabidopsis thaliana GN=CDT1B PE=1 SV=1</t>
  </si>
  <si>
    <t>N-glycosylase/DNA lyase OGG1 OS=Arabidopsis thaliana GN=OGG1 PE=1 SV=1</t>
  </si>
  <si>
    <t>B3 domain-containing transcription factor LEC2 OS=Arabidopsis thaliana GN=LEC2 PE=2 SV=1</t>
  </si>
  <si>
    <t>Casein kinase I isoform epsilon OS=Gallus gallus GN=CSNK1E PE=2 SV=2</t>
  </si>
  <si>
    <t>Tryptophan--tRNA ligase, chloroplastic/mitochondrial OS=Arabidopsis thaliana GN=OVA4 PE=2 SV=1</t>
  </si>
  <si>
    <t>Gibberellin 20 oxidase 2 OS=Arabidopsis thaliana GN=GA20OX2 PE=2 SV=1</t>
  </si>
  <si>
    <t>Succinate dehydrogenase subunit 6, mitochondrial OS=Arabidopsis thaliana GN=SDH6 PE=1 SV=1</t>
  </si>
  <si>
    <t>Probable beta-1,3-galactosyltransferase 12 OS=Arabidopsis thaliana GN=B3GALT12 PE=2 SV=1</t>
  </si>
  <si>
    <t>Pentatricopeptide repeat-containing protein At2g20540 OS=Arabidopsis thaliana GN=PCMP-E78 PE=2 SV=1</t>
  </si>
  <si>
    <t>Probable leucine-rich repeat receptor-like protein kinase At2g28990 OS=Arabidopsis thaliana GN=At2g28990 PE=2 SV=1</t>
  </si>
  <si>
    <t>Glyceraldehyde-3-phosphate dehydrogenase GAPCP2, chloroplastic OS=Arabidopsis thaliana GN=GAPCP2 PE=2 SV=1</t>
  </si>
  <si>
    <t>Methionine S-methyltransferase OS=Arabidopsis thaliana GN=MMT1 PE=1 SV=1</t>
  </si>
  <si>
    <t>Choline transporter-like protein 2 OS=Mus musculus GN=Slc44a2 PE=1 SV=2</t>
  </si>
  <si>
    <t>Pentatricopeptide repeat-containing protein At3g61360 OS=Arabidopsis thaliana GN=At3g61360 PE=2 SV=1</t>
  </si>
  <si>
    <t>Putative methyltransferase C9orf114 OS=Homo sapiens GN=C9orf114 PE=1 SV=3</t>
  </si>
  <si>
    <t>Putative auxin efflux carrier component 5 OS=Arabidopsis thaliana GN=PIN5 PE=3 SV=1</t>
  </si>
  <si>
    <t>Sec-independent protein translocase protein TATC, chloroplastic OS=Pisum sativum GN=TATC PE=1 SV=1</t>
  </si>
  <si>
    <t>Replication protein A 70 kDa DNA-binding subunit C OS=Arabidopsis thaliana GN=RPA1C PE=3 SV=1</t>
  </si>
  <si>
    <t>Stress enhanced protein 1, chloroplastic OS=Arabidopsis thaliana GN=SEP1 PE=2 SV=1</t>
  </si>
  <si>
    <t>Cation/H(+) antiporter 4 OS=Arabidopsis thaliana GN=CHX4 PE=2 SV=1</t>
  </si>
  <si>
    <t>Purple acid phosphatase 18 OS=Arabidopsis thaliana GN=PAP18 PE=2 SV=1</t>
  </si>
  <si>
    <t>ETHYLENE INSENSITIVE 3-like 3 protein OS=Arabidopsis thaliana GN=EIL3 PE=1 SV=1</t>
  </si>
  <si>
    <t>PRA1 family protein G2 OS=Arabidopsis thaliana GN=PRA1G2 PE=2 SV=1</t>
  </si>
  <si>
    <t>ATP-dependent zinc metalloprotease FtsH OS=Thermobaculum terrenum (strain ATCC BAA-798 / YNP1) GN=ftsH PE=3 SV=1</t>
  </si>
  <si>
    <t>Thermobaculum terrenum</t>
  </si>
  <si>
    <t>Photosystem I reaction center subunit III, chloroplastic OS=Arabidopsis thaliana GN=PSAF PE=1 SV=1</t>
  </si>
  <si>
    <t>Photosystem I reaction center subunit XI, chloroplastic OS=Arabidopsis thaliana GN=PSAL PE=1 SV=2</t>
  </si>
  <si>
    <t>Probable ribonuclease P/MRP protein subunit POP5 OS=Arabidopsis thaliana GN=EMB1687 PE=2 SV=1</t>
  </si>
  <si>
    <t>Mitochondrial chaperone BCS1 OS=Saccharomyces cerevisiae (strain ATCC 204508 / S288c) GN=BCS1 PE=1 SV=2</t>
  </si>
  <si>
    <t>Cysteine-rich repeat secretory protein 12 OS=Arabidopsis thaliana GN=CRRSP12 PE=1 SV=2</t>
  </si>
  <si>
    <t>F-box protein At5g52880 OS=Arabidopsis thaliana GN=At5g52880 PE=2 SV=1</t>
  </si>
  <si>
    <t>Armadillo repeat-containing protein 8 OS=Danio rerio GN=armc8 PE=2 SV=1</t>
  </si>
  <si>
    <t>Protein SYS1 homolog OS=Dictyostelium discoideum GN=sys1 PE=3 SV=1</t>
  </si>
  <si>
    <t>Ion channel CASTOR OS=Lotus japonicus GN=CASTOR PE=1 SV=1</t>
  </si>
  <si>
    <t>Ethylene receptor OS=Prunus persica GN=ETR1 PE=2 SV=1</t>
  </si>
  <si>
    <t>Mediator of RNA polymerase II transcription subunit 9 OS=Arabidopsis thaliana GN=MED9 PE=1 SV=1</t>
  </si>
  <si>
    <t>Ankyrin repeat domain-containing protein EMB506, chloroplastic OS=Arabidopsis thaliana GN=EMB506 PE=1 SV=1</t>
  </si>
  <si>
    <t>Protein RADIALIS-like 1 OS=Arabidopsis thaliana GN=RL1 PE=2 SV=1</t>
  </si>
  <si>
    <t>Putative indole-3-acetic acid-amido synthetase GH3.9 OS=Arabidopsis thaliana GN=GH3.9 PE=2 SV=1</t>
  </si>
  <si>
    <t>Auxin response factor 2 OS=Arabidopsis thaliana GN=ARF2 PE=1 SV=2</t>
  </si>
  <si>
    <t>Membrane-anchored ubiquitin-fold protein 4 OS=Arabidopsis thaliana GN=MUB4 PE=1 SV=1</t>
  </si>
  <si>
    <t>Mediator of RNA polymerase II transcription subunit 23 OS=Arabidopsis thaliana GN=MED23 PE=1 SV=1</t>
  </si>
  <si>
    <t>Uncharacterized PI3/PI4-kinase family protein C1F5.11c OS=Schizosaccharomyces pombe (strain 972 / ATCC 24843) GN=SPAC1F5.11c PE=3 SV=1</t>
  </si>
  <si>
    <t>Protein S-acyltransferase 21 OS=Arabidopsis thaliana GN=PAT21 PE=2 SV=1</t>
  </si>
  <si>
    <t>Sphingolipid delta(4)-desaturase DES1-like OS=Arabidopsis thaliana GN=At4g04930 PE=2 SV=1</t>
  </si>
  <si>
    <t>Acetylornithine deacetylase OS=Arabidopsis thaliana GN=At4g17830 PE=2 SV=1</t>
  </si>
  <si>
    <t>Beta-D-xylosidase 1 OS=Arabidopsis thaliana GN=BXL1 PE=1 SV=1</t>
  </si>
  <si>
    <t>Calcium-transporting ATPase 3, endoplasmic reticulum-type OS=Arabidopsis thaliana GN=ECA3 PE=2 SV=3</t>
  </si>
  <si>
    <t>PHD finger protein ALFIN-LIKE 5 OS=Arabidopsis thaliana GN=AL5 PE=2 SV=1</t>
  </si>
  <si>
    <t>Probable serine/threonine-protein kinase DDB_G0276181 OS=Dictyostelium discoideum GN=DDB_G0276181 PE=3 SV=1</t>
  </si>
  <si>
    <t>50S ribosomal protein L31, chloroplastic OS=Arabidopsis thaliana GN=RPL31 PE=2 SV=1</t>
  </si>
  <si>
    <t>Thioredoxin H-type OS=Populus jackii PE=1 SV=1</t>
  </si>
  <si>
    <t>Conserved oligomeric Golgi complex subunit 3 OS=Mus musculus GN=Cog3 PE=2 SV=3</t>
  </si>
  <si>
    <t>DDB1- and CUL4-associated factor 8 OS=Mus musculus GN=Dcaf8 PE=1 SV=1</t>
  </si>
  <si>
    <t>Protein EFR3 homolog OS=Caenorhabditis elegans GN=C32D5.3 PE=3 SV=1</t>
  </si>
  <si>
    <t>PRA1 family protein D OS=Arabidopsis thaliana GN=PRA1D PE=1 SV=1</t>
  </si>
  <si>
    <t>Glutamate receptor 3.7 OS=Arabidopsis thaliana GN=GLR3.7 PE=2 SV=2</t>
  </si>
  <si>
    <t>Triacylglycerol lipase 1 OS=Arabidopsis thaliana GN=LIP1 PE=1 SV=1</t>
  </si>
  <si>
    <t>Calcium-dependent protein kinase 2 OS=Arabidopsis thaliana GN=CPK2 PE=1 SV=1</t>
  </si>
  <si>
    <t>Protein MATERNALLY EXPRESSED GENE 5 OS=Zea mays GN=MEG5 PE=2 SV=1</t>
  </si>
  <si>
    <t>Protein phosphatase 2C 70 OS=Arabidopsis thaliana GN=KAPP PE=1 SV=2</t>
  </si>
  <si>
    <t>Peptidyl-prolyl cis-trans isomerase FKBP16-3, chloroplastic OS=Arabidopsis thaliana GN=FKBP16-3 PE=1 SV=2</t>
  </si>
  <si>
    <t>SEC23-interacting protein OS=Mus musculus GN=Sec23ip PE=2 SV=2</t>
  </si>
  <si>
    <t>DNA-directed RNA polymerase II subunit 4 OS=Arabidopsis thaliana GN=NRPB4 PE=1 SV=1</t>
  </si>
  <si>
    <t>TIP41-like protein OS=Dictyostelium discoideum GN=tiprl PE=3 SV=1</t>
  </si>
  <si>
    <t>Autophagy-related protein 18d OS=Arabidopsis thaliana GN=ATG18D PE=2 SV=1</t>
  </si>
  <si>
    <t>Protein disulfide-isomerase like 2-2 OS=Arabidopsis thaliana GN=PDIL2-2 PE=2 SV=2</t>
  </si>
  <si>
    <t>Pentatricopeptide repeat-containing protein At1g28690, mitochondrial OS=Arabidopsis thaliana GN=PCMP-E34 PE=2 SV=2</t>
  </si>
  <si>
    <t>Pentatricopeptide repeat-containing protein At1g66345, mitochondrial OS=Arabidopsis thaliana GN=At1g66345 PE=3 SV=1</t>
  </si>
  <si>
    <t>Glycerophosphodiester phosphodiesterase GDPDL4 OS=Arabidopsis thaliana GN=GDPDL4 PE=1 SV=1</t>
  </si>
  <si>
    <t>Cell division cycle and apoptosis regulator protein 1 OS=Homo sapiens GN=CCAR1 PE=1 SV=2</t>
  </si>
  <si>
    <t>Chaperone protein ClpB OS=Pseudomonas aeruginosa (strain ATCC 15692 / PAO1 / 1C / PRS 101 / LMG 12228) GN=clpB PE=3 SV=1</t>
  </si>
  <si>
    <t>Nudix hydrolase 25 OS=Arabidopsis thaliana GN=NUDT25 PE=1 SV=1</t>
  </si>
  <si>
    <t>Glutamate-1-semialdehyde 2,1-aminomutase, chloroplastic OS=Brassica napus GN=GSA PE=2 SV=1</t>
  </si>
  <si>
    <t>Mitochondrial inner membrane protein OXA1 OS=Arabidopsis thaliana GN=OXA1 PE=2 SV=2</t>
  </si>
  <si>
    <t>Actin-related protein 3 OS=Arabidopsis thaliana GN=ARP3 PE=1 SV=1</t>
  </si>
  <si>
    <t>3-phosphoinositide-dependent protein kinase 1 OS=Arabidopsis thaliana GN=PDPK1 PE=1 SV=1</t>
  </si>
  <si>
    <t>Dihydroneopterin aldolase 1 OS=Arabidopsis thaliana GN=FOLB1 PE=1 SV=1</t>
  </si>
  <si>
    <t>Ethylene-insensitive protein 2 OS=Arabidopsis thaliana GN=EIN2 PE=1 SV=1</t>
  </si>
  <si>
    <t>Protein VACUOLELESS1 OS=Arabidopsis thaliana GN=VCL1 PE=1 SV=1</t>
  </si>
  <si>
    <t>Probable protein phosphatase 2C 27 OS=Arabidopsis thaliana GN=At2g33700 PE=2 SV=1</t>
  </si>
  <si>
    <t>Putative glycerol-3-phosphate transporter 1 OS=Arabidopsis thaliana GN=At3g47420 PE=2 SV=1</t>
  </si>
  <si>
    <t>Cysteine-rich repeat secretory protein 15 OS=Arabidopsis thaliana GN=CRRSP15 PE=1 SV=1</t>
  </si>
  <si>
    <t>Aladin OS=Arabidopsis thaliana GN=AAAS PE=1 SV=1</t>
  </si>
  <si>
    <t>GPI ethanolamine phosphate transferase 3 OS=Homo sapiens GN=PIGO PE=1 SV=3</t>
  </si>
  <si>
    <t>Vacuolar protein sorting-associated protein 22 homolog 1 OS=Arabidopsis thaliana GN=VP22-1 PE=2 SV=2</t>
  </si>
  <si>
    <t>Exocyst complex component SEC5A OS=Arabidopsis thaliana GN=SEC5A PE=1 SV=1</t>
  </si>
  <si>
    <t>Ribonuclease P protein subunit p29 OS=Bos taurus GN=POP4 PE=2 SV=1</t>
  </si>
  <si>
    <t>Probable RNA-binding protein 18 OS=Pongo abelii GN=RBM18 PE=2 SV=1</t>
  </si>
  <si>
    <t>Sugar transport protein 5 OS=Arabidopsis thaliana GN=STP5 PE=2 SV=1</t>
  </si>
  <si>
    <t>Mitochondrial outer membrane protein porin 4 OS=Arabidopsis thaliana GN=VDAC4 PE=1 SV=1</t>
  </si>
  <si>
    <t>E3 ubiquitin-protein ligase UPL3 OS=Arabidopsis thaliana GN=UPL3 PE=1 SV=1</t>
  </si>
  <si>
    <t>Probable calcium-binding protein CML41 OS=Arabidopsis thaliana GN=CML41 PE=2 SV=2</t>
  </si>
  <si>
    <t>Probable dolichyl pyrophosphate Man9GlcNAc2 alpha-1,3-glucosyltransferase OS=Arabidopsis thaliana GN=At5g38460 PE=2 SV=1</t>
  </si>
  <si>
    <t>Pentatricopeptide repeat-containing protein At4g22760 OS=Arabidopsis thaliana GN=PCMP-E6 PE=2 SV=1</t>
  </si>
  <si>
    <t>Serine/threonine-protein kinase ULK3 OS=Gallus gallus GN=ULK3 PE=2 SV=1</t>
  </si>
  <si>
    <t>NAC domain-containing protein 21/22 OS=Arabidopsis thaliana GN=NAC021 PE=1 SV=2</t>
  </si>
  <si>
    <t>Vacuolar protein-sorting-associated protein 37 homolog 1 OS=Arabidopsis thaliana GN=VPS37-1 PE=1 SV=1</t>
  </si>
  <si>
    <t>Isocitrate dehydrogenase [NADP], chloroplastic/mitochondrial OS=Arabidopsis thaliana GN=At5g14590 PE=2 SV=1</t>
  </si>
  <si>
    <t>Centrin-1 OS=Mus musculus GN=Cetn1 PE=1 SV=1</t>
  </si>
  <si>
    <t>Expansin-A16 OS=Oryza sativa subsp. japonica GN=EXPA16 PE=2 SV=1</t>
  </si>
  <si>
    <t>Vacuolar protein sorting-associated protein 13C OS=Homo sapiens GN=VPS13C PE=1 SV=1</t>
  </si>
  <si>
    <t>Putative DEAD-box ATP-dependent RNA helicase 33 OS=Arabidopsis thaliana GN=RH33 PE=3 SV=1</t>
  </si>
  <si>
    <t>Cycloartenol synthase 2 OS=Betula platyphylla GN=CASBPX2 PE=1 SV=1</t>
  </si>
  <si>
    <t>WUSCHEL-related homeobox 1 OS=Arabidopsis thaliana GN=WOX1 PE=2 SV=2</t>
  </si>
  <si>
    <t>Protein terminal ear1 homolog OS=Oryza sativa subsp. indica GN=PLA2 PE=2 SV=1</t>
  </si>
  <si>
    <t>Probable UDP-3-O-acylglucosamine N-acyltransferase 2, mitochondrial OS=Arabidopsis thaliana GN=LPXD2 PE=3 SV=1</t>
  </si>
  <si>
    <t>mRNA turnover protein 4 homolog OS=Bos taurus GN=MRTO4 PE=2 SV=1</t>
  </si>
  <si>
    <t>Pectinesterase 3 OS=Citrus sinensis PE=1 SV=1</t>
  </si>
  <si>
    <t>DNA-directed RNA polymerase III subunit RPC4 OS=Bos taurus GN=POLR3D PE=2 SV=1</t>
  </si>
  <si>
    <t>Dicarboxylate transporter 2.1, chloroplastic OS=Arabidopsis thaliana GN=DIT2-1 PE=1 SV=1</t>
  </si>
  <si>
    <t>Catalase isozyme 2 OS=Gossypium hirsutum GN=CAT2 PE=2 SV=1</t>
  </si>
  <si>
    <t>Ethylene-responsive transcription factor ERF023 OS=Arabidopsis thaliana GN=ERF023 PE=2 SV=1</t>
  </si>
  <si>
    <t>Pentatricopeptide repeat-containing protein At1g80150, mitochondrial OS=Arabidopsis thaliana GN=At1g80150 PE=2 SV=2</t>
  </si>
  <si>
    <t>HVA22-like protein c OS=Arabidopsis thaliana GN=HVA22C PE=2 SV=1</t>
  </si>
  <si>
    <t>F-box protein PP2-B10 OS=Arabidopsis thaliana GN=PP2B10 PE=1 SV=1</t>
  </si>
  <si>
    <t>Class I heat shock protein (Fragment) OS=Glycine max GN=HSP6834-A PE=3 SV=1</t>
  </si>
  <si>
    <t>Cysteine proteinase inhibitor 1 OS=Actinidia deliciosa PE=1 SV=1</t>
  </si>
  <si>
    <t>Multidrug and toxin extrusion protein 2 OS=Mus musculus GN=Slc47a2 PE=1 SV=1</t>
  </si>
  <si>
    <t>LanC-like protein GCL2 OS=Arabidopsis thaliana GN=GCL2 PE=2 SV=1</t>
  </si>
  <si>
    <t>Non-specific lipid-transfer protein OS=Gossypium hirsutum PE=2 SV=1</t>
  </si>
  <si>
    <t>Haloacid dehalogenase-like hydrolase domain-containing protein At2g33255 OS=Arabidopsis thaliana GN=At2g33255 PE=2 SV=1</t>
  </si>
  <si>
    <t>F-box/WD repeat-containing protein sel-10 OS=Caenorhabditis elegans GN=sel-10 PE=1 SV=3</t>
  </si>
  <si>
    <t>E3 ubiquitin-protein ligase PUB23 OS=Arabidopsis thaliana GN=PUB23 PE=1 SV=1</t>
  </si>
  <si>
    <t>BTB/POZ and TAZ domain-containing protein 1 OS=Arabidopsis thaliana GN=BT1 PE=1 SV=1</t>
  </si>
  <si>
    <t>Methylcrotonoyl-CoA carboxylase beta chain, mitochondrial OS=Arabidopsis thaliana GN=MCCB PE=2 SV=1</t>
  </si>
  <si>
    <t>Peroxidase 16 OS=Arabidopsis thaliana GN=PER16 PE=1 SV=2</t>
  </si>
  <si>
    <t>Eukaryotic translation initiation factor 5A-2 OS=Nicotiana plumbaginifolia GN=EIF-5A2 PE=2 SV=1</t>
  </si>
  <si>
    <t>Protein Ycf2 OS=Carica papaya GN=ycf2-A PE=3 SV=1</t>
  </si>
  <si>
    <t>Cystinosin homolog OS=Arabidopsis thaliana GN=At5g40670 PE=2 SV=1</t>
  </si>
  <si>
    <t>Neutrophil defensin 1 OS=Homo sapiens GN=DEFA1 PE=1 SV=1</t>
  </si>
  <si>
    <t>15 kDa selenoprotein OS=Bos taurus GN=SEP15 PE=2 SV=2</t>
  </si>
  <si>
    <t>Serine/threonine-protein kinase SAPK10 OS=Oryza sativa subsp. japonica GN=SAPK10 PE=2 SV=1</t>
  </si>
  <si>
    <t>Protein OBERON 2 OS=Arabidopsis thaliana GN=OBE2 PE=1 SV=1</t>
  </si>
  <si>
    <t>Probable WRKY transcription factor 57 OS=Arabidopsis thaliana GN=WRKY57 PE=2 SV=1</t>
  </si>
  <si>
    <t>ATP synthase subunit alpha, mitochondrial OS=Neurospora crassa (strain ATCC 24698 / 74-OR23-1A / CBS 708.71 / DSM 1257 / FGSC 987) GN=atp-1 PE=3 SV=1</t>
  </si>
  <si>
    <t>60S ribosomal protein L19-2 OS=Arabidopsis thaliana GN=RPL19B PE=2 SV=1</t>
  </si>
  <si>
    <t>Transcription factor MYB48 OS=Arabidopsis thaliana GN=MYB48 PE=2 SV=1</t>
  </si>
  <si>
    <t>Protein ENDOSPERM DEFECTIVE 1 OS=Arabidopsis thaliana GN=EDE1 PE=1 SV=1</t>
  </si>
  <si>
    <t>Non-functional NADPH-dependent codeinone reductase 2 OS=Papaver somniferum GN=COR2 PE=1 SV=1</t>
  </si>
  <si>
    <t>Homeobox-leucine zipper protein HOX32 OS=Oryza sativa subsp. japonica GN=HOX32 PE=2 SV=1</t>
  </si>
  <si>
    <t>Telomere repeat-binding protein 6 OS=Arabidopsis thaliana GN=TRP6 PE=1 SV=1</t>
  </si>
  <si>
    <t>RHOMBOid-like protein 9, chloroplastic OS=Arabidopsis thaliana GN=RBL9 PE=2 SV=1</t>
  </si>
  <si>
    <t>Elongation factor 1-alpha OS=Podospora anserina GN=TEF PE=3 SV=1</t>
  </si>
  <si>
    <t>Cysteine-rich receptor-like protein kinase 24 OS=Arabidopsis thaliana GN=CRK24 PE=3 SV=2</t>
  </si>
  <si>
    <t>Wall-associated receptor kinase 4 OS=Arabidopsis thaliana GN=WAK4 PE=2 SV=1</t>
  </si>
  <si>
    <t>MATE efflux family protein FRD3 OS=Arabidopsis thaliana GN=FRD3 PE=1 SV=1</t>
  </si>
  <si>
    <t>Solanesyl diphosphate synthase 2, chloroplastic OS=Arabidopsis thaliana GN=SPS2 PE=1 SV=1</t>
  </si>
  <si>
    <t>Pentatricopeptide repeat-containing protein At3g46790, chloroplastic OS=Arabidopsis thaliana GN=CRR2 PE=2 SV=1</t>
  </si>
  <si>
    <t>Exosome complex component RRP41 OS=Homo sapiens GN=EXOSC4 PE=1 SV=3</t>
  </si>
  <si>
    <t>rRNA methyltransferase 1, mitochondrial OS=Dictyostelium discoideum GN=mrm1 PE=3 SV=1</t>
  </si>
  <si>
    <t>Uncharacterized protein At5g48480 OS=Arabidopsis thaliana GN=At5g48480 PE=1 SV=1</t>
  </si>
  <si>
    <t>Probable zinc metalloprotease EGY1, chloroplastic OS=Arabidopsis thaliana GN=EGY1 PE=2 SV=1</t>
  </si>
  <si>
    <t>AdoMet-dependent rRNA methyltransferase spb1 OS=Schizosaccharomyces pombe (strain 972 / ATCC 24843) GN=spb1 PE=1 SV=2</t>
  </si>
  <si>
    <t>COX assembly mitochondrial protein 1 OS=Schizosaccharomyces pombe (strain 972 / ATCC 24843) GN=cmc1 PE=3 SV=1</t>
  </si>
  <si>
    <t>Apoptotic protease-activating factor 1 OS=Danio rerio GN=apaf1 PE=2 SV=1</t>
  </si>
  <si>
    <t>Flavonol synthase/flavanone 3-hydroxylase OS=Eustoma exaltatum subsp. russellianum GN=FLS PE=2 SV=1</t>
  </si>
  <si>
    <t>Eustoma exaltatum</t>
  </si>
  <si>
    <t>Protein CURVATURE THYLAKOid 1D, chloroplastic OS=Arabidopsis thaliana GN=CURT1D PE=1 SV=1</t>
  </si>
  <si>
    <t>Probable protein phosphatase 2C 68 OS=Arabidopsis thaliana GN=At5g06750 PE=2 SV=1</t>
  </si>
  <si>
    <t>Protein ALUMINUM SENSITIVE 3 OS=Arabidopsis thaliana GN=ALS3 PE=1 SV=1</t>
  </si>
  <si>
    <t>Transcription factor TGA7 OS=Arabidopsis thaliana GN=TGA7 PE=1 SV=1</t>
  </si>
  <si>
    <t>Solute carrier family 25 member 44 OS=Pongo abelii GN=SLC25A44 PE=2 SV=2</t>
  </si>
  <si>
    <t>Probable xyloglucan endotransglucosylase/hydrolase protein 8 OS=Arabidopsis thaliana GN=XTH8 PE=2 SV=2</t>
  </si>
  <si>
    <t>Protein argonaute 2 OS=Arabidopsis thaliana GN=AGO2 PE=1 SV=1</t>
  </si>
  <si>
    <t>CCR4-NOT transcription complex subunit 10 OS=Bos taurus GN=CNOT10 PE=2 SV=1</t>
  </si>
  <si>
    <t>Acyl-coenzyme A thioesterase 8 OS=Mus musculus GN=Acot8 PE=1 SV=1</t>
  </si>
  <si>
    <t>Hepatocyte growth factor-regulated tyrosine kinase substrate OS=Rattus norvegicus GN=Hgs PE=1 SV=1</t>
  </si>
  <si>
    <t>Eukaryotic translation initiation factor 3 subunit A OS=Arabidopsis thaliana GN=TIF3A1 PE=1 SV=1</t>
  </si>
  <si>
    <t>Cyclin-L1-1 OS=Oryza sativa subsp. japonica GN=CYCL1-1 PE=2 SV=1</t>
  </si>
  <si>
    <t>Putative clathrin assembly protein At5g35200 OS=Arabidopsis thaliana GN=At5g35200 PE=1 SV=1</t>
  </si>
  <si>
    <t>CBL-interacting serine/threonine-protein kinase 24 OS=Arabidopsis thaliana GN=CIPK24 PE=1 SV=1</t>
  </si>
  <si>
    <t>Cysteine synthase 2 OS=Schizosaccharomyces pombe (strain 972 / ATCC 24843) GN=cys12 PE=3 SV=1</t>
  </si>
  <si>
    <t>Nipped-B-like protein B OS=Danio rerio GN=nipblb PE=2 SV=1</t>
  </si>
  <si>
    <t>Outer envelope protein 61 OS=Arabidopsis thaliana GN=OEP61 PE=1 SV=1</t>
  </si>
  <si>
    <t>Cell cycle checkpoint control protein RAD9A OS=Homo sapiens GN=RAD9A PE=1 SV=1</t>
  </si>
  <si>
    <t>Plant intracellular Ras-group-related LRR protein 4 OS=Arabidopsis thaliana GN=PIRL4 PE=1 SV=1</t>
  </si>
  <si>
    <t>Protein NSP-INTERACTING KINASE 2 OS=Arabidopsis thaliana GN=NIK2 PE=1 SV=1</t>
  </si>
  <si>
    <t>Histone acetyltransferase HAC12 OS=Arabidopsis thaliana GN=HAC12 PE=2 SV=2</t>
  </si>
  <si>
    <t>Probable isoaspartyl peptidase/L-asparaginase 3 OS=Arabidopsis thaliana GN=At5g61540 PE=2 SV=1</t>
  </si>
  <si>
    <t>NAC domain-containing protein 10 OS=Arabidopsis thaliana GN=NAC010 PE=2 SV=1</t>
  </si>
  <si>
    <t>KHG/KDPG aldolase OS=Bacillus subtilis (strain 168) GN=kdgA PE=2 SV=1</t>
  </si>
  <si>
    <t>Alpha-glucan phosphorylase, H isozyme OS=Solanum tuberosum PE=1 SV=1</t>
  </si>
  <si>
    <t>Ubiquitin carboxyl-terminal hydrolase 2 OS=Arabidopsis thaliana GN=UBP2 PE=1 SV=2</t>
  </si>
  <si>
    <t>Cadmium-induced protein AS8 OS=Arabidopsis thaliana GN=At4g19070 PE=2 SV=1</t>
  </si>
  <si>
    <t>HemK methyltransferase family member 2 OS=Homo sapiens GN=N6AMT1 PE=1 SV=3</t>
  </si>
  <si>
    <t>Peroxidase 63 OS=Arabidopsis thaliana GN=PER63 PE=2 SV=1</t>
  </si>
  <si>
    <t>Transducin beta-like protein 3 OS=Homo sapiens GN=TBL3 PE=1 SV=2</t>
  </si>
  <si>
    <t>Probable methyltransferase PMT28 OS=Arabidopsis thaliana GN=At1g19430 PE=2 SV=1</t>
  </si>
  <si>
    <t>Dicarboxylate transporter 1, chloroplastic OS=Arabidopsis thaliana GN=DIT1 PE=1 SV=1</t>
  </si>
  <si>
    <t>Programmed cell death protein 4 OS=Homo sapiens GN=PDCD4 PE=1 SV=2</t>
  </si>
  <si>
    <t>Myosin id heavy chain OS=Dictyostelium discoideum GN=myoD PE=1 SV=2</t>
  </si>
  <si>
    <t>Probable E3 ubiquitin-protein ligase XBOS33 OS=Oryza sativa subsp. japonica GN=XBOS33 PE=2 SV=1</t>
  </si>
  <si>
    <t>Methanol O-anthraniloyltransferase OS=Vitis labrusca GN=AMAT PE=1 SV=1</t>
  </si>
  <si>
    <t>Vitis labrusca</t>
  </si>
  <si>
    <t>Protein kinase dsk1 OS=Schizosaccharomyces pombe (strain 972 / ATCC 24843) GN=dsk1 PE=3 SV=2</t>
  </si>
  <si>
    <t>Thioredoxin-like 4, chloroplastic OS=Arabidopsis thaliana GN=At1g07700 PE=2 SV=1</t>
  </si>
  <si>
    <t>Thioredoxin-like protein CDSP32, chloroplastic OS=Arabidopsis thaliana GN=CDSP32 PE=1 SV=1</t>
  </si>
  <si>
    <t>Vacuolar protein sorting-associated protein 45 homolog OS=Arabidopsis thaliana GN=VPS45 PE=1 SV=2</t>
  </si>
  <si>
    <t>Formin-like protein 3 OS=Arabidopsis thaliana GN=FH3 PE=2 SV=3</t>
  </si>
  <si>
    <t>Signal peptide peptidase-like 4 OS=Arabidopsis thaliana GN=SPPL4 PE=2 SV=1</t>
  </si>
  <si>
    <t>Protein yippee-like At4g27740 OS=Arabidopsis thaliana GN=At4g27740 PE=3 SV=1</t>
  </si>
  <si>
    <t>Cytosolic enolase 3 OS=Arabidopsis thaliana GN=ENO3 PE=1 SV=1</t>
  </si>
  <si>
    <t>Protein S-acyltransferase 10 OS=Arabidopsis thaliana GN=PAT10 PE=1 SV=1</t>
  </si>
  <si>
    <t>MLO-like protein 8 OS=Arabidopsis thaliana GN=MLO8 PE=1 SV=2</t>
  </si>
  <si>
    <t>Phosphatidylinositol/phosphatidylcholine transfer protein SFH9 OS=Arabidopsis thaliana GN=SFH9 PE=2 SV=1</t>
  </si>
  <si>
    <t>Ubiquitin carboxyl-terminal hydrolase 19 OS=Arabidopsis thaliana GN=UBP19 PE=2 SV=2</t>
  </si>
  <si>
    <t>18.2 kDa class I heat shock protein OS=Medicago sativa GN=HSP18.2 PE=2 SV=1</t>
  </si>
  <si>
    <t>Transmembrane 9 superfamily member 8 OS=Arabidopsis thaliana GN=TMN8 PE=2 SV=1</t>
  </si>
  <si>
    <t>Pentatricopeptide repeat-containing protein At5g61370, mitochondrial OS=Arabidopsis thaliana GN=At5g61370 PE=2 SV=1</t>
  </si>
  <si>
    <t>Bifunctional purple acid phosphatase 26 OS=Arabidopsis thaliana GN=PAP26 PE=1 SV=1</t>
  </si>
  <si>
    <t>Probable galacturonosyltransferase 14 OS=Arabidopsis thaliana GN=GAUT14 PE=2 SV=1</t>
  </si>
  <si>
    <t>E3 ubiquitin-protein ligase RLIM OS=Homo sapiens GN=RLIM PE=1 SV=3</t>
  </si>
  <si>
    <t>Ubiquitin carboxyl-terminal hydrolase 26 OS=Arabidopsis thaliana GN=UBP26 PE=1 SV=3</t>
  </si>
  <si>
    <t>Dihydrolipoyllysine-residue acetyltransferase component 3 of pyruvate dehydrogenase complex, mitochondrial OS=Arabidopsis thaliana GN=At1g54220 PE=2 SV=1</t>
  </si>
  <si>
    <t>Queuine tRNA-ribosyltransferase OS=Xenopus tropicalis GN=qtrt1 PE=2 SV=2</t>
  </si>
  <si>
    <t>ATP-dependent RNA helicase DHX8 OS=Mus musculus GN=Dhx8 PE=2 SV=1</t>
  </si>
  <si>
    <t>ATP-dependent zinc metalloprotease FTSH 11, chloroplastic/mitochondrial OS=Arabidopsis thaliana GN=FTSH11 PE=1 SV=1</t>
  </si>
  <si>
    <t>Protein TIC 22, chloroplastic OS=Arabidopsis thaliana GN=TIC22 PE=1 SV=1</t>
  </si>
  <si>
    <t>Very-long-chain enoyl-CoA reductase OS=Arabidopsis thaliana GN=ECR PE=1 SV=1</t>
  </si>
  <si>
    <t>Putative RNA-binding protein Luc7-like 2 OS=Homo sapiens GN=LUC7L2 PE=1 SV=2</t>
  </si>
  <si>
    <t>Cytochrome b561 domain-containing protein At2g30890 OS=Arabidopsis thaliana GN=At2g30890 PE=2 SV=1</t>
  </si>
  <si>
    <t>Exocyst complex component EXO84C OS=Arabidopsis thaliana GN=EXO84C PE=2 SV=1</t>
  </si>
  <si>
    <t>Formyltetrahydrofolate deformylase 1, mitochondrial OS=Arabidopsis thaliana GN=PURU1 PE=1 SV=1</t>
  </si>
  <si>
    <t>Centromere/kinetochore protein zw10 homolog OS=Arabidopsis thaliana GN=ZW10 PE=1 SV=1</t>
  </si>
  <si>
    <t>UDP-N-acetylmuramoyl-tripeptide--D-alanyl-D-alanine ligase OS=Bacillus subtilis (strain 168) GN=murF PE=3 SV=1</t>
  </si>
  <si>
    <t>Aldehyde dehydrogenase family 7 member A1 OS=Malus domestica PE=1 SV=3</t>
  </si>
  <si>
    <t>RING-H2 finger protein ATL34 OS=Arabidopsis thaliana GN=ATL34 PE=2 SV=1</t>
  </si>
  <si>
    <t>Phosphatidylcholine transfer protein OS=Mus musculus GN=Pctp PE=1 SV=2</t>
  </si>
  <si>
    <t>Isoamylase 1, chloroplastic OS=Arabidopsis thaliana GN=ISA1 PE=1 SV=1</t>
  </si>
  <si>
    <t>Serine/threonine-protein kinase PEPKR2 OS=Arabidopsis thaliana GN=PEPKR2 PE=2 SV=1</t>
  </si>
  <si>
    <t>Dol-P-Man:Man(7)GlcNAc(2)-PP-Dol alpha-1,6-mannosyltransferase OS=Arabidopsis thaliana GN=ALG12 PE=1 SV=1</t>
  </si>
  <si>
    <t>Tobamovirus multiplication protein 2B OS=Arabidopsis thaliana GN=TOM2B PE=2 SV=2</t>
  </si>
  <si>
    <t>Autophagy-related protein 9 OS=Dictyostelium discoideum GN=atg9 PE=2 SV=1</t>
  </si>
  <si>
    <t>Protein CLEC16A OS=Mus musculus GN=Clec16a PE=1 SV=2</t>
  </si>
  <si>
    <t>ATP-dependent DNA helicase Q-like 5 OS=Arabidopsis thaliana GN=RECQL5 PE=2 SV=2</t>
  </si>
  <si>
    <t>60S ribosomal protein L6, mitochondrial OS=Marchantia polymorpha GN=RPL6 PE=3 SV=2</t>
  </si>
  <si>
    <t>B3 domain-containing protein Os11g0197600 OS=Oryza sativa subsp. japonica GN=Os11g0197600 PE=2 SV=1</t>
  </si>
  <si>
    <t>RNA-binding protein 3 OS=Homo sapiens GN=RBM3 PE=1 SV=1</t>
  </si>
  <si>
    <t>Protein DDB_G0276689 OS=Dictyostelium discoideum GN=DDB_G0276689 PE=4 SV=2</t>
  </si>
  <si>
    <t>Protein SCARECROW OS=Arabidopsis thaliana GN=SCR PE=1 SV=1</t>
  </si>
  <si>
    <t>Uncharacterized protein YacP OS=Bacillus subtilis (strain 168) GN=yacP PE=4 SV=1</t>
  </si>
  <si>
    <t>Kinesin-like protein NACK1 OS=Arabidopsis thaliana GN=NACK1 PE=1 SV=1</t>
  </si>
  <si>
    <t>Pol polyprotein OS=AKV murine leukemia virus GN=pol PE=3 SV=2</t>
  </si>
  <si>
    <t>AKV murine</t>
  </si>
  <si>
    <t>Glycogen synthase kinase-3 homolog MsK-1 OS=Medicago sativa GN=MSK-1 PE=2 SV=1</t>
  </si>
  <si>
    <t>ABC transporter G family member 40 OS=Arabidopsis thaliana GN=ABCG40 PE=1 SV=1</t>
  </si>
  <si>
    <t>Uncharacterized GPI-anchored protein At3g06035 OS=Arabidopsis thaliana GN=At3g06035 PE=2 SV=1</t>
  </si>
  <si>
    <t>Malate dehydrogenase, glyoxysomal OS=Citrullus lanatus PE=1 SV=1</t>
  </si>
  <si>
    <t>MLP-like protein 329 OS=Arabidopsis thaliana GN=MLP329 PE=2 SV=1</t>
  </si>
  <si>
    <t>Transcription factor MYB82 OS=Arabidopsis thaliana GN=MYB82 PE=1 SV=1</t>
  </si>
  <si>
    <t>50S ribosomal protein L24, chloroplastic OS=Pisum sativum GN=RPL24 PE=2 SV=1</t>
  </si>
  <si>
    <t>Lectin-related protein (Fragment) OS=Cladrastis kentukea PE=1 SV=1</t>
  </si>
  <si>
    <t>Protein S-acyltransferase 18 OS=Arabidopsis thaliana GN=PAT18 PE=2 SV=2</t>
  </si>
  <si>
    <t>Putative pentatricopeptide repeat-containing protein At5g37570 OS=Arabidopsis thaliana GN=PCMP-E37 PE=3 SV=1</t>
  </si>
  <si>
    <t>Probable LRR receptor-like serine/threonine-protein kinase At1g51860 OS=Arabidopsis thaliana GN=At1g51860 PE=2 SV=2</t>
  </si>
  <si>
    <t>High-light-induced protein, chloroplastic OS=Arabidopsis thaliana GN=HLIP PE=1 SV=1</t>
  </si>
  <si>
    <t>RNA polymerase I-specific transcription initiation factor RRN3 OS=Homo sapiens GN=RRN3 PE=1 SV=1</t>
  </si>
  <si>
    <t>50S ribosomal protein L17, chloroplastic OS=Arabidopsis thaliana GN=RPL17 PE=2 SV=1</t>
  </si>
  <si>
    <t>Probable cysteine desulfurase OS=Staphylococcus epidermidis (strain ATCC 12228) GN=csd PE=3 SV=1</t>
  </si>
  <si>
    <t>Staphylococcus epidermidis</t>
  </si>
  <si>
    <t>40S ribosomal protein S10-1 OS=Arabidopsis thaliana GN=RPS10A PE=2 SV=1</t>
  </si>
  <si>
    <t>IAA-amino acid hydrolase ILR1-like 4 OS=Oryza sativa subsp. japonica GN=ILL4 PE=2 SV=1</t>
  </si>
  <si>
    <t>Isocitrate dehydrogenase [NADP], chloroplastic (Fragment) OS=Medicago sativa PE=2 SV=1</t>
  </si>
  <si>
    <t>Nodulation receptor kinase OS=Pisum sativum GN=NORK PE=1 SV=1</t>
  </si>
  <si>
    <t>Uncharacterized protein YraH OS=Bacillus subtilis (strain 168) GN=yraH PE=3 SV=1</t>
  </si>
  <si>
    <t>Sm-like protein LSM8 OS=Arabidopsis thaliana GN=LSM8 PE=1 SV=1</t>
  </si>
  <si>
    <t>Putative cyclic nucleotide-gated ion channel 8 OS=Arabidopsis thaliana GN=CNGC8 PE=3 SV=2</t>
  </si>
  <si>
    <t>Protein LURP-one-related 5 OS=Arabidopsis thaliana GN=At1g80120 PE=1 SV=1</t>
  </si>
  <si>
    <t>Ig kappa chain C region OS=Homo sapiens GN=IGKC PE=1 SV=1</t>
  </si>
  <si>
    <t>Peroxisomal (S)-2-hydroxy-acid oxidase GLO1 OS=Arabidopsis thaliana GN=GLO1 PE=1 SV=1</t>
  </si>
  <si>
    <t>Calmodulin-related protein OS=Petunia hybrida GN=CAM53 PE=2 SV=2</t>
  </si>
  <si>
    <t>50S ribosomal protein L27, chloroplastic OS=Arabidopsis thaliana GN=RPL27 PE=2 SV=1</t>
  </si>
  <si>
    <t>Pentatricopeptide repeat-containing protein At3g56030 OS=Arabidopsis thaliana GN=At3g56030 PE=2 SV=2</t>
  </si>
  <si>
    <t>Probable indole-3-pyruvate monooxygenase YUCCA5 OS=Arabidopsis thaliana GN=YUC5 PE=2 SV=1</t>
  </si>
  <si>
    <t>Pathogenesis-related leaf protein 4 OS=Solanum lycopersicum PE=2 SV=1</t>
  </si>
  <si>
    <t>3-ketoacyl-CoA synthase 17 OS=Arabidopsis thaliana GN=KCS17 PE=2 SV=2</t>
  </si>
  <si>
    <t>Cytochrome P450 81D11 OS=Arabidopsis thaliana GN=CYP81D11 PE=2 SV=1</t>
  </si>
  <si>
    <t>Receptor-like serine/threonine-protein kinase SD1-7 OS=Arabidopsis thaliana GN=SD17 PE=1 SV=1</t>
  </si>
  <si>
    <t>Serine carboxypeptidase-like 34 OS=Arabidopsis thaliana GN=SCPL34 PE=2 SV=2</t>
  </si>
  <si>
    <t>Cytokinin dehydrogenase 7 OS=Arabidopsis thaliana GN=CKX7 PE=1 SV=1</t>
  </si>
  <si>
    <t>BAG family molecular chaperone regulator 8, chloroplastic OS=Arabidopsis thaliana GN=BAG1 PE=1 SV=1</t>
  </si>
  <si>
    <t>Transcription elongation factor TFIIS OS=Arabidopsis thaliana GN=TFIIS PE=1 SV=1</t>
  </si>
  <si>
    <t>Vacuolar protein sorting-associated protein 9A OS=Arabidopsis thaliana GN=VPS9A PE=1 SV=1</t>
  </si>
  <si>
    <t>Zinc-finger homeodomain protein 2 OS=Arabidopsis thaliana GN=ZHD1 PE=1 SV=1</t>
  </si>
  <si>
    <t>E3 ubiquitin-protein ligase ATL6 OS=Arabidopsis thaliana GN=ATL6 PE=1 SV=2</t>
  </si>
  <si>
    <t>Probable aquaporin SIP2-1 OS=Arabidopsis thaliana GN=SIP2-1 PE=2 SV=1</t>
  </si>
  <si>
    <t>BAG family molecular chaperone regulator 6 OS=Arabidopsis thaliana GN=BAG6 PE=1 SV=1</t>
  </si>
  <si>
    <t>Transcription factor GAMYB OS=Oryza sativa subsp. japonica GN=GAM1 PE=2 SV=1</t>
  </si>
  <si>
    <t>DELLA protein GAI OS=Gossypium hirsutum GN=GAI PE=2 SV=1</t>
  </si>
  <si>
    <t>Cation/calcium exchanger 1 OS=Arabidopsis thaliana GN=CCX1 PE=2 SV=1</t>
  </si>
  <si>
    <t>Abscisic acid receptor PYL2 OS=Arabidopsis thaliana GN=PYL2 PE=1 SV=1</t>
  </si>
  <si>
    <t>Phytochrome B OS=Nicotiana tabacum GN=PHYB PE=2 SV=2</t>
  </si>
  <si>
    <t>Ethylene-responsive transcription factor ERF053 OS=Arabidopsis thaliana GN=ERF053 PE=2 SV=1</t>
  </si>
  <si>
    <t>Probable potassium transporter 11 OS=Oryza sativa subsp. japonica GN=HAK11 PE=2 SV=3</t>
  </si>
  <si>
    <t>Glycerophosphodiester phosphodiesterase GDPD5 OS=Arabidopsis thaliana GN=GDPD5 PE=2 SV=1</t>
  </si>
  <si>
    <t>Peptidyl-prolyl cis-trans isomerase CYP57 OS=Arabidopsis thaliana GN=CYP57 PE=1 SV=1</t>
  </si>
  <si>
    <t>Phosphatidyl-N-methylethanolamine N-methyltransferase OS=Arabidopsis thaliana GN=PLMT PE=2 SV=1</t>
  </si>
  <si>
    <t>Acetate/butyrate--CoA ligase AAE7, peroxisomal OS=Arabidopsis thaliana GN=AAE7 PE=1 SV=1</t>
  </si>
  <si>
    <t>Acyl-CoA-binding domain-containing protein 2 OS=Arabidopsis thaliana GN=ACBP2 PE=1 SV=1</t>
  </si>
  <si>
    <t>Pentatricopeptide repeat-containing protein At3g09650, chloroplastic OS=Arabidopsis thaliana GN=HCF152 PE=2 SV=1</t>
  </si>
  <si>
    <t>F-box/LRR-repeat protein At4g14103 OS=Arabidopsis thaliana GN=At4g14103 PE=2 SV=1</t>
  </si>
  <si>
    <t>Probable transmembrane ascorbate ferrireductase 2 OS=Arabidopsis thaliana GN=CYB561B PE=1 SV=1</t>
  </si>
  <si>
    <t>DDRGK domain-containing protein 1 OS=Arabidopsis thaliana GN=At4g27120 PE=2 SV=1</t>
  </si>
  <si>
    <t>Photosystem I P700 chlorophyll a apoprotein A1 OS=Eucalyptus globulus subsp. globulus GN=psaA PE=3 SV=1</t>
  </si>
  <si>
    <t>Eucalyptus globulus</t>
  </si>
  <si>
    <t>Probable xyloglucan endotransglucosylase/hydrolase protein 10 OS=Arabidopsis thaliana GN=XTH10 PE=2 SV=1</t>
  </si>
  <si>
    <t>60S ribosomal protein L2, mitochondrial OS=Oryza sativa subsp. japonica GN=RPL2 PE=2 SV=2</t>
  </si>
  <si>
    <t>Succinate dehydrogenase assembly factor 1, mitochondrial OS=Rattus norvegicus GN=Sdhaf1 PE=3 SV=1</t>
  </si>
  <si>
    <t>3-isopropylmalate dehydratase large subunit OS=Arabidopsis thaliana GN=IIL1 PE=1 SV=1</t>
  </si>
  <si>
    <t>Decapping nuclease DXO homolog, chloroplastic OS=Arabidopsis thaliana GN=At4g17620 PE=1 SV=1</t>
  </si>
  <si>
    <t>E3 ubiquitin-protein ligase RNF144A OS=Homo sapiens GN=RNF144A PE=1 SV=2</t>
  </si>
  <si>
    <t>Glutathione S-transferase PARB OS=Nicotiana tabacum GN=PARB PE=2 SV=1</t>
  </si>
  <si>
    <t>Polynucleotide 3'-phosphatase ZDP OS=Arabidopsis thaliana GN=ZDP PE=1 SV=1</t>
  </si>
  <si>
    <t>Probable aquaporin PIP2-2 OS=Oryza sativa subsp. japonica GN=PIP2-2 PE=2 SV=1</t>
  </si>
  <si>
    <t>Pentatricopeptide repeat-containing protein At5g67570, chloroplastic OS=Arabidopsis thaliana GN=DG1 PE=1 SV=2</t>
  </si>
  <si>
    <t>Serine/threonine-protein kinase D6PK OS=Arabidopsis thaliana GN=D6PK PE=1 SV=1</t>
  </si>
  <si>
    <t>Putative tRNA pseudouridine synthase OS=Arabidopsis thaliana GN=At2g30320 PE=3 SV=1</t>
  </si>
  <si>
    <t>Bifunctional fucokinase/fucose pyrophosphorylase OS=Arabidopsis thaliana GN=FKGP PE=1 SV=2</t>
  </si>
  <si>
    <t>tRNA (guanine(37)-N1)-methyltransferase 1 OS=Vitis vinifera GN=VIT_19s0014g03930 PE=3 SV=1</t>
  </si>
  <si>
    <t>Putative GEM-like protein 8 OS=Arabidopsis thaliana GN=At5g23370 PE=3 SV=1</t>
  </si>
  <si>
    <t>Putative pentatricopeptide repeat-containing protein At5g08310, mitochondrial OS=Arabidopsis thaliana GN=At5g08310 PE=3 SV=1</t>
  </si>
  <si>
    <t>Ethylene-responsive transcription factor-like protein At4g13040 OS=Arabidopsis thaliana GN=At4g13040 PE=2 SV=2</t>
  </si>
  <si>
    <t>Probable LRR receptor-like serine/threonine-protein kinase At5g10290 OS=Arabidopsis thaliana GN=At5g10290 PE=2 SV=1</t>
  </si>
  <si>
    <t>Signal recognition particle 19 kDa protein OS=Oryza sativa subsp. japonica GN=SRP19 PE=1 SV=1</t>
  </si>
  <si>
    <t>Pentatricopeptide repeat-containing protein At2g15980 OS=Arabidopsis thaliana GN=At2g15980 PE=2 SV=1</t>
  </si>
  <si>
    <t>Rab3 GTPase-activating protein non-catalytic subunit OS=Mus musculus GN=Rab3gap2 PE=1 SV=2</t>
  </si>
  <si>
    <t>NEDD8-specific protease 1 OS=Arabidopsis thaliana GN=NEDP1 PE=2 SV=1</t>
  </si>
  <si>
    <t>Cytochrome P450 71D9 OS=Glycine max GN=CYP71D9 PE=2 SV=1</t>
  </si>
  <si>
    <t>Probable sucrose-phosphate synthase 3 OS=Arabidopsis thaliana GN=SPS3 PE=2 SV=1</t>
  </si>
  <si>
    <t>F-box protein At5g51380 OS=Arabidopsis thaliana GN=At5g51380 PE=2 SV=1</t>
  </si>
  <si>
    <t>BEL1-like homeodomain protein 3 OS=Arabidopsis thaliana GN=BLH3 PE=1 SV=1</t>
  </si>
  <si>
    <t>Protein kinase 2A, chloroplastic OS=Arabidopsis thaliana GN=APK2A PE=2 SV=1</t>
  </si>
  <si>
    <t>Magnesium-chelatase subunit ChlH, chloroplastic OS=Arabidopsis thaliana GN=CHLH PE=1 SV=1</t>
  </si>
  <si>
    <t>Mediator of RNA polymerase II transcription subunit 28 OS=Arabidopsis thaliana GN=MED28 PE=1 SV=1</t>
  </si>
  <si>
    <t>DNA replication licensing factor MCM5 OS=Arabidopsis thaliana GN=MCM5 PE=1 SV=1</t>
  </si>
  <si>
    <t>Pentatricopeptide repeat-containing protein At5g46100 OS=Arabidopsis thaliana GN=At5g46100 PE=2 SV=1</t>
  </si>
  <si>
    <t>Heat stress transcription factor B-2a OS=Arabidopsis thaliana GN=HSFB2A PE=2 SV=1</t>
  </si>
  <si>
    <t>Magnesium transporter MRS2-3 OS=Arabidopsis thaliana GN=MRS2-3 PE=2 SV=1</t>
  </si>
  <si>
    <t>Ferredoxin-2 OS=Synechococcus sp. (strain ATCC 27144 / PCC 6301 / SAUG 1402/1) GN=petF2 PE=3 SV=2</t>
  </si>
  <si>
    <t>Sec1 family domain-containing protein MIP3 OS=Arabidopsis thaliana GN=MIP3 PE=1 SV=1</t>
  </si>
  <si>
    <t>B3 domain-containing protein Os07g0563300 OS=Oryza sativa subsp. japonica GN=Os07g0563300 PE=3 SV=2</t>
  </si>
  <si>
    <t>mRNA cap guanine-N7 methyltransferase 2 OS=Arabidopsis thaliana GN=At3g52210 PE=2 SV=1</t>
  </si>
  <si>
    <t>Tyrosine-specific transport protein 2 OS=Haemophilus influenzae (strain ATCC 51907 / DSM 11121 / KW20 / Rd) GN=tyrP-B PE=3 SV=1</t>
  </si>
  <si>
    <t>Chitobiosyldiphosphodolichol beta-mannosyltransferase OS=Mus musculus GN=Alg1 PE=2 SV=3</t>
  </si>
  <si>
    <t>Anoctamin-like protein At1g73020 OS=Arabidopsis thaliana GN=At1g73020 PE=1 SV=1</t>
  </si>
  <si>
    <t>Structural maintenance of chromosomes protein 3 OS=Arabidopsis thaliana GN=SMC3 PE=2 SV=1</t>
  </si>
  <si>
    <t>Probable choline kinase 2 OS=Arabidopsis thaliana GN=At1g74320 PE=2 SV=1</t>
  </si>
  <si>
    <t>Zinc finger CCHC domain-containing protein 10 OS=Rattus norvegicus GN=Zcchc10 PE=2 SV=2</t>
  </si>
  <si>
    <t>Probable protein phosphatase 2C 44 OS=Oryza sativa subsp. japonica GN=Os04g0609600 PE=2 SV=1</t>
  </si>
  <si>
    <t>Secretory carrier-associated membrane protein 3 OS=Arabidopsis thaliana GN=SCAMP3 PE=1 SV=1</t>
  </si>
  <si>
    <t>26S proteasome non-ATPase regulatory subunit 12 homolog A OS=Arabidopsis thaliana GN=RPN5A PE=1 SV=1</t>
  </si>
  <si>
    <t>Sulfhydryl oxidase 2 OS=Arabidopsis thaliana GN=QSOX2 PE=2 SV=2</t>
  </si>
  <si>
    <t>Ferritin-1, chloroplastic OS=Nicotiana tabacum GN=FER1 PE=2 SV=1</t>
  </si>
  <si>
    <t>Probable inactive receptor-like protein kinase At3g56050 OS=Arabidopsis thaliana GN=At3g56050 PE=2 SV=1</t>
  </si>
  <si>
    <t>Protein farnesyltransferase subunit beta OS=Pisum sativum GN=FTB PE=1 SV=1</t>
  </si>
  <si>
    <t>Membrane metalloprotease ARASP, chloroplastic OS=Arabidopsis thaliana GN=ARASP PE=2 SV=1</t>
  </si>
  <si>
    <t>Probable trehalose-phosphate phosphatase J OS=Arabidopsis thaliana GN=TPPJ PE=1 SV=1</t>
  </si>
  <si>
    <t>NifU-like protein 2, chloroplastic OS=Arabidopsis thaliana GN=NIFU2 PE=1 SV=1</t>
  </si>
  <si>
    <t>50S ribosomal protein L30 OS=Corynebacterium aurimucosum (strain ATCC 700975 / DSM 44827 / CN-1) GN=rpmD PE=3 SV=1</t>
  </si>
  <si>
    <t>Corynebacterium aurimucosum</t>
  </si>
  <si>
    <t>Transcription factor bHLH110 OS=Arabidopsis thaliana GN=BHLH110 PE=2 SV=2</t>
  </si>
  <si>
    <t>Acyl-coenzyme A oxidase 3, peroxisomal OS=Arabidopsis thaliana GN=ACX3 PE=1 SV=1</t>
  </si>
  <si>
    <t>Putative transferase At1g60990, chloroplastic OS=Arabidopsis thaliana GN=At1g60990 PE=1 SV=1</t>
  </si>
  <si>
    <t>Probable nitronate monooxygenase OS=Staphylococcus aureus (strain MSSA476) GN=SAS0791 PE=3 SV=1</t>
  </si>
  <si>
    <t>1,4-alpha-glucan-branching enzyme 1, chloroplastic/amyloplastic OS=Pisum sativum GN=SBEI PE=1 SV=1</t>
  </si>
  <si>
    <t>Long chain base biosynthesis protein 2a OS=Arabidopsis thaliana GN=LCB2a PE=1 SV=1</t>
  </si>
  <si>
    <t>Peptidyl-prolyl cis-trans isomerase CYP19-3 OS=Arabidopsis thaliana GN=CYP19-3 PE=2 SV=2</t>
  </si>
  <si>
    <t>Omega-3 fatty acid desaturase, chloroplastic OS=Sesamum indicum GN=FAD7 PE=2 SV=1</t>
  </si>
  <si>
    <t>Root phototropism protein 2 OS=Arabidopsis thaliana GN=RPT2 PE=1 SV=2</t>
  </si>
  <si>
    <t>LRR receptor-like serine/threonine-protein kinase ERECTA OS=Arabidopsis thaliana GN=ERECTA PE=1 SV=1</t>
  </si>
  <si>
    <t>Oleosin 18.2 kDa OS=Gossypium hirsutum GN=MATP6-A PE=2 SV=1</t>
  </si>
  <si>
    <t>Receptor homology region, transmembrane domain- and RING domain-containing protein 2 OS=Oryza sativa subsp. japonica GN=RMR1 PE=2 SV=2</t>
  </si>
  <si>
    <t>Multiprotein-bridging factor 1a OS=Arabidopsis thaliana GN=MBF1A PE=2 SV=1</t>
  </si>
  <si>
    <t>Pentatricopeptide repeat-containing protein At1g62720 OS=Arabidopsis thaliana GN=At1g62720 PE=2 SV=1</t>
  </si>
  <si>
    <t>snRNA-activating protein complex subunit OS=Arabidopsis thaliana GN=SRD2 PE=1 SV=1</t>
  </si>
  <si>
    <t>Snakin-1 OS=Solanum tuberosum GN=SN1 PE=1 SV=1</t>
  </si>
  <si>
    <t>Putative cyclin-A3-1 OS=Arabidopsis thaliana GN=CYCA3-1 PE=3 SV=1</t>
  </si>
  <si>
    <t>Feruloyl CoA ortho-hydroxylase 2 OS=Arabidopsis thaliana GN=F6'H2 PE=1 SV=1</t>
  </si>
  <si>
    <t>Photosystem II CP43 reaction center protein OS=Lactuca sativa GN=psbC PE=3 SV=1</t>
  </si>
  <si>
    <t>Lactuca sativa</t>
  </si>
  <si>
    <t>17.9 kDa class II heat shock protein OS=Helianthus annuus GN=HSP17.9 PE=2 SV=1</t>
  </si>
  <si>
    <t>Auxin-responsive protein IAA8 OS=Arabidopsis thaliana GN=IAA8 PE=1 SV=1</t>
  </si>
  <si>
    <t>ATP-dependent Clp protease ATP-binding subunit ClpX OS=Pseudomonas mendocina (strain ymp) GN=clpX PE=3 SV=1</t>
  </si>
  <si>
    <t>Pseudomonas mendocina</t>
  </si>
  <si>
    <t>Hydroxymethylglutaryl-CoA synthase OS=Arabidopsis thaliana GN=HMGS PE=1 SV=2</t>
  </si>
  <si>
    <t>Trafficking protein particle complex subunit 2 OS=Sus scrofa GN=TRAPPC2 PE=2 SV=2</t>
  </si>
  <si>
    <t>Probable polyamine oxidase 4 OS=Arabidopsis thaliana GN=PAO4 PE=1 SV=1</t>
  </si>
  <si>
    <t>NEDD8-activating enzyme E1 regulatory subunit OS=Arabidopsis thaliana GN=AXR1 PE=1 SV=1</t>
  </si>
  <si>
    <t>Probable xyloglucan endotransglucosylase/hydrolase protein 6 OS=Arabidopsis thaliana GN=XTH6 PE=2 SV=2</t>
  </si>
  <si>
    <t>Pentatricopeptide repeat-containing protein At1g80880, mitochondrial OS=Arabidopsis thaliana GN=At1g80880 PE=2 SV=1</t>
  </si>
  <si>
    <t>Solute carrier family 35 member E3 OS=Danio rerio GN=slc35e3 PE=2 SV=1</t>
  </si>
  <si>
    <t>Putative nuclease HARBI1 OS=Homo sapiens GN=HARBI1 PE=1 SV=1</t>
  </si>
  <si>
    <t>Protein DJ-1 homolog C OS=Arabidopsis thaliana GN=DJ1C PE=2 SV=1</t>
  </si>
  <si>
    <t>Heat shock protein 82 OS=Zea mays GN=HSP82 PE=3 SV=1</t>
  </si>
  <si>
    <t>Translation initiation factor IF-2, chloroplastic OS=Arabidopsis thaliana GN=At1g17220 PE=2 SV=2</t>
  </si>
  <si>
    <t>Protease 2 OS=Escherichia coli (strain K12) GN=ptrB PE=1 SV=2</t>
  </si>
  <si>
    <t>Lipase OS=Staphylococcus hyicus GN=lip PE=1 SV=1</t>
  </si>
  <si>
    <t>Staphylococcus hyicus</t>
  </si>
  <si>
    <t>Glycerol-3-phosphate acyltransferase 1 OS=Arabidopsis thaliana GN=GPAT1 PE=1 SV=1</t>
  </si>
  <si>
    <t>F-box protein At1g70590 OS=Arabidopsis thaliana GN=At1g70590 PE=2 SV=1</t>
  </si>
  <si>
    <t>COP9 signalosome complex subunit 1 OS=Arabidopsis thaliana GN=CSN1 PE=1 SV=2</t>
  </si>
  <si>
    <t>Probable glucose transporter rco-3 OS=Neurospora crassa (strain ATCC 24698 / 74-OR23-1A / CBS 708.71 / DSM 1257 / FGSC 987) GN=rco-3 PE=3 SV=2</t>
  </si>
  <si>
    <t>ABC transporter B family member 16 OS=Arabidopsis thaliana GN=ABCB16 PE=2 SV=1</t>
  </si>
  <si>
    <t>Cytochrome P450 98A2 OS=Glycine max GN=CYP98A2 PE=2 SV=1</t>
  </si>
  <si>
    <t>Patatin-like protein 3 OS=Arabidopsis thaliana GN=PLP3 PE=2 SV=2</t>
  </si>
  <si>
    <t>Dehydration-responsive element-binding protein 1D OS=Arabidopsis thaliana GN=DREB1D PE=2 SV=1</t>
  </si>
  <si>
    <t>Photosynthetic NDH subunit of lumenal location 4, chloroplastic OS=Arabidopsis thaliana GN=PNSL4 PE=1 SV=1</t>
  </si>
  <si>
    <t>Telomere repeat-binding factor 1 OS=Arabidopsis thaliana GN=TRB1 PE=1 SV=1</t>
  </si>
  <si>
    <t>Probable calcium-binding protein CML10 OS=Oryza sativa subsp. japonica GN=CML10 PE=2 SV=1</t>
  </si>
  <si>
    <t>Gibberellin 2-beta-dioxygenase OS=Phaseolus coccineus GN=GA2OX1 PE=2 SV=1</t>
  </si>
  <si>
    <t>Phaseolus coccineus</t>
  </si>
  <si>
    <t>Violaxanthin de-epoxidase, chloroplastic OS=Nicotiana tabacum GN=VDE1 PE=2 SV=1</t>
  </si>
  <si>
    <t>Dirigent protein 17 OS=Arabidopsis thaliana GN=DIR17 PE=2 SV=1</t>
  </si>
  <si>
    <t>Zinc transporter 1 OS=Arabidopsis thaliana GN=ZIP1 PE=2 SV=1</t>
  </si>
  <si>
    <t>Putative pentatricopeptide repeat-containing protein At1g17630 OS=Arabidopsis thaliana GN=PCMP-E72 PE=3 SV=1</t>
  </si>
  <si>
    <t>Telomere-associated protein RIF1 OS=Mus musculus GN=Rif1 PE=1 SV=2</t>
  </si>
  <si>
    <t>Phosphatidylserine decarboxylase proenzyme 3 OS=Arabidopsis thaliana GN=PSD3 PE=1 SV=1</t>
  </si>
  <si>
    <t>ATP-dependent Clp protease ATP-binding subunit ClpX OS=Ruegeria pomeroyi (strain ATCC 700808 / DSM 15171 / DSS-3) GN=clpX PE=3 SV=1</t>
  </si>
  <si>
    <t>WAT1-related protein At3g28050 OS=Arabidopsis thaliana GN=At3g28050 PE=2 SV=1</t>
  </si>
  <si>
    <t>Two-component response regulator ARR6 OS=Arabidopsis thaliana GN=ARR6 PE=1 SV=2</t>
  </si>
  <si>
    <t>Glyoxysomal fatty acid beta-oxidation multifunctional protein MFP-a OS=Cucumis sativus PE=1 SV=1</t>
  </si>
  <si>
    <t>Ribosomal RNA small subunit methyltransferase, mitochondrial OS=Arabidopsis thaliana GN=DIM1B PE=1 SV=1</t>
  </si>
  <si>
    <t>Pentatricopeptide repeat-containing protein At5g46580, chloroplastic OS=Arabidopsis thaliana GN=At5g46580 PE=2 SV=1</t>
  </si>
  <si>
    <t>Phosphoribosylglycinamide formyltransferase, chloroplastic OS=Vigna unguiculata GN=PUR3 PE=2 SV=2</t>
  </si>
  <si>
    <t>Glucan endo-1,3-beta-glucosidase 9 OS=Arabidopsis thaliana GN=At5g58480 PE=1 SV=1</t>
  </si>
  <si>
    <t>Phytoene dehydrogenase, chloroplastic/chromoplastic OS=Glycine max GN=PDS1 PE=2 SV=1</t>
  </si>
  <si>
    <t>Glutamate decarboxylase OS=Solanum lycopersicum PE=2 SV=1</t>
  </si>
  <si>
    <t>Probable DNA primase large subunit OS=Arabidopsis thaliana GN=At1g67320 PE=2 SV=2</t>
  </si>
  <si>
    <t>Coronatine-insensitive protein 1 OS=Arabidopsis thaliana GN=COI1 PE=1 SV=1</t>
  </si>
  <si>
    <t>Anamorsin homolog OS=Vitis vinifera GN=VIT_01s0010g01180 PE=3 SV=1</t>
  </si>
  <si>
    <t>Expansin-A8 OS=Arabidopsis thaliana GN=EXPA8 PE=2 SV=1</t>
  </si>
  <si>
    <t>Protein MITOFERRINLIKE 1, chloroplastic OS=Arabidopsis thaliana GN=MFL1 PE=2 SV=1</t>
  </si>
  <si>
    <t>Tubulin beta-2 chain OS=Lupinus albus GN=TUBB2 PE=3 SV=1</t>
  </si>
  <si>
    <t>Peter Pan-like protein OS=Arabidopsis thaliana GN=PPAN PE=1 SV=1</t>
  </si>
  <si>
    <t>Mechanosensitive ion channel protein 2, chloroplastic OS=Arabidopsis thaliana GN=MSL2 PE=2 SV=1</t>
  </si>
  <si>
    <t>Cullin-3B OS=Arabidopsis thaliana GN=CUL3B PE=1 SV=1</t>
  </si>
  <si>
    <t>Eukaryotic translation initiation factor 3 subunit B OS=Arabidopsis thaliana GN=TIF3B1 PE=1 SV=1</t>
  </si>
  <si>
    <t>Adenylate isopentenyltransferase 3, chloroplastic OS=Arabidopsis thaliana GN=IPT3 PE=1 SV=1</t>
  </si>
  <si>
    <t>Splicing factor 3A subunit 2 OS=Homo sapiens GN=SF3A2 PE=1 SV=2</t>
  </si>
  <si>
    <t>Probable N-acetylglucosaminyl-phosphatidylinositol de-N-acetylase OS=Dictyostelium discoideum GN=pigl PE=3 SV=1</t>
  </si>
  <si>
    <t>Temperature-sensitive omega-3 fatty acid desaturase, chloroplastic OS=Arabidopsis thaliana GN=FAD8 PE=2 SV=1</t>
  </si>
  <si>
    <t>Pentatricopeptide repeat-containing protein At4g21170 OS=Arabidopsis thaliana GN=At4g21170 PE=3 SV=2</t>
  </si>
  <si>
    <t>Beta-glucosidase 42 OS=Arabidopsis thaliana GN=BGLU42 PE=2 SV=1</t>
  </si>
  <si>
    <t>Transcription factor TCP5 OS=Arabidopsis thaliana GN=TCP5 PE=2 SV=1</t>
  </si>
  <si>
    <t>Mitochondrial import inner membrane translocase subunit tim16 OS=Danio rerio GN=pam16 PE=2 SV=1</t>
  </si>
  <si>
    <t>Gibberellin 2-beta-dioxygenase 1 OS=Pisum sativum GN=GA2OX1 PE=1 SV=1</t>
  </si>
  <si>
    <t>Mitotic checkpoint protein BUB3.2 OS=Arabidopsis thaliana GN=BUB3.2 PE=2 SV=1</t>
  </si>
  <si>
    <t>General transcription factor IIE subunit 1 OS=Dictyostelium discoideum GN=gtf2e1-1 PE=3 SV=1</t>
  </si>
  <si>
    <t>ATP-dependent Clp protease proteolytic subunit 3, chloroplastic OS=Arabidopsis thaliana GN=CLPP3 PE=1 SV=1</t>
  </si>
  <si>
    <t>Ubiquitin-conjugating enzyme E2 27 OS=Arabidopsis thaliana GN=UBC27 PE=2 SV=1</t>
  </si>
  <si>
    <t>Protein FAM135B OS=Xenopus laevis GN=fam135b PE=2 SV=1</t>
  </si>
  <si>
    <t>Transmembrane protein 184C OS=Gallus gallus GN=TMEM184C PE=2 SV=1</t>
  </si>
  <si>
    <t>(3S,6E)-nerolidol synthase 2, chloroplastic/mitochondrial OS=Fragaria ananassa PE=1 SV=1</t>
  </si>
  <si>
    <t>Coatomer subunit gamma OS=Arabidopsis thaliana GN=At4g34450 PE=1 SV=2</t>
  </si>
  <si>
    <t>Rab proteins geranylgeranyltransferase component A OS=Drosophila melanogaster GN=Rep PE=2 SV=1</t>
  </si>
  <si>
    <t>Protein unc-45 homolog A OS=Pongo abelii GN=UNC45A PE=2 SV=1</t>
  </si>
  <si>
    <t>Heme oxygenase 1, chloroplastic OS=Arabidopsis thaliana GN=HO1 PE=1 SV=2</t>
  </si>
  <si>
    <t>Nuclear pore complex protein NUP88 OS=Arabidopsis thaliana GN=NUP88 PE=1 SV=1</t>
  </si>
  <si>
    <t>Type 1 phosphatases regulator ypi1 OS=Schizosaccharomyces pombe (strain 972 / ATCC 24843) GN=ypi1 PE=3 SV=1</t>
  </si>
  <si>
    <t>Protein SDA1 homolog OS=Danio rerio GN=sdad1 PE=2 SV=1</t>
  </si>
  <si>
    <t>Dolichyl-diphosphooligosaccharide--protein glycosyltransferase subunit STT3A OS=Arabidopsis thaliana GN=STT3A PE=2 SV=1</t>
  </si>
  <si>
    <t>Protein NRT1/ PTR FAMILY 5.8 OS=Arabidopsis thaliana GN=NPF5.8 PE=2 SV=1</t>
  </si>
  <si>
    <t>Phosphoglucan phosphatase LSF1, chloroplastic OS=Arabidopsis thaliana GN=LSF1 PE=1 SV=1</t>
  </si>
  <si>
    <t>Ethylene-responsive transcription factor 4 OS=Arabidopsis thaliana GN=ERF4 PE=1 SV=1</t>
  </si>
  <si>
    <t>WD repeat-containing protein 82-B OS=Xenopus laevis GN=wdr82-b PE=2 SV=1</t>
  </si>
  <si>
    <t>ADP-glucose phosphorylase OS=Arabidopsis thaliana GN=At5g18200 PE=1 SV=1</t>
  </si>
  <si>
    <t>Ankyrin-3 OS=Rattus norvegicus GN=Ank3 PE=1 SV=3</t>
  </si>
  <si>
    <t>Pentatricopeptide repeat-containing protein At1g43980, mitochondrial OS=Arabidopsis thaliana GN=PCMP-E58 PE=3 SV=1</t>
  </si>
  <si>
    <t>DEAD-box ATP-dependent RNA helicase 41 OS=Arabidopsis thaliana GN=RH41 PE=2 SV=1</t>
  </si>
  <si>
    <t>Trafficking protein particle complex subunit 5 OS=Dictyostelium discoideum GN=trappc5 PE=3 SV=1</t>
  </si>
  <si>
    <t>RNA polymerase II-associated protein 3 OS=Gallus gallus GN=RPAP3 PE=2 SV=1</t>
  </si>
  <si>
    <t>Probable protein S-acyltransferase 23 OS=Arabidopsis thaliana GN=PAT23 PE=2 SV=2</t>
  </si>
  <si>
    <t>Probable bifunctional methylthioribulose-1-phosphate dehydratase/enolase-phosphatase E1 1 OS=Vitis vinifera GN=VIT_19s0014g02480 PE=3 SV=2</t>
  </si>
  <si>
    <t>Histone deacetylase 8 OS=Arabidopsis thaliana GN=HDA8 PE=2 SV=1</t>
  </si>
  <si>
    <t>Alpha,alpha-trehalose-phosphate synthase [UDP-forming] 5 OS=Arabidopsis thaliana GN=TPS5 PE=1 SV=2</t>
  </si>
  <si>
    <t>Meiotic recombination protein DMC1 homolog OS=Glycine max PE=2 SV=1</t>
  </si>
  <si>
    <t>3-oxoacyl-[acyl-carrier-protein] synthase III, chloroplastic OS=Arabidopsis thaliana GN=At1g62640 PE=2 SV=2</t>
  </si>
  <si>
    <t>MATE efflux family protein 2, chloroplastic OS=Arabidopsis thaliana GN=DTX44 PE=2 SV=1</t>
  </si>
  <si>
    <t>Cardiolipin synthase (CMP-forming), mitochondrial OS=Arabidopsis thaliana GN=CLS PE=1 SV=1</t>
  </si>
  <si>
    <t>Probable phospholipid-transporting ATPase 8 OS=Arabidopsis thaliana GN=ALA8 PE=3 SV=1</t>
  </si>
  <si>
    <t>Protein mago nashi homolog OS=Euphorbia lagascae PE=2 SV=1</t>
  </si>
  <si>
    <t>Euphorbia lagascae</t>
  </si>
  <si>
    <t>Probable ion channel SYM8 OS=Pisum sativum GN=SYM8 PE=1 SV=3</t>
  </si>
  <si>
    <t>Serine acetyltransferase 4 OS=Arabidopsis thaliana GN=SAT4 PE=1 SV=1</t>
  </si>
  <si>
    <t>Cytochrome b-c1 complex subunit 8 OS=Solanum tuberosum PE=1 SV=2</t>
  </si>
  <si>
    <t>Uncharacterized protein At2g38710 OS=Arabidopsis thaliana GN=At2g38710 PE=2 SV=1</t>
  </si>
  <si>
    <t>Probable WRKY transcription factor 53 OS=Arabidopsis thaliana GN=WRKY53 PE=1 SV=1</t>
  </si>
  <si>
    <t>E2F transcription factor-like E2FE OS=Arabidopsis thaliana GN=E2FE PE=2 SV=1</t>
  </si>
  <si>
    <t>Transcription factor TFIIIB component B'' OS=Schizosaccharomyces pombe (strain 972 / ATCC 24843) GN=bdp1 PE=3 SV=2</t>
  </si>
  <si>
    <t>Serine/threonine-protein kinase MHK OS=Arabidopsis thaliana GN=MHK PE=2 SV=2</t>
  </si>
  <si>
    <t>Movement protein OS=Alfalfa mosaic virus (strain 425 / isolate Leiden) GN=ORF3a PE=3 SV=1</t>
  </si>
  <si>
    <t>NuA3 HAT complex component NTO1 OS=Saccharomyces cerevisiae (strain ATCC 204508 / S288c) GN=NTO1 PE=1 SV=1</t>
  </si>
  <si>
    <t>ADP-ribosylation factor OS=Zea mays GN=ARF1 PE=2 SV=2</t>
  </si>
  <si>
    <t>Importin subunit alpha-9 OS=Arabidopsis thaliana GN=IMPA9 PE=3 SV=1</t>
  </si>
  <si>
    <t>Dihydrolipoyl dehydrogenase 1, chloroplastic OS=Arabidopsis thaliana GN=LPD1 PE=2 SV=1</t>
  </si>
  <si>
    <t>Probable RNA polymerase II transcription factor B subunit 1-1 OS=Arabidopsis thaliana GN=TFB1-1 PE=2 SV=1</t>
  </si>
  <si>
    <t>Beta-fructofuranosidase, soluble isoenzyme I OS=Daucus carota GN=INV*DC4 PE=1 SV=2</t>
  </si>
  <si>
    <t>Guanine nucleotide-binding protein subunit gamma 3 OS=Arabidopsis thaliana GN=GG3 PE=2 SV=1</t>
  </si>
  <si>
    <t>Zinc finger protein ZAT1 OS=Arabidopsis thaliana GN=ZAT1 PE=2 SV=1</t>
  </si>
  <si>
    <t>Proline synthase co-transcribed bacterial homolog protein OS=Dictyostelium discoideum GN=prosc PE=3 SV=2</t>
  </si>
  <si>
    <t>Putative auxin efflux carrier component 8 OS=Arabidopsis thaliana GN=PIN8 PE=3 SV=2</t>
  </si>
  <si>
    <t>Probable mitochondrial-processing peptidase subunit beta OS=Arabidopsis thaliana GN=At3g02090 PE=2 SV=2</t>
  </si>
  <si>
    <t>tRNA-specific adenosine deaminase 1 OS=Homo sapiens GN=ADAT1 PE=1 SV=1</t>
  </si>
  <si>
    <t>Nucleolar complex protein 3 homolog OS=Danio rerio GN=noc3l PE=2 SV=1</t>
  </si>
  <si>
    <t>Cytochrome c1-1, heme protein, mitochondrial OS=Solanum tuberosum GN=CYCL PE=2 SV=1</t>
  </si>
  <si>
    <t>Chlorophyll a-b binding protein AB80, chloroplastic OS=Pisum sativum GN=AB80 PE=1 SV=1</t>
  </si>
  <si>
    <t>Aquaporin PIP1-3 OS=Arabidopsis thaliana GN=PIP1-3 PE=1 SV=1</t>
  </si>
  <si>
    <t>Nudix hydrolase 11 OS=Arabidopsis thaliana GN=NUDT11 PE=1 SV=2</t>
  </si>
  <si>
    <t>Abscisate beta-glucosyltransferase OS=Phaseolus angularis GN=AOG PE=1 SV=1</t>
  </si>
  <si>
    <t>Zinc finger CCCH domain-containing protein 40 OS=Oryza sativa subsp. japonica GN=Os06g0170500 PE=2 SV=1</t>
  </si>
  <si>
    <t>Cytochrome c-2 OS=Arabidopsis thaliana GN=CYTC-2 PE=1 SV=1</t>
  </si>
  <si>
    <t>Coatomer subunit zeta-2 OS=Oryza sativa subsp. japonica GN=COPZ2 PE=2 SV=1</t>
  </si>
  <si>
    <t>Uncharacterized WD repeat-containing protein all2124 OS=Nostoc sp. (strain PCC 7120 / UTEX 2576) GN=all2124 PE=3 SV=1</t>
  </si>
  <si>
    <t>Protein EXORDIUM-like 1 OS=Arabidopsis thaliana GN=EXL1 PE=2 SV=1</t>
  </si>
  <si>
    <t>Gamma-glutamyltranspeptidase 3 OS=Arabidopsis thaliana GN=GGT3 PE=2 SV=1</t>
  </si>
  <si>
    <t>TBC1 domain family member 8B OS=Danio rerio GN=tbc1d8b PE=3 SV=1</t>
  </si>
  <si>
    <t>Protein trichome birefringence-like 10 OS=Arabidopsis thaliana GN=TBL10 PE=2 SV=1</t>
  </si>
  <si>
    <t>Glucose and ribitol dehydrogenase OS=Daucus carota GN=CAISE5 PE=2 SV=1</t>
  </si>
  <si>
    <t>Vacuolar protein sorting-associated protein 8 homolog OS=Homo sapiens GN=VPS8 PE=1 SV=3</t>
  </si>
  <si>
    <t>Metal tolerance protein 4 OS=Oryza sativa subsp. japonica GN=MTP4 PE=2 SV=1</t>
  </si>
  <si>
    <t>Cytochrome b561 and DOMON domain-containing protein At2g04850 OS=Arabidopsis thaliana GN=At2g04850 PE=2 SV=2</t>
  </si>
  <si>
    <t>Genome polyprotein OS=Plum pox potyvirus (strain SK 68) PE=3 SV=1</t>
  </si>
  <si>
    <t>Plum pox</t>
  </si>
  <si>
    <t>Cell cycle checkpoint control protein RAD9A OS=Mus musculus GN=Rad9a PE=1 SV=1</t>
  </si>
  <si>
    <t>Protein REVEILLE 3 OS=Arabidopsis thaliana GN=RVE3 PE=2 SV=1</t>
  </si>
  <si>
    <t>Double-stranded RNA-binding protein 2 OS=Arabidopsis thaliana GN=DRB2 PE=1 SV=1</t>
  </si>
  <si>
    <t>Transient receptor potential cation channel subfamily A member 1 OS=Rattus norvegicus GN=Trpa1 PE=2 SV=1</t>
  </si>
  <si>
    <t>Protein translation factor SUI1 homolog OS=Zea mays GN=TIF PE=3 SV=1</t>
  </si>
  <si>
    <t>Isoflavonoid 7-O-beta-apiosyl-glucoside beta-glycosidase OS=Dalbergia nigrescens PE=1 SV=1</t>
  </si>
  <si>
    <t>Dalbergia nigrescens</t>
  </si>
  <si>
    <t>ABC transporter G family member 24 OS=Arabidopsis thaliana GN=ABCG24 PE=2 SV=2</t>
  </si>
  <si>
    <t>Transcription factor bHLH145 OS=Arabidopsis thaliana GN=BHLH145 PE=2 SV=1</t>
  </si>
  <si>
    <t>Stomatin-like protein 2, mitochondrial OS=Homo sapiens GN=STOML2 PE=1 SV=1</t>
  </si>
  <si>
    <t>Transport inhibitor response 1-like protein Os04g0395600 OS=Oryza sativa subsp. japonica GN=Os04g0395600 PE=2 SV=1</t>
  </si>
  <si>
    <t>Two-component response regulator ARR18 OS=Arabidopsis thaliana GN=ARR18 PE=2 SV=2</t>
  </si>
  <si>
    <t>Tubulin beta-5 chain OS=Gossypium hirsutum PE=2 SV=1</t>
  </si>
  <si>
    <t>Transcription factor TCP18 OS=Arabidopsis thaliana GN=TCP18 PE=2 SV=1</t>
  </si>
  <si>
    <t>Ankyrin-1 OS=Mus musculus GN=Ank1 PE=1 SV=2</t>
  </si>
  <si>
    <t>Copper transporter 6 OS=Arabidopsis thaliana GN=COPT6 PE=2 SV=1</t>
  </si>
  <si>
    <t>RINT1-like protein MAG2L OS=Arabidopsis thaliana GN=MAG2L PE=2 SV=1</t>
  </si>
  <si>
    <t>Calmodulin-binding protein 25 OS=Arabidopsis thaliana GN=CAMBP25 PE=1 SV=1</t>
  </si>
  <si>
    <t>Probable GTP diphosphokinase CRSH, chloroplastic OS=Arabidopsis thaliana GN=CRSH PE=2 SV=1</t>
  </si>
  <si>
    <t>Tyrosine/DOPA decarboxylase 5 OS=Papaver somniferum GN=TYDC5 PE=2 SV=1</t>
  </si>
  <si>
    <t>Protein GDAP2 homolog OS=Drosophila pseudoobscura pseudoobscura GN=GA15091 PE=3 SV=1</t>
  </si>
  <si>
    <t>ATP-citrate synthase alpha chain protein 2 OS=Arabidopsis thaliana GN=ACLA-2 PE=2 SV=1</t>
  </si>
  <si>
    <t>Lysine-specific histone demethylase 1 homolog 2 OS=Arabidopsis thaliana GN=LDL2 PE=2 SV=1</t>
  </si>
  <si>
    <t>E3 ubiquitin-protein ligase RHA2A OS=Arabidopsis thaliana GN=RHA2A PE=1 SV=1</t>
  </si>
  <si>
    <t>Probable CCR4-associated factor 1 homolog 1 OS=Arabidopsis thaliana GN=CAF1-1 PE=2 SV=1</t>
  </si>
  <si>
    <t>Dihydroflavonol-4-reductase OS=Gerbera hybrida GN=DFR PE=2 SV=1</t>
  </si>
  <si>
    <t>Gerbera hybrida</t>
  </si>
  <si>
    <t>Xylulose kinase OS=Staphylococcus xylosus GN=xylB PE=3 SV=1</t>
  </si>
  <si>
    <t>Staphylococcus xylosus</t>
  </si>
  <si>
    <t>Branchpoint-bridging protein OS=Cryptococcus neoformans var. neoformans serotype D (strain JEC21 / ATCC MYA-565) GN=BBP PE=3 SV=1</t>
  </si>
  <si>
    <t>Probable transcription factor RL9 OS=Oryza sativa subsp. japonica GN=RL9 PE=2 SV=2</t>
  </si>
  <si>
    <t>ATP-citrate synthase alpha chain protein 2 OS=Oryza sativa subsp. japonica GN=ACLA-2 PE=2 SV=2</t>
  </si>
  <si>
    <t>Tafazzin OS=Macaca mulatta GN=TAZ PE=2 SV=1</t>
  </si>
  <si>
    <t>Protein NAR1 OS=Arabidopsis thaliana GN=NAR1 PE=1 SV=1</t>
  </si>
  <si>
    <t>CAS1 domain-containing protein 1 OS=Homo sapiens GN=CASD1 PE=2 SV=1</t>
  </si>
  <si>
    <t>Scarecrow-like protein 33 OS=Arabidopsis thaliana GN=SCL33 PE=1 SV=1</t>
  </si>
  <si>
    <t>26S proteasome non-ATPase regulatory subunit 6 homolog OS=Arabidopsis thaliana GN=RPN7 PE=1 SV=1</t>
  </si>
  <si>
    <t>Transcription repressor MYB6 OS=Arabidopsis thaliana GN=MYB6 PE=1 SV=1</t>
  </si>
  <si>
    <t>Arabinogalactan peptide 16 OS=Arabidopsis thaliana GN=AGP16 PE=1 SV=1</t>
  </si>
  <si>
    <t>Beta-galactosidase OS=Malus domestica PE=1 SV=1</t>
  </si>
  <si>
    <t>Probable pectinesterase/pectinesterase inhibitor 35 OS=Arabidopsis thaliana GN=PME35 PE=2 SV=1</t>
  </si>
  <si>
    <t>VAMP-like protein YKT61 OS=Arabidopsis thaliana GN=YKT61 PE=2 SV=1</t>
  </si>
  <si>
    <t>Flavonol synthase/flavanone 3-hydroxylase OS=Citrus unshiu GN=FLS PE=1 SV=1</t>
  </si>
  <si>
    <t>Protein SULFUR DEFICIENCY-INDUCED 2 OS=Arabidopsis thaliana GN=At1g04770 PE=2 SV=1</t>
  </si>
  <si>
    <t>E3 ubiquitin-protein ligase AIP2 OS=Arabidopsis thaliana GN=AIP2 PE=1 SV=1</t>
  </si>
  <si>
    <t>DNA-3-methyladenine glycosylase OS=Arabidopsis thaliana GN=MAG PE=2 SV=1</t>
  </si>
  <si>
    <t>Myosin-2 OS=Arabidopsis thaliana GN=VIII-2 PE=2 SV=1</t>
  </si>
  <si>
    <t>Transmembrane protein 135 OS=Xenopus laevis GN=tmem135 PE=2 SV=1</t>
  </si>
  <si>
    <t>ABSCISIC ACid-INSENSITIVE 5-like protein 4 OS=Arabidopsis thaliana GN=ABF1 PE=1 SV=1</t>
  </si>
  <si>
    <t>Acyl-coenzyme A thioesterase 9, mitochondrial OS=Mus musculus GN=Acot9 PE=1 SV=1</t>
  </si>
  <si>
    <t>Pentatricopeptide repeat-containing protein At5g44230 OS=Arabidopsis thaliana GN=PCMP-H17 PE=2 SV=1</t>
  </si>
  <si>
    <t>Probable manganese-transporting ATPase PDR2 OS=Arabidopsis thaliana GN=PDR2 PE=1 SV=1</t>
  </si>
  <si>
    <t>Putative potassium transporter 12 OS=Arabidopsis thaliana GN=POT12 PE=1 SV=2</t>
  </si>
  <si>
    <t>Histone acetyltransferase MCC1 OS=Arabidopsis thaliana GN=MCC1 PE=2 SV=1</t>
  </si>
  <si>
    <t>Peroxidase 12 OS=Arabidopsis thaliana GN=PER12 PE=1 SV=1</t>
  </si>
  <si>
    <t>RCC1 domain-containing protein 1 OS=Mus musculus GN=Rccd1 PE=2 SV=2</t>
  </si>
  <si>
    <t>Pentatricopeptide repeat-containing protein At4g20740 OS=Arabidopsis thaliana GN=At4g20740 PE=3 SV=1</t>
  </si>
  <si>
    <t>THO complex subunit 1 OS=Arabidopsis thaliana GN=THO1 PE=1 SV=1</t>
  </si>
  <si>
    <t>WAT1-related protein At2g37460 OS=Arabidopsis thaliana GN=At2g37460 PE=2 SV=1</t>
  </si>
  <si>
    <t>Glucosidase 2 subunit beta OS=Arabidopsis thaliana GN=PSL4 PE=2 SV=1</t>
  </si>
  <si>
    <t>Histone chaperone ASF1B OS=Arabidopsis thaliana GN=ASF1B PE=1 SV=1</t>
  </si>
  <si>
    <t>Homeobox-leucine zipper protein HDG12 OS=Arabidopsis thaliana GN=HDG12 PE=2 SV=1</t>
  </si>
  <si>
    <t>U-box domain-containing protein 44 OS=Arabidopsis thaliana GN=PUB44 PE=1 SV=1</t>
  </si>
  <si>
    <t>Protein root UVB sensitive 6 OS=Arabidopsis thaliana GN=RUS6 PE=2 SV=1</t>
  </si>
  <si>
    <t>Nuclear pore complex protein NUP35 OS=Arabidopsis thaliana GN=NUP35 PE=1 SV=1</t>
  </si>
  <si>
    <t>Nuclear speckle splicing regulatory protein 1 OS=Danio rerio GN=nsrp1 PE=1 SV=2</t>
  </si>
  <si>
    <t>Putative L-ascorbate peroxidase 6 OS=Arabidopsis thaliana GN=APX6 PE=2 SV=1</t>
  </si>
  <si>
    <t>Ubiquitin-like modifier-activating enzyme 5 OS=Arabidopsis thaliana GN=At1g05350 PE=3 SV=2</t>
  </si>
  <si>
    <t>Pentatricopeptide repeat-containing protein At1g62680, mitochondrial OS=Arabidopsis thaliana GN=At1g62680 PE=2 SV=2</t>
  </si>
  <si>
    <t>Plant intracellular Ras-group-related LRR protein 2 OS=Oryza sativa subsp. japonica GN=IRL2 PE=2 SV=1</t>
  </si>
  <si>
    <t>Tetratricopeptide repeat protein 7A OS=Mus musculus GN=Ttc7a PE=1 SV=1</t>
  </si>
  <si>
    <t>Phosphopantetheine adenylyltransferase OS=Arabidopsis thaliana GN=COAD PE=1 SV=1</t>
  </si>
  <si>
    <t>Homocysteine S-methyltransferase 1 OS=Brassica oleracea var. italica GN=HMT1 PE=1 SV=1</t>
  </si>
  <si>
    <t>THO complex subunit 6 OS=Arabidopsis thaliana GN=THO6 PE=1 SV=1</t>
  </si>
  <si>
    <t>tRNA pseudouridine synthase A OS=Solibacter usitatus (strain Ellin6076) GN=truA PE=3 SV=1</t>
  </si>
  <si>
    <t>Zinc-metallopeptidase, peroxisomal OS=Arabidopsis thaliana GN=PXM16 PE=2 SV=1</t>
  </si>
  <si>
    <t>DNA-directed RNA polymerase III subunit rpc1 OS=Schizosaccharomyces pombe (strain 972 / ATCC 24843) GN=rpc1 PE=2 SV=1</t>
  </si>
  <si>
    <t>Alanine--glyoxylate aminotransferase 2 homolog 1, mitochondrial OS=Arabidopsis thaliana GN=AGT2 PE=2 SV=1</t>
  </si>
  <si>
    <t>Thylakoid lumenal 15.0 kDa protein 2, chloroplastic OS=Arabidopsis thaliana GN=At5g52970 PE=1 SV=2</t>
  </si>
  <si>
    <t>Non-specific lipid transfer protein GPI-anchored 2 OS=Arabidopsis thaliana GN=LTPG2 PE=2 SV=1</t>
  </si>
  <si>
    <t>Type IV inositol polyphosphate 5-phosphatase 9 OS=Arabidopsis thaliana GN=IP5P9 PE=1 SV=1</t>
  </si>
  <si>
    <t>Ethylene-responsive transcription factor WIN1 OS=Arabidopsis thaliana GN=WIN1 PE=2 SV=1</t>
  </si>
  <si>
    <t>Histone-lysine N-methyltransferase ATX5 OS=Arabidopsis thaliana GN=ATX5 PE=2 SV=1</t>
  </si>
  <si>
    <t>PERQ amino acid-rich with GYF domain-containing protein 2 OS=Mus musculus GN=Gigyf2 PE=1 SV=2</t>
  </si>
  <si>
    <t>DEAD-box ATP-dependent RNA helicase 36 OS=Arabidopsis thaliana GN=RH36 PE=2 SV=1</t>
  </si>
  <si>
    <t>Tubby-like F-box protein 7 OS=Arabidopsis thaliana GN=TULP7 PE=2 SV=1</t>
  </si>
  <si>
    <t>Endoplasmic reticulum metallopeptidase 1 OS=Mus musculus GN=Ermp1 PE=2 SV=2</t>
  </si>
  <si>
    <t>R3H and coiled-coil domain-containing protein 1 OS=Mus musculus GN=R3hcc1 PE=2 SV=2</t>
  </si>
  <si>
    <t>Carbon catabolite repressor protein 4 homolog 1 OS=Arabidopsis thaliana GN=CCR4-1 PE=2 SV=1</t>
  </si>
  <si>
    <t>WAT1-related protein At5g40230 OS=Arabidopsis thaliana GN=At5g40230 PE=3 SV=1</t>
  </si>
  <si>
    <t>UDP-glycosyltransferase 84B2 OS=Arabidopsis thaliana GN=UGT84B2 PE=3 SV=1</t>
  </si>
  <si>
    <t>Probable 39S ribosomal protein L45, mitochondrial OS=Drosophila melanogaster GN=mRpL45 PE=2 SV=1</t>
  </si>
  <si>
    <t>tRNA threonylcarbamoyladenosine dehydratase OS=Schizosaccharomyces pombe (strain 972 / ATCC 24843) GN=SPAC1A6.10 PE=3 SV=1</t>
  </si>
  <si>
    <t>Serine racemase OS=Arabidopsis thaliana GN=SR PE=1 SV=1</t>
  </si>
  <si>
    <t>Sister chromatid cohesion protein PDS5 homolog A OS=Gallus gallus GN=PDS5A PE=2 SV=2</t>
  </si>
  <si>
    <t>Uncharacterized protein At2g17340 OS=Arabidopsis thaliana GN=At2g17340 PE=1 SV=1</t>
  </si>
  <si>
    <t>Non-canonical poly(A) RNA polymerase PAPD5 OS=Homo sapiens GN=PAPD5 PE=1 SV=2</t>
  </si>
  <si>
    <t>Filament-like plant protein (Fragment) OS=Solanum lycopersicum GN=FPP PE=1 SV=1</t>
  </si>
  <si>
    <t>F-box protein SKIP16 OS=Arabidopsis thaliana GN=SKIP16 PE=1 SV=1</t>
  </si>
  <si>
    <t>Methionine gamma-lyase OS=Arabidopsis thaliana GN=MGL PE=1 SV=1</t>
  </si>
  <si>
    <t>Subtilisin-like protease SBT6.1 OS=Arabidopsis thaliana GN=SBT6.1 PE=1 SV=1</t>
  </si>
  <si>
    <t>Receptor-like protein kinase At5g59670 OS=Arabidopsis thaliana GN=At5g59670 PE=1 SV=1</t>
  </si>
  <si>
    <t>Triosephosphate isomerase, chloroplastic OS=Fragaria ananassa GN=TPI PE=2 SV=1</t>
  </si>
  <si>
    <t>MORC family CW-type zinc finger protein 3 OS=Homo sapiens GN=MORC3 PE=1 SV=3</t>
  </si>
  <si>
    <t>Branchpoint-bridging protein OS=Dictyostelium discoideum GN=sf1 PE=3 SV=1</t>
  </si>
  <si>
    <t>Uncharacterized protein At4g17910 OS=Arabidopsis thaliana GN=At4g17910 PE=2 SV=2</t>
  </si>
  <si>
    <t>Photosystem II protein D1 OS=Cucumis sativus GN=psbA PE=3 SV=1</t>
  </si>
  <si>
    <t>DNA-directed RNA polymerase II subunit RPB2 OS=Solanum lycopersicum GN=RPB2 PE=2 SV=1</t>
  </si>
  <si>
    <t>REF/SRPP-like protein At3g05500 OS=Arabidopsis thaliana GN=At3g05500 PE=1 SV=1</t>
  </si>
  <si>
    <t>Acyl carrier protein 3, mitochondrial OS=Arabidopsis thaliana GN=MTACP2 PE=2 SV=1</t>
  </si>
  <si>
    <t>Proteasome subunit alpha type-5 OS=Glycine max GN=PAE1 PE=2 SV=1</t>
  </si>
  <si>
    <t>FACT complex subunit SPT16 OS=Oryza sativa subsp. japonica GN=SPT16 PE=2 SV=2</t>
  </si>
  <si>
    <t>Protein krasavietz OS=Drosophila melanogaster GN=kra PE=1 SV=1</t>
  </si>
  <si>
    <t>Protein TIC 20-I, chloroplastic OS=Arabidopsis thaliana GN=TIC20-I PE=1 SV=1</t>
  </si>
  <si>
    <t>50S ribosomal protein L24 OS=Thermobifida fusca (strain YX) GN=rplX PE=3 SV=1</t>
  </si>
  <si>
    <t>Thermobifida fusca</t>
  </si>
  <si>
    <t>Plastidial lipoyltransferase 2 OS=Arabidopsis thaliana GN=LIP2p PE=2 SV=1</t>
  </si>
  <si>
    <t>Methionine aminopeptidase 1B, chloroplastic OS=Arabidopsis thaliana GN=MAP1B PE=2 SV=2</t>
  </si>
  <si>
    <t>Putative oxidoreductase C1F5.03c OS=Schizosaccharomyces pombe (strain 972 / ATCC 24843) GN=SPAC1F5.03c PE=3 SV=1</t>
  </si>
  <si>
    <t>U-box domain-containing protein 12 OS=Oryza sativa subsp. japonica GN=PUB12 PE=2 SV=1</t>
  </si>
  <si>
    <t>Eukaryotic translation initiation factor 3 subunit H OS=Arabidopsis thaliana GN=TIF3H1 PE=1 SV=2</t>
  </si>
  <si>
    <t>Kinesin-like protein KIF22 OS=Homo sapiens GN=KIF22 PE=1 SV=5</t>
  </si>
  <si>
    <t>30S ribosomal protein S5, chloroplastic OS=Arabidopsis thaliana GN=rps5 PE=2 SV=1</t>
  </si>
  <si>
    <t>Expansin-B3 OS=Arabidopsis thaliana GN=EXPB3 PE=2 SV=2</t>
  </si>
  <si>
    <t>Protein TIC 214 OS=Lobularia maritima GN=TIC214 PE=3 SV=1</t>
  </si>
  <si>
    <t>Lobularia maritima</t>
  </si>
  <si>
    <t>UDP-N-acetylglucosamine 1-carboxyvinyltransferase OS=Gloeobacter violaceus (strain PCC 7421) GN=murA PE=3 SV=1</t>
  </si>
  <si>
    <t>Cytosolic sulfotransferase 5 OS=Arabidopsis thaliana GN=SOT5 PE=1 SV=1</t>
  </si>
  <si>
    <t>Glutathione-binding protein GsiB OS=Escherichia coli (strain K12) GN=gsiB PE=1 SV=1</t>
  </si>
  <si>
    <t>20 kDa chaperonin, chloroplastic OS=Arabidopsis thaliana GN=CPN21 PE=1 SV=2</t>
  </si>
  <si>
    <t>Aluminum-activated malate transporter 4 OS=Arabidopsis thaliana GN=ALMT4 PE=3 SV=1</t>
  </si>
  <si>
    <t>tRNA (guanine-N(7)-)-methyltransferase OS=Anabaena variabilis (strain ATCC 29413 / PCC 7937) GN=trmB PE=3 SV=1</t>
  </si>
  <si>
    <t>Embryonic polyadenylate-binding protein 2-B OS=Xenopus laevis GN=Pabpn1l-b PE=1 SV=1</t>
  </si>
  <si>
    <t>Serine/threonine-protein kinase SRK2B OS=Arabidopsis thaliana GN=SRK2B PE=1 SV=1</t>
  </si>
  <si>
    <t>Putative phytosulfokines 6 OS=Arabidopsis thaliana GN=PSK6 PE=2 SV=2</t>
  </si>
  <si>
    <t>Homeobox protein knotted-1-like 3 OS=Arabidopsis thaliana GN=KNAT3 PE=1 SV=1</t>
  </si>
  <si>
    <t>Probable histone chaperone ASF1A OS=Arabidopsis thaliana GN=ASF1A PE=2 SV=1</t>
  </si>
  <si>
    <t>Chromatin modification-related protein MEAF6 OS=Xenopus laevis GN=meaf6 PE=2 SV=1</t>
  </si>
  <si>
    <t>DNA-directed RNA polymerase 3, chloroplastic OS=Nicotiana sylvestris GN=RPOT3 PE=2 SV=1</t>
  </si>
  <si>
    <t>NADP-dependent alkenal double bond reductase P2 OS=Arabidopsis thaliana GN=P2 PE=2 SV=2</t>
  </si>
  <si>
    <t>Zinc finger CCCH domain-containing protein 14 OS=Arabidopsis thaliana GN=At1g66810 PE=2 SV=1</t>
  </si>
  <si>
    <t>Ribosome-binding ATPase YchF OS=Bacillus subtilis (strain 168) GN=ychF PE=3 SV=1</t>
  </si>
  <si>
    <t>Inactive exonuclease DIS3L2 OS=Arabidopsis thaliana GN=SOV PE=2 SV=1</t>
  </si>
  <si>
    <t>Probable pectate lyase P59 OS=Solanum lycopersicum GN=LAT59 PE=2 SV=1</t>
  </si>
  <si>
    <t>Spermidine sinapoyl CoA acyltransferase OS=Arabidopsis thaliana GN=SDT PE=1 SV=1</t>
  </si>
  <si>
    <t>Sec14 cytosolic factor OS=Schizosaccharomyces pombe (strain 972 / ATCC 24843) GN=sec14 PE=3 SV=1</t>
  </si>
  <si>
    <t>NAC domain-containing protein 7 OS=Arabidopsis thaliana GN=NAC007 PE=1 SV=2</t>
  </si>
  <si>
    <t>ACT domain-containing protein DS12, chloroplastic OS=Oryza sativa subsp. japonica GN=Os08g0242700 PE=3 SV=2</t>
  </si>
  <si>
    <t>WD repeat-containing protein 81 OS=Mus musculus GN=Wdr81 PE=1 SV=2</t>
  </si>
  <si>
    <t>WD repeat-containing protein 6 OS=Pongo abelii GN=WDR6 PE=2 SV=1</t>
  </si>
  <si>
    <t>Laccase-2 OS=Arabidopsis thaliana GN=LAC2 PE=2 SV=1</t>
  </si>
  <si>
    <t>Protein trichome birefringence-like 18 OS=Arabidopsis thaliana GN=TBL18 PE=2 SV=1</t>
  </si>
  <si>
    <t>Uncharacterized protein At4g02000 OS=Arabidopsis thaliana GN=At4g02000 PE=2 SV=1</t>
  </si>
  <si>
    <t>Metallothiol transferase FosB OS=Bacillus amyloliquefaciens subsp. plantarum (strain DSM 23117 / BGSC 10A6 / FZB42) GN=fosB PE=3 SV=1</t>
  </si>
  <si>
    <t>Chloroplastic group IIA intron splicing facilitator CRS1, chloroplastic OS=Arabidopsis thaliana GN=At5g16180 PE=3 SV=2</t>
  </si>
  <si>
    <t>Cytochrome P450 71B34 OS=Arabidopsis thaliana GN=CYP71B34 PE=2 SV=1</t>
  </si>
  <si>
    <t>Paired amphipathic helix protein Sin3-like 2 OS=Arabidopsis thaliana GN=SNL2 PE=1 SV=2</t>
  </si>
  <si>
    <t>Gibberellin-regulated protein 9 OS=Arabidopsis thaliana GN=GASA9 PE=2 SV=1</t>
  </si>
  <si>
    <t>Small heat shock protein, chloroplastic OS=Pisum sativum GN=HSP21 PE=2 SV=1</t>
  </si>
  <si>
    <t>Glutamate receptor 1.2 OS=Arabidopsis thaliana GN=GLR1.2 PE=2 SV=1</t>
  </si>
  <si>
    <t>Glucose-repressible gene protein OS=Neurospora crassa (strain ATCC 24698 / 74-OR23-1A / CBS 708.71 / DSM 1257 / FGSC 987) GN=grg-1 PE=2 SV=1</t>
  </si>
  <si>
    <t>Probable calcium-binding protein CML18 OS=Oryza sativa subsp. japonica GN=CML18 PE=2 SV=1</t>
  </si>
  <si>
    <t>LOB domain-containing protein 18 OS=Arabidopsis thaliana GN=LBD18 PE=2 SV=2</t>
  </si>
  <si>
    <t>HAUS augmin-like complex subunit 1 OS=Homo sapiens GN=HAUS1 PE=1 SV=1</t>
  </si>
  <si>
    <t>Glutamate--tRNA ligase, cytoplasmic OS=Arabidopsis thaliana GN=At5g26707 PE=1 SV=1</t>
  </si>
  <si>
    <t>Gamma-glutamyltranspeptidase 2 OS=Arabidopsis thaliana GN=GGT2 PE=2 SV=1</t>
  </si>
  <si>
    <t>Protein ALTERED XYLOGLUCAN 4-like OS=Arabidopsis thaliana GN=AXY4L PE=2 SV=1</t>
  </si>
  <si>
    <t>Putative arsenical pump-driving ATPase OS=Methanothermobacter thermautotrophicus (strain ATCC 29096 / DSM 1053 / JCM 10044 / NBRC 100330 / Delta H) GN=MTH_1511 PE=1 SV=1</t>
  </si>
  <si>
    <t>Ribosome maturation factor RimM OS=Cyanothece sp. (strain PCC 8801) GN=rimM PE=3 SV=1</t>
  </si>
  <si>
    <t>Pleckstrin homology domain-containing family M member 3 OS=Mus musculus GN=Plekhm3 PE=1 SV=1</t>
  </si>
  <si>
    <t>Cellulose synthase-like protein H1 OS=Oryza sativa subsp. japonica GN=CSLH1 PE=2 SV=2</t>
  </si>
  <si>
    <t>YlmG homolog protein 1-2, chloroplastic OS=Arabidopsis thaliana GN=YLMG1-2 PE=2 SV=1</t>
  </si>
  <si>
    <t>Probable histone-arginine methyltransferase 1.3 OS=Arabidopsis thaliana GN=PRMT13 PE=2 SV=3</t>
  </si>
  <si>
    <t>Plastidial pyruvate kinase 2 OS=Arabidopsis thaliana GN=PKP2 PE=1 SV=1</t>
  </si>
  <si>
    <t>Nuclear pore complex protein NUP93A OS=Arabidopsis thaliana GN=NUP93A PE=1 SV=2</t>
  </si>
  <si>
    <t>Galactose oxidase OS=Gibberella zeae GN=GAOA PE=1 SV=1</t>
  </si>
  <si>
    <t>RING-H2 finger protein ATL33 OS=Arabidopsis thaliana GN=ATL33 PE=2 SV=2</t>
  </si>
  <si>
    <t>Lupeol synthase OS=Ricinus communis PE=1 SV=1</t>
  </si>
  <si>
    <t>Probable histone H2A.1 OS=Arabidopsis thaliana GN=At1g51060 PE=1 SV=1</t>
  </si>
  <si>
    <t>Lecithin-cholesterol acyltransferase-like 1 OS=Arabidopsis thaliana GN=LCAT1 PE=2 SV=1</t>
  </si>
  <si>
    <t>Exocyst complex component SEC15A OS=Arabidopsis thaliana GN=SEC15A PE=3 SV=2</t>
  </si>
  <si>
    <t>Vam6/Vps39-like protein OS=Mus musculus GN=Vps39 PE=2 SV=1</t>
  </si>
  <si>
    <t>Cyanate hydratase OS=Medicago truncatula GN=CYN PE=2 SV=1</t>
  </si>
  <si>
    <t>UDP-glycosyltransferase 88A1 OS=Arabidopsis thaliana GN=UGT88A1 PE=2 SV=1</t>
  </si>
  <si>
    <t>Monodehydroascorbate reductase, seedling isozyme OS=Cucumis sativus PE=2 SV=1</t>
  </si>
  <si>
    <t>Mitochondrial pyruvate carrier 3 OS=Arabidopsis thaliana GN=MPC3 PE=2 SV=1</t>
  </si>
  <si>
    <t>Transmembrane ascorbate ferrireductase 1 OS=Arabidopsis thaliana GN=CYB561A PE=1 SV=1</t>
  </si>
  <si>
    <t>Aminomethyltransferase, mitochondrial OS=Arabidopsis thaliana GN=GDCST PE=2 SV=1</t>
  </si>
  <si>
    <t>Flap endonuclease GEN-like 1 OS=Arabidopsis thaliana GN=GEN1 PE=2 SV=3</t>
  </si>
  <si>
    <t>Prohibitin-2, mitochondrial OS=Arabidopsis thaliana GN=PHB2 PE=1 SV=1</t>
  </si>
  <si>
    <t>G-type lectin S-receptor-like serine/threonine-protein kinase At1g61490 OS=Arabidopsis thaliana GN=At1g61490 PE=3 SV=1</t>
  </si>
  <si>
    <t>HD domain-containing protein 2 OS=Danio rerio GN=hddc2 PE=2 SV=1</t>
  </si>
  <si>
    <t>Putative SWI/SNF-related matrix-associated actin-dependent regulator of chromatin subfamily A member 3-like 2 OS=Arabidopsis thaliana GN=At5g22750 PE=2 SV=1</t>
  </si>
  <si>
    <t>Alpha N-terminal protein methyltransferase 1 OS=Arabidopsis thaliana GN=At5g44450 PE=2 SV=1</t>
  </si>
  <si>
    <t>CST complex subunit CTC1 OS=Arabidopsis thaliana GN=CTC1 PE=1 SV=2</t>
  </si>
  <si>
    <t>ATP-dependent DNA helicase RecG OS=Synechocystis sp. (strain PCC 6803 / Kazusa) GN=recG PE=3 SV=1</t>
  </si>
  <si>
    <t>Beta-catenin-like protein 1 OS=Bos taurus GN=CTNNBL1 PE=2 SV=3</t>
  </si>
  <si>
    <t>Pentatricopeptide repeat-containing protein At1g03560, mitochondrial OS=Arabidopsis thaliana GN=At1g03560 PE=2 SV=1</t>
  </si>
  <si>
    <t>Uncharacterized protein At1g03900 OS=Arabidopsis thaliana GN=At1g03900 PE=2 SV=1</t>
  </si>
  <si>
    <t>Cytochrome P450 90A1 OS=Arabidopsis thaliana GN=CYP90A1 PE=2 SV=1</t>
  </si>
  <si>
    <t>UDP-glucuronic acid decarboxylase 6 OS=Arabidopsis thaliana GN=UXS6 PE=2 SV=1</t>
  </si>
  <si>
    <t>Probable ubiquitin-like-specific protease 2A OS=Arabidopsis thaliana GN=ULP2A PE=2 SV=2</t>
  </si>
  <si>
    <t>UDP-glycosyltransferase 74B1 OS=Arabidopsis thaliana GN=UGT74B1 PE=1 SV=1</t>
  </si>
  <si>
    <t>Adenosylhomocysteinase OS=Catharanthus roseus GN=SAHH PE=2 SV=1</t>
  </si>
  <si>
    <t>Serine/threonine-protein kinase WNK8 OS=Arabidopsis thaliana GN=WNK8 PE=1 SV=1</t>
  </si>
  <si>
    <t>ABC transporter G family member 25 OS=Arabidopsis thaliana GN=ABCG25 PE=2 SV=1</t>
  </si>
  <si>
    <t>ABC transporter B family member 19 OS=Arabidopsis thaliana GN=ABCB19 PE=1 SV=1</t>
  </si>
  <si>
    <t>Ethylene response sensor 1 OS=Arabidopsis thaliana GN=ERS1 PE=1 SV=1</t>
  </si>
  <si>
    <t>1-aminocyclopropane-1-carboxylate oxidase 1 OS=Arabidopsis thaliana GN=ACO1 PE=2 SV=1</t>
  </si>
  <si>
    <t>Metal tolerance protein C4 OS=Arabidopsis thaliana GN=MTPC4 PE=2 SV=1</t>
  </si>
  <si>
    <t>Gamma-tubulin complex component 2 OS=Arabidopsis thaliana GN=GCP2 PE=1 SV=1</t>
  </si>
  <si>
    <t>Oryzain alpha chain OS=Oryza sativa subsp. japonica GN=Os04g0650000 PE=1 SV=2</t>
  </si>
  <si>
    <t>Glutathione S-transferase T1 OS=Arabidopsis thaliana GN=GSTT1 PE=2 SV=1</t>
  </si>
  <si>
    <t>Autophagy-related protein 3 OS=Arabidopsis thaliana GN=ATG3 PE=1 SV=2</t>
  </si>
  <si>
    <t>Protein BRASSINAZOLE-RESISTANT 1 OS=Arabidopsis thaliana GN=BZR1 PE=1 SV=1</t>
  </si>
  <si>
    <t>HORMA domain-containing protein 1 OS=Rattus norvegicus GN=Hormad1 PE=3 SV=1</t>
  </si>
  <si>
    <t>50S ribosomal protein L27 OS=Neorickettsia sennetsu (strain Miyayama) GN=rpmA PE=3 SV=1</t>
  </si>
  <si>
    <t>Neorickettsia sennetsu</t>
  </si>
  <si>
    <t>1,4-alpha-glucan-branching enzyme 3, chloroplastic/amyloplastic OS=Arabidopsis thaliana GN=SBE3 PE=1 SV=1</t>
  </si>
  <si>
    <t>Transcription factor bHLH3 OS=Arabidopsis thaliana GN=BHLH3 PE=2 SV=1</t>
  </si>
  <si>
    <t>DNA-directed RNA polymerase I subunit rpa49 OS=Dictyostelium discoideum GN=polr1e PE=3 SV=1</t>
  </si>
  <si>
    <t>Cleavage stimulation factor subunit 50 OS=Arabidopsis thaliana GN=CSTF50 PE=1 SV=1</t>
  </si>
  <si>
    <t>Probable thiol methyltransferase 2 OS=Arabidopsis thaliana GN=HOL3 PE=1 SV=1</t>
  </si>
  <si>
    <t>DAR GTPase 2, mitochondrial OS=Arabidopsis thaliana GN=DGP2 PE=3 SV=1</t>
  </si>
  <si>
    <t>RNA-binding protein 34 OS=Mus musculus GN=Rbm34 PE=1 SV=1</t>
  </si>
  <si>
    <t>Zinc finger CCCH domain-containing protein 55 OS=Arabidopsis thaliana GN=At5g12440 PE=2 SV=3</t>
  </si>
  <si>
    <t>Probable protein arginine N-methyltransferase 1 OS=Oryza sativa subsp. japonica GN=PRMT1 PE=2 SV=1</t>
  </si>
  <si>
    <t>Probable NAD(P)H dehydrogenase subunit CRR3, chloroplastic OS=Arabidopsis thaliana GN=CRR3 PE=2 SV=1</t>
  </si>
  <si>
    <t>NifU-like protein 4, mitochondrial OS=Arabidopsis thaliana GN=NIFU4 PE=2 SV=1</t>
  </si>
  <si>
    <t>Phospholipase D Z OS=Dictyostelium discoideum GN=pldZ PE=3 SV=1</t>
  </si>
  <si>
    <t>Poly(A) RNA polymerase cid11 OS=Schizosaccharomyces pombe (strain 972 / ATCC 24843) GN=cid11 PE=3 SV=1</t>
  </si>
  <si>
    <t>Beta-adaptin-like protein C OS=Arabidopsis thaliana GN=BETAC-AD PE=1 SV=2</t>
  </si>
  <si>
    <t>Kinase D-interacting substrate of 220 kDa OS=Rattus norvegicus GN=Kidins220 PE=1 SV=2</t>
  </si>
  <si>
    <t>Lipid phosphate phosphatase gamma, chloroplastic OS=Arabidopsis thaliana GN=LPPG PE=1 SV=1</t>
  </si>
  <si>
    <t>General transcription factor IIH subunit 2 OS=Rattus norvegicus GN=Gtf2h2 PE=1 SV=1</t>
  </si>
  <si>
    <t>Spindle and kinetochore-associated protein 1 homolog OS=Arabidopsis thaliana GN=At3g60660 PE=2 SV=1</t>
  </si>
  <si>
    <t>ABC transporter C family member 4 OS=Arabidopsis thaliana GN=ABCC4 PE=2 SV=2</t>
  </si>
  <si>
    <t>DNA-directed RNA polymerase III subunit RPC5 OS=Homo sapiens GN=POLR3E PE=1 SV=1</t>
  </si>
  <si>
    <t>Uncharacterized oxidoreductase C663.09c OS=Schizosaccharomyces pombe (strain 972 / ATCC 24843) GN=SPCC663.09c PE=3 SV=1</t>
  </si>
  <si>
    <t>Actin-related protein 2/3 complex subunit 1A OS=Arabidopsis thaliana GN=ARPC1A PE=2 SV=1</t>
  </si>
  <si>
    <t>Tubby-like F-box protein 8 OS=Oryza sativa subsp. japonica GN=TULP8 PE=2 SV=1</t>
  </si>
  <si>
    <t>Alpha-ketoglutarate-dependent dioxygenase alkB homolog 6 OS=Mus musculus GN=Alkbh6 PE=2 SV=3</t>
  </si>
  <si>
    <t>Spermidine synthase 1 OS=Pisum sativum GN=SPDSYN1 PE=2 SV=1</t>
  </si>
  <si>
    <t>Kinesin-like protein KCA2 OS=Arabidopsis thaliana GN=KCA2 PE=1 SV=1</t>
  </si>
  <si>
    <t>Transmembrane protein 184C OS=Bos taurus GN=TMEM184C PE=2 SV=1</t>
  </si>
  <si>
    <t>Riboflavin biosynthesis protein PYRR, chloroplastic OS=Zea mays GN=PYRR PE=1 SV=1</t>
  </si>
  <si>
    <t>Nitrilase-like protein 2 OS=Arabidopsis thaliana GN=NLP2 PE=2 SV=1</t>
  </si>
  <si>
    <t>FH protein interacting protein FIP2 OS=Arabidopsis thaliana GN=FIP2 PE=1 SV=1</t>
  </si>
  <si>
    <t>5'-adenylylsulfate reductase-like 5 OS=Arabidopsis thaliana GN=APRL5 PE=2 SV=1</t>
  </si>
  <si>
    <t>NHL repeat-containing protein 2 OS=Bos taurus GN=NHLRC2 PE=2 SV=1</t>
  </si>
  <si>
    <t>Derlin-1 OS=Arabidopsis thaliana GN=DER1 PE=2 SV=1</t>
  </si>
  <si>
    <t>26S protease regulatory subunit S10B homolog B OS=Arabidopsis thaliana GN=RPT4B PE=1 SV=1</t>
  </si>
  <si>
    <t>Inactive leucine-rich repeat receptor-like serine/threonine-protein kinase At5g24100 OS=Arabidopsis thaliana GN=At5g24100 PE=2 SV=1</t>
  </si>
  <si>
    <t>Nuclear transcription factor Y subunit A-10 OS=Arabidopsis thaliana GN=NFYA10 PE=2 SV=2</t>
  </si>
  <si>
    <t>Urease accessory protein G OS=Arabidopsis thaliana GN=UREG PE=2 SV=1</t>
  </si>
  <si>
    <t>Protein SGT1 homolog B OS=Arabidopsis thaliana GN=SGT1B PE=1 SV=1</t>
  </si>
  <si>
    <t>ATP-dependent DNA helicase 2 subunit KU80 OS=Oryza sativa subsp. japonica GN=KU80 PE=1 SV=1</t>
  </si>
  <si>
    <t>Transcription repressor OFP2 OS=Arabidopsis thaliana GN=OFP2 PE=1 SV=1</t>
  </si>
  <si>
    <t>Chromosome transmission fidelity protein 18 homolog OS=Mus musculus GN=Chtf18 PE=2 SV=2</t>
  </si>
  <si>
    <t>U-box domain-containing protein 27 OS=Arabidopsis thaliana GN=PUB27 PE=2 SV=1</t>
  </si>
  <si>
    <t>Reticulon-like protein B5 OS=Arabidopsis thaliana GN=RTNLB5 PE=1 SV=1</t>
  </si>
  <si>
    <t>Aspartate carbamoyltransferase 2, chloroplastic OS=Pisum sativum GN=PYRB2 PE=2 SV=1</t>
  </si>
  <si>
    <t>Chromatin assembly factor 1 subunit FAS2 OS=Arabidopsis thaliana GN=FAS2 PE=1 SV=1</t>
  </si>
  <si>
    <t>Zinc transporter 5 OS=Oryza sativa subsp. japonica GN=ZIP5 PE=2 SV=1</t>
  </si>
  <si>
    <t>Tubby-like protein 8 OS=Arabidopsis thaliana GN=TULP8 PE=2 SV=1</t>
  </si>
  <si>
    <t>RuvB-like protein 1 OS=Arabidopsis thaliana GN=RIN1 PE=1 SV=1</t>
  </si>
  <si>
    <t>Maltose excess protein 1, chloroplastic OS=Arabidopsis thaliana GN=MEX1 PE=2 SV=2</t>
  </si>
  <si>
    <t>Indole-3-acetic acid-amido synthetase GH3.6 OS=Arabidopsis thaliana GN=GH3.6 PE=1 SV=1</t>
  </si>
  <si>
    <t>Short-chain dehydrogenase reductase 3b OS=Arabidopsis thaliana GN=SDR3b PE=2 SV=1</t>
  </si>
  <si>
    <t>Transcription factor BPE OS=Arabidopsis thaliana GN=BPE PE=2 SV=1</t>
  </si>
  <si>
    <t>Histone acetyltransferase type B catalytic subunit OS=Arabidopsis thaliana GN=HAG2 PE=2 SV=1</t>
  </si>
  <si>
    <t>Stigma-specific STIG1-like protein 1 OS=Arabidopsis thaliana GN=At4g26880 PE=3 SV=1</t>
  </si>
  <si>
    <t>Anthocyanin 5-aromatic acyltransferase OS=Gentiana triflora PE=1 SV=1</t>
  </si>
  <si>
    <t>30S ribosomal protein S4, chloroplastic OS=Buxus microphylla GN=rps4 PE=3 SV=1</t>
  </si>
  <si>
    <t>Protein FANTASTIC FOUR 2 OS=Arabidopsis thaliana GN=FAF2 PE=2 SV=1</t>
  </si>
  <si>
    <t>Protein transport protein SEC13 homolog A OS=Arabidopsis thaliana GN=SEC13A PE=1 SV=1</t>
  </si>
  <si>
    <t>Kynurenine formamidase OS=Bacillus cereus (strain ATCC 14579 / DSM 31 / JCM 2152 / NBRC 15305 / NCIMB 9373 / NRRL B-3711) GN=kynB PE=1 SV=1</t>
  </si>
  <si>
    <t>Query</t>
  </si>
  <si>
    <t>Query Length</t>
  </si>
  <si>
    <t>Match</t>
  </si>
  <si>
    <t>Description</t>
  </si>
  <si>
    <t>Organism</t>
  </si>
  <si>
    <t>Exp</t>
  </si>
  <si>
    <t>Score</t>
  </si>
  <si>
    <t>PID</t>
  </si>
  <si>
    <t>Align Length</t>
  </si>
  <si>
    <t>Query Start</t>
  </si>
  <si>
    <t>Query Stop</t>
  </si>
  <si>
    <t>Match Start</t>
  </si>
  <si>
    <t>Match Stop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</si>
</sst>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sz val="11"/>
      <color rgb="FFFFFFFF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808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18" fillId="0" borderId="0" xfId="0" applyFont="1" applyAlignment="1">
      <alignment horizontal="center"/>
    </xf>
    <xf numFmtId="0" fontId="19" fillId="33" borderId="0" xfId="0" applyFont="1" applyFill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156"/>
  <sheetViews>
    <sheetView tabSelected="1" workbookViewId="0">
      <selection activeCell="G1" sqref="G1:M1048576"/>
    </sheetView>
  </sheetViews>
  <sheetFormatPr defaultRowHeight="15" x14ac:dyDescent="0.25"/>
  <cols>
    <col min="1" max="1" width="34.140625" style="1" customWidth="1"/>
    <col min="2" max="2" width="12.5703125" style="3" customWidth="1"/>
    <col min="3" max="3" width="17.140625" style="1" customWidth="1"/>
    <col min="4" max="4" width="39.140625" customWidth="1"/>
    <col min="5" max="5" width="24.42578125" style="3" customWidth="1"/>
    <col min="6" max="6" width="10.85546875" style="3" customWidth="1"/>
    <col min="7" max="8" width="9.140625" style="3"/>
    <col min="9" max="9" width="13.85546875" style="3" customWidth="1"/>
    <col min="10" max="10" width="11.85546875" style="3" customWidth="1"/>
    <col min="11" max="11" width="12.140625" style="3" customWidth="1"/>
    <col min="12" max="12" width="12.5703125" style="3" customWidth="1"/>
    <col min="13" max="13" width="11.5703125" style="3" customWidth="1"/>
  </cols>
  <sheetData>
    <row r="1" spans="1:13" x14ac:dyDescent="0.25">
      <c r="A1" s="2" t="s">
        <v>10988</v>
      </c>
      <c r="B1" s="2" t="s">
        <v>10989</v>
      </c>
      <c r="C1" s="2" t="s">
        <v>10990</v>
      </c>
      <c r="D1" s="2" t="s">
        <v>10991</v>
      </c>
      <c r="E1" s="2" t="s">
        <v>10992</v>
      </c>
      <c r="F1" s="2" t="s">
        <v>10993</v>
      </c>
      <c r="G1" s="2" t="s">
        <v>10994</v>
      </c>
      <c r="H1" s="2" t="s">
        <v>10995</v>
      </c>
      <c r="I1" s="2" t="s">
        <v>10996</v>
      </c>
      <c r="J1" s="2" t="s">
        <v>10997</v>
      </c>
      <c r="K1" s="2" t="s">
        <v>10998</v>
      </c>
      <c r="L1" s="2" t="s">
        <v>10999</v>
      </c>
      <c r="M1" s="2" t="s">
        <v>11000</v>
      </c>
    </row>
    <row r="2" spans="1:13" x14ac:dyDescent="0.25">
      <c r="A2" s="1" t="str">
        <f>HYPERLINK("http://www.rosaceae.org/Prunus/Prunus_persica/p.persica_gdr_reftransV1_0000001","p.persica_gdr_reftransV1_0000001")</f>
        <v>p.persica_gdr_reftransV1_0000001</v>
      </c>
      <c r="B2" s="3">
        <v>791</v>
      </c>
      <c r="C2" s="1" t="str">
        <f>HYPERLINK("http://www.uniprot.org/uniprot/NACA_PINTA","NACA_PINTA")</f>
        <v>NACA_PINTA</v>
      </c>
      <c r="D2" t="s">
        <v>0</v>
      </c>
      <c r="E2" s="3" t="s">
        <v>1</v>
      </c>
      <c r="F2" s="4">
        <v>6.7699999999999999E-72</v>
      </c>
      <c r="G2" s="3">
        <v>575</v>
      </c>
      <c r="H2" s="3">
        <v>84</v>
      </c>
      <c r="I2" s="3">
        <v>134</v>
      </c>
      <c r="J2" s="3">
        <v>352</v>
      </c>
      <c r="K2" s="3">
        <v>750</v>
      </c>
      <c r="L2" s="3">
        <v>72</v>
      </c>
      <c r="M2" s="3">
        <v>205</v>
      </c>
    </row>
    <row r="3" spans="1:13" x14ac:dyDescent="0.25">
      <c r="A3" s="1" t="str">
        <f>HYPERLINK("http://www.rosaceae.org/Prunus/Prunus_persica/p.persica_gdr_reftransV1_0000301","p.persica_gdr_reftransV1_0000301")</f>
        <v>p.persica_gdr_reftransV1_0000301</v>
      </c>
      <c r="B3" s="3">
        <v>714</v>
      </c>
      <c r="C3" s="1" t="str">
        <f>HYPERLINK("http://www.uniprot.org/uniprot/AP1M2_ARATH","AP1M2_ARATH")</f>
        <v>AP1M2_ARATH</v>
      </c>
      <c r="D3" t="s">
        <v>2</v>
      </c>
      <c r="E3" s="3" t="s">
        <v>3</v>
      </c>
      <c r="F3" s="4">
        <v>2.09E-161</v>
      </c>
      <c r="G3" s="3">
        <v>1185</v>
      </c>
      <c r="H3" s="3">
        <v>91</v>
      </c>
      <c r="I3" s="3">
        <v>237</v>
      </c>
      <c r="J3" s="3">
        <v>3</v>
      </c>
      <c r="K3" s="3">
        <v>713</v>
      </c>
      <c r="L3" s="3">
        <v>189</v>
      </c>
      <c r="M3" s="3">
        <v>425</v>
      </c>
    </row>
    <row r="4" spans="1:13" x14ac:dyDescent="0.25">
      <c r="A4" s="1" t="str">
        <f>HYPERLINK("http://www.rosaceae.org/Prunus/Prunus_persica/p.persica_gdr_reftransV1_0000351","p.persica_gdr_reftransV1_0000351")</f>
        <v>p.persica_gdr_reftransV1_0000351</v>
      </c>
      <c r="B4" s="3">
        <v>3058</v>
      </c>
      <c r="C4" s="1" t="str">
        <f>HYPERLINK("http://www.uniprot.org/uniprot/FRY_DROME","FRY_DROME")</f>
        <v>FRY_DROME</v>
      </c>
      <c r="D4" t="s">
        <v>4</v>
      </c>
      <c r="E4" s="3" t="s">
        <v>5</v>
      </c>
      <c r="F4" s="4">
        <v>1.06E-16</v>
      </c>
      <c r="G4" s="3">
        <v>221</v>
      </c>
      <c r="H4" s="3">
        <v>26</v>
      </c>
      <c r="I4" s="3">
        <v>471</v>
      </c>
      <c r="J4" s="3">
        <v>1572</v>
      </c>
      <c r="K4" s="3">
        <v>2852</v>
      </c>
      <c r="L4" s="3">
        <v>277</v>
      </c>
      <c r="M4" s="3">
        <v>729</v>
      </c>
    </row>
    <row r="5" spans="1:13" x14ac:dyDescent="0.25">
      <c r="A5" s="1" t="str">
        <f>HYPERLINK("http://www.rosaceae.org/Prunus/Prunus_persica/p.persica_gdr_reftransV1_0000451","p.persica_gdr_reftransV1_0000451")</f>
        <v>p.persica_gdr_reftransV1_0000451</v>
      </c>
      <c r="B5" s="3">
        <v>1836</v>
      </c>
      <c r="C5" s="1" t="str">
        <f>HYPERLINK("http://www.uniprot.org/uniprot/IRKI_ARATH","IRKI_ARATH")</f>
        <v>IRKI_ARATH</v>
      </c>
      <c r="D5" t="s">
        <v>6</v>
      </c>
      <c r="E5" s="3" t="s">
        <v>3</v>
      </c>
      <c r="F5" s="4">
        <v>2.7599999999999998E-10</v>
      </c>
      <c r="G5" s="3">
        <v>162</v>
      </c>
      <c r="H5" s="3">
        <v>24</v>
      </c>
      <c r="I5" s="3">
        <v>239</v>
      </c>
      <c r="J5" s="3">
        <v>230</v>
      </c>
      <c r="K5" s="3">
        <v>907</v>
      </c>
      <c r="L5" s="3">
        <v>332</v>
      </c>
      <c r="M5" s="3">
        <v>554</v>
      </c>
    </row>
    <row r="6" spans="1:13" x14ac:dyDescent="0.25">
      <c r="A6" s="1" t="str">
        <f>HYPERLINK("http://www.rosaceae.org/Prunus/Prunus_persica/p.persica_gdr_reftransV1_0000551","p.persica_gdr_reftransV1_0000551")</f>
        <v>p.persica_gdr_reftransV1_0000551</v>
      </c>
      <c r="B6" s="3">
        <v>716</v>
      </c>
      <c r="C6" s="1" t="str">
        <f>HYPERLINK("http://www.uniprot.org/uniprot/RLF32_ARATH","RLF32_ARATH")</f>
        <v>RLF32_ARATH</v>
      </c>
      <c r="D6" t="s">
        <v>7</v>
      </c>
      <c r="E6" s="3" t="s">
        <v>3</v>
      </c>
      <c r="F6" s="4">
        <v>5.7800000000000002E-16</v>
      </c>
      <c r="G6" s="3">
        <v>185</v>
      </c>
      <c r="H6" s="3">
        <v>49</v>
      </c>
      <c r="I6" s="3">
        <v>86</v>
      </c>
      <c r="J6" s="3">
        <v>332</v>
      </c>
      <c r="K6" s="3">
        <v>571</v>
      </c>
      <c r="L6" s="3">
        <v>34</v>
      </c>
      <c r="M6" s="3">
        <v>117</v>
      </c>
    </row>
    <row r="7" spans="1:13" x14ac:dyDescent="0.25">
      <c r="A7" s="1" t="str">
        <f>HYPERLINK("http://www.rosaceae.org/Prunus/Prunus_persica/p.persica_gdr_reftransV1_0000751","p.persica_gdr_reftransV1_0000751")</f>
        <v>p.persica_gdr_reftransV1_0000751</v>
      </c>
      <c r="B7" s="3">
        <v>1219</v>
      </c>
      <c r="C7" s="1" t="str">
        <f>HYPERLINK("http://www.uniprot.org/uniprot/VP13B_DICDI","VP13B_DICDI")</f>
        <v>VP13B_DICDI</v>
      </c>
      <c r="D7" t="s">
        <v>8</v>
      </c>
      <c r="E7" s="3" t="s">
        <v>9</v>
      </c>
      <c r="F7" s="4">
        <v>1.6599999999999999E-23</v>
      </c>
      <c r="G7" s="3">
        <v>267</v>
      </c>
      <c r="H7" s="3">
        <v>23</v>
      </c>
      <c r="I7" s="3">
        <v>394</v>
      </c>
      <c r="J7" s="3">
        <v>122</v>
      </c>
      <c r="K7" s="3">
        <v>1219</v>
      </c>
      <c r="L7" s="3">
        <v>40</v>
      </c>
      <c r="M7" s="3">
        <v>423</v>
      </c>
    </row>
    <row r="8" spans="1:13" x14ac:dyDescent="0.25">
      <c r="A8" s="1" t="str">
        <f>HYPERLINK("http://www.rosaceae.org/Prunus/Prunus_persica/p.persica_gdr_reftransV1_0000851","p.persica_gdr_reftransV1_0000851")</f>
        <v>p.persica_gdr_reftransV1_0000851</v>
      </c>
      <c r="B8" s="3">
        <v>1700</v>
      </c>
      <c r="C8" s="1" t="str">
        <f>HYPERLINK("http://www.uniprot.org/uniprot/TOM20_SOLTU","TOM20_SOLTU")</f>
        <v>TOM20_SOLTU</v>
      </c>
      <c r="D8" t="s">
        <v>10</v>
      </c>
      <c r="E8" s="3" t="s">
        <v>11</v>
      </c>
      <c r="F8" s="4">
        <v>2.63E-80</v>
      </c>
      <c r="G8" s="3">
        <v>656</v>
      </c>
      <c r="H8" s="3">
        <v>68</v>
      </c>
      <c r="I8" s="3">
        <v>199</v>
      </c>
      <c r="J8" s="3">
        <v>956</v>
      </c>
      <c r="K8" s="3">
        <v>1552</v>
      </c>
      <c r="L8" s="3">
        <v>1</v>
      </c>
      <c r="M8" s="3">
        <v>194</v>
      </c>
    </row>
    <row r="9" spans="1:13" x14ac:dyDescent="0.25">
      <c r="A9" s="1" t="str">
        <f>HYPERLINK("http://www.rosaceae.org/Prunus/Prunus_persica/p.persica_gdr_reftransV1_0000901","p.persica_gdr_reftransV1_0000901")</f>
        <v>p.persica_gdr_reftransV1_0000901</v>
      </c>
      <c r="B9" s="3">
        <v>1752</v>
      </c>
      <c r="C9" s="1" t="str">
        <f>HYPERLINK("http://www.uniprot.org/uniprot/F3PH_ARATH","F3PH_ARATH")</f>
        <v>F3PH_ARATH</v>
      </c>
      <c r="D9" t="s">
        <v>12</v>
      </c>
      <c r="E9" s="3" t="s">
        <v>3</v>
      </c>
      <c r="F9" s="4">
        <v>5.82E-115</v>
      </c>
      <c r="G9" s="3">
        <v>920</v>
      </c>
      <c r="H9" s="3">
        <v>40</v>
      </c>
      <c r="I9" s="3">
        <v>473</v>
      </c>
      <c r="J9" s="3">
        <v>163</v>
      </c>
      <c r="K9" s="3">
        <v>1569</v>
      </c>
      <c r="L9" s="3">
        <v>42</v>
      </c>
      <c r="M9" s="3">
        <v>508</v>
      </c>
    </row>
    <row r="10" spans="1:13" x14ac:dyDescent="0.25">
      <c r="A10" s="1" t="str">
        <f>HYPERLINK("http://www.rosaceae.org/Prunus/Prunus_persica/p.persica_gdr_reftransV1_0001001","p.persica_gdr_reftransV1_0001001")</f>
        <v>p.persica_gdr_reftransV1_0001001</v>
      </c>
      <c r="B10" s="3">
        <v>3311</v>
      </c>
      <c r="C10" s="1" t="str">
        <f>HYPERLINK("http://www.uniprot.org/uniprot/FBK50_ARATH","FBK50_ARATH")</f>
        <v>FBK50_ARATH</v>
      </c>
      <c r="D10" t="s">
        <v>13</v>
      </c>
      <c r="E10" s="3" t="s">
        <v>3</v>
      </c>
      <c r="F10" s="4">
        <v>6.5199999999999996E-45</v>
      </c>
      <c r="G10" s="3">
        <v>439</v>
      </c>
      <c r="H10" s="3">
        <v>32</v>
      </c>
      <c r="I10" s="3">
        <v>392</v>
      </c>
      <c r="J10" s="3">
        <v>769</v>
      </c>
      <c r="K10" s="3">
        <v>1791</v>
      </c>
      <c r="L10" s="3">
        <v>39</v>
      </c>
      <c r="M10" s="3">
        <v>423</v>
      </c>
    </row>
    <row r="11" spans="1:13" x14ac:dyDescent="0.25">
      <c r="A11" s="1" t="str">
        <f>HYPERLINK("http://www.rosaceae.org/Prunus/Prunus_persica/p.persica_gdr_reftransV1_0001051","p.persica_gdr_reftransV1_0001051")</f>
        <v>p.persica_gdr_reftransV1_0001051</v>
      </c>
      <c r="B11" s="3">
        <v>740</v>
      </c>
      <c r="C11" s="1" t="str">
        <f>HYPERLINK("http://www.uniprot.org/uniprot/12KD_FRAAN","12KD_FRAAN")</f>
        <v>12KD_FRAAN</v>
      </c>
      <c r="D11" t="s">
        <v>14</v>
      </c>
      <c r="E11" s="3" t="s">
        <v>15</v>
      </c>
      <c r="F11" s="4">
        <v>1.39E-43</v>
      </c>
      <c r="G11" s="3">
        <v>376</v>
      </c>
      <c r="H11" s="3">
        <v>76</v>
      </c>
      <c r="I11" s="3">
        <v>118</v>
      </c>
      <c r="J11" s="3">
        <v>132</v>
      </c>
      <c r="K11" s="3">
        <v>485</v>
      </c>
      <c r="L11" s="3">
        <v>1</v>
      </c>
      <c r="M11" s="3">
        <v>109</v>
      </c>
    </row>
    <row r="12" spans="1:13" x14ac:dyDescent="0.25">
      <c r="A12" s="1" t="str">
        <f>HYPERLINK("http://www.rosaceae.org/Prunus/Prunus_persica/p.persica_gdr_reftransV1_0001151","p.persica_gdr_reftransV1_0001151")</f>
        <v>p.persica_gdr_reftransV1_0001151</v>
      </c>
      <c r="B12" s="3">
        <v>2014</v>
      </c>
      <c r="C12" s="1" t="str">
        <f>HYPERLINK("http://www.uniprot.org/uniprot/BSHA_BACAN","BSHA_BACAN")</f>
        <v>BSHA_BACAN</v>
      </c>
      <c r="D12" t="s">
        <v>16</v>
      </c>
      <c r="E12" s="3" t="s">
        <v>17</v>
      </c>
      <c r="F12" s="4">
        <v>5.5600000000000004E-10</v>
      </c>
      <c r="G12" s="3">
        <v>158</v>
      </c>
      <c r="H12" s="3">
        <v>33</v>
      </c>
      <c r="I12" s="3">
        <v>131</v>
      </c>
      <c r="J12" s="3">
        <v>1301</v>
      </c>
      <c r="K12" s="3">
        <v>1693</v>
      </c>
      <c r="L12" s="3">
        <v>252</v>
      </c>
      <c r="M12" s="3">
        <v>378</v>
      </c>
    </row>
    <row r="13" spans="1:13" x14ac:dyDescent="0.25">
      <c r="A13" s="1" t="str">
        <f>HYPERLINK("http://www.rosaceae.org/Prunus/Prunus_persica/p.persica_gdr_reftransV1_0001251","p.persica_gdr_reftransV1_0001251")</f>
        <v>p.persica_gdr_reftransV1_0001251</v>
      </c>
      <c r="B13" s="3">
        <v>1133</v>
      </c>
      <c r="C13" s="1" t="str">
        <f>HYPERLINK("http://www.uniprot.org/uniprot/CLPR4_ARATH","CLPR4_ARATH")</f>
        <v>CLPR4_ARATH</v>
      </c>
      <c r="D13" t="s">
        <v>18</v>
      </c>
      <c r="E13" s="3" t="s">
        <v>3</v>
      </c>
      <c r="F13" s="4">
        <v>8.2999999999999997E-153</v>
      </c>
      <c r="G13" s="3">
        <v>1132</v>
      </c>
      <c r="H13" s="3">
        <v>82</v>
      </c>
      <c r="I13" s="3">
        <v>259</v>
      </c>
      <c r="J13" s="3">
        <v>185</v>
      </c>
      <c r="K13" s="3">
        <v>961</v>
      </c>
      <c r="L13" s="3">
        <v>47</v>
      </c>
      <c r="M13" s="3">
        <v>305</v>
      </c>
    </row>
    <row r="14" spans="1:13" x14ac:dyDescent="0.25">
      <c r="A14" s="1" t="str">
        <f>HYPERLINK("http://www.rosaceae.org/Prunus/Prunus_persica/p.persica_gdr_reftransV1_0001351","p.persica_gdr_reftransV1_0001351")</f>
        <v>p.persica_gdr_reftransV1_0001351</v>
      </c>
      <c r="B14" s="3">
        <v>2308</v>
      </c>
      <c r="C14" s="1" t="str">
        <f>HYPERLINK("http://www.uniprot.org/uniprot/PLPD2_ARATH","PLPD2_ARATH")</f>
        <v>PLPD2_ARATH</v>
      </c>
      <c r="D14" t="s">
        <v>19</v>
      </c>
      <c r="E14" s="3" t="s">
        <v>3</v>
      </c>
      <c r="F14" s="4">
        <v>0</v>
      </c>
      <c r="G14" s="3">
        <v>2313</v>
      </c>
      <c r="H14" s="3">
        <v>84</v>
      </c>
      <c r="I14" s="3">
        <v>555</v>
      </c>
      <c r="J14" s="3">
        <v>222</v>
      </c>
      <c r="K14" s="3">
        <v>1868</v>
      </c>
      <c r="L14" s="3">
        <v>1</v>
      </c>
      <c r="M14" s="3">
        <v>552</v>
      </c>
    </row>
    <row r="15" spans="1:13" x14ac:dyDescent="0.25">
      <c r="A15" s="1" t="str">
        <f>HYPERLINK("http://www.rosaceae.org/Prunus/Prunus_persica/p.persica_gdr_reftransV1_0001401","p.persica_gdr_reftransV1_0001401")</f>
        <v>p.persica_gdr_reftransV1_0001401</v>
      </c>
      <c r="B15" s="3">
        <v>1446</v>
      </c>
      <c r="C15" s="1" t="str">
        <f>HYPERLINK("http://www.uniprot.org/uniprot/LAC17_ARATH","LAC17_ARATH")</f>
        <v>LAC17_ARATH</v>
      </c>
      <c r="D15" t="s">
        <v>20</v>
      </c>
      <c r="E15" s="3" t="s">
        <v>3</v>
      </c>
      <c r="F15" s="4">
        <v>0</v>
      </c>
      <c r="G15" s="3">
        <v>1758</v>
      </c>
      <c r="H15" s="3">
        <v>70</v>
      </c>
      <c r="I15" s="3">
        <v>475</v>
      </c>
      <c r="J15" s="3">
        <v>41</v>
      </c>
      <c r="K15" s="3">
        <v>1444</v>
      </c>
      <c r="L15" s="3">
        <v>16</v>
      </c>
      <c r="M15" s="3">
        <v>484</v>
      </c>
    </row>
    <row r="16" spans="1:13" x14ac:dyDescent="0.25">
      <c r="A16" s="1" t="str">
        <f>HYPERLINK("http://www.rosaceae.org/Prunus/Prunus_persica/p.persica_gdr_reftransV1_0001451","p.persica_gdr_reftransV1_0001451")</f>
        <v>p.persica_gdr_reftransV1_0001451</v>
      </c>
      <c r="B16" s="3">
        <v>1113</v>
      </c>
      <c r="C16" s="1" t="str">
        <f>HYPERLINK("http://www.uniprot.org/uniprot/MT797_ARATH","MT797_ARATH")</f>
        <v>MT797_ARATH</v>
      </c>
      <c r="D16" t="s">
        <v>21</v>
      </c>
      <c r="E16" s="3" t="s">
        <v>3</v>
      </c>
      <c r="F16" s="4">
        <v>6.6999999999999998E-51</v>
      </c>
      <c r="G16" s="3">
        <v>455</v>
      </c>
      <c r="H16" s="3">
        <v>51</v>
      </c>
      <c r="I16" s="3">
        <v>176</v>
      </c>
      <c r="J16" s="3">
        <v>550</v>
      </c>
      <c r="K16" s="3">
        <v>1047</v>
      </c>
      <c r="L16" s="3">
        <v>3</v>
      </c>
      <c r="M16" s="3">
        <v>178</v>
      </c>
    </row>
    <row r="17" spans="1:13" x14ac:dyDescent="0.25">
      <c r="A17" s="1" t="str">
        <f>HYPERLINK("http://www.rosaceae.org/Prunus/Prunus_persica/p.persica_gdr_reftransV1_0001501","p.persica_gdr_reftransV1_0001501")</f>
        <v>p.persica_gdr_reftransV1_0001501</v>
      </c>
      <c r="B17" s="3">
        <v>4062</v>
      </c>
      <c r="C17" s="1" t="str">
        <f>HYPERLINK("http://www.uniprot.org/uniprot/ACA12_ARATH","ACA12_ARATH")</f>
        <v>ACA12_ARATH</v>
      </c>
      <c r="D17" t="s">
        <v>22</v>
      </c>
      <c r="E17" s="3" t="s">
        <v>3</v>
      </c>
      <c r="F17" s="4">
        <v>0</v>
      </c>
      <c r="G17" s="3">
        <v>3465</v>
      </c>
      <c r="H17" s="3">
        <v>69</v>
      </c>
      <c r="I17" s="3">
        <v>1042</v>
      </c>
      <c r="J17" s="3">
        <v>529</v>
      </c>
      <c r="K17" s="3">
        <v>3648</v>
      </c>
      <c r="L17" s="3">
        <v>6</v>
      </c>
      <c r="M17" s="3">
        <v>1023</v>
      </c>
    </row>
    <row r="18" spans="1:13" x14ac:dyDescent="0.25">
      <c r="A18" s="1" t="str">
        <f>HYPERLINK("http://www.rosaceae.org/Prunus/Prunus_persica/p.persica_gdr_reftransV1_0001601","p.persica_gdr_reftransV1_0001601")</f>
        <v>p.persica_gdr_reftransV1_0001601</v>
      </c>
      <c r="B18" s="3">
        <v>1885</v>
      </c>
      <c r="C18" s="1" t="str">
        <f>HYPERLINK("http://www.uniprot.org/uniprot/GGPPS_HEVBR","GGPPS_HEVBR")</f>
        <v>GGPPS_HEVBR</v>
      </c>
      <c r="D18" t="s">
        <v>23</v>
      </c>
      <c r="E18" s="3" t="s">
        <v>24</v>
      </c>
      <c r="F18" s="4">
        <v>2.89E-162</v>
      </c>
      <c r="G18" s="3">
        <v>1226</v>
      </c>
      <c r="H18" s="3">
        <v>74</v>
      </c>
      <c r="I18" s="3">
        <v>375</v>
      </c>
      <c r="J18" s="3">
        <v>389</v>
      </c>
      <c r="K18" s="3">
        <v>1498</v>
      </c>
      <c r="L18" s="3">
        <v>1</v>
      </c>
      <c r="M18" s="3">
        <v>370</v>
      </c>
    </row>
    <row r="19" spans="1:13" x14ac:dyDescent="0.25">
      <c r="A19" s="1" t="str">
        <f>HYPERLINK("http://www.rosaceae.org/Prunus/Prunus_persica/p.persica_gdr_reftransV1_0001701","p.persica_gdr_reftransV1_0001701")</f>
        <v>p.persica_gdr_reftransV1_0001701</v>
      </c>
      <c r="B19" s="3">
        <v>372</v>
      </c>
      <c r="C19" s="1" t="str">
        <f>HYPERLINK("http://www.uniprot.org/uniprot/SRG1_ARATH","SRG1_ARATH")</f>
        <v>SRG1_ARATH</v>
      </c>
      <c r="D19" t="s">
        <v>25</v>
      </c>
      <c r="E19" s="3" t="s">
        <v>3</v>
      </c>
      <c r="F19" s="4">
        <v>1.6999999999999999E-20</v>
      </c>
      <c r="G19" s="3">
        <v>218</v>
      </c>
      <c r="H19" s="3">
        <v>44</v>
      </c>
      <c r="I19" s="3">
        <v>127</v>
      </c>
      <c r="J19" s="3">
        <v>1</v>
      </c>
      <c r="K19" s="3">
        <v>372</v>
      </c>
      <c r="L19" s="3">
        <v>18</v>
      </c>
      <c r="M19" s="3">
        <v>142</v>
      </c>
    </row>
    <row r="20" spans="1:13" x14ac:dyDescent="0.25">
      <c r="A20" s="1" t="str">
        <f>HYPERLINK("http://www.rosaceae.org/Prunus/Prunus_persica/p.persica_gdr_reftransV1_0001751","p.persica_gdr_reftransV1_0001751")</f>
        <v>p.persica_gdr_reftransV1_0001751</v>
      </c>
      <c r="B20" s="3">
        <v>6127</v>
      </c>
      <c r="C20" s="1" t="str">
        <f>HYPERLINK("http://www.uniprot.org/uniprot/DME_ARATH","DME_ARATH")</f>
        <v>DME_ARATH</v>
      </c>
      <c r="D20" t="s">
        <v>26</v>
      </c>
      <c r="E20" s="3" t="s">
        <v>3</v>
      </c>
      <c r="F20" s="4">
        <v>0</v>
      </c>
      <c r="G20" s="3">
        <v>1911</v>
      </c>
      <c r="H20" s="3">
        <v>71</v>
      </c>
      <c r="I20" s="3">
        <v>556</v>
      </c>
      <c r="J20" s="3">
        <v>266</v>
      </c>
      <c r="K20" s="3">
        <v>1924</v>
      </c>
      <c r="L20" s="3">
        <v>1444</v>
      </c>
      <c r="M20" s="3">
        <v>1986</v>
      </c>
    </row>
    <row r="21" spans="1:13" x14ac:dyDescent="0.25">
      <c r="A21" s="1" t="str">
        <f>HYPERLINK("http://www.rosaceae.org/Prunus/Prunus_persica/p.persica_gdr_reftransV1_0001801","p.persica_gdr_reftransV1_0001801")</f>
        <v>p.persica_gdr_reftransV1_0001801</v>
      </c>
      <c r="B21" s="3">
        <v>2777</v>
      </c>
      <c r="C21" s="1" t="str">
        <f>HYPERLINK("http://www.uniprot.org/uniprot/TBC17_HUMAN","TBC17_HUMAN")</f>
        <v>TBC17_HUMAN</v>
      </c>
      <c r="D21" t="s">
        <v>27</v>
      </c>
      <c r="E21" s="3" t="s">
        <v>28</v>
      </c>
      <c r="F21" s="4">
        <v>6.4199999999999999E-41</v>
      </c>
      <c r="G21" s="3">
        <v>415</v>
      </c>
      <c r="H21" s="3">
        <v>31</v>
      </c>
      <c r="I21" s="3">
        <v>380</v>
      </c>
      <c r="J21" s="3">
        <v>1079</v>
      </c>
      <c r="K21" s="3">
        <v>2203</v>
      </c>
      <c r="L21" s="3">
        <v>120</v>
      </c>
      <c r="M21" s="3">
        <v>431</v>
      </c>
    </row>
    <row r="22" spans="1:13" x14ac:dyDescent="0.25">
      <c r="A22" s="1" t="str">
        <f>HYPERLINK("http://www.rosaceae.org/Prunus/Prunus_persica/p.persica_gdr_reftransV1_0001851","p.persica_gdr_reftransV1_0001851")</f>
        <v>p.persica_gdr_reftransV1_0001851</v>
      </c>
      <c r="B22" s="3">
        <v>679</v>
      </c>
      <c r="C22" s="1" t="str">
        <f>HYPERLINK("http://www.uniprot.org/uniprot/MPC1_ARATH","MPC1_ARATH")</f>
        <v>MPC1_ARATH</v>
      </c>
      <c r="D22" t="s">
        <v>29</v>
      </c>
      <c r="E22" s="3" t="s">
        <v>3</v>
      </c>
      <c r="F22" s="4">
        <v>1.15E-61</v>
      </c>
      <c r="G22" s="3">
        <v>494</v>
      </c>
      <c r="H22" s="3">
        <v>86</v>
      </c>
      <c r="I22" s="3">
        <v>102</v>
      </c>
      <c r="J22" s="3">
        <v>173</v>
      </c>
      <c r="K22" s="3">
        <v>478</v>
      </c>
      <c r="L22" s="3">
        <v>4</v>
      </c>
      <c r="M22" s="3">
        <v>105</v>
      </c>
    </row>
    <row r="23" spans="1:13" x14ac:dyDescent="0.25">
      <c r="A23" s="1" t="str">
        <f>HYPERLINK("http://www.rosaceae.org/Prunus/Prunus_persica/p.persica_gdr_reftransV1_0002201","p.persica_gdr_reftransV1_0002201")</f>
        <v>p.persica_gdr_reftransV1_0002201</v>
      </c>
      <c r="B23" s="3">
        <v>1373</v>
      </c>
      <c r="C23" s="1" t="str">
        <f>HYPERLINK("http://www.uniprot.org/uniprot/EXL3_ARATH","EXL3_ARATH")</f>
        <v>EXL3_ARATH</v>
      </c>
      <c r="D23" t="s">
        <v>30</v>
      </c>
      <c r="E23" s="3" t="s">
        <v>3</v>
      </c>
      <c r="F23" s="4">
        <v>1.6599999999999999E-134</v>
      </c>
      <c r="G23" s="3">
        <v>1025</v>
      </c>
      <c r="H23" s="3">
        <v>55</v>
      </c>
      <c r="I23" s="3">
        <v>348</v>
      </c>
      <c r="J23" s="3">
        <v>211</v>
      </c>
      <c r="K23" s="3">
        <v>1254</v>
      </c>
      <c r="L23" s="3">
        <v>20</v>
      </c>
      <c r="M23" s="3">
        <v>363</v>
      </c>
    </row>
    <row r="24" spans="1:13" x14ac:dyDescent="0.25">
      <c r="A24" s="1" t="str">
        <f>HYPERLINK("http://www.rosaceae.org/Prunus/Prunus_persica/p.persica_gdr_reftransV1_0002251","p.persica_gdr_reftransV1_0002251")</f>
        <v>p.persica_gdr_reftransV1_0002251</v>
      </c>
      <c r="B24" s="3">
        <v>1570</v>
      </c>
      <c r="C24" s="1" t="str">
        <f>HYPERLINK("http://www.uniprot.org/uniprot/EP1G_DAUCA","EP1G_DAUCA")</f>
        <v>EP1G_DAUCA</v>
      </c>
      <c r="D24" t="s">
        <v>31</v>
      </c>
      <c r="E24" s="3" t="s">
        <v>32</v>
      </c>
      <c r="F24" s="4">
        <v>2.9899999999999999E-145</v>
      </c>
      <c r="G24" s="3">
        <v>1105</v>
      </c>
      <c r="H24" s="3">
        <v>62</v>
      </c>
      <c r="I24" s="3">
        <v>361</v>
      </c>
      <c r="J24" s="3">
        <v>370</v>
      </c>
      <c r="K24" s="3">
        <v>1410</v>
      </c>
      <c r="L24" s="3">
        <v>26</v>
      </c>
      <c r="M24" s="3">
        <v>385</v>
      </c>
    </row>
    <row r="25" spans="1:13" x14ac:dyDescent="0.25">
      <c r="A25" s="1" t="str">
        <f>HYPERLINK("http://www.rosaceae.org/Prunus/Prunus_persica/p.persica_gdr_reftransV1_0002351","p.persica_gdr_reftransV1_0002351")</f>
        <v>p.persica_gdr_reftransV1_0002351</v>
      </c>
      <c r="B25" s="3">
        <v>335</v>
      </c>
      <c r="C25" s="1" t="str">
        <f>HYPERLINK("http://www.uniprot.org/uniprot/RL9A_YEAST","RL9A_YEAST")</f>
        <v>RL9A_YEAST</v>
      </c>
      <c r="D25" t="s">
        <v>33</v>
      </c>
      <c r="E25" s="3" t="s">
        <v>34</v>
      </c>
      <c r="F25" s="4">
        <v>2.9799999999999998E-32</v>
      </c>
      <c r="G25" s="3">
        <v>293</v>
      </c>
      <c r="H25" s="3">
        <v>50</v>
      </c>
      <c r="I25" s="3">
        <v>111</v>
      </c>
      <c r="J25" s="3">
        <v>1</v>
      </c>
      <c r="K25" s="3">
        <v>333</v>
      </c>
      <c r="L25" s="3">
        <v>37</v>
      </c>
      <c r="M25" s="3">
        <v>145</v>
      </c>
    </row>
    <row r="26" spans="1:13" x14ac:dyDescent="0.25">
      <c r="A26" s="1" t="str">
        <f>HYPERLINK("http://www.rosaceae.org/Prunus/Prunus_persica/p.persica_gdr_reftransV1_0002551","p.persica_gdr_reftransV1_0002551")</f>
        <v>p.persica_gdr_reftransV1_0002551</v>
      </c>
      <c r="B26" s="3">
        <v>1695</v>
      </c>
      <c r="C26" s="1" t="str">
        <f>HYPERLINK("http://www.uniprot.org/uniprot/PUX7_ARATH","PUX7_ARATH")</f>
        <v>PUX7_ARATH</v>
      </c>
      <c r="D26" t="s">
        <v>35</v>
      </c>
      <c r="E26" s="3" t="s">
        <v>3</v>
      </c>
      <c r="F26" s="4">
        <v>0</v>
      </c>
      <c r="G26" s="3">
        <v>1381</v>
      </c>
      <c r="H26" s="3">
        <v>59</v>
      </c>
      <c r="I26" s="3">
        <v>475</v>
      </c>
      <c r="J26" s="3">
        <v>72</v>
      </c>
      <c r="K26" s="3">
        <v>1439</v>
      </c>
      <c r="L26" s="3">
        <v>1</v>
      </c>
      <c r="M26" s="3">
        <v>468</v>
      </c>
    </row>
    <row r="27" spans="1:13" x14ac:dyDescent="0.25">
      <c r="A27" s="1" t="str">
        <f>HYPERLINK("http://www.rosaceae.org/Prunus/Prunus_persica/p.persica_gdr_reftransV1_0002601","p.persica_gdr_reftransV1_0002601")</f>
        <v>p.persica_gdr_reftransV1_0002601</v>
      </c>
      <c r="B27" s="3">
        <v>983</v>
      </c>
      <c r="C27" s="1" t="str">
        <f>HYPERLINK("http://www.uniprot.org/uniprot/SUI1_YEAST","SUI1_YEAST")</f>
        <v>SUI1_YEAST</v>
      </c>
      <c r="D27" t="s">
        <v>36</v>
      </c>
      <c r="E27" s="3" t="s">
        <v>34</v>
      </c>
      <c r="F27" s="4">
        <v>7.4799999999999995E-35</v>
      </c>
      <c r="G27" s="3">
        <v>322</v>
      </c>
      <c r="H27" s="3">
        <v>68</v>
      </c>
      <c r="I27" s="3">
        <v>114</v>
      </c>
      <c r="J27" s="3">
        <v>259</v>
      </c>
      <c r="K27" s="3">
        <v>600</v>
      </c>
      <c r="L27" s="3">
        <v>1</v>
      </c>
      <c r="M27" s="3">
        <v>108</v>
      </c>
    </row>
    <row r="28" spans="1:13" x14ac:dyDescent="0.25">
      <c r="A28" s="1" t="str">
        <f>HYPERLINK("http://www.rosaceae.org/Prunus/Prunus_persica/p.persica_gdr_reftransV1_0002651","p.persica_gdr_reftransV1_0002651")</f>
        <v>p.persica_gdr_reftransV1_0002651</v>
      </c>
      <c r="B28" s="3">
        <v>1336</v>
      </c>
      <c r="C28" s="1" t="str">
        <f>HYPERLINK("http://www.uniprot.org/uniprot/SAPK2_ORYSJ","SAPK2_ORYSJ")</f>
        <v>SAPK2_ORYSJ</v>
      </c>
      <c r="D28" t="s">
        <v>37</v>
      </c>
      <c r="E28" s="3" t="s">
        <v>38</v>
      </c>
      <c r="F28" s="4">
        <v>2.7000000000000001E-178</v>
      </c>
      <c r="G28" s="3">
        <v>1311</v>
      </c>
      <c r="H28" s="3">
        <v>76</v>
      </c>
      <c r="I28" s="3">
        <v>319</v>
      </c>
      <c r="J28" s="3">
        <v>221</v>
      </c>
      <c r="K28" s="3">
        <v>1171</v>
      </c>
      <c r="L28" s="3">
        <v>1</v>
      </c>
      <c r="M28" s="3">
        <v>319</v>
      </c>
    </row>
    <row r="29" spans="1:13" x14ac:dyDescent="0.25">
      <c r="A29" s="1" t="str">
        <f>HYPERLINK("http://www.rosaceae.org/Prunus/Prunus_persica/p.persica_gdr_reftransV1_0002701","p.persica_gdr_reftransV1_0002701")</f>
        <v>p.persica_gdr_reftransV1_0002701</v>
      </c>
      <c r="B29" s="3">
        <v>411</v>
      </c>
      <c r="C29" s="1" t="str">
        <f>HYPERLINK("http://www.uniprot.org/uniprot/U91C1_ARATH","U91C1_ARATH")</f>
        <v>U91C1_ARATH</v>
      </c>
      <c r="D29" t="s">
        <v>39</v>
      </c>
      <c r="E29" s="3" t="s">
        <v>3</v>
      </c>
      <c r="F29" s="4">
        <v>3.92E-41</v>
      </c>
      <c r="G29" s="3">
        <v>371</v>
      </c>
      <c r="H29" s="3">
        <v>65</v>
      </c>
      <c r="I29" s="3">
        <v>136</v>
      </c>
      <c r="J29" s="3">
        <v>4</v>
      </c>
      <c r="K29" s="3">
        <v>411</v>
      </c>
      <c r="L29" s="3">
        <v>19</v>
      </c>
      <c r="M29" s="3">
        <v>152</v>
      </c>
    </row>
    <row r="30" spans="1:13" x14ac:dyDescent="0.25">
      <c r="A30" s="1" t="str">
        <f>HYPERLINK("http://www.rosaceae.org/Prunus/Prunus_persica/p.persica_gdr_reftransV1_0002801","p.persica_gdr_reftransV1_0002801")</f>
        <v>p.persica_gdr_reftransV1_0002801</v>
      </c>
      <c r="B30" s="3">
        <v>2449</v>
      </c>
      <c r="C30" s="1" t="str">
        <f>HYPERLINK("http://www.uniprot.org/uniprot/CSLE6_ORYSJ","CSLE6_ORYSJ")</f>
        <v>CSLE6_ORYSJ</v>
      </c>
      <c r="D30" t="s">
        <v>40</v>
      </c>
      <c r="E30" s="3" t="s">
        <v>38</v>
      </c>
      <c r="F30" s="4">
        <v>0</v>
      </c>
      <c r="G30" s="3">
        <v>2187</v>
      </c>
      <c r="H30" s="3">
        <v>56</v>
      </c>
      <c r="I30" s="3">
        <v>722</v>
      </c>
      <c r="J30" s="3">
        <v>218</v>
      </c>
      <c r="K30" s="3">
        <v>2383</v>
      </c>
      <c r="L30" s="3">
        <v>11</v>
      </c>
      <c r="M30" s="3">
        <v>727</v>
      </c>
    </row>
    <row r="31" spans="1:13" x14ac:dyDescent="0.25">
      <c r="A31" s="1" t="str">
        <f>HYPERLINK("http://www.rosaceae.org/Prunus/Prunus_persica/p.persica_gdr_reftransV1_0002851","p.persica_gdr_reftransV1_0002851")</f>
        <v>p.persica_gdr_reftransV1_0002851</v>
      </c>
      <c r="B31" s="3">
        <v>2252</v>
      </c>
      <c r="C31" s="1" t="str">
        <f>HYPERLINK("http://www.uniprot.org/uniprot/PPR87_ARATH","PPR87_ARATH")</f>
        <v>PPR87_ARATH</v>
      </c>
      <c r="D31" t="s">
        <v>41</v>
      </c>
      <c r="E31" s="3" t="s">
        <v>3</v>
      </c>
      <c r="F31" s="4">
        <v>4.6700000000000003E-159</v>
      </c>
      <c r="G31" s="3">
        <v>1220</v>
      </c>
      <c r="H31" s="3">
        <v>58</v>
      </c>
      <c r="I31" s="3">
        <v>394</v>
      </c>
      <c r="J31" s="3">
        <v>866</v>
      </c>
      <c r="K31" s="3">
        <v>2020</v>
      </c>
      <c r="L31" s="3">
        <v>15</v>
      </c>
      <c r="M31" s="3">
        <v>408</v>
      </c>
    </row>
    <row r="32" spans="1:13" x14ac:dyDescent="0.25">
      <c r="A32" s="1" t="str">
        <f>HYPERLINK("http://www.rosaceae.org/Prunus/Prunus_persica/p.persica_gdr_reftransV1_0003001","p.persica_gdr_reftransV1_0003001")</f>
        <v>p.persica_gdr_reftransV1_0003001</v>
      </c>
      <c r="B32" s="3">
        <v>495</v>
      </c>
      <c r="C32" s="1" t="str">
        <f>HYPERLINK("http://www.uniprot.org/uniprot/MPC2_ARATH","MPC2_ARATH")</f>
        <v>MPC2_ARATH</v>
      </c>
      <c r="D32" t="s">
        <v>42</v>
      </c>
      <c r="E32" s="3" t="s">
        <v>3</v>
      </c>
      <c r="F32" s="4">
        <v>3.4800000000000001E-46</v>
      </c>
      <c r="G32" s="3">
        <v>385</v>
      </c>
      <c r="H32" s="3">
        <v>68</v>
      </c>
      <c r="I32" s="3">
        <v>99</v>
      </c>
      <c r="J32" s="3">
        <v>199</v>
      </c>
      <c r="K32" s="3">
        <v>495</v>
      </c>
      <c r="L32" s="3">
        <v>8</v>
      </c>
      <c r="M32" s="3">
        <v>106</v>
      </c>
    </row>
    <row r="33" spans="1:13" x14ac:dyDescent="0.25">
      <c r="A33" s="1" t="str">
        <f>HYPERLINK("http://www.rosaceae.org/Prunus/Prunus_persica/p.persica_gdr_reftransV1_0003051","p.persica_gdr_reftransV1_0003051")</f>
        <v>p.persica_gdr_reftransV1_0003051</v>
      </c>
      <c r="B33" s="3">
        <v>330</v>
      </c>
      <c r="C33" s="1" t="str">
        <f>HYPERLINK("http://www.uniprot.org/uniprot/WAK1_ARATH","WAK1_ARATH")</f>
        <v>WAK1_ARATH</v>
      </c>
      <c r="D33" t="s">
        <v>43</v>
      </c>
      <c r="E33" s="3" t="s">
        <v>3</v>
      </c>
      <c r="F33" s="4">
        <v>5.44E-15</v>
      </c>
      <c r="G33" s="3">
        <v>182</v>
      </c>
      <c r="H33" s="3">
        <v>39</v>
      </c>
      <c r="I33" s="3">
        <v>112</v>
      </c>
      <c r="J33" s="3">
        <v>3</v>
      </c>
      <c r="K33" s="3">
        <v>329</v>
      </c>
      <c r="L33" s="3">
        <v>398</v>
      </c>
      <c r="M33" s="3">
        <v>505</v>
      </c>
    </row>
    <row r="34" spans="1:13" x14ac:dyDescent="0.25">
      <c r="A34" s="1" t="str">
        <f>HYPERLINK("http://www.rosaceae.org/Prunus/Prunus_persica/p.persica_gdr_reftransV1_0003101","p.persica_gdr_reftransV1_0003101")</f>
        <v>p.persica_gdr_reftransV1_0003101</v>
      </c>
      <c r="B34" s="3">
        <v>1242</v>
      </c>
      <c r="C34" s="1" t="str">
        <f>HYPERLINK("http://www.uniprot.org/uniprot/SM3L3_ARATH","SM3L3_ARATH")</f>
        <v>SM3L3_ARATH</v>
      </c>
      <c r="D34" t="s">
        <v>44</v>
      </c>
      <c r="E34" s="3" t="s">
        <v>3</v>
      </c>
      <c r="F34" s="4">
        <v>2.0000000000000001E-68</v>
      </c>
      <c r="G34" s="3">
        <v>613</v>
      </c>
      <c r="H34" s="3">
        <v>62</v>
      </c>
      <c r="I34" s="3">
        <v>186</v>
      </c>
      <c r="J34" s="3">
        <v>4</v>
      </c>
      <c r="K34" s="3">
        <v>561</v>
      </c>
      <c r="L34" s="3">
        <v>380</v>
      </c>
      <c r="M34" s="3">
        <v>564</v>
      </c>
    </row>
    <row r="35" spans="1:13" x14ac:dyDescent="0.25">
      <c r="A35" s="1" t="str">
        <f>HYPERLINK("http://www.rosaceae.org/Prunus/Prunus_persica/p.persica_gdr_reftransV1_0003151","p.persica_gdr_reftransV1_0003151")</f>
        <v>p.persica_gdr_reftransV1_0003151</v>
      </c>
      <c r="B35" s="3">
        <v>395</v>
      </c>
      <c r="C35" s="1" t="str">
        <f>HYPERLINK("http://www.uniprot.org/uniprot/PP258_ARATH","PP258_ARATH")</f>
        <v>PP258_ARATH</v>
      </c>
      <c r="D35" t="s">
        <v>45</v>
      </c>
      <c r="E35" s="3" t="s">
        <v>3</v>
      </c>
      <c r="F35" s="4">
        <v>1.1699999999999999E-25</v>
      </c>
      <c r="G35" s="3">
        <v>263</v>
      </c>
      <c r="H35" s="3">
        <v>49</v>
      </c>
      <c r="I35" s="3">
        <v>134</v>
      </c>
      <c r="J35" s="3">
        <v>3</v>
      </c>
      <c r="K35" s="3">
        <v>395</v>
      </c>
      <c r="L35" s="3">
        <v>155</v>
      </c>
      <c r="M35" s="3">
        <v>288</v>
      </c>
    </row>
    <row r="36" spans="1:13" x14ac:dyDescent="0.25">
      <c r="A36" s="1" t="str">
        <f>HYPERLINK("http://www.rosaceae.org/Prunus/Prunus_persica/p.persica_gdr_reftransV1_0003301","p.persica_gdr_reftransV1_0003301")</f>
        <v>p.persica_gdr_reftransV1_0003301</v>
      </c>
      <c r="B36" s="3">
        <v>733</v>
      </c>
      <c r="C36" s="1" t="str">
        <f>HYPERLINK("http://www.uniprot.org/uniprot/ML328_ARATH","ML328_ARATH")</f>
        <v>ML328_ARATH</v>
      </c>
      <c r="D36" t="s">
        <v>46</v>
      </c>
      <c r="E36" s="3" t="s">
        <v>3</v>
      </c>
      <c r="F36" s="4">
        <v>2.2100000000000001E-32</v>
      </c>
      <c r="G36" s="3">
        <v>303</v>
      </c>
      <c r="H36" s="3">
        <v>38</v>
      </c>
      <c r="I36" s="3">
        <v>151</v>
      </c>
      <c r="J36" s="3">
        <v>63</v>
      </c>
      <c r="K36" s="3">
        <v>512</v>
      </c>
      <c r="L36" s="3">
        <v>1</v>
      </c>
      <c r="M36" s="3">
        <v>151</v>
      </c>
    </row>
    <row r="37" spans="1:13" x14ac:dyDescent="0.25">
      <c r="A37" s="1" t="str">
        <f>HYPERLINK("http://www.rosaceae.org/Prunus/Prunus_persica/p.persica_gdr_reftransV1_0003351","p.persica_gdr_reftransV1_0003351")</f>
        <v>p.persica_gdr_reftransV1_0003351</v>
      </c>
      <c r="B37" s="3">
        <v>2179</v>
      </c>
      <c r="C37" s="1" t="str">
        <f>HYPERLINK("http://www.uniprot.org/uniprot/RH35_ARATH","RH35_ARATH")</f>
        <v>RH35_ARATH</v>
      </c>
      <c r="D37" t="s">
        <v>47</v>
      </c>
      <c r="E37" s="3" t="s">
        <v>3</v>
      </c>
      <c r="F37" s="4">
        <v>0</v>
      </c>
      <c r="G37" s="3">
        <v>2734</v>
      </c>
      <c r="H37" s="3">
        <v>86</v>
      </c>
      <c r="I37" s="3">
        <v>587</v>
      </c>
      <c r="J37" s="3">
        <v>356</v>
      </c>
      <c r="K37" s="3">
        <v>2116</v>
      </c>
      <c r="L37" s="3">
        <v>5</v>
      </c>
      <c r="M37" s="3">
        <v>591</v>
      </c>
    </row>
    <row r="38" spans="1:13" x14ac:dyDescent="0.25">
      <c r="A38" s="1" t="str">
        <f>HYPERLINK("http://www.rosaceae.org/Prunus/Prunus_persica/p.persica_gdr_reftransV1_0003401","p.persica_gdr_reftransV1_0003401")</f>
        <v>p.persica_gdr_reftransV1_0003401</v>
      </c>
      <c r="B38" s="3">
        <v>2997</v>
      </c>
      <c r="C38" s="1" t="str">
        <f>HYPERLINK("http://www.uniprot.org/uniprot/AMRA1_HUMAN","AMRA1_HUMAN")</f>
        <v>AMRA1_HUMAN</v>
      </c>
      <c r="D38" t="s">
        <v>48</v>
      </c>
      <c r="E38" s="3" t="s">
        <v>28</v>
      </c>
      <c r="F38" s="4">
        <v>2.33E-27</v>
      </c>
      <c r="G38" s="3">
        <v>310</v>
      </c>
      <c r="H38" s="3">
        <v>42</v>
      </c>
      <c r="I38" s="3">
        <v>180</v>
      </c>
      <c r="J38" s="3">
        <v>392</v>
      </c>
      <c r="K38" s="3">
        <v>919</v>
      </c>
      <c r="L38" s="3">
        <v>25</v>
      </c>
      <c r="M38" s="3">
        <v>201</v>
      </c>
    </row>
    <row r="39" spans="1:13" x14ac:dyDescent="0.25">
      <c r="A39" s="1" t="str">
        <f>HYPERLINK("http://www.rosaceae.org/Prunus/Prunus_persica/p.persica_gdr_reftransV1_0003451","p.persica_gdr_reftransV1_0003451")</f>
        <v>p.persica_gdr_reftransV1_0003451</v>
      </c>
      <c r="B39" s="3">
        <v>4079</v>
      </c>
      <c r="C39" s="1" t="str">
        <f>HYPERLINK("http://www.uniprot.org/uniprot/FRA1_ARATH","FRA1_ARATH")</f>
        <v>FRA1_ARATH</v>
      </c>
      <c r="D39" t="s">
        <v>49</v>
      </c>
      <c r="E39" s="3" t="s">
        <v>3</v>
      </c>
      <c r="F39" s="4">
        <v>0</v>
      </c>
      <c r="G39" s="3">
        <v>4066</v>
      </c>
      <c r="H39" s="3">
        <v>79</v>
      </c>
      <c r="I39" s="3">
        <v>1039</v>
      </c>
      <c r="J39" s="3">
        <v>301</v>
      </c>
      <c r="K39" s="3">
        <v>3387</v>
      </c>
      <c r="L39" s="3">
        <v>8</v>
      </c>
      <c r="M39" s="3">
        <v>1029</v>
      </c>
    </row>
    <row r="40" spans="1:13" x14ac:dyDescent="0.25">
      <c r="A40" s="1" t="str">
        <f>HYPERLINK("http://www.rosaceae.org/Prunus/Prunus_persica/p.persica_gdr_reftransV1_0003501","p.persica_gdr_reftransV1_0003501")</f>
        <v>p.persica_gdr_reftransV1_0003501</v>
      </c>
      <c r="B40" s="3">
        <v>1978</v>
      </c>
      <c r="C40" s="1" t="str">
        <f>HYPERLINK("http://www.uniprot.org/uniprot/TOCC_ARATH","TOCC_ARATH")</f>
        <v>TOCC_ARATH</v>
      </c>
      <c r="D40" t="s">
        <v>50</v>
      </c>
      <c r="E40" s="3" t="s">
        <v>3</v>
      </c>
      <c r="F40" s="4">
        <v>0</v>
      </c>
      <c r="G40" s="3">
        <v>1818</v>
      </c>
      <c r="H40" s="3">
        <v>79</v>
      </c>
      <c r="I40" s="3">
        <v>423</v>
      </c>
      <c r="J40" s="3">
        <v>458</v>
      </c>
      <c r="K40" s="3">
        <v>1723</v>
      </c>
      <c r="L40" s="3">
        <v>62</v>
      </c>
      <c r="M40" s="3">
        <v>484</v>
      </c>
    </row>
    <row r="41" spans="1:13" x14ac:dyDescent="0.25">
      <c r="A41" s="1" t="str">
        <f>HYPERLINK("http://www.rosaceae.org/Prunus/Prunus_persica/p.persica_gdr_reftransV1_0003551","p.persica_gdr_reftransV1_0003551")</f>
        <v>p.persica_gdr_reftransV1_0003551</v>
      </c>
      <c r="B41" s="3">
        <v>3505</v>
      </c>
      <c r="C41" s="1" t="str">
        <f>HYPERLINK("http://www.uniprot.org/uniprot/PR40A_ARATH","PR40A_ARATH")</f>
        <v>PR40A_ARATH</v>
      </c>
      <c r="D41" t="s">
        <v>51</v>
      </c>
      <c r="E41" s="3" t="s">
        <v>3</v>
      </c>
      <c r="F41" s="4">
        <v>0</v>
      </c>
      <c r="G41" s="3">
        <v>2045</v>
      </c>
      <c r="H41" s="3">
        <v>54</v>
      </c>
      <c r="I41" s="3">
        <v>878</v>
      </c>
      <c r="J41" s="3">
        <v>151</v>
      </c>
      <c r="K41" s="3">
        <v>2769</v>
      </c>
      <c r="L41" s="3">
        <v>1</v>
      </c>
      <c r="M41" s="3">
        <v>803</v>
      </c>
    </row>
    <row r="42" spans="1:13" x14ac:dyDescent="0.25">
      <c r="A42" s="1" t="str">
        <f>HYPERLINK("http://www.rosaceae.org/Prunus/Prunus_persica/p.persica_gdr_reftransV1_0003651","p.persica_gdr_reftransV1_0003651")</f>
        <v>p.persica_gdr_reftransV1_0003651</v>
      </c>
      <c r="B42" s="3">
        <v>3166</v>
      </c>
      <c r="C42" s="1" t="str">
        <f>HYPERLINK("http://www.uniprot.org/uniprot/CLCD_ARATH","CLCD_ARATH")</f>
        <v>CLCD_ARATH</v>
      </c>
      <c r="D42" t="s">
        <v>52</v>
      </c>
      <c r="E42" s="3" t="s">
        <v>3</v>
      </c>
      <c r="F42" s="4">
        <v>0</v>
      </c>
      <c r="G42" s="3">
        <v>3207</v>
      </c>
      <c r="H42" s="3">
        <v>84</v>
      </c>
      <c r="I42" s="3">
        <v>789</v>
      </c>
      <c r="J42" s="3">
        <v>533</v>
      </c>
      <c r="K42" s="3">
        <v>2887</v>
      </c>
      <c r="L42" s="3">
        <v>1</v>
      </c>
      <c r="M42" s="3">
        <v>785</v>
      </c>
    </row>
    <row r="43" spans="1:13" x14ac:dyDescent="0.25">
      <c r="A43" s="1" t="str">
        <f>HYPERLINK("http://www.rosaceae.org/Prunus/Prunus_persica/p.persica_gdr_reftransV1_0003801","p.persica_gdr_reftransV1_0003801")</f>
        <v>p.persica_gdr_reftransV1_0003801</v>
      </c>
      <c r="B43" s="3">
        <v>1927</v>
      </c>
      <c r="C43" s="1" t="str">
        <f>HYPERLINK("http://www.uniprot.org/uniprot/PROD2_ARATH","PROD2_ARATH")</f>
        <v>PROD2_ARATH</v>
      </c>
      <c r="D43" t="s">
        <v>53</v>
      </c>
      <c r="E43" s="3" t="s">
        <v>3</v>
      </c>
      <c r="F43" s="4">
        <v>0</v>
      </c>
      <c r="G43" s="3">
        <v>1414</v>
      </c>
      <c r="H43" s="3">
        <v>60</v>
      </c>
      <c r="I43" s="3">
        <v>434</v>
      </c>
      <c r="J43" s="3">
        <v>309</v>
      </c>
      <c r="K43" s="3">
        <v>1601</v>
      </c>
      <c r="L43" s="3">
        <v>42</v>
      </c>
      <c r="M43" s="3">
        <v>475</v>
      </c>
    </row>
    <row r="44" spans="1:13" x14ac:dyDescent="0.25">
      <c r="A44" s="1" t="str">
        <f>HYPERLINK("http://www.rosaceae.org/Prunus/Prunus_persica/p.persica_gdr_reftransV1_0004001","p.persica_gdr_reftransV1_0004001")</f>
        <v>p.persica_gdr_reftransV1_0004001</v>
      </c>
      <c r="B44" s="3">
        <v>1318</v>
      </c>
      <c r="C44" s="1" t="str">
        <f>HYPERLINK("http://www.uniprot.org/uniprot/MTDH_FRAAN","MTDH_FRAAN")</f>
        <v>MTDH_FRAAN</v>
      </c>
      <c r="D44" t="s">
        <v>54</v>
      </c>
      <c r="E44" s="3" t="s">
        <v>15</v>
      </c>
      <c r="F44" s="4">
        <v>0</v>
      </c>
      <c r="G44" s="3">
        <v>1459</v>
      </c>
      <c r="H44" s="3">
        <v>86</v>
      </c>
      <c r="I44" s="3">
        <v>353</v>
      </c>
      <c r="J44" s="3">
        <v>81</v>
      </c>
      <c r="K44" s="3">
        <v>1139</v>
      </c>
      <c r="L44" s="3">
        <v>4</v>
      </c>
      <c r="M44" s="3">
        <v>356</v>
      </c>
    </row>
    <row r="45" spans="1:13" x14ac:dyDescent="0.25">
      <c r="A45" s="1" t="str">
        <f>HYPERLINK("http://www.rosaceae.org/Prunus/Prunus_persica/p.persica_gdr_reftransV1_0004051","p.persica_gdr_reftransV1_0004051")</f>
        <v>p.persica_gdr_reftransV1_0004051</v>
      </c>
      <c r="B45" s="3">
        <v>1260</v>
      </c>
      <c r="C45" s="1" t="str">
        <f>HYPERLINK("http://www.uniprot.org/uniprot/SPT_ARATH","SPT_ARATH")</f>
        <v>SPT_ARATH</v>
      </c>
      <c r="D45" t="s">
        <v>55</v>
      </c>
      <c r="E45" s="3" t="s">
        <v>3</v>
      </c>
      <c r="F45" s="4">
        <v>5.9600000000000005E-47</v>
      </c>
      <c r="G45" s="3">
        <v>432</v>
      </c>
      <c r="H45" s="3">
        <v>57</v>
      </c>
      <c r="I45" s="3">
        <v>203</v>
      </c>
      <c r="J45" s="3">
        <v>607</v>
      </c>
      <c r="K45" s="3">
        <v>1206</v>
      </c>
      <c r="L45" s="3">
        <v>160</v>
      </c>
      <c r="M45" s="3">
        <v>338</v>
      </c>
    </row>
    <row r="46" spans="1:13" x14ac:dyDescent="0.25">
      <c r="A46" s="1" t="str">
        <f>HYPERLINK("http://www.rosaceae.org/Prunus/Prunus_persica/p.persica_gdr_reftransV1_0004151","p.persica_gdr_reftransV1_0004151")</f>
        <v>p.persica_gdr_reftransV1_0004151</v>
      </c>
      <c r="B46" s="3">
        <v>1329</v>
      </c>
      <c r="C46" s="1" t="str">
        <f>HYPERLINK("http://www.uniprot.org/uniprot/ALFL3_ARATH","ALFL3_ARATH")</f>
        <v>ALFL3_ARATH</v>
      </c>
      <c r="D46" t="s">
        <v>56</v>
      </c>
      <c r="E46" s="3" t="s">
        <v>3</v>
      </c>
      <c r="F46" s="4">
        <v>2.6200000000000001E-79</v>
      </c>
      <c r="G46" s="3">
        <v>437</v>
      </c>
      <c r="H46" s="3">
        <v>77</v>
      </c>
      <c r="I46" s="3">
        <v>128</v>
      </c>
      <c r="J46" s="3">
        <v>730</v>
      </c>
      <c r="K46" s="3">
        <v>1110</v>
      </c>
      <c r="L46" s="3">
        <v>1</v>
      </c>
      <c r="M46" s="3">
        <v>127</v>
      </c>
    </row>
    <row r="47" spans="1:13" x14ac:dyDescent="0.25">
      <c r="A47" s="1" t="str">
        <f>HYPERLINK("http://www.rosaceae.org/Prunus/Prunus_persica/p.persica_gdr_reftransV1_0004251","p.persica_gdr_reftransV1_0004251")</f>
        <v>p.persica_gdr_reftransV1_0004251</v>
      </c>
      <c r="B47" s="3">
        <v>1785</v>
      </c>
      <c r="C47" s="1" t="str">
        <f>HYPERLINK("http://www.uniprot.org/uniprot/DNJ15_ARATH","DNJ15_ARATH")</f>
        <v>DNJ15_ARATH</v>
      </c>
      <c r="D47" t="s">
        <v>57</v>
      </c>
      <c r="E47" s="3" t="s">
        <v>3</v>
      </c>
      <c r="F47" s="4">
        <v>0</v>
      </c>
      <c r="G47" s="3">
        <v>1650</v>
      </c>
      <c r="H47" s="3">
        <v>89</v>
      </c>
      <c r="I47" s="3">
        <v>354</v>
      </c>
      <c r="J47" s="3">
        <v>455</v>
      </c>
      <c r="K47" s="3">
        <v>1516</v>
      </c>
      <c r="L47" s="3">
        <v>2</v>
      </c>
      <c r="M47" s="3">
        <v>355</v>
      </c>
    </row>
    <row r="48" spans="1:13" x14ac:dyDescent="0.25">
      <c r="A48" s="1" t="str">
        <f>HYPERLINK("http://www.rosaceae.org/Prunus/Prunus_persica/p.persica_gdr_reftransV1_0004301","p.persica_gdr_reftransV1_0004301")</f>
        <v>p.persica_gdr_reftransV1_0004301</v>
      </c>
      <c r="B48" s="3">
        <v>1662</v>
      </c>
      <c r="C48" s="1" t="str">
        <f>HYPERLINK("http://www.uniprot.org/uniprot/P2C33_ARATH","P2C33_ARATH")</f>
        <v>P2C33_ARATH</v>
      </c>
      <c r="D48" t="s">
        <v>58</v>
      </c>
      <c r="E48" s="3" t="s">
        <v>3</v>
      </c>
      <c r="F48" s="4">
        <v>0</v>
      </c>
      <c r="G48" s="3">
        <v>1472</v>
      </c>
      <c r="H48" s="3">
        <v>65</v>
      </c>
      <c r="I48" s="3">
        <v>475</v>
      </c>
      <c r="J48" s="3">
        <v>198</v>
      </c>
      <c r="K48" s="3">
        <v>1592</v>
      </c>
      <c r="L48" s="3">
        <v>1</v>
      </c>
      <c r="M48" s="3">
        <v>441</v>
      </c>
    </row>
    <row r="49" spans="1:13" x14ac:dyDescent="0.25">
      <c r="A49" s="1" t="str">
        <f>HYPERLINK("http://www.rosaceae.org/Prunus/Prunus_persica/p.persica_gdr_reftransV1_0004351","p.persica_gdr_reftransV1_0004351")</f>
        <v>p.persica_gdr_reftransV1_0004351</v>
      </c>
      <c r="B49" s="3">
        <v>312</v>
      </c>
      <c r="C49" s="1" t="str">
        <f>HYPERLINK("http://www.uniprot.org/uniprot/TBA1_PEA","TBA1_PEA")</f>
        <v>TBA1_PEA</v>
      </c>
      <c r="D49" t="s">
        <v>59</v>
      </c>
      <c r="E49" s="3" t="s">
        <v>60</v>
      </c>
      <c r="F49" s="4">
        <v>2.0699999999999998E-67</v>
      </c>
      <c r="G49" s="3">
        <v>547</v>
      </c>
      <c r="H49" s="3">
        <v>100</v>
      </c>
      <c r="I49" s="3">
        <v>103</v>
      </c>
      <c r="J49" s="3">
        <v>2</v>
      </c>
      <c r="K49" s="3">
        <v>310</v>
      </c>
      <c r="L49" s="3">
        <v>175</v>
      </c>
      <c r="M49" s="3">
        <v>277</v>
      </c>
    </row>
    <row r="50" spans="1:13" x14ac:dyDescent="0.25">
      <c r="A50" s="1" t="str">
        <f>HYPERLINK("http://www.rosaceae.org/Prunus/Prunus_persica/p.persica_gdr_reftransV1_0004501","p.persica_gdr_reftransV1_0004501")</f>
        <v>p.persica_gdr_reftransV1_0004501</v>
      </c>
      <c r="B50" s="3">
        <v>2034</v>
      </c>
      <c r="C50" s="1" t="str">
        <f>HYPERLINK("http://www.uniprot.org/uniprot/LE14B_PRUAR","LE14B_PRUAR")</f>
        <v>LE14B_PRUAR</v>
      </c>
      <c r="D50" t="s">
        <v>61</v>
      </c>
      <c r="E50" s="3" t="s">
        <v>62</v>
      </c>
      <c r="F50" s="4">
        <v>0</v>
      </c>
      <c r="G50" s="3">
        <v>1626</v>
      </c>
      <c r="H50" s="3">
        <v>71</v>
      </c>
      <c r="I50" s="3">
        <v>434</v>
      </c>
      <c r="J50" s="3">
        <v>461</v>
      </c>
      <c r="K50" s="3">
        <v>1762</v>
      </c>
      <c r="L50" s="3">
        <v>24</v>
      </c>
      <c r="M50" s="3">
        <v>456</v>
      </c>
    </row>
    <row r="51" spans="1:13" x14ac:dyDescent="0.25">
      <c r="A51" s="1" t="str">
        <f>HYPERLINK("http://www.rosaceae.org/Prunus/Prunus_persica/p.persica_gdr_reftransV1_0004651","p.persica_gdr_reftransV1_0004651")</f>
        <v>p.persica_gdr_reftransV1_0004651</v>
      </c>
      <c r="B51" s="3">
        <v>983</v>
      </c>
      <c r="C51" s="1" t="str">
        <f>HYPERLINK("http://www.uniprot.org/uniprot/H2A1_SOLLC","H2A1_SOLLC")</f>
        <v>H2A1_SOLLC</v>
      </c>
      <c r="D51" t="s">
        <v>63</v>
      </c>
      <c r="E51" s="3" t="s">
        <v>64</v>
      </c>
      <c r="F51" s="4">
        <v>6.3499999999999998E-45</v>
      </c>
      <c r="G51" s="3">
        <v>394</v>
      </c>
      <c r="H51" s="3">
        <v>85</v>
      </c>
      <c r="I51" s="3">
        <v>107</v>
      </c>
      <c r="J51" s="3">
        <v>164</v>
      </c>
      <c r="K51" s="3">
        <v>484</v>
      </c>
      <c r="L51" s="3">
        <v>21</v>
      </c>
      <c r="M51" s="3">
        <v>127</v>
      </c>
    </row>
    <row r="52" spans="1:13" x14ac:dyDescent="0.25">
      <c r="A52" s="1" t="str">
        <f>HYPERLINK("http://www.rosaceae.org/Prunus/Prunus_persica/p.persica_gdr_reftransV1_0004701","p.persica_gdr_reftransV1_0004701")</f>
        <v>p.persica_gdr_reftransV1_0004701</v>
      </c>
      <c r="B52" s="3">
        <v>2101</v>
      </c>
      <c r="C52" s="1" t="str">
        <f>HYPERLINK("http://www.uniprot.org/uniprot/MUT7_HUMAN","MUT7_HUMAN")</f>
        <v>MUT7_HUMAN</v>
      </c>
      <c r="D52" t="s">
        <v>65</v>
      </c>
      <c r="E52" s="3" t="s">
        <v>28</v>
      </c>
      <c r="F52" s="4">
        <v>6.0200000000000002E-16</v>
      </c>
      <c r="G52" s="3">
        <v>211</v>
      </c>
      <c r="H52" s="3">
        <v>32</v>
      </c>
      <c r="I52" s="3">
        <v>173</v>
      </c>
      <c r="J52" s="3">
        <v>352</v>
      </c>
      <c r="K52" s="3">
        <v>801</v>
      </c>
      <c r="L52" s="3">
        <v>394</v>
      </c>
      <c r="M52" s="3">
        <v>562</v>
      </c>
    </row>
    <row r="53" spans="1:13" x14ac:dyDescent="0.25">
      <c r="A53" s="1" t="str">
        <f>HYPERLINK("http://www.rosaceae.org/Prunus/Prunus_persica/p.persica_gdr_reftransV1_0004801","p.persica_gdr_reftransV1_0004801")</f>
        <v>p.persica_gdr_reftransV1_0004801</v>
      </c>
      <c r="B53" s="3">
        <v>1106</v>
      </c>
      <c r="C53" s="1" t="str">
        <f>HYPERLINK("http://www.uniprot.org/uniprot/HBD_BRADU","HBD_BRADU")</f>
        <v>HBD_BRADU</v>
      </c>
      <c r="D53" t="s">
        <v>66</v>
      </c>
      <c r="E53" s="3" t="s">
        <v>67</v>
      </c>
      <c r="F53" s="4">
        <v>4.68E-69</v>
      </c>
      <c r="G53" s="3">
        <v>423</v>
      </c>
      <c r="H53" s="3">
        <v>47</v>
      </c>
      <c r="I53" s="3">
        <v>176</v>
      </c>
      <c r="J53" s="3">
        <v>490</v>
      </c>
      <c r="K53" s="3">
        <v>1017</v>
      </c>
      <c r="L53" s="3">
        <v>4</v>
      </c>
      <c r="M53" s="3">
        <v>179</v>
      </c>
    </row>
    <row r="54" spans="1:13" x14ac:dyDescent="0.25">
      <c r="A54" s="1" t="str">
        <f>HYPERLINK("http://www.rosaceae.org/Prunus/Prunus_persica/p.persica_gdr_reftransV1_0004851","p.persica_gdr_reftransV1_0004851")</f>
        <v>p.persica_gdr_reftransV1_0004851</v>
      </c>
      <c r="B54" s="3">
        <v>1957</v>
      </c>
      <c r="C54" s="1" t="str">
        <f>HYPERLINK("http://www.uniprot.org/uniprot/NDHH_MORIN","NDHH_MORIN")</f>
        <v>NDHH_MORIN</v>
      </c>
      <c r="D54" t="s">
        <v>68</v>
      </c>
      <c r="E54" s="3" t="s">
        <v>69</v>
      </c>
      <c r="F54" s="4">
        <v>0</v>
      </c>
      <c r="G54" s="3">
        <v>2021</v>
      </c>
      <c r="H54" s="3">
        <v>97</v>
      </c>
      <c r="I54" s="3">
        <v>393</v>
      </c>
      <c r="J54" s="3">
        <v>581</v>
      </c>
      <c r="K54" s="3">
        <v>1759</v>
      </c>
      <c r="L54" s="3">
        <v>1</v>
      </c>
      <c r="M54" s="3">
        <v>393</v>
      </c>
    </row>
    <row r="55" spans="1:13" x14ac:dyDescent="0.25">
      <c r="A55" s="1" t="str">
        <f>HYPERLINK("http://www.rosaceae.org/Prunus/Prunus_persica/p.persica_gdr_reftransV1_0004951","p.persica_gdr_reftransV1_0004951")</f>
        <v>p.persica_gdr_reftransV1_0004951</v>
      </c>
      <c r="B55" s="3">
        <v>2650</v>
      </c>
      <c r="C55" s="1" t="str">
        <f>HYPERLINK("http://www.uniprot.org/uniprot/ANM14_ARATH","ANM14_ARATH")</f>
        <v>ANM14_ARATH</v>
      </c>
      <c r="D55" t="s">
        <v>70</v>
      </c>
      <c r="E55" s="3" t="s">
        <v>3</v>
      </c>
      <c r="F55" s="4">
        <v>0</v>
      </c>
      <c r="G55" s="3">
        <v>1938</v>
      </c>
      <c r="H55" s="3">
        <v>79</v>
      </c>
      <c r="I55" s="3">
        <v>461</v>
      </c>
      <c r="J55" s="3">
        <v>939</v>
      </c>
      <c r="K55" s="3">
        <v>2309</v>
      </c>
      <c r="L55" s="3">
        <v>36</v>
      </c>
      <c r="M55" s="3">
        <v>495</v>
      </c>
    </row>
    <row r="56" spans="1:13" x14ac:dyDescent="0.25">
      <c r="A56" s="1" t="str">
        <f>HYPERLINK("http://www.rosaceae.org/Prunus/Prunus_persica/p.persica_gdr_reftransV1_0005201","p.persica_gdr_reftransV1_0005201")</f>
        <v>p.persica_gdr_reftransV1_0005201</v>
      </c>
      <c r="B56" s="3">
        <v>766</v>
      </c>
      <c r="C56" s="1" t="str">
        <f>HYPERLINK("http://www.uniprot.org/uniprot/FTRV_MAIZE","FTRV_MAIZE")</f>
        <v>FTRV_MAIZE</v>
      </c>
      <c r="D56" t="s">
        <v>71</v>
      </c>
      <c r="E56" s="3" t="s">
        <v>72</v>
      </c>
      <c r="F56" s="4">
        <v>1.78E-25</v>
      </c>
      <c r="G56" s="3">
        <v>252</v>
      </c>
      <c r="H56" s="3">
        <v>59</v>
      </c>
      <c r="I56" s="3">
        <v>79</v>
      </c>
      <c r="J56" s="3">
        <v>119</v>
      </c>
      <c r="K56" s="3">
        <v>352</v>
      </c>
      <c r="L56" s="3">
        <v>17</v>
      </c>
      <c r="M56" s="3">
        <v>95</v>
      </c>
    </row>
    <row r="57" spans="1:13" x14ac:dyDescent="0.25">
      <c r="A57" s="1" t="str">
        <f>HYPERLINK("http://www.rosaceae.org/Prunus/Prunus_persica/p.persica_gdr_reftransV1_0005251","p.persica_gdr_reftransV1_0005251")</f>
        <v>p.persica_gdr_reftransV1_0005251</v>
      </c>
      <c r="B57" s="3">
        <v>400</v>
      </c>
      <c r="C57" s="1" t="str">
        <f>HYPERLINK("http://www.uniprot.org/uniprot/RL18_AZOC5","RL18_AZOC5")</f>
        <v>RL18_AZOC5</v>
      </c>
      <c r="D57" t="s">
        <v>73</v>
      </c>
      <c r="E57" s="3" t="s">
        <v>74</v>
      </c>
      <c r="F57" s="4">
        <v>3.1399999999999998E-7</v>
      </c>
      <c r="G57" s="3">
        <v>116</v>
      </c>
      <c r="H57" s="3">
        <v>39</v>
      </c>
      <c r="I57" s="3">
        <v>89</v>
      </c>
      <c r="J57" s="3">
        <v>132</v>
      </c>
      <c r="K57" s="3">
        <v>398</v>
      </c>
      <c r="L57" s="3">
        <v>29</v>
      </c>
      <c r="M57" s="3">
        <v>116</v>
      </c>
    </row>
    <row r="58" spans="1:13" x14ac:dyDescent="0.25">
      <c r="A58" s="1" t="str">
        <f>HYPERLINK("http://www.rosaceae.org/Prunus/Prunus_persica/p.persica_gdr_reftransV1_0005301","p.persica_gdr_reftransV1_0005301")</f>
        <v>p.persica_gdr_reftransV1_0005301</v>
      </c>
      <c r="B58" s="3">
        <v>1679</v>
      </c>
      <c r="C58" s="1" t="str">
        <f>HYPERLINK("http://www.uniprot.org/uniprot/CADH1_ARATH","CADH1_ARATH")</f>
        <v>CADH1_ARATH</v>
      </c>
      <c r="D58" t="s">
        <v>75</v>
      </c>
      <c r="E58" s="3" t="s">
        <v>3</v>
      </c>
      <c r="F58" s="4">
        <v>2.16E-106</v>
      </c>
      <c r="G58" s="3">
        <v>846</v>
      </c>
      <c r="H58" s="3">
        <v>69</v>
      </c>
      <c r="I58" s="3">
        <v>243</v>
      </c>
      <c r="J58" s="3">
        <v>868</v>
      </c>
      <c r="K58" s="3">
        <v>1596</v>
      </c>
      <c r="L58" s="3">
        <v>1</v>
      </c>
      <c r="M58" s="3">
        <v>239</v>
      </c>
    </row>
    <row r="59" spans="1:13" x14ac:dyDescent="0.25">
      <c r="A59" s="1" t="str">
        <f>HYPERLINK("http://www.rosaceae.org/Prunus/Prunus_persica/p.persica_gdr_reftransV1_0005401","p.persica_gdr_reftransV1_0005401")</f>
        <v>p.persica_gdr_reftransV1_0005401</v>
      </c>
      <c r="B59" s="3">
        <v>1801</v>
      </c>
      <c r="C59" s="1" t="str">
        <f>HYPERLINK("http://www.uniprot.org/uniprot/CLT1_ARATH","CLT1_ARATH")</f>
        <v>CLT1_ARATH</v>
      </c>
      <c r="D59" t="s">
        <v>76</v>
      </c>
      <c r="E59" s="3" t="s">
        <v>3</v>
      </c>
      <c r="F59" s="4">
        <v>6.8399999999999999E-160</v>
      </c>
      <c r="G59" s="3">
        <v>1215</v>
      </c>
      <c r="H59" s="3">
        <v>65</v>
      </c>
      <c r="I59" s="3">
        <v>414</v>
      </c>
      <c r="J59" s="3">
        <v>226</v>
      </c>
      <c r="K59" s="3">
        <v>1464</v>
      </c>
      <c r="L59" s="3">
        <v>40</v>
      </c>
      <c r="M59" s="3">
        <v>446</v>
      </c>
    </row>
    <row r="60" spans="1:13" x14ac:dyDescent="0.25">
      <c r="A60" s="1" t="str">
        <f>HYPERLINK("http://www.rosaceae.org/Prunus/Prunus_persica/p.persica_gdr_reftransV1_0005551","p.persica_gdr_reftransV1_0005551")</f>
        <v>p.persica_gdr_reftransV1_0005551</v>
      </c>
      <c r="B60" s="3">
        <v>692</v>
      </c>
      <c r="C60" s="1" t="str">
        <f>HYPERLINK("http://www.uniprot.org/uniprot/LHY_ARATH","LHY_ARATH")</f>
        <v>LHY_ARATH</v>
      </c>
      <c r="D60" t="s">
        <v>77</v>
      </c>
      <c r="E60" s="3" t="s">
        <v>3</v>
      </c>
      <c r="F60" s="4">
        <v>1.2099999999999999E-18</v>
      </c>
      <c r="G60" s="3">
        <v>218</v>
      </c>
      <c r="H60" s="3">
        <v>50</v>
      </c>
      <c r="I60" s="3">
        <v>121</v>
      </c>
      <c r="J60" s="3">
        <v>296</v>
      </c>
      <c r="K60" s="3">
        <v>637</v>
      </c>
      <c r="L60" s="3">
        <v>436</v>
      </c>
      <c r="M60" s="3">
        <v>556</v>
      </c>
    </row>
    <row r="61" spans="1:13" x14ac:dyDescent="0.25">
      <c r="A61" s="1" t="str">
        <f>HYPERLINK("http://www.rosaceae.org/Prunus/Prunus_persica/p.persica_gdr_reftransV1_0005601","p.persica_gdr_reftransV1_0005601")</f>
        <v>p.persica_gdr_reftransV1_0005601</v>
      </c>
      <c r="B61" s="3">
        <v>709</v>
      </c>
      <c r="C61" s="1" t="str">
        <f>HYPERLINK("http://www.uniprot.org/uniprot/ALMTC_ARATH","ALMTC_ARATH")</f>
        <v>ALMTC_ARATH</v>
      </c>
      <c r="D61" t="s">
        <v>78</v>
      </c>
      <c r="E61" s="3" t="s">
        <v>3</v>
      </c>
      <c r="F61" s="4">
        <v>1.14E-58</v>
      </c>
      <c r="G61" s="3">
        <v>508</v>
      </c>
      <c r="H61" s="3">
        <v>54</v>
      </c>
      <c r="I61" s="3">
        <v>225</v>
      </c>
      <c r="J61" s="3">
        <v>165</v>
      </c>
      <c r="K61" s="3">
        <v>707</v>
      </c>
      <c r="L61" s="3">
        <v>325</v>
      </c>
      <c r="M61" s="3">
        <v>549</v>
      </c>
    </row>
    <row r="62" spans="1:13" x14ac:dyDescent="0.25">
      <c r="A62" s="1" t="str">
        <f>HYPERLINK("http://www.rosaceae.org/Prunus/Prunus_persica/p.persica_gdr_reftransV1_0005701","p.persica_gdr_reftransV1_0005701")</f>
        <v>p.persica_gdr_reftransV1_0005701</v>
      </c>
      <c r="B62" s="3">
        <v>320</v>
      </c>
      <c r="C62" s="1" t="str">
        <f>HYPERLINK("http://www.uniprot.org/uniprot/Y2608_ARATH","Y2608_ARATH")</f>
        <v>Y2608_ARATH</v>
      </c>
      <c r="D62" t="s">
        <v>79</v>
      </c>
      <c r="E62" s="3" t="s">
        <v>3</v>
      </c>
      <c r="F62" s="4">
        <v>7.9800000000000001E-30</v>
      </c>
      <c r="G62" s="3">
        <v>280</v>
      </c>
      <c r="H62" s="3">
        <v>77</v>
      </c>
      <c r="I62" s="3">
        <v>78</v>
      </c>
      <c r="J62" s="3">
        <v>100</v>
      </c>
      <c r="K62" s="3">
        <v>318</v>
      </c>
      <c r="L62" s="3">
        <v>32</v>
      </c>
      <c r="M62" s="3">
        <v>109</v>
      </c>
    </row>
    <row r="63" spans="1:13" x14ac:dyDescent="0.25">
      <c r="A63" s="1" t="str">
        <f>HYPERLINK("http://www.rosaceae.org/Prunus/Prunus_persica/p.persica_gdr_reftransV1_0005751","p.persica_gdr_reftransV1_0005751")</f>
        <v>p.persica_gdr_reftransV1_0005751</v>
      </c>
      <c r="B63" s="3">
        <v>1618</v>
      </c>
      <c r="C63" s="1" t="str">
        <f>HYPERLINK("http://www.uniprot.org/uniprot/AVT1_YEAST","AVT1_YEAST")</f>
        <v>AVT1_YEAST</v>
      </c>
      <c r="D63" t="s">
        <v>80</v>
      </c>
      <c r="E63" s="3" t="s">
        <v>34</v>
      </c>
      <c r="F63" s="4">
        <v>2.6599999999999998E-25</v>
      </c>
      <c r="G63" s="3">
        <v>283</v>
      </c>
      <c r="H63" s="3">
        <v>25</v>
      </c>
      <c r="I63" s="3">
        <v>391</v>
      </c>
      <c r="J63" s="3">
        <v>318</v>
      </c>
      <c r="K63" s="3">
        <v>1418</v>
      </c>
      <c r="L63" s="3">
        <v>191</v>
      </c>
      <c r="M63" s="3">
        <v>569</v>
      </c>
    </row>
    <row r="64" spans="1:13" x14ac:dyDescent="0.25">
      <c r="A64" s="1" t="str">
        <f>HYPERLINK("http://www.rosaceae.org/Prunus/Prunus_persica/p.persica_gdr_reftransV1_0005801","p.persica_gdr_reftransV1_0005801")</f>
        <v>p.persica_gdr_reftransV1_0005801</v>
      </c>
      <c r="B64" s="3">
        <v>628</v>
      </c>
      <c r="C64" s="1" t="str">
        <f>HYPERLINK("http://www.uniprot.org/uniprot/ASAT1_ARATH","ASAT1_ARATH")</f>
        <v>ASAT1_ARATH</v>
      </c>
      <c r="D64" t="s">
        <v>81</v>
      </c>
      <c r="E64" s="3" t="s">
        <v>3</v>
      </c>
      <c r="F64" s="4">
        <v>1.2399999999999999E-55</v>
      </c>
      <c r="G64" s="3">
        <v>472</v>
      </c>
      <c r="H64" s="3">
        <v>53</v>
      </c>
      <c r="I64" s="3">
        <v>161</v>
      </c>
      <c r="J64" s="3">
        <v>144</v>
      </c>
      <c r="K64" s="3">
        <v>626</v>
      </c>
      <c r="L64" s="3">
        <v>177</v>
      </c>
      <c r="M64" s="3">
        <v>336</v>
      </c>
    </row>
    <row r="65" spans="1:13" x14ac:dyDescent="0.25">
      <c r="A65" s="1" t="str">
        <f>HYPERLINK("http://www.rosaceae.org/Prunus/Prunus_persica/p.persica_gdr_reftransV1_0006001","p.persica_gdr_reftransV1_0006001")</f>
        <v>p.persica_gdr_reftransV1_0006001</v>
      </c>
      <c r="B65" s="3">
        <v>3819</v>
      </c>
      <c r="C65" s="1" t="str">
        <f>HYPERLINK("http://www.uniprot.org/uniprot/Y2317_ARATH","Y2317_ARATH")</f>
        <v>Y2317_ARATH</v>
      </c>
      <c r="D65" t="s">
        <v>82</v>
      </c>
      <c r="E65" s="3" t="s">
        <v>3</v>
      </c>
      <c r="F65" s="4">
        <v>0</v>
      </c>
      <c r="G65" s="3">
        <v>3508</v>
      </c>
      <c r="H65" s="3">
        <v>67</v>
      </c>
      <c r="I65" s="3">
        <v>1104</v>
      </c>
      <c r="J65" s="3">
        <v>290</v>
      </c>
      <c r="K65" s="3">
        <v>3541</v>
      </c>
      <c r="L65" s="3">
        <v>6</v>
      </c>
      <c r="M65" s="3">
        <v>1107</v>
      </c>
    </row>
    <row r="66" spans="1:13" x14ac:dyDescent="0.25">
      <c r="A66" s="1" t="str">
        <f>HYPERLINK("http://www.rosaceae.org/Prunus/Prunus_persica/p.persica_gdr_reftransV1_0006051","p.persica_gdr_reftransV1_0006051")</f>
        <v>p.persica_gdr_reftransV1_0006051</v>
      </c>
      <c r="B66" s="3">
        <v>1523</v>
      </c>
      <c r="C66" s="1" t="str">
        <f>HYPERLINK("http://www.uniprot.org/uniprot/SCL32_ARATH","SCL32_ARATH")</f>
        <v>SCL32_ARATH</v>
      </c>
      <c r="D66" t="s">
        <v>83</v>
      </c>
      <c r="E66" s="3" t="s">
        <v>3</v>
      </c>
      <c r="F66" s="4">
        <v>4.5000000000000004E-171</v>
      </c>
      <c r="G66" s="3">
        <v>1277</v>
      </c>
      <c r="H66" s="3">
        <v>61</v>
      </c>
      <c r="I66" s="3">
        <v>418</v>
      </c>
      <c r="J66" s="3">
        <v>278</v>
      </c>
      <c r="K66" s="3">
        <v>1522</v>
      </c>
      <c r="L66" s="3">
        <v>33</v>
      </c>
      <c r="M66" s="3">
        <v>409</v>
      </c>
    </row>
    <row r="67" spans="1:13" x14ac:dyDescent="0.25">
      <c r="A67" s="1" t="str">
        <f>HYPERLINK("http://www.rosaceae.org/Prunus/Prunus_persica/p.persica_gdr_reftransV1_0006101","p.persica_gdr_reftransV1_0006101")</f>
        <v>p.persica_gdr_reftransV1_0006101</v>
      </c>
      <c r="B67" s="3">
        <v>859</v>
      </c>
      <c r="C67" s="1" t="str">
        <f>HYPERLINK("http://www.uniprot.org/uniprot/WSD1_ARATH","WSD1_ARATH")</f>
        <v>WSD1_ARATH</v>
      </c>
      <c r="D67" t="s">
        <v>84</v>
      </c>
      <c r="E67" s="3" t="s">
        <v>3</v>
      </c>
      <c r="F67" s="4">
        <v>4.8400000000000002E-11</v>
      </c>
      <c r="G67" s="3">
        <v>160</v>
      </c>
      <c r="H67" s="3">
        <v>23</v>
      </c>
      <c r="I67" s="3">
        <v>263</v>
      </c>
      <c r="J67" s="3">
        <v>97</v>
      </c>
      <c r="K67" s="3">
        <v>858</v>
      </c>
      <c r="L67" s="3">
        <v>212</v>
      </c>
      <c r="M67" s="3">
        <v>471</v>
      </c>
    </row>
    <row r="68" spans="1:13" x14ac:dyDescent="0.25">
      <c r="A68" s="1" t="str">
        <f>HYPERLINK("http://www.rosaceae.org/Prunus/Prunus_persica/p.persica_gdr_reftransV1_0006151","p.persica_gdr_reftransV1_0006151")</f>
        <v>p.persica_gdr_reftransV1_0006151</v>
      </c>
      <c r="B68" s="3">
        <v>429</v>
      </c>
      <c r="C68" s="1" t="str">
        <f>HYPERLINK("http://www.uniprot.org/uniprot/NAC42_ARATH","NAC42_ARATH")</f>
        <v>NAC42_ARATH</v>
      </c>
      <c r="D68" t="s">
        <v>85</v>
      </c>
      <c r="E68" s="3" t="s">
        <v>3</v>
      </c>
      <c r="F68" s="4">
        <v>1.7300000000000001E-57</v>
      </c>
      <c r="G68" s="3">
        <v>472</v>
      </c>
      <c r="H68" s="3">
        <v>70</v>
      </c>
      <c r="I68" s="3">
        <v>131</v>
      </c>
      <c r="J68" s="3">
        <v>37</v>
      </c>
      <c r="K68" s="3">
        <v>429</v>
      </c>
      <c r="L68" s="3">
        <v>56</v>
      </c>
      <c r="M68" s="3">
        <v>175</v>
      </c>
    </row>
    <row r="69" spans="1:13" x14ac:dyDescent="0.25">
      <c r="A69" s="1" t="str">
        <f>HYPERLINK("http://www.rosaceae.org/Prunus/Prunus_persica/p.persica_gdr_reftransV1_0006201","p.persica_gdr_reftransV1_0006201")</f>
        <v>p.persica_gdr_reftransV1_0006201</v>
      </c>
      <c r="B69" s="3">
        <v>1153</v>
      </c>
      <c r="C69" s="1" t="str">
        <f>HYPERLINK("http://www.uniprot.org/uniprot/U73B4_ARATH","U73B4_ARATH")</f>
        <v>U73B4_ARATH</v>
      </c>
      <c r="D69" t="s">
        <v>86</v>
      </c>
      <c r="E69" s="3" t="s">
        <v>3</v>
      </c>
      <c r="F69" s="4">
        <v>2.1399999999999999E-68</v>
      </c>
      <c r="G69" s="3">
        <v>585</v>
      </c>
      <c r="H69" s="3">
        <v>38</v>
      </c>
      <c r="I69" s="3">
        <v>355</v>
      </c>
      <c r="J69" s="3">
        <v>132</v>
      </c>
      <c r="K69" s="3">
        <v>1151</v>
      </c>
      <c r="L69" s="3">
        <v>138</v>
      </c>
      <c r="M69" s="3">
        <v>480</v>
      </c>
    </row>
    <row r="70" spans="1:13" x14ac:dyDescent="0.25">
      <c r="A70" s="1" t="str">
        <f>HYPERLINK("http://www.rosaceae.org/Prunus/Prunus_persica/p.persica_gdr_reftransV1_0006301","p.persica_gdr_reftransV1_0006301")</f>
        <v>p.persica_gdr_reftransV1_0006301</v>
      </c>
      <c r="B70" s="3">
        <v>465</v>
      </c>
      <c r="C70" s="1" t="str">
        <f>HYPERLINK("http://www.uniprot.org/uniprot/GAOX4_ARATH","GAOX4_ARATH")</f>
        <v>GAOX4_ARATH</v>
      </c>
      <c r="D70" t="s">
        <v>87</v>
      </c>
      <c r="E70" s="3" t="s">
        <v>3</v>
      </c>
      <c r="F70" s="4">
        <v>1.2599999999999999E-19</v>
      </c>
      <c r="G70" s="3">
        <v>215</v>
      </c>
      <c r="H70" s="3">
        <v>54</v>
      </c>
      <c r="I70" s="3">
        <v>95</v>
      </c>
      <c r="J70" s="3">
        <v>3</v>
      </c>
      <c r="K70" s="3">
        <v>281</v>
      </c>
      <c r="L70" s="3">
        <v>13</v>
      </c>
      <c r="M70" s="3">
        <v>107</v>
      </c>
    </row>
    <row r="71" spans="1:13" x14ac:dyDescent="0.25">
      <c r="A71" s="1" t="str">
        <f>HYPERLINK("http://www.rosaceae.org/Prunus/Prunus_persica/p.persica_gdr_reftransV1_0006351","p.persica_gdr_reftransV1_0006351")</f>
        <v>p.persica_gdr_reftransV1_0006351</v>
      </c>
      <c r="B71" s="3">
        <v>465</v>
      </c>
      <c r="C71" s="1" t="str">
        <f>HYPERLINK("http://www.uniprot.org/uniprot/PLY18_SOLLC","PLY18_SOLLC")</f>
        <v>PLY18_SOLLC</v>
      </c>
      <c r="D71" t="s">
        <v>88</v>
      </c>
      <c r="E71" s="3" t="s">
        <v>64</v>
      </c>
      <c r="F71" s="4">
        <v>6.3000000000000004E-103</v>
      </c>
      <c r="G71" s="3">
        <v>787</v>
      </c>
      <c r="H71" s="3">
        <v>92</v>
      </c>
      <c r="I71" s="3">
        <v>154</v>
      </c>
      <c r="J71" s="3">
        <v>3</v>
      </c>
      <c r="K71" s="3">
        <v>464</v>
      </c>
      <c r="L71" s="3">
        <v>184</v>
      </c>
      <c r="M71" s="3">
        <v>337</v>
      </c>
    </row>
    <row r="72" spans="1:13" x14ac:dyDescent="0.25">
      <c r="A72" s="1" t="str">
        <f>HYPERLINK("http://www.rosaceae.org/Prunus/Prunus_persica/p.persica_gdr_reftransV1_0006701","p.persica_gdr_reftransV1_0006701")</f>
        <v>p.persica_gdr_reftransV1_0006701</v>
      </c>
      <c r="B72" s="3">
        <v>480</v>
      </c>
      <c r="C72" s="1" t="str">
        <f>HYPERLINK("http://www.uniprot.org/uniprot/E70A1_ARATH","E70A1_ARATH")</f>
        <v>E70A1_ARATH</v>
      </c>
      <c r="D72" t="s">
        <v>89</v>
      </c>
      <c r="E72" s="3" t="s">
        <v>3</v>
      </c>
      <c r="F72" s="4">
        <v>1.6899999999999999E-21</v>
      </c>
      <c r="G72" s="3">
        <v>235</v>
      </c>
      <c r="H72" s="3">
        <v>29</v>
      </c>
      <c r="I72" s="3">
        <v>156</v>
      </c>
      <c r="J72" s="3">
        <v>7</v>
      </c>
      <c r="K72" s="3">
        <v>474</v>
      </c>
      <c r="L72" s="3">
        <v>210</v>
      </c>
      <c r="M72" s="3">
        <v>362</v>
      </c>
    </row>
    <row r="73" spans="1:13" x14ac:dyDescent="0.25">
      <c r="A73" s="1" t="str">
        <f>HYPERLINK("http://www.rosaceae.org/Prunus/Prunus_persica/p.persica_gdr_reftransV1_0006851","p.persica_gdr_reftransV1_0006851")</f>
        <v>p.persica_gdr_reftransV1_0006851</v>
      </c>
      <c r="B73" s="3">
        <v>885</v>
      </c>
      <c r="C73" s="1" t="str">
        <f>HYPERLINK("http://www.uniprot.org/uniprot/C81E9_MEDTR","C81E9_MEDTR")</f>
        <v>C81E9_MEDTR</v>
      </c>
      <c r="D73" t="s">
        <v>90</v>
      </c>
      <c r="E73" s="3" t="s">
        <v>91</v>
      </c>
      <c r="F73" s="4">
        <v>2.7400000000000001E-50</v>
      </c>
      <c r="G73" s="3">
        <v>453</v>
      </c>
      <c r="H73" s="3">
        <v>46</v>
      </c>
      <c r="I73" s="3">
        <v>193</v>
      </c>
      <c r="J73" s="3">
        <v>76</v>
      </c>
      <c r="K73" s="3">
        <v>648</v>
      </c>
      <c r="L73" s="3">
        <v>42</v>
      </c>
      <c r="M73" s="3">
        <v>234</v>
      </c>
    </row>
    <row r="74" spans="1:13" x14ac:dyDescent="0.25">
      <c r="A74" s="1" t="str">
        <f>HYPERLINK("http://www.rosaceae.org/Prunus/Prunus_persica/p.persica_gdr_reftransV1_0006901","p.persica_gdr_reftransV1_0006901")</f>
        <v>p.persica_gdr_reftransV1_0006901</v>
      </c>
      <c r="B74" s="3">
        <v>756</v>
      </c>
      <c r="C74" s="1" t="str">
        <f>HYPERLINK("http://www.uniprot.org/uniprot/M810_ARATH","M810_ARATH")</f>
        <v>M810_ARATH</v>
      </c>
      <c r="D74" t="s">
        <v>92</v>
      </c>
      <c r="E74" s="3" t="s">
        <v>3</v>
      </c>
      <c r="F74" s="4">
        <v>7.3799999999999999E-45</v>
      </c>
      <c r="G74" s="3">
        <v>395</v>
      </c>
      <c r="H74" s="3">
        <v>40</v>
      </c>
      <c r="I74" s="3">
        <v>210</v>
      </c>
      <c r="J74" s="3">
        <v>3</v>
      </c>
      <c r="K74" s="3">
        <v>626</v>
      </c>
      <c r="L74" s="3">
        <v>5</v>
      </c>
      <c r="M74" s="3">
        <v>211</v>
      </c>
    </row>
    <row r="75" spans="1:13" x14ac:dyDescent="0.25">
      <c r="A75" s="1" t="str">
        <f>HYPERLINK("http://www.rosaceae.org/Prunus/Prunus_persica/p.persica_gdr_reftransV1_0007151","p.persica_gdr_reftransV1_0007151")</f>
        <v>p.persica_gdr_reftransV1_0007151</v>
      </c>
      <c r="B75" s="3">
        <v>1306</v>
      </c>
      <c r="C75" s="1" t="str">
        <f>HYPERLINK("http://www.uniprot.org/uniprot/SAG12_ARATH","SAG12_ARATH")</f>
        <v>SAG12_ARATH</v>
      </c>
      <c r="D75" t="s">
        <v>93</v>
      </c>
      <c r="E75" s="3" t="s">
        <v>3</v>
      </c>
      <c r="F75" s="4">
        <v>1.5100000000000001E-112</v>
      </c>
      <c r="G75" s="3">
        <v>875</v>
      </c>
      <c r="H75" s="3">
        <v>49</v>
      </c>
      <c r="I75" s="3">
        <v>341</v>
      </c>
      <c r="J75" s="3">
        <v>207</v>
      </c>
      <c r="K75" s="3">
        <v>1193</v>
      </c>
      <c r="L75" s="3">
        <v>6</v>
      </c>
      <c r="M75" s="3">
        <v>345</v>
      </c>
    </row>
    <row r="76" spans="1:13" x14ac:dyDescent="0.25">
      <c r="A76" s="1" t="str">
        <f>HYPERLINK("http://www.rosaceae.org/Prunus/Prunus_persica/p.persica_gdr_reftransV1_0007251","p.persica_gdr_reftransV1_0007251")</f>
        <v>p.persica_gdr_reftransV1_0007251</v>
      </c>
      <c r="B76" s="3">
        <v>1161</v>
      </c>
      <c r="C76" s="1" t="str">
        <f>HYPERLINK("http://www.uniprot.org/uniprot/TRMB_ARATH","TRMB_ARATH")</f>
        <v>TRMB_ARATH</v>
      </c>
      <c r="D76" t="s">
        <v>94</v>
      </c>
      <c r="E76" s="3" t="s">
        <v>3</v>
      </c>
      <c r="F76" s="4">
        <v>5.2299999999999998E-146</v>
      </c>
      <c r="G76" s="3">
        <v>1082</v>
      </c>
      <c r="H76" s="3">
        <v>81</v>
      </c>
      <c r="I76" s="3">
        <v>250</v>
      </c>
      <c r="J76" s="3">
        <v>156</v>
      </c>
      <c r="K76" s="3">
        <v>902</v>
      </c>
      <c r="L76" s="3">
        <v>1</v>
      </c>
      <c r="M76" s="3">
        <v>248</v>
      </c>
    </row>
    <row r="77" spans="1:13" x14ac:dyDescent="0.25">
      <c r="A77" s="1" t="str">
        <f>HYPERLINK("http://www.rosaceae.org/Prunus/Prunus_persica/p.persica_gdr_reftransV1_0007301","p.persica_gdr_reftransV1_0007301")</f>
        <v>p.persica_gdr_reftransV1_0007301</v>
      </c>
      <c r="B77" s="3">
        <v>938</v>
      </c>
      <c r="C77" s="1" t="str">
        <f>HYPERLINK("http://www.uniprot.org/uniprot/HPRT_ENTFA","HPRT_ENTFA")</f>
        <v>HPRT_ENTFA</v>
      </c>
      <c r="D77" t="s">
        <v>95</v>
      </c>
      <c r="E77" s="3" t="s">
        <v>96</v>
      </c>
      <c r="F77" s="4">
        <v>8.4600000000000001E-47</v>
      </c>
      <c r="G77" s="3">
        <v>409</v>
      </c>
      <c r="H77" s="3">
        <v>44</v>
      </c>
      <c r="I77" s="3">
        <v>185</v>
      </c>
      <c r="J77" s="3">
        <v>37</v>
      </c>
      <c r="K77" s="3">
        <v>591</v>
      </c>
      <c r="L77" s="3">
        <v>2</v>
      </c>
      <c r="M77" s="3">
        <v>179</v>
      </c>
    </row>
    <row r="78" spans="1:13" x14ac:dyDescent="0.25">
      <c r="A78" s="1" t="str">
        <f>HYPERLINK("http://www.rosaceae.org/Prunus/Prunus_persica/p.persica_gdr_reftransV1_0007451","p.persica_gdr_reftransV1_0007451")</f>
        <v>p.persica_gdr_reftransV1_0007451</v>
      </c>
      <c r="B78" s="3">
        <v>2091</v>
      </c>
      <c r="C78" s="1" t="str">
        <f>HYPERLINK("http://www.uniprot.org/uniprot/PP440_ARATH","PP440_ARATH")</f>
        <v>PP440_ARATH</v>
      </c>
      <c r="D78" t="s">
        <v>97</v>
      </c>
      <c r="E78" s="3" t="s">
        <v>3</v>
      </c>
      <c r="F78" s="4">
        <v>1.67E-146</v>
      </c>
      <c r="G78" s="3">
        <v>1154</v>
      </c>
      <c r="H78" s="3">
        <v>49</v>
      </c>
      <c r="I78" s="3">
        <v>467</v>
      </c>
      <c r="J78" s="3">
        <v>7</v>
      </c>
      <c r="K78" s="3">
        <v>1404</v>
      </c>
      <c r="L78" s="3">
        <v>187</v>
      </c>
      <c r="M78" s="3">
        <v>647</v>
      </c>
    </row>
    <row r="79" spans="1:13" x14ac:dyDescent="0.25">
      <c r="A79" s="1" t="str">
        <f>HYPERLINK("http://www.rosaceae.org/Prunus/Prunus_persica/p.persica_gdr_reftransV1_0007501","p.persica_gdr_reftransV1_0007501")</f>
        <v>p.persica_gdr_reftransV1_0007501</v>
      </c>
      <c r="B79" s="3">
        <v>2417</v>
      </c>
      <c r="C79" s="1" t="str">
        <f>HYPERLINK("http://www.uniprot.org/uniprot/LRKS5_ARATH","LRKS5_ARATH")</f>
        <v>LRKS5_ARATH</v>
      </c>
      <c r="D79" t="s">
        <v>98</v>
      </c>
      <c r="E79" s="3" t="s">
        <v>3</v>
      </c>
      <c r="F79" s="4">
        <v>5.72E-126</v>
      </c>
      <c r="G79" s="3">
        <v>1024</v>
      </c>
      <c r="H79" s="3">
        <v>38</v>
      </c>
      <c r="I79" s="3">
        <v>623</v>
      </c>
      <c r="J79" s="3">
        <v>373</v>
      </c>
      <c r="K79" s="3">
        <v>2193</v>
      </c>
      <c r="L79" s="3">
        <v>51</v>
      </c>
      <c r="M79" s="3">
        <v>628</v>
      </c>
    </row>
    <row r="80" spans="1:13" x14ac:dyDescent="0.25">
      <c r="A80" s="1" t="str">
        <f>HYPERLINK("http://www.rosaceae.org/Prunus/Prunus_persica/p.persica_gdr_reftransV1_0007551","p.persica_gdr_reftransV1_0007551")</f>
        <v>p.persica_gdr_reftransV1_0007551</v>
      </c>
      <c r="B80" s="3">
        <v>788</v>
      </c>
      <c r="C80" s="1" t="str">
        <f>HYPERLINK("http://www.uniprot.org/uniprot/SUMO2_ARATH","SUMO2_ARATH")</f>
        <v>SUMO2_ARATH</v>
      </c>
      <c r="D80" t="s">
        <v>99</v>
      </c>
      <c r="E80" s="3" t="s">
        <v>3</v>
      </c>
      <c r="F80" s="4">
        <v>1.56E-11</v>
      </c>
      <c r="G80" s="3">
        <v>152</v>
      </c>
      <c r="H80" s="3">
        <v>39</v>
      </c>
      <c r="I80" s="3">
        <v>76</v>
      </c>
      <c r="J80" s="3">
        <v>326</v>
      </c>
      <c r="K80" s="3">
        <v>553</v>
      </c>
      <c r="L80" s="3">
        <v>19</v>
      </c>
      <c r="M80" s="3">
        <v>94</v>
      </c>
    </row>
    <row r="81" spans="1:13" x14ac:dyDescent="0.25">
      <c r="A81" s="1" t="str">
        <f>HYPERLINK("http://www.rosaceae.org/Prunus/Prunus_persica/p.persica_gdr_reftransV1_0007701","p.persica_gdr_reftransV1_0007701")</f>
        <v>p.persica_gdr_reftransV1_0007701</v>
      </c>
      <c r="B81" s="3">
        <v>1303</v>
      </c>
      <c r="C81" s="1" t="str">
        <f>HYPERLINK("http://www.uniprot.org/uniprot/R13L1_ARATH","R13L1_ARATH")</f>
        <v>R13L1_ARATH</v>
      </c>
      <c r="D81" t="s">
        <v>100</v>
      </c>
      <c r="E81" s="3" t="s">
        <v>3</v>
      </c>
      <c r="F81" s="4">
        <v>4.2000000000000001E-82</v>
      </c>
      <c r="G81" s="3">
        <v>711</v>
      </c>
      <c r="H81" s="3">
        <v>41</v>
      </c>
      <c r="I81" s="3">
        <v>421</v>
      </c>
      <c r="J81" s="3">
        <v>3</v>
      </c>
      <c r="K81" s="3">
        <v>1241</v>
      </c>
      <c r="L81" s="3">
        <v>39</v>
      </c>
      <c r="M81" s="3">
        <v>454</v>
      </c>
    </row>
    <row r="82" spans="1:13" x14ac:dyDescent="0.25">
      <c r="A82" s="1" t="str">
        <f>HYPERLINK("http://www.rosaceae.org/Prunus/Prunus_persica/p.persica_gdr_reftransV1_0007751","p.persica_gdr_reftransV1_0007751")</f>
        <v>p.persica_gdr_reftransV1_0007751</v>
      </c>
      <c r="B82" s="3">
        <v>1344</v>
      </c>
      <c r="C82" s="1" t="str">
        <f>HYPERLINK("http://www.uniprot.org/uniprot/CFIS2_ARATH","CFIS2_ARATH")</f>
        <v>CFIS2_ARATH</v>
      </c>
      <c r="D82" t="s">
        <v>101</v>
      </c>
      <c r="E82" s="3" t="s">
        <v>3</v>
      </c>
      <c r="F82" s="4">
        <v>1.8500000000000001E-132</v>
      </c>
      <c r="G82" s="3">
        <v>994</v>
      </c>
      <c r="H82" s="3">
        <v>90</v>
      </c>
      <c r="I82" s="3">
        <v>200</v>
      </c>
      <c r="J82" s="3">
        <v>60</v>
      </c>
      <c r="K82" s="3">
        <v>659</v>
      </c>
      <c r="L82" s="3">
        <v>1</v>
      </c>
      <c r="M82" s="3">
        <v>200</v>
      </c>
    </row>
    <row r="83" spans="1:13" x14ac:dyDescent="0.25">
      <c r="A83" s="1" t="str">
        <f>HYPERLINK("http://www.rosaceae.org/Prunus/Prunus_persica/p.persica_gdr_reftransV1_0007801","p.persica_gdr_reftransV1_0007801")</f>
        <v>p.persica_gdr_reftransV1_0007801</v>
      </c>
      <c r="B83" s="3">
        <v>1808</v>
      </c>
      <c r="C83" s="1" t="str">
        <f>HYPERLINK("http://www.uniprot.org/uniprot/C71A1_PERAE","C71A1_PERAE")</f>
        <v>C71A1_PERAE</v>
      </c>
      <c r="D83" t="s">
        <v>102</v>
      </c>
      <c r="E83" s="3" t="s">
        <v>103</v>
      </c>
      <c r="F83" s="4">
        <v>8.1500000000000001E-155</v>
      </c>
      <c r="G83" s="3">
        <v>1187</v>
      </c>
      <c r="H83" s="3">
        <v>52</v>
      </c>
      <c r="I83" s="3">
        <v>460</v>
      </c>
      <c r="J83" s="3">
        <v>188</v>
      </c>
      <c r="K83" s="3">
        <v>1552</v>
      </c>
      <c r="L83" s="3">
        <v>41</v>
      </c>
      <c r="M83" s="3">
        <v>496</v>
      </c>
    </row>
    <row r="84" spans="1:13" x14ac:dyDescent="0.25">
      <c r="A84" s="1" t="str">
        <f>HYPERLINK("http://www.rosaceae.org/Prunus/Prunus_persica/p.persica_gdr_reftransV1_0007951","p.persica_gdr_reftransV1_0007951")</f>
        <v>p.persica_gdr_reftransV1_0007951</v>
      </c>
      <c r="B84" s="3">
        <v>1562</v>
      </c>
      <c r="C84" s="1" t="str">
        <f>HYPERLINK("http://www.uniprot.org/uniprot/Y3720_ARATH","Y3720_ARATH")</f>
        <v>Y3720_ARATH</v>
      </c>
      <c r="D84" t="s">
        <v>104</v>
      </c>
      <c r="E84" s="3" t="s">
        <v>3</v>
      </c>
      <c r="F84" s="4">
        <v>1.42E-40</v>
      </c>
      <c r="G84" s="3">
        <v>397</v>
      </c>
      <c r="H84" s="3">
        <v>30</v>
      </c>
      <c r="I84" s="3">
        <v>435</v>
      </c>
      <c r="J84" s="3">
        <v>170</v>
      </c>
      <c r="K84" s="3">
        <v>1423</v>
      </c>
      <c r="L84" s="3">
        <v>36</v>
      </c>
      <c r="M84" s="3">
        <v>455</v>
      </c>
    </row>
    <row r="85" spans="1:13" x14ac:dyDescent="0.25">
      <c r="A85" s="1" t="str">
        <f>HYPERLINK("http://www.rosaceae.org/Prunus/Prunus_persica/p.persica_gdr_reftransV1_0008001","p.persica_gdr_reftransV1_0008001")</f>
        <v>p.persica_gdr_reftransV1_0008001</v>
      </c>
      <c r="B85" s="3">
        <v>3271</v>
      </c>
      <c r="C85" s="1" t="str">
        <f>HYPERLINK("http://www.uniprot.org/uniprot/Y3228_ARATH","Y3228_ARATH")</f>
        <v>Y3228_ARATH</v>
      </c>
      <c r="D85" t="s">
        <v>105</v>
      </c>
      <c r="E85" s="3" t="s">
        <v>3</v>
      </c>
      <c r="F85" s="4">
        <v>1.3499999999999999E-45</v>
      </c>
      <c r="G85" s="3">
        <v>448</v>
      </c>
      <c r="H85" s="3">
        <v>47</v>
      </c>
      <c r="I85" s="3">
        <v>174</v>
      </c>
      <c r="J85" s="3">
        <v>1354</v>
      </c>
      <c r="K85" s="3">
        <v>1866</v>
      </c>
      <c r="L85" s="3">
        <v>1</v>
      </c>
      <c r="M85" s="3">
        <v>174</v>
      </c>
    </row>
    <row r="86" spans="1:13" x14ac:dyDescent="0.25">
      <c r="A86" s="1" t="str">
        <f>HYPERLINK("http://www.rosaceae.org/Prunus/Prunus_persica/p.persica_gdr_reftransV1_0008051","p.persica_gdr_reftransV1_0008051")</f>
        <v>p.persica_gdr_reftransV1_0008051</v>
      </c>
      <c r="B86" s="3">
        <v>1324</v>
      </c>
      <c r="C86" s="1" t="str">
        <f>HYPERLINK("http://www.uniprot.org/uniprot/PSD8A_ARATH","PSD8A_ARATH")</f>
        <v>PSD8A_ARATH</v>
      </c>
      <c r="D86" t="s">
        <v>106</v>
      </c>
      <c r="E86" s="3" t="s">
        <v>3</v>
      </c>
      <c r="F86" s="4">
        <v>9.8299999999999995E-142</v>
      </c>
      <c r="G86" s="3">
        <v>1061</v>
      </c>
      <c r="H86" s="3">
        <v>83</v>
      </c>
      <c r="I86" s="3">
        <v>265</v>
      </c>
      <c r="J86" s="3">
        <v>93</v>
      </c>
      <c r="K86" s="3">
        <v>887</v>
      </c>
      <c r="L86" s="3">
        <v>1</v>
      </c>
      <c r="M86" s="3">
        <v>265</v>
      </c>
    </row>
    <row r="87" spans="1:13" x14ac:dyDescent="0.25">
      <c r="A87" s="1" t="str">
        <f>HYPERLINK("http://www.rosaceae.org/Prunus/Prunus_persica/p.persica_gdr_reftransV1_0008301","p.persica_gdr_reftransV1_0008301")</f>
        <v>p.persica_gdr_reftransV1_0008301</v>
      </c>
      <c r="B87" s="3">
        <v>2098</v>
      </c>
      <c r="C87" s="1" t="str">
        <f>HYPERLINK("http://www.uniprot.org/uniprot/AB7I_ARATH","AB7I_ARATH")</f>
        <v>AB7I_ARATH</v>
      </c>
      <c r="D87" t="s">
        <v>107</v>
      </c>
      <c r="E87" s="3" t="s">
        <v>3</v>
      </c>
      <c r="F87" s="4">
        <v>0</v>
      </c>
      <c r="G87" s="3">
        <v>1468</v>
      </c>
      <c r="H87" s="3">
        <v>65</v>
      </c>
      <c r="I87" s="3">
        <v>463</v>
      </c>
      <c r="J87" s="3">
        <v>537</v>
      </c>
      <c r="K87" s="3">
        <v>1913</v>
      </c>
      <c r="L87" s="3">
        <v>16</v>
      </c>
      <c r="M87" s="3">
        <v>475</v>
      </c>
    </row>
    <row r="88" spans="1:13" x14ac:dyDescent="0.25">
      <c r="A88" s="1" t="str">
        <f>HYPERLINK("http://www.rosaceae.org/Prunus/Prunus_persica/p.persica_gdr_reftransV1_0008351","p.persica_gdr_reftransV1_0008351")</f>
        <v>p.persica_gdr_reftransV1_0008351</v>
      </c>
      <c r="B88" s="3">
        <v>1597</v>
      </c>
      <c r="C88" s="1" t="str">
        <f>HYPERLINK("http://www.uniprot.org/uniprot/XTH26_ARATH","XTH26_ARATH")</f>
        <v>XTH26_ARATH</v>
      </c>
      <c r="D88" t="s">
        <v>108</v>
      </c>
      <c r="E88" s="3" t="s">
        <v>3</v>
      </c>
      <c r="F88" s="4">
        <v>6.7499999999999998E-45</v>
      </c>
      <c r="G88" s="3">
        <v>418</v>
      </c>
      <c r="H88" s="3">
        <v>61</v>
      </c>
      <c r="I88" s="3">
        <v>136</v>
      </c>
      <c r="J88" s="3">
        <v>1020</v>
      </c>
      <c r="K88" s="3">
        <v>1424</v>
      </c>
      <c r="L88" s="3">
        <v>157</v>
      </c>
      <c r="M88" s="3">
        <v>292</v>
      </c>
    </row>
    <row r="89" spans="1:13" x14ac:dyDescent="0.25">
      <c r="A89" s="1" t="str">
        <f>HYPERLINK("http://www.rosaceae.org/Prunus/Prunus_persica/p.persica_gdr_reftransV1_0008451","p.persica_gdr_reftransV1_0008451")</f>
        <v>p.persica_gdr_reftransV1_0008451</v>
      </c>
      <c r="B89" s="3">
        <v>1928</v>
      </c>
      <c r="C89" s="1" t="str">
        <f>HYPERLINK("http://www.uniprot.org/uniprot/KC1D_ARATH","KC1D_ARATH")</f>
        <v>KC1D_ARATH</v>
      </c>
      <c r="D89" t="s">
        <v>109</v>
      </c>
      <c r="E89" s="3" t="s">
        <v>3</v>
      </c>
      <c r="F89" s="4">
        <v>2.2900000000000001E-173</v>
      </c>
      <c r="G89" s="3">
        <v>1309</v>
      </c>
      <c r="H89" s="3">
        <v>73</v>
      </c>
      <c r="I89" s="3">
        <v>326</v>
      </c>
      <c r="J89" s="3">
        <v>170</v>
      </c>
      <c r="K89" s="3">
        <v>1144</v>
      </c>
      <c r="L89" s="3">
        <v>1</v>
      </c>
      <c r="M89" s="3">
        <v>324</v>
      </c>
    </row>
    <row r="90" spans="1:13" x14ac:dyDescent="0.25">
      <c r="A90" s="1" t="str">
        <f>HYPERLINK("http://www.rosaceae.org/Prunus/Prunus_persica/p.persica_gdr_reftransV1_0008551","p.persica_gdr_reftransV1_0008551")</f>
        <v>p.persica_gdr_reftransV1_0008551</v>
      </c>
      <c r="B90" s="3">
        <v>1503</v>
      </c>
      <c r="C90" s="1" t="str">
        <f>HYPERLINK("http://www.uniprot.org/uniprot/TBL44_ARATH","TBL44_ARATH")</f>
        <v>TBL44_ARATH</v>
      </c>
      <c r="D90" t="s">
        <v>110</v>
      </c>
      <c r="E90" s="3" t="s">
        <v>3</v>
      </c>
      <c r="F90" s="4">
        <v>5.6099999999999996E-175</v>
      </c>
      <c r="G90" s="3">
        <v>1301</v>
      </c>
      <c r="H90" s="3">
        <v>60</v>
      </c>
      <c r="I90" s="3">
        <v>396</v>
      </c>
      <c r="J90" s="3">
        <v>278</v>
      </c>
      <c r="K90" s="3">
        <v>1429</v>
      </c>
      <c r="L90" s="3">
        <v>10</v>
      </c>
      <c r="M90" s="3">
        <v>402</v>
      </c>
    </row>
    <row r="91" spans="1:13" x14ac:dyDescent="0.25">
      <c r="A91" s="1" t="str">
        <f>HYPERLINK("http://www.rosaceae.org/Prunus/Prunus_persica/p.persica_gdr_reftransV1_0008701","p.persica_gdr_reftransV1_0008701")</f>
        <v>p.persica_gdr_reftransV1_0008701</v>
      </c>
      <c r="B91" s="3">
        <v>2323</v>
      </c>
      <c r="C91" s="1" t="str">
        <f>HYPERLINK("http://www.uniprot.org/uniprot/PHPDC_SALTY","PHPDC_SALTY")</f>
        <v>PHPDC_SALTY</v>
      </c>
      <c r="D91" t="s">
        <v>111</v>
      </c>
      <c r="E91" s="3" t="s">
        <v>112</v>
      </c>
      <c r="F91" s="4">
        <v>7.2099999999999997E-9</v>
      </c>
      <c r="G91" s="3">
        <v>148</v>
      </c>
      <c r="H91" s="3">
        <v>34</v>
      </c>
      <c r="I91" s="3">
        <v>118</v>
      </c>
      <c r="J91" s="3">
        <v>846</v>
      </c>
      <c r="K91" s="3">
        <v>1199</v>
      </c>
      <c r="L91" s="3">
        <v>100</v>
      </c>
      <c r="M91" s="3">
        <v>216</v>
      </c>
    </row>
    <row r="92" spans="1:13" x14ac:dyDescent="0.25">
      <c r="A92" s="1" t="str">
        <f>HYPERLINK("http://www.rosaceae.org/Prunus/Prunus_persica/p.persica_gdr_reftransV1_0008751","p.persica_gdr_reftransV1_0008751")</f>
        <v>p.persica_gdr_reftransV1_0008751</v>
      </c>
      <c r="B92" s="3">
        <v>1528</v>
      </c>
      <c r="C92" s="1" t="str">
        <f>HYPERLINK("http://www.uniprot.org/uniprot/VAMPL_ARATH","VAMPL_ARATH")</f>
        <v>VAMPL_ARATH</v>
      </c>
      <c r="D92" t="s">
        <v>113</v>
      </c>
      <c r="E92" s="3" t="s">
        <v>3</v>
      </c>
      <c r="F92" s="4">
        <v>2.1099999999999999E-18</v>
      </c>
      <c r="G92" s="3">
        <v>219</v>
      </c>
      <c r="H92" s="3">
        <v>28</v>
      </c>
      <c r="I92" s="3">
        <v>266</v>
      </c>
      <c r="J92" s="3">
        <v>474</v>
      </c>
      <c r="K92" s="3">
        <v>1232</v>
      </c>
      <c r="L92" s="3">
        <v>1</v>
      </c>
      <c r="M92" s="3">
        <v>252</v>
      </c>
    </row>
    <row r="93" spans="1:13" x14ac:dyDescent="0.25">
      <c r="A93" s="1" t="str">
        <f>HYPERLINK("http://www.rosaceae.org/Prunus/Prunus_persica/p.persica_gdr_reftransV1_0008951","p.persica_gdr_reftransV1_0008951")</f>
        <v>p.persica_gdr_reftransV1_0008951</v>
      </c>
      <c r="B93" s="3">
        <v>1208</v>
      </c>
      <c r="C93" s="1" t="str">
        <f>HYPERLINK("http://www.uniprot.org/uniprot/EIF3C_ARATH","EIF3C_ARATH")</f>
        <v>EIF3C_ARATH</v>
      </c>
      <c r="D93" t="s">
        <v>114</v>
      </c>
      <c r="E93" s="3" t="s">
        <v>3</v>
      </c>
      <c r="F93" s="4">
        <v>9.6900000000000003E-120</v>
      </c>
      <c r="G93" s="3">
        <v>964</v>
      </c>
      <c r="H93" s="3">
        <v>62</v>
      </c>
      <c r="I93" s="3">
        <v>332</v>
      </c>
      <c r="J93" s="3">
        <v>1</v>
      </c>
      <c r="K93" s="3">
        <v>990</v>
      </c>
      <c r="L93" s="3">
        <v>592</v>
      </c>
      <c r="M93" s="3">
        <v>899</v>
      </c>
    </row>
    <row r="94" spans="1:13" x14ac:dyDescent="0.25">
      <c r="A94" s="1" t="str">
        <f>HYPERLINK("http://www.rosaceae.org/Prunus/Prunus_persica/p.persica_gdr_reftransV1_0009001","p.persica_gdr_reftransV1_0009001")</f>
        <v>p.persica_gdr_reftransV1_0009001</v>
      </c>
      <c r="B94" s="3">
        <v>1673</v>
      </c>
      <c r="C94" s="1" t="str">
        <f>HYPERLINK("http://www.uniprot.org/uniprot/EDR2L_ARATH","EDR2L_ARATH")</f>
        <v>EDR2L_ARATH</v>
      </c>
      <c r="D94" t="s">
        <v>115</v>
      </c>
      <c r="E94" s="3" t="s">
        <v>3</v>
      </c>
      <c r="F94" s="4">
        <v>2.7900000000000001E-49</v>
      </c>
      <c r="G94" s="3">
        <v>471</v>
      </c>
      <c r="H94" s="3">
        <v>41</v>
      </c>
      <c r="I94" s="3">
        <v>225</v>
      </c>
      <c r="J94" s="3">
        <v>731</v>
      </c>
      <c r="K94" s="3">
        <v>1405</v>
      </c>
      <c r="L94" s="3">
        <v>495</v>
      </c>
      <c r="M94" s="3">
        <v>711</v>
      </c>
    </row>
    <row r="95" spans="1:13" x14ac:dyDescent="0.25">
      <c r="A95" s="1" t="str">
        <f>HYPERLINK("http://www.rosaceae.org/Prunus/Prunus_persica/p.persica_gdr_reftransV1_0009151","p.persica_gdr_reftransV1_0009151")</f>
        <v>p.persica_gdr_reftransV1_0009151</v>
      </c>
      <c r="B95" s="3">
        <v>1680</v>
      </c>
      <c r="C95" s="1" t="str">
        <f>HYPERLINK("http://www.uniprot.org/uniprot/Y1675_ARATH","Y1675_ARATH")</f>
        <v>Y1675_ARATH</v>
      </c>
      <c r="D95" t="s">
        <v>116</v>
      </c>
      <c r="E95" s="3" t="s">
        <v>3</v>
      </c>
      <c r="F95" s="4">
        <v>4.1899999999999996E-40</v>
      </c>
      <c r="G95" s="3">
        <v>291</v>
      </c>
      <c r="H95" s="3">
        <v>30</v>
      </c>
      <c r="I95" s="3">
        <v>434</v>
      </c>
      <c r="J95" s="3">
        <v>489</v>
      </c>
      <c r="K95" s="3">
        <v>1679</v>
      </c>
      <c r="L95" s="3">
        <v>158</v>
      </c>
      <c r="M95" s="3">
        <v>539</v>
      </c>
    </row>
    <row r="96" spans="1:13" x14ac:dyDescent="0.25">
      <c r="A96" s="1" t="str">
        <f>HYPERLINK("http://www.rosaceae.org/Prunus/Prunus_persica/p.persica_gdr_reftransV1_0009251","p.persica_gdr_reftransV1_0009251")</f>
        <v>p.persica_gdr_reftransV1_0009251</v>
      </c>
      <c r="B96" s="3">
        <v>2799</v>
      </c>
      <c r="C96" s="1" t="str">
        <f>HYPERLINK("http://www.uniprot.org/uniprot/BUP1_ARATH","BUP1_ARATH")</f>
        <v>BUP1_ARATH</v>
      </c>
      <c r="D96" t="s">
        <v>117</v>
      </c>
      <c r="E96" s="3" t="s">
        <v>3</v>
      </c>
      <c r="F96" s="4">
        <v>0</v>
      </c>
      <c r="G96" s="3">
        <v>1589</v>
      </c>
      <c r="H96" s="3">
        <v>88</v>
      </c>
      <c r="I96" s="3">
        <v>336</v>
      </c>
      <c r="J96" s="3">
        <v>376</v>
      </c>
      <c r="K96" s="3">
        <v>1383</v>
      </c>
      <c r="L96" s="3">
        <v>72</v>
      </c>
      <c r="M96" s="3">
        <v>407</v>
      </c>
    </row>
    <row r="97" spans="1:13" x14ac:dyDescent="0.25">
      <c r="A97" s="1" t="str">
        <f>HYPERLINK("http://www.rosaceae.org/Prunus/Prunus_persica/p.persica_gdr_reftransV1_0009451","p.persica_gdr_reftransV1_0009451")</f>
        <v>p.persica_gdr_reftransV1_0009451</v>
      </c>
      <c r="B97" s="3">
        <v>1323</v>
      </c>
      <c r="C97" s="1" t="str">
        <f>HYPERLINK("http://www.uniprot.org/uniprot/M310_ARATH","M310_ARATH")</f>
        <v>M310_ARATH</v>
      </c>
      <c r="D97" t="s">
        <v>118</v>
      </c>
      <c r="E97" s="3" t="s">
        <v>3</v>
      </c>
      <c r="F97" s="4">
        <v>7.3300000000000004E-15</v>
      </c>
      <c r="G97" s="3">
        <v>163</v>
      </c>
      <c r="H97" s="3">
        <v>34</v>
      </c>
      <c r="I97" s="3">
        <v>94</v>
      </c>
      <c r="J97" s="3">
        <v>520</v>
      </c>
      <c r="K97" s="3">
        <v>801</v>
      </c>
      <c r="L97" s="3">
        <v>52</v>
      </c>
      <c r="M97" s="3">
        <v>145</v>
      </c>
    </row>
    <row r="98" spans="1:13" x14ac:dyDescent="0.25">
      <c r="A98" s="1" t="str">
        <f>HYPERLINK("http://www.rosaceae.org/Prunus/Prunus_persica/p.persica_gdr_reftransV1_0009651","p.persica_gdr_reftransV1_0009651")</f>
        <v>p.persica_gdr_reftransV1_0009651</v>
      </c>
      <c r="B98" s="3">
        <v>2408</v>
      </c>
      <c r="C98" s="1" t="str">
        <f>HYPERLINK("http://www.uniprot.org/uniprot/Y1385_ARATH","Y1385_ARATH")</f>
        <v>Y1385_ARATH</v>
      </c>
      <c r="D98" t="s">
        <v>119</v>
      </c>
      <c r="E98" s="3" t="s">
        <v>3</v>
      </c>
      <c r="F98" s="4">
        <v>0</v>
      </c>
      <c r="G98" s="3">
        <v>1816</v>
      </c>
      <c r="H98" s="3">
        <v>70</v>
      </c>
      <c r="I98" s="3">
        <v>552</v>
      </c>
      <c r="J98" s="3">
        <v>374</v>
      </c>
      <c r="K98" s="3">
        <v>1948</v>
      </c>
      <c r="L98" s="3">
        <v>1</v>
      </c>
      <c r="M98" s="3">
        <v>548</v>
      </c>
    </row>
    <row r="99" spans="1:13" x14ac:dyDescent="0.25">
      <c r="A99" s="1" t="str">
        <f>HYPERLINK("http://www.rosaceae.org/Prunus/Prunus_persica/p.persica_gdr_reftransV1_0009701","p.persica_gdr_reftransV1_0009701")</f>
        <v>p.persica_gdr_reftransV1_0009701</v>
      </c>
      <c r="B99" s="3">
        <v>2068</v>
      </c>
      <c r="C99" s="1" t="str">
        <f>HYPERLINK("http://www.uniprot.org/uniprot/PCL1_ORYSJ","PCL1_ORYSJ")</f>
        <v>PCL1_ORYSJ</v>
      </c>
      <c r="D99" t="s">
        <v>120</v>
      </c>
      <c r="E99" s="3" t="s">
        <v>38</v>
      </c>
      <c r="F99" s="4">
        <v>2.8700000000000001E-12</v>
      </c>
      <c r="G99" s="3">
        <v>172</v>
      </c>
      <c r="H99" s="3">
        <v>46</v>
      </c>
      <c r="I99" s="3">
        <v>83</v>
      </c>
      <c r="J99" s="3">
        <v>763</v>
      </c>
      <c r="K99" s="3">
        <v>984</v>
      </c>
      <c r="L99" s="3">
        <v>117</v>
      </c>
      <c r="M99" s="3">
        <v>198</v>
      </c>
    </row>
    <row r="100" spans="1:13" x14ac:dyDescent="0.25">
      <c r="A100" s="1" t="str">
        <f>HYPERLINK("http://www.rosaceae.org/Prunus/Prunus_persica/p.persica_gdr_reftransV1_0009851","p.persica_gdr_reftransV1_0009851")</f>
        <v>p.persica_gdr_reftransV1_0009851</v>
      </c>
      <c r="B100" s="3">
        <v>2004</v>
      </c>
      <c r="C100" s="1" t="str">
        <f>HYPERLINK("http://www.uniprot.org/uniprot/PP129_ARATH","PP129_ARATH")</f>
        <v>PP129_ARATH</v>
      </c>
      <c r="D100" t="s">
        <v>121</v>
      </c>
      <c r="E100" s="3" t="s">
        <v>3</v>
      </c>
      <c r="F100" s="4">
        <v>1.8700000000000001E-44</v>
      </c>
      <c r="G100" s="3">
        <v>432</v>
      </c>
      <c r="H100" s="3">
        <v>29</v>
      </c>
      <c r="I100" s="3">
        <v>429</v>
      </c>
      <c r="J100" s="3">
        <v>275</v>
      </c>
      <c r="K100" s="3">
        <v>1558</v>
      </c>
      <c r="L100" s="3">
        <v>75</v>
      </c>
      <c r="M100" s="3">
        <v>497</v>
      </c>
    </row>
    <row r="101" spans="1:13" x14ac:dyDescent="0.25">
      <c r="A101" s="1" t="str">
        <f>HYPERLINK("http://www.rosaceae.org/Prunus/Prunus_persica/p.persica_gdr_reftransV1_0009951","p.persica_gdr_reftransV1_0009951")</f>
        <v>p.persica_gdr_reftransV1_0009951</v>
      </c>
      <c r="B101" s="3">
        <v>1226</v>
      </c>
      <c r="C101" s="1" t="str">
        <f>HYPERLINK("http://www.uniprot.org/uniprot/ATP5H_ARATH","ATP5H_ARATH")</f>
        <v>ATP5H_ARATH</v>
      </c>
      <c r="D101" t="s">
        <v>122</v>
      </c>
      <c r="E101" s="3" t="s">
        <v>3</v>
      </c>
      <c r="F101" s="4">
        <v>3.3099999999999999E-43</v>
      </c>
      <c r="G101" s="3">
        <v>390</v>
      </c>
      <c r="H101" s="3">
        <v>81</v>
      </c>
      <c r="I101" s="3">
        <v>86</v>
      </c>
      <c r="J101" s="3">
        <v>75</v>
      </c>
      <c r="K101" s="3">
        <v>332</v>
      </c>
      <c r="L101" s="3">
        <v>1</v>
      </c>
      <c r="M101" s="3">
        <v>86</v>
      </c>
    </row>
    <row r="102" spans="1:13" x14ac:dyDescent="0.25">
      <c r="A102" s="1" t="str">
        <f>HYPERLINK("http://www.rosaceae.org/Prunus/Prunus_persica/p.persica_gdr_reftransV1_0010201","p.persica_gdr_reftransV1_0010201")</f>
        <v>p.persica_gdr_reftransV1_0010201</v>
      </c>
      <c r="B102" s="3">
        <v>2156</v>
      </c>
      <c r="C102" s="1" t="str">
        <f>HYPERLINK("http://www.uniprot.org/uniprot/ARAD1_ARATH","ARAD1_ARATH")</f>
        <v>ARAD1_ARATH</v>
      </c>
      <c r="D102" t="s">
        <v>123</v>
      </c>
      <c r="E102" s="3" t="s">
        <v>3</v>
      </c>
      <c r="F102" s="4">
        <v>0</v>
      </c>
      <c r="G102" s="3">
        <v>1577</v>
      </c>
      <c r="H102" s="3">
        <v>65</v>
      </c>
      <c r="I102" s="3">
        <v>459</v>
      </c>
      <c r="J102" s="3">
        <v>208</v>
      </c>
      <c r="K102" s="3">
        <v>1575</v>
      </c>
      <c r="L102" s="3">
        <v>1</v>
      </c>
      <c r="M102" s="3">
        <v>447</v>
      </c>
    </row>
    <row r="103" spans="1:13" x14ac:dyDescent="0.25">
      <c r="A103" s="1" t="str">
        <f>HYPERLINK("http://www.rosaceae.org/Prunus/Prunus_persica/p.persica_gdr_reftransV1_0010401","p.persica_gdr_reftransV1_0010401")</f>
        <v>p.persica_gdr_reftransV1_0010401</v>
      </c>
      <c r="B103" s="3">
        <v>833</v>
      </c>
      <c r="C103" s="1" t="str">
        <f>HYPERLINK("http://www.uniprot.org/uniprot/RNHX1_ARATH","RNHX1_ARATH")</f>
        <v>RNHX1_ARATH</v>
      </c>
      <c r="D103" t="s">
        <v>124</v>
      </c>
      <c r="E103" s="3" t="s">
        <v>3</v>
      </c>
      <c r="F103" s="4">
        <v>8.8599999999999996E-9</v>
      </c>
      <c r="G103" s="3">
        <v>143</v>
      </c>
      <c r="H103" s="3">
        <v>34</v>
      </c>
      <c r="I103" s="3">
        <v>86</v>
      </c>
      <c r="J103" s="3">
        <v>266</v>
      </c>
      <c r="K103" s="3">
        <v>523</v>
      </c>
      <c r="L103" s="3">
        <v>445</v>
      </c>
      <c r="M103" s="3">
        <v>530</v>
      </c>
    </row>
    <row r="104" spans="1:13" x14ac:dyDescent="0.25">
      <c r="A104" s="1" t="str">
        <f>HYPERLINK("http://www.rosaceae.org/Prunus/Prunus_persica/p.persica_gdr_reftransV1_0010501","p.persica_gdr_reftransV1_0010501")</f>
        <v>p.persica_gdr_reftransV1_0010501</v>
      </c>
      <c r="B104" s="3">
        <v>2026</v>
      </c>
      <c r="C104" s="1" t="str">
        <f>HYPERLINK("http://www.uniprot.org/uniprot/AT18A_ARATH","AT18A_ARATH")</f>
        <v>AT18A_ARATH</v>
      </c>
      <c r="D104" t="s">
        <v>125</v>
      </c>
      <c r="E104" s="3" t="s">
        <v>3</v>
      </c>
      <c r="F104" s="4">
        <v>0</v>
      </c>
      <c r="G104" s="3">
        <v>1490</v>
      </c>
      <c r="H104" s="3">
        <v>71</v>
      </c>
      <c r="I104" s="3">
        <v>448</v>
      </c>
      <c r="J104" s="3">
        <v>357</v>
      </c>
      <c r="K104" s="3">
        <v>1634</v>
      </c>
      <c r="L104" s="3">
        <v>1</v>
      </c>
      <c r="M104" s="3">
        <v>425</v>
      </c>
    </row>
    <row r="105" spans="1:13" x14ac:dyDescent="0.25">
      <c r="A105" s="1" t="str">
        <f>HYPERLINK("http://www.rosaceae.org/Prunus/Prunus_persica/p.persica_gdr_reftransV1_0010601","p.persica_gdr_reftransV1_0010601")</f>
        <v>p.persica_gdr_reftransV1_0010601</v>
      </c>
      <c r="B105" s="3">
        <v>1362</v>
      </c>
      <c r="C105" s="1" t="str">
        <f>HYPERLINK("http://www.uniprot.org/uniprot/RBL11_ARATH","RBL11_ARATH")</f>
        <v>RBL11_ARATH</v>
      </c>
      <c r="D105" t="s">
        <v>126</v>
      </c>
      <c r="E105" s="3" t="s">
        <v>3</v>
      </c>
      <c r="F105" s="4">
        <v>5.0500000000000001E-108</v>
      </c>
      <c r="G105" s="3">
        <v>840</v>
      </c>
      <c r="H105" s="3">
        <v>77</v>
      </c>
      <c r="I105" s="3">
        <v>222</v>
      </c>
      <c r="J105" s="3">
        <v>449</v>
      </c>
      <c r="K105" s="3">
        <v>1105</v>
      </c>
      <c r="L105" s="3">
        <v>53</v>
      </c>
      <c r="M105" s="3">
        <v>274</v>
      </c>
    </row>
    <row r="106" spans="1:13" x14ac:dyDescent="0.25">
      <c r="A106" s="1" t="str">
        <f>HYPERLINK("http://www.rosaceae.org/Prunus/Prunus_persica/p.persica_gdr_reftransV1_0010801","p.persica_gdr_reftransV1_0010801")</f>
        <v>p.persica_gdr_reftransV1_0010801</v>
      </c>
      <c r="B106" s="3">
        <v>1695</v>
      </c>
      <c r="C106" s="1" t="str">
        <f>HYPERLINK("http://www.uniprot.org/uniprot/PSKR2_ARATH","PSKR2_ARATH")</f>
        <v>PSKR2_ARATH</v>
      </c>
      <c r="D106" t="s">
        <v>127</v>
      </c>
      <c r="E106" s="3" t="s">
        <v>3</v>
      </c>
      <c r="F106" s="4">
        <v>1.9099999999999999E-67</v>
      </c>
      <c r="G106" s="3">
        <v>613</v>
      </c>
      <c r="H106" s="3">
        <v>45</v>
      </c>
      <c r="I106" s="3">
        <v>301</v>
      </c>
      <c r="J106" s="3">
        <v>458</v>
      </c>
      <c r="K106" s="3">
        <v>1357</v>
      </c>
      <c r="L106" s="3">
        <v>742</v>
      </c>
      <c r="M106" s="3">
        <v>1028</v>
      </c>
    </row>
    <row r="107" spans="1:13" x14ac:dyDescent="0.25">
      <c r="A107" s="1" t="str">
        <f>HYPERLINK("http://www.rosaceae.org/Prunus/Prunus_persica/p.persica_gdr_reftransV1_0010851","p.persica_gdr_reftransV1_0010851")</f>
        <v>p.persica_gdr_reftransV1_0010851</v>
      </c>
      <c r="B107" s="3">
        <v>4451</v>
      </c>
      <c r="C107" s="1" t="str">
        <f>HYPERLINK("http://www.uniprot.org/uniprot/PAH2_ARATH","PAH2_ARATH")</f>
        <v>PAH2_ARATH</v>
      </c>
      <c r="D107" t="s">
        <v>128</v>
      </c>
      <c r="E107" s="3" t="s">
        <v>3</v>
      </c>
      <c r="F107" s="4">
        <v>8.7099999999999993E-148</v>
      </c>
      <c r="G107" s="3">
        <v>1240</v>
      </c>
      <c r="H107" s="3">
        <v>73</v>
      </c>
      <c r="I107" s="3">
        <v>314</v>
      </c>
      <c r="J107" s="3">
        <v>605</v>
      </c>
      <c r="K107" s="3">
        <v>1546</v>
      </c>
      <c r="L107" s="3">
        <v>629</v>
      </c>
      <c r="M107" s="3">
        <v>929</v>
      </c>
    </row>
    <row r="108" spans="1:13" x14ac:dyDescent="0.25">
      <c r="A108" s="1" t="str">
        <f>HYPERLINK("http://www.rosaceae.org/Prunus/Prunus_persica/p.persica_gdr_reftransV1_0011151","p.persica_gdr_reftransV1_0011151")</f>
        <v>p.persica_gdr_reftransV1_0011151</v>
      </c>
      <c r="B108" s="3">
        <v>411</v>
      </c>
      <c r="C108" s="1" t="str">
        <f>HYPERLINK("http://www.uniprot.org/uniprot/U85A2_ARATH","U85A2_ARATH")</f>
        <v>U85A2_ARATH</v>
      </c>
      <c r="D108" t="s">
        <v>129</v>
      </c>
      <c r="E108" s="3" t="s">
        <v>3</v>
      </c>
      <c r="F108" s="4">
        <v>1.3200000000000001E-41</v>
      </c>
      <c r="G108" s="3">
        <v>375</v>
      </c>
      <c r="H108" s="3">
        <v>65</v>
      </c>
      <c r="I108" s="3">
        <v>120</v>
      </c>
      <c r="J108" s="3">
        <v>3</v>
      </c>
      <c r="K108" s="3">
        <v>362</v>
      </c>
      <c r="L108" s="3">
        <v>360</v>
      </c>
      <c r="M108" s="3">
        <v>479</v>
      </c>
    </row>
    <row r="109" spans="1:13" x14ac:dyDescent="0.25">
      <c r="A109" s="1" t="str">
        <f>HYPERLINK("http://www.rosaceae.org/Prunus/Prunus_persica/p.persica_gdr_reftransV1_0011301","p.persica_gdr_reftransV1_0011301")</f>
        <v>p.persica_gdr_reftransV1_0011301</v>
      </c>
      <c r="B109" s="3">
        <v>1014</v>
      </c>
      <c r="C109" s="1" t="str">
        <f>HYPERLINK("http://www.uniprot.org/uniprot/TRXM_SPIOL","TRXM_SPIOL")</f>
        <v>TRXM_SPIOL</v>
      </c>
      <c r="D109" t="s">
        <v>130</v>
      </c>
      <c r="E109" s="3" t="s">
        <v>131</v>
      </c>
      <c r="F109" s="4">
        <v>4.93E-65</v>
      </c>
      <c r="G109" s="3">
        <v>534</v>
      </c>
      <c r="H109" s="3">
        <v>61</v>
      </c>
      <c r="I109" s="3">
        <v>179</v>
      </c>
      <c r="J109" s="3">
        <v>245</v>
      </c>
      <c r="K109" s="3">
        <v>778</v>
      </c>
      <c r="L109" s="3">
        <v>1</v>
      </c>
      <c r="M109" s="3">
        <v>179</v>
      </c>
    </row>
    <row r="110" spans="1:13" x14ac:dyDescent="0.25">
      <c r="A110" s="1" t="str">
        <f>HYPERLINK("http://www.rosaceae.org/Prunus/Prunus_persica/p.persica_gdr_reftransV1_0011401","p.persica_gdr_reftransV1_0011401")</f>
        <v>p.persica_gdr_reftransV1_0011401</v>
      </c>
      <c r="B110" s="3">
        <v>521</v>
      </c>
      <c r="C110" s="1" t="str">
        <f>HYPERLINK("http://www.uniprot.org/uniprot/PP242_ARATH","PP242_ARATH")</f>
        <v>PP242_ARATH</v>
      </c>
      <c r="D110" t="s">
        <v>132</v>
      </c>
      <c r="E110" s="3" t="s">
        <v>3</v>
      </c>
      <c r="F110" s="4">
        <v>2.1500000000000001E-68</v>
      </c>
      <c r="G110" s="3">
        <v>575</v>
      </c>
      <c r="H110" s="3">
        <v>63</v>
      </c>
      <c r="I110" s="3">
        <v>169</v>
      </c>
      <c r="J110" s="3">
        <v>13</v>
      </c>
      <c r="K110" s="3">
        <v>519</v>
      </c>
      <c r="L110" s="3">
        <v>191</v>
      </c>
      <c r="M110" s="3">
        <v>359</v>
      </c>
    </row>
    <row r="111" spans="1:13" x14ac:dyDescent="0.25">
      <c r="A111" s="1" t="str">
        <f>HYPERLINK("http://www.rosaceae.org/Prunus/Prunus_persica/p.persica_gdr_reftransV1_0011551","p.persica_gdr_reftransV1_0011551")</f>
        <v>p.persica_gdr_reftransV1_0011551</v>
      </c>
      <c r="B111" s="3">
        <v>658</v>
      </c>
      <c r="C111" s="1" t="str">
        <f>HYPERLINK("http://www.uniprot.org/uniprot/PLT5_ARATH","PLT5_ARATH")</f>
        <v>PLT5_ARATH</v>
      </c>
      <c r="D111" t="s">
        <v>133</v>
      </c>
      <c r="E111" s="3" t="s">
        <v>3</v>
      </c>
      <c r="F111" s="4">
        <v>6.2600000000000001E-30</v>
      </c>
      <c r="G111" s="3">
        <v>300</v>
      </c>
      <c r="H111" s="3">
        <v>57</v>
      </c>
      <c r="I111" s="3">
        <v>126</v>
      </c>
      <c r="J111" s="3">
        <v>279</v>
      </c>
      <c r="K111" s="3">
        <v>656</v>
      </c>
      <c r="L111" s="3">
        <v>409</v>
      </c>
      <c r="M111" s="3">
        <v>527</v>
      </c>
    </row>
    <row r="112" spans="1:13" x14ac:dyDescent="0.25">
      <c r="A112" s="1" t="str">
        <f>HYPERLINK("http://www.rosaceae.org/Prunus/Prunus_persica/p.persica_gdr_reftransV1_0011601","p.persica_gdr_reftransV1_0011601")</f>
        <v>p.persica_gdr_reftransV1_0011601</v>
      </c>
      <c r="B112" s="3">
        <v>1247</v>
      </c>
      <c r="C112" s="1" t="str">
        <f>HYPERLINK("http://www.uniprot.org/uniprot/RL25_MARMM","RL25_MARMM")</f>
        <v>RL25_MARMM</v>
      </c>
      <c r="D112" t="s">
        <v>134</v>
      </c>
      <c r="E112" s="3" t="s">
        <v>135</v>
      </c>
      <c r="F112" s="4">
        <v>3.98E-15</v>
      </c>
      <c r="G112" s="3">
        <v>190</v>
      </c>
      <c r="H112" s="3">
        <v>28</v>
      </c>
      <c r="I112" s="3">
        <v>177</v>
      </c>
      <c r="J112" s="3">
        <v>511</v>
      </c>
      <c r="K112" s="3">
        <v>1041</v>
      </c>
      <c r="L112" s="3">
        <v>12</v>
      </c>
      <c r="M112" s="3">
        <v>166</v>
      </c>
    </row>
    <row r="113" spans="1:13" x14ac:dyDescent="0.25">
      <c r="A113" s="1" t="str">
        <f>HYPERLINK("http://www.rosaceae.org/Prunus/Prunus_persica/p.persica_gdr_reftransV1_0011651","p.persica_gdr_reftransV1_0011651")</f>
        <v>p.persica_gdr_reftransV1_0011651</v>
      </c>
      <c r="B113" s="3">
        <v>1864</v>
      </c>
      <c r="C113" s="1" t="str">
        <f>HYPERLINK("http://www.uniprot.org/uniprot/PP383_ARATH","PP383_ARATH")</f>
        <v>PP383_ARATH</v>
      </c>
      <c r="D113" t="s">
        <v>136</v>
      </c>
      <c r="E113" s="3" t="s">
        <v>3</v>
      </c>
      <c r="F113" s="4">
        <v>0</v>
      </c>
      <c r="G113" s="3">
        <v>1508</v>
      </c>
      <c r="H113" s="3">
        <v>62</v>
      </c>
      <c r="I113" s="3">
        <v>504</v>
      </c>
      <c r="J113" s="3">
        <v>358</v>
      </c>
      <c r="K113" s="3">
        <v>1860</v>
      </c>
      <c r="L113" s="3">
        <v>78</v>
      </c>
      <c r="M113" s="3">
        <v>572</v>
      </c>
    </row>
    <row r="114" spans="1:13" x14ac:dyDescent="0.25">
      <c r="A114" s="1" t="str">
        <f>HYPERLINK("http://www.rosaceae.org/Prunus/Prunus_persica/p.persica_gdr_reftransV1_0011801","p.persica_gdr_reftransV1_0011801")</f>
        <v>p.persica_gdr_reftransV1_0011801</v>
      </c>
      <c r="B114" s="3">
        <v>1673</v>
      </c>
      <c r="C114" s="1" t="str">
        <f>HYPERLINK("http://www.uniprot.org/uniprot/CB23_SOLLC","CB23_SOLLC")</f>
        <v>CB23_SOLLC</v>
      </c>
      <c r="D114" t="s">
        <v>137</v>
      </c>
      <c r="E114" s="3" t="s">
        <v>64</v>
      </c>
      <c r="F114" s="4">
        <v>5.7600000000000001E-108</v>
      </c>
      <c r="G114" s="3">
        <v>848</v>
      </c>
      <c r="H114" s="3">
        <v>95</v>
      </c>
      <c r="I114" s="3">
        <v>169</v>
      </c>
      <c r="J114" s="3">
        <v>212</v>
      </c>
      <c r="K114" s="3">
        <v>718</v>
      </c>
      <c r="L114" s="3">
        <v>97</v>
      </c>
      <c r="M114" s="3">
        <v>265</v>
      </c>
    </row>
    <row r="115" spans="1:13" x14ac:dyDescent="0.25">
      <c r="A115" s="1" t="str">
        <f>HYPERLINK("http://www.rosaceae.org/Prunus/Prunus_persica/p.persica_gdr_reftransV1_0011951","p.persica_gdr_reftransV1_0011951")</f>
        <v>p.persica_gdr_reftransV1_0011951</v>
      </c>
      <c r="B115" s="3">
        <v>1430</v>
      </c>
      <c r="C115" s="1" t="str">
        <f>HYPERLINK("http://www.uniprot.org/uniprot/SERC_ARATH","SERC_ARATH")</f>
        <v>SERC_ARATH</v>
      </c>
      <c r="D115" t="s">
        <v>138</v>
      </c>
      <c r="E115" s="3" t="s">
        <v>3</v>
      </c>
      <c r="F115" s="4">
        <v>1.29E-145</v>
      </c>
      <c r="G115" s="3">
        <v>1093</v>
      </c>
      <c r="H115" s="3">
        <v>71</v>
      </c>
      <c r="I115" s="3">
        <v>298</v>
      </c>
      <c r="J115" s="3">
        <v>359</v>
      </c>
      <c r="K115" s="3">
        <v>1252</v>
      </c>
      <c r="L115" s="3">
        <v>1</v>
      </c>
      <c r="M115" s="3">
        <v>295</v>
      </c>
    </row>
    <row r="116" spans="1:13" x14ac:dyDescent="0.25">
      <c r="A116" s="1" t="str">
        <f>HYPERLINK("http://www.rosaceae.org/Prunus/Prunus_persica/p.persica_gdr_reftransV1_0012001","p.persica_gdr_reftransV1_0012001")</f>
        <v>p.persica_gdr_reftransV1_0012001</v>
      </c>
      <c r="B116" s="3">
        <v>2087</v>
      </c>
      <c r="C116" s="1" t="str">
        <f>HYPERLINK("http://www.uniprot.org/uniprot/WTR44_ARATH","WTR44_ARATH")</f>
        <v>WTR44_ARATH</v>
      </c>
      <c r="D116" t="s">
        <v>139</v>
      </c>
      <c r="E116" s="3" t="s">
        <v>3</v>
      </c>
      <c r="F116" s="4">
        <v>5.4600000000000001E-145</v>
      </c>
      <c r="G116" s="3">
        <v>1117</v>
      </c>
      <c r="H116" s="3">
        <v>61</v>
      </c>
      <c r="I116" s="3">
        <v>360</v>
      </c>
      <c r="J116" s="3">
        <v>282</v>
      </c>
      <c r="K116" s="3">
        <v>1358</v>
      </c>
      <c r="L116" s="3">
        <v>9</v>
      </c>
      <c r="M116" s="3">
        <v>364</v>
      </c>
    </row>
    <row r="117" spans="1:13" x14ac:dyDescent="0.25">
      <c r="A117" s="1" t="str">
        <f>HYPERLINK("http://www.rosaceae.org/Prunus/Prunus_persica/p.persica_gdr_reftransV1_0012101","p.persica_gdr_reftransV1_0012101")</f>
        <v>p.persica_gdr_reftransV1_0012101</v>
      </c>
      <c r="B117" s="3">
        <v>2089</v>
      </c>
      <c r="C117" s="1" t="str">
        <f>HYPERLINK("http://www.uniprot.org/uniprot/Y4523_ARATH","Y4523_ARATH")</f>
        <v>Y4523_ARATH</v>
      </c>
      <c r="D117" t="s">
        <v>140</v>
      </c>
      <c r="E117" s="3" t="s">
        <v>3</v>
      </c>
      <c r="F117" s="4">
        <v>1.04E-178</v>
      </c>
      <c r="G117" s="3">
        <v>978</v>
      </c>
      <c r="H117" s="3">
        <v>74</v>
      </c>
      <c r="I117" s="3">
        <v>231</v>
      </c>
      <c r="J117" s="3">
        <v>1083</v>
      </c>
      <c r="K117" s="3">
        <v>1775</v>
      </c>
      <c r="L117" s="3">
        <v>55</v>
      </c>
      <c r="M117" s="3">
        <v>285</v>
      </c>
    </row>
    <row r="118" spans="1:13" x14ac:dyDescent="0.25">
      <c r="A118" s="1" t="str">
        <f>HYPERLINK("http://www.rosaceae.org/Prunus/Prunus_persica/p.persica_gdr_reftransV1_0012201","p.persica_gdr_reftransV1_0012201")</f>
        <v>p.persica_gdr_reftransV1_0012201</v>
      </c>
      <c r="B118" s="3">
        <v>1485</v>
      </c>
      <c r="C118" s="1" t="str">
        <f>HYPERLINK("http://www.uniprot.org/uniprot/TI22L_ARATH","TI22L_ARATH")</f>
        <v>TI22L_ARATH</v>
      </c>
      <c r="D118" t="s">
        <v>141</v>
      </c>
      <c r="E118" s="3" t="s">
        <v>3</v>
      </c>
      <c r="F118" s="4">
        <v>7.3200000000000001E-115</v>
      </c>
      <c r="G118" s="3">
        <v>893</v>
      </c>
      <c r="H118" s="3">
        <v>59</v>
      </c>
      <c r="I118" s="3">
        <v>313</v>
      </c>
      <c r="J118" s="3">
        <v>162</v>
      </c>
      <c r="K118" s="3">
        <v>1079</v>
      </c>
      <c r="L118" s="3">
        <v>7</v>
      </c>
      <c r="M118" s="3">
        <v>313</v>
      </c>
    </row>
    <row r="119" spans="1:13" x14ac:dyDescent="0.25">
      <c r="A119" s="1" t="str">
        <f>HYPERLINK("http://www.rosaceae.org/Prunus/Prunus_persica/p.persica_gdr_reftransV1_0012251","p.persica_gdr_reftransV1_0012251")</f>
        <v>p.persica_gdr_reftransV1_0012251</v>
      </c>
      <c r="B119" s="3">
        <v>1555</v>
      </c>
      <c r="C119" s="1" t="str">
        <f>HYPERLINK("http://www.uniprot.org/uniprot/PGLR5_ARATH","PGLR5_ARATH")</f>
        <v>PGLR5_ARATH</v>
      </c>
      <c r="D119" t="s">
        <v>142</v>
      </c>
      <c r="E119" s="3" t="s">
        <v>3</v>
      </c>
      <c r="F119" s="4">
        <v>2.9000000000000002E-122</v>
      </c>
      <c r="G119" s="3">
        <v>957</v>
      </c>
      <c r="H119" s="3">
        <v>48</v>
      </c>
      <c r="I119" s="3">
        <v>375</v>
      </c>
      <c r="J119" s="3">
        <v>323</v>
      </c>
      <c r="K119" s="3">
        <v>1438</v>
      </c>
      <c r="L119" s="3">
        <v>52</v>
      </c>
      <c r="M119" s="3">
        <v>425</v>
      </c>
    </row>
    <row r="120" spans="1:13" x14ac:dyDescent="0.25">
      <c r="A120" s="1" t="str">
        <f>HYPERLINK("http://www.rosaceae.org/Prunus/Prunus_persica/p.persica_gdr_reftransV1_0012401","p.persica_gdr_reftransV1_0012401")</f>
        <v>p.persica_gdr_reftransV1_0012401</v>
      </c>
      <c r="B120" s="3">
        <v>1560</v>
      </c>
      <c r="C120" s="1" t="str">
        <f>HYPERLINK("http://www.uniprot.org/uniprot/SKI23_ARATH","SKI23_ARATH")</f>
        <v>SKI23_ARATH</v>
      </c>
      <c r="D120" t="s">
        <v>143</v>
      </c>
      <c r="E120" s="3" t="s">
        <v>3</v>
      </c>
      <c r="F120" s="4">
        <v>2.1299999999999999E-31</v>
      </c>
      <c r="G120" s="3">
        <v>323</v>
      </c>
      <c r="H120" s="3">
        <v>27</v>
      </c>
      <c r="I120" s="3">
        <v>414</v>
      </c>
      <c r="J120" s="3">
        <v>333</v>
      </c>
      <c r="K120" s="3">
        <v>1499</v>
      </c>
      <c r="L120" s="3">
        <v>2</v>
      </c>
      <c r="M120" s="3">
        <v>390</v>
      </c>
    </row>
    <row r="121" spans="1:13" x14ac:dyDescent="0.25">
      <c r="A121" s="1" t="str">
        <f>HYPERLINK("http://www.rosaceae.org/Prunus/Prunus_persica/p.persica_gdr_reftransV1_0012451","p.persica_gdr_reftransV1_0012451")</f>
        <v>p.persica_gdr_reftransV1_0012451</v>
      </c>
      <c r="B121" s="3">
        <v>5342</v>
      </c>
      <c r="C121" s="1" t="str">
        <f>HYPERLINK("http://www.uniprot.org/uniprot/TATB_HERAR","TATB_HERAR")</f>
        <v>TATB_HERAR</v>
      </c>
      <c r="D121" t="s">
        <v>144</v>
      </c>
      <c r="E121" s="3" t="s">
        <v>145</v>
      </c>
      <c r="F121" s="4">
        <v>9.2500000000000004E-7</v>
      </c>
      <c r="G121" s="3">
        <v>130</v>
      </c>
      <c r="H121" s="3">
        <v>32</v>
      </c>
      <c r="I121" s="3">
        <v>74</v>
      </c>
      <c r="J121" s="3">
        <v>3009</v>
      </c>
      <c r="K121" s="3">
        <v>3230</v>
      </c>
      <c r="L121" s="3">
        <v>1</v>
      </c>
      <c r="M121" s="3">
        <v>74</v>
      </c>
    </row>
    <row r="122" spans="1:13" x14ac:dyDescent="0.25">
      <c r="A122" s="1" t="str">
        <f>HYPERLINK("http://www.rosaceae.org/Prunus/Prunus_persica/p.persica_gdr_reftransV1_0012751","p.persica_gdr_reftransV1_0012751")</f>
        <v>p.persica_gdr_reftransV1_0012751</v>
      </c>
      <c r="B122" s="3">
        <v>6157</v>
      </c>
      <c r="C122" s="1" t="str">
        <f>HYPERLINK("http://www.uniprot.org/uniprot/RNHX1_ARATH","RNHX1_ARATH")</f>
        <v>RNHX1_ARATH</v>
      </c>
      <c r="D122" t="s">
        <v>124</v>
      </c>
      <c r="E122" s="3" t="s">
        <v>3</v>
      </c>
      <c r="F122" s="4">
        <v>7.7400000000000001E-43</v>
      </c>
      <c r="G122" s="3">
        <v>436</v>
      </c>
      <c r="H122" s="3">
        <v>31</v>
      </c>
      <c r="I122" s="3">
        <v>370</v>
      </c>
      <c r="J122" s="3">
        <v>4530</v>
      </c>
      <c r="K122" s="3">
        <v>5594</v>
      </c>
      <c r="L122" s="3">
        <v>16</v>
      </c>
      <c r="M122" s="3">
        <v>379</v>
      </c>
    </row>
    <row r="123" spans="1:13" x14ac:dyDescent="0.25">
      <c r="A123" s="1" t="str">
        <f>HYPERLINK("http://www.rosaceae.org/Prunus/Prunus_persica/p.persica_gdr_reftransV1_0012801","p.persica_gdr_reftransV1_0012801")</f>
        <v>p.persica_gdr_reftransV1_0012801</v>
      </c>
      <c r="B123" s="3">
        <v>5051</v>
      </c>
      <c r="C123" s="1" t="str">
        <f>HYPERLINK("http://www.uniprot.org/uniprot/WAKLO_ARATH","WAKLO_ARATH")</f>
        <v>WAKLO_ARATH</v>
      </c>
      <c r="D123" t="s">
        <v>146</v>
      </c>
      <c r="E123" s="3" t="s">
        <v>3</v>
      </c>
      <c r="F123" s="4">
        <v>1.9699999999999999E-161</v>
      </c>
      <c r="G123" s="3">
        <v>1248</v>
      </c>
      <c r="H123" s="3">
        <v>70</v>
      </c>
      <c r="I123" s="3">
        <v>342</v>
      </c>
      <c r="J123" s="3">
        <v>3847</v>
      </c>
      <c r="K123" s="3">
        <v>4872</v>
      </c>
      <c r="L123" s="3">
        <v>376</v>
      </c>
      <c r="M123" s="3">
        <v>706</v>
      </c>
    </row>
    <row r="124" spans="1:13" x14ac:dyDescent="0.25">
      <c r="A124" s="1" t="str">
        <f>HYPERLINK("http://www.rosaceae.org/Prunus/Prunus_persica/p.persica_gdr_reftransV1_0012851","p.persica_gdr_reftransV1_0012851")</f>
        <v>p.persica_gdr_reftransV1_0012851</v>
      </c>
      <c r="B124" s="3">
        <v>1896</v>
      </c>
      <c r="C124" s="1" t="str">
        <f>HYPERLINK("http://www.uniprot.org/uniprot/MRG2_ARATH","MRG2_ARATH")</f>
        <v>MRG2_ARATH</v>
      </c>
      <c r="D124" t="s">
        <v>147</v>
      </c>
      <c r="E124" s="3" t="s">
        <v>3</v>
      </c>
      <c r="F124" s="4">
        <v>1.4299999999999999E-78</v>
      </c>
      <c r="G124" s="3">
        <v>661</v>
      </c>
      <c r="H124" s="3">
        <v>55</v>
      </c>
      <c r="I124" s="3">
        <v>231</v>
      </c>
      <c r="J124" s="3">
        <v>379</v>
      </c>
      <c r="K124" s="3">
        <v>1059</v>
      </c>
      <c r="L124" s="3">
        <v>93</v>
      </c>
      <c r="M124" s="3">
        <v>323</v>
      </c>
    </row>
    <row r="125" spans="1:13" x14ac:dyDescent="0.25">
      <c r="A125" s="1" t="str">
        <f>HYPERLINK("http://www.rosaceae.org/Prunus/Prunus_persica/p.persica_gdr_reftransV1_0013001","p.persica_gdr_reftransV1_0013001")</f>
        <v>p.persica_gdr_reftransV1_0013001</v>
      </c>
      <c r="B125" s="3">
        <v>1233</v>
      </c>
      <c r="C125" s="1" t="str">
        <f>HYPERLINK("http://www.uniprot.org/uniprot/KCS4_ARATH","KCS4_ARATH")</f>
        <v>KCS4_ARATH</v>
      </c>
      <c r="D125" t="s">
        <v>148</v>
      </c>
      <c r="E125" s="3" t="s">
        <v>3</v>
      </c>
      <c r="F125" s="4">
        <v>0</v>
      </c>
      <c r="G125" s="3">
        <v>1363</v>
      </c>
      <c r="H125" s="3">
        <v>89</v>
      </c>
      <c r="I125" s="3">
        <v>277</v>
      </c>
      <c r="J125" s="3">
        <v>2</v>
      </c>
      <c r="K125" s="3">
        <v>832</v>
      </c>
      <c r="L125" s="3">
        <v>236</v>
      </c>
      <c r="M125" s="3">
        <v>512</v>
      </c>
    </row>
    <row r="126" spans="1:13" x14ac:dyDescent="0.25">
      <c r="A126" s="1" t="str">
        <f>HYPERLINK("http://www.rosaceae.org/Prunus/Prunus_persica/p.persica_gdr_reftransV1_0013251","p.persica_gdr_reftransV1_0013251")</f>
        <v>p.persica_gdr_reftransV1_0013251</v>
      </c>
      <c r="B126" s="3">
        <v>1002</v>
      </c>
      <c r="C126" s="1" t="str">
        <f>HYPERLINK("http://www.uniprot.org/uniprot/PP341_ARATH","PP341_ARATH")</f>
        <v>PP341_ARATH</v>
      </c>
      <c r="D126" t="s">
        <v>149</v>
      </c>
      <c r="E126" s="3" t="s">
        <v>3</v>
      </c>
      <c r="F126" s="4">
        <v>7.8500000000000001E-153</v>
      </c>
      <c r="G126" s="3">
        <v>1172</v>
      </c>
      <c r="H126" s="3">
        <v>69</v>
      </c>
      <c r="I126" s="3">
        <v>315</v>
      </c>
      <c r="J126" s="3">
        <v>61</v>
      </c>
      <c r="K126" s="3">
        <v>1002</v>
      </c>
      <c r="L126" s="3">
        <v>284</v>
      </c>
      <c r="M126" s="3">
        <v>595</v>
      </c>
    </row>
    <row r="127" spans="1:13" x14ac:dyDescent="0.25">
      <c r="A127" s="1" t="str">
        <f>HYPERLINK("http://www.rosaceae.org/Prunus/Prunus_persica/p.persica_gdr_reftransV1_0013301","p.persica_gdr_reftransV1_0013301")</f>
        <v>p.persica_gdr_reftransV1_0013301</v>
      </c>
      <c r="B127" s="3">
        <v>1480</v>
      </c>
      <c r="C127" s="1" t="str">
        <f>HYPERLINK("http://www.uniprot.org/uniprot/GDL87_ARATH","GDL87_ARATH")</f>
        <v>GDL87_ARATH</v>
      </c>
      <c r="D127" t="s">
        <v>150</v>
      </c>
      <c r="E127" s="3" t="s">
        <v>3</v>
      </c>
      <c r="F127" s="4">
        <v>4.1200000000000002E-75</v>
      </c>
      <c r="G127" s="3">
        <v>458</v>
      </c>
      <c r="H127" s="3">
        <v>61</v>
      </c>
      <c r="I127" s="3">
        <v>186</v>
      </c>
      <c r="J127" s="3">
        <v>779</v>
      </c>
      <c r="K127" s="3">
        <v>1330</v>
      </c>
      <c r="L127" s="3">
        <v>33</v>
      </c>
      <c r="M127" s="3">
        <v>217</v>
      </c>
    </row>
    <row r="128" spans="1:13" x14ac:dyDescent="0.25">
      <c r="A128" s="1" t="str">
        <f>HYPERLINK("http://www.rosaceae.org/Prunus/Prunus_persica/p.persica_gdr_reftransV1_0013601","p.persica_gdr_reftransV1_0013601")</f>
        <v>p.persica_gdr_reftransV1_0013601</v>
      </c>
      <c r="B128" s="3">
        <v>1697</v>
      </c>
      <c r="C128" s="1" t="str">
        <f>HYPERLINK("http://www.uniprot.org/uniprot/TMVRN_NICGU","TMVRN_NICGU")</f>
        <v>TMVRN_NICGU</v>
      </c>
      <c r="D128" t="s">
        <v>151</v>
      </c>
      <c r="E128" s="3" t="s">
        <v>152</v>
      </c>
      <c r="F128" s="4">
        <v>5.7300000000000001E-91</v>
      </c>
      <c r="G128" s="3">
        <v>790</v>
      </c>
      <c r="H128" s="3">
        <v>45</v>
      </c>
      <c r="I128" s="3">
        <v>407</v>
      </c>
      <c r="J128" s="3">
        <v>313</v>
      </c>
      <c r="K128" s="3">
        <v>1494</v>
      </c>
      <c r="L128" s="3">
        <v>10</v>
      </c>
      <c r="M128" s="3">
        <v>411</v>
      </c>
    </row>
    <row r="129" spans="1:13" x14ac:dyDescent="0.25">
      <c r="A129" s="1" t="str">
        <f>HYPERLINK("http://www.rosaceae.org/Prunus/Prunus_persica/p.persica_gdr_reftransV1_0013851","p.persica_gdr_reftransV1_0013851")</f>
        <v>p.persica_gdr_reftransV1_0013851</v>
      </c>
      <c r="B129" s="3">
        <v>4616</v>
      </c>
      <c r="C129" s="1" t="str">
        <f>HYPERLINK("http://www.uniprot.org/uniprot/MFRN_DICDI","MFRN_DICDI")</f>
        <v>MFRN_DICDI</v>
      </c>
      <c r="D129" t="s">
        <v>153</v>
      </c>
      <c r="E129" s="3" t="s">
        <v>9</v>
      </c>
      <c r="F129" s="4">
        <v>1.5799999999999999E-8</v>
      </c>
      <c r="G129" s="3">
        <v>149</v>
      </c>
      <c r="H129" s="3">
        <v>31</v>
      </c>
      <c r="I129" s="3">
        <v>143</v>
      </c>
      <c r="J129" s="3">
        <v>2460</v>
      </c>
      <c r="K129" s="3">
        <v>2882</v>
      </c>
      <c r="L129" s="3">
        <v>52</v>
      </c>
      <c r="M129" s="3">
        <v>191</v>
      </c>
    </row>
    <row r="130" spans="1:13" x14ac:dyDescent="0.25">
      <c r="A130" s="1" t="str">
        <f>HYPERLINK("http://www.rosaceae.org/Prunus/Prunus_persica/p.persica_gdr_reftransV1_0013901","p.persica_gdr_reftransV1_0013901")</f>
        <v>p.persica_gdr_reftransV1_0013901</v>
      </c>
      <c r="B130" s="3">
        <v>2494</v>
      </c>
      <c r="C130" s="1" t="str">
        <f>HYPERLINK("http://www.uniprot.org/uniprot/FHY3_ARATH","FHY3_ARATH")</f>
        <v>FHY3_ARATH</v>
      </c>
      <c r="D130" t="s">
        <v>154</v>
      </c>
      <c r="E130" s="3" t="s">
        <v>3</v>
      </c>
      <c r="F130" s="4">
        <v>1.0599999999999999E-138</v>
      </c>
      <c r="G130" s="3">
        <v>1128</v>
      </c>
      <c r="H130" s="3">
        <v>72</v>
      </c>
      <c r="I130" s="3">
        <v>288</v>
      </c>
      <c r="J130" s="3">
        <v>2</v>
      </c>
      <c r="K130" s="3">
        <v>865</v>
      </c>
      <c r="L130" s="3">
        <v>1</v>
      </c>
      <c r="M130" s="3">
        <v>283</v>
      </c>
    </row>
    <row r="131" spans="1:13" x14ac:dyDescent="0.25">
      <c r="A131" s="1" t="str">
        <f>HYPERLINK("http://www.rosaceae.org/Prunus/Prunus_persica/p.persica_gdr_reftransV1_0013951","p.persica_gdr_reftransV1_0013951")</f>
        <v>p.persica_gdr_reftransV1_0013951</v>
      </c>
      <c r="B131" s="3">
        <v>1676</v>
      </c>
      <c r="C131" s="1" t="str">
        <f>HYPERLINK("http://www.uniprot.org/uniprot/TRPC_ARATH","TRPC_ARATH")</f>
        <v>TRPC_ARATH</v>
      </c>
      <c r="D131" t="s">
        <v>155</v>
      </c>
      <c r="E131" s="3" t="s">
        <v>3</v>
      </c>
      <c r="F131" s="4">
        <v>4.7199999999999997E-161</v>
      </c>
      <c r="G131" s="3">
        <v>1214</v>
      </c>
      <c r="H131" s="3">
        <v>74</v>
      </c>
      <c r="I131" s="3">
        <v>316</v>
      </c>
      <c r="J131" s="3">
        <v>313</v>
      </c>
      <c r="K131" s="3">
        <v>1257</v>
      </c>
      <c r="L131" s="3">
        <v>85</v>
      </c>
      <c r="M131" s="3">
        <v>400</v>
      </c>
    </row>
    <row r="132" spans="1:13" x14ac:dyDescent="0.25">
      <c r="A132" s="1" t="str">
        <f>HYPERLINK("http://www.rosaceae.org/Prunus/Prunus_persica/p.persica_gdr_reftransV1_0014151","p.persica_gdr_reftransV1_0014151")</f>
        <v>p.persica_gdr_reftransV1_0014151</v>
      </c>
      <c r="B132" s="3">
        <v>1363</v>
      </c>
      <c r="C132" s="1" t="str">
        <f>HYPERLINK("http://www.uniprot.org/uniprot/CL049_MOUSE","CL049_MOUSE")</f>
        <v>CL049_MOUSE</v>
      </c>
      <c r="D132" t="s">
        <v>156</v>
      </c>
      <c r="E132" s="3" t="s">
        <v>157</v>
      </c>
      <c r="F132" s="4">
        <v>1.3400000000000001E-13</v>
      </c>
      <c r="G132" s="3">
        <v>179</v>
      </c>
      <c r="H132" s="3">
        <v>38</v>
      </c>
      <c r="I132" s="3">
        <v>114</v>
      </c>
      <c r="J132" s="3">
        <v>234</v>
      </c>
      <c r="K132" s="3">
        <v>560</v>
      </c>
      <c r="L132" s="3">
        <v>75</v>
      </c>
      <c r="M132" s="3">
        <v>186</v>
      </c>
    </row>
    <row r="133" spans="1:13" x14ac:dyDescent="0.25">
      <c r="A133" s="1" t="str">
        <f>HYPERLINK("http://www.rosaceae.org/Prunus/Prunus_persica/p.persica_gdr_reftransV1_0014251","p.persica_gdr_reftransV1_0014251")</f>
        <v>p.persica_gdr_reftransV1_0014251</v>
      </c>
      <c r="B133" s="3">
        <v>1404</v>
      </c>
      <c r="C133" s="1" t="str">
        <f>HYPERLINK("http://www.uniprot.org/uniprot/ELP5_ARATH","ELP5_ARATH")</f>
        <v>ELP5_ARATH</v>
      </c>
      <c r="D133" t="s">
        <v>158</v>
      </c>
      <c r="E133" s="3" t="s">
        <v>3</v>
      </c>
      <c r="F133" s="4">
        <v>2.6100000000000002E-125</v>
      </c>
      <c r="G133" s="3">
        <v>966</v>
      </c>
      <c r="H133" s="3">
        <v>54</v>
      </c>
      <c r="I133" s="3">
        <v>362</v>
      </c>
      <c r="J133" s="3">
        <v>294</v>
      </c>
      <c r="K133" s="3">
        <v>1373</v>
      </c>
      <c r="L133" s="3">
        <v>1</v>
      </c>
      <c r="M133" s="3">
        <v>355</v>
      </c>
    </row>
    <row r="134" spans="1:13" x14ac:dyDescent="0.25">
      <c r="A134" s="1" t="str">
        <f>HYPERLINK("http://www.rosaceae.org/Prunus/Prunus_persica/p.persica_gdr_reftransV1_0014351","p.persica_gdr_reftransV1_0014351")</f>
        <v>p.persica_gdr_reftransV1_0014351</v>
      </c>
      <c r="B134" s="3">
        <v>2580</v>
      </c>
      <c r="C134" s="1" t="str">
        <f>HYPERLINK("http://www.uniprot.org/uniprot/COX15_ARATH","COX15_ARATH")</f>
        <v>COX15_ARATH</v>
      </c>
      <c r="D134" t="s">
        <v>159</v>
      </c>
      <c r="E134" s="3" t="s">
        <v>3</v>
      </c>
      <c r="F134" s="4">
        <v>8.7100000000000005E-160</v>
      </c>
      <c r="G134" s="3">
        <v>1239</v>
      </c>
      <c r="H134" s="3">
        <v>77</v>
      </c>
      <c r="I134" s="3">
        <v>320</v>
      </c>
      <c r="J134" s="3">
        <v>103</v>
      </c>
      <c r="K134" s="3">
        <v>1062</v>
      </c>
      <c r="L134" s="3">
        <v>162</v>
      </c>
      <c r="M134" s="3">
        <v>454</v>
      </c>
    </row>
    <row r="135" spans="1:13" x14ac:dyDescent="0.25">
      <c r="A135" s="1" t="str">
        <f>HYPERLINK("http://www.rosaceae.org/Prunus/Prunus_persica/p.persica_gdr_reftransV1_0014401","p.persica_gdr_reftransV1_0014401")</f>
        <v>p.persica_gdr_reftransV1_0014401</v>
      </c>
      <c r="B135" s="3">
        <v>1563</v>
      </c>
      <c r="C135" s="1" t="str">
        <f>HYPERLINK("http://www.uniprot.org/uniprot/CD123_RAT","CD123_RAT")</f>
        <v>CD123_RAT</v>
      </c>
      <c r="D135" t="s">
        <v>160</v>
      </c>
      <c r="E135" s="3" t="s">
        <v>161</v>
      </c>
      <c r="F135" s="4">
        <v>5.2799999999999999E-63</v>
      </c>
      <c r="G135" s="3">
        <v>547</v>
      </c>
      <c r="H135" s="3">
        <v>40</v>
      </c>
      <c r="I135" s="3">
        <v>323</v>
      </c>
      <c r="J135" s="3">
        <v>371</v>
      </c>
      <c r="K135" s="3">
        <v>1306</v>
      </c>
      <c r="L135" s="3">
        <v>1</v>
      </c>
      <c r="M135" s="3">
        <v>316</v>
      </c>
    </row>
    <row r="136" spans="1:13" x14ac:dyDescent="0.25">
      <c r="A136" s="1" t="str">
        <f>HYPERLINK("http://www.rosaceae.org/Prunus/Prunus_persica/p.persica_gdr_reftransV1_0014451","p.persica_gdr_reftransV1_0014451")</f>
        <v>p.persica_gdr_reftransV1_0014451</v>
      </c>
      <c r="B136" s="3">
        <v>1891</v>
      </c>
      <c r="C136" s="1" t="str">
        <f>HYPERLINK("http://www.uniprot.org/uniprot/IX15L_ARATH","IX15L_ARATH")</f>
        <v>IX15L_ARATH</v>
      </c>
      <c r="D136" t="s">
        <v>162</v>
      </c>
      <c r="E136" s="3" t="s">
        <v>3</v>
      </c>
      <c r="F136" s="4">
        <v>3.2599999999999999E-56</v>
      </c>
      <c r="G136" s="3">
        <v>458</v>
      </c>
      <c r="H136" s="3">
        <v>56</v>
      </c>
      <c r="I136" s="3">
        <v>148</v>
      </c>
      <c r="J136" s="3">
        <v>517</v>
      </c>
      <c r="K136" s="3">
        <v>960</v>
      </c>
      <c r="L136" s="3">
        <v>7</v>
      </c>
      <c r="M136" s="3">
        <v>152</v>
      </c>
    </row>
    <row r="137" spans="1:13" x14ac:dyDescent="0.25">
      <c r="A137" s="1" t="str">
        <f>HYPERLINK("http://www.rosaceae.org/Prunus/Prunus_persica/p.persica_gdr_reftransV1_0014501","p.persica_gdr_reftransV1_0014501")</f>
        <v>p.persica_gdr_reftransV1_0014501</v>
      </c>
      <c r="B137" s="3">
        <v>1191</v>
      </c>
      <c r="C137" s="1" t="str">
        <f>HYPERLINK("http://www.uniprot.org/uniprot/RADL3_ARATH","RADL3_ARATH")</f>
        <v>RADL3_ARATH</v>
      </c>
      <c r="D137" t="s">
        <v>163</v>
      </c>
      <c r="E137" s="3" t="s">
        <v>3</v>
      </c>
      <c r="F137" s="4">
        <v>7.2900000000000002E-13</v>
      </c>
      <c r="G137" s="3">
        <v>166</v>
      </c>
      <c r="H137" s="3">
        <v>52</v>
      </c>
      <c r="I137" s="3">
        <v>61</v>
      </c>
      <c r="J137" s="3">
        <v>697</v>
      </c>
      <c r="K137" s="3">
        <v>879</v>
      </c>
      <c r="L137" s="3">
        <v>12</v>
      </c>
      <c r="M137" s="3">
        <v>71</v>
      </c>
    </row>
    <row r="138" spans="1:13" x14ac:dyDescent="0.25">
      <c r="A138" s="1" t="str">
        <f>HYPERLINK("http://www.rosaceae.org/Prunus/Prunus_persica/p.persica_gdr_reftransV1_0014751","p.persica_gdr_reftransV1_0014751")</f>
        <v>p.persica_gdr_reftransV1_0014751</v>
      </c>
      <c r="B138" s="3">
        <v>3636</v>
      </c>
      <c r="C138" s="1" t="str">
        <f>HYPERLINK("http://www.uniprot.org/uniprot/BRE1A_ARATH","BRE1A_ARATH")</f>
        <v>BRE1A_ARATH</v>
      </c>
      <c r="D138" t="s">
        <v>164</v>
      </c>
      <c r="E138" s="3" t="s">
        <v>3</v>
      </c>
      <c r="F138" s="4">
        <v>0</v>
      </c>
      <c r="G138" s="3">
        <v>2269</v>
      </c>
      <c r="H138" s="3">
        <v>56</v>
      </c>
      <c r="I138" s="3">
        <v>881</v>
      </c>
      <c r="J138" s="3">
        <v>627</v>
      </c>
      <c r="K138" s="3">
        <v>3254</v>
      </c>
      <c r="L138" s="3">
        <v>1</v>
      </c>
      <c r="M138" s="3">
        <v>878</v>
      </c>
    </row>
    <row r="139" spans="1:13" x14ac:dyDescent="0.25">
      <c r="A139" s="1" t="str">
        <f>HYPERLINK("http://www.rosaceae.org/Prunus/Prunus_persica/p.persica_gdr_reftransV1_0015051","p.persica_gdr_reftransV1_0015051")</f>
        <v>p.persica_gdr_reftransV1_0015051</v>
      </c>
      <c r="B139" s="3">
        <v>2216</v>
      </c>
      <c r="C139" s="1" t="str">
        <f>HYPERLINK("http://www.uniprot.org/uniprot/RMI1_ARATH","RMI1_ARATH")</f>
        <v>RMI1_ARATH</v>
      </c>
      <c r="D139" t="s">
        <v>165</v>
      </c>
      <c r="E139" s="3" t="s">
        <v>3</v>
      </c>
      <c r="F139" s="4">
        <v>1.36E-120</v>
      </c>
      <c r="G139" s="3">
        <v>982</v>
      </c>
      <c r="H139" s="3">
        <v>48</v>
      </c>
      <c r="I139" s="3">
        <v>531</v>
      </c>
      <c r="J139" s="3">
        <v>3</v>
      </c>
      <c r="K139" s="3">
        <v>1541</v>
      </c>
      <c r="L139" s="3">
        <v>130</v>
      </c>
      <c r="M139" s="3">
        <v>627</v>
      </c>
    </row>
    <row r="140" spans="1:13" x14ac:dyDescent="0.25">
      <c r="A140" s="1" t="str">
        <f>HYPERLINK("http://www.rosaceae.org/Prunus/Prunus_persica/p.persica_gdr_reftransV1_0015401","p.persica_gdr_reftransV1_0015401")</f>
        <v>p.persica_gdr_reftransV1_0015401</v>
      </c>
      <c r="B140" s="3">
        <v>2303</v>
      </c>
      <c r="C140" s="1" t="str">
        <f>HYPERLINK("http://www.uniprot.org/uniprot/PP177_ARATH","PP177_ARATH")</f>
        <v>PP177_ARATH</v>
      </c>
      <c r="D140" t="s">
        <v>166</v>
      </c>
      <c r="E140" s="3" t="s">
        <v>3</v>
      </c>
      <c r="F140" s="4">
        <v>1.32E-163</v>
      </c>
      <c r="G140" s="3">
        <v>1256</v>
      </c>
      <c r="H140" s="3">
        <v>55</v>
      </c>
      <c r="I140" s="3">
        <v>424</v>
      </c>
      <c r="J140" s="3">
        <v>637</v>
      </c>
      <c r="K140" s="3">
        <v>1908</v>
      </c>
      <c r="L140" s="3">
        <v>28</v>
      </c>
      <c r="M140" s="3">
        <v>451</v>
      </c>
    </row>
    <row r="141" spans="1:13" x14ac:dyDescent="0.25">
      <c r="A141" s="1" t="str">
        <f>HYPERLINK("http://www.rosaceae.org/Prunus/Prunus_persica/p.persica_gdr_reftransV1_0015551","p.persica_gdr_reftransV1_0015551")</f>
        <v>p.persica_gdr_reftransV1_0015551</v>
      </c>
      <c r="B141" s="3">
        <v>7949</v>
      </c>
      <c r="C141" s="1" t="str">
        <f>HYPERLINK("http://www.uniprot.org/uniprot/ZRAB3_HUMAN","ZRAB3_HUMAN")</f>
        <v>ZRAB3_HUMAN</v>
      </c>
      <c r="D141" t="s">
        <v>167</v>
      </c>
      <c r="E141" s="3" t="s">
        <v>28</v>
      </c>
      <c r="F141" s="4">
        <v>2.5E-74</v>
      </c>
      <c r="G141" s="3">
        <v>707</v>
      </c>
      <c r="H141" s="3">
        <v>36</v>
      </c>
      <c r="I141" s="3">
        <v>491</v>
      </c>
      <c r="J141" s="3">
        <v>5892</v>
      </c>
      <c r="K141" s="3">
        <v>7340</v>
      </c>
      <c r="L141" s="3">
        <v>20</v>
      </c>
      <c r="M141" s="3">
        <v>478</v>
      </c>
    </row>
    <row r="142" spans="1:13" x14ac:dyDescent="0.25">
      <c r="A142" s="1" t="str">
        <f>HYPERLINK("http://www.rosaceae.org/Prunus/Prunus_persica/p.persica_gdr_reftransV1_0015801","p.persica_gdr_reftransV1_0015801")</f>
        <v>p.persica_gdr_reftransV1_0015801</v>
      </c>
      <c r="B142" s="3">
        <v>3101</v>
      </c>
      <c r="C142" s="1" t="str">
        <f>HYPERLINK("http://www.uniprot.org/uniprot/PP334_ARATH","PP334_ARATH")</f>
        <v>PP334_ARATH</v>
      </c>
      <c r="D142" t="s">
        <v>168</v>
      </c>
      <c r="E142" s="3" t="s">
        <v>3</v>
      </c>
      <c r="F142" s="4">
        <v>0</v>
      </c>
      <c r="G142" s="3">
        <v>1556</v>
      </c>
      <c r="H142" s="3">
        <v>61</v>
      </c>
      <c r="I142" s="3">
        <v>479</v>
      </c>
      <c r="J142" s="3">
        <v>1538</v>
      </c>
      <c r="K142" s="3">
        <v>2968</v>
      </c>
      <c r="L142" s="3">
        <v>12</v>
      </c>
      <c r="M142" s="3">
        <v>489</v>
      </c>
    </row>
    <row r="143" spans="1:13" x14ac:dyDescent="0.25">
      <c r="A143" s="1" t="str">
        <f>HYPERLINK("http://www.rosaceae.org/Prunus/Prunus_persica/p.persica_gdr_reftransV1_0015901","p.persica_gdr_reftransV1_0015901")</f>
        <v>p.persica_gdr_reftransV1_0015901</v>
      </c>
      <c r="B143" s="3">
        <v>3113</v>
      </c>
      <c r="C143" s="1" t="str">
        <f>HYPERLINK("http://www.uniprot.org/uniprot/FTSH5_ORYSJ","FTSH5_ORYSJ")</f>
        <v>FTSH5_ORYSJ</v>
      </c>
      <c r="D143" t="s">
        <v>169</v>
      </c>
      <c r="E143" s="3" t="s">
        <v>38</v>
      </c>
      <c r="F143" s="4">
        <v>0</v>
      </c>
      <c r="G143" s="3">
        <v>2266</v>
      </c>
      <c r="H143" s="3">
        <v>88</v>
      </c>
      <c r="I143" s="3">
        <v>533</v>
      </c>
      <c r="J143" s="3">
        <v>947</v>
      </c>
      <c r="K143" s="3">
        <v>2524</v>
      </c>
      <c r="L143" s="3">
        <v>126</v>
      </c>
      <c r="M143" s="3">
        <v>658</v>
      </c>
    </row>
    <row r="144" spans="1:13" x14ac:dyDescent="0.25">
      <c r="A144" s="1" t="str">
        <f>HYPERLINK("http://www.rosaceae.org/Prunus/Prunus_persica/p.persica_gdr_reftransV1_0016101","p.persica_gdr_reftransV1_0016101")</f>
        <v>p.persica_gdr_reftransV1_0016101</v>
      </c>
      <c r="B144" s="3">
        <v>1272</v>
      </c>
      <c r="C144" s="1" t="str">
        <f>HYPERLINK("http://www.uniprot.org/uniprot/DECR2_ARATH","DECR2_ARATH")</f>
        <v>DECR2_ARATH</v>
      </c>
      <c r="D144" t="s">
        <v>170</v>
      </c>
      <c r="E144" s="3" t="s">
        <v>3</v>
      </c>
      <c r="F144" s="4">
        <v>9.6400000000000004E-154</v>
      </c>
      <c r="G144" s="3">
        <v>1142</v>
      </c>
      <c r="H144" s="3">
        <v>80</v>
      </c>
      <c r="I144" s="3">
        <v>298</v>
      </c>
      <c r="J144" s="3">
        <v>267</v>
      </c>
      <c r="K144" s="3">
        <v>1157</v>
      </c>
      <c r="L144" s="3">
        <v>1</v>
      </c>
      <c r="M144" s="3">
        <v>298</v>
      </c>
    </row>
    <row r="145" spans="1:13" x14ac:dyDescent="0.25">
      <c r="A145" s="1" t="str">
        <f>HYPERLINK("http://www.rosaceae.org/Prunus/Prunus_persica/p.persica_gdr_reftransV1_0016251","p.persica_gdr_reftransV1_0016251")</f>
        <v>p.persica_gdr_reftransV1_0016251</v>
      </c>
      <c r="B145" s="3">
        <v>3917</v>
      </c>
      <c r="C145" s="1" t="str">
        <f>HYPERLINK("http://www.uniprot.org/uniprot/SYLC_ARATH","SYLC_ARATH")</f>
        <v>SYLC_ARATH</v>
      </c>
      <c r="D145" t="s">
        <v>171</v>
      </c>
      <c r="E145" s="3" t="s">
        <v>3</v>
      </c>
      <c r="F145" s="4">
        <v>0</v>
      </c>
      <c r="G145" s="3">
        <v>4371</v>
      </c>
      <c r="H145" s="3">
        <v>74</v>
      </c>
      <c r="I145" s="3">
        <v>1095</v>
      </c>
      <c r="J145" s="3">
        <v>401</v>
      </c>
      <c r="K145" s="3">
        <v>3685</v>
      </c>
      <c r="L145" s="3">
        <v>1</v>
      </c>
      <c r="M145" s="3">
        <v>1091</v>
      </c>
    </row>
    <row r="146" spans="1:13" x14ac:dyDescent="0.25">
      <c r="A146" s="1" t="str">
        <f>HYPERLINK("http://www.rosaceae.org/Prunus/Prunus_persica/p.persica_gdr_reftransV1_0016401","p.persica_gdr_reftransV1_0016401")</f>
        <v>p.persica_gdr_reftransV1_0016401</v>
      </c>
      <c r="B146" s="3">
        <v>1878</v>
      </c>
      <c r="C146" s="1" t="str">
        <f>HYPERLINK("http://www.uniprot.org/uniprot/BOP1_XENTR","BOP1_XENTR")</f>
        <v>BOP1_XENTR</v>
      </c>
      <c r="D146" t="s">
        <v>172</v>
      </c>
      <c r="E146" s="3" t="s">
        <v>173</v>
      </c>
      <c r="F146" s="4">
        <v>2.1499999999999999E-141</v>
      </c>
      <c r="G146" s="3">
        <v>1119</v>
      </c>
      <c r="H146" s="3">
        <v>48</v>
      </c>
      <c r="I146" s="3">
        <v>469</v>
      </c>
      <c r="J146" s="3">
        <v>60</v>
      </c>
      <c r="K146" s="3">
        <v>1448</v>
      </c>
      <c r="L146" s="3">
        <v>264</v>
      </c>
      <c r="M146" s="3">
        <v>728</v>
      </c>
    </row>
    <row r="147" spans="1:13" x14ac:dyDescent="0.25">
      <c r="A147" s="1" t="str">
        <f>HYPERLINK("http://www.rosaceae.org/Prunus/Prunus_persica/p.persica_gdr_reftransV1_0016501","p.persica_gdr_reftransV1_0016501")</f>
        <v>p.persica_gdr_reftransV1_0016501</v>
      </c>
      <c r="B147" s="3">
        <v>1331</v>
      </c>
      <c r="C147" s="1" t="str">
        <f>HYPERLINK("http://www.uniprot.org/uniprot/TRPA1_ARATH","TRPA1_ARATH")</f>
        <v>TRPA1_ARATH</v>
      </c>
      <c r="D147" t="s">
        <v>174</v>
      </c>
      <c r="E147" s="3" t="s">
        <v>3</v>
      </c>
      <c r="F147" s="4">
        <v>2.5999999999999999E-147</v>
      </c>
      <c r="G147" s="3">
        <v>1099</v>
      </c>
      <c r="H147" s="3">
        <v>79</v>
      </c>
      <c r="I147" s="3">
        <v>261</v>
      </c>
      <c r="J147" s="3">
        <v>290</v>
      </c>
      <c r="K147" s="3">
        <v>1072</v>
      </c>
      <c r="L147" s="3">
        <v>6</v>
      </c>
      <c r="M147" s="3">
        <v>266</v>
      </c>
    </row>
    <row r="148" spans="1:13" x14ac:dyDescent="0.25">
      <c r="A148" s="1" t="str">
        <f>HYPERLINK("http://www.rosaceae.org/Prunus/Prunus_persica/p.persica_gdr_reftransV1_0016851","p.persica_gdr_reftransV1_0016851")</f>
        <v>p.persica_gdr_reftransV1_0016851</v>
      </c>
      <c r="B148" s="3">
        <v>4008</v>
      </c>
      <c r="C148" s="1" t="str">
        <f>HYPERLINK("http://www.uniprot.org/uniprot/INT3_PONAB","INT3_PONAB")</f>
        <v>INT3_PONAB</v>
      </c>
      <c r="D148" t="s">
        <v>175</v>
      </c>
      <c r="E148" s="3" t="s">
        <v>176</v>
      </c>
      <c r="F148" s="4">
        <v>1.5999999999999999E-81</v>
      </c>
      <c r="G148" s="3">
        <v>753</v>
      </c>
      <c r="H148" s="3">
        <v>39</v>
      </c>
      <c r="I148" s="3">
        <v>407</v>
      </c>
      <c r="J148" s="3">
        <v>2151</v>
      </c>
      <c r="K148" s="3">
        <v>3371</v>
      </c>
      <c r="L148" s="3">
        <v>98</v>
      </c>
      <c r="M148" s="3">
        <v>494</v>
      </c>
    </row>
    <row r="149" spans="1:13" x14ac:dyDescent="0.25">
      <c r="A149" s="1" t="str">
        <f>HYPERLINK("http://www.rosaceae.org/Prunus/Prunus_persica/p.persica_gdr_reftransV1_0016951","p.persica_gdr_reftransV1_0016951")</f>
        <v>p.persica_gdr_reftransV1_0016951</v>
      </c>
      <c r="B149" s="3">
        <v>1646</v>
      </c>
      <c r="C149" s="1" t="str">
        <f>HYPERLINK("http://www.uniprot.org/uniprot/PSYR1_ARATH","PSYR1_ARATH")</f>
        <v>PSYR1_ARATH</v>
      </c>
      <c r="D149" t="s">
        <v>177</v>
      </c>
      <c r="E149" s="3" t="s">
        <v>3</v>
      </c>
      <c r="F149" s="4">
        <v>1.5E-103</v>
      </c>
      <c r="G149" s="3">
        <v>877</v>
      </c>
      <c r="H149" s="3">
        <v>47</v>
      </c>
      <c r="I149" s="3">
        <v>483</v>
      </c>
      <c r="J149" s="3">
        <v>215</v>
      </c>
      <c r="K149" s="3">
        <v>1627</v>
      </c>
      <c r="L149" s="3">
        <v>70</v>
      </c>
      <c r="M149" s="3">
        <v>549</v>
      </c>
    </row>
    <row r="150" spans="1:13" x14ac:dyDescent="0.25">
      <c r="A150" s="1" t="str">
        <f>HYPERLINK("http://www.rosaceae.org/Prunus/Prunus_persica/p.persica_gdr_reftransV1_0017251","p.persica_gdr_reftransV1_0017251")</f>
        <v>p.persica_gdr_reftransV1_0017251</v>
      </c>
      <c r="B150" s="3">
        <v>2578</v>
      </c>
      <c r="C150" s="1" t="str">
        <f>HYPERLINK("http://www.uniprot.org/uniprot/ORAV1_MOUSE","ORAV1_MOUSE")</f>
        <v>ORAV1_MOUSE</v>
      </c>
      <c r="D150" t="s">
        <v>178</v>
      </c>
      <c r="E150" s="3" t="s">
        <v>157</v>
      </c>
      <c r="F150" s="4">
        <v>4.15E-14</v>
      </c>
      <c r="G150" s="3">
        <v>184</v>
      </c>
      <c r="H150" s="3">
        <v>30</v>
      </c>
      <c r="I150" s="3">
        <v>132</v>
      </c>
      <c r="J150" s="3">
        <v>358</v>
      </c>
      <c r="K150" s="3">
        <v>753</v>
      </c>
      <c r="L150" s="3">
        <v>5</v>
      </c>
      <c r="M150" s="3">
        <v>136</v>
      </c>
    </row>
    <row r="151" spans="1:13" x14ac:dyDescent="0.25">
      <c r="A151" s="1" t="str">
        <f>HYPERLINK("http://www.rosaceae.org/Prunus/Prunus_persica/p.persica_gdr_reftransV1_0017551","p.persica_gdr_reftransV1_0017551")</f>
        <v>p.persica_gdr_reftransV1_0017551</v>
      </c>
      <c r="B151" s="3">
        <v>1957</v>
      </c>
      <c r="C151" s="1" t="str">
        <f>HYPERLINK("http://www.uniprot.org/uniprot/SNAA2_ARATH","SNAA2_ARATH")</f>
        <v>SNAA2_ARATH</v>
      </c>
      <c r="D151" t="s">
        <v>179</v>
      </c>
      <c r="E151" s="3" t="s">
        <v>3</v>
      </c>
      <c r="F151" s="4">
        <v>2.1800000000000002E-92</v>
      </c>
      <c r="G151" s="3">
        <v>753</v>
      </c>
      <c r="H151" s="3">
        <v>76</v>
      </c>
      <c r="I151" s="3">
        <v>178</v>
      </c>
      <c r="J151" s="3">
        <v>887</v>
      </c>
      <c r="K151" s="3">
        <v>1420</v>
      </c>
      <c r="L151" s="3">
        <v>86</v>
      </c>
      <c r="M151" s="3">
        <v>263</v>
      </c>
    </row>
    <row r="152" spans="1:13" x14ac:dyDescent="0.25">
      <c r="A152" s="1" t="str">
        <f>HYPERLINK("http://www.rosaceae.org/Prunus/Prunus_persica/p.persica_gdr_reftransV1_0017601","p.persica_gdr_reftransV1_0017601")</f>
        <v>p.persica_gdr_reftransV1_0017601</v>
      </c>
      <c r="B152" s="3">
        <v>2536</v>
      </c>
      <c r="C152" s="1" t="str">
        <f>HYPERLINK("http://www.uniprot.org/uniprot/SYNO_ARATH","SYNO_ARATH")</f>
        <v>SYNO_ARATH</v>
      </c>
      <c r="D152" t="s">
        <v>180</v>
      </c>
      <c r="E152" s="3" t="s">
        <v>3</v>
      </c>
      <c r="F152" s="4">
        <v>0</v>
      </c>
      <c r="G152" s="3">
        <v>1785</v>
      </c>
      <c r="H152" s="3">
        <v>85</v>
      </c>
      <c r="I152" s="3">
        <v>413</v>
      </c>
      <c r="J152" s="3">
        <v>764</v>
      </c>
      <c r="K152" s="3">
        <v>2002</v>
      </c>
      <c r="L152" s="3">
        <v>155</v>
      </c>
      <c r="M152" s="3">
        <v>567</v>
      </c>
    </row>
    <row r="153" spans="1:13" x14ac:dyDescent="0.25">
      <c r="A153" s="1" t="str">
        <f>HYPERLINK("http://www.rosaceae.org/Prunus/Prunus_persica/p.persica_gdr_reftransV1_0017651","p.persica_gdr_reftransV1_0017651")</f>
        <v>p.persica_gdr_reftransV1_0017651</v>
      </c>
      <c r="B153" s="3">
        <v>1509</v>
      </c>
      <c r="C153" s="1" t="str">
        <f>HYPERLINK("http://www.uniprot.org/uniprot/VTI13_ARATH","VTI13_ARATH")</f>
        <v>VTI13_ARATH</v>
      </c>
      <c r="D153" t="s">
        <v>181</v>
      </c>
      <c r="E153" s="3" t="s">
        <v>3</v>
      </c>
      <c r="F153" s="4">
        <v>2.3700000000000001E-104</v>
      </c>
      <c r="G153" s="3">
        <v>815</v>
      </c>
      <c r="H153" s="3">
        <v>68</v>
      </c>
      <c r="I153" s="3">
        <v>221</v>
      </c>
      <c r="J153" s="3">
        <v>499</v>
      </c>
      <c r="K153" s="3">
        <v>1161</v>
      </c>
      <c r="L153" s="3">
        <v>1</v>
      </c>
      <c r="M153" s="3">
        <v>221</v>
      </c>
    </row>
    <row r="154" spans="1:13" x14ac:dyDescent="0.25">
      <c r="A154" s="1" t="str">
        <f>HYPERLINK("http://www.rosaceae.org/Prunus/Prunus_persica/p.persica_gdr_reftransV1_0017701","p.persica_gdr_reftransV1_0017701")</f>
        <v>p.persica_gdr_reftransV1_0017701</v>
      </c>
      <c r="B154" s="3">
        <v>2340</v>
      </c>
      <c r="C154" s="1" t="str">
        <f>HYPERLINK("http://www.uniprot.org/uniprot/DPNPH_ARATH","DPNPH_ARATH")</f>
        <v>DPNPH_ARATH</v>
      </c>
      <c r="D154" t="s">
        <v>182</v>
      </c>
      <c r="E154" s="3" t="s">
        <v>3</v>
      </c>
      <c r="F154" s="4">
        <v>2.5599999999999999E-160</v>
      </c>
      <c r="G154" s="3">
        <v>1227</v>
      </c>
      <c r="H154" s="3">
        <v>64</v>
      </c>
      <c r="I154" s="3">
        <v>374</v>
      </c>
      <c r="J154" s="3">
        <v>426</v>
      </c>
      <c r="K154" s="3">
        <v>1544</v>
      </c>
      <c r="L154" s="3">
        <v>9</v>
      </c>
      <c r="M154" s="3">
        <v>373</v>
      </c>
    </row>
    <row r="155" spans="1:13" x14ac:dyDescent="0.25">
      <c r="A155" s="1" t="str">
        <f>HYPERLINK("http://www.rosaceae.org/Prunus/Prunus_persica/p.persica_gdr_reftransV1_0017751","p.persica_gdr_reftransV1_0017751")</f>
        <v>p.persica_gdr_reftransV1_0017751</v>
      </c>
      <c r="B155" s="3">
        <v>2913</v>
      </c>
      <c r="C155" s="1" t="str">
        <f>HYPERLINK("http://www.uniprot.org/uniprot/PQBP1_BOVIN","PQBP1_BOVIN")</f>
        <v>PQBP1_BOVIN</v>
      </c>
      <c r="D155" t="s">
        <v>183</v>
      </c>
      <c r="E155" s="3" t="s">
        <v>184</v>
      </c>
      <c r="F155" s="4">
        <v>5.2499999999999997E-21</v>
      </c>
      <c r="G155" s="3">
        <v>245</v>
      </c>
      <c r="H155" s="3">
        <v>70</v>
      </c>
      <c r="I155" s="3">
        <v>76</v>
      </c>
      <c r="J155" s="3">
        <v>644</v>
      </c>
      <c r="K155" s="3">
        <v>865</v>
      </c>
      <c r="L155" s="3">
        <v>187</v>
      </c>
      <c r="M155" s="3">
        <v>261</v>
      </c>
    </row>
    <row r="156" spans="1:13" x14ac:dyDescent="0.25">
      <c r="A156" s="1" t="str">
        <f>HYPERLINK("http://www.rosaceae.org/Prunus/Prunus_persica/p.persica_gdr_reftransV1_0017851","p.persica_gdr_reftransV1_0017851")</f>
        <v>p.persica_gdr_reftransV1_0017851</v>
      </c>
      <c r="B156" s="3">
        <v>3437</v>
      </c>
      <c r="C156" s="1" t="str">
        <f>HYPERLINK("http://www.uniprot.org/uniprot/KCO6_ARATH","KCO6_ARATH")</f>
        <v>KCO6_ARATH</v>
      </c>
      <c r="D156" t="s">
        <v>185</v>
      </c>
      <c r="E156" s="3" t="s">
        <v>3</v>
      </c>
      <c r="F156" s="4">
        <v>6.12E-80</v>
      </c>
      <c r="G156" s="3">
        <v>700</v>
      </c>
      <c r="H156" s="3">
        <v>53</v>
      </c>
      <c r="I156" s="3">
        <v>271</v>
      </c>
      <c r="J156" s="3">
        <v>2027</v>
      </c>
      <c r="K156" s="3">
        <v>2833</v>
      </c>
      <c r="L156" s="3">
        <v>119</v>
      </c>
      <c r="M156" s="3">
        <v>385</v>
      </c>
    </row>
    <row r="157" spans="1:13" x14ac:dyDescent="0.25">
      <c r="A157" s="1" t="str">
        <f>HYPERLINK("http://www.rosaceae.org/Prunus/Prunus_persica/p.persica_gdr_reftransV1_0017951","p.persica_gdr_reftransV1_0017951")</f>
        <v>p.persica_gdr_reftransV1_0017951</v>
      </c>
      <c r="B157" s="3">
        <v>839</v>
      </c>
      <c r="C157" s="1" t="str">
        <f>HYPERLINK("http://www.uniprot.org/uniprot/SF3B6_ARATH","SF3B6_ARATH")</f>
        <v>SF3B6_ARATH</v>
      </c>
      <c r="D157" t="s">
        <v>186</v>
      </c>
      <c r="E157" s="3" t="s">
        <v>3</v>
      </c>
      <c r="F157" s="4">
        <v>5.22E-73</v>
      </c>
      <c r="G157" s="3">
        <v>576</v>
      </c>
      <c r="H157" s="3">
        <v>86</v>
      </c>
      <c r="I157" s="3">
        <v>124</v>
      </c>
      <c r="J157" s="3">
        <v>139</v>
      </c>
      <c r="K157" s="3">
        <v>510</v>
      </c>
      <c r="L157" s="3">
        <v>1</v>
      </c>
      <c r="M157" s="3">
        <v>124</v>
      </c>
    </row>
    <row r="158" spans="1:13" x14ac:dyDescent="0.25">
      <c r="A158" s="1" t="str">
        <f>HYPERLINK("http://www.rosaceae.org/Prunus/Prunus_persica/p.persica_gdr_reftransV1_0018001","p.persica_gdr_reftransV1_0018001")</f>
        <v>p.persica_gdr_reftransV1_0018001</v>
      </c>
      <c r="B158" s="3">
        <v>3040</v>
      </c>
      <c r="C158" s="1" t="str">
        <f>HYPERLINK("http://www.uniprot.org/uniprot/NIK3_ARATH","NIK3_ARATH")</f>
        <v>NIK3_ARATH</v>
      </c>
      <c r="D158" t="s">
        <v>187</v>
      </c>
      <c r="E158" s="3" t="s">
        <v>3</v>
      </c>
      <c r="F158" s="4">
        <v>0</v>
      </c>
      <c r="G158" s="3">
        <v>2249</v>
      </c>
      <c r="H158" s="3">
        <v>78</v>
      </c>
      <c r="I158" s="3">
        <v>608</v>
      </c>
      <c r="J158" s="3">
        <v>954</v>
      </c>
      <c r="K158" s="3">
        <v>2750</v>
      </c>
      <c r="L158" s="3">
        <v>29</v>
      </c>
      <c r="M158" s="3">
        <v>632</v>
      </c>
    </row>
    <row r="159" spans="1:13" x14ac:dyDescent="0.25">
      <c r="A159" s="1" t="str">
        <f>HYPERLINK("http://www.rosaceae.org/Prunus/Prunus_persica/p.persica_gdr_reftransV1_0018051","p.persica_gdr_reftransV1_0018051")</f>
        <v>p.persica_gdr_reftransV1_0018051</v>
      </c>
      <c r="B159" s="3">
        <v>1625</v>
      </c>
      <c r="C159" s="1" t="str">
        <f>HYPERLINK("http://www.uniprot.org/uniprot/UBA2C_ARATH","UBA2C_ARATH")</f>
        <v>UBA2C_ARATH</v>
      </c>
      <c r="D159" t="s">
        <v>188</v>
      </c>
      <c r="E159" s="3" t="s">
        <v>3</v>
      </c>
      <c r="F159" s="4">
        <v>1.1399999999999999E-44</v>
      </c>
      <c r="G159" s="3">
        <v>424</v>
      </c>
      <c r="H159" s="3">
        <v>42</v>
      </c>
      <c r="I159" s="3">
        <v>194</v>
      </c>
      <c r="J159" s="3">
        <v>453</v>
      </c>
      <c r="K159" s="3">
        <v>1028</v>
      </c>
      <c r="L159" s="3">
        <v>55</v>
      </c>
      <c r="M159" s="3">
        <v>248</v>
      </c>
    </row>
    <row r="160" spans="1:13" x14ac:dyDescent="0.25">
      <c r="A160" s="1" t="str">
        <f>HYPERLINK("http://www.rosaceae.org/Prunus/Prunus_persica/p.persica_gdr_reftransV1_0018101","p.persica_gdr_reftransV1_0018101")</f>
        <v>p.persica_gdr_reftransV1_0018101</v>
      </c>
      <c r="B160" s="3">
        <v>1780</v>
      </c>
      <c r="C160" s="1" t="str">
        <f>HYPERLINK("http://www.uniprot.org/uniprot/RNG1L_ARATH","RNG1L_ARATH")</f>
        <v>RNG1L_ARATH</v>
      </c>
      <c r="D160" t="s">
        <v>189</v>
      </c>
      <c r="E160" s="3" t="s">
        <v>3</v>
      </c>
      <c r="F160" s="4">
        <v>9.1100000000000003E-21</v>
      </c>
      <c r="G160" s="3">
        <v>241</v>
      </c>
      <c r="H160" s="3">
        <v>45</v>
      </c>
      <c r="I160" s="3">
        <v>109</v>
      </c>
      <c r="J160" s="3">
        <v>503</v>
      </c>
      <c r="K160" s="3">
        <v>829</v>
      </c>
      <c r="L160" s="3">
        <v>168</v>
      </c>
      <c r="M160" s="3">
        <v>263</v>
      </c>
    </row>
    <row r="161" spans="1:13" x14ac:dyDescent="0.25">
      <c r="A161" s="1" t="str">
        <f>HYPERLINK("http://www.rosaceae.org/Prunus/Prunus_persica/p.persica_gdr_reftransV1_0018301","p.persica_gdr_reftransV1_0018301")</f>
        <v>p.persica_gdr_reftransV1_0018301</v>
      </c>
      <c r="B161" s="3">
        <v>1158</v>
      </c>
      <c r="C161" s="1" t="str">
        <f>HYPERLINK("http://www.uniprot.org/uniprot/HAP28_RAT","HAP28_RAT")</f>
        <v>HAP28_RAT</v>
      </c>
      <c r="D161" t="s">
        <v>190</v>
      </c>
      <c r="E161" s="3" t="s">
        <v>161</v>
      </c>
      <c r="F161" s="4">
        <v>6.4399999999999997E-15</v>
      </c>
      <c r="G161" s="3">
        <v>186</v>
      </c>
      <c r="H161" s="3">
        <v>62</v>
      </c>
      <c r="I161" s="3">
        <v>74</v>
      </c>
      <c r="J161" s="3">
        <v>373</v>
      </c>
      <c r="K161" s="3">
        <v>594</v>
      </c>
      <c r="L161" s="3">
        <v>73</v>
      </c>
      <c r="M161" s="3">
        <v>146</v>
      </c>
    </row>
    <row r="162" spans="1:13" x14ac:dyDescent="0.25">
      <c r="A162" s="1" t="str">
        <f>HYPERLINK("http://www.rosaceae.org/Prunus/Prunus_persica/p.persica_gdr_reftransV1_0018501","p.persica_gdr_reftransV1_0018501")</f>
        <v>p.persica_gdr_reftransV1_0018501</v>
      </c>
      <c r="B162" s="3">
        <v>871</v>
      </c>
      <c r="C162" s="1" t="str">
        <f>HYPERLINK("http://www.uniprot.org/uniprot/PP316_ARATH","PP316_ARATH")</f>
        <v>PP316_ARATH</v>
      </c>
      <c r="D162" t="s">
        <v>191</v>
      </c>
      <c r="E162" s="3" t="s">
        <v>3</v>
      </c>
      <c r="F162" s="4">
        <v>8.9299999999999994E-136</v>
      </c>
      <c r="G162" s="3">
        <v>1042</v>
      </c>
      <c r="H162" s="3">
        <v>66</v>
      </c>
      <c r="I162" s="3">
        <v>290</v>
      </c>
      <c r="J162" s="3">
        <v>5</v>
      </c>
      <c r="K162" s="3">
        <v>871</v>
      </c>
      <c r="L162" s="3">
        <v>156</v>
      </c>
      <c r="M162" s="3">
        <v>445</v>
      </c>
    </row>
    <row r="163" spans="1:13" x14ac:dyDescent="0.25">
      <c r="A163" s="1" t="str">
        <f>HYPERLINK("http://www.rosaceae.org/Prunus/Prunus_persica/p.persica_gdr_reftransV1_0018551","p.persica_gdr_reftransV1_0018551")</f>
        <v>p.persica_gdr_reftransV1_0018551</v>
      </c>
      <c r="B163" s="3">
        <v>1157</v>
      </c>
      <c r="C163" s="1" t="str">
        <f>HYPERLINK("http://www.uniprot.org/uniprot/FB316_ARATH","FB316_ARATH")</f>
        <v>FB316_ARATH</v>
      </c>
      <c r="D163" t="s">
        <v>192</v>
      </c>
      <c r="E163" s="3" t="s">
        <v>3</v>
      </c>
      <c r="F163" s="4">
        <v>4.8699999999999998E-20</v>
      </c>
      <c r="G163" s="3">
        <v>196</v>
      </c>
      <c r="H163" s="3">
        <v>51</v>
      </c>
      <c r="I163" s="3">
        <v>93</v>
      </c>
      <c r="J163" s="3">
        <v>553</v>
      </c>
      <c r="K163" s="3">
        <v>810</v>
      </c>
      <c r="L163" s="3">
        <v>32</v>
      </c>
      <c r="M163" s="3">
        <v>118</v>
      </c>
    </row>
    <row r="164" spans="1:13" x14ac:dyDescent="0.25">
      <c r="A164" s="1" t="str">
        <f>HYPERLINK("http://www.rosaceae.org/Prunus/Prunus_persica/p.persica_gdr_reftransV1_0018801","p.persica_gdr_reftransV1_0018801")</f>
        <v>p.persica_gdr_reftransV1_0018801</v>
      </c>
      <c r="B164" s="3">
        <v>3584</v>
      </c>
      <c r="C164" s="1" t="str">
        <f>HYPERLINK("http://www.uniprot.org/uniprot/PSA_ARATH","PSA_ARATH")</f>
        <v>PSA_ARATH</v>
      </c>
      <c r="D164" t="s">
        <v>193</v>
      </c>
      <c r="E164" s="3" t="s">
        <v>3</v>
      </c>
      <c r="F164" s="4">
        <v>0</v>
      </c>
      <c r="G164" s="3">
        <v>2626</v>
      </c>
      <c r="H164" s="3">
        <v>84</v>
      </c>
      <c r="I164" s="3">
        <v>582</v>
      </c>
      <c r="J164" s="3">
        <v>621</v>
      </c>
      <c r="K164" s="3">
        <v>2363</v>
      </c>
      <c r="L164" s="3">
        <v>1</v>
      </c>
      <c r="M164" s="3">
        <v>577</v>
      </c>
    </row>
    <row r="165" spans="1:13" x14ac:dyDescent="0.25">
      <c r="A165" s="1" t="str">
        <f>HYPERLINK("http://www.rosaceae.org/Prunus/Prunus_persica/p.persica_gdr_reftransV1_0018951","p.persica_gdr_reftransV1_0018951")</f>
        <v>p.persica_gdr_reftransV1_0018951</v>
      </c>
      <c r="B165" s="3">
        <v>2667</v>
      </c>
      <c r="C165" s="1" t="str">
        <f>HYPERLINK("http://www.uniprot.org/uniprot/LAC17_ARATH","LAC17_ARATH")</f>
        <v>LAC17_ARATH</v>
      </c>
      <c r="D165" t="s">
        <v>20</v>
      </c>
      <c r="E165" s="3" t="s">
        <v>3</v>
      </c>
      <c r="F165" s="4">
        <v>1.7099999999999999E-166</v>
      </c>
      <c r="G165" s="3">
        <v>1298</v>
      </c>
      <c r="H165" s="3">
        <v>79</v>
      </c>
      <c r="I165" s="3">
        <v>335</v>
      </c>
      <c r="J165" s="3">
        <v>901</v>
      </c>
      <c r="K165" s="3">
        <v>1893</v>
      </c>
      <c r="L165" s="3">
        <v>203</v>
      </c>
      <c r="M165" s="3">
        <v>537</v>
      </c>
    </row>
    <row r="166" spans="1:13" x14ac:dyDescent="0.25">
      <c r="A166" s="1" t="str">
        <f>HYPERLINK("http://www.rosaceae.org/Prunus/Prunus_persica/p.persica_gdr_reftransV1_0019501","p.persica_gdr_reftransV1_0019501")</f>
        <v>p.persica_gdr_reftransV1_0019501</v>
      </c>
      <c r="B166" s="3">
        <v>4269</v>
      </c>
      <c r="C166" s="1" t="str">
        <f>HYPERLINK("http://www.uniprot.org/uniprot/CARB_ARATH","CARB_ARATH")</f>
        <v>CARB_ARATH</v>
      </c>
      <c r="D166" t="s">
        <v>194</v>
      </c>
      <c r="E166" s="3" t="s">
        <v>3</v>
      </c>
      <c r="F166" s="4">
        <v>0</v>
      </c>
      <c r="G166" s="3">
        <v>5197</v>
      </c>
      <c r="H166" s="3">
        <v>87</v>
      </c>
      <c r="I166" s="3">
        <v>1090</v>
      </c>
      <c r="J166" s="3">
        <v>531</v>
      </c>
      <c r="K166" s="3">
        <v>3800</v>
      </c>
      <c r="L166" s="3">
        <v>89</v>
      </c>
      <c r="M166" s="3">
        <v>1178</v>
      </c>
    </row>
    <row r="167" spans="1:13" x14ac:dyDescent="0.25">
      <c r="A167" s="1" t="str">
        <f>HYPERLINK("http://www.rosaceae.org/Prunus/Prunus_persica/p.persica_gdr_reftransV1_0019551","p.persica_gdr_reftransV1_0019551")</f>
        <v>p.persica_gdr_reftransV1_0019551</v>
      </c>
      <c r="B167" s="3">
        <v>1638</v>
      </c>
      <c r="C167" s="1" t="str">
        <f>HYPERLINK("http://www.uniprot.org/uniprot/ZED1_ARATH","ZED1_ARATH")</f>
        <v>ZED1_ARATH</v>
      </c>
      <c r="D167" t="s">
        <v>195</v>
      </c>
      <c r="E167" s="3" t="s">
        <v>3</v>
      </c>
      <c r="F167" s="4">
        <v>2.5000000000000001E-85</v>
      </c>
      <c r="G167" s="3">
        <v>701</v>
      </c>
      <c r="H167" s="3">
        <v>42</v>
      </c>
      <c r="I167" s="3">
        <v>349</v>
      </c>
      <c r="J167" s="3">
        <v>274</v>
      </c>
      <c r="K167" s="3">
        <v>1305</v>
      </c>
      <c r="L167" s="3">
        <v>1</v>
      </c>
      <c r="M167" s="3">
        <v>332</v>
      </c>
    </row>
    <row r="168" spans="1:13" x14ac:dyDescent="0.25">
      <c r="A168" s="1" t="str">
        <f>HYPERLINK("http://www.rosaceae.org/Prunus/Prunus_persica/p.persica_gdr_reftransV1_0019801","p.persica_gdr_reftransV1_0019801")</f>
        <v>p.persica_gdr_reftransV1_0019801</v>
      </c>
      <c r="B168" s="3">
        <v>1638</v>
      </c>
      <c r="C168" s="1" t="str">
        <f>HYPERLINK("http://www.uniprot.org/uniprot/GSTL3_ARATH","GSTL3_ARATH")</f>
        <v>GSTL3_ARATH</v>
      </c>
      <c r="D168" t="s">
        <v>196</v>
      </c>
      <c r="E168" s="3" t="s">
        <v>3</v>
      </c>
      <c r="F168" s="4">
        <v>6.7100000000000004E-95</v>
      </c>
      <c r="G168" s="3">
        <v>756</v>
      </c>
      <c r="H168" s="3">
        <v>75</v>
      </c>
      <c r="I168" s="3">
        <v>182</v>
      </c>
      <c r="J168" s="3">
        <v>853</v>
      </c>
      <c r="K168" s="3">
        <v>1398</v>
      </c>
      <c r="L168" s="3">
        <v>27</v>
      </c>
      <c r="M168" s="3">
        <v>208</v>
      </c>
    </row>
    <row r="169" spans="1:13" x14ac:dyDescent="0.25">
      <c r="A169" s="1" t="str">
        <f>HYPERLINK("http://www.rosaceae.org/Prunus/Prunus_persica/p.persica_gdr_reftransV1_0019951","p.persica_gdr_reftransV1_0019951")</f>
        <v>p.persica_gdr_reftransV1_0019951</v>
      </c>
      <c r="B169" s="3">
        <v>3545</v>
      </c>
      <c r="C169" s="1" t="str">
        <f>HYPERLINK("http://www.uniprot.org/uniprot/RTE1_ARATH","RTE1_ARATH")</f>
        <v>RTE1_ARATH</v>
      </c>
      <c r="D169" t="s">
        <v>197</v>
      </c>
      <c r="E169" s="3" t="s">
        <v>3</v>
      </c>
      <c r="F169" s="4">
        <v>4.7400000000000002E-48</v>
      </c>
      <c r="G169" s="3">
        <v>450</v>
      </c>
      <c r="H169" s="3">
        <v>65</v>
      </c>
      <c r="I169" s="3">
        <v>139</v>
      </c>
      <c r="J169" s="3">
        <v>1710</v>
      </c>
      <c r="K169" s="3">
        <v>2126</v>
      </c>
      <c r="L169" s="3">
        <v>111</v>
      </c>
      <c r="M169" s="3">
        <v>249</v>
      </c>
    </row>
    <row r="170" spans="1:13" x14ac:dyDescent="0.25">
      <c r="A170" s="1" t="str">
        <f>HYPERLINK("http://www.rosaceae.org/Prunus/Prunus_persica/p.persica_gdr_reftransV1_0020201","p.persica_gdr_reftransV1_0020201")</f>
        <v>p.persica_gdr_reftransV1_0020201</v>
      </c>
      <c r="B170" s="3">
        <v>2534</v>
      </c>
      <c r="C170" s="1" t="str">
        <f>HYPERLINK("http://www.uniprot.org/uniprot/PCLL_ARATH","PCLL_ARATH")</f>
        <v>PCLL_ARATH</v>
      </c>
      <c r="D170" t="s">
        <v>198</v>
      </c>
      <c r="E170" s="3" t="s">
        <v>3</v>
      </c>
      <c r="F170" s="4">
        <v>2.79E-14</v>
      </c>
      <c r="G170" s="3">
        <v>191</v>
      </c>
      <c r="H170" s="3">
        <v>40</v>
      </c>
      <c r="I170" s="3">
        <v>112</v>
      </c>
      <c r="J170" s="3">
        <v>1087</v>
      </c>
      <c r="K170" s="3">
        <v>1422</v>
      </c>
      <c r="L170" s="3">
        <v>101</v>
      </c>
      <c r="M170" s="3">
        <v>207</v>
      </c>
    </row>
    <row r="171" spans="1:13" x14ac:dyDescent="0.25">
      <c r="A171" s="1" t="str">
        <f>HYPERLINK("http://www.rosaceae.org/Prunus/Prunus_persica/p.persica_gdr_reftransV1_0020401","p.persica_gdr_reftransV1_0020401")</f>
        <v>p.persica_gdr_reftransV1_0020401</v>
      </c>
      <c r="B171" s="3">
        <v>749</v>
      </c>
      <c r="C171" s="1" t="str">
        <f>HYPERLINK("http://www.uniprot.org/uniprot/DBR_TOBAC","DBR_TOBAC")</f>
        <v>DBR_TOBAC</v>
      </c>
      <c r="D171" t="s">
        <v>199</v>
      </c>
      <c r="E171" s="3" t="s">
        <v>200</v>
      </c>
      <c r="F171" s="4">
        <v>1.73E-70</v>
      </c>
      <c r="G171" s="3">
        <v>576</v>
      </c>
      <c r="H171" s="3">
        <v>65</v>
      </c>
      <c r="I171" s="3">
        <v>161</v>
      </c>
      <c r="J171" s="3">
        <v>2</v>
      </c>
      <c r="K171" s="3">
        <v>484</v>
      </c>
      <c r="L171" s="3">
        <v>183</v>
      </c>
      <c r="M171" s="3">
        <v>343</v>
      </c>
    </row>
    <row r="172" spans="1:13" x14ac:dyDescent="0.25">
      <c r="A172" s="1" t="str">
        <f>HYPERLINK("http://www.rosaceae.org/Prunus/Prunus_persica/p.persica_gdr_reftransV1_0020551","p.persica_gdr_reftransV1_0020551")</f>
        <v>p.persica_gdr_reftransV1_0020551</v>
      </c>
      <c r="B172" s="3">
        <v>3950</v>
      </c>
      <c r="C172" s="1" t="str">
        <f>HYPERLINK("http://www.uniprot.org/uniprot/TM1L2_MOUSE","TM1L2_MOUSE")</f>
        <v>TM1L2_MOUSE</v>
      </c>
      <c r="D172" t="s">
        <v>201</v>
      </c>
      <c r="E172" s="3" t="s">
        <v>157</v>
      </c>
      <c r="F172" s="4">
        <v>8.4899999999999998E-24</v>
      </c>
      <c r="G172" s="3">
        <v>276</v>
      </c>
      <c r="H172" s="3">
        <v>33</v>
      </c>
      <c r="I172" s="3">
        <v>240</v>
      </c>
      <c r="J172" s="3">
        <v>253</v>
      </c>
      <c r="K172" s="3">
        <v>888</v>
      </c>
      <c r="L172" s="3">
        <v>13</v>
      </c>
      <c r="M172" s="3">
        <v>251</v>
      </c>
    </row>
    <row r="173" spans="1:13" x14ac:dyDescent="0.25">
      <c r="A173" s="1" t="str">
        <f>HYPERLINK("http://www.rosaceae.org/Prunus/Prunus_persica/p.persica_gdr_reftransV1_0020651","p.persica_gdr_reftransV1_0020651")</f>
        <v>p.persica_gdr_reftransV1_0020651</v>
      </c>
      <c r="B173" s="3">
        <v>2299</v>
      </c>
      <c r="C173" s="1" t="str">
        <f>HYPERLINK("http://www.uniprot.org/uniprot/Y2988_ARATH","Y2988_ARATH")</f>
        <v>Y2988_ARATH</v>
      </c>
      <c r="D173" t="s">
        <v>202</v>
      </c>
      <c r="E173" s="3" t="s">
        <v>3</v>
      </c>
      <c r="F173" s="4">
        <v>1.25E-9</v>
      </c>
      <c r="G173" s="3">
        <v>154</v>
      </c>
      <c r="H173" s="3">
        <v>28</v>
      </c>
      <c r="I173" s="3">
        <v>226</v>
      </c>
      <c r="J173" s="3">
        <v>489</v>
      </c>
      <c r="K173" s="3">
        <v>1124</v>
      </c>
      <c r="L173" s="3">
        <v>96</v>
      </c>
      <c r="M173" s="3">
        <v>304</v>
      </c>
    </row>
    <row r="174" spans="1:13" x14ac:dyDescent="0.25">
      <c r="A174" s="1" t="str">
        <f>HYPERLINK("http://www.rosaceae.org/Prunus/Prunus_persica/p.persica_gdr_reftransV1_0020801","p.persica_gdr_reftransV1_0020801")</f>
        <v>p.persica_gdr_reftransV1_0020801</v>
      </c>
      <c r="B174" s="3">
        <v>1076</v>
      </c>
      <c r="C174" s="1" t="str">
        <f>HYPERLINK("http://www.uniprot.org/uniprot/ODO2B_ARATH","ODO2B_ARATH")</f>
        <v>ODO2B_ARATH</v>
      </c>
      <c r="D174" t="s">
        <v>203</v>
      </c>
      <c r="E174" s="3" t="s">
        <v>3</v>
      </c>
      <c r="F174" s="4">
        <v>3.6999999999999998E-113</v>
      </c>
      <c r="G174" s="3">
        <v>882</v>
      </c>
      <c r="H174" s="3">
        <v>75</v>
      </c>
      <c r="I174" s="3">
        <v>259</v>
      </c>
      <c r="J174" s="3">
        <v>2</v>
      </c>
      <c r="K174" s="3">
        <v>775</v>
      </c>
      <c r="L174" s="3">
        <v>79</v>
      </c>
      <c r="M174" s="3">
        <v>334</v>
      </c>
    </row>
    <row r="175" spans="1:13" x14ac:dyDescent="0.25">
      <c r="A175" s="1" t="str">
        <f>HYPERLINK("http://www.rosaceae.org/Prunus/Prunus_persica/p.persica_gdr_reftransV1_0020851","p.persica_gdr_reftransV1_0020851")</f>
        <v>p.persica_gdr_reftransV1_0020851</v>
      </c>
      <c r="B175" s="3">
        <v>1641</v>
      </c>
      <c r="C175" s="1" t="str">
        <f>HYPERLINK("http://www.uniprot.org/uniprot/FES1_EMENI","FES1_EMENI")</f>
        <v>FES1_EMENI</v>
      </c>
      <c r="D175" t="s">
        <v>204</v>
      </c>
      <c r="E175" s="3" t="s">
        <v>205</v>
      </c>
      <c r="F175" s="4">
        <v>3.5300000000000002E-16</v>
      </c>
      <c r="G175" s="3">
        <v>201</v>
      </c>
      <c r="H175" s="3">
        <v>33</v>
      </c>
      <c r="I175" s="3">
        <v>203</v>
      </c>
      <c r="J175" s="3">
        <v>883</v>
      </c>
      <c r="K175" s="3">
        <v>1461</v>
      </c>
      <c r="L175" s="3">
        <v>3</v>
      </c>
      <c r="M175" s="3">
        <v>198</v>
      </c>
    </row>
    <row r="176" spans="1:13" x14ac:dyDescent="0.25">
      <c r="A176" s="1" t="str">
        <f>HYPERLINK("http://www.rosaceae.org/Prunus/Prunus_persica/p.persica_gdr_reftransV1_0021051","p.persica_gdr_reftransV1_0021051")</f>
        <v>p.persica_gdr_reftransV1_0021051</v>
      </c>
      <c r="B176" s="3">
        <v>5384</v>
      </c>
      <c r="C176" s="1" t="str">
        <f>HYPERLINK("http://www.uniprot.org/uniprot/SEC8_ARATH","SEC8_ARATH")</f>
        <v>SEC8_ARATH</v>
      </c>
      <c r="D176" t="s">
        <v>206</v>
      </c>
      <c r="E176" s="3" t="s">
        <v>3</v>
      </c>
      <c r="F176" s="4">
        <v>0</v>
      </c>
      <c r="G176" s="3">
        <v>3065</v>
      </c>
      <c r="H176" s="3">
        <v>75</v>
      </c>
      <c r="I176" s="3">
        <v>849</v>
      </c>
      <c r="J176" s="3">
        <v>535</v>
      </c>
      <c r="K176" s="3">
        <v>3072</v>
      </c>
      <c r="L176" s="3">
        <v>1</v>
      </c>
      <c r="M176" s="3">
        <v>841</v>
      </c>
    </row>
    <row r="177" spans="1:13" x14ac:dyDescent="0.25">
      <c r="A177" s="1" t="str">
        <f>HYPERLINK("http://www.rosaceae.org/Prunus/Prunus_persica/p.persica_gdr_reftransV1_0021101","p.persica_gdr_reftransV1_0021101")</f>
        <v>p.persica_gdr_reftransV1_0021101</v>
      </c>
      <c r="B177" s="3">
        <v>1429</v>
      </c>
      <c r="C177" s="1" t="str">
        <f>HYPERLINK("http://www.uniprot.org/uniprot/CYSEP_VIGMU","CYSEP_VIGMU")</f>
        <v>CYSEP_VIGMU</v>
      </c>
      <c r="D177" t="s">
        <v>207</v>
      </c>
      <c r="E177" s="3" t="s">
        <v>208</v>
      </c>
      <c r="F177" s="4">
        <v>0</v>
      </c>
      <c r="G177" s="3">
        <v>1509</v>
      </c>
      <c r="H177" s="3">
        <v>80</v>
      </c>
      <c r="I177" s="3">
        <v>342</v>
      </c>
      <c r="J177" s="3">
        <v>151</v>
      </c>
      <c r="K177" s="3">
        <v>1176</v>
      </c>
      <c r="L177" s="3">
        <v>22</v>
      </c>
      <c r="M177" s="3">
        <v>362</v>
      </c>
    </row>
    <row r="178" spans="1:13" x14ac:dyDescent="0.25">
      <c r="A178" s="1" t="str">
        <f>HYPERLINK("http://www.rosaceae.org/Prunus/Prunus_persica/p.persica_gdr_reftransV1_0021251","p.persica_gdr_reftransV1_0021251")</f>
        <v>p.persica_gdr_reftransV1_0021251</v>
      </c>
      <c r="B178" s="3">
        <v>2318</v>
      </c>
      <c r="C178" s="1" t="str">
        <f>HYPERLINK("http://www.uniprot.org/uniprot/PIP_AERSO","PIP_AERSO")</f>
        <v>PIP_AERSO</v>
      </c>
      <c r="D178" t="s">
        <v>209</v>
      </c>
      <c r="E178" s="3" t="s">
        <v>210</v>
      </c>
      <c r="F178" s="4">
        <v>1.7100000000000001E-70</v>
      </c>
      <c r="G178" s="3">
        <v>621</v>
      </c>
      <c r="H178" s="3">
        <v>45</v>
      </c>
      <c r="I178" s="3">
        <v>329</v>
      </c>
      <c r="J178" s="3">
        <v>202</v>
      </c>
      <c r="K178" s="3">
        <v>1188</v>
      </c>
      <c r="L178" s="3">
        <v>17</v>
      </c>
      <c r="M178" s="3">
        <v>324</v>
      </c>
    </row>
    <row r="179" spans="1:13" x14ac:dyDescent="0.25">
      <c r="A179" s="1" t="str">
        <f>HYPERLINK("http://www.rosaceae.org/Prunus/Prunus_persica/p.persica_gdr_reftransV1_0021301","p.persica_gdr_reftransV1_0021301")</f>
        <v>p.persica_gdr_reftransV1_0021301</v>
      </c>
      <c r="B179" s="3">
        <v>2419</v>
      </c>
      <c r="C179" s="1" t="str">
        <f>HYPERLINK("http://www.uniprot.org/uniprot/FBK21_ARATH","FBK21_ARATH")</f>
        <v>FBK21_ARATH</v>
      </c>
      <c r="D179" t="s">
        <v>211</v>
      </c>
      <c r="E179" s="3" t="s">
        <v>3</v>
      </c>
      <c r="F179" s="4">
        <v>4.0900000000000003E-167</v>
      </c>
      <c r="G179" s="3">
        <v>1285</v>
      </c>
      <c r="H179" s="3">
        <v>61</v>
      </c>
      <c r="I179" s="3">
        <v>439</v>
      </c>
      <c r="J179" s="3">
        <v>375</v>
      </c>
      <c r="K179" s="3">
        <v>1667</v>
      </c>
      <c r="L179" s="3">
        <v>21</v>
      </c>
      <c r="M179" s="3">
        <v>453</v>
      </c>
    </row>
    <row r="180" spans="1:13" x14ac:dyDescent="0.25">
      <c r="A180" s="1" t="str">
        <f>HYPERLINK("http://www.rosaceae.org/Prunus/Prunus_persica/p.persica_gdr_reftransV1_0021451","p.persica_gdr_reftransV1_0021451")</f>
        <v>p.persica_gdr_reftransV1_0021451</v>
      </c>
      <c r="B180" s="3">
        <v>538</v>
      </c>
      <c r="C180" s="1" t="str">
        <f>HYPERLINK("http://www.uniprot.org/uniprot/KAT1_ARATH","KAT1_ARATH")</f>
        <v>KAT1_ARATH</v>
      </c>
      <c r="D180" t="s">
        <v>212</v>
      </c>
      <c r="E180" s="3" t="s">
        <v>3</v>
      </c>
      <c r="F180" s="4">
        <v>1.55E-98</v>
      </c>
      <c r="G180" s="3">
        <v>781</v>
      </c>
      <c r="H180" s="3">
        <v>85</v>
      </c>
      <c r="I180" s="3">
        <v>179</v>
      </c>
      <c r="J180" s="3">
        <v>2</v>
      </c>
      <c r="K180" s="3">
        <v>538</v>
      </c>
      <c r="L180" s="3">
        <v>117</v>
      </c>
      <c r="M180" s="3">
        <v>295</v>
      </c>
    </row>
    <row r="181" spans="1:13" x14ac:dyDescent="0.25">
      <c r="A181" s="1" t="str">
        <f>HYPERLINK("http://www.rosaceae.org/Prunus/Prunus_persica/p.persica_gdr_reftransV1_0021651","p.persica_gdr_reftransV1_0021651")</f>
        <v>p.persica_gdr_reftransV1_0021651</v>
      </c>
      <c r="B181" s="3">
        <v>6289</v>
      </c>
      <c r="C181" s="1" t="str">
        <f>HYPERLINK("http://www.uniprot.org/uniprot/NRPB1_ARATH","NRPB1_ARATH")</f>
        <v>NRPB1_ARATH</v>
      </c>
      <c r="D181" t="s">
        <v>213</v>
      </c>
      <c r="E181" s="3" t="s">
        <v>3</v>
      </c>
      <c r="F181" s="4">
        <v>0</v>
      </c>
      <c r="G181" s="3">
        <v>7338</v>
      </c>
      <c r="H181" s="3">
        <v>89</v>
      </c>
      <c r="I181" s="3">
        <v>1536</v>
      </c>
      <c r="J181" s="3">
        <v>230</v>
      </c>
      <c r="K181" s="3">
        <v>4834</v>
      </c>
      <c r="L181" s="3">
        <v>1</v>
      </c>
      <c r="M181" s="3">
        <v>1536</v>
      </c>
    </row>
    <row r="182" spans="1:13" x14ac:dyDescent="0.25">
      <c r="A182" s="1" t="str">
        <f>HYPERLINK("http://www.rosaceae.org/Prunus/Prunus_persica/p.persica_gdr_reftransV1_0021701","p.persica_gdr_reftransV1_0021701")</f>
        <v>p.persica_gdr_reftransV1_0021701</v>
      </c>
      <c r="B182" s="3">
        <v>2143</v>
      </c>
      <c r="C182" s="1" t="str">
        <f>HYPERLINK("http://www.uniprot.org/uniprot/PP220_ARATH","PP220_ARATH")</f>
        <v>PP220_ARATH</v>
      </c>
      <c r="D182" t="s">
        <v>214</v>
      </c>
      <c r="E182" s="3" t="s">
        <v>3</v>
      </c>
      <c r="F182" s="4">
        <v>0</v>
      </c>
      <c r="G182" s="3">
        <v>1805</v>
      </c>
      <c r="H182" s="3">
        <v>60</v>
      </c>
      <c r="I182" s="3">
        <v>547</v>
      </c>
      <c r="J182" s="3">
        <v>2</v>
      </c>
      <c r="K182" s="3">
        <v>1642</v>
      </c>
      <c r="L182" s="3">
        <v>470</v>
      </c>
      <c r="M182" s="3">
        <v>1016</v>
      </c>
    </row>
    <row r="183" spans="1:13" x14ac:dyDescent="0.25">
      <c r="A183" s="1" t="str">
        <f>HYPERLINK("http://www.rosaceae.org/Prunus/Prunus_persica/p.persica_gdr_reftransV1_0021751","p.persica_gdr_reftransV1_0021751")</f>
        <v>p.persica_gdr_reftransV1_0021751</v>
      </c>
      <c r="B183" s="3">
        <v>2691</v>
      </c>
      <c r="C183" s="1" t="str">
        <f>HYPERLINK("http://www.uniprot.org/uniprot/Y1796_ARATH","Y1796_ARATH")</f>
        <v>Y1796_ARATH</v>
      </c>
      <c r="D183" t="s">
        <v>215</v>
      </c>
      <c r="E183" s="3" t="s">
        <v>3</v>
      </c>
      <c r="F183" s="4">
        <v>0</v>
      </c>
      <c r="G183" s="3">
        <v>2469</v>
      </c>
      <c r="H183" s="3">
        <v>85</v>
      </c>
      <c r="I183" s="3">
        <v>577</v>
      </c>
      <c r="J183" s="3">
        <v>606</v>
      </c>
      <c r="K183" s="3">
        <v>2336</v>
      </c>
      <c r="L183" s="3">
        <v>111</v>
      </c>
      <c r="M183" s="3">
        <v>687</v>
      </c>
    </row>
    <row r="184" spans="1:13" x14ac:dyDescent="0.25">
      <c r="A184" s="1" t="str">
        <f>HYPERLINK("http://www.rosaceae.org/Prunus/Prunus_persica/p.persica_gdr_reftransV1_0021801","p.persica_gdr_reftransV1_0021801")</f>
        <v>p.persica_gdr_reftransV1_0021801</v>
      </c>
      <c r="B184" s="3">
        <v>917</v>
      </c>
      <c r="C184" s="1" t="str">
        <f>HYPERLINK("http://www.uniprot.org/uniprot/RS16_RHOS5","RS16_RHOS5")</f>
        <v>RS16_RHOS5</v>
      </c>
      <c r="D184" t="s">
        <v>216</v>
      </c>
      <c r="E184" s="3" t="s">
        <v>217</v>
      </c>
      <c r="F184" s="4">
        <v>2.4100000000000002E-24</v>
      </c>
      <c r="G184" s="3">
        <v>248</v>
      </c>
      <c r="H184" s="3">
        <v>59</v>
      </c>
      <c r="I184" s="3">
        <v>82</v>
      </c>
      <c r="J184" s="3">
        <v>583</v>
      </c>
      <c r="K184" s="3">
        <v>828</v>
      </c>
      <c r="L184" s="3">
        <v>1</v>
      </c>
      <c r="M184" s="3">
        <v>82</v>
      </c>
    </row>
    <row r="185" spans="1:13" x14ac:dyDescent="0.25">
      <c r="A185" s="1" t="str">
        <f>HYPERLINK("http://www.rosaceae.org/Prunus/Prunus_persica/p.persica_gdr_reftransV1_0021851","p.persica_gdr_reftransV1_0021851")</f>
        <v>p.persica_gdr_reftransV1_0021851</v>
      </c>
      <c r="B185" s="3">
        <v>3085</v>
      </c>
      <c r="C185" s="1" t="str">
        <f>HYPERLINK("http://www.uniprot.org/uniprot/SBT17_ARATH","SBT17_ARATH")</f>
        <v>SBT17_ARATH</v>
      </c>
      <c r="D185" t="s">
        <v>218</v>
      </c>
      <c r="E185" s="3" t="s">
        <v>3</v>
      </c>
      <c r="F185" s="4">
        <v>0</v>
      </c>
      <c r="G185" s="3">
        <v>2487</v>
      </c>
      <c r="H185" s="3">
        <v>65</v>
      </c>
      <c r="I185" s="3">
        <v>768</v>
      </c>
      <c r="J185" s="3">
        <v>387</v>
      </c>
      <c r="K185" s="3">
        <v>2684</v>
      </c>
      <c r="L185" s="3">
        <v>2</v>
      </c>
      <c r="M185" s="3">
        <v>756</v>
      </c>
    </row>
    <row r="186" spans="1:13" x14ac:dyDescent="0.25">
      <c r="A186" s="1" t="str">
        <f>HYPERLINK("http://www.rosaceae.org/Prunus/Prunus_persica/p.persica_gdr_reftransV1_0022151","p.persica_gdr_reftransV1_0022151")</f>
        <v>p.persica_gdr_reftransV1_0022151</v>
      </c>
      <c r="B186" s="3">
        <v>1403</v>
      </c>
      <c r="C186" s="1" t="str">
        <f>HYPERLINK("http://www.uniprot.org/uniprot/TOP3A_HUMAN","TOP3A_HUMAN")</f>
        <v>TOP3A_HUMAN</v>
      </c>
      <c r="D186" t="s">
        <v>219</v>
      </c>
      <c r="E186" s="3" t="s">
        <v>28</v>
      </c>
      <c r="F186" s="4">
        <v>1.1900000000000001E-8</v>
      </c>
      <c r="G186" s="3">
        <v>147</v>
      </c>
      <c r="H186" s="3">
        <v>29</v>
      </c>
      <c r="I186" s="3">
        <v>192</v>
      </c>
      <c r="J186" s="3">
        <v>587</v>
      </c>
      <c r="K186" s="3">
        <v>1093</v>
      </c>
      <c r="L186" s="3">
        <v>812</v>
      </c>
      <c r="M186" s="3">
        <v>998</v>
      </c>
    </row>
    <row r="187" spans="1:13" x14ac:dyDescent="0.25">
      <c r="A187" s="1" t="str">
        <f>HYPERLINK("http://www.rosaceae.org/Prunus/Prunus_persica/p.persica_gdr_reftransV1_0022351","p.persica_gdr_reftransV1_0022351")</f>
        <v>p.persica_gdr_reftransV1_0022351</v>
      </c>
      <c r="B187" s="3">
        <v>1651</v>
      </c>
      <c r="C187" s="1" t="str">
        <f>HYPERLINK("http://www.uniprot.org/uniprot/RL4_PRUAR","RL4_PRUAR")</f>
        <v>RL4_PRUAR</v>
      </c>
      <c r="D187" t="s">
        <v>220</v>
      </c>
      <c r="E187" s="3" t="s">
        <v>62</v>
      </c>
      <c r="F187" s="4">
        <v>0</v>
      </c>
      <c r="G187" s="3">
        <v>1741</v>
      </c>
      <c r="H187" s="3">
        <v>94</v>
      </c>
      <c r="I187" s="3">
        <v>400</v>
      </c>
      <c r="J187" s="3">
        <v>363</v>
      </c>
      <c r="K187" s="3">
        <v>1562</v>
      </c>
      <c r="L187" s="3">
        <v>9</v>
      </c>
      <c r="M187" s="3">
        <v>408</v>
      </c>
    </row>
    <row r="188" spans="1:13" x14ac:dyDescent="0.25">
      <c r="A188" s="1" t="str">
        <f>HYPERLINK("http://www.rosaceae.org/Prunus/Prunus_persica/p.persica_gdr_reftransV1_0022551","p.persica_gdr_reftransV1_0022551")</f>
        <v>p.persica_gdr_reftransV1_0022551</v>
      </c>
      <c r="B188" s="3">
        <v>3956</v>
      </c>
      <c r="C188" s="1" t="str">
        <f>HYPERLINK("http://www.uniprot.org/uniprot/TKPR1_ARATH","TKPR1_ARATH")</f>
        <v>TKPR1_ARATH</v>
      </c>
      <c r="D188" t="s">
        <v>221</v>
      </c>
      <c r="E188" s="3" t="s">
        <v>3</v>
      </c>
      <c r="F188" s="4">
        <v>1.67E-9</v>
      </c>
      <c r="G188" s="3">
        <v>156</v>
      </c>
      <c r="H188" s="3">
        <v>32</v>
      </c>
      <c r="I188" s="3">
        <v>149</v>
      </c>
      <c r="J188" s="3">
        <v>522</v>
      </c>
      <c r="K188" s="3">
        <v>941</v>
      </c>
      <c r="L188" s="3">
        <v>159</v>
      </c>
      <c r="M188" s="3">
        <v>303</v>
      </c>
    </row>
    <row r="189" spans="1:13" x14ac:dyDescent="0.25">
      <c r="A189" s="1" t="str">
        <f>HYPERLINK("http://www.rosaceae.org/Prunus/Prunus_persica/p.persica_gdr_reftransV1_0022701","p.persica_gdr_reftransV1_0022701")</f>
        <v>p.persica_gdr_reftransV1_0022701</v>
      </c>
      <c r="B189" s="3">
        <v>1689</v>
      </c>
      <c r="C189" s="1" t="str">
        <f>HYPERLINK("http://www.uniprot.org/uniprot/ICMTB_ARATH","ICMTB_ARATH")</f>
        <v>ICMTB_ARATH</v>
      </c>
      <c r="D189" t="s">
        <v>222</v>
      </c>
      <c r="E189" s="3" t="s">
        <v>3</v>
      </c>
      <c r="F189" s="4">
        <v>2.5299999999999999E-97</v>
      </c>
      <c r="G189" s="3">
        <v>770</v>
      </c>
      <c r="H189" s="3">
        <v>69</v>
      </c>
      <c r="I189" s="3">
        <v>197</v>
      </c>
      <c r="J189" s="3">
        <v>271</v>
      </c>
      <c r="K189" s="3">
        <v>861</v>
      </c>
      <c r="L189" s="3">
        <v>1</v>
      </c>
      <c r="M189" s="3">
        <v>197</v>
      </c>
    </row>
    <row r="190" spans="1:13" x14ac:dyDescent="0.25">
      <c r="A190" s="1" t="str">
        <f>HYPERLINK("http://www.rosaceae.org/Prunus/Prunus_persica/p.persica_gdr_reftransV1_0022851","p.persica_gdr_reftransV1_0022851")</f>
        <v>p.persica_gdr_reftransV1_0022851</v>
      </c>
      <c r="B190" s="3">
        <v>1575</v>
      </c>
      <c r="C190" s="1" t="str">
        <f>HYPERLINK("http://www.uniprot.org/uniprot/AP2L1_ARATH","AP2L1_ARATH")</f>
        <v>AP2L1_ARATH</v>
      </c>
      <c r="D190" t="s">
        <v>223</v>
      </c>
      <c r="E190" s="3" t="s">
        <v>3</v>
      </c>
      <c r="F190" s="4">
        <v>1.8799999999999999E-94</v>
      </c>
      <c r="G190" s="3">
        <v>762</v>
      </c>
      <c r="H190" s="3">
        <v>62</v>
      </c>
      <c r="I190" s="3">
        <v>321</v>
      </c>
      <c r="J190" s="3">
        <v>246</v>
      </c>
      <c r="K190" s="3">
        <v>1199</v>
      </c>
      <c r="L190" s="3">
        <v>50</v>
      </c>
      <c r="M190" s="3">
        <v>343</v>
      </c>
    </row>
    <row r="191" spans="1:13" x14ac:dyDescent="0.25">
      <c r="A191" s="1" t="str">
        <f>HYPERLINK("http://www.rosaceae.org/Prunus/Prunus_persica/p.persica_gdr_reftransV1_0023201","p.persica_gdr_reftransV1_0023201")</f>
        <v>p.persica_gdr_reftransV1_0023201</v>
      </c>
      <c r="B191" s="3">
        <v>2345</v>
      </c>
      <c r="C191" s="1" t="str">
        <f>HYPERLINK("http://www.uniprot.org/uniprot/ENGB_GLUOX","ENGB_GLUOX")</f>
        <v>ENGB_GLUOX</v>
      </c>
      <c r="D191" t="s">
        <v>224</v>
      </c>
      <c r="E191" s="3" t="s">
        <v>225</v>
      </c>
      <c r="F191" s="4">
        <v>5.1200000000000001E-44</v>
      </c>
      <c r="G191" s="3">
        <v>412</v>
      </c>
      <c r="H191" s="3">
        <v>42</v>
      </c>
      <c r="I191" s="3">
        <v>196</v>
      </c>
      <c r="J191" s="3">
        <v>1396</v>
      </c>
      <c r="K191" s="3">
        <v>1980</v>
      </c>
      <c r="L191" s="3">
        <v>20</v>
      </c>
      <c r="M191" s="3">
        <v>214</v>
      </c>
    </row>
    <row r="192" spans="1:13" x14ac:dyDescent="0.25">
      <c r="A192" s="1" t="str">
        <f>HYPERLINK("http://www.rosaceae.org/Prunus/Prunus_persica/p.persica_gdr_reftransV1_0023601","p.persica_gdr_reftransV1_0023601")</f>
        <v>p.persica_gdr_reftransV1_0023601</v>
      </c>
      <c r="B192" s="3">
        <v>1590</v>
      </c>
      <c r="C192" s="1" t="str">
        <f>HYPERLINK("http://www.uniprot.org/uniprot/SSRA_ARATH","SSRA_ARATH")</f>
        <v>SSRA_ARATH</v>
      </c>
      <c r="D192" t="s">
        <v>226</v>
      </c>
      <c r="E192" s="3" t="s">
        <v>3</v>
      </c>
      <c r="F192" s="4">
        <v>8.5500000000000005E-49</v>
      </c>
      <c r="G192" s="3">
        <v>442</v>
      </c>
      <c r="H192" s="3">
        <v>64</v>
      </c>
      <c r="I192" s="3">
        <v>155</v>
      </c>
      <c r="J192" s="3">
        <v>600</v>
      </c>
      <c r="K192" s="3">
        <v>1064</v>
      </c>
      <c r="L192" s="3">
        <v>94</v>
      </c>
      <c r="M192" s="3">
        <v>248</v>
      </c>
    </row>
    <row r="193" spans="1:13" x14ac:dyDescent="0.25">
      <c r="A193" s="1" t="str">
        <f>HYPERLINK("http://www.rosaceae.org/Prunus/Prunus_persica/p.persica_gdr_reftransV1_0023701","p.persica_gdr_reftransV1_0023701")</f>
        <v>p.persica_gdr_reftransV1_0023701</v>
      </c>
      <c r="B193" s="3">
        <v>2410</v>
      </c>
      <c r="C193" s="1" t="str">
        <f>HYPERLINK("http://www.uniprot.org/uniprot/NCS1_COPJA","NCS1_COPJA")</f>
        <v>NCS1_COPJA</v>
      </c>
      <c r="D193" t="s">
        <v>227</v>
      </c>
      <c r="E193" s="3" t="s">
        <v>228</v>
      </c>
      <c r="F193" s="4">
        <v>7.6100000000000003E-101</v>
      </c>
      <c r="G193" s="3">
        <v>826</v>
      </c>
      <c r="H193" s="3">
        <v>59</v>
      </c>
      <c r="I193" s="3">
        <v>275</v>
      </c>
      <c r="J193" s="3">
        <v>1548</v>
      </c>
      <c r="K193" s="3">
        <v>2351</v>
      </c>
      <c r="L193" s="3">
        <v>8</v>
      </c>
      <c r="M193" s="3">
        <v>274</v>
      </c>
    </row>
    <row r="194" spans="1:13" x14ac:dyDescent="0.25">
      <c r="A194" s="1" t="str">
        <f>HYPERLINK("http://www.rosaceae.org/Prunus/Prunus_persica/p.persica_gdr_reftransV1_0024001","p.persica_gdr_reftransV1_0024001")</f>
        <v>p.persica_gdr_reftransV1_0024001</v>
      </c>
      <c r="B194" s="3">
        <v>3645</v>
      </c>
      <c r="C194" s="1" t="str">
        <f>HYPERLINK("http://www.uniprot.org/uniprot/DNLI4_ARATH","DNLI4_ARATH")</f>
        <v>DNLI4_ARATH</v>
      </c>
      <c r="D194" t="s">
        <v>229</v>
      </c>
      <c r="E194" s="3" t="s">
        <v>3</v>
      </c>
      <c r="F194" s="4">
        <v>0</v>
      </c>
      <c r="G194" s="3">
        <v>2374</v>
      </c>
      <c r="H194" s="3">
        <v>83</v>
      </c>
      <c r="I194" s="3">
        <v>525</v>
      </c>
      <c r="J194" s="3">
        <v>2071</v>
      </c>
      <c r="K194" s="3">
        <v>3642</v>
      </c>
      <c r="L194" s="3">
        <v>71</v>
      </c>
      <c r="M194" s="3">
        <v>595</v>
      </c>
    </row>
    <row r="195" spans="1:13" x14ac:dyDescent="0.25">
      <c r="A195" s="1" t="str">
        <f>HYPERLINK("http://www.rosaceae.org/Prunus/Prunus_persica/p.persica_gdr_reftransV1_0024151","p.persica_gdr_reftransV1_0024151")</f>
        <v>p.persica_gdr_reftransV1_0024151</v>
      </c>
      <c r="B195" s="3">
        <v>2635</v>
      </c>
      <c r="C195" s="1" t="str">
        <f>HYPERLINK("http://www.uniprot.org/uniprot/PXC2_ARATH","PXC2_ARATH")</f>
        <v>PXC2_ARATH</v>
      </c>
      <c r="D195" t="s">
        <v>230</v>
      </c>
      <c r="E195" s="3" t="s">
        <v>3</v>
      </c>
      <c r="F195" s="4">
        <v>0</v>
      </c>
      <c r="G195" s="3">
        <v>2408</v>
      </c>
      <c r="H195" s="3">
        <v>63</v>
      </c>
      <c r="I195" s="3">
        <v>797</v>
      </c>
      <c r="J195" s="3">
        <v>260</v>
      </c>
      <c r="K195" s="3">
        <v>2635</v>
      </c>
      <c r="L195" s="3">
        <v>172</v>
      </c>
      <c r="M195" s="3">
        <v>967</v>
      </c>
    </row>
    <row r="196" spans="1:13" x14ac:dyDescent="0.25">
      <c r="A196" s="1" t="str">
        <f>HYPERLINK("http://www.rosaceae.org/Prunus/Prunus_persica/p.persica_gdr_reftransV1_0024251","p.persica_gdr_reftransV1_0024251")</f>
        <v>p.persica_gdr_reftransV1_0024251</v>
      </c>
      <c r="B196" s="3">
        <v>1647</v>
      </c>
      <c r="C196" s="1" t="str">
        <f>HYPERLINK("http://www.uniprot.org/uniprot/SOX_ARATH","SOX_ARATH")</f>
        <v>SOX_ARATH</v>
      </c>
      <c r="D196" t="s">
        <v>231</v>
      </c>
      <c r="E196" s="3" t="s">
        <v>3</v>
      </c>
      <c r="F196" s="4">
        <v>0</v>
      </c>
      <c r="G196" s="3">
        <v>1488</v>
      </c>
      <c r="H196" s="3">
        <v>71</v>
      </c>
      <c r="I196" s="3">
        <v>404</v>
      </c>
      <c r="J196" s="3">
        <v>102</v>
      </c>
      <c r="K196" s="3">
        <v>1301</v>
      </c>
      <c r="L196" s="3">
        <v>1</v>
      </c>
      <c r="M196" s="3">
        <v>404</v>
      </c>
    </row>
    <row r="197" spans="1:13" x14ac:dyDescent="0.25">
      <c r="A197" s="1" t="str">
        <f>HYPERLINK("http://www.rosaceae.org/Prunus/Prunus_persica/p.persica_gdr_reftransV1_0024401","p.persica_gdr_reftransV1_0024401")</f>
        <v>p.persica_gdr_reftransV1_0024401</v>
      </c>
      <c r="B197" s="3">
        <v>2045</v>
      </c>
      <c r="C197" s="1" t="str">
        <f>HYPERLINK("http://www.uniprot.org/uniprot/FRA1_ARATH","FRA1_ARATH")</f>
        <v>FRA1_ARATH</v>
      </c>
      <c r="D197" t="s">
        <v>49</v>
      </c>
      <c r="E197" s="3" t="s">
        <v>3</v>
      </c>
      <c r="F197" s="4">
        <v>2.2000000000000001E-33</v>
      </c>
      <c r="G197" s="3">
        <v>355</v>
      </c>
      <c r="H197" s="3">
        <v>41</v>
      </c>
      <c r="I197" s="3">
        <v>230</v>
      </c>
      <c r="J197" s="3">
        <v>236</v>
      </c>
      <c r="K197" s="3">
        <v>892</v>
      </c>
      <c r="L197" s="3">
        <v>542</v>
      </c>
      <c r="M197" s="3">
        <v>768</v>
      </c>
    </row>
    <row r="198" spans="1:13" x14ac:dyDescent="0.25">
      <c r="A198" s="1" t="str">
        <f>HYPERLINK("http://www.rosaceae.org/Prunus/Prunus_persica/p.persica_gdr_reftransV1_0024501","p.persica_gdr_reftransV1_0024501")</f>
        <v>p.persica_gdr_reftransV1_0024501</v>
      </c>
      <c r="B198" s="3">
        <v>2073</v>
      </c>
      <c r="C198" s="1" t="str">
        <f>HYPERLINK("http://www.uniprot.org/uniprot/MTK_ARATH","MTK_ARATH")</f>
        <v>MTK_ARATH</v>
      </c>
      <c r="D198" t="s">
        <v>232</v>
      </c>
      <c r="E198" s="3" t="s">
        <v>3</v>
      </c>
      <c r="F198" s="4">
        <v>0</v>
      </c>
      <c r="G198" s="3">
        <v>993</v>
      </c>
      <c r="H198" s="3">
        <v>75</v>
      </c>
      <c r="I198" s="3">
        <v>239</v>
      </c>
      <c r="J198" s="3">
        <v>908</v>
      </c>
      <c r="K198" s="3">
        <v>1621</v>
      </c>
      <c r="L198" s="3">
        <v>180</v>
      </c>
      <c r="M198" s="3">
        <v>418</v>
      </c>
    </row>
    <row r="199" spans="1:13" x14ac:dyDescent="0.25">
      <c r="A199" s="1" t="str">
        <f>HYPERLINK("http://www.rosaceae.org/Prunus/Prunus_persica/p.persica_gdr_reftransV1_0024601","p.persica_gdr_reftransV1_0024601")</f>
        <v>p.persica_gdr_reftransV1_0024601</v>
      </c>
      <c r="B199" s="3">
        <v>5075</v>
      </c>
      <c r="C199" s="1" t="str">
        <f>HYPERLINK("http://www.uniprot.org/uniprot/NFRKB_MOUSE","NFRKB_MOUSE")</f>
        <v>NFRKB_MOUSE</v>
      </c>
      <c r="D199" t="s">
        <v>233</v>
      </c>
      <c r="E199" s="3" t="s">
        <v>157</v>
      </c>
      <c r="F199" s="4">
        <v>1.35E-39</v>
      </c>
      <c r="G199" s="3">
        <v>418</v>
      </c>
      <c r="H199" s="3">
        <v>55</v>
      </c>
      <c r="I199" s="3">
        <v>143</v>
      </c>
      <c r="J199" s="3">
        <v>924</v>
      </c>
      <c r="K199" s="3">
        <v>1346</v>
      </c>
      <c r="L199" s="3">
        <v>509</v>
      </c>
      <c r="M199" s="3">
        <v>650</v>
      </c>
    </row>
    <row r="200" spans="1:13" x14ac:dyDescent="0.25">
      <c r="A200" s="1" t="str">
        <f>HYPERLINK("http://www.rosaceae.org/Prunus/Prunus_persica/p.persica_gdr_reftransV1_0024751","p.persica_gdr_reftransV1_0024751")</f>
        <v>p.persica_gdr_reftransV1_0024751</v>
      </c>
      <c r="B200" s="3">
        <v>2340</v>
      </c>
      <c r="C200" s="1" t="str">
        <f>HYPERLINK("http://www.uniprot.org/uniprot/ALKB_SALTY","ALKB_SALTY")</f>
        <v>ALKB_SALTY</v>
      </c>
      <c r="D200" t="s">
        <v>234</v>
      </c>
      <c r="E200" s="3" t="s">
        <v>112</v>
      </c>
      <c r="F200" s="4">
        <v>6.9499999999999995E-16</v>
      </c>
      <c r="G200" s="3">
        <v>201</v>
      </c>
      <c r="H200" s="3">
        <v>31</v>
      </c>
      <c r="I200" s="3">
        <v>172</v>
      </c>
      <c r="J200" s="3">
        <v>200</v>
      </c>
      <c r="K200" s="3">
        <v>715</v>
      </c>
      <c r="L200" s="3">
        <v>66</v>
      </c>
      <c r="M200" s="3">
        <v>211</v>
      </c>
    </row>
    <row r="201" spans="1:13" x14ac:dyDescent="0.25">
      <c r="A201" s="1" t="str">
        <f>HYPERLINK("http://www.rosaceae.org/Prunus/Prunus_persica/p.persica_gdr_reftransV1_0024901","p.persica_gdr_reftransV1_0024901")</f>
        <v>p.persica_gdr_reftransV1_0024901</v>
      </c>
      <c r="B201" s="3">
        <v>1639</v>
      </c>
      <c r="C201" s="1" t="str">
        <f>HYPERLINK("http://www.uniprot.org/uniprot/RMR1_ARATH","RMR1_ARATH")</f>
        <v>RMR1_ARATH</v>
      </c>
      <c r="D201" t="s">
        <v>235</v>
      </c>
      <c r="E201" s="3" t="s">
        <v>3</v>
      </c>
      <c r="F201" s="4">
        <v>8.7599999999999993E-96</v>
      </c>
      <c r="G201" s="3">
        <v>769</v>
      </c>
      <c r="H201" s="3">
        <v>51</v>
      </c>
      <c r="I201" s="3">
        <v>284</v>
      </c>
      <c r="J201" s="3">
        <v>118</v>
      </c>
      <c r="K201" s="3">
        <v>951</v>
      </c>
      <c r="L201" s="3">
        <v>8</v>
      </c>
      <c r="M201" s="3">
        <v>289</v>
      </c>
    </row>
    <row r="202" spans="1:13" x14ac:dyDescent="0.25">
      <c r="A202" s="1" t="str">
        <f>HYPERLINK("http://www.rosaceae.org/Prunus/Prunus_persica/p.persica_gdr_reftransV1_0025051","p.persica_gdr_reftransV1_0025051")</f>
        <v>p.persica_gdr_reftransV1_0025051</v>
      </c>
      <c r="B202" s="3">
        <v>1635</v>
      </c>
      <c r="C202" s="1" t="str">
        <f>HYPERLINK("http://www.uniprot.org/uniprot/LTI65_ARATH","LTI65_ARATH")</f>
        <v>LTI65_ARATH</v>
      </c>
      <c r="D202" t="s">
        <v>236</v>
      </c>
      <c r="E202" s="3" t="s">
        <v>3</v>
      </c>
      <c r="F202" s="4">
        <v>5.4799999999999999E-31</v>
      </c>
      <c r="G202" s="3">
        <v>328</v>
      </c>
      <c r="H202" s="3">
        <v>35</v>
      </c>
      <c r="I202" s="3">
        <v>336</v>
      </c>
      <c r="J202" s="3">
        <v>684</v>
      </c>
      <c r="K202" s="3">
        <v>1460</v>
      </c>
      <c r="L202" s="3">
        <v>191</v>
      </c>
      <c r="M202" s="3">
        <v>512</v>
      </c>
    </row>
    <row r="203" spans="1:13" x14ac:dyDescent="0.25">
      <c r="A203" s="1" t="str">
        <f>HYPERLINK("http://www.rosaceae.org/Prunus/Prunus_persica/p.persica_gdr_reftransV1_0025151","p.persica_gdr_reftransV1_0025151")</f>
        <v>p.persica_gdr_reftransV1_0025151</v>
      </c>
      <c r="B203" s="3">
        <v>1210</v>
      </c>
      <c r="C203" s="1" t="str">
        <f>HYPERLINK("http://www.uniprot.org/uniprot/FB270_ARATH","FB270_ARATH")</f>
        <v>FB270_ARATH</v>
      </c>
      <c r="D203" t="s">
        <v>237</v>
      </c>
      <c r="E203" s="3" t="s">
        <v>3</v>
      </c>
      <c r="F203" s="4">
        <v>2.6600000000000002E-113</v>
      </c>
      <c r="G203" s="3">
        <v>868</v>
      </c>
      <c r="H203" s="3">
        <v>67</v>
      </c>
      <c r="I203" s="3">
        <v>252</v>
      </c>
      <c r="J203" s="3">
        <v>99</v>
      </c>
      <c r="K203" s="3">
        <v>845</v>
      </c>
      <c r="L203" s="3">
        <v>1</v>
      </c>
      <c r="M203" s="3">
        <v>252</v>
      </c>
    </row>
    <row r="204" spans="1:13" x14ac:dyDescent="0.25">
      <c r="A204" s="1" t="str">
        <f>HYPERLINK("http://www.rosaceae.org/Prunus/Prunus_persica/p.persica_gdr_reftransV1_0025351","p.persica_gdr_reftransV1_0025351")</f>
        <v>p.persica_gdr_reftransV1_0025351</v>
      </c>
      <c r="B204" s="3">
        <v>2280</v>
      </c>
      <c r="C204" s="1" t="str">
        <f>HYPERLINK("http://www.uniprot.org/uniprot/TRPD_AZOSB","TRPD_AZOSB")</f>
        <v>TRPD_AZOSB</v>
      </c>
      <c r="D204" t="s">
        <v>238</v>
      </c>
      <c r="E204" s="3" t="s">
        <v>239</v>
      </c>
      <c r="F204" s="4">
        <v>5.3000000000000001E-7</v>
      </c>
      <c r="G204" s="3">
        <v>99</v>
      </c>
      <c r="H204" s="3">
        <v>25</v>
      </c>
      <c r="I204" s="3">
        <v>184</v>
      </c>
      <c r="J204" s="3">
        <v>392</v>
      </c>
      <c r="K204" s="3">
        <v>922</v>
      </c>
      <c r="L204" s="3">
        <v>191</v>
      </c>
      <c r="M204" s="3">
        <v>343</v>
      </c>
    </row>
    <row r="205" spans="1:13" x14ac:dyDescent="0.25">
      <c r="A205" s="1" t="str">
        <f>HYPERLINK("http://www.rosaceae.org/Prunus/Prunus_persica/p.persica_gdr_reftransV1_0025501","p.persica_gdr_reftransV1_0025501")</f>
        <v>p.persica_gdr_reftransV1_0025501</v>
      </c>
      <c r="B205" s="3">
        <v>3098</v>
      </c>
      <c r="C205" s="1" t="str">
        <f>HYPERLINK("http://www.uniprot.org/uniprot/F26_ARATH","F26_ARATH")</f>
        <v>F26_ARATH</v>
      </c>
      <c r="D205" t="s">
        <v>240</v>
      </c>
      <c r="E205" s="3" t="s">
        <v>3</v>
      </c>
      <c r="F205" s="4">
        <v>0</v>
      </c>
      <c r="G205" s="3">
        <v>2870</v>
      </c>
      <c r="H205" s="3">
        <v>70</v>
      </c>
      <c r="I205" s="3">
        <v>827</v>
      </c>
      <c r="J205" s="3">
        <v>387</v>
      </c>
      <c r="K205" s="3">
        <v>2867</v>
      </c>
      <c r="L205" s="3">
        <v>1</v>
      </c>
      <c r="M205" s="3">
        <v>744</v>
      </c>
    </row>
    <row r="206" spans="1:13" x14ac:dyDescent="0.25">
      <c r="A206" s="1" t="str">
        <f>HYPERLINK("http://www.rosaceae.org/Prunus/Prunus_persica/p.persica_gdr_reftransV1_0025751","p.persica_gdr_reftransV1_0025751")</f>
        <v>p.persica_gdr_reftransV1_0025751</v>
      </c>
      <c r="B206" s="3">
        <v>1678</v>
      </c>
      <c r="C206" s="1" t="str">
        <f>HYPERLINK("http://www.uniprot.org/uniprot/CNGC1_ARATH","CNGC1_ARATH")</f>
        <v>CNGC1_ARATH</v>
      </c>
      <c r="D206" t="s">
        <v>241</v>
      </c>
      <c r="E206" s="3" t="s">
        <v>3</v>
      </c>
      <c r="F206" s="4">
        <v>5.8100000000000003E-53</v>
      </c>
      <c r="G206" s="3">
        <v>499</v>
      </c>
      <c r="H206" s="3">
        <v>39</v>
      </c>
      <c r="I206" s="3">
        <v>301</v>
      </c>
      <c r="J206" s="3">
        <v>1</v>
      </c>
      <c r="K206" s="3">
        <v>897</v>
      </c>
      <c r="L206" s="3">
        <v>91</v>
      </c>
      <c r="M206" s="3">
        <v>342</v>
      </c>
    </row>
    <row r="207" spans="1:13" x14ac:dyDescent="0.25">
      <c r="A207" s="1" t="str">
        <f>HYPERLINK("http://www.rosaceae.org/Prunus/Prunus_persica/p.persica_gdr_reftransV1_0025951","p.persica_gdr_reftransV1_0025951")</f>
        <v>p.persica_gdr_reftransV1_0025951</v>
      </c>
      <c r="B207" s="3">
        <v>961</v>
      </c>
      <c r="C207" s="1" t="str">
        <f>HYPERLINK("http://www.uniprot.org/uniprot/FEI2_ARATH","FEI2_ARATH")</f>
        <v>FEI2_ARATH</v>
      </c>
      <c r="D207" t="s">
        <v>242</v>
      </c>
      <c r="E207" s="3" t="s">
        <v>3</v>
      </c>
      <c r="F207" s="4">
        <v>1.3400000000000001E-32</v>
      </c>
      <c r="G207" s="3">
        <v>314</v>
      </c>
      <c r="H207" s="3">
        <v>63</v>
      </c>
      <c r="I207" s="3">
        <v>104</v>
      </c>
      <c r="J207" s="3">
        <v>315</v>
      </c>
      <c r="K207" s="3">
        <v>626</v>
      </c>
      <c r="L207" s="3">
        <v>1</v>
      </c>
      <c r="M207" s="3">
        <v>104</v>
      </c>
    </row>
    <row r="208" spans="1:13" x14ac:dyDescent="0.25">
      <c r="A208" s="1" t="str">
        <f>HYPERLINK("http://www.rosaceae.org/Prunus/Prunus_persica/p.persica_gdr_reftransV1_0026351","p.persica_gdr_reftransV1_0026351")</f>
        <v>p.persica_gdr_reftransV1_0026351</v>
      </c>
      <c r="B208" s="3">
        <v>2430</v>
      </c>
      <c r="C208" s="1" t="str">
        <f>HYPERLINK("http://www.uniprot.org/uniprot/ZIP11_ARATH","ZIP11_ARATH")</f>
        <v>ZIP11_ARATH</v>
      </c>
      <c r="D208" t="s">
        <v>243</v>
      </c>
      <c r="E208" s="3" t="s">
        <v>3</v>
      </c>
      <c r="F208" s="4">
        <v>1.2599999999999999E-72</v>
      </c>
      <c r="G208" s="3">
        <v>629</v>
      </c>
      <c r="H208" s="3">
        <v>73</v>
      </c>
      <c r="I208" s="3">
        <v>172</v>
      </c>
      <c r="J208" s="3">
        <v>517</v>
      </c>
      <c r="K208" s="3">
        <v>1032</v>
      </c>
      <c r="L208" s="3">
        <v>155</v>
      </c>
      <c r="M208" s="3">
        <v>326</v>
      </c>
    </row>
    <row r="209" spans="1:13" x14ac:dyDescent="0.25">
      <c r="A209" s="1" t="str">
        <f>HYPERLINK("http://www.rosaceae.org/Prunus/Prunus_persica/p.persica_gdr_reftransV1_0026551","p.persica_gdr_reftransV1_0026551")</f>
        <v>p.persica_gdr_reftransV1_0026551</v>
      </c>
      <c r="B209" s="3">
        <v>1751</v>
      </c>
      <c r="C209" s="1" t="str">
        <f>HYPERLINK("http://www.uniprot.org/uniprot/GATA5_ARATH","GATA5_ARATH")</f>
        <v>GATA5_ARATH</v>
      </c>
      <c r="D209" t="s">
        <v>244</v>
      </c>
      <c r="E209" s="3" t="s">
        <v>3</v>
      </c>
      <c r="F209" s="4">
        <v>1.66E-80</v>
      </c>
      <c r="G209" s="3">
        <v>672</v>
      </c>
      <c r="H209" s="3">
        <v>55</v>
      </c>
      <c r="I209" s="3">
        <v>348</v>
      </c>
      <c r="J209" s="3">
        <v>427</v>
      </c>
      <c r="K209" s="3">
        <v>1425</v>
      </c>
      <c r="L209" s="3">
        <v>3</v>
      </c>
      <c r="M209" s="3">
        <v>339</v>
      </c>
    </row>
    <row r="210" spans="1:13" x14ac:dyDescent="0.25">
      <c r="A210" s="1" t="str">
        <f>HYPERLINK("http://www.rosaceae.org/Prunus/Prunus_persica/p.persica_gdr_reftransV1_0026701","p.persica_gdr_reftransV1_0026701")</f>
        <v>p.persica_gdr_reftransV1_0026701</v>
      </c>
      <c r="B210" s="3">
        <v>1594</v>
      </c>
      <c r="C210" s="1" t="str">
        <f>HYPERLINK("http://www.uniprot.org/uniprot/P2C25_ARATH","P2C25_ARATH")</f>
        <v>P2C25_ARATH</v>
      </c>
      <c r="D210" t="s">
        <v>245</v>
      </c>
      <c r="E210" s="3" t="s">
        <v>3</v>
      </c>
      <c r="F210" s="4">
        <v>2.9799999999999998E-127</v>
      </c>
      <c r="G210" s="3">
        <v>987</v>
      </c>
      <c r="H210" s="3">
        <v>64</v>
      </c>
      <c r="I210" s="3">
        <v>309</v>
      </c>
      <c r="J210" s="3">
        <v>370</v>
      </c>
      <c r="K210" s="3">
        <v>1269</v>
      </c>
      <c r="L210" s="3">
        <v>88</v>
      </c>
      <c r="M210" s="3">
        <v>396</v>
      </c>
    </row>
    <row r="211" spans="1:13" x14ac:dyDescent="0.25">
      <c r="A211" s="1" t="str">
        <f>HYPERLINK("http://www.rosaceae.org/Prunus/Prunus_persica/p.persica_gdr_reftransV1_0026901","p.persica_gdr_reftransV1_0026901")</f>
        <v>p.persica_gdr_reftransV1_0026901</v>
      </c>
      <c r="B211" s="3">
        <v>3513</v>
      </c>
      <c r="C211" s="1" t="str">
        <f>HYPERLINK("http://www.uniprot.org/uniprot/SPSY_ARATH","SPSY_ARATH")</f>
        <v>SPSY_ARATH</v>
      </c>
      <c r="D211" t="s">
        <v>246</v>
      </c>
      <c r="E211" s="3" t="s">
        <v>3</v>
      </c>
      <c r="F211" s="4">
        <v>5.5799999999999995E-109</v>
      </c>
      <c r="G211" s="3">
        <v>902</v>
      </c>
      <c r="H211" s="3">
        <v>82</v>
      </c>
      <c r="I211" s="3">
        <v>202</v>
      </c>
      <c r="J211" s="3">
        <v>2309</v>
      </c>
      <c r="K211" s="3">
        <v>2914</v>
      </c>
      <c r="L211" s="3">
        <v>159</v>
      </c>
      <c r="M211" s="3">
        <v>359</v>
      </c>
    </row>
    <row r="212" spans="1:13" x14ac:dyDescent="0.25">
      <c r="A212" s="1" t="str">
        <f>HYPERLINK("http://www.rosaceae.org/Prunus/Prunus_persica/p.persica_gdr_reftransV1_0027101","p.persica_gdr_reftransV1_0027101")</f>
        <v>p.persica_gdr_reftransV1_0027101</v>
      </c>
      <c r="B212" s="3">
        <v>1996</v>
      </c>
      <c r="C212" s="1" t="str">
        <f>HYPERLINK("http://www.uniprot.org/uniprot/SKI11_ARATH","SKI11_ARATH")</f>
        <v>SKI11_ARATH</v>
      </c>
      <c r="D212" t="s">
        <v>247</v>
      </c>
      <c r="E212" s="3" t="s">
        <v>3</v>
      </c>
      <c r="F212" s="4">
        <v>6.4999999999999995E-140</v>
      </c>
      <c r="G212" s="3">
        <v>1090</v>
      </c>
      <c r="H212" s="3">
        <v>75</v>
      </c>
      <c r="I212" s="3">
        <v>275</v>
      </c>
      <c r="J212" s="3">
        <v>1177</v>
      </c>
      <c r="K212" s="3">
        <v>1995</v>
      </c>
      <c r="L212" s="3">
        <v>194</v>
      </c>
      <c r="M212" s="3">
        <v>467</v>
      </c>
    </row>
    <row r="213" spans="1:13" x14ac:dyDescent="0.25">
      <c r="A213" s="1" t="str">
        <f>HYPERLINK("http://www.rosaceae.org/Prunus/Prunus_persica/p.persica_gdr_reftransV1_0027201","p.persica_gdr_reftransV1_0027201")</f>
        <v>p.persica_gdr_reftransV1_0027201</v>
      </c>
      <c r="B213" s="3">
        <v>1935</v>
      </c>
      <c r="C213" s="1" t="str">
        <f>HYPERLINK("http://www.uniprot.org/uniprot/NUP58_ARATH","NUP58_ARATH")</f>
        <v>NUP58_ARATH</v>
      </c>
      <c r="D213" t="s">
        <v>248</v>
      </c>
      <c r="E213" s="3" t="s">
        <v>3</v>
      </c>
      <c r="F213" s="4">
        <v>1.91E-96</v>
      </c>
      <c r="G213" s="3">
        <v>799</v>
      </c>
      <c r="H213" s="3">
        <v>65</v>
      </c>
      <c r="I213" s="3">
        <v>243</v>
      </c>
      <c r="J213" s="3">
        <v>1149</v>
      </c>
      <c r="K213" s="3">
        <v>1865</v>
      </c>
      <c r="L213" s="3">
        <v>93</v>
      </c>
      <c r="M213" s="3">
        <v>327</v>
      </c>
    </row>
    <row r="214" spans="1:13" x14ac:dyDescent="0.25">
      <c r="A214" s="1" t="str">
        <f>HYPERLINK("http://www.rosaceae.org/Prunus/Prunus_persica/p.persica_gdr_reftransV1_0027651","p.persica_gdr_reftransV1_0027651")</f>
        <v>p.persica_gdr_reftransV1_0027651</v>
      </c>
      <c r="B214" s="3">
        <v>3205</v>
      </c>
      <c r="C214" s="1" t="str">
        <f>HYPERLINK("http://www.uniprot.org/uniprot/PLSP1_ARATH","PLSP1_ARATH")</f>
        <v>PLSP1_ARATH</v>
      </c>
      <c r="D214" t="s">
        <v>249</v>
      </c>
      <c r="E214" s="3" t="s">
        <v>3</v>
      </c>
      <c r="F214" s="4">
        <v>3.77E-114</v>
      </c>
      <c r="G214" s="3">
        <v>927</v>
      </c>
      <c r="H214" s="3">
        <v>66</v>
      </c>
      <c r="I214" s="3">
        <v>289</v>
      </c>
      <c r="J214" s="3">
        <v>231</v>
      </c>
      <c r="K214" s="3">
        <v>1052</v>
      </c>
      <c r="L214" s="3">
        <v>8</v>
      </c>
      <c r="M214" s="3">
        <v>291</v>
      </c>
    </row>
    <row r="215" spans="1:13" x14ac:dyDescent="0.25">
      <c r="A215" s="1" t="str">
        <f>HYPERLINK("http://www.rosaceae.org/Prunus/Prunus_persica/p.persica_gdr_reftransV1_0027901","p.persica_gdr_reftransV1_0027901")</f>
        <v>p.persica_gdr_reftransV1_0027901</v>
      </c>
      <c r="B215" s="3">
        <v>3626</v>
      </c>
      <c r="C215" s="1" t="str">
        <f>HYPERLINK("http://www.uniprot.org/uniprot/TPS1_ARATH","TPS1_ARATH")</f>
        <v>TPS1_ARATH</v>
      </c>
      <c r="D215" t="s">
        <v>250</v>
      </c>
      <c r="E215" s="3" t="s">
        <v>3</v>
      </c>
      <c r="F215" s="4">
        <v>0</v>
      </c>
      <c r="G215" s="3">
        <v>3814</v>
      </c>
      <c r="H215" s="3">
        <v>81</v>
      </c>
      <c r="I215" s="3">
        <v>939</v>
      </c>
      <c r="J215" s="3">
        <v>585</v>
      </c>
      <c r="K215" s="3">
        <v>3335</v>
      </c>
      <c r="L215" s="3">
        <v>1</v>
      </c>
      <c r="M215" s="3">
        <v>936</v>
      </c>
    </row>
    <row r="216" spans="1:13" x14ac:dyDescent="0.25">
      <c r="A216" s="1" t="str">
        <f>HYPERLINK("http://www.rosaceae.org/Prunus/Prunus_persica/p.persica_gdr_reftransV1_0028601","p.persica_gdr_reftransV1_0028601")</f>
        <v>p.persica_gdr_reftransV1_0028601</v>
      </c>
      <c r="B216" s="3">
        <v>4086</v>
      </c>
      <c r="C216" s="1" t="str">
        <f>HYPERLINK("http://www.uniprot.org/uniprot/VAD1_ARATH","VAD1_ARATH")</f>
        <v>VAD1_ARATH</v>
      </c>
      <c r="D216" t="s">
        <v>251</v>
      </c>
      <c r="E216" s="3" t="s">
        <v>3</v>
      </c>
      <c r="F216" s="4">
        <v>6.8199999999999995E-97</v>
      </c>
      <c r="G216" s="3">
        <v>843</v>
      </c>
      <c r="H216" s="3">
        <v>54</v>
      </c>
      <c r="I216" s="3">
        <v>326</v>
      </c>
      <c r="J216" s="3">
        <v>2810</v>
      </c>
      <c r="K216" s="3">
        <v>3754</v>
      </c>
      <c r="L216" s="3">
        <v>60</v>
      </c>
      <c r="M216" s="3">
        <v>362</v>
      </c>
    </row>
    <row r="217" spans="1:13" x14ac:dyDescent="0.25">
      <c r="A217" s="1" t="str">
        <f>HYPERLINK("http://www.rosaceae.org/Prunus/Prunus_persica/p.persica_gdr_reftransV1_0029001","p.persica_gdr_reftransV1_0029001")</f>
        <v>p.persica_gdr_reftransV1_0029001</v>
      </c>
      <c r="B217" s="3">
        <v>572</v>
      </c>
      <c r="C217" s="1" t="str">
        <f>HYPERLINK("http://www.uniprot.org/uniprot/Y2232_ARATH","Y2232_ARATH")</f>
        <v>Y2232_ARATH</v>
      </c>
      <c r="D217" t="s">
        <v>252</v>
      </c>
      <c r="E217" s="3" t="s">
        <v>3</v>
      </c>
      <c r="F217" s="4">
        <v>1.2700000000000001E-65</v>
      </c>
      <c r="G217" s="3">
        <v>562</v>
      </c>
      <c r="H217" s="3">
        <v>56</v>
      </c>
      <c r="I217" s="3">
        <v>186</v>
      </c>
      <c r="J217" s="3">
        <v>1</v>
      </c>
      <c r="K217" s="3">
        <v>558</v>
      </c>
      <c r="L217" s="3">
        <v>607</v>
      </c>
      <c r="M217" s="3">
        <v>792</v>
      </c>
    </row>
    <row r="218" spans="1:13" x14ac:dyDescent="0.25">
      <c r="A218" s="1" t="str">
        <f>HYPERLINK("http://www.rosaceae.org/Prunus/Prunus_persica/p.persica_gdr_reftransV1_0029401","p.persica_gdr_reftransV1_0029401")</f>
        <v>p.persica_gdr_reftransV1_0029401</v>
      </c>
      <c r="B218" s="3">
        <v>1822</v>
      </c>
      <c r="C218" s="1" t="str">
        <f>HYPERLINK("http://www.uniprot.org/uniprot/VIP4_ARATH","VIP4_ARATH")</f>
        <v>VIP4_ARATH</v>
      </c>
      <c r="D218" t="s">
        <v>253</v>
      </c>
      <c r="E218" s="3" t="s">
        <v>3</v>
      </c>
      <c r="F218" s="4">
        <v>1.2199999999999999E-148</v>
      </c>
      <c r="G218" s="3">
        <v>1157</v>
      </c>
      <c r="H218" s="3">
        <v>62</v>
      </c>
      <c r="I218" s="3">
        <v>524</v>
      </c>
      <c r="J218" s="3">
        <v>132</v>
      </c>
      <c r="K218" s="3">
        <v>1658</v>
      </c>
      <c r="L218" s="3">
        <v>5</v>
      </c>
      <c r="M218" s="3">
        <v>517</v>
      </c>
    </row>
    <row r="219" spans="1:13" x14ac:dyDescent="0.25">
      <c r="A219" s="1" t="str">
        <f>HYPERLINK("http://www.rosaceae.org/Prunus/Prunus_persica/p.persica_gdr_reftransV1_0029901","p.persica_gdr_reftransV1_0029901")</f>
        <v>p.persica_gdr_reftransV1_0029901</v>
      </c>
      <c r="B219" s="3">
        <v>758</v>
      </c>
      <c r="C219" s="1" t="str">
        <f>HYPERLINK("http://www.uniprot.org/uniprot/AHP1_ARATH","AHP1_ARATH")</f>
        <v>AHP1_ARATH</v>
      </c>
      <c r="D219" t="s">
        <v>254</v>
      </c>
      <c r="E219" s="3" t="s">
        <v>3</v>
      </c>
      <c r="F219" s="4">
        <v>8.8499999999999999E-52</v>
      </c>
      <c r="G219" s="3">
        <v>435</v>
      </c>
      <c r="H219" s="3">
        <v>63</v>
      </c>
      <c r="I219" s="3">
        <v>143</v>
      </c>
      <c r="J219" s="3">
        <v>77</v>
      </c>
      <c r="K219" s="3">
        <v>505</v>
      </c>
      <c r="L219" s="3">
        <v>7</v>
      </c>
      <c r="M219" s="3">
        <v>149</v>
      </c>
    </row>
    <row r="220" spans="1:13" x14ac:dyDescent="0.25">
      <c r="A220" s="1" t="str">
        <f>HYPERLINK("http://www.rosaceae.org/Prunus/Prunus_persica/p.persica_gdr_reftransV1_0030001","p.persica_gdr_reftransV1_0030001")</f>
        <v>p.persica_gdr_reftransV1_0030001</v>
      </c>
      <c r="B220" s="3">
        <v>969</v>
      </c>
      <c r="C220" s="1" t="str">
        <f>HYPERLINK("http://www.uniprot.org/uniprot/MPCP3_ARATH","MPCP3_ARATH")</f>
        <v>MPCP3_ARATH</v>
      </c>
      <c r="D220" t="s">
        <v>255</v>
      </c>
      <c r="E220" s="3" t="s">
        <v>3</v>
      </c>
      <c r="F220" s="4">
        <v>7.14E-25</v>
      </c>
      <c r="G220" s="3">
        <v>266</v>
      </c>
      <c r="H220" s="3">
        <v>54</v>
      </c>
      <c r="I220" s="3">
        <v>117</v>
      </c>
      <c r="J220" s="3">
        <v>427</v>
      </c>
      <c r="K220" s="3">
        <v>741</v>
      </c>
      <c r="L220" s="3">
        <v>5</v>
      </c>
      <c r="M220" s="3">
        <v>112</v>
      </c>
    </row>
    <row r="221" spans="1:13" x14ac:dyDescent="0.25">
      <c r="A221" s="1" t="str">
        <f>HYPERLINK("http://www.rosaceae.org/Prunus/Prunus_persica/p.persica_gdr_reftransV1_0030051","p.persica_gdr_reftransV1_0030051")</f>
        <v>p.persica_gdr_reftransV1_0030051</v>
      </c>
      <c r="B221" s="3">
        <v>1270</v>
      </c>
      <c r="C221" s="1" t="str">
        <f>HYPERLINK("http://www.uniprot.org/uniprot/ERD2A_ARATH","ERD2A_ARATH")</f>
        <v>ERD2A_ARATH</v>
      </c>
      <c r="D221" t="s">
        <v>256</v>
      </c>
      <c r="E221" s="3" t="s">
        <v>3</v>
      </c>
      <c r="F221" s="4">
        <v>1.5000000000000001E-119</v>
      </c>
      <c r="G221" s="3">
        <v>907</v>
      </c>
      <c r="H221" s="3">
        <v>76</v>
      </c>
      <c r="I221" s="3">
        <v>215</v>
      </c>
      <c r="J221" s="3">
        <v>183</v>
      </c>
      <c r="K221" s="3">
        <v>827</v>
      </c>
      <c r="L221" s="3">
        <v>1</v>
      </c>
      <c r="M221" s="3">
        <v>215</v>
      </c>
    </row>
    <row r="222" spans="1:13" x14ac:dyDescent="0.25">
      <c r="A222" s="1" t="str">
        <f>HYPERLINK("http://www.rosaceae.org/Prunus/Prunus_persica/p.persica_gdr_reftransV1_0030101","p.persica_gdr_reftransV1_0030101")</f>
        <v>p.persica_gdr_reftransV1_0030101</v>
      </c>
      <c r="B222" s="3">
        <v>1923</v>
      </c>
      <c r="C222" s="1" t="str">
        <f>HYPERLINK("http://www.uniprot.org/uniprot/GBA2_RAT","GBA2_RAT")</f>
        <v>GBA2_RAT</v>
      </c>
      <c r="D222" t="s">
        <v>257</v>
      </c>
      <c r="E222" s="3" t="s">
        <v>161</v>
      </c>
      <c r="F222" s="4">
        <v>1.1E-33</v>
      </c>
      <c r="G222" s="3">
        <v>355</v>
      </c>
      <c r="H222" s="3">
        <v>39</v>
      </c>
      <c r="I222" s="3">
        <v>245</v>
      </c>
      <c r="J222" s="3">
        <v>751</v>
      </c>
      <c r="K222" s="3">
        <v>1473</v>
      </c>
      <c r="L222" s="3">
        <v>96</v>
      </c>
      <c r="M222" s="3">
        <v>328</v>
      </c>
    </row>
    <row r="223" spans="1:13" x14ac:dyDescent="0.25">
      <c r="A223" s="1" t="str">
        <f>HYPERLINK("http://www.rosaceae.org/Prunus/Prunus_persica/p.persica_gdr_reftransV1_0030301","p.persica_gdr_reftransV1_0030301")</f>
        <v>p.persica_gdr_reftransV1_0030301</v>
      </c>
      <c r="B223" s="3">
        <v>1641</v>
      </c>
      <c r="C223" s="1" t="str">
        <f>HYPERLINK("http://www.uniprot.org/uniprot/TKPR1_ARATH","TKPR1_ARATH")</f>
        <v>TKPR1_ARATH</v>
      </c>
      <c r="D223" t="s">
        <v>221</v>
      </c>
      <c r="E223" s="3" t="s">
        <v>3</v>
      </c>
      <c r="F223" s="4">
        <v>1.5600000000000001E-82</v>
      </c>
      <c r="G223" s="3">
        <v>682</v>
      </c>
      <c r="H223" s="3">
        <v>49</v>
      </c>
      <c r="I223" s="3">
        <v>280</v>
      </c>
      <c r="J223" s="3">
        <v>97</v>
      </c>
      <c r="K223" s="3">
        <v>930</v>
      </c>
      <c r="L223" s="3">
        <v>1</v>
      </c>
      <c r="M223" s="3">
        <v>278</v>
      </c>
    </row>
    <row r="224" spans="1:13" x14ac:dyDescent="0.25">
      <c r="A224" s="1" t="str">
        <f>HYPERLINK("http://www.rosaceae.org/Prunus/Prunus_persica/p.persica_gdr_reftransV1_0030501","p.persica_gdr_reftransV1_0030501")</f>
        <v>p.persica_gdr_reftransV1_0030501</v>
      </c>
      <c r="B224" s="3">
        <v>3462</v>
      </c>
      <c r="C224" s="1" t="str">
        <f>HYPERLINK("http://www.uniprot.org/uniprot/PAE8_ARATH","PAE8_ARATH")</f>
        <v>PAE8_ARATH</v>
      </c>
      <c r="D224" t="s">
        <v>258</v>
      </c>
      <c r="E224" s="3" t="s">
        <v>3</v>
      </c>
      <c r="F224" s="4">
        <v>2.1499999999999999E-94</v>
      </c>
      <c r="G224" s="3">
        <v>802</v>
      </c>
      <c r="H224" s="3">
        <v>71</v>
      </c>
      <c r="I224" s="3">
        <v>197</v>
      </c>
      <c r="J224" s="3">
        <v>1838</v>
      </c>
      <c r="K224" s="3">
        <v>2428</v>
      </c>
      <c r="L224" s="3">
        <v>110</v>
      </c>
      <c r="M224" s="3">
        <v>306</v>
      </c>
    </row>
    <row r="225" spans="1:13" x14ac:dyDescent="0.25">
      <c r="A225" s="1" t="str">
        <f>HYPERLINK("http://www.rosaceae.org/Prunus/Prunus_persica/p.persica_gdr_reftransV1_0030751","p.persica_gdr_reftransV1_0030751")</f>
        <v>p.persica_gdr_reftransV1_0030751</v>
      </c>
      <c r="B225" s="3">
        <v>1773</v>
      </c>
      <c r="C225" s="1" t="str">
        <f>HYPERLINK("http://www.uniprot.org/uniprot/ABAH4_ARATH","ABAH4_ARATH")</f>
        <v>ABAH4_ARATH</v>
      </c>
      <c r="D225" t="s">
        <v>259</v>
      </c>
      <c r="E225" s="3" t="s">
        <v>3</v>
      </c>
      <c r="F225" s="4">
        <v>0</v>
      </c>
      <c r="G225" s="3">
        <v>1808</v>
      </c>
      <c r="H225" s="3">
        <v>72</v>
      </c>
      <c r="I225" s="3">
        <v>446</v>
      </c>
      <c r="J225" s="3">
        <v>122</v>
      </c>
      <c r="K225" s="3">
        <v>1459</v>
      </c>
      <c r="L225" s="3">
        <v>23</v>
      </c>
      <c r="M225" s="3">
        <v>463</v>
      </c>
    </row>
    <row r="226" spans="1:13" x14ac:dyDescent="0.25">
      <c r="A226" s="1" t="str">
        <f>HYPERLINK("http://www.rosaceae.org/Prunus/Prunus_persica/p.persica_gdr_reftransV1_0031351","p.persica_gdr_reftransV1_0031351")</f>
        <v>p.persica_gdr_reftransV1_0031351</v>
      </c>
      <c r="B226" s="3">
        <v>2711</v>
      </c>
      <c r="C226" s="1" t="str">
        <f>HYPERLINK("http://www.uniprot.org/uniprot/PP427_ARATH","PP427_ARATH")</f>
        <v>PP427_ARATH</v>
      </c>
      <c r="D226" t="s">
        <v>260</v>
      </c>
      <c r="E226" s="3" t="s">
        <v>3</v>
      </c>
      <c r="F226" s="4">
        <v>0</v>
      </c>
      <c r="G226" s="3">
        <v>2254</v>
      </c>
      <c r="H226" s="3">
        <v>62</v>
      </c>
      <c r="I226" s="3">
        <v>714</v>
      </c>
      <c r="J226" s="3">
        <v>368</v>
      </c>
      <c r="K226" s="3">
        <v>2485</v>
      </c>
      <c r="L226" s="3">
        <v>1</v>
      </c>
      <c r="M226" s="3">
        <v>701</v>
      </c>
    </row>
    <row r="227" spans="1:13" x14ac:dyDescent="0.25">
      <c r="A227" s="1" t="str">
        <f>HYPERLINK("http://www.rosaceae.org/Prunus/Prunus_persica/p.persica_gdr_reftransV1_0031751","p.persica_gdr_reftransV1_0031751")</f>
        <v>p.persica_gdr_reftransV1_0031751</v>
      </c>
      <c r="B227" s="3">
        <v>2336</v>
      </c>
      <c r="C227" s="1" t="str">
        <f>HYPERLINK("http://www.uniprot.org/uniprot/CREC_ASPOR","CREC_ASPOR")</f>
        <v>CREC_ASPOR</v>
      </c>
      <c r="D227" t="s">
        <v>261</v>
      </c>
      <c r="E227" s="3" t="s">
        <v>262</v>
      </c>
      <c r="F227" s="4">
        <v>1.7099999999999999E-60</v>
      </c>
      <c r="G227" s="3">
        <v>559</v>
      </c>
      <c r="H227" s="3">
        <v>33</v>
      </c>
      <c r="I227" s="3">
        <v>428</v>
      </c>
      <c r="J227" s="3">
        <v>745</v>
      </c>
      <c r="K227" s="3">
        <v>1911</v>
      </c>
      <c r="L227" s="3">
        <v>146</v>
      </c>
      <c r="M227" s="3">
        <v>556</v>
      </c>
    </row>
    <row r="228" spans="1:13" x14ac:dyDescent="0.25">
      <c r="A228" s="1" t="str">
        <f>HYPERLINK("http://www.rosaceae.org/Prunus/Prunus_persica/p.persica_gdr_reftransV1_0031801","p.persica_gdr_reftransV1_0031801")</f>
        <v>p.persica_gdr_reftransV1_0031801</v>
      </c>
      <c r="B228" s="3">
        <v>3419</v>
      </c>
      <c r="C228" s="1" t="str">
        <f>HYPERLINK("http://www.uniprot.org/uniprot/Cid12_ARATH","Cid12_ARATH")</f>
        <v>Cid12_ARATH</v>
      </c>
      <c r="D228" t="s">
        <v>263</v>
      </c>
      <c r="E228" s="3" t="s">
        <v>3</v>
      </c>
      <c r="F228" s="4">
        <v>5.8999999999999995E-112</v>
      </c>
      <c r="G228" s="3">
        <v>920</v>
      </c>
      <c r="H228" s="3">
        <v>67</v>
      </c>
      <c r="I228" s="3">
        <v>259</v>
      </c>
      <c r="J228" s="3">
        <v>1905</v>
      </c>
      <c r="K228" s="3">
        <v>2681</v>
      </c>
      <c r="L228" s="3">
        <v>41</v>
      </c>
      <c r="M228" s="3">
        <v>299</v>
      </c>
    </row>
    <row r="229" spans="1:13" x14ac:dyDescent="0.25">
      <c r="A229" s="1" t="str">
        <f>HYPERLINK("http://www.rosaceae.org/Prunus/Prunus_persica/p.persica_gdr_reftransV1_0032001","p.persica_gdr_reftransV1_0032001")</f>
        <v>p.persica_gdr_reftransV1_0032001</v>
      </c>
      <c r="B229" s="3">
        <v>1097</v>
      </c>
      <c r="C229" s="1" t="str">
        <f>HYPERLINK("http://www.uniprot.org/uniprot/SMD1_MOUSE","SMD1_MOUSE")</f>
        <v>SMD1_MOUSE</v>
      </c>
      <c r="D229" t="s">
        <v>264</v>
      </c>
      <c r="E229" s="3" t="s">
        <v>157</v>
      </c>
      <c r="F229" s="4">
        <v>2.7800000000000001E-38</v>
      </c>
      <c r="G229" s="3">
        <v>349</v>
      </c>
      <c r="H229" s="3">
        <v>73</v>
      </c>
      <c r="I229" s="3">
        <v>94</v>
      </c>
      <c r="J229" s="3">
        <v>732</v>
      </c>
      <c r="K229" s="3">
        <v>1013</v>
      </c>
      <c r="L229" s="3">
        <v>1</v>
      </c>
      <c r="M229" s="3">
        <v>94</v>
      </c>
    </row>
    <row r="230" spans="1:13" x14ac:dyDescent="0.25">
      <c r="A230" s="1" t="str">
        <f>HYPERLINK("http://www.rosaceae.org/Prunus/Prunus_persica/p.persica_gdr_reftransV1_0032051","p.persica_gdr_reftransV1_0032051")</f>
        <v>p.persica_gdr_reftransV1_0032051</v>
      </c>
      <c r="B230" s="3">
        <v>919</v>
      </c>
      <c r="C230" s="1" t="str">
        <f>HYPERLINK("http://www.uniprot.org/uniprot/CUCM1_CUCME","CUCM1_CUCME")</f>
        <v>CUCM1_CUCME</v>
      </c>
      <c r="D230" t="s">
        <v>265</v>
      </c>
      <c r="E230" s="3" t="s">
        <v>266</v>
      </c>
      <c r="F230" s="4">
        <v>9.3899999999999995E-31</v>
      </c>
      <c r="G230" s="3">
        <v>289</v>
      </c>
      <c r="H230" s="3">
        <v>48</v>
      </c>
      <c r="I230" s="3">
        <v>178</v>
      </c>
      <c r="J230" s="3">
        <v>167</v>
      </c>
      <c r="K230" s="3">
        <v>688</v>
      </c>
      <c r="L230" s="3">
        <v>169</v>
      </c>
      <c r="M230" s="3">
        <v>346</v>
      </c>
    </row>
    <row r="231" spans="1:13" x14ac:dyDescent="0.25">
      <c r="A231" s="1" t="str">
        <f>HYPERLINK("http://www.rosaceae.org/Prunus/Prunus_persica/p.persica_gdr_reftransV1_0032151","p.persica_gdr_reftransV1_0032151")</f>
        <v>p.persica_gdr_reftransV1_0032151</v>
      </c>
      <c r="B231" s="3">
        <v>2720</v>
      </c>
      <c r="C231" s="1" t="str">
        <f>HYPERLINK("http://www.uniprot.org/uniprot/AFB2_ARATH","AFB2_ARATH")</f>
        <v>AFB2_ARATH</v>
      </c>
      <c r="D231" t="s">
        <v>267</v>
      </c>
      <c r="E231" s="3" t="s">
        <v>3</v>
      </c>
      <c r="F231" s="4">
        <v>0</v>
      </c>
      <c r="G231" s="3">
        <v>1372</v>
      </c>
      <c r="H231" s="3">
        <v>79</v>
      </c>
      <c r="I231" s="3">
        <v>317</v>
      </c>
      <c r="J231" s="3">
        <v>711</v>
      </c>
      <c r="K231" s="3">
        <v>1661</v>
      </c>
      <c r="L231" s="3">
        <v>1</v>
      </c>
      <c r="M231" s="3">
        <v>317</v>
      </c>
    </row>
    <row r="232" spans="1:13" x14ac:dyDescent="0.25">
      <c r="A232" s="1" t="str">
        <f>HYPERLINK("http://www.rosaceae.org/Prunus/Prunus_persica/p.persica_gdr_reftransV1_0032201","p.persica_gdr_reftransV1_0032201")</f>
        <v>p.persica_gdr_reftransV1_0032201</v>
      </c>
      <c r="B232" s="3">
        <v>6023</v>
      </c>
      <c r="C232" s="1" t="str">
        <f>HYPERLINK("http://www.uniprot.org/uniprot/TPC1_ARATH","TPC1_ARATH")</f>
        <v>TPC1_ARATH</v>
      </c>
      <c r="D232" t="s">
        <v>268</v>
      </c>
      <c r="E232" s="3" t="s">
        <v>3</v>
      </c>
      <c r="F232" s="4">
        <v>0</v>
      </c>
      <c r="G232" s="3">
        <v>1681</v>
      </c>
      <c r="H232" s="3">
        <v>77</v>
      </c>
      <c r="I232" s="3">
        <v>458</v>
      </c>
      <c r="J232" s="3">
        <v>1955</v>
      </c>
      <c r="K232" s="3">
        <v>3328</v>
      </c>
      <c r="L232" s="3">
        <v>235</v>
      </c>
      <c r="M232" s="3">
        <v>692</v>
      </c>
    </row>
    <row r="233" spans="1:13" x14ac:dyDescent="0.25">
      <c r="A233" s="1" t="str">
        <f>HYPERLINK("http://www.rosaceae.org/Prunus/Prunus_persica/p.persica_gdr_reftransV1_0032301","p.persica_gdr_reftransV1_0032301")</f>
        <v>p.persica_gdr_reftransV1_0032301</v>
      </c>
      <c r="B233" s="3">
        <v>1740</v>
      </c>
      <c r="C233" s="1" t="str">
        <f>HYPERLINK("http://www.uniprot.org/uniprot/RUS2_ARATH","RUS2_ARATH")</f>
        <v>RUS2_ARATH</v>
      </c>
      <c r="D233" t="s">
        <v>269</v>
      </c>
      <c r="E233" s="3" t="s">
        <v>3</v>
      </c>
      <c r="F233" s="4">
        <v>4.2500000000000001E-125</v>
      </c>
      <c r="G233" s="3">
        <v>980</v>
      </c>
      <c r="H233" s="3">
        <v>72</v>
      </c>
      <c r="I233" s="3">
        <v>243</v>
      </c>
      <c r="J233" s="3">
        <v>732</v>
      </c>
      <c r="K233" s="3">
        <v>1460</v>
      </c>
      <c r="L233" s="3">
        <v>191</v>
      </c>
      <c r="M233" s="3">
        <v>433</v>
      </c>
    </row>
    <row r="234" spans="1:13" x14ac:dyDescent="0.25">
      <c r="A234" s="1" t="str">
        <f>HYPERLINK("http://www.rosaceae.org/Prunus/Prunus_persica/p.persica_gdr_reftransV1_0032601","p.persica_gdr_reftransV1_0032601")</f>
        <v>p.persica_gdr_reftransV1_0032601</v>
      </c>
      <c r="B234" s="3">
        <v>2626</v>
      </c>
      <c r="C234" s="1" t="str">
        <f>HYPERLINK("http://www.uniprot.org/uniprot/FRL3_ARATH","FRL3_ARATH")</f>
        <v>FRL3_ARATH</v>
      </c>
      <c r="D234" t="s">
        <v>270</v>
      </c>
      <c r="E234" s="3" t="s">
        <v>3</v>
      </c>
      <c r="F234" s="4">
        <v>9.1800000000000005E-36</v>
      </c>
      <c r="G234" s="3">
        <v>371</v>
      </c>
      <c r="H234" s="3">
        <v>32</v>
      </c>
      <c r="I234" s="3">
        <v>283</v>
      </c>
      <c r="J234" s="3">
        <v>1152</v>
      </c>
      <c r="K234" s="3">
        <v>1937</v>
      </c>
      <c r="L234" s="3">
        <v>183</v>
      </c>
      <c r="M234" s="3">
        <v>459</v>
      </c>
    </row>
    <row r="235" spans="1:13" x14ac:dyDescent="0.25">
      <c r="A235" s="1" t="str">
        <f>HYPERLINK("http://www.rosaceae.org/Prunus/Prunus_persica/p.persica_gdr_reftransV1_0033001","p.persica_gdr_reftransV1_0033001")</f>
        <v>p.persica_gdr_reftransV1_0033001</v>
      </c>
      <c r="B235" s="3">
        <v>576</v>
      </c>
      <c r="C235" s="1" t="str">
        <f>HYPERLINK("http://www.uniprot.org/uniprot/PP188_ARATH","PP188_ARATH")</f>
        <v>PP188_ARATH</v>
      </c>
      <c r="D235" t="s">
        <v>271</v>
      </c>
      <c r="E235" s="3" t="s">
        <v>3</v>
      </c>
      <c r="F235" s="4">
        <v>1.2199999999999999E-43</v>
      </c>
      <c r="G235" s="3">
        <v>396</v>
      </c>
      <c r="H235" s="3">
        <v>52</v>
      </c>
      <c r="I235" s="3">
        <v>138</v>
      </c>
      <c r="J235" s="3">
        <v>160</v>
      </c>
      <c r="K235" s="3">
        <v>573</v>
      </c>
      <c r="L235" s="3">
        <v>6</v>
      </c>
      <c r="M235" s="3">
        <v>143</v>
      </c>
    </row>
    <row r="236" spans="1:13" x14ac:dyDescent="0.25">
      <c r="A236" s="1" t="str">
        <f>HYPERLINK("http://www.rosaceae.org/Prunus/Prunus_persica/p.persica_gdr_reftransV1_0033201","p.persica_gdr_reftransV1_0033201")</f>
        <v>p.persica_gdr_reftransV1_0033201</v>
      </c>
      <c r="B236" s="3">
        <v>3630</v>
      </c>
      <c r="C236" s="1" t="str">
        <f>HYPERLINK("http://www.uniprot.org/uniprot/PP175_ARATH","PP175_ARATH")</f>
        <v>PP175_ARATH</v>
      </c>
      <c r="D236" t="s">
        <v>272</v>
      </c>
      <c r="E236" s="3" t="s">
        <v>3</v>
      </c>
      <c r="F236" s="4">
        <v>0</v>
      </c>
      <c r="G236" s="3">
        <v>1459</v>
      </c>
      <c r="H236" s="3">
        <v>41</v>
      </c>
      <c r="I236" s="3">
        <v>699</v>
      </c>
      <c r="J236" s="3">
        <v>110</v>
      </c>
      <c r="K236" s="3">
        <v>2080</v>
      </c>
      <c r="L236" s="3">
        <v>40</v>
      </c>
      <c r="M236" s="3">
        <v>738</v>
      </c>
    </row>
    <row r="237" spans="1:13" x14ac:dyDescent="0.25">
      <c r="A237" s="1" t="str">
        <f>HYPERLINK("http://www.rosaceae.org/Prunus/Prunus_persica/p.persica_gdr_reftransV1_0033451","p.persica_gdr_reftransV1_0033451")</f>
        <v>p.persica_gdr_reftransV1_0033451</v>
      </c>
      <c r="B237" s="3">
        <v>761</v>
      </c>
      <c r="C237" s="1" t="str">
        <f>HYPERLINK("http://www.uniprot.org/uniprot/U548_ARATH","U548_ARATH")</f>
        <v>U548_ARATH</v>
      </c>
      <c r="D237" t="s">
        <v>273</v>
      </c>
      <c r="E237" s="3" t="s">
        <v>3</v>
      </c>
      <c r="F237" s="4">
        <v>1.48E-103</v>
      </c>
      <c r="G237" s="3">
        <v>783</v>
      </c>
      <c r="H237" s="3">
        <v>66</v>
      </c>
      <c r="I237" s="3">
        <v>204</v>
      </c>
      <c r="J237" s="3">
        <v>85</v>
      </c>
      <c r="K237" s="3">
        <v>696</v>
      </c>
      <c r="L237" s="3">
        <v>1</v>
      </c>
      <c r="M237" s="3">
        <v>204</v>
      </c>
    </row>
    <row r="238" spans="1:13" x14ac:dyDescent="0.25">
      <c r="A238" s="1" t="str">
        <f>HYPERLINK("http://www.rosaceae.org/Prunus/Prunus_persica/p.persica_gdr_reftransV1_0033601","p.persica_gdr_reftransV1_0033601")</f>
        <v>p.persica_gdr_reftransV1_0033601</v>
      </c>
      <c r="B238" s="3">
        <v>3086</v>
      </c>
      <c r="C238" s="1" t="str">
        <f>HYPERLINK("http://www.uniprot.org/uniprot/FN3KR_ARATH","FN3KR_ARATH")</f>
        <v>FN3KR_ARATH</v>
      </c>
      <c r="D238" t="s">
        <v>274</v>
      </c>
      <c r="E238" s="3" t="s">
        <v>3</v>
      </c>
      <c r="F238" s="4">
        <v>4.6700000000000002E-92</v>
      </c>
      <c r="G238" s="3">
        <v>775</v>
      </c>
      <c r="H238" s="3">
        <v>80</v>
      </c>
      <c r="I238" s="3">
        <v>179</v>
      </c>
      <c r="J238" s="3">
        <v>1923</v>
      </c>
      <c r="K238" s="3">
        <v>2459</v>
      </c>
      <c r="L238" s="3">
        <v>28</v>
      </c>
      <c r="M238" s="3">
        <v>206</v>
      </c>
    </row>
    <row r="239" spans="1:13" x14ac:dyDescent="0.25">
      <c r="A239" s="1" t="str">
        <f>HYPERLINK("http://www.rosaceae.org/Prunus/Prunus_persica/p.persica_gdr_reftransV1_0033751","p.persica_gdr_reftransV1_0033751")</f>
        <v>p.persica_gdr_reftransV1_0033751</v>
      </c>
      <c r="B239" s="3">
        <v>1981</v>
      </c>
      <c r="C239" s="1" t="str">
        <f>HYPERLINK("http://www.uniprot.org/uniprot/FDL1_ARATH","FDL1_ARATH")</f>
        <v>FDL1_ARATH</v>
      </c>
      <c r="D239" t="s">
        <v>275</v>
      </c>
      <c r="E239" s="3" t="s">
        <v>3</v>
      </c>
      <c r="F239" s="4">
        <v>3.1099999999999998E-69</v>
      </c>
      <c r="G239" s="3">
        <v>605</v>
      </c>
      <c r="H239" s="3">
        <v>43</v>
      </c>
      <c r="I239" s="3">
        <v>322</v>
      </c>
      <c r="J239" s="3">
        <v>255</v>
      </c>
      <c r="K239" s="3">
        <v>1187</v>
      </c>
      <c r="L239" s="3">
        <v>6</v>
      </c>
      <c r="M239" s="3">
        <v>322</v>
      </c>
    </row>
    <row r="240" spans="1:13" x14ac:dyDescent="0.25">
      <c r="A240" s="1" t="str">
        <f>HYPERLINK("http://www.rosaceae.org/Prunus/Prunus_persica/p.persica_gdr_reftransV1_0033851","p.persica_gdr_reftransV1_0033851")</f>
        <v>p.persica_gdr_reftransV1_0033851</v>
      </c>
      <c r="B240" s="3">
        <v>1817</v>
      </c>
      <c r="C240" s="1" t="str">
        <f>HYPERLINK("http://www.uniprot.org/uniprot/MPI1_ARATH","MPI1_ARATH")</f>
        <v>MPI1_ARATH</v>
      </c>
      <c r="D240" t="s">
        <v>276</v>
      </c>
      <c r="E240" s="3" t="s">
        <v>3</v>
      </c>
      <c r="F240" s="4">
        <v>8.4999999999999996E-153</v>
      </c>
      <c r="G240" s="3">
        <v>1126</v>
      </c>
      <c r="H240" s="3">
        <v>66</v>
      </c>
      <c r="I240" s="3">
        <v>320</v>
      </c>
      <c r="J240" s="3">
        <v>188</v>
      </c>
      <c r="K240" s="3">
        <v>1147</v>
      </c>
      <c r="L240" s="3">
        <v>112</v>
      </c>
      <c r="M240" s="3">
        <v>429</v>
      </c>
    </row>
    <row r="241" spans="1:13" x14ac:dyDescent="0.25">
      <c r="A241" s="1" t="str">
        <f>HYPERLINK("http://www.rosaceae.org/Prunus/Prunus_persica/p.persica_gdr_reftransV1_0034401","p.persica_gdr_reftransV1_0034401")</f>
        <v>p.persica_gdr_reftransV1_0034401</v>
      </c>
      <c r="B241" s="3">
        <v>2523</v>
      </c>
      <c r="C241" s="1" t="str">
        <f>HYPERLINK("http://www.uniprot.org/uniprot/CDKE1_ARATH","CDKE1_ARATH")</f>
        <v>CDKE1_ARATH</v>
      </c>
      <c r="D241" t="s">
        <v>277</v>
      </c>
      <c r="E241" s="3" t="s">
        <v>3</v>
      </c>
      <c r="F241" s="4">
        <v>0</v>
      </c>
      <c r="G241" s="3">
        <v>1768</v>
      </c>
      <c r="H241" s="3">
        <v>72</v>
      </c>
      <c r="I241" s="3">
        <v>508</v>
      </c>
      <c r="J241" s="3">
        <v>829</v>
      </c>
      <c r="K241" s="3">
        <v>2337</v>
      </c>
      <c r="L241" s="3">
        <v>18</v>
      </c>
      <c r="M241" s="3">
        <v>470</v>
      </c>
    </row>
    <row r="242" spans="1:13" x14ac:dyDescent="0.25">
      <c r="A242" s="1" t="str">
        <f>HYPERLINK("http://www.rosaceae.org/Prunus/Prunus_persica/p.persica_gdr_reftransV1_0034551","p.persica_gdr_reftransV1_0034551")</f>
        <v>p.persica_gdr_reftransV1_0034551</v>
      </c>
      <c r="B242" s="3">
        <v>2834</v>
      </c>
      <c r="C242" s="1" t="str">
        <f>HYPERLINK("http://www.uniprot.org/uniprot/ARC5_ARATH","ARC5_ARATH")</f>
        <v>ARC5_ARATH</v>
      </c>
      <c r="D242" t="s">
        <v>278</v>
      </c>
      <c r="E242" s="3" t="s">
        <v>3</v>
      </c>
      <c r="F242" s="4">
        <v>0</v>
      </c>
      <c r="G242" s="3">
        <v>3149</v>
      </c>
      <c r="H242" s="3">
        <v>80</v>
      </c>
      <c r="I242" s="3">
        <v>753</v>
      </c>
      <c r="J242" s="3">
        <v>364</v>
      </c>
      <c r="K242" s="3">
        <v>2613</v>
      </c>
      <c r="L242" s="3">
        <v>28</v>
      </c>
      <c r="M242" s="3">
        <v>765</v>
      </c>
    </row>
    <row r="243" spans="1:13" x14ac:dyDescent="0.25">
      <c r="A243" s="1" t="str">
        <f>HYPERLINK("http://www.rosaceae.org/Prunus/Prunus_persica/p.persica_gdr_reftransV1_0034701","p.persica_gdr_reftransV1_0034701")</f>
        <v>p.persica_gdr_reftransV1_0034701</v>
      </c>
      <c r="B243" s="3">
        <v>2840</v>
      </c>
      <c r="C243" s="1" t="str">
        <f>HYPERLINK("http://www.uniprot.org/uniprot/RCE1_ARATH","RCE1_ARATH")</f>
        <v>RCE1_ARATH</v>
      </c>
      <c r="D243" t="s">
        <v>279</v>
      </c>
      <c r="E243" s="3" t="s">
        <v>3</v>
      </c>
      <c r="F243" s="4">
        <v>6.9100000000000001E-53</v>
      </c>
      <c r="G243" s="3">
        <v>431</v>
      </c>
      <c r="H243" s="3">
        <v>89</v>
      </c>
      <c r="I243" s="3">
        <v>85</v>
      </c>
      <c r="J243" s="3">
        <v>370</v>
      </c>
      <c r="K243" s="3">
        <v>624</v>
      </c>
      <c r="L243" s="3">
        <v>100</v>
      </c>
      <c r="M243" s="3">
        <v>184</v>
      </c>
    </row>
    <row r="244" spans="1:13" x14ac:dyDescent="0.25">
      <c r="A244" s="1" t="str">
        <f>HYPERLINK("http://www.rosaceae.org/Prunus/Prunus_persica/p.persica_gdr_reftransV1_0034751","p.persica_gdr_reftransV1_0034751")</f>
        <v>p.persica_gdr_reftransV1_0034751</v>
      </c>
      <c r="B244" s="3">
        <v>6512</v>
      </c>
      <c r="C244" s="1" t="str">
        <f>HYPERLINK("http://www.uniprot.org/uniprot/KDM5_CAEEL","KDM5_CAEEL")</f>
        <v>KDM5_CAEEL</v>
      </c>
      <c r="D244" t="s">
        <v>280</v>
      </c>
      <c r="E244" s="3" t="s">
        <v>281</v>
      </c>
      <c r="F244" s="4">
        <v>8.5100000000000001E-111</v>
      </c>
      <c r="G244" s="3">
        <v>1012</v>
      </c>
      <c r="H244" s="3">
        <v>36</v>
      </c>
      <c r="I244" s="3">
        <v>721</v>
      </c>
      <c r="J244" s="3">
        <v>4275</v>
      </c>
      <c r="K244" s="3">
        <v>6230</v>
      </c>
      <c r="L244" s="3">
        <v>54</v>
      </c>
      <c r="M244" s="3">
        <v>761</v>
      </c>
    </row>
    <row r="245" spans="1:13" x14ac:dyDescent="0.25">
      <c r="A245" s="1" t="str">
        <f>HYPERLINK("http://www.rosaceae.org/Prunus/Prunus_persica/p.persica_gdr_reftransV1_0034901","p.persica_gdr_reftransV1_0034901")</f>
        <v>p.persica_gdr_reftransV1_0034901</v>
      </c>
      <c r="B245" s="3">
        <v>3130</v>
      </c>
      <c r="C245" s="1" t="str">
        <f>HYPERLINK("http://www.uniprot.org/uniprot/TAF6_ARATH","TAF6_ARATH")</f>
        <v>TAF6_ARATH</v>
      </c>
      <c r="D245" t="s">
        <v>282</v>
      </c>
      <c r="E245" s="3" t="s">
        <v>3</v>
      </c>
      <c r="F245" s="4">
        <v>5.5599999999999999E-124</v>
      </c>
      <c r="G245" s="3">
        <v>1018</v>
      </c>
      <c r="H245" s="3">
        <v>68</v>
      </c>
      <c r="I245" s="3">
        <v>294</v>
      </c>
      <c r="J245" s="3">
        <v>1</v>
      </c>
      <c r="K245" s="3">
        <v>879</v>
      </c>
      <c r="L245" s="3">
        <v>120</v>
      </c>
      <c r="M245" s="3">
        <v>412</v>
      </c>
    </row>
    <row r="246" spans="1:13" x14ac:dyDescent="0.25">
      <c r="A246" s="1" t="str">
        <f>HYPERLINK("http://www.rosaceae.org/Prunus/Prunus_persica/p.persica_gdr_reftransV1_0035151","p.persica_gdr_reftransV1_0035151")</f>
        <v>p.persica_gdr_reftransV1_0035151</v>
      </c>
      <c r="B246" s="3">
        <v>1587</v>
      </c>
      <c r="C246" s="1" t="str">
        <f>HYPERLINK("http://www.uniprot.org/uniprot/FAAA_BOVIN","FAAA_BOVIN")</f>
        <v>FAAA_BOVIN</v>
      </c>
      <c r="D246" t="s">
        <v>283</v>
      </c>
      <c r="E246" s="3" t="s">
        <v>184</v>
      </c>
      <c r="F246" s="4">
        <v>2.9400000000000001E-170</v>
      </c>
      <c r="G246" s="3">
        <v>1274</v>
      </c>
      <c r="H246" s="3">
        <v>58</v>
      </c>
      <c r="I246" s="3">
        <v>416</v>
      </c>
      <c r="J246" s="3">
        <v>168</v>
      </c>
      <c r="K246" s="3">
        <v>1409</v>
      </c>
      <c r="L246" s="3">
        <v>2</v>
      </c>
      <c r="M246" s="3">
        <v>415</v>
      </c>
    </row>
    <row r="247" spans="1:13" x14ac:dyDescent="0.25">
      <c r="A247" s="1" t="str">
        <f>HYPERLINK("http://www.rosaceae.org/Prunus/Prunus_persica/p.persica_gdr_reftransV1_0035251","p.persica_gdr_reftransV1_0035251")</f>
        <v>p.persica_gdr_reftransV1_0035251</v>
      </c>
      <c r="B247" s="3">
        <v>2320</v>
      </c>
      <c r="C247" s="1" t="str">
        <f>HYPERLINK("http://www.uniprot.org/uniprot/LCB1_ARATH","LCB1_ARATH")</f>
        <v>LCB1_ARATH</v>
      </c>
      <c r="D247" t="s">
        <v>284</v>
      </c>
      <c r="E247" s="3" t="s">
        <v>3</v>
      </c>
      <c r="F247" s="4">
        <v>0</v>
      </c>
      <c r="G247" s="3">
        <v>1958</v>
      </c>
      <c r="H247" s="3">
        <v>79</v>
      </c>
      <c r="I247" s="3">
        <v>481</v>
      </c>
      <c r="J247" s="3">
        <v>498</v>
      </c>
      <c r="K247" s="3">
        <v>1937</v>
      </c>
      <c r="L247" s="3">
        <v>1</v>
      </c>
      <c r="M247" s="3">
        <v>481</v>
      </c>
    </row>
    <row r="248" spans="1:13" x14ac:dyDescent="0.25">
      <c r="A248" s="1" t="str">
        <f>HYPERLINK("http://www.rosaceae.org/Prunus/Prunus_persica/p.persica_gdr_reftransV1_0035301","p.persica_gdr_reftransV1_0035301")</f>
        <v>p.persica_gdr_reftransV1_0035301</v>
      </c>
      <c r="B248" s="3">
        <v>962</v>
      </c>
      <c r="C248" s="1" t="str">
        <f>HYPERLINK("http://www.uniprot.org/uniprot/TBCA_ARATH","TBCA_ARATH")</f>
        <v>TBCA_ARATH</v>
      </c>
      <c r="D248" t="s">
        <v>285</v>
      </c>
      <c r="E248" s="3" t="s">
        <v>3</v>
      </c>
      <c r="F248" s="4">
        <v>8.0799999999999995E-54</v>
      </c>
      <c r="G248" s="3">
        <v>451</v>
      </c>
      <c r="H248" s="3">
        <v>76</v>
      </c>
      <c r="I248" s="3">
        <v>114</v>
      </c>
      <c r="J248" s="3">
        <v>427</v>
      </c>
      <c r="K248" s="3">
        <v>768</v>
      </c>
      <c r="L248" s="3">
        <v>1</v>
      </c>
      <c r="M248" s="3">
        <v>113</v>
      </c>
    </row>
    <row r="249" spans="1:13" x14ac:dyDescent="0.25">
      <c r="A249" s="1" t="str">
        <f>HYPERLINK("http://www.rosaceae.org/Prunus/Prunus_persica/p.persica_gdr_reftransV1_0035401","p.persica_gdr_reftransV1_0035401")</f>
        <v>p.persica_gdr_reftransV1_0035401</v>
      </c>
      <c r="B249" s="3">
        <v>2394</v>
      </c>
      <c r="C249" s="1" t="str">
        <f>HYPERLINK("http://www.uniprot.org/uniprot/Y1765_ARATH","Y1765_ARATH")</f>
        <v>Y1765_ARATH</v>
      </c>
      <c r="D249" t="s">
        <v>286</v>
      </c>
      <c r="E249" s="3" t="s">
        <v>3</v>
      </c>
      <c r="F249" s="4">
        <v>5.6999999999999996E-45</v>
      </c>
      <c r="G249" s="3">
        <v>451</v>
      </c>
      <c r="H249" s="3">
        <v>42</v>
      </c>
      <c r="I249" s="3">
        <v>259</v>
      </c>
      <c r="J249" s="3">
        <v>1659</v>
      </c>
      <c r="K249" s="3">
        <v>2378</v>
      </c>
      <c r="L249" s="3">
        <v>311</v>
      </c>
      <c r="M249" s="3">
        <v>567</v>
      </c>
    </row>
    <row r="250" spans="1:13" x14ac:dyDescent="0.25">
      <c r="A250" s="1" t="str">
        <f>HYPERLINK("http://www.rosaceae.org/Prunus/Prunus_persica/p.persica_gdr_reftransV1_0035551","p.persica_gdr_reftransV1_0035551")</f>
        <v>p.persica_gdr_reftransV1_0035551</v>
      </c>
      <c r="B250" s="3">
        <v>1631</v>
      </c>
      <c r="C250" s="1" t="str">
        <f>HYPERLINK("http://www.uniprot.org/uniprot/CIP8_ARATH","CIP8_ARATH")</f>
        <v>CIP8_ARATH</v>
      </c>
      <c r="D250" t="s">
        <v>287</v>
      </c>
      <c r="E250" s="3" t="s">
        <v>3</v>
      </c>
      <c r="F250" s="4">
        <v>1.17E-60</v>
      </c>
      <c r="G250" s="3">
        <v>532</v>
      </c>
      <c r="H250" s="3">
        <v>67</v>
      </c>
      <c r="I250" s="3">
        <v>158</v>
      </c>
      <c r="J250" s="3">
        <v>329</v>
      </c>
      <c r="K250" s="3">
        <v>784</v>
      </c>
      <c r="L250" s="3">
        <v>162</v>
      </c>
      <c r="M250" s="3">
        <v>316</v>
      </c>
    </row>
    <row r="251" spans="1:13" x14ac:dyDescent="0.25">
      <c r="A251" s="1" t="str">
        <f>HYPERLINK("http://www.rosaceae.org/Prunus/Prunus_persica/p.persica_gdr_reftransV1_0036201","p.persica_gdr_reftransV1_0036201")</f>
        <v>p.persica_gdr_reftransV1_0036201</v>
      </c>
      <c r="B251" s="3">
        <v>4888</v>
      </c>
      <c r="C251" s="1" t="str">
        <f>HYPERLINK("http://www.uniprot.org/uniprot/WRKY7_ARATH","WRKY7_ARATH")</f>
        <v>WRKY7_ARATH</v>
      </c>
      <c r="D251" t="s">
        <v>288</v>
      </c>
      <c r="E251" s="3" t="s">
        <v>3</v>
      </c>
      <c r="F251" s="4">
        <v>6.7999999999999994E-29</v>
      </c>
      <c r="G251" s="3">
        <v>314</v>
      </c>
      <c r="H251" s="3">
        <v>39</v>
      </c>
      <c r="I251" s="3">
        <v>252</v>
      </c>
      <c r="J251" s="3">
        <v>2258</v>
      </c>
      <c r="K251" s="3">
        <v>2935</v>
      </c>
      <c r="L251" s="3">
        <v>1</v>
      </c>
      <c r="M251" s="3">
        <v>223</v>
      </c>
    </row>
    <row r="252" spans="1:13" x14ac:dyDescent="0.25">
      <c r="A252" s="1" t="str">
        <f>HYPERLINK("http://www.rosaceae.org/Prunus/Prunus_persica/p.persica_gdr_reftransV1_0036301","p.persica_gdr_reftransV1_0036301")</f>
        <v>p.persica_gdr_reftransV1_0036301</v>
      </c>
      <c r="B252" s="3">
        <v>321</v>
      </c>
      <c r="C252" s="1" t="str">
        <f>HYPERLINK("http://www.uniprot.org/uniprot/PP215_ARATH","PP215_ARATH")</f>
        <v>PP215_ARATH</v>
      </c>
      <c r="D252" t="s">
        <v>289</v>
      </c>
      <c r="E252" s="3" t="s">
        <v>3</v>
      </c>
      <c r="F252" s="4">
        <v>3.39E-41</v>
      </c>
      <c r="G252" s="3">
        <v>372</v>
      </c>
      <c r="H252" s="3">
        <v>68</v>
      </c>
      <c r="I252" s="3">
        <v>105</v>
      </c>
      <c r="J252" s="3">
        <v>3</v>
      </c>
      <c r="K252" s="3">
        <v>317</v>
      </c>
      <c r="L252" s="3">
        <v>212</v>
      </c>
      <c r="M252" s="3">
        <v>316</v>
      </c>
    </row>
    <row r="253" spans="1:13" x14ac:dyDescent="0.25">
      <c r="A253" s="1" t="str">
        <f>HYPERLINK("http://www.rosaceae.org/Prunus/Prunus_persica/p.persica_gdr_reftransV1_0036801","p.persica_gdr_reftransV1_0036801")</f>
        <v>p.persica_gdr_reftransV1_0036801</v>
      </c>
      <c r="B253" s="3">
        <v>2246</v>
      </c>
      <c r="C253" s="1" t="str">
        <f>HYPERLINK("http://www.uniprot.org/uniprot/FAX3_ARATH","FAX3_ARATH")</f>
        <v>FAX3_ARATH</v>
      </c>
      <c r="D253" t="s">
        <v>290</v>
      </c>
      <c r="E253" s="3" t="s">
        <v>3</v>
      </c>
      <c r="F253" s="4">
        <v>1.4100000000000001E-66</v>
      </c>
      <c r="G253" s="3">
        <v>584</v>
      </c>
      <c r="H253" s="3">
        <v>58</v>
      </c>
      <c r="I253" s="3">
        <v>228</v>
      </c>
      <c r="J253" s="3">
        <v>1126</v>
      </c>
      <c r="K253" s="3">
        <v>1806</v>
      </c>
      <c r="L253" s="3">
        <v>66</v>
      </c>
      <c r="M253" s="3">
        <v>292</v>
      </c>
    </row>
    <row r="254" spans="1:13" x14ac:dyDescent="0.25">
      <c r="A254" s="1" t="str">
        <f>HYPERLINK("http://www.rosaceae.org/Prunus/Prunus_persica/p.persica_gdr_reftransV1_0036951","p.persica_gdr_reftransV1_0036951")</f>
        <v>p.persica_gdr_reftransV1_0036951</v>
      </c>
      <c r="B254" s="3">
        <v>2190</v>
      </c>
      <c r="C254" s="1" t="str">
        <f>HYPERLINK("http://www.uniprot.org/uniprot/GCR1_ARATH","GCR1_ARATH")</f>
        <v>GCR1_ARATH</v>
      </c>
      <c r="D254" t="s">
        <v>291</v>
      </c>
      <c r="E254" s="3" t="s">
        <v>3</v>
      </c>
      <c r="F254" s="4">
        <v>3.3399999999999997E-83</v>
      </c>
      <c r="G254" s="3">
        <v>698</v>
      </c>
      <c r="H254" s="3">
        <v>79</v>
      </c>
      <c r="I254" s="3">
        <v>160</v>
      </c>
      <c r="J254" s="3">
        <v>1501</v>
      </c>
      <c r="K254" s="3">
        <v>1980</v>
      </c>
      <c r="L254" s="3">
        <v>1</v>
      </c>
      <c r="M254" s="3">
        <v>160</v>
      </c>
    </row>
    <row r="255" spans="1:13" x14ac:dyDescent="0.25">
      <c r="A255" s="1" t="str">
        <f>HYPERLINK("http://www.rosaceae.org/Prunus/Prunus_persica/p.persica_gdr_reftransV1_0037051","p.persica_gdr_reftransV1_0037051")</f>
        <v>p.persica_gdr_reftransV1_0037051</v>
      </c>
      <c r="B255" s="3">
        <v>858</v>
      </c>
      <c r="C255" s="1" t="str">
        <f>HYPERLINK("http://www.uniprot.org/uniprot/Y5487_ARATH","Y5487_ARATH")</f>
        <v>Y5487_ARATH</v>
      </c>
      <c r="D255" t="s">
        <v>292</v>
      </c>
      <c r="E255" s="3" t="s">
        <v>3</v>
      </c>
      <c r="F255" s="4">
        <v>2.5600000000000001E-99</v>
      </c>
      <c r="G255" s="3">
        <v>811</v>
      </c>
      <c r="H255" s="3">
        <v>69</v>
      </c>
      <c r="I255" s="3">
        <v>233</v>
      </c>
      <c r="J255" s="3">
        <v>108</v>
      </c>
      <c r="K255" s="3">
        <v>806</v>
      </c>
      <c r="L255" s="3">
        <v>693</v>
      </c>
      <c r="M255" s="3">
        <v>890</v>
      </c>
    </row>
    <row r="256" spans="1:13" x14ac:dyDescent="0.25">
      <c r="A256" s="1" t="str">
        <f>HYPERLINK("http://www.rosaceae.org/Prunus/Prunus_persica/p.persica_gdr_reftransV1_0037151","p.persica_gdr_reftransV1_0037151")</f>
        <v>p.persica_gdr_reftransV1_0037151</v>
      </c>
      <c r="B256" s="3">
        <v>1675</v>
      </c>
      <c r="C256" s="1" t="str">
        <f>HYPERLINK("http://www.uniprot.org/uniprot/HIBC1_ARATH","HIBC1_ARATH")</f>
        <v>HIBC1_ARATH</v>
      </c>
      <c r="D256" t="s">
        <v>293</v>
      </c>
      <c r="E256" s="3" t="s">
        <v>3</v>
      </c>
      <c r="F256" s="4">
        <v>7.1400000000000004E-146</v>
      </c>
      <c r="G256" s="3">
        <v>1111</v>
      </c>
      <c r="H256" s="3">
        <v>59</v>
      </c>
      <c r="I256" s="3">
        <v>380</v>
      </c>
      <c r="J256" s="3">
        <v>393</v>
      </c>
      <c r="K256" s="3">
        <v>1526</v>
      </c>
      <c r="L256" s="3">
        <v>10</v>
      </c>
      <c r="M256" s="3">
        <v>378</v>
      </c>
    </row>
    <row r="257" spans="1:13" x14ac:dyDescent="0.25">
      <c r="A257" s="1" t="str">
        <f>HYPERLINK("http://www.rosaceae.org/Prunus/Prunus_persica/p.persica_gdr_reftransV1_0037701","p.persica_gdr_reftransV1_0037701")</f>
        <v>p.persica_gdr_reftransV1_0037701</v>
      </c>
      <c r="B257" s="3">
        <v>3583</v>
      </c>
      <c r="C257" s="1" t="str">
        <f>HYPERLINK("http://www.uniprot.org/uniprot/AMSH2_ARATH","AMSH2_ARATH")</f>
        <v>AMSH2_ARATH</v>
      </c>
      <c r="D257" t="s">
        <v>294</v>
      </c>
      <c r="E257" s="3" t="s">
        <v>3</v>
      </c>
      <c r="F257" s="4">
        <v>1.3999999999999999E-50</v>
      </c>
      <c r="G257" s="3">
        <v>466</v>
      </c>
      <c r="H257" s="3">
        <v>79</v>
      </c>
      <c r="I257" s="3">
        <v>106</v>
      </c>
      <c r="J257" s="3">
        <v>1390</v>
      </c>
      <c r="K257" s="3">
        <v>1707</v>
      </c>
      <c r="L257" s="3">
        <v>45</v>
      </c>
      <c r="M257" s="3">
        <v>150</v>
      </c>
    </row>
    <row r="258" spans="1:13" x14ac:dyDescent="0.25">
      <c r="A258" s="1" t="str">
        <f>HYPERLINK("http://www.rosaceae.org/Prunus/Prunus_persica/p.persica_gdr_reftransV1_0038501","p.persica_gdr_reftransV1_0038501")</f>
        <v>p.persica_gdr_reftransV1_0038501</v>
      </c>
      <c r="B258" s="3">
        <v>2518</v>
      </c>
      <c r="C258" s="1" t="str">
        <f>HYPERLINK("http://www.uniprot.org/uniprot/SCL15_ARATH","SCL15_ARATH")</f>
        <v>SCL15_ARATH</v>
      </c>
      <c r="D258" t="s">
        <v>295</v>
      </c>
      <c r="E258" s="3" t="s">
        <v>3</v>
      </c>
      <c r="F258" s="4">
        <v>2.5199999999999998E-162</v>
      </c>
      <c r="G258" s="3">
        <v>1257</v>
      </c>
      <c r="H258" s="3">
        <v>57</v>
      </c>
      <c r="I258" s="3">
        <v>479</v>
      </c>
      <c r="J258" s="3">
        <v>758</v>
      </c>
      <c r="K258" s="3">
        <v>2170</v>
      </c>
      <c r="L258" s="3">
        <v>26</v>
      </c>
      <c r="M258" s="3">
        <v>485</v>
      </c>
    </row>
    <row r="259" spans="1:13" x14ac:dyDescent="0.25">
      <c r="A259" s="1" t="str">
        <f>HYPERLINK("http://www.rosaceae.org/Prunus/Prunus_persica/p.persica_gdr_reftransV1_0038651","p.persica_gdr_reftransV1_0038651")</f>
        <v>p.persica_gdr_reftransV1_0038651</v>
      </c>
      <c r="B259" s="3">
        <v>3032</v>
      </c>
      <c r="C259" s="1" t="str">
        <f>HYPERLINK("http://www.uniprot.org/uniprot/Y1357_ARATH","Y1357_ARATH")</f>
        <v>Y1357_ARATH</v>
      </c>
      <c r="D259" t="s">
        <v>296</v>
      </c>
      <c r="E259" s="3" t="s">
        <v>3</v>
      </c>
      <c r="F259" s="4">
        <v>0</v>
      </c>
      <c r="G259" s="3">
        <v>1428</v>
      </c>
      <c r="H259" s="3">
        <v>83</v>
      </c>
      <c r="I259" s="3">
        <v>305</v>
      </c>
      <c r="J259" s="3">
        <v>2</v>
      </c>
      <c r="K259" s="3">
        <v>916</v>
      </c>
      <c r="L259" s="3">
        <v>511</v>
      </c>
      <c r="M259" s="3">
        <v>815</v>
      </c>
    </row>
    <row r="260" spans="1:13" x14ac:dyDescent="0.25">
      <c r="A260" s="1" t="str">
        <f>HYPERLINK("http://www.rosaceae.org/Prunus/Prunus_persica/p.persica_gdr_reftransV1_0039001","p.persica_gdr_reftransV1_0039001")</f>
        <v>p.persica_gdr_reftransV1_0039001</v>
      </c>
      <c r="B260" s="3">
        <v>1337</v>
      </c>
      <c r="C260" s="1" t="str">
        <f>HYPERLINK("http://www.uniprot.org/uniprot/PHSL2_SOLTU","PHSL2_SOLTU")</f>
        <v>PHSL2_SOLTU</v>
      </c>
      <c r="D260" t="s">
        <v>297</v>
      </c>
      <c r="E260" s="3" t="s">
        <v>11</v>
      </c>
      <c r="F260" s="4">
        <v>0</v>
      </c>
      <c r="G260" s="3">
        <v>956</v>
      </c>
      <c r="H260" s="3">
        <v>90</v>
      </c>
      <c r="I260" s="3">
        <v>193</v>
      </c>
      <c r="J260" s="3">
        <v>612</v>
      </c>
      <c r="K260" s="3">
        <v>1190</v>
      </c>
      <c r="L260" s="3">
        <v>782</v>
      </c>
      <c r="M260" s="3">
        <v>974</v>
      </c>
    </row>
    <row r="261" spans="1:13" x14ac:dyDescent="0.25">
      <c r="A261" s="1" t="str">
        <f>HYPERLINK("http://www.rosaceae.org/Prunus/Prunus_persica/p.persica_gdr_reftransV1_0039101","p.persica_gdr_reftransV1_0039101")</f>
        <v>p.persica_gdr_reftransV1_0039101</v>
      </c>
      <c r="B261" s="3">
        <v>5754</v>
      </c>
      <c r="C261" s="1" t="str">
        <f>HYPERLINK("http://www.uniprot.org/uniprot/RKP_ARATH","RKP_ARATH")</f>
        <v>RKP_ARATH</v>
      </c>
      <c r="D261" t="s">
        <v>298</v>
      </c>
      <c r="E261" s="3" t="s">
        <v>3</v>
      </c>
      <c r="F261" s="4">
        <v>0</v>
      </c>
      <c r="G261" s="3">
        <v>1688</v>
      </c>
      <c r="H261" s="3">
        <v>65</v>
      </c>
      <c r="I261" s="3">
        <v>484</v>
      </c>
      <c r="J261" s="3">
        <v>4303</v>
      </c>
      <c r="K261" s="3">
        <v>5754</v>
      </c>
      <c r="L261" s="3">
        <v>1</v>
      </c>
      <c r="M261" s="3">
        <v>479</v>
      </c>
    </row>
    <row r="262" spans="1:13" x14ac:dyDescent="0.25">
      <c r="A262" s="1" t="str">
        <f>HYPERLINK("http://www.rosaceae.org/Prunus/Prunus_persica/p.persica_gdr_reftransV1_0039251","p.persica_gdr_reftransV1_0039251")</f>
        <v>p.persica_gdr_reftransV1_0039251</v>
      </c>
      <c r="B262" s="3">
        <v>2580</v>
      </c>
      <c r="C262" s="1" t="str">
        <f>HYPERLINK("http://www.uniprot.org/uniprot/MRS2I_ORYSJ","MRS2I_ORYSJ")</f>
        <v>MRS2I_ORYSJ</v>
      </c>
      <c r="D262" t="s">
        <v>299</v>
      </c>
      <c r="E262" s="3" t="s">
        <v>38</v>
      </c>
      <c r="F262" s="4">
        <v>3.8900000000000003E-48</v>
      </c>
      <c r="G262" s="3">
        <v>440</v>
      </c>
      <c r="H262" s="3">
        <v>83</v>
      </c>
      <c r="I262" s="3">
        <v>93</v>
      </c>
      <c r="J262" s="3">
        <v>404</v>
      </c>
      <c r="K262" s="3">
        <v>682</v>
      </c>
      <c r="L262" s="3">
        <v>292</v>
      </c>
      <c r="M262" s="3">
        <v>384</v>
      </c>
    </row>
    <row r="263" spans="1:13" x14ac:dyDescent="0.25">
      <c r="A263" s="1" t="str">
        <f>HYPERLINK("http://www.rosaceae.org/Prunus/Prunus_persica/p.persica_gdr_reftransV1_0039451","p.persica_gdr_reftransV1_0039451")</f>
        <v>p.persica_gdr_reftransV1_0039451</v>
      </c>
      <c r="B263" s="3">
        <v>2095</v>
      </c>
      <c r="C263" s="1" t="str">
        <f>HYPERLINK("http://www.uniprot.org/uniprot/SFH1_ARATH","SFH1_ARATH")</f>
        <v>SFH1_ARATH</v>
      </c>
      <c r="D263" t="s">
        <v>300</v>
      </c>
      <c r="E263" s="3" t="s">
        <v>3</v>
      </c>
      <c r="F263" s="4">
        <v>1.38E-14</v>
      </c>
      <c r="G263" s="3">
        <v>158</v>
      </c>
      <c r="H263" s="3">
        <v>34</v>
      </c>
      <c r="I263" s="3">
        <v>127</v>
      </c>
      <c r="J263" s="3">
        <v>758</v>
      </c>
      <c r="K263" s="3">
        <v>1120</v>
      </c>
      <c r="L263" s="3">
        <v>191</v>
      </c>
      <c r="M263" s="3">
        <v>317</v>
      </c>
    </row>
    <row r="264" spans="1:13" x14ac:dyDescent="0.25">
      <c r="A264" s="1" t="str">
        <f>HYPERLINK("http://www.rosaceae.org/Prunus/Prunus_persica/p.persica_gdr_reftransV1_0039551","p.persica_gdr_reftransV1_0039551")</f>
        <v>p.persica_gdr_reftransV1_0039551</v>
      </c>
      <c r="B264" s="3">
        <v>2753</v>
      </c>
      <c r="C264" s="1" t="str">
        <f>HYPERLINK("http://www.uniprot.org/uniprot/NAGS2_ARATH","NAGS2_ARATH")</f>
        <v>NAGS2_ARATH</v>
      </c>
      <c r="D264" t="s">
        <v>301</v>
      </c>
      <c r="E264" s="3" t="s">
        <v>3</v>
      </c>
      <c r="F264" s="4">
        <v>5.8600000000000003E-151</v>
      </c>
      <c r="G264" s="3">
        <v>1104</v>
      </c>
      <c r="H264" s="3">
        <v>72</v>
      </c>
      <c r="I264" s="3">
        <v>306</v>
      </c>
      <c r="J264" s="3">
        <v>1221</v>
      </c>
      <c r="K264" s="3">
        <v>2108</v>
      </c>
      <c r="L264" s="3">
        <v>147</v>
      </c>
      <c r="M264" s="3">
        <v>450</v>
      </c>
    </row>
    <row r="265" spans="1:13" x14ac:dyDescent="0.25">
      <c r="A265" s="1" t="str">
        <f>HYPERLINK("http://www.rosaceae.org/Prunus/Prunus_persica/p.persica_gdr_reftransV1_0039601","p.persica_gdr_reftransV1_0039601")</f>
        <v>p.persica_gdr_reftransV1_0039601</v>
      </c>
      <c r="B265" s="3">
        <v>1823</v>
      </c>
      <c r="C265" s="1" t="str">
        <f>HYPERLINK("http://www.uniprot.org/uniprot/WDR25_HUMAN","WDR25_HUMAN")</f>
        <v>WDR25_HUMAN</v>
      </c>
      <c r="D265" t="s">
        <v>302</v>
      </c>
      <c r="E265" s="3" t="s">
        <v>28</v>
      </c>
      <c r="F265" s="4">
        <v>6.1599999999999996E-72</v>
      </c>
      <c r="G265" s="3">
        <v>630</v>
      </c>
      <c r="H265" s="3">
        <v>34</v>
      </c>
      <c r="I265" s="3">
        <v>311</v>
      </c>
      <c r="J265" s="3">
        <v>415</v>
      </c>
      <c r="K265" s="3">
        <v>1341</v>
      </c>
      <c r="L265" s="3">
        <v>234</v>
      </c>
      <c r="M265" s="3">
        <v>543</v>
      </c>
    </row>
    <row r="266" spans="1:13" x14ac:dyDescent="0.25">
      <c r="A266" s="1" t="str">
        <f>HYPERLINK("http://www.rosaceae.org/Prunus/Prunus_persica/p.persica_gdr_reftransV1_0039801","p.persica_gdr_reftransV1_0039801")</f>
        <v>p.persica_gdr_reftransV1_0039801</v>
      </c>
      <c r="B266" s="3">
        <v>643</v>
      </c>
      <c r="C266" s="1" t="str">
        <f>HYPERLINK("http://www.uniprot.org/uniprot/PP325_ARATH","PP325_ARATH")</f>
        <v>PP325_ARATH</v>
      </c>
      <c r="D266" t="s">
        <v>303</v>
      </c>
      <c r="E266" s="3" t="s">
        <v>3</v>
      </c>
      <c r="F266" s="4">
        <v>1.5999999999999999E-20</v>
      </c>
      <c r="G266" s="3">
        <v>233</v>
      </c>
      <c r="H266" s="3">
        <v>44</v>
      </c>
      <c r="I266" s="3">
        <v>186</v>
      </c>
      <c r="J266" s="3">
        <v>101</v>
      </c>
      <c r="K266" s="3">
        <v>637</v>
      </c>
      <c r="L266" s="3">
        <v>8</v>
      </c>
      <c r="M266" s="3">
        <v>192</v>
      </c>
    </row>
    <row r="267" spans="1:13" x14ac:dyDescent="0.25">
      <c r="A267" s="1" t="str">
        <f>HYPERLINK("http://www.rosaceae.org/Prunus/Prunus_persica/p.persica_gdr_reftransV1_0039851","p.persica_gdr_reftransV1_0039851")</f>
        <v>p.persica_gdr_reftransV1_0039851</v>
      </c>
      <c r="B267" s="3">
        <v>1306</v>
      </c>
      <c r="C267" s="1" t="str">
        <f>HYPERLINK("http://www.uniprot.org/uniprot/P2C26_ARATH","P2C26_ARATH")</f>
        <v>P2C26_ARATH</v>
      </c>
      <c r="D267" t="s">
        <v>304</v>
      </c>
      <c r="E267" s="3" t="s">
        <v>3</v>
      </c>
      <c r="F267" s="4">
        <v>1.6200000000000001E-112</v>
      </c>
      <c r="G267" s="3">
        <v>870</v>
      </c>
      <c r="H267" s="3">
        <v>69</v>
      </c>
      <c r="I267" s="3">
        <v>260</v>
      </c>
      <c r="J267" s="3">
        <v>249</v>
      </c>
      <c r="K267" s="3">
        <v>1028</v>
      </c>
      <c r="L267" s="3">
        <v>39</v>
      </c>
      <c r="M267" s="3">
        <v>297</v>
      </c>
    </row>
    <row r="268" spans="1:13" x14ac:dyDescent="0.25">
      <c r="A268" s="1" t="str">
        <f>HYPERLINK("http://www.rosaceae.org/Prunus/Prunus_persica/p.persica_gdr_reftransV1_0040101","p.persica_gdr_reftransV1_0040101")</f>
        <v>p.persica_gdr_reftransV1_0040101</v>
      </c>
      <c r="B268" s="3">
        <v>3675</v>
      </c>
      <c r="C268" s="1" t="str">
        <f>HYPERLINK("http://www.uniprot.org/uniprot/TF3C3_HUMAN","TF3C3_HUMAN")</f>
        <v>TF3C3_HUMAN</v>
      </c>
      <c r="D268" t="s">
        <v>305</v>
      </c>
      <c r="E268" s="3" t="s">
        <v>28</v>
      </c>
      <c r="F268" s="4">
        <v>1.9200000000000001E-24</v>
      </c>
      <c r="G268" s="3">
        <v>286</v>
      </c>
      <c r="H268" s="3">
        <v>23</v>
      </c>
      <c r="I268" s="3">
        <v>378</v>
      </c>
      <c r="J268" s="3">
        <v>674</v>
      </c>
      <c r="K268" s="3">
        <v>1723</v>
      </c>
      <c r="L268" s="3">
        <v>153</v>
      </c>
      <c r="M268" s="3">
        <v>530</v>
      </c>
    </row>
    <row r="269" spans="1:13" x14ac:dyDescent="0.25">
      <c r="A269" s="1" t="str">
        <f>HYPERLINK("http://www.rosaceae.org/Prunus/Prunus_persica/p.persica_gdr_reftransV1_0040351","p.persica_gdr_reftransV1_0040351")</f>
        <v>p.persica_gdr_reftransV1_0040351</v>
      </c>
      <c r="B269" s="3">
        <v>3570</v>
      </c>
      <c r="C269" s="1" t="str">
        <f>HYPERLINK("http://www.uniprot.org/uniprot/SUSY_SOYBN","SUSY_SOYBN")</f>
        <v>SUSY_SOYBN</v>
      </c>
      <c r="D269" t="s">
        <v>306</v>
      </c>
      <c r="E269" s="3" t="s">
        <v>307</v>
      </c>
      <c r="F269" s="4">
        <v>0</v>
      </c>
      <c r="G269" s="3">
        <v>3628</v>
      </c>
      <c r="H269" s="3">
        <v>86</v>
      </c>
      <c r="I269" s="3">
        <v>796</v>
      </c>
      <c r="J269" s="3">
        <v>469</v>
      </c>
      <c r="K269" s="3">
        <v>2856</v>
      </c>
      <c r="L269" s="3">
        <v>1</v>
      </c>
      <c r="M269" s="3">
        <v>796</v>
      </c>
    </row>
    <row r="270" spans="1:13" x14ac:dyDescent="0.25">
      <c r="A270" s="1" t="str">
        <f>HYPERLINK("http://www.rosaceae.org/Prunus/Prunus_persica/p.persica_gdr_reftransV1_0040751","p.persica_gdr_reftransV1_0040751")</f>
        <v>p.persica_gdr_reftransV1_0040751</v>
      </c>
      <c r="B270" s="3">
        <v>1369</v>
      </c>
      <c r="C270" s="1" t="str">
        <f>HYPERLINK("http://www.uniprot.org/uniprot/SSL10_ARATH","SSL10_ARATH")</f>
        <v>SSL10_ARATH</v>
      </c>
      <c r="D270" t="s">
        <v>308</v>
      </c>
      <c r="E270" s="3" t="s">
        <v>3</v>
      </c>
      <c r="F270" s="4">
        <v>1.4699999999999999E-173</v>
      </c>
      <c r="G270" s="3">
        <v>1284</v>
      </c>
      <c r="H270" s="3">
        <v>69</v>
      </c>
      <c r="I270" s="3">
        <v>348</v>
      </c>
      <c r="J270" s="3">
        <v>162</v>
      </c>
      <c r="K270" s="3">
        <v>1196</v>
      </c>
      <c r="L270" s="3">
        <v>27</v>
      </c>
      <c r="M270" s="3">
        <v>374</v>
      </c>
    </row>
    <row r="271" spans="1:13" x14ac:dyDescent="0.25">
      <c r="A271" s="1" t="str">
        <f>HYPERLINK("http://www.rosaceae.org/Prunus/Prunus_persica/p.persica_gdr_reftransV1_0040801","p.persica_gdr_reftransV1_0040801")</f>
        <v>p.persica_gdr_reftransV1_0040801</v>
      </c>
      <c r="B271" s="3">
        <v>1103</v>
      </c>
      <c r="C271" s="1" t="str">
        <f>HYPERLINK("http://www.uniprot.org/uniprot/RL83_ARATH","RL83_ARATH")</f>
        <v>RL83_ARATH</v>
      </c>
      <c r="D271" t="s">
        <v>309</v>
      </c>
      <c r="E271" s="3" t="s">
        <v>3</v>
      </c>
      <c r="F271" s="4">
        <v>6.1500000000000003E-173</v>
      </c>
      <c r="G271" s="3">
        <v>1259</v>
      </c>
      <c r="H271" s="3">
        <v>94</v>
      </c>
      <c r="I271" s="3">
        <v>249</v>
      </c>
      <c r="J271" s="3">
        <v>48</v>
      </c>
      <c r="K271" s="3">
        <v>794</v>
      </c>
      <c r="L271" s="3">
        <v>1</v>
      </c>
      <c r="M271" s="3">
        <v>249</v>
      </c>
    </row>
    <row r="272" spans="1:13" x14ac:dyDescent="0.25">
      <c r="A272" s="1" t="str">
        <f>HYPERLINK("http://www.rosaceae.org/Prunus/Prunus_persica/p.persica_gdr_reftransV1_0040901","p.persica_gdr_reftransV1_0040901")</f>
        <v>p.persica_gdr_reftransV1_0040901</v>
      </c>
      <c r="B272" s="3">
        <v>4065</v>
      </c>
      <c r="C272" s="1" t="str">
        <f>HYPERLINK("http://www.uniprot.org/uniprot/Y1491_ARATH","Y1491_ARATH")</f>
        <v>Y1491_ARATH</v>
      </c>
      <c r="D272" t="s">
        <v>310</v>
      </c>
      <c r="E272" s="3" t="s">
        <v>3</v>
      </c>
      <c r="F272" s="4">
        <v>4.2200000000000003E-67</v>
      </c>
      <c r="G272" s="3">
        <v>616</v>
      </c>
      <c r="H272" s="3">
        <v>40</v>
      </c>
      <c r="I272" s="3">
        <v>339</v>
      </c>
      <c r="J272" s="3">
        <v>1577</v>
      </c>
      <c r="K272" s="3">
        <v>2584</v>
      </c>
      <c r="L272" s="3">
        <v>82</v>
      </c>
      <c r="M272" s="3">
        <v>417</v>
      </c>
    </row>
    <row r="273" spans="1:13" x14ac:dyDescent="0.25">
      <c r="A273" s="1" t="str">
        <f>HYPERLINK("http://www.rosaceae.org/Prunus/Prunus_persica/p.persica_gdr_reftransV1_0041251","p.persica_gdr_reftransV1_0041251")</f>
        <v>p.persica_gdr_reftransV1_0041251</v>
      </c>
      <c r="B273" s="3">
        <v>6200</v>
      </c>
      <c r="C273" s="1" t="str">
        <f>HYPERLINK("http://www.uniprot.org/uniprot/TIC_ARATH","TIC_ARATH")</f>
        <v>TIC_ARATH</v>
      </c>
      <c r="D273" t="s">
        <v>311</v>
      </c>
      <c r="E273" s="3" t="s">
        <v>3</v>
      </c>
      <c r="F273" s="4">
        <v>3.2299999999999997E-123</v>
      </c>
      <c r="G273" s="3">
        <v>1110</v>
      </c>
      <c r="H273" s="3">
        <v>47</v>
      </c>
      <c r="I273" s="3">
        <v>858</v>
      </c>
      <c r="J273" s="3">
        <v>1738</v>
      </c>
      <c r="K273" s="3">
        <v>4185</v>
      </c>
      <c r="L273" s="3">
        <v>520</v>
      </c>
      <c r="M273" s="3">
        <v>1323</v>
      </c>
    </row>
    <row r="274" spans="1:13" x14ac:dyDescent="0.25">
      <c r="A274" s="1" t="str">
        <f>HYPERLINK("http://www.rosaceae.org/Prunus/Prunus_persica/p.persica_gdr_reftransV1_0041301","p.persica_gdr_reftransV1_0041301")</f>
        <v>p.persica_gdr_reftransV1_0041301</v>
      </c>
      <c r="B274" s="3">
        <v>2319</v>
      </c>
      <c r="C274" s="1" t="str">
        <f>HYPERLINK("http://www.uniprot.org/uniprot/idD1_ARATH","idD1_ARATH")</f>
        <v>idD1_ARATH</v>
      </c>
      <c r="D274" t="s">
        <v>312</v>
      </c>
      <c r="E274" s="3" t="s">
        <v>3</v>
      </c>
      <c r="F274" s="4">
        <v>7.5899999999999997E-38</v>
      </c>
      <c r="G274" s="3">
        <v>383</v>
      </c>
      <c r="H274" s="3">
        <v>94</v>
      </c>
      <c r="I274" s="3">
        <v>81</v>
      </c>
      <c r="J274" s="3">
        <v>2075</v>
      </c>
      <c r="K274" s="3">
        <v>2317</v>
      </c>
      <c r="L274" s="3">
        <v>119</v>
      </c>
      <c r="M274" s="3">
        <v>199</v>
      </c>
    </row>
    <row r="275" spans="1:13" x14ac:dyDescent="0.25">
      <c r="A275" s="1" t="str">
        <f>HYPERLINK("http://www.rosaceae.org/Prunus/Prunus_persica/p.persica_gdr_reftransV1_0041351","p.persica_gdr_reftransV1_0041351")</f>
        <v>p.persica_gdr_reftransV1_0041351</v>
      </c>
      <c r="B275" s="3">
        <v>840</v>
      </c>
      <c r="C275" s="1" t="str">
        <f>HYPERLINK("http://www.uniprot.org/uniprot/RZ22A_ARATH","RZ22A_ARATH")</f>
        <v>RZ22A_ARATH</v>
      </c>
      <c r="D275" t="s">
        <v>313</v>
      </c>
      <c r="E275" s="3" t="s">
        <v>3</v>
      </c>
      <c r="F275" s="4">
        <v>1.83E-26</v>
      </c>
      <c r="G275" s="3">
        <v>268</v>
      </c>
      <c r="H275" s="3">
        <v>85</v>
      </c>
      <c r="I275" s="3">
        <v>60</v>
      </c>
      <c r="J275" s="3">
        <v>65</v>
      </c>
      <c r="K275" s="3">
        <v>244</v>
      </c>
      <c r="L275" s="3">
        <v>1</v>
      </c>
      <c r="M275" s="3">
        <v>60</v>
      </c>
    </row>
    <row r="276" spans="1:13" x14ac:dyDescent="0.25">
      <c r="A276" s="1" t="str">
        <f>HYPERLINK("http://www.rosaceae.org/Prunus/Prunus_persica/p.persica_gdr_reftransV1_0041651","p.persica_gdr_reftransV1_0041651")</f>
        <v>p.persica_gdr_reftransV1_0041651</v>
      </c>
      <c r="B276" s="3">
        <v>9420</v>
      </c>
      <c r="C276" s="1" t="str">
        <f>HYPERLINK("http://www.uniprot.org/uniprot/Y8328_DICDI","Y8328_DICDI")</f>
        <v>Y8328_DICDI</v>
      </c>
      <c r="D276" t="s">
        <v>314</v>
      </c>
      <c r="E276" s="3" t="s">
        <v>9</v>
      </c>
      <c r="F276" s="4">
        <v>5.28E-19</v>
      </c>
      <c r="G276" s="3">
        <v>247</v>
      </c>
      <c r="H276" s="3">
        <v>27</v>
      </c>
      <c r="I276" s="3">
        <v>262</v>
      </c>
      <c r="J276" s="3">
        <v>7866</v>
      </c>
      <c r="K276" s="3">
        <v>8591</v>
      </c>
      <c r="L276" s="3">
        <v>3459</v>
      </c>
      <c r="M276" s="3">
        <v>3712</v>
      </c>
    </row>
    <row r="277" spans="1:13" x14ac:dyDescent="0.25">
      <c r="A277" s="1" t="str">
        <f>HYPERLINK("http://www.rosaceae.org/Prunus/Prunus_persica/p.persica_gdr_reftransV1_0041851","p.persica_gdr_reftransV1_0041851")</f>
        <v>p.persica_gdr_reftransV1_0041851</v>
      </c>
      <c r="B277" s="3">
        <v>1680</v>
      </c>
      <c r="C277" s="1" t="str">
        <f>HYPERLINK("http://www.uniprot.org/uniprot/UREF_ARATH","UREF_ARATH")</f>
        <v>UREF_ARATH</v>
      </c>
      <c r="D277" t="s">
        <v>315</v>
      </c>
      <c r="E277" s="3" t="s">
        <v>3</v>
      </c>
      <c r="F277" s="4">
        <v>1.16E-113</v>
      </c>
      <c r="G277" s="3">
        <v>883</v>
      </c>
      <c r="H277" s="3">
        <v>68</v>
      </c>
      <c r="I277" s="3">
        <v>235</v>
      </c>
      <c r="J277" s="3">
        <v>685</v>
      </c>
      <c r="K277" s="3">
        <v>1389</v>
      </c>
      <c r="L277" s="3">
        <v>6</v>
      </c>
      <c r="M277" s="3">
        <v>240</v>
      </c>
    </row>
    <row r="278" spans="1:13" x14ac:dyDescent="0.25">
      <c r="A278" s="1" t="str">
        <f>HYPERLINK("http://www.rosaceae.org/Prunus/Prunus_persica/p.persica_gdr_reftransV1_0041951","p.persica_gdr_reftransV1_0041951")</f>
        <v>p.persica_gdr_reftransV1_0041951</v>
      </c>
      <c r="B278" s="3">
        <v>3266</v>
      </c>
      <c r="C278" s="1" t="str">
        <f>HYPERLINK("http://www.uniprot.org/uniprot/DAR1_ARATH","DAR1_ARATH")</f>
        <v>DAR1_ARATH</v>
      </c>
      <c r="D278" t="s">
        <v>316</v>
      </c>
      <c r="E278" s="3" t="s">
        <v>3</v>
      </c>
      <c r="F278" s="4">
        <v>3.2500000000000002E-165</v>
      </c>
      <c r="G278" s="3">
        <v>1302</v>
      </c>
      <c r="H278" s="3">
        <v>83</v>
      </c>
      <c r="I278" s="3">
        <v>300</v>
      </c>
      <c r="J278" s="3">
        <v>2216</v>
      </c>
      <c r="K278" s="3">
        <v>3115</v>
      </c>
      <c r="L278" s="3">
        <v>257</v>
      </c>
      <c r="M278" s="3">
        <v>553</v>
      </c>
    </row>
    <row r="279" spans="1:13" x14ac:dyDescent="0.25">
      <c r="A279" s="1" t="str">
        <f>HYPERLINK("http://www.rosaceae.org/Prunus/Prunus_persica/p.persica_gdr_reftransV1_0042051","p.persica_gdr_reftransV1_0042051")</f>
        <v>p.persica_gdr_reftransV1_0042051</v>
      </c>
      <c r="B279" s="3">
        <v>1036</v>
      </c>
      <c r="C279" s="1" t="str">
        <f>HYPERLINK("http://www.uniprot.org/uniprot/TMVRN_NICGU","TMVRN_NICGU")</f>
        <v>TMVRN_NICGU</v>
      </c>
      <c r="D279" t="s">
        <v>151</v>
      </c>
      <c r="E279" s="3" t="s">
        <v>152</v>
      </c>
      <c r="F279" s="4">
        <v>1.56E-40</v>
      </c>
      <c r="G279" s="3">
        <v>397</v>
      </c>
      <c r="H279" s="3">
        <v>37</v>
      </c>
      <c r="I279" s="3">
        <v>260</v>
      </c>
      <c r="J279" s="3">
        <v>6</v>
      </c>
      <c r="K279" s="3">
        <v>716</v>
      </c>
      <c r="L279" s="3">
        <v>547</v>
      </c>
      <c r="M279" s="3">
        <v>806</v>
      </c>
    </row>
    <row r="280" spans="1:13" x14ac:dyDescent="0.25">
      <c r="A280" s="1" t="str">
        <f>HYPERLINK("http://www.rosaceae.org/Prunus/Prunus_persica/p.persica_gdr_reftransV1_0042101","p.persica_gdr_reftransV1_0042101")</f>
        <v>p.persica_gdr_reftransV1_0042101</v>
      </c>
      <c r="B280" s="3">
        <v>1964</v>
      </c>
      <c r="C280" s="1" t="str">
        <f>HYPERLINK("http://www.uniprot.org/uniprot/Y4399_DICDI","Y4399_DICDI")</f>
        <v>Y4399_DICDI</v>
      </c>
      <c r="D280" t="s">
        <v>317</v>
      </c>
      <c r="E280" s="3" t="s">
        <v>9</v>
      </c>
      <c r="F280" s="4">
        <v>6.1400000000000001E-25</v>
      </c>
      <c r="G280" s="3">
        <v>196</v>
      </c>
      <c r="H280" s="3">
        <v>32</v>
      </c>
      <c r="I280" s="3">
        <v>221</v>
      </c>
      <c r="J280" s="3">
        <v>322</v>
      </c>
      <c r="K280" s="3">
        <v>975</v>
      </c>
      <c r="L280" s="3">
        <v>662</v>
      </c>
      <c r="M280" s="3">
        <v>837</v>
      </c>
    </row>
    <row r="281" spans="1:13" x14ac:dyDescent="0.25">
      <c r="A281" s="1" t="str">
        <f>HYPERLINK("http://www.rosaceae.org/Prunus/Prunus_persica/p.persica_gdr_reftransV1_0042501","p.persica_gdr_reftransV1_0042501")</f>
        <v>p.persica_gdr_reftransV1_0042501</v>
      </c>
      <c r="B281" s="3">
        <v>1600</v>
      </c>
      <c r="C281" s="1" t="str">
        <f>HYPERLINK("http://www.uniprot.org/uniprot/SYT4_ARATH","SYT4_ARATH")</f>
        <v>SYT4_ARATH</v>
      </c>
      <c r="D281" t="s">
        <v>318</v>
      </c>
      <c r="E281" s="3" t="s">
        <v>3</v>
      </c>
      <c r="F281" s="4">
        <v>6.1099999999999994E-20</v>
      </c>
      <c r="G281" s="3">
        <v>240</v>
      </c>
      <c r="H281" s="3">
        <v>27</v>
      </c>
      <c r="I281" s="3">
        <v>306</v>
      </c>
      <c r="J281" s="3">
        <v>226</v>
      </c>
      <c r="K281" s="3">
        <v>978</v>
      </c>
      <c r="L281" s="3">
        <v>265</v>
      </c>
      <c r="M281" s="3">
        <v>568</v>
      </c>
    </row>
    <row r="282" spans="1:13" x14ac:dyDescent="0.25">
      <c r="A282" s="1" t="str">
        <f>HYPERLINK("http://www.rosaceae.org/Prunus/Prunus_persica/p.persica_gdr_reftransV1_0042701","p.persica_gdr_reftransV1_0042701")</f>
        <v>p.persica_gdr_reftransV1_0042701</v>
      </c>
      <c r="B282" s="3">
        <v>2119</v>
      </c>
      <c r="C282" s="1" t="str">
        <f>HYPERLINK("http://www.uniprot.org/uniprot/SPHK1_ARATH","SPHK1_ARATH")</f>
        <v>SPHK1_ARATH</v>
      </c>
      <c r="D282" t="s">
        <v>319</v>
      </c>
      <c r="E282" s="3" t="s">
        <v>3</v>
      </c>
      <c r="F282" s="4">
        <v>0</v>
      </c>
      <c r="G282" s="3">
        <v>1671</v>
      </c>
      <c r="H282" s="3">
        <v>64</v>
      </c>
      <c r="I282" s="3">
        <v>497</v>
      </c>
      <c r="J282" s="3">
        <v>297</v>
      </c>
      <c r="K282" s="3">
        <v>1784</v>
      </c>
      <c r="L282" s="3">
        <v>1</v>
      </c>
      <c r="M282" s="3">
        <v>484</v>
      </c>
    </row>
    <row r="283" spans="1:13" x14ac:dyDescent="0.25">
      <c r="A283" s="1" t="str">
        <f>HYPERLINK("http://www.rosaceae.org/Prunus/Prunus_persica/p.persica_gdr_reftransV1_0042901","p.persica_gdr_reftransV1_0042901")</f>
        <v>p.persica_gdr_reftransV1_0042901</v>
      </c>
      <c r="B283" s="3">
        <v>2194</v>
      </c>
      <c r="C283" s="1" t="str">
        <f>HYPERLINK("http://www.uniprot.org/uniprot/APX1_PEA","APX1_PEA")</f>
        <v>APX1_PEA</v>
      </c>
      <c r="D283" t="s">
        <v>320</v>
      </c>
      <c r="E283" s="3" t="s">
        <v>60</v>
      </c>
      <c r="F283" s="4">
        <v>2.8899999999999999E-65</v>
      </c>
      <c r="G283" s="3">
        <v>567</v>
      </c>
      <c r="H283" s="3">
        <v>86</v>
      </c>
      <c r="I283" s="3">
        <v>120</v>
      </c>
      <c r="J283" s="3">
        <v>1712</v>
      </c>
      <c r="K283" s="3">
        <v>2071</v>
      </c>
      <c r="L283" s="3">
        <v>1</v>
      </c>
      <c r="M283" s="3">
        <v>120</v>
      </c>
    </row>
    <row r="284" spans="1:13" x14ac:dyDescent="0.25">
      <c r="A284" s="1" t="str">
        <f>HYPERLINK("http://www.rosaceae.org/Prunus/Prunus_persica/p.persica_gdr_reftransV1_0042951","p.persica_gdr_reftransV1_0042951")</f>
        <v>p.persica_gdr_reftransV1_0042951</v>
      </c>
      <c r="B284" s="3">
        <v>2448</v>
      </c>
      <c r="C284" s="1" t="str">
        <f>HYPERLINK("http://www.uniprot.org/uniprot/GALE2_CYATE","GALE2_CYATE")</f>
        <v>GALE2_CYATE</v>
      </c>
      <c r="D284" t="s">
        <v>321</v>
      </c>
      <c r="E284" s="3" t="s">
        <v>322</v>
      </c>
      <c r="F284" s="4">
        <v>7.1000000000000002E-149</v>
      </c>
      <c r="G284" s="3">
        <v>1151</v>
      </c>
      <c r="H284" s="3">
        <v>83</v>
      </c>
      <c r="I284" s="3">
        <v>259</v>
      </c>
      <c r="J284" s="3">
        <v>1164</v>
      </c>
      <c r="K284" s="3">
        <v>1940</v>
      </c>
      <c r="L284" s="3">
        <v>3</v>
      </c>
      <c r="M284" s="3">
        <v>261</v>
      </c>
    </row>
    <row r="285" spans="1:13" x14ac:dyDescent="0.25">
      <c r="A285" s="1" t="str">
        <f>HYPERLINK("http://www.rosaceae.org/Prunus/Prunus_persica/p.persica_gdr_reftransV1_0043101","p.persica_gdr_reftransV1_0043101")</f>
        <v>p.persica_gdr_reftransV1_0043101</v>
      </c>
      <c r="B285" s="3">
        <v>1232</v>
      </c>
      <c r="C285" s="1" t="str">
        <f>HYPERLINK("http://www.uniprot.org/uniprot/SCAR1_ARATH","SCAR1_ARATH")</f>
        <v>SCAR1_ARATH</v>
      </c>
      <c r="D285" t="s">
        <v>323</v>
      </c>
      <c r="E285" s="3" t="s">
        <v>3</v>
      </c>
      <c r="F285" s="4">
        <v>1.48E-7</v>
      </c>
      <c r="G285" s="3">
        <v>137</v>
      </c>
      <c r="H285" s="3">
        <v>42</v>
      </c>
      <c r="I285" s="3">
        <v>110</v>
      </c>
      <c r="J285" s="3">
        <v>660</v>
      </c>
      <c r="K285" s="3">
        <v>986</v>
      </c>
      <c r="L285" s="3">
        <v>281</v>
      </c>
      <c r="M285" s="3">
        <v>386</v>
      </c>
    </row>
    <row r="286" spans="1:13" x14ac:dyDescent="0.25">
      <c r="A286" s="1" t="str">
        <f>HYPERLINK("http://www.rosaceae.org/Prunus/Prunus_persica/p.persica_gdr_reftransV1_0043151","p.persica_gdr_reftransV1_0043151")</f>
        <v>p.persica_gdr_reftransV1_0043151</v>
      </c>
      <c r="B286" s="3">
        <v>911</v>
      </c>
      <c r="C286" s="1" t="str">
        <f>HYPERLINK("http://www.uniprot.org/uniprot/TPPG_ARATH","TPPG_ARATH")</f>
        <v>TPPG_ARATH</v>
      </c>
      <c r="D286" t="s">
        <v>324</v>
      </c>
      <c r="E286" s="3" t="s">
        <v>3</v>
      </c>
      <c r="F286" s="4">
        <v>3.5900000000000002E-137</v>
      </c>
      <c r="G286" s="3">
        <v>1028</v>
      </c>
      <c r="H286" s="3">
        <v>69</v>
      </c>
      <c r="I286" s="3">
        <v>289</v>
      </c>
      <c r="J286" s="3">
        <v>46</v>
      </c>
      <c r="K286" s="3">
        <v>909</v>
      </c>
      <c r="L286" s="3">
        <v>1</v>
      </c>
      <c r="M286" s="3">
        <v>276</v>
      </c>
    </row>
    <row r="287" spans="1:13" x14ac:dyDescent="0.25">
      <c r="A287" s="1" t="str">
        <f>HYPERLINK("http://www.rosaceae.org/Prunus/Prunus_persica/p.persica_gdr_reftransV1_0043201","p.persica_gdr_reftransV1_0043201")</f>
        <v>p.persica_gdr_reftransV1_0043201</v>
      </c>
      <c r="B287" s="3">
        <v>1465</v>
      </c>
      <c r="C287" s="1" t="str">
        <f>HYPERLINK("http://www.uniprot.org/uniprot/LTL1_ARATH","LTL1_ARATH")</f>
        <v>LTL1_ARATH</v>
      </c>
      <c r="D287" t="s">
        <v>325</v>
      </c>
      <c r="E287" s="3" t="s">
        <v>3</v>
      </c>
      <c r="F287" s="4">
        <v>0</v>
      </c>
      <c r="G287" s="3">
        <v>1511</v>
      </c>
      <c r="H287" s="3">
        <v>81</v>
      </c>
      <c r="I287" s="3">
        <v>340</v>
      </c>
      <c r="J287" s="3">
        <v>175</v>
      </c>
      <c r="K287" s="3">
        <v>1194</v>
      </c>
      <c r="L287" s="3">
        <v>24</v>
      </c>
      <c r="M287" s="3">
        <v>363</v>
      </c>
    </row>
    <row r="288" spans="1:13" x14ac:dyDescent="0.25">
      <c r="A288" s="1" t="str">
        <f>HYPERLINK("http://www.rosaceae.org/Prunus/Prunus_persica/p.persica_gdr_reftransV1_0043251","p.persica_gdr_reftransV1_0043251")</f>
        <v>p.persica_gdr_reftransV1_0043251</v>
      </c>
      <c r="B288" s="3">
        <v>781</v>
      </c>
      <c r="C288" s="1" t="str">
        <f>HYPERLINK("http://www.uniprot.org/uniprot/GWD2_ARATH","GWD2_ARATH")</f>
        <v>GWD2_ARATH</v>
      </c>
      <c r="D288" t="s">
        <v>326</v>
      </c>
      <c r="E288" s="3" t="s">
        <v>3</v>
      </c>
      <c r="F288" s="4">
        <v>2.9799999999999998E-119</v>
      </c>
      <c r="G288" s="3">
        <v>964</v>
      </c>
      <c r="H288" s="3">
        <v>75</v>
      </c>
      <c r="I288" s="3">
        <v>261</v>
      </c>
      <c r="J288" s="3">
        <v>1</v>
      </c>
      <c r="K288" s="3">
        <v>780</v>
      </c>
      <c r="L288" s="3">
        <v>336</v>
      </c>
      <c r="M288" s="3">
        <v>595</v>
      </c>
    </row>
    <row r="289" spans="1:13" x14ac:dyDescent="0.25">
      <c r="A289" s="1" t="str">
        <f>HYPERLINK("http://www.rosaceae.org/Prunus/Prunus_persica/p.persica_gdr_reftransV1_0043301","p.persica_gdr_reftransV1_0043301")</f>
        <v>p.persica_gdr_reftransV1_0043301</v>
      </c>
      <c r="B289" s="3">
        <v>1296</v>
      </c>
      <c r="C289" s="1" t="str">
        <f>HYPERLINK("http://www.uniprot.org/uniprot/RL7A2_ARATH","RL7A2_ARATH")</f>
        <v>RL7A2_ARATH</v>
      </c>
      <c r="D289" t="s">
        <v>327</v>
      </c>
      <c r="E289" s="3" t="s">
        <v>3</v>
      </c>
      <c r="F289" s="4">
        <v>6.9200000000000002E-126</v>
      </c>
      <c r="G289" s="3">
        <v>954</v>
      </c>
      <c r="H289" s="3">
        <v>88</v>
      </c>
      <c r="I289" s="3">
        <v>241</v>
      </c>
      <c r="J289" s="3">
        <v>432</v>
      </c>
      <c r="K289" s="3">
        <v>1154</v>
      </c>
      <c r="L289" s="3">
        <v>16</v>
      </c>
      <c r="M289" s="3">
        <v>256</v>
      </c>
    </row>
    <row r="290" spans="1:13" x14ac:dyDescent="0.25">
      <c r="A290" s="1" t="str">
        <f>HYPERLINK("http://www.rosaceae.org/Prunus/Prunus_persica/p.persica_gdr_reftransV1_0043351","p.persica_gdr_reftransV1_0043351")</f>
        <v>p.persica_gdr_reftransV1_0043351</v>
      </c>
      <c r="B290" s="3">
        <v>1468</v>
      </c>
      <c r="C290" s="1" t="str">
        <f>HYPERLINK("http://www.uniprot.org/uniprot/P4KG4_ARATH","P4KG4_ARATH")</f>
        <v>P4KG4_ARATH</v>
      </c>
      <c r="D290" t="s">
        <v>328</v>
      </c>
      <c r="E290" s="3" t="s">
        <v>3</v>
      </c>
      <c r="F290" s="4">
        <v>0</v>
      </c>
      <c r="G290" s="3">
        <v>1542</v>
      </c>
      <c r="H290" s="3">
        <v>62</v>
      </c>
      <c r="I290" s="3">
        <v>493</v>
      </c>
      <c r="J290" s="3">
        <v>2</v>
      </c>
      <c r="K290" s="3">
        <v>1468</v>
      </c>
      <c r="L290" s="3">
        <v>39</v>
      </c>
      <c r="M290" s="3">
        <v>509</v>
      </c>
    </row>
    <row r="291" spans="1:13" x14ac:dyDescent="0.25">
      <c r="A291" s="1" t="str">
        <f>HYPERLINK("http://www.rosaceae.org/Prunus/Prunus_persica/p.persica_gdr_reftransV1_0043501","p.persica_gdr_reftransV1_0043501")</f>
        <v>p.persica_gdr_reftransV1_0043501</v>
      </c>
      <c r="B291" s="3">
        <v>457</v>
      </c>
      <c r="C291" s="1" t="str">
        <f>HYPERLINK("http://www.uniprot.org/uniprot/PPA1_ARATH","PPA1_ARATH")</f>
        <v>PPA1_ARATH</v>
      </c>
      <c r="D291" t="s">
        <v>329</v>
      </c>
      <c r="E291" s="3" t="s">
        <v>3</v>
      </c>
      <c r="F291" s="4">
        <v>2.0300000000000001E-77</v>
      </c>
      <c r="G291" s="3">
        <v>631</v>
      </c>
      <c r="H291" s="3">
        <v>77</v>
      </c>
      <c r="I291" s="3">
        <v>153</v>
      </c>
      <c r="J291" s="3">
        <v>2</v>
      </c>
      <c r="K291" s="3">
        <v>457</v>
      </c>
      <c r="L291" s="3">
        <v>131</v>
      </c>
      <c r="M291" s="3">
        <v>283</v>
      </c>
    </row>
    <row r="292" spans="1:13" x14ac:dyDescent="0.25">
      <c r="A292" s="1" t="str">
        <f>HYPERLINK("http://www.rosaceae.org/Prunus/Prunus_persica/p.persica_gdr_reftransV1_0043551","p.persica_gdr_reftransV1_0043551")</f>
        <v>p.persica_gdr_reftransV1_0043551</v>
      </c>
      <c r="B292" s="3">
        <v>2403</v>
      </c>
      <c r="C292" s="1" t="str">
        <f>HYPERLINK("http://www.uniprot.org/uniprot/MBD4L_ARATH","MBD4L_ARATH")</f>
        <v>MBD4L_ARATH</v>
      </c>
      <c r="D292" t="s">
        <v>330</v>
      </c>
      <c r="E292" s="3" t="s">
        <v>3</v>
      </c>
      <c r="F292" s="4">
        <v>5.6699999999999999E-81</v>
      </c>
      <c r="G292" s="3">
        <v>697</v>
      </c>
      <c r="H292" s="3">
        <v>51</v>
      </c>
      <c r="I292" s="3">
        <v>279</v>
      </c>
      <c r="J292" s="3">
        <v>1397</v>
      </c>
      <c r="K292" s="3">
        <v>2233</v>
      </c>
      <c r="L292" s="3">
        <v>173</v>
      </c>
      <c r="M292" s="3">
        <v>439</v>
      </c>
    </row>
    <row r="293" spans="1:13" x14ac:dyDescent="0.25">
      <c r="A293" s="1" t="str">
        <f>HYPERLINK("http://www.rosaceae.org/Prunus/Prunus_persica/p.persica_gdr_reftransV1_0043651","p.persica_gdr_reftransV1_0043651")</f>
        <v>p.persica_gdr_reftransV1_0043651</v>
      </c>
      <c r="B293" s="3">
        <v>2339</v>
      </c>
      <c r="C293" s="1" t="str">
        <f>HYPERLINK("http://www.uniprot.org/uniprot/AS1_ARATH","AS1_ARATH")</f>
        <v>AS1_ARATH</v>
      </c>
      <c r="D293" t="s">
        <v>331</v>
      </c>
      <c r="E293" s="3" t="s">
        <v>3</v>
      </c>
      <c r="F293" s="4">
        <v>5.9699999999999996E-137</v>
      </c>
      <c r="G293" s="3">
        <v>1070</v>
      </c>
      <c r="H293" s="3">
        <v>66</v>
      </c>
      <c r="I293" s="3">
        <v>370</v>
      </c>
      <c r="J293" s="3">
        <v>835</v>
      </c>
      <c r="K293" s="3">
        <v>1866</v>
      </c>
      <c r="L293" s="3">
        <v>1</v>
      </c>
      <c r="M293" s="3">
        <v>361</v>
      </c>
    </row>
    <row r="294" spans="1:13" x14ac:dyDescent="0.25">
      <c r="A294" s="1" t="str">
        <f>HYPERLINK("http://www.rosaceae.org/Prunus/Prunus_persica/p.persica_gdr_reftransV1_0043701","p.persica_gdr_reftransV1_0043701")</f>
        <v>p.persica_gdr_reftransV1_0043701</v>
      </c>
      <c r="B294" s="3">
        <v>1849</v>
      </c>
      <c r="C294" s="1" t="str">
        <f>HYPERLINK("http://www.uniprot.org/uniprot/TYDP2_BOVIN","TYDP2_BOVIN")</f>
        <v>TYDP2_BOVIN</v>
      </c>
      <c r="D294" t="s">
        <v>332</v>
      </c>
      <c r="E294" s="3" t="s">
        <v>184</v>
      </c>
      <c r="F294" s="4">
        <v>1.2099999999999999E-16</v>
      </c>
      <c r="G294" s="3">
        <v>210</v>
      </c>
      <c r="H294" s="3">
        <v>30</v>
      </c>
      <c r="I294" s="3">
        <v>277</v>
      </c>
      <c r="J294" s="3">
        <v>286</v>
      </c>
      <c r="K294" s="3">
        <v>1077</v>
      </c>
      <c r="L294" s="3">
        <v>115</v>
      </c>
      <c r="M294" s="3">
        <v>360</v>
      </c>
    </row>
    <row r="295" spans="1:13" x14ac:dyDescent="0.25">
      <c r="A295" s="1" t="str">
        <f>HYPERLINK("http://www.rosaceae.org/Prunus/Prunus_persica/p.persica_gdr_reftransV1_0043801","p.persica_gdr_reftransV1_0043801")</f>
        <v>p.persica_gdr_reftransV1_0043801</v>
      </c>
      <c r="B295" s="3">
        <v>1817</v>
      </c>
      <c r="C295" s="1" t="str">
        <f>HYPERLINK("http://www.uniprot.org/uniprot/PP415_ARATH","PP415_ARATH")</f>
        <v>PP415_ARATH</v>
      </c>
      <c r="D295" t="s">
        <v>333</v>
      </c>
      <c r="E295" s="3" t="s">
        <v>3</v>
      </c>
      <c r="F295" s="4">
        <v>6.4699999999999996E-17</v>
      </c>
      <c r="G295" s="3">
        <v>215</v>
      </c>
      <c r="H295" s="3">
        <v>51</v>
      </c>
      <c r="I295" s="3">
        <v>73</v>
      </c>
      <c r="J295" s="3">
        <v>884</v>
      </c>
      <c r="K295" s="3">
        <v>1102</v>
      </c>
      <c r="L295" s="3">
        <v>297</v>
      </c>
      <c r="M295" s="3">
        <v>369</v>
      </c>
    </row>
    <row r="296" spans="1:13" x14ac:dyDescent="0.25">
      <c r="A296" s="1" t="str">
        <f>HYPERLINK("http://www.rosaceae.org/Prunus/Prunus_persica/p.persica_gdr_reftransV1_0043851","p.persica_gdr_reftransV1_0043851")</f>
        <v>p.persica_gdr_reftransV1_0043851</v>
      </c>
      <c r="B296" s="3">
        <v>495</v>
      </c>
      <c r="C296" s="1" t="str">
        <f>HYPERLINK("http://www.uniprot.org/uniprot/Y4729_ARATH","Y4729_ARATH")</f>
        <v>Y4729_ARATH</v>
      </c>
      <c r="D296" t="s">
        <v>334</v>
      </c>
      <c r="E296" s="3" t="s">
        <v>3</v>
      </c>
      <c r="F296" s="4">
        <v>3.3800000000000002E-41</v>
      </c>
      <c r="G296" s="3">
        <v>381</v>
      </c>
      <c r="H296" s="3">
        <v>44</v>
      </c>
      <c r="I296" s="3">
        <v>160</v>
      </c>
      <c r="J296" s="3">
        <v>15</v>
      </c>
      <c r="K296" s="3">
        <v>494</v>
      </c>
      <c r="L296" s="3">
        <v>200</v>
      </c>
      <c r="M296" s="3">
        <v>357</v>
      </c>
    </row>
    <row r="297" spans="1:13" x14ac:dyDescent="0.25">
      <c r="A297" s="1" t="str">
        <f>HYPERLINK("http://www.rosaceae.org/Prunus/Prunus_persica/p.persica_gdr_reftransV1_0043901","p.persica_gdr_reftransV1_0043901")</f>
        <v>p.persica_gdr_reftransV1_0043901</v>
      </c>
      <c r="B297" s="3">
        <v>930</v>
      </c>
      <c r="C297" s="1" t="str">
        <f>HYPERLINK("http://www.uniprot.org/uniprot/VDAC2_SOLTU","VDAC2_SOLTU")</f>
        <v>VDAC2_SOLTU</v>
      </c>
      <c r="D297" t="s">
        <v>335</v>
      </c>
      <c r="E297" s="3" t="s">
        <v>11</v>
      </c>
      <c r="F297" s="4">
        <v>9.5200000000000001E-54</v>
      </c>
      <c r="G297" s="3">
        <v>464</v>
      </c>
      <c r="H297" s="3">
        <v>40</v>
      </c>
      <c r="I297" s="3">
        <v>284</v>
      </c>
      <c r="J297" s="3">
        <v>40</v>
      </c>
      <c r="K297" s="3">
        <v>771</v>
      </c>
      <c r="L297" s="3">
        <v>1</v>
      </c>
      <c r="M297" s="3">
        <v>275</v>
      </c>
    </row>
    <row r="298" spans="1:13" x14ac:dyDescent="0.25">
      <c r="A298" s="1" t="str">
        <f>HYPERLINK("http://www.rosaceae.org/Prunus/Prunus_persica/p.persica_gdr_reftransV1_0044051","p.persica_gdr_reftransV1_0044051")</f>
        <v>p.persica_gdr_reftransV1_0044051</v>
      </c>
      <c r="B298" s="3">
        <v>1035</v>
      </c>
      <c r="C298" s="1" t="str">
        <f>HYPERLINK("http://www.uniprot.org/uniprot/CHI10_ORYSJ","CHI10_ORYSJ")</f>
        <v>CHI10_ORYSJ</v>
      </c>
      <c r="D298" t="s">
        <v>336</v>
      </c>
      <c r="E298" s="3" t="s">
        <v>38</v>
      </c>
      <c r="F298" s="4">
        <v>9.2400000000000004E-132</v>
      </c>
      <c r="G298" s="3">
        <v>988</v>
      </c>
      <c r="H298" s="3">
        <v>73</v>
      </c>
      <c r="I298" s="3">
        <v>236</v>
      </c>
      <c r="J298" s="3">
        <v>144</v>
      </c>
      <c r="K298" s="3">
        <v>851</v>
      </c>
      <c r="L298" s="3">
        <v>55</v>
      </c>
      <c r="M298" s="3">
        <v>290</v>
      </c>
    </row>
    <row r="299" spans="1:13" x14ac:dyDescent="0.25">
      <c r="A299" s="1" t="str">
        <f>HYPERLINK("http://www.rosaceae.org/Prunus/Prunus_persica/p.persica_gdr_reftransV1_0044101","p.persica_gdr_reftransV1_0044101")</f>
        <v>p.persica_gdr_reftransV1_0044101</v>
      </c>
      <c r="B299" s="3">
        <v>494</v>
      </c>
      <c r="C299" s="1" t="str">
        <f>HYPERLINK("http://www.uniprot.org/uniprot/GRXC7_ARATH","GRXC7_ARATH")</f>
        <v>GRXC7_ARATH</v>
      </c>
      <c r="D299" t="s">
        <v>337</v>
      </c>
      <c r="E299" s="3" t="s">
        <v>3</v>
      </c>
      <c r="F299" s="4">
        <v>1.44E-51</v>
      </c>
      <c r="G299" s="3">
        <v>423</v>
      </c>
      <c r="H299" s="3">
        <v>65</v>
      </c>
      <c r="I299" s="3">
        <v>136</v>
      </c>
      <c r="J299" s="3">
        <v>110</v>
      </c>
      <c r="K299" s="3">
        <v>484</v>
      </c>
      <c r="L299" s="3">
        <v>1</v>
      </c>
      <c r="M299" s="3">
        <v>136</v>
      </c>
    </row>
    <row r="300" spans="1:13" x14ac:dyDescent="0.25">
      <c r="A300" s="1" t="str">
        <f>HYPERLINK("http://www.rosaceae.org/Prunus/Prunus_persica/p.persica_gdr_reftransV1_0044351","p.persica_gdr_reftransV1_0044351")</f>
        <v>p.persica_gdr_reftransV1_0044351</v>
      </c>
      <c r="B300" s="3">
        <v>1182</v>
      </c>
      <c r="C300" s="1" t="str">
        <f>HYPERLINK("http://www.uniprot.org/uniprot/DSP8_ARATH","DSP8_ARATH")</f>
        <v>DSP8_ARATH</v>
      </c>
      <c r="D300" t="s">
        <v>338</v>
      </c>
      <c r="E300" s="3" t="s">
        <v>3</v>
      </c>
      <c r="F300" s="4">
        <v>4.6399999999999998E-85</v>
      </c>
      <c r="G300" s="3">
        <v>488</v>
      </c>
      <c r="H300" s="3">
        <v>61</v>
      </c>
      <c r="I300" s="3">
        <v>153</v>
      </c>
      <c r="J300" s="3">
        <v>85</v>
      </c>
      <c r="K300" s="3">
        <v>522</v>
      </c>
      <c r="L300" s="3">
        <v>1</v>
      </c>
      <c r="M300" s="3">
        <v>151</v>
      </c>
    </row>
    <row r="301" spans="1:13" x14ac:dyDescent="0.25">
      <c r="A301" s="1" t="str">
        <f>HYPERLINK("http://www.rosaceae.org/Prunus/Prunus_persica/p.persica_gdr_reftransV1_0044501","p.persica_gdr_reftransV1_0044501")</f>
        <v>p.persica_gdr_reftransV1_0044501</v>
      </c>
      <c r="B301" s="3">
        <v>1129</v>
      </c>
      <c r="C301" s="1" t="str">
        <f>HYPERLINK("http://www.uniprot.org/uniprot/CAMT1_POPTR","CAMT1_POPTR")</f>
        <v>CAMT1_POPTR</v>
      </c>
      <c r="D301" t="s">
        <v>339</v>
      </c>
      <c r="E301" s="3" t="s">
        <v>340</v>
      </c>
      <c r="F301" s="4">
        <v>2.1600000000000001E-170</v>
      </c>
      <c r="G301" s="3">
        <v>1242</v>
      </c>
      <c r="H301" s="3">
        <v>92</v>
      </c>
      <c r="I301" s="3">
        <v>247</v>
      </c>
      <c r="J301" s="3">
        <v>256</v>
      </c>
      <c r="K301" s="3">
        <v>996</v>
      </c>
      <c r="L301" s="3">
        <v>1</v>
      </c>
      <c r="M301" s="3">
        <v>247</v>
      </c>
    </row>
    <row r="302" spans="1:13" x14ac:dyDescent="0.25">
      <c r="A302" s="1" t="str">
        <f>HYPERLINK("http://www.rosaceae.org/Prunus/Prunus_persica/p.persica_gdr_reftransV1_0044551","p.persica_gdr_reftransV1_0044551")</f>
        <v>p.persica_gdr_reftransV1_0044551</v>
      </c>
      <c r="B302" s="3">
        <v>1517</v>
      </c>
      <c r="C302" s="1" t="str">
        <f>HYPERLINK("http://www.uniprot.org/uniprot/RAF2B_ARATH","RAF2B_ARATH")</f>
        <v>RAF2B_ARATH</v>
      </c>
      <c r="D302" t="s">
        <v>341</v>
      </c>
      <c r="E302" s="3" t="s">
        <v>3</v>
      </c>
      <c r="F302" s="4">
        <v>1.0600000000000001E-112</v>
      </c>
      <c r="G302" s="3">
        <v>868</v>
      </c>
      <c r="H302" s="3">
        <v>85</v>
      </c>
      <c r="I302" s="3">
        <v>187</v>
      </c>
      <c r="J302" s="3">
        <v>290</v>
      </c>
      <c r="K302" s="3">
        <v>850</v>
      </c>
      <c r="L302" s="3">
        <v>14</v>
      </c>
      <c r="M302" s="3">
        <v>200</v>
      </c>
    </row>
    <row r="303" spans="1:13" x14ac:dyDescent="0.25">
      <c r="A303" s="1" t="str">
        <f>HYPERLINK("http://www.rosaceae.org/Prunus/Prunus_persica/p.persica_gdr_reftransV1_0044651","p.persica_gdr_reftransV1_0044651")</f>
        <v>p.persica_gdr_reftransV1_0044651</v>
      </c>
      <c r="B303" s="3">
        <v>1123</v>
      </c>
      <c r="C303" s="1" t="str">
        <f>HYPERLINK("http://www.uniprot.org/uniprot/DNMT1_ARATH","DNMT1_ARATH")</f>
        <v>DNMT1_ARATH</v>
      </c>
      <c r="D303" t="s">
        <v>342</v>
      </c>
      <c r="E303" s="3" t="s">
        <v>3</v>
      </c>
      <c r="F303" s="4">
        <v>3.8E-123</v>
      </c>
      <c r="G303" s="3">
        <v>1012</v>
      </c>
      <c r="H303" s="3">
        <v>57</v>
      </c>
      <c r="I303" s="3">
        <v>383</v>
      </c>
      <c r="J303" s="3">
        <v>3</v>
      </c>
      <c r="K303" s="3">
        <v>1121</v>
      </c>
      <c r="L303" s="3">
        <v>363</v>
      </c>
      <c r="M303" s="3">
        <v>740</v>
      </c>
    </row>
    <row r="304" spans="1:13" x14ac:dyDescent="0.25">
      <c r="A304" s="1" t="str">
        <f>HYPERLINK("http://www.rosaceae.org/Prunus/Prunus_persica/p.persica_gdr_reftransV1_0044701","p.persica_gdr_reftransV1_0044701")</f>
        <v>p.persica_gdr_reftransV1_0044701</v>
      </c>
      <c r="B304" s="3">
        <v>2501</v>
      </c>
      <c r="C304" s="1" t="str">
        <f>HYPERLINK("http://www.uniprot.org/uniprot/ASCC3_HUMAN","ASCC3_HUMAN")</f>
        <v>ASCC3_HUMAN</v>
      </c>
      <c r="D304" t="s">
        <v>343</v>
      </c>
      <c r="E304" s="3" t="s">
        <v>28</v>
      </c>
      <c r="F304" s="4">
        <v>0</v>
      </c>
      <c r="G304" s="3">
        <v>1942</v>
      </c>
      <c r="H304" s="3">
        <v>50</v>
      </c>
      <c r="I304" s="3">
        <v>805</v>
      </c>
      <c r="J304" s="3">
        <v>109</v>
      </c>
      <c r="K304" s="3">
        <v>2325</v>
      </c>
      <c r="L304" s="3">
        <v>1375</v>
      </c>
      <c r="M304" s="3">
        <v>2175</v>
      </c>
    </row>
    <row r="305" spans="1:13" x14ac:dyDescent="0.25">
      <c r="A305" s="1" t="str">
        <f>HYPERLINK("http://www.rosaceae.org/Prunus/Prunus_persica/p.persica_gdr_reftransV1_0044751","p.persica_gdr_reftransV1_0044751")</f>
        <v>p.persica_gdr_reftransV1_0044751</v>
      </c>
      <c r="B305" s="3">
        <v>1488</v>
      </c>
      <c r="C305" s="1" t="str">
        <f>HYPERLINK("http://www.uniprot.org/uniprot/Y3720_ARATH","Y3720_ARATH")</f>
        <v>Y3720_ARATH</v>
      </c>
      <c r="D305" t="s">
        <v>104</v>
      </c>
      <c r="E305" s="3" t="s">
        <v>3</v>
      </c>
      <c r="F305" s="4">
        <v>2.1099999999999999E-20</v>
      </c>
      <c r="G305" s="3">
        <v>152</v>
      </c>
      <c r="H305" s="3">
        <v>26</v>
      </c>
      <c r="I305" s="3">
        <v>285</v>
      </c>
      <c r="J305" s="3">
        <v>208</v>
      </c>
      <c r="K305" s="3">
        <v>981</v>
      </c>
      <c r="L305" s="3">
        <v>151</v>
      </c>
      <c r="M305" s="3">
        <v>431</v>
      </c>
    </row>
    <row r="306" spans="1:13" x14ac:dyDescent="0.25">
      <c r="A306" s="1" t="str">
        <f>HYPERLINK("http://www.rosaceae.org/Prunus/Prunus_persica/p.persica_gdr_reftransV1_0044901","p.persica_gdr_reftransV1_0044901")</f>
        <v>p.persica_gdr_reftransV1_0044901</v>
      </c>
      <c r="B306" s="3">
        <v>1880</v>
      </c>
      <c r="C306" s="1" t="str">
        <f>HYPERLINK("http://www.uniprot.org/uniprot/ERL1_ARATH","ERL1_ARATH")</f>
        <v>ERL1_ARATH</v>
      </c>
      <c r="D306" t="s">
        <v>344</v>
      </c>
      <c r="E306" s="3" t="s">
        <v>3</v>
      </c>
      <c r="F306" s="4">
        <v>0</v>
      </c>
      <c r="G306" s="3">
        <v>1939</v>
      </c>
      <c r="H306" s="3">
        <v>72</v>
      </c>
      <c r="I306" s="3">
        <v>519</v>
      </c>
      <c r="J306" s="3">
        <v>320</v>
      </c>
      <c r="K306" s="3">
        <v>1876</v>
      </c>
      <c r="L306" s="3">
        <v>470</v>
      </c>
      <c r="M306" s="3">
        <v>966</v>
      </c>
    </row>
    <row r="307" spans="1:13" x14ac:dyDescent="0.25">
      <c r="A307" s="1" t="str">
        <f>HYPERLINK("http://www.rosaceae.org/Prunus/Prunus_persica/p.persica_gdr_reftransV1_0044951","p.persica_gdr_reftransV1_0044951")</f>
        <v>p.persica_gdr_reftransV1_0044951</v>
      </c>
      <c r="B307" s="3">
        <v>306</v>
      </c>
      <c r="C307" s="1" t="str">
        <f>HYPERLINK("http://www.uniprot.org/uniprot/DOF24_ARATH","DOF24_ARATH")</f>
        <v>DOF24_ARATH</v>
      </c>
      <c r="D307" t="s">
        <v>345</v>
      </c>
      <c r="E307" s="3" t="s">
        <v>3</v>
      </c>
      <c r="F307" s="4">
        <v>1.4200000000000001E-17</v>
      </c>
      <c r="G307" s="3">
        <v>195</v>
      </c>
      <c r="H307" s="3">
        <v>58</v>
      </c>
      <c r="I307" s="3">
        <v>104</v>
      </c>
      <c r="J307" s="3">
        <v>1</v>
      </c>
      <c r="K307" s="3">
        <v>303</v>
      </c>
      <c r="L307" s="3">
        <v>1</v>
      </c>
      <c r="M307" s="3">
        <v>104</v>
      </c>
    </row>
    <row r="308" spans="1:13" x14ac:dyDescent="0.25">
      <c r="A308" s="1" t="str">
        <f>HYPERLINK("http://www.rosaceae.org/Prunus/Prunus_persica/p.persica_gdr_reftransV1_0045001","p.persica_gdr_reftransV1_0045001")</f>
        <v>p.persica_gdr_reftransV1_0045001</v>
      </c>
      <c r="B308" s="3">
        <v>1583</v>
      </c>
      <c r="C308" s="1" t="str">
        <f>HYPERLINK("http://www.uniprot.org/uniprot/COX1_BOVIN","COX1_BOVIN")</f>
        <v>COX1_BOVIN</v>
      </c>
      <c r="D308" t="s">
        <v>346</v>
      </c>
      <c r="E308" s="3" t="s">
        <v>184</v>
      </c>
      <c r="F308" s="4">
        <v>0</v>
      </c>
      <c r="G308" s="3">
        <v>2129</v>
      </c>
      <c r="H308" s="3">
        <v>92</v>
      </c>
      <c r="I308" s="3">
        <v>508</v>
      </c>
      <c r="J308" s="3">
        <v>55</v>
      </c>
      <c r="K308" s="3">
        <v>1578</v>
      </c>
      <c r="L308" s="3">
        <v>7</v>
      </c>
      <c r="M308" s="3">
        <v>514</v>
      </c>
    </row>
    <row r="309" spans="1:13" x14ac:dyDescent="0.25">
      <c r="A309" s="1" t="str">
        <f>HYPERLINK("http://www.rosaceae.org/Prunus/Prunus_persica/p.persica_gdr_reftransV1_0045151","p.persica_gdr_reftransV1_0045151")</f>
        <v>p.persica_gdr_reftransV1_0045151</v>
      </c>
      <c r="B309" s="3">
        <v>3708</v>
      </c>
      <c r="C309" s="1" t="str">
        <f>HYPERLINK("http://www.uniprot.org/uniprot/XRN3_ARATH","XRN3_ARATH")</f>
        <v>XRN3_ARATH</v>
      </c>
      <c r="D309" t="s">
        <v>347</v>
      </c>
      <c r="E309" s="3" t="s">
        <v>3</v>
      </c>
      <c r="F309" s="4">
        <v>0</v>
      </c>
      <c r="G309" s="3">
        <v>3198</v>
      </c>
      <c r="H309" s="3">
        <v>74</v>
      </c>
      <c r="I309" s="3">
        <v>928</v>
      </c>
      <c r="J309" s="3">
        <v>158</v>
      </c>
      <c r="K309" s="3">
        <v>2917</v>
      </c>
      <c r="L309" s="3">
        <v>1</v>
      </c>
      <c r="M309" s="3">
        <v>921</v>
      </c>
    </row>
    <row r="310" spans="1:13" x14ac:dyDescent="0.25">
      <c r="A310" s="1" t="str">
        <f>HYPERLINK("http://www.rosaceae.org/Prunus/Prunus_persica/p.persica_gdr_reftransV1_0045201","p.persica_gdr_reftransV1_0045201")</f>
        <v>p.persica_gdr_reftransV1_0045201</v>
      </c>
      <c r="B310" s="3">
        <v>1273</v>
      </c>
      <c r="C310" s="1" t="str">
        <f>HYPERLINK("http://www.uniprot.org/uniprot/GDL83_ARATH","GDL83_ARATH")</f>
        <v>GDL83_ARATH</v>
      </c>
      <c r="D310" t="s">
        <v>348</v>
      </c>
      <c r="E310" s="3" t="s">
        <v>3</v>
      </c>
      <c r="F310" s="4">
        <v>8.4300000000000007E-149</v>
      </c>
      <c r="G310" s="3">
        <v>1117</v>
      </c>
      <c r="H310" s="3">
        <v>61</v>
      </c>
      <c r="I310" s="3">
        <v>342</v>
      </c>
      <c r="J310" s="3">
        <v>135</v>
      </c>
      <c r="K310" s="3">
        <v>1148</v>
      </c>
      <c r="L310" s="3">
        <v>28</v>
      </c>
      <c r="M310" s="3">
        <v>369</v>
      </c>
    </row>
    <row r="311" spans="1:13" x14ac:dyDescent="0.25">
      <c r="A311" s="1" t="str">
        <f>HYPERLINK("http://www.rosaceae.org/Prunus/Prunus_persica/p.persica_gdr_reftransV1_0045301","p.persica_gdr_reftransV1_0045301")</f>
        <v>p.persica_gdr_reftransV1_0045301</v>
      </c>
      <c r="B311" s="3">
        <v>1119</v>
      </c>
      <c r="C311" s="1" t="str">
        <f>HYPERLINK("http://www.uniprot.org/uniprot/TTC1_HUMAN","TTC1_HUMAN")</f>
        <v>TTC1_HUMAN</v>
      </c>
      <c r="D311" t="s">
        <v>349</v>
      </c>
      <c r="E311" s="3" t="s">
        <v>28</v>
      </c>
      <c r="F311" s="4">
        <v>3.14E-36</v>
      </c>
      <c r="G311" s="3">
        <v>348</v>
      </c>
      <c r="H311" s="3">
        <v>48</v>
      </c>
      <c r="I311" s="3">
        <v>182</v>
      </c>
      <c r="J311" s="3">
        <v>307</v>
      </c>
      <c r="K311" s="3">
        <v>852</v>
      </c>
      <c r="L311" s="3">
        <v>105</v>
      </c>
      <c r="M311" s="3">
        <v>284</v>
      </c>
    </row>
    <row r="312" spans="1:13" x14ac:dyDescent="0.25">
      <c r="A312" s="1" t="str">
        <f>HYPERLINK("http://www.rosaceae.org/Prunus/Prunus_persica/p.persica_gdr_reftransV1_0045351","p.persica_gdr_reftransV1_0045351")</f>
        <v>p.persica_gdr_reftransV1_0045351</v>
      </c>
      <c r="B312" s="3">
        <v>1667</v>
      </c>
      <c r="C312" s="1" t="str">
        <f>HYPERLINK("http://www.uniprot.org/uniprot/AIM32_DEBHA","AIM32_DEBHA")</f>
        <v>AIM32_DEBHA</v>
      </c>
      <c r="D312" t="s">
        <v>350</v>
      </c>
      <c r="E312" s="3" t="s">
        <v>351</v>
      </c>
      <c r="F312" s="4">
        <v>2.47E-17</v>
      </c>
      <c r="G312" s="3">
        <v>212</v>
      </c>
      <c r="H312" s="3">
        <v>45</v>
      </c>
      <c r="I312" s="3">
        <v>100</v>
      </c>
      <c r="J312" s="3">
        <v>673</v>
      </c>
      <c r="K312" s="3">
        <v>972</v>
      </c>
      <c r="L312" s="3">
        <v>178</v>
      </c>
      <c r="M312" s="3">
        <v>273</v>
      </c>
    </row>
    <row r="313" spans="1:13" x14ac:dyDescent="0.25">
      <c r="A313" s="1" t="str">
        <f>HYPERLINK("http://www.rosaceae.org/Prunus/Prunus_persica/p.persica_gdr_reftransV1_0045401","p.persica_gdr_reftransV1_0045401")</f>
        <v>p.persica_gdr_reftransV1_0045401</v>
      </c>
      <c r="B313" s="3">
        <v>7040</v>
      </c>
      <c r="C313" s="1" t="str">
        <f>HYPERLINK("http://www.uniprot.org/uniprot/HEAT1_ARATH","HEAT1_ARATH")</f>
        <v>HEAT1_ARATH</v>
      </c>
      <c r="D313" t="s">
        <v>352</v>
      </c>
      <c r="E313" s="3" t="s">
        <v>3</v>
      </c>
      <c r="F313" s="4">
        <v>0</v>
      </c>
      <c r="G313" s="3">
        <v>5061</v>
      </c>
      <c r="H313" s="3">
        <v>51</v>
      </c>
      <c r="I313" s="3">
        <v>2241</v>
      </c>
      <c r="J313" s="3">
        <v>367</v>
      </c>
      <c r="K313" s="3">
        <v>6819</v>
      </c>
      <c r="L313" s="3">
        <v>1</v>
      </c>
      <c r="M313" s="3">
        <v>2197</v>
      </c>
    </row>
    <row r="314" spans="1:13" x14ac:dyDescent="0.25">
      <c r="A314" s="1" t="str">
        <f>HYPERLINK("http://www.rosaceae.org/Prunus/Prunus_persica/p.persica_gdr_reftransV1_0045501","p.persica_gdr_reftransV1_0045501")</f>
        <v>p.persica_gdr_reftransV1_0045501</v>
      </c>
      <c r="B314" s="3">
        <v>875</v>
      </c>
      <c r="C314" s="1" t="str">
        <f>HYPERLINK("http://www.uniprot.org/uniprot/TT12_ARATH","TT12_ARATH")</f>
        <v>TT12_ARATH</v>
      </c>
      <c r="D314" t="s">
        <v>353</v>
      </c>
      <c r="E314" s="3" t="s">
        <v>3</v>
      </c>
      <c r="F314" s="4">
        <v>7.2200000000000008E-43</v>
      </c>
      <c r="G314" s="3">
        <v>400</v>
      </c>
      <c r="H314" s="3">
        <v>55</v>
      </c>
      <c r="I314" s="3">
        <v>165</v>
      </c>
      <c r="J314" s="3">
        <v>248</v>
      </c>
      <c r="K314" s="3">
        <v>742</v>
      </c>
      <c r="L314" s="3">
        <v>329</v>
      </c>
      <c r="M314" s="3">
        <v>493</v>
      </c>
    </row>
    <row r="315" spans="1:13" x14ac:dyDescent="0.25">
      <c r="A315" s="1" t="str">
        <f>HYPERLINK("http://www.rosaceae.org/Prunus/Prunus_persica/p.persica_gdr_reftransV1_0045551","p.persica_gdr_reftransV1_0045551")</f>
        <v>p.persica_gdr_reftransV1_0045551</v>
      </c>
      <c r="B315" s="3">
        <v>1490</v>
      </c>
      <c r="C315" s="1" t="str">
        <f>HYPERLINK("http://www.uniprot.org/uniprot/RAA5A_ARATH","RAA5A_ARATH")</f>
        <v>RAA5A_ARATH</v>
      </c>
      <c r="D315" t="s">
        <v>354</v>
      </c>
      <c r="E315" s="3" t="s">
        <v>3</v>
      </c>
      <c r="F315" s="4">
        <v>1.4499999999999999E-137</v>
      </c>
      <c r="G315" s="3">
        <v>1035</v>
      </c>
      <c r="H315" s="3">
        <v>87</v>
      </c>
      <c r="I315" s="3">
        <v>226</v>
      </c>
      <c r="J315" s="3">
        <v>506</v>
      </c>
      <c r="K315" s="3">
        <v>1183</v>
      </c>
      <c r="L315" s="3">
        <v>1</v>
      </c>
      <c r="M315" s="3">
        <v>221</v>
      </c>
    </row>
    <row r="316" spans="1:13" x14ac:dyDescent="0.25">
      <c r="A316" s="1" t="str">
        <f>HYPERLINK("http://www.rosaceae.org/Prunus/Prunus_persica/p.persica_gdr_reftransV1_0045601","p.persica_gdr_reftransV1_0045601")</f>
        <v>p.persica_gdr_reftransV1_0045601</v>
      </c>
      <c r="B316" s="3">
        <v>2279</v>
      </c>
      <c r="C316" s="1" t="str">
        <f>HYPERLINK("http://www.uniprot.org/uniprot/BGH3B_BACO1","BGH3B_BACO1")</f>
        <v>BGH3B_BACO1</v>
      </c>
      <c r="D316" t="s">
        <v>355</v>
      </c>
      <c r="E316" s="3" t="s">
        <v>356</v>
      </c>
      <c r="F316" s="4">
        <v>1.01E-81</v>
      </c>
      <c r="G316" s="3">
        <v>724</v>
      </c>
      <c r="H316" s="3">
        <v>31</v>
      </c>
      <c r="I316" s="3">
        <v>654</v>
      </c>
      <c r="J316" s="3">
        <v>115</v>
      </c>
      <c r="K316" s="3">
        <v>1902</v>
      </c>
      <c r="L316" s="3">
        <v>30</v>
      </c>
      <c r="M316" s="3">
        <v>663</v>
      </c>
    </row>
    <row r="317" spans="1:13" x14ac:dyDescent="0.25">
      <c r="A317" s="1" t="str">
        <f>HYPERLINK("http://www.rosaceae.org/Prunus/Prunus_persica/p.persica_gdr_reftransV1_0045651","p.persica_gdr_reftransV1_0045651")</f>
        <v>p.persica_gdr_reftransV1_0045651</v>
      </c>
      <c r="B317" s="3">
        <v>2231</v>
      </c>
      <c r="C317" s="1" t="str">
        <f>HYPERLINK("http://www.uniprot.org/uniprot/ENO1_ARATH","ENO1_ARATH")</f>
        <v>ENO1_ARATH</v>
      </c>
      <c r="D317" t="s">
        <v>357</v>
      </c>
      <c r="E317" s="3" t="s">
        <v>3</v>
      </c>
      <c r="F317" s="4">
        <v>0</v>
      </c>
      <c r="G317" s="3">
        <v>2103</v>
      </c>
      <c r="H317" s="3">
        <v>90</v>
      </c>
      <c r="I317" s="3">
        <v>430</v>
      </c>
      <c r="J317" s="3">
        <v>605</v>
      </c>
      <c r="K317" s="3">
        <v>1894</v>
      </c>
      <c r="L317" s="3">
        <v>48</v>
      </c>
      <c r="M317" s="3">
        <v>477</v>
      </c>
    </row>
    <row r="318" spans="1:13" x14ac:dyDescent="0.25">
      <c r="A318" s="1" t="str">
        <f>HYPERLINK("http://www.rosaceae.org/Prunus/Prunus_persica/p.persica_gdr_reftransV1_0045701","p.persica_gdr_reftransV1_0045701")</f>
        <v>p.persica_gdr_reftransV1_0045701</v>
      </c>
      <c r="B318" s="3">
        <v>2619</v>
      </c>
      <c r="C318" s="1" t="str">
        <f>HYPERLINK("http://www.uniprot.org/uniprot/TTC1_MOUSE","TTC1_MOUSE")</f>
        <v>TTC1_MOUSE</v>
      </c>
      <c r="D318" t="s">
        <v>358</v>
      </c>
      <c r="E318" s="3" t="s">
        <v>157</v>
      </c>
      <c r="F318" s="4">
        <v>2.3400000000000001E-12</v>
      </c>
      <c r="G318" s="3">
        <v>176</v>
      </c>
      <c r="H318" s="3">
        <v>34</v>
      </c>
      <c r="I318" s="3">
        <v>140</v>
      </c>
      <c r="J318" s="3">
        <v>1366</v>
      </c>
      <c r="K318" s="3">
        <v>1785</v>
      </c>
      <c r="L318" s="3">
        <v>80</v>
      </c>
      <c r="M318" s="3">
        <v>211</v>
      </c>
    </row>
    <row r="319" spans="1:13" x14ac:dyDescent="0.25">
      <c r="A319" s="1" t="str">
        <f>HYPERLINK("http://www.rosaceae.org/Prunus/Prunus_persica/p.persica_gdr_reftransV1_0045751","p.persica_gdr_reftransV1_0045751")</f>
        <v>p.persica_gdr_reftransV1_0045751</v>
      </c>
      <c r="B319" s="3">
        <v>1112</v>
      </c>
      <c r="C319" s="1" t="str">
        <f>HYPERLINK("http://www.uniprot.org/uniprot/SY121_ARATH","SY121_ARATH")</f>
        <v>SY121_ARATH</v>
      </c>
      <c r="D319" t="s">
        <v>359</v>
      </c>
      <c r="E319" s="3" t="s">
        <v>3</v>
      </c>
      <c r="F319" s="4">
        <v>1.7799999999999999E-39</v>
      </c>
      <c r="G319" s="3">
        <v>375</v>
      </c>
      <c r="H319" s="3">
        <v>62</v>
      </c>
      <c r="I319" s="3">
        <v>156</v>
      </c>
      <c r="J319" s="3">
        <v>518</v>
      </c>
      <c r="K319" s="3">
        <v>976</v>
      </c>
      <c r="L319" s="3">
        <v>45</v>
      </c>
      <c r="M319" s="3">
        <v>199</v>
      </c>
    </row>
    <row r="320" spans="1:13" x14ac:dyDescent="0.25">
      <c r="A320" s="1" t="str">
        <f>HYPERLINK("http://www.rosaceae.org/Prunus/Prunus_persica/p.persica_gdr_reftransV1_0045801","p.persica_gdr_reftransV1_0045801")</f>
        <v>p.persica_gdr_reftransV1_0045801</v>
      </c>
      <c r="B320" s="3">
        <v>2910</v>
      </c>
      <c r="C320" s="1" t="str">
        <f>HYPERLINK("http://www.uniprot.org/uniprot/LORF2_MOUSE","LORF2_MOUSE")</f>
        <v>LORF2_MOUSE</v>
      </c>
      <c r="D320" t="s">
        <v>360</v>
      </c>
      <c r="E320" s="3" t="s">
        <v>157</v>
      </c>
      <c r="F320" s="4">
        <v>1.3200000000000001E-22</v>
      </c>
      <c r="G320" s="3">
        <v>270</v>
      </c>
      <c r="H320" s="3">
        <v>33</v>
      </c>
      <c r="I320" s="3">
        <v>224</v>
      </c>
      <c r="J320" s="3">
        <v>1998</v>
      </c>
      <c r="K320" s="3">
        <v>2651</v>
      </c>
      <c r="L320" s="3">
        <v>456</v>
      </c>
      <c r="M320" s="3">
        <v>677</v>
      </c>
    </row>
    <row r="321" spans="1:13" x14ac:dyDescent="0.25">
      <c r="A321" s="1" t="str">
        <f>HYPERLINK("http://www.rosaceae.org/Prunus/Prunus_persica/p.persica_gdr_reftransV1_0045851","p.persica_gdr_reftransV1_0045851")</f>
        <v>p.persica_gdr_reftransV1_0045851</v>
      </c>
      <c r="B321" s="3">
        <v>393</v>
      </c>
      <c r="C321" s="1" t="str">
        <f>HYPERLINK("http://www.uniprot.org/uniprot/MTNA_VITVI","MTNA_VITVI")</f>
        <v>MTNA_VITVI</v>
      </c>
      <c r="D321" t="s">
        <v>361</v>
      </c>
      <c r="E321" s="3" t="s">
        <v>362</v>
      </c>
      <c r="F321" s="4">
        <v>2.0799999999999999E-65</v>
      </c>
      <c r="G321" s="3">
        <v>532</v>
      </c>
      <c r="H321" s="3">
        <v>86</v>
      </c>
      <c r="I321" s="3">
        <v>118</v>
      </c>
      <c r="J321" s="3">
        <v>36</v>
      </c>
      <c r="K321" s="3">
        <v>389</v>
      </c>
      <c r="L321" s="3">
        <v>230</v>
      </c>
      <c r="M321" s="3">
        <v>347</v>
      </c>
    </row>
    <row r="322" spans="1:13" x14ac:dyDescent="0.25">
      <c r="A322" s="1" t="str">
        <f>HYPERLINK("http://www.rosaceae.org/Prunus/Prunus_persica/p.persica_gdr_reftransV1_0045901","p.persica_gdr_reftransV1_0045901")</f>
        <v>p.persica_gdr_reftransV1_0045901</v>
      </c>
      <c r="B322" s="3">
        <v>866</v>
      </c>
      <c r="C322" s="1" t="str">
        <f>HYPERLINK("http://www.uniprot.org/uniprot/RK6_ARATH","RK6_ARATH")</f>
        <v>RK6_ARATH</v>
      </c>
      <c r="D322" t="s">
        <v>363</v>
      </c>
      <c r="E322" s="3" t="s">
        <v>3</v>
      </c>
      <c r="F322" s="4">
        <v>1.87E-117</v>
      </c>
      <c r="G322" s="3">
        <v>881</v>
      </c>
      <c r="H322" s="3">
        <v>76</v>
      </c>
      <c r="I322" s="3">
        <v>217</v>
      </c>
      <c r="J322" s="3">
        <v>149</v>
      </c>
      <c r="K322" s="3">
        <v>799</v>
      </c>
      <c r="L322" s="3">
        <v>1</v>
      </c>
      <c r="M322" s="3">
        <v>214</v>
      </c>
    </row>
    <row r="323" spans="1:13" x14ac:dyDescent="0.25">
      <c r="A323" s="1" t="str">
        <f>HYPERLINK("http://www.rosaceae.org/Prunus/Prunus_persica/p.persica_gdr_reftransV1_0046001","p.persica_gdr_reftransV1_0046001")</f>
        <v>p.persica_gdr_reftransV1_0046001</v>
      </c>
      <c r="B323" s="3">
        <v>1608</v>
      </c>
      <c r="C323" s="1" t="str">
        <f>HYPERLINK("http://www.uniprot.org/uniprot/IAA27_ARATH","IAA27_ARATH")</f>
        <v>IAA27_ARATH</v>
      </c>
      <c r="D323" t="s">
        <v>364</v>
      </c>
      <c r="E323" s="3" t="s">
        <v>3</v>
      </c>
      <c r="F323" s="4">
        <v>4.0100000000000003E-93</v>
      </c>
      <c r="G323" s="3">
        <v>750</v>
      </c>
      <c r="H323" s="3">
        <v>58</v>
      </c>
      <c r="I323" s="3">
        <v>335</v>
      </c>
      <c r="J323" s="3">
        <v>254</v>
      </c>
      <c r="K323" s="3">
        <v>1216</v>
      </c>
      <c r="L323" s="3">
        <v>3</v>
      </c>
      <c r="M323" s="3">
        <v>305</v>
      </c>
    </row>
    <row r="324" spans="1:13" x14ac:dyDescent="0.25">
      <c r="A324" s="1" t="str">
        <f>HYPERLINK("http://www.rosaceae.org/Prunus/Prunus_persica/p.persica_gdr_reftransV1_0046051","p.persica_gdr_reftransV1_0046051")</f>
        <v>p.persica_gdr_reftransV1_0046051</v>
      </c>
      <c r="B324" s="3">
        <v>3169</v>
      </c>
      <c r="C324" s="1" t="str">
        <f>HYPERLINK("http://www.uniprot.org/uniprot/PSD2A_ARATH","PSD2A_ARATH")</f>
        <v>PSD2A_ARATH</v>
      </c>
      <c r="D324" t="s">
        <v>365</v>
      </c>
      <c r="E324" s="3" t="s">
        <v>3</v>
      </c>
      <c r="F324" s="4">
        <v>0</v>
      </c>
      <c r="G324" s="3">
        <v>3731</v>
      </c>
      <c r="H324" s="3">
        <v>87</v>
      </c>
      <c r="I324" s="3">
        <v>892</v>
      </c>
      <c r="J324" s="3">
        <v>426</v>
      </c>
      <c r="K324" s="3">
        <v>3098</v>
      </c>
      <c r="L324" s="3">
        <v>1</v>
      </c>
      <c r="M324" s="3">
        <v>891</v>
      </c>
    </row>
    <row r="325" spans="1:13" x14ac:dyDescent="0.25">
      <c r="A325" s="1" t="str">
        <f>HYPERLINK("http://www.rosaceae.org/Prunus/Prunus_persica/p.persica_gdr_reftransV1_0046101","p.persica_gdr_reftransV1_0046101")</f>
        <v>p.persica_gdr_reftransV1_0046101</v>
      </c>
      <c r="B325" s="3">
        <v>649</v>
      </c>
      <c r="C325" s="1" t="str">
        <f>HYPERLINK("http://www.uniprot.org/uniprot/MED8_ARATH","MED8_ARATH")</f>
        <v>MED8_ARATH</v>
      </c>
      <c r="D325" t="s">
        <v>366</v>
      </c>
      <c r="E325" s="3" t="s">
        <v>3</v>
      </c>
      <c r="F325" s="4">
        <v>1.6E-40</v>
      </c>
      <c r="G325" s="3">
        <v>377</v>
      </c>
      <c r="H325" s="3">
        <v>68</v>
      </c>
      <c r="I325" s="3">
        <v>128</v>
      </c>
      <c r="J325" s="3">
        <v>171</v>
      </c>
      <c r="K325" s="3">
        <v>545</v>
      </c>
      <c r="L325" s="3">
        <v>356</v>
      </c>
      <c r="M325" s="3">
        <v>475</v>
      </c>
    </row>
    <row r="326" spans="1:13" x14ac:dyDescent="0.25">
      <c r="A326" s="1" t="str">
        <f>HYPERLINK("http://www.rosaceae.org/Prunus/Prunus_persica/p.persica_gdr_reftransV1_0046151","p.persica_gdr_reftransV1_0046151")</f>
        <v>p.persica_gdr_reftransV1_0046151</v>
      </c>
      <c r="B326" s="3">
        <v>1442</v>
      </c>
      <c r="C326" s="1" t="str">
        <f>HYPERLINK("http://www.uniprot.org/uniprot/ING1_ARATH","ING1_ARATH")</f>
        <v>ING1_ARATH</v>
      </c>
      <c r="D326" t="s">
        <v>367</v>
      </c>
      <c r="E326" s="3" t="s">
        <v>3</v>
      </c>
      <c r="F326" s="4">
        <v>1.15E-46</v>
      </c>
      <c r="G326" s="3">
        <v>423</v>
      </c>
      <c r="H326" s="3">
        <v>65</v>
      </c>
      <c r="I326" s="3">
        <v>126</v>
      </c>
      <c r="J326" s="3">
        <v>941</v>
      </c>
      <c r="K326" s="3">
        <v>1318</v>
      </c>
      <c r="L326" s="3">
        <v>1</v>
      </c>
      <c r="M326" s="3">
        <v>125</v>
      </c>
    </row>
    <row r="327" spans="1:13" x14ac:dyDescent="0.25">
      <c r="A327" s="1" t="str">
        <f>HYPERLINK("http://www.rosaceae.org/Prunus/Prunus_persica/p.persica_gdr_reftransV1_0046251","p.persica_gdr_reftransV1_0046251")</f>
        <v>p.persica_gdr_reftransV1_0046251</v>
      </c>
      <c r="B327" s="3">
        <v>451</v>
      </c>
      <c r="C327" s="1" t="str">
        <f>HYPERLINK("http://www.uniprot.org/uniprot/CIP8_ARATH","CIP8_ARATH")</f>
        <v>CIP8_ARATH</v>
      </c>
      <c r="D327" t="s">
        <v>287</v>
      </c>
      <c r="E327" s="3" t="s">
        <v>3</v>
      </c>
      <c r="F327" s="4">
        <v>3.05E-9</v>
      </c>
      <c r="G327" s="3">
        <v>138</v>
      </c>
      <c r="H327" s="3">
        <v>45</v>
      </c>
      <c r="I327" s="3">
        <v>66</v>
      </c>
      <c r="J327" s="3">
        <v>84</v>
      </c>
      <c r="K327" s="3">
        <v>281</v>
      </c>
      <c r="L327" s="3">
        <v>1</v>
      </c>
      <c r="M327" s="3">
        <v>56</v>
      </c>
    </row>
    <row r="328" spans="1:13" x14ac:dyDescent="0.25">
      <c r="A328" s="1" t="str">
        <f>HYPERLINK("http://www.rosaceae.org/Prunus/Prunus_persica/p.persica_gdr_reftransV1_0046301","p.persica_gdr_reftransV1_0046301")</f>
        <v>p.persica_gdr_reftransV1_0046301</v>
      </c>
      <c r="B328" s="3">
        <v>1996</v>
      </c>
      <c r="C328" s="1" t="str">
        <f>HYPERLINK("http://www.uniprot.org/uniprot/ENDB1_SOLTU","ENDB1_SOLTU")</f>
        <v>ENDB1_SOLTU</v>
      </c>
      <c r="D328" t="s">
        <v>368</v>
      </c>
      <c r="E328" s="3" t="s">
        <v>11</v>
      </c>
      <c r="F328" s="4">
        <v>0</v>
      </c>
      <c r="G328" s="3">
        <v>2257</v>
      </c>
      <c r="H328" s="3">
        <v>74</v>
      </c>
      <c r="I328" s="3">
        <v>575</v>
      </c>
      <c r="J328" s="3">
        <v>217</v>
      </c>
      <c r="K328" s="3">
        <v>1941</v>
      </c>
      <c r="L328" s="3">
        <v>4</v>
      </c>
      <c r="M328" s="3">
        <v>577</v>
      </c>
    </row>
    <row r="329" spans="1:13" x14ac:dyDescent="0.25">
      <c r="A329" s="1" t="str">
        <f>HYPERLINK("http://www.rosaceae.org/Prunus/Prunus_persica/p.persica_gdr_reftransV1_0046601","p.persica_gdr_reftransV1_0046601")</f>
        <v>p.persica_gdr_reftransV1_0046601</v>
      </c>
      <c r="B329" s="3">
        <v>891</v>
      </c>
      <c r="C329" s="1" t="str">
        <f>HYPERLINK("http://www.uniprot.org/uniprot/TMVRN_NICGU","TMVRN_NICGU")</f>
        <v>TMVRN_NICGU</v>
      </c>
      <c r="D329" t="s">
        <v>151</v>
      </c>
      <c r="E329" s="3" t="s">
        <v>152</v>
      </c>
      <c r="F329" s="4">
        <v>4.3400000000000001E-41</v>
      </c>
      <c r="G329" s="3">
        <v>397</v>
      </c>
      <c r="H329" s="3">
        <v>35</v>
      </c>
      <c r="I329" s="3">
        <v>301</v>
      </c>
      <c r="J329" s="3">
        <v>10</v>
      </c>
      <c r="K329" s="3">
        <v>888</v>
      </c>
      <c r="L329" s="3">
        <v>416</v>
      </c>
      <c r="M329" s="3">
        <v>712</v>
      </c>
    </row>
    <row r="330" spans="1:13" x14ac:dyDescent="0.25">
      <c r="A330" s="1" t="str">
        <f>HYPERLINK("http://www.rosaceae.org/Prunus/Prunus_persica/p.persica_gdr_reftransV1_0046701","p.persica_gdr_reftransV1_0046701")</f>
        <v>p.persica_gdr_reftransV1_0046701</v>
      </c>
      <c r="B330" s="3">
        <v>858</v>
      </c>
      <c r="C330" s="1" t="str">
        <f>HYPERLINK("http://www.uniprot.org/uniprot/SPC3B_ARATH","SPC3B_ARATH")</f>
        <v>SPC3B_ARATH</v>
      </c>
      <c r="D330" t="s">
        <v>369</v>
      </c>
      <c r="E330" s="3" t="s">
        <v>3</v>
      </c>
      <c r="F330" s="4">
        <v>4.9400000000000002E-99</v>
      </c>
      <c r="G330" s="3">
        <v>753</v>
      </c>
      <c r="H330" s="3">
        <v>80</v>
      </c>
      <c r="I330" s="3">
        <v>167</v>
      </c>
      <c r="J330" s="3">
        <v>97</v>
      </c>
      <c r="K330" s="3">
        <v>597</v>
      </c>
      <c r="L330" s="3">
        <v>1</v>
      </c>
      <c r="M330" s="3">
        <v>167</v>
      </c>
    </row>
    <row r="331" spans="1:13" x14ac:dyDescent="0.25">
      <c r="A331" s="1" t="str">
        <f>HYPERLINK("http://www.rosaceae.org/Prunus/Prunus_persica/p.persica_gdr_reftransV1_0046851","p.persica_gdr_reftransV1_0046851")</f>
        <v>p.persica_gdr_reftransV1_0046851</v>
      </c>
      <c r="B331" s="3">
        <v>544</v>
      </c>
      <c r="C331" s="1" t="str">
        <f>HYPERLINK("http://www.uniprot.org/uniprot/RD22_ARATH","RD22_ARATH")</f>
        <v>RD22_ARATH</v>
      </c>
      <c r="D331" t="s">
        <v>370</v>
      </c>
      <c r="E331" s="3" t="s">
        <v>3</v>
      </c>
      <c r="F331" s="4">
        <v>9.7899999999999997E-13</v>
      </c>
      <c r="G331" s="3">
        <v>168</v>
      </c>
      <c r="H331" s="3">
        <v>76</v>
      </c>
      <c r="I331" s="3">
        <v>41</v>
      </c>
      <c r="J331" s="3">
        <v>1</v>
      </c>
      <c r="K331" s="3">
        <v>123</v>
      </c>
      <c r="L331" s="3">
        <v>140</v>
      </c>
      <c r="M331" s="3">
        <v>180</v>
      </c>
    </row>
    <row r="332" spans="1:13" x14ac:dyDescent="0.25">
      <c r="A332" s="1" t="str">
        <f>HYPERLINK("http://www.rosaceae.org/Prunus/Prunus_persica/p.persica_gdr_reftransV1_0046901","p.persica_gdr_reftransV1_0046901")</f>
        <v>p.persica_gdr_reftransV1_0046901</v>
      </c>
      <c r="B332" s="3">
        <v>327</v>
      </c>
      <c r="C332" s="1" t="str">
        <f>HYPERLINK("http://www.uniprot.org/uniprot/LRK63_ARATH","LRK63_ARATH")</f>
        <v>LRK63_ARATH</v>
      </c>
      <c r="D332" t="s">
        <v>371</v>
      </c>
      <c r="E332" s="3" t="s">
        <v>3</v>
      </c>
      <c r="F332" s="4">
        <v>2.0600000000000001E-20</v>
      </c>
      <c r="G332" s="3">
        <v>222</v>
      </c>
      <c r="H332" s="3">
        <v>42</v>
      </c>
      <c r="I332" s="3">
        <v>110</v>
      </c>
      <c r="J332" s="3">
        <v>1</v>
      </c>
      <c r="K332" s="3">
        <v>327</v>
      </c>
      <c r="L332" s="3">
        <v>31</v>
      </c>
      <c r="M332" s="3">
        <v>140</v>
      </c>
    </row>
    <row r="333" spans="1:13" x14ac:dyDescent="0.25">
      <c r="A333" s="1" t="str">
        <f>HYPERLINK("http://www.rosaceae.org/Prunus/Prunus_persica/p.persica_gdr_reftransV1_0046951","p.persica_gdr_reftransV1_0046951")</f>
        <v>p.persica_gdr_reftransV1_0046951</v>
      </c>
      <c r="B333" s="3">
        <v>1035</v>
      </c>
      <c r="C333" s="1" t="str">
        <f>HYPERLINK("http://www.uniprot.org/uniprot/MPCP1_ARATH","MPCP1_ARATH")</f>
        <v>MPCP1_ARATH</v>
      </c>
      <c r="D333" t="s">
        <v>372</v>
      </c>
      <c r="E333" s="3" t="s">
        <v>3</v>
      </c>
      <c r="F333" s="4">
        <v>5.2800000000000001E-125</v>
      </c>
      <c r="G333" s="3">
        <v>682</v>
      </c>
      <c r="H333" s="3">
        <v>76</v>
      </c>
      <c r="I333" s="3">
        <v>165</v>
      </c>
      <c r="J333" s="3">
        <v>158</v>
      </c>
      <c r="K333" s="3">
        <v>649</v>
      </c>
      <c r="L333" s="3">
        <v>1</v>
      </c>
      <c r="M333" s="3">
        <v>165</v>
      </c>
    </row>
    <row r="334" spans="1:13" x14ac:dyDescent="0.25">
      <c r="A334" s="1" t="str">
        <f>HYPERLINK("http://www.rosaceae.org/Prunus/Prunus_persica/p.persica_gdr_reftransV1_0047051","p.persica_gdr_reftransV1_0047051")</f>
        <v>p.persica_gdr_reftransV1_0047051</v>
      </c>
      <c r="B334" s="3">
        <v>1371</v>
      </c>
      <c r="C334" s="1" t="str">
        <f>HYPERLINK("http://www.uniprot.org/uniprot/PUMP2_ARATH","PUMP2_ARATH")</f>
        <v>PUMP2_ARATH</v>
      </c>
      <c r="D334" t="s">
        <v>373</v>
      </c>
      <c r="E334" s="3" t="s">
        <v>3</v>
      </c>
      <c r="F334" s="4">
        <v>1.7800000000000001E-152</v>
      </c>
      <c r="G334" s="3">
        <v>1138</v>
      </c>
      <c r="H334" s="3">
        <v>79</v>
      </c>
      <c r="I334" s="3">
        <v>298</v>
      </c>
      <c r="J334" s="3">
        <v>319</v>
      </c>
      <c r="K334" s="3">
        <v>1212</v>
      </c>
      <c r="L334" s="3">
        <v>1</v>
      </c>
      <c r="M334" s="3">
        <v>298</v>
      </c>
    </row>
    <row r="335" spans="1:13" x14ac:dyDescent="0.25">
      <c r="A335" s="1" t="str">
        <f>HYPERLINK("http://www.rosaceae.org/Prunus/Prunus_persica/p.persica_gdr_reftransV1_0047101","p.persica_gdr_reftransV1_0047101")</f>
        <v>p.persica_gdr_reftransV1_0047101</v>
      </c>
      <c r="B335" s="3">
        <v>686</v>
      </c>
      <c r="C335" s="1" t="str">
        <f>HYPERLINK("http://www.uniprot.org/uniprot/RK27_TOBAC","RK27_TOBAC")</f>
        <v>RK27_TOBAC</v>
      </c>
      <c r="D335" t="s">
        <v>374</v>
      </c>
      <c r="E335" s="3" t="s">
        <v>200</v>
      </c>
      <c r="F335" s="4">
        <v>6.5499999999999998E-25</v>
      </c>
      <c r="G335" s="3">
        <v>252</v>
      </c>
      <c r="H335" s="3">
        <v>69</v>
      </c>
      <c r="I335" s="3">
        <v>83</v>
      </c>
      <c r="J335" s="3">
        <v>289</v>
      </c>
      <c r="K335" s="3">
        <v>525</v>
      </c>
      <c r="L335" s="3">
        <v>33</v>
      </c>
      <c r="M335" s="3">
        <v>114</v>
      </c>
    </row>
    <row r="336" spans="1:13" x14ac:dyDescent="0.25">
      <c r="A336" s="1" t="str">
        <f>HYPERLINK("http://www.rosaceae.org/Prunus/Prunus_persica/p.persica_gdr_reftransV1_0047151","p.persica_gdr_reftransV1_0047151")</f>
        <v>p.persica_gdr_reftransV1_0047151</v>
      </c>
      <c r="B336" s="3">
        <v>1226</v>
      </c>
      <c r="C336" s="1" t="str">
        <f>HYPERLINK("http://www.uniprot.org/uniprot/LPA1_ARATH","LPA1_ARATH")</f>
        <v>LPA1_ARATH</v>
      </c>
      <c r="D336" t="s">
        <v>375</v>
      </c>
      <c r="E336" s="3" t="s">
        <v>3</v>
      </c>
      <c r="F336" s="4">
        <v>5.3499999999999999E-27</v>
      </c>
      <c r="G336" s="3">
        <v>287</v>
      </c>
      <c r="H336" s="3">
        <v>32</v>
      </c>
      <c r="I336" s="3">
        <v>262</v>
      </c>
      <c r="J336" s="3">
        <v>197</v>
      </c>
      <c r="K336" s="3">
        <v>913</v>
      </c>
      <c r="L336" s="3">
        <v>190</v>
      </c>
      <c r="M336" s="3">
        <v>451</v>
      </c>
    </row>
    <row r="337" spans="1:13" x14ac:dyDescent="0.25">
      <c r="A337" s="1" t="str">
        <f>HYPERLINK("http://www.rosaceae.org/Prunus/Prunus_persica/p.persica_gdr_reftransV1_0047251","p.persica_gdr_reftransV1_0047251")</f>
        <v>p.persica_gdr_reftransV1_0047251</v>
      </c>
      <c r="B337" s="3">
        <v>540</v>
      </c>
      <c r="C337" s="1" t="str">
        <f>HYPERLINK("http://www.uniprot.org/uniprot/ASPM_FELCA","ASPM_FELCA")</f>
        <v>ASPM_FELCA</v>
      </c>
      <c r="D337" t="s">
        <v>376</v>
      </c>
      <c r="E337" s="3" t="s">
        <v>377</v>
      </c>
      <c r="F337" s="4">
        <v>1.55E-25</v>
      </c>
      <c r="G337" s="3">
        <v>271</v>
      </c>
      <c r="H337" s="3">
        <v>35</v>
      </c>
      <c r="I337" s="3">
        <v>191</v>
      </c>
      <c r="J337" s="3">
        <v>46</v>
      </c>
      <c r="K337" s="3">
        <v>540</v>
      </c>
      <c r="L337" s="3">
        <v>962</v>
      </c>
      <c r="M337" s="3">
        <v>1152</v>
      </c>
    </row>
    <row r="338" spans="1:13" x14ac:dyDescent="0.25">
      <c r="A338" s="1" t="str">
        <f>HYPERLINK("http://www.rosaceae.org/Prunus/Prunus_persica/p.persica_gdr_reftransV1_0047451","p.persica_gdr_reftransV1_0047451")</f>
        <v>p.persica_gdr_reftransV1_0047451</v>
      </c>
      <c r="B338" s="3">
        <v>1482</v>
      </c>
      <c r="C338" s="1" t="str">
        <f>HYPERLINK("http://www.uniprot.org/uniprot/MSL10_ARATH","MSL10_ARATH")</f>
        <v>MSL10_ARATH</v>
      </c>
      <c r="D338" t="s">
        <v>378</v>
      </c>
      <c r="E338" s="3" t="s">
        <v>3</v>
      </c>
      <c r="F338" s="4">
        <v>1.77E-128</v>
      </c>
      <c r="G338" s="3">
        <v>1020</v>
      </c>
      <c r="H338" s="3">
        <v>47</v>
      </c>
      <c r="I338" s="3">
        <v>436</v>
      </c>
      <c r="J338" s="3">
        <v>3</v>
      </c>
      <c r="K338" s="3">
        <v>1253</v>
      </c>
      <c r="L338" s="3">
        <v>323</v>
      </c>
      <c r="M338" s="3">
        <v>734</v>
      </c>
    </row>
    <row r="339" spans="1:13" x14ac:dyDescent="0.25">
      <c r="A339" s="1" t="str">
        <f>HYPERLINK("http://www.rosaceae.org/Prunus/Prunus_persica/p.persica_gdr_reftransV1_0047601","p.persica_gdr_reftransV1_0047601")</f>
        <v>p.persica_gdr_reftransV1_0047601</v>
      </c>
      <c r="B339" s="3">
        <v>1697</v>
      </c>
      <c r="C339" s="1" t="str">
        <f>HYPERLINK("http://www.uniprot.org/uniprot/U73C3_ARATH","U73C3_ARATH")</f>
        <v>U73C3_ARATH</v>
      </c>
      <c r="D339" t="s">
        <v>379</v>
      </c>
      <c r="E339" s="3" t="s">
        <v>3</v>
      </c>
      <c r="F339" s="4">
        <v>2.6E-175</v>
      </c>
      <c r="G339" s="3">
        <v>1319</v>
      </c>
      <c r="H339" s="3">
        <v>54</v>
      </c>
      <c r="I339" s="3">
        <v>478</v>
      </c>
      <c r="J339" s="3">
        <v>221</v>
      </c>
      <c r="K339" s="3">
        <v>1645</v>
      </c>
      <c r="L339" s="3">
        <v>13</v>
      </c>
      <c r="M339" s="3">
        <v>488</v>
      </c>
    </row>
    <row r="340" spans="1:13" x14ac:dyDescent="0.25">
      <c r="A340" s="1" t="str">
        <f>HYPERLINK("http://www.rosaceae.org/Prunus/Prunus_persica/p.persica_gdr_reftransV1_0047701","p.persica_gdr_reftransV1_0047701")</f>
        <v>p.persica_gdr_reftransV1_0047701</v>
      </c>
      <c r="B340" s="3">
        <v>1483</v>
      </c>
      <c r="C340" s="1" t="str">
        <f>HYPERLINK("http://www.uniprot.org/uniprot/VA721_ARATH","VA721_ARATH")</f>
        <v>VA721_ARATH</v>
      </c>
      <c r="D340" t="s">
        <v>380</v>
      </c>
      <c r="E340" s="3" t="s">
        <v>3</v>
      </c>
      <c r="F340" s="4">
        <v>6.6200000000000004E-126</v>
      </c>
      <c r="G340" s="3">
        <v>957</v>
      </c>
      <c r="H340" s="3">
        <v>88</v>
      </c>
      <c r="I340" s="3">
        <v>219</v>
      </c>
      <c r="J340" s="3">
        <v>675</v>
      </c>
      <c r="K340" s="3">
        <v>1331</v>
      </c>
      <c r="L340" s="3">
        <v>1</v>
      </c>
      <c r="M340" s="3">
        <v>219</v>
      </c>
    </row>
    <row r="341" spans="1:13" x14ac:dyDescent="0.25">
      <c r="A341" s="1" t="str">
        <f>HYPERLINK("http://www.rosaceae.org/Prunus/Prunus_persica/p.persica_gdr_reftransV1_0047801","p.persica_gdr_reftransV1_0047801")</f>
        <v>p.persica_gdr_reftransV1_0047801</v>
      </c>
      <c r="B341" s="3">
        <v>480</v>
      </c>
      <c r="C341" s="1" t="str">
        <f>HYPERLINK("http://www.uniprot.org/uniprot/SBT54_ARATH","SBT54_ARATH")</f>
        <v>SBT54_ARATH</v>
      </c>
      <c r="D341" t="s">
        <v>381</v>
      </c>
      <c r="E341" s="3" t="s">
        <v>3</v>
      </c>
      <c r="F341" s="4">
        <v>2.3700000000000001E-59</v>
      </c>
      <c r="G341" s="3">
        <v>512</v>
      </c>
      <c r="H341" s="3">
        <v>59</v>
      </c>
      <c r="I341" s="3">
        <v>154</v>
      </c>
      <c r="J341" s="3">
        <v>17</v>
      </c>
      <c r="K341" s="3">
        <v>478</v>
      </c>
      <c r="L341" s="3">
        <v>450</v>
      </c>
      <c r="M341" s="3">
        <v>603</v>
      </c>
    </row>
    <row r="342" spans="1:13" x14ac:dyDescent="0.25">
      <c r="A342" s="1" t="str">
        <f>HYPERLINK("http://www.rosaceae.org/Prunus/Prunus_persica/p.persica_gdr_reftransV1_0047851","p.persica_gdr_reftransV1_0047851")</f>
        <v>p.persica_gdr_reftransV1_0047851</v>
      </c>
      <c r="B342" s="3">
        <v>1135</v>
      </c>
      <c r="C342" s="1" t="str">
        <f>HYPERLINK("http://www.uniprot.org/uniprot/PP373_ARATH","PP373_ARATH")</f>
        <v>PP373_ARATH</v>
      </c>
      <c r="D342" t="s">
        <v>382</v>
      </c>
      <c r="E342" s="3" t="s">
        <v>3</v>
      </c>
      <c r="F342" s="4">
        <v>0</v>
      </c>
      <c r="G342" s="3">
        <v>1410</v>
      </c>
      <c r="H342" s="3">
        <v>70</v>
      </c>
      <c r="I342" s="3">
        <v>379</v>
      </c>
      <c r="J342" s="3">
        <v>1</v>
      </c>
      <c r="K342" s="3">
        <v>1134</v>
      </c>
      <c r="L342" s="3">
        <v>399</v>
      </c>
      <c r="M342" s="3">
        <v>777</v>
      </c>
    </row>
    <row r="343" spans="1:13" x14ac:dyDescent="0.25">
      <c r="A343" s="1" t="str">
        <f>HYPERLINK("http://www.rosaceae.org/Prunus/Prunus_persica/p.persica_gdr_reftransV1_0047901","p.persica_gdr_reftransV1_0047901")</f>
        <v>p.persica_gdr_reftransV1_0047901</v>
      </c>
      <c r="B343" s="3">
        <v>602</v>
      </c>
      <c r="C343" s="1" t="str">
        <f>HYPERLINK("http://www.uniprot.org/uniprot/ARC2B_ARATH","ARC2B_ARATH")</f>
        <v>ARC2B_ARATH</v>
      </c>
      <c r="D343" t="s">
        <v>383</v>
      </c>
      <c r="E343" s="3" t="s">
        <v>3</v>
      </c>
      <c r="F343" s="4">
        <v>2.7799999999999998E-49</v>
      </c>
      <c r="G343" s="3">
        <v>430</v>
      </c>
      <c r="H343" s="3">
        <v>50</v>
      </c>
      <c r="I343" s="3">
        <v>169</v>
      </c>
      <c r="J343" s="3">
        <v>98</v>
      </c>
      <c r="K343" s="3">
        <v>601</v>
      </c>
      <c r="L343" s="3">
        <v>1</v>
      </c>
      <c r="M343" s="3">
        <v>169</v>
      </c>
    </row>
    <row r="344" spans="1:13" x14ac:dyDescent="0.25">
      <c r="A344" s="1" t="str">
        <f>HYPERLINK("http://www.rosaceae.org/Prunus/Prunus_persica/p.persica_gdr_reftransV1_0047951","p.persica_gdr_reftransV1_0047951")</f>
        <v>p.persica_gdr_reftransV1_0047951</v>
      </c>
      <c r="B344" s="3">
        <v>1896</v>
      </c>
      <c r="C344" s="1" t="str">
        <f>HYPERLINK("http://www.uniprot.org/uniprot/PLY22_ARATH","PLY22_ARATH")</f>
        <v>PLY22_ARATH</v>
      </c>
      <c r="D344" t="s">
        <v>384</v>
      </c>
      <c r="E344" s="3" t="s">
        <v>3</v>
      </c>
      <c r="F344" s="4">
        <v>0</v>
      </c>
      <c r="G344" s="3">
        <v>1687</v>
      </c>
      <c r="H344" s="3">
        <v>82</v>
      </c>
      <c r="I344" s="3">
        <v>389</v>
      </c>
      <c r="J344" s="3">
        <v>336</v>
      </c>
      <c r="K344" s="3">
        <v>1496</v>
      </c>
      <c r="L344" s="3">
        <v>44</v>
      </c>
      <c r="M344" s="3">
        <v>432</v>
      </c>
    </row>
    <row r="345" spans="1:13" x14ac:dyDescent="0.25">
      <c r="A345" s="1" t="str">
        <f>HYPERLINK("http://www.rosaceae.org/Prunus/Prunus_persica/p.persica_gdr_reftransV1_0048051","p.persica_gdr_reftransV1_0048051")</f>
        <v>p.persica_gdr_reftransV1_0048051</v>
      </c>
      <c r="B345" s="3">
        <v>2153</v>
      </c>
      <c r="C345" s="1" t="str">
        <f>HYPERLINK("http://www.uniprot.org/uniprot/SYCM_ARATH","SYCM_ARATH")</f>
        <v>SYCM_ARATH</v>
      </c>
      <c r="D345" t="s">
        <v>385</v>
      </c>
      <c r="E345" s="3" t="s">
        <v>3</v>
      </c>
      <c r="F345" s="4">
        <v>0</v>
      </c>
      <c r="G345" s="3">
        <v>2080</v>
      </c>
      <c r="H345" s="3">
        <v>69</v>
      </c>
      <c r="I345" s="3">
        <v>607</v>
      </c>
      <c r="J345" s="3">
        <v>298</v>
      </c>
      <c r="K345" s="3">
        <v>2103</v>
      </c>
      <c r="L345" s="3">
        <v>3</v>
      </c>
      <c r="M345" s="3">
        <v>557</v>
      </c>
    </row>
    <row r="346" spans="1:13" x14ac:dyDescent="0.25">
      <c r="A346" s="1" t="str">
        <f>HYPERLINK("http://www.rosaceae.org/Prunus/Prunus_persica/p.persica_gdr_reftransV1_0048101","p.persica_gdr_reftransV1_0048101")</f>
        <v>p.persica_gdr_reftransV1_0048101</v>
      </c>
      <c r="B346" s="3">
        <v>1405</v>
      </c>
      <c r="C346" s="1" t="str">
        <f>HYPERLINK("http://www.uniprot.org/uniprot/LPP3_ARATH","LPP3_ARATH")</f>
        <v>LPP3_ARATH</v>
      </c>
      <c r="D346" t="s">
        <v>386</v>
      </c>
      <c r="E346" s="3" t="s">
        <v>3</v>
      </c>
      <c r="F346" s="4">
        <v>7.5900000000000005E-173</v>
      </c>
      <c r="G346" s="3">
        <v>1280</v>
      </c>
      <c r="H346" s="3">
        <v>67</v>
      </c>
      <c r="I346" s="3">
        <v>366</v>
      </c>
      <c r="J346" s="3">
        <v>232</v>
      </c>
      <c r="K346" s="3">
        <v>1326</v>
      </c>
      <c r="L346" s="3">
        <v>5</v>
      </c>
      <c r="M346" s="3">
        <v>363</v>
      </c>
    </row>
    <row r="347" spans="1:13" x14ac:dyDescent="0.25">
      <c r="A347" s="1" t="str">
        <f>HYPERLINK("http://www.rosaceae.org/Prunus/Prunus_persica/p.persica_gdr_reftransV1_0048151","p.persica_gdr_reftransV1_0048151")</f>
        <v>p.persica_gdr_reftransV1_0048151</v>
      </c>
      <c r="B347" s="3">
        <v>2117</v>
      </c>
      <c r="C347" s="1" t="str">
        <f>HYPERLINK("http://www.uniprot.org/uniprot/GSH1_TOBAC","GSH1_TOBAC")</f>
        <v>GSH1_TOBAC</v>
      </c>
      <c r="D347" t="s">
        <v>387</v>
      </c>
      <c r="E347" s="3" t="s">
        <v>200</v>
      </c>
      <c r="F347" s="4">
        <v>0</v>
      </c>
      <c r="G347" s="3">
        <v>2319</v>
      </c>
      <c r="H347" s="3">
        <v>83</v>
      </c>
      <c r="I347" s="3">
        <v>526</v>
      </c>
      <c r="J347" s="3">
        <v>349</v>
      </c>
      <c r="K347" s="3">
        <v>1926</v>
      </c>
      <c r="L347" s="3">
        <v>1</v>
      </c>
      <c r="M347" s="3">
        <v>522</v>
      </c>
    </row>
    <row r="348" spans="1:13" x14ac:dyDescent="0.25">
      <c r="A348" s="1" t="str">
        <f>HYPERLINK("http://www.rosaceae.org/Prunus/Prunus_persica/p.persica_gdr_reftransV1_0048201","p.persica_gdr_reftransV1_0048201")</f>
        <v>p.persica_gdr_reftransV1_0048201</v>
      </c>
      <c r="B348" s="3">
        <v>2103</v>
      </c>
      <c r="C348" s="1" t="str">
        <f>HYPERLINK("http://www.uniprot.org/uniprot/DCP5L_ARATH","DCP5L_ARATH")</f>
        <v>DCP5L_ARATH</v>
      </c>
      <c r="D348" t="s">
        <v>388</v>
      </c>
      <c r="E348" s="3" t="s">
        <v>3</v>
      </c>
      <c r="F348" s="4">
        <v>7.6300000000000003E-40</v>
      </c>
      <c r="G348" s="3">
        <v>399</v>
      </c>
      <c r="H348" s="3">
        <v>59</v>
      </c>
      <c r="I348" s="3">
        <v>133</v>
      </c>
      <c r="J348" s="3">
        <v>1549</v>
      </c>
      <c r="K348" s="3">
        <v>1941</v>
      </c>
      <c r="L348" s="3">
        <v>30</v>
      </c>
      <c r="M348" s="3">
        <v>162</v>
      </c>
    </row>
    <row r="349" spans="1:13" x14ac:dyDescent="0.25">
      <c r="A349" s="1" t="str">
        <f>HYPERLINK("http://www.rosaceae.org/Prunus/Prunus_persica/p.persica_gdr_reftransV1_0048301","p.persica_gdr_reftransV1_0048301")</f>
        <v>p.persica_gdr_reftransV1_0048301</v>
      </c>
      <c r="B349" s="3">
        <v>2827</v>
      </c>
      <c r="C349" s="1" t="str">
        <f>HYPERLINK("http://www.uniprot.org/uniprot/SEUSS_ARATH","SEUSS_ARATH")</f>
        <v>SEUSS_ARATH</v>
      </c>
      <c r="D349" t="s">
        <v>389</v>
      </c>
      <c r="E349" s="3" t="s">
        <v>3</v>
      </c>
      <c r="F349" s="4">
        <v>0</v>
      </c>
      <c r="G349" s="3">
        <v>1583</v>
      </c>
      <c r="H349" s="3">
        <v>67</v>
      </c>
      <c r="I349" s="3">
        <v>618</v>
      </c>
      <c r="J349" s="3">
        <v>82</v>
      </c>
      <c r="K349" s="3">
        <v>1917</v>
      </c>
      <c r="L349" s="3">
        <v>1</v>
      </c>
      <c r="M349" s="3">
        <v>578</v>
      </c>
    </row>
    <row r="350" spans="1:13" x14ac:dyDescent="0.25">
      <c r="A350" s="1" t="str">
        <f>HYPERLINK("http://www.rosaceae.org/Prunus/Prunus_persica/p.persica_gdr_reftransV1_0048351","p.persica_gdr_reftransV1_0048351")</f>
        <v>p.persica_gdr_reftransV1_0048351</v>
      </c>
      <c r="B350" s="3">
        <v>1352</v>
      </c>
      <c r="C350" s="1" t="str">
        <f>HYPERLINK("http://www.uniprot.org/uniprot/GDL67_ARATH","GDL67_ARATH")</f>
        <v>GDL67_ARATH</v>
      </c>
      <c r="D350" t="s">
        <v>390</v>
      </c>
      <c r="E350" s="3" t="s">
        <v>3</v>
      </c>
      <c r="F350" s="4">
        <v>2.8100000000000001E-180</v>
      </c>
      <c r="G350" s="3">
        <v>1327</v>
      </c>
      <c r="H350" s="3">
        <v>73</v>
      </c>
      <c r="I350" s="3">
        <v>366</v>
      </c>
      <c r="J350" s="3">
        <v>226</v>
      </c>
      <c r="K350" s="3">
        <v>1314</v>
      </c>
      <c r="L350" s="3">
        <v>2</v>
      </c>
      <c r="M350" s="3">
        <v>366</v>
      </c>
    </row>
    <row r="351" spans="1:13" x14ac:dyDescent="0.25">
      <c r="A351" s="1" t="str">
        <f>HYPERLINK("http://www.rosaceae.org/Prunus/Prunus_persica/p.persica_gdr_reftransV1_0048401","p.persica_gdr_reftransV1_0048401")</f>
        <v>p.persica_gdr_reftransV1_0048401</v>
      </c>
      <c r="B351" s="3">
        <v>657</v>
      </c>
      <c r="C351" s="1" t="str">
        <f>HYPERLINK("http://www.uniprot.org/uniprot/PLI2B_ARATH","PLI2B_ARATH")</f>
        <v>PLI2B_ARATH</v>
      </c>
      <c r="D351" t="s">
        <v>391</v>
      </c>
      <c r="E351" s="3" t="s">
        <v>3</v>
      </c>
      <c r="F351" s="4">
        <v>4.3400000000000002E-76</v>
      </c>
      <c r="G351" s="3">
        <v>598</v>
      </c>
      <c r="H351" s="3">
        <v>70</v>
      </c>
      <c r="I351" s="3">
        <v>156</v>
      </c>
      <c r="J351" s="3">
        <v>2</v>
      </c>
      <c r="K351" s="3">
        <v>466</v>
      </c>
      <c r="L351" s="3">
        <v>24</v>
      </c>
      <c r="M351" s="3">
        <v>179</v>
      </c>
    </row>
    <row r="352" spans="1:13" x14ac:dyDescent="0.25">
      <c r="A352" s="1" t="str">
        <f>HYPERLINK("http://www.rosaceae.org/Prunus/Prunus_persica/p.persica_gdr_reftransV1_0048501","p.persica_gdr_reftransV1_0048501")</f>
        <v>p.persica_gdr_reftransV1_0048501</v>
      </c>
      <c r="B352" s="3">
        <v>2749</v>
      </c>
      <c r="C352" s="1" t="str">
        <f>HYPERLINK("http://www.uniprot.org/uniprot/Y1461_ARATH","Y1461_ARATH")</f>
        <v>Y1461_ARATH</v>
      </c>
      <c r="D352" t="s">
        <v>392</v>
      </c>
      <c r="E352" s="3" t="s">
        <v>3</v>
      </c>
      <c r="F352" s="4">
        <v>0</v>
      </c>
      <c r="G352" s="3">
        <v>1876</v>
      </c>
      <c r="H352" s="3">
        <v>76</v>
      </c>
      <c r="I352" s="3">
        <v>489</v>
      </c>
      <c r="J352" s="3">
        <v>922</v>
      </c>
      <c r="K352" s="3">
        <v>2367</v>
      </c>
      <c r="L352" s="3">
        <v>73</v>
      </c>
      <c r="M352" s="3">
        <v>561</v>
      </c>
    </row>
    <row r="353" spans="1:13" x14ac:dyDescent="0.25">
      <c r="A353" s="1" t="str">
        <f>HYPERLINK("http://www.rosaceae.org/Prunus/Prunus_persica/p.persica_gdr_reftransV1_0048551","p.persica_gdr_reftransV1_0048551")</f>
        <v>p.persica_gdr_reftransV1_0048551</v>
      </c>
      <c r="B353" s="3">
        <v>2435</v>
      </c>
      <c r="C353" s="1" t="str">
        <f>HYPERLINK("http://www.uniprot.org/uniprot/DRM2_ARATH","DRM2_ARATH")</f>
        <v>DRM2_ARATH</v>
      </c>
      <c r="D353" t="s">
        <v>393</v>
      </c>
      <c r="E353" s="3" t="s">
        <v>3</v>
      </c>
      <c r="F353" s="4">
        <v>0</v>
      </c>
      <c r="G353" s="3">
        <v>1511</v>
      </c>
      <c r="H353" s="3">
        <v>56</v>
      </c>
      <c r="I353" s="3">
        <v>529</v>
      </c>
      <c r="J353" s="3">
        <v>698</v>
      </c>
      <c r="K353" s="3">
        <v>2266</v>
      </c>
      <c r="L353" s="3">
        <v>113</v>
      </c>
      <c r="M353" s="3">
        <v>623</v>
      </c>
    </row>
    <row r="354" spans="1:13" x14ac:dyDescent="0.25">
      <c r="A354" s="1" t="str">
        <f>HYPERLINK("http://www.rosaceae.org/Prunus/Prunus_persica/p.persica_gdr_reftransV1_0048601","p.persica_gdr_reftransV1_0048601")</f>
        <v>p.persica_gdr_reftransV1_0048601</v>
      </c>
      <c r="B354" s="3">
        <v>1445</v>
      </c>
      <c r="C354" s="1" t="str">
        <f>HYPERLINK("http://www.uniprot.org/uniprot/VICHY_VICSN","VICHY_VICSN")</f>
        <v>VICHY_VICSN</v>
      </c>
      <c r="D354" t="s">
        <v>394</v>
      </c>
      <c r="E354" s="3" t="s">
        <v>395</v>
      </c>
      <c r="F354" s="4">
        <v>0</v>
      </c>
      <c r="G354" s="3">
        <v>1481</v>
      </c>
      <c r="H354" s="3">
        <v>61</v>
      </c>
      <c r="I354" s="3">
        <v>445</v>
      </c>
      <c r="J354" s="3">
        <v>110</v>
      </c>
      <c r="K354" s="3">
        <v>1444</v>
      </c>
      <c r="L354" s="3">
        <v>28</v>
      </c>
      <c r="M354" s="3">
        <v>466</v>
      </c>
    </row>
    <row r="355" spans="1:13" x14ac:dyDescent="0.25">
      <c r="A355" s="1" t="str">
        <f>HYPERLINK("http://www.rosaceae.org/Prunus/Prunus_persica/p.persica_gdr_reftransV1_0048651","p.persica_gdr_reftransV1_0048651")</f>
        <v>p.persica_gdr_reftransV1_0048651</v>
      </c>
      <c r="B355" s="3">
        <v>1271</v>
      </c>
      <c r="C355" s="1" t="str">
        <f>HYPERLINK("http://www.uniprot.org/uniprot/LCV2_ARATH","LCV2_ARATH")</f>
        <v>LCV2_ARATH</v>
      </c>
      <c r="D355" t="s">
        <v>396</v>
      </c>
      <c r="E355" s="3" t="s">
        <v>3</v>
      </c>
      <c r="F355" s="4">
        <v>2.56E-134</v>
      </c>
      <c r="G355" s="3">
        <v>1010</v>
      </c>
      <c r="H355" s="3">
        <v>77</v>
      </c>
      <c r="I355" s="3">
        <v>261</v>
      </c>
      <c r="J355" s="3">
        <v>160</v>
      </c>
      <c r="K355" s="3">
        <v>915</v>
      </c>
      <c r="L355" s="3">
        <v>1</v>
      </c>
      <c r="M355" s="3">
        <v>261</v>
      </c>
    </row>
    <row r="356" spans="1:13" x14ac:dyDescent="0.25">
      <c r="A356" s="1" t="str">
        <f>HYPERLINK("http://www.rosaceae.org/Prunus/Prunus_persica/p.persica_gdr_reftransV1_0048801","p.persica_gdr_reftransV1_0048801")</f>
        <v>p.persica_gdr_reftransV1_0048801</v>
      </c>
      <c r="B356" s="3">
        <v>1522</v>
      </c>
      <c r="C356" s="1" t="str">
        <f>HYPERLINK("http://www.uniprot.org/uniprot/ILR1_ARATH","ILR1_ARATH")</f>
        <v>ILR1_ARATH</v>
      </c>
      <c r="D356" t="s">
        <v>397</v>
      </c>
      <c r="E356" s="3" t="s">
        <v>3</v>
      </c>
      <c r="F356" s="4">
        <v>0</v>
      </c>
      <c r="G356" s="3">
        <v>1358</v>
      </c>
      <c r="H356" s="3">
        <v>66</v>
      </c>
      <c r="I356" s="3">
        <v>399</v>
      </c>
      <c r="J356" s="3">
        <v>156</v>
      </c>
      <c r="K356" s="3">
        <v>1352</v>
      </c>
      <c r="L356" s="3">
        <v>32</v>
      </c>
      <c r="M356" s="3">
        <v>430</v>
      </c>
    </row>
    <row r="357" spans="1:13" x14ac:dyDescent="0.25">
      <c r="A357" s="1" t="str">
        <f>HYPERLINK("http://www.rosaceae.org/Prunus/Prunus_persica/p.persica_gdr_reftransV1_0048851","p.persica_gdr_reftransV1_0048851")</f>
        <v>p.persica_gdr_reftransV1_0048851</v>
      </c>
      <c r="B357" s="3">
        <v>944</v>
      </c>
      <c r="C357" s="1" t="str">
        <f>HYPERLINK("http://www.uniprot.org/uniprot/POT1_ARATH","POT1_ARATH")</f>
        <v>POT1_ARATH</v>
      </c>
      <c r="D357" t="s">
        <v>398</v>
      </c>
      <c r="E357" s="3" t="s">
        <v>3</v>
      </c>
      <c r="F357" s="4">
        <v>7.6300000000000001E-121</v>
      </c>
      <c r="G357" s="3">
        <v>949</v>
      </c>
      <c r="H357" s="3">
        <v>76</v>
      </c>
      <c r="I357" s="3">
        <v>239</v>
      </c>
      <c r="J357" s="3">
        <v>226</v>
      </c>
      <c r="K357" s="3">
        <v>942</v>
      </c>
      <c r="L357" s="3">
        <v>46</v>
      </c>
      <c r="M357" s="3">
        <v>284</v>
      </c>
    </row>
    <row r="358" spans="1:13" x14ac:dyDescent="0.25">
      <c r="A358" s="1" t="str">
        <f>HYPERLINK("http://www.rosaceae.org/Prunus/Prunus_persica/p.persica_gdr_reftransV1_0048901","p.persica_gdr_reftransV1_0048901")</f>
        <v>p.persica_gdr_reftransV1_0048901</v>
      </c>
      <c r="B358" s="3">
        <v>2306</v>
      </c>
      <c r="C358" s="1" t="str">
        <f>HYPERLINK("http://www.uniprot.org/uniprot/Y5262_ARATH","Y5262_ARATH")</f>
        <v>Y5262_ARATH</v>
      </c>
      <c r="D358" t="s">
        <v>399</v>
      </c>
      <c r="E358" s="3" t="s">
        <v>3</v>
      </c>
      <c r="F358" s="4">
        <v>2.24E-18</v>
      </c>
      <c r="G358" s="3">
        <v>230</v>
      </c>
      <c r="H358" s="3">
        <v>35</v>
      </c>
      <c r="I358" s="3">
        <v>167</v>
      </c>
      <c r="J358" s="3">
        <v>1116</v>
      </c>
      <c r="K358" s="3">
        <v>1616</v>
      </c>
      <c r="L358" s="3">
        <v>104</v>
      </c>
      <c r="M358" s="3">
        <v>267</v>
      </c>
    </row>
    <row r="359" spans="1:13" x14ac:dyDescent="0.25">
      <c r="A359" s="1" t="str">
        <f>HYPERLINK("http://www.rosaceae.org/Prunus/Prunus_persica/p.persica_gdr_reftransV1_0048951","p.persica_gdr_reftransV1_0048951")</f>
        <v>p.persica_gdr_reftransV1_0048951</v>
      </c>
      <c r="B359" s="3">
        <v>1368</v>
      </c>
      <c r="C359" s="1" t="str">
        <f>HYPERLINK("http://www.uniprot.org/uniprot/ERF25_ARATH","ERF25_ARATH")</f>
        <v>ERF25_ARATH</v>
      </c>
      <c r="D359" t="s">
        <v>400</v>
      </c>
      <c r="E359" s="3" t="s">
        <v>3</v>
      </c>
      <c r="F359" s="4">
        <v>4.68E-32</v>
      </c>
      <c r="G359" s="3">
        <v>317</v>
      </c>
      <c r="H359" s="3">
        <v>57</v>
      </c>
      <c r="I359" s="3">
        <v>175</v>
      </c>
      <c r="J359" s="3">
        <v>274</v>
      </c>
      <c r="K359" s="3">
        <v>771</v>
      </c>
      <c r="L359" s="3">
        <v>62</v>
      </c>
      <c r="M359" s="3">
        <v>231</v>
      </c>
    </row>
    <row r="360" spans="1:13" x14ac:dyDescent="0.25">
      <c r="A360" s="1" t="str">
        <f>HYPERLINK("http://www.rosaceae.org/Prunus/Prunus_persica/p.persica_gdr_reftransV1_0049001","p.persica_gdr_reftransV1_0049001")</f>
        <v>p.persica_gdr_reftransV1_0049001</v>
      </c>
      <c r="B360" s="3">
        <v>2357</v>
      </c>
      <c r="C360" s="1" t="str">
        <f>HYPERLINK("http://www.uniprot.org/uniprot/SCAI_HUMAN","SCAI_HUMAN")</f>
        <v>SCAI_HUMAN</v>
      </c>
      <c r="D360" t="s">
        <v>401</v>
      </c>
      <c r="E360" s="3" t="s">
        <v>28</v>
      </c>
      <c r="F360" s="4">
        <v>4.1000000000000003E-74</v>
      </c>
      <c r="G360" s="3">
        <v>660</v>
      </c>
      <c r="H360" s="3">
        <v>34</v>
      </c>
      <c r="I360" s="3">
        <v>574</v>
      </c>
      <c r="J360" s="3">
        <v>168</v>
      </c>
      <c r="K360" s="3">
        <v>1868</v>
      </c>
      <c r="L360" s="3">
        <v>59</v>
      </c>
      <c r="M360" s="3">
        <v>598</v>
      </c>
    </row>
    <row r="361" spans="1:13" x14ac:dyDescent="0.25">
      <c r="A361" s="1" t="str">
        <f>HYPERLINK("http://www.rosaceae.org/Prunus/Prunus_persica/p.persica_gdr_reftransV1_0049101","p.persica_gdr_reftransV1_0049101")</f>
        <v>p.persica_gdr_reftransV1_0049101</v>
      </c>
      <c r="B361" s="3">
        <v>965</v>
      </c>
      <c r="C361" s="1" t="str">
        <f>HYPERLINK("http://www.uniprot.org/uniprot/PP167_ARATH","PP167_ARATH")</f>
        <v>PP167_ARATH</v>
      </c>
      <c r="D361" t="s">
        <v>402</v>
      </c>
      <c r="E361" s="3" t="s">
        <v>3</v>
      </c>
      <c r="F361" s="4">
        <v>1.35E-41</v>
      </c>
      <c r="G361" s="3">
        <v>395</v>
      </c>
      <c r="H361" s="3">
        <v>35</v>
      </c>
      <c r="I361" s="3">
        <v>260</v>
      </c>
      <c r="J361" s="3">
        <v>17</v>
      </c>
      <c r="K361" s="3">
        <v>796</v>
      </c>
      <c r="L361" s="3">
        <v>112</v>
      </c>
      <c r="M361" s="3">
        <v>369</v>
      </c>
    </row>
    <row r="362" spans="1:13" x14ac:dyDescent="0.25">
      <c r="A362" s="1" t="str">
        <f>HYPERLINK("http://www.rosaceae.org/Prunus/Prunus_persica/p.persica_gdr_reftransV1_0049201","p.persica_gdr_reftransV1_0049201")</f>
        <v>p.persica_gdr_reftransV1_0049201</v>
      </c>
      <c r="B362" s="3">
        <v>1628</v>
      </c>
      <c r="C362" s="1" t="str">
        <f>HYPERLINK("http://www.uniprot.org/uniprot/UGFGT_MEDTR","UGFGT_MEDTR")</f>
        <v>UGFGT_MEDTR</v>
      </c>
      <c r="D362" t="s">
        <v>403</v>
      </c>
      <c r="E362" s="3" t="s">
        <v>91</v>
      </c>
      <c r="F362" s="4">
        <v>1.3899999999999999E-147</v>
      </c>
      <c r="G362" s="3">
        <v>1129</v>
      </c>
      <c r="H362" s="3">
        <v>52</v>
      </c>
      <c r="I362" s="3">
        <v>442</v>
      </c>
      <c r="J362" s="3">
        <v>61</v>
      </c>
      <c r="K362" s="3">
        <v>1383</v>
      </c>
      <c r="L362" s="3">
        <v>15</v>
      </c>
      <c r="M362" s="3">
        <v>453</v>
      </c>
    </row>
    <row r="363" spans="1:13" x14ac:dyDescent="0.25">
      <c r="A363" s="1" t="str">
        <f>HYPERLINK("http://www.rosaceae.org/Prunus/Prunus_persica/p.persica_gdr_reftransV1_0000011","p.persica_gdr_reftransV1_0000011")</f>
        <v>p.persica_gdr_reftransV1_0000011</v>
      </c>
      <c r="B363" s="3">
        <v>2081</v>
      </c>
      <c r="C363" s="1" t="str">
        <f>HYPERLINK("http://www.uniprot.org/uniprot/NFD4_ARATH","NFD4_ARATH")</f>
        <v>NFD4_ARATH</v>
      </c>
      <c r="D363" t="s">
        <v>404</v>
      </c>
      <c r="E363" s="3" t="s">
        <v>3</v>
      </c>
      <c r="F363" s="4">
        <v>1.7800000000000001E-9</v>
      </c>
      <c r="G363" s="3">
        <v>156</v>
      </c>
      <c r="H363" s="3">
        <v>28</v>
      </c>
      <c r="I363" s="3">
        <v>167</v>
      </c>
      <c r="J363" s="3">
        <v>67</v>
      </c>
      <c r="K363" s="3">
        <v>555</v>
      </c>
      <c r="L363" s="3">
        <v>6</v>
      </c>
      <c r="M363" s="3">
        <v>170</v>
      </c>
    </row>
    <row r="364" spans="1:13" x14ac:dyDescent="0.25">
      <c r="A364" s="1" t="str">
        <f>HYPERLINK("http://www.rosaceae.org/Prunus/Prunus_persica/p.persica_gdr_reftransV1_0000211","p.persica_gdr_reftransV1_0000211")</f>
        <v>p.persica_gdr_reftransV1_0000211</v>
      </c>
      <c r="B364" s="3">
        <v>1283</v>
      </c>
      <c r="C364" s="1" t="str">
        <f>HYPERLINK("http://www.uniprot.org/uniprot/KINB3_ARATH","KINB3_ARATH")</f>
        <v>KINB3_ARATH</v>
      </c>
      <c r="D364" t="s">
        <v>405</v>
      </c>
      <c r="E364" s="3" t="s">
        <v>3</v>
      </c>
      <c r="F364" s="4">
        <v>8.4699999999999997E-42</v>
      </c>
      <c r="G364" s="3">
        <v>376</v>
      </c>
      <c r="H364" s="3">
        <v>63</v>
      </c>
      <c r="I364" s="3">
        <v>117</v>
      </c>
      <c r="J364" s="3">
        <v>470</v>
      </c>
      <c r="K364" s="3">
        <v>820</v>
      </c>
      <c r="L364" s="3">
        <v>1</v>
      </c>
      <c r="M364" s="3">
        <v>114</v>
      </c>
    </row>
    <row r="365" spans="1:13" x14ac:dyDescent="0.25">
      <c r="A365" s="1" t="str">
        <f>HYPERLINK("http://www.rosaceae.org/Prunus/Prunus_persica/p.persica_gdr_reftransV1_0000311","p.persica_gdr_reftransV1_0000311")</f>
        <v>p.persica_gdr_reftransV1_0000311</v>
      </c>
      <c r="B365" s="3">
        <v>1256</v>
      </c>
      <c r="C365" s="1" t="str">
        <f>HYPERLINK("http://www.uniprot.org/uniprot/MDN1_DICDI","MDN1_DICDI")</f>
        <v>MDN1_DICDI</v>
      </c>
      <c r="D365" t="s">
        <v>406</v>
      </c>
      <c r="E365" s="3" t="s">
        <v>9</v>
      </c>
      <c r="F365" s="4">
        <v>1.4099999999999999E-38</v>
      </c>
      <c r="G365" s="3">
        <v>390</v>
      </c>
      <c r="H365" s="3">
        <v>32</v>
      </c>
      <c r="I365" s="3">
        <v>314</v>
      </c>
      <c r="J365" s="3">
        <v>92</v>
      </c>
      <c r="K365" s="3">
        <v>1006</v>
      </c>
      <c r="L365" s="3">
        <v>2310</v>
      </c>
      <c r="M365" s="3">
        <v>2606</v>
      </c>
    </row>
    <row r="366" spans="1:13" x14ac:dyDescent="0.25">
      <c r="A366" s="1" t="str">
        <f>HYPERLINK("http://www.rosaceae.org/Prunus/Prunus_persica/p.persica_gdr_reftransV1_0000361","p.persica_gdr_reftransV1_0000361")</f>
        <v>p.persica_gdr_reftransV1_0000361</v>
      </c>
      <c r="B366" s="3">
        <v>933</v>
      </c>
      <c r="C366" s="1" t="str">
        <f>HYPERLINK("http://www.uniprot.org/uniprot/CESA8_ARATH","CESA8_ARATH")</f>
        <v>CESA8_ARATH</v>
      </c>
      <c r="D366" t="s">
        <v>407</v>
      </c>
      <c r="E366" s="3" t="s">
        <v>3</v>
      </c>
      <c r="F366" s="4">
        <v>3.2500000000000001E-149</v>
      </c>
      <c r="G366" s="3">
        <v>1159</v>
      </c>
      <c r="H366" s="3">
        <v>73</v>
      </c>
      <c r="I366" s="3">
        <v>318</v>
      </c>
      <c r="J366" s="3">
        <v>2</v>
      </c>
      <c r="K366" s="3">
        <v>931</v>
      </c>
      <c r="L366" s="3">
        <v>21</v>
      </c>
      <c r="M366" s="3">
        <v>337</v>
      </c>
    </row>
    <row r="367" spans="1:13" x14ac:dyDescent="0.25">
      <c r="A367" s="1" t="str">
        <f>HYPERLINK("http://www.rosaceae.org/Prunus/Prunus_persica/p.persica_gdr_reftransV1_0000411","p.persica_gdr_reftransV1_0000411")</f>
        <v>p.persica_gdr_reftransV1_0000411</v>
      </c>
      <c r="B367" s="3">
        <v>2668</v>
      </c>
      <c r="C367" s="1" t="str">
        <f>HYPERLINK("http://www.uniprot.org/uniprot/CAAT2_ARATH","CAAT2_ARATH")</f>
        <v>CAAT2_ARATH</v>
      </c>
      <c r="D367" t="s">
        <v>408</v>
      </c>
      <c r="E367" s="3" t="s">
        <v>3</v>
      </c>
      <c r="F367" s="4">
        <v>0</v>
      </c>
      <c r="G367" s="3">
        <v>2418</v>
      </c>
      <c r="H367" s="3">
        <v>73</v>
      </c>
      <c r="I367" s="3">
        <v>644</v>
      </c>
      <c r="J367" s="3">
        <v>312</v>
      </c>
      <c r="K367" s="3">
        <v>2243</v>
      </c>
      <c r="L367" s="3">
        <v>1</v>
      </c>
      <c r="M367" s="3">
        <v>632</v>
      </c>
    </row>
    <row r="368" spans="1:13" x14ac:dyDescent="0.25">
      <c r="A368" s="1" t="str">
        <f>HYPERLINK("http://www.rosaceae.org/Prunus/Prunus_persica/p.persica_gdr_reftransV1_0000461","p.persica_gdr_reftransV1_0000461")</f>
        <v>p.persica_gdr_reftransV1_0000461</v>
      </c>
      <c r="B368" s="3">
        <v>959</v>
      </c>
      <c r="C368" s="1" t="str">
        <f>HYPERLINK("http://www.uniprot.org/uniprot/BTF3_HUMAN","BTF3_HUMAN")</f>
        <v>BTF3_HUMAN</v>
      </c>
      <c r="D368" t="s">
        <v>409</v>
      </c>
      <c r="E368" s="3" t="s">
        <v>28</v>
      </c>
      <c r="F368" s="4">
        <v>1.4100000000000001E-44</v>
      </c>
      <c r="G368" s="3">
        <v>396</v>
      </c>
      <c r="H368" s="3">
        <v>54</v>
      </c>
      <c r="I368" s="3">
        <v>151</v>
      </c>
      <c r="J368" s="3">
        <v>76</v>
      </c>
      <c r="K368" s="3">
        <v>525</v>
      </c>
      <c r="L368" s="3">
        <v>46</v>
      </c>
      <c r="M368" s="3">
        <v>194</v>
      </c>
    </row>
    <row r="369" spans="1:13" x14ac:dyDescent="0.25">
      <c r="A369" s="1" t="str">
        <f>HYPERLINK("http://www.rosaceae.org/Prunus/Prunus_persica/p.persica_gdr_reftransV1_0000561","p.persica_gdr_reftransV1_0000561")</f>
        <v>p.persica_gdr_reftransV1_0000561</v>
      </c>
      <c r="B369" s="3">
        <v>2137</v>
      </c>
      <c r="C369" s="1" t="str">
        <f>HYPERLINK("http://www.uniprot.org/uniprot/HSPR2_ARATH","HSPR2_ARATH")</f>
        <v>HSPR2_ARATH</v>
      </c>
      <c r="D369" t="s">
        <v>410</v>
      </c>
      <c r="E369" s="3" t="s">
        <v>3</v>
      </c>
      <c r="F369" s="4">
        <v>0</v>
      </c>
      <c r="G369" s="3">
        <v>1389</v>
      </c>
      <c r="H369" s="3">
        <v>56</v>
      </c>
      <c r="I369" s="3">
        <v>470</v>
      </c>
      <c r="J369" s="3">
        <v>583</v>
      </c>
      <c r="K369" s="3">
        <v>1989</v>
      </c>
      <c r="L369" s="3">
        <v>1</v>
      </c>
      <c r="M369" s="3">
        <v>433</v>
      </c>
    </row>
    <row r="370" spans="1:13" x14ac:dyDescent="0.25">
      <c r="A370" s="1" t="str">
        <f>HYPERLINK("http://www.rosaceae.org/Prunus/Prunus_persica/p.persica_gdr_reftransV1_0000711","p.persica_gdr_reftransV1_0000711")</f>
        <v>p.persica_gdr_reftransV1_0000711</v>
      </c>
      <c r="B370" s="3">
        <v>692</v>
      </c>
      <c r="C370" s="1" t="str">
        <f>HYPERLINK("http://www.uniprot.org/uniprot/Y1491_ARATH","Y1491_ARATH")</f>
        <v>Y1491_ARATH</v>
      </c>
      <c r="D370" t="s">
        <v>310</v>
      </c>
      <c r="E370" s="3" t="s">
        <v>3</v>
      </c>
      <c r="F370" s="4">
        <v>1.04E-114</v>
      </c>
      <c r="G370" s="3">
        <v>883</v>
      </c>
      <c r="H370" s="3">
        <v>77</v>
      </c>
      <c r="I370" s="3">
        <v>215</v>
      </c>
      <c r="J370" s="3">
        <v>3</v>
      </c>
      <c r="K370" s="3">
        <v>638</v>
      </c>
      <c r="L370" s="3">
        <v>24</v>
      </c>
      <c r="M370" s="3">
        <v>236</v>
      </c>
    </row>
    <row r="371" spans="1:13" x14ac:dyDescent="0.25">
      <c r="A371" s="1" t="str">
        <f>HYPERLINK("http://www.rosaceae.org/Prunus/Prunus_persica/p.persica_gdr_reftransV1_0000761","p.persica_gdr_reftransV1_0000761")</f>
        <v>p.persica_gdr_reftransV1_0000761</v>
      </c>
      <c r="B371" s="3">
        <v>906</v>
      </c>
      <c r="C371" s="1" t="str">
        <f>HYPERLINK("http://www.uniprot.org/uniprot/GSHRC_ARATH","GSHRC_ARATH")</f>
        <v>GSHRC_ARATH</v>
      </c>
      <c r="D371" t="s">
        <v>411</v>
      </c>
      <c r="E371" s="3" t="s">
        <v>3</v>
      </c>
      <c r="F371" s="4">
        <v>1.3E-58</v>
      </c>
      <c r="G371" s="3">
        <v>511</v>
      </c>
      <c r="H371" s="3">
        <v>80</v>
      </c>
      <c r="I371" s="3">
        <v>116</v>
      </c>
      <c r="J371" s="3">
        <v>567</v>
      </c>
      <c r="K371" s="3">
        <v>905</v>
      </c>
      <c r="L371" s="3">
        <v>1</v>
      </c>
      <c r="M371" s="3">
        <v>116</v>
      </c>
    </row>
    <row r="372" spans="1:13" x14ac:dyDescent="0.25">
      <c r="A372" s="1" t="str">
        <f>HYPERLINK("http://www.rosaceae.org/Prunus/Prunus_persica/p.persica_gdr_reftransV1_0000811","p.persica_gdr_reftransV1_0000811")</f>
        <v>p.persica_gdr_reftransV1_0000811</v>
      </c>
      <c r="B372" s="3">
        <v>769</v>
      </c>
      <c r="C372" s="1" t="str">
        <f>HYPERLINK("http://www.uniprot.org/uniprot/MUS81_ARATH","MUS81_ARATH")</f>
        <v>MUS81_ARATH</v>
      </c>
      <c r="D372" t="s">
        <v>412</v>
      </c>
      <c r="E372" s="3" t="s">
        <v>3</v>
      </c>
      <c r="F372" s="4">
        <v>3.16E-74</v>
      </c>
      <c r="G372" s="3">
        <v>623</v>
      </c>
      <c r="H372" s="3">
        <v>56</v>
      </c>
      <c r="I372" s="3">
        <v>255</v>
      </c>
      <c r="J372" s="3">
        <v>3</v>
      </c>
      <c r="K372" s="3">
        <v>767</v>
      </c>
      <c r="L372" s="3">
        <v>277</v>
      </c>
      <c r="M372" s="3">
        <v>518</v>
      </c>
    </row>
    <row r="373" spans="1:13" x14ac:dyDescent="0.25">
      <c r="A373" s="1" t="str">
        <f>HYPERLINK("http://www.rosaceae.org/Prunus/Prunus_persica/p.persica_gdr_reftransV1_0000911","p.persica_gdr_reftransV1_0000911")</f>
        <v>p.persica_gdr_reftransV1_0000911</v>
      </c>
      <c r="B373" s="3">
        <v>902</v>
      </c>
      <c r="C373" s="1" t="str">
        <f>HYPERLINK("http://www.uniprot.org/uniprot/HIP26_ARATH","HIP26_ARATH")</f>
        <v>HIP26_ARATH</v>
      </c>
      <c r="D373" t="s">
        <v>413</v>
      </c>
      <c r="E373" s="3" t="s">
        <v>3</v>
      </c>
      <c r="F373" s="4">
        <v>2.7800000000000001E-46</v>
      </c>
      <c r="G373" s="3">
        <v>402</v>
      </c>
      <c r="H373" s="3">
        <v>50</v>
      </c>
      <c r="I373" s="3">
        <v>153</v>
      </c>
      <c r="J373" s="3">
        <v>75</v>
      </c>
      <c r="K373" s="3">
        <v>527</v>
      </c>
      <c r="L373" s="3">
        <v>2</v>
      </c>
      <c r="M373" s="3">
        <v>153</v>
      </c>
    </row>
    <row r="374" spans="1:13" x14ac:dyDescent="0.25">
      <c r="A374" s="1" t="str">
        <f>HYPERLINK("http://www.rosaceae.org/Prunus/Prunus_persica/p.persica_gdr_reftransV1_0000961","p.persica_gdr_reftransV1_0000961")</f>
        <v>p.persica_gdr_reftransV1_0000961</v>
      </c>
      <c r="B374" s="3">
        <v>378</v>
      </c>
      <c r="C374" s="1" t="str">
        <f>HYPERLINK("http://www.uniprot.org/uniprot/LRSM1_HUMAN","LRSM1_HUMAN")</f>
        <v>LRSM1_HUMAN</v>
      </c>
      <c r="D374" t="s">
        <v>414</v>
      </c>
      <c r="E374" s="3" t="s">
        <v>28</v>
      </c>
      <c r="F374" s="4">
        <v>2.33E-8</v>
      </c>
      <c r="G374" s="3">
        <v>132</v>
      </c>
      <c r="H374" s="3">
        <v>43</v>
      </c>
      <c r="I374" s="3">
        <v>68</v>
      </c>
      <c r="J374" s="3">
        <v>160</v>
      </c>
      <c r="K374" s="3">
        <v>363</v>
      </c>
      <c r="L374" s="3">
        <v>99</v>
      </c>
      <c r="M374" s="3">
        <v>166</v>
      </c>
    </row>
    <row r="375" spans="1:13" x14ac:dyDescent="0.25">
      <c r="A375" s="1" t="str">
        <f>HYPERLINK("http://www.rosaceae.org/Prunus/Prunus_persica/p.persica_gdr_reftransV1_0001011","p.persica_gdr_reftransV1_0001011")</f>
        <v>p.persica_gdr_reftransV1_0001011</v>
      </c>
      <c r="B375" s="3">
        <v>318</v>
      </c>
      <c r="C375" s="1" t="str">
        <f>HYPERLINK("http://www.uniprot.org/uniprot/PTR21_ARATH","PTR21_ARATH")</f>
        <v>PTR21_ARATH</v>
      </c>
      <c r="D375" t="s">
        <v>415</v>
      </c>
      <c r="E375" s="3" t="s">
        <v>3</v>
      </c>
      <c r="F375" s="4">
        <v>3.8899999999999998E-33</v>
      </c>
      <c r="G375" s="3">
        <v>314</v>
      </c>
      <c r="H375" s="3">
        <v>51</v>
      </c>
      <c r="I375" s="3">
        <v>105</v>
      </c>
      <c r="J375" s="3">
        <v>2</v>
      </c>
      <c r="K375" s="3">
        <v>316</v>
      </c>
      <c r="L375" s="3">
        <v>460</v>
      </c>
      <c r="M375" s="3">
        <v>564</v>
      </c>
    </row>
    <row r="376" spans="1:13" x14ac:dyDescent="0.25">
      <c r="A376" s="1" t="str">
        <f>HYPERLINK("http://www.rosaceae.org/Prunus/Prunus_persica/p.persica_gdr_reftransV1_0001061","p.persica_gdr_reftransV1_0001061")</f>
        <v>p.persica_gdr_reftransV1_0001061</v>
      </c>
      <c r="B376" s="3">
        <v>1436</v>
      </c>
      <c r="C376" s="1" t="str">
        <f>HYPERLINK("http://www.uniprot.org/uniprot/BH025_ARATH","BH025_ARATH")</f>
        <v>BH025_ARATH</v>
      </c>
      <c r="D376" t="s">
        <v>416</v>
      </c>
      <c r="E376" s="3" t="s">
        <v>3</v>
      </c>
      <c r="F376" s="4">
        <v>6.1099999999999997E-60</v>
      </c>
      <c r="G376" s="3">
        <v>523</v>
      </c>
      <c r="H376" s="3">
        <v>42</v>
      </c>
      <c r="I376" s="3">
        <v>350</v>
      </c>
      <c r="J376" s="3">
        <v>178</v>
      </c>
      <c r="K376" s="3">
        <v>1209</v>
      </c>
      <c r="L376" s="3">
        <v>1</v>
      </c>
      <c r="M376" s="3">
        <v>328</v>
      </c>
    </row>
    <row r="377" spans="1:13" x14ac:dyDescent="0.25">
      <c r="A377" s="1" t="str">
        <f>HYPERLINK("http://www.rosaceae.org/Prunus/Prunus_persica/p.persica_gdr_reftransV1_0001161","p.persica_gdr_reftransV1_0001161")</f>
        <v>p.persica_gdr_reftransV1_0001161</v>
      </c>
      <c r="B377" s="3">
        <v>820</v>
      </c>
      <c r="C377" s="1" t="str">
        <f>HYPERLINK("http://www.uniprot.org/uniprot/NLTP3_PRUDU","NLTP3_PRUDU")</f>
        <v>NLTP3_PRUDU</v>
      </c>
      <c r="D377" t="s">
        <v>417</v>
      </c>
      <c r="E377" s="3" t="s">
        <v>418</v>
      </c>
      <c r="F377" s="4">
        <v>4.1700000000000002E-57</v>
      </c>
      <c r="G377" s="3">
        <v>470</v>
      </c>
      <c r="H377" s="3">
        <v>100</v>
      </c>
      <c r="I377" s="3">
        <v>123</v>
      </c>
      <c r="J377" s="3">
        <v>373</v>
      </c>
      <c r="K377" s="3">
        <v>741</v>
      </c>
      <c r="L377" s="3">
        <v>1</v>
      </c>
      <c r="M377" s="3">
        <v>123</v>
      </c>
    </row>
    <row r="378" spans="1:13" x14ac:dyDescent="0.25">
      <c r="A378" s="1" t="str">
        <f>HYPERLINK("http://www.rosaceae.org/Prunus/Prunus_persica/p.persica_gdr_reftransV1_0001261","p.persica_gdr_reftransV1_0001261")</f>
        <v>p.persica_gdr_reftransV1_0001261</v>
      </c>
      <c r="B378" s="3">
        <v>1227</v>
      </c>
      <c r="C378" s="1" t="str">
        <f>HYPERLINK("http://www.uniprot.org/uniprot/WRK21_ARATH","WRK21_ARATH")</f>
        <v>WRK21_ARATH</v>
      </c>
      <c r="D378" t="s">
        <v>419</v>
      </c>
      <c r="E378" s="3" t="s">
        <v>3</v>
      </c>
      <c r="F378" s="4">
        <v>5.7100000000000003E-46</v>
      </c>
      <c r="G378" s="3">
        <v>425</v>
      </c>
      <c r="H378" s="3">
        <v>61</v>
      </c>
      <c r="I378" s="3">
        <v>151</v>
      </c>
      <c r="J378" s="3">
        <v>189</v>
      </c>
      <c r="K378" s="3">
        <v>641</v>
      </c>
      <c r="L378" s="3">
        <v>230</v>
      </c>
      <c r="M378" s="3">
        <v>379</v>
      </c>
    </row>
    <row r="379" spans="1:13" x14ac:dyDescent="0.25">
      <c r="A379" s="1" t="str">
        <f>HYPERLINK("http://www.rosaceae.org/Prunus/Prunus_persica/p.persica_gdr_reftransV1_0001361","p.persica_gdr_reftransV1_0001361")</f>
        <v>p.persica_gdr_reftransV1_0001361</v>
      </c>
      <c r="B379" s="3">
        <v>1916</v>
      </c>
      <c r="C379" s="1" t="str">
        <f>HYPERLINK("http://www.uniprot.org/uniprot/EFTS_RICCO","EFTS_RICCO")</f>
        <v>EFTS_RICCO</v>
      </c>
      <c r="D379" t="s">
        <v>420</v>
      </c>
      <c r="E379" s="3" t="s">
        <v>421</v>
      </c>
      <c r="F379" s="4">
        <v>6.6200000000000003E-175</v>
      </c>
      <c r="G379" s="3">
        <v>1312</v>
      </c>
      <c r="H379" s="3">
        <v>77</v>
      </c>
      <c r="I379" s="3">
        <v>346</v>
      </c>
      <c r="J379" s="3">
        <v>323</v>
      </c>
      <c r="K379" s="3">
        <v>1360</v>
      </c>
      <c r="L379" s="3">
        <v>35</v>
      </c>
      <c r="M379" s="3">
        <v>378</v>
      </c>
    </row>
    <row r="380" spans="1:13" x14ac:dyDescent="0.25">
      <c r="A380" s="1" t="str">
        <f>HYPERLINK("http://www.rosaceae.org/Prunus/Prunus_persica/p.persica_gdr_reftransV1_0001411","p.persica_gdr_reftransV1_0001411")</f>
        <v>p.persica_gdr_reftransV1_0001411</v>
      </c>
      <c r="B380" s="3">
        <v>1533</v>
      </c>
      <c r="C380" s="1" t="str">
        <f>HYPERLINK("http://www.uniprot.org/uniprot/PP167_ARATH","PP167_ARATH")</f>
        <v>PP167_ARATH</v>
      </c>
      <c r="D380" t="s">
        <v>402</v>
      </c>
      <c r="E380" s="3" t="s">
        <v>3</v>
      </c>
      <c r="F380" s="4">
        <v>0</v>
      </c>
      <c r="G380" s="3">
        <v>1603</v>
      </c>
      <c r="H380" s="3">
        <v>66</v>
      </c>
      <c r="I380" s="3">
        <v>490</v>
      </c>
      <c r="J380" s="3">
        <v>68</v>
      </c>
      <c r="K380" s="3">
        <v>1531</v>
      </c>
      <c r="L380" s="3">
        <v>106</v>
      </c>
      <c r="M380" s="3">
        <v>595</v>
      </c>
    </row>
    <row r="381" spans="1:13" x14ac:dyDescent="0.25">
      <c r="A381" s="1" t="str">
        <f>HYPERLINK("http://www.rosaceae.org/Prunus/Prunus_persica/p.persica_gdr_reftransV1_0001461","p.persica_gdr_reftransV1_0001461")</f>
        <v>p.persica_gdr_reftransV1_0001461</v>
      </c>
      <c r="B381" s="3">
        <v>1163</v>
      </c>
      <c r="C381" s="1" t="str">
        <f>HYPERLINK("http://www.uniprot.org/uniprot/PP174_ARATH","PP174_ARATH")</f>
        <v>PP174_ARATH</v>
      </c>
      <c r="D381" t="s">
        <v>422</v>
      </c>
      <c r="E381" s="3" t="s">
        <v>3</v>
      </c>
      <c r="F381" s="4">
        <v>1.07E-83</v>
      </c>
      <c r="G381" s="3">
        <v>687</v>
      </c>
      <c r="H381" s="3">
        <v>46</v>
      </c>
      <c r="I381" s="3">
        <v>291</v>
      </c>
      <c r="J381" s="3">
        <v>4</v>
      </c>
      <c r="K381" s="3">
        <v>870</v>
      </c>
      <c r="L381" s="3">
        <v>148</v>
      </c>
      <c r="M381" s="3">
        <v>438</v>
      </c>
    </row>
    <row r="382" spans="1:13" x14ac:dyDescent="0.25">
      <c r="A382" s="1" t="str">
        <f>HYPERLINK("http://www.rosaceae.org/Prunus/Prunus_persica/p.persica_gdr_reftransV1_0001561","p.persica_gdr_reftransV1_0001561")</f>
        <v>p.persica_gdr_reftransV1_0001561</v>
      </c>
      <c r="B382" s="3">
        <v>2481</v>
      </c>
      <c r="C382" s="1" t="str">
        <f>HYPERLINK("http://www.uniprot.org/uniprot/PUB21_ARATH","PUB21_ARATH")</f>
        <v>PUB21_ARATH</v>
      </c>
      <c r="D382" t="s">
        <v>423</v>
      </c>
      <c r="E382" s="3" t="s">
        <v>3</v>
      </c>
      <c r="F382" s="4">
        <v>6.44E-127</v>
      </c>
      <c r="G382" s="3">
        <v>1013</v>
      </c>
      <c r="H382" s="3">
        <v>50</v>
      </c>
      <c r="I382" s="3">
        <v>416</v>
      </c>
      <c r="J382" s="3">
        <v>1047</v>
      </c>
      <c r="K382" s="3">
        <v>2288</v>
      </c>
      <c r="L382" s="3">
        <v>28</v>
      </c>
      <c r="M382" s="3">
        <v>435</v>
      </c>
    </row>
    <row r="383" spans="1:13" x14ac:dyDescent="0.25">
      <c r="A383" s="1" t="str">
        <f>HYPERLINK("http://www.rosaceae.org/Prunus/Prunus_persica/p.persica_gdr_reftransV1_0001661","p.persica_gdr_reftransV1_0001661")</f>
        <v>p.persica_gdr_reftransV1_0001661</v>
      </c>
      <c r="B383" s="3">
        <v>1549</v>
      </c>
      <c r="C383" s="1" t="str">
        <f>HYPERLINK("http://www.uniprot.org/uniprot/GDL79_ARATH","GDL79_ARATH")</f>
        <v>GDL79_ARATH</v>
      </c>
      <c r="D383" t="s">
        <v>424</v>
      </c>
      <c r="E383" s="3" t="s">
        <v>3</v>
      </c>
      <c r="F383" s="4">
        <v>0</v>
      </c>
      <c r="G383" s="3">
        <v>1364</v>
      </c>
      <c r="H383" s="3">
        <v>72</v>
      </c>
      <c r="I383" s="3">
        <v>354</v>
      </c>
      <c r="J383" s="3">
        <v>128</v>
      </c>
      <c r="K383" s="3">
        <v>1189</v>
      </c>
      <c r="L383" s="3">
        <v>13</v>
      </c>
      <c r="M383" s="3">
        <v>366</v>
      </c>
    </row>
    <row r="384" spans="1:13" x14ac:dyDescent="0.25">
      <c r="A384" s="1" t="str">
        <f>HYPERLINK("http://www.rosaceae.org/Prunus/Prunus_persica/p.persica_gdr_reftransV1_0001761","p.persica_gdr_reftransV1_0001761")</f>
        <v>p.persica_gdr_reftransV1_0001761</v>
      </c>
      <c r="B384" s="3">
        <v>488</v>
      </c>
      <c r="C384" s="1" t="str">
        <f>HYPERLINK("http://www.uniprot.org/uniprot/H2A4_ORYSJ","H2A4_ORYSJ")</f>
        <v>H2A4_ORYSJ</v>
      </c>
      <c r="D384" t="s">
        <v>425</v>
      </c>
      <c r="E384" s="3" t="s">
        <v>38</v>
      </c>
      <c r="F384" s="4">
        <v>6.8200000000000002E-13</v>
      </c>
      <c r="G384" s="3">
        <v>161</v>
      </c>
      <c r="H384" s="3">
        <v>94</v>
      </c>
      <c r="I384" s="3">
        <v>33</v>
      </c>
      <c r="J384" s="3">
        <v>251</v>
      </c>
      <c r="K384" s="3">
        <v>349</v>
      </c>
      <c r="L384" s="3">
        <v>28</v>
      </c>
      <c r="M384" s="3">
        <v>60</v>
      </c>
    </row>
    <row r="385" spans="1:13" x14ac:dyDescent="0.25">
      <c r="A385" s="1" t="str">
        <f>HYPERLINK("http://www.rosaceae.org/Prunus/Prunus_persica/p.persica_gdr_reftransV1_0001811","p.persica_gdr_reftransV1_0001811")</f>
        <v>p.persica_gdr_reftransV1_0001811</v>
      </c>
      <c r="B385" s="3">
        <v>2011</v>
      </c>
      <c r="C385" s="1" t="str">
        <f>HYPERLINK("http://www.uniprot.org/uniprot/DCE1_ARATH","DCE1_ARATH")</f>
        <v>DCE1_ARATH</v>
      </c>
      <c r="D385" t="s">
        <v>426</v>
      </c>
      <c r="E385" s="3" t="s">
        <v>3</v>
      </c>
      <c r="F385" s="4">
        <v>0</v>
      </c>
      <c r="G385" s="3">
        <v>2331</v>
      </c>
      <c r="H385" s="3">
        <v>85</v>
      </c>
      <c r="I385" s="3">
        <v>510</v>
      </c>
      <c r="J385" s="3">
        <v>219</v>
      </c>
      <c r="K385" s="3">
        <v>1748</v>
      </c>
      <c r="L385" s="3">
        <v>1</v>
      </c>
      <c r="M385" s="3">
        <v>502</v>
      </c>
    </row>
    <row r="386" spans="1:13" x14ac:dyDescent="0.25">
      <c r="A386" s="1" t="str">
        <f>HYPERLINK("http://www.rosaceae.org/Prunus/Prunus_persica/p.persica_gdr_reftransV1_0002011","p.persica_gdr_reftransV1_0002011")</f>
        <v>p.persica_gdr_reftransV1_0002011</v>
      </c>
      <c r="B386" s="3">
        <v>1291</v>
      </c>
      <c r="C386" s="1" t="str">
        <f>HYPERLINK("http://www.uniprot.org/uniprot/NDHK_MORIN","NDHK_MORIN")</f>
        <v>NDHK_MORIN</v>
      </c>
      <c r="D386" t="s">
        <v>427</v>
      </c>
      <c r="E386" s="3" t="s">
        <v>69</v>
      </c>
      <c r="F386" s="4">
        <v>1.03E-155</v>
      </c>
      <c r="G386" s="3">
        <v>1148</v>
      </c>
      <c r="H386" s="3">
        <v>96</v>
      </c>
      <c r="I386" s="3">
        <v>226</v>
      </c>
      <c r="J386" s="3">
        <v>477</v>
      </c>
      <c r="K386" s="3">
        <v>1154</v>
      </c>
      <c r="L386" s="3">
        <v>1</v>
      </c>
      <c r="M386" s="3">
        <v>226</v>
      </c>
    </row>
    <row r="387" spans="1:13" x14ac:dyDescent="0.25">
      <c r="A387" s="1" t="str">
        <f>HYPERLINK("http://www.rosaceae.org/Prunus/Prunus_persica/p.persica_gdr_reftransV1_0002061","p.persica_gdr_reftransV1_0002061")</f>
        <v>p.persica_gdr_reftransV1_0002061</v>
      </c>
      <c r="B387" s="3">
        <v>1630</v>
      </c>
      <c r="C387" s="1" t="str">
        <f>HYPERLINK("http://www.uniprot.org/uniprot/IAA27_ARATH","IAA27_ARATH")</f>
        <v>IAA27_ARATH</v>
      </c>
      <c r="D387" t="s">
        <v>364</v>
      </c>
      <c r="E387" s="3" t="s">
        <v>3</v>
      </c>
      <c r="F387" s="4">
        <v>4.7500000000000001E-89</v>
      </c>
      <c r="G387" s="3">
        <v>723</v>
      </c>
      <c r="H387" s="3">
        <v>52</v>
      </c>
      <c r="I387" s="3">
        <v>352</v>
      </c>
      <c r="J387" s="3">
        <v>221</v>
      </c>
      <c r="K387" s="3">
        <v>1231</v>
      </c>
      <c r="L387" s="3">
        <v>3</v>
      </c>
      <c r="M387" s="3">
        <v>305</v>
      </c>
    </row>
    <row r="388" spans="1:13" x14ac:dyDescent="0.25">
      <c r="A388" s="1" t="str">
        <f>HYPERLINK("http://www.rosaceae.org/Prunus/Prunus_persica/p.persica_gdr_reftransV1_0002111","p.persica_gdr_reftransV1_0002111")</f>
        <v>p.persica_gdr_reftransV1_0002111</v>
      </c>
      <c r="B388" s="3">
        <v>345</v>
      </c>
      <c r="C388" s="1" t="str">
        <f>HYPERLINK("http://www.uniprot.org/uniprot/MYO16_ARATH","MYO16_ARATH")</f>
        <v>MYO16_ARATH</v>
      </c>
      <c r="D388" t="s">
        <v>428</v>
      </c>
      <c r="E388" s="3" t="s">
        <v>3</v>
      </c>
      <c r="F388" s="4">
        <v>7.2700000000000006E-18</v>
      </c>
      <c r="G388" s="3">
        <v>205</v>
      </c>
      <c r="H388" s="3">
        <v>41</v>
      </c>
      <c r="I388" s="3">
        <v>106</v>
      </c>
      <c r="J388" s="3">
        <v>8</v>
      </c>
      <c r="K388" s="3">
        <v>319</v>
      </c>
      <c r="L388" s="3">
        <v>744</v>
      </c>
      <c r="M388" s="3">
        <v>849</v>
      </c>
    </row>
    <row r="389" spans="1:13" x14ac:dyDescent="0.25">
      <c r="A389" s="1" t="str">
        <f>HYPERLINK("http://www.rosaceae.org/Prunus/Prunus_persica/p.persica_gdr_reftransV1_0002161","p.persica_gdr_reftransV1_0002161")</f>
        <v>p.persica_gdr_reftransV1_0002161</v>
      </c>
      <c r="B389" s="3">
        <v>730</v>
      </c>
      <c r="C389" s="1" t="str">
        <f>HYPERLINK("http://www.uniprot.org/uniprot/IMPA4_ARATH","IMPA4_ARATH")</f>
        <v>IMPA4_ARATH</v>
      </c>
      <c r="D389" t="s">
        <v>429</v>
      </c>
      <c r="E389" s="3" t="s">
        <v>3</v>
      </c>
      <c r="F389" s="4">
        <v>3.4000000000000001E-98</v>
      </c>
      <c r="G389" s="3">
        <v>776</v>
      </c>
      <c r="H389" s="3">
        <v>82</v>
      </c>
      <c r="I389" s="3">
        <v>187</v>
      </c>
      <c r="J389" s="3">
        <v>107</v>
      </c>
      <c r="K389" s="3">
        <v>652</v>
      </c>
      <c r="L389" s="3">
        <v>1</v>
      </c>
      <c r="M389" s="3">
        <v>186</v>
      </c>
    </row>
    <row r="390" spans="1:13" x14ac:dyDescent="0.25">
      <c r="A390" s="1" t="str">
        <f>HYPERLINK("http://www.rosaceae.org/Prunus/Prunus_persica/p.persica_gdr_reftransV1_0002211","p.persica_gdr_reftransV1_0002211")</f>
        <v>p.persica_gdr_reftransV1_0002211</v>
      </c>
      <c r="B390" s="3">
        <v>942</v>
      </c>
      <c r="C390" s="1" t="str">
        <f>HYPERLINK("http://www.uniprot.org/uniprot/USPAL_ARATH","USPAL_ARATH")</f>
        <v>USPAL_ARATH</v>
      </c>
      <c r="D390" t="s">
        <v>430</v>
      </c>
      <c r="E390" s="3" t="s">
        <v>3</v>
      </c>
      <c r="F390" s="4">
        <v>2.9299999999999998E-12</v>
      </c>
      <c r="G390" s="3">
        <v>164</v>
      </c>
      <c r="H390" s="3">
        <v>28</v>
      </c>
      <c r="I390" s="3">
        <v>158</v>
      </c>
      <c r="J390" s="3">
        <v>117</v>
      </c>
      <c r="K390" s="3">
        <v>560</v>
      </c>
      <c r="L390" s="3">
        <v>8</v>
      </c>
      <c r="M390" s="3">
        <v>163</v>
      </c>
    </row>
    <row r="391" spans="1:13" x14ac:dyDescent="0.25">
      <c r="A391" s="1" t="str">
        <f>HYPERLINK("http://www.rosaceae.org/Prunus/Prunus_persica/p.persica_gdr_reftransV1_0002261","p.persica_gdr_reftransV1_0002261")</f>
        <v>p.persica_gdr_reftransV1_0002261</v>
      </c>
      <c r="B391" s="3">
        <v>845</v>
      </c>
      <c r="C391" s="1" t="str">
        <f>HYPERLINK("http://www.uniprot.org/uniprot/RS191_ARATH","RS191_ARATH")</f>
        <v>RS191_ARATH</v>
      </c>
      <c r="D391" t="s">
        <v>431</v>
      </c>
      <c r="E391" s="3" t="s">
        <v>3</v>
      </c>
      <c r="F391" s="4">
        <v>3.38E-89</v>
      </c>
      <c r="G391" s="3">
        <v>685</v>
      </c>
      <c r="H391" s="3">
        <v>88</v>
      </c>
      <c r="I391" s="3">
        <v>143</v>
      </c>
      <c r="J391" s="3">
        <v>320</v>
      </c>
      <c r="K391" s="3">
        <v>748</v>
      </c>
      <c r="L391" s="3">
        <v>1</v>
      </c>
      <c r="M391" s="3">
        <v>143</v>
      </c>
    </row>
    <row r="392" spans="1:13" x14ac:dyDescent="0.25">
      <c r="A392" s="1" t="str">
        <f>HYPERLINK("http://www.rosaceae.org/Prunus/Prunus_persica/p.persica_gdr_reftransV1_0002311","p.persica_gdr_reftransV1_0002311")</f>
        <v>p.persica_gdr_reftransV1_0002311</v>
      </c>
      <c r="B392" s="3">
        <v>1225</v>
      </c>
      <c r="C392" s="1" t="str">
        <f>HYPERLINK("http://www.uniprot.org/uniprot/ATL54_ARATH","ATL54_ARATH")</f>
        <v>ATL54_ARATH</v>
      </c>
      <c r="D392" t="s">
        <v>432</v>
      </c>
      <c r="E392" s="3" t="s">
        <v>3</v>
      </c>
      <c r="F392" s="4">
        <v>4.0400000000000003E-42</v>
      </c>
      <c r="G392" s="3">
        <v>399</v>
      </c>
      <c r="H392" s="3">
        <v>74</v>
      </c>
      <c r="I392" s="3">
        <v>92</v>
      </c>
      <c r="J392" s="3">
        <v>226</v>
      </c>
      <c r="K392" s="3">
        <v>501</v>
      </c>
      <c r="L392" s="3">
        <v>131</v>
      </c>
      <c r="M392" s="3">
        <v>222</v>
      </c>
    </row>
    <row r="393" spans="1:13" x14ac:dyDescent="0.25">
      <c r="A393" s="1" t="str">
        <f>HYPERLINK("http://www.rosaceae.org/Prunus/Prunus_persica/p.persica_gdr_reftransV1_0002361","p.persica_gdr_reftransV1_0002361")</f>
        <v>p.persica_gdr_reftransV1_0002361</v>
      </c>
      <c r="B393" s="3">
        <v>2545</v>
      </c>
      <c r="C393" s="1" t="str">
        <f>HYPERLINK("http://www.uniprot.org/uniprot/RBR_RICCO","RBR_RICCO")</f>
        <v>RBR_RICCO</v>
      </c>
      <c r="D393" t="s">
        <v>433</v>
      </c>
      <c r="E393" s="3" t="s">
        <v>421</v>
      </c>
      <c r="F393" s="4">
        <v>0</v>
      </c>
      <c r="G393" s="3">
        <v>3195</v>
      </c>
      <c r="H393" s="3">
        <v>83</v>
      </c>
      <c r="I393" s="3">
        <v>768</v>
      </c>
      <c r="J393" s="3">
        <v>2</v>
      </c>
      <c r="K393" s="3">
        <v>2293</v>
      </c>
      <c r="L393" s="3">
        <v>28</v>
      </c>
      <c r="M393" s="3">
        <v>791</v>
      </c>
    </row>
    <row r="394" spans="1:13" x14ac:dyDescent="0.25">
      <c r="A394" s="1" t="str">
        <f>HYPERLINK("http://www.rosaceae.org/Prunus/Prunus_persica/p.persica_gdr_reftransV1_0002411","p.persica_gdr_reftransV1_0002411")</f>
        <v>p.persica_gdr_reftransV1_0002411</v>
      </c>
      <c r="B394" s="3">
        <v>413</v>
      </c>
      <c r="C394" s="1" t="str">
        <f>HYPERLINK("http://www.uniprot.org/uniprot/QAY_NEUCR","QAY_NEUCR")</f>
        <v>QAY_NEUCR</v>
      </c>
      <c r="D394" t="s">
        <v>434</v>
      </c>
      <c r="E394" s="3" t="s">
        <v>435</v>
      </c>
      <c r="F394" s="4">
        <v>2.6300000000000001E-15</v>
      </c>
      <c r="G394" s="3">
        <v>186</v>
      </c>
      <c r="H394" s="3">
        <v>40</v>
      </c>
      <c r="I394" s="3">
        <v>120</v>
      </c>
      <c r="J394" s="3">
        <v>25</v>
      </c>
      <c r="K394" s="3">
        <v>357</v>
      </c>
      <c r="L394" s="3">
        <v>5</v>
      </c>
      <c r="M394" s="3">
        <v>121</v>
      </c>
    </row>
    <row r="395" spans="1:13" x14ac:dyDescent="0.25">
      <c r="A395" s="1" t="str">
        <f>HYPERLINK("http://www.rosaceae.org/Prunus/Prunus_persica/p.persica_gdr_reftransV1_0002461","p.persica_gdr_reftransV1_0002461")</f>
        <v>p.persica_gdr_reftransV1_0002461</v>
      </c>
      <c r="B395" s="3">
        <v>864</v>
      </c>
      <c r="C395" s="1" t="str">
        <f>HYPERLINK("http://www.uniprot.org/uniprot/PSBW_ARATH","PSBW_ARATH")</f>
        <v>PSBW_ARATH</v>
      </c>
      <c r="D395" t="s">
        <v>436</v>
      </c>
      <c r="E395" s="3" t="s">
        <v>3</v>
      </c>
      <c r="F395" s="4">
        <v>4.3599999999999996E-25</v>
      </c>
      <c r="G395" s="3">
        <v>254</v>
      </c>
      <c r="H395" s="3">
        <v>64</v>
      </c>
      <c r="I395" s="3">
        <v>105</v>
      </c>
      <c r="J395" s="3">
        <v>365</v>
      </c>
      <c r="K395" s="3">
        <v>673</v>
      </c>
      <c r="L395" s="3">
        <v>18</v>
      </c>
      <c r="M395" s="3">
        <v>120</v>
      </c>
    </row>
    <row r="396" spans="1:13" x14ac:dyDescent="0.25">
      <c r="A396" s="1" t="str">
        <f>HYPERLINK("http://www.rosaceae.org/Prunus/Prunus_persica/p.persica_gdr_reftransV1_0002661","p.persica_gdr_reftransV1_0002661")</f>
        <v>p.persica_gdr_reftransV1_0002661</v>
      </c>
      <c r="B396" s="3">
        <v>2057</v>
      </c>
      <c r="C396" s="1" t="str">
        <f>HYPERLINK("http://www.uniprot.org/uniprot/ASPG2_ARATH","ASPG2_ARATH")</f>
        <v>ASPG2_ARATH</v>
      </c>
      <c r="D396" t="s">
        <v>437</v>
      </c>
      <c r="E396" s="3" t="s">
        <v>3</v>
      </c>
      <c r="F396" s="4">
        <v>1.4299999999999999E-57</v>
      </c>
      <c r="G396" s="3">
        <v>528</v>
      </c>
      <c r="H396" s="3">
        <v>36</v>
      </c>
      <c r="I396" s="3">
        <v>437</v>
      </c>
      <c r="J396" s="3">
        <v>253</v>
      </c>
      <c r="K396" s="3">
        <v>1536</v>
      </c>
      <c r="L396" s="3">
        <v>50</v>
      </c>
      <c r="M396" s="3">
        <v>470</v>
      </c>
    </row>
    <row r="397" spans="1:13" x14ac:dyDescent="0.25">
      <c r="A397" s="1" t="str">
        <f>HYPERLINK("http://www.rosaceae.org/Prunus/Prunus_persica/p.persica_gdr_reftransV1_0002761","p.persica_gdr_reftransV1_0002761")</f>
        <v>p.persica_gdr_reftransV1_0002761</v>
      </c>
      <c r="B397" s="3">
        <v>392</v>
      </c>
      <c r="C397" s="1" t="str">
        <f>HYPERLINK("http://www.uniprot.org/uniprot/GLNA_GIBFU","GLNA_GIBFU")</f>
        <v>GLNA_GIBFU</v>
      </c>
      <c r="D397" t="s">
        <v>438</v>
      </c>
      <c r="E397" s="3" t="s">
        <v>439</v>
      </c>
      <c r="F397" s="4">
        <v>2.5300000000000002E-87</v>
      </c>
      <c r="G397" s="3">
        <v>676</v>
      </c>
      <c r="H397" s="3">
        <v>97</v>
      </c>
      <c r="I397" s="3">
        <v>130</v>
      </c>
      <c r="J397" s="3">
        <v>2</v>
      </c>
      <c r="K397" s="3">
        <v>391</v>
      </c>
      <c r="L397" s="3">
        <v>152</v>
      </c>
      <c r="M397" s="3">
        <v>280</v>
      </c>
    </row>
    <row r="398" spans="1:13" x14ac:dyDescent="0.25">
      <c r="A398" s="1" t="str">
        <f>HYPERLINK("http://www.rosaceae.org/Prunus/Prunus_persica/p.persica_gdr_reftransV1_0002811","p.persica_gdr_reftransV1_0002811")</f>
        <v>p.persica_gdr_reftransV1_0002811</v>
      </c>
      <c r="B398" s="3">
        <v>322</v>
      </c>
      <c r="C398" s="1" t="str">
        <f>HYPERLINK("http://www.uniprot.org/uniprot/MDL2_PRUSE","MDL2_PRUSE")</f>
        <v>MDL2_PRUSE</v>
      </c>
      <c r="D398" t="s">
        <v>440</v>
      </c>
      <c r="E398" s="3" t="s">
        <v>441</v>
      </c>
      <c r="F398" s="4">
        <v>1.52E-47</v>
      </c>
      <c r="G398" s="3">
        <v>416</v>
      </c>
      <c r="H398" s="3">
        <v>92</v>
      </c>
      <c r="I398" s="3">
        <v>106</v>
      </c>
      <c r="J398" s="3">
        <v>3</v>
      </c>
      <c r="K398" s="3">
        <v>320</v>
      </c>
      <c r="L398" s="3">
        <v>326</v>
      </c>
      <c r="M398" s="3">
        <v>431</v>
      </c>
    </row>
    <row r="399" spans="1:13" x14ac:dyDescent="0.25">
      <c r="A399" s="1" t="str">
        <f>HYPERLINK("http://www.rosaceae.org/Prunus/Prunus_persica/p.persica_gdr_reftransV1_0002861","p.persica_gdr_reftransV1_0002861")</f>
        <v>p.persica_gdr_reftransV1_0002861</v>
      </c>
      <c r="B399" s="3">
        <v>2002</v>
      </c>
      <c r="C399" s="1" t="str">
        <f>HYPERLINK("http://www.uniprot.org/uniprot/AFC1_ARATH","AFC1_ARATH")</f>
        <v>AFC1_ARATH</v>
      </c>
      <c r="D399" t="s">
        <v>442</v>
      </c>
      <c r="E399" s="3" t="s">
        <v>3</v>
      </c>
      <c r="F399" s="4">
        <v>0</v>
      </c>
      <c r="G399" s="3">
        <v>1928</v>
      </c>
      <c r="H399" s="3">
        <v>83</v>
      </c>
      <c r="I399" s="3">
        <v>429</v>
      </c>
      <c r="J399" s="3">
        <v>524</v>
      </c>
      <c r="K399" s="3">
        <v>1795</v>
      </c>
      <c r="L399" s="3">
        <v>17</v>
      </c>
      <c r="M399" s="3">
        <v>445</v>
      </c>
    </row>
    <row r="400" spans="1:13" x14ac:dyDescent="0.25">
      <c r="A400" s="1" t="str">
        <f>HYPERLINK("http://www.rosaceae.org/Prunus/Prunus_persica/p.persica_gdr_reftransV1_0003061","p.persica_gdr_reftransV1_0003061")</f>
        <v>p.persica_gdr_reftransV1_0003061</v>
      </c>
      <c r="B400" s="3">
        <v>4051</v>
      </c>
      <c r="C400" s="1" t="str">
        <f>HYPERLINK("http://www.uniprot.org/uniprot/AML1_ARATH","AML1_ARATH")</f>
        <v>AML1_ARATH</v>
      </c>
      <c r="D400" t="s">
        <v>443</v>
      </c>
      <c r="E400" s="3" t="s">
        <v>3</v>
      </c>
      <c r="F400" s="4">
        <v>0</v>
      </c>
      <c r="G400" s="3">
        <v>2068</v>
      </c>
      <c r="H400" s="3">
        <v>51</v>
      </c>
      <c r="I400" s="3">
        <v>976</v>
      </c>
      <c r="J400" s="3">
        <v>562</v>
      </c>
      <c r="K400" s="3">
        <v>3471</v>
      </c>
      <c r="L400" s="3">
        <v>1</v>
      </c>
      <c r="M400" s="3">
        <v>899</v>
      </c>
    </row>
    <row r="401" spans="1:13" x14ac:dyDescent="0.25">
      <c r="A401" s="1" t="str">
        <f>HYPERLINK("http://www.rosaceae.org/Prunus/Prunus_persica/p.persica_gdr_reftransV1_0003111","p.persica_gdr_reftransV1_0003111")</f>
        <v>p.persica_gdr_reftransV1_0003111</v>
      </c>
      <c r="B401" s="3">
        <v>1114</v>
      </c>
      <c r="C401" s="1" t="str">
        <f>HYPERLINK("http://www.uniprot.org/uniprot/PP321_ARATH","PP321_ARATH")</f>
        <v>PP321_ARATH</v>
      </c>
      <c r="D401" t="s">
        <v>444</v>
      </c>
      <c r="E401" s="3" t="s">
        <v>3</v>
      </c>
      <c r="F401" s="4">
        <v>1.95E-108</v>
      </c>
      <c r="G401" s="3">
        <v>859</v>
      </c>
      <c r="H401" s="3">
        <v>42</v>
      </c>
      <c r="I401" s="3">
        <v>370</v>
      </c>
      <c r="J401" s="3">
        <v>1</v>
      </c>
      <c r="K401" s="3">
        <v>1110</v>
      </c>
      <c r="L401" s="3">
        <v>141</v>
      </c>
      <c r="M401" s="3">
        <v>508</v>
      </c>
    </row>
    <row r="402" spans="1:13" x14ac:dyDescent="0.25">
      <c r="A402" s="1" t="str">
        <f>HYPERLINK("http://www.rosaceae.org/Prunus/Prunus_persica/p.persica_gdr_reftransV1_0003161","p.persica_gdr_reftransV1_0003161")</f>
        <v>p.persica_gdr_reftransV1_0003161</v>
      </c>
      <c r="B402" s="3">
        <v>1986</v>
      </c>
      <c r="C402" s="1" t="str">
        <f>HYPERLINK("http://www.uniprot.org/uniprot/RH5_ORYSJ","RH5_ORYSJ")</f>
        <v>RH5_ORYSJ</v>
      </c>
      <c r="D402" t="s">
        <v>445</v>
      </c>
      <c r="E402" s="3" t="s">
        <v>38</v>
      </c>
      <c r="F402" s="4">
        <v>0</v>
      </c>
      <c r="G402" s="3">
        <v>1867</v>
      </c>
      <c r="H402" s="3">
        <v>75</v>
      </c>
      <c r="I402" s="3">
        <v>463</v>
      </c>
      <c r="J402" s="3">
        <v>370</v>
      </c>
      <c r="K402" s="3">
        <v>1746</v>
      </c>
      <c r="L402" s="3">
        <v>50</v>
      </c>
      <c r="M402" s="3">
        <v>512</v>
      </c>
    </row>
    <row r="403" spans="1:13" x14ac:dyDescent="0.25">
      <c r="A403" s="1" t="str">
        <f>HYPERLINK("http://www.rosaceae.org/Prunus/Prunus_persica/p.persica_gdr_reftransV1_0003361","p.persica_gdr_reftransV1_0003361")</f>
        <v>p.persica_gdr_reftransV1_0003361</v>
      </c>
      <c r="B403" s="3">
        <v>756</v>
      </c>
      <c r="C403" s="1" t="str">
        <f>HYPERLINK("http://www.uniprot.org/uniprot/AB15B_ARATH","AB15B_ARATH")</f>
        <v>AB15B_ARATH</v>
      </c>
      <c r="D403" t="s">
        <v>446</v>
      </c>
      <c r="E403" s="3" t="s">
        <v>3</v>
      </c>
      <c r="F403" s="4">
        <v>1.02E-109</v>
      </c>
      <c r="G403" s="3">
        <v>894</v>
      </c>
      <c r="H403" s="3">
        <v>80</v>
      </c>
      <c r="I403" s="3">
        <v>252</v>
      </c>
      <c r="J403" s="3">
        <v>1</v>
      </c>
      <c r="K403" s="3">
        <v>756</v>
      </c>
      <c r="L403" s="3">
        <v>296</v>
      </c>
      <c r="M403" s="3">
        <v>547</v>
      </c>
    </row>
    <row r="404" spans="1:13" x14ac:dyDescent="0.25">
      <c r="A404" s="1" t="str">
        <f>HYPERLINK("http://www.rosaceae.org/Prunus/Prunus_persica/p.persica_gdr_reftransV1_0003411","p.persica_gdr_reftransV1_0003411")</f>
        <v>p.persica_gdr_reftransV1_0003411</v>
      </c>
      <c r="B404" s="3">
        <v>1547</v>
      </c>
      <c r="C404" s="1" t="str">
        <f>HYPERLINK("http://www.uniprot.org/uniprot/LPAAT_ARATH","LPAAT_ARATH")</f>
        <v>LPAAT_ARATH</v>
      </c>
      <c r="D404" t="s">
        <v>447</v>
      </c>
      <c r="E404" s="3" t="s">
        <v>3</v>
      </c>
      <c r="F404" s="4">
        <v>3.6599999999999999E-157</v>
      </c>
      <c r="G404" s="3">
        <v>974</v>
      </c>
      <c r="H404" s="3">
        <v>79</v>
      </c>
      <c r="I404" s="3">
        <v>244</v>
      </c>
      <c r="J404" s="3">
        <v>301</v>
      </c>
      <c r="K404" s="3">
        <v>1029</v>
      </c>
      <c r="L404" s="3">
        <v>172</v>
      </c>
      <c r="M404" s="3">
        <v>415</v>
      </c>
    </row>
    <row r="405" spans="1:13" x14ac:dyDescent="0.25">
      <c r="A405" s="1" t="str">
        <f>HYPERLINK("http://www.rosaceae.org/Prunus/Prunus_persica/p.persica_gdr_reftransV1_0003461","p.persica_gdr_reftransV1_0003461")</f>
        <v>p.persica_gdr_reftransV1_0003461</v>
      </c>
      <c r="B405" s="3">
        <v>2327</v>
      </c>
      <c r="C405" s="1" t="str">
        <f>HYPERLINK("http://www.uniprot.org/uniprot/CRK26_ARATH","CRK26_ARATH")</f>
        <v>CRK26_ARATH</v>
      </c>
      <c r="D405" t="s">
        <v>448</v>
      </c>
      <c r="E405" s="3" t="s">
        <v>3</v>
      </c>
      <c r="F405" s="4">
        <v>4.3299999999999999E-173</v>
      </c>
      <c r="G405" s="3">
        <v>1340</v>
      </c>
      <c r="H405" s="3">
        <v>47</v>
      </c>
      <c r="I405" s="3">
        <v>609</v>
      </c>
      <c r="J405" s="3">
        <v>256</v>
      </c>
      <c r="K405" s="3">
        <v>2040</v>
      </c>
      <c r="L405" s="3">
        <v>31</v>
      </c>
      <c r="M405" s="3">
        <v>639</v>
      </c>
    </row>
    <row r="406" spans="1:13" x14ac:dyDescent="0.25">
      <c r="A406" s="1" t="str">
        <f>HYPERLINK("http://www.rosaceae.org/Prunus/Prunus_persica/p.persica_gdr_reftransV1_0003661","p.persica_gdr_reftransV1_0003661")</f>
        <v>p.persica_gdr_reftransV1_0003661</v>
      </c>
      <c r="B406" s="3">
        <v>363</v>
      </c>
      <c r="C406" s="1" t="str">
        <f>HYPERLINK("http://www.uniprot.org/uniprot/PME67_ARATH","PME67_ARATH")</f>
        <v>PME67_ARATH</v>
      </c>
      <c r="D406" t="s">
        <v>449</v>
      </c>
      <c r="E406" s="3" t="s">
        <v>3</v>
      </c>
      <c r="F406" s="4">
        <v>4.34E-51</v>
      </c>
      <c r="G406" s="3">
        <v>432</v>
      </c>
      <c r="H406" s="3">
        <v>65</v>
      </c>
      <c r="I406" s="3">
        <v>118</v>
      </c>
      <c r="J406" s="3">
        <v>2</v>
      </c>
      <c r="K406" s="3">
        <v>355</v>
      </c>
      <c r="L406" s="3">
        <v>223</v>
      </c>
      <c r="M406" s="3">
        <v>339</v>
      </c>
    </row>
    <row r="407" spans="1:13" x14ac:dyDescent="0.25">
      <c r="A407" s="1" t="str">
        <f>HYPERLINK("http://www.rosaceae.org/Prunus/Prunus_persica/p.persica_gdr_reftransV1_0003711","p.persica_gdr_reftransV1_0003711")</f>
        <v>p.persica_gdr_reftransV1_0003711</v>
      </c>
      <c r="B407" s="3">
        <v>1545</v>
      </c>
      <c r="C407" s="1" t="str">
        <f>HYPERLINK("http://www.uniprot.org/uniprot/EXPA4_ARATH","EXPA4_ARATH")</f>
        <v>EXPA4_ARATH</v>
      </c>
      <c r="D407" t="s">
        <v>450</v>
      </c>
      <c r="E407" s="3" t="s">
        <v>3</v>
      </c>
      <c r="F407" s="4">
        <v>5.4900000000000004E-159</v>
      </c>
      <c r="G407" s="3">
        <v>1182</v>
      </c>
      <c r="H407" s="3">
        <v>88</v>
      </c>
      <c r="I407" s="3">
        <v>244</v>
      </c>
      <c r="J407" s="3">
        <v>644</v>
      </c>
      <c r="K407" s="3">
        <v>1375</v>
      </c>
      <c r="L407" s="3">
        <v>14</v>
      </c>
      <c r="M407" s="3">
        <v>257</v>
      </c>
    </row>
    <row r="408" spans="1:13" x14ac:dyDescent="0.25">
      <c r="A408" s="1" t="str">
        <f>HYPERLINK("http://www.rosaceae.org/Prunus/Prunus_persica/p.persica_gdr_reftransV1_0003761","p.persica_gdr_reftransV1_0003761")</f>
        <v>p.persica_gdr_reftransV1_0003761</v>
      </c>
      <c r="B408" s="3">
        <v>391</v>
      </c>
      <c r="C408" s="1" t="str">
        <f>HYPERLINK("http://www.uniprot.org/uniprot/TMVRN_NICGU","TMVRN_NICGU")</f>
        <v>TMVRN_NICGU</v>
      </c>
      <c r="D408" t="s">
        <v>151</v>
      </c>
      <c r="E408" s="3" t="s">
        <v>152</v>
      </c>
      <c r="F408" s="4">
        <v>8.9699999999999994E-37</v>
      </c>
      <c r="G408" s="3">
        <v>348</v>
      </c>
      <c r="H408" s="3">
        <v>58</v>
      </c>
      <c r="I408" s="3">
        <v>113</v>
      </c>
      <c r="J408" s="3">
        <v>3</v>
      </c>
      <c r="K408" s="3">
        <v>338</v>
      </c>
      <c r="L408" s="3">
        <v>12</v>
      </c>
      <c r="M408" s="3">
        <v>124</v>
      </c>
    </row>
    <row r="409" spans="1:13" x14ac:dyDescent="0.25">
      <c r="A409" s="1" t="str">
        <f>HYPERLINK("http://www.rosaceae.org/Prunus/Prunus_persica/p.persica_gdr_reftransV1_0004111","p.persica_gdr_reftransV1_0004111")</f>
        <v>p.persica_gdr_reftransV1_0004111</v>
      </c>
      <c r="B409" s="3">
        <v>1384</v>
      </c>
      <c r="C409" s="1" t="str">
        <f>HYPERLINK("http://www.uniprot.org/uniprot/DHQSD_ARATH","DHQSD_ARATH")</f>
        <v>DHQSD_ARATH</v>
      </c>
      <c r="D409" t="s">
        <v>451</v>
      </c>
      <c r="E409" s="3" t="s">
        <v>3</v>
      </c>
      <c r="F409" s="4">
        <v>6.5500000000000003E-155</v>
      </c>
      <c r="G409" s="3">
        <v>1183</v>
      </c>
      <c r="H409" s="3">
        <v>63</v>
      </c>
      <c r="I409" s="3">
        <v>375</v>
      </c>
      <c r="J409" s="3">
        <v>266</v>
      </c>
      <c r="K409" s="3">
        <v>1384</v>
      </c>
      <c r="L409" s="3">
        <v>228</v>
      </c>
      <c r="M409" s="3">
        <v>602</v>
      </c>
    </row>
    <row r="410" spans="1:13" x14ac:dyDescent="0.25">
      <c r="A410" s="1" t="str">
        <f>HYPERLINK("http://www.rosaceae.org/Prunus/Prunus_persica/p.persica_gdr_reftransV1_0004161","p.persica_gdr_reftransV1_0004161")</f>
        <v>p.persica_gdr_reftransV1_0004161</v>
      </c>
      <c r="B410" s="3">
        <v>3479</v>
      </c>
      <c r="C410" s="1" t="str">
        <f>HYPERLINK("http://www.uniprot.org/uniprot/DRL28_ARATH","DRL28_ARATH")</f>
        <v>DRL28_ARATH</v>
      </c>
      <c r="D410" t="s">
        <v>452</v>
      </c>
      <c r="E410" s="3" t="s">
        <v>3</v>
      </c>
      <c r="F410" s="4">
        <v>4.2099999999999997E-58</v>
      </c>
      <c r="G410" s="3">
        <v>562</v>
      </c>
      <c r="H410" s="3">
        <v>29</v>
      </c>
      <c r="I410" s="3">
        <v>776</v>
      </c>
      <c r="J410" s="3">
        <v>688</v>
      </c>
      <c r="K410" s="3">
        <v>2928</v>
      </c>
      <c r="L410" s="3">
        <v>137</v>
      </c>
      <c r="M410" s="3">
        <v>836</v>
      </c>
    </row>
    <row r="411" spans="1:13" x14ac:dyDescent="0.25">
      <c r="A411" s="1" t="str">
        <f>HYPERLINK("http://www.rosaceae.org/Prunus/Prunus_persica/p.persica_gdr_reftransV1_0004211","p.persica_gdr_reftransV1_0004211")</f>
        <v>p.persica_gdr_reftransV1_0004211</v>
      </c>
      <c r="B411" s="3">
        <v>3298</v>
      </c>
      <c r="C411" s="1" t="str">
        <f>HYPERLINK("http://www.uniprot.org/uniprot/RPM1_ARATH","RPM1_ARATH")</f>
        <v>RPM1_ARATH</v>
      </c>
      <c r="D411" t="s">
        <v>453</v>
      </c>
      <c r="E411" s="3" t="s">
        <v>3</v>
      </c>
      <c r="F411" s="4">
        <v>0</v>
      </c>
      <c r="G411" s="3">
        <v>1597</v>
      </c>
      <c r="H411" s="3">
        <v>41</v>
      </c>
      <c r="I411" s="3">
        <v>917</v>
      </c>
      <c r="J411" s="3">
        <v>313</v>
      </c>
      <c r="K411" s="3">
        <v>2979</v>
      </c>
      <c r="L411" s="3">
        <v>1</v>
      </c>
      <c r="M411" s="3">
        <v>903</v>
      </c>
    </row>
    <row r="412" spans="1:13" x14ac:dyDescent="0.25">
      <c r="A412" s="1" t="str">
        <f>HYPERLINK("http://www.rosaceae.org/Prunus/Prunus_persica/p.persica_gdr_reftransV1_0004261","p.persica_gdr_reftransV1_0004261")</f>
        <v>p.persica_gdr_reftransV1_0004261</v>
      </c>
      <c r="B412" s="3">
        <v>1341</v>
      </c>
      <c r="C412" s="1" t="str">
        <f>HYPERLINK("http://www.uniprot.org/uniprot/PP292_ARATH","PP292_ARATH")</f>
        <v>PP292_ARATH</v>
      </c>
      <c r="D412" t="s">
        <v>454</v>
      </c>
      <c r="E412" s="3" t="s">
        <v>3</v>
      </c>
      <c r="F412" s="4">
        <v>7.3299999999999999E-97</v>
      </c>
      <c r="G412" s="3">
        <v>804</v>
      </c>
      <c r="H412" s="3">
        <v>43</v>
      </c>
      <c r="I412" s="3">
        <v>401</v>
      </c>
      <c r="J412" s="3">
        <v>145</v>
      </c>
      <c r="K412" s="3">
        <v>1341</v>
      </c>
      <c r="L412" s="3">
        <v>8</v>
      </c>
      <c r="M412" s="3">
        <v>403</v>
      </c>
    </row>
    <row r="413" spans="1:13" x14ac:dyDescent="0.25">
      <c r="A413" s="1" t="str">
        <f>HYPERLINK("http://www.rosaceae.org/Prunus/Prunus_persica/p.persica_gdr_reftransV1_0004311","p.persica_gdr_reftransV1_0004311")</f>
        <v>p.persica_gdr_reftransV1_0004311</v>
      </c>
      <c r="B413" s="3">
        <v>5471</v>
      </c>
      <c r="C413" s="1" t="str">
        <f>HYPERLINK("http://www.uniprot.org/uniprot/NRPE1_ARATH","NRPE1_ARATH")</f>
        <v>NRPE1_ARATH</v>
      </c>
      <c r="D413" t="s">
        <v>455</v>
      </c>
      <c r="E413" s="3" t="s">
        <v>3</v>
      </c>
      <c r="F413" s="4">
        <v>0</v>
      </c>
      <c r="G413" s="3">
        <v>4305</v>
      </c>
      <c r="H413" s="3">
        <v>58</v>
      </c>
      <c r="I413" s="3">
        <v>1522</v>
      </c>
      <c r="J413" s="3">
        <v>6</v>
      </c>
      <c r="K413" s="3">
        <v>4499</v>
      </c>
      <c r="L413" s="3">
        <v>5</v>
      </c>
      <c r="M413" s="3">
        <v>1497</v>
      </c>
    </row>
    <row r="414" spans="1:13" x14ac:dyDescent="0.25">
      <c r="A414" s="1" t="str">
        <f>HYPERLINK("http://www.rosaceae.org/Prunus/Prunus_persica/p.persica_gdr_reftransV1_0004461","p.persica_gdr_reftransV1_0004461")</f>
        <v>p.persica_gdr_reftransV1_0004461</v>
      </c>
      <c r="B414" s="3">
        <v>2268</v>
      </c>
      <c r="C414" s="1" t="str">
        <f>HYPERLINK("http://www.uniprot.org/uniprot/ICS_CATRO","ICS_CATRO")</f>
        <v>ICS_CATRO</v>
      </c>
      <c r="D414" t="s">
        <v>456</v>
      </c>
      <c r="E414" s="3" t="s">
        <v>457</v>
      </c>
      <c r="F414" s="4">
        <v>1.07E-180</v>
      </c>
      <c r="G414" s="3">
        <v>1091</v>
      </c>
      <c r="H414" s="3">
        <v>63</v>
      </c>
      <c r="I414" s="3">
        <v>325</v>
      </c>
      <c r="J414" s="3">
        <v>363</v>
      </c>
      <c r="K414" s="3">
        <v>1334</v>
      </c>
      <c r="L414" s="3">
        <v>243</v>
      </c>
      <c r="M414" s="3">
        <v>567</v>
      </c>
    </row>
    <row r="415" spans="1:13" x14ac:dyDescent="0.25">
      <c r="A415" s="1" t="str">
        <f>HYPERLINK("http://www.rosaceae.org/Prunus/Prunus_persica/p.persica_gdr_reftransV1_0004511","p.persica_gdr_reftransV1_0004511")</f>
        <v>p.persica_gdr_reftransV1_0004511</v>
      </c>
      <c r="B415" s="3">
        <v>1672</v>
      </c>
      <c r="C415" s="1" t="str">
        <f>HYPERLINK("http://www.uniprot.org/uniprot/WAT1_ARATH","WAT1_ARATH")</f>
        <v>WAT1_ARATH</v>
      </c>
      <c r="D415" t="s">
        <v>458</v>
      </c>
      <c r="E415" s="3" t="s">
        <v>3</v>
      </c>
      <c r="F415" s="4">
        <v>0</v>
      </c>
      <c r="G415" s="3">
        <v>1427</v>
      </c>
      <c r="H415" s="3">
        <v>72</v>
      </c>
      <c r="I415" s="3">
        <v>413</v>
      </c>
      <c r="J415" s="3">
        <v>347</v>
      </c>
      <c r="K415" s="3">
        <v>1573</v>
      </c>
      <c r="L415" s="3">
        <v>1</v>
      </c>
      <c r="M415" s="3">
        <v>389</v>
      </c>
    </row>
    <row r="416" spans="1:13" x14ac:dyDescent="0.25">
      <c r="A416" s="1" t="str">
        <f>HYPERLINK("http://www.rosaceae.org/Prunus/Prunus_persica/p.persica_gdr_reftransV1_0004611","p.persica_gdr_reftransV1_0004611")</f>
        <v>p.persica_gdr_reftransV1_0004611</v>
      </c>
      <c r="B416" s="3">
        <v>1419</v>
      </c>
      <c r="C416" s="1" t="str">
        <f>HYPERLINK("http://www.uniprot.org/uniprot/CRK26_ARATH","CRK26_ARATH")</f>
        <v>CRK26_ARATH</v>
      </c>
      <c r="D416" t="s">
        <v>448</v>
      </c>
      <c r="E416" s="3" t="s">
        <v>3</v>
      </c>
      <c r="F416" s="4">
        <v>9.0000000000000003E-84</v>
      </c>
      <c r="G416" s="3">
        <v>710</v>
      </c>
      <c r="H416" s="3">
        <v>63</v>
      </c>
      <c r="I416" s="3">
        <v>209</v>
      </c>
      <c r="J416" s="3">
        <v>3</v>
      </c>
      <c r="K416" s="3">
        <v>617</v>
      </c>
      <c r="L416" s="3">
        <v>431</v>
      </c>
      <c r="M416" s="3">
        <v>639</v>
      </c>
    </row>
    <row r="417" spans="1:13" x14ac:dyDescent="0.25">
      <c r="A417" s="1" t="str">
        <f>HYPERLINK("http://www.rosaceae.org/Prunus/Prunus_persica/p.persica_gdr_reftransV1_0004661","p.persica_gdr_reftransV1_0004661")</f>
        <v>p.persica_gdr_reftransV1_0004661</v>
      </c>
      <c r="B417" s="3">
        <v>537</v>
      </c>
      <c r="C417" s="1" t="str">
        <f>HYPERLINK("http://www.uniprot.org/uniprot/EMF1_ARATH","EMF1_ARATH")</f>
        <v>EMF1_ARATH</v>
      </c>
      <c r="D417" t="s">
        <v>459</v>
      </c>
      <c r="E417" s="3" t="s">
        <v>3</v>
      </c>
      <c r="F417" s="4">
        <v>3.0800000000000001E-9</v>
      </c>
      <c r="G417" s="3">
        <v>142</v>
      </c>
      <c r="H417" s="3">
        <v>45</v>
      </c>
      <c r="I417" s="3">
        <v>69</v>
      </c>
      <c r="J417" s="3">
        <v>176</v>
      </c>
      <c r="K417" s="3">
        <v>379</v>
      </c>
      <c r="L417" s="3">
        <v>1015</v>
      </c>
      <c r="M417" s="3">
        <v>1083</v>
      </c>
    </row>
    <row r="418" spans="1:13" x14ac:dyDescent="0.25">
      <c r="A418" s="1" t="str">
        <f>HYPERLINK("http://www.rosaceae.org/Prunus/Prunus_persica/p.persica_gdr_reftransV1_0004711","p.persica_gdr_reftransV1_0004711")</f>
        <v>p.persica_gdr_reftransV1_0004711</v>
      </c>
      <c r="B418" s="3">
        <v>1387</v>
      </c>
      <c r="C418" s="1" t="str">
        <f>HYPERLINK("http://www.uniprot.org/uniprot/CCD25_PONAB","CCD25_PONAB")</f>
        <v>CCD25_PONAB</v>
      </c>
      <c r="D418" t="s">
        <v>460</v>
      </c>
      <c r="E418" s="3" t="s">
        <v>176</v>
      </c>
      <c r="F418" s="4">
        <v>6.8599999999999995E-67</v>
      </c>
      <c r="G418" s="3">
        <v>559</v>
      </c>
      <c r="H418" s="3">
        <v>58</v>
      </c>
      <c r="I418" s="3">
        <v>210</v>
      </c>
      <c r="J418" s="3">
        <v>340</v>
      </c>
      <c r="K418" s="3">
        <v>966</v>
      </c>
      <c r="L418" s="3">
        <v>1</v>
      </c>
      <c r="M418" s="3">
        <v>199</v>
      </c>
    </row>
    <row r="419" spans="1:13" x14ac:dyDescent="0.25">
      <c r="A419" s="1" t="str">
        <f>HYPERLINK("http://www.rosaceae.org/Prunus/Prunus_persica/p.persica_gdr_reftransV1_0004761","p.persica_gdr_reftransV1_0004761")</f>
        <v>p.persica_gdr_reftransV1_0004761</v>
      </c>
      <c r="B419" s="3">
        <v>5817</v>
      </c>
      <c r="C419" s="1" t="str">
        <f>HYPERLINK("http://www.uniprot.org/uniprot/REV3_ARATH","REV3_ARATH")</f>
        <v>REV3_ARATH</v>
      </c>
      <c r="D419" t="s">
        <v>461</v>
      </c>
      <c r="E419" s="3" t="s">
        <v>3</v>
      </c>
      <c r="F419" s="4">
        <v>0</v>
      </c>
      <c r="G419" s="3">
        <v>4322</v>
      </c>
      <c r="H419" s="3">
        <v>55</v>
      </c>
      <c r="I419" s="3">
        <v>1680</v>
      </c>
      <c r="J419" s="3">
        <v>702</v>
      </c>
      <c r="K419" s="3">
        <v>5498</v>
      </c>
      <c r="L419" s="3">
        <v>237</v>
      </c>
      <c r="M419" s="3">
        <v>1890</v>
      </c>
    </row>
    <row r="420" spans="1:13" x14ac:dyDescent="0.25">
      <c r="A420" s="1" t="str">
        <f>HYPERLINK("http://www.rosaceae.org/Prunus/Prunus_persica/p.persica_gdr_reftransV1_0004811","p.persica_gdr_reftransV1_0004811")</f>
        <v>p.persica_gdr_reftransV1_0004811</v>
      </c>
      <c r="B420" s="3">
        <v>360</v>
      </c>
      <c r="C420" s="1" t="str">
        <f>HYPERLINK("http://www.uniprot.org/uniprot/AB32G_ORYSJ","AB32G_ORYSJ")</f>
        <v>AB32G_ORYSJ</v>
      </c>
      <c r="D420" t="s">
        <v>462</v>
      </c>
      <c r="E420" s="3" t="s">
        <v>38</v>
      </c>
      <c r="F420" s="4">
        <v>2.2200000000000001E-67</v>
      </c>
      <c r="G420" s="3">
        <v>574</v>
      </c>
      <c r="H420" s="3">
        <v>90</v>
      </c>
      <c r="I420" s="3">
        <v>119</v>
      </c>
      <c r="J420" s="3">
        <v>3</v>
      </c>
      <c r="K420" s="3">
        <v>359</v>
      </c>
      <c r="L420" s="3">
        <v>338</v>
      </c>
      <c r="M420" s="3">
        <v>456</v>
      </c>
    </row>
    <row r="421" spans="1:13" x14ac:dyDescent="0.25">
      <c r="A421" s="1" t="str">
        <f>HYPERLINK("http://www.rosaceae.org/Prunus/Prunus_persica/p.persica_gdr_reftransV1_0004861","p.persica_gdr_reftransV1_0004861")</f>
        <v>p.persica_gdr_reftransV1_0004861</v>
      </c>
      <c r="B421" s="3">
        <v>1619</v>
      </c>
      <c r="C421" s="1" t="str">
        <f>HYPERLINK("http://www.uniprot.org/uniprot/YHKF_SCHPO","YHKF_SCHPO")</f>
        <v>YHKF_SCHPO</v>
      </c>
      <c r="D421" t="s">
        <v>463</v>
      </c>
      <c r="E421" s="3" t="s">
        <v>464</v>
      </c>
      <c r="F421" s="4">
        <v>1.0500000000000001E-38</v>
      </c>
      <c r="G421" s="3">
        <v>383</v>
      </c>
      <c r="H421" s="3">
        <v>45</v>
      </c>
      <c r="I421" s="3">
        <v>148</v>
      </c>
      <c r="J421" s="3">
        <v>1050</v>
      </c>
      <c r="K421" s="3">
        <v>1493</v>
      </c>
      <c r="L421" s="3">
        <v>163</v>
      </c>
      <c r="M421" s="3">
        <v>306</v>
      </c>
    </row>
    <row r="422" spans="1:13" x14ac:dyDescent="0.25">
      <c r="A422" s="1" t="str">
        <f>HYPERLINK("http://www.rosaceae.org/Prunus/Prunus_persica/p.persica_gdr_reftransV1_0005061","p.persica_gdr_reftransV1_0005061")</f>
        <v>p.persica_gdr_reftransV1_0005061</v>
      </c>
      <c r="B422" s="3">
        <v>2945</v>
      </c>
      <c r="C422" s="1" t="str">
        <f>HYPERLINK("http://www.uniprot.org/uniprot/KIN13_ARATH","KIN13_ARATH")</f>
        <v>KIN13_ARATH</v>
      </c>
      <c r="D422" t="s">
        <v>465</v>
      </c>
      <c r="E422" s="3" t="s">
        <v>3</v>
      </c>
      <c r="F422" s="4">
        <v>1.3599999999999999E-172</v>
      </c>
      <c r="G422" s="3">
        <v>1366</v>
      </c>
      <c r="H422" s="3">
        <v>60</v>
      </c>
      <c r="I422" s="3">
        <v>521</v>
      </c>
      <c r="J422" s="3">
        <v>930</v>
      </c>
      <c r="K422" s="3">
        <v>2414</v>
      </c>
      <c r="L422" s="3">
        <v>32</v>
      </c>
      <c r="M422" s="3">
        <v>545</v>
      </c>
    </row>
    <row r="423" spans="1:13" x14ac:dyDescent="0.25">
      <c r="A423" s="1" t="str">
        <f>HYPERLINK("http://www.rosaceae.org/Prunus/Prunus_persica/p.persica_gdr_reftransV1_0005161","p.persica_gdr_reftransV1_0005161")</f>
        <v>p.persica_gdr_reftransV1_0005161</v>
      </c>
      <c r="B423" s="3">
        <v>975</v>
      </c>
      <c r="C423" s="1" t="str">
        <f>HYPERLINK("http://www.uniprot.org/uniprot/Y4845_ARATH","Y4845_ARATH")</f>
        <v>Y4845_ARATH</v>
      </c>
      <c r="D423" t="s">
        <v>466</v>
      </c>
      <c r="E423" s="3" t="s">
        <v>3</v>
      </c>
      <c r="F423" s="4">
        <v>2.3399999999999999E-95</v>
      </c>
      <c r="G423" s="3">
        <v>740</v>
      </c>
      <c r="H423" s="3">
        <v>66</v>
      </c>
      <c r="I423" s="3">
        <v>242</v>
      </c>
      <c r="J423" s="3">
        <v>83</v>
      </c>
      <c r="K423" s="3">
        <v>805</v>
      </c>
      <c r="L423" s="3">
        <v>1</v>
      </c>
      <c r="M423" s="3">
        <v>240</v>
      </c>
    </row>
    <row r="424" spans="1:13" x14ac:dyDescent="0.25">
      <c r="A424" s="1" t="str">
        <f>HYPERLINK("http://www.rosaceae.org/Prunus/Prunus_persica/p.persica_gdr_reftransV1_0005311","p.persica_gdr_reftransV1_0005311")</f>
        <v>p.persica_gdr_reftransV1_0005311</v>
      </c>
      <c r="B424" s="3">
        <v>3172</v>
      </c>
      <c r="C424" s="1" t="str">
        <f>HYPERLINK("http://www.uniprot.org/uniprot/AMPD_ARATH","AMPD_ARATH")</f>
        <v>AMPD_ARATH</v>
      </c>
      <c r="D424" t="s">
        <v>467</v>
      </c>
      <c r="E424" s="3" t="s">
        <v>3</v>
      </c>
      <c r="F424" s="4">
        <v>0</v>
      </c>
      <c r="G424" s="3">
        <v>3488</v>
      </c>
      <c r="H424" s="3">
        <v>79</v>
      </c>
      <c r="I424" s="3">
        <v>851</v>
      </c>
      <c r="J424" s="3">
        <v>450</v>
      </c>
      <c r="K424" s="3">
        <v>2978</v>
      </c>
      <c r="L424" s="3">
        <v>24</v>
      </c>
      <c r="M424" s="3">
        <v>837</v>
      </c>
    </row>
    <row r="425" spans="1:13" x14ac:dyDescent="0.25">
      <c r="A425" s="1" t="str">
        <f>HYPERLINK("http://www.rosaceae.org/Prunus/Prunus_persica/p.persica_gdr_reftransV1_0005411","p.persica_gdr_reftransV1_0005411")</f>
        <v>p.persica_gdr_reftransV1_0005411</v>
      </c>
      <c r="B425" s="3">
        <v>691</v>
      </c>
      <c r="C425" s="1" t="str">
        <f>HYPERLINK("http://www.uniprot.org/uniprot/Y4885_ARATH","Y4885_ARATH")</f>
        <v>Y4885_ARATH</v>
      </c>
      <c r="D425" t="s">
        <v>468</v>
      </c>
      <c r="E425" s="3" t="s">
        <v>3</v>
      </c>
      <c r="F425" s="4">
        <v>5.8899999999999997E-76</v>
      </c>
      <c r="G425" s="3">
        <v>645</v>
      </c>
      <c r="H425" s="3">
        <v>54</v>
      </c>
      <c r="I425" s="3">
        <v>230</v>
      </c>
      <c r="J425" s="3">
        <v>2</v>
      </c>
      <c r="K425" s="3">
        <v>691</v>
      </c>
      <c r="L425" s="3">
        <v>224</v>
      </c>
      <c r="M425" s="3">
        <v>453</v>
      </c>
    </row>
    <row r="426" spans="1:13" x14ac:dyDescent="0.25">
      <c r="A426" s="1" t="str">
        <f>HYPERLINK("http://www.rosaceae.org/Prunus/Prunus_persica/p.persica_gdr_reftransV1_0005461","p.persica_gdr_reftransV1_0005461")</f>
        <v>p.persica_gdr_reftransV1_0005461</v>
      </c>
      <c r="B426" s="3">
        <v>5829</v>
      </c>
      <c r="C426" s="1" t="str">
        <f>HYPERLINK("http://www.uniprot.org/uniprot/EMB8_PICGL","EMB8_PICGL")</f>
        <v>EMB8_PICGL</v>
      </c>
      <c r="D426" t="s">
        <v>469</v>
      </c>
      <c r="E426" s="3" t="s">
        <v>470</v>
      </c>
      <c r="F426" s="4">
        <v>1.6499999999999999E-34</v>
      </c>
      <c r="G426" s="3">
        <v>364</v>
      </c>
      <c r="H426" s="3">
        <v>29</v>
      </c>
      <c r="I426" s="3">
        <v>339</v>
      </c>
      <c r="J426" s="3">
        <v>592</v>
      </c>
      <c r="K426" s="3">
        <v>1575</v>
      </c>
      <c r="L426" s="3">
        <v>113</v>
      </c>
      <c r="M426" s="3">
        <v>431</v>
      </c>
    </row>
    <row r="427" spans="1:13" x14ac:dyDescent="0.25">
      <c r="A427" s="1" t="str">
        <f>HYPERLINK("http://www.rosaceae.org/Prunus/Prunus_persica/p.persica_gdr_reftransV1_0005611","p.persica_gdr_reftransV1_0005611")</f>
        <v>p.persica_gdr_reftransV1_0005611</v>
      </c>
      <c r="B427" s="3">
        <v>1029</v>
      </c>
      <c r="C427" s="1" t="str">
        <f>HYPERLINK("http://www.uniprot.org/uniprot/CRI4_MAIZE","CRI4_MAIZE")</f>
        <v>CRI4_MAIZE</v>
      </c>
      <c r="D427" t="s">
        <v>471</v>
      </c>
      <c r="E427" s="3" t="s">
        <v>72</v>
      </c>
      <c r="F427" s="4">
        <v>2.0199999999999999E-143</v>
      </c>
      <c r="G427" s="3">
        <v>1118</v>
      </c>
      <c r="H427" s="3">
        <v>78</v>
      </c>
      <c r="I427" s="3">
        <v>274</v>
      </c>
      <c r="J427" s="3">
        <v>209</v>
      </c>
      <c r="K427" s="3">
        <v>1027</v>
      </c>
      <c r="L427" s="3">
        <v>630</v>
      </c>
      <c r="M427" s="3">
        <v>901</v>
      </c>
    </row>
    <row r="428" spans="1:13" x14ac:dyDescent="0.25">
      <c r="A428" s="1" t="str">
        <f>HYPERLINK("http://www.rosaceae.org/Prunus/Prunus_persica/p.persica_gdr_reftransV1_0005661","p.persica_gdr_reftransV1_0005661")</f>
        <v>p.persica_gdr_reftransV1_0005661</v>
      </c>
      <c r="B428" s="3">
        <v>614</v>
      </c>
      <c r="C428" s="1" t="str">
        <f>HYPERLINK("http://www.uniprot.org/uniprot/NFD4_ARATH","NFD4_ARATH")</f>
        <v>NFD4_ARATH</v>
      </c>
      <c r="D428" t="s">
        <v>404</v>
      </c>
      <c r="E428" s="3" t="s">
        <v>3</v>
      </c>
      <c r="F428" s="4">
        <v>1.7199999999999999E-8</v>
      </c>
      <c r="G428" s="3">
        <v>137</v>
      </c>
      <c r="H428" s="3">
        <v>40</v>
      </c>
      <c r="I428" s="3">
        <v>91</v>
      </c>
      <c r="J428" s="3">
        <v>336</v>
      </c>
      <c r="K428" s="3">
        <v>608</v>
      </c>
      <c r="L428" s="3">
        <v>43</v>
      </c>
      <c r="M428" s="3">
        <v>133</v>
      </c>
    </row>
    <row r="429" spans="1:13" x14ac:dyDescent="0.25">
      <c r="A429" s="1" t="str">
        <f>HYPERLINK("http://www.rosaceae.org/Prunus/Prunus_persica/p.persica_gdr_reftransV1_0005761","p.persica_gdr_reftransV1_0005761")</f>
        <v>p.persica_gdr_reftransV1_0005761</v>
      </c>
      <c r="B429" s="3">
        <v>640</v>
      </c>
      <c r="C429" s="1" t="str">
        <f>HYPERLINK("http://www.uniprot.org/uniprot/PTR45_ARATH","PTR45_ARATH")</f>
        <v>PTR45_ARATH</v>
      </c>
      <c r="D429" t="s">
        <v>472</v>
      </c>
      <c r="E429" s="3" t="s">
        <v>3</v>
      </c>
      <c r="F429" s="4">
        <v>9.4799999999999993E-55</v>
      </c>
      <c r="G429" s="3">
        <v>481</v>
      </c>
      <c r="H429" s="3">
        <v>64</v>
      </c>
      <c r="I429" s="3">
        <v>139</v>
      </c>
      <c r="J429" s="3">
        <v>1</v>
      </c>
      <c r="K429" s="3">
        <v>411</v>
      </c>
      <c r="L429" s="3">
        <v>446</v>
      </c>
      <c r="M429" s="3">
        <v>584</v>
      </c>
    </row>
    <row r="430" spans="1:13" x14ac:dyDescent="0.25">
      <c r="A430" s="1" t="str">
        <f>HYPERLINK("http://www.rosaceae.org/Prunus/Prunus_persica/p.persica_gdr_reftransV1_0005861","p.persica_gdr_reftransV1_0005861")</f>
        <v>p.persica_gdr_reftransV1_0005861</v>
      </c>
      <c r="B430" s="3">
        <v>374</v>
      </c>
      <c r="C430" s="1" t="str">
        <f>HYPERLINK("http://www.uniprot.org/uniprot/U74E2_ARATH","U74E2_ARATH")</f>
        <v>U74E2_ARATH</v>
      </c>
      <c r="D430" t="s">
        <v>473</v>
      </c>
      <c r="E430" s="3" t="s">
        <v>3</v>
      </c>
      <c r="F430" s="4">
        <v>3.5800000000000001E-37</v>
      </c>
      <c r="G430" s="3">
        <v>341</v>
      </c>
      <c r="H430" s="3">
        <v>52</v>
      </c>
      <c r="I430" s="3">
        <v>123</v>
      </c>
      <c r="J430" s="3">
        <v>4</v>
      </c>
      <c r="K430" s="3">
        <v>372</v>
      </c>
      <c r="L430" s="3">
        <v>187</v>
      </c>
      <c r="M430" s="3">
        <v>309</v>
      </c>
    </row>
    <row r="431" spans="1:13" x14ac:dyDescent="0.25">
      <c r="A431" s="1" t="str">
        <f>HYPERLINK("http://www.rosaceae.org/Prunus/Prunus_persica/p.persica_gdr_reftransV1_0005911","p.persica_gdr_reftransV1_0005911")</f>
        <v>p.persica_gdr_reftransV1_0005911</v>
      </c>
      <c r="B431" s="3">
        <v>559</v>
      </c>
      <c r="C431" s="1" t="str">
        <f>HYPERLINK("http://www.uniprot.org/uniprot/S36A4_XENLA","S36A4_XENLA")</f>
        <v>S36A4_XENLA</v>
      </c>
      <c r="D431" t="s">
        <v>474</v>
      </c>
      <c r="E431" s="3" t="s">
        <v>475</v>
      </c>
      <c r="F431" s="4">
        <v>1.87E-9</v>
      </c>
      <c r="G431" s="3">
        <v>143</v>
      </c>
      <c r="H431" s="3">
        <v>30</v>
      </c>
      <c r="I431" s="3">
        <v>132</v>
      </c>
      <c r="J431" s="3">
        <v>142</v>
      </c>
      <c r="K431" s="3">
        <v>537</v>
      </c>
      <c r="L431" s="3">
        <v>239</v>
      </c>
      <c r="M431" s="3">
        <v>370</v>
      </c>
    </row>
    <row r="432" spans="1:13" x14ac:dyDescent="0.25">
      <c r="A432" s="1" t="str">
        <f>HYPERLINK("http://www.rosaceae.org/Prunus/Prunus_persica/p.persica_gdr_reftransV1_0006161","p.persica_gdr_reftransV1_0006161")</f>
        <v>p.persica_gdr_reftransV1_0006161</v>
      </c>
      <c r="B432" s="3">
        <v>813</v>
      </c>
      <c r="C432" s="1" t="str">
        <f>HYPERLINK("http://www.uniprot.org/uniprot/MYOB7_ARATH","MYOB7_ARATH")</f>
        <v>MYOB7_ARATH</v>
      </c>
      <c r="D432" t="s">
        <v>476</v>
      </c>
      <c r="E432" s="3" t="s">
        <v>3</v>
      </c>
      <c r="F432" s="4">
        <v>1.5299999999999999E-20</v>
      </c>
      <c r="G432" s="3">
        <v>234</v>
      </c>
      <c r="H432" s="3">
        <v>54</v>
      </c>
      <c r="I432" s="3">
        <v>84</v>
      </c>
      <c r="J432" s="3">
        <v>333</v>
      </c>
      <c r="K432" s="3">
        <v>584</v>
      </c>
      <c r="L432" s="3">
        <v>91</v>
      </c>
      <c r="M432" s="3">
        <v>174</v>
      </c>
    </row>
    <row r="433" spans="1:13" x14ac:dyDescent="0.25">
      <c r="A433" s="1" t="str">
        <f>HYPERLINK("http://www.rosaceae.org/Prunus/Prunus_persica/p.persica_gdr_reftransV1_0006511","p.persica_gdr_reftransV1_0006511")</f>
        <v>p.persica_gdr_reftransV1_0006511</v>
      </c>
      <c r="B433" s="3">
        <v>1149</v>
      </c>
      <c r="C433" s="1" t="str">
        <f>HYPERLINK("http://www.uniprot.org/uniprot/PUB24_ARATH","PUB24_ARATH")</f>
        <v>PUB24_ARATH</v>
      </c>
      <c r="D433" t="s">
        <v>477</v>
      </c>
      <c r="E433" s="3" t="s">
        <v>3</v>
      </c>
      <c r="F433" s="4">
        <v>1.2899999999999999E-56</v>
      </c>
      <c r="G433" s="3">
        <v>502</v>
      </c>
      <c r="H433" s="3">
        <v>37</v>
      </c>
      <c r="I433" s="3">
        <v>321</v>
      </c>
      <c r="J433" s="3">
        <v>186</v>
      </c>
      <c r="K433" s="3">
        <v>1028</v>
      </c>
      <c r="L433" s="3">
        <v>133</v>
      </c>
      <c r="M433" s="3">
        <v>445</v>
      </c>
    </row>
    <row r="434" spans="1:13" x14ac:dyDescent="0.25">
      <c r="A434" s="1" t="str">
        <f>HYPERLINK("http://www.rosaceae.org/Prunus/Prunus_persica/p.persica_gdr_reftransV1_0006811","p.persica_gdr_reftransV1_0006811")</f>
        <v>p.persica_gdr_reftransV1_0006811</v>
      </c>
      <c r="B434" s="3">
        <v>418</v>
      </c>
      <c r="C434" s="1" t="str">
        <f>HYPERLINK("http://www.uniprot.org/uniprot/COPIA_DROME","COPIA_DROME")</f>
        <v>COPIA_DROME</v>
      </c>
      <c r="D434" t="s">
        <v>478</v>
      </c>
      <c r="E434" s="3" t="s">
        <v>5</v>
      </c>
      <c r="F434" s="4">
        <v>1.38E-14</v>
      </c>
      <c r="G434" s="3">
        <v>182</v>
      </c>
      <c r="H434" s="3">
        <v>45</v>
      </c>
      <c r="I434" s="3">
        <v>78</v>
      </c>
      <c r="J434" s="3">
        <v>88</v>
      </c>
      <c r="K434" s="3">
        <v>321</v>
      </c>
      <c r="L434" s="3">
        <v>1274</v>
      </c>
      <c r="M434" s="3">
        <v>1351</v>
      </c>
    </row>
    <row r="435" spans="1:13" x14ac:dyDescent="0.25">
      <c r="A435" s="1" t="str">
        <f>HYPERLINK("http://www.rosaceae.org/Prunus/Prunus_persica/p.persica_gdr_reftransV1_0006861","p.persica_gdr_reftransV1_0006861")</f>
        <v>p.persica_gdr_reftransV1_0006861</v>
      </c>
      <c r="B435" s="3">
        <v>3096</v>
      </c>
      <c r="C435" s="1" t="str">
        <f>HYPERLINK("http://www.uniprot.org/uniprot/IP5P8_ARATH","IP5P8_ARATH")</f>
        <v>IP5P8_ARATH</v>
      </c>
      <c r="D435" t="s">
        <v>479</v>
      </c>
      <c r="E435" s="3" t="s">
        <v>3</v>
      </c>
      <c r="F435" s="4">
        <v>1.77E-100</v>
      </c>
      <c r="G435" s="3">
        <v>848</v>
      </c>
      <c r="H435" s="3">
        <v>50</v>
      </c>
      <c r="I435" s="3">
        <v>373</v>
      </c>
      <c r="J435" s="3">
        <v>1528</v>
      </c>
      <c r="K435" s="3">
        <v>2646</v>
      </c>
      <c r="L435" s="3">
        <v>81</v>
      </c>
      <c r="M435" s="3">
        <v>429</v>
      </c>
    </row>
    <row r="436" spans="1:13" x14ac:dyDescent="0.25">
      <c r="A436" s="1" t="str">
        <f>HYPERLINK("http://www.rosaceae.org/Prunus/Prunus_persica/p.persica_gdr_reftransV1_0006911","p.persica_gdr_reftransV1_0006911")</f>
        <v>p.persica_gdr_reftransV1_0006911</v>
      </c>
      <c r="B436" s="3">
        <v>472</v>
      </c>
      <c r="C436" s="1" t="str">
        <f>HYPERLINK("http://www.uniprot.org/uniprot/AB5B_ARATH","AB5B_ARATH")</f>
        <v>AB5B_ARATH</v>
      </c>
      <c r="D436" t="s">
        <v>480</v>
      </c>
      <c r="E436" s="3" t="s">
        <v>3</v>
      </c>
      <c r="F436" s="4">
        <v>2.1999999999999999E-78</v>
      </c>
      <c r="G436" s="3">
        <v>656</v>
      </c>
      <c r="H436" s="3">
        <v>87</v>
      </c>
      <c r="I436" s="3">
        <v>158</v>
      </c>
      <c r="J436" s="3">
        <v>1</v>
      </c>
      <c r="K436" s="3">
        <v>471</v>
      </c>
      <c r="L436" s="3">
        <v>1044</v>
      </c>
      <c r="M436" s="3">
        <v>1201</v>
      </c>
    </row>
    <row r="437" spans="1:13" x14ac:dyDescent="0.25">
      <c r="A437" s="1" t="str">
        <f>HYPERLINK("http://www.rosaceae.org/Prunus/Prunus_persica/p.persica_gdr_reftransV1_0007061","p.persica_gdr_reftransV1_0007061")</f>
        <v>p.persica_gdr_reftransV1_0007061</v>
      </c>
      <c r="B437" s="3">
        <v>3367</v>
      </c>
      <c r="C437" s="1" t="str">
        <f>HYPERLINK("http://www.uniprot.org/uniprot/PPA2_ARATH","PPA2_ARATH")</f>
        <v>PPA2_ARATH</v>
      </c>
      <c r="D437" t="s">
        <v>481</v>
      </c>
      <c r="E437" s="3" t="s">
        <v>3</v>
      </c>
      <c r="F437" s="4">
        <v>0</v>
      </c>
      <c r="G437" s="3">
        <v>2241</v>
      </c>
      <c r="H437" s="3">
        <v>68</v>
      </c>
      <c r="I437" s="3">
        <v>623</v>
      </c>
      <c r="J437" s="3">
        <v>214</v>
      </c>
      <c r="K437" s="3">
        <v>2067</v>
      </c>
      <c r="L437" s="3">
        <v>37</v>
      </c>
      <c r="M437" s="3">
        <v>655</v>
      </c>
    </row>
    <row r="438" spans="1:13" x14ac:dyDescent="0.25">
      <c r="A438" s="1" t="str">
        <f>HYPERLINK("http://www.rosaceae.org/Prunus/Prunus_persica/p.persica_gdr_reftransV1_0007111","p.persica_gdr_reftransV1_0007111")</f>
        <v>p.persica_gdr_reftransV1_0007111</v>
      </c>
      <c r="B438" s="3">
        <v>1346</v>
      </c>
      <c r="C438" s="1" t="str">
        <f>HYPERLINK("http://www.uniprot.org/uniprot/AOP1L_ARATH","AOP1L_ARATH")</f>
        <v>AOP1L_ARATH</v>
      </c>
      <c r="D438" t="s">
        <v>482</v>
      </c>
      <c r="E438" s="3" t="s">
        <v>3</v>
      </c>
      <c r="F438" s="4">
        <v>2.3E-56</v>
      </c>
      <c r="G438" s="3">
        <v>496</v>
      </c>
      <c r="H438" s="3">
        <v>36</v>
      </c>
      <c r="I438" s="3">
        <v>313</v>
      </c>
      <c r="J438" s="3">
        <v>90</v>
      </c>
      <c r="K438" s="3">
        <v>1004</v>
      </c>
      <c r="L438" s="3">
        <v>13</v>
      </c>
      <c r="M438" s="3">
        <v>320</v>
      </c>
    </row>
    <row r="439" spans="1:13" x14ac:dyDescent="0.25">
      <c r="A439" s="1" t="str">
        <f>HYPERLINK("http://www.rosaceae.org/Prunus/Prunus_persica/p.persica_gdr_reftransV1_0007161","p.persica_gdr_reftransV1_0007161")</f>
        <v>p.persica_gdr_reftransV1_0007161</v>
      </c>
      <c r="B439" s="3">
        <v>1767</v>
      </c>
      <c r="C439" s="1" t="str">
        <f>HYPERLINK("http://www.uniprot.org/uniprot/PPR12_ARATH","PPR12_ARATH")</f>
        <v>PPR12_ARATH</v>
      </c>
      <c r="D439" t="s">
        <v>483</v>
      </c>
      <c r="E439" s="3" t="s">
        <v>3</v>
      </c>
      <c r="F439" s="4">
        <v>4.4500000000000002E-60</v>
      </c>
      <c r="G439" s="3">
        <v>555</v>
      </c>
      <c r="H439" s="3">
        <v>32</v>
      </c>
      <c r="I439" s="3">
        <v>411</v>
      </c>
      <c r="J439" s="3">
        <v>415</v>
      </c>
      <c r="K439" s="3">
        <v>1638</v>
      </c>
      <c r="L439" s="3">
        <v>317</v>
      </c>
      <c r="M439" s="3">
        <v>715</v>
      </c>
    </row>
    <row r="440" spans="1:13" x14ac:dyDescent="0.25">
      <c r="A440" s="1" t="str">
        <f>HYPERLINK("http://www.rosaceae.org/Prunus/Prunus_persica/p.persica_gdr_reftransV1_0007311","p.persica_gdr_reftransV1_0007311")</f>
        <v>p.persica_gdr_reftransV1_0007311</v>
      </c>
      <c r="B440" s="3">
        <v>2891</v>
      </c>
      <c r="C440" s="1" t="str">
        <f>HYPERLINK("http://www.uniprot.org/uniprot/PMTT_ARATH","PMTT_ARATH")</f>
        <v>PMTT_ARATH</v>
      </c>
      <c r="D440" t="s">
        <v>484</v>
      </c>
      <c r="E440" s="3" t="s">
        <v>3</v>
      </c>
      <c r="F440" s="4">
        <v>0</v>
      </c>
      <c r="G440" s="3">
        <v>2567</v>
      </c>
      <c r="H440" s="3">
        <v>74</v>
      </c>
      <c r="I440" s="3">
        <v>699</v>
      </c>
      <c r="J440" s="3">
        <v>306</v>
      </c>
      <c r="K440" s="3">
        <v>2396</v>
      </c>
      <c r="L440" s="3">
        <v>1</v>
      </c>
      <c r="M440" s="3">
        <v>683</v>
      </c>
    </row>
    <row r="441" spans="1:13" x14ac:dyDescent="0.25">
      <c r="A441" s="1" t="str">
        <f>HYPERLINK("http://www.rosaceae.org/Prunus/Prunus_persica/p.persica_gdr_reftransV1_0007361","p.persica_gdr_reftransV1_0007361")</f>
        <v>p.persica_gdr_reftransV1_0007361</v>
      </c>
      <c r="B441" s="3">
        <v>1635</v>
      </c>
      <c r="C441" s="1" t="str">
        <f>HYPERLINK("http://www.uniprot.org/uniprot/CXE18_ARATH","CXE18_ARATH")</f>
        <v>CXE18_ARATH</v>
      </c>
      <c r="D441" t="s">
        <v>485</v>
      </c>
      <c r="E441" s="3" t="s">
        <v>3</v>
      </c>
      <c r="F441" s="4">
        <v>2.9299999999999999E-126</v>
      </c>
      <c r="G441" s="3">
        <v>975</v>
      </c>
      <c r="H441" s="3">
        <v>61</v>
      </c>
      <c r="I441" s="3">
        <v>322</v>
      </c>
      <c r="J441" s="3">
        <v>453</v>
      </c>
      <c r="K441" s="3">
        <v>1412</v>
      </c>
      <c r="L441" s="3">
        <v>13</v>
      </c>
      <c r="M441" s="3">
        <v>326</v>
      </c>
    </row>
    <row r="442" spans="1:13" x14ac:dyDescent="0.25">
      <c r="A442" s="1" t="str">
        <f>HYPERLINK("http://www.rosaceae.org/Prunus/Prunus_persica/p.persica_gdr_reftransV1_0007461","p.persica_gdr_reftransV1_0007461")</f>
        <v>p.persica_gdr_reftransV1_0007461</v>
      </c>
      <c r="B442" s="3">
        <v>4784</v>
      </c>
      <c r="C442" s="1" t="str">
        <f>HYPERLINK("http://www.uniprot.org/uniprot/SEC_ARATH","SEC_ARATH")</f>
        <v>SEC_ARATH</v>
      </c>
      <c r="D442" t="s">
        <v>486</v>
      </c>
      <c r="E442" s="3" t="s">
        <v>3</v>
      </c>
      <c r="F442" s="4">
        <v>1.71E-168</v>
      </c>
      <c r="G442" s="3">
        <v>1395</v>
      </c>
      <c r="H442" s="3">
        <v>86</v>
      </c>
      <c r="I442" s="3">
        <v>299</v>
      </c>
      <c r="J442" s="3">
        <v>424</v>
      </c>
      <c r="K442" s="3">
        <v>1320</v>
      </c>
      <c r="L442" s="3">
        <v>679</v>
      </c>
      <c r="M442" s="3">
        <v>977</v>
      </c>
    </row>
    <row r="443" spans="1:13" x14ac:dyDescent="0.25">
      <c r="A443" s="1" t="str">
        <f>HYPERLINK("http://www.rosaceae.org/Prunus/Prunus_persica/p.persica_gdr_reftransV1_0007511","p.persica_gdr_reftransV1_0007511")</f>
        <v>p.persica_gdr_reftransV1_0007511</v>
      </c>
      <c r="B443" s="3">
        <v>1626</v>
      </c>
      <c r="C443" s="1" t="str">
        <f>HYPERLINK("http://www.uniprot.org/uniprot/ALF_ORYSJ","ALF_ORYSJ")</f>
        <v>ALF_ORYSJ</v>
      </c>
      <c r="D443" t="s">
        <v>487</v>
      </c>
      <c r="E443" s="3" t="s">
        <v>38</v>
      </c>
      <c r="F443" s="4">
        <v>0</v>
      </c>
      <c r="G443" s="3">
        <v>1635</v>
      </c>
      <c r="H443" s="3">
        <v>87</v>
      </c>
      <c r="I443" s="3">
        <v>356</v>
      </c>
      <c r="J443" s="3">
        <v>443</v>
      </c>
      <c r="K443" s="3">
        <v>1510</v>
      </c>
      <c r="L443" s="3">
        <v>3</v>
      </c>
      <c r="M443" s="3">
        <v>358</v>
      </c>
    </row>
    <row r="444" spans="1:13" x14ac:dyDescent="0.25">
      <c r="A444" s="1" t="str">
        <f>HYPERLINK("http://www.rosaceae.org/Prunus/Prunus_persica/p.persica_gdr_reftransV1_0007561","p.persica_gdr_reftransV1_0007561")</f>
        <v>p.persica_gdr_reftransV1_0007561</v>
      </c>
      <c r="B444" s="3">
        <v>1452</v>
      </c>
      <c r="C444" s="1" t="str">
        <f>HYPERLINK("http://www.uniprot.org/uniprot/Y5813_ARATH","Y5813_ARATH")</f>
        <v>Y5813_ARATH</v>
      </c>
      <c r="D444" t="s">
        <v>488</v>
      </c>
      <c r="E444" s="3" t="s">
        <v>3</v>
      </c>
      <c r="F444" s="4">
        <v>1.6799999999999999E-118</v>
      </c>
      <c r="G444" s="3">
        <v>944</v>
      </c>
      <c r="H444" s="3">
        <v>50</v>
      </c>
      <c r="I444" s="3">
        <v>416</v>
      </c>
      <c r="J444" s="3">
        <v>2</v>
      </c>
      <c r="K444" s="3">
        <v>1240</v>
      </c>
      <c r="L444" s="3">
        <v>246</v>
      </c>
      <c r="M444" s="3">
        <v>617</v>
      </c>
    </row>
    <row r="445" spans="1:13" x14ac:dyDescent="0.25">
      <c r="A445" s="1" t="str">
        <f>HYPERLINK("http://www.rosaceae.org/Prunus/Prunus_persica/p.persica_gdr_reftransV1_0008111","p.persica_gdr_reftransV1_0008111")</f>
        <v>p.persica_gdr_reftransV1_0008111</v>
      </c>
      <c r="B445" s="3">
        <v>965</v>
      </c>
      <c r="C445" s="1" t="str">
        <f>HYPERLINK("http://www.uniprot.org/uniprot/LRKS7_ARATH","LRKS7_ARATH")</f>
        <v>LRKS7_ARATH</v>
      </c>
      <c r="D445" t="s">
        <v>489</v>
      </c>
      <c r="E445" s="3" t="s">
        <v>3</v>
      </c>
      <c r="F445" s="4">
        <v>1.5300000000000001E-98</v>
      </c>
      <c r="G445" s="3">
        <v>797</v>
      </c>
      <c r="H445" s="3">
        <v>74</v>
      </c>
      <c r="I445" s="3">
        <v>208</v>
      </c>
      <c r="J445" s="3">
        <v>1</v>
      </c>
      <c r="K445" s="3">
        <v>624</v>
      </c>
      <c r="L445" s="3">
        <v>470</v>
      </c>
      <c r="M445" s="3">
        <v>675</v>
      </c>
    </row>
    <row r="446" spans="1:13" x14ac:dyDescent="0.25">
      <c r="A446" s="1" t="str">
        <f>HYPERLINK("http://www.rosaceae.org/Prunus/Prunus_persica/p.persica_gdr_reftransV1_0008411","p.persica_gdr_reftransV1_0008411")</f>
        <v>p.persica_gdr_reftransV1_0008411</v>
      </c>
      <c r="B446" s="3">
        <v>546</v>
      </c>
      <c r="C446" s="1" t="str">
        <f>HYPERLINK("http://www.uniprot.org/uniprot/CSK2E_ARATH","CSK2E_ARATH")</f>
        <v>CSK2E_ARATH</v>
      </c>
      <c r="D446" t="s">
        <v>490</v>
      </c>
      <c r="E446" s="3" t="s">
        <v>3</v>
      </c>
      <c r="F446" s="4">
        <v>6.8300000000000001E-15</v>
      </c>
      <c r="G446" s="3">
        <v>180</v>
      </c>
      <c r="H446" s="3">
        <v>75</v>
      </c>
      <c r="I446" s="3">
        <v>55</v>
      </c>
      <c r="J446" s="3">
        <v>106</v>
      </c>
      <c r="K446" s="3">
        <v>270</v>
      </c>
      <c r="L446" s="3">
        <v>20</v>
      </c>
      <c r="M446" s="3">
        <v>71</v>
      </c>
    </row>
    <row r="447" spans="1:13" x14ac:dyDescent="0.25">
      <c r="A447" s="1" t="str">
        <f>HYPERLINK("http://www.rosaceae.org/Prunus/Prunus_persica/p.persica_gdr_reftransV1_0008511","p.persica_gdr_reftransV1_0008511")</f>
        <v>p.persica_gdr_reftransV1_0008511</v>
      </c>
      <c r="B447" s="3">
        <v>2099</v>
      </c>
      <c r="C447" s="1" t="str">
        <f>HYPERLINK("http://www.uniprot.org/uniprot/PRP4L_ARATH","PRP4L_ARATH")</f>
        <v>PRP4L_ARATH</v>
      </c>
      <c r="D447" t="s">
        <v>491</v>
      </c>
      <c r="E447" s="3" t="s">
        <v>3</v>
      </c>
      <c r="F447" s="4">
        <v>0</v>
      </c>
      <c r="G447" s="3">
        <v>1511</v>
      </c>
      <c r="H447" s="3">
        <v>67</v>
      </c>
      <c r="I447" s="3">
        <v>455</v>
      </c>
      <c r="J447" s="3">
        <v>306</v>
      </c>
      <c r="K447" s="3">
        <v>1655</v>
      </c>
      <c r="L447" s="3">
        <v>103</v>
      </c>
      <c r="M447" s="3">
        <v>553</v>
      </c>
    </row>
    <row r="448" spans="1:13" x14ac:dyDescent="0.25">
      <c r="A448" s="1" t="str">
        <f>HYPERLINK("http://www.rosaceae.org/Prunus/Prunus_persica/p.persica_gdr_reftransV1_0008661","p.persica_gdr_reftransV1_0008661")</f>
        <v>p.persica_gdr_reftransV1_0008661</v>
      </c>
      <c r="B448" s="3">
        <v>2924</v>
      </c>
      <c r="C448" s="1" t="str">
        <f>HYPERLINK("http://www.uniprot.org/uniprot/ANR44_MOUSE","ANR44_MOUSE")</f>
        <v>ANR44_MOUSE</v>
      </c>
      <c r="D448" t="s">
        <v>492</v>
      </c>
      <c r="E448" s="3" t="s">
        <v>157</v>
      </c>
      <c r="F448" s="4">
        <v>3.8000000000000002E-15</v>
      </c>
      <c r="G448" s="3">
        <v>207</v>
      </c>
      <c r="H448" s="3">
        <v>32</v>
      </c>
      <c r="I448" s="3">
        <v>219</v>
      </c>
      <c r="J448" s="3">
        <v>1129</v>
      </c>
      <c r="K448" s="3">
        <v>1782</v>
      </c>
      <c r="L448" s="3">
        <v>175</v>
      </c>
      <c r="M448" s="3">
        <v>371</v>
      </c>
    </row>
    <row r="449" spans="1:13" x14ac:dyDescent="0.25">
      <c r="A449" s="1" t="str">
        <f>HYPERLINK("http://www.rosaceae.org/Prunus/Prunus_persica/p.persica_gdr_reftransV1_0008711","p.persica_gdr_reftransV1_0008711")</f>
        <v>p.persica_gdr_reftransV1_0008711</v>
      </c>
      <c r="B449" s="3">
        <v>1967</v>
      </c>
      <c r="C449" s="1" t="str">
        <f>HYPERLINK("http://www.uniprot.org/uniprot/ACINU_MOUSE","ACINU_MOUSE")</f>
        <v>ACINU_MOUSE</v>
      </c>
      <c r="D449" t="s">
        <v>493</v>
      </c>
      <c r="E449" s="3" t="s">
        <v>157</v>
      </c>
      <c r="F449" s="4">
        <v>1.7800000000000001E-17</v>
      </c>
      <c r="G449" s="3">
        <v>224</v>
      </c>
      <c r="H449" s="3">
        <v>38</v>
      </c>
      <c r="I449" s="3">
        <v>126</v>
      </c>
      <c r="J449" s="3">
        <v>689</v>
      </c>
      <c r="K449" s="3">
        <v>1048</v>
      </c>
      <c r="L449" s="3">
        <v>970</v>
      </c>
      <c r="M449" s="3">
        <v>1091</v>
      </c>
    </row>
    <row r="450" spans="1:13" x14ac:dyDescent="0.25">
      <c r="A450" s="1" t="str">
        <f>HYPERLINK("http://www.rosaceae.org/Prunus/Prunus_persica/p.persica_gdr_reftransV1_0009261","p.persica_gdr_reftransV1_0009261")</f>
        <v>p.persica_gdr_reftransV1_0009261</v>
      </c>
      <c r="B450" s="3">
        <v>1020</v>
      </c>
      <c r="C450" s="1" t="str">
        <f>HYPERLINK("http://www.uniprot.org/uniprot/RPOT2_NICSY","RPOT2_NICSY")</f>
        <v>RPOT2_NICSY</v>
      </c>
      <c r="D450" t="s">
        <v>494</v>
      </c>
      <c r="E450" s="3" t="s">
        <v>495</v>
      </c>
      <c r="F450" s="4">
        <v>6.0900000000000001E-49</v>
      </c>
      <c r="G450" s="3">
        <v>459</v>
      </c>
      <c r="H450" s="3">
        <v>45</v>
      </c>
      <c r="I450" s="3">
        <v>264</v>
      </c>
      <c r="J450" s="3">
        <v>2</v>
      </c>
      <c r="K450" s="3">
        <v>778</v>
      </c>
      <c r="L450" s="3">
        <v>1</v>
      </c>
      <c r="M450" s="3">
        <v>255</v>
      </c>
    </row>
    <row r="451" spans="1:13" x14ac:dyDescent="0.25">
      <c r="A451" s="1" t="str">
        <f>HYPERLINK("http://www.rosaceae.org/Prunus/Prunus_persica/p.persica_gdr_reftransV1_0009311","p.persica_gdr_reftransV1_0009311")</f>
        <v>p.persica_gdr_reftransV1_0009311</v>
      </c>
      <c r="B451" s="3">
        <v>1778</v>
      </c>
      <c r="C451" s="1" t="str">
        <f>HYPERLINK("http://www.uniprot.org/uniprot/CALU_MOUSE","CALU_MOUSE")</f>
        <v>CALU_MOUSE</v>
      </c>
      <c r="D451" t="s">
        <v>496</v>
      </c>
      <c r="E451" s="3" t="s">
        <v>157</v>
      </c>
      <c r="F451" s="4">
        <v>4.8099999999999997E-15</v>
      </c>
      <c r="G451" s="3">
        <v>196</v>
      </c>
      <c r="H451" s="3">
        <v>27</v>
      </c>
      <c r="I451" s="3">
        <v>328</v>
      </c>
      <c r="J451" s="3">
        <v>382</v>
      </c>
      <c r="K451" s="3">
        <v>1329</v>
      </c>
      <c r="L451" s="3">
        <v>10</v>
      </c>
      <c r="M451" s="3">
        <v>300</v>
      </c>
    </row>
    <row r="452" spans="1:13" x14ac:dyDescent="0.25">
      <c r="A452" s="1" t="str">
        <f>HYPERLINK("http://www.rosaceae.org/Prunus/Prunus_persica/p.persica_gdr_reftransV1_0009411","p.persica_gdr_reftransV1_0009411")</f>
        <v>p.persica_gdr_reftransV1_0009411</v>
      </c>
      <c r="B452" s="3">
        <v>2567</v>
      </c>
      <c r="C452" s="1" t="str">
        <f>HYPERLINK("http://www.uniprot.org/uniprot/KC1D_ARATH","KC1D_ARATH")</f>
        <v>KC1D_ARATH</v>
      </c>
      <c r="D452" t="s">
        <v>109</v>
      </c>
      <c r="E452" s="3" t="s">
        <v>3</v>
      </c>
      <c r="F452" s="4">
        <v>0</v>
      </c>
      <c r="G452" s="3">
        <v>1654</v>
      </c>
      <c r="H452" s="3">
        <v>70</v>
      </c>
      <c r="I452" s="3">
        <v>472</v>
      </c>
      <c r="J452" s="3">
        <v>319</v>
      </c>
      <c r="K452" s="3">
        <v>1731</v>
      </c>
      <c r="L452" s="3">
        <v>1</v>
      </c>
      <c r="M452" s="3">
        <v>447</v>
      </c>
    </row>
    <row r="453" spans="1:13" x14ac:dyDescent="0.25">
      <c r="A453" s="1" t="str">
        <f>HYPERLINK("http://www.rosaceae.org/Prunus/Prunus_persica/p.persica_gdr_reftransV1_0009561","p.persica_gdr_reftransV1_0009561")</f>
        <v>p.persica_gdr_reftransV1_0009561</v>
      </c>
      <c r="B453" s="3">
        <v>1673</v>
      </c>
      <c r="C453" s="1" t="str">
        <f>HYPERLINK("http://www.uniprot.org/uniprot/MTPA2_ARATH","MTPA2_ARATH")</f>
        <v>MTPA2_ARATH</v>
      </c>
      <c r="D453" t="s">
        <v>497</v>
      </c>
      <c r="E453" s="3" t="s">
        <v>3</v>
      </c>
      <c r="F453" s="4">
        <v>2.46E-170</v>
      </c>
      <c r="G453" s="3">
        <v>1275</v>
      </c>
      <c r="H453" s="3">
        <v>68</v>
      </c>
      <c r="I453" s="3">
        <v>402</v>
      </c>
      <c r="J453" s="3">
        <v>270</v>
      </c>
      <c r="K453" s="3">
        <v>1457</v>
      </c>
      <c r="L453" s="3">
        <v>12</v>
      </c>
      <c r="M453" s="3">
        <v>385</v>
      </c>
    </row>
    <row r="454" spans="1:13" x14ac:dyDescent="0.25">
      <c r="A454" s="1" t="str">
        <f>HYPERLINK("http://www.rosaceae.org/Prunus/Prunus_persica/p.persica_gdr_reftransV1_0009661","p.persica_gdr_reftransV1_0009661")</f>
        <v>p.persica_gdr_reftransV1_0009661</v>
      </c>
      <c r="B454" s="3">
        <v>2252</v>
      </c>
      <c r="C454" s="1" t="str">
        <f>HYPERLINK("http://www.uniprot.org/uniprot/PDR1_TOBAC","PDR1_TOBAC")</f>
        <v>PDR1_TOBAC</v>
      </c>
      <c r="D454" t="s">
        <v>498</v>
      </c>
      <c r="E454" s="3" t="s">
        <v>200</v>
      </c>
      <c r="F454" s="4">
        <v>0</v>
      </c>
      <c r="G454" s="3">
        <v>2901</v>
      </c>
      <c r="H454" s="3">
        <v>72</v>
      </c>
      <c r="I454" s="3">
        <v>750</v>
      </c>
      <c r="J454" s="3">
        <v>2</v>
      </c>
      <c r="K454" s="3">
        <v>2251</v>
      </c>
      <c r="L454" s="3">
        <v>435</v>
      </c>
      <c r="M454" s="3">
        <v>1165</v>
      </c>
    </row>
    <row r="455" spans="1:13" x14ac:dyDescent="0.25">
      <c r="A455" s="1" t="str">
        <f>HYPERLINK("http://www.rosaceae.org/Prunus/Prunus_persica/p.persica_gdr_reftransV1_0009761","p.persica_gdr_reftransV1_0009761")</f>
        <v>p.persica_gdr_reftransV1_0009761</v>
      </c>
      <c r="B455" s="3">
        <v>2018</v>
      </c>
      <c r="C455" s="1" t="str">
        <f>HYPERLINK("http://www.uniprot.org/uniprot/SCP29_ARATH","SCP29_ARATH")</f>
        <v>SCP29_ARATH</v>
      </c>
      <c r="D455" t="s">
        <v>499</v>
      </c>
      <c r="E455" s="3" t="s">
        <v>3</v>
      </c>
      <c r="F455" s="4">
        <v>0</v>
      </c>
      <c r="G455" s="3">
        <v>1735</v>
      </c>
      <c r="H455" s="3">
        <v>70</v>
      </c>
      <c r="I455" s="3">
        <v>451</v>
      </c>
      <c r="J455" s="3">
        <v>353</v>
      </c>
      <c r="K455" s="3">
        <v>1678</v>
      </c>
      <c r="L455" s="3">
        <v>29</v>
      </c>
      <c r="M455" s="3">
        <v>479</v>
      </c>
    </row>
    <row r="456" spans="1:13" x14ac:dyDescent="0.25">
      <c r="A456" s="1" t="str">
        <f>HYPERLINK("http://www.rosaceae.org/Prunus/Prunus_persica/p.persica_gdr_reftransV1_0009811","p.persica_gdr_reftransV1_0009811")</f>
        <v>p.persica_gdr_reftransV1_0009811</v>
      </c>
      <c r="B456" s="3">
        <v>1613</v>
      </c>
      <c r="C456" s="1" t="str">
        <f>HYPERLINK("http://www.uniprot.org/uniprot/RUVX_ANADE","RUVX_ANADE")</f>
        <v>RUVX_ANADE</v>
      </c>
      <c r="D456" t="s">
        <v>500</v>
      </c>
      <c r="E456" s="3" t="s">
        <v>501</v>
      </c>
      <c r="F456" s="4">
        <v>2.6799999999999998E-9</v>
      </c>
      <c r="G456" s="3">
        <v>144</v>
      </c>
      <c r="H456" s="3">
        <v>37</v>
      </c>
      <c r="I456" s="3">
        <v>129</v>
      </c>
      <c r="J456" s="3">
        <v>696</v>
      </c>
      <c r="K456" s="3">
        <v>1070</v>
      </c>
      <c r="L456" s="3">
        <v>3</v>
      </c>
      <c r="M456" s="3">
        <v>127</v>
      </c>
    </row>
    <row r="457" spans="1:13" x14ac:dyDescent="0.25">
      <c r="A457" s="1" t="str">
        <f>HYPERLINK("http://www.rosaceae.org/Prunus/Prunus_persica/p.persica_gdr_reftransV1_0010011","p.persica_gdr_reftransV1_0010011")</f>
        <v>p.persica_gdr_reftransV1_0010011</v>
      </c>
      <c r="B457" s="3">
        <v>1905</v>
      </c>
      <c r="C457" s="1" t="str">
        <f>HYPERLINK("http://www.uniprot.org/uniprot/PP275_ARATH","PP275_ARATH")</f>
        <v>PP275_ARATH</v>
      </c>
      <c r="D457" t="s">
        <v>502</v>
      </c>
      <c r="E457" s="3" t="s">
        <v>3</v>
      </c>
      <c r="F457" s="4">
        <v>0</v>
      </c>
      <c r="G457" s="3">
        <v>2031</v>
      </c>
      <c r="H457" s="3">
        <v>74</v>
      </c>
      <c r="I457" s="3">
        <v>517</v>
      </c>
      <c r="J457" s="3">
        <v>2</v>
      </c>
      <c r="K457" s="3">
        <v>1543</v>
      </c>
      <c r="L457" s="3">
        <v>83</v>
      </c>
      <c r="M457" s="3">
        <v>599</v>
      </c>
    </row>
    <row r="458" spans="1:13" x14ac:dyDescent="0.25">
      <c r="A458" s="1" t="str">
        <f>HYPERLINK("http://www.rosaceae.org/Prunus/Prunus_persica/p.persica_gdr_reftransV1_0010061","p.persica_gdr_reftransV1_0010061")</f>
        <v>p.persica_gdr_reftransV1_0010061</v>
      </c>
      <c r="B458" s="3">
        <v>2543</v>
      </c>
      <c r="C458" s="1" t="str">
        <f>HYPERLINK("http://www.uniprot.org/uniprot/FRS6_ARATH","FRS6_ARATH")</f>
        <v>FRS6_ARATH</v>
      </c>
      <c r="D458" t="s">
        <v>503</v>
      </c>
      <c r="E458" s="3" t="s">
        <v>3</v>
      </c>
      <c r="F458" s="4">
        <v>0</v>
      </c>
      <c r="G458" s="3">
        <v>1698</v>
      </c>
      <c r="H458" s="3">
        <v>50</v>
      </c>
      <c r="I458" s="3">
        <v>646</v>
      </c>
      <c r="J458" s="3">
        <v>249</v>
      </c>
      <c r="K458" s="3">
        <v>2168</v>
      </c>
      <c r="L458" s="3">
        <v>64</v>
      </c>
      <c r="M458" s="3">
        <v>700</v>
      </c>
    </row>
    <row r="459" spans="1:13" x14ac:dyDescent="0.25">
      <c r="A459" s="1" t="str">
        <f>HYPERLINK("http://www.rosaceae.org/Prunus/Prunus_persica/p.persica_gdr_reftransV1_0010111","p.persica_gdr_reftransV1_0010111")</f>
        <v>p.persica_gdr_reftransV1_0010111</v>
      </c>
      <c r="B459" s="3">
        <v>2743</v>
      </c>
      <c r="C459" s="1" t="str">
        <f>HYPERLINK("http://www.uniprot.org/uniprot/FBT1_ARATH","FBT1_ARATH")</f>
        <v>FBT1_ARATH</v>
      </c>
      <c r="D459" t="s">
        <v>504</v>
      </c>
      <c r="E459" s="3" t="s">
        <v>3</v>
      </c>
      <c r="F459" s="4">
        <v>8.0099999999999998E-139</v>
      </c>
      <c r="G459" s="3">
        <v>1111</v>
      </c>
      <c r="H459" s="3">
        <v>71</v>
      </c>
      <c r="I459" s="3">
        <v>312</v>
      </c>
      <c r="J459" s="3">
        <v>1380</v>
      </c>
      <c r="K459" s="3">
        <v>2309</v>
      </c>
      <c r="L459" s="3">
        <v>245</v>
      </c>
      <c r="M459" s="3">
        <v>516</v>
      </c>
    </row>
    <row r="460" spans="1:13" x14ac:dyDescent="0.25">
      <c r="A460" s="1" t="str">
        <f>HYPERLINK("http://www.rosaceae.org/Prunus/Prunus_persica/p.persica_gdr_reftransV1_0010261","p.persica_gdr_reftransV1_0010261")</f>
        <v>p.persica_gdr_reftransV1_0010261</v>
      </c>
      <c r="B460" s="3">
        <v>2628</v>
      </c>
      <c r="C460" s="1" t="str">
        <f>HYPERLINK("http://www.uniprot.org/uniprot/ITPA_SORBI","ITPA_SORBI")</f>
        <v>ITPA_SORBI</v>
      </c>
      <c r="D460" t="s">
        <v>505</v>
      </c>
      <c r="E460" s="3" t="s">
        <v>506</v>
      </c>
      <c r="F460" s="4">
        <v>1.34E-41</v>
      </c>
      <c r="G460" s="3">
        <v>394</v>
      </c>
      <c r="H460" s="3">
        <v>89</v>
      </c>
      <c r="I460" s="3">
        <v>85</v>
      </c>
      <c r="J460" s="3">
        <v>2149</v>
      </c>
      <c r="K460" s="3">
        <v>2403</v>
      </c>
      <c r="L460" s="3">
        <v>7</v>
      </c>
      <c r="M460" s="3">
        <v>91</v>
      </c>
    </row>
    <row r="461" spans="1:13" x14ac:dyDescent="0.25">
      <c r="A461" s="1" t="str">
        <f>HYPERLINK("http://www.rosaceae.org/Prunus/Prunus_persica/p.persica_gdr_reftransV1_0010361","p.persica_gdr_reftransV1_0010361")</f>
        <v>p.persica_gdr_reftransV1_0010361</v>
      </c>
      <c r="B461" s="3">
        <v>1176</v>
      </c>
      <c r="C461" s="1" t="str">
        <f>HYPERLINK("http://www.uniprot.org/uniprot/DNAJ_BRADU","DNAJ_BRADU")</f>
        <v>DNAJ_BRADU</v>
      </c>
      <c r="D461" t="s">
        <v>507</v>
      </c>
      <c r="E461" s="3" t="s">
        <v>67</v>
      </c>
      <c r="F461" s="4">
        <v>4.48E-10</v>
      </c>
      <c r="G461" s="3">
        <v>156</v>
      </c>
      <c r="H461" s="3">
        <v>47</v>
      </c>
      <c r="I461" s="3">
        <v>68</v>
      </c>
      <c r="J461" s="3">
        <v>563</v>
      </c>
      <c r="K461" s="3">
        <v>766</v>
      </c>
      <c r="L461" s="3">
        <v>10</v>
      </c>
      <c r="M461" s="3">
        <v>71</v>
      </c>
    </row>
    <row r="462" spans="1:13" x14ac:dyDescent="0.25">
      <c r="A462" s="1" t="str">
        <f>HYPERLINK("http://www.rosaceae.org/Prunus/Prunus_persica/p.persica_gdr_reftransV1_0010611","p.persica_gdr_reftransV1_0010611")</f>
        <v>p.persica_gdr_reftransV1_0010611</v>
      </c>
      <c r="B462" s="3">
        <v>1343</v>
      </c>
      <c r="C462" s="1" t="str">
        <f>HYPERLINK("http://www.uniprot.org/uniprot/IGS1_PETHY","IGS1_PETHY")</f>
        <v>IGS1_PETHY</v>
      </c>
      <c r="D462" t="s">
        <v>508</v>
      </c>
      <c r="E462" s="3" t="s">
        <v>509</v>
      </c>
      <c r="F462" s="4">
        <v>1.3100000000000001E-130</v>
      </c>
      <c r="G462" s="3">
        <v>994</v>
      </c>
      <c r="H462" s="3">
        <v>59</v>
      </c>
      <c r="I462" s="3">
        <v>305</v>
      </c>
      <c r="J462" s="3">
        <v>260</v>
      </c>
      <c r="K462" s="3">
        <v>1165</v>
      </c>
      <c r="L462" s="3">
        <v>5</v>
      </c>
      <c r="M462" s="3">
        <v>309</v>
      </c>
    </row>
    <row r="463" spans="1:13" x14ac:dyDescent="0.25">
      <c r="A463" s="1" t="str">
        <f>HYPERLINK("http://www.rosaceae.org/Prunus/Prunus_persica/p.persica_gdr_reftransV1_0010711","p.persica_gdr_reftransV1_0010711")</f>
        <v>p.persica_gdr_reftransV1_0010711</v>
      </c>
      <c r="B463" s="3">
        <v>1301</v>
      </c>
      <c r="C463" s="1" t="str">
        <f>HYPERLINK("http://www.uniprot.org/uniprot/RU1A_ARATH","RU1A_ARATH")</f>
        <v>RU1A_ARATH</v>
      </c>
      <c r="D463" t="s">
        <v>510</v>
      </c>
      <c r="E463" s="3" t="s">
        <v>3</v>
      </c>
      <c r="F463" s="4">
        <v>2.3400000000000001E-119</v>
      </c>
      <c r="G463" s="3">
        <v>911</v>
      </c>
      <c r="H463" s="3">
        <v>76</v>
      </c>
      <c r="I463" s="3">
        <v>250</v>
      </c>
      <c r="J463" s="3">
        <v>391</v>
      </c>
      <c r="K463" s="3">
        <v>1119</v>
      </c>
      <c r="L463" s="3">
        <v>2</v>
      </c>
      <c r="M463" s="3">
        <v>250</v>
      </c>
    </row>
    <row r="464" spans="1:13" x14ac:dyDescent="0.25">
      <c r="A464" s="1" t="str">
        <f>HYPERLINK("http://www.rosaceae.org/Prunus/Prunus_persica/p.persica_gdr_reftransV1_0011011","p.persica_gdr_reftransV1_0011011")</f>
        <v>p.persica_gdr_reftransV1_0011011</v>
      </c>
      <c r="B464" s="3">
        <v>1006</v>
      </c>
      <c r="C464" s="1" t="str">
        <f>HYPERLINK("http://www.uniprot.org/uniprot/ACFR3_ARATH","ACFR3_ARATH")</f>
        <v>ACFR3_ARATH</v>
      </c>
      <c r="D464" t="s">
        <v>511</v>
      </c>
      <c r="E464" s="3" t="s">
        <v>3</v>
      </c>
      <c r="F464" s="4">
        <v>2.8599999999999999E-72</v>
      </c>
      <c r="G464" s="3">
        <v>586</v>
      </c>
      <c r="H464" s="3">
        <v>59</v>
      </c>
      <c r="I464" s="3">
        <v>216</v>
      </c>
      <c r="J464" s="3">
        <v>235</v>
      </c>
      <c r="K464" s="3">
        <v>882</v>
      </c>
      <c r="L464" s="3">
        <v>11</v>
      </c>
      <c r="M464" s="3">
        <v>223</v>
      </c>
    </row>
    <row r="465" spans="1:13" x14ac:dyDescent="0.25">
      <c r="A465" s="1" t="str">
        <f>HYPERLINK("http://www.rosaceae.org/Prunus/Prunus_persica/p.persica_gdr_reftransV1_0011111","p.persica_gdr_reftransV1_0011111")</f>
        <v>p.persica_gdr_reftransV1_0011111</v>
      </c>
      <c r="B465" s="3">
        <v>1016</v>
      </c>
      <c r="C465" s="1" t="str">
        <f>HYPERLINK("http://www.uniprot.org/uniprot/KIN13_ARATH","KIN13_ARATH")</f>
        <v>KIN13_ARATH</v>
      </c>
      <c r="D465" t="s">
        <v>465</v>
      </c>
      <c r="E465" s="3" t="s">
        <v>3</v>
      </c>
      <c r="F465" s="4">
        <v>4.5999999999999998E-43</v>
      </c>
      <c r="G465" s="3">
        <v>411</v>
      </c>
      <c r="H465" s="3">
        <v>55</v>
      </c>
      <c r="I465" s="3">
        <v>170</v>
      </c>
      <c r="J465" s="3">
        <v>510</v>
      </c>
      <c r="K465" s="3">
        <v>1016</v>
      </c>
      <c r="L465" s="3">
        <v>118</v>
      </c>
      <c r="M465" s="3">
        <v>280</v>
      </c>
    </row>
    <row r="466" spans="1:13" x14ac:dyDescent="0.25">
      <c r="A466" s="1" t="str">
        <f>HYPERLINK("http://www.rosaceae.org/Prunus/Prunus_persica/p.persica_gdr_reftransV1_0011211","p.persica_gdr_reftransV1_0011211")</f>
        <v>p.persica_gdr_reftransV1_0011211</v>
      </c>
      <c r="B466" s="3">
        <v>2639</v>
      </c>
      <c r="C466" s="1" t="str">
        <f>HYPERLINK("http://www.uniprot.org/uniprot/LNG1_ARATH","LNG1_ARATH")</f>
        <v>LNG1_ARATH</v>
      </c>
      <c r="D466" t="s">
        <v>512</v>
      </c>
      <c r="E466" s="3" t="s">
        <v>3</v>
      </c>
      <c r="F466" s="4">
        <v>1.32E-12</v>
      </c>
      <c r="G466" s="3">
        <v>185</v>
      </c>
      <c r="H466" s="3">
        <v>28</v>
      </c>
      <c r="I466" s="3">
        <v>281</v>
      </c>
      <c r="J466" s="3">
        <v>1803</v>
      </c>
      <c r="K466" s="3">
        <v>2393</v>
      </c>
      <c r="L466" s="3">
        <v>639</v>
      </c>
      <c r="M466" s="3">
        <v>914</v>
      </c>
    </row>
    <row r="467" spans="1:13" x14ac:dyDescent="0.25">
      <c r="A467" s="1" t="str">
        <f>HYPERLINK("http://www.rosaceae.org/Prunus/Prunus_persica/p.persica_gdr_reftransV1_0011261","p.persica_gdr_reftransV1_0011261")</f>
        <v>p.persica_gdr_reftransV1_0011261</v>
      </c>
      <c r="B467" s="3">
        <v>1689</v>
      </c>
      <c r="C467" s="1" t="str">
        <f>HYPERLINK("http://www.uniprot.org/uniprot/Y4276_ARATH","Y4276_ARATH")</f>
        <v>Y4276_ARATH</v>
      </c>
      <c r="D467" t="s">
        <v>513</v>
      </c>
      <c r="E467" s="3" t="s">
        <v>3</v>
      </c>
      <c r="F467" s="4">
        <v>2.5600000000000002E-7</v>
      </c>
      <c r="G467" s="3">
        <v>133</v>
      </c>
      <c r="H467" s="3">
        <v>36</v>
      </c>
      <c r="I467" s="3">
        <v>81</v>
      </c>
      <c r="J467" s="3">
        <v>839</v>
      </c>
      <c r="K467" s="3">
        <v>1081</v>
      </c>
      <c r="L467" s="3">
        <v>123</v>
      </c>
      <c r="M467" s="3">
        <v>201</v>
      </c>
    </row>
    <row r="468" spans="1:13" x14ac:dyDescent="0.25">
      <c r="A468" s="1" t="str">
        <f>HYPERLINK("http://www.rosaceae.org/Prunus/Prunus_persica/p.persica_gdr_reftransV1_0011311","p.persica_gdr_reftransV1_0011311")</f>
        <v>p.persica_gdr_reftransV1_0011311</v>
      </c>
      <c r="B468" s="3">
        <v>2616</v>
      </c>
      <c r="C468" s="1" t="str">
        <f>HYPERLINK("http://www.uniprot.org/uniprot/XYL2_MEDSV","XYL2_MEDSV")</f>
        <v>XYL2_MEDSV</v>
      </c>
      <c r="D468" t="s">
        <v>514</v>
      </c>
      <c r="E468" s="3" t="s">
        <v>515</v>
      </c>
      <c r="F468" s="4">
        <v>0</v>
      </c>
      <c r="G468" s="3">
        <v>3168</v>
      </c>
      <c r="H468" s="3">
        <v>76</v>
      </c>
      <c r="I468" s="3">
        <v>778</v>
      </c>
      <c r="J468" s="3">
        <v>167</v>
      </c>
      <c r="K468" s="3">
        <v>2497</v>
      </c>
      <c r="L468" s="3">
        <v>2</v>
      </c>
      <c r="M468" s="3">
        <v>774</v>
      </c>
    </row>
    <row r="469" spans="1:13" x14ac:dyDescent="0.25">
      <c r="A469" s="1" t="str">
        <f>HYPERLINK("http://www.rosaceae.org/Prunus/Prunus_persica/p.persica_gdr_reftransV1_0011461","p.persica_gdr_reftransV1_0011461")</f>
        <v>p.persica_gdr_reftransV1_0011461</v>
      </c>
      <c r="B469" s="3">
        <v>1303</v>
      </c>
      <c r="C469" s="1" t="str">
        <f>HYPERLINK("http://www.uniprot.org/uniprot/MT878_ARATH","MT878_ARATH")</f>
        <v>MT878_ARATH</v>
      </c>
      <c r="D469" t="s">
        <v>516</v>
      </c>
      <c r="E469" s="3" t="s">
        <v>3</v>
      </c>
      <c r="F469" s="4">
        <v>7.4699999999999999E-81</v>
      </c>
      <c r="G469" s="3">
        <v>664</v>
      </c>
      <c r="H469" s="3">
        <v>44</v>
      </c>
      <c r="I469" s="3">
        <v>330</v>
      </c>
      <c r="J469" s="3">
        <v>139</v>
      </c>
      <c r="K469" s="3">
        <v>1104</v>
      </c>
      <c r="L469" s="3">
        <v>13</v>
      </c>
      <c r="M469" s="3">
        <v>340</v>
      </c>
    </row>
    <row r="470" spans="1:13" x14ac:dyDescent="0.25">
      <c r="A470" s="1" t="str">
        <f>HYPERLINK("http://www.rosaceae.org/Prunus/Prunus_persica/p.persica_gdr_reftransV1_0011511","p.persica_gdr_reftransV1_0011511")</f>
        <v>p.persica_gdr_reftransV1_0011511</v>
      </c>
      <c r="B470" s="3">
        <v>400</v>
      </c>
      <c r="C470" s="1" t="str">
        <f>HYPERLINK("http://www.uniprot.org/uniprot/EDS1L_ARATH","EDS1L_ARATH")</f>
        <v>EDS1L_ARATH</v>
      </c>
      <c r="D470" t="s">
        <v>517</v>
      </c>
      <c r="E470" s="3" t="s">
        <v>3</v>
      </c>
      <c r="F470" s="4">
        <v>1.2399999999999999E-16</v>
      </c>
      <c r="G470" s="3">
        <v>196</v>
      </c>
      <c r="H470" s="3">
        <v>39</v>
      </c>
      <c r="I470" s="3">
        <v>120</v>
      </c>
      <c r="J470" s="3">
        <v>32</v>
      </c>
      <c r="K470" s="3">
        <v>382</v>
      </c>
      <c r="L470" s="3">
        <v>32</v>
      </c>
      <c r="M470" s="3">
        <v>140</v>
      </c>
    </row>
    <row r="471" spans="1:13" x14ac:dyDescent="0.25">
      <c r="A471" s="1" t="str">
        <f>HYPERLINK("http://www.rosaceae.org/Prunus/Prunus_persica/p.persica_gdr_reftransV1_0011611","p.persica_gdr_reftransV1_0011611")</f>
        <v>p.persica_gdr_reftransV1_0011611</v>
      </c>
      <c r="B471" s="3">
        <v>1726</v>
      </c>
      <c r="C471" s="1" t="str">
        <f>HYPERLINK("http://www.uniprot.org/uniprot/CLP1_ARATH","CLP1_ARATH")</f>
        <v>CLP1_ARATH</v>
      </c>
      <c r="D471" t="s">
        <v>518</v>
      </c>
      <c r="E471" s="3" t="s">
        <v>3</v>
      </c>
      <c r="F471" s="4">
        <v>0</v>
      </c>
      <c r="G471" s="3">
        <v>1661</v>
      </c>
      <c r="H471" s="3">
        <v>73</v>
      </c>
      <c r="I471" s="3">
        <v>423</v>
      </c>
      <c r="J471" s="3">
        <v>307</v>
      </c>
      <c r="K471" s="3">
        <v>1572</v>
      </c>
      <c r="L471" s="3">
        <v>24</v>
      </c>
      <c r="M471" s="3">
        <v>443</v>
      </c>
    </row>
    <row r="472" spans="1:13" x14ac:dyDescent="0.25">
      <c r="A472" s="1" t="str">
        <f>HYPERLINK("http://www.rosaceae.org/Prunus/Prunus_persica/p.persica_gdr_reftransV1_0011661","p.persica_gdr_reftransV1_0011661")</f>
        <v>p.persica_gdr_reftransV1_0011661</v>
      </c>
      <c r="B472" s="3">
        <v>2372</v>
      </c>
      <c r="C472" s="1" t="str">
        <f>HYPERLINK("http://www.uniprot.org/uniprot/PP153_ARATH","PP153_ARATH")</f>
        <v>PP153_ARATH</v>
      </c>
      <c r="D472" t="s">
        <v>519</v>
      </c>
      <c r="E472" s="3" t="s">
        <v>3</v>
      </c>
      <c r="F472" s="4">
        <v>1.1399999999999999E-170</v>
      </c>
      <c r="G472" s="3">
        <v>1317</v>
      </c>
      <c r="H472" s="3">
        <v>67</v>
      </c>
      <c r="I472" s="3">
        <v>375</v>
      </c>
      <c r="J472" s="3">
        <v>400</v>
      </c>
      <c r="K472" s="3">
        <v>1524</v>
      </c>
      <c r="L472" s="3">
        <v>208</v>
      </c>
      <c r="M472" s="3">
        <v>579</v>
      </c>
    </row>
    <row r="473" spans="1:13" x14ac:dyDescent="0.25">
      <c r="A473" s="1" t="str">
        <f>HYPERLINK("http://www.rosaceae.org/Prunus/Prunus_persica/p.persica_gdr_reftransV1_0011711","p.persica_gdr_reftransV1_0011711")</f>
        <v>p.persica_gdr_reftransV1_0011711</v>
      </c>
      <c r="B473" s="3">
        <v>1017</v>
      </c>
      <c r="C473" s="1" t="str">
        <f>HYPERLINK("http://www.uniprot.org/uniprot/RAN3_ARATH","RAN3_ARATH")</f>
        <v>RAN3_ARATH</v>
      </c>
      <c r="D473" t="s">
        <v>520</v>
      </c>
      <c r="E473" s="3" t="s">
        <v>3</v>
      </c>
      <c r="F473" s="4">
        <v>3.2399999999999999E-83</v>
      </c>
      <c r="G473" s="3">
        <v>659</v>
      </c>
      <c r="H473" s="3">
        <v>100</v>
      </c>
      <c r="I473" s="3">
        <v>120</v>
      </c>
      <c r="J473" s="3">
        <v>657</v>
      </c>
      <c r="K473" s="3">
        <v>1016</v>
      </c>
      <c r="L473" s="3">
        <v>25</v>
      </c>
      <c r="M473" s="3">
        <v>144</v>
      </c>
    </row>
    <row r="474" spans="1:13" x14ac:dyDescent="0.25">
      <c r="A474" s="1" t="str">
        <f>HYPERLINK("http://www.rosaceae.org/Prunus/Prunus_persica/p.persica_gdr_reftransV1_0011761","p.persica_gdr_reftransV1_0011761")</f>
        <v>p.persica_gdr_reftransV1_0011761</v>
      </c>
      <c r="B474" s="3">
        <v>4617</v>
      </c>
      <c r="C474" s="1" t="str">
        <f>HYPERLINK("http://www.uniprot.org/uniprot/NAA25_MOUSE","NAA25_MOUSE")</f>
        <v>NAA25_MOUSE</v>
      </c>
      <c r="D474" t="s">
        <v>521</v>
      </c>
      <c r="E474" s="3" t="s">
        <v>157</v>
      </c>
      <c r="F474" s="4">
        <v>5.2299999999999998E-33</v>
      </c>
      <c r="G474" s="3">
        <v>360</v>
      </c>
      <c r="H474" s="3">
        <v>25</v>
      </c>
      <c r="I474" s="3">
        <v>609</v>
      </c>
      <c r="J474" s="3">
        <v>345</v>
      </c>
      <c r="K474" s="3">
        <v>2090</v>
      </c>
      <c r="L474" s="3">
        <v>12</v>
      </c>
      <c r="M474" s="3">
        <v>593</v>
      </c>
    </row>
    <row r="475" spans="1:13" x14ac:dyDescent="0.25">
      <c r="A475" s="1" t="str">
        <f>HYPERLINK("http://www.rosaceae.org/Prunus/Prunus_persica/p.persica_gdr_reftransV1_0011811","p.persica_gdr_reftransV1_0011811")</f>
        <v>p.persica_gdr_reftransV1_0011811</v>
      </c>
      <c r="B475" s="3">
        <v>773</v>
      </c>
      <c r="C475" s="1" t="str">
        <f>HYPERLINK("http://www.uniprot.org/uniprot/CDT1A_ARATH","CDT1A_ARATH")</f>
        <v>CDT1A_ARATH</v>
      </c>
      <c r="D475" t="s">
        <v>522</v>
      </c>
      <c r="E475" s="3" t="s">
        <v>3</v>
      </c>
      <c r="F475" s="4">
        <v>1.5100000000000001E-30</v>
      </c>
      <c r="G475" s="3">
        <v>308</v>
      </c>
      <c r="H475" s="3">
        <v>63</v>
      </c>
      <c r="I475" s="3">
        <v>119</v>
      </c>
      <c r="J475" s="3">
        <v>386</v>
      </c>
      <c r="K475" s="3">
        <v>742</v>
      </c>
      <c r="L475" s="3">
        <v>438</v>
      </c>
      <c r="M475" s="3">
        <v>554</v>
      </c>
    </row>
    <row r="476" spans="1:13" x14ac:dyDescent="0.25">
      <c r="A476" s="1" t="str">
        <f>HYPERLINK("http://www.rosaceae.org/Prunus/Prunus_persica/p.persica_gdr_reftransV1_0011961","p.persica_gdr_reftransV1_0011961")</f>
        <v>p.persica_gdr_reftransV1_0011961</v>
      </c>
      <c r="B476" s="3">
        <v>1182</v>
      </c>
      <c r="C476" s="1" t="str">
        <f>HYPERLINK("http://www.uniprot.org/uniprot/CC124_BOVIN","CC124_BOVIN")</f>
        <v>CC124_BOVIN</v>
      </c>
      <c r="D476" t="s">
        <v>523</v>
      </c>
      <c r="E476" s="3" t="s">
        <v>184</v>
      </c>
      <c r="F476" s="4">
        <v>1.21E-19</v>
      </c>
      <c r="G476" s="3">
        <v>223</v>
      </c>
      <c r="H476" s="3">
        <v>51</v>
      </c>
      <c r="I476" s="3">
        <v>88</v>
      </c>
      <c r="J476" s="3">
        <v>534</v>
      </c>
      <c r="K476" s="3">
        <v>788</v>
      </c>
      <c r="L476" s="3">
        <v>130</v>
      </c>
      <c r="M476" s="3">
        <v>216</v>
      </c>
    </row>
    <row r="477" spans="1:13" x14ac:dyDescent="0.25">
      <c r="A477" s="1" t="str">
        <f>HYPERLINK("http://www.rosaceae.org/Prunus/Prunus_persica/p.persica_gdr_reftransV1_0012011","p.persica_gdr_reftransV1_0012011")</f>
        <v>p.persica_gdr_reftransV1_0012011</v>
      </c>
      <c r="B477" s="3">
        <v>3720</v>
      </c>
      <c r="C477" s="1" t="str">
        <f>HYPERLINK("http://www.uniprot.org/uniprot/NIPA4_ARATH","NIPA4_ARATH")</f>
        <v>NIPA4_ARATH</v>
      </c>
      <c r="D477" t="s">
        <v>524</v>
      </c>
      <c r="E477" s="3" t="s">
        <v>3</v>
      </c>
      <c r="F477" s="4">
        <v>3.81E-79</v>
      </c>
      <c r="G477" s="3">
        <v>687</v>
      </c>
      <c r="H477" s="3">
        <v>82</v>
      </c>
      <c r="I477" s="3">
        <v>174</v>
      </c>
      <c r="J477" s="3">
        <v>1522</v>
      </c>
      <c r="K477" s="3">
        <v>2043</v>
      </c>
      <c r="L477" s="3">
        <v>73</v>
      </c>
      <c r="M477" s="3">
        <v>246</v>
      </c>
    </row>
    <row r="478" spans="1:13" x14ac:dyDescent="0.25">
      <c r="A478" s="1" t="str">
        <f>HYPERLINK("http://www.rosaceae.org/Prunus/Prunus_persica/p.persica_gdr_reftransV1_0012061","p.persica_gdr_reftransV1_0012061")</f>
        <v>p.persica_gdr_reftransV1_0012061</v>
      </c>
      <c r="B478" s="3">
        <v>2026</v>
      </c>
      <c r="C478" s="1" t="str">
        <f>HYPERLINK("http://www.uniprot.org/uniprot/PP319_ARATH","PP319_ARATH")</f>
        <v>PP319_ARATH</v>
      </c>
      <c r="D478" t="s">
        <v>525</v>
      </c>
      <c r="E478" s="3" t="s">
        <v>3</v>
      </c>
      <c r="F478" s="4">
        <v>0</v>
      </c>
      <c r="G478" s="3">
        <v>1844</v>
      </c>
      <c r="H478" s="3">
        <v>57</v>
      </c>
      <c r="I478" s="3">
        <v>623</v>
      </c>
      <c r="J478" s="3">
        <v>76</v>
      </c>
      <c r="K478" s="3">
        <v>1917</v>
      </c>
      <c r="L478" s="3">
        <v>1</v>
      </c>
      <c r="M478" s="3">
        <v>617</v>
      </c>
    </row>
    <row r="479" spans="1:13" x14ac:dyDescent="0.25">
      <c r="A479" s="1" t="str">
        <f>HYPERLINK("http://www.rosaceae.org/Prunus/Prunus_persica/p.persica_gdr_reftransV1_0012311","p.persica_gdr_reftransV1_0012311")</f>
        <v>p.persica_gdr_reftransV1_0012311</v>
      </c>
      <c r="B479" s="3">
        <v>946</v>
      </c>
      <c r="C479" s="1" t="str">
        <f>HYPERLINK("http://www.uniprot.org/uniprot/Y305_SYNY3","Y305_SYNY3")</f>
        <v>Y305_SYNY3</v>
      </c>
      <c r="D479" t="s">
        <v>526</v>
      </c>
      <c r="E479" s="3" t="s">
        <v>527</v>
      </c>
      <c r="F479" s="4">
        <v>2.5000000000000001E-9</v>
      </c>
      <c r="G479" s="3">
        <v>143</v>
      </c>
      <c r="H479" s="3">
        <v>31</v>
      </c>
      <c r="I479" s="3">
        <v>141</v>
      </c>
      <c r="J479" s="3">
        <v>167</v>
      </c>
      <c r="K479" s="3">
        <v>574</v>
      </c>
      <c r="L479" s="3">
        <v>13</v>
      </c>
      <c r="M479" s="3">
        <v>141</v>
      </c>
    </row>
    <row r="480" spans="1:13" x14ac:dyDescent="0.25">
      <c r="A480" s="1" t="str">
        <f>HYPERLINK("http://www.rosaceae.org/Prunus/Prunus_persica/p.persica_gdr_reftransV1_0012361","p.persica_gdr_reftransV1_0012361")</f>
        <v>p.persica_gdr_reftransV1_0012361</v>
      </c>
      <c r="B480" s="3">
        <v>886</v>
      </c>
      <c r="C480" s="1" t="str">
        <f>HYPERLINK("http://www.uniprot.org/uniprot/DNJB5_MOUSE","DNJB5_MOUSE")</f>
        <v>DNJB5_MOUSE</v>
      </c>
      <c r="D480" t="s">
        <v>528</v>
      </c>
      <c r="E480" s="3" t="s">
        <v>157</v>
      </c>
      <c r="F480" s="4">
        <v>1.0200000000000001E-12</v>
      </c>
      <c r="G480" s="3">
        <v>173</v>
      </c>
      <c r="H480" s="3">
        <v>52</v>
      </c>
      <c r="I480" s="3">
        <v>63</v>
      </c>
      <c r="J480" s="3">
        <v>168</v>
      </c>
      <c r="K480" s="3">
        <v>356</v>
      </c>
      <c r="L480" s="3">
        <v>4</v>
      </c>
      <c r="M480" s="3">
        <v>66</v>
      </c>
    </row>
    <row r="481" spans="1:13" x14ac:dyDescent="0.25">
      <c r="A481" s="1" t="str">
        <f>HYPERLINK("http://www.rosaceae.org/Prunus/Prunus_persica/p.persica_gdr_reftransV1_0012511","p.persica_gdr_reftransV1_0012511")</f>
        <v>p.persica_gdr_reftransV1_0012511</v>
      </c>
      <c r="B481" s="3">
        <v>2845</v>
      </c>
      <c r="C481" s="1" t="str">
        <f>HYPERLINK("http://www.uniprot.org/uniprot/FB121_ARATH","FB121_ARATH")</f>
        <v>FB121_ARATH</v>
      </c>
      <c r="D481" t="s">
        <v>529</v>
      </c>
      <c r="E481" s="3" t="s">
        <v>3</v>
      </c>
      <c r="F481" s="4">
        <v>1.24E-91</v>
      </c>
      <c r="G481" s="3">
        <v>772</v>
      </c>
      <c r="H481" s="3">
        <v>47</v>
      </c>
      <c r="I481" s="3">
        <v>348</v>
      </c>
      <c r="J481" s="3">
        <v>1774</v>
      </c>
      <c r="K481" s="3">
        <v>2799</v>
      </c>
      <c r="L481" s="3">
        <v>2</v>
      </c>
      <c r="M481" s="3">
        <v>318</v>
      </c>
    </row>
    <row r="482" spans="1:13" x14ac:dyDescent="0.25">
      <c r="A482" s="1" t="str">
        <f>HYPERLINK("http://www.rosaceae.org/Prunus/Prunus_persica/p.persica_gdr_reftransV1_0012661","p.persica_gdr_reftransV1_0012661")</f>
        <v>p.persica_gdr_reftransV1_0012661</v>
      </c>
      <c r="B482" s="3">
        <v>2220</v>
      </c>
      <c r="C482" s="1" t="str">
        <f>HYPERLINK("http://www.uniprot.org/uniprot/SIGD_ARATH","SIGD_ARATH")</f>
        <v>SIGD_ARATH</v>
      </c>
      <c r="D482" t="s">
        <v>530</v>
      </c>
      <c r="E482" s="3" t="s">
        <v>3</v>
      </c>
      <c r="F482" s="4">
        <v>2.0400000000000001E-48</v>
      </c>
      <c r="G482" s="3">
        <v>458</v>
      </c>
      <c r="H482" s="3">
        <v>57</v>
      </c>
      <c r="I482" s="3">
        <v>157</v>
      </c>
      <c r="J482" s="3">
        <v>1582</v>
      </c>
      <c r="K482" s="3">
        <v>2052</v>
      </c>
      <c r="L482" s="3">
        <v>258</v>
      </c>
      <c r="M482" s="3">
        <v>414</v>
      </c>
    </row>
    <row r="483" spans="1:13" x14ac:dyDescent="0.25">
      <c r="A483" s="1" t="str">
        <f>HYPERLINK("http://www.rosaceae.org/Prunus/Prunus_persica/p.persica_gdr_reftransV1_0012761","p.persica_gdr_reftransV1_0012761")</f>
        <v>p.persica_gdr_reftransV1_0012761</v>
      </c>
      <c r="B483" s="3">
        <v>1040</v>
      </c>
      <c r="C483" s="1" t="str">
        <f>HYPERLINK("http://www.uniprot.org/uniprot/YCF2_MORIN","YCF2_MORIN")</f>
        <v>YCF2_MORIN</v>
      </c>
      <c r="D483" t="s">
        <v>531</v>
      </c>
      <c r="E483" s="3" t="s">
        <v>69</v>
      </c>
      <c r="F483" s="4">
        <v>2.3399999999999999E-164</v>
      </c>
      <c r="G483" s="3">
        <v>1319</v>
      </c>
      <c r="H483" s="3">
        <v>96</v>
      </c>
      <c r="I483" s="3">
        <v>258</v>
      </c>
      <c r="J483" s="3">
        <v>1</v>
      </c>
      <c r="K483" s="3">
        <v>774</v>
      </c>
      <c r="L483" s="3">
        <v>32</v>
      </c>
      <c r="M483" s="3">
        <v>289</v>
      </c>
    </row>
    <row r="484" spans="1:13" x14ac:dyDescent="0.25">
      <c r="A484" s="1" t="str">
        <f>HYPERLINK("http://www.rosaceae.org/Prunus/Prunus_persica/p.persica_gdr_reftransV1_0012911","p.persica_gdr_reftransV1_0012911")</f>
        <v>p.persica_gdr_reftransV1_0012911</v>
      </c>
      <c r="B484" s="3">
        <v>2051</v>
      </c>
      <c r="C484" s="1" t="str">
        <f>HYPERLINK("http://www.uniprot.org/uniprot/C3H6_ARATH","C3H6_ARATH")</f>
        <v>C3H6_ARATH</v>
      </c>
      <c r="D484" t="s">
        <v>532</v>
      </c>
      <c r="E484" s="3" t="s">
        <v>3</v>
      </c>
      <c r="F484" s="4">
        <v>7.5899999999999993E-46</v>
      </c>
      <c r="G484" s="3">
        <v>437</v>
      </c>
      <c r="H484" s="3">
        <v>39</v>
      </c>
      <c r="I484" s="3">
        <v>271</v>
      </c>
      <c r="J484" s="3">
        <v>992</v>
      </c>
      <c r="K484" s="3">
        <v>1795</v>
      </c>
      <c r="L484" s="3">
        <v>1</v>
      </c>
      <c r="M484" s="3">
        <v>235</v>
      </c>
    </row>
    <row r="485" spans="1:13" x14ac:dyDescent="0.25">
      <c r="A485" s="1" t="str">
        <f>HYPERLINK("http://www.rosaceae.org/Prunus/Prunus_persica/p.persica_gdr_reftransV1_0013061","p.persica_gdr_reftransV1_0013061")</f>
        <v>p.persica_gdr_reftransV1_0013061</v>
      </c>
      <c r="B485" s="3">
        <v>3527</v>
      </c>
      <c r="C485" s="1" t="str">
        <f>HYPERLINK("http://www.uniprot.org/uniprot/Y1063_ARATH","Y1063_ARATH")</f>
        <v>Y1063_ARATH</v>
      </c>
      <c r="D485" t="s">
        <v>533</v>
      </c>
      <c r="E485" s="3" t="s">
        <v>3</v>
      </c>
      <c r="F485" s="4">
        <v>0</v>
      </c>
      <c r="G485" s="3">
        <v>1946</v>
      </c>
      <c r="H485" s="3">
        <v>63</v>
      </c>
      <c r="I485" s="3">
        <v>652</v>
      </c>
      <c r="J485" s="3">
        <v>1298</v>
      </c>
      <c r="K485" s="3">
        <v>3238</v>
      </c>
      <c r="L485" s="3">
        <v>21</v>
      </c>
      <c r="M485" s="3">
        <v>652</v>
      </c>
    </row>
    <row r="486" spans="1:13" x14ac:dyDescent="0.25">
      <c r="A486" s="1" t="str">
        <f>HYPERLINK("http://www.rosaceae.org/Prunus/Prunus_persica/p.persica_gdr_reftransV1_0013261","p.persica_gdr_reftransV1_0013261")</f>
        <v>p.persica_gdr_reftransV1_0013261</v>
      </c>
      <c r="B486" s="3">
        <v>7932</v>
      </c>
      <c r="C486" s="1" t="str">
        <f>HYPERLINK("http://www.uniprot.org/uniprot/CHR4_ARATH","CHR4_ARATH")</f>
        <v>CHR4_ARATH</v>
      </c>
      <c r="D486" t="s">
        <v>534</v>
      </c>
      <c r="E486" s="3" t="s">
        <v>3</v>
      </c>
      <c r="F486" s="4">
        <v>0</v>
      </c>
      <c r="G486" s="3">
        <v>4615</v>
      </c>
      <c r="H486" s="3">
        <v>57</v>
      </c>
      <c r="I486" s="3">
        <v>1931</v>
      </c>
      <c r="J486" s="3">
        <v>641</v>
      </c>
      <c r="K486" s="3">
        <v>6346</v>
      </c>
      <c r="L486" s="3">
        <v>352</v>
      </c>
      <c r="M486" s="3">
        <v>2156</v>
      </c>
    </row>
    <row r="487" spans="1:13" x14ac:dyDescent="0.25">
      <c r="A487" s="1" t="str">
        <f>HYPERLINK("http://www.rosaceae.org/Prunus/Prunus_persica/p.persica_gdr_reftransV1_0013311","p.persica_gdr_reftransV1_0013311")</f>
        <v>p.persica_gdr_reftransV1_0013311</v>
      </c>
      <c r="B487" s="3">
        <v>3579</v>
      </c>
      <c r="C487" s="1" t="str">
        <f>HYPERLINK("http://www.uniprot.org/uniprot/SDIR1_ARATH","SDIR1_ARATH")</f>
        <v>SDIR1_ARATH</v>
      </c>
      <c r="D487" t="s">
        <v>535</v>
      </c>
      <c r="E487" s="3" t="s">
        <v>3</v>
      </c>
      <c r="F487" s="4">
        <v>1.0600000000000001E-8</v>
      </c>
      <c r="G487" s="3">
        <v>148</v>
      </c>
      <c r="H487" s="3">
        <v>33</v>
      </c>
      <c r="I487" s="3">
        <v>119</v>
      </c>
      <c r="J487" s="3">
        <v>622</v>
      </c>
      <c r="K487" s="3">
        <v>882</v>
      </c>
      <c r="L487" s="3">
        <v>124</v>
      </c>
      <c r="M487" s="3">
        <v>242</v>
      </c>
    </row>
    <row r="488" spans="1:13" x14ac:dyDescent="0.25">
      <c r="A488" s="1" t="str">
        <f>HYPERLINK("http://www.rosaceae.org/Prunus/Prunus_persica/p.persica_gdr_reftransV1_0013411","p.persica_gdr_reftransV1_0013411")</f>
        <v>p.persica_gdr_reftransV1_0013411</v>
      </c>
      <c r="B488" s="3">
        <v>1370</v>
      </c>
      <c r="C488" s="1" t="str">
        <f>HYPERLINK("http://www.uniprot.org/uniprot/WDR74_BOVIN","WDR74_BOVIN")</f>
        <v>WDR74_BOVIN</v>
      </c>
      <c r="D488" t="s">
        <v>536</v>
      </c>
      <c r="E488" s="3" t="s">
        <v>184</v>
      </c>
      <c r="F488" s="4">
        <v>1.42E-26</v>
      </c>
      <c r="G488" s="3">
        <v>284</v>
      </c>
      <c r="H488" s="3">
        <v>33</v>
      </c>
      <c r="I488" s="3">
        <v>246</v>
      </c>
      <c r="J488" s="3">
        <v>467</v>
      </c>
      <c r="K488" s="3">
        <v>1186</v>
      </c>
      <c r="L488" s="3">
        <v>93</v>
      </c>
      <c r="M488" s="3">
        <v>328</v>
      </c>
    </row>
    <row r="489" spans="1:13" x14ac:dyDescent="0.25">
      <c r="A489" s="1" t="str">
        <f>HYPERLINK("http://www.rosaceae.org/Prunus/Prunus_persica/p.persica_gdr_reftransV1_0013461","p.persica_gdr_reftransV1_0013461")</f>
        <v>p.persica_gdr_reftransV1_0013461</v>
      </c>
      <c r="B489" s="3">
        <v>906</v>
      </c>
      <c r="C489" s="1" t="str">
        <f>HYPERLINK("http://www.uniprot.org/uniprot/NH2L1_XENTR","NH2L1_XENTR")</f>
        <v>NH2L1_XENTR</v>
      </c>
      <c r="D489" t="s">
        <v>537</v>
      </c>
      <c r="E489" s="3" t="s">
        <v>173</v>
      </c>
      <c r="F489" s="4">
        <v>1.1100000000000001E-56</v>
      </c>
      <c r="G489" s="3">
        <v>470</v>
      </c>
      <c r="H489" s="3">
        <v>80</v>
      </c>
      <c r="I489" s="3">
        <v>128</v>
      </c>
      <c r="J489" s="3">
        <v>380</v>
      </c>
      <c r="K489" s="3">
        <v>763</v>
      </c>
      <c r="L489" s="3">
        <v>1</v>
      </c>
      <c r="M489" s="3">
        <v>128</v>
      </c>
    </row>
    <row r="490" spans="1:13" x14ac:dyDescent="0.25">
      <c r="A490" s="1" t="str">
        <f>HYPERLINK("http://www.rosaceae.org/Prunus/Prunus_persica/p.persica_gdr_reftransV1_0013611","p.persica_gdr_reftransV1_0013611")</f>
        <v>p.persica_gdr_reftransV1_0013611</v>
      </c>
      <c r="B490" s="3">
        <v>1500</v>
      </c>
      <c r="C490" s="1" t="str">
        <f>HYPERLINK("http://www.uniprot.org/uniprot/SCO11_ARATH","SCO11_ARATH")</f>
        <v>SCO11_ARATH</v>
      </c>
      <c r="D490" t="s">
        <v>538</v>
      </c>
      <c r="E490" s="3" t="s">
        <v>3</v>
      </c>
      <c r="F490" s="4">
        <v>1.05E-86</v>
      </c>
      <c r="G490" s="3">
        <v>654</v>
      </c>
      <c r="H490" s="3">
        <v>80</v>
      </c>
      <c r="I490" s="3">
        <v>148</v>
      </c>
      <c r="J490" s="3">
        <v>493</v>
      </c>
      <c r="K490" s="3">
        <v>936</v>
      </c>
      <c r="L490" s="3">
        <v>154</v>
      </c>
      <c r="M490" s="3">
        <v>301</v>
      </c>
    </row>
    <row r="491" spans="1:13" x14ac:dyDescent="0.25">
      <c r="A491" s="1" t="str">
        <f>HYPERLINK("http://www.rosaceae.org/Prunus/Prunus_persica/p.persica_gdr_reftransV1_0013711","p.persica_gdr_reftransV1_0013711")</f>
        <v>p.persica_gdr_reftransV1_0013711</v>
      </c>
      <c r="B491" s="3">
        <v>1912</v>
      </c>
      <c r="C491" s="1" t="str">
        <f>HYPERLINK("http://www.uniprot.org/uniprot/RCA_MALDO","RCA_MALDO")</f>
        <v>RCA_MALDO</v>
      </c>
      <c r="D491" t="s">
        <v>539</v>
      </c>
      <c r="E491" s="3" t="s">
        <v>540</v>
      </c>
      <c r="F491" s="4">
        <v>3.7599999999999998E-99</v>
      </c>
      <c r="G491" s="3">
        <v>811</v>
      </c>
      <c r="H491" s="3">
        <v>83</v>
      </c>
      <c r="I491" s="3">
        <v>180</v>
      </c>
      <c r="J491" s="3">
        <v>303</v>
      </c>
      <c r="K491" s="3">
        <v>812</v>
      </c>
      <c r="L491" s="3">
        <v>185</v>
      </c>
      <c r="M491" s="3">
        <v>364</v>
      </c>
    </row>
    <row r="492" spans="1:13" x14ac:dyDescent="0.25">
      <c r="A492" s="1" t="str">
        <f>HYPERLINK("http://www.rosaceae.org/Prunus/Prunus_persica/p.persica_gdr_reftransV1_0013961","p.persica_gdr_reftransV1_0013961")</f>
        <v>p.persica_gdr_reftransV1_0013961</v>
      </c>
      <c r="B492" s="3">
        <v>2026</v>
      </c>
      <c r="C492" s="1" t="str">
        <f>HYPERLINK("http://www.uniprot.org/uniprot/S40A2_ARATH","S40A2_ARATH")</f>
        <v>S40A2_ARATH</v>
      </c>
      <c r="D492" t="s">
        <v>541</v>
      </c>
      <c r="E492" s="3" t="s">
        <v>3</v>
      </c>
      <c r="F492" s="4">
        <v>0</v>
      </c>
      <c r="G492" s="3">
        <v>1456</v>
      </c>
      <c r="H492" s="3">
        <v>64</v>
      </c>
      <c r="I492" s="3">
        <v>479</v>
      </c>
      <c r="J492" s="3">
        <v>357</v>
      </c>
      <c r="K492" s="3">
        <v>1793</v>
      </c>
      <c r="L492" s="3">
        <v>29</v>
      </c>
      <c r="M492" s="3">
        <v>504</v>
      </c>
    </row>
    <row r="493" spans="1:13" x14ac:dyDescent="0.25">
      <c r="A493" s="1" t="str">
        <f>HYPERLINK("http://www.rosaceae.org/Prunus/Prunus_persica/p.persica_gdr_reftransV1_0014061","p.persica_gdr_reftransV1_0014061")</f>
        <v>p.persica_gdr_reftransV1_0014061</v>
      </c>
      <c r="B493" s="3">
        <v>1167</v>
      </c>
      <c r="C493" s="1" t="str">
        <f>HYPERLINK("http://www.uniprot.org/uniprot/THIM_ARATH","THIM_ARATH")</f>
        <v>THIM_ARATH</v>
      </c>
      <c r="D493" t="s">
        <v>542</v>
      </c>
      <c r="E493" s="3" t="s">
        <v>3</v>
      </c>
      <c r="F493" s="4">
        <v>1.17E-126</v>
      </c>
      <c r="G493" s="3">
        <v>957</v>
      </c>
      <c r="H493" s="3">
        <v>70</v>
      </c>
      <c r="I493" s="3">
        <v>282</v>
      </c>
      <c r="J493" s="3">
        <v>44</v>
      </c>
      <c r="K493" s="3">
        <v>889</v>
      </c>
      <c r="L493" s="3">
        <v>1</v>
      </c>
      <c r="M493" s="3">
        <v>275</v>
      </c>
    </row>
    <row r="494" spans="1:13" x14ac:dyDescent="0.25">
      <c r="A494" s="1" t="str">
        <f>HYPERLINK("http://www.rosaceae.org/Prunus/Prunus_persica/p.persica_gdr_reftransV1_0014311","p.persica_gdr_reftransV1_0014311")</f>
        <v>p.persica_gdr_reftransV1_0014311</v>
      </c>
      <c r="B494" s="3">
        <v>950</v>
      </c>
      <c r="C494" s="1" t="str">
        <f>HYPERLINK("http://www.uniprot.org/uniprot/CHX18_ARATH","CHX18_ARATH")</f>
        <v>CHX18_ARATH</v>
      </c>
      <c r="D494" t="s">
        <v>543</v>
      </c>
      <c r="E494" s="3" t="s">
        <v>3</v>
      </c>
      <c r="F494" s="4">
        <v>1.27E-108</v>
      </c>
      <c r="G494" s="3">
        <v>873</v>
      </c>
      <c r="H494" s="3">
        <v>79</v>
      </c>
      <c r="I494" s="3">
        <v>260</v>
      </c>
      <c r="J494" s="3">
        <v>1</v>
      </c>
      <c r="K494" s="3">
        <v>780</v>
      </c>
      <c r="L494" s="3">
        <v>1</v>
      </c>
      <c r="M494" s="3">
        <v>258</v>
      </c>
    </row>
    <row r="495" spans="1:13" x14ac:dyDescent="0.25">
      <c r="A495" s="1" t="str">
        <f>HYPERLINK("http://www.rosaceae.org/Prunus/Prunus_persica/p.persica_gdr_reftransV1_0014361","p.persica_gdr_reftransV1_0014361")</f>
        <v>p.persica_gdr_reftransV1_0014361</v>
      </c>
      <c r="B495" s="3">
        <v>1940</v>
      </c>
      <c r="C495" s="1" t="str">
        <f>HYPERLINK("http://www.uniprot.org/uniprot/NPL42_ARATH","NPL42_ARATH")</f>
        <v>NPL42_ARATH</v>
      </c>
      <c r="D495" t="s">
        <v>544</v>
      </c>
      <c r="E495" s="3" t="s">
        <v>3</v>
      </c>
      <c r="F495" s="4">
        <v>0</v>
      </c>
      <c r="G495" s="3">
        <v>1623</v>
      </c>
      <c r="H495" s="3">
        <v>76</v>
      </c>
      <c r="I495" s="3">
        <v>411</v>
      </c>
      <c r="J495" s="3">
        <v>301</v>
      </c>
      <c r="K495" s="3">
        <v>1530</v>
      </c>
      <c r="L495" s="3">
        <v>2</v>
      </c>
      <c r="M495" s="3">
        <v>411</v>
      </c>
    </row>
    <row r="496" spans="1:13" x14ac:dyDescent="0.25">
      <c r="A496" s="1" t="str">
        <f>HYPERLINK("http://www.rosaceae.org/Prunus/Prunus_persica/p.persica_gdr_reftransV1_0014411","p.persica_gdr_reftransV1_0014411")</f>
        <v>p.persica_gdr_reftransV1_0014411</v>
      </c>
      <c r="B496" s="3">
        <v>1531</v>
      </c>
      <c r="C496" s="1" t="str">
        <f>HYPERLINK("http://www.uniprot.org/uniprot/ASPL2_ARATH","ASPL2_ARATH")</f>
        <v>ASPL2_ARATH</v>
      </c>
      <c r="D496" t="s">
        <v>545</v>
      </c>
      <c r="E496" s="3" t="s">
        <v>3</v>
      </c>
      <c r="F496" s="4">
        <v>6.5300000000000003E-48</v>
      </c>
      <c r="G496" s="3">
        <v>450</v>
      </c>
      <c r="H496" s="3">
        <v>40</v>
      </c>
      <c r="I496" s="3">
        <v>272</v>
      </c>
      <c r="J496" s="3">
        <v>12</v>
      </c>
      <c r="K496" s="3">
        <v>824</v>
      </c>
      <c r="L496" s="3">
        <v>160</v>
      </c>
      <c r="M496" s="3">
        <v>426</v>
      </c>
    </row>
    <row r="497" spans="1:13" x14ac:dyDescent="0.25">
      <c r="A497" s="1" t="str">
        <f>HYPERLINK("http://www.rosaceae.org/Prunus/Prunus_persica/p.persica_gdr_reftransV1_0014511","p.persica_gdr_reftransV1_0014511")</f>
        <v>p.persica_gdr_reftransV1_0014511</v>
      </c>
      <c r="B497" s="3">
        <v>7314</v>
      </c>
      <c r="C497" s="1" t="str">
        <f>HYPERLINK("http://www.uniprot.org/uniprot/FRA1_ARATH","FRA1_ARATH")</f>
        <v>FRA1_ARATH</v>
      </c>
      <c r="D497" t="s">
        <v>49</v>
      </c>
      <c r="E497" s="3" t="s">
        <v>3</v>
      </c>
      <c r="F497" s="4">
        <v>0</v>
      </c>
      <c r="G497" s="3">
        <v>4047</v>
      </c>
      <c r="H497" s="3">
        <v>79</v>
      </c>
      <c r="I497" s="3">
        <v>1044</v>
      </c>
      <c r="J497" s="3">
        <v>571</v>
      </c>
      <c r="K497" s="3">
        <v>3672</v>
      </c>
      <c r="L497" s="3">
        <v>8</v>
      </c>
      <c r="M497" s="3">
        <v>1029</v>
      </c>
    </row>
    <row r="498" spans="1:13" x14ac:dyDescent="0.25">
      <c r="A498" s="1" t="str">
        <f>HYPERLINK("http://www.rosaceae.org/Prunus/Prunus_persica/p.persica_gdr_reftransV1_0014561","p.persica_gdr_reftransV1_0014561")</f>
        <v>p.persica_gdr_reftransV1_0014561</v>
      </c>
      <c r="B498" s="3">
        <v>2696</v>
      </c>
      <c r="C498" s="1" t="str">
        <f>HYPERLINK("http://www.uniprot.org/uniprot/UGDH1_SOYBN","UGDH1_SOYBN")</f>
        <v>UGDH1_SOYBN</v>
      </c>
      <c r="D498" t="s">
        <v>546</v>
      </c>
      <c r="E498" s="3" t="s">
        <v>307</v>
      </c>
      <c r="F498" s="4">
        <v>0</v>
      </c>
      <c r="G498" s="3">
        <v>2259</v>
      </c>
      <c r="H498" s="3">
        <v>89</v>
      </c>
      <c r="I498" s="3">
        <v>482</v>
      </c>
      <c r="J498" s="3">
        <v>846</v>
      </c>
      <c r="K498" s="3">
        <v>2291</v>
      </c>
      <c r="L498" s="3">
        <v>1</v>
      </c>
      <c r="M498" s="3">
        <v>480</v>
      </c>
    </row>
    <row r="499" spans="1:13" x14ac:dyDescent="0.25">
      <c r="A499" s="1" t="str">
        <f>HYPERLINK("http://www.rosaceae.org/Prunus/Prunus_persica/p.persica_gdr_reftransV1_0014811","p.persica_gdr_reftransV1_0014811")</f>
        <v>p.persica_gdr_reftransV1_0014811</v>
      </c>
      <c r="B499" s="3">
        <v>3137</v>
      </c>
      <c r="C499" s="1" t="str">
        <f>HYPERLINK("http://www.uniprot.org/uniprot/PDF2_ARATH","PDF2_ARATH")</f>
        <v>PDF2_ARATH</v>
      </c>
      <c r="D499" t="s">
        <v>547</v>
      </c>
      <c r="E499" s="3" t="s">
        <v>3</v>
      </c>
      <c r="F499" s="4">
        <v>6.7599999999999996E-91</v>
      </c>
      <c r="G499" s="3">
        <v>463</v>
      </c>
      <c r="H499" s="3">
        <v>43</v>
      </c>
      <c r="I499" s="3">
        <v>254</v>
      </c>
      <c r="J499" s="3">
        <v>1262</v>
      </c>
      <c r="K499" s="3">
        <v>2017</v>
      </c>
      <c r="L499" s="3">
        <v>215</v>
      </c>
      <c r="M499" s="3">
        <v>448</v>
      </c>
    </row>
    <row r="500" spans="1:13" x14ac:dyDescent="0.25">
      <c r="A500" s="1" t="str">
        <f>HYPERLINK("http://www.rosaceae.org/Prunus/Prunus_persica/p.persica_gdr_reftransV1_0014861","p.persica_gdr_reftransV1_0014861")</f>
        <v>p.persica_gdr_reftransV1_0014861</v>
      </c>
      <c r="B500" s="3">
        <v>779</v>
      </c>
      <c r="C500" s="1" t="str">
        <f>HYPERLINK("http://www.uniprot.org/uniprot/OST4A_ARATH","OST4A_ARATH")</f>
        <v>OST4A_ARATH</v>
      </c>
      <c r="D500" t="s">
        <v>548</v>
      </c>
      <c r="E500" s="3" t="s">
        <v>3</v>
      </c>
      <c r="F500" s="4">
        <v>2.2899999999999998E-13</v>
      </c>
      <c r="G500" s="3">
        <v>161</v>
      </c>
      <c r="H500" s="3">
        <v>83</v>
      </c>
      <c r="I500" s="3">
        <v>36</v>
      </c>
      <c r="J500" s="3">
        <v>245</v>
      </c>
      <c r="K500" s="3">
        <v>352</v>
      </c>
      <c r="L500" s="3">
        <v>1</v>
      </c>
      <c r="M500" s="3">
        <v>36</v>
      </c>
    </row>
    <row r="501" spans="1:13" x14ac:dyDescent="0.25">
      <c r="A501" s="1" t="str">
        <f>HYPERLINK("http://www.rosaceae.org/Prunus/Prunus_persica/p.persica_gdr_reftransV1_0014961","p.persica_gdr_reftransV1_0014961")</f>
        <v>p.persica_gdr_reftransV1_0014961</v>
      </c>
      <c r="B501" s="3">
        <v>1451</v>
      </c>
      <c r="C501" s="1" t="str">
        <f>HYPERLINK("http://www.uniprot.org/uniprot/PYM_ARATH","PYM_ARATH")</f>
        <v>PYM_ARATH</v>
      </c>
      <c r="D501" t="s">
        <v>549</v>
      </c>
      <c r="E501" s="3" t="s">
        <v>3</v>
      </c>
      <c r="F501" s="4">
        <v>1.1600000000000001E-35</v>
      </c>
      <c r="G501" s="3">
        <v>346</v>
      </c>
      <c r="H501" s="3">
        <v>61</v>
      </c>
      <c r="I501" s="3">
        <v>148</v>
      </c>
      <c r="J501" s="3">
        <v>548</v>
      </c>
      <c r="K501" s="3">
        <v>988</v>
      </c>
      <c r="L501" s="3">
        <v>112</v>
      </c>
      <c r="M501" s="3">
        <v>259</v>
      </c>
    </row>
    <row r="502" spans="1:13" x14ac:dyDescent="0.25">
      <c r="A502" s="1" t="str">
        <f>HYPERLINK("http://www.rosaceae.org/Prunus/Prunus_persica/p.persica_gdr_reftransV1_0015061","p.persica_gdr_reftransV1_0015061")</f>
        <v>p.persica_gdr_reftransV1_0015061</v>
      </c>
      <c r="B502" s="3">
        <v>1202</v>
      </c>
      <c r="C502" s="1" t="str">
        <f>HYPERLINK("http://www.uniprot.org/uniprot/RM46_MOUSE","RM46_MOUSE")</f>
        <v>RM46_MOUSE</v>
      </c>
      <c r="D502" t="s">
        <v>550</v>
      </c>
      <c r="E502" s="3" t="s">
        <v>157</v>
      </c>
      <c r="F502" s="4">
        <v>3.9000000000000001E-11</v>
      </c>
      <c r="G502" s="3">
        <v>162</v>
      </c>
      <c r="H502" s="3">
        <v>34</v>
      </c>
      <c r="I502" s="3">
        <v>149</v>
      </c>
      <c r="J502" s="3">
        <v>361</v>
      </c>
      <c r="K502" s="3">
        <v>780</v>
      </c>
      <c r="L502" s="3">
        <v>127</v>
      </c>
      <c r="M502" s="3">
        <v>265</v>
      </c>
    </row>
    <row r="503" spans="1:13" x14ac:dyDescent="0.25">
      <c r="A503" s="1" t="str">
        <f>HYPERLINK("http://www.rosaceae.org/Prunus/Prunus_persica/p.persica_gdr_reftransV1_0015161","p.persica_gdr_reftransV1_0015161")</f>
        <v>p.persica_gdr_reftransV1_0015161</v>
      </c>
      <c r="B503" s="3">
        <v>2649</v>
      </c>
      <c r="C503" s="1" t="str">
        <f>HYPERLINK("http://www.uniprot.org/uniprot/FH20_ARATH","FH20_ARATH")</f>
        <v>FH20_ARATH</v>
      </c>
      <c r="D503" t="s">
        <v>551</v>
      </c>
      <c r="E503" s="3" t="s">
        <v>3</v>
      </c>
      <c r="F503" s="4">
        <v>0</v>
      </c>
      <c r="G503" s="3">
        <v>1966</v>
      </c>
      <c r="H503" s="3">
        <v>67</v>
      </c>
      <c r="I503" s="3">
        <v>606</v>
      </c>
      <c r="J503" s="3">
        <v>489</v>
      </c>
      <c r="K503" s="3">
        <v>2303</v>
      </c>
      <c r="L503" s="3">
        <v>1</v>
      </c>
      <c r="M503" s="3">
        <v>587</v>
      </c>
    </row>
    <row r="504" spans="1:13" x14ac:dyDescent="0.25">
      <c r="A504" s="1" t="str">
        <f>HYPERLINK("http://www.rosaceae.org/Prunus/Prunus_persica/p.persica_gdr_reftransV1_0015211","p.persica_gdr_reftransV1_0015211")</f>
        <v>p.persica_gdr_reftransV1_0015211</v>
      </c>
      <c r="B504" s="3">
        <v>3445</v>
      </c>
      <c r="C504" s="1" t="str">
        <f>HYPERLINK("http://www.uniprot.org/uniprot/ARFD_ARATH","ARFD_ARATH")</f>
        <v>ARFD_ARATH</v>
      </c>
      <c r="D504" t="s">
        <v>552</v>
      </c>
      <c r="E504" s="3" t="s">
        <v>3</v>
      </c>
      <c r="F504" s="4">
        <v>1.22E-151</v>
      </c>
      <c r="G504" s="3">
        <v>1235</v>
      </c>
      <c r="H504" s="3">
        <v>78</v>
      </c>
      <c r="I504" s="3">
        <v>299</v>
      </c>
      <c r="J504" s="3">
        <v>1742</v>
      </c>
      <c r="K504" s="3">
        <v>2635</v>
      </c>
      <c r="L504" s="3">
        <v>62</v>
      </c>
      <c r="M504" s="3">
        <v>359</v>
      </c>
    </row>
    <row r="505" spans="1:13" x14ac:dyDescent="0.25">
      <c r="A505" s="1" t="str">
        <f>HYPERLINK("http://www.rosaceae.org/Prunus/Prunus_persica/p.persica_gdr_reftransV1_0015561","p.persica_gdr_reftransV1_0015561")</f>
        <v>p.persica_gdr_reftransV1_0015561</v>
      </c>
      <c r="B505" s="3">
        <v>4321</v>
      </c>
      <c r="C505" s="1" t="str">
        <f>HYPERLINK("http://www.uniprot.org/uniprot/VILI4_ARATH","VILI4_ARATH")</f>
        <v>VILI4_ARATH</v>
      </c>
      <c r="D505" t="s">
        <v>553</v>
      </c>
      <c r="E505" s="3" t="s">
        <v>3</v>
      </c>
      <c r="F505" s="4">
        <v>0</v>
      </c>
      <c r="G505" s="3">
        <v>2646</v>
      </c>
      <c r="H505" s="3">
        <v>77</v>
      </c>
      <c r="I505" s="3">
        <v>630</v>
      </c>
      <c r="J505" s="3">
        <v>638</v>
      </c>
      <c r="K505" s="3">
        <v>2527</v>
      </c>
      <c r="L505" s="3">
        <v>1</v>
      </c>
      <c r="M505" s="3">
        <v>630</v>
      </c>
    </row>
    <row r="506" spans="1:13" x14ac:dyDescent="0.25">
      <c r="A506" s="1" t="str">
        <f>HYPERLINK("http://www.rosaceae.org/Prunus/Prunus_persica/p.persica_gdr_reftransV1_0015661","p.persica_gdr_reftransV1_0015661")</f>
        <v>p.persica_gdr_reftransV1_0015661</v>
      </c>
      <c r="B506" s="3">
        <v>3173</v>
      </c>
      <c r="C506" s="1" t="str">
        <f>HYPERLINK("http://www.uniprot.org/uniprot/TOP3B_ARATH","TOP3B_ARATH")</f>
        <v>TOP3B_ARATH</v>
      </c>
      <c r="D506" t="s">
        <v>554</v>
      </c>
      <c r="E506" s="3" t="s">
        <v>3</v>
      </c>
      <c r="F506" s="4">
        <v>0</v>
      </c>
      <c r="G506" s="3">
        <v>3585</v>
      </c>
      <c r="H506" s="3">
        <v>76</v>
      </c>
      <c r="I506" s="3">
        <v>864</v>
      </c>
      <c r="J506" s="3">
        <v>297</v>
      </c>
      <c r="K506" s="3">
        <v>2882</v>
      </c>
      <c r="L506" s="3">
        <v>6</v>
      </c>
      <c r="M506" s="3">
        <v>865</v>
      </c>
    </row>
    <row r="507" spans="1:13" x14ac:dyDescent="0.25">
      <c r="A507" s="1" t="str">
        <f>HYPERLINK("http://www.rosaceae.org/Prunus/Prunus_persica/p.persica_gdr_reftransV1_0015861","p.persica_gdr_reftransV1_0015861")</f>
        <v>p.persica_gdr_reftransV1_0015861</v>
      </c>
      <c r="B507" s="3">
        <v>3497</v>
      </c>
      <c r="C507" s="1" t="str">
        <f>HYPERLINK("http://www.uniprot.org/uniprot/TMK4_ARATH","TMK4_ARATH")</f>
        <v>TMK4_ARATH</v>
      </c>
      <c r="D507" t="s">
        <v>555</v>
      </c>
      <c r="E507" s="3" t="s">
        <v>3</v>
      </c>
      <c r="F507" s="4">
        <v>2.3699999999999999E-122</v>
      </c>
      <c r="G507" s="3">
        <v>1044</v>
      </c>
      <c r="H507" s="3">
        <v>57</v>
      </c>
      <c r="I507" s="3">
        <v>421</v>
      </c>
      <c r="J507" s="3">
        <v>2112</v>
      </c>
      <c r="K507" s="3">
        <v>3365</v>
      </c>
      <c r="L507" s="3">
        <v>25</v>
      </c>
      <c r="M507" s="3">
        <v>443</v>
      </c>
    </row>
    <row r="508" spans="1:13" x14ac:dyDescent="0.25">
      <c r="A508" s="1" t="str">
        <f>HYPERLINK("http://www.rosaceae.org/Prunus/Prunus_persica/p.persica_gdr_reftransV1_0016111","p.persica_gdr_reftransV1_0016111")</f>
        <v>p.persica_gdr_reftransV1_0016111</v>
      </c>
      <c r="B508" s="3">
        <v>3126</v>
      </c>
      <c r="C508" s="1" t="str">
        <f>HYPERLINK("http://www.uniprot.org/uniprot/SQD1_SPIOL","SQD1_SPIOL")</f>
        <v>SQD1_SPIOL</v>
      </c>
      <c r="D508" t="s">
        <v>556</v>
      </c>
      <c r="E508" s="3" t="s">
        <v>131</v>
      </c>
      <c r="F508" s="4">
        <v>0</v>
      </c>
      <c r="G508" s="3">
        <v>1973</v>
      </c>
      <c r="H508" s="3">
        <v>77</v>
      </c>
      <c r="I508" s="3">
        <v>482</v>
      </c>
      <c r="J508" s="3">
        <v>1213</v>
      </c>
      <c r="K508" s="3">
        <v>2658</v>
      </c>
      <c r="L508" s="3">
        <v>1</v>
      </c>
      <c r="M508" s="3">
        <v>482</v>
      </c>
    </row>
    <row r="509" spans="1:13" x14ac:dyDescent="0.25">
      <c r="A509" s="1" t="str">
        <f>HYPERLINK("http://www.rosaceae.org/Prunus/Prunus_persica/p.persica_gdr_reftransV1_0016161","p.persica_gdr_reftransV1_0016161")</f>
        <v>p.persica_gdr_reftransV1_0016161</v>
      </c>
      <c r="B509" s="3">
        <v>2066</v>
      </c>
      <c r="C509" s="1" t="str">
        <f>HYPERLINK("http://www.uniprot.org/uniprot/FB37_ARATH","FB37_ARATH")</f>
        <v>FB37_ARATH</v>
      </c>
      <c r="D509" t="s">
        <v>557</v>
      </c>
      <c r="E509" s="3" t="s">
        <v>3</v>
      </c>
      <c r="F509" s="4">
        <v>0</v>
      </c>
      <c r="G509" s="3">
        <v>1583</v>
      </c>
      <c r="H509" s="3">
        <v>66</v>
      </c>
      <c r="I509" s="3">
        <v>484</v>
      </c>
      <c r="J509" s="3">
        <v>391</v>
      </c>
      <c r="K509" s="3">
        <v>1836</v>
      </c>
      <c r="L509" s="3">
        <v>1</v>
      </c>
      <c r="M509" s="3">
        <v>472</v>
      </c>
    </row>
    <row r="510" spans="1:13" x14ac:dyDescent="0.25">
      <c r="A510" s="1" t="str">
        <f>HYPERLINK("http://www.rosaceae.org/Prunus/Prunus_persica/p.persica_gdr_reftransV1_0016361","p.persica_gdr_reftransV1_0016361")</f>
        <v>p.persica_gdr_reftransV1_0016361</v>
      </c>
      <c r="B510" s="3">
        <v>4524</v>
      </c>
      <c r="C510" s="1" t="str">
        <f>HYPERLINK("http://www.uniprot.org/uniprot/Y1439_ARATH","Y1439_ARATH")</f>
        <v>Y1439_ARATH</v>
      </c>
      <c r="D510" t="s">
        <v>558</v>
      </c>
      <c r="E510" s="3" t="s">
        <v>3</v>
      </c>
      <c r="F510" s="4">
        <v>0</v>
      </c>
      <c r="G510" s="3">
        <v>1634</v>
      </c>
      <c r="H510" s="3">
        <v>47</v>
      </c>
      <c r="I510" s="3">
        <v>712</v>
      </c>
      <c r="J510" s="3">
        <v>1242</v>
      </c>
      <c r="K510" s="3">
        <v>3365</v>
      </c>
      <c r="L510" s="3">
        <v>291</v>
      </c>
      <c r="M510" s="3">
        <v>995</v>
      </c>
    </row>
    <row r="511" spans="1:13" x14ac:dyDescent="0.25">
      <c r="A511" s="1" t="str">
        <f>HYPERLINK("http://www.rosaceae.org/Prunus/Prunus_persica/p.persica_gdr_reftransV1_0016661","p.persica_gdr_reftransV1_0016661")</f>
        <v>p.persica_gdr_reftransV1_0016661</v>
      </c>
      <c r="B511" s="3">
        <v>2985</v>
      </c>
      <c r="C511" s="1" t="str">
        <f>HYPERLINK("http://www.uniprot.org/uniprot/RGA1_SOLBU","RGA1_SOLBU")</f>
        <v>RGA1_SOLBU</v>
      </c>
      <c r="D511" t="s">
        <v>559</v>
      </c>
      <c r="E511" s="3" t="s">
        <v>560</v>
      </c>
      <c r="F511" s="4">
        <v>1.23E-104</v>
      </c>
      <c r="G511" s="3">
        <v>912</v>
      </c>
      <c r="H511" s="3">
        <v>39</v>
      </c>
      <c r="I511" s="3">
        <v>675</v>
      </c>
      <c r="J511" s="3">
        <v>848</v>
      </c>
      <c r="K511" s="3">
        <v>2842</v>
      </c>
      <c r="L511" s="3">
        <v>9</v>
      </c>
      <c r="M511" s="3">
        <v>624</v>
      </c>
    </row>
    <row r="512" spans="1:13" x14ac:dyDescent="0.25">
      <c r="A512" s="1" t="str">
        <f>HYPERLINK("http://www.rosaceae.org/Prunus/Prunus_persica/p.persica_gdr_reftransV1_0017011","p.persica_gdr_reftransV1_0017011")</f>
        <v>p.persica_gdr_reftransV1_0017011</v>
      </c>
      <c r="B512" s="3">
        <v>8476</v>
      </c>
      <c r="C512" s="1" t="str">
        <f>HYPERLINK("http://www.uniprot.org/uniprot/PP207_ARATH","PP207_ARATH")</f>
        <v>PP207_ARATH</v>
      </c>
      <c r="D512" t="s">
        <v>561</v>
      </c>
      <c r="E512" s="3" t="s">
        <v>3</v>
      </c>
      <c r="F512" s="4">
        <v>0</v>
      </c>
      <c r="G512" s="3">
        <v>2034</v>
      </c>
      <c r="H512" s="3">
        <v>63</v>
      </c>
      <c r="I512" s="3">
        <v>637</v>
      </c>
      <c r="J512" s="3">
        <v>6628</v>
      </c>
      <c r="K512" s="3">
        <v>8475</v>
      </c>
      <c r="L512" s="3">
        <v>245</v>
      </c>
      <c r="M512" s="3">
        <v>880</v>
      </c>
    </row>
    <row r="513" spans="1:13" x14ac:dyDescent="0.25">
      <c r="A513" s="1" t="str">
        <f>HYPERLINK("http://www.rosaceae.org/Prunus/Prunus_persica/p.persica_gdr_reftransV1_0017061","p.persica_gdr_reftransV1_0017061")</f>
        <v>p.persica_gdr_reftransV1_0017061</v>
      </c>
      <c r="B513" s="3">
        <v>4239</v>
      </c>
      <c r="C513" s="1" t="str">
        <f>HYPERLINK("http://www.uniprot.org/uniprot/CLSY3_ARATH","CLSY3_ARATH")</f>
        <v>CLSY3_ARATH</v>
      </c>
      <c r="D513" t="s">
        <v>562</v>
      </c>
      <c r="E513" s="3" t="s">
        <v>3</v>
      </c>
      <c r="F513" s="4">
        <v>0</v>
      </c>
      <c r="G513" s="3">
        <v>1676</v>
      </c>
      <c r="H513" s="3">
        <v>45</v>
      </c>
      <c r="I513" s="3">
        <v>812</v>
      </c>
      <c r="J513" s="3">
        <v>510</v>
      </c>
      <c r="K513" s="3">
        <v>2792</v>
      </c>
      <c r="L513" s="3">
        <v>612</v>
      </c>
      <c r="M513" s="3">
        <v>1394</v>
      </c>
    </row>
    <row r="514" spans="1:13" x14ac:dyDescent="0.25">
      <c r="A514" s="1" t="str">
        <f>HYPERLINK("http://www.rosaceae.org/Prunus/Prunus_persica/p.persica_gdr_reftransV1_0017311","p.persica_gdr_reftransV1_0017311")</f>
        <v>p.persica_gdr_reftransV1_0017311</v>
      </c>
      <c r="B514" s="3">
        <v>2406</v>
      </c>
      <c r="C514" s="1" t="str">
        <f>HYPERLINK("http://www.uniprot.org/uniprot/SSUH2_HUMAN","SSUH2_HUMAN")</f>
        <v>SSUH2_HUMAN</v>
      </c>
      <c r="D514" t="s">
        <v>563</v>
      </c>
      <c r="E514" s="3" t="s">
        <v>28</v>
      </c>
      <c r="F514" s="4">
        <v>6.9599999999999996E-13</v>
      </c>
      <c r="G514" s="3">
        <v>182</v>
      </c>
      <c r="H514" s="3">
        <v>32</v>
      </c>
      <c r="I514" s="3">
        <v>161</v>
      </c>
      <c r="J514" s="3">
        <v>252</v>
      </c>
      <c r="K514" s="3">
        <v>731</v>
      </c>
      <c r="L514" s="3">
        <v>192</v>
      </c>
      <c r="M514" s="3">
        <v>349</v>
      </c>
    </row>
    <row r="515" spans="1:13" x14ac:dyDescent="0.25">
      <c r="A515" s="1" t="str">
        <f>HYPERLINK("http://www.rosaceae.org/Prunus/Prunus_persica/p.persica_gdr_reftransV1_0017511","p.persica_gdr_reftransV1_0017511")</f>
        <v>p.persica_gdr_reftransV1_0017511</v>
      </c>
      <c r="B515" s="3">
        <v>2088</v>
      </c>
      <c r="C515" s="1" t="str">
        <f>HYPERLINK("http://www.uniprot.org/uniprot/AROD6_ARATH","AROD6_ARATH")</f>
        <v>AROD6_ARATH</v>
      </c>
      <c r="D515" t="s">
        <v>564</v>
      </c>
      <c r="E515" s="3" t="s">
        <v>3</v>
      </c>
      <c r="F515" s="4">
        <v>0</v>
      </c>
      <c r="G515" s="3">
        <v>1530</v>
      </c>
      <c r="H515" s="3">
        <v>80</v>
      </c>
      <c r="I515" s="3">
        <v>380</v>
      </c>
      <c r="J515" s="3">
        <v>590</v>
      </c>
      <c r="K515" s="3">
        <v>1717</v>
      </c>
      <c r="L515" s="3">
        <v>26</v>
      </c>
      <c r="M515" s="3">
        <v>402</v>
      </c>
    </row>
    <row r="516" spans="1:13" x14ac:dyDescent="0.25">
      <c r="A516" s="1" t="str">
        <f>HYPERLINK("http://www.rosaceae.org/Prunus/Prunus_persica/p.persica_gdr_reftransV1_0017561","p.persica_gdr_reftransV1_0017561")</f>
        <v>p.persica_gdr_reftransV1_0017561</v>
      </c>
      <c r="B516" s="3">
        <v>1189</v>
      </c>
      <c r="C516" s="1" t="str">
        <f>HYPERLINK("http://www.uniprot.org/uniprot/PP174_ARATH","PP174_ARATH")</f>
        <v>PP174_ARATH</v>
      </c>
      <c r="D516" t="s">
        <v>422</v>
      </c>
      <c r="E516" s="3" t="s">
        <v>3</v>
      </c>
      <c r="F516" s="4">
        <v>3.4999999999999997E-110</v>
      </c>
      <c r="G516" s="3">
        <v>866</v>
      </c>
      <c r="H516" s="3">
        <v>47</v>
      </c>
      <c r="I516" s="3">
        <v>387</v>
      </c>
      <c r="J516" s="3">
        <v>37</v>
      </c>
      <c r="K516" s="3">
        <v>1179</v>
      </c>
      <c r="L516" s="3">
        <v>1</v>
      </c>
      <c r="M516" s="3">
        <v>378</v>
      </c>
    </row>
    <row r="517" spans="1:13" x14ac:dyDescent="0.25">
      <c r="A517" s="1" t="str">
        <f>HYPERLINK("http://www.rosaceae.org/Prunus/Prunus_persica/p.persica_gdr_reftransV1_0017611","p.persica_gdr_reftransV1_0017611")</f>
        <v>p.persica_gdr_reftransV1_0017611</v>
      </c>
      <c r="B517" s="3">
        <v>2555</v>
      </c>
      <c r="C517" s="1" t="str">
        <f>HYPERLINK("http://www.uniprot.org/uniprot/RL73_ARATH","RL73_ARATH")</f>
        <v>RL73_ARATH</v>
      </c>
      <c r="D517" t="s">
        <v>565</v>
      </c>
      <c r="E517" s="3" t="s">
        <v>3</v>
      </c>
      <c r="F517" s="4">
        <v>2.22E-36</v>
      </c>
      <c r="G517" s="3">
        <v>359</v>
      </c>
      <c r="H517" s="3">
        <v>57</v>
      </c>
      <c r="I517" s="3">
        <v>105</v>
      </c>
      <c r="J517" s="3">
        <v>233</v>
      </c>
      <c r="K517" s="3">
        <v>547</v>
      </c>
      <c r="L517" s="3">
        <v>138</v>
      </c>
      <c r="M517" s="3">
        <v>242</v>
      </c>
    </row>
    <row r="518" spans="1:13" x14ac:dyDescent="0.25">
      <c r="A518" s="1" t="str">
        <f>HYPERLINK("http://www.rosaceae.org/Prunus/Prunus_persica/p.persica_gdr_reftransV1_0017811","p.persica_gdr_reftransV1_0017811")</f>
        <v>p.persica_gdr_reftransV1_0017811</v>
      </c>
      <c r="B518" s="3">
        <v>2290</v>
      </c>
      <c r="C518" s="1" t="str">
        <f>HYPERLINK("http://www.uniprot.org/uniprot/Y3037_ARATH","Y3037_ARATH")</f>
        <v>Y3037_ARATH</v>
      </c>
      <c r="D518" t="s">
        <v>566</v>
      </c>
      <c r="E518" s="3" t="s">
        <v>3</v>
      </c>
      <c r="F518" s="4">
        <v>3.0300000000000003E-122</v>
      </c>
      <c r="G518" s="3">
        <v>1007</v>
      </c>
      <c r="H518" s="3">
        <v>39</v>
      </c>
      <c r="I518" s="3">
        <v>705</v>
      </c>
      <c r="J518" s="3">
        <v>275</v>
      </c>
      <c r="K518" s="3">
        <v>2266</v>
      </c>
      <c r="L518" s="3">
        <v>67</v>
      </c>
      <c r="M518" s="3">
        <v>755</v>
      </c>
    </row>
    <row r="519" spans="1:13" x14ac:dyDescent="0.25">
      <c r="A519" s="1" t="str">
        <f>HYPERLINK("http://www.rosaceae.org/Prunus/Prunus_persica/p.persica_gdr_reftransV1_0017861","p.persica_gdr_reftransV1_0017861")</f>
        <v>p.persica_gdr_reftransV1_0017861</v>
      </c>
      <c r="B519" s="3">
        <v>3717</v>
      </c>
      <c r="C519" s="1" t="str">
        <f>HYPERLINK("http://www.uniprot.org/uniprot/YGI3_SCHPO","YGI3_SCHPO")</f>
        <v>YGI3_SCHPO</v>
      </c>
      <c r="D519" t="s">
        <v>567</v>
      </c>
      <c r="E519" s="3" t="s">
        <v>464</v>
      </c>
      <c r="F519" s="4">
        <v>3.6199999999999997E-21</v>
      </c>
      <c r="G519" s="3">
        <v>252</v>
      </c>
      <c r="H519" s="3">
        <v>39</v>
      </c>
      <c r="I519" s="3">
        <v>127</v>
      </c>
      <c r="J519" s="3">
        <v>3012</v>
      </c>
      <c r="K519" s="3">
        <v>3392</v>
      </c>
      <c r="L519" s="3">
        <v>291</v>
      </c>
      <c r="M519" s="3">
        <v>416</v>
      </c>
    </row>
    <row r="520" spans="1:13" x14ac:dyDescent="0.25">
      <c r="A520" s="1" t="str">
        <f>HYPERLINK("http://www.rosaceae.org/Prunus/Prunus_persica/p.persica_gdr_reftransV1_0017961","p.persica_gdr_reftransV1_0017961")</f>
        <v>p.persica_gdr_reftransV1_0017961</v>
      </c>
      <c r="B520" s="3">
        <v>1588</v>
      </c>
      <c r="C520" s="1" t="str">
        <f>HYPERLINK("http://www.uniprot.org/uniprot/EXPA1_ARATH","EXPA1_ARATH")</f>
        <v>EXPA1_ARATH</v>
      </c>
      <c r="D520" t="s">
        <v>568</v>
      </c>
      <c r="E520" s="3" t="s">
        <v>3</v>
      </c>
      <c r="F520" s="4">
        <v>9.4099999999999996E-110</v>
      </c>
      <c r="G520" s="3">
        <v>856</v>
      </c>
      <c r="H520" s="3">
        <v>85</v>
      </c>
      <c r="I520" s="3">
        <v>250</v>
      </c>
      <c r="J520" s="3">
        <v>261</v>
      </c>
      <c r="K520" s="3">
        <v>1010</v>
      </c>
      <c r="L520" s="3">
        <v>1</v>
      </c>
      <c r="M520" s="3">
        <v>250</v>
      </c>
    </row>
    <row r="521" spans="1:13" x14ac:dyDescent="0.25">
      <c r="A521" s="1" t="str">
        <f>HYPERLINK("http://www.rosaceae.org/Prunus/Prunus_persica/p.persica_gdr_reftransV1_0018161","p.persica_gdr_reftransV1_0018161")</f>
        <v>p.persica_gdr_reftransV1_0018161</v>
      </c>
      <c r="B521" s="3">
        <v>2318</v>
      </c>
      <c r="C521" s="1" t="str">
        <f>HYPERLINK("http://www.uniprot.org/uniprot/PAS1_ARATH","PAS1_ARATH")</f>
        <v>PAS1_ARATH</v>
      </c>
      <c r="D521" t="s">
        <v>569</v>
      </c>
      <c r="E521" s="3" t="s">
        <v>3</v>
      </c>
      <c r="F521" s="4">
        <v>0</v>
      </c>
      <c r="G521" s="3">
        <v>2185</v>
      </c>
      <c r="H521" s="3">
        <v>76</v>
      </c>
      <c r="I521" s="3">
        <v>565</v>
      </c>
      <c r="J521" s="3">
        <v>487</v>
      </c>
      <c r="K521" s="3">
        <v>2181</v>
      </c>
      <c r="L521" s="3">
        <v>1</v>
      </c>
      <c r="M521" s="3">
        <v>564</v>
      </c>
    </row>
    <row r="522" spans="1:13" x14ac:dyDescent="0.25">
      <c r="A522" s="1" t="str">
        <f>HYPERLINK("http://www.rosaceae.org/Prunus/Prunus_persica/p.persica_gdr_reftransV1_0018461","p.persica_gdr_reftransV1_0018461")</f>
        <v>p.persica_gdr_reftransV1_0018461</v>
      </c>
      <c r="B522" s="3">
        <v>2007</v>
      </c>
      <c r="C522" s="1" t="str">
        <f>HYPERLINK("http://www.uniprot.org/uniprot/SYT3_ARATH","SYT3_ARATH")</f>
        <v>SYT3_ARATH</v>
      </c>
      <c r="D522" t="s">
        <v>570</v>
      </c>
      <c r="E522" s="3" t="s">
        <v>3</v>
      </c>
      <c r="F522" s="4">
        <v>0</v>
      </c>
      <c r="G522" s="3">
        <v>1410</v>
      </c>
      <c r="H522" s="3">
        <v>61</v>
      </c>
      <c r="I522" s="3">
        <v>475</v>
      </c>
      <c r="J522" s="3">
        <v>466</v>
      </c>
      <c r="K522" s="3">
        <v>1878</v>
      </c>
      <c r="L522" s="3">
        <v>30</v>
      </c>
      <c r="M522" s="3">
        <v>498</v>
      </c>
    </row>
    <row r="523" spans="1:13" x14ac:dyDescent="0.25">
      <c r="A523" s="1" t="str">
        <f>HYPERLINK("http://www.rosaceae.org/Prunus/Prunus_persica/p.persica_gdr_reftransV1_0018661","p.persica_gdr_reftransV1_0018661")</f>
        <v>p.persica_gdr_reftransV1_0018661</v>
      </c>
      <c r="B523" s="3">
        <v>2171</v>
      </c>
      <c r="C523" s="1" t="str">
        <f>HYPERLINK("http://www.uniprot.org/uniprot/ACAP1_ARATH","ACAP1_ARATH")</f>
        <v>ACAP1_ARATH</v>
      </c>
      <c r="D523" t="s">
        <v>571</v>
      </c>
      <c r="E523" s="3" t="s">
        <v>3</v>
      </c>
      <c r="F523" s="4">
        <v>0</v>
      </c>
      <c r="G523" s="3">
        <v>1112</v>
      </c>
      <c r="H523" s="3">
        <v>71</v>
      </c>
      <c r="I523" s="3">
        <v>304</v>
      </c>
      <c r="J523" s="3">
        <v>521</v>
      </c>
      <c r="K523" s="3">
        <v>1432</v>
      </c>
      <c r="L523" s="3">
        <v>178</v>
      </c>
      <c r="M523" s="3">
        <v>474</v>
      </c>
    </row>
    <row r="524" spans="1:13" x14ac:dyDescent="0.25">
      <c r="A524" s="1" t="str">
        <f>HYPERLINK("http://www.rosaceae.org/Prunus/Prunus_persica/p.persica_gdr_reftransV1_0018961","p.persica_gdr_reftransV1_0018961")</f>
        <v>p.persica_gdr_reftransV1_0018961</v>
      </c>
      <c r="B524" s="3">
        <v>1859</v>
      </c>
      <c r="C524" s="1" t="str">
        <f>HYPERLINK("http://www.uniprot.org/uniprot/ISPH_ORYSJ","ISPH_ORYSJ")</f>
        <v>ISPH_ORYSJ</v>
      </c>
      <c r="D524" t="s">
        <v>572</v>
      </c>
      <c r="E524" s="3" t="s">
        <v>38</v>
      </c>
      <c r="F524" s="4">
        <v>0</v>
      </c>
      <c r="G524" s="3">
        <v>1325</v>
      </c>
      <c r="H524" s="3">
        <v>80</v>
      </c>
      <c r="I524" s="3">
        <v>309</v>
      </c>
      <c r="J524" s="3">
        <v>270</v>
      </c>
      <c r="K524" s="3">
        <v>1196</v>
      </c>
      <c r="L524" s="3">
        <v>151</v>
      </c>
      <c r="M524" s="3">
        <v>459</v>
      </c>
    </row>
    <row r="525" spans="1:13" x14ac:dyDescent="0.25">
      <c r="A525" s="1" t="str">
        <f>HYPERLINK("http://www.rosaceae.org/Prunus/Prunus_persica/p.persica_gdr_reftransV1_0019111","p.persica_gdr_reftransV1_0019111")</f>
        <v>p.persica_gdr_reftransV1_0019111</v>
      </c>
      <c r="B525" s="3">
        <v>6326</v>
      </c>
      <c r="C525" s="1" t="str">
        <f>HYPERLINK("http://www.uniprot.org/uniprot/VPS8_MOUSE","VPS8_MOUSE")</f>
        <v>VPS8_MOUSE</v>
      </c>
      <c r="D525" t="s">
        <v>573</v>
      </c>
      <c r="E525" s="3" t="s">
        <v>157</v>
      </c>
      <c r="F525" s="4">
        <v>1.1E-40</v>
      </c>
      <c r="G525" s="3">
        <v>429</v>
      </c>
      <c r="H525" s="3">
        <v>24</v>
      </c>
      <c r="I525" s="3">
        <v>591</v>
      </c>
      <c r="J525" s="3">
        <v>920</v>
      </c>
      <c r="K525" s="3">
        <v>2668</v>
      </c>
      <c r="L525" s="3">
        <v>808</v>
      </c>
      <c r="M525" s="3">
        <v>1287</v>
      </c>
    </row>
    <row r="526" spans="1:13" x14ac:dyDescent="0.25">
      <c r="A526" s="1" t="str">
        <f>HYPERLINK("http://www.rosaceae.org/Prunus/Prunus_persica/p.persica_gdr_reftransV1_0019161","p.persica_gdr_reftransV1_0019161")</f>
        <v>p.persica_gdr_reftransV1_0019161</v>
      </c>
      <c r="B526" s="3">
        <v>3585</v>
      </c>
      <c r="C526" s="1" t="str">
        <f>HYPERLINK("http://www.uniprot.org/uniprot/TRPA1_MOUSE","TRPA1_MOUSE")</f>
        <v>TRPA1_MOUSE</v>
      </c>
      <c r="D526" t="s">
        <v>574</v>
      </c>
      <c r="E526" s="3" t="s">
        <v>157</v>
      </c>
      <c r="F526" s="4">
        <v>1.75E-9</v>
      </c>
      <c r="G526" s="3">
        <v>160</v>
      </c>
      <c r="H526" s="3">
        <v>37</v>
      </c>
      <c r="I526" s="3">
        <v>115</v>
      </c>
      <c r="J526" s="3">
        <v>2792</v>
      </c>
      <c r="K526" s="3">
        <v>3133</v>
      </c>
      <c r="L526" s="3">
        <v>446</v>
      </c>
      <c r="M526" s="3">
        <v>557</v>
      </c>
    </row>
    <row r="527" spans="1:13" x14ac:dyDescent="0.25">
      <c r="A527" s="1" t="str">
        <f>HYPERLINK("http://www.rosaceae.org/Prunus/Prunus_persica/p.persica_gdr_reftransV1_0019311","p.persica_gdr_reftransV1_0019311")</f>
        <v>p.persica_gdr_reftransV1_0019311</v>
      </c>
      <c r="B527" s="3">
        <v>1721</v>
      </c>
      <c r="C527" s="1" t="str">
        <f>HYPERLINK("http://www.uniprot.org/uniprot/DGLB_RAT","DGLB_RAT")</f>
        <v>DGLB_RAT</v>
      </c>
      <c r="D527" t="s">
        <v>575</v>
      </c>
      <c r="E527" s="3" t="s">
        <v>161</v>
      </c>
      <c r="F527" s="4">
        <v>1.12E-10</v>
      </c>
      <c r="G527" s="3">
        <v>165</v>
      </c>
      <c r="H527" s="3">
        <v>30</v>
      </c>
      <c r="I527" s="3">
        <v>193</v>
      </c>
      <c r="J527" s="3">
        <v>785</v>
      </c>
      <c r="K527" s="3">
        <v>1345</v>
      </c>
      <c r="L527" s="3">
        <v>331</v>
      </c>
      <c r="M527" s="3">
        <v>515</v>
      </c>
    </row>
    <row r="528" spans="1:13" x14ac:dyDescent="0.25">
      <c r="A528" s="1" t="str">
        <f>HYPERLINK("http://www.rosaceae.org/Prunus/Prunus_persica/p.persica_gdr_reftransV1_0019511","p.persica_gdr_reftransV1_0019511")</f>
        <v>p.persica_gdr_reftransV1_0019511</v>
      </c>
      <c r="B528" s="3">
        <v>1596</v>
      </c>
      <c r="C528" s="1" t="str">
        <f>HYPERLINK("http://www.uniprot.org/uniprot/UGPI7_ARATH","UGPI7_ARATH")</f>
        <v>UGPI7_ARATH</v>
      </c>
      <c r="D528" t="s">
        <v>576</v>
      </c>
      <c r="E528" s="3" t="s">
        <v>3</v>
      </c>
      <c r="F528" s="4">
        <v>8.0600000000000005E-136</v>
      </c>
      <c r="G528" s="3">
        <v>1035</v>
      </c>
      <c r="H528" s="3">
        <v>76</v>
      </c>
      <c r="I528" s="3">
        <v>258</v>
      </c>
      <c r="J528" s="3">
        <v>245</v>
      </c>
      <c r="K528" s="3">
        <v>1009</v>
      </c>
      <c r="L528" s="3">
        <v>27</v>
      </c>
      <c r="M528" s="3">
        <v>278</v>
      </c>
    </row>
    <row r="529" spans="1:13" x14ac:dyDescent="0.25">
      <c r="A529" s="1" t="str">
        <f>HYPERLINK("http://www.rosaceae.org/Prunus/Prunus_persica/p.persica_gdr_reftransV1_0020111","p.persica_gdr_reftransV1_0020111")</f>
        <v>p.persica_gdr_reftransV1_0020111</v>
      </c>
      <c r="B529" s="3">
        <v>2202</v>
      </c>
      <c r="C529" s="1" t="str">
        <f>HYPERLINK("http://www.uniprot.org/uniprot/FAD6C_SOYBN","FAD6C_SOYBN")</f>
        <v>FAD6C_SOYBN</v>
      </c>
      <c r="D529" t="s">
        <v>577</v>
      </c>
      <c r="E529" s="3" t="s">
        <v>307</v>
      </c>
      <c r="F529" s="4">
        <v>9.8200000000000004E-155</v>
      </c>
      <c r="G529" s="3">
        <v>1191</v>
      </c>
      <c r="H529" s="3">
        <v>64</v>
      </c>
      <c r="I529" s="3">
        <v>357</v>
      </c>
      <c r="J529" s="3">
        <v>877</v>
      </c>
      <c r="K529" s="3">
        <v>1947</v>
      </c>
      <c r="L529" s="3">
        <v>1</v>
      </c>
      <c r="M529" s="3">
        <v>311</v>
      </c>
    </row>
    <row r="530" spans="1:13" x14ac:dyDescent="0.25">
      <c r="A530" s="1" t="str">
        <f>HYPERLINK("http://www.rosaceae.org/Prunus/Prunus_persica/p.persica_gdr_reftransV1_0020261","p.persica_gdr_reftransV1_0020261")</f>
        <v>p.persica_gdr_reftransV1_0020261</v>
      </c>
      <c r="B530" s="3">
        <v>1163</v>
      </c>
      <c r="C530" s="1" t="str">
        <f>HYPERLINK("http://www.uniprot.org/uniprot/PMP22_ARATH","PMP22_ARATH")</f>
        <v>PMP22_ARATH</v>
      </c>
      <c r="D530" t="s">
        <v>578</v>
      </c>
      <c r="E530" s="3" t="s">
        <v>3</v>
      </c>
      <c r="F530" s="4">
        <v>6.5099999999999999E-49</v>
      </c>
      <c r="G530" s="3">
        <v>429</v>
      </c>
      <c r="H530" s="3">
        <v>61</v>
      </c>
      <c r="I530" s="3">
        <v>170</v>
      </c>
      <c r="J530" s="3">
        <v>266</v>
      </c>
      <c r="K530" s="3">
        <v>775</v>
      </c>
      <c r="L530" s="3">
        <v>12</v>
      </c>
      <c r="M530" s="3">
        <v>181</v>
      </c>
    </row>
    <row r="531" spans="1:13" x14ac:dyDescent="0.25">
      <c r="A531" s="1" t="str">
        <f>HYPERLINK("http://www.rosaceae.org/Prunus/Prunus_persica/p.persica_gdr_reftransV1_0020411","p.persica_gdr_reftransV1_0020411")</f>
        <v>p.persica_gdr_reftransV1_0020411</v>
      </c>
      <c r="B531" s="3">
        <v>754</v>
      </c>
      <c r="C531" s="1" t="str">
        <f>HYPERLINK("http://www.uniprot.org/uniprot/PP320_ARATH","PP320_ARATH")</f>
        <v>PP320_ARATH</v>
      </c>
      <c r="D531" t="s">
        <v>579</v>
      </c>
      <c r="E531" s="3" t="s">
        <v>3</v>
      </c>
      <c r="F531" s="4">
        <v>3.82E-83</v>
      </c>
      <c r="G531" s="3">
        <v>694</v>
      </c>
      <c r="H531" s="3">
        <v>53</v>
      </c>
      <c r="I531" s="3">
        <v>248</v>
      </c>
      <c r="J531" s="3">
        <v>9</v>
      </c>
      <c r="K531" s="3">
        <v>752</v>
      </c>
      <c r="L531" s="3">
        <v>61</v>
      </c>
      <c r="M531" s="3">
        <v>308</v>
      </c>
    </row>
    <row r="532" spans="1:13" x14ac:dyDescent="0.25">
      <c r="A532" s="1" t="str">
        <f>HYPERLINK("http://www.rosaceae.org/Prunus/Prunus_persica/p.persica_gdr_reftransV1_0020711","p.persica_gdr_reftransV1_0020711")</f>
        <v>p.persica_gdr_reftransV1_0020711</v>
      </c>
      <c r="B532" s="3">
        <v>1503</v>
      </c>
      <c r="C532" s="1" t="str">
        <f>HYPERLINK("http://www.uniprot.org/uniprot/Y2104_ARATH","Y2104_ARATH")</f>
        <v>Y2104_ARATH</v>
      </c>
      <c r="D532" t="s">
        <v>580</v>
      </c>
      <c r="E532" s="3" t="s">
        <v>3</v>
      </c>
      <c r="F532" s="4">
        <v>1.7100000000000001E-130</v>
      </c>
      <c r="G532" s="3">
        <v>1001</v>
      </c>
      <c r="H532" s="3">
        <v>73</v>
      </c>
      <c r="I532" s="3">
        <v>275</v>
      </c>
      <c r="J532" s="3">
        <v>207</v>
      </c>
      <c r="K532" s="3">
        <v>1028</v>
      </c>
      <c r="L532" s="3">
        <v>78</v>
      </c>
      <c r="M532" s="3">
        <v>352</v>
      </c>
    </row>
    <row r="533" spans="1:13" x14ac:dyDescent="0.25">
      <c r="A533" s="1" t="str">
        <f>HYPERLINK("http://www.rosaceae.org/Prunus/Prunus_persica/p.persica_gdr_reftransV1_0020861","p.persica_gdr_reftransV1_0020861")</f>
        <v>p.persica_gdr_reftransV1_0020861</v>
      </c>
      <c r="B533" s="3">
        <v>1972</v>
      </c>
      <c r="C533" s="1" t="str">
        <f>HYPERLINK("http://www.uniprot.org/uniprot/AROG_SOLLC","AROG_SOLLC")</f>
        <v>AROG_SOLLC</v>
      </c>
      <c r="D533" t="s">
        <v>581</v>
      </c>
      <c r="E533" s="3" t="s">
        <v>64</v>
      </c>
      <c r="F533" s="4">
        <v>0</v>
      </c>
      <c r="G533" s="3">
        <v>1837</v>
      </c>
      <c r="H533" s="3">
        <v>73</v>
      </c>
      <c r="I533" s="3">
        <v>465</v>
      </c>
      <c r="J533" s="3">
        <v>477</v>
      </c>
      <c r="K533" s="3">
        <v>1829</v>
      </c>
      <c r="L533" s="3">
        <v>1</v>
      </c>
      <c r="M533" s="3">
        <v>463</v>
      </c>
    </row>
    <row r="534" spans="1:13" x14ac:dyDescent="0.25">
      <c r="A534" s="1" t="str">
        <f>HYPERLINK("http://www.rosaceae.org/Prunus/Prunus_persica/p.persica_gdr_reftransV1_0020911","p.persica_gdr_reftransV1_0020911")</f>
        <v>p.persica_gdr_reftransV1_0020911</v>
      </c>
      <c r="B534" s="3">
        <v>2218</v>
      </c>
      <c r="C534" s="1" t="str">
        <f>HYPERLINK("http://www.uniprot.org/uniprot/SKIP2_ARATH","SKIP2_ARATH")</f>
        <v>SKIP2_ARATH</v>
      </c>
      <c r="D534" t="s">
        <v>582</v>
      </c>
      <c r="E534" s="3" t="s">
        <v>3</v>
      </c>
      <c r="F534" s="4">
        <v>0</v>
      </c>
      <c r="G534" s="3">
        <v>1545</v>
      </c>
      <c r="H534" s="3">
        <v>60</v>
      </c>
      <c r="I534" s="3">
        <v>531</v>
      </c>
      <c r="J534" s="3">
        <v>135</v>
      </c>
      <c r="K534" s="3">
        <v>1712</v>
      </c>
      <c r="L534" s="3">
        <v>1</v>
      </c>
      <c r="M534" s="3">
        <v>517</v>
      </c>
    </row>
    <row r="535" spans="1:13" x14ac:dyDescent="0.25">
      <c r="A535" s="1" t="str">
        <f>HYPERLINK("http://www.rosaceae.org/Prunus/Prunus_persica/p.persica_gdr_reftransV1_0021061","p.persica_gdr_reftransV1_0021061")</f>
        <v>p.persica_gdr_reftransV1_0021061</v>
      </c>
      <c r="B535" s="3">
        <v>2772</v>
      </c>
      <c r="C535" s="1" t="str">
        <f>HYPERLINK("http://www.uniprot.org/uniprot/YSL3_ARATH","YSL3_ARATH")</f>
        <v>YSL3_ARATH</v>
      </c>
      <c r="D535" t="s">
        <v>583</v>
      </c>
      <c r="E535" s="3" t="s">
        <v>3</v>
      </c>
      <c r="F535" s="4">
        <v>0</v>
      </c>
      <c r="G535" s="3">
        <v>2675</v>
      </c>
      <c r="H535" s="3">
        <v>76</v>
      </c>
      <c r="I535" s="3">
        <v>671</v>
      </c>
      <c r="J535" s="3">
        <v>323</v>
      </c>
      <c r="K535" s="3">
        <v>2323</v>
      </c>
      <c r="L535" s="3">
        <v>3</v>
      </c>
      <c r="M535" s="3">
        <v>672</v>
      </c>
    </row>
    <row r="536" spans="1:13" x14ac:dyDescent="0.25">
      <c r="A536" s="1" t="str">
        <f>HYPERLINK("http://www.rosaceae.org/Prunus/Prunus_persica/p.persica_gdr_reftransV1_0021261","p.persica_gdr_reftransV1_0021261")</f>
        <v>p.persica_gdr_reftransV1_0021261</v>
      </c>
      <c r="B536" s="3">
        <v>2802</v>
      </c>
      <c r="C536" s="1" t="str">
        <f>HYPERLINK("http://www.uniprot.org/uniprot/CSE_ARATH","CSE_ARATH")</f>
        <v>CSE_ARATH</v>
      </c>
      <c r="D536" t="s">
        <v>584</v>
      </c>
      <c r="E536" s="3" t="s">
        <v>3</v>
      </c>
      <c r="F536" s="4">
        <v>4.04E-23</v>
      </c>
      <c r="G536" s="3">
        <v>264</v>
      </c>
      <c r="H536" s="3">
        <v>32</v>
      </c>
      <c r="I536" s="3">
        <v>192</v>
      </c>
      <c r="J536" s="3">
        <v>930</v>
      </c>
      <c r="K536" s="3">
        <v>1493</v>
      </c>
      <c r="L536" s="3">
        <v>50</v>
      </c>
      <c r="M536" s="3">
        <v>238</v>
      </c>
    </row>
    <row r="537" spans="1:13" x14ac:dyDescent="0.25">
      <c r="A537" s="1" t="str">
        <f>HYPERLINK("http://www.rosaceae.org/Prunus/Prunus_persica/p.persica_gdr_reftransV1_0021411","p.persica_gdr_reftransV1_0021411")</f>
        <v>p.persica_gdr_reftransV1_0021411</v>
      </c>
      <c r="B537" s="3">
        <v>1871</v>
      </c>
      <c r="C537" s="1" t="str">
        <f>HYPERLINK("http://www.uniprot.org/uniprot/SWC2_ARATH","SWC2_ARATH")</f>
        <v>SWC2_ARATH</v>
      </c>
      <c r="D537" t="s">
        <v>585</v>
      </c>
      <c r="E537" s="3" t="s">
        <v>3</v>
      </c>
      <c r="F537" s="4">
        <v>5.1000000000000005E-106</v>
      </c>
      <c r="G537" s="3">
        <v>850</v>
      </c>
      <c r="H537" s="3">
        <v>63</v>
      </c>
      <c r="I537" s="3">
        <v>303</v>
      </c>
      <c r="J537" s="3">
        <v>851</v>
      </c>
      <c r="K537" s="3">
        <v>1738</v>
      </c>
      <c r="L537" s="3">
        <v>1</v>
      </c>
      <c r="M537" s="3">
        <v>302</v>
      </c>
    </row>
    <row r="538" spans="1:13" x14ac:dyDescent="0.25">
      <c r="A538" s="1" t="str">
        <f>HYPERLINK("http://www.rosaceae.org/Prunus/Prunus_persica/p.persica_gdr_reftransV1_0021461","p.persica_gdr_reftransV1_0021461")</f>
        <v>p.persica_gdr_reftransV1_0021461</v>
      </c>
      <c r="B538" s="3">
        <v>2501</v>
      </c>
      <c r="C538" s="1" t="str">
        <f>HYPERLINK("http://www.uniprot.org/uniprot/FBK50_ARATH","FBK50_ARATH")</f>
        <v>FBK50_ARATH</v>
      </c>
      <c r="D538" t="s">
        <v>13</v>
      </c>
      <c r="E538" s="3" t="s">
        <v>3</v>
      </c>
      <c r="F538" s="4">
        <v>5.55E-34</v>
      </c>
      <c r="G538" s="3">
        <v>352</v>
      </c>
      <c r="H538" s="3">
        <v>30</v>
      </c>
      <c r="I538" s="3">
        <v>396</v>
      </c>
      <c r="J538" s="3">
        <v>302</v>
      </c>
      <c r="K538" s="3">
        <v>1348</v>
      </c>
      <c r="L538" s="3">
        <v>47</v>
      </c>
      <c r="M538" s="3">
        <v>420</v>
      </c>
    </row>
    <row r="539" spans="1:13" x14ac:dyDescent="0.25">
      <c r="A539" s="1" t="str">
        <f>HYPERLINK("http://www.rosaceae.org/Prunus/Prunus_persica/p.persica_gdr_reftransV1_0021511","p.persica_gdr_reftransV1_0021511")</f>
        <v>p.persica_gdr_reftransV1_0021511</v>
      </c>
      <c r="B539" s="3">
        <v>968</v>
      </c>
      <c r="C539" s="1" t="str">
        <f>HYPERLINK("http://www.uniprot.org/uniprot/ELIP1_ARATH","ELIP1_ARATH")</f>
        <v>ELIP1_ARATH</v>
      </c>
      <c r="D539" t="s">
        <v>586</v>
      </c>
      <c r="E539" s="3" t="s">
        <v>3</v>
      </c>
      <c r="F539" s="4">
        <v>1.63E-59</v>
      </c>
      <c r="G539" s="3">
        <v>497</v>
      </c>
      <c r="H539" s="3">
        <v>64</v>
      </c>
      <c r="I539" s="3">
        <v>187</v>
      </c>
      <c r="J539" s="3">
        <v>306</v>
      </c>
      <c r="K539" s="3">
        <v>860</v>
      </c>
      <c r="L539" s="3">
        <v>10</v>
      </c>
      <c r="M539" s="3">
        <v>195</v>
      </c>
    </row>
    <row r="540" spans="1:13" x14ac:dyDescent="0.25">
      <c r="A540" s="1" t="str">
        <f>HYPERLINK("http://www.rosaceae.org/Prunus/Prunus_persica/p.persica_gdr_reftransV1_0021711","p.persica_gdr_reftransV1_0021711")</f>
        <v>p.persica_gdr_reftransV1_0021711</v>
      </c>
      <c r="B540" s="3">
        <v>2558</v>
      </c>
      <c r="C540" s="1" t="str">
        <f>HYPERLINK("http://www.uniprot.org/uniprot/RMA1_CAPAN","RMA1_CAPAN")</f>
        <v>RMA1_CAPAN</v>
      </c>
      <c r="D540" t="s">
        <v>587</v>
      </c>
      <c r="E540" s="3" t="s">
        <v>588</v>
      </c>
      <c r="F540" s="4">
        <v>1.5500000000000001E-67</v>
      </c>
      <c r="G540" s="3">
        <v>587</v>
      </c>
      <c r="H540" s="3">
        <v>54</v>
      </c>
      <c r="I540" s="3">
        <v>251</v>
      </c>
      <c r="J540" s="3">
        <v>384</v>
      </c>
      <c r="K540" s="3">
        <v>1124</v>
      </c>
      <c r="L540" s="3">
        <v>5</v>
      </c>
      <c r="M540" s="3">
        <v>237</v>
      </c>
    </row>
    <row r="541" spans="1:13" x14ac:dyDescent="0.25">
      <c r="A541" s="1" t="str">
        <f>HYPERLINK("http://www.rosaceae.org/Prunus/Prunus_persica/p.persica_gdr_reftransV1_0021811","p.persica_gdr_reftransV1_0021811")</f>
        <v>p.persica_gdr_reftransV1_0021811</v>
      </c>
      <c r="B541" s="3">
        <v>1128</v>
      </c>
      <c r="C541" s="1" t="str">
        <f>HYPERLINK("http://www.uniprot.org/uniprot/ACT1_ORYSJ","ACT1_ORYSJ")</f>
        <v>ACT1_ORYSJ</v>
      </c>
      <c r="D541" t="s">
        <v>589</v>
      </c>
      <c r="E541" s="3" t="s">
        <v>38</v>
      </c>
      <c r="F541" s="4">
        <v>0</v>
      </c>
      <c r="G541" s="3">
        <v>1754</v>
      </c>
      <c r="H541" s="3">
        <v>98</v>
      </c>
      <c r="I541" s="3">
        <v>332</v>
      </c>
      <c r="J541" s="3">
        <v>132</v>
      </c>
      <c r="K541" s="3">
        <v>1127</v>
      </c>
      <c r="L541" s="3">
        <v>1</v>
      </c>
      <c r="M541" s="3">
        <v>332</v>
      </c>
    </row>
    <row r="542" spans="1:13" x14ac:dyDescent="0.25">
      <c r="A542" s="1" t="str">
        <f>HYPERLINK("http://www.rosaceae.org/Prunus/Prunus_persica/p.persica_gdr_reftransV1_0021911","p.persica_gdr_reftransV1_0021911")</f>
        <v>p.persica_gdr_reftransV1_0021911</v>
      </c>
      <c r="B542" s="3">
        <v>1659</v>
      </c>
      <c r="C542" s="1" t="str">
        <f>HYPERLINK("http://www.uniprot.org/uniprot/FB79_ARATH","FB79_ARATH")</f>
        <v>FB79_ARATH</v>
      </c>
      <c r="D542" t="s">
        <v>590</v>
      </c>
      <c r="E542" s="3" t="s">
        <v>3</v>
      </c>
      <c r="F542" s="4">
        <v>1.6800000000000001E-26</v>
      </c>
      <c r="G542" s="3">
        <v>283</v>
      </c>
      <c r="H542" s="3">
        <v>30</v>
      </c>
      <c r="I542" s="3">
        <v>240</v>
      </c>
      <c r="J542" s="3">
        <v>338</v>
      </c>
      <c r="K542" s="3">
        <v>1033</v>
      </c>
      <c r="L542" s="3">
        <v>3</v>
      </c>
      <c r="M542" s="3">
        <v>236</v>
      </c>
    </row>
    <row r="543" spans="1:13" x14ac:dyDescent="0.25">
      <c r="A543" s="1" t="str">
        <f>HYPERLINK("http://www.rosaceae.org/Prunus/Prunus_persica/p.persica_gdr_reftransV1_0022111","p.persica_gdr_reftransV1_0022111")</f>
        <v>p.persica_gdr_reftransV1_0022111</v>
      </c>
      <c r="B543" s="3">
        <v>2548</v>
      </c>
      <c r="C543" s="1" t="str">
        <f>HYPERLINK("http://www.uniprot.org/uniprot/2A5I_ARATH","2A5I_ARATH")</f>
        <v>2A5I_ARATH</v>
      </c>
      <c r="D543" t="s">
        <v>591</v>
      </c>
      <c r="E543" s="3" t="s">
        <v>3</v>
      </c>
      <c r="F543" s="4">
        <v>0</v>
      </c>
      <c r="G543" s="3">
        <v>1692</v>
      </c>
      <c r="H543" s="3">
        <v>63</v>
      </c>
      <c r="I543" s="3">
        <v>506</v>
      </c>
      <c r="J543" s="3">
        <v>512</v>
      </c>
      <c r="K543" s="3">
        <v>2017</v>
      </c>
      <c r="L543" s="3">
        <v>1</v>
      </c>
      <c r="M543" s="3">
        <v>500</v>
      </c>
    </row>
    <row r="544" spans="1:13" x14ac:dyDescent="0.25">
      <c r="A544" s="1" t="str">
        <f>HYPERLINK("http://www.rosaceae.org/Prunus/Prunus_persica/p.persica_gdr_reftransV1_0022411","p.persica_gdr_reftransV1_0022411")</f>
        <v>p.persica_gdr_reftransV1_0022411</v>
      </c>
      <c r="B544" s="3">
        <v>2567</v>
      </c>
      <c r="C544" s="1" t="str">
        <f>HYPERLINK("http://www.uniprot.org/uniprot/SEOA_ARATH","SEOA_ARATH")</f>
        <v>SEOA_ARATH</v>
      </c>
      <c r="D544" t="s">
        <v>592</v>
      </c>
      <c r="E544" s="3" t="s">
        <v>3</v>
      </c>
      <c r="F544" s="4">
        <v>1.2299999999999999E-84</v>
      </c>
      <c r="G544" s="3">
        <v>752</v>
      </c>
      <c r="H544" s="3">
        <v>39</v>
      </c>
      <c r="I544" s="3">
        <v>390</v>
      </c>
      <c r="J544" s="3">
        <v>1208</v>
      </c>
      <c r="K544" s="3">
        <v>2365</v>
      </c>
      <c r="L544" s="3">
        <v>447</v>
      </c>
      <c r="M544" s="3">
        <v>822</v>
      </c>
    </row>
    <row r="545" spans="1:13" x14ac:dyDescent="0.25">
      <c r="A545" s="1" t="str">
        <f>HYPERLINK("http://www.rosaceae.org/Prunus/Prunus_persica/p.persica_gdr_reftransV1_0022611","p.persica_gdr_reftransV1_0022611")</f>
        <v>p.persica_gdr_reftransV1_0022611</v>
      </c>
      <c r="B545" s="3">
        <v>1632</v>
      </c>
      <c r="C545" s="1" t="str">
        <f>HYPERLINK("http://www.uniprot.org/uniprot/TRL11_ARATH","TRL11_ARATH")</f>
        <v>TRL11_ARATH</v>
      </c>
      <c r="D545" t="s">
        <v>593</v>
      </c>
      <c r="E545" s="3" t="s">
        <v>3</v>
      </c>
      <c r="F545" s="4">
        <v>6.0200000000000002E-40</v>
      </c>
      <c r="G545" s="3">
        <v>381</v>
      </c>
      <c r="H545" s="3">
        <v>62</v>
      </c>
      <c r="I545" s="3">
        <v>108</v>
      </c>
      <c r="J545" s="3">
        <v>857</v>
      </c>
      <c r="K545" s="3">
        <v>1180</v>
      </c>
      <c r="L545" s="3">
        <v>138</v>
      </c>
      <c r="M545" s="3">
        <v>244</v>
      </c>
    </row>
    <row r="546" spans="1:13" x14ac:dyDescent="0.25">
      <c r="A546" s="1" t="str">
        <f>HYPERLINK("http://www.rosaceae.org/Prunus/Prunus_persica/p.persica_gdr_reftransV1_0022761","p.persica_gdr_reftransV1_0022761")</f>
        <v>p.persica_gdr_reftransV1_0022761</v>
      </c>
      <c r="B546" s="3">
        <v>2052</v>
      </c>
      <c r="C546" s="1" t="str">
        <f>HYPERLINK("http://www.uniprot.org/uniprot/RAA5A_ARATH","RAA5A_ARATH")</f>
        <v>RAA5A_ARATH</v>
      </c>
      <c r="D546" t="s">
        <v>354</v>
      </c>
      <c r="E546" s="3" t="s">
        <v>3</v>
      </c>
      <c r="F546" s="4">
        <v>7.5899999999999994E-70</v>
      </c>
      <c r="G546" s="3">
        <v>594</v>
      </c>
      <c r="H546" s="3">
        <v>95</v>
      </c>
      <c r="I546" s="3">
        <v>116</v>
      </c>
      <c r="J546" s="3">
        <v>1208</v>
      </c>
      <c r="K546" s="3">
        <v>1555</v>
      </c>
      <c r="L546" s="3">
        <v>1</v>
      </c>
      <c r="M546" s="3">
        <v>116</v>
      </c>
    </row>
    <row r="547" spans="1:13" x14ac:dyDescent="0.25">
      <c r="A547" s="1" t="str">
        <f>HYPERLINK("http://www.rosaceae.org/Prunus/Prunus_persica/p.persica_gdr_reftransV1_0022811","p.persica_gdr_reftransV1_0022811")</f>
        <v>p.persica_gdr_reftransV1_0022811</v>
      </c>
      <c r="B547" s="3">
        <v>1783</v>
      </c>
      <c r="C547" s="1" t="str">
        <f>HYPERLINK("http://www.uniprot.org/uniprot/MUB3_ORYSJ","MUB3_ORYSJ")</f>
        <v>MUB3_ORYSJ</v>
      </c>
      <c r="D547" t="s">
        <v>594</v>
      </c>
      <c r="E547" s="3" t="s">
        <v>38</v>
      </c>
      <c r="F547" s="4">
        <v>1.71E-25</v>
      </c>
      <c r="G547" s="3">
        <v>265</v>
      </c>
      <c r="H547" s="3">
        <v>70</v>
      </c>
      <c r="I547" s="3">
        <v>70</v>
      </c>
      <c r="J547" s="3">
        <v>1179</v>
      </c>
      <c r="K547" s="3">
        <v>1388</v>
      </c>
      <c r="L547" s="3">
        <v>45</v>
      </c>
      <c r="M547" s="3">
        <v>114</v>
      </c>
    </row>
    <row r="548" spans="1:13" x14ac:dyDescent="0.25">
      <c r="A548" s="1" t="str">
        <f>HYPERLINK("http://www.rosaceae.org/Prunus/Prunus_persica/p.persica_gdr_reftransV1_0022961","p.persica_gdr_reftransV1_0022961")</f>
        <v>p.persica_gdr_reftransV1_0022961</v>
      </c>
      <c r="B548" s="3">
        <v>2988</v>
      </c>
      <c r="C548" s="1" t="str">
        <f>HYPERLINK("http://www.uniprot.org/uniprot/GAT24_ARATH","GAT24_ARATH")</f>
        <v>GAT24_ARATH</v>
      </c>
      <c r="D548" t="s">
        <v>595</v>
      </c>
      <c r="E548" s="3" t="s">
        <v>3</v>
      </c>
      <c r="F548" s="4">
        <v>1.3400000000000001E-34</v>
      </c>
      <c r="G548" s="3">
        <v>351</v>
      </c>
      <c r="H548" s="3">
        <v>47</v>
      </c>
      <c r="I548" s="3">
        <v>204</v>
      </c>
      <c r="J548" s="3">
        <v>2014</v>
      </c>
      <c r="K548" s="3">
        <v>2595</v>
      </c>
      <c r="L548" s="3">
        <v>79</v>
      </c>
      <c r="M548" s="3">
        <v>253</v>
      </c>
    </row>
    <row r="549" spans="1:13" x14ac:dyDescent="0.25">
      <c r="A549" s="1" t="str">
        <f>HYPERLINK("http://www.rosaceae.org/Prunus/Prunus_persica/p.persica_gdr_reftransV1_0023011","p.persica_gdr_reftransV1_0023011")</f>
        <v>p.persica_gdr_reftransV1_0023011</v>
      </c>
      <c r="B549" s="3">
        <v>616</v>
      </c>
      <c r="C549" s="1" t="str">
        <f>HYPERLINK("http://www.uniprot.org/uniprot/PP406_ARATH","PP406_ARATH")</f>
        <v>PP406_ARATH</v>
      </c>
      <c r="D549" t="s">
        <v>596</v>
      </c>
      <c r="E549" s="3" t="s">
        <v>3</v>
      </c>
      <c r="F549" s="4">
        <v>4.0600000000000002E-50</v>
      </c>
      <c r="G549" s="3">
        <v>448</v>
      </c>
      <c r="H549" s="3">
        <v>50</v>
      </c>
      <c r="I549" s="3">
        <v>175</v>
      </c>
      <c r="J549" s="3">
        <v>3</v>
      </c>
      <c r="K549" s="3">
        <v>527</v>
      </c>
      <c r="L549" s="3">
        <v>23</v>
      </c>
      <c r="M549" s="3">
        <v>197</v>
      </c>
    </row>
    <row r="550" spans="1:13" x14ac:dyDescent="0.25">
      <c r="A550" s="1" t="str">
        <f>HYPERLINK("http://www.rosaceae.org/Prunus/Prunus_persica/p.persica_gdr_reftransV1_0023111","p.persica_gdr_reftransV1_0023111")</f>
        <v>p.persica_gdr_reftransV1_0023111</v>
      </c>
      <c r="B550" s="3">
        <v>7862</v>
      </c>
      <c r="C550" s="1" t="str">
        <f>HYPERLINK("http://www.uniprot.org/uniprot/RAC3_ORYSJ","RAC3_ORYSJ")</f>
        <v>RAC3_ORYSJ</v>
      </c>
      <c r="D550" t="s">
        <v>597</v>
      </c>
      <c r="E550" s="3" t="s">
        <v>38</v>
      </c>
      <c r="F550" s="4">
        <v>4.9599999999999996E-103</v>
      </c>
      <c r="G550" s="3">
        <v>862</v>
      </c>
      <c r="H550" s="3">
        <v>93</v>
      </c>
      <c r="I550" s="3">
        <v>166</v>
      </c>
      <c r="J550" s="3">
        <v>201</v>
      </c>
      <c r="K550" s="3">
        <v>698</v>
      </c>
      <c r="L550" s="3">
        <v>1</v>
      </c>
      <c r="M550" s="3">
        <v>166</v>
      </c>
    </row>
    <row r="551" spans="1:13" x14ac:dyDescent="0.25">
      <c r="A551" s="1" t="str">
        <f>HYPERLINK("http://www.rosaceae.org/Prunus/Prunus_persica/p.persica_gdr_reftransV1_0023661","p.persica_gdr_reftransV1_0023661")</f>
        <v>p.persica_gdr_reftransV1_0023661</v>
      </c>
      <c r="B551" s="3">
        <v>1916</v>
      </c>
      <c r="C551" s="1" t="str">
        <f>HYPERLINK("http://www.uniprot.org/uniprot/SF21_HELAN","SF21_HELAN")</f>
        <v>SF21_HELAN</v>
      </c>
      <c r="D551" t="s">
        <v>598</v>
      </c>
      <c r="E551" s="3" t="s">
        <v>599</v>
      </c>
      <c r="F551" s="4">
        <v>2.4100000000000001E-105</v>
      </c>
      <c r="G551" s="3">
        <v>760</v>
      </c>
      <c r="H551" s="3">
        <v>56</v>
      </c>
      <c r="I551" s="3">
        <v>265</v>
      </c>
      <c r="J551" s="3">
        <v>755</v>
      </c>
      <c r="K551" s="3">
        <v>1549</v>
      </c>
      <c r="L551" s="3">
        <v>86</v>
      </c>
      <c r="M551" s="3">
        <v>344</v>
      </c>
    </row>
    <row r="552" spans="1:13" x14ac:dyDescent="0.25">
      <c r="A552" s="1" t="str">
        <f>HYPERLINK("http://www.rosaceae.org/Prunus/Prunus_persica/p.persica_gdr_reftransV1_0024011","p.persica_gdr_reftransV1_0024011")</f>
        <v>p.persica_gdr_reftransV1_0024011</v>
      </c>
      <c r="B552" s="3">
        <v>2406</v>
      </c>
      <c r="C552" s="1" t="str">
        <f>HYPERLINK("http://www.uniprot.org/uniprot/PP139_ARATH","PP139_ARATH")</f>
        <v>PP139_ARATH</v>
      </c>
      <c r="D552" t="s">
        <v>600</v>
      </c>
      <c r="E552" s="3" t="s">
        <v>3</v>
      </c>
      <c r="F552" s="4">
        <v>0</v>
      </c>
      <c r="G552" s="3">
        <v>1411</v>
      </c>
      <c r="H552" s="3">
        <v>56</v>
      </c>
      <c r="I552" s="3">
        <v>484</v>
      </c>
      <c r="J552" s="3">
        <v>378</v>
      </c>
      <c r="K552" s="3">
        <v>1817</v>
      </c>
      <c r="L552" s="3">
        <v>94</v>
      </c>
      <c r="M552" s="3">
        <v>577</v>
      </c>
    </row>
    <row r="553" spans="1:13" x14ac:dyDescent="0.25">
      <c r="A553" s="1" t="str">
        <f>HYPERLINK("http://www.rosaceae.org/Prunus/Prunus_persica/p.persica_gdr_reftransV1_0024111","p.persica_gdr_reftransV1_0024111")</f>
        <v>p.persica_gdr_reftransV1_0024111</v>
      </c>
      <c r="B553" s="3">
        <v>1431</v>
      </c>
      <c r="C553" s="1" t="str">
        <f>HYPERLINK("http://www.uniprot.org/uniprot/FACE2_ARATH","FACE2_ARATH")</f>
        <v>FACE2_ARATH</v>
      </c>
      <c r="D553" t="s">
        <v>601</v>
      </c>
      <c r="E553" s="3" t="s">
        <v>3</v>
      </c>
      <c r="F553" s="4">
        <v>2.0000000000000001E-110</v>
      </c>
      <c r="G553" s="3">
        <v>861</v>
      </c>
      <c r="H553" s="3">
        <v>55</v>
      </c>
      <c r="I553" s="3">
        <v>334</v>
      </c>
      <c r="J553" s="3">
        <v>84</v>
      </c>
      <c r="K553" s="3">
        <v>1085</v>
      </c>
      <c r="L553" s="3">
        <v>1</v>
      </c>
      <c r="M553" s="3">
        <v>311</v>
      </c>
    </row>
    <row r="554" spans="1:13" x14ac:dyDescent="0.25">
      <c r="A554" s="1" t="str">
        <f>HYPERLINK("http://www.rosaceae.org/Prunus/Prunus_persica/p.persica_gdr_reftransV1_0024311","p.persica_gdr_reftransV1_0024311")</f>
        <v>p.persica_gdr_reftransV1_0024311</v>
      </c>
      <c r="B554" s="3">
        <v>890</v>
      </c>
      <c r="C554" s="1" t="str">
        <f>HYPERLINK("http://www.uniprot.org/uniprot/PP249_ARATH","PP249_ARATH")</f>
        <v>PP249_ARATH</v>
      </c>
      <c r="D554" t="s">
        <v>602</v>
      </c>
      <c r="E554" s="3" t="s">
        <v>3</v>
      </c>
      <c r="F554" s="4">
        <v>1.06E-41</v>
      </c>
      <c r="G554" s="3">
        <v>399</v>
      </c>
      <c r="H554" s="3">
        <v>48</v>
      </c>
      <c r="I554" s="3">
        <v>164</v>
      </c>
      <c r="J554" s="3">
        <v>12</v>
      </c>
      <c r="K554" s="3">
        <v>503</v>
      </c>
      <c r="L554" s="3">
        <v>609</v>
      </c>
      <c r="M554" s="3">
        <v>770</v>
      </c>
    </row>
    <row r="555" spans="1:13" x14ac:dyDescent="0.25">
      <c r="A555" s="1" t="str">
        <f>HYPERLINK("http://www.rosaceae.org/Prunus/Prunus_persica/p.persica_gdr_reftransV1_0024411","p.persica_gdr_reftransV1_0024411")</f>
        <v>p.persica_gdr_reftransV1_0024411</v>
      </c>
      <c r="B555" s="3">
        <v>2714</v>
      </c>
      <c r="C555" s="1" t="str">
        <f>HYPERLINK("http://www.uniprot.org/uniprot/RDM4_ARATH","RDM4_ARATH")</f>
        <v>RDM4_ARATH</v>
      </c>
      <c r="D555" t="s">
        <v>603</v>
      </c>
      <c r="E555" s="3" t="s">
        <v>3</v>
      </c>
      <c r="F555" s="4">
        <v>2.3700000000000002E-25</v>
      </c>
      <c r="G555" s="3">
        <v>282</v>
      </c>
      <c r="H555" s="3">
        <v>51</v>
      </c>
      <c r="I555" s="3">
        <v>107</v>
      </c>
      <c r="J555" s="3">
        <v>268</v>
      </c>
      <c r="K555" s="3">
        <v>588</v>
      </c>
      <c r="L555" s="3">
        <v>122</v>
      </c>
      <c r="M555" s="3">
        <v>222</v>
      </c>
    </row>
    <row r="556" spans="1:13" x14ac:dyDescent="0.25">
      <c r="A556" s="1" t="str">
        <f>HYPERLINK("http://www.rosaceae.org/Prunus/Prunus_persica/p.persica_gdr_reftransV1_0024611","p.persica_gdr_reftransV1_0024611")</f>
        <v>p.persica_gdr_reftransV1_0024611</v>
      </c>
      <c r="B556" s="3">
        <v>2165</v>
      </c>
      <c r="C556" s="1" t="str">
        <f>HYPERLINK("http://www.uniprot.org/uniprot/Y4597_ARATH","Y4597_ARATH")</f>
        <v>Y4597_ARATH</v>
      </c>
      <c r="D556" t="s">
        <v>604</v>
      </c>
      <c r="E556" s="3" t="s">
        <v>3</v>
      </c>
      <c r="F556" s="4">
        <v>2.18E-46</v>
      </c>
      <c r="G556" s="3">
        <v>439</v>
      </c>
      <c r="H556" s="3">
        <v>52</v>
      </c>
      <c r="I556" s="3">
        <v>154</v>
      </c>
      <c r="J556" s="3">
        <v>540</v>
      </c>
      <c r="K556" s="3">
        <v>1001</v>
      </c>
      <c r="L556" s="3">
        <v>157</v>
      </c>
      <c r="M556" s="3">
        <v>309</v>
      </c>
    </row>
    <row r="557" spans="1:13" x14ac:dyDescent="0.25">
      <c r="A557" s="1" t="str">
        <f>HYPERLINK("http://www.rosaceae.org/Prunus/Prunus_persica/p.persica_gdr_reftransV1_0024811","p.persica_gdr_reftransV1_0024811")</f>
        <v>p.persica_gdr_reftransV1_0024811</v>
      </c>
      <c r="B557" s="3">
        <v>2163</v>
      </c>
      <c r="C557" s="1" t="str">
        <f>HYPERLINK("http://www.uniprot.org/uniprot/NDUV1_ARATH","NDUV1_ARATH")</f>
        <v>NDUV1_ARATH</v>
      </c>
      <c r="D557" t="s">
        <v>605</v>
      </c>
      <c r="E557" s="3" t="s">
        <v>3</v>
      </c>
      <c r="F557" s="4">
        <v>0</v>
      </c>
      <c r="G557" s="3">
        <v>2217</v>
      </c>
      <c r="H557" s="3">
        <v>92</v>
      </c>
      <c r="I557" s="3">
        <v>465</v>
      </c>
      <c r="J557" s="3">
        <v>160</v>
      </c>
      <c r="K557" s="3">
        <v>1554</v>
      </c>
      <c r="L557" s="3">
        <v>1</v>
      </c>
      <c r="M557" s="3">
        <v>465</v>
      </c>
    </row>
    <row r="558" spans="1:13" x14ac:dyDescent="0.25">
      <c r="A558" s="1" t="str">
        <f>HYPERLINK("http://www.rosaceae.org/Prunus/Prunus_persica/p.persica_gdr_reftransV1_0024861","p.persica_gdr_reftransV1_0024861")</f>
        <v>p.persica_gdr_reftransV1_0024861</v>
      </c>
      <c r="B558" s="3">
        <v>1319</v>
      </c>
      <c r="C558" s="1" t="str">
        <f>HYPERLINK("http://www.uniprot.org/uniprot/IPYR1_ARATH","IPYR1_ARATH")</f>
        <v>IPYR1_ARATH</v>
      </c>
      <c r="D558" t="s">
        <v>606</v>
      </c>
      <c r="E558" s="3" t="s">
        <v>3</v>
      </c>
      <c r="F558" s="4">
        <v>3.3400000000000003E-119</v>
      </c>
      <c r="G558" s="3">
        <v>906</v>
      </c>
      <c r="H558" s="3">
        <v>87</v>
      </c>
      <c r="I558" s="3">
        <v>209</v>
      </c>
      <c r="J558" s="3">
        <v>275</v>
      </c>
      <c r="K558" s="3">
        <v>898</v>
      </c>
      <c r="L558" s="3">
        <v>4</v>
      </c>
      <c r="M558" s="3">
        <v>212</v>
      </c>
    </row>
    <row r="559" spans="1:13" x14ac:dyDescent="0.25">
      <c r="A559" s="1" t="str">
        <f>HYPERLINK("http://www.rosaceae.org/Prunus/Prunus_persica/p.persica_gdr_reftransV1_0025011","p.persica_gdr_reftransV1_0025011")</f>
        <v>p.persica_gdr_reftransV1_0025011</v>
      </c>
      <c r="B559" s="3">
        <v>2798</v>
      </c>
      <c r="C559" s="1" t="str">
        <f>HYPERLINK("http://www.uniprot.org/uniprot/YLS9_ARATH","YLS9_ARATH")</f>
        <v>YLS9_ARATH</v>
      </c>
      <c r="D559" t="s">
        <v>607</v>
      </c>
      <c r="E559" s="3" t="s">
        <v>3</v>
      </c>
      <c r="F559" s="4">
        <v>2.7500000000000002E-12</v>
      </c>
      <c r="G559" s="3">
        <v>174</v>
      </c>
      <c r="H559" s="3">
        <v>30</v>
      </c>
      <c r="I559" s="3">
        <v>193</v>
      </c>
      <c r="J559" s="3">
        <v>1896</v>
      </c>
      <c r="K559" s="3">
        <v>2468</v>
      </c>
      <c r="L559" s="3">
        <v>16</v>
      </c>
      <c r="M559" s="3">
        <v>199</v>
      </c>
    </row>
    <row r="560" spans="1:13" x14ac:dyDescent="0.25">
      <c r="A560" s="1" t="str">
        <f>HYPERLINK("http://www.rosaceae.org/Prunus/Prunus_persica/p.persica_gdr_reftransV1_0025111","p.persica_gdr_reftransV1_0025111")</f>
        <v>p.persica_gdr_reftransV1_0025111</v>
      </c>
      <c r="B560" s="3">
        <v>3415</v>
      </c>
      <c r="C560" s="1" t="str">
        <f>HYPERLINK("http://www.uniprot.org/uniprot/PPR67_ARATH","PPR67_ARATH")</f>
        <v>PPR67_ARATH</v>
      </c>
      <c r="D560" t="s">
        <v>608</v>
      </c>
      <c r="E560" s="3" t="s">
        <v>3</v>
      </c>
      <c r="F560" s="4">
        <v>0</v>
      </c>
      <c r="G560" s="3">
        <v>1876</v>
      </c>
      <c r="H560" s="3">
        <v>48</v>
      </c>
      <c r="I560" s="3">
        <v>797</v>
      </c>
      <c r="J560" s="3">
        <v>316</v>
      </c>
      <c r="K560" s="3">
        <v>2697</v>
      </c>
      <c r="L560" s="3">
        <v>34</v>
      </c>
      <c r="M560" s="3">
        <v>820</v>
      </c>
    </row>
    <row r="561" spans="1:13" x14ac:dyDescent="0.25">
      <c r="A561" s="1" t="str">
        <f>HYPERLINK("http://www.rosaceae.org/Prunus/Prunus_persica/p.persica_gdr_reftransV1_0025211","p.persica_gdr_reftransV1_0025211")</f>
        <v>p.persica_gdr_reftransV1_0025211</v>
      </c>
      <c r="B561" s="3">
        <v>1680</v>
      </c>
      <c r="C561" s="1" t="str">
        <f>HYPERLINK("http://www.uniprot.org/uniprot/PPR27_ARATH","PPR27_ARATH")</f>
        <v>PPR27_ARATH</v>
      </c>
      <c r="D561" t="s">
        <v>609</v>
      </c>
      <c r="E561" s="3" t="s">
        <v>3</v>
      </c>
      <c r="F561" s="4">
        <v>4.4099999999999998E-130</v>
      </c>
      <c r="G561" s="3">
        <v>1027</v>
      </c>
      <c r="H561" s="3">
        <v>58</v>
      </c>
      <c r="I561" s="3">
        <v>335</v>
      </c>
      <c r="J561" s="3">
        <v>682</v>
      </c>
      <c r="K561" s="3">
        <v>1680</v>
      </c>
      <c r="L561" s="3">
        <v>269</v>
      </c>
      <c r="M561" s="3">
        <v>602</v>
      </c>
    </row>
    <row r="562" spans="1:13" x14ac:dyDescent="0.25">
      <c r="A562" s="1" t="str">
        <f>HYPERLINK("http://www.rosaceae.org/Prunus/Prunus_persica/p.persica_gdr_reftransV1_0025611","p.persica_gdr_reftransV1_0025611")</f>
        <v>p.persica_gdr_reftransV1_0025611</v>
      </c>
      <c r="B562" s="3">
        <v>808</v>
      </c>
      <c r="C562" s="1" t="str">
        <f>HYPERLINK("http://www.uniprot.org/uniprot/RDR1_ARATH","RDR1_ARATH")</f>
        <v>RDR1_ARATH</v>
      </c>
      <c r="D562" t="s">
        <v>610</v>
      </c>
      <c r="E562" s="3" t="s">
        <v>3</v>
      </c>
      <c r="F562" s="4">
        <v>3.9E-110</v>
      </c>
      <c r="G562" s="3">
        <v>894</v>
      </c>
      <c r="H562" s="3">
        <v>65</v>
      </c>
      <c r="I562" s="3">
        <v>268</v>
      </c>
      <c r="J562" s="3">
        <v>13</v>
      </c>
      <c r="K562" s="3">
        <v>807</v>
      </c>
      <c r="L562" s="3">
        <v>475</v>
      </c>
      <c r="M562" s="3">
        <v>742</v>
      </c>
    </row>
    <row r="563" spans="1:13" x14ac:dyDescent="0.25">
      <c r="A563" s="1" t="str">
        <f>HYPERLINK("http://www.rosaceae.org/Prunus/Prunus_persica/p.persica_gdr_reftransV1_0025811","p.persica_gdr_reftransV1_0025811")</f>
        <v>p.persica_gdr_reftransV1_0025811</v>
      </c>
      <c r="B563" s="3">
        <v>1453</v>
      </c>
      <c r="C563" s="1" t="str">
        <f>HYPERLINK("http://www.uniprot.org/uniprot/RM24_YEAST","RM24_YEAST")</f>
        <v>RM24_YEAST</v>
      </c>
      <c r="D563" t="s">
        <v>611</v>
      </c>
      <c r="E563" s="3" t="s">
        <v>34</v>
      </c>
      <c r="F563" s="4">
        <v>1.8699999999999999E-12</v>
      </c>
      <c r="G563" s="3">
        <v>172</v>
      </c>
      <c r="H563" s="3">
        <v>39</v>
      </c>
      <c r="I563" s="3">
        <v>119</v>
      </c>
      <c r="J563" s="3">
        <v>604</v>
      </c>
      <c r="K563" s="3">
        <v>945</v>
      </c>
      <c r="L563" s="3">
        <v>45</v>
      </c>
      <c r="M563" s="3">
        <v>159</v>
      </c>
    </row>
    <row r="564" spans="1:13" x14ac:dyDescent="0.25">
      <c r="A564" s="1" t="str">
        <f>HYPERLINK("http://www.rosaceae.org/Prunus/Prunus_persica/p.persica_gdr_reftransV1_0026011","p.persica_gdr_reftransV1_0026011")</f>
        <v>p.persica_gdr_reftransV1_0026011</v>
      </c>
      <c r="B564" s="3">
        <v>773</v>
      </c>
      <c r="C564" s="1" t="str">
        <f>HYPERLINK("http://www.uniprot.org/uniprot/ERF95_ARATH","ERF95_ARATH")</f>
        <v>ERF95_ARATH</v>
      </c>
      <c r="D564" t="s">
        <v>612</v>
      </c>
      <c r="E564" s="3" t="s">
        <v>3</v>
      </c>
      <c r="F564" s="4">
        <v>1.2599999999999999E-19</v>
      </c>
      <c r="G564" s="3">
        <v>214</v>
      </c>
      <c r="H564" s="3">
        <v>85</v>
      </c>
      <c r="I564" s="3">
        <v>62</v>
      </c>
      <c r="J564" s="3">
        <v>59</v>
      </c>
      <c r="K564" s="3">
        <v>244</v>
      </c>
      <c r="L564" s="3">
        <v>13</v>
      </c>
      <c r="M564" s="3">
        <v>74</v>
      </c>
    </row>
    <row r="565" spans="1:13" x14ac:dyDescent="0.25">
      <c r="A565" s="1" t="str">
        <f>HYPERLINK("http://www.rosaceae.org/Prunus/Prunus_persica/p.persica_gdr_reftransV1_0026411","p.persica_gdr_reftransV1_0026411")</f>
        <v>p.persica_gdr_reftransV1_0026411</v>
      </c>
      <c r="B565" s="3">
        <v>1883</v>
      </c>
      <c r="C565" s="1" t="str">
        <f>HYPERLINK("http://www.uniprot.org/uniprot/MPI1_ARATH","MPI1_ARATH")</f>
        <v>MPI1_ARATH</v>
      </c>
      <c r="D565" t="s">
        <v>276</v>
      </c>
      <c r="E565" s="3" t="s">
        <v>3</v>
      </c>
      <c r="F565" s="4">
        <v>2.06E-162</v>
      </c>
      <c r="G565" s="3">
        <v>1233</v>
      </c>
      <c r="H565" s="3">
        <v>57</v>
      </c>
      <c r="I565" s="3">
        <v>414</v>
      </c>
      <c r="J565" s="3">
        <v>320</v>
      </c>
      <c r="K565" s="3">
        <v>1555</v>
      </c>
      <c r="L565" s="3">
        <v>25</v>
      </c>
      <c r="M565" s="3">
        <v>428</v>
      </c>
    </row>
    <row r="566" spans="1:13" x14ac:dyDescent="0.25">
      <c r="A566" s="1" t="str">
        <f>HYPERLINK("http://www.rosaceae.org/Prunus/Prunus_persica/p.persica_gdr_reftransV1_0026461","p.persica_gdr_reftransV1_0026461")</f>
        <v>p.persica_gdr_reftransV1_0026461</v>
      </c>
      <c r="B566" s="3">
        <v>3242</v>
      </c>
      <c r="C566" s="1" t="str">
        <f>HYPERLINK("http://www.uniprot.org/uniprot/PUB43_ARATH","PUB43_ARATH")</f>
        <v>PUB43_ARATH</v>
      </c>
      <c r="D566" t="s">
        <v>613</v>
      </c>
      <c r="E566" s="3" t="s">
        <v>3</v>
      </c>
      <c r="F566" s="4">
        <v>1.1599999999999999E-25</v>
      </c>
      <c r="G566" s="3">
        <v>295</v>
      </c>
      <c r="H566" s="3">
        <v>27</v>
      </c>
      <c r="I566" s="3">
        <v>605</v>
      </c>
      <c r="J566" s="3">
        <v>1221</v>
      </c>
      <c r="K566" s="3">
        <v>2906</v>
      </c>
      <c r="L566" s="3">
        <v>205</v>
      </c>
      <c r="M566" s="3">
        <v>807</v>
      </c>
    </row>
    <row r="567" spans="1:13" x14ac:dyDescent="0.25">
      <c r="A567" s="1" t="str">
        <f>HYPERLINK("http://www.rosaceae.org/Prunus/Prunus_persica/p.persica_gdr_reftransV1_0026511","p.persica_gdr_reftransV1_0026511")</f>
        <v>p.persica_gdr_reftransV1_0026511</v>
      </c>
      <c r="B567" s="3">
        <v>2653</v>
      </c>
      <c r="C567" s="1" t="str">
        <f>HYPERLINK("http://www.uniprot.org/uniprot/MANA_CANEN","MANA_CANEN")</f>
        <v>MANA_CANEN</v>
      </c>
      <c r="D567" t="s">
        <v>614</v>
      </c>
      <c r="E567" s="3" t="s">
        <v>615</v>
      </c>
      <c r="F567" s="4">
        <v>0</v>
      </c>
      <c r="G567" s="3">
        <v>1612</v>
      </c>
      <c r="H567" s="3">
        <v>55</v>
      </c>
      <c r="I567" s="3">
        <v>545</v>
      </c>
      <c r="J567" s="3">
        <v>1031</v>
      </c>
      <c r="K567" s="3">
        <v>2653</v>
      </c>
      <c r="L567" s="3">
        <v>273</v>
      </c>
      <c r="M567" s="3">
        <v>812</v>
      </c>
    </row>
    <row r="568" spans="1:13" x14ac:dyDescent="0.25">
      <c r="A568" s="1" t="str">
        <f>HYPERLINK("http://www.rosaceae.org/Prunus/Prunus_persica/p.persica_gdr_reftransV1_0026711","p.persica_gdr_reftransV1_0026711")</f>
        <v>p.persica_gdr_reftransV1_0026711</v>
      </c>
      <c r="B568" s="3">
        <v>2245</v>
      </c>
      <c r="C568" s="1" t="str">
        <f>HYPERLINK("http://www.uniprot.org/uniprot/SR54C_ARATH","SR54C_ARATH")</f>
        <v>SR54C_ARATH</v>
      </c>
      <c r="D568" t="s">
        <v>616</v>
      </c>
      <c r="E568" s="3" t="s">
        <v>3</v>
      </c>
      <c r="F568" s="4">
        <v>0</v>
      </c>
      <c r="G568" s="3">
        <v>2250</v>
      </c>
      <c r="H568" s="3">
        <v>71</v>
      </c>
      <c r="I568" s="3">
        <v>658</v>
      </c>
      <c r="J568" s="3">
        <v>214</v>
      </c>
      <c r="K568" s="3">
        <v>2184</v>
      </c>
      <c r="L568" s="3">
        <v>1</v>
      </c>
      <c r="M568" s="3">
        <v>564</v>
      </c>
    </row>
    <row r="569" spans="1:13" x14ac:dyDescent="0.25">
      <c r="A569" s="1" t="str">
        <f>HYPERLINK("http://www.rosaceae.org/Prunus/Prunus_persica/p.persica_gdr_reftransV1_0027211","p.persica_gdr_reftransV1_0027211")</f>
        <v>p.persica_gdr_reftransV1_0027211</v>
      </c>
      <c r="B569" s="3">
        <v>1762</v>
      </c>
      <c r="C569" s="1" t="str">
        <f>HYPERLINK("http://www.uniprot.org/uniprot/Y1178_ARATH","Y1178_ARATH")</f>
        <v>Y1178_ARATH</v>
      </c>
      <c r="D569" t="s">
        <v>617</v>
      </c>
      <c r="E569" s="3" t="s">
        <v>3</v>
      </c>
      <c r="F569" s="4">
        <v>4.5099999999999999E-110</v>
      </c>
      <c r="G569" s="3">
        <v>870</v>
      </c>
      <c r="H569" s="3">
        <v>74</v>
      </c>
      <c r="I569" s="3">
        <v>223</v>
      </c>
      <c r="J569" s="3">
        <v>326</v>
      </c>
      <c r="K569" s="3">
        <v>994</v>
      </c>
      <c r="L569" s="3">
        <v>114</v>
      </c>
      <c r="M569" s="3">
        <v>326</v>
      </c>
    </row>
    <row r="570" spans="1:13" x14ac:dyDescent="0.25">
      <c r="A570" s="1" t="str">
        <f>HYPERLINK("http://www.rosaceae.org/Prunus/Prunus_persica/p.persica_gdr_reftransV1_0027311","p.persica_gdr_reftransV1_0027311")</f>
        <v>p.persica_gdr_reftransV1_0027311</v>
      </c>
      <c r="B570" s="3">
        <v>2009</v>
      </c>
      <c r="C570" s="1" t="str">
        <f>HYPERLINK("http://www.uniprot.org/uniprot/ACR10_ARATH","ACR10_ARATH")</f>
        <v>ACR10_ARATH</v>
      </c>
      <c r="D570" t="s">
        <v>618</v>
      </c>
      <c r="E570" s="3" t="s">
        <v>3</v>
      </c>
      <c r="F570" s="4">
        <v>0</v>
      </c>
      <c r="G570" s="3">
        <v>1494</v>
      </c>
      <c r="H570" s="3">
        <v>69</v>
      </c>
      <c r="I570" s="3">
        <v>415</v>
      </c>
      <c r="J570" s="3">
        <v>505</v>
      </c>
      <c r="K570" s="3">
        <v>1740</v>
      </c>
      <c r="L570" s="3">
        <v>1</v>
      </c>
      <c r="M570" s="3">
        <v>410</v>
      </c>
    </row>
    <row r="571" spans="1:13" x14ac:dyDescent="0.25">
      <c r="A571" s="1" t="str">
        <f>HYPERLINK("http://www.rosaceae.org/Prunus/Prunus_persica/p.persica_gdr_reftransV1_0027461","p.persica_gdr_reftransV1_0027461")</f>
        <v>p.persica_gdr_reftransV1_0027461</v>
      </c>
      <c r="B571" s="3">
        <v>1483</v>
      </c>
      <c r="C571" s="1" t="str">
        <f>HYPERLINK("http://www.uniprot.org/uniprot/RR1_SPIOL","RR1_SPIOL")</f>
        <v>RR1_SPIOL</v>
      </c>
      <c r="D571" t="s">
        <v>619</v>
      </c>
      <c r="E571" s="3" t="s">
        <v>131</v>
      </c>
      <c r="F571" s="4">
        <v>0</v>
      </c>
      <c r="G571" s="3">
        <v>1745</v>
      </c>
      <c r="H571" s="3">
        <v>86</v>
      </c>
      <c r="I571" s="3">
        <v>409</v>
      </c>
      <c r="J571" s="3">
        <v>191</v>
      </c>
      <c r="K571" s="3">
        <v>1414</v>
      </c>
      <c r="L571" s="3">
        <v>1</v>
      </c>
      <c r="M571" s="3">
        <v>408</v>
      </c>
    </row>
    <row r="572" spans="1:13" x14ac:dyDescent="0.25">
      <c r="A572" s="1" t="str">
        <f>HYPERLINK("http://www.rosaceae.org/Prunus/Prunus_persica/p.persica_gdr_reftransV1_0027511","p.persica_gdr_reftransV1_0027511")</f>
        <v>p.persica_gdr_reftransV1_0027511</v>
      </c>
      <c r="B572" s="3">
        <v>13971</v>
      </c>
      <c r="C572" s="1" t="str">
        <f>HYPERLINK("http://www.uniprot.org/uniprot/VP13A_DICDI","VP13A_DICDI")</f>
        <v>VP13A_DICDI</v>
      </c>
      <c r="D572" t="s">
        <v>620</v>
      </c>
      <c r="E572" s="3" t="s">
        <v>9</v>
      </c>
      <c r="F572" s="4">
        <v>3.0200000000000001E-47</v>
      </c>
      <c r="G572" s="3">
        <v>491</v>
      </c>
      <c r="H572" s="3">
        <v>23</v>
      </c>
      <c r="I572" s="3">
        <v>883</v>
      </c>
      <c r="J572" s="3">
        <v>11164</v>
      </c>
      <c r="K572" s="3">
        <v>13662</v>
      </c>
      <c r="L572" s="3">
        <v>2</v>
      </c>
      <c r="M572" s="3">
        <v>835</v>
      </c>
    </row>
    <row r="573" spans="1:13" x14ac:dyDescent="0.25">
      <c r="A573" s="1" t="str">
        <f>HYPERLINK("http://www.rosaceae.org/Prunus/Prunus_persica/p.persica_gdr_reftransV1_0027911","p.persica_gdr_reftransV1_0027911")</f>
        <v>p.persica_gdr_reftransV1_0027911</v>
      </c>
      <c r="B573" s="3">
        <v>2675</v>
      </c>
      <c r="C573" s="1" t="str">
        <f>HYPERLINK("http://www.uniprot.org/uniprot/FBK69_ARATH","FBK69_ARATH")</f>
        <v>FBK69_ARATH</v>
      </c>
      <c r="D573" t="s">
        <v>621</v>
      </c>
      <c r="E573" s="3" t="s">
        <v>3</v>
      </c>
      <c r="F573" s="4">
        <v>7.8900000000000007E-124</v>
      </c>
      <c r="G573" s="3">
        <v>991</v>
      </c>
      <c r="H573" s="3">
        <v>59</v>
      </c>
      <c r="I573" s="3">
        <v>378</v>
      </c>
      <c r="J573" s="3">
        <v>1447</v>
      </c>
      <c r="K573" s="3">
        <v>2574</v>
      </c>
      <c r="L573" s="3">
        <v>4</v>
      </c>
      <c r="M573" s="3">
        <v>373</v>
      </c>
    </row>
    <row r="574" spans="1:13" x14ac:dyDescent="0.25">
      <c r="A574" s="1" t="str">
        <f>HYPERLINK("http://www.rosaceae.org/Prunus/Prunus_persica/p.persica_gdr_reftransV1_0027961","p.persica_gdr_reftransV1_0027961")</f>
        <v>p.persica_gdr_reftransV1_0027961</v>
      </c>
      <c r="B574" s="3">
        <v>2856</v>
      </c>
      <c r="C574" s="1" t="str">
        <f>HYPERLINK("http://www.uniprot.org/uniprot/NDUS2_NICSY","NDUS2_NICSY")</f>
        <v>NDUS2_NICSY</v>
      </c>
      <c r="D574" t="s">
        <v>622</v>
      </c>
      <c r="E574" s="3" t="s">
        <v>495</v>
      </c>
      <c r="F574" s="4">
        <v>2.2499999999999999E-7</v>
      </c>
      <c r="G574" s="3">
        <v>139</v>
      </c>
      <c r="H574" s="3">
        <v>79</v>
      </c>
      <c r="I574" s="3">
        <v>33</v>
      </c>
      <c r="J574" s="3">
        <v>2560</v>
      </c>
      <c r="K574" s="3">
        <v>2658</v>
      </c>
      <c r="L574" s="3">
        <v>11</v>
      </c>
      <c r="M574" s="3">
        <v>43</v>
      </c>
    </row>
    <row r="575" spans="1:13" x14ac:dyDescent="0.25">
      <c r="A575" s="1" t="str">
        <f>HYPERLINK("http://www.rosaceae.org/Prunus/Prunus_persica/p.persica_gdr_reftransV1_0028861","p.persica_gdr_reftransV1_0028861")</f>
        <v>p.persica_gdr_reftransV1_0028861</v>
      </c>
      <c r="B575" s="3">
        <v>573</v>
      </c>
      <c r="C575" s="1" t="str">
        <f>HYPERLINK("http://www.uniprot.org/uniprot/UGT9_GARJA","UGT9_GARJA")</f>
        <v>UGT9_GARJA</v>
      </c>
      <c r="D575" t="s">
        <v>623</v>
      </c>
      <c r="E575" s="3" t="s">
        <v>624</v>
      </c>
      <c r="F575" s="4">
        <v>1.4900000000000001E-47</v>
      </c>
      <c r="G575" s="3">
        <v>421</v>
      </c>
      <c r="H575" s="3">
        <v>70</v>
      </c>
      <c r="I575" s="3">
        <v>113</v>
      </c>
      <c r="J575" s="3">
        <v>232</v>
      </c>
      <c r="K575" s="3">
        <v>570</v>
      </c>
      <c r="L575" s="3">
        <v>1</v>
      </c>
      <c r="M575" s="3">
        <v>111</v>
      </c>
    </row>
    <row r="576" spans="1:13" x14ac:dyDescent="0.25">
      <c r="A576" s="1" t="str">
        <f>HYPERLINK("http://www.rosaceae.org/Prunus/Prunus_persica/p.persica_gdr_reftransV1_0029161","p.persica_gdr_reftransV1_0029161")</f>
        <v>p.persica_gdr_reftransV1_0029161</v>
      </c>
      <c r="B576" s="3">
        <v>3836</v>
      </c>
      <c r="C576" s="1" t="str">
        <f>HYPERLINK("http://www.uniprot.org/uniprot/SPT16_ARATH","SPT16_ARATH")</f>
        <v>SPT16_ARATH</v>
      </c>
      <c r="D576" t="s">
        <v>625</v>
      </c>
      <c r="E576" s="3" t="s">
        <v>3</v>
      </c>
      <c r="F576" s="4">
        <v>0</v>
      </c>
      <c r="G576" s="3">
        <v>3843</v>
      </c>
      <c r="H576" s="3">
        <v>76</v>
      </c>
      <c r="I576" s="3">
        <v>1058</v>
      </c>
      <c r="J576" s="3">
        <v>375</v>
      </c>
      <c r="K576" s="3">
        <v>3545</v>
      </c>
      <c r="L576" s="3">
        <v>1</v>
      </c>
      <c r="M576" s="3">
        <v>1051</v>
      </c>
    </row>
    <row r="577" spans="1:13" x14ac:dyDescent="0.25">
      <c r="A577" s="1" t="str">
        <f>HYPERLINK("http://www.rosaceae.org/Prunus/Prunus_persica/p.persica_gdr_reftransV1_0029411","p.persica_gdr_reftransV1_0029411")</f>
        <v>p.persica_gdr_reftransV1_0029411</v>
      </c>
      <c r="B577" s="3">
        <v>1897</v>
      </c>
      <c r="C577" s="1" t="str">
        <f>HYPERLINK("http://www.uniprot.org/uniprot/PP230_ARATH","PP230_ARATH")</f>
        <v>PP230_ARATH</v>
      </c>
      <c r="D577" t="s">
        <v>626</v>
      </c>
      <c r="E577" s="3" t="s">
        <v>3</v>
      </c>
      <c r="F577" s="4">
        <v>9.7500000000000001E-147</v>
      </c>
      <c r="G577" s="3">
        <v>1127</v>
      </c>
      <c r="H577" s="3">
        <v>58</v>
      </c>
      <c r="I577" s="3">
        <v>340</v>
      </c>
      <c r="J577" s="3">
        <v>612</v>
      </c>
      <c r="K577" s="3">
        <v>1631</v>
      </c>
      <c r="L577" s="3">
        <v>53</v>
      </c>
      <c r="M577" s="3">
        <v>392</v>
      </c>
    </row>
    <row r="578" spans="1:13" x14ac:dyDescent="0.25">
      <c r="A578" s="1" t="str">
        <f>HYPERLINK("http://www.rosaceae.org/Prunus/Prunus_persica/p.persica_gdr_reftransV1_0029511","p.persica_gdr_reftransV1_0029511")</f>
        <v>p.persica_gdr_reftransV1_0029511</v>
      </c>
      <c r="B578" s="3">
        <v>1919</v>
      </c>
      <c r="C578" s="1" t="str">
        <f>HYPERLINK("http://www.uniprot.org/uniprot/BRCC3_SALSA","BRCC3_SALSA")</f>
        <v>BRCC3_SALSA</v>
      </c>
      <c r="D578" t="s">
        <v>627</v>
      </c>
      <c r="E578" s="3" t="s">
        <v>628</v>
      </c>
      <c r="F578" s="4">
        <v>3.7900000000000002E-47</v>
      </c>
      <c r="G578" s="3">
        <v>434</v>
      </c>
      <c r="H578" s="3">
        <v>57</v>
      </c>
      <c r="I578" s="3">
        <v>136</v>
      </c>
      <c r="J578" s="3">
        <v>1385</v>
      </c>
      <c r="K578" s="3">
        <v>1792</v>
      </c>
      <c r="L578" s="3">
        <v>1</v>
      </c>
      <c r="M578" s="3">
        <v>132</v>
      </c>
    </row>
    <row r="579" spans="1:13" x14ac:dyDescent="0.25">
      <c r="A579" s="1" t="str">
        <f>HYPERLINK("http://www.rosaceae.org/Prunus/Prunus_persica/p.persica_gdr_reftransV1_0029561","p.persica_gdr_reftransV1_0029561")</f>
        <v>p.persica_gdr_reftransV1_0029561</v>
      </c>
      <c r="B579" s="3">
        <v>7596</v>
      </c>
      <c r="C579" s="1" t="str">
        <f>HYPERLINK("http://www.uniprot.org/uniprot/PRT6_ARATH","PRT6_ARATH")</f>
        <v>PRT6_ARATH</v>
      </c>
      <c r="D579" t="s">
        <v>629</v>
      </c>
      <c r="E579" s="3" t="s">
        <v>3</v>
      </c>
      <c r="F579" s="4">
        <v>0</v>
      </c>
      <c r="G579" s="3">
        <v>4166</v>
      </c>
      <c r="H579" s="3">
        <v>52</v>
      </c>
      <c r="I579" s="3">
        <v>2009</v>
      </c>
      <c r="J579" s="3">
        <v>347</v>
      </c>
      <c r="K579" s="3">
        <v>6322</v>
      </c>
      <c r="L579" s="3">
        <v>27</v>
      </c>
      <c r="M579" s="3">
        <v>1960</v>
      </c>
    </row>
    <row r="580" spans="1:13" x14ac:dyDescent="0.25">
      <c r="A580" s="1" t="str">
        <f>HYPERLINK("http://www.rosaceae.org/Prunus/Prunus_persica/p.persica_gdr_reftransV1_0029661","p.persica_gdr_reftransV1_0029661")</f>
        <v>p.persica_gdr_reftransV1_0029661</v>
      </c>
      <c r="B580" s="3">
        <v>1970</v>
      </c>
      <c r="C580" s="1" t="str">
        <f>HYPERLINK("http://www.uniprot.org/uniprot/NUD13_ARATH","NUD13_ARATH")</f>
        <v>NUD13_ARATH</v>
      </c>
      <c r="D580" t="s">
        <v>630</v>
      </c>
      <c r="E580" s="3" t="s">
        <v>3</v>
      </c>
      <c r="F580" s="4">
        <v>9.3499999999999997E-28</v>
      </c>
      <c r="G580" s="3">
        <v>289</v>
      </c>
      <c r="H580" s="3">
        <v>64</v>
      </c>
      <c r="I580" s="3">
        <v>91</v>
      </c>
      <c r="J580" s="3">
        <v>440</v>
      </c>
      <c r="K580" s="3">
        <v>706</v>
      </c>
      <c r="L580" s="3">
        <v>1</v>
      </c>
      <c r="M580" s="3">
        <v>91</v>
      </c>
    </row>
    <row r="581" spans="1:13" x14ac:dyDescent="0.25">
      <c r="A581" s="1" t="str">
        <f>HYPERLINK("http://www.rosaceae.org/Prunus/Prunus_persica/p.persica_gdr_reftransV1_0029761","p.persica_gdr_reftransV1_0029761")</f>
        <v>p.persica_gdr_reftransV1_0029761</v>
      </c>
      <c r="B581" s="3">
        <v>2028</v>
      </c>
      <c r="C581" s="1" t="str">
        <f>HYPERLINK("http://www.uniprot.org/uniprot/ASNA_AEDAE","ASNA_AEDAE")</f>
        <v>ASNA_AEDAE</v>
      </c>
      <c r="D581" t="s">
        <v>631</v>
      </c>
      <c r="E581" s="3" t="s">
        <v>632</v>
      </c>
      <c r="F581" s="4">
        <v>2.0300000000000001E-59</v>
      </c>
      <c r="G581" s="3">
        <v>531</v>
      </c>
      <c r="H581" s="3">
        <v>56</v>
      </c>
      <c r="I581" s="3">
        <v>232</v>
      </c>
      <c r="J581" s="3">
        <v>206</v>
      </c>
      <c r="K581" s="3">
        <v>871</v>
      </c>
      <c r="L581" s="3">
        <v>11</v>
      </c>
      <c r="M581" s="3">
        <v>237</v>
      </c>
    </row>
    <row r="582" spans="1:13" x14ac:dyDescent="0.25">
      <c r="A582" s="1" t="str">
        <f>HYPERLINK("http://www.rosaceae.org/Prunus/Prunus_persica/p.persica_gdr_reftransV1_0030111","p.persica_gdr_reftransV1_0030111")</f>
        <v>p.persica_gdr_reftransV1_0030111</v>
      </c>
      <c r="B582" s="3">
        <v>1741</v>
      </c>
      <c r="C582" s="1" t="str">
        <f>HYPERLINK("http://www.uniprot.org/uniprot/STR1_ARATH","STR1_ARATH")</f>
        <v>STR1_ARATH</v>
      </c>
      <c r="D582" t="s">
        <v>633</v>
      </c>
      <c r="E582" s="3" t="s">
        <v>3</v>
      </c>
      <c r="F582" s="4">
        <v>0</v>
      </c>
      <c r="G582" s="3">
        <v>1439</v>
      </c>
      <c r="H582" s="3">
        <v>76</v>
      </c>
      <c r="I582" s="3">
        <v>343</v>
      </c>
      <c r="J582" s="3">
        <v>383</v>
      </c>
      <c r="K582" s="3">
        <v>1411</v>
      </c>
      <c r="L582" s="3">
        <v>32</v>
      </c>
      <c r="M582" s="3">
        <v>374</v>
      </c>
    </row>
    <row r="583" spans="1:13" x14ac:dyDescent="0.25">
      <c r="A583" s="1" t="str">
        <f>HYPERLINK("http://www.rosaceae.org/Prunus/Prunus_persica/p.persica_gdr_reftransV1_0030461","p.persica_gdr_reftransV1_0030461")</f>
        <v>p.persica_gdr_reftransV1_0030461</v>
      </c>
      <c r="B583" s="3">
        <v>1029</v>
      </c>
      <c r="C583" s="1" t="str">
        <f>HYPERLINK("http://www.uniprot.org/uniprot/HSL2_ARATH","HSL2_ARATH")</f>
        <v>HSL2_ARATH</v>
      </c>
      <c r="D583" t="s">
        <v>634</v>
      </c>
      <c r="E583" s="3" t="s">
        <v>3</v>
      </c>
      <c r="F583" s="4">
        <v>3.1199999999999998E-15</v>
      </c>
      <c r="G583" s="3">
        <v>197</v>
      </c>
      <c r="H583" s="3">
        <v>29</v>
      </c>
      <c r="I583" s="3">
        <v>301</v>
      </c>
      <c r="J583" s="3">
        <v>7</v>
      </c>
      <c r="K583" s="3">
        <v>870</v>
      </c>
      <c r="L583" s="3">
        <v>36</v>
      </c>
      <c r="M583" s="3">
        <v>306</v>
      </c>
    </row>
    <row r="584" spans="1:13" x14ac:dyDescent="0.25">
      <c r="A584" s="1" t="str">
        <f>HYPERLINK("http://www.rosaceae.org/Prunus/Prunus_persica/p.persica_gdr_reftransV1_0030761","p.persica_gdr_reftransV1_0030761")</f>
        <v>p.persica_gdr_reftransV1_0030761</v>
      </c>
      <c r="B584" s="3">
        <v>504</v>
      </c>
      <c r="C584" s="1" t="str">
        <f>HYPERLINK("http://www.uniprot.org/uniprot/FERON_ARATH","FERON_ARATH")</f>
        <v>FERON_ARATH</v>
      </c>
      <c r="D584" t="s">
        <v>635</v>
      </c>
      <c r="E584" s="3" t="s">
        <v>3</v>
      </c>
      <c r="F584" s="4">
        <v>3.8599999999999999E-30</v>
      </c>
      <c r="G584" s="3">
        <v>302</v>
      </c>
      <c r="H584" s="3">
        <v>44</v>
      </c>
      <c r="I584" s="3">
        <v>151</v>
      </c>
      <c r="J584" s="3">
        <v>51</v>
      </c>
      <c r="K584" s="3">
        <v>497</v>
      </c>
      <c r="L584" s="3">
        <v>300</v>
      </c>
      <c r="M584" s="3">
        <v>444</v>
      </c>
    </row>
    <row r="585" spans="1:13" x14ac:dyDescent="0.25">
      <c r="A585" s="1" t="str">
        <f>HYPERLINK("http://www.rosaceae.org/Prunus/Prunus_persica/p.persica_gdr_reftransV1_0030811","p.persica_gdr_reftransV1_0030811")</f>
        <v>p.persica_gdr_reftransV1_0030811</v>
      </c>
      <c r="B585" s="3">
        <v>2502</v>
      </c>
      <c r="C585" s="1" t="str">
        <f>HYPERLINK("http://www.uniprot.org/uniprot/RVE1_ARATH","RVE1_ARATH")</f>
        <v>RVE1_ARATH</v>
      </c>
      <c r="D585" t="s">
        <v>636</v>
      </c>
      <c r="E585" s="3" t="s">
        <v>3</v>
      </c>
      <c r="F585" s="4">
        <v>8.0400000000000004E-34</v>
      </c>
      <c r="G585" s="3">
        <v>349</v>
      </c>
      <c r="H585" s="3">
        <v>83</v>
      </c>
      <c r="I585" s="3">
        <v>75</v>
      </c>
      <c r="J585" s="3">
        <v>559</v>
      </c>
      <c r="K585" s="3">
        <v>783</v>
      </c>
      <c r="L585" s="3">
        <v>29</v>
      </c>
      <c r="M585" s="3">
        <v>103</v>
      </c>
    </row>
    <row r="586" spans="1:13" x14ac:dyDescent="0.25">
      <c r="A586" s="1" t="str">
        <f>HYPERLINK("http://www.rosaceae.org/Prunus/Prunus_persica/p.persica_gdr_reftransV1_0030961","p.persica_gdr_reftransV1_0030961")</f>
        <v>p.persica_gdr_reftransV1_0030961</v>
      </c>
      <c r="B586" s="3">
        <v>1149</v>
      </c>
      <c r="C586" s="1" t="str">
        <f>HYPERLINK("http://www.uniprot.org/uniprot/VIT1_ARATH","VIT1_ARATH")</f>
        <v>VIT1_ARATH</v>
      </c>
      <c r="D586" t="s">
        <v>637</v>
      </c>
      <c r="E586" s="3" t="s">
        <v>3</v>
      </c>
      <c r="F586" s="4">
        <v>1.0899999999999999E-130</v>
      </c>
      <c r="G586" s="3">
        <v>981</v>
      </c>
      <c r="H586" s="3">
        <v>79</v>
      </c>
      <c r="I586" s="3">
        <v>230</v>
      </c>
      <c r="J586" s="3">
        <v>314</v>
      </c>
      <c r="K586" s="3">
        <v>1003</v>
      </c>
      <c r="L586" s="3">
        <v>1</v>
      </c>
      <c r="M586" s="3">
        <v>230</v>
      </c>
    </row>
    <row r="587" spans="1:13" x14ac:dyDescent="0.25">
      <c r="A587" s="1" t="str">
        <f>HYPERLINK("http://www.rosaceae.org/Prunus/Prunus_persica/p.persica_gdr_reftransV1_0031011","p.persica_gdr_reftransV1_0031011")</f>
        <v>p.persica_gdr_reftransV1_0031011</v>
      </c>
      <c r="B587" s="3">
        <v>3729</v>
      </c>
      <c r="C587" s="1" t="str">
        <f>HYPERLINK("http://www.uniprot.org/uniprot/Y1666_ARATH","Y1666_ARATH")</f>
        <v>Y1666_ARATH</v>
      </c>
      <c r="D587" t="s">
        <v>638</v>
      </c>
      <c r="E587" s="3" t="s">
        <v>3</v>
      </c>
      <c r="F587" s="4">
        <v>5.8600000000000001E-34</v>
      </c>
      <c r="G587" s="3">
        <v>356</v>
      </c>
      <c r="H587" s="3">
        <v>50</v>
      </c>
      <c r="I587" s="3">
        <v>215</v>
      </c>
      <c r="J587" s="3">
        <v>2019</v>
      </c>
      <c r="K587" s="3">
        <v>2633</v>
      </c>
      <c r="L587" s="3">
        <v>7</v>
      </c>
      <c r="M587" s="3">
        <v>208</v>
      </c>
    </row>
    <row r="588" spans="1:13" x14ac:dyDescent="0.25">
      <c r="A588" s="1" t="str">
        <f>HYPERLINK("http://www.rosaceae.org/Prunus/Prunus_persica/p.persica_gdr_reftransV1_0031211","p.persica_gdr_reftransV1_0031211")</f>
        <v>p.persica_gdr_reftransV1_0031211</v>
      </c>
      <c r="B588" s="3">
        <v>2409</v>
      </c>
      <c r="C588" s="1" t="str">
        <f>HYPERLINK("http://www.uniprot.org/uniprot/TASP1_ARATH","TASP1_ARATH")</f>
        <v>TASP1_ARATH</v>
      </c>
      <c r="D588" t="s">
        <v>639</v>
      </c>
      <c r="E588" s="3" t="s">
        <v>3</v>
      </c>
      <c r="F588" s="4">
        <v>1.41E-68</v>
      </c>
      <c r="G588" s="3">
        <v>607</v>
      </c>
      <c r="H588" s="3">
        <v>56</v>
      </c>
      <c r="I588" s="3">
        <v>250</v>
      </c>
      <c r="J588" s="3">
        <v>793</v>
      </c>
      <c r="K588" s="3">
        <v>1542</v>
      </c>
      <c r="L588" s="3">
        <v>65</v>
      </c>
      <c r="M588" s="3">
        <v>301</v>
      </c>
    </row>
    <row r="589" spans="1:13" x14ac:dyDescent="0.25">
      <c r="A589" s="1" t="str">
        <f>HYPERLINK("http://www.rosaceae.org/Prunus/Prunus_persica/p.persica_gdr_reftransV1_0031261","p.persica_gdr_reftransV1_0031261")</f>
        <v>p.persica_gdr_reftransV1_0031261</v>
      </c>
      <c r="B589" s="3">
        <v>3191</v>
      </c>
      <c r="C589" s="1" t="str">
        <f>HYPERLINK("http://www.uniprot.org/uniprot/IF2_GLUOX","IF2_GLUOX")</f>
        <v>IF2_GLUOX</v>
      </c>
      <c r="D589" t="s">
        <v>640</v>
      </c>
      <c r="E589" s="3" t="s">
        <v>225</v>
      </c>
      <c r="F589" s="4">
        <v>2.9899999999999999E-134</v>
      </c>
      <c r="G589" s="3">
        <v>1120</v>
      </c>
      <c r="H589" s="3">
        <v>44</v>
      </c>
      <c r="I589" s="3">
        <v>613</v>
      </c>
      <c r="J589" s="3">
        <v>471</v>
      </c>
      <c r="K589" s="3">
        <v>2264</v>
      </c>
      <c r="L589" s="3">
        <v>341</v>
      </c>
      <c r="M589" s="3">
        <v>911</v>
      </c>
    </row>
    <row r="590" spans="1:13" x14ac:dyDescent="0.25">
      <c r="A590" s="1" t="str">
        <f>HYPERLINK("http://www.rosaceae.org/Prunus/Prunus_persica/p.persica_gdr_reftransV1_0031411","p.persica_gdr_reftransV1_0031411")</f>
        <v>p.persica_gdr_reftransV1_0031411</v>
      </c>
      <c r="B590" s="3">
        <v>2066</v>
      </c>
      <c r="C590" s="1" t="str">
        <f>HYPERLINK("http://www.uniprot.org/uniprot/ASHR2_ARATH","ASHR2_ARATH")</f>
        <v>ASHR2_ARATH</v>
      </c>
      <c r="D590" t="s">
        <v>641</v>
      </c>
      <c r="E590" s="3" t="s">
        <v>3</v>
      </c>
      <c r="F590" s="4">
        <v>7.0200000000000005E-113</v>
      </c>
      <c r="G590" s="3">
        <v>904</v>
      </c>
      <c r="H590" s="3">
        <v>54</v>
      </c>
      <c r="I590" s="3">
        <v>406</v>
      </c>
      <c r="J590" s="3">
        <v>712</v>
      </c>
      <c r="K590" s="3">
        <v>1911</v>
      </c>
      <c r="L590" s="3">
        <v>10</v>
      </c>
      <c r="M590" s="3">
        <v>393</v>
      </c>
    </row>
    <row r="591" spans="1:13" x14ac:dyDescent="0.25">
      <c r="A591" s="1" t="str">
        <f>HYPERLINK("http://www.rosaceae.org/Prunus/Prunus_persica/p.persica_gdr_reftransV1_0031561","p.persica_gdr_reftransV1_0031561")</f>
        <v>p.persica_gdr_reftransV1_0031561</v>
      </c>
      <c r="B591" s="3">
        <v>3370</v>
      </c>
      <c r="C591" s="1" t="str">
        <f>HYPERLINK("http://www.uniprot.org/uniprot/PUB43_ARATH","PUB43_ARATH")</f>
        <v>PUB43_ARATH</v>
      </c>
      <c r="D591" t="s">
        <v>613</v>
      </c>
      <c r="E591" s="3" t="s">
        <v>3</v>
      </c>
      <c r="F591" s="4">
        <v>2.7400000000000001E-50</v>
      </c>
      <c r="G591" s="3">
        <v>496</v>
      </c>
      <c r="H591" s="3">
        <v>26</v>
      </c>
      <c r="I591" s="3">
        <v>800</v>
      </c>
      <c r="J591" s="3">
        <v>114</v>
      </c>
      <c r="K591" s="3">
        <v>2354</v>
      </c>
      <c r="L591" s="3">
        <v>26</v>
      </c>
      <c r="M591" s="3">
        <v>807</v>
      </c>
    </row>
    <row r="592" spans="1:13" x14ac:dyDescent="0.25">
      <c r="A592" s="1" t="str">
        <f>HYPERLINK("http://www.rosaceae.org/Prunus/Prunus_persica/p.persica_gdr_reftransV1_0031661","p.persica_gdr_reftransV1_0031661")</f>
        <v>p.persica_gdr_reftransV1_0031661</v>
      </c>
      <c r="B592" s="3">
        <v>4155</v>
      </c>
      <c r="C592" s="1" t="str">
        <f>HYPERLINK("http://www.uniprot.org/uniprot/AT18G_ARATH","AT18G_ARATH")</f>
        <v>AT18G_ARATH</v>
      </c>
      <c r="D592" t="s">
        <v>642</v>
      </c>
      <c r="E592" s="3" t="s">
        <v>3</v>
      </c>
      <c r="F592" s="4">
        <v>0</v>
      </c>
      <c r="G592" s="3">
        <v>2353</v>
      </c>
      <c r="H592" s="3">
        <v>65</v>
      </c>
      <c r="I592" s="3">
        <v>775</v>
      </c>
      <c r="J592" s="3">
        <v>1456</v>
      </c>
      <c r="K592" s="3">
        <v>3768</v>
      </c>
      <c r="L592" s="3">
        <v>2</v>
      </c>
      <c r="M592" s="3">
        <v>770</v>
      </c>
    </row>
    <row r="593" spans="1:13" x14ac:dyDescent="0.25">
      <c r="A593" s="1" t="str">
        <f>HYPERLINK("http://www.rosaceae.org/Prunus/Prunus_persica/p.persica_gdr_reftransV1_0032161","p.persica_gdr_reftransV1_0032161")</f>
        <v>p.persica_gdr_reftransV1_0032161</v>
      </c>
      <c r="B593" s="3">
        <v>2574</v>
      </c>
      <c r="C593" s="1" t="str">
        <f>HYPERLINK("http://www.uniprot.org/uniprot/P2C25_ARATH","P2C25_ARATH")</f>
        <v>P2C25_ARATH</v>
      </c>
      <c r="D593" t="s">
        <v>245</v>
      </c>
      <c r="E593" s="3" t="s">
        <v>3</v>
      </c>
      <c r="F593" s="4">
        <v>3.3299999999999999E-80</v>
      </c>
      <c r="G593" s="3">
        <v>690</v>
      </c>
      <c r="H593" s="3">
        <v>60</v>
      </c>
      <c r="I593" s="3">
        <v>265</v>
      </c>
      <c r="J593" s="3">
        <v>827</v>
      </c>
      <c r="K593" s="3">
        <v>1609</v>
      </c>
      <c r="L593" s="3">
        <v>168</v>
      </c>
      <c r="M593" s="3">
        <v>396</v>
      </c>
    </row>
    <row r="594" spans="1:13" x14ac:dyDescent="0.25">
      <c r="A594" s="1" t="str">
        <f>HYPERLINK("http://www.rosaceae.org/Prunus/Prunus_persica/p.persica_gdr_reftransV1_0032211","p.persica_gdr_reftransV1_0032211")</f>
        <v>p.persica_gdr_reftransV1_0032211</v>
      </c>
      <c r="B594" s="3">
        <v>2869</v>
      </c>
      <c r="C594" s="1" t="str">
        <f>HYPERLINK("http://www.uniprot.org/uniprot/URIC2_CANLI","URIC2_CANLI")</f>
        <v>URIC2_CANLI</v>
      </c>
      <c r="D594" t="s">
        <v>643</v>
      </c>
      <c r="E594" s="3" t="s">
        <v>644</v>
      </c>
      <c r="F594" s="4">
        <v>1.08E-77</v>
      </c>
      <c r="G594" s="3">
        <v>667</v>
      </c>
      <c r="H594" s="3">
        <v>78</v>
      </c>
      <c r="I594" s="3">
        <v>157</v>
      </c>
      <c r="J594" s="3">
        <v>2299</v>
      </c>
      <c r="K594" s="3">
        <v>2769</v>
      </c>
      <c r="L594" s="3">
        <v>6</v>
      </c>
      <c r="M594" s="3">
        <v>162</v>
      </c>
    </row>
    <row r="595" spans="1:13" x14ac:dyDescent="0.25">
      <c r="A595" s="1" t="str">
        <f>HYPERLINK("http://www.rosaceae.org/Prunus/Prunus_persica/p.persica_gdr_reftransV1_0032261","p.persica_gdr_reftransV1_0032261")</f>
        <v>p.persica_gdr_reftransV1_0032261</v>
      </c>
      <c r="B595" s="3">
        <v>3521</v>
      </c>
      <c r="C595" s="1" t="str">
        <f>HYPERLINK("http://www.uniprot.org/uniprot/ATG13_DEBHA","ATG13_DEBHA")</f>
        <v>ATG13_DEBHA</v>
      </c>
      <c r="D595" t="s">
        <v>645</v>
      </c>
      <c r="E595" s="3" t="s">
        <v>351</v>
      </c>
      <c r="F595" s="4">
        <v>4.1700000000000002E-14</v>
      </c>
      <c r="G595" s="3">
        <v>199</v>
      </c>
      <c r="H595" s="3">
        <v>28</v>
      </c>
      <c r="I595" s="3">
        <v>250</v>
      </c>
      <c r="J595" s="3">
        <v>553</v>
      </c>
      <c r="K595" s="3">
        <v>1197</v>
      </c>
      <c r="L595" s="3">
        <v>23</v>
      </c>
      <c r="M595" s="3">
        <v>262</v>
      </c>
    </row>
    <row r="596" spans="1:13" x14ac:dyDescent="0.25">
      <c r="A596" s="1" t="str">
        <f>HYPERLINK("http://www.rosaceae.org/Prunus/Prunus_persica/p.persica_gdr_reftransV1_0032461","p.persica_gdr_reftransV1_0032461")</f>
        <v>p.persica_gdr_reftransV1_0032461</v>
      </c>
      <c r="B596" s="3">
        <v>976</v>
      </c>
      <c r="C596" s="1" t="str">
        <f>HYPERLINK("http://www.uniprot.org/uniprot/EXO1_ORYSJ","EXO1_ORYSJ")</f>
        <v>EXO1_ORYSJ</v>
      </c>
      <c r="D596" t="s">
        <v>646</v>
      </c>
      <c r="E596" s="3" t="s">
        <v>38</v>
      </c>
      <c r="F596" s="4">
        <v>2.1000000000000002E-9</v>
      </c>
      <c r="G596" s="3">
        <v>150</v>
      </c>
      <c r="H596" s="3">
        <v>36</v>
      </c>
      <c r="I596" s="3">
        <v>76</v>
      </c>
      <c r="J596" s="3">
        <v>4</v>
      </c>
      <c r="K596" s="3">
        <v>231</v>
      </c>
      <c r="L596" s="3">
        <v>263</v>
      </c>
      <c r="M596" s="3">
        <v>334</v>
      </c>
    </row>
    <row r="597" spans="1:13" x14ac:dyDescent="0.25">
      <c r="A597" s="1" t="str">
        <f>HYPERLINK("http://www.rosaceae.org/Prunus/Prunus_persica/p.persica_gdr_reftransV1_0032611","p.persica_gdr_reftransV1_0032611")</f>
        <v>p.persica_gdr_reftransV1_0032611</v>
      </c>
      <c r="B597" s="3">
        <v>4520</v>
      </c>
      <c r="C597" s="1" t="str">
        <f>HYPERLINK("http://www.uniprot.org/uniprot/BRPF3_HUMAN","BRPF3_HUMAN")</f>
        <v>BRPF3_HUMAN</v>
      </c>
      <c r="D597" t="s">
        <v>647</v>
      </c>
      <c r="E597" s="3" t="s">
        <v>28</v>
      </c>
      <c r="F597" s="4">
        <v>9.5200000000000002E-10</v>
      </c>
      <c r="G597" s="3">
        <v>163</v>
      </c>
      <c r="H597" s="3">
        <v>50</v>
      </c>
      <c r="I597" s="3">
        <v>64</v>
      </c>
      <c r="J597" s="3">
        <v>659</v>
      </c>
      <c r="K597" s="3">
        <v>850</v>
      </c>
      <c r="L597" s="3">
        <v>592</v>
      </c>
      <c r="M597" s="3">
        <v>655</v>
      </c>
    </row>
    <row r="598" spans="1:13" x14ac:dyDescent="0.25">
      <c r="A598" s="1" t="str">
        <f>HYPERLINK("http://www.rosaceae.org/Prunus/Prunus_persica/p.persica_gdr_reftransV1_0032861","p.persica_gdr_reftransV1_0032861")</f>
        <v>p.persica_gdr_reftransV1_0032861</v>
      </c>
      <c r="B598" s="3">
        <v>974</v>
      </c>
      <c r="C598" s="1" t="str">
        <f>HYPERLINK("http://www.uniprot.org/uniprot/NDUB9_ARATH","NDUB9_ARATH")</f>
        <v>NDUB9_ARATH</v>
      </c>
      <c r="D598" t="s">
        <v>648</v>
      </c>
      <c r="E598" s="3" t="s">
        <v>3</v>
      </c>
      <c r="F598" s="4">
        <v>3.1700000000000001E-54</v>
      </c>
      <c r="G598" s="3">
        <v>454</v>
      </c>
      <c r="H598" s="3">
        <v>80</v>
      </c>
      <c r="I598" s="3">
        <v>116</v>
      </c>
      <c r="J598" s="3">
        <v>59</v>
      </c>
      <c r="K598" s="3">
        <v>406</v>
      </c>
      <c r="L598" s="3">
        <v>1</v>
      </c>
      <c r="M598" s="3">
        <v>116</v>
      </c>
    </row>
    <row r="599" spans="1:13" x14ac:dyDescent="0.25">
      <c r="A599" s="1" t="str">
        <f>HYPERLINK("http://www.rosaceae.org/Prunus/Prunus_persica/p.persica_gdr_reftransV1_0033061","p.persica_gdr_reftransV1_0033061")</f>
        <v>p.persica_gdr_reftransV1_0033061</v>
      </c>
      <c r="B599" s="3">
        <v>4215</v>
      </c>
      <c r="C599" s="1" t="str">
        <f>HYPERLINK("http://www.uniprot.org/uniprot/ISW2_ARATH","ISW2_ARATH")</f>
        <v>ISW2_ARATH</v>
      </c>
      <c r="D599" t="s">
        <v>649</v>
      </c>
      <c r="E599" s="3" t="s">
        <v>3</v>
      </c>
      <c r="F599" s="4">
        <v>0</v>
      </c>
      <c r="G599" s="3">
        <v>3067</v>
      </c>
      <c r="H599" s="3">
        <v>93</v>
      </c>
      <c r="I599" s="3">
        <v>639</v>
      </c>
      <c r="J599" s="3">
        <v>1915</v>
      </c>
      <c r="K599" s="3">
        <v>3831</v>
      </c>
      <c r="L599" s="3">
        <v>74</v>
      </c>
      <c r="M599" s="3">
        <v>712</v>
      </c>
    </row>
    <row r="600" spans="1:13" x14ac:dyDescent="0.25">
      <c r="A600" s="1" t="str">
        <f>HYPERLINK("http://www.rosaceae.org/Prunus/Prunus_persica/p.persica_gdr_reftransV1_0033161","p.persica_gdr_reftransV1_0033161")</f>
        <v>p.persica_gdr_reftransV1_0033161</v>
      </c>
      <c r="B600" s="3">
        <v>2167</v>
      </c>
      <c r="C600" s="1" t="str">
        <f>HYPERLINK("http://www.uniprot.org/uniprot/NDUS8_SOLTU","NDUS8_SOLTU")</f>
        <v>NDUS8_SOLTU</v>
      </c>
      <c r="D600" t="s">
        <v>650</v>
      </c>
      <c r="E600" s="3" t="s">
        <v>11</v>
      </c>
      <c r="F600" s="4">
        <v>1.13E-113</v>
      </c>
      <c r="G600" s="3">
        <v>895</v>
      </c>
      <c r="H600" s="3">
        <v>87</v>
      </c>
      <c r="I600" s="3">
        <v>211</v>
      </c>
      <c r="J600" s="3">
        <v>324</v>
      </c>
      <c r="K600" s="3">
        <v>935</v>
      </c>
      <c r="L600" s="3">
        <v>19</v>
      </c>
      <c r="M600" s="3">
        <v>229</v>
      </c>
    </row>
    <row r="601" spans="1:13" x14ac:dyDescent="0.25">
      <c r="A601" s="1" t="str">
        <f>HYPERLINK("http://www.rosaceae.org/Prunus/Prunus_persica/p.persica_gdr_reftransV1_0033211","p.persica_gdr_reftransV1_0033211")</f>
        <v>p.persica_gdr_reftransV1_0033211</v>
      </c>
      <c r="B601" s="3">
        <v>1268</v>
      </c>
      <c r="C601" s="1" t="str">
        <f>HYPERLINK("http://www.uniprot.org/uniprot/YJD4_SCHPO","YJD4_SCHPO")</f>
        <v>YJD4_SCHPO</v>
      </c>
      <c r="D601" t="s">
        <v>651</v>
      </c>
      <c r="E601" s="3" t="s">
        <v>464</v>
      </c>
      <c r="F601" s="4">
        <v>3.5899999999999998E-9</v>
      </c>
      <c r="G601" s="3">
        <v>148</v>
      </c>
      <c r="H601" s="3">
        <v>26</v>
      </c>
      <c r="I601" s="3">
        <v>277</v>
      </c>
      <c r="J601" s="3">
        <v>334</v>
      </c>
      <c r="K601" s="3">
        <v>1080</v>
      </c>
      <c r="L601" s="3">
        <v>68</v>
      </c>
      <c r="M601" s="3">
        <v>330</v>
      </c>
    </row>
    <row r="602" spans="1:13" x14ac:dyDescent="0.25">
      <c r="A602" s="1" t="str">
        <f>HYPERLINK("http://www.rosaceae.org/Prunus/Prunus_persica/p.persica_gdr_reftransV1_0033261","p.persica_gdr_reftransV1_0033261")</f>
        <v>p.persica_gdr_reftransV1_0033261</v>
      </c>
      <c r="B602" s="3">
        <v>856</v>
      </c>
      <c r="C602" s="1" t="str">
        <f>HYPERLINK("http://www.uniprot.org/uniprot/TRXM4_ARATH","TRXM4_ARATH")</f>
        <v>TRXM4_ARATH</v>
      </c>
      <c r="D602" t="s">
        <v>652</v>
      </c>
      <c r="E602" s="3" t="s">
        <v>3</v>
      </c>
      <c r="F602" s="4">
        <v>1.6E-57</v>
      </c>
      <c r="G602" s="3">
        <v>480</v>
      </c>
      <c r="H602" s="3">
        <v>63</v>
      </c>
      <c r="I602" s="3">
        <v>153</v>
      </c>
      <c r="J602" s="3">
        <v>258</v>
      </c>
      <c r="K602" s="3">
        <v>707</v>
      </c>
      <c r="L602" s="3">
        <v>43</v>
      </c>
      <c r="M602" s="3">
        <v>191</v>
      </c>
    </row>
    <row r="603" spans="1:13" x14ac:dyDescent="0.25">
      <c r="A603" s="1" t="str">
        <f>HYPERLINK("http://www.rosaceae.org/Prunus/Prunus_persica/p.persica_gdr_reftransV1_0033461","p.persica_gdr_reftransV1_0033461")</f>
        <v>p.persica_gdr_reftransV1_0033461</v>
      </c>
      <c r="B603" s="3">
        <v>4191</v>
      </c>
      <c r="C603" s="1" t="str">
        <f>HYPERLINK("http://www.uniprot.org/uniprot/DHX8_ARATH","DHX8_ARATH")</f>
        <v>DHX8_ARATH</v>
      </c>
      <c r="D603" t="s">
        <v>653</v>
      </c>
      <c r="E603" s="3" t="s">
        <v>3</v>
      </c>
      <c r="F603" s="4">
        <v>0</v>
      </c>
      <c r="G603" s="3">
        <v>4604</v>
      </c>
      <c r="H603" s="3">
        <v>92</v>
      </c>
      <c r="I603" s="3">
        <v>961</v>
      </c>
      <c r="J603" s="3">
        <v>967</v>
      </c>
      <c r="K603" s="3">
        <v>3843</v>
      </c>
      <c r="L603" s="3">
        <v>208</v>
      </c>
      <c r="M603" s="3">
        <v>1168</v>
      </c>
    </row>
    <row r="604" spans="1:13" x14ac:dyDescent="0.25">
      <c r="A604" s="1" t="str">
        <f>HYPERLINK("http://www.rosaceae.org/Prunus/Prunus_persica/p.persica_gdr_reftransV1_0033661","p.persica_gdr_reftransV1_0033661")</f>
        <v>p.persica_gdr_reftransV1_0033661</v>
      </c>
      <c r="B604" s="3">
        <v>3066</v>
      </c>
      <c r="C604" s="1" t="str">
        <f>HYPERLINK("http://www.uniprot.org/uniprot/UBP22_ARATH","UBP22_ARATH")</f>
        <v>UBP22_ARATH</v>
      </c>
      <c r="D604" t="s">
        <v>654</v>
      </c>
      <c r="E604" s="3" t="s">
        <v>3</v>
      </c>
      <c r="F604" s="4">
        <v>8.2199999999999993E-108</v>
      </c>
      <c r="G604" s="3">
        <v>906</v>
      </c>
      <c r="H604" s="3">
        <v>63</v>
      </c>
      <c r="I604" s="3">
        <v>297</v>
      </c>
      <c r="J604" s="3">
        <v>1586</v>
      </c>
      <c r="K604" s="3">
        <v>2443</v>
      </c>
      <c r="L604" s="3">
        <v>252</v>
      </c>
      <c r="M604" s="3">
        <v>547</v>
      </c>
    </row>
    <row r="605" spans="1:13" x14ac:dyDescent="0.25">
      <c r="A605" s="1" t="str">
        <f>HYPERLINK("http://www.rosaceae.org/Prunus/Prunus_persica/p.persica_gdr_reftransV1_0033811","p.persica_gdr_reftransV1_0033811")</f>
        <v>p.persica_gdr_reftransV1_0033811</v>
      </c>
      <c r="B605" s="3">
        <v>2647</v>
      </c>
      <c r="C605" s="1" t="str">
        <f>HYPERLINK("http://www.uniprot.org/uniprot/TMN7_ARATH","TMN7_ARATH")</f>
        <v>TMN7_ARATH</v>
      </c>
      <c r="D605" t="s">
        <v>655</v>
      </c>
      <c r="E605" s="3" t="s">
        <v>3</v>
      </c>
      <c r="F605" s="4">
        <v>0</v>
      </c>
      <c r="G605" s="3">
        <v>2700</v>
      </c>
      <c r="H605" s="3">
        <v>86</v>
      </c>
      <c r="I605" s="3">
        <v>616</v>
      </c>
      <c r="J605" s="3">
        <v>536</v>
      </c>
      <c r="K605" s="3">
        <v>2383</v>
      </c>
      <c r="L605" s="3">
        <v>26</v>
      </c>
      <c r="M605" s="3">
        <v>641</v>
      </c>
    </row>
    <row r="606" spans="1:13" x14ac:dyDescent="0.25">
      <c r="A606" s="1" t="str">
        <f>HYPERLINK("http://www.rosaceae.org/Prunus/Prunus_persica/p.persica_gdr_reftransV1_0034061","p.persica_gdr_reftransV1_0034061")</f>
        <v>p.persica_gdr_reftransV1_0034061</v>
      </c>
      <c r="B606" s="3">
        <v>4321</v>
      </c>
      <c r="C606" s="1" t="str">
        <f>HYPERLINK("http://www.uniprot.org/uniprot/C78A5_ARATH","C78A5_ARATH")</f>
        <v>C78A5_ARATH</v>
      </c>
      <c r="D606" t="s">
        <v>656</v>
      </c>
      <c r="E606" s="3" t="s">
        <v>3</v>
      </c>
      <c r="F606" s="4">
        <v>2.9899999999999998E-9</v>
      </c>
      <c r="G606" s="3">
        <v>157</v>
      </c>
      <c r="H606" s="3">
        <v>26</v>
      </c>
      <c r="I606" s="3">
        <v>408</v>
      </c>
      <c r="J606" s="3">
        <v>209</v>
      </c>
      <c r="K606" s="3">
        <v>1366</v>
      </c>
      <c r="L606" s="3">
        <v>18</v>
      </c>
      <c r="M606" s="3">
        <v>393</v>
      </c>
    </row>
    <row r="607" spans="1:13" x14ac:dyDescent="0.25">
      <c r="A607" s="1" t="str">
        <f>HYPERLINK("http://www.rosaceae.org/Prunus/Prunus_persica/p.persica_gdr_reftransV1_0034111","p.persica_gdr_reftransV1_0034111")</f>
        <v>p.persica_gdr_reftransV1_0034111</v>
      </c>
      <c r="B607" s="3">
        <v>576</v>
      </c>
      <c r="C607" s="1" t="str">
        <f>HYPERLINK("http://www.uniprot.org/uniprot/RL37A_ORYSJ","RL37A_ORYSJ")</f>
        <v>RL37A_ORYSJ</v>
      </c>
      <c r="D607" t="s">
        <v>657</v>
      </c>
      <c r="E607" s="3" t="s">
        <v>38</v>
      </c>
      <c r="F607" s="4">
        <v>4.0799999999999997E-58</v>
      </c>
      <c r="G607" s="3">
        <v>466</v>
      </c>
      <c r="H607" s="3">
        <v>97</v>
      </c>
      <c r="I607" s="3">
        <v>92</v>
      </c>
      <c r="J607" s="3">
        <v>50</v>
      </c>
      <c r="K607" s="3">
        <v>325</v>
      </c>
      <c r="L607" s="3">
        <v>1</v>
      </c>
      <c r="M607" s="3">
        <v>92</v>
      </c>
    </row>
    <row r="608" spans="1:13" x14ac:dyDescent="0.25">
      <c r="A608" s="1" t="str">
        <f>HYPERLINK("http://www.rosaceae.org/Prunus/Prunus_persica/p.persica_gdr_reftransV1_0034361","p.persica_gdr_reftransV1_0034361")</f>
        <v>p.persica_gdr_reftransV1_0034361</v>
      </c>
      <c r="B608" s="3">
        <v>909</v>
      </c>
      <c r="C608" s="1" t="str">
        <f>HYPERLINK("http://www.uniprot.org/uniprot/PP272_ARATH","PP272_ARATH")</f>
        <v>PP272_ARATH</v>
      </c>
      <c r="D608" t="s">
        <v>658</v>
      </c>
      <c r="E608" s="3" t="s">
        <v>3</v>
      </c>
      <c r="F608" s="4">
        <v>4.1500000000000003E-61</v>
      </c>
      <c r="G608" s="3">
        <v>541</v>
      </c>
      <c r="H608" s="3">
        <v>40</v>
      </c>
      <c r="I608" s="3">
        <v>240</v>
      </c>
      <c r="J608" s="3">
        <v>190</v>
      </c>
      <c r="K608" s="3">
        <v>909</v>
      </c>
      <c r="L608" s="3">
        <v>487</v>
      </c>
      <c r="M608" s="3">
        <v>726</v>
      </c>
    </row>
    <row r="609" spans="1:13" x14ac:dyDescent="0.25">
      <c r="A609" s="1" t="str">
        <f>HYPERLINK("http://www.rosaceae.org/Prunus/Prunus_persica/p.persica_gdr_reftransV1_0034861","p.persica_gdr_reftransV1_0034861")</f>
        <v>p.persica_gdr_reftransV1_0034861</v>
      </c>
      <c r="B609" s="3">
        <v>969</v>
      </c>
      <c r="C609" s="1" t="str">
        <f>HYPERLINK("http://www.uniprot.org/uniprot/Y1540_ARATH","Y1540_ARATH")</f>
        <v>Y1540_ARATH</v>
      </c>
      <c r="D609" t="s">
        <v>659</v>
      </c>
      <c r="E609" s="3" t="s">
        <v>3</v>
      </c>
      <c r="F609" s="4">
        <v>2.4099999999999999E-11</v>
      </c>
      <c r="G609" s="3">
        <v>156</v>
      </c>
      <c r="H609" s="3">
        <v>39</v>
      </c>
      <c r="I609" s="3">
        <v>120</v>
      </c>
      <c r="J609" s="3">
        <v>417</v>
      </c>
      <c r="K609" s="3">
        <v>698</v>
      </c>
      <c r="L609" s="3">
        <v>2</v>
      </c>
      <c r="M609" s="3">
        <v>120</v>
      </c>
    </row>
    <row r="610" spans="1:13" x14ac:dyDescent="0.25">
      <c r="A610" s="1" t="str">
        <f>HYPERLINK("http://www.rosaceae.org/Prunus/Prunus_persica/p.persica_gdr_reftransV1_0034961","p.persica_gdr_reftransV1_0034961")</f>
        <v>p.persica_gdr_reftransV1_0034961</v>
      </c>
      <c r="B610" s="3">
        <v>3761</v>
      </c>
      <c r="C610" s="1" t="str">
        <f>HYPERLINK("http://www.uniprot.org/uniprot/AMY3_ARATH","AMY3_ARATH")</f>
        <v>AMY3_ARATH</v>
      </c>
      <c r="D610" t="s">
        <v>660</v>
      </c>
      <c r="E610" s="3" t="s">
        <v>3</v>
      </c>
      <c r="F610" s="4">
        <v>0</v>
      </c>
      <c r="G610" s="3">
        <v>2755</v>
      </c>
      <c r="H610" s="3">
        <v>65</v>
      </c>
      <c r="I610" s="3">
        <v>800</v>
      </c>
      <c r="J610" s="3">
        <v>1332</v>
      </c>
      <c r="K610" s="3">
        <v>3716</v>
      </c>
      <c r="L610" s="3">
        <v>1</v>
      </c>
      <c r="M610" s="3">
        <v>779</v>
      </c>
    </row>
    <row r="611" spans="1:13" x14ac:dyDescent="0.25">
      <c r="A611" s="1" t="str">
        <f>HYPERLINK("http://www.rosaceae.org/Prunus/Prunus_persica/p.persica_gdr_reftransV1_0035011","p.persica_gdr_reftransV1_0035011")</f>
        <v>p.persica_gdr_reftransV1_0035011</v>
      </c>
      <c r="B611" s="3">
        <v>1915</v>
      </c>
      <c r="C611" s="1" t="str">
        <f>HYPERLINK("http://www.uniprot.org/uniprot/ENT3_ARATH","ENT3_ARATH")</f>
        <v>ENT3_ARATH</v>
      </c>
      <c r="D611" t="s">
        <v>661</v>
      </c>
      <c r="E611" s="3" t="s">
        <v>3</v>
      </c>
      <c r="F611" s="4">
        <v>0</v>
      </c>
      <c r="G611" s="3">
        <v>1424</v>
      </c>
      <c r="H611" s="3">
        <v>72</v>
      </c>
      <c r="I611" s="3">
        <v>409</v>
      </c>
      <c r="J611" s="3">
        <v>264</v>
      </c>
      <c r="K611" s="3">
        <v>1490</v>
      </c>
      <c r="L611" s="3">
        <v>7</v>
      </c>
      <c r="M611" s="3">
        <v>414</v>
      </c>
    </row>
    <row r="612" spans="1:13" x14ac:dyDescent="0.25">
      <c r="A612" s="1" t="str">
        <f>HYPERLINK("http://www.rosaceae.org/Prunus/Prunus_persica/p.persica_gdr_reftransV1_0035061","p.persica_gdr_reftransV1_0035061")</f>
        <v>p.persica_gdr_reftransV1_0035061</v>
      </c>
      <c r="B612" s="3">
        <v>2112</v>
      </c>
      <c r="C612" s="1" t="str">
        <f>HYPERLINK("http://www.uniprot.org/uniprot/FBT2_ARATH","FBT2_ARATH")</f>
        <v>FBT2_ARATH</v>
      </c>
      <c r="D612" t="s">
        <v>662</v>
      </c>
      <c r="E612" s="3" t="s">
        <v>3</v>
      </c>
      <c r="F612" s="4">
        <v>0</v>
      </c>
      <c r="G612" s="3">
        <v>1418</v>
      </c>
      <c r="H612" s="3">
        <v>66</v>
      </c>
      <c r="I612" s="3">
        <v>401</v>
      </c>
      <c r="J612" s="3">
        <v>429</v>
      </c>
      <c r="K612" s="3">
        <v>1631</v>
      </c>
      <c r="L612" s="3">
        <v>1</v>
      </c>
      <c r="M612" s="3">
        <v>400</v>
      </c>
    </row>
    <row r="613" spans="1:13" x14ac:dyDescent="0.25">
      <c r="A613" s="1" t="str">
        <f>HYPERLINK("http://www.rosaceae.org/Prunus/Prunus_persica/p.persica_gdr_reftransV1_0035111","p.persica_gdr_reftransV1_0035111")</f>
        <v>p.persica_gdr_reftransV1_0035111</v>
      </c>
      <c r="B613" s="3">
        <v>2780</v>
      </c>
      <c r="C613" s="1" t="str">
        <f>HYPERLINK("http://www.uniprot.org/uniprot/BAK1_ARATH","BAK1_ARATH")</f>
        <v>BAK1_ARATH</v>
      </c>
      <c r="D613" t="s">
        <v>663</v>
      </c>
      <c r="E613" s="3" t="s">
        <v>3</v>
      </c>
      <c r="F613" s="4">
        <v>1.44E-20</v>
      </c>
      <c r="G613" s="3">
        <v>250</v>
      </c>
      <c r="H613" s="3">
        <v>72</v>
      </c>
      <c r="I613" s="3">
        <v>72</v>
      </c>
      <c r="J613" s="3">
        <v>932</v>
      </c>
      <c r="K613" s="3">
        <v>1147</v>
      </c>
      <c r="L613" s="3">
        <v>74</v>
      </c>
      <c r="M613" s="3">
        <v>145</v>
      </c>
    </row>
    <row r="614" spans="1:13" x14ac:dyDescent="0.25">
      <c r="A614" s="1" t="str">
        <f>HYPERLINK("http://www.rosaceae.org/Prunus/Prunus_persica/p.persica_gdr_reftransV1_0035411","p.persica_gdr_reftransV1_0035411")</f>
        <v>p.persica_gdr_reftransV1_0035411</v>
      </c>
      <c r="B614" s="3">
        <v>1425</v>
      </c>
      <c r="C614" s="1" t="str">
        <f>HYPERLINK("http://www.uniprot.org/uniprot/PMP22_ARATH","PMP22_ARATH")</f>
        <v>PMP22_ARATH</v>
      </c>
      <c r="D614" t="s">
        <v>578</v>
      </c>
      <c r="E614" s="3" t="s">
        <v>3</v>
      </c>
      <c r="F614" s="4">
        <v>1.5600000000000001E-14</v>
      </c>
      <c r="G614" s="3">
        <v>186</v>
      </c>
      <c r="H614" s="3">
        <v>63</v>
      </c>
      <c r="I614" s="3">
        <v>97</v>
      </c>
      <c r="J614" s="3">
        <v>297</v>
      </c>
      <c r="K614" s="3">
        <v>587</v>
      </c>
      <c r="L614" s="3">
        <v>20</v>
      </c>
      <c r="M614" s="3">
        <v>115</v>
      </c>
    </row>
    <row r="615" spans="1:13" x14ac:dyDescent="0.25">
      <c r="A615" s="1" t="str">
        <f>HYPERLINK("http://www.rosaceae.org/Prunus/Prunus_persica/p.persica_gdr_reftransV1_0035711","p.persica_gdr_reftransV1_0035711")</f>
        <v>p.persica_gdr_reftransV1_0035711</v>
      </c>
      <c r="B615" s="3">
        <v>1169</v>
      </c>
      <c r="C615" s="1" t="str">
        <f>HYPERLINK("http://www.uniprot.org/uniprot/ABH6A_XENLA","ABH6A_XENLA")</f>
        <v>ABH6A_XENLA</v>
      </c>
      <c r="D615" t="s">
        <v>664</v>
      </c>
      <c r="E615" s="3" t="s">
        <v>475</v>
      </c>
      <c r="F615" s="4">
        <v>8.6599999999999995E-8</v>
      </c>
      <c r="G615" s="3">
        <v>137</v>
      </c>
      <c r="H615" s="3">
        <v>24</v>
      </c>
      <c r="I615" s="3">
        <v>261</v>
      </c>
      <c r="J615" s="3">
        <v>107</v>
      </c>
      <c r="K615" s="3">
        <v>853</v>
      </c>
      <c r="L615" s="3">
        <v>70</v>
      </c>
      <c r="M615" s="3">
        <v>327</v>
      </c>
    </row>
    <row r="616" spans="1:13" x14ac:dyDescent="0.25">
      <c r="A616" s="1" t="str">
        <f>HYPERLINK("http://www.rosaceae.org/Prunus/Prunus_persica/p.persica_gdr_reftransV1_0036461","p.persica_gdr_reftransV1_0036461")</f>
        <v>p.persica_gdr_reftransV1_0036461</v>
      </c>
      <c r="B616" s="3">
        <v>1656</v>
      </c>
      <c r="C616" s="1" t="str">
        <f>HYPERLINK("http://www.uniprot.org/uniprot/YCV6_SCHPO","YCV6_SCHPO")</f>
        <v>YCV6_SCHPO</v>
      </c>
      <c r="D616" t="s">
        <v>665</v>
      </c>
      <c r="E616" s="3" t="s">
        <v>464</v>
      </c>
      <c r="F616" s="4">
        <v>7.1699999999999994E-21</v>
      </c>
      <c r="G616" s="3">
        <v>241</v>
      </c>
      <c r="H616" s="3">
        <v>39</v>
      </c>
      <c r="I616" s="3">
        <v>148</v>
      </c>
      <c r="J616" s="3">
        <v>1059</v>
      </c>
      <c r="K616" s="3">
        <v>1484</v>
      </c>
      <c r="L616" s="3">
        <v>4</v>
      </c>
      <c r="M616" s="3">
        <v>141</v>
      </c>
    </row>
    <row r="617" spans="1:13" x14ac:dyDescent="0.25">
      <c r="A617" s="1" t="str">
        <f>HYPERLINK("http://www.rosaceae.org/Prunus/Prunus_persica/p.persica_gdr_reftransV1_0036761","p.persica_gdr_reftransV1_0036761")</f>
        <v>p.persica_gdr_reftransV1_0036761</v>
      </c>
      <c r="B617" s="3">
        <v>2404</v>
      </c>
      <c r="C617" s="1" t="str">
        <f>HYPERLINK("http://www.uniprot.org/uniprot/ACO13_PONAB","ACO13_PONAB")</f>
        <v>ACO13_PONAB</v>
      </c>
      <c r="D617" t="s">
        <v>666</v>
      </c>
      <c r="E617" s="3" t="s">
        <v>176</v>
      </c>
      <c r="F617" s="4">
        <v>1.5700000000000001E-21</v>
      </c>
      <c r="G617" s="3">
        <v>240</v>
      </c>
      <c r="H617" s="3">
        <v>45</v>
      </c>
      <c r="I617" s="3">
        <v>104</v>
      </c>
      <c r="J617" s="3">
        <v>974</v>
      </c>
      <c r="K617" s="3">
        <v>1285</v>
      </c>
      <c r="L617" s="3">
        <v>35</v>
      </c>
      <c r="M617" s="3">
        <v>138</v>
      </c>
    </row>
    <row r="618" spans="1:13" x14ac:dyDescent="0.25">
      <c r="A618" s="1" t="str">
        <f>HYPERLINK("http://www.rosaceae.org/Prunus/Prunus_persica/p.persica_gdr_reftransV1_0037111","p.persica_gdr_reftransV1_0037111")</f>
        <v>p.persica_gdr_reftransV1_0037111</v>
      </c>
      <c r="B618" s="3">
        <v>3299</v>
      </c>
      <c r="C618" s="1" t="str">
        <f>HYPERLINK("http://www.uniprot.org/uniprot/PMTQ_ARATH","PMTQ_ARATH")</f>
        <v>PMTQ_ARATH</v>
      </c>
      <c r="D618" t="s">
        <v>667</v>
      </c>
      <c r="E618" s="3" t="s">
        <v>3</v>
      </c>
      <c r="F618" s="4">
        <v>0</v>
      </c>
      <c r="G618" s="3">
        <v>2527</v>
      </c>
      <c r="H618" s="3">
        <v>59</v>
      </c>
      <c r="I618" s="3">
        <v>842</v>
      </c>
      <c r="J618" s="3">
        <v>281</v>
      </c>
      <c r="K618" s="3">
        <v>2725</v>
      </c>
      <c r="L618" s="3">
        <v>1</v>
      </c>
      <c r="M618" s="3">
        <v>829</v>
      </c>
    </row>
    <row r="619" spans="1:13" x14ac:dyDescent="0.25">
      <c r="A619" s="1" t="str">
        <f>HYPERLINK("http://www.rosaceae.org/Prunus/Prunus_persica/p.persica_gdr_reftransV1_0037561","p.persica_gdr_reftransV1_0037561")</f>
        <v>p.persica_gdr_reftransV1_0037561</v>
      </c>
      <c r="B619" s="3">
        <v>897</v>
      </c>
      <c r="C619" s="1" t="str">
        <f>HYPERLINK("http://www.uniprot.org/uniprot/RL17_GEOSL","RL17_GEOSL")</f>
        <v>RL17_GEOSL</v>
      </c>
      <c r="D619" t="s">
        <v>668</v>
      </c>
      <c r="E619" s="3" t="s">
        <v>669</v>
      </c>
      <c r="F619" s="4">
        <v>1.02E-26</v>
      </c>
      <c r="G619" s="3">
        <v>269</v>
      </c>
      <c r="H619" s="3">
        <v>48</v>
      </c>
      <c r="I619" s="3">
        <v>149</v>
      </c>
      <c r="J619" s="3">
        <v>122</v>
      </c>
      <c r="K619" s="3">
        <v>562</v>
      </c>
      <c r="L619" s="3">
        <v>8</v>
      </c>
      <c r="M619" s="3">
        <v>155</v>
      </c>
    </row>
    <row r="620" spans="1:13" x14ac:dyDescent="0.25">
      <c r="A620" s="1" t="str">
        <f>HYPERLINK("http://www.rosaceae.org/Prunus/Prunus_persica/p.persica_gdr_reftransV1_0037711","p.persica_gdr_reftransV1_0037711")</f>
        <v>p.persica_gdr_reftransV1_0037711</v>
      </c>
      <c r="B620" s="3">
        <v>2020</v>
      </c>
      <c r="C620" s="1" t="str">
        <f>HYPERLINK("http://www.uniprot.org/uniprot/IST1L_DICDI","IST1L_DICDI")</f>
        <v>IST1L_DICDI</v>
      </c>
      <c r="D620" t="s">
        <v>670</v>
      </c>
      <c r="E620" s="3" t="s">
        <v>9</v>
      </c>
      <c r="F620" s="4">
        <v>1.2200000000000001E-12</v>
      </c>
      <c r="G620" s="3">
        <v>179</v>
      </c>
      <c r="H620" s="3">
        <v>25</v>
      </c>
      <c r="I620" s="3">
        <v>167</v>
      </c>
      <c r="J620" s="3">
        <v>1048</v>
      </c>
      <c r="K620" s="3">
        <v>1524</v>
      </c>
      <c r="L620" s="3">
        <v>12</v>
      </c>
      <c r="M620" s="3">
        <v>177</v>
      </c>
    </row>
    <row r="621" spans="1:13" x14ac:dyDescent="0.25">
      <c r="A621" s="1" t="str">
        <f>HYPERLINK("http://www.rosaceae.org/Prunus/Prunus_persica/p.persica_gdr_reftransV1_0037911","p.persica_gdr_reftransV1_0037911")</f>
        <v>p.persica_gdr_reftransV1_0037911</v>
      </c>
      <c r="B621" s="3">
        <v>3070</v>
      </c>
      <c r="C621" s="1" t="str">
        <f>HYPERLINK("http://www.uniprot.org/uniprot/WDTC1_HUMAN","WDTC1_HUMAN")</f>
        <v>WDTC1_HUMAN</v>
      </c>
      <c r="D621" t="s">
        <v>671</v>
      </c>
      <c r="E621" s="3" t="s">
        <v>28</v>
      </c>
      <c r="F621" s="4">
        <v>6.3600000000000006E-39</v>
      </c>
      <c r="G621" s="3">
        <v>401</v>
      </c>
      <c r="H621" s="3">
        <v>36</v>
      </c>
      <c r="I621" s="3">
        <v>298</v>
      </c>
      <c r="J621" s="3">
        <v>1945</v>
      </c>
      <c r="K621" s="3">
        <v>2769</v>
      </c>
      <c r="L621" s="3">
        <v>33</v>
      </c>
      <c r="M621" s="3">
        <v>299</v>
      </c>
    </row>
    <row r="622" spans="1:13" x14ac:dyDescent="0.25">
      <c r="A622" s="1" t="str">
        <f>HYPERLINK("http://www.rosaceae.org/Prunus/Prunus_persica/p.persica_gdr_reftransV1_0038111","p.persica_gdr_reftransV1_0038111")</f>
        <v>p.persica_gdr_reftransV1_0038111</v>
      </c>
      <c r="B622" s="3">
        <v>2111</v>
      </c>
      <c r="C622" s="1" t="str">
        <f>HYPERLINK("http://www.uniprot.org/uniprot/SYT1_ARATH","SYT1_ARATH")</f>
        <v>SYT1_ARATH</v>
      </c>
      <c r="D622" t="s">
        <v>672</v>
      </c>
      <c r="E622" s="3" t="s">
        <v>3</v>
      </c>
      <c r="F622" s="4">
        <v>0</v>
      </c>
      <c r="G622" s="3">
        <v>2119</v>
      </c>
      <c r="H622" s="3">
        <v>74</v>
      </c>
      <c r="I622" s="3">
        <v>540</v>
      </c>
      <c r="J622" s="3">
        <v>237</v>
      </c>
      <c r="K622" s="3">
        <v>1850</v>
      </c>
      <c r="L622" s="3">
        <v>1</v>
      </c>
      <c r="M622" s="3">
        <v>540</v>
      </c>
    </row>
    <row r="623" spans="1:13" x14ac:dyDescent="0.25">
      <c r="A623" s="1" t="str">
        <f>HYPERLINK("http://www.rosaceae.org/Prunus/Prunus_persica/p.persica_gdr_reftransV1_0038461","p.persica_gdr_reftransV1_0038461")</f>
        <v>p.persica_gdr_reftransV1_0038461</v>
      </c>
      <c r="B623" s="3">
        <v>2872</v>
      </c>
      <c r="C623" s="1" t="str">
        <f>HYPERLINK("http://www.uniprot.org/uniprot/HNRPF_MACFA","HNRPF_MACFA")</f>
        <v>HNRPF_MACFA</v>
      </c>
      <c r="D623" t="s">
        <v>673</v>
      </c>
      <c r="E623" s="3" t="s">
        <v>674</v>
      </c>
      <c r="F623" s="4">
        <v>6.0699999999999997E-29</v>
      </c>
      <c r="G623" s="3">
        <v>313</v>
      </c>
      <c r="H623" s="3">
        <v>38</v>
      </c>
      <c r="I623" s="3">
        <v>199</v>
      </c>
      <c r="J623" s="3">
        <v>1810</v>
      </c>
      <c r="K623" s="3">
        <v>2391</v>
      </c>
      <c r="L623" s="3">
        <v>12</v>
      </c>
      <c r="M623" s="3">
        <v>191</v>
      </c>
    </row>
    <row r="624" spans="1:13" x14ac:dyDescent="0.25">
      <c r="A624" s="1" t="str">
        <f>HYPERLINK("http://www.rosaceae.org/Prunus/Prunus_persica/p.persica_gdr_reftransV1_0039061","p.persica_gdr_reftransV1_0039061")</f>
        <v>p.persica_gdr_reftransV1_0039061</v>
      </c>
      <c r="B624" s="3">
        <v>1328</v>
      </c>
      <c r="C624" s="1" t="str">
        <f>HYPERLINK("http://www.uniprot.org/uniprot/KAD4_ORYSJ","KAD4_ORYSJ")</f>
        <v>KAD4_ORYSJ</v>
      </c>
      <c r="D624" t="s">
        <v>675</v>
      </c>
      <c r="E624" s="3" t="s">
        <v>38</v>
      </c>
      <c r="F624" s="4">
        <v>1.7800000000000001E-134</v>
      </c>
      <c r="G624" s="3">
        <v>1011</v>
      </c>
      <c r="H624" s="3">
        <v>89</v>
      </c>
      <c r="I624" s="3">
        <v>211</v>
      </c>
      <c r="J624" s="3">
        <v>321</v>
      </c>
      <c r="K624" s="3">
        <v>953</v>
      </c>
      <c r="L624" s="3">
        <v>33</v>
      </c>
      <c r="M624" s="3">
        <v>243</v>
      </c>
    </row>
    <row r="625" spans="1:13" x14ac:dyDescent="0.25">
      <c r="A625" s="1" t="str">
        <f>HYPERLINK("http://www.rosaceae.org/Prunus/Prunus_persica/p.persica_gdr_reftransV1_0039161","p.persica_gdr_reftransV1_0039161")</f>
        <v>p.persica_gdr_reftransV1_0039161</v>
      </c>
      <c r="B625" s="3">
        <v>2299</v>
      </c>
      <c r="C625" s="1" t="str">
        <f>HYPERLINK("http://www.uniprot.org/uniprot/LAZ1_ARATH","LAZ1_ARATH")</f>
        <v>LAZ1_ARATH</v>
      </c>
      <c r="D625" t="s">
        <v>676</v>
      </c>
      <c r="E625" s="3" t="s">
        <v>3</v>
      </c>
      <c r="F625" s="4">
        <v>2.9699999999999999E-152</v>
      </c>
      <c r="G625" s="3">
        <v>1183</v>
      </c>
      <c r="H625" s="3">
        <v>80</v>
      </c>
      <c r="I625" s="3">
        <v>265</v>
      </c>
      <c r="J625" s="3">
        <v>1284</v>
      </c>
      <c r="K625" s="3">
        <v>2078</v>
      </c>
      <c r="L625" s="3">
        <v>21</v>
      </c>
      <c r="M625" s="3">
        <v>285</v>
      </c>
    </row>
    <row r="626" spans="1:13" x14ac:dyDescent="0.25">
      <c r="A626" s="1" t="str">
        <f>HYPERLINK("http://www.rosaceae.org/Prunus/Prunus_persica/p.persica_gdr_reftransV1_0039911","p.persica_gdr_reftransV1_0039911")</f>
        <v>p.persica_gdr_reftransV1_0039911</v>
      </c>
      <c r="B626" s="3">
        <v>1461</v>
      </c>
      <c r="C626" s="1" t="str">
        <f>HYPERLINK("http://www.uniprot.org/uniprot/CNBLA_ARATH","CNBLA_ARATH")</f>
        <v>CNBLA_ARATH</v>
      </c>
      <c r="D626" t="s">
        <v>677</v>
      </c>
      <c r="E626" s="3" t="s">
        <v>3</v>
      </c>
      <c r="F626" s="4">
        <v>4.0699999999999997E-86</v>
      </c>
      <c r="G626" s="3">
        <v>694</v>
      </c>
      <c r="H626" s="3">
        <v>60</v>
      </c>
      <c r="I626" s="3">
        <v>272</v>
      </c>
      <c r="J626" s="3">
        <v>195</v>
      </c>
      <c r="K626" s="3">
        <v>1010</v>
      </c>
      <c r="L626" s="3">
        <v>18</v>
      </c>
      <c r="M626" s="3">
        <v>256</v>
      </c>
    </row>
    <row r="627" spans="1:13" x14ac:dyDescent="0.25">
      <c r="A627" s="1" t="str">
        <f>HYPERLINK("http://www.rosaceae.org/Prunus/Prunus_persica/p.persica_gdr_reftransV1_0040061","p.persica_gdr_reftransV1_0040061")</f>
        <v>p.persica_gdr_reftransV1_0040061</v>
      </c>
      <c r="B627" s="3">
        <v>1480</v>
      </c>
      <c r="C627" s="1" t="str">
        <f>HYPERLINK("http://www.uniprot.org/uniprot/RSMF_THET8","RSMF_THET8")</f>
        <v>RSMF_THET8</v>
      </c>
      <c r="D627" t="s">
        <v>678</v>
      </c>
      <c r="E627" s="3" t="s">
        <v>679</v>
      </c>
      <c r="F627" s="4">
        <v>8.4200000000000004E-11</v>
      </c>
      <c r="G627" s="3">
        <v>164</v>
      </c>
      <c r="H627" s="3">
        <v>31</v>
      </c>
      <c r="I627" s="3">
        <v>146</v>
      </c>
      <c r="J627" s="3">
        <v>241</v>
      </c>
      <c r="K627" s="3">
        <v>654</v>
      </c>
      <c r="L627" s="3">
        <v>164</v>
      </c>
      <c r="M627" s="3">
        <v>299</v>
      </c>
    </row>
    <row r="628" spans="1:13" x14ac:dyDescent="0.25">
      <c r="A628" s="1" t="str">
        <f>HYPERLINK("http://www.rosaceae.org/Prunus/Prunus_persica/p.persica_gdr_reftransV1_0040761","p.persica_gdr_reftransV1_0040761")</f>
        <v>p.persica_gdr_reftransV1_0040761</v>
      </c>
      <c r="B628" s="3">
        <v>4176</v>
      </c>
      <c r="C628" s="1" t="str">
        <f>HYPERLINK("http://www.uniprot.org/uniprot/PMA1_SOLLC","PMA1_SOLLC")</f>
        <v>PMA1_SOLLC</v>
      </c>
      <c r="D628" t="s">
        <v>680</v>
      </c>
      <c r="E628" s="3" t="s">
        <v>64</v>
      </c>
      <c r="F628" s="4">
        <v>0</v>
      </c>
      <c r="G628" s="3">
        <v>2942</v>
      </c>
      <c r="H628" s="3">
        <v>91</v>
      </c>
      <c r="I628" s="3">
        <v>695</v>
      </c>
      <c r="J628" s="3">
        <v>439</v>
      </c>
      <c r="K628" s="3">
        <v>2523</v>
      </c>
      <c r="L628" s="3">
        <v>1</v>
      </c>
      <c r="M628" s="3">
        <v>695</v>
      </c>
    </row>
    <row r="629" spans="1:13" x14ac:dyDescent="0.25">
      <c r="A629" s="1" t="str">
        <f>HYPERLINK("http://www.rosaceae.org/Prunus/Prunus_persica/p.persica_gdr_reftransV1_0040911","p.persica_gdr_reftransV1_0040911")</f>
        <v>p.persica_gdr_reftransV1_0040911</v>
      </c>
      <c r="B629" s="3">
        <v>2235</v>
      </c>
      <c r="C629" s="1" t="str">
        <f>HYPERLINK("http://www.uniprot.org/uniprot/AKRCA_ARATH","AKRCA_ARATH")</f>
        <v>AKRCA_ARATH</v>
      </c>
      <c r="D629" t="s">
        <v>681</v>
      </c>
      <c r="E629" s="3" t="s">
        <v>3</v>
      </c>
      <c r="F629" s="4">
        <v>8.4299999999999994E-8</v>
      </c>
      <c r="G629" s="3">
        <v>140</v>
      </c>
      <c r="H629" s="3">
        <v>39</v>
      </c>
      <c r="I629" s="3">
        <v>84</v>
      </c>
      <c r="J629" s="3">
        <v>343</v>
      </c>
      <c r="K629" s="3">
        <v>594</v>
      </c>
      <c r="L629" s="3">
        <v>237</v>
      </c>
      <c r="M629" s="3">
        <v>311</v>
      </c>
    </row>
    <row r="630" spans="1:13" x14ac:dyDescent="0.25">
      <c r="A630" s="1" t="str">
        <f>HYPERLINK("http://www.rosaceae.org/Prunus/Prunus_persica/p.persica_gdr_reftransV1_0041261","p.persica_gdr_reftransV1_0041261")</f>
        <v>p.persica_gdr_reftransV1_0041261</v>
      </c>
      <c r="B630" s="3">
        <v>1491</v>
      </c>
      <c r="C630" s="1" t="str">
        <f>HYPERLINK("http://www.uniprot.org/uniprot/CXE2_ARATH","CXE2_ARATH")</f>
        <v>CXE2_ARATH</v>
      </c>
      <c r="D630" t="s">
        <v>682</v>
      </c>
      <c r="E630" s="3" t="s">
        <v>3</v>
      </c>
      <c r="F630" s="4">
        <v>7.6099999999999995E-132</v>
      </c>
      <c r="G630" s="3">
        <v>1006</v>
      </c>
      <c r="H630" s="3">
        <v>59</v>
      </c>
      <c r="I630" s="3">
        <v>311</v>
      </c>
      <c r="J630" s="3">
        <v>318</v>
      </c>
      <c r="K630" s="3">
        <v>1250</v>
      </c>
      <c r="L630" s="3">
        <v>7</v>
      </c>
      <c r="M630" s="3">
        <v>311</v>
      </c>
    </row>
    <row r="631" spans="1:13" x14ac:dyDescent="0.25">
      <c r="A631" s="1" t="str">
        <f>HYPERLINK("http://www.rosaceae.org/Prunus/Prunus_persica/p.persica_gdr_reftransV1_0041461","p.persica_gdr_reftransV1_0041461")</f>
        <v>p.persica_gdr_reftransV1_0041461</v>
      </c>
      <c r="B631" s="3">
        <v>4027</v>
      </c>
      <c r="C631" s="1" t="str">
        <f>HYPERLINK("http://www.uniprot.org/uniprot/ARP6_ARATH","ARP6_ARATH")</f>
        <v>ARP6_ARATH</v>
      </c>
      <c r="D631" t="s">
        <v>683</v>
      </c>
      <c r="E631" s="3" t="s">
        <v>3</v>
      </c>
      <c r="F631" s="4">
        <v>2.0599999999999999E-79</v>
      </c>
      <c r="G631" s="3">
        <v>698</v>
      </c>
      <c r="H631" s="3">
        <v>72</v>
      </c>
      <c r="I631" s="3">
        <v>183</v>
      </c>
      <c r="J631" s="3">
        <v>3</v>
      </c>
      <c r="K631" s="3">
        <v>527</v>
      </c>
      <c r="L631" s="3">
        <v>40</v>
      </c>
      <c r="M631" s="3">
        <v>222</v>
      </c>
    </row>
    <row r="632" spans="1:13" x14ac:dyDescent="0.25">
      <c r="A632" s="1" t="str">
        <f>HYPERLINK("http://www.rosaceae.org/Prunus/Prunus_persica/p.persica_gdr_reftransV1_0041961","p.persica_gdr_reftransV1_0041961")</f>
        <v>p.persica_gdr_reftransV1_0041961</v>
      </c>
      <c r="B632" s="3">
        <v>3337</v>
      </c>
      <c r="C632" s="1" t="str">
        <f>HYPERLINK("http://www.uniprot.org/uniprot/AB25B_ARATH","AB25B_ARATH")</f>
        <v>AB25B_ARATH</v>
      </c>
      <c r="D632" t="s">
        <v>684</v>
      </c>
      <c r="E632" s="3" t="s">
        <v>3</v>
      </c>
      <c r="F632" s="4">
        <v>0</v>
      </c>
      <c r="G632" s="3">
        <v>2239</v>
      </c>
      <c r="H632" s="3">
        <v>79</v>
      </c>
      <c r="I632" s="3">
        <v>560</v>
      </c>
      <c r="J632" s="3">
        <v>775</v>
      </c>
      <c r="K632" s="3">
        <v>2454</v>
      </c>
      <c r="L632" s="3">
        <v>217</v>
      </c>
      <c r="M632" s="3">
        <v>727</v>
      </c>
    </row>
    <row r="633" spans="1:13" x14ac:dyDescent="0.25">
      <c r="A633" s="1" t="str">
        <f>HYPERLINK("http://www.rosaceae.org/Prunus/Prunus_persica/p.persica_gdr_reftransV1_0042061","p.persica_gdr_reftransV1_0042061")</f>
        <v>p.persica_gdr_reftransV1_0042061</v>
      </c>
      <c r="B633" s="3">
        <v>3717</v>
      </c>
      <c r="C633" s="1" t="str">
        <f>HYPERLINK("http://www.uniprot.org/uniprot/RFT1_DICDI","RFT1_DICDI")</f>
        <v>RFT1_DICDI</v>
      </c>
      <c r="D633" t="s">
        <v>685</v>
      </c>
      <c r="E633" s="3" t="s">
        <v>9</v>
      </c>
      <c r="F633" s="4">
        <v>4.1400000000000002E-16</v>
      </c>
      <c r="G633" s="3">
        <v>214</v>
      </c>
      <c r="H633" s="3">
        <v>34</v>
      </c>
      <c r="I633" s="3">
        <v>174</v>
      </c>
      <c r="J633" s="3">
        <v>1797</v>
      </c>
      <c r="K633" s="3">
        <v>2243</v>
      </c>
      <c r="L633" s="3">
        <v>238</v>
      </c>
      <c r="M633" s="3">
        <v>411</v>
      </c>
    </row>
    <row r="634" spans="1:13" x14ac:dyDescent="0.25">
      <c r="A634" s="1" t="str">
        <f>HYPERLINK("http://www.rosaceae.org/Prunus/Prunus_persica/p.persica_gdr_reftransV1_0042361","p.persica_gdr_reftransV1_0042361")</f>
        <v>p.persica_gdr_reftransV1_0042361</v>
      </c>
      <c r="B634" s="3">
        <v>2426</v>
      </c>
      <c r="C634" s="1" t="str">
        <f>HYPERLINK("http://www.uniprot.org/uniprot/AB11B_ARATH","AB11B_ARATH")</f>
        <v>AB11B_ARATH</v>
      </c>
      <c r="D634" t="s">
        <v>686</v>
      </c>
      <c r="E634" s="3" t="s">
        <v>3</v>
      </c>
      <c r="F634" s="4">
        <v>0</v>
      </c>
      <c r="G634" s="3">
        <v>2318</v>
      </c>
      <c r="H634" s="3">
        <v>71</v>
      </c>
      <c r="I634" s="3">
        <v>697</v>
      </c>
      <c r="J634" s="3">
        <v>340</v>
      </c>
      <c r="K634" s="3">
        <v>2424</v>
      </c>
      <c r="L634" s="3">
        <v>589</v>
      </c>
      <c r="M634" s="3">
        <v>1274</v>
      </c>
    </row>
    <row r="635" spans="1:13" x14ac:dyDescent="0.25">
      <c r="A635" s="1" t="str">
        <f>HYPERLINK("http://www.rosaceae.org/Prunus/Prunus_persica/p.persica_gdr_reftransV1_0042411","p.persica_gdr_reftransV1_0042411")</f>
        <v>p.persica_gdr_reftransV1_0042411</v>
      </c>
      <c r="B635" s="3">
        <v>1913</v>
      </c>
      <c r="C635" s="1" t="str">
        <f>HYPERLINK("http://www.uniprot.org/uniprot/TET18_ARATH","TET18_ARATH")</f>
        <v>TET18_ARATH</v>
      </c>
      <c r="D635" t="s">
        <v>687</v>
      </c>
      <c r="E635" s="3" t="s">
        <v>3</v>
      </c>
      <c r="F635" s="4">
        <v>1.02E-33</v>
      </c>
      <c r="G635" s="3">
        <v>337</v>
      </c>
      <c r="H635" s="3">
        <v>47</v>
      </c>
      <c r="I635" s="3">
        <v>152</v>
      </c>
      <c r="J635" s="3">
        <v>225</v>
      </c>
      <c r="K635" s="3">
        <v>671</v>
      </c>
      <c r="L635" s="3">
        <v>1</v>
      </c>
      <c r="M635" s="3">
        <v>144</v>
      </c>
    </row>
    <row r="636" spans="1:13" x14ac:dyDescent="0.25">
      <c r="A636" s="1" t="str">
        <f>HYPERLINK("http://www.rosaceae.org/Prunus/Prunus_persica/p.persica_gdr_reftransV1_0043061","p.persica_gdr_reftransV1_0043061")</f>
        <v>p.persica_gdr_reftransV1_0043061</v>
      </c>
      <c r="B636" s="3">
        <v>1058</v>
      </c>
      <c r="C636" s="1" t="str">
        <f>HYPERLINK("http://www.uniprot.org/uniprot/GPX4_NICSY","GPX4_NICSY")</f>
        <v>GPX4_NICSY</v>
      </c>
      <c r="D636" t="s">
        <v>688</v>
      </c>
      <c r="E636" s="3" t="s">
        <v>495</v>
      </c>
      <c r="F636" s="4">
        <v>4.7099999999999998E-91</v>
      </c>
      <c r="G636" s="3">
        <v>707</v>
      </c>
      <c r="H636" s="3">
        <v>75</v>
      </c>
      <c r="I636" s="3">
        <v>170</v>
      </c>
      <c r="J636" s="3">
        <v>161</v>
      </c>
      <c r="K636" s="3">
        <v>670</v>
      </c>
      <c r="L636" s="3">
        <v>1</v>
      </c>
      <c r="M636" s="3">
        <v>169</v>
      </c>
    </row>
    <row r="637" spans="1:13" x14ac:dyDescent="0.25">
      <c r="A637" s="1" t="str">
        <f>HYPERLINK("http://www.rosaceae.org/Prunus/Prunus_persica/p.persica_gdr_reftransV1_0043111","p.persica_gdr_reftransV1_0043111")</f>
        <v>p.persica_gdr_reftransV1_0043111</v>
      </c>
      <c r="B637" s="3">
        <v>1821</v>
      </c>
      <c r="C637" s="1" t="str">
        <f>HYPERLINK("http://www.uniprot.org/uniprot/UGPI6_ARATH","UGPI6_ARATH")</f>
        <v>UGPI6_ARATH</v>
      </c>
      <c r="D637" t="s">
        <v>689</v>
      </c>
      <c r="E637" s="3" t="s">
        <v>3</v>
      </c>
      <c r="F637" s="4">
        <v>5.5300000000000001E-86</v>
      </c>
      <c r="G637" s="3">
        <v>719</v>
      </c>
      <c r="H637" s="3">
        <v>42</v>
      </c>
      <c r="I637" s="3">
        <v>383</v>
      </c>
      <c r="J637" s="3">
        <v>189</v>
      </c>
      <c r="K637" s="3">
        <v>1334</v>
      </c>
      <c r="L637" s="3">
        <v>35</v>
      </c>
      <c r="M637" s="3">
        <v>406</v>
      </c>
    </row>
    <row r="638" spans="1:13" x14ac:dyDescent="0.25">
      <c r="A638" s="1" t="str">
        <f>HYPERLINK("http://www.rosaceae.org/Prunus/Prunus_persica/p.persica_gdr_reftransV1_0043211","p.persica_gdr_reftransV1_0043211")</f>
        <v>p.persica_gdr_reftransV1_0043211</v>
      </c>
      <c r="B638" s="3">
        <v>581</v>
      </c>
      <c r="C638" s="1" t="str">
        <f>HYPERLINK("http://www.uniprot.org/uniprot/CH10_ARATH","CH10_ARATH")</f>
        <v>CH10_ARATH</v>
      </c>
      <c r="D638" t="s">
        <v>690</v>
      </c>
      <c r="E638" s="3" t="s">
        <v>3</v>
      </c>
      <c r="F638" s="4">
        <v>2.2499999999999999E-48</v>
      </c>
      <c r="G638" s="3">
        <v>402</v>
      </c>
      <c r="H638" s="3">
        <v>74</v>
      </c>
      <c r="I638" s="3">
        <v>97</v>
      </c>
      <c r="J638" s="3">
        <v>282</v>
      </c>
      <c r="K638" s="3">
        <v>572</v>
      </c>
      <c r="L638" s="3">
        <v>1</v>
      </c>
      <c r="M638" s="3">
        <v>97</v>
      </c>
    </row>
    <row r="639" spans="1:13" x14ac:dyDescent="0.25">
      <c r="A639" s="1" t="str">
        <f>HYPERLINK("http://www.rosaceae.org/Prunus/Prunus_persica/p.persica_gdr_reftransV1_0043261","p.persica_gdr_reftransV1_0043261")</f>
        <v>p.persica_gdr_reftransV1_0043261</v>
      </c>
      <c r="B639" s="3">
        <v>726</v>
      </c>
      <c r="C639" s="1" t="str">
        <f>HYPERLINK("http://www.uniprot.org/uniprot/PSRP6_ARATH","PSRP6_ARATH")</f>
        <v>PSRP6_ARATH</v>
      </c>
      <c r="D639" t="s">
        <v>691</v>
      </c>
      <c r="E639" s="3" t="s">
        <v>3</v>
      </c>
      <c r="F639" s="4">
        <v>1.4799999999999999E-28</v>
      </c>
      <c r="G639" s="3">
        <v>273</v>
      </c>
      <c r="H639" s="3">
        <v>62</v>
      </c>
      <c r="I639" s="3">
        <v>93</v>
      </c>
      <c r="J639" s="3">
        <v>79</v>
      </c>
      <c r="K639" s="3">
        <v>354</v>
      </c>
      <c r="L639" s="3">
        <v>1</v>
      </c>
      <c r="M639" s="3">
        <v>83</v>
      </c>
    </row>
    <row r="640" spans="1:13" x14ac:dyDescent="0.25">
      <c r="A640" s="1" t="str">
        <f>HYPERLINK("http://www.rosaceae.org/Prunus/Prunus_persica/p.persica_gdr_reftransV1_0043311","p.persica_gdr_reftransV1_0043311")</f>
        <v>p.persica_gdr_reftransV1_0043311</v>
      </c>
      <c r="B640" s="3">
        <v>434</v>
      </c>
      <c r="C640" s="1" t="str">
        <f>HYPERLINK("http://www.uniprot.org/uniprot/EFR_ARATH","EFR_ARATH")</f>
        <v>EFR_ARATH</v>
      </c>
      <c r="D640" t="s">
        <v>692</v>
      </c>
      <c r="E640" s="3" t="s">
        <v>3</v>
      </c>
      <c r="F640" s="4">
        <v>3.1999999999999997E-20</v>
      </c>
      <c r="G640" s="3">
        <v>225</v>
      </c>
      <c r="H640" s="3">
        <v>46</v>
      </c>
      <c r="I640" s="3">
        <v>99</v>
      </c>
      <c r="J640" s="3">
        <v>3</v>
      </c>
      <c r="K640" s="3">
        <v>296</v>
      </c>
      <c r="L640" s="3">
        <v>28</v>
      </c>
      <c r="M640" s="3">
        <v>126</v>
      </c>
    </row>
    <row r="641" spans="1:13" x14ac:dyDescent="0.25">
      <c r="A641" s="1" t="str">
        <f>HYPERLINK("http://www.rosaceae.org/Prunus/Prunus_persica/p.persica_gdr_reftransV1_0043361","p.persica_gdr_reftransV1_0043361")</f>
        <v>p.persica_gdr_reftransV1_0043361</v>
      </c>
      <c r="B641" s="3">
        <v>1239</v>
      </c>
      <c r="C641" s="1" t="str">
        <f>HYPERLINK("http://www.uniprot.org/uniprot/YCF45_PORPU","YCF45_PORPU")</f>
        <v>YCF45_PORPU</v>
      </c>
      <c r="D641" t="s">
        <v>693</v>
      </c>
      <c r="E641" s="3" t="s">
        <v>694</v>
      </c>
      <c r="F641" s="4">
        <v>2.9499999999999998E-20</v>
      </c>
      <c r="G641" s="3">
        <v>239</v>
      </c>
      <c r="H641" s="3">
        <v>27</v>
      </c>
      <c r="I641" s="3">
        <v>315</v>
      </c>
      <c r="J641" s="3">
        <v>363</v>
      </c>
      <c r="K641" s="3">
        <v>1238</v>
      </c>
      <c r="L641" s="3">
        <v>275</v>
      </c>
      <c r="M641" s="3">
        <v>565</v>
      </c>
    </row>
    <row r="642" spans="1:13" x14ac:dyDescent="0.25">
      <c r="A642" s="1" t="str">
        <f>HYPERLINK("http://www.rosaceae.org/Prunus/Prunus_persica/p.persica_gdr_reftransV1_0043411","p.persica_gdr_reftransV1_0043411")</f>
        <v>p.persica_gdr_reftransV1_0043411</v>
      </c>
      <c r="B642" s="3">
        <v>502</v>
      </c>
      <c r="C642" s="1" t="str">
        <f>HYPERLINK("http://www.uniprot.org/uniprot/TBP1_ORYSJ","TBP1_ORYSJ")</f>
        <v>TBP1_ORYSJ</v>
      </c>
      <c r="D642" t="s">
        <v>695</v>
      </c>
      <c r="E642" s="3" t="s">
        <v>38</v>
      </c>
      <c r="F642" s="4">
        <v>1.4999999999999999E-8</v>
      </c>
      <c r="G642" s="3">
        <v>135</v>
      </c>
      <c r="H642" s="3">
        <v>38</v>
      </c>
      <c r="I642" s="3">
        <v>76</v>
      </c>
      <c r="J642" s="3">
        <v>212</v>
      </c>
      <c r="K642" s="3">
        <v>439</v>
      </c>
      <c r="L642" s="3">
        <v>520</v>
      </c>
      <c r="M642" s="3">
        <v>595</v>
      </c>
    </row>
    <row r="643" spans="1:13" x14ac:dyDescent="0.25">
      <c r="A643" s="1" t="str">
        <f>HYPERLINK("http://www.rosaceae.org/Prunus/Prunus_persica/p.persica_gdr_reftransV1_0043511","p.persica_gdr_reftransV1_0043511")</f>
        <v>p.persica_gdr_reftransV1_0043511</v>
      </c>
      <c r="B643" s="3">
        <v>800</v>
      </c>
      <c r="C643" s="1" t="str">
        <f>HYPERLINK("http://www.uniprot.org/uniprot/DOF57_ARATH","DOF57_ARATH")</f>
        <v>DOF57_ARATH</v>
      </c>
      <c r="D643" t="s">
        <v>696</v>
      </c>
      <c r="E643" s="3" t="s">
        <v>3</v>
      </c>
      <c r="F643" s="4">
        <v>4.7300000000000002E-10</v>
      </c>
      <c r="G643" s="3">
        <v>151</v>
      </c>
      <c r="H643" s="3">
        <v>33</v>
      </c>
      <c r="I643" s="3">
        <v>138</v>
      </c>
      <c r="J643" s="3">
        <v>146</v>
      </c>
      <c r="K643" s="3">
        <v>559</v>
      </c>
      <c r="L643" s="3">
        <v>216</v>
      </c>
      <c r="M643" s="3">
        <v>316</v>
      </c>
    </row>
    <row r="644" spans="1:13" x14ac:dyDescent="0.25">
      <c r="A644" s="1" t="str">
        <f>HYPERLINK("http://www.rosaceae.org/Prunus/Prunus_persica/p.persica_gdr_reftransV1_0043561","p.persica_gdr_reftransV1_0043561")</f>
        <v>p.persica_gdr_reftransV1_0043561</v>
      </c>
      <c r="B644" s="3">
        <v>344</v>
      </c>
      <c r="C644" s="1" t="str">
        <f>HYPERLINK("http://www.uniprot.org/uniprot/SDE3_ARATH","SDE3_ARATH")</f>
        <v>SDE3_ARATH</v>
      </c>
      <c r="D644" t="s">
        <v>697</v>
      </c>
      <c r="E644" s="3" t="s">
        <v>3</v>
      </c>
      <c r="F644" s="4">
        <v>1.9300000000000001E-17</v>
      </c>
      <c r="G644" s="3">
        <v>201</v>
      </c>
      <c r="H644" s="3">
        <v>35</v>
      </c>
      <c r="I644" s="3">
        <v>115</v>
      </c>
      <c r="J644" s="3">
        <v>2</v>
      </c>
      <c r="K644" s="3">
        <v>325</v>
      </c>
      <c r="L644" s="3">
        <v>412</v>
      </c>
      <c r="M644" s="3">
        <v>526</v>
      </c>
    </row>
    <row r="645" spans="1:13" x14ac:dyDescent="0.25">
      <c r="A645" s="1" t="str">
        <f>HYPERLINK("http://www.rosaceae.org/Prunus/Prunus_persica/p.persica_gdr_reftransV1_0043611","p.persica_gdr_reftransV1_0043611")</f>
        <v>p.persica_gdr_reftransV1_0043611</v>
      </c>
      <c r="B645" s="3">
        <v>2282</v>
      </c>
      <c r="C645" s="1" t="str">
        <f>HYPERLINK("http://www.uniprot.org/uniprot/C3H7_ARATH","C3H7_ARATH")</f>
        <v>C3H7_ARATH</v>
      </c>
      <c r="D645" t="s">
        <v>698</v>
      </c>
      <c r="E645" s="3" t="s">
        <v>3</v>
      </c>
      <c r="F645" s="4">
        <v>1.67E-175</v>
      </c>
      <c r="G645" s="3">
        <v>1336</v>
      </c>
      <c r="H645" s="3">
        <v>61</v>
      </c>
      <c r="I645" s="3">
        <v>454</v>
      </c>
      <c r="J645" s="3">
        <v>634</v>
      </c>
      <c r="K645" s="3">
        <v>1980</v>
      </c>
      <c r="L645" s="3">
        <v>5</v>
      </c>
      <c r="M645" s="3">
        <v>450</v>
      </c>
    </row>
    <row r="646" spans="1:13" x14ac:dyDescent="0.25">
      <c r="A646" s="1" t="str">
        <f>HYPERLINK("http://www.rosaceae.org/Prunus/Prunus_persica/p.persica_gdr_reftransV1_0043661","p.persica_gdr_reftransV1_0043661")</f>
        <v>p.persica_gdr_reftransV1_0043661</v>
      </c>
      <c r="B646" s="3">
        <v>1577</v>
      </c>
      <c r="C646" s="1" t="str">
        <f>HYPERLINK("http://www.uniprot.org/uniprot/6HN3M_PSEFL","6HN3M_PSEFL")</f>
        <v>6HN3M_PSEFL</v>
      </c>
      <c r="D646" t="s">
        <v>699</v>
      </c>
      <c r="E646" s="3" t="s">
        <v>700</v>
      </c>
      <c r="F646" s="4">
        <v>3.8300000000000001E-16</v>
      </c>
      <c r="G646" s="3">
        <v>206</v>
      </c>
      <c r="H646" s="3">
        <v>26</v>
      </c>
      <c r="I646" s="3">
        <v>345</v>
      </c>
      <c r="J646" s="3">
        <v>348</v>
      </c>
      <c r="K646" s="3">
        <v>1367</v>
      </c>
      <c r="L646" s="3">
        <v>27</v>
      </c>
      <c r="M646" s="3">
        <v>346</v>
      </c>
    </row>
    <row r="647" spans="1:13" x14ac:dyDescent="0.25">
      <c r="A647" s="1" t="str">
        <f>HYPERLINK("http://www.rosaceae.org/Prunus/Prunus_persica/p.persica_gdr_reftransV1_0043711","p.persica_gdr_reftransV1_0043711")</f>
        <v>p.persica_gdr_reftransV1_0043711</v>
      </c>
      <c r="B647" s="3">
        <v>1866</v>
      </c>
      <c r="C647" s="1" t="str">
        <f>HYPERLINK("http://www.uniprot.org/uniprot/ACAP1_ARATH","ACAP1_ARATH")</f>
        <v>ACAP1_ARATH</v>
      </c>
      <c r="D647" t="s">
        <v>571</v>
      </c>
      <c r="E647" s="3" t="s">
        <v>3</v>
      </c>
      <c r="F647" s="4">
        <v>0</v>
      </c>
      <c r="G647" s="3">
        <v>1679</v>
      </c>
      <c r="H647" s="3">
        <v>72</v>
      </c>
      <c r="I647" s="3">
        <v>454</v>
      </c>
      <c r="J647" s="3">
        <v>506</v>
      </c>
      <c r="K647" s="3">
        <v>1864</v>
      </c>
      <c r="L647" s="3">
        <v>37</v>
      </c>
      <c r="M647" s="3">
        <v>475</v>
      </c>
    </row>
    <row r="648" spans="1:13" x14ac:dyDescent="0.25">
      <c r="A648" s="1" t="str">
        <f>HYPERLINK("http://www.rosaceae.org/Prunus/Prunus_persica/p.persica_gdr_reftransV1_0043761","p.persica_gdr_reftransV1_0043761")</f>
        <v>p.persica_gdr_reftransV1_0043761</v>
      </c>
      <c r="B648" s="3">
        <v>662</v>
      </c>
      <c r="C648" s="1" t="str">
        <f>HYPERLINK("http://www.uniprot.org/uniprot/RL20_RHOCS","RL20_RHOCS")</f>
        <v>RL20_RHOCS</v>
      </c>
      <c r="D648" t="s">
        <v>701</v>
      </c>
      <c r="E648" s="3" t="s">
        <v>702</v>
      </c>
      <c r="F648" s="4">
        <v>2.5799999999999999E-40</v>
      </c>
      <c r="G648" s="3">
        <v>352</v>
      </c>
      <c r="H648" s="3">
        <v>61</v>
      </c>
      <c r="I648" s="3">
        <v>104</v>
      </c>
      <c r="J648" s="3">
        <v>148</v>
      </c>
      <c r="K648" s="3">
        <v>459</v>
      </c>
      <c r="L648" s="3">
        <v>16</v>
      </c>
      <c r="M648" s="3">
        <v>119</v>
      </c>
    </row>
    <row r="649" spans="1:13" x14ac:dyDescent="0.25">
      <c r="A649" s="1" t="str">
        <f>HYPERLINK("http://www.rosaceae.org/Prunus/Prunus_persica/p.persica_gdr_reftransV1_0043811","p.persica_gdr_reftransV1_0043811")</f>
        <v>p.persica_gdr_reftransV1_0043811</v>
      </c>
      <c r="B649" s="3">
        <v>1370</v>
      </c>
      <c r="C649" s="1" t="str">
        <f>HYPERLINK("http://www.uniprot.org/uniprot/MARH2_DANRE","MARH2_DANRE")</f>
        <v>MARH2_DANRE</v>
      </c>
      <c r="D649" t="s">
        <v>703</v>
      </c>
      <c r="E649" s="3" t="s">
        <v>704</v>
      </c>
      <c r="F649" s="4">
        <v>8.5799999999999997E-9</v>
      </c>
      <c r="G649" s="3">
        <v>143</v>
      </c>
      <c r="H649" s="3">
        <v>33</v>
      </c>
      <c r="I649" s="3">
        <v>96</v>
      </c>
      <c r="J649" s="3">
        <v>272</v>
      </c>
      <c r="K649" s="3">
        <v>550</v>
      </c>
      <c r="L649" s="3">
        <v>35</v>
      </c>
      <c r="M649" s="3">
        <v>128</v>
      </c>
    </row>
    <row r="650" spans="1:13" x14ac:dyDescent="0.25">
      <c r="A650" s="1" t="str">
        <f>HYPERLINK("http://www.rosaceae.org/Prunus/Prunus_persica/p.persica_gdr_reftransV1_0043861","p.persica_gdr_reftransV1_0043861")</f>
        <v>p.persica_gdr_reftransV1_0043861</v>
      </c>
      <c r="B650" s="3">
        <v>668</v>
      </c>
      <c r="C650" s="1" t="str">
        <f>HYPERLINK("http://www.uniprot.org/uniprot/IP5P4_ARATH","IP5P4_ARATH")</f>
        <v>IP5P4_ARATH</v>
      </c>
      <c r="D650" t="s">
        <v>705</v>
      </c>
      <c r="E650" s="3" t="s">
        <v>3</v>
      </c>
      <c r="F650" s="4">
        <v>9.5800000000000005E-104</v>
      </c>
      <c r="G650" s="3">
        <v>812</v>
      </c>
      <c r="H650" s="3">
        <v>80</v>
      </c>
      <c r="I650" s="3">
        <v>192</v>
      </c>
      <c r="J650" s="3">
        <v>92</v>
      </c>
      <c r="K650" s="3">
        <v>667</v>
      </c>
      <c r="L650" s="3">
        <v>354</v>
      </c>
      <c r="M650" s="3">
        <v>545</v>
      </c>
    </row>
    <row r="651" spans="1:13" x14ac:dyDescent="0.25">
      <c r="A651" s="1" t="str">
        <f>HYPERLINK("http://www.rosaceae.org/Prunus/Prunus_persica/p.persica_gdr_reftransV1_0043911","p.persica_gdr_reftransV1_0043911")</f>
        <v>p.persica_gdr_reftransV1_0043911</v>
      </c>
      <c r="B651" s="3">
        <v>4233</v>
      </c>
      <c r="C651" s="1" t="str">
        <f>HYPERLINK("http://www.uniprot.org/uniprot/PPI1_ARATH","PPI1_ARATH")</f>
        <v>PPI1_ARATH</v>
      </c>
      <c r="D651" t="s">
        <v>706</v>
      </c>
      <c r="E651" s="3" t="s">
        <v>3</v>
      </c>
      <c r="F651" s="4">
        <v>1.5000000000000001E-20</v>
      </c>
      <c r="G651" s="3">
        <v>252</v>
      </c>
      <c r="H651" s="3">
        <v>23</v>
      </c>
      <c r="I651" s="3">
        <v>301</v>
      </c>
      <c r="J651" s="3">
        <v>2312</v>
      </c>
      <c r="K651" s="3">
        <v>3181</v>
      </c>
      <c r="L651" s="3">
        <v>79</v>
      </c>
      <c r="M651" s="3">
        <v>379</v>
      </c>
    </row>
    <row r="652" spans="1:13" x14ac:dyDescent="0.25">
      <c r="A652" s="1" t="str">
        <f>HYPERLINK("http://www.rosaceae.org/Prunus/Prunus_persica/p.persica_gdr_reftransV1_0043961","p.persica_gdr_reftransV1_0043961")</f>
        <v>p.persica_gdr_reftransV1_0043961</v>
      </c>
      <c r="B652" s="3">
        <v>802</v>
      </c>
      <c r="C652" s="1" t="str">
        <f>HYPERLINK("http://www.uniprot.org/uniprot/QKY_ARATH","QKY_ARATH")</f>
        <v>QKY_ARATH</v>
      </c>
      <c r="D652" t="s">
        <v>707</v>
      </c>
      <c r="E652" s="3" t="s">
        <v>3</v>
      </c>
      <c r="F652" s="4">
        <v>1.12E-46</v>
      </c>
      <c r="G652" s="3">
        <v>436</v>
      </c>
      <c r="H652" s="3">
        <v>51</v>
      </c>
      <c r="I652" s="3">
        <v>183</v>
      </c>
      <c r="J652" s="3">
        <v>251</v>
      </c>
      <c r="K652" s="3">
        <v>799</v>
      </c>
      <c r="L652" s="3">
        <v>899</v>
      </c>
      <c r="M652" s="3">
        <v>1081</v>
      </c>
    </row>
    <row r="653" spans="1:13" x14ac:dyDescent="0.25">
      <c r="A653" s="1" t="str">
        <f>HYPERLINK("http://www.rosaceae.org/Prunus/Prunus_persica/p.persica_gdr_reftransV1_0044011","p.persica_gdr_reftransV1_0044011")</f>
        <v>p.persica_gdr_reftransV1_0044011</v>
      </c>
      <c r="B653" s="3">
        <v>567</v>
      </c>
      <c r="C653" s="1" t="str">
        <f>HYPERLINK("http://www.uniprot.org/uniprot/GUN8_ARATH","GUN8_ARATH")</f>
        <v>GUN8_ARATH</v>
      </c>
      <c r="D653" t="s">
        <v>708</v>
      </c>
      <c r="E653" s="3" t="s">
        <v>3</v>
      </c>
      <c r="F653" s="4">
        <v>5.6899999999999999E-95</v>
      </c>
      <c r="G653" s="3">
        <v>745</v>
      </c>
      <c r="H653" s="3">
        <v>88</v>
      </c>
      <c r="I653" s="3">
        <v>153</v>
      </c>
      <c r="J653" s="3">
        <v>2</v>
      </c>
      <c r="K653" s="3">
        <v>460</v>
      </c>
      <c r="L653" s="3">
        <v>24</v>
      </c>
      <c r="M653" s="3">
        <v>176</v>
      </c>
    </row>
    <row r="654" spans="1:13" x14ac:dyDescent="0.25">
      <c r="A654" s="1" t="str">
        <f>HYPERLINK("http://www.rosaceae.org/Prunus/Prunus_persica/p.persica_gdr_reftransV1_0044061","p.persica_gdr_reftransV1_0044061")</f>
        <v>p.persica_gdr_reftransV1_0044061</v>
      </c>
      <c r="B654" s="3">
        <v>1098</v>
      </c>
      <c r="C654" s="1" t="str">
        <f>HYPERLINK("http://www.uniprot.org/uniprot/IF4E3_WHEAT","IF4E3_WHEAT")</f>
        <v>IF4E3_WHEAT</v>
      </c>
      <c r="D654" t="s">
        <v>709</v>
      </c>
      <c r="E654" s="3" t="s">
        <v>710</v>
      </c>
      <c r="F654" s="4">
        <v>2.14E-115</v>
      </c>
      <c r="G654" s="3">
        <v>876</v>
      </c>
      <c r="H654" s="3">
        <v>84</v>
      </c>
      <c r="I654" s="3">
        <v>190</v>
      </c>
      <c r="J654" s="3">
        <v>253</v>
      </c>
      <c r="K654" s="3">
        <v>822</v>
      </c>
      <c r="L654" s="3">
        <v>44</v>
      </c>
      <c r="M654" s="3">
        <v>232</v>
      </c>
    </row>
    <row r="655" spans="1:13" x14ac:dyDescent="0.25">
      <c r="A655" s="1" t="str">
        <f>HYPERLINK("http://www.rosaceae.org/Prunus/Prunus_persica/p.persica_gdr_reftransV1_0044111","p.persica_gdr_reftransV1_0044111")</f>
        <v>p.persica_gdr_reftransV1_0044111</v>
      </c>
      <c r="B655" s="3">
        <v>1029</v>
      </c>
      <c r="C655" s="1" t="str">
        <f>HYPERLINK("http://www.uniprot.org/uniprot/TMVRN_NICGU","TMVRN_NICGU")</f>
        <v>TMVRN_NICGU</v>
      </c>
      <c r="D655" t="s">
        <v>151</v>
      </c>
      <c r="E655" s="3" t="s">
        <v>152</v>
      </c>
      <c r="F655" s="4">
        <v>2.8399999999999999E-68</v>
      </c>
      <c r="G655" s="3">
        <v>602</v>
      </c>
      <c r="H655" s="3">
        <v>46</v>
      </c>
      <c r="I655" s="3">
        <v>292</v>
      </c>
      <c r="J655" s="3">
        <v>180</v>
      </c>
      <c r="K655" s="3">
        <v>1028</v>
      </c>
      <c r="L655" s="3">
        <v>11</v>
      </c>
      <c r="M655" s="3">
        <v>298</v>
      </c>
    </row>
    <row r="656" spans="1:13" x14ac:dyDescent="0.25">
      <c r="A656" s="1" t="str">
        <f>HYPERLINK("http://www.rosaceae.org/Prunus/Prunus_persica/p.persica_gdr_reftransV1_0044161","p.persica_gdr_reftransV1_0044161")</f>
        <v>p.persica_gdr_reftransV1_0044161</v>
      </c>
      <c r="B656" s="3">
        <v>712</v>
      </c>
      <c r="C656" s="1" t="str">
        <f>HYPERLINK("http://www.uniprot.org/uniprot/RUB2_ORYSJ","RUB2_ORYSJ")</f>
        <v>RUB2_ORYSJ</v>
      </c>
      <c r="D656" t="s">
        <v>711</v>
      </c>
      <c r="E656" s="3" t="s">
        <v>38</v>
      </c>
      <c r="F656" s="4">
        <v>1.1800000000000001E-101</v>
      </c>
      <c r="G656" s="3">
        <v>764</v>
      </c>
      <c r="H656" s="3">
        <v>99</v>
      </c>
      <c r="I656" s="3">
        <v>152</v>
      </c>
      <c r="J656" s="3">
        <v>80</v>
      </c>
      <c r="K656" s="3">
        <v>535</v>
      </c>
      <c r="L656" s="3">
        <v>1</v>
      </c>
      <c r="M656" s="3">
        <v>152</v>
      </c>
    </row>
    <row r="657" spans="1:13" x14ac:dyDescent="0.25">
      <c r="A657" s="1" t="str">
        <f>HYPERLINK("http://www.rosaceae.org/Prunus/Prunus_persica/p.persica_gdr_reftransV1_0044211","p.persica_gdr_reftransV1_0044211")</f>
        <v>p.persica_gdr_reftransV1_0044211</v>
      </c>
      <c r="B657" s="3">
        <v>1439</v>
      </c>
      <c r="C657" s="1" t="str">
        <f>HYPERLINK("http://www.uniprot.org/uniprot/NILP3_ARATH","NILP3_ARATH")</f>
        <v>NILP3_ARATH</v>
      </c>
      <c r="D657" t="s">
        <v>712</v>
      </c>
      <c r="E657" s="3" t="s">
        <v>3</v>
      </c>
      <c r="F657" s="4">
        <v>2.7199999999999999E-171</v>
      </c>
      <c r="G657" s="3">
        <v>1271</v>
      </c>
      <c r="H657" s="3">
        <v>88</v>
      </c>
      <c r="I657" s="3">
        <v>283</v>
      </c>
      <c r="J657" s="3">
        <v>368</v>
      </c>
      <c r="K657" s="3">
        <v>1216</v>
      </c>
      <c r="L657" s="3">
        <v>87</v>
      </c>
      <c r="M657" s="3">
        <v>369</v>
      </c>
    </row>
    <row r="658" spans="1:13" x14ac:dyDescent="0.25">
      <c r="A658" s="1" t="str">
        <f>HYPERLINK("http://www.rosaceae.org/Prunus/Prunus_persica/p.persica_gdr_reftransV1_0044461","p.persica_gdr_reftransV1_0044461")</f>
        <v>p.persica_gdr_reftransV1_0044461</v>
      </c>
      <c r="B658" s="3">
        <v>1712</v>
      </c>
      <c r="C658" s="1" t="str">
        <f>HYPERLINK("http://www.uniprot.org/uniprot/TRP3_ARATH","TRP3_ARATH")</f>
        <v>TRP3_ARATH</v>
      </c>
      <c r="D658" t="s">
        <v>713</v>
      </c>
      <c r="E658" s="3" t="s">
        <v>3</v>
      </c>
      <c r="F658" s="4">
        <v>3.12E-136</v>
      </c>
      <c r="G658" s="3">
        <v>1070</v>
      </c>
      <c r="H658" s="3">
        <v>57</v>
      </c>
      <c r="I658" s="3">
        <v>428</v>
      </c>
      <c r="J658" s="3">
        <v>58</v>
      </c>
      <c r="K658" s="3">
        <v>1341</v>
      </c>
      <c r="L658" s="3">
        <v>198</v>
      </c>
      <c r="M658" s="3">
        <v>589</v>
      </c>
    </row>
    <row r="659" spans="1:13" x14ac:dyDescent="0.25">
      <c r="A659" s="1" t="str">
        <f>HYPERLINK("http://www.rosaceae.org/Prunus/Prunus_persica/p.persica_gdr_reftransV1_0044561","p.persica_gdr_reftransV1_0044561")</f>
        <v>p.persica_gdr_reftransV1_0044561</v>
      </c>
      <c r="B659" s="3">
        <v>342</v>
      </c>
      <c r="C659" s="1" t="str">
        <f>HYPERLINK("http://www.uniprot.org/uniprot/PP345_ARATH","PP345_ARATH")</f>
        <v>PP345_ARATH</v>
      </c>
      <c r="D659" t="s">
        <v>714</v>
      </c>
      <c r="E659" s="3" t="s">
        <v>3</v>
      </c>
      <c r="F659" s="4">
        <v>3.3299999999999998E-26</v>
      </c>
      <c r="G659" s="3">
        <v>266</v>
      </c>
      <c r="H659" s="3">
        <v>55</v>
      </c>
      <c r="I659" s="3">
        <v>88</v>
      </c>
      <c r="J659" s="3">
        <v>11</v>
      </c>
      <c r="K659" s="3">
        <v>274</v>
      </c>
      <c r="L659" s="3">
        <v>670</v>
      </c>
      <c r="M659" s="3">
        <v>757</v>
      </c>
    </row>
    <row r="660" spans="1:13" x14ac:dyDescent="0.25">
      <c r="A660" s="1" t="str">
        <f>HYPERLINK("http://www.rosaceae.org/Prunus/Prunus_persica/p.persica_gdr_reftransV1_0044611","p.persica_gdr_reftransV1_0044611")</f>
        <v>p.persica_gdr_reftransV1_0044611</v>
      </c>
      <c r="B660" s="3">
        <v>747</v>
      </c>
      <c r="C660" s="1" t="str">
        <f>HYPERLINK("http://www.uniprot.org/uniprot/OP164_ARATH","OP164_ARATH")</f>
        <v>OP164_ARATH</v>
      </c>
      <c r="D660" t="s">
        <v>715</v>
      </c>
      <c r="E660" s="3" t="s">
        <v>3</v>
      </c>
      <c r="F660" s="4">
        <v>9.8999999999999994E-42</v>
      </c>
      <c r="G660" s="3">
        <v>366</v>
      </c>
      <c r="H660" s="3">
        <v>62</v>
      </c>
      <c r="I660" s="3">
        <v>129</v>
      </c>
      <c r="J660" s="3">
        <v>284</v>
      </c>
      <c r="K660" s="3">
        <v>670</v>
      </c>
      <c r="L660" s="3">
        <v>1</v>
      </c>
      <c r="M660" s="3">
        <v>129</v>
      </c>
    </row>
    <row r="661" spans="1:13" x14ac:dyDescent="0.25">
      <c r="A661" s="1" t="str">
        <f>HYPERLINK("http://www.rosaceae.org/Prunus/Prunus_persica/p.persica_gdr_reftransV1_0044661","p.persica_gdr_reftransV1_0044661")</f>
        <v>p.persica_gdr_reftransV1_0044661</v>
      </c>
      <c r="B661" s="3">
        <v>1850</v>
      </c>
      <c r="C661" s="1" t="str">
        <f>HYPERLINK("http://www.uniprot.org/uniprot/RF298_ARATH","RF298_ARATH")</f>
        <v>RF298_ARATH</v>
      </c>
      <c r="D661" t="s">
        <v>716</v>
      </c>
      <c r="E661" s="3" t="s">
        <v>3</v>
      </c>
      <c r="F661" s="4">
        <v>8.1699999999999999E-108</v>
      </c>
      <c r="G661" s="3">
        <v>897</v>
      </c>
      <c r="H661" s="3">
        <v>43</v>
      </c>
      <c r="I661" s="3">
        <v>526</v>
      </c>
      <c r="J661" s="3">
        <v>3</v>
      </c>
      <c r="K661" s="3">
        <v>1580</v>
      </c>
      <c r="L661" s="3">
        <v>349</v>
      </c>
      <c r="M661" s="3">
        <v>814</v>
      </c>
    </row>
    <row r="662" spans="1:13" x14ac:dyDescent="0.25">
      <c r="A662" s="1" t="str">
        <f>HYPERLINK("http://www.rosaceae.org/Prunus/Prunus_persica/p.persica_gdr_reftransV1_0044711","p.persica_gdr_reftransV1_0044711")</f>
        <v>p.persica_gdr_reftransV1_0044711</v>
      </c>
      <c r="B662" s="3">
        <v>1008</v>
      </c>
      <c r="C662" s="1" t="str">
        <f>HYPERLINK("http://www.uniprot.org/uniprot/DRL35_ARATH","DRL35_ARATH")</f>
        <v>DRL35_ARATH</v>
      </c>
      <c r="D662" t="s">
        <v>717</v>
      </c>
      <c r="E662" s="3" t="s">
        <v>3</v>
      </c>
      <c r="F662" s="4">
        <v>1.8399999999999998E-12</v>
      </c>
      <c r="G662" s="3">
        <v>173</v>
      </c>
      <c r="H662" s="3">
        <v>31</v>
      </c>
      <c r="I662" s="3">
        <v>238</v>
      </c>
      <c r="J662" s="3">
        <v>112</v>
      </c>
      <c r="K662" s="3">
        <v>774</v>
      </c>
      <c r="L662" s="3">
        <v>97</v>
      </c>
      <c r="M662" s="3">
        <v>321</v>
      </c>
    </row>
    <row r="663" spans="1:13" x14ac:dyDescent="0.25">
      <c r="A663" s="1" t="str">
        <f>HYPERLINK("http://www.rosaceae.org/Prunus/Prunus_persica/p.persica_gdr_reftransV1_0044861","p.persica_gdr_reftransV1_0044861")</f>
        <v>p.persica_gdr_reftransV1_0044861</v>
      </c>
      <c r="B663" s="3">
        <v>1503</v>
      </c>
      <c r="C663" s="1" t="str">
        <f>HYPERLINK("http://www.uniprot.org/uniprot/YY46_NOSS1","YY46_NOSS1")</f>
        <v>YY46_NOSS1</v>
      </c>
      <c r="D663" t="s">
        <v>718</v>
      </c>
      <c r="E663" s="3" t="s">
        <v>719</v>
      </c>
      <c r="F663" s="4">
        <v>5.1000000000000002E-20</v>
      </c>
      <c r="G663" s="3">
        <v>242</v>
      </c>
      <c r="H663" s="3">
        <v>28</v>
      </c>
      <c r="I663" s="3">
        <v>362</v>
      </c>
      <c r="J663" s="3">
        <v>269</v>
      </c>
      <c r="K663" s="3">
        <v>1267</v>
      </c>
      <c r="L663" s="3">
        <v>830</v>
      </c>
      <c r="M663" s="3">
        <v>1165</v>
      </c>
    </row>
    <row r="664" spans="1:13" x14ac:dyDescent="0.25">
      <c r="A664" s="1" t="str">
        <f>HYPERLINK("http://www.rosaceae.org/Prunus/Prunus_persica/p.persica_gdr_reftransV1_0044961","p.persica_gdr_reftransV1_0044961")</f>
        <v>p.persica_gdr_reftransV1_0044961</v>
      </c>
      <c r="B664" s="3">
        <v>480</v>
      </c>
      <c r="C664" s="1" t="str">
        <f>HYPERLINK("http://www.uniprot.org/uniprot/STIL2_ARATH","STIL2_ARATH")</f>
        <v>STIL2_ARATH</v>
      </c>
      <c r="D664" t="s">
        <v>720</v>
      </c>
      <c r="E664" s="3" t="s">
        <v>3</v>
      </c>
      <c r="F664" s="4">
        <v>8.9000000000000008E-19</v>
      </c>
      <c r="G664" s="3">
        <v>215</v>
      </c>
      <c r="H664" s="3">
        <v>68</v>
      </c>
      <c r="I664" s="3">
        <v>59</v>
      </c>
      <c r="J664" s="3">
        <v>77</v>
      </c>
      <c r="K664" s="3">
        <v>253</v>
      </c>
      <c r="L664" s="3">
        <v>1</v>
      </c>
      <c r="M664" s="3">
        <v>59</v>
      </c>
    </row>
    <row r="665" spans="1:13" x14ac:dyDescent="0.25">
      <c r="A665" s="1" t="str">
        <f>HYPERLINK("http://www.rosaceae.org/Prunus/Prunus_persica/p.persica_gdr_reftransV1_0045011","p.persica_gdr_reftransV1_0045011")</f>
        <v>p.persica_gdr_reftransV1_0045011</v>
      </c>
      <c r="B665" s="3">
        <v>350</v>
      </c>
      <c r="C665" s="1" t="str">
        <f>HYPERLINK("http://www.uniprot.org/uniprot/PP441_ARATH","PP441_ARATH")</f>
        <v>PP441_ARATH</v>
      </c>
      <c r="D665" t="s">
        <v>721</v>
      </c>
      <c r="E665" s="3" t="s">
        <v>3</v>
      </c>
      <c r="F665" s="4">
        <v>6.8799999999999998E-11</v>
      </c>
      <c r="G665" s="3">
        <v>150</v>
      </c>
      <c r="H665" s="3">
        <v>40</v>
      </c>
      <c r="I665" s="3">
        <v>114</v>
      </c>
      <c r="J665" s="3">
        <v>1</v>
      </c>
      <c r="K665" s="3">
        <v>336</v>
      </c>
      <c r="L665" s="3">
        <v>3</v>
      </c>
      <c r="M665" s="3">
        <v>116</v>
      </c>
    </row>
    <row r="666" spans="1:13" x14ac:dyDescent="0.25">
      <c r="A666" s="1" t="str">
        <f>HYPERLINK("http://www.rosaceae.org/Prunus/Prunus_persica/p.persica_gdr_reftransV1_0045061","p.persica_gdr_reftransV1_0045061")</f>
        <v>p.persica_gdr_reftransV1_0045061</v>
      </c>
      <c r="B666" s="3">
        <v>798</v>
      </c>
      <c r="C666" s="1" t="str">
        <f>HYPERLINK("http://www.uniprot.org/uniprot/MLP31_ARATH","MLP31_ARATH")</f>
        <v>MLP31_ARATH</v>
      </c>
      <c r="D666" t="s">
        <v>722</v>
      </c>
      <c r="E666" s="3" t="s">
        <v>3</v>
      </c>
      <c r="F666" s="4">
        <v>4.8E-33</v>
      </c>
      <c r="G666" s="3">
        <v>311</v>
      </c>
      <c r="H666" s="3">
        <v>42</v>
      </c>
      <c r="I666" s="3">
        <v>153</v>
      </c>
      <c r="J666" s="3">
        <v>94</v>
      </c>
      <c r="K666" s="3">
        <v>543</v>
      </c>
      <c r="L666" s="3">
        <v>16</v>
      </c>
      <c r="M666" s="3">
        <v>168</v>
      </c>
    </row>
    <row r="667" spans="1:13" x14ac:dyDescent="0.25">
      <c r="A667" s="1" t="str">
        <f>HYPERLINK("http://www.rosaceae.org/Prunus/Prunus_persica/p.persica_gdr_reftransV1_0045111","p.persica_gdr_reftransV1_0045111")</f>
        <v>p.persica_gdr_reftransV1_0045111</v>
      </c>
      <c r="B667" s="3">
        <v>2736</v>
      </c>
      <c r="C667" s="1" t="str">
        <f>HYPERLINK("http://www.uniprot.org/uniprot/MD33B_ARATH","MD33B_ARATH")</f>
        <v>MD33B_ARATH</v>
      </c>
      <c r="D667" t="s">
        <v>723</v>
      </c>
      <c r="E667" s="3" t="s">
        <v>3</v>
      </c>
      <c r="F667" s="4">
        <v>0</v>
      </c>
      <c r="G667" s="3">
        <v>2582</v>
      </c>
      <c r="H667" s="3">
        <v>67</v>
      </c>
      <c r="I667" s="3">
        <v>837</v>
      </c>
      <c r="J667" s="3">
        <v>3</v>
      </c>
      <c r="K667" s="3">
        <v>2504</v>
      </c>
      <c r="L667" s="3">
        <v>433</v>
      </c>
      <c r="M667" s="3">
        <v>1242</v>
      </c>
    </row>
    <row r="668" spans="1:13" x14ac:dyDescent="0.25">
      <c r="A668" s="1" t="str">
        <f>HYPERLINK("http://www.rosaceae.org/Prunus/Prunus_persica/p.persica_gdr_reftransV1_0045211","p.persica_gdr_reftransV1_0045211")</f>
        <v>p.persica_gdr_reftransV1_0045211</v>
      </c>
      <c r="B668" s="3">
        <v>608</v>
      </c>
      <c r="C668" s="1" t="str">
        <f>HYPERLINK("http://www.uniprot.org/uniprot/PP407_ARATH","PP407_ARATH")</f>
        <v>PP407_ARATH</v>
      </c>
      <c r="D668" t="s">
        <v>724</v>
      </c>
      <c r="E668" s="3" t="s">
        <v>3</v>
      </c>
      <c r="F668" s="4">
        <v>1.1300000000000001E-75</v>
      </c>
      <c r="G668" s="3">
        <v>603</v>
      </c>
      <c r="H668" s="3">
        <v>67</v>
      </c>
      <c r="I668" s="3">
        <v>168</v>
      </c>
      <c r="J668" s="3">
        <v>114</v>
      </c>
      <c r="K668" s="3">
        <v>608</v>
      </c>
      <c r="L668" s="3">
        <v>432</v>
      </c>
      <c r="M668" s="3">
        <v>599</v>
      </c>
    </row>
    <row r="669" spans="1:13" x14ac:dyDescent="0.25">
      <c r="A669" s="1" t="str">
        <f>HYPERLINK("http://www.rosaceae.org/Prunus/Prunus_persica/p.persica_gdr_reftransV1_0045311","p.persica_gdr_reftransV1_0045311")</f>
        <v>p.persica_gdr_reftransV1_0045311</v>
      </c>
      <c r="B669" s="3">
        <v>2370</v>
      </c>
      <c r="C669" s="1" t="str">
        <f>HYPERLINK("http://www.uniprot.org/uniprot/UBP10_ARATH","UBP10_ARATH")</f>
        <v>UBP10_ARATH</v>
      </c>
      <c r="D669" t="s">
        <v>725</v>
      </c>
      <c r="E669" s="3" t="s">
        <v>3</v>
      </c>
      <c r="F669" s="4">
        <v>0</v>
      </c>
      <c r="G669" s="3">
        <v>2074</v>
      </c>
      <c r="H669" s="3">
        <v>66</v>
      </c>
      <c r="I669" s="3">
        <v>606</v>
      </c>
      <c r="J669" s="3">
        <v>569</v>
      </c>
      <c r="K669" s="3">
        <v>2368</v>
      </c>
      <c r="L669" s="3">
        <v>305</v>
      </c>
      <c r="M669" s="3">
        <v>907</v>
      </c>
    </row>
    <row r="670" spans="1:13" x14ac:dyDescent="0.25">
      <c r="A670" s="1" t="str">
        <f>HYPERLINK("http://www.rosaceae.org/Prunus/Prunus_persica/p.persica_gdr_reftransV1_0045461","p.persica_gdr_reftransV1_0045461")</f>
        <v>p.persica_gdr_reftransV1_0045461</v>
      </c>
      <c r="B670" s="3">
        <v>1075</v>
      </c>
      <c r="C670" s="1" t="str">
        <f>HYPERLINK("http://www.uniprot.org/uniprot/GRF8_ARATH","GRF8_ARATH")</f>
        <v>GRF8_ARATH</v>
      </c>
      <c r="D670" t="s">
        <v>726</v>
      </c>
      <c r="E670" s="3" t="s">
        <v>3</v>
      </c>
      <c r="F670" s="4">
        <v>2.8999999999999998E-16</v>
      </c>
      <c r="G670" s="3">
        <v>205</v>
      </c>
      <c r="H670" s="3">
        <v>32</v>
      </c>
      <c r="I670" s="3">
        <v>284</v>
      </c>
      <c r="J670" s="3">
        <v>255</v>
      </c>
      <c r="K670" s="3">
        <v>1073</v>
      </c>
      <c r="L670" s="3">
        <v>265</v>
      </c>
      <c r="M670" s="3">
        <v>476</v>
      </c>
    </row>
    <row r="671" spans="1:13" x14ac:dyDescent="0.25">
      <c r="A671" s="1" t="str">
        <f>HYPERLINK("http://www.rosaceae.org/Prunus/Prunus_persica/p.persica_gdr_reftransV1_0045511","p.persica_gdr_reftransV1_0045511")</f>
        <v>p.persica_gdr_reftransV1_0045511</v>
      </c>
      <c r="B671" s="3">
        <v>1915</v>
      </c>
      <c r="C671" s="1" t="str">
        <f>HYPERLINK("http://www.uniprot.org/uniprot/DLDH1_ARATH","DLDH1_ARATH")</f>
        <v>DLDH1_ARATH</v>
      </c>
      <c r="D671" t="s">
        <v>727</v>
      </c>
      <c r="E671" s="3" t="s">
        <v>3</v>
      </c>
      <c r="F671" s="4">
        <v>0</v>
      </c>
      <c r="G671" s="3">
        <v>2215</v>
      </c>
      <c r="H671" s="3">
        <v>86</v>
      </c>
      <c r="I671" s="3">
        <v>509</v>
      </c>
      <c r="J671" s="3">
        <v>267</v>
      </c>
      <c r="K671" s="3">
        <v>1793</v>
      </c>
      <c r="L671" s="3">
        <v>1</v>
      </c>
      <c r="M671" s="3">
        <v>507</v>
      </c>
    </row>
    <row r="672" spans="1:13" x14ac:dyDescent="0.25">
      <c r="A672" s="1" t="str">
        <f>HYPERLINK("http://www.rosaceae.org/Prunus/Prunus_persica/p.persica_gdr_reftransV1_0045561","p.persica_gdr_reftransV1_0045561")</f>
        <v>p.persica_gdr_reftransV1_0045561</v>
      </c>
      <c r="B672" s="3">
        <v>676</v>
      </c>
      <c r="C672" s="1" t="str">
        <f>HYPERLINK("http://www.uniprot.org/uniprot/BH094_ARATH","BH094_ARATH")</f>
        <v>BH094_ARATH</v>
      </c>
      <c r="D672" t="s">
        <v>728</v>
      </c>
      <c r="E672" s="3" t="s">
        <v>3</v>
      </c>
      <c r="F672" s="4">
        <v>6.2200000000000002E-28</v>
      </c>
      <c r="G672" s="3">
        <v>280</v>
      </c>
      <c r="H672" s="3">
        <v>91</v>
      </c>
      <c r="I672" s="3">
        <v>57</v>
      </c>
      <c r="J672" s="3">
        <v>16</v>
      </c>
      <c r="K672" s="3">
        <v>186</v>
      </c>
      <c r="L672" s="3">
        <v>108</v>
      </c>
      <c r="M672" s="3">
        <v>164</v>
      </c>
    </row>
    <row r="673" spans="1:13" x14ac:dyDescent="0.25">
      <c r="A673" s="1" t="str">
        <f>HYPERLINK("http://www.rosaceae.org/Prunus/Prunus_persica/p.persica_gdr_reftransV1_0045611","p.persica_gdr_reftransV1_0045611")</f>
        <v>p.persica_gdr_reftransV1_0045611</v>
      </c>
      <c r="B673" s="3">
        <v>433</v>
      </c>
      <c r="C673" s="1" t="str">
        <f>HYPERLINK("http://www.uniprot.org/uniprot/PHT13_ARATH","PHT13_ARATH")</f>
        <v>PHT13_ARATH</v>
      </c>
      <c r="D673" t="s">
        <v>729</v>
      </c>
      <c r="E673" s="3" t="s">
        <v>3</v>
      </c>
      <c r="F673" s="4">
        <v>2.9300000000000001E-34</v>
      </c>
      <c r="G673" s="3">
        <v>323</v>
      </c>
      <c r="H673" s="3">
        <v>90</v>
      </c>
      <c r="I673" s="3">
        <v>90</v>
      </c>
      <c r="J673" s="3">
        <v>1</v>
      </c>
      <c r="K673" s="3">
        <v>270</v>
      </c>
      <c r="L673" s="3">
        <v>420</v>
      </c>
      <c r="M673" s="3">
        <v>509</v>
      </c>
    </row>
    <row r="674" spans="1:13" x14ac:dyDescent="0.25">
      <c r="A674" s="1" t="str">
        <f>HYPERLINK("http://www.rosaceae.org/Prunus/Prunus_persica/p.persica_gdr_reftransV1_0045661","p.persica_gdr_reftransV1_0045661")</f>
        <v>p.persica_gdr_reftransV1_0045661</v>
      </c>
      <c r="B674" s="3">
        <v>1338</v>
      </c>
      <c r="C674" s="1" t="str">
        <f>HYPERLINK("http://www.uniprot.org/uniprot/UCRI2_TOBAC","UCRI2_TOBAC")</f>
        <v>UCRI2_TOBAC</v>
      </c>
      <c r="D674" t="s">
        <v>730</v>
      </c>
      <c r="E674" s="3" t="s">
        <v>200</v>
      </c>
      <c r="F674" s="4">
        <v>5.8000000000000004E-144</v>
      </c>
      <c r="G674" s="3">
        <v>1077</v>
      </c>
      <c r="H674" s="3">
        <v>77</v>
      </c>
      <c r="I674" s="3">
        <v>274</v>
      </c>
      <c r="J674" s="3">
        <v>218</v>
      </c>
      <c r="K674" s="3">
        <v>1033</v>
      </c>
      <c r="L674" s="3">
        <v>1</v>
      </c>
      <c r="M674" s="3">
        <v>272</v>
      </c>
    </row>
    <row r="675" spans="1:13" x14ac:dyDescent="0.25">
      <c r="A675" s="1" t="str">
        <f>HYPERLINK("http://www.rosaceae.org/Prunus/Prunus_persica/p.persica_gdr_reftransV1_0045711","p.persica_gdr_reftransV1_0045711")</f>
        <v>p.persica_gdr_reftransV1_0045711</v>
      </c>
      <c r="B675" s="3">
        <v>1468</v>
      </c>
      <c r="C675" s="1" t="str">
        <f>HYPERLINK("http://www.uniprot.org/uniprot/GSTF9_ARATH","GSTF9_ARATH")</f>
        <v>GSTF9_ARATH</v>
      </c>
      <c r="D675" t="s">
        <v>731</v>
      </c>
      <c r="E675" s="3" t="s">
        <v>3</v>
      </c>
      <c r="F675" s="4">
        <v>4.87E-104</v>
      </c>
      <c r="G675" s="3">
        <v>811</v>
      </c>
      <c r="H675" s="3">
        <v>70</v>
      </c>
      <c r="I675" s="3">
        <v>208</v>
      </c>
      <c r="J675" s="3">
        <v>376</v>
      </c>
      <c r="K675" s="3">
        <v>999</v>
      </c>
      <c r="L675" s="3">
        <v>1</v>
      </c>
      <c r="M675" s="3">
        <v>208</v>
      </c>
    </row>
    <row r="676" spans="1:13" x14ac:dyDescent="0.25">
      <c r="A676" s="1" t="str">
        <f>HYPERLINK("http://www.rosaceae.org/Prunus/Prunus_persica/p.persica_gdr_reftransV1_0045811","p.persica_gdr_reftransV1_0045811")</f>
        <v>p.persica_gdr_reftransV1_0045811</v>
      </c>
      <c r="B676" s="3">
        <v>341</v>
      </c>
      <c r="C676" s="1" t="str">
        <f>HYPERLINK("http://www.uniprot.org/uniprot/BGLS_TRIRP","BGLS_TRIRP")</f>
        <v>BGLS_TRIRP</v>
      </c>
      <c r="D676" t="s">
        <v>732</v>
      </c>
      <c r="E676" s="3" t="s">
        <v>733</v>
      </c>
      <c r="F676" s="4">
        <v>7.15E-24</v>
      </c>
      <c r="G676" s="3">
        <v>245</v>
      </c>
      <c r="H676" s="3">
        <v>74</v>
      </c>
      <c r="I676" s="3">
        <v>53</v>
      </c>
      <c r="J676" s="3">
        <v>8</v>
      </c>
      <c r="K676" s="3">
        <v>166</v>
      </c>
      <c r="L676" s="3">
        <v>53</v>
      </c>
      <c r="M676" s="3">
        <v>105</v>
      </c>
    </row>
    <row r="677" spans="1:13" x14ac:dyDescent="0.25">
      <c r="A677" s="1" t="str">
        <f>HYPERLINK("http://www.rosaceae.org/Prunus/Prunus_persica/p.persica_gdr_reftransV1_0045861","p.persica_gdr_reftransV1_0045861")</f>
        <v>p.persica_gdr_reftransV1_0045861</v>
      </c>
      <c r="B677" s="3">
        <v>890</v>
      </c>
      <c r="C677" s="1" t="str">
        <f>HYPERLINK("http://www.uniprot.org/uniprot/EPFL6_ARATH","EPFL6_ARATH")</f>
        <v>EPFL6_ARATH</v>
      </c>
      <c r="D677" t="s">
        <v>734</v>
      </c>
      <c r="E677" s="3" t="s">
        <v>3</v>
      </c>
      <c r="F677" s="4">
        <v>4.8499999999999996E-18</v>
      </c>
      <c r="G677" s="3">
        <v>204</v>
      </c>
      <c r="H677" s="3">
        <v>54</v>
      </c>
      <c r="I677" s="3">
        <v>116</v>
      </c>
      <c r="J677" s="3">
        <v>271</v>
      </c>
      <c r="K677" s="3">
        <v>612</v>
      </c>
      <c r="L677" s="3">
        <v>46</v>
      </c>
      <c r="M677" s="3">
        <v>156</v>
      </c>
    </row>
    <row r="678" spans="1:13" x14ac:dyDescent="0.25">
      <c r="A678" s="1" t="str">
        <f>HYPERLINK("http://www.rosaceae.org/Prunus/Prunus_persica/p.persica_gdr_reftransV1_0045911","p.persica_gdr_reftransV1_0045911")</f>
        <v>p.persica_gdr_reftransV1_0045911</v>
      </c>
      <c r="B678" s="3">
        <v>639</v>
      </c>
      <c r="C678" s="1" t="str">
        <f>HYPERLINK("http://www.uniprot.org/uniprot/TDR_ARATH","TDR_ARATH")</f>
        <v>TDR_ARATH</v>
      </c>
      <c r="D678" t="s">
        <v>735</v>
      </c>
      <c r="E678" s="3" t="s">
        <v>3</v>
      </c>
      <c r="F678" s="4">
        <v>6.2500000000000004E-70</v>
      </c>
      <c r="G678" s="3">
        <v>598</v>
      </c>
      <c r="H678" s="3">
        <v>76</v>
      </c>
      <c r="I678" s="3">
        <v>138</v>
      </c>
      <c r="J678" s="3">
        <v>11</v>
      </c>
      <c r="K678" s="3">
        <v>424</v>
      </c>
      <c r="L678" s="3">
        <v>868</v>
      </c>
      <c r="M678" s="3">
        <v>1005</v>
      </c>
    </row>
    <row r="679" spans="1:13" x14ac:dyDescent="0.25">
      <c r="A679" s="1" t="str">
        <f>HYPERLINK("http://www.rosaceae.org/Prunus/Prunus_persica/p.persica_gdr_reftransV1_0046011","p.persica_gdr_reftransV1_0046011")</f>
        <v>p.persica_gdr_reftransV1_0046011</v>
      </c>
      <c r="B679" s="3">
        <v>1253</v>
      </c>
      <c r="C679" s="1" t="str">
        <f>HYPERLINK("http://www.uniprot.org/uniprot/TBL36_ARATH","TBL36_ARATH")</f>
        <v>TBL36_ARATH</v>
      </c>
      <c r="D679" t="s">
        <v>736</v>
      </c>
      <c r="E679" s="3" t="s">
        <v>3</v>
      </c>
      <c r="F679" s="4">
        <v>2.6699999999999999E-176</v>
      </c>
      <c r="G679" s="3">
        <v>1299</v>
      </c>
      <c r="H679" s="3">
        <v>67</v>
      </c>
      <c r="I679" s="3">
        <v>352</v>
      </c>
      <c r="J679" s="3">
        <v>140</v>
      </c>
      <c r="K679" s="3">
        <v>1180</v>
      </c>
      <c r="L679" s="3">
        <v>26</v>
      </c>
      <c r="M679" s="3">
        <v>374</v>
      </c>
    </row>
    <row r="680" spans="1:13" x14ac:dyDescent="0.25">
      <c r="A680" s="1" t="str">
        <f>HYPERLINK("http://www.rosaceae.org/Prunus/Prunus_persica/p.persica_gdr_reftransV1_0046061","p.persica_gdr_reftransV1_0046061")</f>
        <v>p.persica_gdr_reftransV1_0046061</v>
      </c>
      <c r="B680" s="3">
        <v>1592</v>
      </c>
      <c r="C680" s="1" t="str">
        <f>HYPERLINK("http://www.uniprot.org/uniprot/Y2253_MYCBO","Y2253_MYCBO")</f>
        <v>Y2253_MYCBO</v>
      </c>
      <c r="D680" t="s">
        <v>737</v>
      </c>
      <c r="E680" s="3" t="s">
        <v>738</v>
      </c>
      <c r="F680" s="4">
        <v>2.5400000000000001E-21</v>
      </c>
      <c r="G680" s="3">
        <v>246</v>
      </c>
      <c r="H680" s="3">
        <v>42</v>
      </c>
      <c r="I680" s="3">
        <v>125</v>
      </c>
      <c r="J680" s="3">
        <v>787</v>
      </c>
      <c r="K680" s="3">
        <v>1158</v>
      </c>
      <c r="L680" s="3">
        <v>3</v>
      </c>
      <c r="M680" s="3">
        <v>127</v>
      </c>
    </row>
    <row r="681" spans="1:13" x14ac:dyDescent="0.25">
      <c r="A681" s="1" t="str">
        <f>HYPERLINK("http://www.rosaceae.org/Prunus/Prunus_persica/p.persica_gdr_reftransV1_0046211","p.persica_gdr_reftransV1_0046211")</f>
        <v>p.persica_gdr_reftransV1_0046211</v>
      </c>
      <c r="B681" s="3">
        <v>871</v>
      </c>
      <c r="C681" s="1" t="str">
        <f>HYPERLINK("http://www.uniprot.org/uniprot/ARF5_ARATH","ARF5_ARATH")</f>
        <v>ARF5_ARATH</v>
      </c>
      <c r="D681" t="s">
        <v>739</v>
      </c>
      <c r="E681" s="3" t="s">
        <v>3</v>
      </c>
      <c r="F681" s="4">
        <v>4.6800000000000002E-107</v>
      </c>
      <c r="G681" s="3">
        <v>808</v>
      </c>
      <c r="H681" s="3">
        <v>92</v>
      </c>
      <c r="I681" s="3">
        <v>183</v>
      </c>
      <c r="J681" s="3">
        <v>276</v>
      </c>
      <c r="K681" s="3">
        <v>824</v>
      </c>
      <c r="L681" s="3">
        <v>1</v>
      </c>
      <c r="M681" s="3">
        <v>183</v>
      </c>
    </row>
    <row r="682" spans="1:13" x14ac:dyDescent="0.25">
      <c r="A682" s="1" t="str">
        <f>HYPERLINK("http://www.rosaceae.org/Prunus/Prunus_persica/p.persica_gdr_reftransV1_0046311","p.persica_gdr_reftransV1_0046311")</f>
        <v>p.persica_gdr_reftransV1_0046311</v>
      </c>
      <c r="B682" s="3">
        <v>3012</v>
      </c>
      <c r="C682" s="1" t="str">
        <f>HYPERLINK("http://www.uniprot.org/uniprot/CPL1_ARATH","CPL1_ARATH")</f>
        <v>CPL1_ARATH</v>
      </c>
      <c r="D682" t="s">
        <v>740</v>
      </c>
      <c r="E682" s="3" t="s">
        <v>3</v>
      </c>
      <c r="F682" s="4">
        <v>0</v>
      </c>
      <c r="G682" s="3">
        <v>2563</v>
      </c>
      <c r="H682" s="3">
        <v>63</v>
      </c>
      <c r="I682" s="3">
        <v>825</v>
      </c>
      <c r="J682" s="3">
        <v>573</v>
      </c>
      <c r="K682" s="3">
        <v>3011</v>
      </c>
      <c r="L682" s="3">
        <v>151</v>
      </c>
      <c r="M682" s="3">
        <v>966</v>
      </c>
    </row>
    <row r="683" spans="1:13" x14ac:dyDescent="0.25">
      <c r="A683" s="1" t="str">
        <f>HYPERLINK("http://www.rosaceae.org/Prunus/Prunus_persica/p.persica_gdr_reftransV1_0046411","p.persica_gdr_reftransV1_0046411")</f>
        <v>p.persica_gdr_reftransV1_0046411</v>
      </c>
      <c r="B683" s="3">
        <v>1162</v>
      </c>
      <c r="C683" s="1" t="str">
        <f>HYPERLINK("http://www.uniprot.org/uniprot/RAA1C_ARATH","RAA1C_ARATH")</f>
        <v>RAA1C_ARATH</v>
      </c>
      <c r="D683" t="s">
        <v>741</v>
      </c>
      <c r="E683" s="3" t="s">
        <v>3</v>
      </c>
      <c r="F683" s="4">
        <v>3.4599999999999998E-130</v>
      </c>
      <c r="G683" s="3">
        <v>974</v>
      </c>
      <c r="H683" s="3">
        <v>85</v>
      </c>
      <c r="I683" s="3">
        <v>218</v>
      </c>
      <c r="J683" s="3">
        <v>212</v>
      </c>
      <c r="K683" s="3">
        <v>865</v>
      </c>
      <c r="L683" s="3">
        <v>1</v>
      </c>
      <c r="M683" s="3">
        <v>216</v>
      </c>
    </row>
    <row r="684" spans="1:13" x14ac:dyDescent="0.25">
      <c r="A684" s="1" t="str">
        <f>HYPERLINK("http://www.rosaceae.org/Prunus/Prunus_persica/p.persica_gdr_reftransV1_0046461","p.persica_gdr_reftransV1_0046461")</f>
        <v>p.persica_gdr_reftransV1_0046461</v>
      </c>
      <c r="B684" s="3">
        <v>4146</v>
      </c>
      <c r="C684" s="1" t="str">
        <f>HYPERLINK("http://www.uniprot.org/uniprot/COPA1_ARATH","COPA1_ARATH")</f>
        <v>COPA1_ARATH</v>
      </c>
      <c r="D684" t="s">
        <v>742</v>
      </c>
      <c r="E684" s="3" t="s">
        <v>3</v>
      </c>
      <c r="F684" s="4">
        <v>0</v>
      </c>
      <c r="G684" s="3">
        <v>5466</v>
      </c>
      <c r="H684" s="3">
        <v>82</v>
      </c>
      <c r="I684" s="3">
        <v>1209</v>
      </c>
      <c r="J684" s="3">
        <v>2</v>
      </c>
      <c r="K684" s="3">
        <v>3622</v>
      </c>
      <c r="L684" s="3">
        <v>1</v>
      </c>
      <c r="M684" s="3">
        <v>1206</v>
      </c>
    </row>
    <row r="685" spans="1:13" x14ac:dyDescent="0.25">
      <c r="A685" s="1" t="str">
        <f>HYPERLINK("http://www.rosaceae.org/Prunus/Prunus_persica/p.persica_gdr_reftransV1_0046561","p.persica_gdr_reftransV1_0046561")</f>
        <v>p.persica_gdr_reftransV1_0046561</v>
      </c>
      <c r="B685" s="3">
        <v>2171</v>
      </c>
      <c r="C685" s="1" t="str">
        <f>HYPERLINK("http://www.uniprot.org/uniprot/Y1960_ARATH","Y1960_ARATH")</f>
        <v>Y1960_ARATH</v>
      </c>
      <c r="D685" t="s">
        <v>743</v>
      </c>
      <c r="E685" s="3" t="s">
        <v>3</v>
      </c>
      <c r="F685" s="4">
        <v>4.2899999999999997E-177</v>
      </c>
      <c r="G685" s="3">
        <v>1367</v>
      </c>
      <c r="H685" s="3">
        <v>61</v>
      </c>
      <c r="I685" s="3">
        <v>559</v>
      </c>
      <c r="J685" s="3">
        <v>530</v>
      </c>
      <c r="K685" s="3">
        <v>2170</v>
      </c>
      <c r="L685" s="3">
        <v>179</v>
      </c>
      <c r="M685" s="3">
        <v>714</v>
      </c>
    </row>
    <row r="686" spans="1:13" x14ac:dyDescent="0.25">
      <c r="A686" s="1" t="str">
        <f>HYPERLINK("http://www.rosaceae.org/Prunus/Prunus_persica/p.persica_gdr_reftransV1_0046611","p.persica_gdr_reftransV1_0046611")</f>
        <v>p.persica_gdr_reftransV1_0046611</v>
      </c>
      <c r="B686" s="3">
        <v>2187</v>
      </c>
      <c r="C686" s="1" t="str">
        <f>HYPERLINK("http://www.uniprot.org/uniprot/RL31_ARATH","RL31_ARATH")</f>
        <v>RL31_ARATH</v>
      </c>
      <c r="D686" t="s">
        <v>744</v>
      </c>
      <c r="E686" s="3" t="s">
        <v>3</v>
      </c>
      <c r="F686" s="4">
        <v>0</v>
      </c>
      <c r="G686" s="3">
        <v>1710</v>
      </c>
      <c r="H686" s="3">
        <v>87</v>
      </c>
      <c r="I686" s="3">
        <v>387</v>
      </c>
      <c r="J686" s="3">
        <v>109</v>
      </c>
      <c r="K686" s="3">
        <v>1269</v>
      </c>
      <c r="L686" s="3">
        <v>1</v>
      </c>
      <c r="M686" s="3">
        <v>387</v>
      </c>
    </row>
    <row r="687" spans="1:13" x14ac:dyDescent="0.25">
      <c r="A687" s="1" t="str">
        <f>HYPERLINK("http://www.rosaceae.org/Prunus/Prunus_persica/p.persica_gdr_reftransV1_0046661","p.persica_gdr_reftransV1_0046661")</f>
        <v>p.persica_gdr_reftransV1_0046661</v>
      </c>
      <c r="B687" s="3">
        <v>920</v>
      </c>
      <c r="C687" s="1" t="str">
        <f>HYPERLINK("http://www.uniprot.org/uniprot/TBC15_MOUSE","TBC15_MOUSE")</f>
        <v>TBC15_MOUSE</v>
      </c>
      <c r="D687" t="s">
        <v>745</v>
      </c>
      <c r="E687" s="3" t="s">
        <v>157</v>
      </c>
      <c r="F687" s="4">
        <v>7.4899999999999997E-28</v>
      </c>
      <c r="G687" s="3">
        <v>294</v>
      </c>
      <c r="H687" s="3">
        <v>44</v>
      </c>
      <c r="I687" s="3">
        <v>143</v>
      </c>
      <c r="J687" s="3">
        <v>466</v>
      </c>
      <c r="K687" s="3">
        <v>888</v>
      </c>
      <c r="L687" s="3">
        <v>394</v>
      </c>
      <c r="M687" s="3">
        <v>534</v>
      </c>
    </row>
    <row r="688" spans="1:13" x14ac:dyDescent="0.25">
      <c r="A688" s="1" t="str">
        <f>HYPERLINK("http://www.rosaceae.org/Prunus/Prunus_persica/p.persica_gdr_reftransV1_0046711","p.persica_gdr_reftransV1_0046711")</f>
        <v>p.persica_gdr_reftransV1_0046711</v>
      </c>
      <c r="B688" s="3">
        <v>1084</v>
      </c>
      <c r="C688" s="1" t="str">
        <f>HYPERLINK("http://www.uniprot.org/uniprot/PAP7_ARATH","PAP7_ARATH")</f>
        <v>PAP7_ARATH</v>
      </c>
      <c r="D688" t="s">
        <v>746</v>
      </c>
      <c r="E688" s="3" t="s">
        <v>3</v>
      </c>
      <c r="F688" s="4">
        <v>1.17E-63</v>
      </c>
      <c r="G688" s="3">
        <v>535</v>
      </c>
      <c r="H688" s="3">
        <v>51</v>
      </c>
      <c r="I688" s="3">
        <v>233</v>
      </c>
      <c r="J688" s="3">
        <v>121</v>
      </c>
      <c r="K688" s="3">
        <v>777</v>
      </c>
      <c r="L688" s="3">
        <v>1</v>
      </c>
      <c r="M688" s="3">
        <v>227</v>
      </c>
    </row>
    <row r="689" spans="1:13" x14ac:dyDescent="0.25">
      <c r="A689" s="1" t="str">
        <f>HYPERLINK("http://www.rosaceae.org/Prunus/Prunus_persica/p.persica_gdr_reftransV1_0046761","p.persica_gdr_reftransV1_0046761")</f>
        <v>p.persica_gdr_reftransV1_0046761</v>
      </c>
      <c r="B689" s="3">
        <v>1419</v>
      </c>
      <c r="C689" s="1" t="str">
        <f>HYPERLINK("http://www.uniprot.org/uniprot/PGTB2_HUMAN","PGTB2_HUMAN")</f>
        <v>PGTB2_HUMAN</v>
      </c>
      <c r="D689" t="s">
        <v>747</v>
      </c>
      <c r="E689" s="3" t="s">
        <v>28</v>
      </c>
      <c r="F689" s="4">
        <v>2.5600000000000001E-112</v>
      </c>
      <c r="G689" s="3">
        <v>875</v>
      </c>
      <c r="H689" s="3">
        <v>63</v>
      </c>
      <c r="I689" s="3">
        <v>246</v>
      </c>
      <c r="J689" s="3">
        <v>300</v>
      </c>
      <c r="K689" s="3">
        <v>1037</v>
      </c>
      <c r="L689" s="3">
        <v>79</v>
      </c>
      <c r="M689" s="3">
        <v>323</v>
      </c>
    </row>
    <row r="690" spans="1:13" x14ac:dyDescent="0.25">
      <c r="A690" s="1" t="str">
        <f>HYPERLINK("http://www.rosaceae.org/Prunus/Prunus_persica/p.persica_gdr_reftransV1_0046811","p.persica_gdr_reftransV1_0046811")</f>
        <v>p.persica_gdr_reftransV1_0046811</v>
      </c>
      <c r="B690" s="3">
        <v>2121</v>
      </c>
      <c r="C690" s="1" t="str">
        <f>HYPERLINK("http://www.uniprot.org/uniprot/BLH11_ARATH","BLH11_ARATH")</f>
        <v>BLH11_ARATH</v>
      </c>
      <c r="D690" t="s">
        <v>748</v>
      </c>
      <c r="E690" s="3" t="s">
        <v>3</v>
      </c>
      <c r="F690" s="4">
        <v>7.4699999999999999E-93</v>
      </c>
      <c r="G690" s="3">
        <v>760</v>
      </c>
      <c r="H690" s="3">
        <v>50</v>
      </c>
      <c r="I690" s="3">
        <v>320</v>
      </c>
      <c r="J690" s="3">
        <v>981</v>
      </c>
      <c r="K690" s="3">
        <v>1922</v>
      </c>
      <c r="L690" s="3">
        <v>12</v>
      </c>
      <c r="M690" s="3">
        <v>288</v>
      </c>
    </row>
    <row r="691" spans="1:13" x14ac:dyDescent="0.25">
      <c r="A691" s="1" t="str">
        <f>HYPERLINK("http://www.rosaceae.org/Prunus/Prunus_persica/p.persica_gdr_reftransV1_0046861","p.persica_gdr_reftransV1_0046861")</f>
        <v>p.persica_gdr_reftransV1_0046861</v>
      </c>
      <c r="B691" s="3">
        <v>777</v>
      </c>
      <c r="C691" s="1" t="str">
        <f>HYPERLINK("http://www.uniprot.org/uniprot/PPR38_ARATH","PPR38_ARATH")</f>
        <v>PPR38_ARATH</v>
      </c>
      <c r="D691" t="s">
        <v>749</v>
      </c>
      <c r="E691" s="3" t="s">
        <v>3</v>
      </c>
      <c r="F691" s="4">
        <v>2.2799999999999999E-65</v>
      </c>
      <c r="G691" s="3">
        <v>559</v>
      </c>
      <c r="H691" s="3">
        <v>45</v>
      </c>
      <c r="I691" s="3">
        <v>225</v>
      </c>
      <c r="J691" s="3">
        <v>1</v>
      </c>
      <c r="K691" s="3">
        <v>675</v>
      </c>
      <c r="L691" s="3">
        <v>377</v>
      </c>
      <c r="M691" s="3">
        <v>601</v>
      </c>
    </row>
    <row r="692" spans="1:13" x14ac:dyDescent="0.25">
      <c r="A692" s="1" t="str">
        <f>HYPERLINK("http://www.rosaceae.org/Prunus/Prunus_persica/p.persica_gdr_reftransV1_0047061","p.persica_gdr_reftransV1_0047061")</f>
        <v>p.persica_gdr_reftransV1_0047061</v>
      </c>
      <c r="B692" s="3">
        <v>2509</v>
      </c>
      <c r="C692" s="1" t="str">
        <f>HYPERLINK("http://www.uniprot.org/uniprot/Y1680_ARATH","Y1680_ARATH")</f>
        <v>Y1680_ARATH</v>
      </c>
      <c r="D692" t="s">
        <v>750</v>
      </c>
      <c r="E692" s="3" t="s">
        <v>3</v>
      </c>
      <c r="F692" s="4">
        <v>5.39E-71</v>
      </c>
      <c r="G692" s="3">
        <v>644</v>
      </c>
      <c r="H692" s="3">
        <v>36</v>
      </c>
      <c r="I692" s="3">
        <v>661</v>
      </c>
      <c r="J692" s="3">
        <v>387</v>
      </c>
      <c r="K692" s="3">
        <v>2258</v>
      </c>
      <c r="L692" s="3">
        <v>31</v>
      </c>
      <c r="M692" s="3">
        <v>637</v>
      </c>
    </row>
    <row r="693" spans="1:13" x14ac:dyDescent="0.25">
      <c r="A693" s="1" t="str">
        <f>HYPERLINK("http://www.rosaceae.org/Prunus/Prunus_persica/p.persica_gdr_reftransV1_0047111","p.persica_gdr_reftransV1_0047111")</f>
        <v>p.persica_gdr_reftransV1_0047111</v>
      </c>
      <c r="B693" s="3">
        <v>2716</v>
      </c>
      <c r="C693" s="1" t="str">
        <f>HYPERLINK("http://www.uniprot.org/uniprot/YSL3_ARATH","YSL3_ARATH")</f>
        <v>YSL3_ARATH</v>
      </c>
      <c r="D693" t="s">
        <v>583</v>
      </c>
      <c r="E693" s="3" t="s">
        <v>3</v>
      </c>
      <c r="F693" s="4">
        <v>0</v>
      </c>
      <c r="G693" s="3">
        <v>2684</v>
      </c>
      <c r="H693" s="3">
        <v>77</v>
      </c>
      <c r="I693" s="3">
        <v>673</v>
      </c>
      <c r="J693" s="3">
        <v>320</v>
      </c>
      <c r="K693" s="3">
        <v>2326</v>
      </c>
      <c r="L693" s="3">
        <v>1</v>
      </c>
      <c r="M693" s="3">
        <v>672</v>
      </c>
    </row>
    <row r="694" spans="1:13" x14ac:dyDescent="0.25">
      <c r="A694" s="1" t="str">
        <f>HYPERLINK("http://www.rosaceae.org/Prunus/Prunus_persica/p.persica_gdr_reftransV1_0047411","p.persica_gdr_reftransV1_0047411")</f>
        <v>p.persica_gdr_reftransV1_0047411</v>
      </c>
      <c r="B694" s="3">
        <v>2450</v>
      </c>
      <c r="C694" s="1" t="str">
        <f>HYPERLINK("http://www.uniprot.org/uniprot/DRM2_ARATH","DRM2_ARATH")</f>
        <v>DRM2_ARATH</v>
      </c>
      <c r="D694" t="s">
        <v>393</v>
      </c>
      <c r="E694" s="3" t="s">
        <v>3</v>
      </c>
      <c r="F694" s="4">
        <v>0</v>
      </c>
      <c r="G694" s="3">
        <v>1479</v>
      </c>
      <c r="H694" s="3">
        <v>54</v>
      </c>
      <c r="I694" s="3">
        <v>552</v>
      </c>
      <c r="J694" s="3">
        <v>666</v>
      </c>
      <c r="K694" s="3">
        <v>2303</v>
      </c>
      <c r="L694" s="3">
        <v>113</v>
      </c>
      <c r="M694" s="3">
        <v>623</v>
      </c>
    </row>
    <row r="695" spans="1:13" x14ac:dyDescent="0.25">
      <c r="A695" s="1" t="str">
        <f>HYPERLINK("http://www.rosaceae.org/Prunus/Prunus_persica/p.persica_gdr_reftransV1_0047561","p.persica_gdr_reftransV1_0047561")</f>
        <v>p.persica_gdr_reftransV1_0047561</v>
      </c>
      <c r="B695" s="3">
        <v>1338</v>
      </c>
      <c r="C695" s="1" t="str">
        <f>HYPERLINK("http://www.uniprot.org/uniprot/PNC2_ARATH","PNC2_ARATH")</f>
        <v>PNC2_ARATH</v>
      </c>
      <c r="D695" t="s">
        <v>751</v>
      </c>
      <c r="E695" s="3" t="s">
        <v>3</v>
      </c>
      <c r="F695" s="4">
        <v>4.6699999999999998E-135</v>
      </c>
      <c r="G695" s="3">
        <v>1023</v>
      </c>
      <c r="H695" s="3">
        <v>76</v>
      </c>
      <c r="I695" s="3">
        <v>303</v>
      </c>
      <c r="J695" s="3">
        <v>378</v>
      </c>
      <c r="K695" s="3">
        <v>1280</v>
      </c>
      <c r="L695" s="3">
        <v>1</v>
      </c>
      <c r="M695" s="3">
        <v>303</v>
      </c>
    </row>
    <row r="696" spans="1:13" x14ac:dyDescent="0.25">
      <c r="A696" s="1" t="str">
        <f>HYPERLINK("http://www.rosaceae.org/Prunus/Prunus_persica/p.persica_gdr_reftransV1_0047661","p.persica_gdr_reftransV1_0047661")</f>
        <v>p.persica_gdr_reftransV1_0047661</v>
      </c>
      <c r="B696" s="3">
        <v>547</v>
      </c>
      <c r="C696" s="1" t="str">
        <f>HYPERLINK("http://www.uniprot.org/uniprot/STAD_RICCO","STAD_RICCO")</f>
        <v>STAD_RICCO</v>
      </c>
      <c r="D696" t="s">
        <v>752</v>
      </c>
      <c r="E696" s="3" t="s">
        <v>421</v>
      </c>
      <c r="F696" s="4">
        <v>5.9599999999999995E-41</v>
      </c>
      <c r="G696" s="3">
        <v>372</v>
      </c>
      <c r="H696" s="3">
        <v>77</v>
      </c>
      <c r="I696" s="3">
        <v>87</v>
      </c>
      <c r="J696" s="3">
        <v>287</v>
      </c>
      <c r="K696" s="3">
        <v>547</v>
      </c>
      <c r="L696" s="3">
        <v>31</v>
      </c>
      <c r="M696" s="3">
        <v>117</v>
      </c>
    </row>
    <row r="697" spans="1:13" x14ac:dyDescent="0.25">
      <c r="A697" s="1" t="str">
        <f>HYPERLINK("http://www.rosaceae.org/Prunus/Prunus_persica/p.persica_gdr_reftransV1_0047761","p.persica_gdr_reftransV1_0047761")</f>
        <v>p.persica_gdr_reftransV1_0047761</v>
      </c>
      <c r="B697" s="3">
        <v>2314</v>
      </c>
      <c r="C697" s="1" t="str">
        <f>HYPERLINK("http://www.uniprot.org/uniprot/POT3_ARATH","POT3_ARATH")</f>
        <v>POT3_ARATH</v>
      </c>
      <c r="D697" t="s">
        <v>753</v>
      </c>
      <c r="E697" s="3" t="s">
        <v>3</v>
      </c>
      <c r="F697" s="4">
        <v>0</v>
      </c>
      <c r="G697" s="3">
        <v>1829</v>
      </c>
      <c r="H697" s="3">
        <v>64</v>
      </c>
      <c r="I697" s="3">
        <v>590</v>
      </c>
      <c r="J697" s="3">
        <v>1</v>
      </c>
      <c r="K697" s="3">
        <v>1764</v>
      </c>
      <c r="L697" s="3">
        <v>185</v>
      </c>
      <c r="M697" s="3">
        <v>773</v>
      </c>
    </row>
    <row r="698" spans="1:13" x14ac:dyDescent="0.25">
      <c r="A698" s="1" t="str">
        <f>HYPERLINK("http://www.rosaceae.org/Prunus/Prunus_persica/p.persica_gdr_reftransV1_0047811","p.persica_gdr_reftransV1_0047811")</f>
        <v>p.persica_gdr_reftransV1_0047811</v>
      </c>
      <c r="B698" s="3">
        <v>1159</v>
      </c>
      <c r="C698" s="1" t="str">
        <f>HYPERLINK("http://www.uniprot.org/uniprot/WAKLG_ARATH","WAKLG_ARATH")</f>
        <v>WAKLG_ARATH</v>
      </c>
      <c r="D698" t="s">
        <v>754</v>
      </c>
      <c r="E698" s="3" t="s">
        <v>3</v>
      </c>
      <c r="F698" s="4">
        <v>4.0100000000000001E-25</v>
      </c>
      <c r="G698" s="3">
        <v>277</v>
      </c>
      <c r="H698" s="3">
        <v>30</v>
      </c>
      <c r="I698" s="3">
        <v>341</v>
      </c>
      <c r="J698" s="3">
        <v>18</v>
      </c>
      <c r="K698" s="3">
        <v>1001</v>
      </c>
      <c r="L698" s="3">
        <v>23</v>
      </c>
      <c r="M698" s="3">
        <v>310</v>
      </c>
    </row>
    <row r="699" spans="1:13" x14ac:dyDescent="0.25">
      <c r="A699" s="1" t="str">
        <f>HYPERLINK("http://www.rosaceae.org/Prunus/Prunus_persica/p.persica_gdr_reftransV1_0047861","p.persica_gdr_reftransV1_0047861")</f>
        <v>p.persica_gdr_reftransV1_0047861</v>
      </c>
      <c r="B699" s="3">
        <v>625</v>
      </c>
      <c r="C699" s="1" t="str">
        <f>HYPERLINK("http://www.uniprot.org/uniprot/PP330_ARATH","PP330_ARATH")</f>
        <v>PP330_ARATH</v>
      </c>
      <c r="D699" t="s">
        <v>755</v>
      </c>
      <c r="E699" s="3" t="s">
        <v>3</v>
      </c>
      <c r="F699" s="4">
        <v>4.9800000000000003E-55</v>
      </c>
      <c r="G699" s="3">
        <v>482</v>
      </c>
      <c r="H699" s="3">
        <v>57</v>
      </c>
      <c r="I699" s="3">
        <v>162</v>
      </c>
      <c r="J699" s="3">
        <v>2</v>
      </c>
      <c r="K699" s="3">
        <v>472</v>
      </c>
      <c r="L699" s="3">
        <v>14</v>
      </c>
      <c r="M699" s="3">
        <v>175</v>
      </c>
    </row>
    <row r="700" spans="1:13" x14ac:dyDescent="0.25">
      <c r="A700" s="1" t="str">
        <f>HYPERLINK("http://www.rosaceae.org/Prunus/Prunus_persica/p.persica_gdr_reftransV1_0047961","p.persica_gdr_reftransV1_0047961")</f>
        <v>p.persica_gdr_reftransV1_0047961</v>
      </c>
      <c r="B700" s="3">
        <v>624</v>
      </c>
      <c r="C700" s="1" t="str">
        <f>HYPERLINK("http://www.uniprot.org/uniprot/SACS_HUMAN","SACS_HUMAN")</f>
        <v>SACS_HUMAN</v>
      </c>
      <c r="D700" t="s">
        <v>756</v>
      </c>
      <c r="E700" s="3" t="s">
        <v>28</v>
      </c>
      <c r="F700" s="4">
        <v>1.36E-15</v>
      </c>
      <c r="G700" s="3">
        <v>196</v>
      </c>
      <c r="H700" s="3">
        <v>33</v>
      </c>
      <c r="I700" s="3">
        <v>150</v>
      </c>
      <c r="J700" s="3">
        <v>160</v>
      </c>
      <c r="K700" s="3">
        <v>579</v>
      </c>
      <c r="L700" s="3">
        <v>1867</v>
      </c>
      <c r="M700" s="3">
        <v>2007</v>
      </c>
    </row>
    <row r="701" spans="1:13" x14ac:dyDescent="0.25">
      <c r="A701" s="1" t="str">
        <f>HYPERLINK("http://www.rosaceae.org/Prunus/Prunus_persica/p.persica_gdr_reftransV1_0048011","p.persica_gdr_reftransV1_0048011")</f>
        <v>p.persica_gdr_reftransV1_0048011</v>
      </c>
      <c r="B701" s="3">
        <v>1965</v>
      </c>
      <c r="C701" s="1" t="str">
        <f>HYPERLINK("http://www.uniprot.org/uniprot/UFOG6_FRAAN","UFOG6_FRAAN")</f>
        <v>UFOG6_FRAAN</v>
      </c>
      <c r="D701" t="s">
        <v>757</v>
      </c>
      <c r="E701" s="3" t="s">
        <v>15</v>
      </c>
      <c r="F701" s="4">
        <v>0</v>
      </c>
      <c r="G701" s="3">
        <v>1593</v>
      </c>
      <c r="H701" s="3">
        <v>65</v>
      </c>
      <c r="I701" s="3">
        <v>485</v>
      </c>
      <c r="J701" s="3">
        <v>408</v>
      </c>
      <c r="K701" s="3">
        <v>1820</v>
      </c>
      <c r="L701" s="3">
        <v>1</v>
      </c>
      <c r="M701" s="3">
        <v>476</v>
      </c>
    </row>
    <row r="702" spans="1:13" x14ac:dyDescent="0.25">
      <c r="A702" s="1" t="str">
        <f>HYPERLINK("http://www.rosaceae.org/Prunus/Prunus_persica/p.persica_gdr_reftransV1_0048061","p.persica_gdr_reftransV1_0048061")</f>
        <v>p.persica_gdr_reftransV1_0048061</v>
      </c>
      <c r="B702" s="3">
        <v>820</v>
      </c>
      <c r="C702" s="1" t="str">
        <f>HYPERLINK("http://www.uniprot.org/uniprot/GPDL6_ARATH","GPDL6_ARATH")</f>
        <v>GPDL6_ARATH</v>
      </c>
      <c r="D702" t="s">
        <v>758</v>
      </c>
      <c r="E702" s="3" t="s">
        <v>3</v>
      </c>
      <c r="F702" s="4">
        <v>2.2499999999999999E-51</v>
      </c>
      <c r="G702" s="3">
        <v>465</v>
      </c>
      <c r="H702" s="3">
        <v>53</v>
      </c>
      <c r="I702" s="3">
        <v>187</v>
      </c>
      <c r="J702" s="3">
        <v>258</v>
      </c>
      <c r="K702" s="3">
        <v>818</v>
      </c>
      <c r="L702" s="3">
        <v>525</v>
      </c>
      <c r="M702" s="3">
        <v>709</v>
      </c>
    </row>
    <row r="703" spans="1:13" x14ac:dyDescent="0.25">
      <c r="A703" s="1" t="str">
        <f>HYPERLINK("http://www.rosaceae.org/Prunus/Prunus_persica/p.persica_gdr_reftransV1_0048161","p.persica_gdr_reftransV1_0048161")</f>
        <v>p.persica_gdr_reftransV1_0048161</v>
      </c>
      <c r="B703" s="3">
        <v>587</v>
      </c>
      <c r="C703" s="1" t="str">
        <f>HYPERLINK("http://www.uniprot.org/uniprot/AB13B_ARATH","AB13B_ARATH")</f>
        <v>AB13B_ARATH</v>
      </c>
      <c r="D703" t="s">
        <v>759</v>
      </c>
      <c r="E703" s="3" t="s">
        <v>3</v>
      </c>
      <c r="F703" s="4">
        <v>5.6399999999999996E-81</v>
      </c>
      <c r="G703" s="3">
        <v>680</v>
      </c>
      <c r="H703" s="3">
        <v>74</v>
      </c>
      <c r="I703" s="3">
        <v>164</v>
      </c>
      <c r="J703" s="3">
        <v>94</v>
      </c>
      <c r="K703" s="3">
        <v>585</v>
      </c>
      <c r="L703" s="3">
        <v>29</v>
      </c>
      <c r="M703" s="3">
        <v>192</v>
      </c>
    </row>
    <row r="704" spans="1:13" x14ac:dyDescent="0.25">
      <c r="A704" s="1" t="str">
        <f>HYPERLINK("http://www.rosaceae.org/Prunus/Prunus_persica/p.persica_gdr_reftransV1_0048261","p.persica_gdr_reftransV1_0048261")</f>
        <v>p.persica_gdr_reftransV1_0048261</v>
      </c>
      <c r="B704" s="3">
        <v>1849</v>
      </c>
      <c r="C704" s="1" t="str">
        <f>HYPERLINK("http://www.uniprot.org/uniprot/Y4139_ARATH","Y4139_ARATH")</f>
        <v>Y4139_ARATH</v>
      </c>
      <c r="D704" t="s">
        <v>760</v>
      </c>
      <c r="E704" s="3" t="s">
        <v>3</v>
      </c>
      <c r="F704" s="4">
        <v>0</v>
      </c>
      <c r="G704" s="3">
        <v>1952</v>
      </c>
      <c r="H704" s="3">
        <v>86</v>
      </c>
      <c r="I704" s="3">
        <v>428</v>
      </c>
      <c r="J704" s="3">
        <v>340</v>
      </c>
      <c r="K704" s="3">
        <v>1623</v>
      </c>
      <c r="L704" s="3">
        <v>263</v>
      </c>
      <c r="M704" s="3">
        <v>682</v>
      </c>
    </row>
    <row r="705" spans="1:13" x14ac:dyDescent="0.25">
      <c r="A705" s="1" t="str">
        <f>HYPERLINK("http://www.rosaceae.org/Prunus/Prunus_persica/p.persica_gdr_reftransV1_0048311","p.persica_gdr_reftransV1_0048311")</f>
        <v>p.persica_gdr_reftransV1_0048311</v>
      </c>
      <c r="B705" s="3">
        <v>478</v>
      </c>
      <c r="C705" s="1" t="str">
        <f>HYPERLINK("http://www.uniprot.org/uniprot/ATR_ARATH","ATR_ARATH")</f>
        <v>ATR_ARATH</v>
      </c>
      <c r="D705" t="s">
        <v>761</v>
      </c>
      <c r="E705" s="3" t="s">
        <v>3</v>
      </c>
      <c r="F705" s="4">
        <v>1.8500000000000002E-80</v>
      </c>
      <c r="G705" s="3">
        <v>679</v>
      </c>
      <c r="H705" s="3">
        <v>79</v>
      </c>
      <c r="I705" s="3">
        <v>159</v>
      </c>
      <c r="J705" s="3">
        <v>2</v>
      </c>
      <c r="K705" s="3">
        <v>478</v>
      </c>
      <c r="L705" s="3">
        <v>1764</v>
      </c>
      <c r="M705" s="3">
        <v>1922</v>
      </c>
    </row>
    <row r="706" spans="1:13" x14ac:dyDescent="0.25">
      <c r="A706" s="1" t="str">
        <f>HYPERLINK("http://www.rosaceae.org/Prunus/Prunus_persica/p.persica_gdr_reftransV1_0048361","p.persica_gdr_reftransV1_0048361")</f>
        <v>p.persica_gdr_reftransV1_0048361</v>
      </c>
      <c r="B706" s="3">
        <v>2138</v>
      </c>
      <c r="C706" s="1" t="str">
        <f>HYPERLINK("http://www.uniprot.org/uniprot/VIL1_ARATH","VIL1_ARATH")</f>
        <v>VIL1_ARATH</v>
      </c>
      <c r="D706" t="s">
        <v>762</v>
      </c>
      <c r="E706" s="3" t="s">
        <v>3</v>
      </c>
      <c r="F706" s="4">
        <v>6.5300000000000001E-79</v>
      </c>
      <c r="G706" s="3">
        <v>690</v>
      </c>
      <c r="H706" s="3">
        <v>55</v>
      </c>
      <c r="I706" s="3">
        <v>253</v>
      </c>
      <c r="J706" s="3">
        <v>337</v>
      </c>
      <c r="K706" s="3">
        <v>1092</v>
      </c>
      <c r="L706" s="3">
        <v>4</v>
      </c>
      <c r="M706" s="3">
        <v>236</v>
      </c>
    </row>
    <row r="707" spans="1:13" x14ac:dyDescent="0.25">
      <c r="A707" s="1" t="str">
        <f>HYPERLINK("http://www.rosaceae.org/Prunus/Prunus_persica/p.persica_gdr_reftransV1_0048511","p.persica_gdr_reftransV1_0048511")</f>
        <v>p.persica_gdr_reftransV1_0048511</v>
      </c>
      <c r="B707" s="3">
        <v>1047</v>
      </c>
      <c r="C707" s="1" t="str">
        <f>HYPERLINK("http://www.uniprot.org/uniprot/SDR1_ARATH","SDR1_ARATH")</f>
        <v>SDR1_ARATH</v>
      </c>
      <c r="D707" t="s">
        <v>763</v>
      </c>
      <c r="E707" s="3" t="s">
        <v>3</v>
      </c>
      <c r="F707" s="4">
        <v>1.93E-94</v>
      </c>
      <c r="G707" s="3">
        <v>741</v>
      </c>
      <c r="H707" s="3">
        <v>50</v>
      </c>
      <c r="I707" s="3">
        <v>300</v>
      </c>
      <c r="J707" s="3">
        <v>55</v>
      </c>
      <c r="K707" s="3">
        <v>942</v>
      </c>
      <c r="L707" s="3">
        <v>7</v>
      </c>
      <c r="M707" s="3">
        <v>296</v>
      </c>
    </row>
    <row r="708" spans="1:13" x14ac:dyDescent="0.25">
      <c r="A708" s="1" t="str">
        <f>HYPERLINK("http://www.rosaceae.org/Prunus/Prunus_persica/p.persica_gdr_reftransV1_0048611","p.persica_gdr_reftransV1_0048611")</f>
        <v>p.persica_gdr_reftransV1_0048611</v>
      </c>
      <c r="B708" s="3">
        <v>2392</v>
      </c>
      <c r="C708" s="1" t="str">
        <f>HYPERLINK("http://www.uniprot.org/uniprot/FPGS2_ARATH","FPGS2_ARATH")</f>
        <v>FPGS2_ARATH</v>
      </c>
      <c r="D708" t="s">
        <v>764</v>
      </c>
      <c r="E708" s="3" t="s">
        <v>3</v>
      </c>
      <c r="F708" s="4">
        <v>0</v>
      </c>
      <c r="G708" s="3">
        <v>1918</v>
      </c>
      <c r="H708" s="3">
        <v>60</v>
      </c>
      <c r="I708" s="3">
        <v>634</v>
      </c>
      <c r="J708" s="3">
        <v>406</v>
      </c>
      <c r="K708" s="3">
        <v>2301</v>
      </c>
      <c r="L708" s="3">
        <v>1</v>
      </c>
      <c r="M708" s="3">
        <v>618</v>
      </c>
    </row>
    <row r="709" spans="1:13" x14ac:dyDescent="0.25">
      <c r="A709" s="1" t="str">
        <f>HYPERLINK("http://www.rosaceae.org/Prunus/Prunus_persica/p.persica_gdr_reftransV1_0048661","p.persica_gdr_reftransV1_0048661")</f>
        <v>p.persica_gdr_reftransV1_0048661</v>
      </c>
      <c r="B709" s="3">
        <v>1264</v>
      </c>
      <c r="C709" s="1" t="str">
        <f>HYPERLINK("http://www.uniprot.org/uniprot/LYPA2_HUMAN","LYPA2_HUMAN")</f>
        <v>LYPA2_HUMAN</v>
      </c>
      <c r="D709" t="s">
        <v>765</v>
      </c>
      <c r="E709" s="3" t="s">
        <v>28</v>
      </c>
      <c r="F709" s="4">
        <v>3.6999999999999998E-31</v>
      </c>
      <c r="G709" s="3">
        <v>310</v>
      </c>
      <c r="H709" s="3">
        <v>35</v>
      </c>
      <c r="I709" s="3">
        <v>226</v>
      </c>
      <c r="J709" s="3">
        <v>304</v>
      </c>
      <c r="K709" s="3">
        <v>960</v>
      </c>
      <c r="L709" s="3">
        <v>22</v>
      </c>
      <c r="M709" s="3">
        <v>228</v>
      </c>
    </row>
    <row r="710" spans="1:13" x14ac:dyDescent="0.25">
      <c r="A710" s="1" t="str">
        <f>HYPERLINK("http://www.rosaceae.org/Prunus/Prunus_persica/p.persica_gdr_reftransV1_0048711","p.persica_gdr_reftransV1_0048711")</f>
        <v>p.persica_gdr_reftransV1_0048711</v>
      </c>
      <c r="B710" s="3">
        <v>1818</v>
      </c>
      <c r="C710" s="1" t="str">
        <f>HYPERLINK("http://www.uniprot.org/uniprot/DRE2C_ARATH","DRE2C_ARATH")</f>
        <v>DRE2C_ARATH</v>
      </c>
      <c r="D710" t="s">
        <v>766</v>
      </c>
      <c r="E710" s="3" t="s">
        <v>3</v>
      </c>
      <c r="F710" s="4">
        <v>2.7300000000000001E-38</v>
      </c>
      <c r="G710" s="3">
        <v>374</v>
      </c>
      <c r="H710" s="3">
        <v>40</v>
      </c>
      <c r="I710" s="3">
        <v>350</v>
      </c>
      <c r="J710" s="3">
        <v>345</v>
      </c>
      <c r="K710" s="3">
        <v>1355</v>
      </c>
      <c r="L710" s="3">
        <v>18</v>
      </c>
      <c r="M710" s="3">
        <v>332</v>
      </c>
    </row>
    <row r="711" spans="1:13" x14ac:dyDescent="0.25">
      <c r="A711" s="1" t="str">
        <f>HYPERLINK("http://www.rosaceae.org/Prunus/Prunus_persica/p.persica_gdr_reftransV1_0048761","p.persica_gdr_reftransV1_0048761")</f>
        <v>p.persica_gdr_reftransV1_0048761</v>
      </c>
      <c r="B711" s="3">
        <v>1193</v>
      </c>
      <c r="C711" s="1" t="str">
        <f>HYPERLINK("http://www.uniprot.org/uniprot/14338_ARATH","14338_ARATH")</f>
        <v>14338_ARATH</v>
      </c>
      <c r="D711" t="s">
        <v>767</v>
      </c>
      <c r="E711" s="3" t="s">
        <v>3</v>
      </c>
      <c r="F711" s="4">
        <v>2.1799999999999998E-143</v>
      </c>
      <c r="G711" s="3">
        <v>1066</v>
      </c>
      <c r="H711" s="3">
        <v>87</v>
      </c>
      <c r="I711" s="3">
        <v>244</v>
      </c>
      <c r="J711" s="3">
        <v>66</v>
      </c>
      <c r="K711" s="3">
        <v>794</v>
      </c>
      <c r="L711" s="3">
        <v>4</v>
      </c>
      <c r="M711" s="3">
        <v>247</v>
      </c>
    </row>
    <row r="712" spans="1:13" x14ac:dyDescent="0.25">
      <c r="A712" s="1" t="str">
        <f>HYPERLINK("http://www.rosaceae.org/Prunus/Prunus_persica/p.persica_gdr_reftransV1_0048811","p.persica_gdr_reftransV1_0048811")</f>
        <v>p.persica_gdr_reftransV1_0048811</v>
      </c>
      <c r="B712" s="3">
        <v>674</v>
      </c>
      <c r="C712" s="1" t="str">
        <f>HYPERLINK("http://www.uniprot.org/uniprot/NAM1_HORVD","NAM1_HORVD")</f>
        <v>NAM1_HORVD</v>
      </c>
      <c r="D712" t="s">
        <v>768</v>
      </c>
      <c r="E712" s="3" t="s">
        <v>769</v>
      </c>
      <c r="F712" s="4">
        <v>2.7300000000000001E-38</v>
      </c>
      <c r="G712" s="3">
        <v>358</v>
      </c>
      <c r="H712" s="3">
        <v>50</v>
      </c>
      <c r="I712" s="3">
        <v>139</v>
      </c>
      <c r="J712" s="3">
        <v>219</v>
      </c>
      <c r="K712" s="3">
        <v>611</v>
      </c>
      <c r="L712" s="3">
        <v>34</v>
      </c>
      <c r="M712" s="3">
        <v>171</v>
      </c>
    </row>
    <row r="713" spans="1:13" x14ac:dyDescent="0.25">
      <c r="A713" s="1" t="str">
        <f>HYPERLINK("http://www.rosaceae.org/Prunus/Prunus_persica/p.persica_gdr_reftransV1_0048961","p.persica_gdr_reftransV1_0048961")</f>
        <v>p.persica_gdr_reftransV1_0048961</v>
      </c>
      <c r="B713" s="3">
        <v>1105</v>
      </c>
      <c r="C713" s="1" t="str">
        <f>HYPERLINK("http://www.uniprot.org/uniprot/SAU32_ARATH","SAU32_ARATH")</f>
        <v>SAU32_ARATH</v>
      </c>
      <c r="D713" t="s">
        <v>770</v>
      </c>
      <c r="E713" s="3" t="s">
        <v>3</v>
      </c>
      <c r="F713" s="4">
        <v>1.2799999999999999E-34</v>
      </c>
      <c r="G713" s="3">
        <v>324</v>
      </c>
      <c r="H713" s="3">
        <v>74</v>
      </c>
      <c r="I713" s="3">
        <v>82</v>
      </c>
      <c r="J713" s="3">
        <v>552</v>
      </c>
      <c r="K713" s="3">
        <v>794</v>
      </c>
      <c r="L713" s="3">
        <v>16</v>
      </c>
      <c r="M713" s="3">
        <v>97</v>
      </c>
    </row>
    <row r="714" spans="1:13" x14ac:dyDescent="0.25">
      <c r="A714" s="1" t="str">
        <f>HYPERLINK("http://www.rosaceae.org/Prunus/Prunus_persica/p.persica_gdr_reftransV1_0049011","p.persica_gdr_reftransV1_0049011")</f>
        <v>p.persica_gdr_reftransV1_0049011</v>
      </c>
      <c r="B714" s="3">
        <v>1176</v>
      </c>
      <c r="C714" s="1" t="str">
        <f>HYPERLINK("http://www.uniprot.org/uniprot/FB119_ARATH","FB119_ARATH")</f>
        <v>FB119_ARATH</v>
      </c>
      <c r="D714" t="s">
        <v>771</v>
      </c>
      <c r="E714" s="3" t="s">
        <v>3</v>
      </c>
      <c r="F714" s="4">
        <v>2.8999999999999999E-83</v>
      </c>
      <c r="G714" s="3">
        <v>674</v>
      </c>
      <c r="H714" s="3">
        <v>51</v>
      </c>
      <c r="I714" s="3">
        <v>276</v>
      </c>
      <c r="J714" s="3">
        <v>293</v>
      </c>
      <c r="K714" s="3">
        <v>1093</v>
      </c>
      <c r="L714" s="3">
        <v>3</v>
      </c>
      <c r="M714" s="3">
        <v>273</v>
      </c>
    </row>
    <row r="715" spans="1:13" x14ac:dyDescent="0.25">
      <c r="A715" s="1" t="str">
        <f>HYPERLINK("http://www.rosaceae.org/Prunus/Prunus_persica/p.persica_gdr_reftransV1_0049061","p.persica_gdr_reftransV1_0049061")</f>
        <v>p.persica_gdr_reftransV1_0049061</v>
      </c>
      <c r="B715" s="3">
        <v>1427</v>
      </c>
      <c r="C715" s="1" t="str">
        <f>HYPERLINK("http://www.uniprot.org/uniprot/PLT6_ARATH","PLT6_ARATH")</f>
        <v>PLT6_ARATH</v>
      </c>
      <c r="D715" t="s">
        <v>772</v>
      </c>
      <c r="E715" s="3" t="s">
        <v>3</v>
      </c>
      <c r="F715" s="4">
        <v>0</v>
      </c>
      <c r="G715" s="3">
        <v>1476</v>
      </c>
      <c r="H715" s="3">
        <v>70</v>
      </c>
      <c r="I715" s="3">
        <v>410</v>
      </c>
      <c r="J715" s="3">
        <v>1</v>
      </c>
      <c r="K715" s="3">
        <v>1227</v>
      </c>
      <c r="L715" s="3">
        <v>82</v>
      </c>
      <c r="M715" s="3">
        <v>491</v>
      </c>
    </row>
    <row r="716" spans="1:13" x14ac:dyDescent="0.25">
      <c r="A716" s="1" t="str">
        <f>HYPERLINK("http://www.rosaceae.org/Prunus/Prunus_persica/p.persica_gdr_reftransV1_0049111","p.persica_gdr_reftransV1_0049111")</f>
        <v>p.persica_gdr_reftransV1_0049111</v>
      </c>
      <c r="B716" s="3">
        <v>409</v>
      </c>
      <c r="C716" s="1" t="str">
        <f>HYPERLINK("http://www.uniprot.org/uniprot/PP249_ARATH","PP249_ARATH")</f>
        <v>PP249_ARATH</v>
      </c>
      <c r="D716" t="s">
        <v>602</v>
      </c>
      <c r="E716" s="3" t="s">
        <v>3</v>
      </c>
      <c r="F716" s="4">
        <v>2.1699999999999999E-26</v>
      </c>
      <c r="G716" s="3">
        <v>270</v>
      </c>
      <c r="H716" s="3">
        <v>40</v>
      </c>
      <c r="I716" s="3">
        <v>124</v>
      </c>
      <c r="J716" s="3">
        <v>1</v>
      </c>
      <c r="K716" s="3">
        <v>372</v>
      </c>
      <c r="L716" s="3">
        <v>82</v>
      </c>
      <c r="M716" s="3">
        <v>205</v>
      </c>
    </row>
    <row r="717" spans="1:13" x14ac:dyDescent="0.25">
      <c r="A717" s="1" t="str">
        <f>HYPERLINK("http://www.rosaceae.org/Prunus/Prunus_persica/p.persica_gdr_reftransV1_0049161","p.persica_gdr_reftransV1_0049161")</f>
        <v>p.persica_gdr_reftransV1_0049161</v>
      </c>
      <c r="B717" s="3">
        <v>1887</v>
      </c>
      <c r="C717" s="1" t="str">
        <f>HYPERLINK("http://www.uniprot.org/uniprot/DNAJ_WOLSU","DNAJ_WOLSU")</f>
        <v>DNAJ_WOLSU</v>
      </c>
      <c r="D717" t="s">
        <v>773</v>
      </c>
      <c r="E717" s="3" t="s">
        <v>774</v>
      </c>
      <c r="F717" s="4">
        <v>5.9300000000000005E-11</v>
      </c>
      <c r="G717" s="3">
        <v>166</v>
      </c>
      <c r="H717" s="3">
        <v>30</v>
      </c>
      <c r="I717" s="3">
        <v>158</v>
      </c>
      <c r="J717" s="3">
        <v>612</v>
      </c>
      <c r="K717" s="3">
        <v>1055</v>
      </c>
      <c r="L717" s="3">
        <v>3</v>
      </c>
      <c r="M717" s="3">
        <v>155</v>
      </c>
    </row>
    <row r="718" spans="1:13" x14ac:dyDescent="0.25">
      <c r="A718" s="1" t="str">
        <f>HYPERLINK("http://www.rosaceae.org/Prunus/Prunus_persica/p.persica_gdr_reftransV1_0000012","p.persica_gdr_reftransV1_0000012")</f>
        <v>p.persica_gdr_reftransV1_0000012</v>
      </c>
      <c r="B718" s="3">
        <v>491</v>
      </c>
      <c r="C718" s="1" t="str">
        <f>HYPERLINK("http://www.uniprot.org/uniprot/OLEO2_BRANA","OLEO2_BRANA")</f>
        <v>OLEO2_BRANA</v>
      </c>
      <c r="D718" t="s">
        <v>775</v>
      </c>
      <c r="E718" s="3" t="s">
        <v>776</v>
      </c>
      <c r="F718" s="4">
        <v>1.64E-16</v>
      </c>
      <c r="G718" s="3">
        <v>188</v>
      </c>
      <c r="H718" s="3">
        <v>56</v>
      </c>
      <c r="I718" s="3">
        <v>91</v>
      </c>
      <c r="J718" s="3">
        <v>169</v>
      </c>
      <c r="K718" s="3">
        <v>441</v>
      </c>
      <c r="L718" s="3">
        <v>33</v>
      </c>
      <c r="M718" s="3">
        <v>123</v>
      </c>
    </row>
    <row r="719" spans="1:13" x14ac:dyDescent="0.25">
      <c r="A719" s="1" t="str">
        <f>HYPERLINK("http://www.rosaceae.org/Prunus/Prunus_persica/p.persica_gdr_reftransV1_0000162","p.persica_gdr_reftransV1_0000162")</f>
        <v>p.persica_gdr_reftransV1_0000162</v>
      </c>
      <c r="B719" s="3">
        <v>773</v>
      </c>
      <c r="C719" s="1" t="str">
        <f>HYPERLINK("http://www.uniprot.org/uniprot/14KD_DAUCA","14KD_DAUCA")</f>
        <v>14KD_DAUCA</v>
      </c>
      <c r="D719" t="s">
        <v>777</v>
      </c>
      <c r="E719" s="3" t="s">
        <v>32</v>
      </c>
      <c r="F719" s="4">
        <v>1.0700000000000001E-31</v>
      </c>
      <c r="G719" s="3">
        <v>298</v>
      </c>
      <c r="H719" s="3">
        <v>68</v>
      </c>
      <c r="I719" s="3">
        <v>84</v>
      </c>
      <c r="J719" s="3">
        <v>220</v>
      </c>
      <c r="K719" s="3">
        <v>468</v>
      </c>
      <c r="L719" s="3">
        <v>54</v>
      </c>
      <c r="M719" s="3">
        <v>137</v>
      </c>
    </row>
    <row r="720" spans="1:13" x14ac:dyDescent="0.25">
      <c r="A720" s="1" t="str">
        <f>HYPERLINK("http://www.rosaceae.org/Prunus/Prunus_persica/p.persica_gdr_reftransV1_0000212","p.persica_gdr_reftransV1_0000212")</f>
        <v>p.persica_gdr_reftransV1_0000212</v>
      </c>
      <c r="B720" s="3">
        <v>314</v>
      </c>
      <c r="C720" s="1" t="str">
        <f>HYPERLINK("http://www.uniprot.org/uniprot/ATL8_ARATH","ATL8_ARATH")</f>
        <v>ATL8_ARATH</v>
      </c>
      <c r="D720" t="s">
        <v>778</v>
      </c>
      <c r="E720" s="3" t="s">
        <v>3</v>
      </c>
      <c r="F720" s="4">
        <v>7.2899999999999997E-22</v>
      </c>
      <c r="G720" s="3">
        <v>221</v>
      </c>
      <c r="H720" s="3">
        <v>53</v>
      </c>
      <c r="I720" s="3">
        <v>74</v>
      </c>
      <c r="J720" s="3">
        <v>17</v>
      </c>
      <c r="K720" s="3">
        <v>232</v>
      </c>
      <c r="L720" s="3">
        <v>78</v>
      </c>
      <c r="M720" s="3">
        <v>151</v>
      </c>
    </row>
    <row r="721" spans="1:13" x14ac:dyDescent="0.25">
      <c r="A721" s="1" t="str">
        <f>HYPERLINK("http://www.rosaceae.org/Prunus/Prunus_persica/p.persica_gdr_reftransV1_0000262","p.persica_gdr_reftransV1_0000262")</f>
        <v>p.persica_gdr_reftransV1_0000262</v>
      </c>
      <c r="B721" s="3">
        <v>1818</v>
      </c>
      <c r="C721" s="1" t="str">
        <f>HYPERLINK("http://www.uniprot.org/uniprot/BCS1_SCHPO","BCS1_SCHPO")</f>
        <v>BCS1_SCHPO</v>
      </c>
      <c r="D721" t="s">
        <v>779</v>
      </c>
      <c r="E721" s="3" t="s">
        <v>464</v>
      </c>
      <c r="F721" s="4">
        <v>8.2900000000000003E-32</v>
      </c>
      <c r="G721" s="3">
        <v>331</v>
      </c>
      <c r="H721" s="3">
        <v>38</v>
      </c>
      <c r="I721" s="3">
        <v>189</v>
      </c>
      <c r="J721" s="3">
        <v>722</v>
      </c>
      <c r="K721" s="3">
        <v>1258</v>
      </c>
      <c r="L721" s="3">
        <v>200</v>
      </c>
      <c r="M721" s="3">
        <v>385</v>
      </c>
    </row>
    <row r="722" spans="1:13" x14ac:dyDescent="0.25">
      <c r="A722" s="1" t="str">
        <f>HYPERLINK("http://www.rosaceae.org/Prunus/Prunus_persica/p.persica_gdr_reftransV1_0000312","p.persica_gdr_reftransV1_0000312")</f>
        <v>p.persica_gdr_reftransV1_0000312</v>
      </c>
      <c r="B722" s="3">
        <v>1536</v>
      </c>
      <c r="C722" s="1" t="str">
        <f>HYPERLINK("http://www.uniprot.org/uniprot/LIPBL_ARATH","LIPBL_ARATH")</f>
        <v>LIPBL_ARATH</v>
      </c>
      <c r="D722" t="s">
        <v>780</v>
      </c>
      <c r="E722" s="3" t="s">
        <v>3</v>
      </c>
      <c r="F722" s="4">
        <v>1.0199999999999999E-117</v>
      </c>
      <c r="G722" s="3">
        <v>910</v>
      </c>
      <c r="H722" s="3">
        <v>65</v>
      </c>
      <c r="I722" s="3">
        <v>256</v>
      </c>
      <c r="J722" s="3">
        <v>165</v>
      </c>
      <c r="K722" s="3">
        <v>932</v>
      </c>
      <c r="L722" s="3">
        <v>34</v>
      </c>
      <c r="M722" s="3">
        <v>279</v>
      </c>
    </row>
    <row r="723" spans="1:13" x14ac:dyDescent="0.25">
      <c r="A723" s="1" t="str">
        <f>HYPERLINK("http://www.rosaceae.org/Prunus/Prunus_persica/p.persica_gdr_reftransV1_0000362","p.persica_gdr_reftransV1_0000362")</f>
        <v>p.persica_gdr_reftransV1_0000362</v>
      </c>
      <c r="B723" s="3">
        <v>747</v>
      </c>
      <c r="C723" s="1" t="str">
        <f>HYPERLINK("http://www.uniprot.org/uniprot/NU6M_ARATH","NU6M_ARATH")</f>
        <v>NU6M_ARATH</v>
      </c>
      <c r="D723" t="s">
        <v>781</v>
      </c>
      <c r="E723" s="3" t="s">
        <v>3</v>
      </c>
      <c r="F723" s="4">
        <v>2.5500000000000001E-117</v>
      </c>
      <c r="G723" s="3">
        <v>874</v>
      </c>
      <c r="H723" s="3">
        <v>97</v>
      </c>
      <c r="I723" s="3">
        <v>181</v>
      </c>
      <c r="J723" s="3">
        <v>3</v>
      </c>
      <c r="K723" s="3">
        <v>545</v>
      </c>
      <c r="L723" s="3">
        <v>19</v>
      </c>
      <c r="M723" s="3">
        <v>199</v>
      </c>
    </row>
    <row r="724" spans="1:13" x14ac:dyDescent="0.25">
      <c r="A724" s="1" t="str">
        <f>HYPERLINK("http://www.rosaceae.org/Prunus/Prunus_persica/p.persica_gdr_reftransV1_0000412","p.persica_gdr_reftransV1_0000412")</f>
        <v>p.persica_gdr_reftransV1_0000412</v>
      </c>
      <c r="B724" s="3">
        <v>1772</v>
      </c>
      <c r="C724" s="1" t="str">
        <f>HYPERLINK("http://www.uniprot.org/uniprot/AL121_ARATH","AL121_ARATH")</f>
        <v>AL121_ARATH</v>
      </c>
      <c r="D724" t="s">
        <v>782</v>
      </c>
      <c r="E724" s="3" t="s">
        <v>3</v>
      </c>
      <c r="F724" s="4">
        <v>0</v>
      </c>
      <c r="G724" s="3">
        <v>1606</v>
      </c>
      <c r="H724" s="3">
        <v>86</v>
      </c>
      <c r="I724" s="3">
        <v>339</v>
      </c>
      <c r="J724" s="3">
        <v>11</v>
      </c>
      <c r="K724" s="3">
        <v>1024</v>
      </c>
      <c r="L724" s="3">
        <v>218</v>
      </c>
      <c r="M724" s="3">
        <v>556</v>
      </c>
    </row>
    <row r="725" spans="1:13" x14ac:dyDescent="0.25">
      <c r="A725" s="1" t="str">
        <f>HYPERLINK("http://www.rosaceae.org/Prunus/Prunus_persica/p.persica_gdr_reftransV1_0000462","p.persica_gdr_reftransV1_0000462")</f>
        <v>p.persica_gdr_reftransV1_0000462</v>
      </c>
      <c r="B725" s="3">
        <v>866</v>
      </c>
      <c r="C725" s="1" t="str">
        <f>HYPERLINK("http://www.uniprot.org/uniprot/PGLR_PRUPE","PGLR_PRUPE")</f>
        <v>PGLR_PRUPE</v>
      </c>
      <c r="D725" t="s">
        <v>783</v>
      </c>
      <c r="E725" s="3" t="s">
        <v>784</v>
      </c>
      <c r="F725" s="4">
        <v>4.3599999999999997E-96</v>
      </c>
      <c r="G725" s="3">
        <v>755</v>
      </c>
      <c r="H725" s="3">
        <v>97</v>
      </c>
      <c r="I725" s="3">
        <v>142</v>
      </c>
      <c r="J725" s="3">
        <v>179</v>
      </c>
      <c r="K725" s="3">
        <v>604</v>
      </c>
      <c r="L725" s="3">
        <v>252</v>
      </c>
      <c r="M725" s="3">
        <v>393</v>
      </c>
    </row>
    <row r="726" spans="1:13" x14ac:dyDescent="0.25">
      <c r="A726" s="1" t="str">
        <f>HYPERLINK("http://www.rosaceae.org/Prunus/Prunus_persica/p.persica_gdr_reftransV1_0000512","p.persica_gdr_reftransV1_0000512")</f>
        <v>p.persica_gdr_reftransV1_0000512</v>
      </c>
      <c r="B726" s="3">
        <v>1352</v>
      </c>
      <c r="C726" s="1" t="str">
        <f>HYPERLINK("http://www.uniprot.org/uniprot/P2C14_ARATH","P2C14_ARATH")</f>
        <v>P2C14_ARATH</v>
      </c>
      <c r="D726" t="s">
        <v>785</v>
      </c>
      <c r="E726" s="3" t="s">
        <v>3</v>
      </c>
      <c r="F726" s="4">
        <v>3.5700000000000002E-107</v>
      </c>
      <c r="G726" s="3">
        <v>850</v>
      </c>
      <c r="H726" s="3">
        <v>57</v>
      </c>
      <c r="I726" s="3">
        <v>337</v>
      </c>
      <c r="J726" s="3">
        <v>1</v>
      </c>
      <c r="K726" s="3">
        <v>972</v>
      </c>
      <c r="L726" s="3">
        <v>81</v>
      </c>
      <c r="M726" s="3">
        <v>403</v>
      </c>
    </row>
    <row r="727" spans="1:13" x14ac:dyDescent="0.25">
      <c r="A727" s="1" t="str">
        <f>HYPERLINK("http://www.rosaceae.org/Prunus/Prunus_persica/p.persica_gdr_reftransV1_0000562","p.persica_gdr_reftransV1_0000562")</f>
        <v>p.persica_gdr_reftransV1_0000562</v>
      </c>
      <c r="B727" s="3">
        <v>2047</v>
      </c>
      <c r="C727" s="1" t="str">
        <f>HYPERLINK("http://www.uniprot.org/uniprot/ADNT1_ARATH","ADNT1_ARATH")</f>
        <v>ADNT1_ARATH</v>
      </c>
      <c r="D727" t="s">
        <v>786</v>
      </c>
      <c r="E727" s="3" t="s">
        <v>3</v>
      </c>
      <c r="F727" s="4">
        <v>2.0300000000000001E-50</v>
      </c>
      <c r="G727" s="3">
        <v>467</v>
      </c>
      <c r="H727" s="3">
        <v>38</v>
      </c>
      <c r="I727" s="3">
        <v>354</v>
      </c>
      <c r="J727" s="3">
        <v>265</v>
      </c>
      <c r="K727" s="3">
        <v>1251</v>
      </c>
      <c r="L727" s="3">
        <v>9</v>
      </c>
      <c r="M727" s="3">
        <v>346</v>
      </c>
    </row>
    <row r="728" spans="1:13" x14ac:dyDescent="0.25">
      <c r="A728" s="1" t="str">
        <f>HYPERLINK("http://www.rosaceae.org/Prunus/Prunus_persica/p.persica_gdr_reftransV1_0000662","p.persica_gdr_reftransV1_0000662")</f>
        <v>p.persica_gdr_reftransV1_0000662</v>
      </c>
      <c r="B728" s="3">
        <v>2801</v>
      </c>
      <c r="C728" s="1" t="str">
        <f>HYPERLINK("http://www.uniprot.org/uniprot/NU2C2_TOBAC","NU2C2_TOBAC")</f>
        <v>NU2C2_TOBAC</v>
      </c>
      <c r="D728" t="s">
        <v>787</v>
      </c>
      <c r="E728" s="3" t="s">
        <v>200</v>
      </c>
      <c r="F728" s="4">
        <v>7.7100000000000001E-112</v>
      </c>
      <c r="G728" s="3">
        <v>924</v>
      </c>
      <c r="H728" s="3">
        <v>99</v>
      </c>
      <c r="I728" s="3">
        <v>195</v>
      </c>
      <c r="J728" s="3">
        <v>1</v>
      </c>
      <c r="K728" s="3">
        <v>585</v>
      </c>
      <c r="L728" s="3">
        <v>1</v>
      </c>
      <c r="M728" s="3">
        <v>195</v>
      </c>
    </row>
    <row r="729" spans="1:13" x14ac:dyDescent="0.25">
      <c r="A729" s="1" t="str">
        <f>HYPERLINK("http://www.rosaceae.org/Prunus/Prunus_persica/p.persica_gdr_reftransV1_0000712","p.persica_gdr_reftransV1_0000712")</f>
        <v>p.persica_gdr_reftransV1_0000712</v>
      </c>
      <c r="B729" s="3">
        <v>841</v>
      </c>
      <c r="C729" s="1" t="str">
        <f>HYPERLINK("http://www.uniprot.org/uniprot/SNAK2_SOLTU","SNAK2_SOLTU")</f>
        <v>SNAK2_SOLTU</v>
      </c>
      <c r="D729" t="s">
        <v>788</v>
      </c>
      <c r="E729" s="3" t="s">
        <v>11</v>
      </c>
      <c r="F729" s="4">
        <v>5.8400000000000003E-19</v>
      </c>
      <c r="G729" s="3">
        <v>207</v>
      </c>
      <c r="H729" s="3">
        <v>65</v>
      </c>
      <c r="I729" s="3">
        <v>62</v>
      </c>
      <c r="J729" s="3">
        <v>253</v>
      </c>
      <c r="K729" s="3">
        <v>438</v>
      </c>
      <c r="L729" s="3">
        <v>44</v>
      </c>
      <c r="M729" s="3">
        <v>104</v>
      </c>
    </row>
    <row r="730" spans="1:13" x14ac:dyDescent="0.25">
      <c r="A730" s="1" t="str">
        <f>HYPERLINK("http://www.rosaceae.org/Prunus/Prunus_persica/p.persica_gdr_reftransV1_0000762","p.persica_gdr_reftransV1_0000762")</f>
        <v>p.persica_gdr_reftransV1_0000762</v>
      </c>
      <c r="B730" s="3">
        <v>2171</v>
      </c>
      <c r="C730" s="1" t="str">
        <f>HYPERLINK("http://www.uniprot.org/uniprot/FPGS1_ARATH","FPGS1_ARATH")</f>
        <v>FPGS1_ARATH</v>
      </c>
      <c r="D730" t="s">
        <v>789</v>
      </c>
      <c r="E730" s="3" t="s">
        <v>3</v>
      </c>
      <c r="F730" s="4">
        <v>0</v>
      </c>
      <c r="G730" s="3">
        <v>1726</v>
      </c>
      <c r="H730" s="3">
        <v>66</v>
      </c>
      <c r="I730" s="3">
        <v>556</v>
      </c>
      <c r="J730" s="3">
        <v>420</v>
      </c>
      <c r="K730" s="3">
        <v>2069</v>
      </c>
      <c r="L730" s="3">
        <v>46</v>
      </c>
      <c r="M730" s="3">
        <v>571</v>
      </c>
    </row>
    <row r="731" spans="1:13" x14ac:dyDescent="0.25">
      <c r="A731" s="1" t="str">
        <f>HYPERLINK("http://www.rosaceae.org/Prunus/Prunus_persica/p.persica_gdr_reftransV1_0000862","p.persica_gdr_reftransV1_0000862")</f>
        <v>p.persica_gdr_reftransV1_0000862</v>
      </c>
      <c r="B731" s="3">
        <v>1837</v>
      </c>
      <c r="C731" s="1" t="str">
        <f>HYPERLINK("http://www.uniprot.org/uniprot/FDL1_ARATH","FDL1_ARATH")</f>
        <v>FDL1_ARATH</v>
      </c>
      <c r="D731" t="s">
        <v>275</v>
      </c>
      <c r="E731" s="3" t="s">
        <v>3</v>
      </c>
      <c r="F731" s="4">
        <v>5.3899999999999999E-84</v>
      </c>
      <c r="G731" s="3">
        <v>704</v>
      </c>
      <c r="H731" s="3">
        <v>40</v>
      </c>
      <c r="I731" s="3">
        <v>415</v>
      </c>
      <c r="J731" s="3">
        <v>331</v>
      </c>
      <c r="K731" s="3">
        <v>1539</v>
      </c>
      <c r="L731" s="3">
        <v>6</v>
      </c>
      <c r="M731" s="3">
        <v>414</v>
      </c>
    </row>
    <row r="732" spans="1:13" x14ac:dyDescent="0.25">
      <c r="A732" s="1" t="str">
        <f>HYPERLINK("http://www.rosaceae.org/Prunus/Prunus_persica/p.persica_gdr_reftransV1_0001012","p.persica_gdr_reftransV1_0001012")</f>
        <v>p.persica_gdr_reftransV1_0001012</v>
      </c>
      <c r="B732" s="3">
        <v>576</v>
      </c>
      <c r="C732" s="1" t="str">
        <f>HYPERLINK("http://www.uniprot.org/uniprot/TLPH_ARATH","TLPH_ARATH")</f>
        <v>TLPH_ARATH</v>
      </c>
      <c r="D732" t="s">
        <v>790</v>
      </c>
      <c r="E732" s="3" t="s">
        <v>3</v>
      </c>
      <c r="F732" s="4">
        <v>9.3599999999999995E-17</v>
      </c>
      <c r="G732" s="3">
        <v>194</v>
      </c>
      <c r="H732" s="3">
        <v>64</v>
      </c>
      <c r="I732" s="3">
        <v>67</v>
      </c>
      <c r="J732" s="3">
        <v>363</v>
      </c>
      <c r="K732" s="3">
        <v>563</v>
      </c>
      <c r="L732" s="3">
        <v>173</v>
      </c>
      <c r="M732" s="3">
        <v>239</v>
      </c>
    </row>
    <row r="733" spans="1:13" x14ac:dyDescent="0.25">
      <c r="A733" s="1" t="str">
        <f>HYPERLINK("http://www.rosaceae.org/Prunus/Prunus_persica/p.persica_gdr_reftransV1_0001062","p.persica_gdr_reftransV1_0001062")</f>
        <v>p.persica_gdr_reftransV1_0001062</v>
      </c>
      <c r="B733" s="3">
        <v>475</v>
      </c>
      <c r="C733" s="1" t="str">
        <f>HYPERLINK("http://www.uniprot.org/uniprot/PPR49_ARATH","PPR49_ARATH")</f>
        <v>PPR49_ARATH</v>
      </c>
      <c r="D733" t="s">
        <v>791</v>
      </c>
      <c r="E733" s="3" t="s">
        <v>3</v>
      </c>
      <c r="F733" s="4">
        <v>2.88E-11</v>
      </c>
      <c r="G733" s="3">
        <v>157</v>
      </c>
      <c r="H733" s="3">
        <v>35</v>
      </c>
      <c r="I733" s="3">
        <v>113</v>
      </c>
      <c r="J733" s="3">
        <v>135</v>
      </c>
      <c r="K733" s="3">
        <v>473</v>
      </c>
      <c r="L733" s="3">
        <v>314</v>
      </c>
      <c r="M733" s="3">
        <v>426</v>
      </c>
    </row>
    <row r="734" spans="1:13" x14ac:dyDescent="0.25">
      <c r="A734" s="1" t="str">
        <f>HYPERLINK("http://www.rosaceae.org/Prunus/Prunus_persica/p.persica_gdr_reftransV1_0001262","p.persica_gdr_reftransV1_0001262")</f>
        <v>p.persica_gdr_reftransV1_0001262</v>
      </c>
      <c r="B734" s="3">
        <v>405</v>
      </c>
      <c r="C734" s="1" t="str">
        <f>HYPERLINK("http://www.uniprot.org/uniprot/AB36G_ARATH","AB36G_ARATH")</f>
        <v>AB36G_ARATH</v>
      </c>
      <c r="D734" t="s">
        <v>792</v>
      </c>
      <c r="E734" s="3" t="s">
        <v>3</v>
      </c>
      <c r="F734" s="4">
        <v>1.5000000000000002E-67</v>
      </c>
      <c r="G734" s="3">
        <v>577</v>
      </c>
      <c r="H734" s="3">
        <v>72</v>
      </c>
      <c r="I734" s="3">
        <v>133</v>
      </c>
      <c r="J734" s="3">
        <v>6</v>
      </c>
      <c r="K734" s="3">
        <v>404</v>
      </c>
      <c r="L734" s="3">
        <v>1173</v>
      </c>
      <c r="M734" s="3">
        <v>1305</v>
      </c>
    </row>
    <row r="735" spans="1:13" x14ac:dyDescent="0.25">
      <c r="A735" s="1" t="str">
        <f>HYPERLINK("http://www.rosaceae.org/Prunus/Prunus_persica/p.persica_gdr_reftransV1_0001462","p.persica_gdr_reftransV1_0001462")</f>
        <v>p.persica_gdr_reftransV1_0001462</v>
      </c>
      <c r="B735" s="3">
        <v>629</v>
      </c>
      <c r="C735" s="1" t="str">
        <f>HYPERLINK("http://www.uniprot.org/uniprot/RDRP_ACLSP","RDRP_ACLSP")</f>
        <v>RDRP_ACLSP</v>
      </c>
      <c r="D735" t="s">
        <v>793</v>
      </c>
      <c r="E735" s="3" t="s">
        <v>794</v>
      </c>
      <c r="F735" s="4">
        <v>1.9399999999999998E-120</v>
      </c>
      <c r="G735" s="3">
        <v>977</v>
      </c>
      <c r="H735" s="3">
        <v>92</v>
      </c>
      <c r="I735" s="3">
        <v>209</v>
      </c>
      <c r="J735" s="3">
        <v>2</v>
      </c>
      <c r="K735" s="3">
        <v>628</v>
      </c>
      <c r="L735" s="3">
        <v>723</v>
      </c>
      <c r="M735" s="3">
        <v>931</v>
      </c>
    </row>
    <row r="736" spans="1:13" x14ac:dyDescent="0.25">
      <c r="A736" s="1" t="str">
        <f>HYPERLINK("http://www.rosaceae.org/Prunus/Prunus_persica/p.persica_gdr_reftransV1_0001562","p.persica_gdr_reftransV1_0001562")</f>
        <v>p.persica_gdr_reftransV1_0001562</v>
      </c>
      <c r="B736" s="3">
        <v>2734</v>
      </c>
      <c r="C736" s="1" t="str">
        <f>HYPERLINK("http://www.uniprot.org/uniprot/SLK2_ARATH","SLK2_ARATH")</f>
        <v>SLK2_ARATH</v>
      </c>
      <c r="D736" t="s">
        <v>795</v>
      </c>
      <c r="E736" s="3" t="s">
        <v>3</v>
      </c>
      <c r="F736" s="4">
        <v>3.2799999999999999E-177</v>
      </c>
      <c r="G736" s="3">
        <v>1393</v>
      </c>
      <c r="H736" s="3">
        <v>71</v>
      </c>
      <c r="I736" s="3">
        <v>393</v>
      </c>
      <c r="J736" s="3">
        <v>852</v>
      </c>
      <c r="K736" s="3">
        <v>2021</v>
      </c>
      <c r="L736" s="3">
        <v>285</v>
      </c>
      <c r="M736" s="3">
        <v>667</v>
      </c>
    </row>
    <row r="737" spans="1:13" x14ac:dyDescent="0.25">
      <c r="A737" s="1" t="str">
        <f>HYPERLINK("http://www.rosaceae.org/Prunus/Prunus_persica/p.persica_gdr_reftransV1_0001812","p.persica_gdr_reftransV1_0001812")</f>
        <v>p.persica_gdr_reftransV1_0001812</v>
      </c>
      <c r="B737" s="3">
        <v>1483</v>
      </c>
      <c r="C737" s="1" t="str">
        <f>HYPERLINK("http://www.uniprot.org/uniprot/AKR1_SOYBN","AKR1_SOYBN")</f>
        <v>AKR1_SOYBN</v>
      </c>
      <c r="D737" t="s">
        <v>796</v>
      </c>
      <c r="E737" s="3" t="s">
        <v>307</v>
      </c>
      <c r="F737" s="4">
        <v>1.9600000000000001E-179</v>
      </c>
      <c r="G737" s="3">
        <v>1324</v>
      </c>
      <c r="H737" s="3">
        <v>77</v>
      </c>
      <c r="I737" s="3">
        <v>341</v>
      </c>
      <c r="J737" s="3">
        <v>125</v>
      </c>
      <c r="K737" s="3">
        <v>1147</v>
      </c>
      <c r="L737" s="3">
        <v>5</v>
      </c>
      <c r="M737" s="3">
        <v>344</v>
      </c>
    </row>
    <row r="738" spans="1:13" x14ac:dyDescent="0.25">
      <c r="A738" s="1" t="str">
        <f>HYPERLINK("http://www.rosaceae.org/Prunus/Prunus_persica/p.persica_gdr_reftransV1_0001962","p.persica_gdr_reftransV1_0001962")</f>
        <v>p.persica_gdr_reftransV1_0001962</v>
      </c>
      <c r="B738" s="3">
        <v>2707</v>
      </c>
      <c r="C738" s="1" t="str">
        <f>HYPERLINK("http://www.uniprot.org/uniprot/SCL14_ARATH","SCL14_ARATH")</f>
        <v>SCL14_ARATH</v>
      </c>
      <c r="D738" t="s">
        <v>797</v>
      </c>
      <c r="E738" s="3" t="s">
        <v>3</v>
      </c>
      <c r="F738" s="4">
        <v>0</v>
      </c>
      <c r="G738" s="3">
        <v>1425</v>
      </c>
      <c r="H738" s="3">
        <v>45</v>
      </c>
      <c r="I738" s="3">
        <v>690</v>
      </c>
      <c r="J738" s="3">
        <v>228</v>
      </c>
      <c r="K738" s="3">
        <v>2123</v>
      </c>
      <c r="L738" s="3">
        <v>86</v>
      </c>
      <c r="M738" s="3">
        <v>767</v>
      </c>
    </row>
    <row r="739" spans="1:13" x14ac:dyDescent="0.25">
      <c r="A739" s="1" t="str">
        <f>HYPERLINK("http://www.rosaceae.org/Prunus/Prunus_persica/p.persica_gdr_reftransV1_0002012","p.persica_gdr_reftransV1_0002012")</f>
        <v>p.persica_gdr_reftransV1_0002012</v>
      </c>
      <c r="B739" s="3">
        <v>449</v>
      </c>
      <c r="C739" s="1" t="str">
        <f>HYPERLINK("http://www.uniprot.org/uniprot/GLIP5_ARATH","GLIP5_ARATH")</f>
        <v>GLIP5_ARATH</v>
      </c>
      <c r="D739" t="s">
        <v>798</v>
      </c>
      <c r="E739" s="3" t="s">
        <v>3</v>
      </c>
      <c r="F739" s="4">
        <v>1.9399999999999999E-60</v>
      </c>
      <c r="G739" s="3">
        <v>501</v>
      </c>
      <c r="H739" s="3">
        <v>60</v>
      </c>
      <c r="I739" s="3">
        <v>136</v>
      </c>
      <c r="J739" s="3">
        <v>17</v>
      </c>
      <c r="K739" s="3">
        <v>424</v>
      </c>
      <c r="L739" s="3">
        <v>229</v>
      </c>
      <c r="M739" s="3">
        <v>364</v>
      </c>
    </row>
    <row r="740" spans="1:13" x14ac:dyDescent="0.25">
      <c r="A740" s="1" t="str">
        <f>HYPERLINK("http://www.rosaceae.org/Prunus/Prunus_persica/p.persica_gdr_reftransV1_0002062","p.persica_gdr_reftransV1_0002062")</f>
        <v>p.persica_gdr_reftransV1_0002062</v>
      </c>
      <c r="B740" s="3">
        <v>1281</v>
      </c>
      <c r="C740" s="1" t="str">
        <f>HYPERLINK("http://www.uniprot.org/uniprot/M2K9_ARATH","M2K9_ARATH")</f>
        <v>M2K9_ARATH</v>
      </c>
      <c r="D740" t="s">
        <v>799</v>
      </c>
      <c r="E740" s="3" t="s">
        <v>3</v>
      </c>
      <c r="F740" s="4">
        <v>4.0899999999999997E-133</v>
      </c>
      <c r="G740" s="3">
        <v>1007</v>
      </c>
      <c r="H740" s="3">
        <v>66</v>
      </c>
      <c r="I740" s="3">
        <v>319</v>
      </c>
      <c r="J740" s="3">
        <v>286</v>
      </c>
      <c r="K740" s="3">
        <v>1239</v>
      </c>
      <c r="L740" s="3">
        <v>1</v>
      </c>
      <c r="M740" s="3">
        <v>309</v>
      </c>
    </row>
    <row r="741" spans="1:13" x14ac:dyDescent="0.25">
      <c r="A741" s="1" t="str">
        <f>HYPERLINK("http://www.rosaceae.org/Prunus/Prunus_persica/p.persica_gdr_reftransV1_0002112","p.persica_gdr_reftransV1_0002112")</f>
        <v>p.persica_gdr_reftransV1_0002112</v>
      </c>
      <c r="B741" s="3">
        <v>3744</v>
      </c>
      <c r="C741" s="1" t="str">
        <f>HYPERLINK("http://www.uniprot.org/uniprot/ACC1_ARATH","ACC1_ARATH")</f>
        <v>ACC1_ARATH</v>
      </c>
      <c r="D741" t="s">
        <v>800</v>
      </c>
      <c r="E741" s="3" t="s">
        <v>3</v>
      </c>
      <c r="F741" s="4">
        <v>0</v>
      </c>
      <c r="G741" s="3">
        <v>5229</v>
      </c>
      <c r="H741" s="3">
        <v>89</v>
      </c>
      <c r="I741" s="3">
        <v>1079</v>
      </c>
      <c r="J741" s="3">
        <v>1</v>
      </c>
      <c r="K741" s="3">
        <v>3234</v>
      </c>
      <c r="L741" s="3">
        <v>6</v>
      </c>
      <c r="M741" s="3">
        <v>1084</v>
      </c>
    </row>
    <row r="742" spans="1:13" x14ac:dyDescent="0.25">
      <c r="A742" s="1" t="str">
        <f>HYPERLINK("http://www.rosaceae.org/Prunus/Prunus_persica/p.persica_gdr_reftransV1_0002212","p.persica_gdr_reftransV1_0002212")</f>
        <v>p.persica_gdr_reftransV1_0002212</v>
      </c>
      <c r="B742" s="3">
        <v>374</v>
      </c>
      <c r="C742" s="1" t="str">
        <f>HYPERLINK("http://www.uniprot.org/uniprot/GLNA_GIBFU","GLNA_GIBFU")</f>
        <v>GLNA_GIBFU</v>
      </c>
      <c r="D742" t="s">
        <v>438</v>
      </c>
      <c r="E742" s="3" t="s">
        <v>439</v>
      </c>
      <c r="F742" s="4">
        <v>4.0900000000000001E-82</v>
      </c>
      <c r="G742" s="3">
        <v>641</v>
      </c>
      <c r="H742" s="3">
        <v>98</v>
      </c>
      <c r="I742" s="3">
        <v>124</v>
      </c>
      <c r="J742" s="3">
        <v>3</v>
      </c>
      <c r="K742" s="3">
        <v>374</v>
      </c>
      <c r="L742" s="3">
        <v>147</v>
      </c>
      <c r="M742" s="3">
        <v>269</v>
      </c>
    </row>
    <row r="743" spans="1:13" x14ac:dyDescent="0.25">
      <c r="A743" s="1" t="str">
        <f>HYPERLINK("http://www.rosaceae.org/Prunus/Prunus_persica/p.persica_gdr_reftransV1_0002262","p.persica_gdr_reftransV1_0002262")</f>
        <v>p.persica_gdr_reftransV1_0002262</v>
      </c>
      <c r="B743" s="3">
        <v>1602</v>
      </c>
      <c r="C743" s="1" t="str">
        <f>HYPERLINK("http://www.uniprot.org/uniprot/CDL1_ARATH","CDL1_ARATH")</f>
        <v>CDL1_ARATH</v>
      </c>
      <c r="D743" t="s">
        <v>801</v>
      </c>
      <c r="E743" s="3" t="s">
        <v>3</v>
      </c>
      <c r="F743" s="4">
        <v>4.4699999999999998E-76</v>
      </c>
      <c r="G743" s="3">
        <v>641</v>
      </c>
      <c r="H743" s="3">
        <v>53</v>
      </c>
      <c r="I743" s="3">
        <v>241</v>
      </c>
      <c r="J743" s="3">
        <v>597</v>
      </c>
      <c r="K743" s="3">
        <v>1310</v>
      </c>
      <c r="L743" s="3">
        <v>55</v>
      </c>
      <c r="M743" s="3">
        <v>290</v>
      </c>
    </row>
    <row r="744" spans="1:13" x14ac:dyDescent="0.25">
      <c r="A744" s="1" t="str">
        <f>HYPERLINK("http://www.rosaceae.org/Prunus/Prunus_persica/p.persica_gdr_reftransV1_0002312","p.persica_gdr_reftransV1_0002312")</f>
        <v>p.persica_gdr_reftransV1_0002312</v>
      </c>
      <c r="B744" s="3">
        <v>4764</v>
      </c>
      <c r="C744" s="1" t="str">
        <f>HYPERLINK("http://www.uniprot.org/uniprot/ASHH1_ARATH","ASHH1_ARATH")</f>
        <v>ASHH1_ARATH</v>
      </c>
      <c r="D744" t="s">
        <v>802</v>
      </c>
      <c r="E744" s="3" t="s">
        <v>3</v>
      </c>
      <c r="F744" s="4">
        <v>3.6599999999999999E-127</v>
      </c>
      <c r="G744" s="3">
        <v>1059</v>
      </c>
      <c r="H744" s="3">
        <v>78</v>
      </c>
      <c r="I744" s="3">
        <v>238</v>
      </c>
      <c r="J744" s="3">
        <v>315</v>
      </c>
      <c r="K744" s="3">
        <v>1028</v>
      </c>
      <c r="L744" s="3">
        <v>2</v>
      </c>
      <c r="M744" s="3">
        <v>239</v>
      </c>
    </row>
    <row r="745" spans="1:13" x14ac:dyDescent="0.25">
      <c r="A745" s="1" t="str">
        <f>HYPERLINK("http://www.rosaceae.org/Prunus/Prunus_persica/p.persica_gdr_reftransV1_0002362","p.persica_gdr_reftransV1_0002362")</f>
        <v>p.persica_gdr_reftransV1_0002362</v>
      </c>
      <c r="B745" s="3">
        <v>310</v>
      </c>
      <c r="C745" s="1" t="str">
        <f>HYPERLINK("http://www.uniprot.org/uniprot/RL27B_YEAST","RL27B_YEAST")</f>
        <v>RL27B_YEAST</v>
      </c>
      <c r="D745" t="s">
        <v>803</v>
      </c>
      <c r="E745" s="3" t="s">
        <v>34</v>
      </c>
      <c r="F745" s="4">
        <v>1.83E-41</v>
      </c>
      <c r="G745" s="3">
        <v>350</v>
      </c>
      <c r="H745" s="3">
        <v>70</v>
      </c>
      <c r="I745" s="3">
        <v>88</v>
      </c>
      <c r="J745" s="3">
        <v>45</v>
      </c>
      <c r="K745" s="3">
        <v>308</v>
      </c>
      <c r="L745" s="3">
        <v>3</v>
      </c>
      <c r="M745" s="3">
        <v>90</v>
      </c>
    </row>
    <row r="746" spans="1:13" x14ac:dyDescent="0.25">
      <c r="A746" s="1" t="str">
        <f>HYPERLINK("http://www.rosaceae.org/Prunus/Prunus_persica/p.persica_gdr_reftransV1_0002412","p.persica_gdr_reftransV1_0002412")</f>
        <v>p.persica_gdr_reftransV1_0002412</v>
      </c>
      <c r="B746" s="3">
        <v>1919</v>
      </c>
      <c r="C746" s="1" t="str">
        <f>HYPERLINK("http://www.uniprot.org/uniprot/HSP7C_PETHY","HSP7C_PETHY")</f>
        <v>HSP7C_PETHY</v>
      </c>
      <c r="D746" t="s">
        <v>804</v>
      </c>
      <c r="E746" s="3" t="s">
        <v>509</v>
      </c>
      <c r="F746" s="4">
        <v>0</v>
      </c>
      <c r="G746" s="3">
        <v>1693</v>
      </c>
      <c r="H746" s="3">
        <v>67</v>
      </c>
      <c r="I746" s="3">
        <v>514</v>
      </c>
      <c r="J746" s="3">
        <v>263</v>
      </c>
      <c r="K746" s="3">
        <v>1804</v>
      </c>
      <c r="L746" s="3">
        <v>9</v>
      </c>
      <c r="M746" s="3">
        <v>515</v>
      </c>
    </row>
    <row r="747" spans="1:13" x14ac:dyDescent="0.25">
      <c r="A747" s="1" t="str">
        <f>HYPERLINK("http://www.rosaceae.org/Prunus/Prunus_persica/p.persica_gdr_reftransV1_0002462","p.persica_gdr_reftransV1_0002462")</f>
        <v>p.persica_gdr_reftransV1_0002462</v>
      </c>
      <c r="B747" s="3">
        <v>460</v>
      </c>
      <c r="C747" s="1" t="str">
        <f>HYPERLINK("http://www.uniprot.org/uniprot/BGA11_ARATH","BGA11_ARATH")</f>
        <v>BGA11_ARATH</v>
      </c>
      <c r="D747" t="s">
        <v>805</v>
      </c>
      <c r="E747" s="3" t="s">
        <v>3</v>
      </c>
      <c r="F747" s="4">
        <v>8.6400000000000001E-75</v>
      </c>
      <c r="G747" s="3">
        <v>623</v>
      </c>
      <c r="H747" s="3">
        <v>69</v>
      </c>
      <c r="I747" s="3">
        <v>153</v>
      </c>
      <c r="J747" s="3">
        <v>1</v>
      </c>
      <c r="K747" s="3">
        <v>459</v>
      </c>
      <c r="L747" s="3">
        <v>63</v>
      </c>
      <c r="M747" s="3">
        <v>215</v>
      </c>
    </row>
    <row r="748" spans="1:13" x14ac:dyDescent="0.25">
      <c r="A748" s="1" t="str">
        <f>HYPERLINK("http://www.rosaceae.org/Prunus/Prunus_persica/p.persica_gdr_reftransV1_0002512","p.persica_gdr_reftransV1_0002512")</f>
        <v>p.persica_gdr_reftransV1_0002512</v>
      </c>
      <c r="B748" s="3">
        <v>349</v>
      </c>
      <c r="C748" s="1" t="str">
        <f>HYPERLINK("http://www.uniprot.org/uniprot/RLK1_ARATH","RLK1_ARATH")</f>
        <v>RLK1_ARATH</v>
      </c>
      <c r="D748" t="s">
        <v>806</v>
      </c>
      <c r="E748" s="3" t="s">
        <v>3</v>
      </c>
      <c r="F748" s="4">
        <v>5.5700000000000002E-40</v>
      </c>
      <c r="G748" s="3">
        <v>368</v>
      </c>
      <c r="H748" s="3">
        <v>63</v>
      </c>
      <c r="I748" s="3">
        <v>111</v>
      </c>
      <c r="J748" s="3">
        <v>1</v>
      </c>
      <c r="K748" s="3">
        <v>333</v>
      </c>
      <c r="L748" s="3">
        <v>625</v>
      </c>
      <c r="M748" s="3">
        <v>735</v>
      </c>
    </row>
    <row r="749" spans="1:13" x14ac:dyDescent="0.25">
      <c r="A749" s="1" t="str">
        <f>HYPERLINK("http://www.rosaceae.org/Prunus/Prunus_persica/p.persica_gdr_reftransV1_0002662","p.persica_gdr_reftransV1_0002662")</f>
        <v>p.persica_gdr_reftransV1_0002662</v>
      </c>
      <c r="B749" s="3">
        <v>665</v>
      </c>
      <c r="C749" s="1" t="str">
        <f>HYPERLINK("http://www.uniprot.org/uniprot/VATL_NEUCR","VATL_NEUCR")</f>
        <v>VATL_NEUCR</v>
      </c>
      <c r="D749" t="s">
        <v>807</v>
      </c>
      <c r="E749" s="3" t="s">
        <v>435</v>
      </c>
      <c r="F749" s="4">
        <v>4.0100000000000002E-46</v>
      </c>
      <c r="G749" s="3">
        <v>395</v>
      </c>
      <c r="H749" s="3">
        <v>92</v>
      </c>
      <c r="I749" s="3">
        <v>116</v>
      </c>
      <c r="J749" s="3">
        <v>2</v>
      </c>
      <c r="K749" s="3">
        <v>346</v>
      </c>
      <c r="L749" s="3">
        <v>46</v>
      </c>
      <c r="M749" s="3">
        <v>161</v>
      </c>
    </row>
    <row r="750" spans="1:13" x14ac:dyDescent="0.25">
      <c r="A750" s="1" t="str">
        <f>HYPERLINK("http://www.rosaceae.org/Prunus/Prunus_persica/p.persica_gdr_reftransV1_0002812","p.persica_gdr_reftransV1_0002812")</f>
        <v>p.persica_gdr_reftransV1_0002812</v>
      </c>
      <c r="B750" s="3">
        <v>1447</v>
      </c>
      <c r="C750" s="1" t="str">
        <f>HYPERLINK("http://www.uniprot.org/uniprot/CMT1_DICDI","CMT1_DICDI")</f>
        <v>CMT1_DICDI</v>
      </c>
      <c r="D750" t="s">
        <v>808</v>
      </c>
      <c r="E750" s="3" t="s">
        <v>9</v>
      </c>
      <c r="F750" s="4">
        <v>1.19E-55</v>
      </c>
      <c r="G750" s="3">
        <v>497</v>
      </c>
      <c r="H750" s="3">
        <v>35</v>
      </c>
      <c r="I750" s="3">
        <v>352</v>
      </c>
      <c r="J750" s="3">
        <v>402</v>
      </c>
      <c r="K750" s="3">
        <v>1412</v>
      </c>
      <c r="L750" s="3">
        <v>2</v>
      </c>
      <c r="M750" s="3">
        <v>322</v>
      </c>
    </row>
    <row r="751" spans="1:13" x14ac:dyDescent="0.25">
      <c r="A751" s="1" t="str">
        <f>HYPERLINK("http://www.rosaceae.org/Prunus/Prunus_persica/p.persica_gdr_reftransV1_0002862","p.persica_gdr_reftransV1_0002862")</f>
        <v>p.persica_gdr_reftransV1_0002862</v>
      </c>
      <c r="B751" s="3">
        <v>2119</v>
      </c>
      <c r="C751" s="1" t="str">
        <f>HYPERLINK("http://www.uniprot.org/uniprot/RM19_SCHPO","RM19_SCHPO")</f>
        <v>RM19_SCHPO</v>
      </c>
      <c r="D751" t="s">
        <v>809</v>
      </c>
      <c r="E751" s="3" t="s">
        <v>464</v>
      </c>
      <c r="F751" s="4">
        <v>7.5500000000000003E-31</v>
      </c>
      <c r="G751" s="3">
        <v>308</v>
      </c>
      <c r="H751" s="3">
        <v>43</v>
      </c>
      <c r="I751" s="3">
        <v>136</v>
      </c>
      <c r="J751" s="3">
        <v>1474</v>
      </c>
      <c r="K751" s="3">
        <v>1878</v>
      </c>
      <c r="L751" s="3">
        <v>9</v>
      </c>
      <c r="M751" s="3">
        <v>143</v>
      </c>
    </row>
    <row r="752" spans="1:13" x14ac:dyDescent="0.25">
      <c r="A752" s="1" t="str">
        <f>HYPERLINK("http://www.rosaceae.org/Prunus/Prunus_persica/p.persica_gdr_reftransV1_0002912","p.persica_gdr_reftransV1_0002912")</f>
        <v>p.persica_gdr_reftransV1_0002912</v>
      </c>
      <c r="B752" s="3">
        <v>1158</v>
      </c>
      <c r="C752" s="1" t="str">
        <f>HYPERLINK("http://www.uniprot.org/uniprot/MET13_DANRE","MET13_DANRE")</f>
        <v>MET13_DANRE</v>
      </c>
      <c r="D752" t="s">
        <v>810</v>
      </c>
      <c r="E752" s="3" t="s">
        <v>704</v>
      </c>
      <c r="F752" s="4">
        <v>3.4200000000000001E-34</v>
      </c>
      <c r="G752" s="3">
        <v>347</v>
      </c>
      <c r="H752" s="3">
        <v>40</v>
      </c>
      <c r="I752" s="3">
        <v>189</v>
      </c>
      <c r="J752" s="3">
        <v>521</v>
      </c>
      <c r="K752" s="3">
        <v>1087</v>
      </c>
      <c r="L752" s="3">
        <v>7</v>
      </c>
      <c r="M752" s="3">
        <v>187</v>
      </c>
    </row>
    <row r="753" spans="1:13" x14ac:dyDescent="0.25">
      <c r="A753" s="1" t="str">
        <f>HYPERLINK("http://www.rosaceae.org/Prunus/Prunus_persica/p.persica_gdr_reftransV1_0003012","p.persica_gdr_reftransV1_0003012")</f>
        <v>p.persica_gdr_reftransV1_0003012</v>
      </c>
      <c r="B753" s="3">
        <v>1260</v>
      </c>
      <c r="C753" s="1" t="str">
        <f>HYPERLINK("http://www.uniprot.org/uniprot/ZMY15_MOUSE","ZMY15_MOUSE")</f>
        <v>ZMY15_MOUSE</v>
      </c>
      <c r="D753" t="s">
        <v>811</v>
      </c>
      <c r="E753" s="3" t="s">
        <v>157</v>
      </c>
      <c r="F753" s="4">
        <v>1.2200000000000001E-18</v>
      </c>
      <c r="G753" s="3">
        <v>227</v>
      </c>
      <c r="H753" s="3">
        <v>26</v>
      </c>
      <c r="I753" s="3">
        <v>249</v>
      </c>
      <c r="J753" s="3">
        <v>427</v>
      </c>
      <c r="K753" s="3">
        <v>1164</v>
      </c>
      <c r="L753" s="3">
        <v>445</v>
      </c>
      <c r="M753" s="3">
        <v>687</v>
      </c>
    </row>
    <row r="754" spans="1:13" x14ac:dyDescent="0.25">
      <c r="A754" s="1" t="str">
        <f>HYPERLINK("http://www.rosaceae.org/Prunus/Prunus_persica/p.persica_gdr_reftransV1_0003112","p.persica_gdr_reftransV1_0003112")</f>
        <v>p.persica_gdr_reftransV1_0003112</v>
      </c>
      <c r="B754" s="3">
        <v>2014</v>
      </c>
      <c r="C754" s="1" t="str">
        <f>HYPERLINK("http://www.uniprot.org/uniprot/SCL8_ARATH","SCL8_ARATH")</f>
        <v>SCL8_ARATH</v>
      </c>
      <c r="D754" t="s">
        <v>812</v>
      </c>
      <c r="E754" s="3" t="s">
        <v>3</v>
      </c>
      <c r="F754" s="4">
        <v>2.32E-120</v>
      </c>
      <c r="G754" s="3">
        <v>974</v>
      </c>
      <c r="H754" s="3">
        <v>57</v>
      </c>
      <c r="I754" s="3">
        <v>380</v>
      </c>
      <c r="J754" s="3">
        <v>896</v>
      </c>
      <c r="K754" s="3">
        <v>1993</v>
      </c>
      <c r="L754" s="3">
        <v>216</v>
      </c>
      <c r="M754" s="3">
        <v>583</v>
      </c>
    </row>
    <row r="755" spans="1:13" x14ac:dyDescent="0.25">
      <c r="A755" s="1" t="str">
        <f>HYPERLINK("http://www.rosaceae.org/Prunus/Prunus_persica/p.persica_gdr_reftransV1_0003312","p.persica_gdr_reftransV1_0003312")</f>
        <v>p.persica_gdr_reftransV1_0003312</v>
      </c>
      <c r="B755" s="3">
        <v>382</v>
      </c>
      <c r="C755" s="1" t="str">
        <f>HYPERLINK("http://www.uniprot.org/uniprot/WAK1_ARATH","WAK1_ARATH")</f>
        <v>WAK1_ARATH</v>
      </c>
      <c r="D755" t="s">
        <v>43</v>
      </c>
      <c r="E755" s="3" t="s">
        <v>3</v>
      </c>
      <c r="F755" s="4">
        <v>4.15E-40</v>
      </c>
      <c r="G755" s="3">
        <v>368</v>
      </c>
      <c r="H755" s="3">
        <v>60</v>
      </c>
      <c r="I755" s="3">
        <v>126</v>
      </c>
      <c r="J755" s="3">
        <v>3</v>
      </c>
      <c r="K755" s="3">
        <v>380</v>
      </c>
      <c r="L755" s="3">
        <v>409</v>
      </c>
      <c r="M755" s="3">
        <v>532</v>
      </c>
    </row>
    <row r="756" spans="1:13" x14ac:dyDescent="0.25">
      <c r="A756" s="1" t="str">
        <f>HYPERLINK("http://www.rosaceae.org/Prunus/Prunus_persica/p.persica_gdr_reftransV1_0003362","p.persica_gdr_reftransV1_0003362")</f>
        <v>p.persica_gdr_reftransV1_0003362</v>
      </c>
      <c r="B756" s="3">
        <v>1181</v>
      </c>
      <c r="C756" s="1" t="str">
        <f>HYPERLINK("http://www.uniprot.org/uniprot/Y1222_ARATH","Y1222_ARATH")</f>
        <v>Y1222_ARATH</v>
      </c>
      <c r="D756" t="s">
        <v>813</v>
      </c>
      <c r="E756" s="3" t="s">
        <v>3</v>
      </c>
      <c r="F756" s="4">
        <v>1.91E-116</v>
      </c>
      <c r="G756" s="3">
        <v>892</v>
      </c>
      <c r="H756" s="3">
        <v>69</v>
      </c>
      <c r="I756" s="3">
        <v>300</v>
      </c>
      <c r="J756" s="3">
        <v>97</v>
      </c>
      <c r="K756" s="3">
        <v>996</v>
      </c>
      <c r="L756" s="3">
        <v>1</v>
      </c>
      <c r="M756" s="3">
        <v>295</v>
      </c>
    </row>
    <row r="757" spans="1:13" x14ac:dyDescent="0.25">
      <c r="A757" s="1" t="str">
        <f>HYPERLINK("http://www.rosaceae.org/Prunus/Prunus_persica/p.persica_gdr_reftransV1_0003412","p.persica_gdr_reftransV1_0003412")</f>
        <v>p.persica_gdr_reftransV1_0003412</v>
      </c>
      <c r="B757" s="3">
        <v>1432</v>
      </c>
      <c r="C757" s="1" t="str">
        <f>HYPERLINK("http://www.uniprot.org/uniprot/BIOB_ARATH","BIOB_ARATH")</f>
        <v>BIOB_ARATH</v>
      </c>
      <c r="D757" t="s">
        <v>814</v>
      </c>
      <c r="E757" s="3" t="s">
        <v>3</v>
      </c>
      <c r="F757" s="4">
        <v>0</v>
      </c>
      <c r="G757" s="3">
        <v>1659</v>
      </c>
      <c r="H757" s="3">
        <v>85</v>
      </c>
      <c r="I757" s="3">
        <v>360</v>
      </c>
      <c r="J757" s="3">
        <v>231</v>
      </c>
      <c r="K757" s="3">
        <v>1307</v>
      </c>
      <c r="L757" s="3">
        <v>1</v>
      </c>
      <c r="M757" s="3">
        <v>360</v>
      </c>
    </row>
    <row r="758" spans="1:13" x14ac:dyDescent="0.25">
      <c r="A758" s="1" t="str">
        <f>HYPERLINK("http://www.rosaceae.org/Prunus/Prunus_persica/p.persica_gdr_reftransV1_0003462","p.persica_gdr_reftransV1_0003462")</f>
        <v>p.persica_gdr_reftransV1_0003462</v>
      </c>
      <c r="B758" s="3">
        <v>2107</v>
      </c>
      <c r="C758" s="1" t="str">
        <f>HYPERLINK("http://www.uniprot.org/uniprot/CATA1_GOSHI","CATA1_GOSHI")</f>
        <v>CATA1_GOSHI</v>
      </c>
      <c r="D758" t="s">
        <v>815</v>
      </c>
      <c r="E758" s="3" t="s">
        <v>816</v>
      </c>
      <c r="F758" s="4">
        <v>0</v>
      </c>
      <c r="G758" s="3">
        <v>2417</v>
      </c>
      <c r="H758" s="3">
        <v>89</v>
      </c>
      <c r="I758" s="3">
        <v>492</v>
      </c>
      <c r="J758" s="3">
        <v>178</v>
      </c>
      <c r="K758" s="3">
        <v>1653</v>
      </c>
      <c r="L758" s="3">
        <v>1</v>
      </c>
      <c r="M758" s="3">
        <v>492</v>
      </c>
    </row>
    <row r="759" spans="1:13" x14ac:dyDescent="0.25">
      <c r="A759" s="1" t="str">
        <f>HYPERLINK("http://www.rosaceae.org/Prunus/Prunus_persica/p.persica_gdr_reftransV1_0003512","p.persica_gdr_reftransV1_0003512")</f>
        <v>p.persica_gdr_reftransV1_0003512</v>
      </c>
      <c r="B759" s="3">
        <v>1724</v>
      </c>
      <c r="C759" s="1" t="str">
        <f>HYPERLINK("http://www.uniprot.org/uniprot/TGT1_ARATH","TGT1_ARATH")</f>
        <v>TGT1_ARATH</v>
      </c>
      <c r="D759" t="s">
        <v>817</v>
      </c>
      <c r="E759" s="3" t="s">
        <v>3</v>
      </c>
      <c r="F759" s="4">
        <v>7.0400000000000002E-118</v>
      </c>
      <c r="G759" s="3">
        <v>929</v>
      </c>
      <c r="H759" s="3">
        <v>65</v>
      </c>
      <c r="I759" s="3">
        <v>276</v>
      </c>
      <c r="J759" s="3">
        <v>346</v>
      </c>
      <c r="K759" s="3">
        <v>1155</v>
      </c>
      <c r="L759" s="3">
        <v>80</v>
      </c>
      <c r="M759" s="3">
        <v>344</v>
      </c>
    </row>
    <row r="760" spans="1:13" x14ac:dyDescent="0.25">
      <c r="A760" s="1" t="str">
        <f>HYPERLINK("http://www.rosaceae.org/Prunus/Prunus_persica/p.persica_gdr_reftransV1_0003562","p.persica_gdr_reftransV1_0003562")</f>
        <v>p.persica_gdr_reftransV1_0003562</v>
      </c>
      <c r="B760" s="3">
        <v>397</v>
      </c>
      <c r="C760" s="1" t="str">
        <f>HYPERLINK("http://www.uniprot.org/uniprot/PPR52_ARATH","PPR52_ARATH")</f>
        <v>PPR52_ARATH</v>
      </c>
      <c r="D760" t="s">
        <v>818</v>
      </c>
      <c r="E760" s="3" t="s">
        <v>3</v>
      </c>
      <c r="F760" s="4">
        <v>2.5799999999999999E-26</v>
      </c>
      <c r="G760" s="3">
        <v>269</v>
      </c>
      <c r="H760" s="3">
        <v>38</v>
      </c>
      <c r="I760" s="3">
        <v>124</v>
      </c>
      <c r="J760" s="3">
        <v>5</v>
      </c>
      <c r="K760" s="3">
        <v>376</v>
      </c>
      <c r="L760" s="3">
        <v>207</v>
      </c>
      <c r="M760" s="3">
        <v>330</v>
      </c>
    </row>
    <row r="761" spans="1:13" x14ac:dyDescent="0.25">
      <c r="A761" s="1" t="str">
        <f>HYPERLINK("http://www.rosaceae.org/Prunus/Prunus_persica/p.persica_gdr_reftransV1_0003612","p.persica_gdr_reftransV1_0003612")</f>
        <v>p.persica_gdr_reftransV1_0003612</v>
      </c>
      <c r="B761" s="3">
        <v>4312</v>
      </c>
      <c r="C761" s="1" t="str">
        <f>HYPERLINK("http://www.uniprot.org/uniprot/DRL42_ARATH","DRL42_ARATH")</f>
        <v>DRL42_ARATH</v>
      </c>
      <c r="D761" t="s">
        <v>819</v>
      </c>
      <c r="E761" s="3" t="s">
        <v>3</v>
      </c>
      <c r="F761" s="4">
        <v>1.9799999999999999E-170</v>
      </c>
      <c r="G761" s="3">
        <v>1385</v>
      </c>
      <c r="H761" s="3">
        <v>42</v>
      </c>
      <c r="I761" s="3">
        <v>813</v>
      </c>
      <c r="J761" s="3">
        <v>1410</v>
      </c>
      <c r="K761" s="3">
        <v>3815</v>
      </c>
      <c r="L761" s="3">
        <v>10</v>
      </c>
      <c r="M761" s="3">
        <v>807</v>
      </c>
    </row>
    <row r="762" spans="1:13" x14ac:dyDescent="0.25">
      <c r="A762" s="1" t="str">
        <f>HYPERLINK("http://www.rosaceae.org/Prunus/Prunus_persica/p.persica_gdr_reftransV1_0003712","p.persica_gdr_reftransV1_0003712")</f>
        <v>p.persica_gdr_reftransV1_0003712</v>
      </c>
      <c r="B762" s="3">
        <v>1185</v>
      </c>
      <c r="C762" s="1" t="str">
        <f>HYPERLINK("http://www.uniprot.org/uniprot/CWC15_XENTR","CWC15_XENTR")</f>
        <v>CWC15_XENTR</v>
      </c>
      <c r="D762" t="s">
        <v>820</v>
      </c>
      <c r="E762" s="3" t="s">
        <v>173</v>
      </c>
      <c r="F762" s="4">
        <v>2.89E-18</v>
      </c>
      <c r="G762" s="3">
        <v>213</v>
      </c>
      <c r="H762" s="3">
        <v>55</v>
      </c>
      <c r="I762" s="3">
        <v>102</v>
      </c>
      <c r="J762" s="3">
        <v>520</v>
      </c>
      <c r="K762" s="3">
        <v>807</v>
      </c>
      <c r="L762" s="3">
        <v>126</v>
      </c>
      <c r="M762" s="3">
        <v>227</v>
      </c>
    </row>
    <row r="763" spans="1:13" x14ac:dyDescent="0.25">
      <c r="A763" s="1" t="str">
        <f>HYPERLINK("http://www.rosaceae.org/Prunus/Prunus_persica/p.persica_gdr_reftransV1_0003762","p.persica_gdr_reftransV1_0003762")</f>
        <v>p.persica_gdr_reftransV1_0003762</v>
      </c>
      <c r="B763" s="3">
        <v>1578</v>
      </c>
      <c r="C763" s="1" t="str">
        <f>HYPERLINK("http://www.uniprot.org/uniprot/SC35_ARATH","SC35_ARATH")</f>
        <v>SC35_ARATH</v>
      </c>
      <c r="D763" t="s">
        <v>821</v>
      </c>
      <c r="E763" s="3" t="s">
        <v>3</v>
      </c>
      <c r="F763" s="4">
        <v>2.6500000000000002E-58</v>
      </c>
      <c r="G763" s="3">
        <v>512</v>
      </c>
      <c r="H763" s="3">
        <v>91</v>
      </c>
      <c r="I763" s="3">
        <v>104</v>
      </c>
      <c r="J763" s="3">
        <v>1114</v>
      </c>
      <c r="K763" s="3">
        <v>1425</v>
      </c>
      <c r="L763" s="3">
        <v>1</v>
      </c>
      <c r="M763" s="3">
        <v>104</v>
      </c>
    </row>
    <row r="764" spans="1:13" x14ac:dyDescent="0.25">
      <c r="A764" s="1" t="str">
        <f>HYPERLINK("http://www.rosaceae.org/Prunus/Prunus_persica/p.persica_gdr_reftransV1_0003812","p.persica_gdr_reftransV1_0003812")</f>
        <v>p.persica_gdr_reftransV1_0003812</v>
      </c>
      <c r="B764" s="3">
        <v>1535</v>
      </c>
      <c r="C764" s="1" t="str">
        <f>HYPERLINK("http://www.uniprot.org/uniprot/MAF1_XENLA","MAF1_XENLA")</f>
        <v>MAF1_XENLA</v>
      </c>
      <c r="D764" t="s">
        <v>822</v>
      </c>
      <c r="E764" s="3" t="s">
        <v>475</v>
      </c>
      <c r="F764" s="4">
        <v>5.0900000000000003E-15</v>
      </c>
      <c r="G764" s="3">
        <v>192</v>
      </c>
      <c r="H764" s="3">
        <v>58</v>
      </c>
      <c r="I764" s="3">
        <v>64</v>
      </c>
      <c r="J764" s="3">
        <v>938</v>
      </c>
      <c r="K764" s="3">
        <v>1129</v>
      </c>
      <c r="L764" s="3">
        <v>143</v>
      </c>
      <c r="M764" s="3">
        <v>204</v>
      </c>
    </row>
    <row r="765" spans="1:13" x14ac:dyDescent="0.25">
      <c r="A765" s="1" t="str">
        <f>HYPERLINK("http://www.rosaceae.org/Prunus/Prunus_persica/p.persica_gdr_reftransV1_0004012","p.persica_gdr_reftransV1_0004012")</f>
        <v>p.persica_gdr_reftransV1_0004012</v>
      </c>
      <c r="B765" s="3">
        <v>1746</v>
      </c>
      <c r="C765" s="1" t="str">
        <f>HYPERLINK("http://www.uniprot.org/uniprot/AMSH2_ARATH","AMSH2_ARATH")</f>
        <v>AMSH2_ARATH</v>
      </c>
      <c r="D765" t="s">
        <v>294</v>
      </c>
      <c r="E765" s="3" t="s">
        <v>3</v>
      </c>
      <c r="F765" s="4">
        <v>1.0400000000000001E-62</v>
      </c>
      <c r="G765" s="3">
        <v>539</v>
      </c>
      <c r="H765" s="3">
        <v>79</v>
      </c>
      <c r="I765" s="3">
        <v>122</v>
      </c>
      <c r="J765" s="3">
        <v>528</v>
      </c>
      <c r="K765" s="3">
        <v>893</v>
      </c>
      <c r="L765" s="3">
        <v>45</v>
      </c>
      <c r="M765" s="3">
        <v>166</v>
      </c>
    </row>
    <row r="766" spans="1:13" x14ac:dyDescent="0.25">
      <c r="A766" s="1" t="str">
        <f>HYPERLINK("http://www.rosaceae.org/Prunus/Prunus_persica/p.persica_gdr_reftransV1_0004112","p.persica_gdr_reftransV1_0004112")</f>
        <v>p.persica_gdr_reftransV1_0004112</v>
      </c>
      <c r="B766" s="3">
        <v>2200</v>
      </c>
      <c r="C766" s="1" t="str">
        <f>HYPERLINK("http://www.uniprot.org/uniprot/ASPL2_ARATH","ASPL2_ARATH")</f>
        <v>ASPL2_ARATH</v>
      </c>
      <c r="D766" t="s">
        <v>545</v>
      </c>
      <c r="E766" s="3" t="s">
        <v>3</v>
      </c>
      <c r="F766" s="4">
        <v>1.33E-65</v>
      </c>
      <c r="G766" s="3">
        <v>400</v>
      </c>
      <c r="H766" s="3">
        <v>41</v>
      </c>
      <c r="I766" s="3">
        <v>235</v>
      </c>
      <c r="J766" s="3">
        <v>871</v>
      </c>
      <c r="K766" s="3">
        <v>1572</v>
      </c>
      <c r="L766" s="3">
        <v>197</v>
      </c>
      <c r="M766" s="3">
        <v>426</v>
      </c>
    </row>
    <row r="767" spans="1:13" x14ac:dyDescent="0.25">
      <c r="A767" s="1" t="str">
        <f>HYPERLINK("http://www.rosaceae.org/Prunus/Prunus_persica/p.persica_gdr_reftransV1_0004162","p.persica_gdr_reftransV1_0004162")</f>
        <v>p.persica_gdr_reftransV1_0004162</v>
      </c>
      <c r="B767" s="3">
        <v>785</v>
      </c>
      <c r="C767" s="1" t="str">
        <f>HYPERLINK("http://www.uniprot.org/uniprot/RS12_HORVU","RS12_HORVU")</f>
        <v>RS12_HORVU</v>
      </c>
      <c r="D767" t="s">
        <v>823</v>
      </c>
      <c r="E767" s="3" t="s">
        <v>769</v>
      </c>
      <c r="F767" s="4">
        <v>6.88E-68</v>
      </c>
      <c r="G767" s="3">
        <v>542</v>
      </c>
      <c r="H767" s="3">
        <v>80</v>
      </c>
      <c r="I767" s="3">
        <v>124</v>
      </c>
      <c r="J767" s="3">
        <v>195</v>
      </c>
      <c r="K767" s="3">
        <v>566</v>
      </c>
      <c r="L767" s="3">
        <v>20</v>
      </c>
      <c r="M767" s="3">
        <v>143</v>
      </c>
    </row>
    <row r="768" spans="1:13" x14ac:dyDescent="0.25">
      <c r="A768" s="1" t="str">
        <f>HYPERLINK("http://www.rosaceae.org/Prunus/Prunus_persica/p.persica_gdr_reftransV1_0004212","p.persica_gdr_reftransV1_0004212")</f>
        <v>p.persica_gdr_reftransV1_0004212</v>
      </c>
      <c r="B768" s="3">
        <v>1346</v>
      </c>
      <c r="C768" s="1" t="str">
        <f>HYPERLINK("http://www.uniprot.org/uniprot/PAP3_BRACM","PAP3_BRACM")</f>
        <v>PAP3_BRACM</v>
      </c>
      <c r="D768" t="s">
        <v>824</v>
      </c>
      <c r="E768" s="3" t="s">
        <v>825</v>
      </c>
      <c r="F768" s="4">
        <v>1.9200000000000002E-99</v>
      </c>
      <c r="G768" s="3">
        <v>790</v>
      </c>
      <c r="H768" s="3">
        <v>66</v>
      </c>
      <c r="I768" s="3">
        <v>297</v>
      </c>
      <c r="J768" s="3">
        <v>204</v>
      </c>
      <c r="K768" s="3">
        <v>1091</v>
      </c>
      <c r="L768" s="3">
        <v>81</v>
      </c>
      <c r="M768" s="3">
        <v>358</v>
      </c>
    </row>
    <row r="769" spans="1:13" x14ac:dyDescent="0.25">
      <c r="A769" s="1" t="str">
        <f>HYPERLINK("http://www.rosaceae.org/Prunus/Prunus_persica/p.persica_gdr_reftransV1_0004262","p.persica_gdr_reftransV1_0004262")</f>
        <v>p.persica_gdr_reftransV1_0004262</v>
      </c>
      <c r="B769" s="3">
        <v>2242</v>
      </c>
      <c r="C769" s="1" t="str">
        <f>HYPERLINK("http://www.uniprot.org/uniprot/GUX3_ARATH","GUX3_ARATH")</f>
        <v>GUX3_ARATH</v>
      </c>
      <c r="D769" t="s">
        <v>826</v>
      </c>
      <c r="E769" s="3" t="s">
        <v>3</v>
      </c>
      <c r="F769" s="4">
        <v>0</v>
      </c>
      <c r="G769" s="3">
        <v>2322</v>
      </c>
      <c r="H769" s="3">
        <v>72</v>
      </c>
      <c r="I769" s="3">
        <v>620</v>
      </c>
      <c r="J769" s="3">
        <v>322</v>
      </c>
      <c r="K769" s="3">
        <v>2172</v>
      </c>
      <c r="L769" s="3">
        <v>3</v>
      </c>
      <c r="M769" s="3">
        <v>594</v>
      </c>
    </row>
    <row r="770" spans="1:13" x14ac:dyDescent="0.25">
      <c r="A770" s="1" t="str">
        <f>HYPERLINK("http://www.rosaceae.org/Prunus/Prunus_persica/p.persica_gdr_reftransV1_0004312","p.persica_gdr_reftransV1_0004312")</f>
        <v>p.persica_gdr_reftransV1_0004312</v>
      </c>
      <c r="B770" s="3">
        <v>2659</v>
      </c>
      <c r="C770" s="1" t="str">
        <f>HYPERLINK("http://www.uniprot.org/uniprot/Y3475_ARATH","Y3475_ARATH")</f>
        <v>Y3475_ARATH</v>
      </c>
      <c r="D770" t="s">
        <v>827</v>
      </c>
      <c r="E770" s="3" t="s">
        <v>3</v>
      </c>
      <c r="F770" s="4">
        <v>0</v>
      </c>
      <c r="G770" s="3">
        <v>1572</v>
      </c>
      <c r="H770" s="3">
        <v>46</v>
      </c>
      <c r="I770" s="3">
        <v>770</v>
      </c>
      <c r="J770" s="3">
        <v>377</v>
      </c>
      <c r="K770" s="3">
        <v>2656</v>
      </c>
      <c r="L770" s="3">
        <v>271</v>
      </c>
      <c r="M770" s="3">
        <v>1008</v>
      </c>
    </row>
    <row r="771" spans="1:13" x14ac:dyDescent="0.25">
      <c r="A771" s="1" t="str">
        <f>HYPERLINK("http://www.rosaceae.org/Prunus/Prunus_persica/p.persica_gdr_reftransV1_0004362","p.persica_gdr_reftransV1_0004362")</f>
        <v>p.persica_gdr_reftransV1_0004362</v>
      </c>
      <c r="B771" s="3">
        <v>1321</v>
      </c>
      <c r="C771" s="1" t="str">
        <f>HYPERLINK("http://www.uniprot.org/uniprot/COMT1_POPTM","COMT1_POPTM")</f>
        <v>COMT1_POPTM</v>
      </c>
      <c r="D771" t="s">
        <v>828</v>
      </c>
      <c r="E771" s="3" t="s">
        <v>829</v>
      </c>
      <c r="F771" s="4">
        <v>7.7000000000000001E-78</v>
      </c>
      <c r="G771" s="3">
        <v>645</v>
      </c>
      <c r="H771" s="3">
        <v>39</v>
      </c>
      <c r="I771" s="3">
        <v>360</v>
      </c>
      <c r="J771" s="3">
        <v>117</v>
      </c>
      <c r="K771" s="3">
        <v>1193</v>
      </c>
      <c r="L771" s="3">
        <v>10</v>
      </c>
      <c r="M771" s="3">
        <v>363</v>
      </c>
    </row>
    <row r="772" spans="1:13" x14ac:dyDescent="0.25">
      <c r="A772" s="1" t="str">
        <f>HYPERLINK("http://www.rosaceae.org/Prunus/Prunus_persica/p.persica_gdr_reftransV1_0004412","p.persica_gdr_reftransV1_0004412")</f>
        <v>p.persica_gdr_reftransV1_0004412</v>
      </c>
      <c r="B772" s="3">
        <v>749</v>
      </c>
      <c r="C772" s="1" t="str">
        <f>HYPERLINK("http://www.uniprot.org/uniprot/HOX3_ORYSJ","HOX3_ORYSJ")</f>
        <v>HOX3_ORYSJ</v>
      </c>
      <c r="D772" t="s">
        <v>830</v>
      </c>
      <c r="E772" s="3" t="s">
        <v>38</v>
      </c>
      <c r="F772" s="4">
        <v>7.5900000000000003E-78</v>
      </c>
      <c r="G772" s="3">
        <v>615</v>
      </c>
      <c r="H772" s="3">
        <v>67</v>
      </c>
      <c r="I772" s="3">
        <v>193</v>
      </c>
      <c r="J772" s="3">
        <v>161</v>
      </c>
      <c r="K772" s="3">
        <v>706</v>
      </c>
      <c r="L772" s="3">
        <v>5</v>
      </c>
      <c r="M772" s="3">
        <v>196</v>
      </c>
    </row>
    <row r="773" spans="1:13" x14ac:dyDescent="0.25">
      <c r="A773" s="1" t="str">
        <f>HYPERLINK("http://www.rosaceae.org/Prunus/Prunus_persica/p.persica_gdr_reftransV1_0004462","p.persica_gdr_reftransV1_0004462")</f>
        <v>p.persica_gdr_reftransV1_0004462</v>
      </c>
      <c r="B773" s="3">
        <v>2054</v>
      </c>
      <c r="C773" s="1" t="str">
        <f>HYPERLINK("http://www.uniprot.org/uniprot/Y3739_ARATH","Y3739_ARATH")</f>
        <v>Y3739_ARATH</v>
      </c>
      <c r="D773" t="s">
        <v>831</v>
      </c>
      <c r="E773" s="3" t="s">
        <v>3</v>
      </c>
      <c r="F773" s="4">
        <v>2.1600000000000001E-66</v>
      </c>
      <c r="G773" s="3">
        <v>599</v>
      </c>
      <c r="H773" s="3">
        <v>61</v>
      </c>
      <c r="I773" s="3">
        <v>202</v>
      </c>
      <c r="J773" s="3">
        <v>1051</v>
      </c>
      <c r="K773" s="3">
        <v>1656</v>
      </c>
      <c r="L773" s="3">
        <v>108</v>
      </c>
      <c r="M773" s="3">
        <v>308</v>
      </c>
    </row>
    <row r="774" spans="1:13" x14ac:dyDescent="0.25">
      <c r="A774" s="1" t="str">
        <f>HYPERLINK("http://www.rosaceae.org/Prunus/Prunus_persica/p.persica_gdr_reftransV1_0004512","p.persica_gdr_reftransV1_0004512")</f>
        <v>p.persica_gdr_reftransV1_0004512</v>
      </c>
      <c r="B774" s="3">
        <v>3268</v>
      </c>
      <c r="C774" s="1" t="str">
        <f>HYPERLINK("http://www.uniprot.org/uniprot/SEC23_USTMA","SEC23_USTMA")</f>
        <v>SEC23_USTMA</v>
      </c>
      <c r="D774" t="s">
        <v>832</v>
      </c>
      <c r="E774" s="3" t="s">
        <v>833</v>
      </c>
      <c r="F774" s="4">
        <v>0</v>
      </c>
      <c r="G774" s="3">
        <v>1961</v>
      </c>
      <c r="H774" s="3">
        <v>50</v>
      </c>
      <c r="I774" s="3">
        <v>778</v>
      </c>
      <c r="J774" s="3">
        <v>392</v>
      </c>
      <c r="K774" s="3">
        <v>2692</v>
      </c>
      <c r="L774" s="3">
        <v>1</v>
      </c>
      <c r="M774" s="3">
        <v>768</v>
      </c>
    </row>
    <row r="775" spans="1:13" x14ac:dyDescent="0.25">
      <c r="A775" s="1" t="str">
        <f>HYPERLINK("http://www.rosaceae.org/Prunus/Prunus_persica/p.persica_gdr_reftransV1_0004612","p.persica_gdr_reftransV1_0004612")</f>
        <v>p.persica_gdr_reftransV1_0004612</v>
      </c>
      <c r="B775" s="3">
        <v>1791</v>
      </c>
      <c r="C775" s="1" t="str">
        <f>HYPERLINK("http://www.uniprot.org/uniprot/PDC1_PEA","PDC1_PEA")</f>
        <v>PDC1_PEA</v>
      </c>
      <c r="D775" t="s">
        <v>834</v>
      </c>
      <c r="E775" s="3" t="s">
        <v>60</v>
      </c>
      <c r="F775" s="4">
        <v>0</v>
      </c>
      <c r="G775" s="3">
        <v>2419</v>
      </c>
      <c r="H775" s="3">
        <v>89</v>
      </c>
      <c r="I775" s="3">
        <v>524</v>
      </c>
      <c r="J775" s="3">
        <v>219</v>
      </c>
      <c r="K775" s="3">
        <v>1790</v>
      </c>
      <c r="L775" s="3">
        <v>70</v>
      </c>
      <c r="M775" s="3">
        <v>593</v>
      </c>
    </row>
    <row r="776" spans="1:13" x14ac:dyDescent="0.25">
      <c r="A776" s="1" t="str">
        <f>HYPERLINK("http://www.rosaceae.org/Prunus/Prunus_persica/p.persica_gdr_reftransV1_0004662","p.persica_gdr_reftransV1_0004662")</f>
        <v>p.persica_gdr_reftransV1_0004662</v>
      </c>
      <c r="B776" s="3">
        <v>414</v>
      </c>
      <c r="C776" s="1" t="str">
        <f>HYPERLINK("http://www.uniprot.org/uniprot/LIN_MEDTR","LIN_MEDTR")</f>
        <v>LIN_MEDTR</v>
      </c>
      <c r="D776" t="s">
        <v>835</v>
      </c>
      <c r="E776" s="3" t="s">
        <v>91</v>
      </c>
      <c r="F776" s="4">
        <v>1.09E-62</v>
      </c>
      <c r="G776" s="3">
        <v>542</v>
      </c>
      <c r="H776" s="3">
        <v>75</v>
      </c>
      <c r="I776" s="3">
        <v>137</v>
      </c>
      <c r="J776" s="3">
        <v>1</v>
      </c>
      <c r="K776" s="3">
        <v>411</v>
      </c>
      <c r="L776" s="3">
        <v>682</v>
      </c>
      <c r="M776" s="3">
        <v>818</v>
      </c>
    </row>
    <row r="777" spans="1:13" x14ac:dyDescent="0.25">
      <c r="A777" s="1" t="str">
        <f>HYPERLINK("http://www.rosaceae.org/Prunus/Prunus_persica/p.persica_gdr_reftransV1_0004762","p.persica_gdr_reftransV1_0004762")</f>
        <v>p.persica_gdr_reftransV1_0004762</v>
      </c>
      <c r="B777" s="3">
        <v>1226</v>
      </c>
      <c r="C777" s="1" t="str">
        <f>HYPERLINK("http://www.uniprot.org/uniprot/VAP12_ARATH","VAP12_ARATH")</f>
        <v>VAP12_ARATH</v>
      </c>
      <c r="D777" t="s">
        <v>836</v>
      </c>
      <c r="E777" s="3" t="s">
        <v>3</v>
      </c>
      <c r="F777" s="4">
        <v>1.7700000000000001E-70</v>
      </c>
      <c r="G777" s="3">
        <v>581</v>
      </c>
      <c r="H777" s="3">
        <v>68</v>
      </c>
      <c r="I777" s="3">
        <v>197</v>
      </c>
      <c r="J777" s="3">
        <v>482</v>
      </c>
      <c r="K777" s="3">
        <v>1072</v>
      </c>
      <c r="L777" s="3">
        <v>2</v>
      </c>
      <c r="M777" s="3">
        <v>196</v>
      </c>
    </row>
    <row r="778" spans="1:13" x14ac:dyDescent="0.25">
      <c r="A778" s="1" t="str">
        <f>HYPERLINK("http://www.rosaceae.org/Prunus/Prunus_persica/p.persica_gdr_reftransV1_0004862","p.persica_gdr_reftransV1_0004862")</f>
        <v>p.persica_gdr_reftransV1_0004862</v>
      </c>
      <c r="B778" s="3">
        <v>2557</v>
      </c>
      <c r="C778" s="1" t="str">
        <f>HYPERLINK("http://www.uniprot.org/uniprot/HSP80_SOLLC","HSP80_SOLLC")</f>
        <v>HSP80_SOLLC</v>
      </c>
      <c r="D778" t="s">
        <v>837</v>
      </c>
      <c r="E778" s="3" t="s">
        <v>64</v>
      </c>
      <c r="F778" s="4">
        <v>0</v>
      </c>
      <c r="G778" s="3">
        <v>2912</v>
      </c>
      <c r="H778" s="3">
        <v>92</v>
      </c>
      <c r="I778" s="3">
        <v>699</v>
      </c>
      <c r="J778" s="3">
        <v>256</v>
      </c>
      <c r="K778" s="3">
        <v>2352</v>
      </c>
      <c r="L778" s="3">
        <v>1</v>
      </c>
      <c r="M778" s="3">
        <v>699</v>
      </c>
    </row>
    <row r="779" spans="1:13" x14ac:dyDescent="0.25">
      <c r="A779" s="1" t="str">
        <f>HYPERLINK("http://www.rosaceae.org/Prunus/Prunus_persica/p.persica_gdr_reftransV1_0005062","p.persica_gdr_reftransV1_0005062")</f>
        <v>p.persica_gdr_reftransV1_0005062</v>
      </c>
      <c r="B779" s="3">
        <v>883</v>
      </c>
      <c r="C779" s="1" t="str">
        <f>HYPERLINK("http://www.uniprot.org/uniprot/GDIR_ARATH","GDIR_ARATH")</f>
        <v>GDIR_ARATH</v>
      </c>
      <c r="D779" t="s">
        <v>838</v>
      </c>
      <c r="E779" s="3" t="s">
        <v>3</v>
      </c>
      <c r="F779" s="4">
        <v>1.0199999999999999E-73</v>
      </c>
      <c r="G779" s="3">
        <v>593</v>
      </c>
      <c r="H779" s="3">
        <v>64</v>
      </c>
      <c r="I779" s="3">
        <v>174</v>
      </c>
      <c r="J779" s="3">
        <v>48</v>
      </c>
      <c r="K779" s="3">
        <v>569</v>
      </c>
      <c r="L779" s="3">
        <v>65</v>
      </c>
      <c r="M779" s="3">
        <v>238</v>
      </c>
    </row>
    <row r="780" spans="1:13" x14ac:dyDescent="0.25">
      <c r="A780" s="1" t="str">
        <f>HYPERLINK("http://www.rosaceae.org/Prunus/Prunus_persica/p.persica_gdr_reftransV1_0005162","p.persica_gdr_reftransV1_0005162")</f>
        <v>p.persica_gdr_reftransV1_0005162</v>
      </c>
      <c r="B780" s="3">
        <v>1189</v>
      </c>
      <c r="C780" s="1" t="str">
        <f>HYPERLINK("http://www.uniprot.org/uniprot/TON1B_ARATH","TON1B_ARATH")</f>
        <v>TON1B_ARATH</v>
      </c>
      <c r="D780" t="s">
        <v>839</v>
      </c>
      <c r="E780" s="3" t="s">
        <v>3</v>
      </c>
      <c r="F780" s="4">
        <v>4E-109</v>
      </c>
      <c r="G780" s="3">
        <v>840</v>
      </c>
      <c r="H780" s="3">
        <v>71</v>
      </c>
      <c r="I780" s="3">
        <v>260</v>
      </c>
      <c r="J780" s="3">
        <v>145</v>
      </c>
      <c r="K780" s="3">
        <v>924</v>
      </c>
      <c r="L780" s="3">
        <v>1</v>
      </c>
      <c r="M780" s="3">
        <v>253</v>
      </c>
    </row>
    <row r="781" spans="1:13" x14ac:dyDescent="0.25">
      <c r="A781" s="1" t="str">
        <f>HYPERLINK("http://www.rosaceae.org/Prunus/Prunus_persica/p.persica_gdr_reftransV1_0005312","p.persica_gdr_reftransV1_0005312")</f>
        <v>p.persica_gdr_reftransV1_0005312</v>
      </c>
      <c r="B781" s="3">
        <v>1558</v>
      </c>
      <c r="C781" s="1" t="str">
        <f>HYPERLINK("http://www.uniprot.org/uniprot/RAP24_ARATH","RAP24_ARATH")</f>
        <v>RAP24_ARATH</v>
      </c>
      <c r="D781" t="s">
        <v>840</v>
      </c>
      <c r="E781" s="3" t="s">
        <v>3</v>
      </c>
      <c r="F781" s="4">
        <v>1.44E-66</v>
      </c>
      <c r="G781" s="3">
        <v>571</v>
      </c>
      <c r="H781" s="3">
        <v>63</v>
      </c>
      <c r="I781" s="3">
        <v>234</v>
      </c>
      <c r="J781" s="3">
        <v>328</v>
      </c>
      <c r="K781" s="3">
        <v>978</v>
      </c>
      <c r="L781" s="3">
        <v>106</v>
      </c>
      <c r="M781" s="3">
        <v>333</v>
      </c>
    </row>
    <row r="782" spans="1:13" x14ac:dyDescent="0.25">
      <c r="A782" s="1" t="str">
        <f>HYPERLINK("http://www.rosaceae.org/Prunus/Prunus_persica/p.persica_gdr_reftransV1_0005412","p.persica_gdr_reftransV1_0005412")</f>
        <v>p.persica_gdr_reftransV1_0005412</v>
      </c>
      <c r="B782" s="3">
        <v>2269</v>
      </c>
      <c r="C782" s="1" t="str">
        <f>HYPERLINK("http://www.uniprot.org/uniprot/BON1_ARATH","BON1_ARATH")</f>
        <v>BON1_ARATH</v>
      </c>
      <c r="D782" t="s">
        <v>841</v>
      </c>
      <c r="E782" s="3" t="s">
        <v>3</v>
      </c>
      <c r="F782" s="4">
        <v>0</v>
      </c>
      <c r="G782" s="3">
        <v>2189</v>
      </c>
      <c r="H782" s="3">
        <v>74</v>
      </c>
      <c r="I782" s="3">
        <v>552</v>
      </c>
      <c r="J782" s="3">
        <v>567</v>
      </c>
      <c r="K782" s="3">
        <v>2222</v>
      </c>
      <c r="L782" s="3">
        <v>31</v>
      </c>
      <c r="M782" s="3">
        <v>576</v>
      </c>
    </row>
    <row r="783" spans="1:13" x14ac:dyDescent="0.25">
      <c r="A783" s="1" t="str">
        <f>HYPERLINK("http://www.rosaceae.org/Prunus/Prunus_persica/p.persica_gdr_reftransV1_0005512","p.persica_gdr_reftransV1_0005512")</f>
        <v>p.persica_gdr_reftransV1_0005512</v>
      </c>
      <c r="B783" s="3">
        <v>1805</v>
      </c>
      <c r="C783" s="1" t="str">
        <f>HYPERLINK("http://www.uniprot.org/uniprot/FHYRK_ARATH","FHYRK_ARATH")</f>
        <v>FHYRK_ARATH</v>
      </c>
      <c r="D783" t="s">
        <v>842</v>
      </c>
      <c r="E783" s="3" t="s">
        <v>3</v>
      </c>
      <c r="F783" s="4">
        <v>2.4200000000000002E-156</v>
      </c>
      <c r="G783" s="3">
        <v>794</v>
      </c>
      <c r="H783" s="3">
        <v>70</v>
      </c>
      <c r="I783" s="3">
        <v>234</v>
      </c>
      <c r="J783" s="3">
        <v>708</v>
      </c>
      <c r="K783" s="3">
        <v>1409</v>
      </c>
      <c r="L783" s="3">
        <v>1</v>
      </c>
      <c r="M783" s="3">
        <v>234</v>
      </c>
    </row>
    <row r="784" spans="1:13" x14ac:dyDescent="0.25">
      <c r="A784" s="1" t="str">
        <f>HYPERLINK("http://www.rosaceae.org/Prunus/Prunus_persica/p.persica_gdr_reftransV1_0005612","p.persica_gdr_reftransV1_0005612")</f>
        <v>p.persica_gdr_reftransV1_0005612</v>
      </c>
      <c r="B784" s="3">
        <v>421</v>
      </c>
      <c r="C784" s="1" t="str">
        <f>HYPERLINK("http://www.uniprot.org/uniprot/CNGC1_ARATH","CNGC1_ARATH")</f>
        <v>CNGC1_ARATH</v>
      </c>
      <c r="D784" t="s">
        <v>241</v>
      </c>
      <c r="E784" s="3" t="s">
        <v>3</v>
      </c>
      <c r="F784" s="4">
        <v>1.5E-16</v>
      </c>
      <c r="G784" s="3">
        <v>196</v>
      </c>
      <c r="H784" s="3">
        <v>37</v>
      </c>
      <c r="I784" s="3">
        <v>136</v>
      </c>
      <c r="J784" s="3">
        <v>1</v>
      </c>
      <c r="K784" s="3">
        <v>384</v>
      </c>
      <c r="L784" s="3">
        <v>189</v>
      </c>
      <c r="M784" s="3">
        <v>322</v>
      </c>
    </row>
    <row r="785" spans="1:13" x14ac:dyDescent="0.25">
      <c r="A785" s="1" t="str">
        <f>HYPERLINK("http://www.rosaceae.org/Prunus/Prunus_persica/p.persica_gdr_reftransV1_0005662","p.persica_gdr_reftransV1_0005662")</f>
        <v>p.persica_gdr_reftransV1_0005662</v>
      </c>
      <c r="B785" s="3">
        <v>652</v>
      </c>
      <c r="C785" s="1" t="str">
        <f>HYPERLINK("http://www.uniprot.org/uniprot/MATE8_ARATH","MATE8_ARATH")</f>
        <v>MATE8_ARATH</v>
      </c>
      <c r="D785" t="s">
        <v>843</v>
      </c>
      <c r="E785" s="3" t="s">
        <v>3</v>
      </c>
      <c r="F785" s="4">
        <v>8.8299999999999994E-20</v>
      </c>
      <c r="G785" s="3">
        <v>224</v>
      </c>
      <c r="H785" s="3">
        <v>46</v>
      </c>
      <c r="I785" s="3">
        <v>92</v>
      </c>
      <c r="J785" s="3">
        <v>18</v>
      </c>
      <c r="K785" s="3">
        <v>293</v>
      </c>
      <c r="L785" s="3">
        <v>380</v>
      </c>
      <c r="M785" s="3">
        <v>471</v>
      </c>
    </row>
    <row r="786" spans="1:13" x14ac:dyDescent="0.25">
      <c r="A786" s="1" t="str">
        <f>HYPERLINK("http://www.rosaceae.org/Prunus/Prunus_persica/p.persica_gdr_reftransV1_0005762","p.persica_gdr_reftransV1_0005762")</f>
        <v>p.persica_gdr_reftransV1_0005762</v>
      </c>
      <c r="B786" s="3">
        <v>6531</v>
      </c>
      <c r="C786" s="1" t="str">
        <f>HYPERLINK("http://www.uniprot.org/uniprot/RDRP_ASPVP","RDRP_ASPVP")</f>
        <v>RDRP_ASPVP</v>
      </c>
      <c r="D786" t="s">
        <v>844</v>
      </c>
      <c r="E786" s="3" t="s">
        <v>845</v>
      </c>
      <c r="F786" s="4">
        <v>0</v>
      </c>
      <c r="G786" s="3">
        <v>2298</v>
      </c>
      <c r="H786" s="3">
        <v>44</v>
      </c>
      <c r="I786" s="3">
        <v>1141</v>
      </c>
      <c r="J786" s="3">
        <v>922</v>
      </c>
      <c r="K786" s="3">
        <v>4299</v>
      </c>
      <c r="L786" s="3">
        <v>1064</v>
      </c>
      <c r="M786" s="3">
        <v>2178</v>
      </c>
    </row>
    <row r="787" spans="1:13" x14ac:dyDescent="0.25">
      <c r="A787" s="1" t="str">
        <f>HYPERLINK("http://www.rosaceae.org/Prunus/Prunus_persica/p.persica_gdr_reftransV1_0005862","p.persica_gdr_reftransV1_0005862")</f>
        <v>p.persica_gdr_reftransV1_0005862</v>
      </c>
      <c r="B787" s="3">
        <v>1176</v>
      </c>
      <c r="C787" s="1" t="str">
        <f>HYPERLINK("http://www.uniprot.org/uniprot/3MMP_ARATH","3MMP_ARATH")</f>
        <v>3MMP_ARATH</v>
      </c>
      <c r="D787" t="s">
        <v>846</v>
      </c>
      <c r="E787" s="3" t="s">
        <v>3</v>
      </c>
      <c r="F787" s="4">
        <v>1.62E-66</v>
      </c>
      <c r="G787" s="3">
        <v>565</v>
      </c>
      <c r="H787" s="3">
        <v>44</v>
      </c>
      <c r="I787" s="3">
        <v>290</v>
      </c>
      <c r="J787" s="3">
        <v>145</v>
      </c>
      <c r="K787" s="3">
        <v>954</v>
      </c>
      <c r="L787" s="3">
        <v>39</v>
      </c>
      <c r="M787" s="3">
        <v>328</v>
      </c>
    </row>
    <row r="788" spans="1:13" x14ac:dyDescent="0.25">
      <c r="A788" s="1" t="str">
        <f>HYPERLINK("http://www.rosaceae.org/Prunus/Prunus_persica/p.persica_gdr_reftransV1_0005912","p.persica_gdr_reftransV1_0005912")</f>
        <v>p.persica_gdr_reftransV1_0005912</v>
      </c>
      <c r="B788" s="3">
        <v>631</v>
      </c>
      <c r="C788" s="1" t="str">
        <f>HYPERLINK("http://www.uniprot.org/uniprot/R13L1_ARATH","R13L1_ARATH")</f>
        <v>R13L1_ARATH</v>
      </c>
      <c r="D788" t="s">
        <v>100</v>
      </c>
      <c r="E788" s="3" t="s">
        <v>3</v>
      </c>
      <c r="F788" s="4">
        <v>1.9999999999999999E-38</v>
      </c>
      <c r="G788" s="3">
        <v>369</v>
      </c>
      <c r="H788" s="3">
        <v>44</v>
      </c>
      <c r="I788" s="3">
        <v>203</v>
      </c>
      <c r="J788" s="3">
        <v>77</v>
      </c>
      <c r="K788" s="3">
        <v>631</v>
      </c>
      <c r="L788" s="3">
        <v>652</v>
      </c>
      <c r="M788" s="3">
        <v>854</v>
      </c>
    </row>
    <row r="789" spans="1:13" x14ac:dyDescent="0.25">
      <c r="A789" s="1" t="str">
        <f>HYPERLINK("http://www.rosaceae.org/Prunus/Prunus_persica/p.persica_gdr_reftransV1_0005962","p.persica_gdr_reftransV1_0005962")</f>
        <v>p.persica_gdr_reftransV1_0005962</v>
      </c>
      <c r="B789" s="3">
        <v>1118</v>
      </c>
      <c r="C789" s="1" t="str">
        <f>HYPERLINK("http://www.uniprot.org/uniprot/ABP20_PRUPE","ABP20_PRUPE")</f>
        <v>ABP20_PRUPE</v>
      </c>
      <c r="D789" t="s">
        <v>847</v>
      </c>
      <c r="E789" s="3" t="s">
        <v>784</v>
      </c>
      <c r="F789" s="4">
        <v>7.7299999999999995E-136</v>
      </c>
      <c r="G789" s="3">
        <v>1010</v>
      </c>
      <c r="H789" s="3">
        <v>99</v>
      </c>
      <c r="I789" s="3">
        <v>214</v>
      </c>
      <c r="J789" s="3">
        <v>99</v>
      </c>
      <c r="K789" s="3">
        <v>740</v>
      </c>
      <c r="L789" s="3">
        <v>1</v>
      </c>
      <c r="M789" s="3">
        <v>214</v>
      </c>
    </row>
    <row r="790" spans="1:13" x14ac:dyDescent="0.25">
      <c r="A790" s="1" t="str">
        <f>HYPERLINK("http://www.rosaceae.org/Prunus/Prunus_persica/p.persica_gdr_reftransV1_0006012","p.persica_gdr_reftransV1_0006012")</f>
        <v>p.persica_gdr_reftransV1_0006012</v>
      </c>
      <c r="B790" s="3">
        <v>1423</v>
      </c>
      <c r="C790" s="1" t="str">
        <f>HYPERLINK("http://www.uniprot.org/uniprot/GSO1_ARATH","GSO1_ARATH")</f>
        <v>GSO1_ARATH</v>
      </c>
      <c r="D790" t="s">
        <v>848</v>
      </c>
      <c r="E790" s="3" t="s">
        <v>3</v>
      </c>
      <c r="F790" s="4">
        <v>1.61E-39</v>
      </c>
      <c r="G790" s="3">
        <v>398</v>
      </c>
      <c r="H790" s="3">
        <v>36</v>
      </c>
      <c r="I790" s="3">
        <v>410</v>
      </c>
      <c r="J790" s="3">
        <v>306</v>
      </c>
      <c r="K790" s="3">
        <v>1421</v>
      </c>
      <c r="L790" s="3">
        <v>94</v>
      </c>
      <c r="M790" s="3">
        <v>497</v>
      </c>
    </row>
    <row r="791" spans="1:13" x14ac:dyDescent="0.25">
      <c r="A791" s="1" t="str">
        <f>HYPERLINK("http://www.rosaceae.org/Prunus/Prunus_persica/p.persica_gdr_reftransV1_0006212","p.persica_gdr_reftransV1_0006212")</f>
        <v>p.persica_gdr_reftransV1_0006212</v>
      </c>
      <c r="B791" s="3">
        <v>792</v>
      </c>
      <c r="C791" s="1" t="str">
        <f>HYPERLINK("http://www.uniprot.org/uniprot/E134_MAIZE","E134_MAIZE")</f>
        <v>E134_MAIZE</v>
      </c>
      <c r="D791" t="s">
        <v>849</v>
      </c>
      <c r="E791" s="3" t="s">
        <v>72</v>
      </c>
      <c r="F791" s="4">
        <v>1.47E-40</v>
      </c>
      <c r="G791" s="3">
        <v>372</v>
      </c>
      <c r="H791" s="3">
        <v>48</v>
      </c>
      <c r="I791" s="3">
        <v>173</v>
      </c>
      <c r="J791" s="3">
        <v>146</v>
      </c>
      <c r="K791" s="3">
        <v>664</v>
      </c>
      <c r="L791" s="3">
        <v>55</v>
      </c>
      <c r="M791" s="3">
        <v>219</v>
      </c>
    </row>
    <row r="792" spans="1:13" x14ac:dyDescent="0.25">
      <c r="A792" s="1" t="str">
        <f>HYPERLINK("http://www.rosaceae.org/Prunus/Prunus_persica/p.persica_gdr_reftransV1_0006262","p.persica_gdr_reftransV1_0006262")</f>
        <v>p.persica_gdr_reftransV1_0006262</v>
      </c>
      <c r="B792" s="3">
        <v>1556</v>
      </c>
      <c r="C792" s="1" t="str">
        <f>HYPERLINK("http://www.uniprot.org/uniprot/DEN4C_HUMAN","DEN4C_HUMAN")</f>
        <v>DEN4C_HUMAN</v>
      </c>
      <c r="D792" t="s">
        <v>850</v>
      </c>
      <c r="E792" s="3" t="s">
        <v>28</v>
      </c>
      <c r="F792" s="4">
        <v>6.1100000000000001E-11</v>
      </c>
      <c r="G792" s="3">
        <v>168</v>
      </c>
      <c r="H792" s="3">
        <v>26</v>
      </c>
      <c r="I792" s="3">
        <v>235</v>
      </c>
      <c r="J792" s="3">
        <v>498</v>
      </c>
      <c r="K792" s="3">
        <v>1130</v>
      </c>
      <c r="L792" s="3">
        <v>158</v>
      </c>
      <c r="M792" s="3">
        <v>389</v>
      </c>
    </row>
    <row r="793" spans="1:13" x14ac:dyDescent="0.25">
      <c r="A793" s="1" t="str">
        <f>HYPERLINK("http://www.rosaceae.org/Prunus/Prunus_persica/p.persica_gdr_reftransV1_0006312","p.persica_gdr_reftransV1_0006312")</f>
        <v>p.persica_gdr_reftransV1_0006312</v>
      </c>
      <c r="B793" s="3">
        <v>495</v>
      </c>
      <c r="C793" s="1" t="str">
        <f>HYPERLINK("http://www.uniprot.org/uniprot/PP175_ARATH","PP175_ARATH")</f>
        <v>PP175_ARATH</v>
      </c>
      <c r="D793" t="s">
        <v>272</v>
      </c>
      <c r="E793" s="3" t="s">
        <v>3</v>
      </c>
      <c r="F793" s="4">
        <v>9.0000000000000002E-25</v>
      </c>
      <c r="G793" s="3">
        <v>260</v>
      </c>
      <c r="H793" s="3">
        <v>36</v>
      </c>
      <c r="I793" s="3">
        <v>143</v>
      </c>
      <c r="J793" s="3">
        <v>59</v>
      </c>
      <c r="K793" s="3">
        <v>484</v>
      </c>
      <c r="L793" s="3">
        <v>42</v>
      </c>
      <c r="M793" s="3">
        <v>181</v>
      </c>
    </row>
    <row r="794" spans="1:13" x14ac:dyDescent="0.25">
      <c r="A794" s="1" t="str">
        <f>HYPERLINK("http://www.rosaceae.org/Prunus/Prunus_persica/p.persica_gdr_reftransV1_0006662","p.persica_gdr_reftransV1_0006662")</f>
        <v>p.persica_gdr_reftransV1_0006662</v>
      </c>
      <c r="B794" s="3">
        <v>1305</v>
      </c>
      <c r="C794" s="1" t="str">
        <f>HYPERLINK("http://www.uniprot.org/uniprot/MADS8_ORYSJ","MADS8_ORYSJ")</f>
        <v>MADS8_ORYSJ</v>
      </c>
      <c r="D794" t="s">
        <v>851</v>
      </c>
      <c r="E794" s="3" t="s">
        <v>38</v>
      </c>
      <c r="F794" s="4">
        <v>5.4099999999999997E-31</v>
      </c>
      <c r="G794" s="3">
        <v>310</v>
      </c>
      <c r="H794" s="3">
        <v>44</v>
      </c>
      <c r="I794" s="3">
        <v>176</v>
      </c>
      <c r="J794" s="3">
        <v>448</v>
      </c>
      <c r="K794" s="3">
        <v>969</v>
      </c>
      <c r="L794" s="3">
        <v>1</v>
      </c>
      <c r="M794" s="3">
        <v>154</v>
      </c>
    </row>
    <row r="795" spans="1:13" x14ac:dyDescent="0.25">
      <c r="A795" s="1" t="str">
        <f>HYPERLINK("http://www.rosaceae.org/Prunus/Prunus_persica/p.persica_gdr_reftransV1_0006762","p.persica_gdr_reftransV1_0006762")</f>
        <v>p.persica_gdr_reftransV1_0006762</v>
      </c>
      <c r="B795" s="3">
        <v>1470</v>
      </c>
      <c r="C795" s="1" t="str">
        <f>HYPERLINK("http://www.uniprot.org/uniprot/WTR7_ARATH","WTR7_ARATH")</f>
        <v>WTR7_ARATH</v>
      </c>
      <c r="D795" t="s">
        <v>852</v>
      </c>
      <c r="E795" s="3" t="s">
        <v>3</v>
      </c>
      <c r="F795" s="4">
        <v>7.4599999999999992E-99</v>
      </c>
      <c r="G795" s="3">
        <v>788</v>
      </c>
      <c r="H795" s="3">
        <v>60</v>
      </c>
      <c r="I795" s="3">
        <v>306</v>
      </c>
      <c r="J795" s="3">
        <v>50</v>
      </c>
      <c r="K795" s="3">
        <v>967</v>
      </c>
      <c r="L795" s="3">
        <v>1</v>
      </c>
      <c r="M795" s="3">
        <v>301</v>
      </c>
    </row>
    <row r="796" spans="1:13" x14ac:dyDescent="0.25">
      <c r="A796" s="1" t="str">
        <f>HYPERLINK("http://www.rosaceae.org/Prunus/Prunus_persica/p.persica_gdr_reftransV1_0006912","p.persica_gdr_reftransV1_0006912")</f>
        <v>p.persica_gdr_reftransV1_0006912</v>
      </c>
      <c r="B796" s="3">
        <v>946</v>
      </c>
      <c r="C796" s="1" t="str">
        <f>HYPERLINK("http://www.uniprot.org/uniprot/HAK5_ORYSJ","HAK5_ORYSJ")</f>
        <v>HAK5_ORYSJ</v>
      </c>
      <c r="D796" t="s">
        <v>853</v>
      </c>
      <c r="E796" s="3" t="s">
        <v>38</v>
      </c>
      <c r="F796" s="4">
        <v>1.44E-61</v>
      </c>
      <c r="G796" s="3">
        <v>545</v>
      </c>
      <c r="H796" s="3">
        <v>43</v>
      </c>
      <c r="I796" s="3">
        <v>268</v>
      </c>
      <c r="J796" s="3">
        <v>162</v>
      </c>
      <c r="K796" s="3">
        <v>944</v>
      </c>
      <c r="L796" s="3">
        <v>522</v>
      </c>
      <c r="M796" s="3">
        <v>781</v>
      </c>
    </row>
    <row r="797" spans="1:13" x14ac:dyDescent="0.25">
      <c r="A797" s="1" t="str">
        <f>HYPERLINK("http://www.rosaceae.org/Prunus/Prunus_persica/p.persica_gdr_reftransV1_0007062","p.persica_gdr_reftransV1_0007062")</f>
        <v>p.persica_gdr_reftransV1_0007062</v>
      </c>
      <c r="B797" s="3">
        <v>680</v>
      </c>
      <c r="C797" s="1" t="str">
        <f>HYPERLINK("http://www.uniprot.org/uniprot/PP245_ARATH","PP245_ARATH")</f>
        <v>PP245_ARATH</v>
      </c>
      <c r="D797" t="s">
        <v>854</v>
      </c>
      <c r="E797" s="3" t="s">
        <v>3</v>
      </c>
      <c r="F797" s="4">
        <v>1.24E-68</v>
      </c>
      <c r="G797" s="3">
        <v>574</v>
      </c>
      <c r="H797" s="3">
        <v>51</v>
      </c>
      <c r="I797" s="3">
        <v>206</v>
      </c>
      <c r="J797" s="3">
        <v>1</v>
      </c>
      <c r="K797" s="3">
        <v>618</v>
      </c>
      <c r="L797" s="3">
        <v>318</v>
      </c>
      <c r="M797" s="3">
        <v>523</v>
      </c>
    </row>
    <row r="798" spans="1:13" x14ac:dyDescent="0.25">
      <c r="A798" s="1" t="str">
        <f>HYPERLINK("http://www.rosaceae.org/Prunus/Prunus_persica/p.persica_gdr_reftransV1_0007162","p.persica_gdr_reftransV1_0007162")</f>
        <v>p.persica_gdr_reftransV1_0007162</v>
      </c>
      <c r="B798" s="3">
        <v>946</v>
      </c>
      <c r="C798" s="1" t="str">
        <f>HYPERLINK("http://www.uniprot.org/uniprot/U503A_ARATH","U503A_ARATH")</f>
        <v>U503A_ARATH</v>
      </c>
      <c r="D798" t="s">
        <v>855</v>
      </c>
      <c r="E798" s="3" t="s">
        <v>3</v>
      </c>
      <c r="F798" s="4">
        <v>3.2700000000000001E-23</v>
      </c>
      <c r="G798" s="3">
        <v>259</v>
      </c>
      <c r="H798" s="3">
        <v>32</v>
      </c>
      <c r="I798" s="3">
        <v>361</v>
      </c>
      <c r="J798" s="3">
        <v>6</v>
      </c>
      <c r="K798" s="3">
        <v>692</v>
      </c>
      <c r="L798" s="3">
        <v>25</v>
      </c>
      <c r="M798" s="3">
        <v>377</v>
      </c>
    </row>
    <row r="799" spans="1:13" x14ac:dyDescent="0.25">
      <c r="A799" s="1" t="str">
        <f>HYPERLINK("http://www.rosaceae.org/Prunus/Prunus_persica/p.persica_gdr_reftransV1_0007212","p.persica_gdr_reftransV1_0007212")</f>
        <v>p.persica_gdr_reftransV1_0007212</v>
      </c>
      <c r="B799" s="3">
        <v>854</v>
      </c>
      <c r="C799" s="1" t="str">
        <f>HYPERLINK("http://www.uniprot.org/uniprot/NPY2_ARATH","NPY2_ARATH")</f>
        <v>NPY2_ARATH</v>
      </c>
      <c r="D799" t="s">
        <v>856</v>
      </c>
      <c r="E799" s="3" t="s">
        <v>3</v>
      </c>
      <c r="F799" s="4">
        <v>1.92E-55</v>
      </c>
      <c r="G799" s="3">
        <v>494</v>
      </c>
      <c r="H799" s="3">
        <v>64</v>
      </c>
      <c r="I799" s="3">
        <v>161</v>
      </c>
      <c r="J799" s="3">
        <v>1</v>
      </c>
      <c r="K799" s="3">
        <v>468</v>
      </c>
      <c r="L799" s="3">
        <v>430</v>
      </c>
      <c r="M799" s="3">
        <v>581</v>
      </c>
    </row>
    <row r="800" spans="1:13" x14ac:dyDescent="0.25">
      <c r="A800" s="1" t="str">
        <f>HYPERLINK("http://www.rosaceae.org/Prunus/Prunus_persica/p.persica_gdr_reftransV1_0007662","p.persica_gdr_reftransV1_0007662")</f>
        <v>p.persica_gdr_reftransV1_0007662</v>
      </c>
      <c r="B800" s="3">
        <v>953</v>
      </c>
      <c r="C800" s="1" t="str">
        <f>HYPERLINK("http://www.uniprot.org/uniprot/PLAL1_PLALA","PLAL1_PLALA")</f>
        <v>PLAL1_PLALA</v>
      </c>
      <c r="D800" t="s">
        <v>857</v>
      </c>
      <c r="E800" s="3" t="s">
        <v>858</v>
      </c>
      <c r="F800" s="4">
        <v>3.7399999999999999E-7</v>
      </c>
      <c r="G800" s="3">
        <v>124</v>
      </c>
      <c r="H800" s="3">
        <v>38</v>
      </c>
      <c r="I800" s="3">
        <v>84</v>
      </c>
      <c r="J800" s="3">
        <v>332</v>
      </c>
      <c r="K800" s="3">
        <v>580</v>
      </c>
      <c r="L800" s="3">
        <v>11</v>
      </c>
      <c r="M800" s="3">
        <v>87</v>
      </c>
    </row>
    <row r="801" spans="1:13" x14ac:dyDescent="0.25">
      <c r="A801" s="1" t="str">
        <f>HYPERLINK("http://www.rosaceae.org/Prunus/Prunus_persica/p.persica_gdr_reftransV1_0007712","p.persica_gdr_reftransV1_0007712")</f>
        <v>p.persica_gdr_reftransV1_0007712</v>
      </c>
      <c r="B801" s="3">
        <v>4382</v>
      </c>
      <c r="C801" s="1" t="str">
        <f>HYPERLINK("http://www.uniprot.org/uniprot/GPDA2_ARATH","GPDA2_ARATH")</f>
        <v>GPDA2_ARATH</v>
      </c>
      <c r="D801" t="s">
        <v>859</v>
      </c>
      <c r="E801" s="3" t="s">
        <v>3</v>
      </c>
      <c r="F801" s="4">
        <v>3.5600000000000002E-99</v>
      </c>
      <c r="G801" s="3">
        <v>845</v>
      </c>
      <c r="H801" s="3">
        <v>85</v>
      </c>
      <c r="I801" s="3">
        <v>203</v>
      </c>
      <c r="J801" s="3">
        <v>3633</v>
      </c>
      <c r="K801" s="3">
        <v>4241</v>
      </c>
      <c r="L801" s="3">
        <v>64</v>
      </c>
      <c r="M801" s="3">
        <v>266</v>
      </c>
    </row>
    <row r="802" spans="1:13" x14ac:dyDescent="0.25">
      <c r="A802" s="1" t="str">
        <f>HYPERLINK("http://www.rosaceae.org/Prunus/Prunus_persica/p.persica_gdr_reftransV1_0007962","p.persica_gdr_reftransV1_0007962")</f>
        <v>p.persica_gdr_reftransV1_0007962</v>
      </c>
      <c r="B802" s="3">
        <v>2052</v>
      </c>
      <c r="C802" s="1" t="str">
        <f>HYPERLINK("http://www.uniprot.org/uniprot/Y5600_ARATH","Y5600_ARATH")</f>
        <v>Y5600_ARATH</v>
      </c>
      <c r="D802" t="s">
        <v>860</v>
      </c>
      <c r="E802" s="3" t="s">
        <v>3</v>
      </c>
      <c r="F802" s="4">
        <v>0</v>
      </c>
      <c r="G802" s="3">
        <v>1491</v>
      </c>
      <c r="H802" s="3">
        <v>62</v>
      </c>
      <c r="I802" s="3">
        <v>517</v>
      </c>
      <c r="J802" s="3">
        <v>178</v>
      </c>
      <c r="K802" s="3">
        <v>1701</v>
      </c>
      <c r="L802" s="3">
        <v>1</v>
      </c>
      <c r="M802" s="3">
        <v>498</v>
      </c>
    </row>
    <row r="803" spans="1:13" x14ac:dyDescent="0.25">
      <c r="A803" s="1" t="str">
        <f>HYPERLINK("http://www.rosaceae.org/Prunus/Prunus_persica/p.persica_gdr_reftransV1_0008012","p.persica_gdr_reftransV1_0008012")</f>
        <v>p.persica_gdr_reftransV1_0008012</v>
      </c>
      <c r="B803" s="3">
        <v>623</v>
      </c>
      <c r="C803" s="1" t="str">
        <f>HYPERLINK("http://www.uniprot.org/uniprot/PP359_ARATH","PP359_ARATH")</f>
        <v>PP359_ARATH</v>
      </c>
      <c r="D803" t="s">
        <v>861</v>
      </c>
      <c r="E803" s="3" t="s">
        <v>3</v>
      </c>
      <c r="F803" s="4">
        <v>4.5499999999999999E-65</v>
      </c>
      <c r="G803" s="3">
        <v>559</v>
      </c>
      <c r="H803" s="3">
        <v>59</v>
      </c>
      <c r="I803" s="3">
        <v>164</v>
      </c>
      <c r="J803" s="3">
        <v>2</v>
      </c>
      <c r="K803" s="3">
        <v>493</v>
      </c>
      <c r="L803" s="3">
        <v>612</v>
      </c>
      <c r="M803" s="3">
        <v>775</v>
      </c>
    </row>
    <row r="804" spans="1:13" x14ac:dyDescent="0.25">
      <c r="A804" s="1" t="str">
        <f>HYPERLINK("http://www.rosaceae.org/Prunus/Prunus_persica/p.persica_gdr_reftransV1_0008112","p.persica_gdr_reftransV1_0008112")</f>
        <v>p.persica_gdr_reftransV1_0008112</v>
      </c>
      <c r="B804" s="3">
        <v>1788</v>
      </c>
      <c r="C804" s="1" t="str">
        <f>HYPERLINK("http://www.uniprot.org/uniprot/Y1464_AQUAE","Y1464_AQUAE")</f>
        <v>Y1464_AQUAE</v>
      </c>
      <c r="D804" t="s">
        <v>862</v>
      </c>
      <c r="E804" s="3" t="s">
        <v>863</v>
      </c>
      <c r="F804" s="4">
        <v>8.6599999999999995E-38</v>
      </c>
      <c r="G804" s="3">
        <v>364</v>
      </c>
      <c r="H804" s="3">
        <v>38</v>
      </c>
      <c r="I804" s="3">
        <v>244</v>
      </c>
      <c r="J804" s="3">
        <v>532</v>
      </c>
      <c r="K804" s="3">
        <v>1263</v>
      </c>
      <c r="L804" s="3">
        <v>5</v>
      </c>
      <c r="M804" s="3">
        <v>235</v>
      </c>
    </row>
    <row r="805" spans="1:13" x14ac:dyDescent="0.25">
      <c r="A805" s="1" t="str">
        <f>HYPERLINK("http://www.rosaceae.org/Prunus/Prunus_persica/p.persica_gdr_reftransV1_0008162","p.persica_gdr_reftransV1_0008162")</f>
        <v>p.persica_gdr_reftransV1_0008162</v>
      </c>
      <c r="B805" s="3">
        <v>2214</v>
      </c>
      <c r="C805" s="1" t="str">
        <f>HYPERLINK("http://www.uniprot.org/uniprot/PP269_ARATH","PP269_ARATH")</f>
        <v>PP269_ARATH</v>
      </c>
      <c r="D805" t="s">
        <v>864</v>
      </c>
      <c r="E805" s="3" t="s">
        <v>3</v>
      </c>
      <c r="F805" s="4">
        <v>0</v>
      </c>
      <c r="G805" s="3">
        <v>1820</v>
      </c>
      <c r="H805" s="3">
        <v>56</v>
      </c>
      <c r="I805" s="3">
        <v>619</v>
      </c>
      <c r="J805" s="3">
        <v>326</v>
      </c>
      <c r="K805" s="3">
        <v>2173</v>
      </c>
      <c r="L805" s="3">
        <v>6</v>
      </c>
      <c r="M805" s="3">
        <v>619</v>
      </c>
    </row>
    <row r="806" spans="1:13" x14ac:dyDescent="0.25">
      <c r="A806" s="1" t="str">
        <f>HYPERLINK("http://www.rosaceae.org/Prunus/Prunus_persica/p.persica_gdr_reftransV1_0008212","p.persica_gdr_reftransV1_0008212")</f>
        <v>p.persica_gdr_reftransV1_0008212</v>
      </c>
      <c r="B806" s="3">
        <v>3572</v>
      </c>
      <c r="C806" s="1" t="str">
        <f>HYPERLINK("http://www.uniprot.org/uniprot/Y5020_ARATH","Y5020_ARATH")</f>
        <v>Y5020_ARATH</v>
      </c>
      <c r="D806" t="s">
        <v>865</v>
      </c>
      <c r="E806" s="3" t="s">
        <v>3</v>
      </c>
      <c r="F806" s="4">
        <v>0</v>
      </c>
      <c r="G806" s="3">
        <v>1861</v>
      </c>
      <c r="H806" s="3">
        <v>42</v>
      </c>
      <c r="I806" s="3">
        <v>1044</v>
      </c>
      <c r="J806" s="3">
        <v>302</v>
      </c>
      <c r="K806" s="3">
        <v>3292</v>
      </c>
      <c r="L806" s="3">
        <v>21</v>
      </c>
      <c r="M806" s="3">
        <v>1046</v>
      </c>
    </row>
    <row r="807" spans="1:13" x14ac:dyDescent="0.25">
      <c r="A807" s="1" t="str">
        <f>HYPERLINK("http://www.rosaceae.org/Prunus/Prunus_persica/p.persica_gdr_reftransV1_0008262","p.persica_gdr_reftransV1_0008262")</f>
        <v>p.persica_gdr_reftransV1_0008262</v>
      </c>
      <c r="B807" s="3">
        <v>2851</v>
      </c>
      <c r="C807" s="1" t="str">
        <f>HYPERLINK("http://www.uniprot.org/uniprot/RCA_MAIZE","RCA_MAIZE")</f>
        <v>RCA_MAIZE</v>
      </c>
      <c r="D807" t="s">
        <v>866</v>
      </c>
      <c r="E807" s="3" t="s">
        <v>72</v>
      </c>
      <c r="F807" s="4">
        <v>3.2500000000000001E-37</v>
      </c>
      <c r="G807" s="3">
        <v>379</v>
      </c>
      <c r="H807" s="3">
        <v>58</v>
      </c>
      <c r="I807" s="3">
        <v>128</v>
      </c>
      <c r="J807" s="3">
        <v>1059</v>
      </c>
      <c r="K807" s="3">
        <v>1439</v>
      </c>
      <c r="L807" s="3">
        <v>210</v>
      </c>
      <c r="M807" s="3">
        <v>336</v>
      </c>
    </row>
    <row r="808" spans="1:13" x14ac:dyDescent="0.25">
      <c r="A808" s="1" t="str">
        <f>HYPERLINK("http://www.rosaceae.org/Prunus/Prunus_persica/p.persica_gdr_reftransV1_0008312","p.persica_gdr_reftransV1_0008312")</f>
        <v>p.persica_gdr_reftransV1_0008312</v>
      </c>
      <c r="B808" s="3">
        <v>4627</v>
      </c>
      <c r="C808" s="1" t="str">
        <f>HYPERLINK("http://www.uniprot.org/uniprot/SOC1_ARATH","SOC1_ARATH")</f>
        <v>SOC1_ARATH</v>
      </c>
      <c r="D808" t="s">
        <v>867</v>
      </c>
      <c r="E808" s="3" t="s">
        <v>3</v>
      </c>
      <c r="F808" s="4">
        <v>3.8900000000000001E-34</v>
      </c>
      <c r="G808" s="3">
        <v>345</v>
      </c>
      <c r="H808" s="3">
        <v>64</v>
      </c>
      <c r="I808" s="3">
        <v>151</v>
      </c>
      <c r="J808" s="3">
        <v>370</v>
      </c>
      <c r="K808" s="3">
        <v>816</v>
      </c>
      <c r="L808" s="3">
        <v>61</v>
      </c>
      <c r="M808" s="3">
        <v>209</v>
      </c>
    </row>
    <row r="809" spans="1:13" x14ac:dyDescent="0.25">
      <c r="A809" s="1" t="str">
        <f>HYPERLINK("http://www.rosaceae.org/Prunus/Prunus_persica/p.persica_gdr_reftransV1_0008412","p.persica_gdr_reftransV1_0008412")</f>
        <v>p.persica_gdr_reftransV1_0008412</v>
      </c>
      <c r="B809" s="3">
        <v>859</v>
      </c>
      <c r="C809" s="1" t="str">
        <f>HYPERLINK("http://www.uniprot.org/uniprot/R18AL_ARATH","R18AL_ARATH")</f>
        <v>R18AL_ARATH</v>
      </c>
      <c r="D809" t="s">
        <v>868</v>
      </c>
      <c r="E809" s="3" t="s">
        <v>3</v>
      </c>
      <c r="F809" s="4">
        <v>1.2000000000000001E-19</v>
      </c>
      <c r="G809" s="3">
        <v>216</v>
      </c>
      <c r="H809" s="3">
        <v>46</v>
      </c>
      <c r="I809" s="3">
        <v>160</v>
      </c>
      <c r="J809" s="3">
        <v>171</v>
      </c>
      <c r="K809" s="3">
        <v>647</v>
      </c>
      <c r="L809" s="3">
        <v>3</v>
      </c>
      <c r="M809" s="3">
        <v>158</v>
      </c>
    </row>
    <row r="810" spans="1:13" x14ac:dyDescent="0.25">
      <c r="A810" s="1" t="str">
        <f>HYPERLINK("http://www.rosaceae.org/Prunus/Prunus_persica/p.persica_gdr_reftransV1_0008712","p.persica_gdr_reftransV1_0008712")</f>
        <v>p.persica_gdr_reftransV1_0008712</v>
      </c>
      <c r="B810" s="3">
        <v>2770</v>
      </c>
      <c r="C810" s="1" t="str">
        <f>HYPERLINK("http://www.uniprot.org/uniprot/CD27B_ARATH","CD27B_ARATH")</f>
        <v>CD27B_ARATH</v>
      </c>
      <c r="D810" t="s">
        <v>869</v>
      </c>
      <c r="E810" s="3" t="s">
        <v>3</v>
      </c>
      <c r="F810" s="4">
        <v>0</v>
      </c>
      <c r="G810" s="3">
        <v>2660</v>
      </c>
      <c r="H810" s="3">
        <v>71</v>
      </c>
      <c r="I810" s="3">
        <v>748</v>
      </c>
      <c r="J810" s="3">
        <v>121</v>
      </c>
      <c r="K810" s="3">
        <v>2358</v>
      </c>
      <c r="L810" s="3">
        <v>1</v>
      </c>
      <c r="M810" s="3">
        <v>735</v>
      </c>
    </row>
    <row r="811" spans="1:13" x14ac:dyDescent="0.25">
      <c r="A811" s="1" t="str">
        <f>HYPERLINK("http://www.rosaceae.org/Prunus/Prunus_persica/p.persica_gdr_reftransV1_0008762","p.persica_gdr_reftransV1_0008762")</f>
        <v>p.persica_gdr_reftransV1_0008762</v>
      </c>
      <c r="B811" s="3">
        <v>1357</v>
      </c>
      <c r="C811" s="1" t="str">
        <f>HYPERLINK("http://www.uniprot.org/uniprot/BCCP_NOSS1","BCCP_NOSS1")</f>
        <v>BCCP_NOSS1</v>
      </c>
      <c r="D811" t="s">
        <v>870</v>
      </c>
      <c r="E811" s="3" t="s">
        <v>719</v>
      </c>
      <c r="F811" s="4">
        <v>1.2700000000000001E-7</v>
      </c>
      <c r="G811" s="3">
        <v>131</v>
      </c>
      <c r="H811" s="3">
        <v>29</v>
      </c>
      <c r="I811" s="3">
        <v>196</v>
      </c>
      <c r="J811" s="3">
        <v>585</v>
      </c>
      <c r="K811" s="3">
        <v>1109</v>
      </c>
      <c r="L811" s="3">
        <v>4</v>
      </c>
      <c r="M811" s="3">
        <v>181</v>
      </c>
    </row>
    <row r="812" spans="1:13" x14ac:dyDescent="0.25">
      <c r="A812" s="1" t="str">
        <f>HYPERLINK("http://www.rosaceae.org/Prunus/Prunus_persica/p.persica_gdr_reftransV1_0008962","p.persica_gdr_reftransV1_0008962")</f>
        <v>p.persica_gdr_reftransV1_0008962</v>
      </c>
      <c r="B812" s="3">
        <v>861</v>
      </c>
      <c r="C812" s="1" t="str">
        <f>HYPERLINK("http://www.uniprot.org/uniprot/RL321_ARATH","RL321_ARATH")</f>
        <v>RL321_ARATH</v>
      </c>
      <c r="D812" t="s">
        <v>871</v>
      </c>
      <c r="E812" s="3" t="s">
        <v>3</v>
      </c>
      <c r="F812" s="4">
        <v>8.99E-67</v>
      </c>
      <c r="G812" s="3">
        <v>536</v>
      </c>
      <c r="H812" s="3">
        <v>83</v>
      </c>
      <c r="I812" s="3">
        <v>133</v>
      </c>
      <c r="J812" s="3">
        <v>397</v>
      </c>
      <c r="K812" s="3">
        <v>795</v>
      </c>
      <c r="L812" s="3">
        <v>1</v>
      </c>
      <c r="M812" s="3">
        <v>133</v>
      </c>
    </row>
    <row r="813" spans="1:13" x14ac:dyDescent="0.25">
      <c r="A813" s="1" t="str">
        <f>HYPERLINK("http://www.rosaceae.org/Prunus/Prunus_persica/p.persica_gdr_reftransV1_0009262","p.persica_gdr_reftransV1_0009262")</f>
        <v>p.persica_gdr_reftransV1_0009262</v>
      </c>
      <c r="B813" s="3">
        <v>3741</v>
      </c>
      <c r="C813" s="1" t="str">
        <f>HYPERLINK("http://www.uniprot.org/uniprot/LCAT2_ARATH","LCAT2_ARATH")</f>
        <v>LCAT2_ARATH</v>
      </c>
      <c r="D813" t="s">
        <v>872</v>
      </c>
      <c r="E813" s="3" t="s">
        <v>3</v>
      </c>
      <c r="F813" s="4">
        <v>0</v>
      </c>
      <c r="G813" s="3">
        <v>1729</v>
      </c>
      <c r="H813" s="3">
        <v>79</v>
      </c>
      <c r="I813" s="3">
        <v>390</v>
      </c>
      <c r="J813" s="3">
        <v>2432</v>
      </c>
      <c r="K813" s="3">
        <v>3601</v>
      </c>
      <c r="L813" s="3">
        <v>33</v>
      </c>
      <c r="M813" s="3">
        <v>414</v>
      </c>
    </row>
    <row r="814" spans="1:13" x14ac:dyDescent="0.25">
      <c r="A814" s="1" t="str">
        <f>HYPERLINK("http://www.rosaceae.org/Prunus/Prunus_persica/p.persica_gdr_reftransV1_0009362","p.persica_gdr_reftransV1_0009362")</f>
        <v>p.persica_gdr_reftransV1_0009362</v>
      </c>
      <c r="B814" s="3">
        <v>2429</v>
      </c>
      <c r="C814" s="1" t="str">
        <f>HYPERLINK("http://www.uniprot.org/uniprot/NAC17_ARATH","NAC17_ARATH")</f>
        <v>NAC17_ARATH</v>
      </c>
      <c r="D814" t="s">
        <v>873</v>
      </c>
      <c r="E814" s="3" t="s">
        <v>3</v>
      </c>
      <c r="F814" s="4">
        <v>1.9999999999999999E-148</v>
      </c>
      <c r="G814" s="3">
        <v>1168</v>
      </c>
      <c r="H814" s="3">
        <v>49</v>
      </c>
      <c r="I814" s="3">
        <v>590</v>
      </c>
      <c r="J814" s="3">
        <v>272</v>
      </c>
      <c r="K814" s="3">
        <v>1990</v>
      </c>
      <c r="L814" s="3">
        <v>2</v>
      </c>
      <c r="M814" s="3">
        <v>553</v>
      </c>
    </row>
    <row r="815" spans="1:13" x14ac:dyDescent="0.25">
      <c r="A815" s="1" t="str">
        <f>HYPERLINK("http://www.rosaceae.org/Prunus/Prunus_persica/p.persica_gdr_reftransV1_0009412","p.persica_gdr_reftransV1_0009412")</f>
        <v>p.persica_gdr_reftransV1_0009412</v>
      </c>
      <c r="B815" s="3">
        <v>2654</v>
      </c>
      <c r="C815" s="1" t="str">
        <f>HYPERLINK("http://www.uniprot.org/uniprot/idD5_ARATH","idD5_ARATH")</f>
        <v>idD5_ARATH</v>
      </c>
      <c r="D815" t="s">
        <v>874</v>
      </c>
      <c r="E815" s="3" t="s">
        <v>3</v>
      </c>
      <c r="F815" s="4">
        <v>9.9099999999999995E-110</v>
      </c>
      <c r="G815" s="3">
        <v>914</v>
      </c>
      <c r="H815" s="3">
        <v>79</v>
      </c>
      <c r="I815" s="3">
        <v>213</v>
      </c>
      <c r="J815" s="3">
        <v>1373</v>
      </c>
      <c r="K815" s="3">
        <v>1978</v>
      </c>
      <c r="L815" s="3">
        <v>51</v>
      </c>
      <c r="M815" s="3">
        <v>263</v>
      </c>
    </row>
    <row r="816" spans="1:13" x14ac:dyDescent="0.25">
      <c r="A816" s="1" t="str">
        <f>HYPERLINK("http://www.rosaceae.org/Prunus/Prunus_persica/p.persica_gdr_reftransV1_0009512","p.persica_gdr_reftransV1_0009512")</f>
        <v>p.persica_gdr_reftransV1_0009512</v>
      </c>
      <c r="B816" s="3">
        <v>572</v>
      </c>
      <c r="C816" s="1" t="str">
        <f>HYPERLINK("http://www.uniprot.org/uniprot/CRK42_ARATH","CRK42_ARATH")</f>
        <v>CRK42_ARATH</v>
      </c>
      <c r="D816" t="s">
        <v>875</v>
      </c>
      <c r="E816" s="3" t="s">
        <v>3</v>
      </c>
      <c r="F816" s="4">
        <v>3.4199999999999998E-31</v>
      </c>
      <c r="G816" s="3">
        <v>309</v>
      </c>
      <c r="H816" s="3">
        <v>41</v>
      </c>
      <c r="I816" s="3">
        <v>190</v>
      </c>
      <c r="J816" s="3">
        <v>2</v>
      </c>
      <c r="K816" s="3">
        <v>568</v>
      </c>
      <c r="L816" s="3">
        <v>118</v>
      </c>
      <c r="M816" s="3">
        <v>290</v>
      </c>
    </row>
    <row r="817" spans="1:13" x14ac:dyDescent="0.25">
      <c r="A817" s="1" t="str">
        <f>HYPERLINK("http://www.rosaceae.org/Prunus/Prunus_persica/p.persica_gdr_reftransV1_0009712","p.persica_gdr_reftransV1_0009712")</f>
        <v>p.persica_gdr_reftransV1_0009712</v>
      </c>
      <c r="B817" s="3">
        <v>2189</v>
      </c>
      <c r="C817" s="1" t="str">
        <f>HYPERLINK("http://www.uniprot.org/uniprot/FBL4_ARATH","FBL4_ARATH")</f>
        <v>FBL4_ARATH</v>
      </c>
      <c r="D817" t="s">
        <v>876</v>
      </c>
      <c r="E817" s="3" t="s">
        <v>3</v>
      </c>
      <c r="F817" s="4">
        <v>4.93E-19</v>
      </c>
      <c r="G817" s="3">
        <v>236</v>
      </c>
      <c r="H817" s="3">
        <v>25</v>
      </c>
      <c r="I817" s="3">
        <v>469</v>
      </c>
      <c r="J817" s="3">
        <v>440</v>
      </c>
      <c r="K817" s="3">
        <v>1825</v>
      </c>
      <c r="L817" s="3">
        <v>141</v>
      </c>
      <c r="M817" s="3">
        <v>594</v>
      </c>
    </row>
    <row r="818" spans="1:13" x14ac:dyDescent="0.25">
      <c r="A818" s="1" t="str">
        <f>HYPERLINK("http://www.rosaceae.org/Prunus/Prunus_persica/p.persica_gdr_reftransV1_0009762","p.persica_gdr_reftransV1_0009762")</f>
        <v>p.persica_gdr_reftransV1_0009762</v>
      </c>
      <c r="B818" s="3">
        <v>2820</v>
      </c>
      <c r="C818" s="1" t="str">
        <f>HYPERLINK("http://www.uniprot.org/uniprot/Y5586_ARATH","Y5586_ARATH")</f>
        <v>Y5586_ARATH</v>
      </c>
      <c r="D818" t="s">
        <v>877</v>
      </c>
      <c r="E818" s="3" t="s">
        <v>3</v>
      </c>
      <c r="F818" s="4">
        <v>1.5499999999999999E-157</v>
      </c>
      <c r="G818" s="3">
        <v>1248</v>
      </c>
      <c r="H818" s="3">
        <v>59</v>
      </c>
      <c r="I818" s="3">
        <v>661</v>
      </c>
      <c r="J818" s="3">
        <v>384</v>
      </c>
      <c r="K818" s="3">
        <v>2342</v>
      </c>
      <c r="L818" s="3">
        <v>1</v>
      </c>
      <c r="M818" s="3">
        <v>649</v>
      </c>
    </row>
    <row r="819" spans="1:13" x14ac:dyDescent="0.25">
      <c r="A819" s="1" t="str">
        <f>HYPERLINK("http://www.rosaceae.org/Prunus/Prunus_persica/p.persica_gdr_reftransV1_0010012","p.persica_gdr_reftransV1_0010012")</f>
        <v>p.persica_gdr_reftransV1_0010012</v>
      </c>
      <c r="B819" s="3">
        <v>1061</v>
      </c>
      <c r="C819" s="1" t="str">
        <f>HYPERLINK("http://www.uniprot.org/uniprot/DRP5A_ARATH","DRP5A_ARATH")</f>
        <v>DRP5A_ARATH</v>
      </c>
      <c r="D819" t="s">
        <v>878</v>
      </c>
      <c r="E819" s="3" t="s">
        <v>3</v>
      </c>
      <c r="F819" s="4">
        <v>5.4599999999999996E-113</v>
      </c>
      <c r="G819" s="3">
        <v>907</v>
      </c>
      <c r="H819" s="3">
        <v>65</v>
      </c>
      <c r="I819" s="3">
        <v>287</v>
      </c>
      <c r="J819" s="3">
        <v>5</v>
      </c>
      <c r="K819" s="3">
        <v>838</v>
      </c>
      <c r="L819" s="3">
        <v>542</v>
      </c>
      <c r="M819" s="3">
        <v>817</v>
      </c>
    </row>
    <row r="820" spans="1:13" x14ac:dyDescent="0.25">
      <c r="A820" s="1" t="str">
        <f>HYPERLINK("http://www.rosaceae.org/Prunus/Prunus_persica/p.persica_gdr_reftransV1_0010362","p.persica_gdr_reftransV1_0010362")</f>
        <v>p.persica_gdr_reftransV1_0010362</v>
      </c>
      <c r="B820" s="3">
        <v>2129</v>
      </c>
      <c r="C820" s="1" t="str">
        <f>HYPERLINK("http://www.uniprot.org/uniprot/PP292_ARATH","PP292_ARATH")</f>
        <v>PP292_ARATH</v>
      </c>
      <c r="D820" t="s">
        <v>454</v>
      </c>
      <c r="E820" s="3" t="s">
        <v>3</v>
      </c>
      <c r="F820" s="4">
        <v>0</v>
      </c>
      <c r="G820" s="3">
        <v>1423</v>
      </c>
      <c r="H820" s="3">
        <v>51</v>
      </c>
      <c r="I820" s="3">
        <v>539</v>
      </c>
      <c r="J820" s="3">
        <v>4</v>
      </c>
      <c r="K820" s="3">
        <v>1620</v>
      </c>
      <c r="L820" s="3">
        <v>221</v>
      </c>
      <c r="M820" s="3">
        <v>754</v>
      </c>
    </row>
    <row r="821" spans="1:13" x14ac:dyDescent="0.25">
      <c r="A821" s="1" t="str">
        <f>HYPERLINK("http://www.rosaceae.org/Prunus/Prunus_persica/p.persica_gdr_reftransV1_0010412","p.persica_gdr_reftransV1_0010412")</f>
        <v>p.persica_gdr_reftransV1_0010412</v>
      </c>
      <c r="B821" s="3">
        <v>1973</v>
      </c>
      <c r="C821" s="1" t="str">
        <f>HYPERLINK("http://www.uniprot.org/uniprot/PANC_LOTJA","PANC_LOTJA")</f>
        <v>PANC_LOTJA</v>
      </c>
      <c r="D821" t="s">
        <v>879</v>
      </c>
      <c r="E821" s="3" t="s">
        <v>880</v>
      </c>
      <c r="F821" s="4">
        <v>2.7000000000000001E-123</v>
      </c>
      <c r="G821" s="3">
        <v>963</v>
      </c>
      <c r="H821" s="3">
        <v>69</v>
      </c>
      <c r="I821" s="3">
        <v>277</v>
      </c>
      <c r="J821" s="3">
        <v>958</v>
      </c>
      <c r="K821" s="3">
        <v>1788</v>
      </c>
      <c r="L821" s="3">
        <v>3</v>
      </c>
      <c r="M821" s="3">
        <v>271</v>
      </c>
    </row>
    <row r="822" spans="1:13" x14ac:dyDescent="0.25">
      <c r="A822" s="1" t="str">
        <f>HYPERLINK("http://www.rosaceae.org/Prunus/Prunus_persica/p.persica_gdr_reftransV1_0010562","p.persica_gdr_reftransV1_0010562")</f>
        <v>p.persica_gdr_reftransV1_0010562</v>
      </c>
      <c r="B822" s="3">
        <v>1444</v>
      </c>
      <c r="C822" s="1" t="str">
        <f>HYPERLINK("http://www.uniprot.org/uniprot/RBG4_ARATH","RBG4_ARATH")</f>
        <v>RBG4_ARATH</v>
      </c>
      <c r="D822" t="s">
        <v>881</v>
      </c>
      <c r="E822" s="3" t="s">
        <v>3</v>
      </c>
      <c r="F822" s="4">
        <v>5.6600000000000001E-19</v>
      </c>
      <c r="G822" s="3">
        <v>216</v>
      </c>
      <c r="H822" s="3">
        <v>51</v>
      </c>
      <c r="I822" s="3">
        <v>81</v>
      </c>
      <c r="J822" s="3">
        <v>986</v>
      </c>
      <c r="K822" s="3">
        <v>1228</v>
      </c>
      <c r="L822" s="3">
        <v>31</v>
      </c>
      <c r="M822" s="3">
        <v>111</v>
      </c>
    </row>
    <row r="823" spans="1:13" x14ac:dyDescent="0.25">
      <c r="A823" s="1" t="str">
        <f>HYPERLINK("http://www.rosaceae.org/Prunus/Prunus_persica/p.persica_gdr_reftransV1_0010612","p.persica_gdr_reftransV1_0010612")</f>
        <v>p.persica_gdr_reftransV1_0010612</v>
      </c>
      <c r="B823" s="3">
        <v>1932</v>
      </c>
      <c r="C823" s="1" t="str">
        <f>HYPERLINK("http://www.uniprot.org/uniprot/AMP21_MACIN","AMP21_MACIN")</f>
        <v>AMP21_MACIN</v>
      </c>
      <c r="D823" t="s">
        <v>882</v>
      </c>
      <c r="E823" s="3" t="s">
        <v>883</v>
      </c>
      <c r="F823" s="4">
        <v>2.3100000000000002E-109</v>
      </c>
      <c r="G823" s="3">
        <v>899</v>
      </c>
      <c r="H823" s="3">
        <v>40</v>
      </c>
      <c r="I823" s="3">
        <v>475</v>
      </c>
      <c r="J823" s="3">
        <v>376</v>
      </c>
      <c r="K823" s="3">
        <v>1797</v>
      </c>
      <c r="L823" s="3">
        <v>190</v>
      </c>
      <c r="M823" s="3">
        <v>642</v>
      </c>
    </row>
    <row r="824" spans="1:13" x14ac:dyDescent="0.25">
      <c r="A824" s="1" t="str">
        <f>HYPERLINK("http://www.rosaceae.org/Prunus/Prunus_persica/p.persica_gdr_reftransV1_0010712","p.persica_gdr_reftransV1_0010712")</f>
        <v>p.persica_gdr_reftransV1_0010712</v>
      </c>
      <c r="B824" s="3">
        <v>2538</v>
      </c>
      <c r="C824" s="1" t="str">
        <f>HYPERLINK("http://www.uniprot.org/uniprot/FBL53_ARATH","FBL53_ARATH")</f>
        <v>FBL53_ARATH</v>
      </c>
      <c r="D824" t="s">
        <v>884</v>
      </c>
      <c r="E824" s="3" t="s">
        <v>3</v>
      </c>
      <c r="F824" s="4">
        <v>5.1899999999999996E-75</v>
      </c>
      <c r="G824" s="3">
        <v>645</v>
      </c>
      <c r="H824" s="3">
        <v>65</v>
      </c>
      <c r="I824" s="3">
        <v>186</v>
      </c>
      <c r="J824" s="3">
        <v>470</v>
      </c>
      <c r="K824" s="3">
        <v>1021</v>
      </c>
      <c r="L824" s="3">
        <v>122</v>
      </c>
      <c r="M824" s="3">
        <v>307</v>
      </c>
    </row>
    <row r="825" spans="1:13" x14ac:dyDescent="0.25">
      <c r="A825" s="1" t="str">
        <f>HYPERLINK("http://www.rosaceae.org/Prunus/Prunus_persica/p.persica_gdr_reftransV1_0010862","p.persica_gdr_reftransV1_0010862")</f>
        <v>p.persica_gdr_reftransV1_0010862</v>
      </c>
      <c r="B825" s="3">
        <v>1160</v>
      </c>
      <c r="C825" s="1" t="str">
        <f>HYPERLINK("http://www.uniprot.org/uniprot/NDHK_MORIN","NDHK_MORIN")</f>
        <v>NDHK_MORIN</v>
      </c>
      <c r="D825" t="s">
        <v>427</v>
      </c>
      <c r="E825" s="3" t="s">
        <v>69</v>
      </c>
      <c r="F825" s="4">
        <v>6.7600000000000002E-123</v>
      </c>
      <c r="G825" s="3">
        <v>927</v>
      </c>
      <c r="H825" s="3">
        <v>96</v>
      </c>
      <c r="I825" s="3">
        <v>182</v>
      </c>
      <c r="J825" s="3">
        <v>3</v>
      </c>
      <c r="K825" s="3">
        <v>548</v>
      </c>
      <c r="L825" s="3">
        <v>45</v>
      </c>
      <c r="M825" s="3">
        <v>226</v>
      </c>
    </row>
    <row r="826" spans="1:13" x14ac:dyDescent="0.25">
      <c r="A826" s="1" t="str">
        <f>HYPERLINK("http://www.rosaceae.org/Prunus/Prunus_persica/p.persica_gdr_reftransV1_0010962","p.persica_gdr_reftransV1_0010962")</f>
        <v>p.persica_gdr_reftransV1_0010962</v>
      </c>
      <c r="B826" s="3">
        <v>1701</v>
      </c>
      <c r="C826" s="1" t="str">
        <f>HYPERLINK("http://www.uniprot.org/uniprot/HGNAT_MOUSE","HGNAT_MOUSE")</f>
        <v>HGNAT_MOUSE</v>
      </c>
      <c r="D826" t="s">
        <v>885</v>
      </c>
      <c r="E826" s="3" t="s">
        <v>157</v>
      </c>
      <c r="F826" s="4">
        <v>1.7900000000000001E-32</v>
      </c>
      <c r="G826" s="3">
        <v>341</v>
      </c>
      <c r="H826" s="3">
        <v>28</v>
      </c>
      <c r="I826" s="3">
        <v>456</v>
      </c>
      <c r="J826" s="3">
        <v>102</v>
      </c>
      <c r="K826" s="3">
        <v>1412</v>
      </c>
      <c r="L826" s="3">
        <v>242</v>
      </c>
      <c r="M826" s="3">
        <v>656</v>
      </c>
    </row>
    <row r="827" spans="1:13" x14ac:dyDescent="0.25">
      <c r="A827" s="1" t="str">
        <f>HYPERLINK("http://www.rosaceae.org/Prunus/Prunus_persica/p.persica_gdr_reftransV1_0011062","p.persica_gdr_reftransV1_0011062")</f>
        <v>p.persica_gdr_reftransV1_0011062</v>
      </c>
      <c r="B827" s="3">
        <v>4276</v>
      </c>
      <c r="C827" s="1" t="str">
        <f>HYPERLINK("http://www.uniprot.org/uniprot/UPL5_ARATH","UPL5_ARATH")</f>
        <v>UPL5_ARATH</v>
      </c>
      <c r="D827" t="s">
        <v>886</v>
      </c>
      <c r="E827" s="3" t="s">
        <v>3</v>
      </c>
      <c r="F827" s="4">
        <v>1.07E-145</v>
      </c>
      <c r="G827" s="3">
        <v>1218</v>
      </c>
      <c r="H827" s="3">
        <v>48</v>
      </c>
      <c r="I827" s="3">
        <v>522</v>
      </c>
      <c r="J827" s="3">
        <v>2154</v>
      </c>
      <c r="K827" s="3">
        <v>3716</v>
      </c>
      <c r="L827" s="3">
        <v>88</v>
      </c>
      <c r="M827" s="3">
        <v>589</v>
      </c>
    </row>
    <row r="828" spans="1:13" x14ac:dyDescent="0.25">
      <c r="A828" s="1" t="str">
        <f>HYPERLINK("http://www.rosaceae.org/Prunus/Prunus_persica/p.persica_gdr_reftransV1_0011312","p.persica_gdr_reftransV1_0011312")</f>
        <v>p.persica_gdr_reftransV1_0011312</v>
      </c>
      <c r="B828" s="3">
        <v>1637</v>
      </c>
      <c r="C828" s="1" t="str">
        <f>HYPERLINK("http://www.uniprot.org/uniprot/LAR_DESUN","LAR_DESUN")</f>
        <v>LAR_DESUN</v>
      </c>
      <c r="D828" t="s">
        <v>887</v>
      </c>
      <c r="E828" s="3" t="s">
        <v>888</v>
      </c>
      <c r="F828" s="4">
        <v>2.2199999999999999E-163</v>
      </c>
      <c r="G828" s="3">
        <v>1227</v>
      </c>
      <c r="H828" s="3">
        <v>70</v>
      </c>
      <c r="I828" s="3">
        <v>316</v>
      </c>
      <c r="J828" s="3">
        <v>499</v>
      </c>
      <c r="K828" s="3">
        <v>1446</v>
      </c>
      <c r="L828" s="3">
        <v>1</v>
      </c>
      <c r="M828" s="3">
        <v>316</v>
      </c>
    </row>
    <row r="829" spans="1:13" x14ac:dyDescent="0.25">
      <c r="A829" s="1" t="str">
        <f>HYPERLINK("http://www.rosaceae.org/Prunus/Prunus_persica/p.persica_gdr_reftransV1_0011412","p.persica_gdr_reftransV1_0011412")</f>
        <v>p.persica_gdr_reftransV1_0011412</v>
      </c>
      <c r="B829" s="3">
        <v>4361</v>
      </c>
      <c r="C829" s="1" t="str">
        <f>HYPERLINK("http://www.uniprot.org/uniprot/MED16_ARATH","MED16_ARATH")</f>
        <v>MED16_ARATH</v>
      </c>
      <c r="D829" t="s">
        <v>889</v>
      </c>
      <c r="E829" s="3" t="s">
        <v>3</v>
      </c>
      <c r="F829" s="4">
        <v>0</v>
      </c>
      <c r="G829" s="3">
        <v>4658</v>
      </c>
      <c r="H829" s="3">
        <v>77</v>
      </c>
      <c r="I829" s="3">
        <v>1220</v>
      </c>
      <c r="J829" s="3">
        <v>1</v>
      </c>
      <c r="K829" s="3">
        <v>3609</v>
      </c>
      <c r="L829" s="3">
        <v>67</v>
      </c>
      <c r="M829" s="3">
        <v>1277</v>
      </c>
    </row>
    <row r="830" spans="1:13" x14ac:dyDescent="0.25">
      <c r="A830" s="1" t="str">
        <f>HYPERLINK("http://www.rosaceae.org/Prunus/Prunus_persica/p.persica_gdr_reftransV1_0011462","p.persica_gdr_reftransV1_0011462")</f>
        <v>p.persica_gdr_reftransV1_0011462</v>
      </c>
      <c r="B830" s="3">
        <v>1196</v>
      </c>
      <c r="C830" s="1" t="str">
        <f>HYPERLINK("http://www.uniprot.org/uniprot/ATL46_ARATH","ATL46_ARATH")</f>
        <v>ATL46_ARATH</v>
      </c>
      <c r="D830" t="s">
        <v>890</v>
      </c>
      <c r="E830" s="3" t="s">
        <v>3</v>
      </c>
      <c r="F830" s="4">
        <v>7.0399999999999997E-96</v>
      </c>
      <c r="G830" s="3">
        <v>763</v>
      </c>
      <c r="H830" s="3">
        <v>55</v>
      </c>
      <c r="I830" s="3">
        <v>304</v>
      </c>
      <c r="J830" s="3">
        <v>231</v>
      </c>
      <c r="K830" s="3">
        <v>1094</v>
      </c>
      <c r="L830" s="3">
        <v>60</v>
      </c>
      <c r="M830" s="3">
        <v>350</v>
      </c>
    </row>
    <row r="831" spans="1:13" x14ac:dyDescent="0.25">
      <c r="A831" s="1" t="str">
        <f>HYPERLINK("http://www.rosaceae.org/Prunus/Prunus_persica/p.persica_gdr_reftransV1_0011512","p.persica_gdr_reftransV1_0011512")</f>
        <v>p.persica_gdr_reftransV1_0011512</v>
      </c>
      <c r="B831" s="3">
        <v>2336</v>
      </c>
      <c r="C831" s="1" t="str">
        <f>HYPERLINK("http://www.uniprot.org/uniprot/DRP1E_ARATH","DRP1E_ARATH")</f>
        <v>DRP1E_ARATH</v>
      </c>
      <c r="D831" t="s">
        <v>891</v>
      </c>
      <c r="E831" s="3" t="s">
        <v>3</v>
      </c>
      <c r="F831" s="4">
        <v>0</v>
      </c>
      <c r="G831" s="3">
        <v>1491</v>
      </c>
      <c r="H831" s="3">
        <v>83</v>
      </c>
      <c r="I831" s="3">
        <v>359</v>
      </c>
      <c r="J831" s="3">
        <v>1043</v>
      </c>
      <c r="K831" s="3">
        <v>2110</v>
      </c>
      <c r="L831" s="3">
        <v>1</v>
      </c>
      <c r="M831" s="3">
        <v>359</v>
      </c>
    </row>
    <row r="832" spans="1:13" x14ac:dyDescent="0.25">
      <c r="A832" s="1" t="str">
        <f>HYPERLINK("http://www.rosaceae.org/Prunus/Prunus_persica/p.persica_gdr_reftransV1_0011662","p.persica_gdr_reftransV1_0011662")</f>
        <v>p.persica_gdr_reftransV1_0011662</v>
      </c>
      <c r="B832" s="3">
        <v>1527</v>
      </c>
      <c r="C832" s="1" t="str">
        <f>HYPERLINK("http://www.uniprot.org/uniprot/CI078_MOUSE","CI078_MOUSE")</f>
        <v>CI078_MOUSE</v>
      </c>
      <c r="D832" t="s">
        <v>892</v>
      </c>
      <c r="E832" s="3" t="s">
        <v>157</v>
      </c>
      <c r="F832" s="4">
        <v>8.9300000000000002E-10</v>
      </c>
      <c r="G832" s="3">
        <v>153</v>
      </c>
      <c r="H832" s="3">
        <v>36</v>
      </c>
      <c r="I832" s="3">
        <v>119</v>
      </c>
      <c r="J832" s="3">
        <v>699</v>
      </c>
      <c r="K832" s="3">
        <v>1046</v>
      </c>
      <c r="L832" s="3">
        <v>116</v>
      </c>
      <c r="M832" s="3">
        <v>232</v>
      </c>
    </row>
    <row r="833" spans="1:13" x14ac:dyDescent="0.25">
      <c r="A833" s="1" t="str">
        <f>HYPERLINK("http://www.rosaceae.org/Prunus/Prunus_persica/p.persica_gdr_reftransV1_0011712","p.persica_gdr_reftransV1_0011712")</f>
        <v>p.persica_gdr_reftransV1_0011712</v>
      </c>
      <c r="B833" s="3">
        <v>1977</v>
      </c>
      <c r="C833" s="1" t="str">
        <f>HYPERLINK("http://www.uniprot.org/uniprot/SPSA2_CRAPL","SPSA2_CRAPL")</f>
        <v>SPSA2_CRAPL</v>
      </c>
      <c r="D833" t="s">
        <v>893</v>
      </c>
      <c r="E833" s="3" t="s">
        <v>894</v>
      </c>
      <c r="F833" s="4">
        <v>9.7800000000000002E-8</v>
      </c>
      <c r="G833" s="3">
        <v>142</v>
      </c>
      <c r="H833" s="3">
        <v>40</v>
      </c>
      <c r="I833" s="3">
        <v>104</v>
      </c>
      <c r="J833" s="3">
        <v>14</v>
      </c>
      <c r="K833" s="3">
        <v>325</v>
      </c>
      <c r="L833" s="3">
        <v>939</v>
      </c>
      <c r="M833" s="3">
        <v>1015</v>
      </c>
    </row>
    <row r="834" spans="1:13" x14ac:dyDescent="0.25">
      <c r="A834" s="1" t="str">
        <f>HYPERLINK("http://www.rosaceae.org/Prunus/Prunus_persica/p.persica_gdr_reftransV1_0011762","p.persica_gdr_reftransV1_0011762")</f>
        <v>p.persica_gdr_reftransV1_0011762</v>
      </c>
      <c r="B834" s="3">
        <v>1157</v>
      </c>
      <c r="C834" s="1" t="str">
        <f>HYPERLINK("http://www.uniprot.org/uniprot/WNK4_ARATH","WNK4_ARATH")</f>
        <v>WNK4_ARATH</v>
      </c>
      <c r="D834" t="s">
        <v>895</v>
      </c>
      <c r="E834" s="3" t="s">
        <v>3</v>
      </c>
      <c r="F834" s="4">
        <v>1.4299999999999999E-35</v>
      </c>
      <c r="G834" s="3">
        <v>354</v>
      </c>
      <c r="H834" s="3">
        <v>41</v>
      </c>
      <c r="I834" s="3">
        <v>286</v>
      </c>
      <c r="J834" s="3">
        <v>47</v>
      </c>
      <c r="K834" s="3">
        <v>877</v>
      </c>
      <c r="L834" s="3">
        <v>314</v>
      </c>
      <c r="M834" s="3">
        <v>559</v>
      </c>
    </row>
    <row r="835" spans="1:13" x14ac:dyDescent="0.25">
      <c r="A835" s="1" t="str">
        <f>HYPERLINK("http://www.rosaceae.org/Prunus/Prunus_persica/p.persica_gdr_reftransV1_0011862","p.persica_gdr_reftransV1_0011862")</f>
        <v>p.persica_gdr_reftransV1_0011862</v>
      </c>
      <c r="B835" s="3">
        <v>3327</v>
      </c>
      <c r="C835" s="1" t="str">
        <f>HYPERLINK("http://www.uniprot.org/uniprot/BLH1_ARATH","BLH1_ARATH")</f>
        <v>BLH1_ARATH</v>
      </c>
      <c r="D835" t="s">
        <v>896</v>
      </c>
      <c r="E835" s="3" t="s">
        <v>3</v>
      </c>
      <c r="F835" s="4">
        <v>1.72E-134</v>
      </c>
      <c r="G835" s="3">
        <v>1106</v>
      </c>
      <c r="H835" s="3">
        <v>43</v>
      </c>
      <c r="I835" s="3">
        <v>730</v>
      </c>
      <c r="J835" s="3">
        <v>1017</v>
      </c>
      <c r="K835" s="3">
        <v>2981</v>
      </c>
      <c r="L835" s="3">
        <v>1</v>
      </c>
      <c r="M835" s="3">
        <v>680</v>
      </c>
    </row>
    <row r="836" spans="1:13" x14ac:dyDescent="0.25">
      <c r="A836" s="1" t="str">
        <f>HYPERLINK("http://www.rosaceae.org/Prunus/Prunus_persica/p.persica_gdr_reftransV1_0011912","p.persica_gdr_reftransV1_0011912")</f>
        <v>p.persica_gdr_reftransV1_0011912</v>
      </c>
      <c r="B836" s="3">
        <v>782</v>
      </c>
      <c r="C836" s="1" t="str">
        <f>HYPERLINK("http://www.uniprot.org/uniprot/BAHD1_ARATH","BAHD1_ARATH")</f>
        <v>BAHD1_ARATH</v>
      </c>
      <c r="D836" t="s">
        <v>897</v>
      </c>
      <c r="E836" s="3" t="s">
        <v>3</v>
      </c>
      <c r="F836" s="4">
        <v>2.6499999999999998E-34</v>
      </c>
      <c r="G836" s="3">
        <v>334</v>
      </c>
      <c r="H836" s="3">
        <v>37</v>
      </c>
      <c r="I836" s="3">
        <v>208</v>
      </c>
      <c r="J836" s="3">
        <v>138</v>
      </c>
      <c r="K836" s="3">
        <v>731</v>
      </c>
      <c r="L836" s="3">
        <v>238</v>
      </c>
      <c r="M836" s="3">
        <v>442</v>
      </c>
    </row>
    <row r="837" spans="1:13" x14ac:dyDescent="0.25">
      <c r="A837" s="1" t="str">
        <f>HYPERLINK("http://www.rosaceae.org/Prunus/Prunus_persica/p.persica_gdr_reftransV1_0011962","p.persica_gdr_reftransV1_0011962")</f>
        <v>p.persica_gdr_reftransV1_0011962</v>
      </c>
      <c r="B837" s="3">
        <v>1442</v>
      </c>
      <c r="C837" s="1" t="str">
        <f>HYPERLINK("http://www.uniprot.org/uniprot/idS3_HORVU","idS3_HORVU")</f>
        <v>idS3_HORVU</v>
      </c>
      <c r="D837" t="s">
        <v>898</v>
      </c>
      <c r="E837" s="3" t="s">
        <v>769</v>
      </c>
      <c r="F837" s="4">
        <v>4.7500000000000004E-53</v>
      </c>
      <c r="G837" s="3">
        <v>476</v>
      </c>
      <c r="H837" s="3">
        <v>38</v>
      </c>
      <c r="I837" s="3">
        <v>298</v>
      </c>
      <c r="J837" s="3">
        <v>73</v>
      </c>
      <c r="K837" s="3">
        <v>960</v>
      </c>
      <c r="L837" s="3">
        <v>1</v>
      </c>
      <c r="M837" s="3">
        <v>282</v>
      </c>
    </row>
    <row r="838" spans="1:13" x14ac:dyDescent="0.25">
      <c r="A838" s="1" t="str">
        <f>HYPERLINK("http://www.rosaceae.org/Prunus/Prunus_persica/p.persica_gdr_reftransV1_0012062","p.persica_gdr_reftransV1_0012062")</f>
        <v>p.persica_gdr_reftransV1_0012062</v>
      </c>
      <c r="B838" s="3">
        <v>1133</v>
      </c>
      <c r="C838" s="1" t="str">
        <f>HYPERLINK("http://www.uniprot.org/uniprot/YL92_SCHPO","YL92_SCHPO")</f>
        <v>YL92_SCHPO</v>
      </c>
      <c r="D838" t="s">
        <v>899</v>
      </c>
      <c r="E838" s="3" t="s">
        <v>464</v>
      </c>
      <c r="F838" s="4">
        <v>1.96E-25</v>
      </c>
      <c r="G838" s="3">
        <v>265</v>
      </c>
      <c r="H838" s="3">
        <v>47</v>
      </c>
      <c r="I838" s="3">
        <v>111</v>
      </c>
      <c r="J838" s="3">
        <v>312</v>
      </c>
      <c r="K838" s="3">
        <v>644</v>
      </c>
      <c r="L838" s="3">
        <v>74</v>
      </c>
      <c r="M838" s="3">
        <v>177</v>
      </c>
    </row>
    <row r="839" spans="1:13" x14ac:dyDescent="0.25">
      <c r="A839" s="1" t="str">
        <f>HYPERLINK("http://www.rosaceae.org/Prunus/Prunus_persica/p.persica_gdr_reftransV1_0012112","p.persica_gdr_reftransV1_0012112")</f>
        <v>p.persica_gdr_reftransV1_0012112</v>
      </c>
      <c r="B839" s="3">
        <v>2385</v>
      </c>
      <c r="C839" s="1" t="str">
        <f>HYPERLINK("http://www.uniprot.org/uniprot/PMT7_ARATH","PMT7_ARATH")</f>
        <v>PMT7_ARATH</v>
      </c>
      <c r="D839" t="s">
        <v>900</v>
      </c>
      <c r="E839" s="3" t="s">
        <v>3</v>
      </c>
      <c r="F839" s="4">
        <v>0</v>
      </c>
      <c r="G839" s="3">
        <v>2376</v>
      </c>
      <c r="H839" s="3">
        <v>71</v>
      </c>
      <c r="I839" s="3">
        <v>604</v>
      </c>
      <c r="J839" s="3">
        <v>263</v>
      </c>
      <c r="K839" s="3">
        <v>2059</v>
      </c>
      <c r="L839" s="3">
        <v>1</v>
      </c>
      <c r="M839" s="3">
        <v>600</v>
      </c>
    </row>
    <row r="840" spans="1:13" x14ac:dyDescent="0.25">
      <c r="A840" s="1" t="str">
        <f>HYPERLINK("http://www.rosaceae.org/Prunus/Prunus_persica/p.persica_gdr_reftransV1_0012312","p.persica_gdr_reftransV1_0012312")</f>
        <v>p.persica_gdr_reftransV1_0012312</v>
      </c>
      <c r="B840" s="3">
        <v>562</v>
      </c>
      <c r="C840" s="1" t="str">
        <f>HYPERLINK("http://www.uniprot.org/uniprot/FAO1_LOTJA","FAO1_LOTJA")</f>
        <v>FAO1_LOTJA</v>
      </c>
      <c r="D840" t="s">
        <v>901</v>
      </c>
      <c r="E840" s="3" t="s">
        <v>880</v>
      </c>
      <c r="F840" s="4">
        <v>1.25E-74</v>
      </c>
      <c r="G840" s="3">
        <v>623</v>
      </c>
      <c r="H840" s="3">
        <v>68</v>
      </c>
      <c r="I840" s="3">
        <v>187</v>
      </c>
      <c r="J840" s="3">
        <v>1</v>
      </c>
      <c r="K840" s="3">
        <v>561</v>
      </c>
      <c r="L840" s="3">
        <v>219</v>
      </c>
      <c r="M840" s="3">
        <v>405</v>
      </c>
    </row>
    <row r="841" spans="1:13" x14ac:dyDescent="0.25">
      <c r="A841" s="1" t="str">
        <f>HYPERLINK("http://www.rosaceae.org/Prunus/Prunus_persica/p.persica_gdr_reftransV1_0012462","p.persica_gdr_reftransV1_0012462")</f>
        <v>p.persica_gdr_reftransV1_0012462</v>
      </c>
      <c r="B841" s="3">
        <v>489</v>
      </c>
      <c r="C841" s="1" t="str">
        <f>HYPERLINK("http://www.uniprot.org/uniprot/CBSX3_ARATH","CBSX3_ARATH")</f>
        <v>CBSX3_ARATH</v>
      </c>
      <c r="D841" t="s">
        <v>902</v>
      </c>
      <c r="E841" s="3" t="s">
        <v>3</v>
      </c>
      <c r="F841" s="4">
        <v>9.4699999999999997E-46</v>
      </c>
      <c r="G841" s="3">
        <v>390</v>
      </c>
      <c r="H841" s="3">
        <v>68</v>
      </c>
      <c r="I841" s="3">
        <v>114</v>
      </c>
      <c r="J841" s="3">
        <v>1</v>
      </c>
      <c r="K841" s="3">
        <v>339</v>
      </c>
      <c r="L841" s="3">
        <v>93</v>
      </c>
      <c r="M841" s="3">
        <v>206</v>
      </c>
    </row>
    <row r="842" spans="1:13" x14ac:dyDescent="0.25">
      <c r="A842" s="1" t="str">
        <f>HYPERLINK("http://www.rosaceae.org/Prunus/Prunus_persica/p.persica_gdr_reftransV1_0012612","p.persica_gdr_reftransV1_0012612")</f>
        <v>p.persica_gdr_reftransV1_0012612</v>
      </c>
      <c r="B842" s="3">
        <v>1418</v>
      </c>
      <c r="C842" s="1" t="str">
        <f>HYPERLINK("http://www.uniprot.org/uniprot/AIMP1_CRIGR","AIMP1_CRIGR")</f>
        <v>AIMP1_CRIGR</v>
      </c>
      <c r="D842" t="s">
        <v>903</v>
      </c>
      <c r="E842" s="3" t="s">
        <v>904</v>
      </c>
      <c r="F842" s="4">
        <v>8.4499999999999994E-39</v>
      </c>
      <c r="G842" s="3">
        <v>376</v>
      </c>
      <c r="H842" s="3">
        <v>46</v>
      </c>
      <c r="I842" s="3">
        <v>168</v>
      </c>
      <c r="J842" s="3">
        <v>405</v>
      </c>
      <c r="K842" s="3">
        <v>896</v>
      </c>
      <c r="L842" s="3">
        <v>202</v>
      </c>
      <c r="M842" s="3">
        <v>358</v>
      </c>
    </row>
    <row r="843" spans="1:13" x14ac:dyDescent="0.25">
      <c r="A843" s="1" t="str">
        <f>HYPERLINK("http://www.rosaceae.org/Prunus/Prunus_persica/p.persica_gdr_reftransV1_0012712","p.persica_gdr_reftransV1_0012712")</f>
        <v>p.persica_gdr_reftransV1_0012712</v>
      </c>
      <c r="B843" s="3">
        <v>456</v>
      </c>
      <c r="C843" s="1" t="str">
        <f>HYPERLINK("http://www.uniprot.org/uniprot/SD22_ARATH","SD22_ARATH")</f>
        <v>SD22_ARATH</v>
      </c>
      <c r="D843" t="s">
        <v>905</v>
      </c>
      <c r="E843" s="3" t="s">
        <v>3</v>
      </c>
      <c r="F843" s="4">
        <v>3.6899999999999997E-43</v>
      </c>
      <c r="G843" s="3">
        <v>394</v>
      </c>
      <c r="H843" s="3">
        <v>51</v>
      </c>
      <c r="I843" s="3">
        <v>147</v>
      </c>
      <c r="J843" s="3">
        <v>15</v>
      </c>
      <c r="K843" s="3">
        <v>455</v>
      </c>
      <c r="L843" s="3">
        <v>22</v>
      </c>
      <c r="M843" s="3">
        <v>168</v>
      </c>
    </row>
    <row r="844" spans="1:13" x14ac:dyDescent="0.25">
      <c r="A844" s="1" t="str">
        <f>HYPERLINK("http://www.rosaceae.org/Prunus/Prunus_persica/p.persica_gdr_reftransV1_0012862","p.persica_gdr_reftransV1_0012862")</f>
        <v>p.persica_gdr_reftransV1_0012862</v>
      </c>
      <c r="B844" s="3">
        <v>2251</v>
      </c>
      <c r="C844" s="1" t="str">
        <f>HYPERLINK("http://www.uniprot.org/uniprot/UGPI6_ARATH","UGPI6_ARATH")</f>
        <v>UGPI6_ARATH</v>
      </c>
      <c r="D844" t="s">
        <v>689</v>
      </c>
      <c r="E844" s="3" t="s">
        <v>3</v>
      </c>
      <c r="F844" s="4">
        <v>1.05E-175</v>
      </c>
      <c r="G844" s="3">
        <v>1333</v>
      </c>
      <c r="H844" s="3">
        <v>67</v>
      </c>
      <c r="I844" s="3">
        <v>397</v>
      </c>
      <c r="J844" s="3">
        <v>459</v>
      </c>
      <c r="K844" s="3">
        <v>1646</v>
      </c>
      <c r="L844" s="3">
        <v>27</v>
      </c>
      <c r="M844" s="3">
        <v>414</v>
      </c>
    </row>
    <row r="845" spans="1:13" x14ac:dyDescent="0.25">
      <c r="A845" s="1" t="str">
        <f>HYPERLINK("http://www.rosaceae.org/Prunus/Prunus_persica/p.persica_gdr_reftransV1_0012912","p.persica_gdr_reftransV1_0012912")</f>
        <v>p.persica_gdr_reftransV1_0012912</v>
      </c>
      <c r="B845" s="3">
        <v>1431</v>
      </c>
      <c r="C845" s="1" t="str">
        <f>HYPERLINK("http://www.uniprot.org/uniprot/PPSP2_ARATH","PPSP2_ARATH")</f>
        <v>PPSP2_ARATH</v>
      </c>
      <c r="D845" t="s">
        <v>906</v>
      </c>
      <c r="E845" s="3" t="s">
        <v>3</v>
      </c>
      <c r="F845" s="4">
        <v>1.03E-128</v>
      </c>
      <c r="G845" s="3">
        <v>980</v>
      </c>
      <c r="H845" s="3">
        <v>69</v>
      </c>
      <c r="I845" s="3">
        <v>258</v>
      </c>
      <c r="J845" s="3">
        <v>537</v>
      </c>
      <c r="K845" s="3">
        <v>1292</v>
      </c>
      <c r="L845" s="3">
        <v>7</v>
      </c>
      <c r="M845" s="3">
        <v>264</v>
      </c>
    </row>
    <row r="846" spans="1:13" x14ac:dyDescent="0.25">
      <c r="A846" s="1" t="str">
        <f>HYPERLINK("http://www.rosaceae.org/Prunus/Prunus_persica/p.persica_gdr_reftransV1_0013012","p.persica_gdr_reftransV1_0013012")</f>
        <v>p.persica_gdr_reftransV1_0013012</v>
      </c>
      <c r="B846" s="3">
        <v>3766</v>
      </c>
      <c r="C846" s="1" t="str">
        <f>HYPERLINK("http://www.uniprot.org/uniprot/VIP6_ARATH","VIP6_ARATH")</f>
        <v>VIP6_ARATH</v>
      </c>
      <c r="D846" t="s">
        <v>907</v>
      </c>
      <c r="E846" s="3" t="s">
        <v>3</v>
      </c>
      <c r="F846" s="4">
        <v>0</v>
      </c>
      <c r="G846" s="3">
        <v>3916</v>
      </c>
      <c r="H846" s="3">
        <v>74</v>
      </c>
      <c r="I846" s="3">
        <v>1082</v>
      </c>
      <c r="J846" s="3">
        <v>281</v>
      </c>
      <c r="K846" s="3">
        <v>3502</v>
      </c>
      <c r="L846" s="3">
        <v>1</v>
      </c>
      <c r="M846" s="3">
        <v>1076</v>
      </c>
    </row>
    <row r="847" spans="1:13" x14ac:dyDescent="0.25">
      <c r="A847" s="1" t="str">
        <f>HYPERLINK("http://www.rosaceae.org/Prunus/Prunus_persica/p.persica_gdr_reftransV1_0013062","p.persica_gdr_reftransV1_0013062")</f>
        <v>p.persica_gdr_reftransV1_0013062</v>
      </c>
      <c r="B847" s="3">
        <v>967</v>
      </c>
      <c r="C847" s="1" t="str">
        <f>HYPERLINK("http://www.uniprot.org/uniprot/FRS5_ARATH","FRS5_ARATH")</f>
        <v>FRS5_ARATH</v>
      </c>
      <c r="D847" t="s">
        <v>908</v>
      </c>
      <c r="E847" s="3" t="s">
        <v>3</v>
      </c>
      <c r="F847" s="4">
        <v>1.22E-29</v>
      </c>
      <c r="G847" s="3">
        <v>310</v>
      </c>
      <c r="H847" s="3">
        <v>45</v>
      </c>
      <c r="I847" s="3">
        <v>161</v>
      </c>
      <c r="J847" s="3">
        <v>24</v>
      </c>
      <c r="K847" s="3">
        <v>452</v>
      </c>
      <c r="L847" s="3">
        <v>18</v>
      </c>
      <c r="M847" s="3">
        <v>178</v>
      </c>
    </row>
    <row r="848" spans="1:13" x14ac:dyDescent="0.25">
      <c r="A848" s="1" t="str">
        <f>HYPERLINK("http://www.rosaceae.org/Prunus/Prunus_persica/p.persica_gdr_reftransV1_0013162","p.persica_gdr_reftransV1_0013162")</f>
        <v>p.persica_gdr_reftransV1_0013162</v>
      </c>
      <c r="B848" s="3">
        <v>1645</v>
      </c>
      <c r="C848" s="1" t="str">
        <f>HYPERLINK("http://www.uniprot.org/uniprot/IPK_METTH","IPK_METTH")</f>
        <v>IPK_METTH</v>
      </c>
      <c r="D848" t="s">
        <v>909</v>
      </c>
      <c r="E848" s="3" t="s">
        <v>910</v>
      </c>
      <c r="F848" s="4">
        <v>8.0500000000000002E-17</v>
      </c>
      <c r="G848" s="3">
        <v>208</v>
      </c>
      <c r="H848" s="3">
        <v>31</v>
      </c>
      <c r="I848" s="3">
        <v>214</v>
      </c>
      <c r="J848" s="3">
        <v>879</v>
      </c>
      <c r="K848" s="3">
        <v>1496</v>
      </c>
      <c r="L848" s="3">
        <v>2</v>
      </c>
      <c r="M848" s="3">
        <v>175</v>
      </c>
    </row>
    <row r="849" spans="1:13" x14ac:dyDescent="0.25">
      <c r="A849" s="1" t="str">
        <f>HYPERLINK("http://www.rosaceae.org/Prunus/Prunus_persica/p.persica_gdr_reftransV1_0013212","p.persica_gdr_reftransV1_0013212")</f>
        <v>p.persica_gdr_reftransV1_0013212</v>
      </c>
      <c r="B849" s="3">
        <v>1339</v>
      </c>
      <c r="C849" s="1" t="str">
        <f>HYPERLINK("http://www.uniprot.org/uniprot/Y4967_ARATH","Y4967_ARATH")</f>
        <v>Y4967_ARATH</v>
      </c>
      <c r="D849" t="s">
        <v>911</v>
      </c>
      <c r="E849" s="3" t="s">
        <v>3</v>
      </c>
      <c r="F849" s="4">
        <v>9.7099999999999997E-73</v>
      </c>
      <c r="G849" s="3">
        <v>610</v>
      </c>
      <c r="H849" s="3">
        <v>53</v>
      </c>
      <c r="I849" s="3">
        <v>231</v>
      </c>
      <c r="J849" s="3">
        <v>74</v>
      </c>
      <c r="K849" s="3">
        <v>766</v>
      </c>
      <c r="L849" s="3">
        <v>1</v>
      </c>
      <c r="M849" s="3">
        <v>229</v>
      </c>
    </row>
    <row r="850" spans="1:13" x14ac:dyDescent="0.25">
      <c r="A850" s="1" t="str">
        <f>HYPERLINK("http://www.rosaceae.org/Prunus/Prunus_persica/p.persica_gdr_reftransV1_0013262","p.persica_gdr_reftransV1_0013262")</f>
        <v>p.persica_gdr_reftransV1_0013262</v>
      </c>
      <c r="B850" s="3">
        <v>1941</v>
      </c>
      <c r="C850" s="1" t="str">
        <f>HYPERLINK("http://www.uniprot.org/uniprot/CK1_ARATH","CK1_ARATH")</f>
        <v>CK1_ARATH</v>
      </c>
      <c r="D850" t="s">
        <v>912</v>
      </c>
      <c r="E850" s="3" t="s">
        <v>3</v>
      </c>
      <c r="F850" s="4">
        <v>8.5999999999999997E-134</v>
      </c>
      <c r="G850" s="3">
        <v>1036</v>
      </c>
      <c r="H850" s="3">
        <v>67</v>
      </c>
      <c r="I850" s="3">
        <v>282</v>
      </c>
      <c r="J850" s="3">
        <v>544</v>
      </c>
      <c r="K850" s="3">
        <v>1380</v>
      </c>
      <c r="L850" s="3">
        <v>1</v>
      </c>
      <c r="M850" s="3">
        <v>282</v>
      </c>
    </row>
    <row r="851" spans="1:13" x14ac:dyDescent="0.25">
      <c r="A851" s="1" t="str">
        <f>HYPERLINK("http://www.rosaceae.org/Prunus/Prunus_persica/p.persica_gdr_reftransV1_0013912","p.persica_gdr_reftransV1_0013912")</f>
        <v>p.persica_gdr_reftransV1_0013912</v>
      </c>
      <c r="B851" s="3">
        <v>1283</v>
      </c>
      <c r="C851" s="1" t="str">
        <f>HYPERLINK("http://www.uniprot.org/uniprot/RFA2B_ARATH","RFA2B_ARATH")</f>
        <v>RFA2B_ARATH</v>
      </c>
      <c r="D851" t="s">
        <v>913</v>
      </c>
      <c r="E851" s="3" t="s">
        <v>3</v>
      </c>
      <c r="F851" s="4">
        <v>3.9599999999999997E-80</v>
      </c>
      <c r="G851" s="3">
        <v>651</v>
      </c>
      <c r="H851" s="3">
        <v>47</v>
      </c>
      <c r="I851" s="3">
        <v>276</v>
      </c>
      <c r="J851" s="3">
        <v>293</v>
      </c>
      <c r="K851" s="3">
        <v>1078</v>
      </c>
      <c r="L851" s="3">
        <v>6</v>
      </c>
      <c r="M851" s="3">
        <v>278</v>
      </c>
    </row>
    <row r="852" spans="1:13" x14ac:dyDescent="0.25">
      <c r="A852" s="1" t="str">
        <f>HYPERLINK("http://www.rosaceae.org/Prunus/Prunus_persica/p.persica_gdr_reftransV1_0014062","p.persica_gdr_reftransV1_0014062")</f>
        <v>p.persica_gdr_reftransV1_0014062</v>
      </c>
      <c r="B852" s="3">
        <v>2279</v>
      </c>
      <c r="C852" s="1" t="str">
        <f>HYPERLINK("http://www.uniprot.org/uniprot/CLPX_AQUAE","CLPX_AQUAE")</f>
        <v>CLPX_AQUAE</v>
      </c>
      <c r="D852" t="s">
        <v>914</v>
      </c>
      <c r="E852" s="3" t="s">
        <v>863</v>
      </c>
      <c r="F852" s="4">
        <v>1.51E-136</v>
      </c>
      <c r="G852" s="3">
        <v>1070</v>
      </c>
      <c r="H852" s="3">
        <v>60</v>
      </c>
      <c r="I852" s="3">
        <v>350</v>
      </c>
      <c r="J852" s="3">
        <v>821</v>
      </c>
      <c r="K852" s="3">
        <v>1864</v>
      </c>
      <c r="L852" s="3">
        <v>58</v>
      </c>
      <c r="M852" s="3">
        <v>383</v>
      </c>
    </row>
    <row r="853" spans="1:13" x14ac:dyDescent="0.25">
      <c r="A853" s="1" t="str">
        <f>HYPERLINK("http://www.rosaceae.org/Prunus/Prunus_persica/p.persica_gdr_reftransV1_0014112","p.persica_gdr_reftransV1_0014112")</f>
        <v>p.persica_gdr_reftransV1_0014112</v>
      </c>
      <c r="B853" s="3">
        <v>3054</v>
      </c>
      <c r="C853" s="1" t="str">
        <f>HYPERLINK("http://www.uniprot.org/uniprot/ENPL_HORVU","ENPL_HORVU")</f>
        <v>ENPL_HORVU</v>
      </c>
      <c r="D853" t="s">
        <v>915</v>
      </c>
      <c r="E853" s="3" t="s">
        <v>769</v>
      </c>
      <c r="F853" s="4">
        <v>0</v>
      </c>
      <c r="G853" s="3">
        <v>1473</v>
      </c>
      <c r="H853" s="3">
        <v>46</v>
      </c>
      <c r="I853" s="3">
        <v>698</v>
      </c>
      <c r="J853" s="3">
        <v>469</v>
      </c>
      <c r="K853" s="3">
        <v>2445</v>
      </c>
      <c r="L853" s="3">
        <v>79</v>
      </c>
      <c r="M853" s="3">
        <v>760</v>
      </c>
    </row>
    <row r="854" spans="1:13" x14ac:dyDescent="0.25">
      <c r="A854" s="1" t="str">
        <f>HYPERLINK("http://www.rosaceae.org/Prunus/Prunus_persica/p.persica_gdr_reftransV1_0014362","p.persica_gdr_reftransV1_0014362")</f>
        <v>p.persica_gdr_reftransV1_0014362</v>
      </c>
      <c r="B854" s="3">
        <v>1336</v>
      </c>
      <c r="C854" s="1" t="str">
        <f>HYPERLINK("http://www.uniprot.org/uniprot/ANK2_MOUSE","ANK2_MOUSE")</f>
        <v>ANK2_MOUSE</v>
      </c>
      <c r="D854" t="s">
        <v>916</v>
      </c>
      <c r="E854" s="3" t="s">
        <v>157</v>
      </c>
      <c r="F854" s="4">
        <v>2.1500000000000001E-20</v>
      </c>
      <c r="G854" s="3">
        <v>243</v>
      </c>
      <c r="H854" s="3">
        <v>39</v>
      </c>
      <c r="I854" s="3">
        <v>127</v>
      </c>
      <c r="J854" s="3">
        <v>804</v>
      </c>
      <c r="K854" s="3">
        <v>1184</v>
      </c>
      <c r="L854" s="3">
        <v>36</v>
      </c>
      <c r="M854" s="3">
        <v>162</v>
      </c>
    </row>
    <row r="855" spans="1:13" x14ac:dyDescent="0.25">
      <c r="A855" s="1" t="str">
        <f>HYPERLINK("http://www.rosaceae.org/Prunus/Prunus_persica/p.persica_gdr_reftransV1_0014612","p.persica_gdr_reftransV1_0014612")</f>
        <v>p.persica_gdr_reftransV1_0014612</v>
      </c>
      <c r="B855" s="3">
        <v>2172</v>
      </c>
      <c r="C855" s="1" t="str">
        <f>HYPERLINK("http://www.uniprot.org/uniprot/P4H10_ARATH","P4H10_ARATH")</f>
        <v>P4H10_ARATH</v>
      </c>
      <c r="D855" t="s">
        <v>917</v>
      </c>
      <c r="E855" s="3" t="s">
        <v>3</v>
      </c>
      <c r="F855" s="4">
        <v>1.4499999999999999E-58</v>
      </c>
      <c r="G855" s="3">
        <v>522</v>
      </c>
      <c r="H855" s="3">
        <v>79</v>
      </c>
      <c r="I855" s="3">
        <v>117</v>
      </c>
      <c r="J855" s="3">
        <v>1826</v>
      </c>
      <c r="K855" s="3">
        <v>2170</v>
      </c>
      <c r="L855" s="3">
        <v>151</v>
      </c>
      <c r="M855" s="3">
        <v>267</v>
      </c>
    </row>
    <row r="856" spans="1:13" x14ac:dyDescent="0.25">
      <c r="A856" s="1" t="str">
        <f>HYPERLINK("http://www.rosaceae.org/Prunus/Prunus_persica/p.persica_gdr_reftransV1_0014662","p.persica_gdr_reftransV1_0014662")</f>
        <v>p.persica_gdr_reftransV1_0014662</v>
      </c>
      <c r="B856" s="3">
        <v>3516</v>
      </c>
      <c r="C856" s="1" t="str">
        <f>HYPERLINK("http://www.uniprot.org/uniprot/GLGL2_ARATH","GLGL2_ARATH")</f>
        <v>GLGL2_ARATH</v>
      </c>
      <c r="D856" t="s">
        <v>918</v>
      </c>
      <c r="E856" s="3" t="s">
        <v>3</v>
      </c>
      <c r="F856" s="4">
        <v>0</v>
      </c>
      <c r="G856" s="3">
        <v>1588</v>
      </c>
      <c r="H856" s="3">
        <v>84</v>
      </c>
      <c r="I856" s="3">
        <v>343</v>
      </c>
      <c r="J856" s="3">
        <v>1</v>
      </c>
      <c r="K856" s="3">
        <v>1029</v>
      </c>
      <c r="L856" s="3">
        <v>176</v>
      </c>
      <c r="M856" s="3">
        <v>518</v>
      </c>
    </row>
    <row r="857" spans="1:13" x14ac:dyDescent="0.25">
      <c r="A857" s="1" t="str">
        <f>HYPERLINK("http://www.rosaceae.org/Prunus/Prunus_persica/p.persica_gdr_reftransV1_0014712","p.persica_gdr_reftransV1_0014712")</f>
        <v>p.persica_gdr_reftransV1_0014712</v>
      </c>
      <c r="B857" s="3">
        <v>1782</v>
      </c>
      <c r="C857" s="1" t="str">
        <f>HYPERLINK("http://www.uniprot.org/uniprot/Y3028_ARATH","Y3028_ARATH")</f>
        <v>Y3028_ARATH</v>
      </c>
      <c r="D857" t="s">
        <v>919</v>
      </c>
      <c r="E857" s="3" t="s">
        <v>3</v>
      </c>
      <c r="F857" s="4">
        <v>2.2799999999999999E-104</v>
      </c>
      <c r="G857" s="3">
        <v>843</v>
      </c>
      <c r="H857" s="3">
        <v>43</v>
      </c>
      <c r="I857" s="3">
        <v>454</v>
      </c>
      <c r="J857" s="3">
        <v>318</v>
      </c>
      <c r="K857" s="3">
        <v>1655</v>
      </c>
      <c r="L857" s="3">
        <v>1</v>
      </c>
      <c r="M857" s="3">
        <v>443</v>
      </c>
    </row>
    <row r="858" spans="1:13" x14ac:dyDescent="0.25">
      <c r="A858" s="1" t="str">
        <f>HYPERLINK("http://www.rosaceae.org/Prunus/Prunus_persica/p.persica_gdr_reftransV1_0014912","p.persica_gdr_reftransV1_0014912")</f>
        <v>p.persica_gdr_reftransV1_0014912</v>
      </c>
      <c r="B858" s="3">
        <v>2757</v>
      </c>
      <c r="C858" s="1" t="str">
        <f>HYPERLINK("http://www.uniprot.org/uniprot/GLGL1_SOLTU","GLGL1_SOLTU")</f>
        <v>GLGL1_SOLTU</v>
      </c>
      <c r="D858" t="s">
        <v>920</v>
      </c>
      <c r="E858" s="3" t="s">
        <v>11</v>
      </c>
      <c r="F858" s="4">
        <v>0</v>
      </c>
      <c r="G858" s="3">
        <v>2018</v>
      </c>
      <c r="H858" s="3">
        <v>80</v>
      </c>
      <c r="I858" s="3">
        <v>454</v>
      </c>
      <c r="J858" s="3">
        <v>634</v>
      </c>
      <c r="K858" s="3">
        <v>1995</v>
      </c>
      <c r="L858" s="3">
        <v>17</v>
      </c>
      <c r="M858" s="3">
        <v>470</v>
      </c>
    </row>
    <row r="859" spans="1:13" x14ac:dyDescent="0.25">
      <c r="A859" s="1" t="str">
        <f>HYPERLINK("http://www.rosaceae.org/Prunus/Prunus_persica/p.persica_gdr_reftransV1_0015012","p.persica_gdr_reftransV1_0015012")</f>
        <v>p.persica_gdr_reftransV1_0015012</v>
      </c>
      <c r="B859" s="3">
        <v>2521</v>
      </c>
      <c r="C859" s="1" t="str">
        <f>HYPERLINK("http://www.uniprot.org/uniprot/SEC10_ARATH","SEC10_ARATH")</f>
        <v>SEC10_ARATH</v>
      </c>
      <c r="D859" t="s">
        <v>921</v>
      </c>
      <c r="E859" s="3" t="s">
        <v>3</v>
      </c>
      <c r="F859" s="4">
        <v>0</v>
      </c>
      <c r="G859" s="3">
        <v>2210</v>
      </c>
      <c r="H859" s="3">
        <v>83</v>
      </c>
      <c r="I859" s="3">
        <v>511</v>
      </c>
      <c r="J859" s="3">
        <v>182</v>
      </c>
      <c r="K859" s="3">
        <v>1714</v>
      </c>
      <c r="L859" s="3">
        <v>18</v>
      </c>
      <c r="M859" s="3">
        <v>521</v>
      </c>
    </row>
    <row r="860" spans="1:13" x14ac:dyDescent="0.25">
      <c r="A860" s="1" t="str">
        <f>HYPERLINK("http://www.rosaceae.org/Prunus/Prunus_persica/p.persica_gdr_reftransV1_0015062","p.persica_gdr_reftransV1_0015062")</f>
        <v>p.persica_gdr_reftransV1_0015062</v>
      </c>
      <c r="B860" s="3">
        <v>1295</v>
      </c>
      <c r="C860" s="1" t="str">
        <f>HYPERLINK("http://www.uniprot.org/uniprot/Y5316_ARATH","Y5316_ARATH")</f>
        <v>Y5316_ARATH</v>
      </c>
      <c r="D860" t="s">
        <v>922</v>
      </c>
      <c r="E860" s="3" t="s">
        <v>3</v>
      </c>
      <c r="F860" s="4">
        <v>2.32E-17</v>
      </c>
      <c r="G860" s="3">
        <v>210</v>
      </c>
      <c r="H860" s="3">
        <v>51</v>
      </c>
      <c r="I860" s="3">
        <v>84</v>
      </c>
      <c r="J860" s="3">
        <v>914</v>
      </c>
      <c r="K860" s="3">
        <v>1141</v>
      </c>
      <c r="L860" s="3">
        <v>180</v>
      </c>
      <c r="M860" s="3">
        <v>263</v>
      </c>
    </row>
    <row r="861" spans="1:13" x14ac:dyDescent="0.25">
      <c r="A861" s="1" t="str">
        <f>HYPERLINK("http://www.rosaceae.org/Prunus/Prunus_persica/p.persica_gdr_reftransV1_0015212","p.persica_gdr_reftransV1_0015212")</f>
        <v>p.persica_gdr_reftransV1_0015212</v>
      </c>
      <c r="B861" s="3">
        <v>1106</v>
      </c>
      <c r="C861" s="1" t="str">
        <f>HYPERLINK("http://www.uniprot.org/uniprot/UBC4_ARATH","UBC4_ARATH")</f>
        <v>UBC4_ARATH</v>
      </c>
      <c r="D861" t="s">
        <v>923</v>
      </c>
      <c r="E861" s="3" t="s">
        <v>3</v>
      </c>
      <c r="F861" s="4">
        <v>1.28E-89</v>
      </c>
      <c r="G861" s="3">
        <v>701</v>
      </c>
      <c r="H861" s="3">
        <v>85</v>
      </c>
      <c r="I861" s="3">
        <v>148</v>
      </c>
      <c r="J861" s="3">
        <v>317</v>
      </c>
      <c r="K861" s="3">
        <v>760</v>
      </c>
      <c r="L861" s="3">
        <v>1</v>
      </c>
      <c r="M861" s="3">
        <v>148</v>
      </c>
    </row>
    <row r="862" spans="1:13" x14ac:dyDescent="0.25">
      <c r="A862" s="1" t="str">
        <f>HYPERLINK("http://www.rosaceae.org/Prunus/Prunus_persica/p.persica_gdr_reftransV1_0015362","p.persica_gdr_reftransV1_0015362")</f>
        <v>p.persica_gdr_reftransV1_0015362</v>
      </c>
      <c r="B862" s="3">
        <v>1363</v>
      </c>
      <c r="C862" s="1" t="str">
        <f>HYPERLINK("http://www.uniprot.org/uniprot/RS15_ORYSJ","RS15_ORYSJ")</f>
        <v>RS15_ORYSJ</v>
      </c>
      <c r="D862" t="s">
        <v>924</v>
      </c>
      <c r="E862" s="3" t="s">
        <v>38</v>
      </c>
      <c r="F862" s="4">
        <v>1.9E-87</v>
      </c>
      <c r="G862" s="3">
        <v>691</v>
      </c>
      <c r="H862" s="3">
        <v>93</v>
      </c>
      <c r="I862" s="3">
        <v>139</v>
      </c>
      <c r="J862" s="3">
        <v>125</v>
      </c>
      <c r="K862" s="3">
        <v>541</v>
      </c>
      <c r="L862" s="3">
        <v>16</v>
      </c>
      <c r="M862" s="3">
        <v>154</v>
      </c>
    </row>
    <row r="863" spans="1:13" x14ac:dyDescent="0.25">
      <c r="A863" s="1" t="str">
        <f>HYPERLINK("http://www.rosaceae.org/Prunus/Prunus_persica/p.persica_gdr_reftransV1_0015412","p.persica_gdr_reftransV1_0015412")</f>
        <v>p.persica_gdr_reftransV1_0015412</v>
      </c>
      <c r="B863" s="3">
        <v>5115</v>
      </c>
      <c r="C863" s="1" t="str">
        <f>HYPERLINK("http://www.uniprot.org/uniprot/RGA2_SOLBU","RGA2_SOLBU")</f>
        <v>RGA2_SOLBU</v>
      </c>
      <c r="D863" t="s">
        <v>925</v>
      </c>
      <c r="E863" s="3" t="s">
        <v>560</v>
      </c>
      <c r="F863" s="4">
        <v>1.9199999999999999E-139</v>
      </c>
      <c r="G863" s="3">
        <v>1193</v>
      </c>
      <c r="H863" s="3">
        <v>35</v>
      </c>
      <c r="I863" s="3">
        <v>998</v>
      </c>
      <c r="J863" s="3">
        <v>2083</v>
      </c>
      <c r="K863" s="3">
        <v>4917</v>
      </c>
      <c r="L863" s="3">
        <v>1</v>
      </c>
      <c r="M863" s="3">
        <v>945</v>
      </c>
    </row>
    <row r="864" spans="1:13" x14ac:dyDescent="0.25">
      <c r="A864" s="1" t="str">
        <f>HYPERLINK("http://www.rosaceae.org/Prunus/Prunus_persica/p.persica_gdr_reftransV1_0015512","p.persica_gdr_reftransV1_0015512")</f>
        <v>p.persica_gdr_reftransV1_0015512</v>
      </c>
      <c r="B864" s="3">
        <v>1201</v>
      </c>
      <c r="C864" s="1" t="str">
        <f>HYPERLINK("http://www.uniprot.org/uniprot/WER_ARATH","WER_ARATH")</f>
        <v>WER_ARATH</v>
      </c>
      <c r="D864" t="s">
        <v>926</v>
      </c>
      <c r="E864" s="3" t="s">
        <v>3</v>
      </c>
      <c r="F864" s="4">
        <v>5.7299999999999995E-38</v>
      </c>
      <c r="G864" s="3">
        <v>356</v>
      </c>
      <c r="H864" s="3">
        <v>77</v>
      </c>
      <c r="I864" s="3">
        <v>86</v>
      </c>
      <c r="J864" s="3">
        <v>125</v>
      </c>
      <c r="K864" s="3">
        <v>382</v>
      </c>
      <c r="L864" s="3">
        <v>11</v>
      </c>
      <c r="M864" s="3">
        <v>96</v>
      </c>
    </row>
    <row r="865" spans="1:13" x14ac:dyDescent="0.25">
      <c r="A865" s="1" t="str">
        <f>HYPERLINK("http://www.rosaceae.org/Prunus/Prunus_persica/p.persica_gdr_reftransV1_0015712","p.persica_gdr_reftransV1_0015712")</f>
        <v>p.persica_gdr_reftransV1_0015712</v>
      </c>
      <c r="B865" s="3">
        <v>1886</v>
      </c>
      <c r="C865" s="1" t="str">
        <f>HYPERLINK("http://www.uniprot.org/uniprot/UGT2_GARJA","UGT2_GARJA")</f>
        <v>UGT2_GARJA</v>
      </c>
      <c r="D865" t="s">
        <v>927</v>
      </c>
      <c r="E865" s="3" t="s">
        <v>624</v>
      </c>
      <c r="F865" s="4">
        <v>0</v>
      </c>
      <c r="G865" s="3">
        <v>1737</v>
      </c>
      <c r="H865" s="3">
        <v>66</v>
      </c>
      <c r="I865" s="3">
        <v>483</v>
      </c>
      <c r="J865" s="3">
        <v>226</v>
      </c>
      <c r="K865" s="3">
        <v>1665</v>
      </c>
      <c r="L865" s="3">
        <v>1</v>
      </c>
      <c r="M865" s="3">
        <v>480</v>
      </c>
    </row>
    <row r="866" spans="1:13" x14ac:dyDescent="0.25">
      <c r="A866" s="1" t="str">
        <f>HYPERLINK("http://www.rosaceae.org/Prunus/Prunus_persica/p.persica_gdr_reftransV1_0015862","p.persica_gdr_reftransV1_0015862")</f>
        <v>p.persica_gdr_reftransV1_0015862</v>
      </c>
      <c r="B866" s="3">
        <v>1003</v>
      </c>
      <c r="C866" s="1" t="str">
        <f>HYPERLINK("http://www.uniprot.org/uniprot/BET11_ARATH","BET11_ARATH")</f>
        <v>BET11_ARATH</v>
      </c>
      <c r="D866" t="s">
        <v>928</v>
      </c>
      <c r="E866" s="3" t="s">
        <v>3</v>
      </c>
      <c r="F866" s="4">
        <v>1.4199999999999999E-53</v>
      </c>
      <c r="G866" s="3">
        <v>451</v>
      </c>
      <c r="H866" s="3">
        <v>69</v>
      </c>
      <c r="I866" s="3">
        <v>122</v>
      </c>
      <c r="J866" s="3">
        <v>423</v>
      </c>
      <c r="K866" s="3">
        <v>788</v>
      </c>
      <c r="L866" s="3">
        <v>1</v>
      </c>
      <c r="M866" s="3">
        <v>122</v>
      </c>
    </row>
    <row r="867" spans="1:13" x14ac:dyDescent="0.25">
      <c r="A867" s="1" t="str">
        <f>HYPERLINK("http://www.rosaceae.org/Prunus/Prunus_persica/p.persica_gdr_reftransV1_0015962","p.persica_gdr_reftransV1_0015962")</f>
        <v>p.persica_gdr_reftransV1_0015962</v>
      </c>
      <c r="B867" s="3">
        <v>2622</v>
      </c>
      <c r="C867" s="1" t="str">
        <f>HYPERLINK("http://www.uniprot.org/uniprot/PYL9_ARATH","PYL9_ARATH")</f>
        <v>PYL9_ARATH</v>
      </c>
      <c r="D867" t="s">
        <v>929</v>
      </c>
      <c r="E867" s="3" t="s">
        <v>3</v>
      </c>
      <c r="F867" s="4">
        <v>1.5099999999999999E-51</v>
      </c>
      <c r="G867" s="3">
        <v>465</v>
      </c>
      <c r="H867" s="3">
        <v>74</v>
      </c>
      <c r="I867" s="3">
        <v>121</v>
      </c>
      <c r="J867" s="3">
        <v>2021</v>
      </c>
      <c r="K867" s="3">
        <v>2368</v>
      </c>
      <c r="L867" s="3">
        <v>7</v>
      </c>
      <c r="M867" s="3">
        <v>127</v>
      </c>
    </row>
    <row r="868" spans="1:13" x14ac:dyDescent="0.25">
      <c r="A868" s="1" t="str">
        <f>HYPERLINK("http://www.rosaceae.org/Prunus/Prunus_persica/p.persica_gdr_reftransV1_0016012","p.persica_gdr_reftransV1_0016012")</f>
        <v>p.persica_gdr_reftransV1_0016012</v>
      </c>
      <c r="B868" s="3">
        <v>1033</v>
      </c>
      <c r="C868" s="1" t="str">
        <f>HYPERLINK("http://www.uniprot.org/uniprot/MLO4_ARATH","MLO4_ARATH")</f>
        <v>MLO4_ARATH</v>
      </c>
      <c r="D868" t="s">
        <v>930</v>
      </c>
      <c r="E868" s="3" t="s">
        <v>3</v>
      </c>
      <c r="F868" s="4">
        <v>5.0499999999999997E-28</v>
      </c>
      <c r="G868" s="3">
        <v>295</v>
      </c>
      <c r="H868" s="3">
        <v>52</v>
      </c>
      <c r="I868" s="3">
        <v>161</v>
      </c>
      <c r="J868" s="3">
        <v>348</v>
      </c>
      <c r="K868" s="3">
        <v>776</v>
      </c>
      <c r="L868" s="3">
        <v>422</v>
      </c>
      <c r="M868" s="3">
        <v>573</v>
      </c>
    </row>
    <row r="869" spans="1:13" x14ac:dyDescent="0.25">
      <c r="A869" s="1" t="str">
        <f>HYPERLINK("http://www.rosaceae.org/Prunus/Prunus_persica/p.persica_gdr_reftransV1_0016112","p.persica_gdr_reftransV1_0016112")</f>
        <v>p.persica_gdr_reftransV1_0016112</v>
      </c>
      <c r="B869" s="3">
        <v>2279</v>
      </c>
      <c r="C869" s="1" t="str">
        <f>HYPERLINK("http://www.uniprot.org/uniprot/FB285_ARATH","FB285_ARATH")</f>
        <v>FB285_ARATH</v>
      </c>
      <c r="D869" t="s">
        <v>931</v>
      </c>
      <c r="E869" s="3" t="s">
        <v>3</v>
      </c>
      <c r="F869" s="4">
        <v>5.3900000000000004E-172</v>
      </c>
      <c r="G869" s="3">
        <v>1305</v>
      </c>
      <c r="H869" s="3">
        <v>75</v>
      </c>
      <c r="I869" s="3">
        <v>399</v>
      </c>
      <c r="J869" s="3">
        <v>445</v>
      </c>
      <c r="K869" s="3">
        <v>1635</v>
      </c>
      <c r="L869" s="3">
        <v>7</v>
      </c>
      <c r="M869" s="3">
        <v>395</v>
      </c>
    </row>
    <row r="870" spans="1:13" x14ac:dyDescent="0.25">
      <c r="A870" s="1" t="str">
        <f>HYPERLINK("http://www.rosaceae.org/Prunus/Prunus_persica/p.persica_gdr_reftransV1_0016162","p.persica_gdr_reftransV1_0016162")</f>
        <v>p.persica_gdr_reftransV1_0016162</v>
      </c>
      <c r="B870" s="3">
        <v>3464</v>
      </c>
      <c r="C870" s="1" t="str">
        <f>HYPERLINK("http://www.uniprot.org/uniprot/KIN13_ARATH","KIN13_ARATH")</f>
        <v>KIN13_ARATH</v>
      </c>
      <c r="D870" t="s">
        <v>465</v>
      </c>
      <c r="E870" s="3" t="s">
        <v>3</v>
      </c>
      <c r="F870" s="4">
        <v>0</v>
      </c>
      <c r="G870" s="3">
        <v>2886</v>
      </c>
      <c r="H870" s="3">
        <v>73</v>
      </c>
      <c r="I870" s="3">
        <v>825</v>
      </c>
      <c r="J870" s="3">
        <v>498</v>
      </c>
      <c r="K870" s="3">
        <v>2939</v>
      </c>
      <c r="L870" s="3">
        <v>1</v>
      </c>
      <c r="M870" s="3">
        <v>794</v>
      </c>
    </row>
    <row r="871" spans="1:13" x14ac:dyDescent="0.25">
      <c r="A871" s="1" t="str">
        <f>HYPERLINK("http://www.rosaceae.org/Prunus/Prunus_persica/p.persica_gdr_reftransV1_0016512","p.persica_gdr_reftransV1_0016512")</f>
        <v>p.persica_gdr_reftransV1_0016512</v>
      </c>
      <c r="B871" s="3">
        <v>477</v>
      </c>
      <c r="C871" s="1" t="str">
        <f>HYPERLINK("http://www.uniprot.org/uniprot/CALS5_ARATH","CALS5_ARATH")</f>
        <v>CALS5_ARATH</v>
      </c>
      <c r="D871" t="s">
        <v>932</v>
      </c>
      <c r="E871" s="3" t="s">
        <v>3</v>
      </c>
      <c r="F871" s="4">
        <v>4.8999999999999997E-76</v>
      </c>
      <c r="G871" s="3">
        <v>645</v>
      </c>
      <c r="H871" s="3">
        <v>84</v>
      </c>
      <c r="I871" s="3">
        <v>158</v>
      </c>
      <c r="J871" s="3">
        <v>3</v>
      </c>
      <c r="K871" s="3">
        <v>476</v>
      </c>
      <c r="L871" s="3">
        <v>939</v>
      </c>
      <c r="M871" s="3">
        <v>1096</v>
      </c>
    </row>
    <row r="872" spans="1:13" x14ac:dyDescent="0.25">
      <c r="A872" s="1" t="str">
        <f>HYPERLINK("http://www.rosaceae.org/Prunus/Prunus_persica/p.persica_gdr_reftransV1_0016612","p.persica_gdr_reftransV1_0016612")</f>
        <v>p.persica_gdr_reftransV1_0016612</v>
      </c>
      <c r="B872" s="3">
        <v>2122</v>
      </c>
      <c r="C872" s="1" t="str">
        <f>HYPERLINK("http://www.uniprot.org/uniprot/TRM6_DICDI","TRM6_DICDI")</f>
        <v>TRM6_DICDI</v>
      </c>
      <c r="D872" t="s">
        <v>933</v>
      </c>
      <c r="E872" s="3" t="s">
        <v>9</v>
      </c>
      <c r="F872" s="4">
        <v>1.3300000000000001E-44</v>
      </c>
      <c r="G872" s="3">
        <v>305</v>
      </c>
      <c r="H872" s="3">
        <v>32</v>
      </c>
      <c r="I872" s="3">
        <v>285</v>
      </c>
      <c r="J872" s="3">
        <v>331</v>
      </c>
      <c r="K872" s="3">
        <v>1182</v>
      </c>
      <c r="L872" s="3">
        <v>178</v>
      </c>
      <c r="M872" s="3">
        <v>448</v>
      </c>
    </row>
    <row r="873" spans="1:13" x14ac:dyDescent="0.25">
      <c r="A873" s="1" t="str">
        <f>HYPERLINK("http://www.rosaceae.org/Prunus/Prunus_persica/p.persica_gdr_reftransV1_0016912","p.persica_gdr_reftransV1_0016912")</f>
        <v>p.persica_gdr_reftransV1_0016912</v>
      </c>
      <c r="B873" s="3">
        <v>693</v>
      </c>
      <c r="C873" s="1" t="str">
        <f>HYPERLINK("http://www.uniprot.org/uniprot/DOF15_ARATH","DOF15_ARATH")</f>
        <v>DOF15_ARATH</v>
      </c>
      <c r="D873" t="s">
        <v>934</v>
      </c>
      <c r="E873" s="3" t="s">
        <v>3</v>
      </c>
      <c r="F873" s="4">
        <v>7.6500000000000004E-54</v>
      </c>
      <c r="G873" s="3">
        <v>449</v>
      </c>
      <c r="H873" s="3">
        <v>59</v>
      </c>
      <c r="I873" s="3">
        <v>164</v>
      </c>
      <c r="J873" s="3">
        <v>90</v>
      </c>
      <c r="K873" s="3">
        <v>512</v>
      </c>
      <c r="L873" s="3">
        <v>4</v>
      </c>
      <c r="M873" s="3">
        <v>163</v>
      </c>
    </row>
    <row r="874" spans="1:13" x14ac:dyDescent="0.25">
      <c r="A874" s="1" t="str">
        <f>HYPERLINK("http://www.rosaceae.org/Prunus/Prunus_persica/p.persica_gdr_reftransV1_0017212","p.persica_gdr_reftransV1_0017212")</f>
        <v>p.persica_gdr_reftransV1_0017212</v>
      </c>
      <c r="B874" s="3">
        <v>2210</v>
      </c>
      <c r="C874" s="1" t="str">
        <f>HYPERLINK("http://www.uniprot.org/uniprot/STLP2_ARATH","STLP2_ARATH")</f>
        <v>STLP2_ARATH</v>
      </c>
      <c r="D874" t="s">
        <v>935</v>
      </c>
      <c r="E874" s="3" t="s">
        <v>3</v>
      </c>
      <c r="F874" s="4">
        <v>3.1299999999999999E-84</v>
      </c>
      <c r="G874" s="3">
        <v>712</v>
      </c>
      <c r="H874" s="3">
        <v>59</v>
      </c>
      <c r="I874" s="3">
        <v>250</v>
      </c>
      <c r="J874" s="3">
        <v>1015</v>
      </c>
      <c r="K874" s="3">
        <v>1749</v>
      </c>
      <c r="L874" s="3">
        <v>87</v>
      </c>
      <c r="M874" s="3">
        <v>332</v>
      </c>
    </row>
    <row r="875" spans="1:13" x14ac:dyDescent="0.25">
      <c r="A875" s="1" t="str">
        <f>HYPERLINK("http://www.rosaceae.org/Prunus/Prunus_persica/p.persica_gdr_reftransV1_0017362","p.persica_gdr_reftransV1_0017362")</f>
        <v>p.persica_gdr_reftransV1_0017362</v>
      </c>
      <c r="B875" s="3">
        <v>2181</v>
      </c>
      <c r="C875" s="1" t="str">
        <f>HYPERLINK("http://www.uniprot.org/uniprot/NMT1_ARATH","NMT1_ARATH")</f>
        <v>NMT1_ARATH</v>
      </c>
      <c r="D875" t="s">
        <v>936</v>
      </c>
      <c r="E875" s="3" t="s">
        <v>3</v>
      </c>
      <c r="F875" s="4">
        <v>0</v>
      </c>
      <c r="G875" s="3">
        <v>1856</v>
      </c>
      <c r="H875" s="3">
        <v>78</v>
      </c>
      <c r="I875" s="3">
        <v>428</v>
      </c>
      <c r="J875" s="3">
        <v>241</v>
      </c>
      <c r="K875" s="3">
        <v>1524</v>
      </c>
      <c r="L875" s="3">
        <v>1</v>
      </c>
      <c r="M875" s="3">
        <v>428</v>
      </c>
    </row>
    <row r="876" spans="1:13" x14ac:dyDescent="0.25">
      <c r="A876" s="1" t="str">
        <f>HYPERLINK("http://www.rosaceae.org/Prunus/Prunus_persica/p.persica_gdr_reftransV1_0017412","p.persica_gdr_reftransV1_0017412")</f>
        <v>p.persica_gdr_reftransV1_0017412</v>
      </c>
      <c r="B876" s="3">
        <v>1044</v>
      </c>
      <c r="C876" s="1" t="str">
        <f>HYPERLINK("http://www.uniprot.org/uniprot/EC12_ARATH","EC12_ARATH")</f>
        <v>EC12_ARATH</v>
      </c>
      <c r="D876" t="s">
        <v>937</v>
      </c>
      <c r="E876" s="3" t="s">
        <v>3</v>
      </c>
      <c r="F876" s="4">
        <v>1.3700000000000001E-26</v>
      </c>
      <c r="G876" s="3">
        <v>266</v>
      </c>
      <c r="H876" s="3">
        <v>68</v>
      </c>
      <c r="I876" s="3">
        <v>65</v>
      </c>
      <c r="J876" s="3">
        <v>546</v>
      </c>
      <c r="K876" s="3">
        <v>740</v>
      </c>
      <c r="L876" s="3">
        <v>46</v>
      </c>
      <c r="M876" s="3">
        <v>110</v>
      </c>
    </row>
    <row r="877" spans="1:13" x14ac:dyDescent="0.25">
      <c r="A877" s="1" t="str">
        <f>HYPERLINK("http://www.rosaceae.org/Prunus/Prunus_persica/p.persica_gdr_reftransV1_0017512","p.persica_gdr_reftransV1_0017512")</f>
        <v>p.persica_gdr_reftransV1_0017512</v>
      </c>
      <c r="B877" s="3">
        <v>738</v>
      </c>
      <c r="C877" s="1" t="str">
        <f>HYPERLINK("http://www.uniprot.org/uniprot/GSTT3_ARATH","GSTT3_ARATH")</f>
        <v>GSTT3_ARATH</v>
      </c>
      <c r="D877" t="s">
        <v>938</v>
      </c>
      <c r="E877" s="3" t="s">
        <v>3</v>
      </c>
      <c r="F877" s="4">
        <v>3.07E-13</v>
      </c>
      <c r="G877" s="3">
        <v>176</v>
      </c>
      <c r="H877" s="3">
        <v>32</v>
      </c>
      <c r="I877" s="3">
        <v>136</v>
      </c>
      <c r="J877" s="3">
        <v>22</v>
      </c>
      <c r="K877" s="3">
        <v>423</v>
      </c>
      <c r="L877" s="3">
        <v>260</v>
      </c>
      <c r="M877" s="3">
        <v>394</v>
      </c>
    </row>
    <row r="878" spans="1:13" x14ac:dyDescent="0.25">
      <c r="A878" s="1" t="str">
        <f>HYPERLINK("http://www.rosaceae.org/Prunus/Prunus_persica/p.persica_gdr_reftransV1_0017562","p.persica_gdr_reftransV1_0017562")</f>
        <v>p.persica_gdr_reftransV1_0017562</v>
      </c>
      <c r="B878" s="3">
        <v>2495</v>
      </c>
      <c r="C878" s="1" t="str">
        <f>HYPERLINK("http://www.uniprot.org/uniprot/FTSH6_ARATH","FTSH6_ARATH")</f>
        <v>FTSH6_ARATH</v>
      </c>
      <c r="D878" t="s">
        <v>939</v>
      </c>
      <c r="E878" s="3" t="s">
        <v>3</v>
      </c>
      <c r="F878" s="4">
        <v>0</v>
      </c>
      <c r="G878" s="3">
        <v>2498</v>
      </c>
      <c r="H878" s="3">
        <v>79</v>
      </c>
      <c r="I878" s="3">
        <v>651</v>
      </c>
      <c r="J878" s="3">
        <v>383</v>
      </c>
      <c r="K878" s="3">
        <v>2329</v>
      </c>
      <c r="L878" s="3">
        <v>23</v>
      </c>
      <c r="M878" s="3">
        <v>669</v>
      </c>
    </row>
    <row r="879" spans="1:13" x14ac:dyDescent="0.25">
      <c r="A879" s="1" t="str">
        <f>HYPERLINK("http://www.rosaceae.org/Prunus/Prunus_persica/p.persica_gdr_reftransV1_0017812","p.persica_gdr_reftransV1_0017812")</f>
        <v>p.persica_gdr_reftransV1_0017812</v>
      </c>
      <c r="B879" s="3">
        <v>1795</v>
      </c>
      <c r="C879" s="1" t="str">
        <f>HYPERLINK("http://www.uniprot.org/uniprot/SPX1_ARATH","SPX1_ARATH")</f>
        <v>SPX1_ARATH</v>
      </c>
      <c r="D879" t="s">
        <v>940</v>
      </c>
      <c r="E879" s="3" t="s">
        <v>3</v>
      </c>
      <c r="F879" s="4">
        <v>9.4900000000000008E-59</v>
      </c>
      <c r="G879" s="3">
        <v>515</v>
      </c>
      <c r="H879" s="3">
        <v>73</v>
      </c>
      <c r="I879" s="3">
        <v>143</v>
      </c>
      <c r="J879" s="3">
        <v>1257</v>
      </c>
      <c r="K879" s="3">
        <v>1685</v>
      </c>
      <c r="L879" s="3">
        <v>1</v>
      </c>
      <c r="M879" s="3">
        <v>134</v>
      </c>
    </row>
    <row r="880" spans="1:13" x14ac:dyDescent="0.25">
      <c r="A880" s="1" t="str">
        <f>HYPERLINK("http://www.rosaceae.org/Prunus/Prunus_persica/p.persica_gdr_reftransV1_0018112","p.persica_gdr_reftransV1_0018112")</f>
        <v>p.persica_gdr_reftransV1_0018112</v>
      </c>
      <c r="B880" s="3">
        <v>2240</v>
      </c>
      <c r="C880" s="1" t="str">
        <f>HYPERLINK("http://www.uniprot.org/uniprot/TTL_ARATH","TTL_ARATH")</f>
        <v>TTL_ARATH</v>
      </c>
      <c r="D880" t="s">
        <v>941</v>
      </c>
      <c r="E880" s="3" t="s">
        <v>3</v>
      </c>
      <c r="F880" s="4">
        <v>1.6700000000000001E-59</v>
      </c>
      <c r="G880" s="3">
        <v>540</v>
      </c>
      <c r="H880" s="3">
        <v>53</v>
      </c>
      <c r="I880" s="3">
        <v>213</v>
      </c>
      <c r="J880" s="3">
        <v>200</v>
      </c>
      <c r="K880" s="3">
        <v>826</v>
      </c>
      <c r="L880" s="3">
        <v>2</v>
      </c>
      <c r="M880" s="3">
        <v>213</v>
      </c>
    </row>
    <row r="881" spans="1:13" x14ac:dyDescent="0.25">
      <c r="A881" s="1" t="str">
        <f>HYPERLINK("http://www.rosaceae.org/Prunus/Prunus_persica/p.persica_gdr_reftransV1_0018512","p.persica_gdr_reftransV1_0018512")</f>
        <v>p.persica_gdr_reftransV1_0018512</v>
      </c>
      <c r="B881" s="3">
        <v>2977</v>
      </c>
      <c r="C881" s="1" t="str">
        <f>HYPERLINK("http://www.uniprot.org/uniprot/Y3037_ARATH","Y3037_ARATH")</f>
        <v>Y3037_ARATH</v>
      </c>
      <c r="D881" t="s">
        <v>566</v>
      </c>
      <c r="E881" s="3" t="s">
        <v>3</v>
      </c>
      <c r="F881" s="4">
        <v>0</v>
      </c>
      <c r="G881" s="3">
        <v>1793</v>
      </c>
      <c r="H881" s="3">
        <v>68</v>
      </c>
      <c r="I881" s="3">
        <v>600</v>
      </c>
      <c r="J881" s="3">
        <v>214</v>
      </c>
      <c r="K881" s="3">
        <v>2007</v>
      </c>
      <c r="L881" s="3">
        <v>43</v>
      </c>
      <c r="M881" s="3">
        <v>640</v>
      </c>
    </row>
    <row r="882" spans="1:13" x14ac:dyDescent="0.25">
      <c r="A882" s="1" t="str">
        <f>HYPERLINK("http://www.rosaceae.org/Prunus/Prunus_persica/p.persica_gdr_reftransV1_0018612","p.persica_gdr_reftransV1_0018612")</f>
        <v>p.persica_gdr_reftransV1_0018612</v>
      </c>
      <c r="B882" s="3">
        <v>1483</v>
      </c>
      <c r="C882" s="1" t="str">
        <f>HYPERLINK("http://www.uniprot.org/uniprot/AUHM_HUMAN","AUHM_HUMAN")</f>
        <v>AUHM_HUMAN</v>
      </c>
      <c r="D882" t="s">
        <v>942</v>
      </c>
      <c r="E882" s="3" t="s">
        <v>28</v>
      </c>
      <c r="F882" s="4">
        <v>9.9600000000000002E-50</v>
      </c>
      <c r="G882" s="3">
        <v>226</v>
      </c>
      <c r="H882" s="3">
        <v>40</v>
      </c>
      <c r="I882" s="3">
        <v>149</v>
      </c>
      <c r="J882" s="3">
        <v>748</v>
      </c>
      <c r="K882" s="3">
        <v>1179</v>
      </c>
      <c r="L882" s="3">
        <v>51</v>
      </c>
      <c r="M882" s="3">
        <v>199</v>
      </c>
    </row>
    <row r="883" spans="1:13" x14ac:dyDescent="0.25">
      <c r="A883" s="1" t="str">
        <f>HYPERLINK("http://www.rosaceae.org/Prunus/Prunus_persica/p.persica_gdr_reftransV1_0018662","p.persica_gdr_reftransV1_0018662")</f>
        <v>p.persica_gdr_reftransV1_0018662</v>
      </c>
      <c r="B883" s="3">
        <v>505</v>
      </c>
      <c r="C883" s="1" t="str">
        <f>HYPERLINK("http://www.uniprot.org/uniprot/RS5_CICAR","RS5_CICAR")</f>
        <v>RS5_CICAR</v>
      </c>
      <c r="D883" t="s">
        <v>943</v>
      </c>
      <c r="E883" s="3" t="s">
        <v>944</v>
      </c>
      <c r="F883" s="4">
        <v>2.6099999999999999E-60</v>
      </c>
      <c r="G883" s="3">
        <v>487</v>
      </c>
      <c r="H883" s="3">
        <v>88</v>
      </c>
      <c r="I883" s="3">
        <v>100</v>
      </c>
      <c r="J883" s="3">
        <v>1</v>
      </c>
      <c r="K883" s="3">
        <v>300</v>
      </c>
      <c r="L883" s="3">
        <v>3</v>
      </c>
      <c r="M883" s="3">
        <v>100</v>
      </c>
    </row>
    <row r="884" spans="1:13" x14ac:dyDescent="0.25">
      <c r="A884" s="1" t="str">
        <f>HYPERLINK("http://www.rosaceae.org/Prunus/Prunus_persica/p.persica_gdr_reftransV1_0018712","p.persica_gdr_reftransV1_0018712")</f>
        <v>p.persica_gdr_reftransV1_0018712</v>
      </c>
      <c r="B884" s="3">
        <v>2296</v>
      </c>
      <c r="C884" s="1" t="str">
        <f>HYPERLINK("http://www.uniprot.org/uniprot/POLK_CAEEL","POLK_CAEEL")</f>
        <v>POLK_CAEEL</v>
      </c>
      <c r="D884" t="s">
        <v>945</v>
      </c>
      <c r="E884" s="3" t="s">
        <v>281</v>
      </c>
      <c r="F884" s="4">
        <v>1.06E-78</v>
      </c>
      <c r="G884" s="3">
        <v>691</v>
      </c>
      <c r="H884" s="3">
        <v>37</v>
      </c>
      <c r="I884" s="3">
        <v>497</v>
      </c>
      <c r="J884" s="3">
        <v>877</v>
      </c>
      <c r="K884" s="3">
        <v>2187</v>
      </c>
      <c r="L884" s="3">
        <v>3</v>
      </c>
      <c r="M884" s="3">
        <v>489</v>
      </c>
    </row>
    <row r="885" spans="1:13" x14ac:dyDescent="0.25">
      <c r="A885" s="1" t="str">
        <f>HYPERLINK("http://www.rosaceae.org/Prunus/Prunus_persica/p.persica_gdr_reftransV1_0018912","p.persica_gdr_reftransV1_0018912")</f>
        <v>p.persica_gdr_reftransV1_0018912</v>
      </c>
      <c r="B885" s="3">
        <v>2071</v>
      </c>
      <c r="C885" s="1" t="str">
        <f>HYPERLINK("http://www.uniprot.org/uniprot/UN933_ARATH","UN933_ARATH")</f>
        <v>UN933_ARATH</v>
      </c>
      <c r="D885" t="s">
        <v>946</v>
      </c>
      <c r="E885" s="3" t="s">
        <v>3</v>
      </c>
      <c r="F885" s="4">
        <v>0</v>
      </c>
      <c r="G885" s="3">
        <v>1411</v>
      </c>
      <c r="H885" s="3">
        <v>70</v>
      </c>
      <c r="I885" s="3">
        <v>416</v>
      </c>
      <c r="J885" s="3">
        <v>452</v>
      </c>
      <c r="K885" s="3">
        <v>1690</v>
      </c>
      <c r="L885" s="3">
        <v>1</v>
      </c>
      <c r="M885" s="3">
        <v>412</v>
      </c>
    </row>
    <row r="886" spans="1:13" x14ac:dyDescent="0.25">
      <c r="A886" s="1" t="str">
        <f>HYPERLINK("http://www.rosaceae.org/Prunus/Prunus_persica/p.persica_gdr_reftransV1_0019012","p.persica_gdr_reftransV1_0019012")</f>
        <v>p.persica_gdr_reftransV1_0019012</v>
      </c>
      <c r="B886" s="3">
        <v>3083</v>
      </c>
      <c r="C886" s="1" t="str">
        <f>HYPERLINK("http://www.uniprot.org/uniprot/RBM39_PONAB","RBM39_PONAB")</f>
        <v>RBM39_PONAB</v>
      </c>
      <c r="D886" t="s">
        <v>947</v>
      </c>
      <c r="E886" s="3" t="s">
        <v>176</v>
      </c>
      <c r="F886" s="4">
        <v>2.6099999999999999E-9</v>
      </c>
      <c r="G886" s="3">
        <v>156</v>
      </c>
      <c r="H886" s="3">
        <v>65</v>
      </c>
      <c r="I886" s="3">
        <v>48</v>
      </c>
      <c r="J886" s="3">
        <v>2305</v>
      </c>
      <c r="K886" s="3">
        <v>2448</v>
      </c>
      <c r="L886" s="3">
        <v>149</v>
      </c>
      <c r="M886" s="3">
        <v>196</v>
      </c>
    </row>
    <row r="887" spans="1:13" x14ac:dyDescent="0.25">
      <c r="A887" s="1" t="str">
        <f>HYPERLINK("http://www.rosaceae.org/Prunus/Prunus_persica/p.persica_gdr_reftransV1_0019062","p.persica_gdr_reftransV1_0019062")</f>
        <v>p.persica_gdr_reftransV1_0019062</v>
      </c>
      <c r="B887" s="3">
        <v>1565</v>
      </c>
      <c r="C887" s="1" t="str">
        <f>HYPERLINK("http://www.uniprot.org/uniprot/THUM1_DROME","THUM1_DROME")</f>
        <v>THUM1_DROME</v>
      </c>
      <c r="D887" t="s">
        <v>948</v>
      </c>
      <c r="E887" s="3" t="s">
        <v>5</v>
      </c>
      <c r="F887" s="4">
        <v>5.7700000000000003E-22</v>
      </c>
      <c r="G887" s="3">
        <v>249</v>
      </c>
      <c r="H887" s="3">
        <v>35</v>
      </c>
      <c r="I887" s="3">
        <v>161</v>
      </c>
      <c r="J887" s="3">
        <v>801</v>
      </c>
      <c r="K887" s="3">
        <v>1274</v>
      </c>
      <c r="L887" s="3">
        <v>123</v>
      </c>
      <c r="M887" s="3">
        <v>276</v>
      </c>
    </row>
    <row r="888" spans="1:13" x14ac:dyDescent="0.25">
      <c r="A888" s="1" t="str">
        <f>HYPERLINK("http://www.rosaceae.org/Prunus/Prunus_persica/p.persica_gdr_reftransV1_0019212","p.persica_gdr_reftransV1_0019212")</f>
        <v>p.persica_gdr_reftransV1_0019212</v>
      </c>
      <c r="B888" s="3">
        <v>2471</v>
      </c>
      <c r="C888" s="1" t="str">
        <f>HYPERLINK("http://www.uniprot.org/uniprot/S38AA_MOUSE","S38AA_MOUSE")</f>
        <v>S38AA_MOUSE</v>
      </c>
      <c r="D888" t="s">
        <v>949</v>
      </c>
      <c r="E888" s="3" t="s">
        <v>157</v>
      </c>
      <c r="F888" s="4">
        <v>2.2699999999999998E-9</v>
      </c>
      <c r="G888" s="3">
        <v>157</v>
      </c>
      <c r="H888" s="3">
        <v>26</v>
      </c>
      <c r="I888" s="3">
        <v>152</v>
      </c>
      <c r="J888" s="3">
        <v>1663</v>
      </c>
      <c r="K888" s="3">
        <v>2097</v>
      </c>
      <c r="L888" s="3">
        <v>224</v>
      </c>
      <c r="M888" s="3">
        <v>368</v>
      </c>
    </row>
    <row r="889" spans="1:13" x14ac:dyDescent="0.25">
      <c r="A889" s="1" t="str">
        <f>HYPERLINK("http://www.rosaceae.org/Prunus/Prunus_persica/p.persica_gdr_reftransV1_0019362","p.persica_gdr_reftransV1_0019362")</f>
        <v>p.persica_gdr_reftransV1_0019362</v>
      </c>
      <c r="B889" s="3">
        <v>1979</v>
      </c>
      <c r="C889" s="1" t="str">
        <f>HYPERLINK("http://www.uniprot.org/uniprot/BH128_ARATH","BH128_ARATH")</f>
        <v>BH128_ARATH</v>
      </c>
      <c r="D889" t="s">
        <v>950</v>
      </c>
      <c r="E889" s="3" t="s">
        <v>3</v>
      </c>
      <c r="F889" s="4">
        <v>6.6699999999999997E-78</v>
      </c>
      <c r="G889" s="3">
        <v>661</v>
      </c>
      <c r="H889" s="3">
        <v>50</v>
      </c>
      <c r="I889" s="3">
        <v>349</v>
      </c>
      <c r="J889" s="3">
        <v>708</v>
      </c>
      <c r="K889" s="3">
        <v>1688</v>
      </c>
      <c r="L889" s="3">
        <v>18</v>
      </c>
      <c r="M889" s="3">
        <v>344</v>
      </c>
    </row>
    <row r="890" spans="1:13" x14ac:dyDescent="0.25">
      <c r="A890" s="1" t="str">
        <f>HYPERLINK("http://www.rosaceae.org/Prunus/Prunus_persica/p.persica_gdr_reftransV1_0019512","p.persica_gdr_reftransV1_0019512")</f>
        <v>p.persica_gdr_reftransV1_0019512</v>
      </c>
      <c r="B890" s="3">
        <v>2943</v>
      </c>
      <c r="C890" s="1" t="str">
        <f>HYPERLINK("http://www.uniprot.org/uniprot/ULP2B_ARATH","ULP2B_ARATH")</f>
        <v>ULP2B_ARATH</v>
      </c>
      <c r="D890" t="s">
        <v>951</v>
      </c>
      <c r="E890" s="3" t="s">
        <v>3</v>
      </c>
      <c r="F890" s="4">
        <v>2.15E-166</v>
      </c>
      <c r="G890" s="3">
        <v>1335</v>
      </c>
      <c r="H890" s="3">
        <v>55</v>
      </c>
      <c r="I890" s="3">
        <v>568</v>
      </c>
      <c r="J890" s="3">
        <v>847</v>
      </c>
      <c r="K890" s="3">
        <v>2538</v>
      </c>
      <c r="L890" s="3">
        <v>299</v>
      </c>
      <c r="M890" s="3">
        <v>839</v>
      </c>
    </row>
    <row r="891" spans="1:13" x14ac:dyDescent="0.25">
      <c r="A891" s="1" t="str">
        <f>HYPERLINK("http://www.rosaceae.org/Prunus/Prunus_persica/p.persica_gdr_reftransV1_0019562","p.persica_gdr_reftransV1_0019562")</f>
        <v>p.persica_gdr_reftransV1_0019562</v>
      </c>
      <c r="B891" s="3">
        <v>3888</v>
      </c>
      <c r="C891" s="1" t="str">
        <f>HYPERLINK("http://www.uniprot.org/uniprot/GOGC2_ARATH","GOGC2_ARATH")</f>
        <v>GOGC2_ARATH</v>
      </c>
      <c r="D891" t="s">
        <v>952</v>
      </c>
      <c r="E891" s="3" t="s">
        <v>3</v>
      </c>
      <c r="F891" s="4">
        <v>5.9900000000000004E-114</v>
      </c>
      <c r="G891" s="3">
        <v>971</v>
      </c>
      <c r="H891" s="3">
        <v>62</v>
      </c>
      <c r="I891" s="3">
        <v>330</v>
      </c>
      <c r="J891" s="3">
        <v>1581</v>
      </c>
      <c r="K891" s="3">
        <v>2537</v>
      </c>
      <c r="L891" s="3">
        <v>338</v>
      </c>
      <c r="M891" s="3">
        <v>666</v>
      </c>
    </row>
    <row r="892" spans="1:13" x14ac:dyDescent="0.25">
      <c r="A892" s="1" t="str">
        <f>HYPERLINK("http://www.rosaceae.org/Prunus/Prunus_persica/p.persica_gdr_reftransV1_0019812","p.persica_gdr_reftransV1_0019812")</f>
        <v>p.persica_gdr_reftransV1_0019812</v>
      </c>
      <c r="B892" s="3">
        <v>563</v>
      </c>
      <c r="C892" s="1" t="str">
        <f>HYPERLINK("http://www.uniprot.org/uniprot/Y3148_ARATH","Y3148_ARATH")</f>
        <v>Y3148_ARATH</v>
      </c>
      <c r="D892" t="s">
        <v>953</v>
      </c>
      <c r="E892" s="3" t="s">
        <v>3</v>
      </c>
      <c r="F892" s="4">
        <v>2.2E-57</v>
      </c>
      <c r="G892" s="3">
        <v>505</v>
      </c>
      <c r="H892" s="3">
        <v>53</v>
      </c>
      <c r="I892" s="3">
        <v>194</v>
      </c>
      <c r="J892" s="3">
        <v>5</v>
      </c>
      <c r="K892" s="3">
        <v>562</v>
      </c>
      <c r="L892" s="3">
        <v>531</v>
      </c>
      <c r="M892" s="3">
        <v>724</v>
      </c>
    </row>
    <row r="893" spans="1:13" x14ac:dyDescent="0.25">
      <c r="A893" s="1" t="str">
        <f>HYPERLINK("http://www.rosaceae.org/Prunus/Prunus_persica/p.persica_gdr_reftransV1_0019912","p.persica_gdr_reftransV1_0019912")</f>
        <v>p.persica_gdr_reftransV1_0019912</v>
      </c>
      <c r="B893" s="3">
        <v>1046</v>
      </c>
      <c r="C893" s="1" t="str">
        <f>HYPERLINK("http://www.uniprot.org/uniprot/RPOB_NICTO","RPOB_NICTO")</f>
        <v>RPOB_NICTO</v>
      </c>
      <c r="D893" t="s">
        <v>954</v>
      </c>
      <c r="E893" s="3" t="s">
        <v>955</v>
      </c>
      <c r="F893" s="4">
        <v>0</v>
      </c>
      <c r="G893" s="3">
        <v>1694</v>
      </c>
      <c r="H893" s="3">
        <v>96</v>
      </c>
      <c r="I893" s="3">
        <v>348</v>
      </c>
      <c r="J893" s="3">
        <v>3</v>
      </c>
      <c r="K893" s="3">
        <v>1046</v>
      </c>
      <c r="L893" s="3">
        <v>113</v>
      </c>
      <c r="M893" s="3">
        <v>460</v>
      </c>
    </row>
    <row r="894" spans="1:13" x14ac:dyDescent="0.25">
      <c r="A894" s="1" t="str">
        <f>HYPERLINK("http://www.rosaceae.org/Prunus/Prunus_persica/p.persica_gdr_reftransV1_0020062","p.persica_gdr_reftransV1_0020062")</f>
        <v>p.persica_gdr_reftransV1_0020062</v>
      </c>
      <c r="B894" s="3">
        <v>2734</v>
      </c>
      <c r="C894" s="1" t="str">
        <f>HYPERLINK("http://www.uniprot.org/uniprot/RP45C_ARATH","RP45C_ARATH")</f>
        <v>RP45C_ARATH</v>
      </c>
      <c r="D894" t="s">
        <v>956</v>
      </c>
      <c r="E894" s="3" t="s">
        <v>3</v>
      </c>
      <c r="F894" s="4">
        <v>1.5E-32</v>
      </c>
      <c r="G894" s="3">
        <v>326</v>
      </c>
      <c r="H894" s="3">
        <v>75</v>
      </c>
      <c r="I894" s="3">
        <v>110</v>
      </c>
      <c r="J894" s="3">
        <v>1888</v>
      </c>
      <c r="K894" s="3">
        <v>2217</v>
      </c>
      <c r="L894" s="3">
        <v>280</v>
      </c>
      <c r="M894" s="3">
        <v>389</v>
      </c>
    </row>
    <row r="895" spans="1:13" x14ac:dyDescent="0.25">
      <c r="A895" s="1" t="str">
        <f>HYPERLINK("http://www.rosaceae.org/Prunus/Prunus_persica/p.persica_gdr_reftransV1_0020412","p.persica_gdr_reftransV1_0020412")</f>
        <v>p.persica_gdr_reftransV1_0020412</v>
      </c>
      <c r="B895" s="3">
        <v>2656</v>
      </c>
      <c r="C895" s="1" t="str">
        <f>HYPERLINK("http://www.uniprot.org/uniprot/CCD4_ARATH","CCD4_ARATH")</f>
        <v>CCD4_ARATH</v>
      </c>
      <c r="D895" t="s">
        <v>957</v>
      </c>
      <c r="E895" s="3" t="s">
        <v>3</v>
      </c>
      <c r="F895" s="4">
        <v>0</v>
      </c>
      <c r="G895" s="3">
        <v>1539</v>
      </c>
      <c r="H895" s="3">
        <v>76</v>
      </c>
      <c r="I895" s="3">
        <v>372</v>
      </c>
      <c r="J895" s="3">
        <v>1350</v>
      </c>
      <c r="K895" s="3">
        <v>2453</v>
      </c>
      <c r="L895" s="3">
        <v>224</v>
      </c>
      <c r="M895" s="3">
        <v>595</v>
      </c>
    </row>
    <row r="896" spans="1:13" x14ac:dyDescent="0.25">
      <c r="A896" s="1" t="str">
        <f>HYPERLINK("http://www.rosaceae.org/Prunus/Prunus_persica/p.persica_gdr_reftransV1_0020562","p.persica_gdr_reftransV1_0020562")</f>
        <v>p.persica_gdr_reftransV1_0020562</v>
      </c>
      <c r="B896" s="3">
        <v>1634</v>
      </c>
      <c r="C896" s="1" t="str">
        <f>HYPERLINK("http://www.uniprot.org/uniprot/YCV6_SCHPO","YCV6_SCHPO")</f>
        <v>YCV6_SCHPO</v>
      </c>
      <c r="D896" t="s">
        <v>665</v>
      </c>
      <c r="E896" s="3" t="s">
        <v>464</v>
      </c>
      <c r="F896" s="4">
        <v>3.02E-42</v>
      </c>
      <c r="G896" s="3">
        <v>399</v>
      </c>
      <c r="H896" s="3">
        <v>43</v>
      </c>
      <c r="I896" s="3">
        <v>209</v>
      </c>
      <c r="J896" s="3">
        <v>466</v>
      </c>
      <c r="K896" s="3">
        <v>1044</v>
      </c>
      <c r="L896" s="3">
        <v>6</v>
      </c>
      <c r="M896" s="3">
        <v>213</v>
      </c>
    </row>
    <row r="897" spans="1:13" x14ac:dyDescent="0.25">
      <c r="A897" s="1" t="str">
        <f>HYPERLINK("http://www.rosaceae.org/Prunus/Prunus_persica/p.persica_gdr_reftransV1_0021412","p.persica_gdr_reftransV1_0021412")</f>
        <v>p.persica_gdr_reftransV1_0021412</v>
      </c>
      <c r="B897" s="3">
        <v>2433</v>
      </c>
      <c r="C897" s="1" t="str">
        <f>HYPERLINK("http://www.uniprot.org/uniprot/FB251_ARATH","FB251_ARATH")</f>
        <v>FB251_ARATH</v>
      </c>
      <c r="D897" t="s">
        <v>958</v>
      </c>
      <c r="E897" s="3" t="s">
        <v>3</v>
      </c>
      <c r="F897" s="4">
        <v>3.0699999999999998E-106</v>
      </c>
      <c r="G897" s="3">
        <v>870</v>
      </c>
      <c r="H897" s="3">
        <v>44</v>
      </c>
      <c r="I897" s="3">
        <v>396</v>
      </c>
      <c r="J897" s="3">
        <v>208</v>
      </c>
      <c r="K897" s="3">
        <v>1380</v>
      </c>
      <c r="L897" s="3">
        <v>15</v>
      </c>
      <c r="M897" s="3">
        <v>397</v>
      </c>
    </row>
    <row r="898" spans="1:13" x14ac:dyDescent="0.25">
      <c r="A898" s="1" t="str">
        <f>HYPERLINK("http://www.rosaceae.org/Prunus/Prunus_persica/p.persica_gdr_reftransV1_0021462","p.persica_gdr_reftransV1_0021462")</f>
        <v>p.persica_gdr_reftransV1_0021462</v>
      </c>
      <c r="B898" s="3">
        <v>2840</v>
      </c>
      <c r="C898" s="1" t="str">
        <f>HYPERLINK("http://www.uniprot.org/uniprot/NRPE1_ARATH","NRPE1_ARATH")</f>
        <v>NRPE1_ARATH</v>
      </c>
      <c r="D898" t="s">
        <v>455</v>
      </c>
      <c r="E898" s="3" t="s">
        <v>3</v>
      </c>
      <c r="F898" s="4">
        <v>4.0399999999999999E-21</v>
      </c>
      <c r="G898" s="3">
        <v>258</v>
      </c>
      <c r="H898" s="3">
        <v>51</v>
      </c>
      <c r="I898" s="3">
        <v>92</v>
      </c>
      <c r="J898" s="3">
        <v>2303</v>
      </c>
      <c r="K898" s="3">
        <v>2575</v>
      </c>
      <c r="L898" s="3">
        <v>1699</v>
      </c>
      <c r="M898" s="3">
        <v>1787</v>
      </c>
    </row>
    <row r="899" spans="1:13" x14ac:dyDescent="0.25">
      <c r="A899" s="1" t="str">
        <f>HYPERLINK("http://www.rosaceae.org/Prunus/Prunus_persica/p.persica_gdr_reftransV1_0021512","p.persica_gdr_reftransV1_0021512")</f>
        <v>p.persica_gdr_reftransV1_0021512</v>
      </c>
      <c r="B899" s="3">
        <v>1690</v>
      </c>
      <c r="C899" s="1" t="str">
        <f>HYPERLINK("http://www.uniprot.org/uniprot/U496D_ORYSJ","U496D_ORYSJ")</f>
        <v>U496D_ORYSJ</v>
      </c>
      <c r="D899" t="s">
        <v>959</v>
      </c>
      <c r="E899" s="3" t="s">
        <v>38</v>
      </c>
      <c r="F899" s="4">
        <v>1.0299999999999999E-22</v>
      </c>
      <c r="G899" s="3">
        <v>260</v>
      </c>
      <c r="H899" s="3">
        <v>33</v>
      </c>
      <c r="I899" s="3">
        <v>275</v>
      </c>
      <c r="J899" s="3">
        <v>688</v>
      </c>
      <c r="K899" s="3">
        <v>1458</v>
      </c>
      <c r="L899" s="3">
        <v>10</v>
      </c>
      <c r="M899" s="3">
        <v>277</v>
      </c>
    </row>
    <row r="900" spans="1:13" x14ac:dyDescent="0.25">
      <c r="A900" s="1" t="str">
        <f>HYPERLINK("http://www.rosaceae.org/Prunus/Prunus_persica/p.persica_gdr_reftransV1_0021562","p.persica_gdr_reftransV1_0021562")</f>
        <v>p.persica_gdr_reftransV1_0021562</v>
      </c>
      <c r="B900" s="3">
        <v>488</v>
      </c>
      <c r="C900" s="1" t="str">
        <f>HYPERLINK("http://www.uniprot.org/uniprot/HYES_HUMAN","HYES_HUMAN")</f>
        <v>HYES_HUMAN</v>
      </c>
      <c r="D900" t="s">
        <v>960</v>
      </c>
      <c r="E900" s="3" t="s">
        <v>28</v>
      </c>
      <c r="F900" s="4">
        <v>3.1800000000000002E-26</v>
      </c>
      <c r="G900" s="3">
        <v>269</v>
      </c>
      <c r="H900" s="3">
        <v>40</v>
      </c>
      <c r="I900" s="3">
        <v>159</v>
      </c>
      <c r="J900" s="3">
        <v>5</v>
      </c>
      <c r="K900" s="3">
        <v>460</v>
      </c>
      <c r="L900" s="3">
        <v>237</v>
      </c>
      <c r="M900" s="3">
        <v>391</v>
      </c>
    </row>
    <row r="901" spans="1:13" x14ac:dyDescent="0.25">
      <c r="A901" s="1" t="str">
        <f>HYPERLINK("http://www.rosaceae.org/Prunus/Prunus_persica/p.persica_gdr_reftransV1_0021612","p.persica_gdr_reftransV1_0021612")</f>
        <v>p.persica_gdr_reftransV1_0021612</v>
      </c>
      <c r="B901" s="3">
        <v>1830</v>
      </c>
      <c r="C901" s="1" t="str">
        <f>HYPERLINK("http://www.uniprot.org/uniprot/BEH3_ARATH","BEH3_ARATH")</f>
        <v>BEH3_ARATH</v>
      </c>
      <c r="D901" t="s">
        <v>961</v>
      </c>
      <c r="E901" s="3" t="s">
        <v>3</v>
      </c>
      <c r="F901" s="4">
        <v>4.0100000000000001E-84</v>
      </c>
      <c r="G901" s="3">
        <v>693</v>
      </c>
      <c r="H901" s="3">
        <v>65</v>
      </c>
      <c r="I901" s="3">
        <v>328</v>
      </c>
      <c r="J901" s="3">
        <v>220</v>
      </c>
      <c r="K901" s="3">
        <v>1185</v>
      </c>
      <c r="L901" s="3">
        <v>1</v>
      </c>
      <c r="M901" s="3">
        <v>284</v>
      </c>
    </row>
    <row r="902" spans="1:13" x14ac:dyDescent="0.25">
      <c r="A902" s="1" t="str">
        <f>HYPERLINK("http://www.rosaceae.org/Prunus/Prunus_persica/p.persica_gdr_reftransV1_0021662","p.persica_gdr_reftransV1_0021662")</f>
        <v>p.persica_gdr_reftransV1_0021662</v>
      </c>
      <c r="B902" s="3">
        <v>2351</v>
      </c>
      <c r="C902" s="1" t="str">
        <f>HYPERLINK("http://www.uniprot.org/uniprot/MCA1_ARATH","MCA1_ARATH")</f>
        <v>MCA1_ARATH</v>
      </c>
      <c r="D902" t="s">
        <v>962</v>
      </c>
      <c r="E902" s="3" t="s">
        <v>3</v>
      </c>
      <c r="F902" s="4">
        <v>2.1099999999999999E-133</v>
      </c>
      <c r="G902" s="3">
        <v>1047</v>
      </c>
      <c r="H902" s="3">
        <v>75</v>
      </c>
      <c r="I902" s="3">
        <v>272</v>
      </c>
      <c r="J902" s="3">
        <v>214</v>
      </c>
      <c r="K902" s="3">
        <v>1029</v>
      </c>
      <c r="L902" s="3">
        <v>14</v>
      </c>
      <c r="M902" s="3">
        <v>279</v>
      </c>
    </row>
    <row r="903" spans="1:13" x14ac:dyDescent="0.25">
      <c r="A903" s="1" t="str">
        <f>HYPERLINK("http://www.rosaceae.org/Prunus/Prunus_persica/p.persica_gdr_reftransV1_0021862","p.persica_gdr_reftransV1_0021862")</f>
        <v>p.persica_gdr_reftransV1_0021862</v>
      </c>
      <c r="B903" s="3">
        <v>2141</v>
      </c>
      <c r="C903" s="1" t="str">
        <f>HYPERLINK("http://www.uniprot.org/uniprot/P2C59_ARATH","P2C59_ARATH")</f>
        <v>P2C59_ARATH</v>
      </c>
      <c r="D903" t="s">
        <v>963</v>
      </c>
      <c r="E903" s="3" t="s">
        <v>3</v>
      </c>
      <c r="F903" s="4">
        <v>2.7500000000000001E-90</v>
      </c>
      <c r="G903" s="3">
        <v>744</v>
      </c>
      <c r="H903" s="3">
        <v>96</v>
      </c>
      <c r="I903" s="3">
        <v>146</v>
      </c>
      <c r="J903" s="3">
        <v>781</v>
      </c>
      <c r="K903" s="3">
        <v>1218</v>
      </c>
      <c r="L903" s="3">
        <v>70</v>
      </c>
      <c r="M903" s="3">
        <v>215</v>
      </c>
    </row>
    <row r="904" spans="1:13" x14ac:dyDescent="0.25">
      <c r="A904" s="1" t="str">
        <f>HYPERLINK("http://www.rosaceae.org/Prunus/Prunus_persica/p.persica_gdr_reftransV1_0021912","p.persica_gdr_reftransV1_0021912")</f>
        <v>p.persica_gdr_reftransV1_0021912</v>
      </c>
      <c r="B904" s="3">
        <v>2900</v>
      </c>
      <c r="C904" s="1" t="str">
        <f>HYPERLINK("http://www.uniprot.org/uniprot/PPA23_ARATH","PPA23_ARATH")</f>
        <v>PPA23_ARATH</v>
      </c>
      <c r="D904" t="s">
        <v>964</v>
      </c>
      <c r="E904" s="3" t="s">
        <v>3</v>
      </c>
      <c r="F904" s="4">
        <v>0</v>
      </c>
      <c r="G904" s="3">
        <v>1919</v>
      </c>
      <c r="H904" s="3">
        <v>77</v>
      </c>
      <c r="I904" s="3">
        <v>447</v>
      </c>
      <c r="J904" s="3">
        <v>522</v>
      </c>
      <c r="K904" s="3">
        <v>1850</v>
      </c>
      <c r="L904" s="3">
        <v>1</v>
      </c>
      <c r="M904" s="3">
        <v>447</v>
      </c>
    </row>
    <row r="905" spans="1:13" x14ac:dyDescent="0.25">
      <c r="A905" s="1" t="str">
        <f>HYPERLINK("http://www.rosaceae.org/Prunus/Prunus_persica/p.persica_gdr_reftransV1_0022262","p.persica_gdr_reftransV1_0022262")</f>
        <v>p.persica_gdr_reftransV1_0022262</v>
      </c>
      <c r="B905" s="3">
        <v>1708</v>
      </c>
      <c r="C905" s="1" t="str">
        <f>HYPERLINK("http://www.uniprot.org/uniprot/BAC1_ARATH","BAC1_ARATH")</f>
        <v>BAC1_ARATH</v>
      </c>
      <c r="D905" t="s">
        <v>965</v>
      </c>
      <c r="E905" s="3" t="s">
        <v>3</v>
      </c>
      <c r="F905" s="4">
        <v>9.8500000000000002E-89</v>
      </c>
      <c r="G905" s="3">
        <v>724</v>
      </c>
      <c r="H905" s="3">
        <v>69</v>
      </c>
      <c r="I905" s="3">
        <v>202</v>
      </c>
      <c r="J905" s="3">
        <v>395</v>
      </c>
      <c r="K905" s="3">
        <v>1000</v>
      </c>
      <c r="L905" s="3">
        <v>110</v>
      </c>
      <c r="M905" s="3">
        <v>311</v>
      </c>
    </row>
    <row r="906" spans="1:13" x14ac:dyDescent="0.25">
      <c r="A906" s="1" t="str">
        <f>HYPERLINK("http://www.rosaceae.org/Prunus/Prunus_persica/p.persica_gdr_reftransV1_0022462","p.persica_gdr_reftransV1_0022462")</f>
        <v>p.persica_gdr_reftransV1_0022462</v>
      </c>
      <c r="B906" s="3">
        <v>1274</v>
      </c>
      <c r="C906" s="1" t="str">
        <f>HYPERLINK("http://www.uniprot.org/uniprot/ADT5_ARATH","ADT5_ARATH")</f>
        <v>ADT5_ARATH</v>
      </c>
      <c r="D906" t="s">
        <v>966</v>
      </c>
      <c r="E906" s="3" t="s">
        <v>3</v>
      </c>
      <c r="F906" s="4">
        <v>2.2500000000000001E-167</v>
      </c>
      <c r="G906" s="3">
        <v>1235</v>
      </c>
      <c r="H906" s="3">
        <v>73</v>
      </c>
      <c r="I906" s="3">
        <v>326</v>
      </c>
      <c r="J906" s="3">
        <v>63</v>
      </c>
      <c r="K906" s="3">
        <v>1016</v>
      </c>
      <c r="L906" s="3">
        <v>6</v>
      </c>
      <c r="M906" s="3">
        <v>330</v>
      </c>
    </row>
    <row r="907" spans="1:13" x14ac:dyDescent="0.25">
      <c r="A907" s="1" t="str">
        <f>HYPERLINK("http://www.rosaceae.org/Prunus/Prunus_persica/p.persica_gdr_reftransV1_0022712","p.persica_gdr_reftransV1_0022712")</f>
        <v>p.persica_gdr_reftransV1_0022712</v>
      </c>
      <c r="B907" s="3">
        <v>1464</v>
      </c>
      <c r="C907" s="1" t="str">
        <f>HYPERLINK("http://www.uniprot.org/uniprot/ARFQ_ARATH","ARFQ_ARATH")</f>
        <v>ARFQ_ARATH</v>
      </c>
      <c r="D907" t="s">
        <v>967</v>
      </c>
      <c r="E907" s="3" t="s">
        <v>3</v>
      </c>
      <c r="F907" s="4">
        <v>3.2800000000000001E-151</v>
      </c>
      <c r="G907" s="3">
        <v>1159</v>
      </c>
      <c r="H907" s="3">
        <v>55</v>
      </c>
      <c r="I907" s="3">
        <v>440</v>
      </c>
      <c r="J907" s="3">
        <v>27</v>
      </c>
      <c r="K907" s="3">
        <v>1319</v>
      </c>
      <c r="L907" s="3">
        <v>14</v>
      </c>
      <c r="M907" s="3">
        <v>446</v>
      </c>
    </row>
    <row r="908" spans="1:13" x14ac:dyDescent="0.25">
      <c r="A908" s="1" t="str">
        <f>HYPERLINK("http://www.rosaceae.org/Prunus/Prunus_persica/p.persica_gdr_reftransV1_0022912","p.persica_gdr_reftransV1_0022912")</f>
        <v>p.persica_gdr_reftransV1_0022912</v>
      </c>
      <c r="B908" s="3">
        <v>726</v>
      </c>
      <c r="C908" s="1" t="str">
        <f>HYPERLINK("http://www.uniprot.org/uniprot/U91C1_ARATH","U91C1_ARATH")</f>
        <v>U91C1_ARATH</v>
      </c>
      <c r="D908" t="s">
        <v>39</v>
      </c>
      <c r="E908" s="3" t="s">
        <v>3</v>
      </c>
      <c r="F908" s="4">
        <v>2.05E-62</v>
      </c>
      <c r="G908" s="3">
        <v>529</v>
      </c>
      <c r="H908" s="3">
        <v>60</v>
      </c>
      <c r="I908" s="3">
        <v>192</v>
      </c>
      <c r="J908" s="3">
        <v>151</v>
      </c>
      <c r="K908" s="3">
        <v>726</v>
      </c>
      <c r="L908" s="3">
        <v>268</v>
      </c>
      <c r="M908" s="3">
        <v>451</v>
      </c>
    </row>
    <row r="909" spans="1:13" x14ac:dyDescent="0.25">
      <c r="A909" s="1" t="str">
        <f>HYPERLINK("http://www.rosaceae.org/Prunus/Prunus_persica/p.persica_gdr_reftransV1_0023012","p.persica_gdr_reftransV1_0023012")</f>
        <v>p.persica_gdr_reftransV1_0023012</v>
      </c>
      <c r="B909" s="3">
        <v>1599</v>
      </c>
      <c r="C909" s="1" t="str">
        <f>HYPERLINK("http://www.uniprot.org/uniprot/Y5102_ARATH","Y5102_ARATH")</f>
        <v>Y5102_ARATH</v>
      </c>
      <c r="D909" t="s">
        <v>968</v>
      </c>
      <c r="E909" s="3" t="s">
        <v>3</v>
      </c>
      <c r="F909" s="4">
        <v>5.38E-157</v>
      </c>
      <c r="G909" s="3">
        <v>1186</v>
      </c>
      <c r="H909" s="3">
        <v>69</v>
      </c>
      <c r="I909" s="3">
        <v>329</v>
      </c>
      <c r="J909" s="3">
        <v>209</v>
      </c>
      <c r="K909" s="3">
        <v>1192</v>
      </c>
      <c r="L909" s="3">
        <v>29</v>
      </c>
      <c r="M909" s="3">
        <v>357</v>
      </c>
    </row>
    <row r="910" spans="1:13" x14ac:dyDescent="0.25">
      <c r="A910" s="1" t="str">
        <f>HYPERLINK("http://www.rosaceae.org/Prunus/Prunus_persica/p.persica_gdr_reftransV1_0023162","p.persica_gdr_reftransV1_0023162")</f>
        <v>p.persica_gdr_reftransV1_0023162</v>
      </c>
      <c r="B910" s="3">
        <v>5369</v>
      </c>
      <c r="C910" s="1" t="str">
        <f>HYPERLINK("http://www.uniprot.org/uniprot/ALA1_ARATH","ALA1_ARATH")</f>
        <v>ALA1_ARATH</v>
      </c>
      <c r="D910" t="s">
        <v>969</v>
      </c>
      <c r="E910" s="3" t="s">
        <v>3</v>
      </c>
      <c r="F910" s="4">
        <v>0</v>
      </c>
      <c r="G910" s="3">
        <v>4346</v>
      </c>
      <c r="H910" s="3">
        <v>75</v>
      </c>
      <c r="I910" s="3">
        <v>1075</v>
      </c>
      <c r="J910" s="3">
        <v>1361</v>
      </c>
      <c r="K910" s="3">
        <v>4576</v>
      </c>
      <c r="L910" s="3">
        <v>31</v>
      </c>
      <c r="M910" s="3">
        <v>1086</v>
      </c>
    </row>
    <row r="911" spans="1:13" x14ac:dyDescent="0.25">
      <c r="A911" s="1" t="str">
        <f>HYPERLINK("http://www.rosaceae.org/Prunus/Prunus_persica/p.persica_gdr_reftransV1_0023212","p.persica_gdr_reftransV1_0023212")</f>
        <v>p.persica_gdr_reftransV1_0023212</v>
      </c>
      <c r="B911" s="3">
        <v>731</v>
      </c>
      <c r="C911" s="1" t="str">
        <f>HYPERLINK("http://www.uniprot.org/uniprot/DIR23_ARATH","DIR23_ARATH")</f>
        <v>DIR23_ARATH</v>
      </c>
      <c r="D911" t="s">
        <v>970</v>
      </c>
      <c r="E911" s="3" t="s">
        <v>3</v>
      </c>
      <c r="F911" s="4">
        <v>3.3699999999999998E-78</v>
      </c>
      <c r="G911" s="3">
        <v>613</v>
      </c>
      <c r="H911" s="3">
        <v>76</v>
      </c>
      <c r="I911" s="3">
        <v>144</v>
      </c>
      <c r="J911" s="3">
        <v>120</v>
      </c>
      <c r="K911" s="3">
        <v>551</v>
      </c>
      <c r="L911" s="3">
        <v>44</v>
      </c>
      <c r="M911" s="3">
        <v>187</v>
      </c>
    </row>
    <row r="912" spans="1:13" x14ac:dyDescent="0.25">
      <c r="A912" s="1" t="str">
        <f>HYPERLINK("http://www.rosaceae.org/Prunus/Prunus_persica/p.persica_gdr_reftransV1_0023562","p.persica_gdr_reftransV1_0023562")</f>
        <v>p.persica_gdr_reftransV1_0023562</v>
      </c>
      <c r="B912" s="3">
        <v>3619</v>
      </c>
      <c r="C912" s="1" t="str">
        <f>HYPERLINK("http://www.uniprot.org/uniprot/Cid9_ARATH","Cid9_ARATH")</f>
        <v>Cid9_ARATH</v>
      </c>
      <c r="D912" t="s">
        <v>971</v>
      </c>
      <c r="E912" s="3" t="s">
        <v>3</v>
      </c>
      <c r="F912" s="4">
        <v>4.6000000000000001E-103</v>
      </c>
      <c r="G912" s="3">
        <v>859</v>
      </c>
      <c r="H912" s="3">
        <v>68</v>
      </c>
      <c r="I912" s="3">
        <v>240</v>
      </c>
      <c r="J912" s="3">
        <v>2289</v>
      </c>
      <c r="K912" s="3">
        <v>2972</v>
      </c>
      <c r="L912" s="3">
        <v>48</v>
      </c>
      <c r="M912" s="3">
        <v>287</v>
      </c>
    </row>
    <row r="913" spans="1:13" x14ac:dyDescent="0.25">
      <c r="A913" s="1" t="str">
        <f>HYPERLINK("http://www.rosaceae.org/Prunus/Prunus_persica/p.persica_gdr_reftransV1_0023612","p.persica_gdr_reftransV1_0023612")</f>
        <v>p.persica_gdr_reftransV1_0023612</v>
      </c>
      <c r="B913" s="3">
        <v>4981</v>
      </c>
      <c r="C913" s="1" t="str">
        <f>HYPERLINK("http://www.uniprot.org/uniprot/GTE6_ARATH","GTE6_ARATH")</f>
        <v>GTE6_ARATH</v>
      </c>
      <c r="D913" t="s">
        <v>972</v>
      </c>
      <c r="E913" s="3" t="s">
        <v>3</v>
      </c>
      <c r="F913" s="4">
        <v>4.4700000000000002E-7</v>
      </c>
      <c r="G913" s="3">
        <v>138</v>
      </c>
      <c r="H913" s="3">
        <v>38</v>
      </c>
      <c r="I913" s="3">
        <v>72</v>
      </c>
      <c r="J913" s="3">
        <v>1259</v>
      </c>
      <c r="K913" s="3">
        <v>1468</v>
      </c>
      <c r="L913" s="3">
        <v>125</v>
      </c>
      <c r="M913" s="3">
        <v>196</v>
      </c>
    </row>
    <row r="914" spans="1:13" x14ac:dyDescent="0.25">
      <c r="A914" s="1" t="str">
        <f>HYPERLINK("http://www.rosaceae.org/Prunus/Prunus_persica/p.persica_gdr_reftransV1_0023662","p.persica_gdr_reftransV1_0023662")</f>
        <v>p.persica_gdr_reftransV1_0023662</v>
      </c>
      <c r="B914" s="3">
        <v>2508</v>
      </c>
      <c r="C914" s="1" t="str">
        <f>HYPERLINK("http://www.uniprot.org/uniprot/ARI8_ARATH","ARI8_ARATH")</f>
        <v>ARI8_ARATH</v>
      </c>
      <c r="D914" t="s">
        <v>973</v>
      </c>
      <c r="E914" s="3" t="s">
        <v>3</v>
      </c>
      <c r="F914" s="4">
        <v>0</v>
      </c>
      <c r="G914" s="3">
        <v>2253</v>
      </c>
      <c r="H914" s="3">
        <v>75</v>
      </c>
      <c r="I914" s="3">
        <v>553</v>
      </c>
      <c r="J914" s="3">
        <v>507</v>
      </c>
      <c r="K914" s="3">
        <v>2165</v>
      </c>
      <c r="L914" s="3">
        <v>28</v>
      </c>
      <c r="M914" s="3">
        <v>567</v>
      </c>
    </row>
    <row r="915" spans="1:13" x14ac:dyDescent="0.25">
      <c r="A915" s="1" t="str">
        <f>HYPERLINK("http://www.rosaceae.org/Prunus/Prunus_persica/p.persica_gdr_reftransV1_0023712","p.persica_gdr_reftransV1_0023712")</f>
        <v>p.persica_gdr_reftransV1_0023712</v>
      </c>
      <c r="B915" s="3">
        <v>2681</v>
      </c>
      <c r="C915" s="1" t="str">
        <f>HYPERLINK("http://www.uniprot.org/uniprot/SCC12_ARATH","SCC12_ARATH")</f>
        <v>SCC12_ARATH</v>
      </c>
      <c r="D915" t="s">
        <v>974</v>
      </c>
      <c r="E915" s="3" t="s">
        <v>3</v>
      </c>
      <c r="F915" s="4">
        <v>1.0400000000000001E-87</v>
      </c>
      <c r="G915" s="3">
        <v>775</v>
      </c>
      <c r="H915" s="3">
        <v>34</v>
      </c>
      <c r="I915" s="3">
        <v>848</v>
      </c>
      <c r="J915" s="3">
        <v>264</v>
      </c>
      <c r="K915" s="3">
        <v>2510</v>
      </c>
      <c r="L915" s="3">
        <v>1</v>
      </c>
      <c r="M915" s="3">
        <v>802</v>
      </c>
    </row>
    <row r="916" spans="1:13" x14ac:dyDescent="0.25">
      <c r="A916" s="1" t="str">
        <f>HYPERLINK("http://www.rosaceae.org/Prunus/Prunus_persica/p.persica_gdr_reftransV1_0023862","p.persica_gdr_reftransV1_0023862")</f>
        <v>p.persica_gdr_reftransV1_0023862</v>
      </c>
      <c r="B916" s="3">
        <v>914</v>
      </c>
      <c r="C916" s="1" t="str">
        <f>HYPERLINK("http://www.uniprot.org/uniprot/CNIH1_ARATH","CNIH1_ARATH")</f>
        <v>CNIH1_ARATH</v>
      </c>
      <c r="D916" t="s">
        <v>975</v>
      </c>
      <c r="E916" s="3" t="s">
        <v>3</v>
      </c>
      <c r="F916" s="4">
        <v>5.5999999999999997E-46</v>
      </c>
      <c r="G916" s="3">
        <v>400</v>
      </c>
      <c r="H916" s="3">
        <v>51</v>
      </c>
      <c r="I916" s="3">
        <v>146</v>
      </c>
      <c r="J916" s="3">
        <v>119</v>
      </c>
      <c r="K916" s="3">
        <v>556</v>
      </c>
      <c r="L916" s="3">
        <v>1</v>
      </c>
      <c r="M916" s="3">
        <v>146</v>
      </c>
    </row>
    <row r="917" spans="1:13" x14ac:dyDescent="0.25">
      <c r="A917" s="1" t="str">
        <f>HYPERLINK("http://www.rosaceae.org/Prunus/Prunus_persica/p.persica_gdr_reftransV1_0023962","p.persica_gdr_reftransV1_0023962")</f>
        <v>p.persica_gdr_reftransV1_0023962</v>
      </c>
      <c r="B917" s="3">
        <v>6161</v>
      </c>
      <c r="C917" s="1" t="str">
        <f>HYPERLINK("http://www.uniprot.org/uniprot/ODB2_ARATH","ODB2_ARATH")</f>
        <v>ODB2_ARATH</v>
      </c>
      <c r="D917" t="s">
        <v>976</v>
      </c>
      <c r="E917" s="3" t="s">
        <v>3</v>
      </c>
      <c r="F917" s="4">
        <v>0</v>
      </c>
      <c r="G917" s="3">
        <v>1571</v>
      </c>
      <c r="H917" s="3">
        <v>62</v>
      </c>
      <c r="I917" s="3">
        <v>510</v>
      </c>
      <c r="J917" s="3">
        <v>242</v>
      </c>
      <c r="K917" s="3">
        <v>1768</v>
      </c>
      <c r="L917" s="3">
        <v>1</v>
      </c>
      <c r="M917" s="3">
        <v>483</v>
      </c>
    </row>
    <row r="918" spans="1:13" x14ac:dyDescent="0.25">
      <c r="A918" s="1" t="str">
        <f>HYPERLINK("http://www.rosaceae.org/Prunus/Prunus_persica/p.persica_gdr_reftransV1_0024012","p.persica_gdr_reftransV1_0024012")</f>
        <v>p.persica_gdr_reftransV1_0024012</v>
      </c>
      <c r="B918" s="3">
        <v>1120</v>
      </c>
      <c r="C918" s="1" t="str">
        <f>HYPERLINK("http://www.uniprot.org/uniprot/GEML1_ARATH","GEML1_ARATH")</f>
        <v>GEML1_ARATH</v>
      </c>
      <c r="D918" t="s">
        <v>977</v>
      </c>
      <c r="E918" s="3" t="s">
        <v>3</v>
      </c>
      <c r="F918" s="4">
        <v>1.8700000000000001E-68</v>
      </c>
      <c r="G918" s="3">
        <v>567</v>
      </c>
      <c r="H918" s="3">
        <v>75</v>
      </c>
      <c r="I918" s="3">
        <v>153</v>
      </c>
      <c r="J918" s="3">
        <v>242</v>
      </c>
      <c r="K918" s="3">
        <v>700</v>
      </c>
      <c r="L918" s="3">
        <v>54</v>
      </c>
      <c r="M918" s="3">
        <v>201</v>
      </c>
    </row>
    <row r="919" spans="1:13" x14ac:dyDescent="0.25">
      <c r="A919" s="1" t="str">
        <f>HYPERLINK("http://www.rosaceae.org/Prunus/Prunus_persica/p.persica_gdr_reftransV1_0024062","p.persica_gdr_reftransV1_0024062")</f>
        <v>p.persica_gdr_reftransV1_0024062</v>
      </c>
      <c r="B919" s="3">
        <v>1245</v>
      </c>
      <c r="C919" s="1" t="str">
        <f>HYPERLINK("http://www.uniprot.org/uniprot/DET2_GOSHI","DET2_GOSHI")</f>
        <v>DET2_GOSHI</v>
      </c>
      <c r="D919" t="s">
        <v>978</v>
      </c>
      <c r="E919" s="3" t="s">
        <v>816</v>
      </c>
      <c r="F919" s="4">
        <v>1.45E-20</v>
      </c>
      <c r="G919" s="3">
        <v>232</v>
      </c>
      <c r="H919" s="3">
        <v>43</v>
      </c>
      <c r="I919" s="3">
        <v>106</v>
      </c>
      <c r="J919" s="3">
        <v>775</v>
      </c>
      <c r="K919" s="3">
        <v>1089</v>
      </c>
      <c r="L919" s="3">
        <v>152</v>
      </c>
      <c r="M919" s="3">
        <v>257</v>
      </c>
    </row>
    <row r="920" spans="1:13" x14ac:dyDescent="0.25">
      <c r="A920" s="1" t="str">
        <f>HYPERLINK("http://www.rosaceae.org/Prunus/Prunus_persica/p.persica_gdr_reftransV1_0024162","p.persica_gdr_reftransV1_0024162")</f>
        <v>p.persica_gdr_reftransV1_0024162</v>
      </c>
      <c r="B920" s="3">
        <v>1586</v>
      </c>
      <c r="C920" s="1" t="str">
        <f>HYPERLINK("http://www.uniprot.org/uniprot/TAR2_ARATH","TAR2_ARATH")</f>
        <v>TAR2_ARATH</v>
      </c>
      <c r="D920" t="s">
        <v>979</v>
      </c>
      <c r="E920" s="3" t="s">
        <v>3</v>
      </c>
      <c r="F920" s="4">
        <v>7.6999999999999996E-171</v>
      </c>
      <c r="G920" s="3">
        <v>1280</v>
      </c>
      <c r="H920" s="3">
        <v>63</v>
      </c>
      <c r="I920" s="3">
        <v>371</v>
      </c>
      <c r="J920" s="3">
        <v>212</v>
      </c>
      <c r="K920" s="3">
        <v>1321</v>
      </c>
      <c r="L920" s="3">
        <v>69</v>
      </c>
      <c r="M920" s="3">
        <v>434</v>
      </c>
    </row>
    <row r="921" spans="1:13" x14ac:dyDescent="0.25">
      <c r="A921" s="1" t="str">
        <f>HYPERLINK("http://www.rosaceae.org/Prunus/Prunus_persica/p.persica_gdr_reftransV1_0024762","p.persica_gdr_reftransV1_0024762")</f>
        <v>p.persica_gdr_reftransV1_0024762</v>
      </c>
      <c r="B921" s="3">
        <v>2916</v>
      </c>
      <c r="C921" s="1" t="str">
        <f>HYPERLINK("http://www.uniprot.org/uniprot/Y3627_ARATH","Y3627_ARATH")</f>
        <v>Y3627_ARATH</v>
      </c>
      <c r="D921" t="s">
        <v>980</v>
      </c>
      <c r="E921" s="3" t="s">
        <v>3</v>
      </c>
      <c r="F921" s="4">
        <v>0</v>
      </c>
      <c r="G921" s="3">
        <v>2019</v>
      </c>
      <c r="H921" s="3">
        <v>59</v>
      </c>
      <c r="I921" s="3">
        <v>711</v>
      </c>
      <c r="J921" s="3">
        <v>279</v>
      </c>
      <c r="K921" s="3">
        <v>2393</v>
      </c>
      <c r="L921" s="3">
        <v>1</v>
      </c>
      <c r="M921" s="3">
        <v>689</v>
      </c>
    </row>
    <row r="922" spans="1:13" x14ac:dyDescent="0.25">
      <c r="A922" s="1" t="str">
        <f>HYPERLINK("http://www.rosaceae.org/Prunus/Prunus_persica/p.persica_gdr_reftransV1_0024812","p.persica_gdr_reftransV1_0024812")</f>
        <v>p.persica_gdr_reftransV1_0024812</v>
      </c>
      <c r="B922" s="3">
        <v>884</v>
      </c>
      <c r="C922" s="1" t="str">
        <f>HYPERLINK("http://www.uniprot.org/uniprot/BH107_ARATH","BH107_ARATH")</f>
        <v>BH107_ARATH</v>
      </c>
      <c r="D922" t="s">
        <v>981</v>
      </c>
      <c r="E922" s="3" t="s">
        <v>3</v>
      </c>
      <c r="F922" s="4">
        <v>8.8100000000000003E-26</v>
      </c>
      <c r="G922" s="3">
        <v>266</v>
      </c>
      <c r="H922" s="3">
        <v>38</v>
      </c>
      <c r="I922" s="3">
        <v>183</v>
      </c>
      <c r="J922" s="3">
        <v>110</v>
      </c>
      <c r="K922" s="3">
        <v>637</v>
      </c>
      <c r="L922" s="3">
        <v>33</v>
      </c>
      <c r="M922" s="3">
        <v>199</v>
      </c>
    </row>
    <row r="923" spans="1:13" x14ac:dyDescent="0.25">
      <c r="A923" s="1" t="str">
        <f>HYPERLINK("http://www.rosaceae.org/Prunus/Prunus_persica/p.persica_gdr_reftransV1_0025012","p.persica_gdr_reftransV1_0025012")</f>
        <v>p.persica_gdr_reftransV1_0025012</v>
      </c>
      <c r="B923" s="3">
        <v>646</v>
      </c>
      <c r="C923" s="1" t="str">
        <f>HYPERLINK("http://www.uniprot.org/uniprot/IST1L_DICDI","IST1L_DICDI")</f>
        <v>IST1L_DICDI</v>
      </c>
      <c r="D923" t="s">
        <v>670</v>
      </c>
      <c r="E923" s="3" t="s">
        <v>9</v>
      </c>
      <c r="F923" s="4">
        <v>2.6899999999999999E-11</v>
      </c>
      <c r="G923" s="3">
        <v>158</v>
      </c>
      <c r="H923" s="3">
        <v>27</v>
      </c>
      <c r="I923" s="3">
        <v>163</v>
      </c>
      <c r="J923" s="3">
        <v>2</v>
      </c>
      <c r="K923" s="3">
        <v>490</v>
      </c>
      <c r="L923" s="3">
        <v>23</v>
      </c>
      <c r="M923" s="3">
        <v>177</v>
      </c>
    </row>
    <row r="924" spans="1:13" x14ac:dyDescent="0.25">
      <c r="A924" s="1" t="str">
        <f>HYPERLINK("http://www.rosaceae.org/Prunus/Prunus_persica/p.persica_gdr_reftransV1_0025062","p.persica_gdr_reftransV1_0025062")</f>
        <v>p.persica_gdr_reftransV1_0025062</v>
      </c>
      <c r="B924" s="3">
        <v>1040</v>
      </c>
      <c r="C924" s="1" t="str">
        <f>HYPERLINK("http://www.uniprot.org/uniprot/AHK2_ARATH","AHK2_ARATH")</f>
        <v>AHK2_ARATH</v>
      </c>
      <c r="D924" t="s">
        <v>982</v>
      </c>
      <c r="E924" s="3" t="s">
        <v>3</v>
      </c>
      <c r="F924" s="4">
        <v>0</v>
      </c>
      <c r="G924" s="3">
        <v>1507</v>
      </c>
      <c r="H924" s="3">
        <v>80</v>
      </c>
      <c r="I924" s="3">
        <v>346</v>
      </c>
      <c r="J924" s="3">
        <v>1</v>
      </c>
      <c r="K924" s="3">
        <v>1038</v>
      </c>
      <c r="L924" s="3">
        <v>263</v>
      </c>
      <c r="M924" s="3">
        <v>608</v>
      </c>
    </row>
    <row r="925" spans="1:13" x14ac:dyDescent="0.25">
      <c r="A925" s="1" t="str">
        <f>HYPERLINK("http://www.rosaceae.org/Prunus/Prunus_persica/p.persica_gdr_reftransV1_0025112","p.persica_gdr_reftransV1_0025112")</f>
        <v>p.persica_gdr_reftransV1_0025112</v>
      </c>
      <c r="B925" s="3">
        <v>1403</v>
      </c>
      <c r="C925" s="1" t="str">
        <f>HYPERLINK("http://www.uniprot.org/uniprot/WLI2B_ARATH","WLI2B_ARATH")</f>
        <v>WLI2B_ARATH</v>
      </c>
      <c r="D925" t="s">
        <v>983</v>
      </c>
      <c r="E925" s="3" t="s">
        <v>3</v>
      </c>
      <c r="F925" s="4">
        <v>4.0499999999999998E-104</v>
      </c>
      <c r="G925" s="3">
        <v>808</v>
      </c>
      <c r="H925" s="3">
        <v>86</v>
      </c>
      <c r="I925" s="3">
        <v>173</v>
      </c>
      <c r="J925" s="3">
        <v>497</v>
      </c>
      <c r="K925" s="3">
        <v>1015</v>
      </c>
      <c r="L925" s="3">
        <v>1</v>
      </c>
      <c r="M925" s="3">
        <v>173</v>
      </c>
    </row>
    <row r="926" spans="1:13" x14ac:dyDescent="0.25">
      <c r="A926" s="1" t="str">
        <f>HYPERLINK("http://www.rosaceae.org/Prunus/Prunus_persica/p.persica_gdr_reftransV1_0025362","p.persica_gdr_reftransV1_0025362")</f>
        <v>p.persica_gdr_reftransV1_0025362</v>
      </c>
      <c r="B926" s="3">
        <v>2105</v>
      </c>
      <c r="C926" s="1" t="str">
        <f>HYPERLINK("http://www.uniprot.org/uniprot/PIS1_ARATH","PIS1_ARATH")</f>
        <v>PIS1_ARATH</v>
      </c>
      <c r="D926" t="s">
        <v>984</v>
      </c>
      <c r="E926" s="3" t="s">
        <v>3</v>
      </c>
      <c r="F926" s="4">
        <v>3.9100000000000003E-70</v>
      </c>
      <c r="G926" s="3">
        <v>597</v>
      </c>
      <c r="H926" s="3">
        <v>71</v>
      </c>
      <c r="I926" s="3">
        <v>147</v>
      </c>
      <c r="J926" s="3">
        <v>373</v>
      </c>
      <c r="K926" s="3">
        <v>813</v>
      </c>
      <c r="L926" s="3">
        <v>81</v>
      </c>
      <c r="M926" s="3">
        <v>227</v>
      </c>
    </row>
    <row r="927" spans="1:13" x14ac:dyDescent="0.25">
      <c r="A927" s="1" t="str">
        <f>HYPERLINK("http://www.rosaceae.org/Prunus/Prunus_persica/p.persica_gdr_reftransV1_0025662","p.persica_gdr_reftransV1_0025662")</f>
        <v>p.persica_gdr_reftransV1_0025662</v>
      </c>
      <c r="B927" s="3">
        <v>2227</v>
      </c>
      <c r="C927" s="1" t="str">
        <f>HYPERLINK("http://www.uniprot.org/uniprot/SIA8D_PANTR","SIA8D_PANTR")</f>
        <v>SIA8D_PANTR</v>
      </c>
      <c r="D927" t="s">
        <v>985</v>
      </c>
      <c r="E927" s="3" t="s">
        <v>986</v>
      </c>
      <c r="F927" s="4">
        <v>3.1600000000000002E-13</v>
      </c>
      <c r="G927" s="3">
        <v>184</v>
      </c>
      <c r="H927" s="3">
        <v>38</v>
      </c>
      <c r="I927" s="3">
        <v>188</v>
      </c>
      <c r="J927" s="3">
        <v>689</v>
      </c>
      <c r="K927" s="3">
        <v>1141</v>
      </c>
      <c r="L927" s="3">
        <v>116</v>
      </c>
      <c r="M927" s="3">
        <v>300</v>
      </c>
    </row>
    <row r="928" spans="1:13" x14ac:dyDescent="0.25">
      <c r="A928" s="1" t="str">
        <f>HYPERLINK("http://www.rosaceae.org/Prunus/Prunus_persica/p.persica_gdr_reftransV1_0025812","p.persica_gdr_reftransV1_0025812")</f>
        <v>p.persica_gdr_reftransV1_0025812</v>
      </c>
      <c r="B928" s="3">
        <v>1591</v>
      </c>
      <c r="C928" s="1" t="str">
        <f>HYPERLINK("http://www.uniprot.org/uniprot/CCD42_ARATH","CCD42_ARATH")</f>
        <v>CCD42_ARATH</v>
      </c>
      <c r="D928" t="s">
        <v>987</v>
      </c>
      <c r="E928" s="3" t="s">
        <v>3</v>
      </c>
      <c r="F928" s="4">
        <v>4.6600000000000002E-87</v>
      </c>
      <c r="G928" s="3">
        <v>708</v>
      </c>
      <c r="H928" s="3">
        <v>56</v>
      </c>
      <c r="I928" s="3">
        <v>254</v>
      </c>
      <c r="J928" s="3">
        <v>362</v>
      </c>
      <c r="K928" s="3">
        <v>1120</v>
      </c>
      <c r="L928" s="3">
        <v>7</v>
      </c>
      <c r="M928" s="3">
        <v>258</v>
      </c>
    </row>
    <row r="929" spans="1:13" x14ac:dyDescent="0.25">
      <c r="A929" s="1" t="str">
        <f>HYPERLINK("http://www.rosaceae.org/Prunus/Prunus_persica/p.persica_gdr_reftransV1_0025862","p.persica_gdr_reftransV1_0025862")</f>
        <v>p.persica_gdr_reftransV1_0025862</v>
      </c>
      <c r="B929" s="3">
        <v>4921</v>
      </c>
      <c r="C929" s="1" t="str">
        <f>HYPERLINK("http://www.uniprot.org/uniprot/Y3475_ARATH","Y3475_ARATH")</f>
        <v>Y3475_ARATH</v>
      </c>
      <c r="D929" t="s">
        <v>827</v>
      </c>
      <c r="E929" s="3" t="s">
        <v>3</v>
      </c>
      <c r="F929" s="4">
        <v>0</v>
      </c>
      <c r="G929" s="3">
        <v>1908</v>
      </c>
      <c r="H929" s="3">
        <v>45</v>
      </c>
      <c r="I929" s="3">
        <v>1008</v>
      </c>
      <c r="J929" s="3">
        <v>1783</v>
      </c>
      <c r="K929" s="3">
        <v>4773</v>
      </c>
      <c r="L929" s="3">
        <v>28</v>
      </c>
      <c r="M929" s="3">
        <v>1002</v>
      </c>
    </row>
    <row r="930" spans="1:13" x14ac:dyDescent="0.25">
      <c r="A930" s="1" t="str">
        <f>HYPERLINK("http://www.rosaceae.org/Prunus/Prunus_persica/p.persica_gdr_reftransV1_0025962","p.persica_gdr_reftransV1_0025962")</f>
        <v>p.persica_gdr_reftransV1_0025962</v>
      </c>
      <c r="B930" s="3">
        <v>1618</v>
      </c>
      <c r="C930" s="1" t="str">
        <f>HYPERLINK("http://www.uniprot.org/uniprot/LYM2_ARATH","LYM2_ARATH")</f>
        <v>LYM2_ARATH</v>
      </c>
      <c r="D930" t="s">
        <v>988</v>
      </c>
      <c r="E930" s="3" t="s">
        <v>3</v>
      </c>
      <c r="F930" s="4">
        <v>7.8399999999999995E-86</v>
      </c>
      <c r="G930" s="3">
        <v>705</v>
      </c>
      <c r="H930" s="3">
        <v>58</v>
      </c>
      <c r="I930" s="3">
        <v>231</v>
      </c>
      <c r="J930" s="3">
        <v>624</v>
      </c>
      <c r="K930" s="3">
        <v>1313</v>
      </c>
      <c r="L930" s="3">
        <v>30</v>
      </c>
      <c r="M930" s="3">
        <v>260</v>
      </c>
    </row>
    <row r="931" spans="1:13" x14ac:dyDescent="0.25">
      <c r="A931" s="1" t="str">
        <f>HYPERLINK("http://www.rosaceae.org/Prunus/Prunus_persica/p.persica_gdr_reftransV1_0026062","p.persica_gdr_reftransV1_0026062")</f>
        <v>p.persica_gdr_reftransV1_0026062</v>
      </c>
      <c r="B931" s="3">
        <v>3126</v>
      </c>
      <c r="C931" s="1" t="str">
        <f>HYPERLINK("http://www.uniprot.org/uniprot/BGL41_ARATH","BGL41_ARATH")</f>
        <v>BGL41_ARATH</v>
      </c>
      <c r="D931" t="s">
        <v>989</v>
      </c>
      <c r="E931" s="3" t="s">
        <v>3</v>
      </c>
      <c r="F931" s="4">
        <v>4.2800000000000001E-85</v>
      </c>
      <c r="G931" s="3">
        <v>744</v>
      </c>
      <c r="H931" s="3">
        <v>78</v>
      </c>
      <c r="I931" s="3">
        <v>166</v>
      </c>
      <c r="J931" s="3">
        <v>831</v>
      </c>
      <c r="K931" s="3">
        <v>1328</v>
      </c>
      <c r="L931" s="3">
        <v>91</v>
      </c>
      <c r="M931" s="3">
        <v>256</v>
      </c>
    </row>
    <row r="932" spans="1:13" x14ac:dyDescent="0.25">
      <c r="A932" s="1" t="str">
        <f>HYPERLINK("http://www.rosaceae.org/Prunus/Prunus_persica/p.persica_gdr_reftransV1_0026162","p.persica_gdr_reftransV1_0026162")</f>
        <v>p.persica_gdr_reftransV1_0026162</v>
      </c>
      <c r="B932" s="3">
        <v>1081</v>
      </c>
      <c r="C932" s="1" t="str">
        <f>HYPERLINK("http://www.uniprot.org/uniprot/PRX2F_ARATH","PRX2F_ARATH")</f>
        <v>PRX2F_ARATH</v>
      </c>
      <c r="D932" t="s">
        <v>990</v>
      </c>
      <c r="E932" s="3" t="s">
        <v>3</v>
      </c>
      <c r="F932" s="4">
        <v>1.7799999999999999E-105</v>
      </c>
      <c r="G932" s="3">
        <v>807</v>
      </c>
      <c r="H932" s="3">
        <v>75</v>
      </c>
      <c r="I932" s="3">
        <v>201</v>
      </c>
      <c r="J932" s="3">
        <v>370</v>
      </c>
      <c r="K932" s="3">
        <v>972</v>
      </c>
      <c r="L932" s="3">
        <v>1</v>
      </c>
      <c r="M932" s="3">
        <v>201</v>
      </c>
    </row>
    <row r="933" spans="1:13" x14ac:dyDescent="0.25">
      <c r="A933" s="1" t="str">
        <f>HYPERLINK("http://www.rosaceae.org/Prunus/Prunus_persica/p.persica_gdr_reftransV1_0026262","p.persica_gdr_reftransV1_0026262")</f>
        <v>p.persica_gdr_reftransV1_0026262</v>
      </c>
      <c r="B933" s="3">
        <v>2669</v>
      </c>
      <c r="C933" s="1" t="str">
        <f>HYPERLINK("http://www.uniprot.org/uniprot/MFSD5_HUMAN","MFSD5_HUMAN")</f>
        <v>MFSD5_HUMAN</v>
      </c>
      <c r="D933" t="s">
        <v>991</v>
      </c>
      <c r="E933" s="3" t="s">
        <v>28</v>
      </c>
      <c r="F933" s="4">
        <v>9.4700000000000001E-45</v>
      </c>
      <c r="G933" s="3">
        <v>436</v>
      </c>
      <c r="H933" s="3">
        <v>37</v>
      </c>
      <c r="I933" s="3">
        <v>306</v>
      </c>
      <c r="J933" s="3">
        <v>1240</v>
      </c>
      <c r="K933" s="3">
        <v>2154</v>
      </c>
      <c r="L933" s="3">
        <v>103</v>
      </c>
      <c r="M933" s="3">
        <v>393</v>
      </c>
    </row>
    <row r="934" spans="1:13" x14ac:dyDescent="0.25">
      <c r="A934" s="1" t="str">
        <f>HYPERLINK("http://www.rosaceae.org/Prunus/Prunus_persica/p.persica_gdr_reftransV1_0026412","p.persica_gdr_reftransV1_0026412")</f>
        <v>p.persica_gdr_reftransV1_0026412</v>
      </c>
      <c r="B934" s="3">
        <v>2613</v>
      </c>
      <c r="C934" s="1" t="str">
        <f>HYPERLINK("http://www.uniprot.org/uniprot/FRS5_ARATH","FRS5_ARATH")</f>
        <v>FRS5_ARATH</v>
      </c>
      <c r="D934" t="s">
        <v>908</v>
      </c>
      <c r="E934" s="3" t="s">
        <v>3</v>
      </c>
      <c r="F934" s="4">
        <v>0</v>
      </c>
      <c r="G934" s="3">
        <v>2409</v>
      </c>
      <c r="H934" s="3">
        <v>68</v>
      </c>
      <c r="I934" s="3">
        <v>667</v>
      </c>
      <c r="J934" s="3">
        <v>574</v>
      </c>
      <c r="K934" s="3">
        <v>2565</v>
      </c>
      <c r="L934" s="3">
        <v>45</v>
      </c>
      <c r="M934" s="3">
        <v>708</v>
      </c>
    </row>
    <row r="935" spans="1:13" x14ac:dyDescent="0.25">
      <c r="A935" s="1" t="str">
        <f>HYPERLINK("http://www.rosaceae.org/Prunus/Prunus_persica/p.persica_gdr_reftransV1_0026462","p.persica_gdr_reftransV1_0026462")</f>
        <v>p.persica_gdr_reftransV1_0026462</v>
      </c>
      <c r="B935" s="3">
        <v>511</v>
      </c>
      <c r="C935" s="1" t="str">
        <f>HYPERLINK("http://www.uniprot.org/uniprot/RPM1_ARATH","RPM1_ARATH")</f>
        <v>RPM1_ARATH</v>
      </c>
      <c r="D935" t="s">
        <v>453</v>
      </c>
      <c r="E935" s="3" t="s">
        <v>3</v>
      </c>
      <c r="F935" s="4">
        <v>9.8700000000000007E-31</v>
      </c>
      <c r="G935" s="3">
        <v>306</v>
      </c>
      <c r="H935" s="3">
        <v>38</v>
      </c>
      <c r="I935" s="3">
        <v>148</v>
      </c>
      <c r="J935" s="3">
        <v>3</v>
      </c>
      <c r="K935" s="3">
        <v>446</v>
      </c>
      <c r="L935" s="3">
        <v>174</v>
      </c>
      <c r="M935" s="3">
        <v>321</v>
      </c>
    </row>
    <row r="936" spans="1:13" x14ac:dyDescent="0.25">
      <c r="A936" s="1" t="str">
        <f>HYPERLINK("http://www.rosaceae.org/Prunus/Prunus_persica/p.persica_gdr_reftransV1_0026562","p.persica_gdr_reftransV1_0026562")</f>
        <v>p.persica_gdr_reftransV1_0026562</v>
      </c>
      <c r="B936" s="3">
        <v>7203</v>
      </c>
      <c r="C936" s="1" t="str">
        <f>HYPERLINK("http://www.uniprot.org/uniprot/PIE1_ARATH","PIE1_ARATH")</f>
        <v>PIE1_ARATH</v>
      </c>
      <c r="D936" t="s">
        <v>992</v>
      </c>
      <c r="E936" s="3" t="s">
        <v>3</v>
      </c>
      <c r="F936" s="4">
        <v>0</v>
      </c>
      <c r="G936" s="3">
        <v>5263</v>
      </c>
      <c r="H936" s="3">
        <v>67</v>
      </c>
      <c r="I936" s="3">
        <v>1694</v>
      </c>
      <c r="J936" s="3">
        <v>781</v>
      </c>
      <c r="K936" s="3">
        <v>5826</v>
      </c>
      <c r="L936" s="3">
        <v>327</v>
      </c>
      <c r="M936" s="3">
        <v>1988</v>
      </c>
    </row>
    <row r="937" spans="1:13" x14ac:dyDescent="0.25">
      <c r="A937" s="1" t="str">
        <f>HYPERLINK("http://www.rosaceae.org/Prunus/Prunus_persica/p.persica_gdr_reftransV1_0026662","p.persica_gdr_reftransV1_0026662")</f>
        <v>p.persica_gdr_reftransV1_0026662</v>
      </c>
      <c r="B937" s="3">
        <v>2088</v>
      </c>
      <c r="C937" s="1" t="str">
        <f>HYPERLINK("http://www.uniprot.org/uniprot/CNR6_MAIZE","CNR6_MAIZE")</f>
        <v>CNR6_MAIZE</v>
      </c>
      <c r="D937" t="s">
        <v>993</v>
      </c>
      <c r="E937" s="3" t="s">
        <v>72</v>
      </c>
      <c r="F937" s="4">
        <v>3.1400000000000001E-83</v>
      </c>
      <c r="G937" s="3">
        <v>688</v>
      </c>
      <c r="H937" s="3">
        <v>74</v>
      </c>
      <c r="I937" s="3">
        <v>159</v>
      </c>
      <c r="J937" s="3">
        <v>963</v>
      </c>
      <c r="K937" s="3">
        <v>1439</v>
      </c>
      <c r="L937" s="3">
        <v>41</v>
      </c>
      <c r="M937" s="3">
        <v>199</v>
      </c>
    </row>
    <row r="938" spans="1:13" x14ac:dyDescent="0.25">
      <c r="A938" s="1" t="str">
        <f>HYPERLINK("http://www.rosaceae.org/Prunus/Prunus_persica/p.persica_gdr_reftransV1_0026912","p.persica_gdr_reftransV1_0026912")</f>
        <v>p.persica_gdr_reftransV1_0026912</v>
      </c>
      <c r="B938" s="3">
        <v>848</v>
      </c>
      <c r="C938" s="1" t="str">
        <f>HYPERLINK("http://www.uniprot.org/uniprot/DRL44_ARATH","DRL44_ARATH")</f>
        <v>DRL44_ARATH</v>
      </c>
      <c r="D938" t="s">
        <v>994</v>
      </c>
      <c r="E938" s="3" t="s">
        <v>3</v>
      </c>
      <c r="F938" s="4">
        <v>7.2699999999999996E-8</v>
      </c>
      <c r="G938" s="3">
        <v>136</v>
      </c>
      <c r="H938" s="3">
        <v>31</v>
      </c>
      <c r="I938" s="3">
        <v>144</v>
      </c>
      <c r="J938" s="3">
        <v>14</v>
      </c>
      <c r="K938" s="3">
        <v>442</v>
      </c>
      <c r="L938" s="3">
        <v>876</v>
      </c>
      <c r="M938" s="3">
        <v>995</v>
      </c>
    </row>
    <row r="939" spans="1:13" x14ac:dyDescent="0.25">
      <c r="A939" s="1" t="str">
        <f>HYPERLINK("http://www.rosaceae.org/Prunus/Prunus_persica/p.persica_gdr_reftransV1_0027212","p.persica_gdr_reftransV1_0027212")</f>
        <v>p.persica_gdr_reftransV1_0027212</v>
      </c>
      <c r="B939" s="3">
        <v>3678</v>
      </c>
      <c r="C939" s="1" t="str">
        <f>HYPERLINK("http://www.uniprot.org/uniprot/HEN2_ARATH","HEN2_ARATH")</f>
        <v>HEN2_ARATH</v>
      </c>
      <c r="D939" t="s">
        <v>995</v>
      </c>
      <c r="E939" s="3" t="s">
        <v>3</v>
      </c>
      <c r="F939" s="4">
        <v>0</v>
      </c>
      <c r="G939" s="3">
        <v>3592</v>
      </c>
      <c r="H939" s="3">
        <v>82</v>
      </c>
      <c r="I939" s="3">
        <v>848</v>
      </c>
      <c r="J939" s="3">
        <v>161</v>
      </c>
      <c r="K939" s="3">
        <v>2695</v>
      </c>
      <c r="L939" s="3">
        <v>5</v>
      </c>
      <c r="M939" s="3">
        <v>852</v>
      </c>
    </row>
    <row r="940" spans="1:13" x14ac:dyDescent="0.25">
      <c r="A940" s="1" t="str">
        <f>HYPERLINK("http://www.rosaceae.org/Prunus/Prunus_persica/p.persica_gdr_reftransV1_0027412","p.persica_gdr_reftransV1_0027412")</f>
        <v>p.persica_gdr_reftransV1_0027412</v>
      </c>
      <c r="B940" s="3">
        <v>3370</v>
      </c>
      <c r="C940" s="1" t="str">
        <f>HYPERLINK("http://www.uniprot.org/uniprot/BRPF3_HUMAN","BRPF3_HUMAN")</f>
        <v>BRPF3_HUMAN</v>
      </c>
      <c r="D940" t="s">
        <v>647</v>
      </c>
      <c r="E940" s="3" t="s">
        <v>28</v>
      </c>
      <c r="F940" s="4">
        <v>3.6000000000000001E-19</v>
      </c>
      <c r="G940" s="3">
        <v>242</v>
      </c>
      <c r="H940" s="3">
        <v>43</v>
      </c>
      <c r="I940" s="3">
        <v>115</v>
      </c>
      <c r="J940" s="3">
        <v>281</v>
      </c>
      <c r="K940" s="3">
        <v>604</v>
      </c>
      <c r="L940" s="3">
        <v>592</v>
      </c>
      <c r="M940" s="3">
        <v>706</v>
      </c>
    </row>
    <row r="941" spans="1:13" x14ac:dyDescent="0.25">
      <c r="A941" s="1" t="str">
        <f>HYPERLINK("http://www.rosaceae.org/Prunus/Prunus_persica/p.persica_gdr_reftransV1_0027512","p.persica_gdr_reftransV1_0027512")</f>
        <v>p.persica_gdr_reftransV1_0027512</v>
      </c>
      <c r="B941" s="3">
        <v>1978</v>
      </c>
      <c r="C941" s="1" t="str">
        <f>HYPERLINK("http://www.uniprot.org/uniprot/WRKY7_ARATH","WRKY7_ARATH")</f>
        <v>WRKY7_ARATH</v>
      </c>
      <c r="D941" t="s">
        <v>288</v>
      </c>
      <c r="E941" s="3" t="s">
        <v>3</v>
      </c>
      <c r="F941" s="4">
        <v>1.7100000000000001E-79</v>
      </c>
      <c r="G941" s="3">
        <v>671</v>
      </c>
      <c r="H941" s="3">
        <v>51</v>
      </c>
      <c r="I941" s="3">
        <v>342</v>
      </c>
      <c r="J941" s="3">
        <v>927</v>
      </c>
      <c r="K941" s="3">
        <v>1847</v>
      </c>
      <c r="L941" s="3">
        <v>26</v>
      </c>
      <c r="M941" s="3">
        <v>347</v>
      </c>
    </row>
    <row r="942" spans="1:13" x14ac:dyDescent="0.25">
      <c r="A942" s="1" t="str">
        <f>HYPERLINK("http://www.rosaceae.org/Prunus/Prunus_persica/p.persica_gdr_reftransV1_0027662","p.persica_gdr_reftransV1_0027662")</f>
        <v>p.persica_gdr_reftransV1_0027662</v>
      </c>
      <c r="B942" s="3">
        <v>2500</v>
      </c>
      <c r="C942" s="1" t="str">
        <f>HYPERLINK("http://www.uniprot.org/uniprot/ASPL1_ARATH","ASPL1_ARATH")</f>
        <v>ASPL1_ARATH</v>
      </c>
      <c r="D942" t="s">
        <v>996</v>
      </c>
      <c r="E942" s="3" t="s">
        <v>3</v>
      </c>
      <c r="F942" s="4">
        <v>2.2000000000000001E-133</v>
      </c>
      <c r="G942" s="3">
        <v>854</v>
      </c>
      <c r="H942" s="3">
        <v>51</v>
      </c>
      <c r="I942" s="3">
        <v>331</v>
      </c>
      <c r="J942" s="3">
        <v>949</v>
      </c>
      <c r="K942" s="3">
        <v>1929</v>
      </c>
      <c r="L942" s="3">
        <v>142</v>
      </c>
      <c r="M942" s="3">
        <v>431</v>
      </c>
    </row>
    <row r="943" spans="1:13" x14ac:dyDescent="0.25">
      <c r="A943" s="1" t="str">
        <f>HYPERLINK("http://www.rosaceae.org/Prunus/Prunus_persica/p.persica_gdr_reftransV1_0027862","p.persica_gdr_reftransV1_0027862")</f>
        <v>p.persica_gdr_reftransV1_0027862</v>
      </c>
      <c r="B943" s="3">
        <v>3595</v>
      </c>
      <c r="C943" s="1" t="str">
        <f>HYPERLINK("http://www.uniprot.org/uniprot/T2FA_ARATH","T2FA_ARATH")</f>
        <v>T2FA_ARATH</v>
      </c>
      <c r="D943" t="s">
        <v>997</v>
      </c>
      <c r="E943" s="3" t="s">
        <v>3</v>
      </c>
      <c r="F943" s="4">
        <v>2.1000000000000001E-124</v>
      </c>
      <c r="G943" s="3">
        <v>1038</v>
      </c>
      <c r="H943" s="3">
        <v>72</v>
      </c>
      <c r="I943" s="3">
        <v>325</v>
      </c>
      <c r="J943" s="3">
        <v>2418</v>
      </c>
      <c r="K943" s="3">
        <v>3377</v>
      </c>
      <c r="L943" s="3">
        <v>1</v>
      </c>
      <c r="M943" s="3">
        <v>323</v>
      </c>
    </row>
    <row r="944" spans="1:13" x14ac:dyDescent="0.25">
      <c r="A944" s="1" t="str">
        <f>HYPERLINK("http://www.rosaceae.org/Prunus/Prunus_persica/p.persica_gdr_reftransV1_0028062","p.persica_gdr_reftransV1_0028062")</f>
        <v>p.persica_gdr_reftransV1_0028062</v>
      </c>
      <c r="B944" s="3">
        <v>970</v>
      </c>
      <c r="C944" s="1" t="str">
        <f>HYPERLINK("http://www.uniprot.org/uniprot/KELP_ARATH","KELP_ARATH")</f>
        <v>KELP_ARATH</v>
      </c>
      <c r="D944" t="s">
        <v>998</v>
      </c>
      <c r="E944" s="3" t="s">
        <v>3</v>
      </c>
      <c r="F944" s="4">
        <v>7.1000000000000006E-52</v>
      </c>
      <c r="G944" s="3">
        <v>443</v>
      </c>
      <c r="H944" s="3">
        <v>60</v>
      </c>
      <c r="I944" s="3">
        <v>156</v>
      </c>
      <c r="J944" s="3">
        <v>116</v>
      </c>
      <c r="K944" s="3">
        <v>571</v>
      </c>
      <c r="L944" s="3">
        <v>13</v>
      </c>
      <c r="M944" s="3">
        <v>165</v>
      </c>
    </row>
    <row r="945" spans="1:13" x14ac:dyDescent="0.25">
      <c r="A945" s="1" t="str">
        <f>HYPERLINK("http://www.rosaceae.org/Prunus/Prunus_persica/p.persica_gdr_reftransV1_0028162","p.persica_gdr_reftransV1_0028162")</f>
        <v>p.persica_gdr_reftransV1_0028162</v>
      </c>
      <c r="B945" s="3">
        <v>1746</v>
      </c>
      <c r="C945" s="1" t="str">
        <f>HYPERLINK("http://www.uniprot.org/uniprot/HBP1C_WHEAT","HBP1C_WHEAT")</f>
        <v>HBP1C_WHEAT</v>
      </c>
      <c r="D945" t="s">
        <v>999</v>
      </c>
      <c r="E945" s="3" t="s">
        <v>710</v>
      </c>
      <c r="F945" s="4">
        <v>2.18E-118</v>
      </c>
      <c r="G945" s="3">
        <v>847</v>
      </c>
      <c r="H945" s="3">
        <v>82</v>
      </c>
      <c r="I945" s="3">
        <v>206</v>
      </c>
      <c r="J945" s="3">
        <v>685</v>
      </c>
      <c r="K945" s="3">
        <v>1302</v>
      </c>
      <c r="L945" s="3">
        <v>255</v>
      </c>
      <c r="M945" s="3">
        <v>460</v>
      </c>
    </row>
    <row r="946" spans="1:13" x14ac:dyDescent="0.25">
      <c r="A946" s="1" t="str">
        <f>HYPERLINK("http://www.rosaceae.org/Prunus/Prunus_persica/p.persica_gdr_reftransV1_0028312","p.persica_gdr_reftransV1_0028312")</f>
        <v>p.persica_gdr_reftransV1_0028312</v>
      </c>
      <c r="B946" s="3">
        <v>1389</v>
      </c>
      <c r="C946" s="1" t="str">
        <f>HYPERLINK("http://www.uniprot.org/uniprot/RIBF2_ARATH","RIBF2_ARATH")</f>
        <v>RIBF2_ARATH</v>
      </c>
      <c r="D946" t="s">
        <v>1000</v>
      </c>
      <c r="E946" s="3" t="s">
        <v>3</v>
      </c>
      <c r="F946" s="4">
        <v>1.9800000000000002E-123</v>
      </c>
      <c r="G946" s="3">
        <v>952</v>
      </c>
      <c r="H946" s="3">
        <v>58</v>
      </c>
      <c r="I946" s="3">
        <v>336</v>
      </c>
      <c r="J946" s="3">
        <v>338</v>
      </c>
      <c r="K946" s="3">
        <v>1345</v>
      </c>
      <c r="L946" s="3">
        <v>73</v>
      </c>
      <c r="M946" s="3">
        <v>367</v>
      </c>
    </row>
    <row r="947" spans="1:13" x14ac:dyDescent="0.25">
      <c r="A947" s="1" t="str">
        <f>HYPERLINK("http://www.rosaceae.org/Prunus/Prunus_persica/p.persica_gdr_reftransV1_0028412","p.persica_gdr_reftransV1_0028412")</f>
        <v>p.persica_gdr_reftransV1_0028412</v>
      </c>
      <c r="B947" s="3">
        <v>3263</v>
      </c>
      <c r="C947" s="1" t="str">
        <f>HYPERLINK("http://www.uniprot.org/uniprot/CCX5_ARATH","CCX5_ARATH")</f>
        <v>CCX5_ARATH</v>
      </c>
      <c r="D947" t="s">
        <v>1001</v>
      </c>
      <c r="E947" s="3" t="s">
        <v>3</v>
      </c>
      <c r="F947" s="4">
        <v>1.52E-96</v>
      </c>
      <c r="G947" s="3">
        <v>829</v>
      </c>
      <c r="H947" s="3">
        <v>77</v>
      </c>
      <c r="I947" s="3">
        <v>260</v>
      </c>
      <c r="J947" s="3">
        <v>1994</v>
      </c>
      <c r="K947" s="3">
        <v>2773</v>
      </c>
      <c r="L947" s="3">
        <v>286</v>
      </c>
      <c r="M947" s="3">
        <v>545</v>
      </c>
    </row>
    <row r="948" spans="1:13" x14ac:dyDescent="0.25">
      <c r="A948" s="1" t="str">
        <f>HYPERLINK("http://www.rosaceae.org/Prunus/Prunus_persica/p.persica_gdr_reftransV1_0028562","p.persica_gdr_reftransV1_0028562")</f>
        <v>p.persica_gdr_reftransV1_0028562</v>
      </c>
      <c r="B948" s="3">
        <v>4977</v>
      </c>
      <c r="C948" s="1" t="str">
        <f>HYPERLINK("http://www.uniprot.org/uniprot/BGAL_VIBC3","BGAL_VIBC3")</f>
        <v>BGAL_VIBC3</v>
      </c>
      <c r="D948" t="s">
        <v>1002</v>
      </c>
      <c r="E948" s="3" t="s">
        <v>1003</v>
      </c>
      <c r="F948" s="4">
        <v>0</v>
      </c>
      <c r="G948" s="3">
        <v>1577</v>
      </c>
      <c r="H948" s="3">
        <v>39</v>
      </c>
      <c r="I948" s="3">
        <v>945</v>
      </c>
      <c r="J948" s="3">
        <v>390</v>
      </c>
      <c r="K948" s="3">
        <v>3164</v>
      </c>
      <c r="L948" s="3">
        <v>159</v>
      </c>
      <c r="M948" s="3">
        <v>1016</v>
      </c>
    </row>
    <row r="949" spans="1:13" x14ac:dyDescent="0.25">
      <c r="A949" s="1" t="str">
        <f>HYPERLINK("http://www.rosaceae.org/Prunus/Prunus_persica/p.persica_gdr_reftransV1_0028862","p.persica_gdr_reftransV1_0028862")</f>
        <v>p.persica_gdr_reftransV1_0028862</v>
      </c>
      <c r="B949" s="3">
        <v>3009</v>
      </c>
      <c r="C949" s="1" t="str">
        <f>HYPERLINK("http://www.uniprot.org/uniprot/PP156_ARATH","PP156_ARATH")</f>
        <v>PP156_ARATH</v>
      </c>
      <c r="D949" t="s">
        <v>1004</v>
      </c>
      <c r="E949" s="3" t="s">
        <v>3</v>
      </c>
      <c r="F949" s="4">
        <v>3.2400000000000001E-175</v>
      </c>
      <c r="G949" s="3">
        <v>1381</v>
      </c>
      <c r="H949" s="3">
        <v>53</v>
      </c>
      <c r="I949" s="3">
        <v>501</v>
      </c>
      <c r="J949" s="3">
        <v>1</v>
      </c>
      <c r="K949" s="3">
        <v>1488</v>
      </c>
      <c r="L949" s="3">
        <v>239</v>
      </c>
      <c r="M949" s="3">
        <v>736</v>
      </c>
    </row>
    <row r="950" spans="1:13" x14ac:dyDescent="0.25">
      <c r="A950" s="1" t="str">
        <f>HYPERLINK("http://www.rosaceae.org/Prunus/Prunus_persica/p.persica_gdr_reftransV1_0028962","p.persica_gdr_reftransV1_0028962")</f>
        <v>p.persica_gdr_reftransV1_0028962</v>
      </c>
      <c r="B950" s="3">
        <v>3364</v>
      </c>
      <c r="C950" s="1" t="str">
        <f>HYPERLINK("http://www.uniprot.org/uniprot/GSHRC_PEA","GSHRC_PEA")</f>
        <v>GSHRC_PEA</v>
      </c>
      <c r="D950" t="s">
        <v>1005</v>
      </c>
      <c r="E950" s="3" t="s">
        <v>60</v>
      </c>
      <c r="F950" s="4">
        <v>0</v>
      </c>
      <c r="G950" s="3">
        <v>1444</v>
      </c>
      <c r="H950" s="3">
        <v>84</v>
      </c>
      <c r="I950" s="3">
        <v>325</v>
      </c>
      <c r="J950" s="3">
        <v>1032</v>
      </c>
      <c r="K950" s="3">
        <v>1997</v>
      </c>
      <c r="L950" s="3">
        <v>1</v>
      </c>
      <c r="M950" s="3">
        <v>324</v>
      </c>
    </row>
    <row r="951" spans="1:13" x14ac:dyDescent="0.25">
      <c r="A951" s="1" t="str">
        <f>HYPERLINK("http://www.rosaceae.org/Prunus/Prunus_persica/p.persica_gdr_reftransV1_0029062","p.persica_gdr_reftransV1_0029062")</f>
        <v>p.persica_gdr_reftransV1_0029062</v>
      </c>
      <c r="B951" s="3">
        <v>4386</v>
      </c>
      <c r="C951" s="1" t="str">
        <f>HYPERLINK("http://www.uniprot.org/uniprot/PP281_ARATH","PP281_ARATH")</f>
        <v>PP281_ARATH</v>
      </c>
      <c r="D951" t="s">
        <v>1006</v>
      </c>
      <c r="E951" s="3" t="s">
        <v>3</v>
      </c>
      <c r="F951" s="4">
        <v>4.8299999999999998E-51</v>
      </c>
      <c r="G951" s="3">
        <v>504</v>
      </c>
      <c r="H951" s="3">
        <v>25</v>
      </c>
      <c r="I951" s="3">
        <v>696</v>
      </c>
      <c r="J951" s="3">
        <v>305</v>
      </c>
      <c r="K951" s="3">
        <v>2362</v>
      </c>
      <c r="L951" s="3">
        <v>28</v>
      </c>
      <c r="M951" s="3">
        <v>692</v>
      </c>
    </row>
    <row r="952" spans="1:13" x14ac:dyDescent="0.25">
      <c r="A952" s="1" t="str">
        <f>HYPERLINK("http://www.rosaceae.org/Prunus/Prunus_persica/p.persica_gdr_reftransV1_0029162","p.persica_gdr_reftransV1_0029162")</f>
        <v>p.persica_gdr_reftransV1_0029162</v>
      </c>
      <c r="B952" s="3">
        <v>1081</v>
      </c>
      <c r="C952" s="1" t="str">
        <f>HYPERLINK("http://www.uniprot.org/uniprot/RAF2B_ARATH","RAF2B_ARATH")</f>
        <v>RAF2B_ARATH</v>
      </c>
      <c r="D952" t="s">
        <v>341</v>
      </c>
      <c r="E952" s="3" t="s">
        <v>3</v>
      </c>
      <c r="F952" s="4">
        <v>1.1400000000000001E-122</v>
      </c>
      <c r="G952" s="3">
        <v>920</v>
      </c>
      <c r="H952" s="3">
        <v>85</v>
      </c>
      <c r="I952" s="3">
        <v>200</v>
      </c>
      <c r="J952" s="3">
        <v>184</v>
      </c>
      <c r="K952" s="3">
        <v>783</v>
      </c>
      <c r="L952" s="3">
        <v>1</v>
      </c>
      <c r="M952" s="3">
        <v>200</v>
      </c>
    </row>
    <row r="953" spans="1:13" x14ac:dyDescent="0.25">
      <c r="A953" s="1" t="str">
        <f>HYPERLINK("http://www.rosaceae.org/Prunus/Prunus_persica/p.persica_gdr_reftransV1_0029262","p.persica_gdr_reftransV1_0029262")</f>
        <v>p.persica_gdr_reftransV1_0029262</v>
      </c>
      <c r="B953" s="3">
        <v>2926</v>
      </c>
      <c r="C953" s="1" t="str">
        <f>HYPERLINK("http://www.uniprot.org/uniprot/TBL2_HUMAN","TBL2_HUMAN")</f>
        <v>TBL2_HUMAN</v>
      </c>
      <c r="D953" t="s">
        <v>1007</v>
      </c>
      <c r="E953" s="3" t="s">
        <v>28</v>
      </c>
      <c r="F953" s="4">
        <v>1.5E-23</v>
      </c>
      <c r="G953" s="3">
        <v>270</v>
      </c>
      <c r="H953" s="3">
        <v>29</v>
      </c>
      <c r="I953" s="3">
        <v>283</v>
      </c>
      <c r="J953" s="3">
        <v>1827</v>
      </c>
      <c r="K953" s="3">
        <v>2642</v>
      </c>
      <c r="L953" s="3">
        <v>33</v>
      </c>
      <c r="M953" s="3">
        <v>287</v>
      </c>
    </row>
    <row r="954" spans="1:13" x14ac:dyDescent="0.25">
      <c r="A954" s="1" t="str">
        <f>HYPERLINK("http://www.rosaceae.org/Prunus/Prunus_persica/p.persica_gdr_reftransV1_0029412","p.persica_gdr_reftransV1_0029412")</f>
        <v>p.persica_gdr_reftransV1_0029412</v>
      </c>
      <c r="B954" s="3">
        <v>465</v>
      </c>
      <c r="C954" s="1" t="str">
        <f>HYPERLINK("http://www.uniprot.org/uniprot/ARF_VIGUN","ARF_VIGUN")</f>
        <v>ARF_VIGUN</v>
      </c>
      <c r="D954" t="s">
        <v>1008</v>
      </c>
      <c r="E954" s="3" t="s">
        <v>1009</v>
      </c>
      <c r="F954" s="4">
        <v>5.2699999999999997E-88</v>
      </c>
      <c r="G954" s="3">
        <v>668</v>
      </c>
      <c r="H954" s="3">
        <v>100</v>
      </c>
      <c r="I954" s="3">
        <v>127</v>
      </c>
      <c r="J954" s="3">
        <v>2</v>
      </c>
      <c r="K954" s="3">
        <v>382</v>
      </c>
      <c r="L954" s="3">
        <v>1</v>
      </c>
      <c r="M954" s="3">
        <v>127</v>
      </c>
    </row>
    <row r="955" spans="1:13" x14ac:dyDescent="0.25">
      <c r="A955" s="1" t="str">
        <f>HYPERLINK("http://www.rosaceae.org/Prunus/Prunus_persica/p.persica_gdr_reftransV1_0029562","p.persica_gdr_reftransV1_0029562")</f>
        <v>p.persica_gdr_reftransV1_0029562</v>
      </c>
      <c r="B955" s="3">
        <v>392</v>
      </c>
      <c r="C955" s="1" t="str">
        <f>HYPERLINK("http://www.uniprot.org/uniprot/MD37C_ARATH","MD37C_ARATH")</f>
        <v>MD37C_ARATH</v>
      </c>
      <c r="D955" t="s">
        <v>1010</v>
      </c>
      <c r="E955" s="3" t="s">
        <v>3</v>
      </c>
      <c r="F955" s="4">
        <v>7.3899999999999998E-60</v>
      </c>
      <c r="G955" s="3">
        <v>509</v>
      </c>
      <c r="H955" s="3">
        <v>71</v>
      </c>
      <c r="I955" s="3">
        <v>130</v>
      </c>
      <c r="J955" s="3">
        <v>2</v>
      </c>
      <c r="K955" s="3">
        <v>391</v>
      </c>
      <c r="L955" s="3">
        <v>223</v>
      </c>
      <c r="M955" s="3">
        <v>352</v>
      </c>
    </row>
    <row r="956" spans="1:13" x14ac:dyDescent="0.25">
      <c r="A956" s="1" t="str">
        <f>HYPERLINK("http://www.rosaceae.org/Prunus/Prunus_persica/p.persica_gdr_reftransV1_0029812","p.persica_gdr_reftransV1_0029812")</f>
        <v>p.persica_gdr_reftransV1_0029812</v>
      </c>
      <c r="B956" s="3">
        <v>2149</v>
      </c>
      <c r="C956" s="1" t="str">
        <f>HYPERLINK("http://www.uniprot.org/uniprot/MTEF2_HUMAN","MTEF2_HUMAN")</f>
        <v>MTEF2_HUMAN</v>
      </c>
      <c r="D956" t="s">
        <v>1011</v>
      </c>
      <c r="E956" s="3" t="s">
        <v>28</v>
      </c>
      <c r="F956" s="4">
        <v>8.4300000000000002E-7</v>
      </c>
      <c r="G956" s="3">
        <v>133</v>
      </c>
      <c r="H956" s="3">
        <v>27</v>
      </c>
      <c r="I956" s="3">
        <v>260</v>
      </c>
      <c r="J956" s="3">
        <v>730</v>
      </c>
      <c r="K956" s="3">
        <v>1446</v>
      </c>
      <c r="L956" s="3">
        <v>52</v>
      </c>
      <c r="M956" s="3">
        <v>304</v>
      </c>
    </row>
    <row r="957" spans="1:13" x14ac:dyDescent="0.25">
      <c r="A957" s="1" t="str">
        <f>HYPERLINK("http://www.rosaceae.org/Prunus/Prunus_persica/p.persica_gdr_reftransV1_0030012","p.persica_gdr_reftransV1_0030012")</f>
        <v>p.persica_gdr_reftransV1_0030012</v>
      </c>
      <c r="B957" s="3">
        <v>1157</v>
      </c>
      <c r="C957" s="1" t="str">
        <f>HYPERLINK("http://www.uniprot.org/uniprot/JAL19_ARATH","JAL19_ARATH")</f>
        <v>JAL19_ARATH</v>
      </c>
      <c r="D957" t="s">
        <v>1012</v>
      </c>
      <c r="E957" s="3" t="s">
        <v>3</v>
      </c>
      <c r="F957" s="4">
        <v>8.7100000000000008E-37</v>
      </c>
      <c r="G957" s="3">
        <v>344</v>
      </c>
      <c r="H957" s="3">
        <v>58</v>
      </c>
      <c r="I957" s="3">
        <v>98</v>
      </c>
      <c r="J957" s="3">
        <v>533</v>
      </c>
      <c r="K957" s="3">
        <v>826</v>
      </c>
      <c r="L957" s="3">
        <v>74</v>
      </c>
      <c r="M957" s="3">
        <v>171</v>
      </c>
    </row>
    <row r="958" spans="1:13" x14ac:dyDescent="0.25">
      <c r="A958" s="1" t="str">
        <f>HYPERLINK("http://www.rosaceae.org/Prunus/Prunus_persica/p.persica_gdr_reftransV1_0030062","p.persica_gdr_reftransV1_0030062")</f>
        <v>p.persica_gdr_reftransV1_0030062</v>
      </c>
      <c r="B958" s="3">
        <v>2112</v>
      </c>
      <c r="C958" s="1" t="str">
        <f>HYPERLINK("http://www.uniprot.org/uniprot/ASHR3_ARATH","ASHR3_ARATH")</f>
        <v>ASHR3_ARATH</v>
      </c>
      <c r="D958" t="s">
        <v>1013</v>
      </c>
      <c r="E958" s="3" t="s">
        <v>3</v>
      </c>
      <c r="F958" s="4">
        <v>5.5299999999999996E-124</v>
      </c>
      <c r="G958" s="3">
        <v>989</v>
      </c>
      <c r="H958" s="3">
        <v>60</v>
      </c>
      <c r="I958" s="3">
        <v>328</v>
      </c>
      <c r="J958" s="3">
        <v>793</v>
      </c>
      <c r="K958" s="3">
        <v>1773</v>
      </c>
      <c r="L958" s="3">
        <v>211</v>
      </c>
      <c r="M958" s="3">
        <v>491</v>
      </c>
    </row>
    <row r="959" spans="1:13" x14ac:dyDescent="0.25">
      <c r="A959" s="1" t="str">
        <f>HYPERLINK("http://www.rosaceae.org/Prunus/Prunus_persica/p.persica_gdr_reftransV1_0030112","p.persica_gdr_reftransV1_0030112")</f>
        <v>p.persica_gdr_reftransV1_0030112</v>
      </c>
      <c r="B959" s="3">
        <v>1385</v>
      </c>
      <c r="C959" s="1" t="str">
        <f>HYPERLINK("http://www.uniprot.org/uniprot/NAC94_ARATH","NAC94_ARATH")</f>
        <v>NAC94_ARATH</v>
      </c>
      <c r="D959" t="s">
        <v>1014</v>
      </c>
      <c r="E959" s="3" t="s">
        <v>3</v>
      </c>
      <c r="F959" s="4">
        <v>6.5500000000000003E-50</v>
      </c>
      <c r="G959" s="3">
        <v>453</v>
      </c>
      <c r="H959" s="3">
        <v>63</v>
      </c>
      <c r="I959" s="3">
        <v>129</v>
      </c>
      <c r="J959" s="3">
        <v>821</v>
      </c>
      <c r="K959" s="3">
        <v>1207</v>
      </c>
      <c r="L959" s="3">
        <v>21</v>
      </c>
      <c r="M959" s="3">
        <v>148</v>
      </c>
    </row>
    <row r="960" spans="1:13" x14ac:dyDescent="0.25">
      <c r="A960" s="1" t="str">
        <f>HYPERLINK("http://www.rosaceae.org/Prunus/Prunus_persica/p.persica_gdr_reftransV1_0030212","p.persica_gdr_reftransV1_0030212")</f>
        <v>p.persica_gdr_reftransV1_0030212</v>
      </c>
      <c r="B960" s="3">
        <v>2448</v>
      </c>
      <c r="C960" s="1" t="str">
        <f>HYPERLINK("http://www.uniprot.org/uniprot/PPCS2_ARATH","PPCS2_ARATH")</f>
        <v>PPCS2_ARATH</v>
      </c>
      <c r="D960" t="s">
        <v>1015</v>
      </c>
      <c r="E960" s="3" t="s">
        <v>3</v>
      </c>
      <c r="F960" s="4">
        <v>4.2999999999999999E-63</v>
      </c>
      <c r="G960" s="3">
        <v>559</v>
      </c>
      <c r="H960" s="3">
        <v>69</v>
      </c>
      <c r="I960" s="3">
        <v>171</v>
      </c>
      <c r="J960" s="3">
        <v>323</v>
      </c>
      <c r="K960" s="3">
        <v>835</v>
      </c>
      <c r="L960" s="3">
        <v>137</v>
      </c>
      <c r="M960" s="3">
        <v>307</v>
      </c>
    </row>
    <row r="961" spans="1:13" x14ac:dyDescent="0.25">
      <c r="A961" s="1" t="str">
        <f>HYPERLINK("http://www.rosaceae.org/Prunus/Prunus_persica/p.persica_gdr_reftransV1_0030312","p.persica_gdr_reftransV1_0030312")</f>
        <v>p.persica_gdr_reftransV1_0030312</v>
      </c>
      <c r="B961" s="3">
        <v>2868</v>
      </c>
      <c r="C961" s="1" t="str">
        <f>HYPERLINK("http://www.uniprot.org/uniprot/P2C73_ARATH","P2C73_ARATH")</f>
        <v>P2C73_ARATH</v>
      </c>
      <c r="D961" t="s">
        <v>1016</v>
      </c>
      <c r="E961" s="3" t="s">
        <v>3</v>
      </c>
      <c r="F961" s="4">
        <v>1.3E-177</v>
      </c>
      <c r="G961" s="3">
        <v>1357</v>
      </c>
      <c r="H961" s="3">
        <v>72</v>
      </c>
      <c r="I961" s="3">
        <v>353</v>
      </c>
      <c r="J961" s="3">
        <v>1379</v>
      </c>
      <c r="K961" s="3">
        <v>2434</v>
      </c>
      <c r="L961" s="3">
        <v>1</v>
      </c>
      <c r="M961" s="3">
        <v>353</v>
      </c>
    </row>
    <row r="962" spans="1:13" x14ac:dyDescent="0.25">
      <c r="A962" s="1" t="str">
        <f>HYPERLINK("http://www.rosaceae.org/Prunus/Prunus_persica/p.persica_gdr_reftransV1_0030462","p.persica_gdr_reftransV1_0030462")</f>
        <v>p.persica_gdr_reftransV1_0030462</v>
      </c>
      <c r="B962" s="3">
        <v>787</v>
      </c>
      <c r="C962" s="1" t="str">
        <f>HYPERLINK("http://www.uniprot.org/uniprot/CSPL3_POPTR","CSPL3_POPTR")</f>
        <v>CSPL3_POPTR</v>
      </c>
      <c r="D962" t="s">
        <v>1017</v>
      </c>
      <c r="E962" s="3" t="s">
        <v>340</v>
      </c>
      <c r="F962" s="4">
        <v>1.3699999999999999E-52</v>
      </c>
      <c r="G962" s="3">
        <v>444</v>
      </c>
      <c r="H962" s="3">
        <v>60</v>
      </c>
      <c r="I962" s="3">
        <v>181</v>
      </c>
      <c r="J962" s="3">
        <v>95</v>
      </c>
      <c r="K962" s="3">
        <v>637</v>
      </c>
      <c r="L962" s="3">
        <v>1</v>
      </c>
      <c r="M962" s="3">
        <v>181</v>
      </c>
    </row>
    <row r="963" spans="1:13" x14ac:dyDescent="0.25">
      <c r="A963" s="1" t="str">
        <f>HYPERLINK("http://www.rosaceae.org/Prunus/Prunus_persica/p.persica_gdr_reftransV1_0030612","p.persica_gdr_reftransV1_0030612")</f>
        <v>p.persica_gdr_reftransV1_0030612</v>
      </c>
      <c r="B963" s="3">
        <v>1063</v>
      </c>
      <c r="C963" s="1" t="str">
        <f>HYPERLINK("http://www.uniprot.org/uniprot/DET2_GOSHI","DET2_GOSHI")</f>
        <v>DET2_GOSHI</v>
      </c>
      <c r="D963" t="s">
        <v>978</v>
      </c>
      <c r="E963" s="3" t="s">
        <v>816</v>
      </c>
      <c r="F963" s="4">
        <v>5.78E-135</v>
      </c>
      <c r="G963" s="3">
        <v>1007</v>
      </c>
      <c r="H963" s="3">
        <v>74</v>
      </c>
      <c r="I963" s="3">
        <v>261</v>
      </c>
      <c r="J963" s="3">
        <v>74</v>
      </c>
      <c r="K963" s="3">
        <v>850</v>
      </c>
      <c r="L963" s="3">
        <v>1</v>
      </c>
      <c r="M963" s="3">
        <v>258</v>
      </c>
    </row>
    <row r="964" spans="1:13" x14ac:dyDescent="0.25">
      <c r="A964" s="1" t="str">
        <f>HYPERLINK("http://www.rosaceae.org/Prunus/Prunus_persica/p.persica_gdr_reftransV1_0030912","p.persica_gdr_reftransV1_0030912")</f>
        <v>p.persica_gdr_reftransV1_0030912</v>
      </c>
      <c r="B964" s="3">
        <v>1638</v>
      </c>
      <c r="C964" s="1" t="str">
        <f>HYPERLINK("http://www.uniprot.org/uniprot/MENA_ARATH","MENA_ARATH")</f>
        <v>MENA_ARATH</v>
      </c>
      <c r="D964" t="s">
        <v>1018</v>
      </c>
      <c r="E964" s="3" t="s">
        <v>3</v>
      </c>
      <c r="F964" s="4">
        <v>2.7700000000000002E-109</v>
      </c>
      <c r="G964" s="3">
        <v>867</v>
      </c>
      <c r="H964" s="3">
        <v>56</v>
      </c>
      <c r="I964" s="3">
        <v>392</v>
      </c>
      <c r="J964" s="3">
        <v>138</v>
      </c>
      <c r="K964" s="3">
        <v>1307</v>
      </c>
      <c r="L964" s="3">
        <v>6</v>
      </c>
      <c r="M964" s="3">
        <v>365</v>
      </c>
    </row>
    <row r="965" spans="1:13" x14ac:dyDescent="0.25">
      <c r="A965" s="1" t="str">
        <f>HYPERLINK("http://www.rosaceae.org/Prunus/Prunus_persica/p.persica_gdr_reftransV1_0030962","p.persica_gdr_reftransV1_0030962")</f>
        <v>p.persica_gdr_reftransV1_0030962</v>
      </c>
      <c r="B965" s="3">
        <v>1245</v>
      </c>
      <c r="C965" s="1" t="str">
        <f>HYPERLINK("http://www.uniprot.org/uniprot/PAP13_ARATH","PAP13_ARATH")</f>
        <v>PAP13_ARATH</v>
      </c>
      <c r="D965" t="s">
        <v>1019</v>
      </c>
      <c r="E965" s="3" t="s">
        <v>3</v>
      </c>
      <c r="F965" s="4">
        <v>2.7799999999999999E-124</v>
      </c>
      <c r="G965" s="3">
        <v>946</v>
      </c>
      <c r="H965" s="3">
        <v>75</v>
      </c>
      <c r="I965" s="3">
        <v>252</v>
      </c>
      <c r="J965" s="3">
        <v>338</v>
      </c>
      <c r="K965" s="3">
        <v>1093</v>
      </c>
      <c r="L965" s="3">
        <v>49</v>
      </c>
      <c r="M965" s="3">
        <v>299</v>
      </c>
    </row>
    <row r="966" spans="1:13" x14ac:dyDescent="0.25">
      <c r="A966" s="1" t="str">
        <f>HYPERLINK("http://www.rosaceae.org/Prunus/Prunus_persica/p.persica_gdr_reftransV1_0031012","p.persica_gdr_reftransV1_0031012")</f>
        <v>p.persica_gdr_reftransV1_0031012</v>
      </c>
      <c r="B966" s="3">
        <v>2059</v>
      </c>
      <c r="C966" s="1" t="str">
        <f>HYPERLINK("http://www.uniprot.org/uniprot/KTNA1_ARATH","KTNA1_ARATH")</f>
        <v>KTNA1_ARATH</v>
      </c>
      <c r="D966" t="s">
        <v>1020</v>
      </c>
      <c r="E966" s="3" t="s">
        <v>3</v>
      </c>
      <c r="F966" s="4">
        <v>0</v>
      </c>
      <c r="G966" s="3">
        <v>2221</v>
      </c>
      <c r="H966" s="3">
        <v>83</v>
      </c>
      <c r="I966" s="3">
        <v>523</v>
      </c>
      <c r="J966" s="3">
        <v>236</v>
      </c>
      <c r="K966" s="3">
        <v>1795</v>
      </c>
      <c r="L966" s="3">
        <v>1</v>
      </c>
      <c r="M966" s="3">
        <v>522</v>
      </c>
    </row>
    <row r="967" spans="1:13" x14ac:dyDescent="0.25">
      <c r="A967" s="1" t="str">
        <f>HYPERLINK("http://www.rosaceae.org/Prunus/Prunus_persica/p.persica_gdr_reftransV1_0031162","p.persica_gdr_reftransV1_0031162")</f>
        <v>p.persica_gdr_reftransV1_0031162</v>
      </c>
      <c r="B967" s="3">
        <v>2925</v>
      </c>
      <c r="C967" s="1" t="str">
        <f>HYPERLINK("http://www.uniprot.org/uniprot/TLOV1_ARATH","TLOV1_ARATH")</f>
        <v>TLOV1_ARATH</v>
      </c>
      <c r="D967" t="s">
        <v>1021</v>
      </c>
      <c r="E967" s="3" t="s">
        <v>3</v>
      </c>
      <c r="F967" s="4">
        <v>6.3699999999999999E-113</v>
      </c>
      <c r="G967" s="3">
        <v>924</v>
      </c>
      <c r="H967" s="3">
        <v>65</v>
      </c>
      <c r="I967" s="3">
        <v>312</v>
      </c>
      <c r="J967" s="3">
        <v>535</v>
      </c>
      <c r="K967" s="3">
        <v>1455</v>
      </c>
      <c r="L967" s="3">
        <v>19</v>
      </c>
      <c r="M967" s="3">
        <v>323</v>
      </c>
    </row>
    <row r="968" spans="1:13" x14ac:dyDescent="0.25">
      <c r="A968" s="1" t="str">
        <f>HYPERLINK("http://www.rosaceae.org/Prunus/Prunus_persica/p.persica_gdr_reftransV1_0031212","p.persica_gdr_reftransV1_0031212")</f>
        <v>p.persica_gdr_reftransV1_0031212</v>
      </c>
      <c r="B968" s="3">
        <v>1689</v>
      </c>
      <c r="C968" s="1" t="str">
        <f>HYPERLINK("http://www.uniprot.org/uniprot/C14C2_ORYSJ","C14C2_ORYSJ")</f>
        <v>C14C2_ORYSJ</v>
      </c>
      <c r="D968" t="s">
        <v>1022</v>
      </c>
      <c r="E968" s="3" t="s">
        <v>38</v>
      </c>
      <c r="F968" s="4">
        <v>2.2300000000000001E-104</v>
      </c>
      <c r="G968" s="3">
        <v>847</v>
      </c>
      <c r="H968" s="3">
        <v>34</v>
      </c>
      <c r="I968" s="3">
        <v>507</v>
      </c>
      <c r="J968" s="3">
        <v>116</v>
      </c>
      <c r="K968" s="3">
        <v>1615</v>
      </c>
      <c r="L968" s="3">
        <v>19</v>
      </c>
      <c r="M968" s="3">
        <v>522</v>
      </c>
    </row>
    <row r="969" spans="1:13" x14ac:dyDescent="0.25">
      <c r="A969" s="1" t="str">
        <f>HYPERLINK("http://www.rosaceae.org/Prunus/Prunus_persica/p.persica_gdr_reftransV1_0031362","p.persica_gdr_reftransV1_0031362")</f>
        <v>p.persica_gdr_reftransV1_0031362</v>
      </c>
      <c r="B969" s="3">
        <v>1635</v>
      </c>
      <c r="C969" s="1" t="str">
        <f>HYPERLINK("http://www.uniprot.org/uniprot/PPT2_ORYSJ","PPT2_ORYSJ")</f>
        <v>PPT2_ORYSJ</v>
      </c>
      <c r="D969" t="s">
        <v>1023</v>
      </c>
      <c r="E969" s="3" t="s">
        <v>38</v>
      </c>
      <c r="F969" s="4">
        <v>3.2099999999999999E-106</v>
      </c>
      <c r="G969" s="3">
        <v>592</v>
      </c>
      <c r="H969" s="3">
        <v>74</v>
      </c>
      <c r="I969" s="3">
        <v>190</v>
      </c>
      <c r="J969" s="3">
        <v>190</v>
      </c>
      <c r="K969" s="3">
        <v>753</v>
      </c>
      <c r="L969" s="3">
        <v>219</v>
      </c>
      <c r="M969" s="3">
        <v>405</v>
      </c>
    </row>
    <row r="970" spans="1:13" x14ac:dyDescent="0.25">
      <c r="A970" s="1" t="str">
        <f>HYPERLINK("http://www.rosaceae.org/Prunus/Prunus_persica/p.persica_gdr_reftransV1_0031512","p.persica_gdr_reftransV1_0031512")</f>
        <v>p.persica_gdr_reftransV1_0031512</v>
      </c>
      <c r="B970" s="3">
        <v>2292</v>
      </c>
      <c r="C970" s="1" t="str">
        <f>HYPERLINK("http://www.uniprot.org/uniprot/SIR1_ARATH","SIR1_ARATH")</f>
        <v>SIR1_ARATH</v>
      </c>
      <c r="D970" t="s">
        <v>1024</v>
      </c>
      <c r="E970" s="3" t="s">
        <v>3</v>
      </c>
      <c r="F970" s="4">
        <v>6.9299999999999999E-156</v>
      </c>
      <c r="G970" s="3">
        <v>1206</v>
      </c>
      <c r="H970" s="3">
        <v>87</v>
      </c>
      <c r="I970" s="3">
        <v>257</v>
      </c>
      <c r="J970" s="3">
        <v>234</v>
      </c>
      <c r="K970" s="3">
        <v>1004</v>
      </c>
      <c r="L970" s="3">
        <v>1</v>
      </c>
      <c r="M970" s="3">
        <v>257</v>
      </c>
    </row>
    <row r="971" spans="1:13" x14ac:dyDescent="0.25">
      <c r="A971" s="1" t="str">
        <f>HYPERLINK("http://www.rosaceae.org/Prunus/Prunus_persica/p.persica_gdr_reftransV1_0031562","p.persica_gdr_reftransV1_0031562")</f>
        <v>p.persica_gdr_reftransV1_0031562</v>
      </c>
      <c r="B971" s="3">
        <v>4813</v>
      </c>
      <c r="C971" s="1" t="str">
        <f>HYPERLINK("http://www.uniprot.org/uniprot/NU133_ARATH","NU133_ARATH")</f>
        <v>NU133_ARATH</v>
      </c>
      <c r="D971" t="s">
        <v>1025</v>
      </c>
      <c r="E971" s="3" t="s">
        <v>3</v>
      </c>
      <c r="F971" s="4">
        <v>0</v>
      </c>
      <c r="G971" s="3">
        <v>2823</v>
      </c>
      <c r="H971" s="3">
        <v>58</v>
      </c>
      <c r="I971" s="3">
        <v>1012</v>
      </c>
      <c r="J971" s="3">
        <v>1724</v>
      </c>
      <c r="K971" s="3">
        <v>4714</v>
      </c>
      <c r="L971" s="3">
        <v>1</v>
      </c>
      <c r="M971" s="3">
        <v>975</v>
      </c>
    </row>
    <row r="972" spans="1:13" x14ac:dyDescent="0.25">
      <c r="A972" s="1" t="str">
        <f>HYPERLINK("http://www.rosaceae.org/Prunus/Prunus_persica/p.persica_gdr_reftransV1_0032112","p.persica_gdr_reftransV1_0032112")</f>
        <v>p.persica_gdr_reftransV1_0032112</v>
      </c>
      <c r="B972" s="3">
        <v>2492</v>
      </c>
      <c r="C972" s="1" t="str">
        <f>HYPERLINK("http://www.uniprot.org/uniprot/PP213_ARATH","PP213_ARATH")</f>
        <v>PP213_ARATH</v>
      </c>
      <c r="D972" t="s">
        <v>1026</v>
      </c>
      <c r="E972" s="3" t="s">
        <v>3</v>
      </c>
      <c r="F972" s="4">
        <v>0</v>
      </c>
      <c r="G972" s="3">
        <v>1156</v>
      </c>
      <c r="H972" s="3">
        <v>64</v>
      </c>
      <c r="I972" s="3">
        <v>332</v>
      </c>
      <c r="J972" s="3">
        <v>197</v>
      </c>
      <c r="K972" s="3">
        <v>1189</v>
      </c>
      <c r="L972" s="3">
        <v>34</v>
      </c>
      <c r="M972" s="3">
        <v>362</v>
      </c>
    </row>
    <row r="973" spans="1:13" x14ac:dyDescent="0.25">
      <c r="A973" s="1" t="str">
        <f>HYPERLINK("http://www.rosaceae.org/Prunus/Prunus_persica/p.persica_gdr_reftransV1_0032312","p.persica_gdr_reftransV1_0032312")</f>
        <v>p.persica_gdr_reftransV1_0032312</v>
      </c>
      <c r="B973" s="3">
        <v>2767</v>
      </c>
      <c r="C973" s="1" t="str">
        <f>HYPERLINK("http://www.uniprot.org/uniprot/ALF_ORYSJ","ALF_ORYSJ")</f>
        <v>ALF_ORYSJ</v>
      </c>
      <c r="D973" t="s">
        <v>487</v>
      </c>
      <c r="E973" s="3" t="s">
        <v>38</v>
      </c>
      <c r="F973" s="4">
        <v>1.2199999999999999E-164</v>
      </c>
      <c r="G973" s="3">
        <v>1266</v>
      </c>
      <c r="H973" s="3">
        <v>88</v>
      </c>
      <c r="I973" s="3">
        <v>273</v>
      </c>
      <c r="J973" s="3">
        <v>1520</v>
      </c>
      <c r="K973" s="3">
        <v>2338</v>
      </c>
      <c r="L973" s="3">
        <v>86</v>
      </c>
      <c r="M973" s="3">
        <v>358</v>
      </c>
    </row>
    <row r="974" spans="1:13" x14ac:dyDescent="0.25">
      <c r="A974" s="1" t="str">
        <f>HYPERLINK("http://www.rosaceae.org/Prunus/Prunus_persica/p.persica_gdr_reftransV1_0032512","p.persica_gdr_reftransV1_0032512")</f>
        <v>p.persica_gdr_reftransV1_0032512</v>
      </c>
      <c r="B974" s="3">
        <v>794</v>
      </c>
      <c r="C974" s="1" t="str">
        <f>HYPERLINK("http://www.uniprot.org/uniprot/CCA13_ORYSJ","CCA13_ORYSJ")</f>
        <v>CCA13_ORYSJ</v>
      </c>
      <c r="D974" t="s">
        <v>1027</v>
      </c>
      <c r="E974" s="3" t="s">
        <v>38</v>
      </c>
      <c r="F974" s="4">
        <v>1.9299999999999998E-68</v>
      </c>
      <c r="G974" s="3">
        <v>574</v>
      </c>
      <c r="H974" s="3">
        <v>71</v>
      </c>
      <c r="I974" s="3">
        <v>151</v>
      </c>
      <c r="J974" s="3">
        <v>2</v>
      </c>
      <c r="K974" s="3">
        <v>454</v>
      </c>
      <c r="L974" s="3">
        <v>338</v>
      </c>
      <c r="M974" s="3">
        <v>488</v>
      </c>
    </row>
    <row r="975" spans="1:13" x14ac:dyDescent="0.25">
      <c r="A975" s="1" t="str">
        <f>HYPERLINK("http://www.rosaceae.org/Prunus/Prunus_persica/p.persica_gdr_reftransV1_0032762","p.persica_gdr_reftransV1_0032762")</f>
        <v>p.persica_gdr_reftransV1_0032762</v>
      </c>
      <c r="B975" s="3">
        <v>1595</v>
      </c>
      <c r="C975" s="1" t="str">
        <f>HYPERLINK("http://www.uniprot.org/uniprot/UCKC_DICDI","UCKC_DICDI")</f>
        <v>UCKC_DICDI</v>
      </c>
      <c r="D975" t="s">
        <v>1028</v>
      </c>
      <c r="E975" s="3" t="s">
        <v>9</v>
      </c>
      <c r="F975" s="4">
        <v>1.6800000000000001E-26</v>
      </c>
      <c r="G975" s="3">
        <v>288</v>
      </c>
      <c r="H975" s="3">
        <v>54</v>
      </c>
      <c r="I975" s="3">
        <v>107</v>
      </c>
      <c r="J975" s="3">
        <v>1</v>
      </c>
      <c r="K975" s="3">
        <v>306</v>
      </c>
      <c r="L975" s="3">
        <v>197</v>
      </c>
      <c r="M975" s="3">
        <v>302</v>
      </c>
    </row>
    <row r="976" spans="1:13" x14ac:dyDescent="0.25">
      <c r="A976" s="1" t="str">
        <f>HYPERLINK("http://www.rosaceae.org/Prunus/Prunus_persica/p.persica_gdr_reftransV1_0032962","p.persica_gdr_reftransV1_0032962")</f>
        <v>p.persica_gdr_reftransV1_0032962</v>
      </c>
      <c r="B976" s="3">
        <v>1705</v>
      </c>
      <c r="C976" s="1" t="str">
        <f>HYPERLINK("http://www.uniprot.org/uniprot/RN150_HUMAN","RN150_HUMAN")</f>
        <v>RN150_HUMAN</v>
      </c>
      <c r="D976" t="s">
        <v>1029</v>
      </c>
      <c r="E976" s="3" t="s">
        <v>28</v>
      </c>
      <c r="F976" s="4">
        <v>8.8699999999999994E-9</v>
      </c>
      <c r="G976" s="3">
        <v>148</v>
      </c>
      <c r="H976" s="3">
        <v>47</v>
      </c>
      <c r="I976" s="3">
        <v>51</v>
      </c>
      <c r="J976" s="3">
        <v>627</v>
      </c>
      <c r="K976" s="3">
        <v>779</v>
      </c>
      <c r="L976" s="3">
        <v>273</v>
      </c>
      <c r="M976" s="3">
        <v>323</v>
      </c>
    </row>
    <row r="977" spans="1:13" x14ac:dyDescent="0.25">
      <c r="A977" s="1" t="str">
        <f>HYPERLINK("http://www.rosaceae.org/Prunus/Prunus_persica/p.persica_gdr_reftransV1_0033212","p.persica_gdr_reftransV1_0033212")</f>
        <v>p.persica_gdr_reftransV1_0033212</v>
      </c>
      <c r="B977" s="3">
        <v>2187</v>
      </c>
      <c r="C977" s="1" t="str">
        <f>HYPERLINK("http://www.uniprot.org/uniprot/MAD25_ORYSJ","MAD25_ORYSJ")</f>
        <v>MAD25_ORYSJ</v>
      </c>
      <c r="D977" t="s">
        <v>1030</v>
      </c>
      <c r="E977" s="3" t="s">
        <v>38</v>
      </c>
      <c r="F977" s="4">
        <v>8.2399999999999998E-16</v>
      </c>
      <c r="G977" s="3">
        <v>201</v>
      </c>
      <c r="H977" s="3">
        <v>41</v>
      </c>
      <c r="I977" s="3">
        <v>108</v>
      </c>
      <c r="J977" s="3">
        <v>119</v>
      </c>
      <c r="K977" s="3">
        <v>418</v>
      </c>
      <c r="L977" s="3">
        <v>1</v>
      </c>
      <c r="M977" s="3">
        <v>106</v>
      </c>
    </row>
    <row r="978" spans="1:13" x14ac:dyDescent="0.25">
      <c r="A978" s="1" t="str">
        <f>HYPERLINK("http://www.rosaceae.org/Prunus/Prunus_persica/p.persica_gdr_reftransV1_0033262","p.persica_gdr_reftransV1_0033262")</f>
        <v>p.persica_gdr_reftransV1_0033262</v>
      </c>
      <c r="B978" s="3">
        <v>1258</v>
      </c>
      <c r="C978" s="1" t="str">
        <f>HYPERLINK("http://www.uniprot.org/uniprot/PSA2B_ARATH","PSA2B_ARATH")</f>
        <v>PSA2B_ARATH</v>
      </c>
      <c r="D978" t="s">
        <v>1031</v>
      </c>
      <c r="E978" s="3" t="s">
        <v>3</v>
      </c>
      <c r="F978" s="4">
        <v>2.0199999999999998E-157</v>
      </c>
      <c r="G978" s="3">
        <v>1159</v>
      </c>
      <c r="H978" s="3">
        <v>94</v>
      </c>
      <c r="I978" s="3">
        <v>235</v>
      </c>
      <c r="J978" s="3">
        <v>144</v>
      </c>
      <c r="K978" s="3">
        <v>848</v>
      </c>
      <c r="L978" s="3">
        <v>1</v>
      </c>
      <c r="M978" s="3">
        <v>235</v>
      </c>
    </row>
    <row r="979" spans="1:13" x14ac:dyDescent="0.25">
      <c r="A979" s="1" t="str">
        <f>HYPERLINK("http://www.rosaceae.org/Prunus/Prunus_persica/p.persica_gdr_reftransV1_0034062","p.persica_gdr_reftransV1_0034062")</f>
        <v>p.persica_gdr_reftransV1_0034062</v>
      </c>
      <c r="B979" s="3">
        <v>2317</v>
      </c>
      <c r="C979" s="1" t="str">
        <f>HYPERLINK("http://www.uniprot.org/uniprot/MORC4_MOUSE","MORC4_MOUSE")</f>
        <v>MORC4_MOUSE</v>
      </c>
      <c r="D979" t="s">
        <v>1032</v>
      </c>
      <c r="E979" s="3" t="s">
        <v>157</v>
      </c>
      <c r="F979" s="4">
        <v>2.4499999999999999E-43</v>
      </c>
      <c r="G979" s="3">
        <v>437</v>
      </c>
      <c r="H979" s="3">
        <v>32</v>
      </c>
      <c r="I979" s="3">
        <v>377</v>
      </c>
      <c r="J979" s="3">
        <v>20</v>
      </c>
      <c r="K979" s="3">
        <v>1129</v>
      </c>
      <c r="L979" s="3">
        <v>67</v>
      </c>
      <c r="M979" s="3">
        <v>411</v>
      </c>
    </row>
    <row r="980" spans="1:13" x14ac:dyDescent="0.25">
      <c r="A980" s="1" t="str">
        <f>HYPERLINK("http://www.rosaceae.org/Prunus/Prunus_persica/p.persica_gdr_reftransV1_0034112","p.persica_gdr_reftransV1_0034112")</f>
        <v>p.persica_gdr_reftransV1_0034112</v>
      </c>
      <c r="B980" s="3">
        <v>2462</v>
      </c>
      <c r="C980" s="1" t="str">
        <f>HYPERLINK("http://www.uniprot.org/uniprot/FTSH2_ARATH","FTSH2_ARATH")</f>
        <v>FTSH2_ARATH</v>
      </c>
      <c r="D980" t="s">
        <v>1033</v>
      </c>
      <c r="E980" s="3" t="s">
        <v>3</v>
      </c>
      <c r="F980" s="4">
        <v>0</v>
      </c>
      <c r="G980" s="3">
        <v>2652</v>
      </c>
      <c r="H980" s="3">
        <v>85</v>
      </c>
      <c r="I980" s="3">
        <v>685</v>
      </c>
      <c r="J980" s="3">
        <v>294</v>
      </c>
      <c r="K980" s="3">
        <v>2342</v>
      </c>
      <c r="L980" s="3">
        <v>1</v>
      </c>
      <c r="M980" s="3">
        <v>677</v>
      </c>
    </row>
    <row r="981" spans="1:13" x14ac:dyDescent="0.25">
      <c r="A981" s="1" t="str">
        <f>HYPERLINK("http://www.rosaceae.org/Prunus/Prunus_persica/p.persica_gdr_reftransV1_0034362","p.persica_gdr_reftransV1_0034362")</f>
        <v>p.persica_gdr_reftransV1_0034362</v>
      </c>
      <c r="B981" s="3">
        <v>2360</v>
      </c>
      <c r="C981" s="1" t="str">
        <f>HYPERLINK("http://www.uniprot.org/uniprot/BGAL3_ARATH","BGAL3_ARATH")</f>
        <v>BGAL3_ARATH</v>
      </c>
      <c r="D981" t="s">
        <v>1034</v>
      </c>
      <c r="E981" s="3" t="s">
        <v>3</v>
      </c>
      <c r="F981" s="4">
        <v>0</v>
      </c>
      <c r="G981" s="3">
        <v>2343</v>
      </c>
      <c r="H981" s="3">
        <v>80</v>
      </c>
      <c r="I981" s="3">
        <v>530</v>
      </c>
      <c r="J981" s="3">
        <v>240</v>
      </c>
      <c r="K981" s="3">
        <v>1826</v>
      </c>
      <c r="L981" s="3">
        <v>323</v>
      </c>
      <c r="M981" s="3">
        <v>852</v>
      </c>
    </row>
    <row r="982" spans="1:13" x14ac:dyDescent="0.25">
      <c r="A982" s="1" t="str">
        <f>HYPERLINK("http://www.rosaceae.org/Prunus/Prunus_persica/p.persica_gdr_reftransV1_0034562","p.persica_gdr_reftransV1_0034562")</f>
        <v>p.persica_gdr_reftransV1_0034562</v>
      </c>
      <c r="B982" s="3">
        <v>2110</v>
      </c>
      <c r="C982" s="1" t="str">
        <f>HYPERLINK("http://www.uniprot.org/uniprot/STT7_ARATH","STT7_ARATH")</f>
        <v>STT7_ARATH</v>
      </c>
      <c r="D982" t="s">
        <v>1035</v>
      </c>
      <c r="E982" s="3" t="s">
        <v>3</v>
      </c>
      <c r="F982" s="4">
        <v>0</v>
      </c>
      <c r="G982" s="3">
        <v>2072</v>
      </c>
      <c r="H982" s="3">
        <v>79</v>
      </c>
      <c r="I982" s="3">
        <v>508</v>
      </c>
      <c r="J982" s="3">
        <v>468</v>
      </c>
      <c r="K982" s="3">
        <v>1982</v>
      </c>
      <c r="L982" s="3">
        <v>15</v>
      </c>
      <c r="M982" s="3">
        <v>509</v>
      </c>
    </row>
    <row r="983" spans="1:13" x14ac:dyDescent="0.25">
      <c r="A983" s="1" t="str">
        <f>HYPERLINK("http://www.rosaceae.org/Prunus/Prunus_persica/p.persica_gdr_reftransV1_0034612","p.persica_gdr_reftransV1_0034612")</f>
        <v>p.persica_gdr_reftransV1_0034612</v>
      </c>
      <c r="B983" s="3">
        <v>2682</v>
      </c>
      <c r="C983" s="1" t="str">
        <f>HYPERLINK("http://www.uniprot.org/uniprot/BAH1_ARATH","BAH1_ARATH")</f>
        <v>BAH1_ARATH</v>
      </c>
      <c r="D983" t="s">
        <v>1036</v>
      </c>
      <c r="E983" s="3" t="s">
        <v>3</v>
      </c>
      <c r="F983" s="4">
        <v>2.5399999999999999E-85</v>
      </c>
      <c r="G983" s="3">
        <v>722</v>
      </c>
      <c r="H983" s="3">
        <v>61</v>
      </c>
      <c r="I983" s="3">
        <v>278</v>
      </c>
      <c r="J983" s="3">
        <v>1412</v>
      </c>
      <c r="K983" s="3">
        <v>2188</v>
      </c>
      <c r="L983" s="3">
        <v>1</v>
      </c>
      <c r="M983" s="3">
        <v>267</v>
      </c>
    </row>
    <row r="984" spans="1:13" x14ac:dyDescent="0.25">
      <c r="A984" s="1" t="str">
        <f>HYPERLINK("http://www.rosaceae.org/Prunus/Prunus_persica/p.persica_gdr_reftransV1_0034662","p.persica_gdr_reftransV1_0034662")</f>
        <v>p.persica_gdr_reftransV1_0034662</v>
      </c>
      <c r="B984" s="3">
        <v>3069</v>
      </c>
      <c r="C984" s="1" t="str">
        <f>HYPERLINK("http://www.uniprot.org/uniprot/UNG_ARATH","UNG_ARATH")</f>
        <v>UNG_ARATH</v>
      </c>
      <c r="D984" t="s">
        <v>1037</v>
      </c>
      <c r="E984" s="3" t="s">
        <v>3</v>
      </c>
      <c r="F984" s="4">
        <v>1.11E-129</v>
      </c>
      <c r="G984" s="3">
        <v>1035</v>
      </c>
      <c r="H984" s="3">
        <v>66</v>
      </c>
      <c r="I984" s="3">
        <v>328</v>
      </c>
      <c r="J984" s="3">
        <v>1593</v>
      </c>
      <c r="K984" s="3">
        <v>2522</v>
      </c>
      <c r="L984" s="3">
        <v>7</v>
      </c>
      <c r="M984" s="3">
        <v>330</v>
      </c>
    </row>
    <row r="985" spans="1:13" x14ac:dyDescent="0.25">
      <c r="A985" s="1" t="str">
        <f>HYPERLINK("http://www.rosaceae.org/Prunus/Prunus_persica/p.persica_gdr_reftransV1_0034712","p.persica_gdr_reftransV1_0034712")</f>
        <v>p.persica_gdr_reftransV1_0034712</v>
      </c>
      <c r="B985" s="3">
        <v>2770</v>
      </c>
      <c r="C985" s="1" t="str">
        <f>HYPERLINK("http://www.uniprot.org/uniprot/G3PB_PEA","G3PB_PEA")</f>
        <v>G3PB_PEA</v>
      </c>
      <c r="D985" t="s">
        <v>1038</v>
      </c>
      <c r="E985" s="3" t="s">
        <v>60</v>
      </c>
      <c r="F985" s="4">
        <v>0</v>
      </c>
      <c r="G985" s="3">
        <v>1974</v>
      </c>
      <c r="H985" s="3">
        <v>89</v>
      </c>
      <c r="I985" s="3">
        <v>443</v>
      </c>
      <c r="J985" s="3">
        <v>120</v>
      </c>
      <c r="K985" s="3">
        <v>1448</v>
      </c>
      <c r="L985" s="3">
        <v>9</v>
      </c>
      <c r="M985" s="3">
        <v>451</v>
      </c>
    </row>
    <row r="986" spans="1:13" x14ac:dyDescent="0.25">
      <c r="A986" s="1" t="str">
        <f>HYPERLINK("http://www.rosaceae.org/Prunus/Prunus_persica/p.persica_gdr_reftransV1_0034762","p.persica_gdr_reftransV1_0034762")</f>
        <v>p.persica_gdr_reftransV1_0034762</v>
      </c>
      <c r="B986" s="3">
        <v>2559</v>
      </c>
      <c r="C986" s="1" t="str">
        <f>HYPERLINK("http://www.uniprot.org/uniprot/CPRF2_PETCR","CPRF2_PETCR")</f>
        <v>CPRF2_PETCR</v>
      </c>
      <c r="D986" t="s">
        <v>1039</v>
      </c>
      <c r="E986" s="3" t="s">
        <v>1040</v>
      </c>
      <c r="F986" s="4">
        <v>6.2800000000000005E-29</v>
      </c>
      <c r="G986" s="3">
        <v>311</v>
      </c>
      <c r="H986" s="3">
        <v>46</v>
      </c>
      <c r="I986" s="3">
        <v>161</v>
      </c>
      <c r="J986" s="3">
        <v>368</v>
      </c>
      <c r="K986" s="3">
        <v>838</v>
      </c>
      <c r="L986" s="3">
        <v>230</v>
      </c>
      <c r="M986" s="3">
        <v>382</v>
      </c>
    </row>
    <row r="987" spans="1:13" x14ac:dyDescent="0.25">
      <c r="A987" s="1" t="str">
        <f>HYPERLINK("http://www.rosaceae.org/Prunus/Prunus_persica/p.persica_gdr_reftransV1_0034862","p.persica_gdr_reftransV1_0034862")</f>
        <v>p.persica_gdr_reftransV1_0034862</v>
      </c>
      <c r="B987" s="3">
        <v>1124</v>
      </c>
      <c r="C987" s="1" t="str">
        <f>HYPERLINK("http://www.uniprot.org/uniprot/PILR3_ARATH","PILR3_ARATH")</f>
        <v>PILR3_ARATH</v>
      </c>
      <c r="D987" t="s">
        <v>1041</v>
      </c>
      <c r="E987" s="3" t="s">
        <v>3</v>
      </c>
      <c r="F987" s="4">
        <v>1.96E-132</v>
      </c>
      <c r="G987" s="3">
        <v>997</v>
      </c>
      <c r="H987" s="3">
        <v>64</v>
      </c>
      <c r="I987" s="3">
        <v>303</v>
      </c>
      <c r="J987" s="3">
        <v>72</v>
      </c>
      <c r="K987" s="3">
        <v>980</v>
      </c>
      <c r="L987" s="3">
        <v>4</v>
      </c>
      <c r="M987" s="3">
        <v>301</v>
      </c>
    </row>
    <row r="988" spans="1:13" x14ac:dyDescent="0.25">
      <c r="A988" s="1" t="str">
        <f>HYPERLINK("http://www.rosaceae.org/Prunus/Prunus_persica/p.persica_gdr_reftransV1_0034912","p.persica_gdr_reftransV1_0034912")</f>
        <v>p.persica_gdr_reftransV1_0034912</v>
      </c>
      <c r="B988" s="3">
        <v>1707</v>
      </c>
      <c r="C988" s="1" t="str">
        <f>HYPERLINK("http://www.uniprot.org/uniprot/DNJC2_MACFA","DNJC2_MACFA")</f>
        <v>DNJC2_MACFA</v>
      </c>
      <c r="D988" t="s">
        <v>1042</v>
      </c>
      <c r="E988" s="3" t="s">
        <v>674</v>
      </c>
      <c r="F988" s="4">
        <v>2.9199999999999998E-9</v>
      </c>
      <c r="G988" s="3">
        <v>153</v>
      </c>
      <c r="H988" s="3">
        <v>31</v>
      </c>
      <c r="I988" s="3">
        <v>164</v>
      </c>
      <c r="J988" s="3">
        <v>521</v>
      </c>
      <c r="K988" s="3">
        <v>967</v>
      </c>
      <c r="L988" s="3">
        <v>460</v>
      </c>
      <c r="M988" s="3">
        <v>612</v>
      </c>
    </row>
    <row r="989" spans="1:13" x14ac:dyDescent="0.25">
      <c r="A989" s="1" t="str">
        <f>HYPERLINK("http://www.rosaceae.org/Prunus/Prunus_persica/p.persica_gdr_reftransV1_0035012","p.persica_gdr_reftransV1_0035012")</f>
        <v>p.persica_gdr_reftransV1_0035012</v>
      </c>
      <c r="B989" s="3">
        <v>4501</v>
      </c>
      <c r="C989" s="1" t="str">
        <f>HYPERLINK("http://www.uniprot.org/uniprot/TRXB3_ARATH","TRXB3_ARATH")</f>
        <v>TRXB3_ARATH</v>
      </c>
      <c r="D989" t="s">
        <v>1043</v>
      </c>
      <c r="E989" s="3" t="s">
        <v>3</v>
      </c>
      <c r="F989" s="4">
        <v>0</v>
      </c>
      <c r="G989" s="3">
        <v>2139</v>
      </c>
      <c r="H989" s="3">
        <v>86</v>
      </c>
      <c r="I989" s="3">
        <v>447</v>
      </c>
      <c r="J989" s="3">
        <v>2742</v>
      </c>
      <c r="K989" s="3">
        <v>4076</v>
      </c>
      <c r="L989" s="3">
        <v>83</v>
      </c>
      <c r="M989" s="3">
        <v>529</v>
      </c>
    </row>
    <row r="990" spans="1:13" x14ac:dyDescent="0.25">
      <c r="A990" s="1" t="str">
        <f>HYPERLINK("http://www.rosaceae.org/Prunus/Prunus_persica/p.persica_gdr_reftransV1_0035062","p.persica_gdr_reftransV1_0035062")</f>
        <v>p.persica_gdr_reftransV1_0035062</v>
      </c>
      <c r="B990" s="3">
        <v>1341</v>
      </c>
      <c r="C990" s="1" t="str">
        <f>HYPERLINK("http://www.uniprot.org/uniprot/YIPF6_DICDI","YIPF6_DICDI")</f>
        <v>YIPF6_DICDI</v>
      </c>
      <c r="D990" t="s">
        <v>1044</v>
      </c>
      <c r="E990" s="3" t="s">
        <v>9</v>
      </c>
      <c r="F990" s="4">
        <v>1.8999999999999999E-25</v>
      </c>
      <c r="G990" s="3">
        <v>264</v>
      </c>
      <c r="H990" s="3">
        <v>43</v>
      </c>
      <c r="I990" s="3">
        <v>178</v>
      </c>
      <c r="J990" s="3">
        <v>495</v>
      </c>
      <c r="K990" s="3">
        <v>1022</v>
      </c>
      <c r="L990" s="3">
        <v>7</v>
      </c>
      <c r="M990" s="3">
        <v>181</v>
      </c>
    </row>
    <row r="991" spans="1:13" x14ac:dyDescent="0.25">
      <c r="A991" s="1" t="str">
        <f>HYPERLINK("http://www.rosaceae.org/Prunus/Prunus_persica/p.persica_gdr_reftransV1_0035212","p.persica_gdr_reftransV1_0035212")</f>
        <v>p.persica_gdr_reftransV1_0035212</v>
      </c>
      <c r="B991" s="3">
        <v>3839</v>
      </c>
      <c r="C991" s="1" t="str">
        <f>HYPERLINK("http://www.uniprot.org/uniprot/AMPD_ARATH","AMPD_ARATH")</f>
        <v>AMPD_ARATH</v>
      </c>
      <c r="D991" t="s">
        <v>467</v>
      </c>
      <c r="E991" s="3" t="s">
        <v>3</v>
      </c>
      <c r="F991" s="4">
        <v>0</v>
      </c>
      <c r="G991" s="3">
        <v>2480</v>
      </c>
      <c r="H991" s="3">
        <v>72</v>
      </c>
      <c r="I991" s="3">
        <v>647</v>
      </c>
      <c r="J991" s="3">
        <v>1421</v>
      </c>
      <c r="K991" s="3">
        <v>3358</v>
      </c>
      <c r="L991" s="3">
        <v>230</v>
      </c>
      <c r="M991" s="3">
        <v>839</v>
      </c>
    </row>
    <row r="992" spans="1:13" x14ac:dyDescent="0.25">
      <c r="A992" s="1" t="str">
        <f>HYPERLINK("http://www.rosaceae.org/Prunus/Prunus_persica/p.persica_gdr_reftransV1_0035862","p.persica_gdr_reftransV1_0035862")</f>
        <v>p.persica_gdr_reftransV1_0035862</v>
      </c>
      <c r="B992" s="3">
        <v>575</v>
      </c>
      <c r="C992" s="1" t="str">
        <f>HYPERLINK("http://www.uniprot.org/uniprot/ERD2B_ARATH","ERD2B_ARATH")</f>
        <v>ERD2B_ARATH</v>
      </c>
      <c r="D992" t="s">
        <v>1045</v>
      </c>
      <c r="E992" s="3" t="s">
        <v>3</v>
      </c>
      <c r="F992" s="4">
        <v>3.5200000000000002E-65</v>
      </c>
      <c r="G992" s="3">
        <v>524</v>
      </c>
      <c r="H992" s="3">
        <v>81</v>
      </c>
      <c r="I992" s="3">
        <v>120</v>
      </c>
      <c r="J992" s="3">
        <v>59</v>
      </c>
      <c r="K992" s="3">
        <v>418</v>
      </c>
      <c r="L992" s="3">
        <v>1</v>
      </c>
      <c r="M992" s="3">
        <v>120</v>
      </c>
    </row>
    <row r="993" spans="1:13" x14ac:dyDescent="0.25">
      <c r="A993" s="1" t="str">
        <f>HYPERLINK("http://www.rosaceae.org/Prunus/Prunus_persica/p.persica_gdr_reftransV1_0036162","p.persica_gdr_reftransV1_0036162")</f>
        <v>p.persica_gdr_reftransV1_0036162</v>
      </c>
      <c r="B993" s="3">
        <v>1064</v>
      </c>
      <c r="C993" s="1" t="str">
        <f>HYPERLINK("http://www.uniprot.org/uniprot/GCSH2_ARATH","GCSH2_ARATH")</f>
        <v>GCSH2_ARATH</v>
      </c>
      <c r="D993" t="s">
        <v>1046</v>
      </c>
      <c r="E993" s="3" t="s">
        <v>3</v>
      </c>
      <c r="F993" s="4">
        <v>1.74E-72</v>
      </c>
      <c r="G993" s="3">
        <v>583</v>
      </c>
      <c r="H993" s="3">
        <v>81</v>
      </c>
      <c r="I993" s="3">
        <v>138</v>
      </c>
      <c r="J993" s="3">
        <v>279</v>
      </c>
      <c r="K993" s="3">
        <v>689</v>
      </c>
      <c r="L993" s="3">
        <v>17</v>
      </c>
      <c r="M993" s="3">
        <v>154</v>
      </c>
    </row>
    <row r="994" spans="1:13" x14ac:dyDescent="0.25">
      <c r="A994" s="1" t="str">
        <f>HYPERLINK("http://www.rosaceae.org/Prunus/Prunus_persica/p.persica_gdr_reftransV1_0036312","p.persica_gdr_reftransV1_0036312")</f>
        <v>p.persica_gdr_reftransV1_0036312</v>
      </c>
      <c r="B994" s="3">
        <v>3821</v>
      </c>
      <c r="C994" s="1" t="str">
        <f>HYPERLINK("http://www.uniprot.org/uniprot/SNX16_MOUSE","SNX16_MOUSE")</f>
        <v>SNX16_MOUSE</v>
      </c>
      <c r="D994" t="s">
        <v>1047</v>
      </c>
      <c r="E994" s="3" t="s">
        <v>157</v>
      </c>
      <c r="F994" s="4">
        <v>8.0300000000000002E-10</v>
      </c>
      <c r="G994" s="3">
        <v>159</v>
      </c>
      <c r="H994" s="3">
        <v>40</v>
      </c>
      <c r="I994" s="3">
        <v>88</v>
      </c>
      <c r="J994" s="3">
        <v>1967</v>
      </c>
      <c r="K994" s="3">
        <v>2227</v>
      </c>
      <c r="L994" s="3">
        <v>124</v>
      </c>
      <c r="M994" s="3">
        <v>211</v>
      </c>
    </row>
    <row r="995" spans="1:13" x14ac:dyDescent="0.25">
      <c r="A995" s="1" t="str">
        <f>HYPERLINK("http://www.rosaceae.org/Prunus/Prunus_persica/p.persica_gdr_reftransV1_0036912","p.persica_gdr_reftransV1_0036912")</f>
        <v>p.persica_gdr_reftransV1_0036912</v>
      </c>
      <c r="B995" s="3">
        <v>3397</v>
      </c>
      <c r="C995" s="1" t="str">
        <f>HYPERLINK("http://www.uniprot.org/uniprot/SPNS3_ARATH","SPNS3_ARATH")</f>
        <v>SPNS3_ARATH</v>
      </c>
      <c r="D995" t="s">
        <v>1048</v>
      </c>
      <c r="E995" s="3" t="s">
        <v>3</v>
      </c>
      <c r="F995" s="4">
        <v>5.2300000000000002E-180</v>
      </c>
      <c r="G995" s="3">
        <v>1401</v>
      </c>
      <c r="H995" s="3">
        <v>63</v>
      </c>
      <c r="I995" s="3">
        <v>449</v>
      </c>
      <c r="J995" s="3">
        <v>1896</v>
      </c>
      <c r="K995" s="3">
        <v>3239</v>
      </c>
      <c r="L995" s="3">
        <v>22</v>
      </c>
      <c r="M995" s="3">
        <v>451</v>
      </c>
    </row>
    <row r="996" spans="1:13" x14ac:dyDescent="0.25">
      <c r="A996" s="1" t="str">
        <f>HYPERLINK("http://www.rosaceae.org/Prunus/Prunus_persica/p.persica_gdr_reftransV1_0037062","p.persica_gdr_reftransV1_0037062")</f>
        <v>p.persica_gdr_reftransV1_0037062</v>
      </c>
      <c r="B996" s="3">
        <v>1721</v>
      </c>
      <c r="C996" s="1" t="str">
        <f>HYPERLINK("http://www.uniprot.org/uniprot/LCYD1_ARATH","LCYD1_ARATH")</f>
        <v>LCYD1_ARATH</v>
      </c>
      <c r="D996" t="s">
        <v>1049</v>
      </c>
      <c r="E996" s="3" t="s">
        <v>3</v>
      </c>
      <c r="F996" s="4">
        <v>8.8399999999999992E-171</v>
      </c>
      <c r="G996" s="3">
        <v>1286</v>
      </c>
      <c r="H996" s="3">
        <v>61</v>
      </c>
      <c r="I996" s="3">
        <v>368</v>
      </c>
      <c r="J996" s="3">
        <v>3</v>
      </c>
      <c r="K996" s="3">
        <v>1106</v>
      </c>
      <c r="L996" s="3">
        <v>17</v>
      </c>
      <c r="M996" s="3">
        <v>381</v>
      </c>
    </row>
    <row r="997" spans="1:13" x14ac:dyDescent="0.25">
      <c r="A997" s="1" t="str">
        <f>HYPERLINK("http://www.rosaceae.org/Prunus/Prunus_persica/p.persica_gdr_reftransV1_0037112","p.persica_gdr_reftransV1_0037112")</f>
        <v>p.persica_gdr_reftransV1_0037112</v>
      </c>
      <c r="B997" s="3">
        <v>352</v>
      </c>
      <c r="C997" s="1" t="str">
        <f>HYPERLINK("http://www.uniprot.org/uniprot/SF21_HELAN","SF21_HELAN")</f>
        <v>SF21_HELAN</v>
      </c>
      <c r="D997" t="s">
        <v>598</v>
      </c>
      <c r="E997" s="3" t="s">
        <v>599</v>
      </c>
      <c r="F997" s="4">
        <v>3.1799999999999999E-35</v>
      </c>
      <c r="G997" s="3">
        <v>323</v>
      </c>
      <c r="H997" s="3">
        <v>73</v>
      </c>
      <c r="I997" s="3">
        <v>79</v>
      </c>
      <c r="J997" s="3">
        <v>112</v>
      </c>
      <c r="K997" s="3">
        <v>348</v>
      </c>
      <c r="L997" s="3">
        <v>18</v>
      </c>
      <c r="M997" s="3">
        <v>96</v>
      </c>
    </row>
    <row r="998" spans="1:13" x14ac:dyDescent="0.25">
      <c r="A998" s="1" t="str">
        <f>HYPERLINK("http://www.rosaceae.org/Prunus/Prunus_persica/p.persica_gdr_reftransV1_0037362","p.persica_gdr_reftransV1_0037362")</f>
        <v>p.persica_gdr_reftransV1_0037362</v>
      </c>
      <c r="B998" s="3">
        <v>2303</v>
      </c>
      <c r="C998" s="1" t="str">
        <f>HYPERLINK("http://www.uniprot.org/uniprot/JMJD4_DANRE","JMJD4_DANRE")</f>
        <v>JMJD4_DANRE</v>
      </c>
      <c r="D998" t="s">
        <v>1050</v>
      </c>
      <c r="E998" s="3" t="s">
        <v>704</v>
      </c>
      <c r="F998" s="4">
        <v>2.8E-44</v>
      </c>
      <c r="G998" s="3">
        <v>428</v>
      </c>
      <c r="H998" s="3">
        <v>40</v>
      </c>
      <c r="I998" s="3">
        <v>209</v>
      </c>
      <c r="J998" s="3">
        <v>74</v>
      </c>
      <c r="K998" s="3">
        <v>697</v>
      </c>
      <c r="L998" s="3">
        <v>34</v>
      </c>
      <c r="M998" s="3">
        <v>220</v>
      </c>
    </row>
    <row r="999" spans="1:13" x14ac:dyDescent="0.25">
      <c r="A999" s="1" t="str">
        <f>HYPERLINK("http://www.rosaceae.org/Prunus/Prunus_persica/p.persica_gdr_reftransV1_0037712","p.persica_gdr_reftransV1_0037712")</f>
        <v>p.persica_gdr_reftransV1_0037712</v>
      </c>
      <c r="B999" s="3">
        <v>4044</v>
      </c>
      <c r="C999" s="1" t="str">
        <f>HYPERLINK("http://www.uniprot.org/uniprot/FRS5_ARATH","FRS5_ARATH")</f>
        <v>FRS5_ARATH</v>
      </c>
      <c r="D999" t="s">
        <v>908</v>
      </c>
      <c r="E999" s="3" t="s">
        <v>3</v>
      </c>
      <c r="F999" s="4">
        <v>0</v>
      </c>
      <c r="G999" s="3">
        <v>2904</v>
      </c>
      <c r="H999" s="3">
        <v>76</v>
      </c>
      <c r="I999" s="3">
        <v>747</v>
      </c>
      <c r="J999" s="3">
        <v>425</v>
      </c>
      <c r="K999" s="3">
        <v>2656</v>
      </c>
      <c r="L999" s="3">
        <v>2</v>
      </c>
      <c r="M999" s="3">
        <v>729</v>
      </c>
    </row>
    <row r="1000" spans="1:13" x14ac:dyDescent="0.25">
      <c r="A1000" s="1" t="str">
        <f>HYPERLINK("http://www.rosaceae.org/Prunus/Prunus_persica/p.persica_gdr_reftransV1_0038212","p.persica_gdr_reftransV1_0038212")</f>
        <v>p.persica_gdr_reftransV1_0038212</v>
      </c>
      <c r="B1000" s="3">
        <v>5449</v>
      </c>
      <c r="C1000" s="1" t="str">
        <f>HYPERLINK("http://www.uniprot.org/uniprot/HEN1_ARATH","HEN1_ARATH")</f>
        <v>HEN1_ARATH</v>
      </c>
      <c r="D1000" t="s">
        <v>1051</v>
      </c>
      <c r="E1000" s="3" t="s">
        <v>3</v>
      </c>
      <c r="F1000" s="4">
        <v>1.03E-155</v>
      </c>
      <c r="G1000" s="3">
        <v>1311</v>
      </c>
      <c r="H1000" s="3">
        <v>50</v>
      </c>
      <c r="I1000" s="3">
        <v>606</v>
      </c>
      <c r="J1000" s="3">
        <v>583</v>
      </c>
      <c r="K1000" s="3">
        <v>2358</v>
      </c>
      <c r="L1000" s="3">
        <v>349</v>
      </c>
      <c r="M1000" s="3">
        <v>934</v>
      </c>
    </row>
    <row r="1001" spans="1:13" x14ac:dyDescent="0.25">
      <c r="A1001" s="1" t="str">
        <f>HYPERLINK("http://www.rosaceae.org/Prunus/Prunus_persica/p.persica_gdr_reftransV1_0038312","p.persica_gdr_reftransV1_0038312")</f>
        <v>p.persica_gdr_reftransV1_0038312</v>
      </c>
      <c r="B1001" s="3">
        <v>1659</v>
      </c>
      <c r="C1001" s="1" t="str">
        <f>HYPERLINK("http://www.uniprot.org/uniprot/GBF1_ARATH","GBF1_ARATH")</f>
        <v>GBF1_ARATH</v>
      </c>
      <c r="D1001" t="s">
        <v>1052</v>
      </c>
      <c r="E1001" s="3" t="s">
        <v>3</v>
      </c>
      <c r="F1001" s="4">
        <v>2.14E-92</v>
      </c>
      <c r="G1001" s="3">
        <v>748</v>
      </c>
      <c r="H1001" s="3">
        <v>51</v>
      </c>
      <c r="I1001" s="3">
        <v>377</v>
      </c>
      <c r="J1001" s="3">
        <v>104</v>
      </c>
      <c r="K1001" s="3">
        <v>1234</v>
      </c>
      <c r="L1001" s="3">
        <v>1</v>
      </c>
      <c r="M1001" s="3">
        <v>303</v>
      </c>
    </row>
    <row r="1002" spans="1:13" x14ac:dyDescent="0.25">
      <c r="A1002" s="1" t="str">
        <f>HYPERLINK("http://www.rosaceae.org/Prunus/Prunus_persica/p.persica_gdr_reftransV1_0038662","p.persica_gdr_reftransV1_0038662")</f>
        <v>p.persica_gdr_reftransV1_0038662</v>
      </c>
      <c r="B1002" s="3">
        <v>1998</v>
      </c>
      <c r="C1002" s="1" t="str">
        <f>HYPERLINK("http://www.uniprot.org/uniprot/POT1_ARATH","POT1_ARATH")</f>
        <v>POT1_ARATH</v>
      </c>
      <c r="D1002" t="s">
        <v>398</v>
      </c>
      <c r="E1002" s="3" t="s">
        <v>3</v>
      </c>
      <c r="F1002" s="4">
        <v>0</v>
      </c>
      <c r="G1002" s="3">
        <v>1649</v>
      </c>
      <c r="H1002" s="3">
        <v>70</v>
      </c>
      <c r="I1002" s="3">
        <v>460</v>
      </c>
      <c r="J1002" s="3">
        <v>242</v>
      </c>
      <c r="K1002" s="3">
        <v>1621</v>
      </c>
      <c r="L1002" s="3">
        <v>281</v>
      </c>
      <c r="M1002" s="3">
        <v>712</v>
      </c>
    </row>
    <row r="1003" spans="1:13" x14ac:dyDescent="0.25">
      <c r="A1003" s="1" t="str">
        <f>HYPERLINK("http://www.rosaceae.org/Prunus/Prunus_persica/p.persica_gdr_reftransV1_0039162","p.persica_gdr_reftransV1_0039162")</f>
        <v>p.persica_gdr_reftransV1_0039162</v>
      </c>
      <c r="B1003" s="3">
        <v>1500</v>
      </c>
      <c r="C1003" s="1" t="str">
        <f>HYPERLINK("http://www.uniprot.org/uniprot/ERF71_ARATH","ERF71_ARATH")</f>
        <v>ERF71_ARATH</v>
      </c>
      <c r="D1003" t="s">
        <v>1053</v>
      </c>
      <c r="E1003" s="3" t="s">
        <v>3</v>
      </c>
      <c r="F1003" s="4">
        <v>2.43E-25</v>
      </c>
      <c r="G1003" s="3">
        <v>265</v>
      </c>
      <c r="H1003" s="3">
        <v>81</v>
      </c>
      <c r="I1003" s="3">
        <v>70</v>
      </c>
      <c r="J1003" s="3">
        <v>783</v>
      </c>
      <c r="K1003" s="3">
        <v>992</v>
      </c>
      <c r="L1003" s="3">
        <v>38</v>
      </c>
      <c r="M1003" s="3">
        <v>107</v>
      </c>
    </row>
    <row r="1004" spans="1:13" x14ac:dyDescent="0.25">
      <c r="A1004" s="1" t="str">
        <f>HYPERLINK("http://www.rosaceae.org/Prunus/Prunus_persica/p.persica_gdr_reftransV1_0039212","p.persica_gdr_reftransV1_0039212")</f>
        <v>p.persica_gdr_reftransV1_0039212</v>
      </c>
      <c r="B1004" s="3">
        <v>3108</v>
      </c>
      <c r="C1004" s="1" t="str">
        <f>HYPERLINK("http://www.uniprot.org/uniprot/PLST3_ARATH","PLST3_ARATH")</f>
        <v>PLST3_ARATH</v>
      </c>
      <c r="D1004" t="s">
        <v>1054</v>
      </c>
      <c r="E1004" s="3" t="s">
        <v>3</v>
      </c>
      <c r="F1004" s="4">
        <v>1.6300000000000001E-127</v>
      </c>
      <c r="G1004" s="3">
        <v>1037</v>
      </c>
      <c r="H1004" s="3">
        <v>64</v>
      </c>
      <c r="I1004" s="3">
        <v>330</v>
      </c>
      <c r="J1004" s="3">
        <v>1870</v>
      </c>
      <c r="K1004" s="3">
        <v>2814</v>
      </c>
      <c r="L1004" s="3">
        <v>11</v>
      </c>
      <c r="M1004" s="3">
        <v>334</v>
      </c>
    </row>
    <row r="1005" spans="1:13" x14ac:dyDescent="0.25">
      <c r="A1005" s="1" t="str">
        <f>HYPERLINK("http://www.rosaceae.org/Prunus/Prunus_persica/p.persica_gdr_reftransV1_0039312","p.persica_gdr_reftransV1_0039312")</f>
        <v>p.persica_gdr_reftransV1_0039312</v>
      </c>
      <c r="B1005" s="3">
        <v>1807</v>
      </c>
      <c r="C1005" s="1" t="str">
        <f>HYPERLINK("http://www.uniprot.org/uniprot/WAKLQ_ARATH","WAKLQ_ARATH")</f>
        <v>WAKLQ_ARATH</v>
      </c>
      <c r="D1005" t="s">
        <v>1055</v>
      </c>
      <c r="E1005" s="3" t="s">
        <v>3</v>
      </c>
      <c r="F1005" s="4">
        <v>2.56E-39</v>
      </c>
      <c r="G1005" s="3">
        <v>394</v>
      </c>
      <c r="H1005" s="3">
        <v>37</v>
      </c>
      <c r="I1005" s="3">
        <v>299</v>
      </c>
      <c r="J1005" s="3">
        <v>755</v>
      </c>
      <c r="K1005" s="3">
        <v>1591</v>
      </c>
      <c r="L1005" s="3">
        <v>349</v>
      </c>
      <c r="M1005" s="3">
        <v>646</v>
      </c>
    </row>
    <row r="1006" spans="1:13" x14ac:dyDescent="0.25">
      <c r="A1006" s="1" t="str">
        <f>HYPERLINK("http://www.rosaceae.org/Prunus/Prunus_persica/p.persica_gdr_reftransV1_0039812","p.persica_gdr_reftransV1_0039812")</f>
        <v>p.persica_gdr_reftransV1_0039812</v>
      </c>
      <c r="B1006" s="3">
        <v>2541</v>
      </c>
      <c r="C1006" s="1" t="str">
        <f>HYPERLINK("http://www.uniprot.org/uniprot/CLPR2_ARATH","CLPR2_ARATH")</f>
        <v>CLPR2_ARATH</v>
      </c>
      <c r="D1006" t="s">
        <v>1056</v>
      </c>
      <c r="E1006" s="3" t="s">
        <v>3</v>
      </c>
      <c r="F1006" s="4">
        <v>1.97E-76</v>
      </c>
      <c r="G1006" s="3">
        <v>653</v>
      </c>
      <c r="H1006" s="3">
        <v>70</v>
      </c>
      <c r="I1006" s="3">
        <v>189</v>
      </c>
      <c r="J1006" s="3">
        <v>1803</v>
      </c>
      <c r="K1006" s="3">
        <v>2369</v>
      </c>
      <c r="L1006" s="3">
        <v>1</v>
      </c>
      <c r="M1006" s="3">
        <v>179</v>
      </c>
    </row>
    <row r="1007" spans="1:13" x14ac:dyDescent="0.25">
      <c r="A1007" s="1" t="str">
        <f>HYPERLINK("http://www.rosaceae.org/Prunus/Prunus_persica/p.persica_gdr_reftransV1_0039912","p.persica_gdr_reftransV1_0039912")</f>
        <v>p.persica_gdr_reftransV1_0039912</v>
      </c>
      <c r="B1007" s="3">
        <v>1846</v>
      </c>
      <c r="C1007" s="1" t="str">
        <f>HYPERLINK("http://www.uniprot.org/uniprot/XPT_ARATH","XPT_ARATH")</f>
        <v>XPT_ARATH</v>
      </c>
      <c r="D1007" t="s">
        <v>1057</v>
      </c>
      <c r="E1007" s="3" t="s">
        <v>3</v>
      </c>
      <c r="F1007" s="4">
        <v>0</v>
      </c>
      <c r="G1007" s="3">
        <v>1419</v>
      </c>
      <c r="H1007" s="3">
        <v>77</v>
      </c>
      <c r="I1007" s="3">
        <v>378</v>
      </c>
      <c r="J1007" s="3">
        <v>396</v>
      </c>
      <c r="K1007" s="3">
        <v>1511</v>
      </c>
      <c r="L1007" s="3">
        <v>42</v>
      </c>
      <c r="M1007" s="3">
        <v>417</v>
      </c>
    </row>
    <row r="1008" spans="1:13" x14ac:dyDescent="0.25">
      <c r="A1008" s="1" t="str">
        <f>HYPERLINK("http://www.rosaceae.org/Prunus/Prunus_persica/p.persica_gdr_reftransV1_0040112","p.persica_gdr_reftransV1_0040112")</f>
        <v>p.persica_gdr_reftransV1_0040112</v>
      </c>
      <c r="B1008" s="3">
        <v>2223</v>
      </c>
      <c r="C1008" s="1" t="str">
        <f>HYPERLINK("http://www.uniprot.org/uniprot/PUX1_ARATH","PUX1_ARATH")</f>
        <v>PUX1_ARATH</v>
      </c>
      <c r="D1008" t="s">
        <v>1058</v>
      </c>
      <c r="E1008" s="3" t="s">
        <v>3</v>
      </c>
      <c r="F1008" s="4">
        <v>4.7299999999999996E-47</v>
      </c>
      <c r="G1008" s="3">
        <v>435</v>
      </c>
      <c r="H1008" s="3">
        <v>71</v>
      </c>
      <c r="I1008" s="3">
        <v>116</v>
      </c>
      <c r="J1008" s="3">
        <v>295</v>
      </c>
      <c r="K1008" s="3">
        <v>642</v>
      </c>
      <c r="L1008" s="3">
        <v>108</v>
      </c>
      <c r="M1008" s="3">
        <v>221</v>
      </c>
    </row>
    <row r="1009" spans="1:13" x14ac:dyDescent="0.25">
      <c r="A1009" s="1" t="str">
        <f>HYPERLINK("http://www.rosaceae.org/Prunus/Prunus_persica/p.persica_gdr_reftransV1_0040312","p.persica_gdr_reftransV1_0040312")</f>
        <v>p.persica_gdr_reftransV1_0040312</v>
      </c>
      <c r="B1009" s="3">
        <v>5142</v>
      </c>
      <c r="C1009" s="1" t="str">
        <f>HYPERLINK("http://www.uniprot.org/uniprot/SHGR2_ARATH","SHGR2_ARATH")</f>
        <v>SHGR2_ARATH</v>
      </c>
      <c r="D1009" t="s">
        <v>1059</v>
      </c>
      <c r="E1009" s="3" t="s">
        <v>3</v>
      </c>
      <c r="F1009" s="4">
        <v>0</v>
      </c>
      <c r="G1009" s="3">
        <v>1603</v>
      </c>
      <c r="H1009" s="3">
        <v>57</v>
      </c>
      <c r="I1009" s="3">
        <v>564</v>
      </c>
      <c r="J1009" s="3">
        <v>2159</v>
      </c>
      <c r="K1009" s="3">
        <v>3826</v>
      </c>
      <c r="L1009" s="3">
        <v>309</v>
      </c>
      <c r="M1009" s="3">
        <v>850</v>
      </c>
    </row>
    <row r="1010" spans="1:13" x14ac:dyDescent="0.25">
      <c r="A1010" s="1" t="str">
        <f>HYPERLINK("http://www.rosaceae.org/Prunus/Prunus_persica/p.persica_gdr_reftransV1_0040362","p.persica_gdr_reftransV1_0040362")</f>
        <v>p.persica_gdr_reftransV1_0040362</v>
      </c>
      <c r="B1010" s="3">
        <v>2228</v>
      </c>
      <c r="C1010" s="1" t="str">
        <f>HYPERLINK("http://www.uniprot.org/uniprot/PIGC_DICDI","PIGC_DICDI")</f>
        <v>PIGC_DICDI</v>
      </c>
      <c r="D1010" t="s">
        <v>1060</v>
      </c>
      <c r="E1010" s="3" t="s">
        <v>9</v>
      </c>
      <c r="F1010" s="4">
        <v>1.9399999999999999E-33</v>
      </c>
      <c r="G1010" s="3">
        <v>342</v>
      </c>
      <c r="H1010" s="3">
        <v>36</v>
      </c>
      <c r="I1010" s="3">
        <v>283</v>
      </c>
      <c r="J1010" s="3">
        <v>166</v>
      </c>
      <c r="K1010" s="3">
        <v>1014</v>
      </c>
      <c r="L1010" s="3">
        <v>63</v>
      </c>
      <c r="M1010" s="3">
        <v>337</v>
      </c>
    </row>
    <row r="1011" spans="1:13" x14ac:dyDescent="0.25">
      <c r="A1011" s="1" t="str">
        <f>HYPERLINK("http://www.rosaceae.org/Prunus/Prunus_persica/p.persica_gdr_reftransV1_0040462","p.persica_gdr_reftransV1_0040462")</f>
        <v>p.persica_gdr_reftransV1_0040462</v>
      </c>
      <c r="B1011" s="3">
        <v>1305</v>
      </c>
      <c r="C1011" s="1" t="str">
        <f>HYPERLINK("http://www.uniprot.org/uniprot/ERI2_XENLA","ERI2_XENLA")</f>
        <v>ERI2_XENLA</v>
      </c>
      <c r="D1011" t="s">
        <v>1061</v>
      </c>
      <c r="E1011" s="3" t="s">
        <v>475</v>
      </c>
      <c r="F1011" s="4">
        <v>2.5599999999999999E-42</v>
      </c>
      <c r="G1011" s="3">
        <v>410</v>
      </c>
      <c r="H1011" s="3">
        <v>42</v>
      </c>
      <c r="I1011" s="3">
        <v>218</v>
      </c>
      <c r="J1011" s="3">
        <v>213</v>
      </c>
      <c r="K1011" s="3">
        <v>818</v>
      </c>
      <c r="L1011" s="3">
        <v>27</v>
      </c>
      <c r="M1011" s="3">
        <v>242</v>
      </c>
    </row>
    <row r="1012" spans="1:13" x14ac:dyDescent="0.25">
      <c r="A1012" s="1" t="str">
        <f>HYPERLINK("http://www.rosaceae.org/Prunus/Prunus_persica/p.persica_gdr_reftransV1_0040512","p.persica_gdr_reftransV1_0040512")</f>
        <v>p.persica_gdr_reftransV1_0040512</v>
      </c>
      <c r="B1012" s="3">
        <v>1579</v>
      </c>
      <c r="C1012" s="1" t="str">
        <f>HYPERLINK("http://www.uniprot.org/uniprot/M3K1_ARATH","M3K1_ARATH")</f>
        <v>M3K1_ARATH</v>
      </c>
      <c r="D1012" t="s">
        <v>1062</v>
      </c>
      <c r="E1012" s="3" t="s">
        <v>3</v>
      </c>
      <c r="F1012" s="4">
        <v>3.6300000000000003E-67</v>
      </c>
      <c r="G1012" s="3">
        <v>595</v>
      </c>
      <c r="H1012" s="3">
        <v>70</v>
      </c>
      <c r="I1012" s="3">
        <v>158</v>
      </c>
      <c r="J1012" s="3">
        <v>1</v>
      </c>
      <c r="K1012" s="3">
        <v>471</v>
      </c>
      <c r="L1012" s="3">
        <v>357</v>
      </c>
      <c r="M1012" s="3">
        <v>514</v>
      </c>
    </row>
    <row r="1013" spans="1:13" x14ac:dyDescent="0.25">
      <c r="A1013" s="1" t="str">
        <f>HYPERLINK("http://www.rosaceae.org/Prunus/Prunus_persica/p.persica_gdr_reftransV1_0041262","p.persica_gdr_reftransV1_0041262")</f>
        <v>p.persica_gdr_reftransV1_0041262</v>
      </c>
      <c r="B1013" s="3">
        <v>1208</v>
      </c>
      <c r="C1013" s="1" t="str">
        <f>HYPERLINK("http://www.uniprot.org/uniprot/Y3720_ARATH","Y3720_ARATH")</f>
        <v>Y3720_ARATH</v>
      </c>
      <c r="D1013" t="s">
        <v>104</v>
      </c>
      <c r="E1013" s="3" t="s">
        <v>3</v>
      </c>
      <c r="F1013" s="4">
        <v>3.8100000000000003E-55</v>
      </c>
      <c r="G1013" s="3">
        <v>494</v>
      </c>
      <c r="H1013" s="3">
        <v>34</v>
      </c>
      <c r="I1013" s="3">
        <v>385</v>
      </c>
      <c r="J1013" s="3">
        <v>5</v>
      </c>
      <c r="K1013" s="3">
        <v>1108</v>
      </c>
      <c r="L1013" s="3">
        <v>110</v>
      </c>
      <c r="M1013" s="3">
        <v>462</v>
      </c>
    </row>
    <row r="1014" spans="1:13" x14ac:dyDescent="0.25">
      <c r="A1014" s="1" t="str">
        <f>HYPERLINK("http://www.rosaceae.org/Prunus/Prunus_persica/p.persica_gdr_reftransV1_0041562","p.persica_gdr_reftransV1_0041562")</f>
        <v>p.persica_gdr_reftransV1_0041562</v>
      </c>
      <c r="B1014" s="3">
        <v>2182</v>
      </c>
      <c r="C1014" s="1" t="str">
        <f>HYPERLINK("http://www.uniprot.org/uniprot/Y4345_ARATH","Y4345_ARATH")</f>
        <v>Y4345_ARATH</v>
      </c>
      <c r="D1014" t="s">
        <v>1063</v>
      </c>
      <c r="E1014" s="3" t="s">
        <v>3</v>
      </c>
      <c r="F1014" s="4">
        <v>0</v>
      </c>
      <c r="G1014" s="3">
        <v>1515</v>
      </c>
      <c r="H1014" s="3">
        <v>73</v>
      </c>
      <c r="I1014" s="3">
        <v>427</v>
      </c>
      <c r="J1014" s="3">
        <v>805</v>
      </c>
      <c r="K1014" s="3">
        <v>2055</v>
      </c>
      <c r="L1014" s="3">
        <v>8</v>
      </c>
      <c r="M1014" s="3">
        <v>426</v>
      </c>
    </row>
    <row r="1015" spans="1:13" x14ac:dyDescent="0.25">
      <c r="A1015" s="1" t="str">
        <f>HYPERLINK("http://www.rosaceae.org/Prunus/Prunus_persica/p.persica_gdr_reftransV1_0041662","p.persica_gdr_reftransV1_0041662")</f>
        <v>p.persica_gdr_reftransV1_0041662</v>
      </c>
      <c r="B1015" s="3">
        <v>2602</v>
      </c>
      <c r="C1015" s="1" t="str">
        <f>HYPERLINK("http://www.uniprot.org/uniprot/FRL3_ARATH","FRL3_ARATH")</f>
        <v>FRL3_ARATH</v>
      </c>
      <c r="D1015" t="s">
        <v>270</v>
      </c>
      <c r="E1015" s="3" t="s">
        <v>3</v>
      </c>
      <c r="F1015" s="4">
        <v>1.6900000000000001E-51</v>
      </c>
      <c r="G1015" s="3">
        <v>492</v>
      </c>
      <c r="H1015" s="3">
        <v>43</v>
      </c>
      <c r="I1015" s="3">
        <v>348</v>
      </c>
      <c r="J1015" s="3">
        <v>1312</v>
      </c>
      <c r="K1015" s="3">
        <v>2325</v>
      </c>
      <c r="L1015" s="3">
        <v>12</v>
      </c>
      <c r="M1015" s="3">
        <v>355</v>
      </c>
    </row>
    <row r="1016" spans="1:13" x14ac:dyDescent="0.25">
      <c r="A1016" s="1" t="str">
        <f>HYPERLINK("http://www.rosaceae.org/Prunus/Prunus_persica/p.persica_gdr_reftransV1_0041862","p.persica_gdr_reftransV1_0041862")</f>
        <v>p.persica_gdr_reftransV1_0041862</v>
      </c>
      <c r="B1016" s="3">
        <v>606</v>
      </c>
      <c r="C1016" s="1" t="str">
        <f>HYPERLINK("http://www.uniprot.org/uniprot/TT12_ARATH","TT12_ARATH")</f>
        <v>TT12_ARATH</v>
      </c>
      <c r="D1016" t="s">
        <v>353</v>
      </c>
      <c r="E1016" s="3" t="s">
        <v>3</v>
      </c>
      <c r="F1016" s="4">
        <v>6.4700000000000004E-22</v>
      </c>
      <c r="G1016" s="3">
        <v>240</v>
      </c>
      <c r="H1016" s="3">
        <v>36</v>
      </c>
      <c r="I1016" s="3">
        <v>197</v>
      </c>
      <c r="J1016" s="3">
        <v>21</v>
      </c>
      <c r="K1016" s="3">
        <v>572</v>
      </c>
      <c r="L1016" s="3">
        <v>2</v>
      </c>
      <c r="M1016" s="3">
        <v>198</v>
      </c>
    </row>
    <row r="1017" spans="1:13" x14ac:dyDescent="0.25">
      <c r="A1017" s="1" t="str">
        <f>HYPERLINK("http://www.rosaceae.org/Prunus/Prunus_persica/p.persica_gdr_reftransV1_0041962","p.persica_gdr_reftransV1_0041962")</f>
        <v>p.persica_gdr_reftransV1_0041962</v>
      </c>
      <c r="B1017" s="3">
        <v>1415</v>
      </c>
      <c r="C1017" s="1" t="str">
        <f>HYPERLINK("http://www.uniprot.org/uniprot/VTI12_ARATH","VTI12_ARATH")</f>
        <v>VTI12_ARATH</v>
      </c>
      <c r="D1017" t="s">
        <v>1064</v>
      </c>
      <c r="E1017" s="3" t="s">
        <v>3</v>
      </c>
      <c r="F1017" s="4">
        <v>2.3900000000000001E-46</v>
      </c>
      <c r="G1017" s="3">
        <v>419</v>
      </c>
      <c r="H1017" s="3">
        <v>74</v>
      </c>
      <c r="I1017" s="3">
        <v>107</v>
      </c>
      <c r="J1017" s="3">
        <v>898</v>
      </c>
      <c r="K1017" s="3">
        <v>1218</v>
      </c>
      <c r="L1017" s="3">
        <v>116</v>
      </c>
      <c r="M1017" s="3">
        <v>222</v>
      </c>
    </row>
    <row r="1018" spans="1:13" x14ac:dyDescent="0.25">
      <c r="A1018" s="1" t="str">
        <f>HYPERLINK("http://www.rosaceae.org/Prunus/Prunus_persica/p.persica_gdr_reftransV1_0042112","p.persica_gdr_reftransV1_0042112")</f>
        <v>p.persica_gdr_reftransV1_0042112</v>
      </c>
      <c r="B1018" s="3">
        <v>2041</v>
      </c>
      <c r="C1018" s="1" t="str">
        <f>HYPERLINK("http://www.uniprot.org/uniprot/IAMT1_ARATH","IAMT1_ARATH")</f>
        <v>IAMT1_ARATH</v>
      </c>
      <c r="D1018" t="s">
        <v>1065</v>
      </c>
      <c r="E1018" s="3" t="s">
        <v>3</v>
      </c>
      <c r="F1018" s="4">
        <v>2.7099999999999999E-77</v>
      </c>
      <c r="G1018" s="3">
        <v>660</v>
      </c>
      <c r="H1018" s="3">
        <v>67</v>
      </c>
      <c r="I1018" s="3">
        <v>178</v>
      </c>
      <c r="J1018" s="3">
        <v>170</v>
      </c>
      <c r="K1018" s="3">
        <v>703</v>
      </c>
      <c r="L1018" s="3">
        <v>207</v>
      </c>
      <c r="M1018" s="3">
        <v>384</v>
      </c>
    </row>
    <row r="1019" spans="1:13" x14ac:dyDescent="0.25">
      <c r="A1019" s="1" t="str">
        <f>HYPERLINK("http://www.rosaceae.org/Prunus/Prunus_persica/p.persica_gdr_reftransV1_0042162","p.persica_gdr_reftransV1_0042162")</f>
        <v>p.persica_gdr_reftransV1_0042162</v>
      </c>
      <c r="B1019" s="3">
        <v>1864</v>
      </c>
      <c r="C1019" s="1" t="str">
        <f>HYPERLINK("http://www.uniprot.org/uniprot/MARC2_BOVIN","MARC2_BOVIN")</f>
        <v>MARC2_BOVIN</v>
      </c>
      <c r="D1019" t="s">
        <v>1066</v>
      </c>
      <c r="E1019" s="3" t="s">
        <v>184</v>
      </c>
      <c r="F1019" s="4">
        <v>8.1300000000000001E-30</v>
      </c>
      <c r="G1019" s="3">
        <v>312</v>
      </c>
      <c r="H1019" s="3">
        <v>31</v>
      </c>
      <c r="I1019" s="3">
        <v>268</v>
      </c>
      <c r="J1019" s="3">
        <v>342</v>
      </c>
      <c r="K1019" s="3">
        <v>1124</v>
      </c>
      <c r="L1019" s="3">
        <v>85</v>
      </c>
      <c r="M1019" s="3">
        <v>332</v>
      </c>
    </row>
    <row r="1020" spans="1:13" x14ac:dyDescent="0.25">
      <c r="A1020" s="1" t="str">
        <f>HYPERLINK("http://www.rosaceae.org/Prunus/Prunus_persica/p.persica_gdr_reftransV1_0042412","p.persica_gdr_reftransV1_0042412")</f>
        <v>p.persica_gdr_reftransV1_0042412</v>
      </c>
      <c r="B1020" s="3">
        <v>5032</v>
      </c>
      <c r="C1020" s="1" t="str">
        <f>HYPERLINK("http://www.uniprot.org/uniprot/UPL7_ARATH","UPL7_ARATH")</f>
        <v>UPL7_ARATH</v>
      </c>
      <c r="D1020" t="s">
        <v>1067</v>
      </c>
      <c r="E1020" s="3" t="s">
        <v>3</v>
      </c>
      <c r="F1020" s="4">
        <v>0</v>
      </c>
      <c r="G1020" s="3">
        <v>3091</v>
      </c>
      <c r="H1020" s="3">
        <v>58</v>
      </c>
      <c r="I1020" s="3">
        <v>1039</v>
      </c>
      <c r="J1020" s="3">
        <v>101</v>
      </c>
      <c r="K1020" s="3">
        <v>3208</v>
      </c>
      <c r="L1020" s="3">
        <v>1</v>
      </c>
      <c r="M1020" s="3">
        <v>1011</v>
      </c>
    </row>
    <row r="1021" spans="1:13" x14ac:dyDescent="0.25">
      <c r="A1021" s="1" t="str">
        <f>HYPERLINK("http://www.rosaceae.org/Prunus/Prunus_persica/p.persica_gdr_reftransV1_0043062","p.persica_gdr_reftransV1_0043062")</f>
        <v>p.persica_gdr_reftransV1_0043062</v>
      </c>
      <c r="B1021" s="3">
        <v>530</v>
      </c>
      <c r="C1021" s="1" t="str">
        <f>HYPERLINK("http://www.uniprot.org/uniprot/AB10C_ARATH","AB10C_ARATH")</f>
        <v>AB10C_ARATH</v>
      </c>
      <c r="D1021" t="s">
        <v>1068</v>
      </c>
      <c r="E1021" s="3" t="s">
        <v>3</v>
      </c>
      <c r="F1021" s="4">
        <v>3.0699999999999999E-75</v>
      </c>
      <c r="G1021" s="3">
        <v>639</v>
      </c>
      <c r="H1021" s="3">
        <v>80</v>
      </c>
      <c r="I1021" s="3">
        <v>143</v>
      </c>
      <c r="J1021" s="3">
        <v>102</v>
      </c>
      <c r="K1021" s="3">
        <v>530</v>
      </c>
      <c r="L1021" s="3">
        <v>1308</v>
      </c>
      <c r="M1021" s="3">
        <v>1450</v>
      </c>
    </row>
    <row r="1022" spans="1:13" x14ac:dyDescent="0.25">
      <c r="A1022" s="1" t="str">
        <f>HYPERLINK("http://www.rosaceae.org/Prunus/Prunus_persica/p.persica_gdr_reftransV1_0043212","p.persica_gdr_reftransV1_0043212")</f>
        <v>p.persica_gdr_reftransV1_0043212</v>
      </c>
      <c r="B1022" s="3">
        <v>1596</v>
      </c>
      <c r="C1022" s="1" t="str">
        <f>HYPERLINK("http://www.uniprot.org/uniprot/MORC4_MOUSE","MORC4_MOUSE")</f>
        <v>MORC4_MOUSE</v>
      </c>
      <c r="D1022" t="s">
        <v>1032</v>
      </c>
      <c r="E1022" s="3" t="s">
        <v>157</v>
      </c>
      <c r="F1022" s="4">
        <v>1.3E-54</v>
      </c>
      <c r="G1022" s="3">
        <v>513</v>
      </c>
      <c r="H1022" s="3">
        <v>34</v>
      </c>
      <c r="I1022" s="3">
        <v>410</v>
      </c>
      <c r="J1022" s="3">
        <v>241</v>
      </c>
      <c r="K1022" s="3">
        <v>1449</v>
      </c>
      <c r="L1022" s="3">
        <v>35</v>
      </c>
      <c r="M1022" s="3">
        <v>411</v>
      </c>
    </row>
    <row r="1023" spans="1:13" x14ac:dyDescent="0.25">
      <c r="A1023" s="1" t="str">
        <f>HYPERLINK("http://www.rosaceae.org/Prunus/Prunus_persica/p.persica_gdr_reftransV1_0043262","p.persica_gdr_reftransV1_0043262")</f>
        <v>p.persica_gdr_reftransV1_0043262</v>
      </c>
      <c r="B1023" s="3">
        <v>1005</v>
      </c>
      <c r="C1023" s="1" t="str">
        <f>HYPERLINK("http://www.uniprot.org/uniprot/PER4_VITVI","PER4_VITVI")</f>
        <v>PER4_VITVI</v>
      </c>
      <c r="D1023" t="s">
        <v>1069</v>
      </c>
      <c r="E1023" s="3" t="s">
        <v>362</v>
      </c>
      <c r="F1023" s="4">
        <v>6.8599999999999998E-124</v>
      </c>
      <c r="G1023" s="3">
        <v>938</v>
      </c>
      <c r="H1023" s="3">
        <v>59</v>
      </c>
      <c r="I1023" s="3">
        <v>302</v>
      </c>
      <c r="J1023" s="3">
        <v>88</v>
      </c>
      <c r="K1023" s="3">
        <v>984</v>
      </c>
      <c r="L1023" s="3">
        <v>23</v>
      </c>
      <c r="M1023" s="3">
        <v>321</v>
      </c>
    </row>
    <row r="1024" spans="1:13" x14ac:dyDescent="0.25">
      <c r="A1024" s="1" t="str">
        <f>HYPERLINK("http://www.rosaceae.org/Prunus/Prunus_persica/p.persica_gdr_reftransV1_0043412","p.persica_gdr_reftransV1_0043412")</f>
        <v>p.persica_gdr_reftransV1_0043412</v>
      </c>
      <c r="B1024" s="3">
        <v>337</v>
      </c>
      <c r="C1024" s="1" t="str">
        <f>HYPERLINK("http://www.uniprot.org/uniprot/MLRV_BOVIN","MLRV_BOVIN")</f>
        <v>MLRV_BOVIN</v>
      </c>
      <c r="D1024" t="s">
        <v>1070</v>
      </c>
      <c r="E1024" s="3" t="s">
        <v>184</v>
      </c>
      <c r="F1024" s="4">
        <v>8.5800000000000002E-72</v>
      </c>
      <c r="G1024" s="3">
        <v>554</v>
      </c>
      <c r="H1024" s="3">
        <v>98</v>
      </c>
      <c r="I1024" s="3">
        <v>109</v>
      </c>
      <c r="J1024" s="3">
        <v>8</v>
      </c>
      <c r="K1024" s="3">
        <v>334</v>
      </c>
      <c r="L1024" s="3">
        <v>58</v>
      </c>
      <c r="M1024" s="3">
        <v>166</v>
      </c>
    </row>
    <row r="1025" spans="1:13" x14ac:dyDescent="0.25">
      <c r="A1025" s="1" t="str">
        <f>HYPERLINK("http://www.rosaceae.org/Prunus/Prunus_persica/p.persica_gdr_reftransV1_0043512","p.persica_gdr_reftransV1_0043512")</f>
        <v>p.persica_gdr_reftransV1_0043512</v>
      </c>
      <c r="B1025" s="3">
        <v>463</v>
      </c>
      <c r="C1025" s="1" t="str">
        <f>HYPERLINK("http://www.uniprot.org/uniprot/NCED_ONCHC","NCED_ONCHC")</f>
        <v>NCED_ONCHC</v>
      </c>
      <c r="D1025" t="s">
        <v>1071</v>
      </c>
      <c r="E1025" s="3" t="s">
        <v>1072</v>
      </c>
      <c r="F1025" s="4">
        <v>1.32E-9</v>
      </c>
      <c r="G1025" s="3">
        <v>143</v>
      </c>
      <c r="H1025" s="3">
        <v>32</v>
      </c>
      <c r="I1025" s="3">
        <v>164</v>
      </c>
      <c r="J1025" s="3">
        <v>1</v>
      </c>
      <c r="K1025" s="3">
        <v>459</v>
      </c>
      <c r="L1025" s="3">
        <v>163</v>
      </c>
      <c r="M1025" s="3">
        <v>310</v>
      </c>
    </row>
    <row r="1026" spans="1:13" x14ac:dyDescent="0.25">
      <c r="A1026" s="1" t="str">
        <f>HYPERLINK("http://www.rosaceae.org/Prunus/Prunus_persica/p.persica_gdr_reftransV1_0043612","p.persica_gdr_reftransV1_0043612")</f>
        <v>p.persica_gdr_reftransV1_0043612</v>
      </c>
      <c r="B1026" s="3">
        <v>4004</v>
      </c>
      <c r="C1026" s="1" t="str">
        <f>HYPERLINK("http://www.uniprot.org/uniprot/SC24B_ARATH","SC24B_ARATH")</f>
        <v>SC24B_ARATH</v>
      </c>
      <c r="D1026" t="s">
        <v>1073</v>
      </c>
      <c r="E1026" s="3" t="s">
        <v>3</v>
      </c>
      <c r="F1026" s="4">
        <v>0</v>
      </c>
      <c r="G1026" s="3">
        <v>3203</v>
      </c>
      <c r="H1026" s="3">
        <v>73</v>
      </c>
      <c r="I1026" s="3">
        <v>908</v>
      </c>
      <c r="J1026" s="3">
        <v>520</v>
      </c>
      <c r="K1026" s="3">
        <v>3216</v>
      </c>
      <c r="L1026" s="3">
        <v>201</v>
      </c>
      <c r="M1026" s="3">
        <v>1079</v>
      </c>
    </row>
    <row r="1027" spans="1:13" x14ac:dyDescent="0.25">
      <c r="A1027" s="1" t="str">
        <f>HYPERLINK("http://www.rosaceae.org/Prunus/Prunus_persica/p.persica_gdr_reftransV1_0043662","p.persica_gdr_reftransV1_0043662")</f>
        <v>p.persica_gdr_reftransV1_0043662</v>
      </c>
      <c r="B1027" s="3">
        <v>501</v>
      </c>
      <c r="C1027" s="1" t="str">
        <f>HYPERLINK("http://www.uniprot.org/uniprot/Y3236_ARATH","Y3236_ARATH")</f>
        <v>Y3236_ARATH</v>
      </c>
      <c r="D1027" t="s">
        <v>1074</v>
      </c>
      <c r="E1027" s="3" t="s">
        <v>3</v>
      </c>
      <c r="F1027" s="4">
        <v>1.5199999999999999E-9</v>
      </c>
      <c r="G1027" s="3">
        <v>143</v>
      </c>
      <c r="H1027" s="3">
        <v>30</v>
      </c>
      <c r="I1027" s="3">
        <v>153</v>
      </c>
      <c r="J1027" s="3">
        <v>1</v>
      </c>
      <c r="K1027" s="3">
        <v>456</v>
      </c>
      <c r="L1027" s="3">
        <v>125</v>
      </c>
      <c r="M1027" s="3">
        <v>271</v>
      </c>
    </row>
    <row r="1028" spans="1:13" x14ac:dyDescent="0.25">
      <c r="A1028" s="1" t="str">
        <f>HYPERLINK("http://www.rosaceae.org/Prunus/Prunus_persica/p.persica_gdr_reftransV1_0043712","p.persica_gdr_reftransV1_0043712")</f>
        <v>p.persica_gdr_reftransV1_0043712</v>
      </c>
      <c r="B1028" s="3">
        <v>389</v>
      </c>
      <c r="C1028" s="1" t="str">
        <f>HYPERLINK("http://www.uniprot.org/uniprot/CKX1_ARATH","CKX1_ARATH")</f>
        <v>CKX1_ARATH</v>
      </c>
      <c r="D1028" t="s">
        <v>1075</v>
      </c>
      <c r="E1028" s="3" t="s">
        <v>3</v>
      </c>
      <c r="F1028" s="4">
        <v>1.6299999999999999E-58</v>
      </c>
      <c r="G1028" s="3">
        <v>496</v>
      </c>
      <c r="H1028" s="3">
        <v>71</v>
      </c>
      <c r="I1028" s="3">
        <v>129</v>
      </c>
      <c r="J1028" s="3">
        <v>2</v>
      </c>
      <c r="K1028" s="3">
        <v>388</v>
      </c>
      <c r="L1028" s="3">
        <v>342</v>
      </c>
      <c r="M1028" s="3">
        <v>470</v>
      </c>
    </row>
    <row r="1029" spans="1:13" x14ac:dyDescent="0.25">
      <c r="A1029" s="1" t="str">
        <f>HYPERLINK("http://www.rosaceae.org/Prunus/Prunus_persica/p.persica_gdr_reftransV1_0043812","p.persica_gdr_reftransV1_0043812")</f>
        <v>p.persica_gdr_reftransV1_0043812</v>
      </c>
      <c r="B1029" s="3">
        <v>818</v>
      </c>
      <c r="C1029" s="1" t="str">
        <f>HYPERLINK("http://www.uniprot.org/uniprot/RAD17_ARATH","RAD17_ARATH")</f>
        <v>RAD17_ARATH</v>
      </c>
      <c r="D1029" t="s">
        <v>1076</v>
      </c>
      <c r="E1029" s="3" t="s">
        <v>3</v>
      </c>
      <c r="F1029" s="4">
        <v>3.5300000000000001E-56</v>
      </c>
      <c r="G1029" s="3">
        <v>496</v>
      </c>
      <c r="H1029" s="3">
        <v>62</v>
      </c>
      <c r="I1029" s="3">
        <v>159</v>
      </c>
      <c r="J1029" s="3">
        <v>326</v>
      </c>
      <c r="K1029" s="3">
        <v>802</v>
      </c>
      <c r="L1029" s="3">
        <v>412</v>
      </c>
      <c r="M1029" s="3">
        <v>570</v>
      </c>
    </row>
    <row r="1030" spans="1:13" x14ac:dyDescent="0.25">
      <c r="A1030" s="1" t="str">
        <f>HYPERLINK("http://www.rosaceae.org/Prunus/Prunus_persica/p.persica_gdr_reftransV1_0043862","p.persica_gdr_reftransV1_0043862")</f>
        <v>p.persica_gdr_reftransV1_0043862</v>
      </c>
      <c r="B1030" s="3">
        <v>1814</v>
      </c>
      <c r="C1030" s="1" t="str">
        <f>HYPERLINK("http://www.uniprot.org/uniprot/RK2A_POPAL","RK2A_POPAL")</f>
        <v>RK2A_POPAL</v>
      </c>
      <c r="D1030" t="s">
        <v>1077</v>
      </c>
      <c r="E1030" s="3" t="s">
        <v>1078</v>
      </c>
      <c r="F1030" s="4">
        <v>3.4400000000000001E-81</v>
      </c>
      <c r="G1030" s="3">
        <v>672</v>
      </c>
      <c r="H1030" s="3">
        <v>98</v>
      </c>
      <c r="I1030" s="3">
        <v>145</v>
      </c>
      <c r="J1030" s="3">
        <v>400</v>
      </c>
      <c r="K1030" s="3">
        <v>834</v>
      </c>
      <c r="L1030" s="3">
        <v>131</v>
      </c>
      <c r="M1030" s="3">
        <v>275</v>
      </c>
    </row>
    <row r="1031" spans="1:13" x14ac:dyDescent="0.25">
      <c r="A1031" s="1" t="str">
        <f>HYPERLINK("http://www.rosaceae.org/Prunus/Prunus_persica/p.persica_gdr_reftransV1_0043912","p.persica_gdr_reftransV1_0043912")</f>
        <v>p.persica_gdr_reftransV1_0043912</v>
      </c>
      <c r="B1031" s="3">
        <v>623</v>
      </c>
      <c r="C1031" s="1" t="str">
        <f>HYPERLINK("http://www.uniprot.org/uniprot/RL18_XANP2","RL18_XANP2")</f>
        <v>RL18_XANP2</v>
      </c>
      <c r="D1031" t="s">
        <v>1079</v>
      </c>
      <c r="E1031" s="3" t="s">
        <v>1080</v>
      </c>
      <c r="F1031" s="4">
        <v>1.5399999999999999E-8</v>
      </c>
      <c r="G1031" s="3">
        <v>129</v>
      </c>
      <c r="H1031" s="3">
        <v>36</v>
      </c>
      <c r="I1031" s="3">
        <v>106</v>
      </c>
      <c r="J1031" s="3">
        <v>142</v>
      </c>
      <c r="K1031" s="3">
        <v>459</v>
      </c>
      <c r="L1031" s="3">
        <v>17</v>
      </c>
      <c r="M1031" s="3">
        <v>120</v>
      </c>
    </row>
    <row r="1032" spans="1:13" x14ac:dyDescent="0.25">
      <c r="A1032" s="1" t="str">
        <f>HYPERLINK("http://www.rosaceae.org/Prunus/Prunus_persica/p.persica_gdr_reftransV1_0043962","p.persica_gdr_reftransV1_0043962")</f>
        <v>p.persica_gdr_reftransV1_0043962</v>
      </c>
      <c r="B1032" s="3">
        <v>586</v>
      </c>
      <c r="C1032" s="1" t="str">
        <f>HYPERLINK("http://www.uniprot.org/uniprot/ACBP_RICCO","ACBP_RICCO")</f>
        <v>ACBP_RICCO</v>
      </c>
      <c r="D1032" t="s">
        <v>1081</v>
      </c>
      <c r="E1032" s="3" t="s">
        <v>421</v>
      </c>
      <c r="F1032" s="4">
        <v>2.0200000000000001E-50</v>
      </c>
      <c r="G1032" s="3">
        <v>415</v>
      </c>
      <c r="H1032" s="3">
        <v>88</v>
      </c>
      <c r="I1032" s="3">
        <v>89</v>
      </c>
      <c r="J1032" s="3">
        <v>75</v>
      </c>
      <c r="K1032" s="3">
        <v>341</v>
      </c>
      <c r="L1032" s="3">
        <v>1</v>
      </c>
      <c r="M1032" s="3">
        <v>89</v>
      </c>
    </row>
    <row r="1033" spans="1:13" x14ac:dyDescent="0.25">
      <c r="A1033" s="1" t="str">
        <f>HYPERLINK("http://www.rosaceae.org/Prunus/Prunus_persica/p.persica_gdr_reftransV1_0044012","p.persica_gdr_reftransV1_0044012")</f>
        <v>p.persica_gdr_reftransV1_0044012</v>
      </c>
      <c r="B1033" s="3">
        <v>1315</v>
      </c>
      <c r="C1033" s="1" t="str">
        <f>HYPERLINK("http://www.uniprot.org/uniprot/GUN8_ARATH","GUN8_ARATH")</f>
        <v>GUN8_ARATH</v>
      </c>
      <c r="D1033" t="s">
        <v>708</v>
      </c>
      <c r="E1033" s="3" t="s">
        <v>3</v>
      </c>
      <c r="F1033" s="4">
        <v>0</v>
      </c>
      <c r="G1033" s="3">
        <v>1458</v>
      </c>
      <c r="H1033" s="3">
        <v>84</v>
      </c>
      <c r="I1033" s="3">
        <v>321</v>
      </c>
      <c r="J1033" s="3">
        <v>352</v>
      </c>
      <c r="K1033" s="3">
        <v>1314</v>
      </c>
      <c r="L1033" s="3">
        <v>168</v>
      </c>
      <c r="M1033" s="3">
        <v>488</v>
      </c>
    </row>
    <row r="1034" spans="1:13" x14ac:dyDescent="0.25">
      <c r="A1034" s="1" t="str">
        <f>HYPERLINK("http://www.rosaceae.org/Prunus/Prunus_persica/p.persica_gdr_reftransV1_0044112","p.persica_gdr_reftransV1_0044112")</f>
        <v>p.persica_gdr_reftransV1_0044112</v>
      </c>
      <c r="B1034" s="3">
        <v>1311</v>
      </c>
      <c r="C1034" s="1" t="str">
        <f>HYPERLINK("http://www.uniprot.org/uniprot/SAMT_CLABR","SAMT_CLABR")</f>
        <v>SAMT_CLABR</v>
      </c>
      <c r="D1034" t="s">
        <v>1082</v>
      </c>
      <c r="E1034" s="3" t="s">
        <v>1083</v>
      </c>
      <c r="F1034" s="4">
        <v>2.2699999999999999E-111</v>
      </c>
      <c r="G1034" s="3">
        <v>868</v>
      </c>
      <c r="H1034" s="3">
        <v>47</v>
      </c>
      <c r="I1034" s="3">
        <v>371</v>
      </c>
      <c r="J1034" s="3">
        <v>35</v>
      </c>
      <c r="K1034" s="3">
        <v>1129</v>
      </c>
      <c r="L1034" s="3">
        <v>1</v>
      </c>
      <c r="M1034" s="3">
        <v>357</v>
      </c>
    </row>
    <row r="1035" spans="1:13" x14ac:dyDescent="0.25">
      <c r="A1035" s="1" t="str">
        <f>HYPERLINK("http://www.rosaceae.org/Prunus/Prunus_persica/p.persica_gdr_reftransV1_0044162","p.persica_gdr_reftransV1_0044162")</f>
        <v>p.persica_gdr_reftransV1_0044162</v>
      </c>
      <c r="B1035" s="3">
        <v>688</v>
      </c>
      <c r="C1035" s="1" t="str">
        <f>HYPERLINK("http://www.uniprot.org/uniprot/YJX4_SCHPO","YJX4_SCHPO")</f>
        <v>YJX4_SCHPO</v>
      </c>
      <c r="D1035" t="s">
        <v>1084</v>
      </c>
      <c r="E1035" s="3" t="s">
        <v>464</v>
      </c>
      <c r="F1035" s="4">
        <v>1.1200000000000001E-11</v>
      </c>
      <c r="G1035" s="3">
        <v>164</v>
      </c>
      <c r="H1035" s="3">
        <v>33</v>
      </c>
      <c r="I1035" s="3">
        <v>144</v>
      </c>
      <c r="J1035" s="3">
        <v>3</v>
      </c>
      <c r="K1035" s="3">
        <v>428</v>
      </c>
      <c r="L1035" s="3">
        <v>637</v>
      </c>
      <c r="M1035" s="3">
        <v>777</v>
      </c>
    </row>
    <row r="1036" spans="1:13" x14ac:dyDescent="0.25">
      <c r="A1036" s="1" t="str">
        <f>HYPERLINK("http://www.rosaceae.org/Prunus/Prunus_persica/p.persica_gdr_reftransV1_0044212","p.persica_gdr_reftransV1_0044212")</f>
        <v>p.persica_gdr_reftransV1_0044212</v>
      </c>
      <c r="B1036" s="3">
        <v>1130</v>
      </c>
      <c r="C1036" s="1" t="str">
        <f>HYPERLINK("http://www.uniprot.org/uniprot/PSB28_ORYSJ","PSB28_ORYSJ")</f>
        <v>PSB28_ORYSJ</v>
      </c>
      <c r="D1036" t="s">
        <v>1085</v>
      </c>
      <c r="E1036" s="3" t="s">
        <v>38</v>
      </c>
      <c r="F1036" s="4">
        <v>4.6299999999999999E-74</v>
      </c>
      <c r="G1036" s="3">
        <v>597</v>
      </c>
      <c r="H1036" s="3">
        <v>65</v>
      </c>
      <c r="I1036" s="3">
        <v>179</v>
      </c>
      <c r="J1036" s="3">
        <v>393</v>
      </c>
      <c r="K1036" s="3">
        <v>929</v>
      </c>
      <c r="L1036" s="3">
        <v>3</v>
      </c>
      <c r="M1036" s="3">
        <v>180</v>
      </c>
    </row>
    <row r="1037" spans="1:13" x14ac:dyDescent="0.25">
      <c r="A1037" s="1" t="str">
        <f>HYPERLINK("http://www.rosaceae.org/Prunus/Prunus_persica/p.persica_gdr_reftransV1_0044262","p.persica_gdr_reftransV1_0044262")</f>
        <v>p.persica_gdr_reftransV1_0044262</v>
      </c>
      <c r="B1037" s="3">
        <v>1487</v>
      </c>
      <c r="C1037" s="1" t="str">
        <f>HYPERLINK("http://www.uniprot.org/uniprot/LYM1_ARATH","LYM1_ARATH")</f>
        <v>LYM1_ARATH</v>
      </c>
      <c r="D1037" t="s">
        <v>1086</v>
      </c>
      <c r="E1037" s="3" t="s">
        <v>3</v>
      </c>
      <c r="F1037" s="4">
        <v>1.24E-70</v>
      </c>
      <c r="G1037" s="3">
        <v>604</v>
      </c>
      <c r="H1037" s="3">
        <v>41</v>
      </c>
      <c r="I1037" s="3">
        <v>325</v>
      </c>
      <c r="J1037" s="3">
        <v>429</v>
      </c>
      <c r="K1037" s="3">
        <v>1394</v>
      </c>
      <c r="L1037" s="3">
        <v>1</v>
      </c>
      <c r="M1037" s="3">
        <v>325</v>
      </c>
    </row>
    <row r="1038" spans="1:13" x14ac:dyDescent="0.25">
      <c r="A1038" s="1" t="str">
        <f>HYPERLINK("http://www.rosaceae.org/Prunus/Prunus_persica/p.persica_gdr_reftransV1_0044312","p.persica_gdr_reftransV1_0044312")</f>
        <v>p.persica_gdr_reftransV1_0044312</v>
      </c>
      <c r="B1038" s="3">
        <v>4130</v>
      </c>
      <c r="C1038" s="1" t="str">
        <f>HYPERLINK("http://www.uniprot.org/uniprot/PHF3_HUMAN","PHF3_HUMAN")</f>
        <v>PHF3_HUMAN</v>
      </c>
      <c r="D1038" t="s">
        <v>1087</v>
      </c>
      <c r="E1038" s="3" t="s">
        <v>28</v>
      </c>
      <c r="F1038" s="4">
        <v>2.3799999999999999E-20</v>
      </c>
      <c r="G1038" s="3">
        <v>254</v>
      </c>
      <c r="H1038" s="3">
        <v>46</v>
      </c>
      <c r="I1038" s="3">
        <v>116</v>
      </c>
      <c r="J1038" s="3">
        <v>1615</v>
      </c>
      <c r="K1038" s="3">
        <v>1962</v>
      </c>
      <c r="L1038" s="3">
        <v>951</v>
      </c>
      <c r="M1038" s="3">
        <v>1062</v>
      </c>
    </row>
    <row r="1039" spans="1:13" x14ac:dyDescent="0.25">
      <c r="A1039" s="1" t="str">
        <f>HYPERLINK("http://www.rosaceae.org/Prunus/Prunus_persica/p.persica_gdr_reftransV1_0044362","p.persica_gdr_reftransV1_0044362")</f>
        <v>p.persica_gdr_reftransV1_0044362</v>
      </c>
      <c r="B1039" s="3">
        <v>1994</v>
      </c>
      <c r="C1039" s="1" t="str">
        <f>HYPERLINK("http://www.uniprot.org/uniprot/KATAM_ORYSJ","KATAM_ORYSJ")</f>
        <v>KATAM_ORYSJ</v>
      </c>
      <c r="D1039" t="s">
        <v>1088</v>
      </c>
      <c r="E1039" s="3" t="s">
        <v>38</v>
      </c>
      <c r="F1039" s="4">
        <v>2.5300000000000001E-153</v>
      </c>
      <c r="G1039" s="3">
        <v>1191</v>
      </c>
      <c r="H1039" s="3">
        <v>52</v>
      </c>
      <c r="I1039" s="3">
        <v>428</v>
      </c>
      <c r="J1039" s="3">
        <v>377</v>
      </c>
      <c r="K1039" s="3">
        <v>1639</v>
      </c>
      <c r="L1039" s="3">
        <v>126</v>
      </c>
      <c r="M1039" s="3">
        <v>541</v>
      </c>
    </row>
    <row r="1040" spans="1:13" x14ac:dyDescent="0.25">
      <c r="A1040" s="1" t="str">
        <f>HYPERLINK("http://www.rosaceae.org/Prunus/Prunus_persica/p.persica_gdr_reftransV1_0044412","p.persica_gdr_reftransV1_0044412")</f>
        <v>p.persica_gdr_reftransV1_0044412</v>
      </c>
      <c r="B1040" s="3">
        <v>546</v>
      </c>
      <c r="C1040" s="1" t="str">
        <f>HYPERLINK("http://www.uniprot.org/uniprot/Y4265_ARATH","Y4265_ARATH")</f>
        <v>Y4265_ARATH</v>
      </c>
      <c r="D1040" t="s">
        <v>1089</v>
      </c>
      <c r="E1040" s="3" t="s">
        <v>3</v>
      </c>
      <c r="F1040" s="4">
        <v>1.3E-39</v>
      </c>
      <c r="G1040" s="3">
        <v>375</v>
      </c>
      <c r="H1040" s="3">
        <v>63</v>
      </c>
      <c r="I1040" s="3">
        <v>137</v>
      </c>
      <c r="J1040" s="3">
        <v>3</v>
      </c>
      <c r="K1040" s="3">
        <v>410</v>
      </c>
      <c r="L1040" s="3">
        <v>22</v>
      </c>
      <c r="M1040" s="3">
        <v>158</v>
      </c>
    </row>
    <row r="1041" spans="1:13" x14ac:dyDescent="0.25">
      <c r="A1041" s="1" t="str">
        <f>HYPERLINK("http://www.rosaceae.org/Prunus/Prunus_persica/p.persica_gdr_reftransV1_0044462","p.persica_gdr_reftransV1_0044462")</f>
        <v>p.persica_gdr_reftransV1_0044462</v>
      </c>
      <c r="B1041" s="3">
        <v>3343</v>
      </c>
      <c r="C1041" s="1" t="str">
        <f>HYPERLINK("http://www.uniprot.org/uniprot/STA1_ARATH","STA1_ARATH")</f>
        <v>STA1_ARATH</v>
      </c>
      <c r="D1041" t="s">
        <v>1090</v>
      </c>
      <c r="E1041" s="3" t="s">
        <v>3</v>
      </c>
      <c r="F1041" s="4">
        <v>0</v>
      </c>
      <c r="G1041" s="3">
        <v>3835</v>
      </c>
      <c r="H1041" s="3">
        <v>75</v>
      </c>
      <c r="I1041" s="3">
        <v>1033</v>
      </c>
      <c r="J1041" s="3">
        <v>29</v>
      </c>
      <c r="K1041" s="3">
        <v>3091</v>
      </c>
      <c r="L1041" s="3">
        <v>1</v>
      </c>
      <c r="M1041" s="3">
        <v>1029</v>
      </c>
    </row>
    <row r="1042" spans="1:13" x14ac:dyDescent="0.25">
      <c r="A1042" s="1" t="str">
        <f>HYPERLINK("http://www.rosaceae.org/Prunus/Prunus_persica/p.persica_gdr_reftransV1_0044512","p.persica_gdr_reftransV1_0044512")</f>
        <v>p.persica_gdr_reftransV1_0044512</v>
      </c>
      <c r="B1042" s="3">
        <v>1002</v>
      </c>
      <c r="C1042" s="1" t="str">
        <f>HYPERLINK("http://www.uniprot.org/uniprot/RT19_PETHY","RT19_PETHY")</f>
        <v>RT19_PETHY</v>
      </c>
      <c r="D1042" t="s">
        <v>1091</v>
      </c>
      <c r="E1042" s="3" t="s">
        <v>509</v>
      </c>
      <c r="F1042" s="4">
        <v>6.0800000000000002E-22</v>
      </c>
      <c r="G1042" s="3">
        <v>229</v>
      </c>
      <c r="H1042" s="3">
        <v>74</v>
      </c>
      <c r="I1042" s="3">
        <v>73</v>
      </c>
      <c r="J1042" s="3">
        <v>408</v>
      </c>
      <c r="K1042" s="3">
        <v>626</v>
      </c>
      <c r="L1042" s="3">
        <v>7</v>
      </c>
      <c r="M1042" s="3">
        <v>79</v>
      </c>
    </row>
    <row r="1043" spans="1:13" x14ac:dyDescent="0.25">
      <c r="A1043" s="1" t="str">
        <f>HYPERLINK("http://www.rosaceae.org/Prunus/Prunus_persica/p.persica_gdr_reftransV1_0044562","p.persica_gdr_reftransV1_0044562")</f>
        <v>p.persica_gdr_reftransV1_0044562</v>
      </c>
      <c r="B1043" s="3">
        <v>505</v>
      </c>
      <c r="C1043" s="1" t="str">
        <f>HYPERLINK("http://www.uniprot.org/uniprot/INV1_DAUCA","INV1_DAUCA")</f>
        <v>INV1_DAUCA</v>
      </c>
      <c r="D1043" t="s">
        <v>1092</v>
      </c>
      <c r="E1043" s="3" t="s">
        <v>32</v>
      </c>
      <c r="F1043" s="4">
        <v>3.8300000000000002E-41</v>
      </c>
      <c r="G1043" s="3">
        <v>377</v>
      </c>
      <c r="H1043" s="3">
        <v>68</v>
      </c>
      <c r="I1043" s="3">
        <v>113</v>
      </c>
      <c r="J1043" s="3">
        <v>2</v>
      </c>
      <c r="K1043" s="3">
        <v>340</v>
      </c>
      <c r="L1043" s="3">
        <v>484</v>
      </c>
      <c r="M1043" s="3">
        <v>592</v>
      </c>
    </row>
    <row r="1044" spans="1:13" x14ac:dyDescent="0.25">
      <c r="A1044" s="1" t="str">
        <f>HYPERLINK("http://www.rosaceae.org/Prunus/Prunus_persica/p.persica_gdr_reftransV1_0044712","p.persica_gdr_reftransV1_0044712")</f>
        <v>p.persica_gdr_reftransV1_0044712</v>
      </c>
      <c r="B1044" s="3">
        <v>331</v>
      </c>
      <c r="C1044" s="1" t="str">
        <f>HYPERLINK("http://www.uniprot.org/uniprot/RFWD3_MOUSE","RFWD3_MOUSE")</f>
        <v>RFWD3_MOUSE</v>
      </c>
      <c r="D1044" t="s">
        <v>1093</v>
      </c>
      <c r="E1044" s="3" t="s">
        <v>157</v>
      </c>
      <c r="F1044" s="4">
        <v>1.3899999999999999E-19</v>
      </c>
      <c r="G1044" s="3">
        <v>216</v>
      </c>
      <c r="H1044" s="3">
        <v>46</v>
      </c>
      <c r="I1044" s="3">
        <v>78</v>
      </c>
      <c r="J1044" s="3">
        <v>90</v>
      </c>
      <c r="K1044" s="3">
        <v>323</v>
      </c>
      <c r="L1044" s="3">
        <v>284</v>
      </c>
      <c r="M1044" s="3">
        <v>360</v>
      </c>
    </row>
    <row r="1045" spans="1:13" x14ac:dyDescent="0.25">
      <c r="A1045" s="1" t="str">
        <f>HYPERLINK("http://www.rosaceae.org/Prunus/Prunus_persica/p.persica_gdr_reftransV1_0044912","p.persica_gdr_reftransV1_0044912")</f>
        <v>p.persica_gdr_reftransV1_0044912</v>
      </c>
      <c r="B1045" s="3">
        <v>729</v>
      </c>
      <c r="C1045" s="1" t="str">
        <f>HYPERLINK("http://www.uniprot.org/uniprot/NIP1_ARATH","NIP1_ARATH")</f>
        <v>NIP1_ARATH</v>
      </c>
      <c r="D1045" t="s">
        <v>1094</v>
      </c>
      <c r="E1045" s="3" t="s">
        <v>3</v>
      </c>
      <c r="F1045" s="4">
        <v>7.3599999999999996E-72</v>
      </c>
      <c r="G1045" s="3">
        <v>575</v>
      </c>
      <c r="H1045" s="3">
        <v>77</v>
      </c>
      <c r="I1045" s="3">
        <v>138</v>
      </c>
      <c r="J1045" s="3">
        <v>267</v>
      </c>
      <c r="K1045" s="3">
        <v>680</v>
      </c>
      <c r="L1045" s="3">
        <v>105</v>
      </c>
      <c r="M1045" s="3">
        <v>236</v>
      </c>
    </row>
    <row r="1046" spans="1:13" x14ac:dyDescent="0.25">
      <c r="A1046" s="1" t="str">
        <f>HYPERLINK("http://www.rosaceae.org/Prunus/Prunus_persica/p.persica_gdr_reftransV1_0044962","p.persica_gdr_reftransV1_0044962")</f>
        <v>p.persica_gdr_reftransV1_0044962</v>
      </c>
      <c r="B1046" s="3">
        <v>927</v>
      </c>
      <c r="C1046" s="1" t="str">
        <f>HYPERLINK("http://www.uniprot.org/uniprot/H2AX_CICAR","H2AX_CICAR")</f>
        <v>H2AX_CICAR</v>
      </c>
      <c r="D1046" t="s">
        <v>1095</v>
      </c>
      <c r="E1046" s="3" t="s">
        <v>944</v>
      </c>
      <c r="F1046" s="4">
        <v>1.27E-69</v>
      </c>
      <c r="G1046" s="3">
        <v>558</v>
      </c>
      <c r="H1046" s="3">
        <v>94</v>
      </c>
      <c r="I1046" s="3">
        <v>141</v>
      </c>
      <c r="J1046" s="3">
        <v>119</v>
      </c>
      <c r="K1046" s="3">
        <v>541</v>
      </c>
      <c r="L1046" s="3">
        <v>1</v>
      </c>
      <c r="M1046" s="3">
        <v>139</v>
      </c>
    </row>
    <row r="1047" spans="1:13" x14ac:dyDescent="0.25">
      <c r="A1047" s="1" t="str">
        <f>HYPERLINK("http://www.rosaceae.org/Prunus/Prunus_persica/p.persica_gdr_reftransV1_0045012","p.persica_gdr_reftransV1_0045012")</f>
        <v>p.persica_gdr_reftransV1_0045012</v>
      </c>
      <c r="B1047" s="3">
        <v>1360</v>
      </c>
      <c r="C1047" s="1" t="str">
        <f>HYPERLINK("http://www.uniprot.org/uniprot/PSB7B_ARATH","PSB7B_ARATH")</f>
        <v>PSB7B_ARATH</v>
      </c>
      <c r="D1047" t="s">
        <v>1096</v>
      </c>
      <c r="E1047" s="3" t="s">
        <v>3</v>
      </c>
      <c r="F1047" s="4">
        <v>2.5599999999999999E-175</v>
      </c>
      <c r="G1047" s="3">
        <v>1285</v>
      </c>
      <c r="H1047" s="3">
        <v>86</v>
      </c>
      <c r="I1047" s="3">
        <v>274</v>
      </c>
      <c r="J1047" s="3">
        <v>356</v>
      </c>
      <c r="K1047" s="3">
        <v>1171</v>
      </c>
      <c r="L1047" s="3">
        <v>1</v>
      </c>
      <c r="M1047" s="3">
        <v>274</v>
      </c>
    </row>
    <row r="1048" spans="1:13" x14ac:dyDescent="0.25">
      <c r="A1048" s="1" t="str">
        <f>HYPERLINK("http://www.rosaceae.org/Prunus/Prunus_persica/p.persica_gdr_reftransV1_0045062","p.persica_gdr_reftransV1_0045062")</f>
        <v>p.persica_gdr_reftransV1_0045062</v>
      </c>
      <c r="B1048" s="3">
        <v>1668</v>
      </c>
      <c r="C1048" s="1" t="str">
        <f>HYPERLINK("http://www.uniprot.org/uniprot/DEGP1_ARATH","DEGP1_ARATH")</f>
        <v>DEGP1_ARATH</v>
      </c>
      <c r="D1048" t="s">
        <v>1097</v>
      </c>
      <c r="E1048" s="3" t="s">
        <v>3</v>
      </c>
      <c r="F1048" s="4">
        <v>1.4600000000000001E-180</v>
      </c>
      <c r="G1048" s="3">
        <v>1347</v>
      </c>
      <c r="H1048" s="3">
        <v>75</v>
      </c>
      <c r="I1048" s="3">
        <v>368</v>
      </c>
      <c r="J1048" s="3">
        <v>370</v>
      </c>
      <c r="K1048" s="3">
        <v>1314</v>
      </c>
      <c r="L1048" s="3">
        <v>73</v>
      </c>
      <c r="M1048" s="3">
        <v>439</v>
      </c>
    </row>
    <row r="1049" spans="1:13" x14ac:dyDescent="0.25">
      <c r="A1049" s="1" t="str">
        <f>HYPERLINK("http://www.rosaceae.org/Prunus/Prunus_persica/p.persica_gdr_reftransV1_0045212","p.persica_gdr_reftransV1_0045212")</f>
        <v>p.persica_gdr_reftransV1_0045212</v>
      </c>
      <c r="B1049" s="3">
        <v>1075</v>
      </c>
      <c r="C1049" s="1" t="str">
        <f>HYPERLINK("http://www.uniprot.org/uniprot/SIA4A_MOUSE","SIA4A_MOUSE")</f>
        <v>SIA4A_MOUSE</v>
      </c>
      <c r="D1049" t="s">
        <v>1098</v>
      </c>
      <c r="E1049" s="3" t="s">
        <v>157</v>
      </c>
      <c r="F1049" s="4">
        <v>1.0499999999999999E-15</v>
      </c>
      <c r="G1049" s="3">
        <v>197</v>
      </c>
      <c r="H1049" s="3">
        <v>27</v>
      </c>
      <c r="I1049" s="3">
        <v>257</v>
      </c>
      <c r="J1049" s="3">
        <v>297</v>
      </c>
      <c r="K1049" s="3">
        <v>1049</v>
      </c>
      <c r="L1049" s="3">
        <v>95</v>
      </c>
      <c r="M1049" s="3">
        <v>326</v>
      </c>
    </row>
    <row r="1050" spans="1:13" x14ac:dyDescent="0.25">
      <c r="A1050" s="1" t="str">
        <f>HYPERLINK("http://www.rosaceae.org/Prunus/Prunus_persica/p.persica_gdr_reftransV1_0045312","p.persica_gdr_reftransV1_0045312")</f>
        <v>p.persica_gdr_reftransV1_0045312</v>
      </c>
      <c r="B1050" s="3">
        <v>1878</v>
      </c>
      <c r="C1050" s="1" t="str">
        <f>HYPERLINK("http://www.uniprot.org/uniprot/DNJ10_ARATH","DNJ10_ARATH")</f>
        <v>DNJ10_ARATH</v>
      </c>
      <c r="D1050" t="s">
        <v>1099</v>
      </c>
      <c r="E1050" s="3" t="s">
        <v>3</v>
      </c>
      <c r="F1050" s="4">
        <v>0</v>
      </c>
      <c r="G1050" s="3">
        <v>1484</v>
      </c>
      <c r="H1050" s="3">
        <v>74</v>
      </c>
      <c r="I1050" s="3">
        <v>405</v>
      </c>
      <c r="J1050" s="3">
        <v>560</v>
      </c>
      <c r="K1050" s="3">
        <v>1774</v>
      </c>
      <c r="L1050" s="3">
        <v>1</v>
      </c>
      <c r="M1050" s="3">
        <v>398</v>
      </c>
    </row>
    <row r="1051" spans="1:13" x14ac:dyDescent="0.25">
      <c r="A1051" s="1" t="str">
        <f>HYPERLINK("http://www.rosaceae.org/Prunus/Prunus_persica/p.persica_gdr_reftransV1_0045362","p.persica_gdr_reftransV1_0045362")</f>
        <v>p.persica_gdr_reftransV1_0045362</v>
      </c>
      <c r="B1051" s="3">
        <v>1848</v>
      </c>
      <c r="C1051" s="1" t="str">
        <f>HYPERLINK("http://www.uniprot.org/uniprot/FXL20_MOUSE","FXL20_MOUSE")</f>
        <v>FXL20_MOUSE</v>
      </c>
      <c r="D1051" t="s">
        <v>1100</v>
      </c>
      <c r="E1051" s="3" t="s">
        <v>157</v>
      </c>
      <c r="F1051" s="4">
        <v>8.2500000000000004E-29</v>
      </c>
      <c r="G1051" s="3">
        <v>308</v>
      </c>
      <c r="H1051" s="3">
        <v>31</v>
      </c>
      <c r="I1051" s="3">
        <v>310</v>
      </c>
      <c r="J1051" s="3">
        <v>430</v>
      </c>
      <c r="K1051" s="3">
        <v>1281</v>
      </c>
      <c r="L1051" s="3">
        <v>91</v>
      </c>
      <c r="M1051" s="3">
        <v>396</v>
      </c>
    </row>
    <row r="1052" spans="1:13" x14ac:dyDescent="0.25">
      <c r="A1052" s="1" t="str">
        <f>HYPERLINK("http://www.rosaceae.org/Prunus/Prunus_persica/p.persica_gdr_reftransV1_0045412","p.persica_gdr_reftransV1_0045412")</f>
        <v>p.persica_gdr_reftransV1_0045412</v>
      </c>
      <c r="B1052" s="3">
        <v>435</v>
      </c>
      <c r="C1052" s="1" t="str">
        <f>HYPERLINK("http://www.uniprot.org/uniprot/AAE15_ARATH","AAE15_ARATH")</f>
        <v>AAE15_ARATH</v>
      </c>
      <c r="D1052" t="s">
        <v>1101</v>
      </c>
      <c r="E1052" s="3" t="s">
        <v>3</v>
      </c>
      <c r="F1052" s="4">
        <v>3.34E-70</v>
      </c>
      <c r="G1052" s="3">
        <v>586</v>
      </c>
      <c r="H1052" s="3">
        <v>74</v>
      </c>
      <c r="I1052" s="3">
        <v>146</v>
      </c>
      <c r="J1052" s="3">
        <v>1</v>
      </c>
      <c r="K1052" s="3">
        <v>432</v>
      </c>
      <c r="L1052" s="3">
        <v>108</v>
      </c>
      <c r="M1052" s="3">
        <v>253</v>
      </c>
    </row>
    <row r="1053" spans="1:13" x14ac:dyDescent="0.25">
      <c r="A1053" s="1" t="str">
        <f>HYPERLINK("http://www.rosaceae.org/Prunus/Prunus_persica/p.persica_gdr_reftransV1_0045462","p.persica_gdr_reftransV1_0045462")</f>
        <v>p.persica_gdr_reftransV1_0045462</v>
      </c>
      <c r="B1053" s="3">
        <v>1746</v>
      </c>
      <c r="C1053" s="1" t="str">
        <f>HYPERLINK("http://www.uniprot.org/uniprot/GAT24_ARATH","GAT24_ARATH")</f>
        <v>GAT24_ARATH</v>
      </c>
      <c r="D1053" t="s">
        <v>595</v>
      </c>
      <c r="E1053" s="3" t="s">
        <v>3</v>
      </c>
      <c r="F1053" s="4">
        <v>1.88E-67</v>
      </c>
      <c r="G1053" s="3">
        <v>578</v>
      </c>
      <c r="H1053" s="3">
        <v>64</v>
      </c>
      <c r="I1053" s="3">
        <v>186</v>
      </c>
      <c r="J1053" s="3">
        <v>778</v>
      </c>
      <c r="K1053" s="3">
        <v>1308</v>
      </c>
      <c r="L1053" s="3">
        <v>79</v>
      </c>
      <c r="M1053" s="3">
        <v>261</v>
      </c>
    </row>
    <row r="1054" spans="1:13" x14ac:dyDescent="0.25">
      <c r="A1054" s="1" t="str">
        <f>HYPERLINK("http://www.rosaceae.org/Prunus/Prunus_persica/p.persica_gdr_reftransV1_0045512","p.persica_gdr_reftransV1_0045512")</f>
        <v>p.persica_gdr_reftransV1_0045512</v>
      </c>
      <c r="B1054" s="3">
        <v>333</v>
      </c>
      <c r="C1054" s="1" t="str">
        <f>HYPERLINK("http://www.uniprot.org/uniprot/GLH4_CAEEL","GLH4_CAEEL")</f>
        <v>GLH4_CAEEL</v>
      </c>
      <c r="D1054" t="s">
        <v>1102</v>
      </c>
      <c r="E1054" s="3" t="s">
        <v>281</v>
      </c>
      <c r="F1054" s="4">
        <v>1.42E-11</v>
      </c>
      <c r="G1054" s="3">
        <v>157</v>
      </c>
      <c r="H1054" s="3">
        <v>38</v>
      </c>
      <c r="I1054" s="3">
        <v>85</v>
      </c>
      <c r="J1054" s="3">
        <v>112</v>
      </c>
      <c r="K1054" s="3">
        <v>333</v>
      </c>
      <c r="L1054" s="3">
        <v>603</v>
      </c>
      <c r="M1054" s="3">
        <v>684</v>
      </c>
    </row>
    <row r="1055" spans="1:13" x14ac:dyDescent="0.25">
      <c r="A1055" s="1" t="str">
        <f>HYPERLINK("http://www.rosaceae.org/Prunus/Prunus_persica/p.persica_gdr_reftransV1_0045612","p.persica_gdr_reftransV1_0045612")</f>
        <v>p.persica_gdr_reftransV1_0045612</v>
      </c>
      <c r="B1055" s="3">
        <v>1629</v>
      </c>
      <c r="C1055" s="1" t="str">
        <f>HYPERLINK("http://www.uniprot.org/uniprot/AB15B_ARATH","AB15B_ARATH")</f>
        <v>AB15B_ARATH</v>
      </c>
      <c r="D1055" t="s">
        <v>446</v>
      </c>
      <c r="E1055" s="3" t="s">
        <v>3</v>
      </c>
      <c r="F1055" s="4">
        <v>0</v>
      </c>
      <c r="G1055" s="3">
        <v>2344</v>
      </c>
      <c r="H1055" s="3">
        <v>83</v>
      </c>
      <c r="I1055" s="3">
        <v>527</v>
      </c>
      <c r="J1055" s="3">
        <v>1</v>
      </c>
      <c r="K1055" s="3">
        <v>1578</v>
      </c>
      <c r="L1055" s="3">
        <v>712</v>
      </c>
      <c r="M1055" s="3">
        <v>1238</v>
      </c>
    </row>
    <row r="1056" spans="1:13" x14ac:dyDescent="0.25">
      <c r="A1056" s="1" t="str">
        <f>HYPERLINK("http://www.rosaceae.org/Prunus/Prunus_persica/p.persica_gdr_reftransV1_0045662","p.persica_gdr_reftransV1_0045662")</f>
        <v>p.persica_gdr_reftransV1_0045662</v>
      </c>
      <c r="B1056" s="3">
        <v>811</v>
      </c>
      <c r="C1056" s="1" t="str">
        <f>HYPERLINK("http://www.uniprot.org/uniprot/ATB20_ARATH","ATB20_ARATH")</f>
        <v>ATB20_ARATH</v>
      </c>
      <c r="D1056" t="s">
        <v>1103</v>
      </c>
      <c r="E1056" s="3" t="s">
        <v>3</v>
      </c>
      <c r="F1056" s="4">
        <v>2.7999999999999999E-31</v>
      </c>
      <c r="G1056" s="3">
        <v>307</v>
      </c>
      <c r="H1056" s="3">
        <v>44</v>
      </c>
      <c r="I1056" s="3">
        <v>171</v>
      </c>
      <c r="J1056" s="3">
        <v>305</v>
      </c>
      <c r="K1056" s="3">
        <v>811</v>
      </c>
      <c r="L1056" s="3">
        <v>131</v>
      </c>
      <c r="M1056" s="3">
        <v>273</v>
      </c>
    </row>
    <row r="1057" spans="1:13" x14ac:dyDescent="0.25">
      <c r="A1057" s="1" t="str">
        <f>HYPERLINK("http://www.rosaceae.org/Prunus/Prunus_persica/p.persica_gdr_reftransV1_0045712","p.persica_gdr_reftransV1_0045712")</f>
        <v>p.persica_gdr_reftransV1_0045712</v>
      </c>
      <c r="B1057" s="3">
        <v>792</v>
      </c>
      <c r="C1057" s="1" t="str">
        <f>HYPERLINK("http://www.uniprot.org/uniprot/VAP22_ARATH","VAP22_ARATH")</f>
        <v>VAP22_ARATH</v>
      </c>
      <c r="D1057" t="s">
        <v>1104</v>
      </c>
      <c r="E1057" s="3" t="s">
        <v>3</v>
      </c>
      <c r="F1057" s="4">
        <v>3.5099999999999998E-52</v>
      </c>
      <c r="G1057" s="3">
        <v>457</v>
      </c>
      <c r="H1057" s="3">
        <v>52</v>
      </c>
      <c r="I1057" s="3">
        <v>207</v>
      </c>
      <c r="J1057" s="3">
        <v>117</v>
      </c>
      <c r="K1057" s="3">
        <v>737</v>
      </c>
      <c r="L1057" s="3">
        <v>1</v>
      </c>
      <c r="M1057" s="3">
        <v>196</v>
      </c>
    </row>
    <row r="1058" spans="1:13" x14ac:dyDescent="0.25">
      <c r="A1058" s="1" t="str">
        <f>HYPERLINK("http://www.rosaceae.org/Prunus/Prunus_persica/p.persica_gdr_reftransV1_0045862","p.persica_gdr_reftransV1_0045862")</f>
        <v>p.persica_gdr_reftransV1_0045862</v>
      </c>
      <c r="B1058" s="3">
        <v>825</v>
      </c>
      <c r="C1058" s="1" t="str">
        <f>HYPERLINK("http://www.uniprot.org/uniprot/YPTM2_MAIZE","YPTM2_MAIZE")</f>
        <v>YPTM2_MAIZE</v>
      </c>
      <c r="D1058" t="s">
        <v>1105</v>
      </c>
      <c r="E1058" s="3" t="s">
        <v>72</v>
      </c>
      <c r="F1058" s="4">
        <v>2.9899999999999998E-116</v>
      </c>
      <c r="G1058" s="3">
        <v>869</v>
      </c>
      <c r="H1058" s="3">
        <v>94</v>
      </c>
      <c r="I1058" s="3">
        <v>171</v>
      </c>
      <c r="J1058" s="3">
        <v>311</v>
      </c>
      <c r="K1058" s="3">
        <v>823</v>
      </c>
      <c r="L1058" s="3">
        <v>1</v>
      </c>
      <c r="M1058" s="3">
        <v>171</v>
      </c>
    </row>
    <row r="1059" spans="1:13" x14ac:dyDescent="0.25">
      <c r="A1059" s="1" t="str">
        <f>HYPERLINK("http://www.rosaceae.org/Prunus/Prunus_persica/p.persica_gdr_reftransV1_0046012","p.persica_gdr_reftransV1_0046012")</f>
        <v>p.persica_gdr_reftransV1_0046012</v>
      </c>
      <c r="B1059" s="3">
        <v>1877</v>
      </c>
      <c r="C1059" s="1" t="str">
        <f>HYPERLINK("http://www.uniprot.org/uniprot/LPCT2_ARATH","LPCT2_ARATH")</f>
        <v>LPCT2_ARATH</v>
      </c>
      <c r="D1059" t="s">
        <v>1106</v>
      </c>
      <c r="E1059" s="3" t="s">
        <v>3</v>
      </c>
      <c r="F1059" s="4">
        <v>0</v>
      </c>
      <c r="G1059" s="3">
        <v>1847</v>
      </c>
      <c r="H1059" s="3">
        <v>66</v>
      </c>
      <c r="I1059" s="3">
        <v>540</v>
      </c>
      <c r="J1059" s="3">
        <v>97</v>
      </c>
      <c r="K1059" s="3">
        <v>1701</v>
      </c>
      <c r="L1059" s="3">
        <v>1</v>
      </c>
      <c r="M1059" s="3">
        <v>536</v>
      </c>
    </row>
    <row r="1060" spans="1:13" x14ac:dyDescent="0.25">
      <c r="A1060" s="1" t="str">
        <f>HYPERLINK("http://www.rosaceae.org/Prunus/Prunus_persica/p.persica_gdr_reftransV1_0046062","p.persica_gdr_reftransV1_0046062")</f>
        <v>p.persica_gdr_reftransV1_0046062</v>
      </c>
      <c r="B1060" s="3">
        <v>807</v>
      </c>
      <c r="C1060" s="1" t="str">
        <f>HYPERLINK("http://www.uniprot.org/uniprot/APT5_ARATH","APT5_ARATH")</f>
        <v>APT5_ARATH</v>
      </c>
      <c r="D1060" t="s">
        <v>1107</v>
      </c>
      <c r="E1060" s="3" t="s">
        <v>3</v>
      </c>
      <c r="F1060" s="4">
        <v>2.01E-84</v>
      </c>
      <c r="G1060" s="3">
        <v>657</v>
      </c>
      <c r="H1060" s="3">
        <v>86</v>
      </c>
      <c r="I1060" s="3">
        <v>146</v>
      </c>
      <c r="J1060" s="3">
        <v>100</v>
      </c>
      <c r="K1060" s="3">
        <v>537</v>
      </c>
      <c r="L1060" s="3">
        <v>1</v>
      </c>
      <c r="M1060" s="3">
        <v>146</v>
      </c>
    </row>
    <row r="1061" spans="1:13" x14ac:dyDescent="0.25">
      <c r="A1061" s="1" t="str">
        <f>HYPERLINK("http://www.rosaceae.org/Prunus/Prunus_persica/p.persica_gdr_reftransV1_0046162","p.persica_gdr_reftransV1_0046162")</f>
        <v>p.persica_gdr_reftransV1_0046162</v>
      </c>
      <c r="B1061" s="3">
        <v>1133</v>
      </c>
      <c r="C1061" s="1" t="str">
        <f>HYPERLINK("http://www.uniprot.org/uniprot/YAB1_ARATH","YAB1_ARATH")</f>
        <v>YAB1_ARATH</v>
      </c>
      <c r="D1061" t="s">
        <v>1108</v>
      </c>
      <c r="E1061" s="3" t="s">
        <v>3</v>
      </c>
      <c r="F1061" s="4">
        <v>2.6499999999999999E-73</v>
      </c>
      <c r="G1061" s="3">
        <v>597</v>
      </c>
      <c r="H1061" s="3">
        <v>62</v>
      </c>
      <c r="I1061" s="3">
        <v>213</v>
      </c>
      <c r="J1061" s="3">
        <v>321</v>
      </c>
      <c r="K1061" s="3">
        <v>941</v>
      </c>
      <c r="L1061" s="3">
        <v>17</v>
      </c>
      <c r="M1061" s="3">
        <v>229</v>
      </c>
    </row>
    <row r="1062" spans="1:13" x14ac:dyDescent="0.25">
      <c r="A1062" s="1" t="str">
        <f>HYPERLINK("http://www.rosaceae.org/Prunus/Prunus_persica/p.persica_gdr_reftransV1_0046212","p.persica_gdr_reftransV1_0046212")</f>
        <v>p.persica_gdr_reftransV1_0046212</v>
      </c>
      <c r="B1062" s="3">
        <v>343</v>
      </c>
      <c r="C1062" s="1" t="str">
        <f>HYPERLINK("http://www.uniprot.org/uniprot/AGO1B_ORYSJ","AGO1B_ORYSJ")</f>
        <v>AGO1B_ORYSJ</v>
      </c>
      <c r="D1062" t="s">
        <v>1109</v>
      </c>
      <c r="E1062" s="3" t="s">
        <v>38</v>
      </c>
      <c r="F1062" s="4">
        <v>3.5699999999999998E-61</v>
      </c>
      <c r="G1062" s="3">
        <v>525</v>
      </c>
      <c r="H1062" s="3">
        <v>95</v>
      </c>
      <c r="I1062" s="3">
        <v>100</v>
      </c>
      <c r="J1062" s="3">
        <v>1</v>
      </c>
      <c r="K1062" s="3">
        <v>300</v>
      </c>
      <c r="L1062" s="3">
        <v>907</v>
      </c>
      <c r="M1062" s="3">
        <v>1006</v>
      </c>
    </row>
    <row r="1063" spans="1:13" x14ac:dyDescent="0.25">
      <c r="A1063" s="1" t="str">
        <f>HYPERLINK("http://www.rosaceae.org/Prunus/Prunus_persica/p.persica_gdr_reftransV1_0046262","p.persica_gdr_reftransV1_0046262")</f>
        <v>p.persica_gdr_reftransV1_0046262</v>
      </c>
      <c r="B1063" s="3">
        <v>1140</v>
      </c>
      <c r="C1063" s="1" t="str">
        <f>HYPERLINK("http://www.uniprot.org/uniprot/CHI5_ORYSJ","CHI5_ORYSJ")</f>
        <v>CHI5_ORYSJ</v>
      </c>
      <c r="D1063" t="s">
        <v>1110</v>
      </c>
      <c r="E1063" s="3" t="s">
        <v>38</v>
      </c>
      <c r="F1063" s="4">
        <v>1.55E-95</v>
      </c>
      <c r="G1063" s="3">
        <v>751</v>
      </c>
      <c r="H1063" s="3">
        <v>68</v>
      </c>
      <c r="I1063" s="3">
        <v>202</v>
      </c>
      <c r="J1063" s="3">
        <v>164</v>
      </c>
      <c r="K1063" s="3">
        <v>763</v>
      </c>
      <c r="L1063" s="3">
        <v>87</v>
      </c>
      <c r="M1063" s="3">
        <v>288</v>
      </c>
    </row>
    <row r="1064" spans="1:13" x14ac:dyDescent="0.25">
      <c r="A1064" s="1" t="str">
        <f>HYPERLINK("http://www.rosaceae.org/Prunus/Prunus_persica/p.persica_gdr_reftransV1_0046312","p.persica_gdr_reftransV1_0046312")</f>
        <v>p.persica_gdr_reftransV1_0046312</v>
      </c>
      <c r="B1064" s="3">
        <v>1620</v>
      </c>
      <c r="C1064" s="1" t="str">
        <f>HYPERLINK("http://www.uniprot.org/uniprot/ALEU_ARATH","ALEU_ARATH")</f>
        <v>ALEU_ARATH</v>
      </c>
      <c r="D1064" t="s">
        <v>1111</v>
      </c>
      <c r="E1064" s="3" t="s">
        <v>3</v>
      </c>
      <c r="F1064" s="4">
        <v>0</v>
      </c>
      <c r="G1064" s="3">
        <v>1368</v>
      </c>
      <c r="H1064" s="3">
        <v>79</v>
      </c>
      <c r="I1064" s="3">
        <v>333</v>
      </c>
      <c r="J1064" s="3">
        <v>374</v>
      </c>
      <c r="K1064" s="3">
        <v>1372</v>
      </c>
      <c r="L1064" s="3">
        <v>26</v>
      </c>
      <c r="M1064" s="3">
        <v>358</v>
      </c>
    </row>
    <row r="1065" spans="1:13" x14ac:dyDescent="0.25">
      <c r="A1065" s="1" t="str">
        <f>HYPERLINK("http://www.rosaceae.org/Prunus/Prunus_persica/p.persica_gdr_reftransV1_0046362","p.persica_gdr_reftransV1_0046362")</f>
        <v>p.persica_gdr_reftransV1_0046362</v>
      </c>
      <c r="B1065" s="3">
        <v>2315</v>
      </c>
      <c r="C1065" s="1" t="str">
        <f>HYPERLINK("http://www.uniprot.org/uniprot/SYWC_ARATH","SYWC_ARATH")</f>
        <v>SYWC_ARATH</v>
      </c>
      <c r="D1065" t="s">
        <v>1112</v>
      </c>
      <c r="E1065" s="3" t="s">
        <v>3</v>
      </c>
      <c r="F1065" s="4">
        <v>2.6299999999999999E-162</v>
      </c>
      <c r="G1065" s="3">
        <v>1242</v>
      </c>
      <c r="H1065" s="3">
        <v>88</v>
      </c>
      <c r="I1065" s="3">
        <v>254</v>
      </c>
      <c r="J1065" s="3">
        <v>1023</v>
      </c>
      <c r="K1065" s="3">
        <v>1784</v>
      </c>
      <c r="L1065" s="3">
        <v>16</v>
      </c>
      <c r="M1065" s="3">
        <v>269</v>
      </c>
    </row>
    <row r="1066" spans="1:13" x14ac:dyDescent="0.25">
      <c r="A1066" s="1" t="str">
        <f>HYPERLINK("http://www.rosaceae.org/Prunus/Prunus_persica/p.persica_gdr_reftransV1_0046462","p.persica_gdr_reftransV1_0046462")</f>
        <v>p.persica_gdr_reftransV1_0046462</v>
      </c>
      <c r="B1066" s="3">
        <v>532</v>
      </c>
      <c r="C1066" s="1" t="str">
        <f>HYPERLINK("http://www.uniprot.org/uniprot/BGL13_ORYSJ","BGL13_ORYSJ")</f>
        <v>BGL13_ORYSJ</v>
      </c>
      <c r="D1066" t="s">
        <v>1113</v>
      </c>
      <c r="E1066" s="3" t="s">
        <v>38</v>
      </c>
      <c r="F1066" s="4">
        <v>1.2600000000000001E-56</v>
      </c>
      <c r="G1066" s="3">
        <v>486</v>
      </c>
      <c r="H1066" s="3">
        <v>60</v>
      </c>
      <c r="I1066" s="3">
        <v>146</v>
      </c>
      <c r="J1066" s="3">
        <v>16</v>
      </c>
      <c r="K1066" s="3">
        <v>453</v>
      </c>
      <c r="L1066" s="3">
        <v>359</v>
      </c>
      <c r="M1066" s="3">
        <v>504</v>
      </c>
    </row>
    <row r="1067" spans="1:13" x14ac:dyDescent="0.25">
      <c r="A1067" s="1" t="str">
        <f>HYPERLINK("http://www.rosaceae.org/Prunus/Prunus_persica/p.persica_gdr_reftransV1_0046562","p.persica_gdr_reftransV1_0046562")</f>
        <v>p.persica_gdr_reftransV1_0046562</v>
      </c>
      <c r="B1067" s="3">
        <v>2227</v>
      </c>
      <c r="C1067" s="1" t="str">
        <f>HYPERLINK("http://www.uniprot.org/uniprot/Y1461_ARATH","Y1461_ARATH")</f>
        <v>Y1461_ARATH</v>
      </c>
      <c r="D1067" t="s">
        <v>392</v>
      </c>
      <c r="E1067" s="3" t="s">
        <v>3</v>
      </c>
      <c r="F1067" s="4">
        <v>0</v>
      </c>
      <c r="G1067" s="3">
        <v>1917</v>
      </c>
      <c r="H1067" s="3">
        <v>70</v>
      </c>
      <c r="I1067" s="3">
        <v>559</v>
      </c>
      <c r="J1067" s="3">
        <v>289</v>
      </c>
      <c r="K1067" s="3">
        <v>1935</v>
      </c>
      <c r="L1067" s="3">
        <v>1</v>
      </c>
      <c r="M1067" s="3">
        <v>558</v>
      </c>
    </row>
    <row r="1068" spans="1:13" x14ac:dyDescent="0.25">
      <c r="A1068" s="1" t="str">
        <f>HYPERLINK("http://www.rosaceae.org/Prunus/Prunus_persica/p.persica_gdr_reftransV1_0046612","p.persica_gdr_reftransV1_0046612")</f>
        <v>p.persica_gdr_reftransV1_0046612</v>
      </c>
      <c r="B1068" s="3">
        <v>1452</v>
      </c>
      <c r="C1068" s="1" t="str">
        <f>HYPERLINK("http://www.uniprot.org/uniprot/FAEA_ASPTN","FAEA_ASPTN")</f>
        <v>FAEA_ASPTN</v>
      </c>
      <c r="D1068" t="s">
        <v>1114</v>
      </c>
      <c r="E1068" s="3" t="s">
        <v>1115</v>
      </c>
      <c r="F1068" s="4">
        <v>1.1200000000000001E-9</v>
      </c>
      <c r="G1068" s="3">
        <v>151</v>
      </c>
      <c r="H1068" s="3">
        <v>26</v>
      </c>
      <c r="I1068" s="3">
        <v>250</v>
      </c>
      <c r="J1068" s="3">
        <v>397</v>
      </c>
      <c r="K1068" s="3">
        <v>1074</v>
      </c>
      <c r="L1068" s="3">
        <v>32</v>
      </c>
      <c r="M1068" s="3">
        <v>221</v>
      </c>
    </row>
    <row r="1069" spans="1:13" x14ac:dyDescent="0.25">
      <c r="A1069" s="1" t="str">
        <f>HYPERLINK("http://www.rosaceae.org/Prunus/Prunus_persica/p.persica_gdr_reftransV1_0046662","p.persica_gdr_reftransV1_0046662")</f>
        <v>p.persica_gdr_reftransV1_0046662</v>
      </c>
      <c r="B1069" s="3">
        <v>1440</v>
      </c>
      <c r="C1069" s="1" t="str">
        <f>HYPERLINK("http://www.uniprot.org/uniprot/QORL_ARATH","QORL_ARATH")</f>
        <v>QORL_ARATH</v>
      </c>
      <c r="D1069" t="s">
        <v>1116</v>
      </c>
      <c r="E1069" s="3" t="s">
        <v>3</v>
      </c>
      <c r="F1069" s="4">
        <v>1.0699999999999999E-168</v>
      </c>
      <c r="G1069" s="3">
        <v>1256</v>
      </c>
      <c r="H1069" s="3">
        <v>79</v>
      </c>
      <c r="I1069" s="3">
        <v>333</v>
      </c>
      <c r="J1069" s="3">
        <v>209</v>
      </c>
      <c r="K1069" s="3">
        <v>1207</v>
      </c>
      <c r="L1069" s="3">
        <v>53</v>
      </c>
      <c r="M1069" s="3">
        <v>385</v>
      </c>
    </row>
    <row r="1070" spans="1:13" x14ac:dyDescent="0.25">
      <c r="A1070" s="1" t="str">
        <f>HYPERLINK("http://www.rosaceae.org/Prunus/Prunus_persica/p.persica_gdr_reftransV1_0046762","p.persica_gdr_reftransV1_0046762")</f>
        <v>p.persica_gdr_reftransV1_0046762</v>
      </c>
      <c r="B1070" s="3">
        <v>789</v>
      </c>
      <c r="C1070" s="1" t="str">
        <f>HYPERLINK("http://www.uniprot.org/uniprot/VPS2B_ARATH","VPS2B_ARATH")</f>
        <v>VPS2B_ARATH</v>
      </c>
      <c r="D1070" t="s">
        <v>1117</v>
      </c>
      <c r="E1070" s="3" t="s">
        <v>3</v>
      </c>
      <c r="F1070" s="4">
        <v>1.5799999999999999E-78</v>
      </c>
      <c r="G1070" s="3">
        <v>614</v>
      </c>
      <c r="H1070" s="3">
        <v>88</v>
      </c>
      <c r="I1070" s="3">
        <v>153</v>
      </c>
      <c r="J1070" s="3">
        <v>245</v>
      </c>
      <c r="K1070" s="3">
        <v>703</v>
      </c>
      <c r="L1070" s="3">
        <v>37</v>
      </c>
      <c r="M1070" s="3">
        <v>189</v>
      </c>
    </row>
    <row r="1071" spans="1:13" x14ac:dyDescent="0.25">
      <c r="A1071" s="1" t="str">
        <f>HYPERLINK("http://www.rosaceae.org/Prunus/Prunus_persica/p.persica_gdr_reftransV1_0046912","p.persica_gdr_reftransV1_0046912")</f>
        <v>p.persica_gdr_reftransV1_0046912</v>
      </c>
      <c r="B1071" s="3">
        <v>1621</v>
      </c>
      <c r="C1071" s="1" t="str">
        <f>HYPERLINK("http://www.uniprot.org/uniprot/SIS3_ARATH","SIS3_ARATH")</f>
        <v>SIS3_ARATH</v>
      </c>
      <c r="D1071" t="s">
        <v>1118</v>
      </c>
      <c r="E1071" s="3" t="s">
        <v>3</v>
      </c>
      <c r="F1071" s="4">
        <v>3.0899999999999999E-150</v>
      </c>
      <c r="G1071" s="3">
        <v>817</v>
      </c>
      <c r="H1071" s="3">
        <v>71</v>
      </c>
      <c r="I1071" s="3">
        <v>223</v>
      </c>
      <c r="J1071" s="3">
        <v>335</v>
      </c>
      <c r="K1071" s="3">
        <v>994</v>
      </c>
      <c r="L1071" s="3">
        <v>147</v>
      </c>
      <c r="M1071" s="3">
        <v>357</v>
      </c>
    </row>
    <row r="1072" spans="1:13" x14ac:dyDescent="0.25">
      <c r="A1072" s="1" t="str">
        <f>HYPERLINK("http://www.rosaceae.org/Prunus/Prunus_persica/p.persica_gdr_reftransV1_0046962","p.persica_gdr_reftransV1_0046962")</f>
        <v>p.persica_gdr_reftransV1_0046962</v>
      </c>
      <c r="B1072" s="3">
        <v>591</v>
      </c>
      <c r="C1072" s="1" t="str">
        <f>HYPERLINK("http://www.uniprot.org/uniprot/FPA_ARATH","FPA_ARATH")</f>
        <v>FPA_ARATH</v>
      </c>
      <c r="D1072" t="s">
        <v>1119</v>
      </c>
      <c r="E1072" s="3" t="s">
        <v>3</v>
      </c>
      <c r="F1072" s="4">
        <v>4.1899999999999999E-11</v>
      </c>
      <c r="G1072" s="3">
        <v>158</v>
      </c>
      <c r="H1072" s="3">
        <v>37</v>
      </c>
      <c r="I1072" s="3">
        <v>76</v>
      </c>
      <c r="J1072" s="3">
        <v>180</v>
      </c>
      <c r="K1072" s="3">
        <v>407</v>
      </c>
      <c r="L1072" s="3">
        <v>17</v>
      </c>
      <c r="M1072" s="3">
        <v>92</v>
      </c>
    </row>
    <row r="1073" spans="1:13" x14ac:dyDescent="0.25">
      <c r="A1073" s="1" t="str">
        <f>HYPERLINK("http://www.rosaceae.org/Prunus/Prunus_persica/p.persica_gdr_reftransV1_0047012","p.persica_gdr_reftransV1_0047012")</f>
        <v>p.persica_gdr_reftransV1_0047012</v>
      </c>
      <c r="B1073" s="3">
        <v>1357</v>
      </c>
      <c r="C1073" s="1" t="str">
        <f>HYPERLINK("http://www.uniprot.org/uniprot/MD36A_ARATH","MD36A_ARATH")</f>
        <v>MD36A_ARATH</v>
      </c>
      <c r="D1073" t="s">
        <v>1120</v>
      </c>
      <c r="E1073" s="3" t="s">
        <v>3</v>
      </c>
      <c r="F1073" s="4">
        <v>5.2999999999999999E-159</v>
      </c>
      <c r="G1073" s="3">
        <v>1182</v>
      </c>
      <c r="H1073" s="3">
        <v>91</v>
      </c>
      <c r="I1073" s="3">
        <v>240</v>
      </c>
      <c r="J1073" s="3">
        <v>299</v>
      </c>
      <c r="K1073" s="3">
        <v>1018</v>
      </c>
      <c r="L1073" s="3">
        <v>78</v>
      </c>
      <c r="M1073" s="3">
        <v>317</v>
      </c>
    </row>
    <row r="1074" spans="1:13" x14ac:dyDescent="0.25">
      <c r="A1074" s="1" t="str">
        <f>HYPERLINK("http://www.rosaceae.org/Prunus/Prunus_persica/p.persica_gdr_reftransV1_0047062","p.persica_gdr_reftransV1_0047062")</f>
        <v>p.persica_gdr_reftransV1_0047062</v>
      </c>
      <c r="B1074" s="3">
        <v>1381</v>
      </c>
      <c r="C1074" s="1" t="str">
        <f>HYPERLINK("http://www.uniprot.org/uniprot/PHB1_ARATH","PHB1_ARATH")</f>
        <v>PHB1_ARATH</v>
      </c>
      <c r="D1074" t="s">
        <v>1121</v>
      </c>
      <c r="E1074" s="3" t="s">
        <v>3</v>
      </c>
      <c r="F1074" s="4">
        <v>1.5199999999999999E-150</v>
      </c>
      <c r="G1074" s="3">
        <v>1124</v>
      </c>
      <c r="H1074" s="3">
        <v>86</v>
      </c>
      <c r="I1074" s="3">
        <v>254</v>
      </c>
      <c r="J1074" s="3">
        <v>238</v>
      </c>
      <c r="K1074" s="3">
        <v>999</v>
      </c>
      <c r="L1074" s="3">
        <v>34</v>
      </c>
      <c r="M1074" s="3">
        <v>287</v>
      </c>
    </row>
    <row r="1075" spans="1:13" x14ac:dyDescent="0.25">
      <c r="A1075" s="1" t="str">
        <f>HYPERLINK("http://www.rosaceae.org/Prunus/Prunus_persica/p.persica_gdr_reftransV1_0047112","p.persica_gdr_reftransV1_0047112")</f>
        <v>p.persica_gdr_reftransV1_0047112</v>
      </c>
      <c r="B1075" s="3">
        <v>1649</v>
      </c>
      <c r="C1075" s="1" t="str">
        <f>HYPERLINK("http://www.uniprot.org/uniprot/HIBC1_ARATH","HIBC1_ARATH")</f>
        <v>HIBC1_ARATH</v>
      </c>
      <c r="D1075" t="s">
        <v>293</v>
      </c>
      <c r="E1075" s="3" t="s">
        <v>3</v>
      </c>
      <c r="F1075" s="4">
        <v>2.0900000000000001E-69</v>
      </c>
      <c r="G1075" s="3">
        <v>597</v>
      </c>
      <c r="H1075" s="3">
        <v>52</v>
      </c>
      <c r="I1075" s="3">
        <v>242</v>
      </c>
      <c r="J1075" s="3">
        <v>938</v>
      </c>
      <c r="K1075" s="3">
        <v>1645</v>
      </c>
      <c r="L1075" s="3">
        <v>89</v>
      </c>
      <c r="M1075" s="3">
        <v>317</v>
      </c>
    </row>
    <row r="1076" spans="1:13" x14ac:dyDescent="0.25">
      <c r="A1076" s="1" t="str">
        <f>HYPERLINK("http://www.rosaceae.org/Prunus/Prunus_persica/p.persica_gdr_reftransV1_0047212","p.persica_gdr_reftransV1_0047212")</f>
        <v>p.persica_gdr_reftransV1_0047212</v>
      </c>
      <c r="B1076" s="3">
        <v>2023</v>
      </c>
      <c r="C1076" s="1" t="str">
        <f>HYPERLINK("http://www.uniprot.org/uniprot/EF2_BETVU","EF2_BETVU")</f>
        <v>EF2_BETVU</v>
      </c>
      <c r="D1076" t="s">
        <v>1122</v>
      </c>
      <c r="E1076" s="3" t="s">
        <v>1123</v>
      </c>
      <c r="F1076" s="4">
        <v>0</v>
      </c>
      <c r="G1076" s="3">
        <v>2953</v>
      </c>
      <c r="H1076" s="3">
        <v>92</v>
      </c>
      <c r="I1076" s="3">
        <v>606</v>
      </c>
      <c r="J1076" s="3">
        <v>206</v>
      </c>
      <c r="K1076" s="3">
        <v>2023</v>
      </c>
      <c r="L1076" s="3">
        <v>238</v>
      </c>
      <c r="M1076" s="3">
        <v>843</v>
      </c>
    </row>
    <row r="1077" spans="1:13" x14ac:dyDescent="0.25">
      <c r="A1077" s="1" t="str">
        <f>HYPERLINK("http://www.rosaceae.org/Prunus/Prunus_persica/p.persica_gdr_reftransV1_0047362","p.persica_gdr_reftransV1_0047362")</f>
        <v>p.persica_gdr_reftransV1_0047362</v>
      </c>
      <c r="B1077" s="3">
        <v>565</v>
      </c>
      <c r="C1077" s="1" t="str">
        <f>HYPERLINK("http://www.uniprot.org/uniprot/AGO16_ORYSJ","AGO16_ORYSJ")</f>
        <v>AGO16_ORYSJ</v>
      </c>
      <c r="D1077" t="s">
        <v>1124</v>
      </c>
      <c r="E1077" s="3" t="s">
        <v>38</v>
      </c>
      <c r="F1077" s="4">
        <v>1.1299999999999999E-72</v>
      </c>
      <c r="G1077" s="3">
        <v>613</v>
      </c>
      <c r="H1077" s="3">
        <v>63</v>
      </c>
      <c r="I1077" s="3">
        <v>195</v>
      </c>
      <c r="J1077" s="3">
        <v>1</v>
      </c>
      <c r="K1077" s="3">
        <v>564</v>
      </c>
      <c r="L1077" s="3">
        <v>104</v>
      </c>
      <c r="M1077" s="3">
        <v>298</v>
      </c>
    </row>
    <row r="1078" spans="1:13" x14ac:dyDescent="0.25">
      <c r="A1078" s="1" t="str">
        <f>HYPERLINK("http://www.rosaceae.org/Prunus/Prunus_persica/p.persica_gdr_reftransV1_0047462","p.persica_gdr_reftransV1_0047462")</f>
        <v>p.persica_gdr_reftransV1_0047462</v>
      </c>
      <c r="B1078" s="3">
        <v>501</v>
      </c>
      <c r="C1078" s="1" t="str">
        <f>HYPERLINK("http://www.uniprot.org/uniprot/RUXE_PIG","RUXE_PIG")</f>
        <v>RUXE_PIG</v>
      </c>
      <c r="D1078" t="s">
        <v>1125</v>
      </c>
      <c r="E1078" s="3" t="s">
        <v>1126</v>
      </c>
      <c r="F1078" s="4">
        <v>1.78E-37</v>
      </c>
      <c r="G1078" s="3">
        <v>326</v>
      </c>
      <c r="H1078" s="3">
        <v>70</v>
      </c>
      <c r="I1078" s="3">
        <v>81</v>
      </c>
      <c r="J1078" s="3">
        <v>97</v>
      </c>
      <c r="K1078" s="3">
        <v>339</v>
      </c>
      <c r="L1078" s="3">
        <v>7</v>
      </c>
      <c r="M1078" s="3">
        <v>87</v>
      </c>
    </row>
    <row r="1079" spans="1:13" x14ac:dyDescent="0.25">
      <c r="A1079" s="1" t="str">
        <f>HYPERLINK("http://www.rosaceae.org/Prunus/Prunus_persica/p.persica_gdr_reftransV1_0047512","p.persica_gdr_reftransV1_0047512")</f>
        <v>p.persica_gdr_reftransV1_0047512</v>
      </c>
      <c r="B1079" s="3">
        <v>1356</v>
      </c>
      <c r="C1079" s="1" t="str">
        <f>HYPERLINK("http://www.uniprot.org/uniprot/IPPK_ARATH","IPPK_ARATH")</f>
        <v>IPPK_ARATH</v>
      </c>
      <c r="D1079" t="s">
        <v>1127</v>
      </c>
      <c r="E1079" s="3" t="s">
        <v>3</v>
      </c>
      <c r="F1079" s="4">
        <v>1.7000000000000001E-129</v>
      </c>
      <c r="G1079" s="3">
        <v>999</v>
      </c>
      <c r="H1079" s="3">
        <v>57</v>
      </c>
      <c r="I1079" s="3">
        <v>334</v>
      </c>
      <c r="J1079" s="3">
        <v>23</v>
      </c>
      <c r="K1079" s="3">
        <v>1015</v>
      </c>
      <c r="L1079" s="3">
        <v>1</v>
      </c>
      <c r="M1079" s="3">
        <v>334</v>
      </c>
    </row>
    <row r="1080" spans="1:13" x14ac:dyDescent="0.25">
      <c r="A1080" s="1" t="str">
        <f>HYPERLINK("http://www.rosaceae.org/Prunus/Prunus_persica/p.persica_gdr_reftransV1_0047712","p.persica_gdr_reftransV1_0047712")</f>
        <v>p.persica_gdr_reftransV1_0047712</v>
      </c>
      <c r="B1080" s="3">
        <v>855</v>
      </c>
      <c r="C1080" s="1" t="str">
        <f>HYPERLINK("http://www.uniprot.org/uniprot/LSH10_ARATH","LSH10_ARATH")</f>
        <v>LSH10_ARATH</v>
      </c>
      <c r="D1080" t="s">
        <v>1128</v>
      </c>
      <c r="E1080" s="3" t="s">
        <v>3</v>
      </c>
      <c r="F1080" s="4">
        <v>3.2200000000000001E-77</v>
      </c>
      <c r="G1080" s="3">
        <v>610</v>
      </c>
      <c r="H1080" s="3">
        <v>86</v>
      </c>
      <c r="I1080" s="3">
        <v>129</v>
      </c>
      <c r="J1080" s="3">
        <v>21</v>
      </c>
      <c r="K1080" s="3">
        <v>407</v>
      </c>
      <c r="L1080" s="3">
        <v>20</v>
      </c>
      <c r="M1080" s="3">
        <v>148</v>
      </c>
    </row>
    <row r="1081" spans="1:13" x14ac:dyDescent="0.25">
      <c r="A1081" s="1" t="str">
        <f>HYPERLINK("http://www.rosaceae.org/Prunus/Prunus_persica/p.persica_gdr_reftransV1_0047762","p.persica_gdr_reftransV1_0047762")</f>
        <v>p.persica_gdr_reftransV1_0047762</v>
      </c>
      <c r="B1081" s="3">
        <v>5157</v>
      </c>
      <c r="C1081" s="1" t="str">
        <f>HYPERLINK("http://www.uniprot.org/uniprot/EAF1B_ARATH","EAF1B_ARATH")</f>
        <v>EAF1B_ARATH</v>
      </c>
      <c r="D1081" t="s">
        <v>1129</v>
      </c>
      <c r="E1081" s="3" t="s">
        <v>3</v>
      </c>
      <c r="F1081" s="4">
        <v>0</v>
      </c>
      <c r="G1081" s="3">
        <v>3120</v>
      </c>
      <c r="H1081" s="3">
        <v>53</v>
      </c>
      <c r="I1081" s="3">
        <v>1530</v>
      </c>
      <c r="J1081" s="3">
        <v>202</v>
      </c>
      <c r="K1081" s="3">
        <v>4725</v>
      </c>
      <c r="L1081" s="3">
        <v>1</v>
      </c>
      <c r="M1081" s="3">
        <v>1429</v>
      </c>
    </row>
    <row r="1082" spans="1:13" x14ac:dyDescent="0.25">
      <c r="A1082" s="1" t="str">
        <f>HYPERLINK("http://www.rosaceae.org/Prunus/Prunus_persica/p.persica_gdr_reftransV1_0047812","p.persica_gdr_reftransV1_0047812")</f>
        <v>p.persica_gdr_reftransV1_0047812</v>
      </c>
      <c r="B1082" s="3">
        <v>3296</v>
      </c>
      <c r="C1082" s="1" t="str">
        <f>HYPERLINK("http://www.uniprot.org/uniprot/SKI14_ARATH","SKI14_ARATH")</f>
        <v>SKI14_ARATH</v>
      </c>
      <c r="D1082" t="s">
        <v>1130</v>
      </c>
      <c r="E1082" s="3" t="s">
        <v>3</v>
      </c>
      <c r="F1082" s="4">
        <v>1.36E-123</v>
      </c>
      <c r="G1082" s="3">
        <v>1010</v>
      </c>
      <c r="H1082" s="3">
        <v>47</v>
      </c>
      <c r="I1082" s="3">
        <v>485</v>
      </c>
      <c r="J1082" s="3">
        <v>1213</v>
      </c>
      <c r="K1082" s="3">
        <v>2598</v>
      </c>
      <c r="L1082" s="3">
        <v>1</v>
      </c>
      <c r="M1082" s="3">
        <v>446</v>
      </c>
    </row>
    <row r="1083" spans="1:13" x14ac:dyDescent="0.25">
      <c r="A1083" s="1" t="str">
        <f>HYPERLINK("http://www.rosaceae.org/Prunus/Prunus_persica/p.persica_gdr_reftransV1_0047862","p.persica_gdr_reftransV1_0047862")</f>
        <v>p.persica_gdr_reftransV1_0047862</v>
      </c>
      <c r="B1083" s="3">
        <v>519</v>
      </c>
      <c r="C1083" s="1" t="str">
        <f>HYPERLINK("http://www.uniprot.org/uniprot/PER20_ARATH","PER20_ARATH")</f>
        <v>PER20_ARATH</v>
      </c>
      <c r="D1083" t="s">
        <v>1131</v>
      </c>
      <c r="E1083" s="3" t="s">
        <v>3</v>
      </c>
      <c r="F1083" s="4">
        <v>4.3599999999999997E-71</v>
      </c>
      <c r="G1083" s="3">
        <v>571</v>
      </c>
      <c r="H1083" s="3">
        <v>63</v>
      </c>
      <c r="I1083" s="3">
        <v>158</v>
      </c>
      <c r="J1083" s="3">
        <v>1</v>
      </c>
      <c r="K1083" s="3">
        <v>474</v>
      </c>
      <c r="L1083" s="3">
        <v>141</v>
      </c>
      <c r="M1083" s="3">
        <v>297</v>
      </c>
    </row>
    <row r="1084" spans="1:13" x14ac:dyDescent="0.25">
      <c r="A1084" s="1" t="str">
        <f>HYPERLINK("http://www.rosaceae.org/Prunus/Prunus_persica/p.persica_gdr_reftransV1_0047962","p.persica_gdr_reftransV1_0047962")</f>
        <v>p.persica_gdr_reftransV1_0047962</v>
      </c>
      <c r="B1084" s="3">
        <v>2186</v>
      </c>
      <c r="C1084" s="1" t="str">
        <f>HYPERLINK("http://www.uniprot.org/uniprot/Y2168_ARATH","Y2168_ARATH")</f>
        <v>Y2168_ARATH</v>
      </c>
      <c r="D1084" t="s">
        <v>1132</v>
      </c>
      <c r="E1084" s="3" t="s">
        <v>3</v>
      </c>
      <c r="F1084" s="4">
        <v>7.2999999999999997E-19</v>
      </c>
      <c r="G1084" s="3">
        <v>233</v>
      </c>
      <c r="H1084" s="3">
        <v>26</v>
      </c>
      <c r="I1084" s="3">
        <v>295</v>
      </c>
      <c r="J1084" s="3">
        <v>1273</v>
      </c>
      <c r="K1084" s="3">
        <v>2094</v>
      </c>
      <c r="L1084" s="3">
        <v>2</v>
      </c>
      <c r="M1084" s="3">
        <v>293</v>
      </c>
    </row>
    <row r="1085" spans="1:13" x14ac:dyDescent="0.25">
      <c r="A1085" s="1" t="str">
        <f>HYPERLINK("http://www.rosaceae.org/Prunus/Prunus_persica/p.persica_gdr_reftransV1_0048012","p.persica_gdr_reftransV1_0048012")</f>
        <v>p.persica_gdr_reftransV1_0048012</v>
      </c>
      <c r="B1085" s="3">
        <v>2419</v>
      </c>
      <c r="C1085" s="1" t="str">
        <f>HYPERLINK("http://www.uniprot.org/uniprot/RTNLS_ARATH","RTNLS_ARATH")</f>
        <v>RTNLS_ARATH</v>
      </c>
      <c r="D1085" t="s">
        <v>1133</v>
      </c>
      <c r="E1085" s="3" t="s">
        <v>3</v>
      </c>
      <c r="F1085" s="4">
        <v>4.6499999999999997E-112</v>
      </c>
      <c r="G1085" s="3">
        <v>915</v>
      </c>
      <c r="H1085" s="3">
        <v>44</v>
      </c>
      <c r="I1085" s="3">
        <v>483</v>
      </c>
      <c r="J1085" s="3">
        <v>625</v>
      </c>
      <c r="K1085" s="3">
        <v>2049</v>
      </c>
      <c r="L1085" s="3">
        <v>10</v>
      </c>
      <c r="M1085" s="3">
        <v>441</v>
      </c>
    </row>
    <row r="1086" spans="1:13" x14ac:dyDescent="0.25">
      <c r="A1086" s="1" t="str">
        <f>HYPERLINK("http://www.rosaceae.org/Prunus/Prunus_persica/p.persica_gdr_reftransV1_0048062","p.persica_gdr_reftransV1_0048062")</f>
        <v>p.persica_gdr_reftransV1_0048062</v>
      </c>
      <c r="B1086" s="3">
        <v>876</v>
      </c>
      <c r="C1086" s="1" t="str">
        <f>HYPERLINK("http://www.uniprot.org/uniprot/TSPO_ARATH","TSPO_ARATH")</f>
        <v>TSPO_ARATH</v>
      </c>
      <c r="D1086" t="s">
        <v>1134</v>
      </c>
      <c r="E1086" s="3" t="s">
        <v>3</v>
      </c>
      <c r="F1086" s="4">
        <v>2.5100000000000001E-54</v>
      </c>
      <c r="G1086" s="3">
        <v>459</v>
      </c>
      <c r="H1086" s="3">
        <v>50</v>
      </c>
      <c r="I1086" s="3">
        <v>193</v>
      </c>
      <c r="J1086" s="3">
        <v>166</v>
      </c>
      <c r="K1086" s="3">
        <v>729</v>
      </c>
      <c r="L1086" s="3">
        <v>1</v>
      </c>
      <c r="M1086" s="3">
        <v>193</v>
      </c>
    </row>
    <row r="1087" spans="1:13" x14ac:dyDescent="0.25">
      <c r="A1087" s="1" t="str">
        <f>HYPERLINK("http://www.rosaceae.org/Prunus/Prunus_persica/p.persica_gdr_reftransV1_0048112","p.persica_gdr_reftransV1_0048112")</f>
        <v>p.persica_gdr_reftransV1_0048112</v>
      </c>
      <c r="B1087" s="3">
        <v>3411</v>
      </c>
      <c r="C1087" s="1" t="str">
        <f>HYPERLINK("http://www.uniprot.org/uniprot/TAF4B_ARATH","TAF4B_ARATH")</f>
        <v>TAF4B_ARATH</v>
      </c>
      <c r="D1087" t="s">
        <v>1135</v>
      </c>
      <c r="E1087" s="3" t="s">
        <v>3</v>
      </c>
      <c r="F1087" s="4">
        <v>3.3800000000000002E-128</v>
      </c>
      <c r="G1087" s="3">
        <v>1078</v>
      </c>
      <c r="H1087" s="3">
        <v>52</v>
      </c>
      <c r="I1087" s="3">
        <v>635</v>
      </c>
      <c r="J1087" s="3">
        <v>1367</v>
      </c>
      <c r="K1087" s="3">
        <v>3187</v>
      </c>
      <c r="L1087" s="3">
        <v>275</v>
      </c>
      <c r="M1087" s="3">
        <v>852</v>
      </c>
    </row>
    <row r="1088" spans="1:13" x14ac:dyDescent="0.25">
      <c r="A1088" s="1" t="str">
        <f>HYPERLINK("http://www.rosaceae.org/Prunus/Prunus_persica/p.persica_gdr_reftransV1_0048162","p.persica_gdr_reftransV1_0048162")</f>
        <v>p.persica_gdr_reftransV1_0048162</v>
      </c>
      <c r="B1088" s="3">
        <v>1319</v>
      </c>
      <c r="C1088" s="1" t="str">
        <f>HYPERLINK("http://www.uniprot.org/uniprot/PSA4_SPIOL","PSA4_SPIOL")</f>
        <v>PSA4_SPIOL</v>
      </c>
      <c r="D1088" t="s">
        <v>1136</v>
      </c>
      <c r="E1088" s="3" t="s">
        <v>131</v>
      </c>
      <c r="F1088" s="4">
        <v>5.6000000000000003E-160</v>
      </c>
      <c r="G1088" s="3">
        <v>1180</v>
      </c>
      <c r="H1088" s="3">
        <v>91</v>
      </c>
      <c r="I1088" s="3">
        <v>250</v>
      </c>
      <c r="J1088" s="3">
        <v>93</v>
      </c>
      <c r="K1088" s="3">
        <v>842</v>
      </c>
      <c r="L1088" s="3">
        <v>1</v>
      </c>
      <c r="M1088" s="3">
        <v>250</v>
      </c>
    </row>
    <row r="1089" spans="1:13" x14ac:dyDescent="0.25">
      <c r="A1089" s="1" t="str">
        <f>HYPERLINK("http://www.rosaceae.org/Prunus/Prunus_persica/p.persica_gdr_reftransV1_0048312","p.persica_gdr_reftransV1_0048312")</f>
        <v>p.persica_gdr_reftransV1_0048312</v>
      </c>
      <c r="B1089" s="3">
        <v>686</v>
      </c>
      <c r="C1089" s="1" t="str">
        <f>HYPERLINK("http://www.uniprot.org/uniprot/AB42G_ORYSJ","AB42G_ORYSJ")</f>
        <v>AB42G_ORYSJ</v>
      </c>
      <c r="D1089" t="s">
        <v>1137</v>
      </c>
      <c r="E1089" s="3" t="s">
        <v>38</v>
      </c>
      <c r="F1089" s="4">
        <v>3.0100000000000002E-110</v>
      </c>
      <c r="G1089" s="3">
        <v>900</v>
      </c>
      <c r="H1089" s="3">
        <v>73</v>
      </c>
      <c r="I1089" s="3">
        <v>221</v>
      </c>
      <c r="J1089" s="3">
        <v>23</v>
      </c>
      <c r="K1089" s="3">
        <v>685</v>
      </c>
      <c r="L1089" s="3">
        <v>539</v>
      </c>
      <c r="M1089" s="3">
        <v>759</v>
      </c>
    </row>
    <row r="1090" spans="1:13" x14ac:dyDescent="0.25">
      <c r="A1090" s="1" t="str">
        <f>HYPERLINK("http://www.rosaceae.org/Prunus/Prunus_persica/p.persica_gdr_reftransV1_0048362","p.persica_gdr_reftransV1_0048362")</f>
        <v>p.persica_gdr_reftransV1_0048362</v>
      </c>
      <c r="B1090" s="3">
        <v>2585</v>
      </c>
      <c r="C1090" s="1" t="str">
        <f>HYPERLINK("http://www.uniprot.org/uniprot/NFD5_ARATH","NFD5_ARATH")</f>
        <v>NFD5_ARATH</v>
      </c>
      <c r="D1090" t="s">
        <v>1138</v>
      </c>
      <c r="E1090" s="3" t="s">
        <v>3</v>
      </c>
      <c r="F1090" s="4">
        <v>9.1799999999999998E-102</v>
      </c>
      <c r="G1090" s="3">
        <v>838</v>
      </c>
      <c r="H1090" s="3">
        <v>50</v>
      </c>
      <c r="I1090" s="3">
        <v>371</v>
      </c>
      <c r="J1090" s="3">
        <v>1383</v>
      </c>
      <c r="K1090" s="3">
        <v>2465</v>
      </c>
      <c r="L1090" s="3">
        <v>5</v>
      </c>
      <c r="M1090" s="3">
        <v>370</v>
      </c>
    </row>
    <row r="1091" spans="1:13" x14ac:dyDescent="0.25">
      <c r="A1091" s="1" t="str">
        <f>HYPERLINK("http://www.rosaceae.org/Prunus/Prunus_persica/p.persica_gdr_reftransV1_0048462","p.persica_gdr_reftransV1_0048462")</f>
        <v>p.persica_gdr_reftransV1_0048462</v>
      </c>
      <c r="B1091" s="3">
        <v>1851</v>
      </c>
      <c r="C1091" s="1" t="str">
        <f>HYPERLINK("http://www.uniprot.org/uniprot/U86A1_ARATH","U86A1_ARATH")</f>
        <v>U86A1_ARATH</v>
      </c>
      <c r="D1091" t="s">
        <v>1139</v>
      </c>
      <c r="E1091" s="3" t="s">
        <v>3</v>
      </c>
      <c r="F1091" s="4">
        <v>0</v>
      </c>
      <c r="G1091" s="3">
        <v>1566</v>
      </c>
      <c r="H1091" s="3">
        <v>59</v>
      </c>
      <c r="I1091" s="3">
        <v>496</v>
      </c>
      <c r="J1091" s="3">
        <v>223</v>
      </c>
      <c r="K1091" s="3">
        <v>1692</v>
      </c>
      <c r="L1091" s="3">
        <v>1</v>
      </c>
      <c r="M1091" s="3">
        <v>487</v>
      </c>
    </row>
    <row r="1092" spans="1:13" x14ac:dyDescent="0.25">
      <c r="A1092" s="1" t="str">
        <f>HYPERLINK("http://www.rosaceae.org/Prunus/Prunus_persica/p.persica_gdr_reftransV1_0048612","p.persica_gdr_reftransV1_0048612")</f>
        <v>p.persica_gdr_reftransV1_0048612</v>
      </c>
      <c r="B1092" s="3">
        <v>1693</v>
      </c>
      <c r="C1092" s="1" t="str">
        <f>HYPERLINK("http://www.uniprot.org/uniprot/F16P1_SPIOL","F16P1_SPIOL")</f>
        <v>F16P1_SPIOL</v>
      </c>
      <c r="D1092" t="s">
        <v>1140</v>
      </c>
      <c r="E1092" s="3" t="s">
        <v>131</v>
      </c>
      <c r="F1092" s="4">
        <v>2.6800000000000002E-85</v>
      </c>
      <c r="G1092" s="3">
        <v>709</v>
      </c>
      <c r="H1092" s="3">
        <v>46</v>
      </c>
      <c r="I1092" s="3">
        <v>322</v>
      </c>
      <c r="J1092" s="3">
        <v>386</v>
      </c>
      <c r="K1092" s="3">
        <v>1297</v>
      </c>
      <c r="L1092" s="3">
        <v>101</v>
      </c>
      <c r="M1092" s="3">
        <v>413</v>
      </c>
    </row>
    <row r="1093" spans="1:13" x14ac:dyDescent="0.25">
      <c r="A1093" s="1" t="str">
        <f>HYPERLINK("http://www.rosaceae.org/Prunus/Prunus_persica/p.persica_gdr_reftransV1_0048662","p.persica_gdr_reftransV1_0048662")</f>
        <v>p.persica_gdr_reftransV1_0048662</v>
      </c>
      <c r="B1093" s="3">
        <v>859</v>
      </c>
      <c r="C1093" s="1" t="str">
        <f>HYPERLINK("http://www.uniprot.org/uniprot/CX32_ARATH","CX32_ARATH")</f>
        <v>CX32_ARATH</v>
      </c>
      <c r="D1093" t="s">
        <v>1141</v>
      </c>
      <c r="E1093" s="3" t="s">
        <v>3</v>
      </c>
      <c r="F1093" s="4">
        <v>2.3699999999999999E-98</v>
      </c>
      <c r="G1093" s="3">
        <v>772</v>
      </c>
      <c r="H1093" s="3">
        <v>61</v>
      </c>
      <c r="I1093" s="3">
        <v>244</v>
      </c>
      <c r="J1093" s="3">
        <v>131</v>
      </c>
      <c r="K1093" s="3">
        <v>859</v>
      </c>
      <c r="L1093" s="3">
        <v>155</v>
      </c>
      <c r="M1093" s="3">
        <v>395</v>
      </c>
    </row>
    <row r="1094" spans="1:13" x14ac:dyDescent="0.25">
      <c r="A1094" s="1" t="str">
        <f>HYPERLINK("http://www.rosaceae.org/Prunus/Prunus_persica/p.persica_gdr_reftransV1_0048712","p.persica_gdr_reftransV1_0048712")</f>
        <v>p.persica_gdr_reftransV1_0048712</v>
      </c>
      <c r="B1094" s="3">
        <v>321</v>
      </c>
      <c r="C1094" s="1" t="str">
        <f>HYPERLINK("http://www.uniprot.org/uniprot/PME15_ARATH","PME15_ARATH")</f>
        <v>PME15_ARATH</v>
      </c>
      <c r="D1094" t="s">
        <v>1142</v>
      </c>
      <c r="E1094" s="3" t="s">
        <v>3</v>
      </c>
      <c r="F1094" s="4">
        <v>2.42E-25</v>
      </c>
      <c r="G1094" s="3">
        <v>252</v>
      </c>
      <c r="H1094" s="3">
        <v>51</v>
      </c>
      <c r="I1094" s="3">
        <v>79</v>
      </c>
      <c r="J1094" s="3">
        <v>84</v>
      </c>
      <c r="K1094" s="3">
        <v>320</v>
      </c>
      <c r="L1094" s="3">
        <v>309</v>
      </c>
      <c r="M1094" s="3">
        <v>387</v>
      </c>
    </row>
    <row r="1095" spans="1:13" x14ac:dyDescent="0.25">
      <c r="A1095" s="1" t="str">
        <f>HYPERLINK("http://www.rosaceae.org/Prunus/Prunus_persica/p.persica_gdr_reftransV1_0048762","p.persica_gdr_reftransV1_0048762")</f>
        <v>p.persica_gdr_reftransV1_0048762</v>
      </c>
      <c r="B1095" s="3">
        <v>941</v>
      </c>
      <c r="C1095" s="1" t="str">
        <f>HYPERLINK("http://www.uniprot.org/uniprot/PNSL3_ARATH","PNSL3_ARATH")</f>
        <v>PNSL3_ARATH</v>
      </c>
      <c r="D1095" t="s">
        <v>1143</v>
      </c>
      <c r="E1095" s="3" t="s">
        <v>3</v>
      </c>
      <c r="F1095" s="4">
        <v>2.7800000000000003E-85</v>
      </c>
      <c r="G1095" s="3">
        <v>670</v>
      </c>
      <c r="H1095" s="3">
        <v>60</v>
      </c>
      <c r="I1095" s="3">
        <v>223</v>
      </c>
      <c r="J1095" s="3">
        <v>213</v>
      </c>
      <c r="K1095" s="3">
        <v>872</v>
      </c>
      <c r="L1095" s="3">
        <v>1</v>
      </c>
      <c r="M1095" s="3">
        <v>220</v>
      </c>
    </row>
    <row r="1096" spans="1:13" x14ac:dyDescent="0.25">
      <c r="A1096" s="1" t="str">
        <f>HYPERLINK("http://www.rosaceae.org/Prunus/Prunus_persica/p.persica_gdr_reftransV1_0048812","p.persica_gdr_reftransV1_0048812")</f>
        <v>p.persica_gdr_reftransV1_0048812</v>
      </c>
      <c r="B1096" s="3">
        <v>7089</v>
      </c>
      <c r="C1096" s="1" t="str">
        <f>HYPERLINK("http://www.uniprot.org/uniprot/PRT6_ARATH","PRT6_ARATH")</f>
        <v>PRT6_ARATH</v>
      </c>
      <c r="D1096" t="s">
        <v>629</v>
      </c>
      <c r="E1096" s="3" t="s">
        <v>3</v>
      </c>
      <c r="F1096" s="4">
        <v>0</v>
      </c>
      <c r="G1096" s="3">
        <v>4351</v>
      </c>
      <c r="H1096" s="3">
        <v>52</v>
      </c>
      <c r="I1096" s="3">
        <v>2054</v>
      </c>
      <c r="J1096" s="3">
        <v>398</v>
      </c>
      <c r="K1096" s="3">
        <v>6508</v>
      </c>
      <c r="L1096" s="3">
        <v>27</v>
      </c>
      <c r="M1096" s="3">
        <v>2005</v>
      </c>
    </row>
    <row r="1097" spans="1:13" x14ac:dyDescent="0.25">
      <c r="A1097" s="1" t="str">
        <f>HYPERLINK("http://www.rosaceae.org/Prunus/Prunus_persica/p.persica_gdr_reftransV1_0048862","p.persica_gdr_reftransV1_0048862")</f>
        <v>p.persica_gdr_reftransV1_0048862</v>
      </c>
      <c r="B1097" s="3">
        <v>706</v>
      </c>
      <c r="C1097" s="1" t="str">
        <f>HYPERLINK("http://www.uniprot.org/uniprot/PP251_ARATH","PP251_ARATH")</f>
        <v>PP251_ARATH</v>
      </c>
      <c r="D1097" t="s">
        <v>1144</v>
      </c>
      <c r="E1097" s="3" t="s">
        <v>3</v>
      </c>
      <c r="F1097" s="4">
        <v>2.3399999999999999E-37</v>
      </c>
      <c r="G1097" s="3">
        <v>359</v>
      </c>
      <c r="H1097" s="3">
        <v>31</v>
      </c>
      <c r="I1097" s="3">
        <v>226</v>
      </c>
      <c r="J1097" s="3">
        <v>3</v>
      </c>
      <c r="K1097" s="3">
        <v>680</v>
      </c>
      <c r="L1097" s="3">
        <v>204</v>
      </c>
      <c r="M1097" s="3">
        <v>416</v>
      </c>
    </row>
    <row r="1098" spans="1:13" x14ac:dyDescent="0.25">
      <c r="A1098" s="1" t="str">
        <f>HYPERLINK("http://www.rosaceae.org/Prunus/Prunus_persica/p.persica_gdr_reftransV1_0048912","p.persica_gdr_reftransV1_0048912")</f>
        <v>p.persica_gdr_reftransV1_0048912</v>
      </c>
      <c r="B1098" s="3">
        <v>1254</v>
      </c>
      <c r="C1098" s="1" t="str">
        <f>HYPERLINK("http://www.uniprot.org/uniprot/SDF2_ARATH","SDF2_ARATH")</f>
        <v>SDF2_ARATH</v>
      </c>
      <c r="D1098" t="s">
        <v>1145</v>
      </c>
      <c r="E1098" s="3" t="s">
        <v>3</v>
      </c>
      <c r="F1098" s="4">
        <v>2.8399999999999999E-120</v>
      </c>
      <c r="G1098" s="3">
        <v>912</v>
      </c>
      <c r="H1098" s="3">
        <v>75</v>
      </c>
      <c r="I1098" s="3">
        <v>216</v>
      </c>
      <c r="J1098" s="3">
        <v>314</v>
      </c>
      <c r="K1098" s="3">
        <v>952</v>
      </c>
      <c r="L1098" s="3">
        <v>1</v>
      </c>
      <c r="M1098" s="3">
        <v>216</v>
      </c>
    </row>
    <row r="1099" spans="1:13" x14ac:dyDescent="0.25">
      <c r="A1099" s="1" t="str">
        <f>HYPERLINK("http://www.rosaceae.org/Prunus/Prunus_persica/p.persica_gdr_reftransV1_0049062","p.persica_gdr_reftransV1_0049062")</f>
        <v>p.persica_gdr_reftransV1_0049062</v>
      </c>
      <c r="B1099" s="3">
        <v>485</v>
      </c>
      <c r="C1099" s="1" t="str">
        <f>HYPERLINK("http://www.uniprot.org/uniprot/TO401_ARATH","TO401_ARATH")</f>
        <v>TO401_ARATH</v>
      </c>
      <c r="D1099" t="s">
        <v>1146</v>
      </c>
      <c r="E1099" s="3" t="s">
        <v>3</v>
      </c>
      <c r="F1099" s="4">
        <v>3.12E-44</v>
      </c>
      <c r="G1099" s="3">
        <v>388</v>
      </c>
      <c r="H1099" s="3">
        <v>79</v>
      </c>
      <c r="I1099" s="3">
        <v>90</v>
      </c>
      <c r="J1099" s="3">
        <v>218</v>
      </c>
      <c r="K1099" s="3">
        <v>484</v>
      </c>
      <c r="L1099" s="3">
        <v>16</v>
      </c>
      <c r="M1099" s="3">
        <v>105</v>
      </c>
    </row>
    <row r="1100" spans="1:13" x14ac:dyDescent="0.25">
      <c r="A1100" s="1" t="str">
        <f>HYPERLINK("http://www.rosaceae.org/Prunus/Prunus_persica/p.persica_gdr_reftransV1_0049162","p.persica_gdr_reftransV1_0049162")</f>
        <v>p.persica_gdr_reftransV1_0049162</v>
      </c>
      <c r="B1100" s="3">
        <v>1509</v>
      </c>
      <c r="C1100" s="1" t="str">
        <f>HYPERLINK("http://www.uniprot.org/uniprot/SRG1_ARATH","SRG1_ARATH")</f>
        <v>SRG1_ARATH</v>
      </c>
      <c r="D1100" t="s">
        <v>25</v>
      </c>
      <c r="E1100" s="3" t="s">
        <v>3</v>
      </c>
      <c r="F1100" s="4">
        <v>9.2199999999999995E-86</v>
      </c>
      <c r="G1100" s="3">
        <v>703</v>
      </c>
      <c r="H1100" s="3">
        <v>42</v>
      </c>
      <c r="I1100" s="3">
        <v>330</v>
      </c>
      <c r="J1100" s="3">
        <v>274</v>
      </c>
      <c r="K1100" s="3">
        <v>1248</v>
      </c>
      <c r="L1100" s="3">
        <v>13</v>
      </c>
      <c r="M1100" s="3">
        <v>338</v>
      </c>
    </row>
    <row r="1101" spans="1:13" x14ac:dyDescent="0.25">
      <c r="A1101" s="1" t="str">
        <f>HYPERLINK("http://www.rosaceae.org/Prunus/Prunus_persica/p.persica_gdr_reftransV1_0000013","p.persica_gdr_reftransV1_0000013")</f>
        <v>p.persica_gdr_reftransV1_0000013</v>
      </c>
      <c r="B1101" s="3">
        <v>1587</v>
      </c>
      <c r="C1101" s="1" t="str">
        <f>HYPERLINK("http://www.uniprot.org/uniprot/BZP60_ARATH","BZP60_ARATH")</f>
        <v>BZP60_ARATH</v>
      </c>
      <c r="D1101" t="s">
        <v>1147</v>
      </c>
      <c r="E1101" s="3" t="s">
        <v>3</v>
      </c>
      <c r="F1101" s="4">
        <v>4.1999999999999999E-12</v>
      </c>
      <c r="G1101" s="3">
        <v>171</v>
      </c>
      <c r="H1101" s="3">
        <v>42</v>
      </c>
      <c r="I1101" s="3">
        <v>274</v>
      </c>
      <c r="J1101" s="3">
        <v>356</v>
      </c>
      <c r="K1101" s="3">
        <v>1114</v>
      </c>
      <c r="L1101" s="3">
        <v>37</v>
      </c>
      <c r="M1101" s="3">
        <v>288</v>
      </c>
    </row>
    <row r="1102" spans="1:13" x14ac:dyDescent="0.25">
      <c r="A1102" s="1" t="str">
        <f>HYPERLINK("http://www.rosaceae.org/Prunus/Prunus_persica/p.persica_gdr_reftransV1_0000113","p.persica_gdr_reftransV1_0000113")</f>
        <v>p.persica_gdr_reftransV1_0000113</v>
      </c>
      <c r="B1102" s="3">
        <v>832</v>
      </c>
      <c r="C1102" s="1" t="str">
        <f>HYPERLINK("http://www.uniprot.org/uniprot/PSAD_CUCSA","PSAD_CUCSA")</f>
        <v>PSAD_CUCSA</v>
      </c>
      <c r="D1102" t="s">
        <v>1148</v>
      </c>
      <c r="E1102" s="3" t="s">
        <v>1149</v>
      </c>
      <c r="F1102" s="4">
        <v>1.1199999999999999E-118</v>
      </c>
      <c r="G1102" s="3">
        <v>886</v>
      </c>
      <c r="H1102" s="3">
        <v>79</v>
      </c>
      <c r="I1102" s="3">
        <v>214</v>
      </c>
      <c r="J1102" s="3">
        <v>59</v>
      </c>
      <c r="K1102" s="3">
        <v>697</v>
      </c>
      <c r="L1102" s="3">
        <v>1</v>
      </c>
      <c r="M1102" s="3">
        <v>207</v>
      </c>
    </row>
    <row r="1103" spans="1:13" x14ac:dyDescent="0.25">
      <c r="A1103" s="1" t="str">
        <f>HYPERLINK("http://www.rosaceae.org/Prunus/Prunus_persica/p.persica_gdr_reftransV1_0000213","p.persica_gdr_reftransV1_0000213")</f>
        <v>p.persica_gdr_reftransV1_0000213</v>
      </c>
      <c r="B1103" s="3">
        <v>1279</v>
      </c>
      <c r="C1103" s="1" t="str">
        <f>HYPERLINK("http://www.uniprot.org/uniprot/DBR_TOBAC","DBR_TOBAC")</f>
        <v>DBR_TOBAC</v>
      </c>
      <c r="D1103" t="s">
        <v>199</v>
      </c>
      <c r="E1103" s="3" t="s">
        <v>200</v>
      </c>
      <c r="F1103" s="4">
        <v>9.0999999999999997E-179</v>
      </c>
      <c r="G1103" s="3">
        <v>1312</v>
      </c>
      <c r="H1103" s="3">
        <v>74</v>
      </c>
      <c r="I1103" s="3">
        <v>342</v>
      </c>
      <c r="J1103" s="3">
        <v>159</v>
      </c>
      <c r="K1103" s="3">
        <v>1184</v>
      </c>
      <c r="L1103" s="3">
        <v>3</v>
      </c>
      <c r="M1103" s="3">
        <v>343</v>
      </c>
    </row>
    <row r="1104" spans="1:13" x14ac:dyDescent="0.25">
      <c r="A1104" s="1" t="str">
        <f>HYPERLINK("http://www.rosaceae.org/Prunus/Prunus_persica/p.persica_gdr_reftransV1_0000263","p.persica_gdr_reftransV1_0000263")</f>
        <v>p.persica_gdr_reftransV1_0000263</v>
      </c>
      <c r="B1104" s="3">
        <v>1920</v>
      </c>
      <c r="C1104" s="1" t="str">
        <f>HYPERLINK("http://www.uniprot.org/uniprot/P2C71_ORYSJ","P2C71_ORYSJ")</f>
        <v>P2C71_ORYSJ</v>
      </c>
      <c r="D1104" t="s">
        <v>1150</v>
      </c>
      <c r="E1104" s="3" t="s">
        <v>38</v>
      </c>
      <c r="F1104" s="4">
        <v>2.44E-71</v>
      </c>
      <c r="G1104" s="3">
        <v>623</v>
      </c>
      <c r="H1104" s="3">
        <v>55</v>
      </c>
      <c r="I1104" s="3">
        <v>204</v>
      </c>
      <c r="J1104" s="3">
        <v>293</v>
      </c>
      <c r="K1104" s="3">
        <v>898</v>
      </c>
      <c r="L1104" s="3">
        <v>259</v>
      </c>
      <c r="M1104" s="3">
        <v>462</v>
      </c>
    </row>
    <row r="1105" spans="1:13" x14ac:dyDescent="0.25">
      <c r="A1105" s="1" t="str">
        <f>HYPERLINK("http://www.rosaceae.org/Prunus/Prunus_persica/p.persica_gdr_reftransV1_0000363","p.persica_gdr_reftransV1_0000363")</f>
        <v>p.persica_gdr_reftransV1_0000363</v>
      </c>
      <c r="B1105" s="3">
        <v>752</v>
      </c>
      <c r="C1105" s="1" t="str">
        <f>HYPERLINK("http://www.uniprot.org/uniprot/CRK10_ARATH","CRK10_ARATH")</f>
        <v>CRK10_ARATH</v>
      </c>
      <c r="D1105" t="s">
        <v>1151</v>
      </c>
      <c r="E1105" s="3" t="s">
        <v>3</v>
      </c>
      <c r="F1105" s="4">
        <v>2.7000000000000001E-94</v>
      </c>
      <c r="G1105" s="3">
        <v>760</v>
      </c>
      <c r="H1105" s="3">
        <v>57</v>
      </c>
      <c r="I1105" s="3">
        <v>256</v>
      </c>
      <c r="J1105" s="3">
        <v>2</v>
      </c>
      <c r="K1105" s="3">
        <v>751</v>
      </c>
      <c r="L1105" s="3">
        <v>413</v>
      </c>
      <c r="M1105" s="3">
        <v>668</v>
      </c>
    </row>
    <row r="1106" spans="1:13" x14ac:dyDescent="0.25">
      <c r="A1106" s="1" t="str">
        <f>HYPERLINK("http://www.rosaceae.org/Prunus/Prunus_persica/p.persica_gdr_reftransV1_0000413","p.persica_gdr_reftransV1_0000413")</f>
        <v>p.persica_gdr_reftransV1_0000413</v>
      </c>
      <c r="B1106" s="3">
        <v>1871</v>
      </c>
      <c r="C1106" s="1" t="str">
        <f>HYPERLINK("http://www.uniprot.org/uniprot/WNK2_ORYSJ","WNK2_ORYSJ")</f>
        <v>WNK2_ORYSJ</v>
      </c>
      <c r="D1106" t="s">
        <v>1152</v>
      </c>
      <c r="E1106" s="3" t="s">
        <v>38</v>
      </c>
      <c r="F1106" s="4">
        <v>0</v>
      </c>
      <c r="G1106" s="3">
        <v>1608</v>
      </c>
      <c r="H1106" s="3">
        <v>66</v>
      </c>
      <c r="I1106" s="3">
        <v>477</v>
      </c>
      <c r="J1106" s="3">
        <v>251</v>
      </c>
      <c r="K1106" s="3">
        <v>1588</v>
      </c>
      <c r="L1106" s="3">
        <v>17</v>
      </c>
      <c r="M1106" s="3">
        <v>491</v>
      </c>
    </row>
    <row r="1107" spans="1:13" x14ac:dyDescent="0.25">
      <c r="A1107" s="1" t="str">
        <f>HYPERLINK("http://www.rosaceae.org/Prunus/Prunus_persica/p.persica_gdr_reftransV1_0000463","p.persica_gdr_reftransV1_0000463")</f>
        <v>p.persica_gdr_reftransV1_0000463</v>
      </c>
      <c r="B1107" s="3">
        <v>849</v>
      </c>
      <c r="C1107" s="1" t="str">
        <f>HYPERLINK("http://www.uniprot.org/uniprot/LYK3_ARATH","LYK3_ARATH")</f>
        <v>LYK3_ARATH</v>
      </c>
      <c r="D1107" t="s">
        <v>1153</v>
      </c>
      <c r="E1107" s="3" t="s">
        <v>3</v>
      </c>
      <c r="F1107" s="4">
        <v>5.7199999999999997E-82</v>
      </c>
      <c r="G1107" s="3">
        <v>678</v>
      </c>
      <c r="H1107" s="3">
        <v>52</v>
      </c>
      <c r="I1107" s="3">
        <v>246</v>
      </c>
      <c r="J1107" s="3">
        <v>11</v>
      </c>
      <c r="K1107" s="3">
        <v>727</v>
      </c>
      <c r="L1107" s="3">
        <v>404</v>
      </c>
      <c r="M1107" s="3">
        <v>648</v>
      </c>
    </row>
    <row r="1108" spans="1:13" x14ac:dyDescent="0.25">
      <c r="A1108" s="1" t="str">
        <f>HYPERLINK("http://www.rosaceae.org/Prunus/Prunus_persica/p.persica_gdr_reftransV1_0000563","p.persica_gdr_reftransV1_0000563")</f>
        <v>p.persica_gdr_reftransV1_0000563</v>
      </c>
      <c r="B1108" s="3">
        <v>2521</v>
      </c>
      <c r="C1108" s="1" t="str">
        <f>HYPERLINK("http://www.uniprot.org/uniprot/PPI1_ARATH","PPI1_ARATH")</f>
        <v>PPI1_ARATH</v>
      </c>
      <c r="D1108" t="s">
        <v>706</v>
      </c>
      <c r="E1108" s="3" t="s">
        <v>3</v>
      </c>
      <c r="F1108" s="4">
        <v>1.72E-127</v>
      </c>
      <c r="G1108" s="3">
        <v>1034</v>
      </c>
      <c r="H1108" s="3">
        <v>51</v>
      </c>
      <c r="I1108" s="3">
        <v>495</v>
      </c>
      <c r="J1108" s="3">
        <v>794</v>
      </c>
      <c r="K1108" s="3">
        <v>2230</v>
      </c>
      <c r="L1108" s="3">
        <v>1</v>
      </c>
      <c r="M1108" s="3">
        <v>480</v>
      </c>
    </row>
    <row r="1109" spans="1:13" x14ac:dyDescent="0.25">
      <c r="A1109" s="1" t="str">
        <f>HYPERLINK("http://www.rosaceae.org/Prunus/Prunus_persica/p.persica_gdr_reftransV1_0000613","p.persica_gdr_reftransV1_0000613")</f>
        <v>p.persica_gdr_reftransV1_0000613</v>
      </c>
      <c r="B1109" s="3">
        <v>4799</v>
      </c>
      <c r="C1109" s="1" t="str">
        <f>HYPERLINK("http://www.uniprot.org/uniprot/NU160_ARATH","NU160_ARATH")</f>
        <v>NU160_ARATH</v>
      </c>
      <c r="D1109" t="s">
        <v>1154</v>
      </c>
      <c r="E1109" s="3" t="s">
        <v>3</v>
      </c>
      <c r="F1109" s="4">
        <v>0</v>
      </c>
      <c r="G1109" s="3">
        <v>3633</v>
      </c>
      <c r="H1109" s="3">
        <v>53</v>
      </c>
      <c r="I1109" s="3">
        <v>1476</v>
      </c>
      <c r="J1109" s="3">
        <v>323</v>
      </c>
      <c r="K1109" s="3">
        <v>4708</v>
      </c>
      <c r="L1109" s="3">
        <v>50</v>
      </c>
      <c r="M1109" s="3">
        <v>1492</v>
      </c>
    </row>
    <row r="1110" spans="1:13" x14ac:dyDescent="0.25">
      <c r="A1110" s="1" t="str">
        <f>HYPERLINK("http://www.rosaceae.org/Prunus/Prunus_persica/p.persica_gdr_reftransV1_0000763","p.persica_gdr_reftransV1_0000763")</f>
        <v>p.persica_gdr_reftransV1_0000763</v>
      </c>
      <c r="B1110" s="3">
        <v>820</v>
      </c>
      <c r="C1110" s="1" t="str">
        <f>HYPERLINK("http://www.uniprot.org/uniprot/BH079_ARATH","BH079_ARATH")</f>
        <v>BH079_ARATH</v>
      </c>
      <c r="D1110" t="s">
        <v>1155</v>
      </c>
      <c r="E1110" s="3" t="s">
        <v>3</v>
      </c>
      <c r="F1110" s="4">
        <v>3.9499999999999999E-49</v>
      </c>
      <c r="G1110" s="3">
        <v>429</v>
      </c>
      <c r="H1110" s="3">
        <v>69</v>
      </c>
      <c r="I1110" s="3">
        <v>126</v>
      </c>
      <c r="J1110" s="3">
        <v>1</v>
      </c>
      <c r="K1110" s="3">
        <v>372</v>
      </c>
      <c r="L1110" s="3">
        <v>153</v>
      </c>
      <c r="M1110" s="3">
        <v>277</v>
      </c>
    </row>
    <row r="1111" spans="1:13" x14ac:dyDescent="0.25">
      <c r="A1111" s="1" t="str">
        <f>HYPERLINK("http://www.rosaceae.org/Prunus/Prunus_persica/p.persica_gdr_reftransV1_0000863","p.persica_gdr_reftransV1_0000863")</f>
        <v>p.persica_gdr_reftransV1_0000863</v>
      </c>
      <c r="B1111" s="3">
        <v>1126</v>
      </c>
      <c r="C1111" s="1" t="str">
        <f>HYPERLINK("http://www.uniprot.org/uniprot/PERK2_ARATH","PERK2_ARATH")</f>
        <v>PERK2_ARATH</v>
      </c>
      <c r="D1111" t="s">
        <v>1156</v>
      </c>
      <c r="E1111" s="3" t="s">
        <v>3</v>
      </c>
      <c r="F1111" s="4">
        <v>1.11E-69</v>
      </c>
      <c r="G1111" s="3">
        <v>606</v>
      </c>
      <c r="H1111" s="3">
        <v>47</v>
      </c>
      <c r="I1111" s="3">
        <v>236</v>
      </c>
      <c r="J1111" s="3">
        <v>422</v>
      </c>
      <c r="K1111" s="3">
        <v>1126</v>
      </c>
      <c r="L1111" s="3">
        <v>341</v>
      </c>
      <c r="M1111" s="3">
        <v>575</v>
      </c>
    </row>
    <row r="1112" spans="1:13" x14ac:dyDescent="0.25">
      <c r="A1112" s="1" t="str">
        <f>HYPERLINK("http://www.rosaceae.org/Prunus/Prunus_persica/p.persica_gdr_reftransV1_0000963","p.persica_gdr_reftransV1_0000963")</f>
        <v>p.persica_gdr_reftransV1_0000963</v>
      </c>
      <c r="B1112" s="3">
        <v>2264</v>
      </c>
      <c r="C1112" s="1" t="str">
        <f>HYPERLINK("http://www.uniprot.org/uniprot/HF101_ARATH","HF101_ARATH")</f>
        <v>HF101_ARATH</v>
      </c>
      <c r="D1112" t="s">
        <v>1157</v>
      </c>
      <c r="E1112" s="3" t="s">
        <v>3</v>
      </c>
      <c r="F1112" s="4">
        <v>1E-139</v>
      </c>
      <c r="G1112" s="3">
        <v>1102</v>
      </c>
      <c r="H1112" s="3">
        <v>91</v>
      </c>
      <c r="I1112" s="3">
        <v>227</v>
      </c>
      <c r="J1112" s="3">
        <v>302</v>
      </c>
      <c r="K1112" s="3">
        <v>982</v>
      </c>
      <c r="L1112" s="3">
        <v>79</v>
      </c>
      <c r="M1112" s="3">
        <v>305</v>
      </c>
    </row>
    <row r="1113" spans="1:13" x14ac:dyDescent="0.25">
      <c r="A1113" s="1" t="str">
        <f>HYPERLINK("http://www.rosaceae.org/Prunus/Prunus_persica/p.persica_gdr_reftransV1_0001013","p.persica_gdr_reftransV1_0001013")</f>
        <v>p.persica_gdr_reftransV1_0001013</v>
      </c>
      <c r="B1113" s="3">
        <v>2414</v>
      </c>
      <c r="C1113" s="1" t="str">
        <f>HYPERLINK("http://www.uniprot.org/uniprot/BIODA_ARATH","BIODA_ARATH")</f>
        <v>BIODA_ARATH</v>
      </c>
      <c r="D1113" t="s">
        <v>1158</v>
      </c>
      <c r="E1113" s="3" t="s">
        <v>3</v>
      </c>
      <c r="F1113" s="4">
        <v>0</v>
      </c>
      <c r="G1113" s="3">
        <v>2400</v>
      </c>
      <c r="H1113" s="3">
        <v>67</v>
      </c>
      <c r="I1113" s="3">
        <v>715</v>
      </c>
      <c r="J1113" s="3">
        <v>34</v>
      </c>
      <c r="K1113" s="3">
        <v>2160</v>
      </c>
      <c r="L1113" s="3">
        <v>132</v>
      </c>
      <c r="M1113" s="3">
        <v>833</v>
      </c>
    </row>
    <row r="1114" spans="1:13" x14ac:dyDescent="0.25">
      <c r="A1114" s="1" t="str">
        <f>HYPERLINK("http://www.rosaceae.org/Prunus/Prunus_persica/p.persica_gdr_reftransV1_0001163","p.persica_gdr_reftransV1_0001163")</f>
        <v>p.persica_gdr_reftransV1_0001163</v>
      </c>
      <c r="B1114" s="3">
        <v>590</v>
      </c>
      <c r="C1114" s="1" t="str">
        <f>HYPERLINK("http://www.uniprot.org/uniprot/LEA34_GOSHI","LEA34_GOSHI")</f>
        <v>LEA34_GOSHI</v>
      </c>
      <c r="D1114" t="s">
        <v>1159</v>
      </c>
      <c r="E1114" s="3" t="s">
        <v>816</v>
      </c>
      <c r="F1114" s="4">
        <v>7.1000000000000006E-70</v>
      </c>
      <c r="G1114" s="3">
        <v>560</v>
      </c>
      <c r="H1114" s="3">
        <v>73</v>
      </c>
      <c r="I1114" s="3">
        <v>194</v>
      </c>
      <c r="J1114" s="3">
        <v>15</v>
      </c>
      <c r="K1114" s="3">
        <v>590</v>
      </c>
      <c r="L1114" s="3">
        <v>58</v>
      </c>
      <c r="M1114" s="3">
        <v>248</v>
      </c>
    </row>
    <row r="1115" spans="1:13" x14ac:dyDescent="0.25">
      <c r="A1115" s="1" t="str">
        <f>HYPERLINK("http://www.rosaceae.org/Prunus/Prunus_persica/p.persica_gdr_reftransV1_0001263","p.persica_gdr_reftransV1_0001263")</f>
        <v>p.persica_gdr_reftransV1_0001263</v>
      </c>
      <c r="B1115" s="3">
        <v>791</v>
      </c>
      <c r="C1115" s="1" t="str">
        <f>HYPERLINK("http://www.uniprot.org/uniprot/RD21A_ARATH","RD21A_ARATH")</f>
        <v>RD21A_ARATH</v>
      </c>
      <c r="D1115" t="s">
        <v>1160</v>
      </c>
      <c r="E1115" s="3" t="s">
        <v>3</v>
      </c>
      <c r="F1115" s="4">
        <v>2.5999999999999999E-94</v>
      </c>
      <c r="G1115" s="3">
        <v>746</v>
      </c>
      <c r="H1115" s="3">
        <v>69</v>
      </c>
      <c r="I1115" s="3">
        <v>207</v>
      </c>
      <c r="J1115" s="3">
        <v>2</v>
      </c>
      <c r="K1115" s="3">
        <v>610</v>
      </c>
      <c r="L1115" s="3">
        <v>8</v>
      </c>
      <c r="M1115" s="3">
        <v>211</v>
      </c>
    </row>
    <row r="1116" spans="1:13" x14ac:dyDescent="0.25">
      <c r="A1116" s="1" t="str">
        <f>HYPERLINK("http://www.rosaceae.org/Prunus/Prunus_persica/p.persica_gdr_reftransV1_0001463","p.persica_gdr_reftransV1_0001463")</f>
        <v>p.persica_gdr_reftransV1_0001463</v>
      </c>
      <c r="B1116" s="3">
        <v>664</v>
      </c>
      <c r="C1116" s="1" t="str">
        <f>HYPERLINK("http://www.uniprot.org/uniprot/TET8_ARATH","TET8_ARATH")</f>
        <v>TET8_ARATH</v>
      </c>
      <c r="D1116" t="s">
        <v>1161</v>
      </c>
      <c r="E1116" s="3" t="s">
        <v>3</v>
      </c>
      <c r="F1116" s="4">
        <v>3.3899999999999999E-44</v>
      </c>
      <c r="G1116" s="3">
        <v>391</v>
      </c>
      <c r="H1116" s="3">
        <v>45</v>
      </c>
      <c r="I1116" s="3">
        <v>185</v>
      </c>
      <c r="J1116" s="3">
        <v>1</v>
      </c>
      <c r="K1116" s="3">
        <v>552</v>
      </c>
      <c r="L1116" s="3">
        <v>19</v>
      </c>
      <c r="M1116" s="3">
        <v>201</v>
      </c>
    </row>
    <row r="1117" spans="1:13" x14ac:dyDescent="0.25">
      <c r="A1117" s="1" t="str">
        <f>HYPERLINK("http://www.rosaceae.org/Prunus/Prunus_persica/p.persica_gdr_reftransV1_0001513","p.persica_gdr_reftransV1_0001513")</f>
        <v>p.persica_gdr_reftransV1_0001513</v>
      </c>
      <c r="B1117" s="3">
        <v>1448</v>
      </c>
      <c r="C1117" s="1" t="str">
        <f>HYPERLINK("http://www.uniprot.org/uniprot/M2K2_ARATH","M2K2_ARATH")</f>
        <v>M2K2_ARATH</v>
      </c>
      <c r="D1117" t="s">
        <v>1162</v>
      </c>
      <c r="E1117" s="3" t="s">
        <v>3</v>
      </c>
      <c r="F1117" s="4">
        <v>2.84E-149</v>
      </c>
      <c r="G1117" s="3">
        <v>1125</v>
      </c>
      <c r="H1117" s="3">
        <v>70</v>
      </c>
      <c r="I1117" s="3">
        <v>309</v>
      </c>
      <c r="J1117" s="3">
        <v>346</v>
      </c>
      <c r="K1117" s="3">
        <v>1272</v>
      </c>
      <c r="L1117" s="3">
        <v>1</v>
      </c>
      <c r="M1117" s="3">
        <v>309</v>
      </c>
    </row>
    <row r="1118" spans="1:13" x14ac:dyDescent="0.25">
      <c r="A1118" s="1" t="str">
        <f>HYPERLINK("http://www.rosaceae.org/Prunus/Prunus_persica/p.persica_gdr_reftransV1_0001563","p.persica_gdr_reftransV1_0001563")</f>
        <v>p.persica_gdr_reftransV1_0001563</v>
      </c>
      <c r="B1118" s="3">
        <v>960</v>
      </c>
      <c r="C1118" s="1" t="str">
        <f>HYPERLINK("http://www.uniprot.org/uniprot/CAR11_ARATH","CAR11_ARATH")</f>
        <v>CAR11_ARATH</v>
      </c>
      <c r="D1118" t="s">
        <v>1163</v>
      </c>
      <c r="E1118" s="3" t="s">
        <v>3</v>
      </c>
      <c r="F1118" s="4">
        <v>9.0799999999999994E-86</v>
      </c>
      <c r="G1118" s="3">
        <v>669</v>
      </c>
      <c r="H1118" s="3">
        <v>77</v>
      </c>
      <c r="I1118" s="3">
        <v>162</v>
      </c>
      <c r="J1118" s="3">
        <v>147</v>
      </c>
      <c r="K1118" s="3">
        <v>632</v>
      </c>
      <c r="L1118" s="3">
        <v>1</v>
      </c>
      <c r="M1118" s="3">
        <v>162</v>
      </c>
    </row>
    <row r="1119" spans="1:13" x14ac:dyDescent="0.25">
      <c r="A1119" s="1" t="str">
        <f>HYPERLINK("http://www.rosaceae.org/Prunus/Prunus_persica/p.persica_gdr_reftransV1_0001613","p.persica_gdr_reftransV1_0001613")</f>
        <v>p.persica_gdr_reftransV1_0001613</v>
      </c>
      <c r="B1119" s="3">
        <v>885</v>
      </c>
      <c r="C1119" s="1" t="str">
        <f>HYPERLINK("http://www.uniprot.org/uniprot/RL183_ARATH","RL183_ARATH")</f>
        <v>RL183_ARATH</v>
      </c>
      <c r="D1119" t="s">
        <v>1164</v>
      </c>
      <c r="E1119" s="3" t="s">
        <v>3</v>
      </c>
      <c r="F1119" s="4">
        <v>6.4399999999999997E-116</v>
      </c>
      <c r="G1119" s="3">
        <v>868</v>
      </c>
      <c r="H1119" s="3">
        <v>87</v>
      </c>
      <c r="I1119" s="3">
        <v>187</v>
      </c>
      <c r="J1119" s="3">
        <v>71</v>
      </c>
      <c r="K1119" s="3">
        <v>631</v>
      </c>
      <c r="L1119" s="3">
        <v>1</v>
      </c>
      <c r="M1119" s="3">
        <v>187</v>
      </c>
    </row>
    <row r="1120" spans="1:13" x14ac:dyDescent="0.25">
      <c r="A1120" s="1" t="str">
        <f>HYPERLINK("http://www.rosaceae.org/Prunus/Prunus_persica/p.persica_gdr_reftransV1_0001763","p.persica_gdr_reftransV1_0001763")</f>
        <v>p.persica_gdr_reftransV1_0001763</v>
      </c>
      <c r="B1120" s="3">
        <v>2223</v>
      </c>
      <c r="C1120" s="1" t="str">
        <f>HYPERLINK("http://www.uniprot.org/uniprot/DHQSD_ARATH","DHQSD_ARATH")</f>
        <v>DHQSD_ARATH</v>
      </c>
      <c r="D1120" t="s">
        <v>451</v>
      </c>
      <c r="E1120" s="3" t="s">
        <v>3</v>
      </c>
      <c r="F1120" s="4">
        <v>0</v>
      </c>
      <c r="G1120" s="3">
        <v>1695</v>
      </c>
      <c r="H1120" s="3">
        <v>67</v>
      </c>
      <c r="I1120" s="3">
        <v>527</v>
      </c>
      <c r="J1120" s="3">
        <v>102</v>
      </c>
      <c r="K1120" s="3">
        <v>1682</v>
      </c>
      <c r="L1120" s="3">
        <v>76</v>
      </c>
      <c r="M1120" s="3">
        <v>600</v>
      </c>
    </row>
    <row r="1121" spans="1:13" x14ac:dyDescent="0.25">
      <c r="A1121" s="1" t="str">
        <f>HYPERLINK("http://www.rosaceae.org/Prunus/Prunus_persica/p.persica_gdr_reftransV1_0002013","p.persica_gdr_reftransV1_0002013")</f>
        <v>p.persica_gdr_reftransV1_0002013</v>
      </c>
      <c r="B1121" s="3">
        <v>1418</v>
      </c>
      <c r="C1121" s="1" t="str">
        <f>HYPERLINK("http://www.uniprot.org/uniprot/DBR_TOBAC","DBR_TOBAC")</f>
        <v>DBR_TOBAC</v>
      </c>
      <c r="D1121" t="s">
        <v>199</v>
      </c>
      <c r="E1121" s="3" t="s">
        <v>200</v>
      </c>
      <c r="F1121" s="4">
        <v>1.2800000000000001E-170</v>
      </c>
      <c r="G1121" s="3">
        <v>1263</v>
      </c>
      <c r="H1121" s="3">
        <v>73</v>
      </c>
      <c r="I1121" s="3">
        <v>346</v>
      </c>
      <c r="J1121" s="3">
        <v>106</v>
      </c>
      <c r="K1121" s="3">
        <v>1143</v>
      </c>
      <c r="L1121" s="3">
        <v>4</v>
      </c>
      <c r="M1121" s="3">
        <v>342</v>
      </c>
    </row>
    <row r="1122" spans="1:13" x14ac:dyDescent="0.25">
      <c r="A1122" s="1" t="str">
        <f>HYPERLINK("http://www.rosaceae.org/Prunus/Prunus_persica/p.persica_gdr_reftransV1_0002063","p.persica_gdr_reftransV1_0002063")</f>
        <v>p.persica_gdr_reftransV1_0002063</v>
      </c>
      <c r="B1122" s="3">
        <v>1899</v>
      </c>
      <c r="C1122" s="1" t="str">
        <f>HYPERLINK("http://www.uniprot.org/uniprot/PINS_FRAVE","PINS_FRAVE")</f>
        <v>PINS_FRAVE</v>
      </c>
      <c r="D1122" t="s">
        <v>1165</v>
      </c>
      <c r="E1122" s="3" t="s">
        <v>1166</v>
      </c>
      <c r="F1122" s="4">
        <v>0</v>
      </c>
      <c r="G1122" s="3">
        <v>1966</v>
      </c>
      <c r="H1122" s="3">
        <v>65</v>
      </c>
      <c r="I1122" s="3">
        <v>559</v>
      </c>
      <c r="J1122" s="3">
        <v>59</v>
      </c>
      <c r="K1122" s="3">
        <v>1732</v>
      </c>
      <c r="L1122" s="3">
        <v>1</v>
      </c>
      <c r="M1122" s="3">
        <v>556</v>
      </c>
    </row>
    <row r="1123" spans="1:13" x14ac:dyDescent="0.25">
      <c r="A1123" s="1" t="str">
        <f>HYPERLINK("http://www.rosaceae.org/Prunus/Prunus_persica/p.persica_gdr_reftransV1_0002113","p.persica_gdr_reftransV1_0002113")</f>
        <v>p.persica_gdr_reftransV1_0002113</v>
      </c>
      <c r="B1123" s="3">
        <v>3509</v>
      </c>
      <c r="C1123" s="1" t="str">
        <f>HYPERLINK("http://www.uniprot.org/uniprot/COPB1_ARATH","COPB1_ARATH")</f>
        <v>COPB1_ARATH</v>
      </c>
      <c r="D1123" t="s">
        <v>1167</v>
      </c>
      <c r="E1123" s="3" t="s">
        <v>3</v>
      </c>
      <c r="F1123" s="4">
        <v>0</v>
      </c>
      <c r="G1123" s="3">
        <v>4046</v>
      </c>
      <c r="H1123" s="3">
        <v>81</v>
      </c>
      <c r="I1123" s="3">
        <v>949</v>
      </c>
      <c r="J1123" s="3">
        <v>338</v>
      </c>
      <c r="K1123" s="3">
        <v>3184</v>
      </c>
      <c r="L1123" s="3">
        <v>1</v>
      </c>
      <c r="M1123" s="3">
        <v>947</v>
      </c>
    </row>
    <row r="1124" spans="1:13" x14ac:dyDescent="0.25">
      <c r="A1124" s="1" t="str">
        <f>HYPERLINK("http://www.rosaceae.org/Prunus/Prunus_persica/p.persica_gdr_reftransV1_0002163","p.persica_gdr_reftransV1_0002163")</f>
        <v>p.persica_gdr_reftransV1_0002163</v>
      </c>
      <c r="B1124" s="3">
        <v>1401</v>
      </c>
      <c r="C1124" s="1" t="str">
        <f>HYPERLINK("http://www.uniprot.org/uniprot/CNGC1_ARATH","CNGC1_ARATH")</f>
        <v>CNGC1_ARATH</v>
      </c>
      <c r="D1124" t="s">
        <v>241</v>
      </c>
      <c r="E1124" s="3" t="s">
        <v>3</v>
      </c>
      <c r="F1124" s="4">
        <v>5.5100000000000003E-28</v>
      </c>
      <c r="G1124" s="3">
        <v>303</v>
      </c>
      <c r="H1124" s="3">
        <v>37</v>
      </c>
      <c r="I1124" s="3">
        <v>191</v>
      </c>
      <c r="J1124" s="3">
        <v>529</v>
      </c>
      <c r="K1124" s="3">
        <v>1068</v>
      </c>
      <c r="L1124" s="3">
        <v>419</v>
      </c>
      <c r="M1124" s="3">
        <v>602</v>
      </c>
    </row>
    <row r="1125" spans="1:13" x14ac:dyDescent="0.25">
      <c r="A1125" s="1" t="str">
        <f>HYPERLINK("http://www.rosaceae.org/Prunus/Prunus_persica/p.persica_gdr_reftransV1_0002213","p.persica_gdr_reftransV1_0002213")</f>
        <v>p.persica_gdr_reftransV1_0002213</v>
      </c>
      <c r="B1125" s="3">
        <v>321</v>
      </c>
      <c r="C1125" s="1" t="str">
        <f>HYPERLINK("http://www.uniprot.org/uniprot/BH014_ARATH","BH014_ARATH")</f>
        <v>BH014_ARATH</v>
      </c>
      <c r="D1125" t="s">
        <v>1168</v>
      </c>
      <c r="E1125" s="3" t="s">
        <v>3</v>
      </c>
      <c r="F1125" s="4">
        <v>4.8E-8</v>
      </c>
      <c r="G1125" s="3">
        <v>127</v>
      </c>
      <c r="H1125" s="3">
        <v>36</v>
      </c>
      <c r="I1125" s="3">
        <v>85</v>
      </c>
      <c r="J1125" s="3">
        <v>66</v>
      </c>
      <c r="K1125" s="3">
        <v>320</v>
      </c>
      <c r="L1125" s="3">
        <v>137</v>
      </c>
      <c r="M1125" s="3">
        <v>219</v>
      </c>
    </row>
    <row r="1126" spans="1:13" x14ac:dyDescent="0.25">
      <c r="A1126" s="1" t="str">
        <f>HYPERLINK("http://www.rosaceae.org/Prunus/Prunus_persica/p.persica_gdr_reftransV1_0002363","p.persica_gdr_reftransV1_0002363")</f>
        <v>p.persica_gdr_reftransV1_0002363</v>
      </c>
      <c r="B1126" s="3">
        <v>2059</v>
      </c>
      <c r="C1126" s="1" t="str">
        <f>HYPERLINK("http://www.uniprot.org/uniprot/HT1_ARATH","HT1_ARATH")</f>
        <v>HT1_ARATH</v>
      </c>
      <c r="D1126" t="s">
        <v>1169</v>
      </c>
      <c r="E1126" s="3" t="s">
        <v>3</v>
      </c>
      <c r="F1126" s="4">
        <v>4.9200000000000003E-60</v>
      </c>
      <c r="G1126" s="3">
        <v>540</v>
      </c>
      <c r="H1126" s="3">
        <v>35</v>
      </c>
      <c r="I1126" s="3">
        <v>302</v>
      </c>
      <c r="J1126" s="3">
        <v>580</v>
      </c>
      <c r="K1126" s="3">
        <v>1479</v>
      </c>
      <c r="L1126" s="3">
        <v>76</v>
      </c>
      <c r="M1126" s="3">
        <v>351</v>
      </c>
    </row>
    <row r="1127" spans="1:13" x14ac:dyDescent="0.25">
      <c r="A1127" s="1" t="str">
        <f>HYPERLINK("http://www.rosaceae.org/Prunus/Prunus_persica/p.persica_gdr_reftransV1_0002413","p.persica_gdr_reftransV1_0002413")</f>
        <v>p.persica_gdr_reftransV1_0002413</v>
      </c>
      <c r="B1127" s="3">
        <v>402</v>
      </c>
      <c r="C1127" s="1" t="str">
        <f>HYPERLINK("http://www.uniprot.org/uniprot/PR4B_TOBAC","PR4B_TOBAC")</f>
        <v>PR4B_TOBAC</v>
      </c>
      <c r="D1127" t="s">
        <v>1170</v>
      </c>
      <c r="E1127" s="3" t="s">
        <v>200</v>
      </c>
      <c r="F1127" s="4">
        <v>3.0099999999999999E-48</v>
      </c>
      <c r="G1127" s="3">
        <v>399</v>
      </c>
      <c r="H1127" s="3">
        <v>78</v>
      </c>
      <c r="I1127" s="3">
        <v>90</v>
      </c>
      <c r="J1127" s="3">
        <v>132</v>
      </c>
      <c r="K1127" s="3">
        <v>401</v>
      </c>
      <c r="L1127" s="3">
        <v>31</v>
      </c>
      <c r="M1127" s="3">
        <v>120</v>
      </c>
    </row>
    <row r="1128" spans="1:13" x14ac:dyDescent="0.25">
      <c r="A1128" s="1" t="str">
        <f>HYPERLINK("http://www.rosaceae.org/Prunus/Prunus_persica/p.persica_gdr_reftransV1_0002463","p.persica_gdr_reftransV1_0002463")</f>
        <v>p.persica_gdr_reftransV1_0002463</v>
      </c>
      <c r="B1128" s="3">
        <v>2317</v>
      </c>
      <c r="C1128" s="1" t="str">
        <f>HYPERLINK("http://www.uniprot.org/uniprot/D6KL2_ARATH","D6KL2_ARATH")</f>
        <v>D6KL2_ARATH</v>
      </c>
      <c r="D1128" t="s">
        <v>1171</v>
      </c>
      <c r="E1128" s="3" t="s">
        <v>3</v>
      </c>
      <c r="F1128" s="4">
        <v>0</v>
      </c>
      <c r="G1128" s="3">
        <v>2189</v>
      </c>
      <c r="H1128" s="3">
        <v>83</v>
      </c>
      <c r="I1128" s="3">
        <v>521</v>
      </c>
      <c r="J1128" s="3">
        <v>155</v>
      </c>
      <c r="K1128" s="3">
        <v>1696</v>
      </c>
      <c r="L1128" s="3">
        <v>68</v>
      </c>
      <c r="M1128" s="3">
        <v>586</v>
      </c>
    </row>
    <row r="1129" spans="1:13" x14ac:dyDescent="0.25">
      <c r="A1129" s="1" t="str">
        <f>HYPERLINK("http://www.rosaceae.org/Prunus/Prunus_persica/p.persica_gdr_reftransV1_0002513","p.persica_gdr_reftransV1_0002513")</f>
        <v>p.persica_gdr_reftransV1_0002513</v>
      </c>
      <c r="B1129" s="3">
        <v>366</v>
      </c>
      <c r="C1129" s="1" t="str">
        <f>HYPERLINK("http://www.uniprot.org/uniprot/PLYE_NEOFI","PLYE_NEOFI")</f>
        <v>PLYE_NEOFI</v>
      </c>
      <c r="D1129" t="s">
        <v>1172</v>
      </c>
      <c r="E1129" s="3" t="s">
        <v>1173</v>
      </c>
      <c r="F1129" s="4">
        <v>4.0699999999999998E-27</v>
      </c>
      <c r="G1129" s="3">
        <v>263</v>
      </c>
      <c r="H1129" s="3">
        <v>56</v>
      </c>
      <c r="I1129" s="3">
        <v>84</v>
      </c>
      <c r="J1129" s="3">
        <v>2</v>
      </c>
      <c r="K1129" s="3">
        <v>253</v>
      </c>
      <c r="L1129" s="3">
        <v>36</v>
      </c>
      <c r="M1129" s="3">
        <v>118</v>
      </c>
    </row>
    <row r="1130" spans="1:13" x14ac:dyDescent="0.25">
      <c r="A1130" s="1" t="str">
        <f>HYPERLINK("http://www.rosaceae.org/Prunus/Prunus_persica/p.persica_gdr_reftransV1_0002613","p.persica_gdr_reftransV1_0002613")</f>
        <v>p.persica_gdr_reftransV1_0002613</v>
      </c>
      <c r="B1130" s="3">
        <v>3671</v>
      </c>
      <c r="C1130" s="1" t="str">
        <f>HYPERLINK("http://www.uniprot.org/uniprot/SPL12_ORYSI","SPL12_ORYSI")</f>
        <v>SPL12_ORYSI</v>
      </c>
      <c r="D1130" t="s">
        <v>1174</v>
      </c>
      <c r="E1130" s="3" t="s">
        <v>38</v>
      </c>
      <c r="F1130" s="4">
        <v>5.2799999999999999E-74</v>
      </c>
      <c r="G1130" s="3">
        <v>661</v>
      </c>
      <c r="H1130" s="3">
        <v>44</v>
      </c>
      <c r="I1130" s="3">
        <v>396</v>
      </c>
      <c r="J1130" s="3">
        <v>1480</v>
      </c>
      <c r="K1130" s="3">
        <v>2643</v>
      </c>
      <c r="L1130" s="3">
        <v>6</v>
      </c>
      <c r="M1130" s="3">
        <v>392</v>
      </c>
    </row>
    <row r="1131" spans="1:13" x14ac:dyDescent="0.25">
      <c r="A1131" s="1" t="str">
        <f>HYPERLINK("http://www.rosaceae.org/Prunus/Prunus_persica/p.persica_gdr_reftransV1_0002663","p.persica_gdr_reftransV1_0002663")</f>
        <v>p.persica_gdr_reftransV1_0002663</v>
      </c>
      <c r="B1131" s="3">
        <v>2004</v>
      </c>
      <c r="C1131" s="1" t="str">
        <f>HYPERLINK("http://www.uniprot.org/uniprot/DPYS_ARATH","DPYS_ARATH")</f>
        <v>DPYS_ARATH</v>
      </c>
      <c r="D1131" t="s">
        <v>1175</v>
      </c>
      <c r="E1131" s="3" t="s">
        <v>3</v>
      </c>
      <c r="F1131" s="4">
        <v>0</v>
      </c>
      <c r="G1131" s="3">
        <v>2263</v>
      </c>
      <c r="H1131" s="3">
        <v>82</v>
      </c>
      <c r="I1131" s="3">
        <v>506</v>
      </c>
      <c r="J1131" s="3">
        <v>212</v>
      </c>
      <c r="K1131" s="3">
        <v>1729</v>
      </c>
      <c r="L1131" s="3">
        <v>25</v>
      </c>
      <c r="M1131" s="3">
        <v>527</v>
      </c>
    </row>
    <row r="1132" spans="1:13" x14ac:dyDescent="0.25">
      <c r="A1132" s="1" t="str">
        <f>HYPERLINK("http://www.rosaceae.org/Prunus/Prunus_persica/p.persica_gdr_reftransV1_0002813","p.persica_gdr_reftransV1_0002813")</f>
        <v>p.persica_gdr_reftransV1_0002813</v>
      </c>
      <c r="B1132" s="3">
        <v>1563</v>
      </c>
      <c r="C1132" s="1" t="str">
        <f>HYPERLINK("http://www.uniprot.org/uniprot/GDPD1_ARATH","GDPD1_ARATH")</f>
        <v>GDPD1_ARATH</v>
      </c>
      <c r="D1132" t="s">
        <v>1176</v>
      </c>
      <c r="E1132" s="3" t="s">
        <v>3</v>
      </c>
      <c r="F1132" s="4">
        <v>7.1999999999999997E-177</v>
      </c>
      <c r="G1132" s="3">
        <v>1311</v>
      </c>
      <c r="H1132" s="3">
        <v>65</v>
      </c>
      <c r="I1132" s="3">
        <v>386</v>
      </c>
      <c r="J1132" s="3">
        <v>268</v>
      </c>
      <c r="K1132" s="3">
        <v>1422</v>
      </c>
      <c r="L1132" s="3">
        <v>1</v>
      </c>
      <c r="M1132" s="3">
        <v>360</v>
      </c>
    </row>
    <row r="1133" spans="1:13" x14ac:dyDescent="0.25">
      <c r="A1133" s="1" t="str">
        <f>HYPERLINK("http://www.rosaceae.org/Prunus/Prunus_persica/p.persica_gdr_reftransV1_0003063","p.persica_gdr_reftransV1_0003063")</f>
        <v>p.persica_gdr_reftransV1_0003063</v>
      </c>
      <c r="B1133" s="3">
        <v>370</v>
      </c>
      <c r="C1133" s="1" t="str">
        <f>HYPERLINK("http://www.uniprot.org/uniprot/NUDT1_ARATH","NUDT1_ARATH")</f>
        <v>NUDT1_ARATH</v>
      </c>
      <c r="D1133" t="s">
        <v>1177</v>
      </c>
      <c r="E1133" s="3" t="s">
        <v>3</v>
      </c>
      <c r="F1133" s="4">
        <v>2.09E-56</v>
      </c>
      <c r="G1133" s="3">
        <v>452</v>
      </c>
      <c r="H1133" s="3">
        <v>64</v>
      </c>
      <c r="I1133" s="3">
        <v>123</v>
      </c>
      <c r="J1133" s="3">
        <v>1</v>
      </c>
      <c r="K1133" s="3">
        <v>369</v>
      </c>
      <c r="L1133" s="3">
        <v>19</v>
      </c>
      <c r="M1133" s="3">
        <v>141</v>
      </c>
    </row>
    <row r="1134" spans="1:13" x14ac:dyDescent="0.25">
      <c r="A1134" s="1" t="str">
        <f>HYPERLINK("http://www.rosaceae.org/Prunus/Prunus_persica/p.persica_gdr_reftransV1_0003163","p.persica_gdr_reftransV1_0003163")</f>
        <v>p.persica_gdr_reftransV1_0003163</v>
      </c>
      <c r="B1134" s="3">
        <v>1950</v>
      </c>
      <c r="C1134" s="1" t="str">
        <f>HYPERLINK("http://www.uniprot.org/uniprot/CTLHB_DICDI","CTLHB_DICDI")</f>
        <v>CTLHB_DICDI</v>
      </c>
      <c r="D1134" t="s">
        <v>1178</v>
      </c>
      <c r="E1134" s="3" t="s">
        <v>9</v>
      </c>
      <c r="F1134" s="4">
        <v>1.71E-19</v>
      </c>
      <c r="G1134" s="3">
        <v>238</v>
      </c>
      <c r="H1134" s="3">
        <v>27</v>
      </c>
      <c r="I1134" s="3">
        <v>284</v>
      </c>
      <c r="J1134" s="3">
        <v>410</v>
      </c>
      <c r="K1134" s="3">
        <v>1243</v>
      </c>
      <c r="L1134" s="3">
        <v>277</v>
      </c>
      <c r="M1134" s="3">
        <v>555</v>
      </c>
    </row>
    <row r="1135" spans="1:13" x14ac:dyDescent="0.25">
      <c r="A1135" s="1" t="str">
        <f>HYPERLINK("http://www.rosaceae.org/Prunus/Prunus_persica/p.persica_gdr_reftransV1_0003213","p.persica_gdr_reftransV1_0003213")</f>
        <v>p.persica_gdr_reftransV1_0003213</v>
      </c>
      <c r="B1135" s="3">
        <v>3376</v>
      </c>
      <c r="C1135" s="1" t="str">
        <f>HYPERLINK("http://www.uniprot.org/uniprot/Y3148_ARATH","Y3148_ARATH")</f>
        <v>Y3148_ARATH</v>
      </c>
      <c r="D1135" t="s">
        <v>953</v>
      </c>
      <c r="E1135" s="3" t="s">
        <v>3</v>
      </c>
      <c r="F1135" s="4">
        <v>0</v>
      </c>
      <c r="G1135" s="3">
        <v>2870</v>
      </c>
      <c r="H1135" s="3">
        <v>56</v>
      </c>
      <c r="I1135" s="3">
        <v>1031</v>
      </c>
      <c r="J1135" s="3">
        <v>103</v>
      </c>
      <c r="K1135" s="3">
        <v>3105</v>
      </c>
      <c r="L1135" s="3">
        <v>7</v>
      </c>
      <c r="M1135" s="3">
        <v>1020</v>
      </c>
    </row>
    <row r="1136" spans="1:13" x14ac:dyDescent="0.25">
      <c r="A1136" s="1" t="str">
        <f>HYPERLINK("http://www.rosaceae.org/Prunus/Prunus_persica/p.persica_gdr_reftransV1_0003313","p.persica_gdr_reftransV1_0003313")</f>
        <v>p.persica_gdr_reftransV1_0003313</v>
      </c>
      <c r="B1136" s="3">
        <v>329</v>
      </c>
      <c r="C1136" s="1" t="str">
        <f>HYPERLINK("http://www.uniprot.org/uniprot/Y5188_ARATH","Y5188_ARATH")</f>
        <v>Y5188_ARATH</v>
      </c>
      <c r="D1136" t="s">
        <v>1179</v>
      </c>
      <c r="E1136" s="3" t="s">
        <v>3</v>
      </c>
      <c r="F1136" s="4">
        <v>1.73E-32</v>
      </c>
      <c r="G1136" s="3">
        <v>312</v>
      </c>
      <c r="H1136" s="3">
        <v>53</v>
      </c>
      <c r="I1136" s="3">
        <v>107</v>
      </c>
      <c r="J1136" s="3">
        <v>11</v>
      </c>
      <c r="K1136" s="3">
        <v>328</v>
      </c>
      <c r="L1136" s="3">
        <v>31</v>
      </c>
      <c r="M1136" s="3">
        <v>137</v>
      </c>
    </row>
    <row r="1137" spans="1:13" x14ac:dyDescent="0.25">
      <c r="A1137" s="1" t="str">
        <f>HYPERLINK("http://www.rosaceae.org/Prunus/Prunus_persica/p.persica_gdr_reftransV1_0003363","p.persica_gdr_reftransV1_0003363")</f>
        <v>p.persica_gdr_reftransV1_0003363</v>
      </c>
      <c r="B1137" s="3">
        <v>1667</v>
      </c>
      <c r="C1137" s="1" t="str">
        <f>HYPERLINK("http://www.uniprot.org/uniprot/EBP1_SOLTU","EBP1_SOLTU")</f>
        <v>EBP1_SOLTU</v>
      </c>
      <c r="D1137" t="s">
        <v>1180</v>
      </c>
      <c r="E1137" s="3" t="s">
        <v>11</v>
      </c>
      <c r="F1137" s="4">
        <v>0</v>
      </c>
      <c r="G1137" s="3">
        <v>1689</v>
      </c>
      <c r="H1137" s="3">
        <v>89</v>
      </c>
      <c r="I1137" s="3">
        <v>387</v>
      </c>
      <c r="J1137" s="3">
        <v>243</v>
      </c>
      <c r="K1137" s="3">
        <v>1400</v>
      </c>
      <c r="L1137" s="3">
        <v>1</v>
      </c>
      <c r="M1137" s="3">
        <v>387</v>
      </c>
    </row>
    <row r="1138" spans="1:13" x14ac:dyDescent="0.25">
      <c r="A1138" s="1" t="str">
        <f>HYPERLINK("http://www.rosaceae.org/Prunus/Prunus_persica/p.persica_gdr_reftransV1_0003413","p.persica_gdr_reftransV1_0003413")</f>
        <v>p.persica_gdr_reftransV1_0003413</v>
      </c>
      <c r="B1138" s="3">
        <v>511</v>
      </c>
      <c r="C1138" s="1" t="str">
        <f>HYPERLINK("http://www.uniprot.org/uniprot/MTDH_MEDSA","MTDH_MEDSA")</f>
        <v>MTDH_MEDSA</v>
      </c>
      <c r="D1138" t="s">
        <v>1181</v>
      </c>
      <c r="E1138" s="3" t="s">
        <v>515</v>
      </c>
      <c r="F1138" s="4">
        <v>1.51E-52</v>
      </c>
      <c r="G1138" s="3">
        <v>448</v>
      </c>
      <c r="H1138" s="3">
        <v>61</v>
      </c>
      <c r="I1138" s="3">
        <v>147</v>
      </c>
      <c r="J1138" s="3">
        <v>7</v>
      </c>
      <c r="K1138" s="3">
        <v>447</v>
      </c>
      <c r="L1138" s="3">
        <v>4</v>
      </c>
      <c r="M1138" s="3">
        <v>149</v>
      </c>
    </row>
    <row r="1139" spans="1:13" x14ac:dyDescent="0.25">
      <c r="A1139" s="1" t="str">
        <f>HYPERLINK("http://www.rosaceae.org/Prunus/Prunus_persica/p.persica_gdr_reftransV1_0003713","p.persica_gdr_reftransV1_0003713")</f>
        <v>p.persica_gdr_reftransV1_0003713</v>
      </c>
      <c r="B1139" s="3">
        <v>1696</v>
      </c>
      <c r="C1139" s="1" t="str">
        <f>HYPERLINK("http://www.uniprot.org/uniprot/U89A2_ARATH","U89A2_ARATH")</f>
        <v>U89A2_ARATH</v>
      </c>
      <c r="D1139" t="s">
        <v>1182</v>
      </c>
      <c r="E1139" s="3" t="s">
        <v>3</v>
      </c>
      <c r="F1139" s="4">
        <v>3.1000000000000002E-158</v>
      </c>
      <c r="G1139" s="3">
        <v>1203</v>
      </c>
      <c r="H1139" s="3">
        <v>53</v>
      </c>
      <c r="I1139" s="3">
        <v>485</v>
      </c>
      <c r="J1139" s="3">
        <v>131</v>
      </c>
      <c r="K1139" s="3">
        <v>1573</v>
      </c>
      <c r="L1139" s="3">
        <v>5</v>
      </c>
      <c r="M1139" s="3">
        <v>465</v>
      </c>
    </row>
    <row r="1140" spans="1:13" x14ac:dyDescent="0.25">
      <c r="A1140" s="1" t="str">
        <f>HYPERLINK("http://www.rosaceae.org/Prunus/Prunus_persica/p.persica_gdr_reftransV1_0003813","p.persica_gdr_reftransV1_0003813")</f>
        <v>p.persica_gdr_reftransV1_0003813</v>
      </c>
      <c r="B1140" s="3">
        <v>369</v>
      </c>
      <c r="C1140" s="1" t="str">
        <f>HYPERLINK("http://www.uniprot.org/uniprot/TMVRN_NICGU","TMVRN_NICGU")</f>
        <v>TMVRN_NICGU</v>
      </c>
      <c r="D1140" t="s">
        <v>151</v>
      </c>
      <c r="E1140" s="3" t="s">
        <v>152</v>
      </c>
      <c r="F1140" s="4">
        <v>1.7200000000000001E-34</v>
      </c>
      <c r="G1140" s="3">
        <v>330</v>
      </c>
      <c r="H1140" s="3">
        <v>62</v>
      </c>
      <c r="I1140" s="3">
        <v>101</v>
      </c>
      <c r="J1140" s="3">
        <v>3</v>
      </c>
      <c r="K1140" s="3">
        <v>305</v>
      </c>
      <c r="L1140" s="3">
        <v>18</v>
      </c>
      <c r="M1140" s="3">
        <v>117</v>
      </c>
    </row>
    <row r="1141" spans="1:13" x14ac:dyDescent="0.25">
      <c r="A1141" s="1" t="str">
        <f>HYPERLINK("http://www.rosaceae.org/Prunus/Prunus_persica/p.persica_gdr_reftransV1_0003863","p.persica_gdr_reftransV1_0003863")</f>
        <v>p.persica_gdr_reftransV1_0003863</v>
      </c>
      <c r="B1141" s="3">
        <v>641</v>
      </c>
      <c r="C1141" s="1" t="str">
        <f>HYPERLINK("http://www.uniprot.org/uniprot/MYO7_ARATH","MYO7_ARATH")</f>
        <v>MYO7_ARATH</v>
      </c>
      <c r="D1141" t="s">
        <v>1183</v>
      </c>
      <c r="E1141" s="3" t="s">
        <v>3</v>
      </c>
      <c r="F1141" s="4">
        <v>1.27E-83</v>
      </c>
      <c r="G1141" s="3">
        <v>707</v>
      </c>
      <c r="H1141" s="3">
        <v>64</v>
      </c>
      <c r="I1141" s="3">
        <v>212</v>
      </c>
      <c r="J1141" s="3">
        <v>23</v>
      </c>
      <c r="K1141" s="3">
        <v>634</v>
      </c>
      <c r="L1141" s="3">
        <v>1245</v>
      </c>
      <c r="M1141" s="3">
        <v>1453</v>
      </c>
    </row>
    <row r="1142" spans="1:13" x14ac:dyDescent="0.25">
      <c r="A1142" s="1" t="str">
        <f>HYPERLINK("http://www.rosaceae.org/Prunus/Prunus_persica/p.persica_gdr_reftransV1_0003913","p.persica_gdr_reftransV1_0003913")</f>
        <v>p.persica_gdr_reftransV1_0003913</v>
      </c>
      <c r="B1142" s="3">
        <v>2702</v>
      </c>
      <c r="C1142" s="1" t="str">
        <f>HYPERLINK("http://www.uniprot.org/uniprot/CPL2_ARATH","CPL2_ARATH")</f>
        <v>CPL2_ARATH</v>
      </c>
      <c r="D1142" t="s">
        <v>1184</v>
      </c>
      <c r="E1142" s="3" t="s">
        <v>3</v>
      </c>
      <c r="F1142" s="4">
        <v>8.0599999999999992E-130</v>
      </c>
      <c r="G1142" s="3">
        <v>1067</v>
      </c>
      <c r="H1142" s="3">
        <v>61</v>
      </c>
      <c r="I1142" s="3">
        <v>353</v>
      </c>
      <c r="J1142" s="3">
        <v>110</v>
      </c>
      <c r="K1142" s="3">
        <v>1165</v>
      </c>
      <c r="L1142" s="3">
        <v>237</v>
      </c>
      <c r="M1142" s="3">
        <v>581</v>
      </c>
    </row>
    <row r="1143" spans="1:13" x14ac:dyDescent="0.25">
      <c r="A1143" s="1" t="str">
        <f>HYPERLINK("http://www.rosaceae.org/Prunus/Prunus_persica/p.persica_gdr_reftransV1_0004163","p.persica_gdr_reftransV1_0004163")</f>
        <v>p.persica_gdr_reftransV1_0004163</v>
      </c>
      <c r="B1143" s="3">
        <v>1880</v>
      </c>
      <c r="C1143" s="1" t="str">
        <f>HYPERLINK("http://www.uniprot.org/uniprot/C89A9_ARATH","C89A9_ARATH")</f>
        <v>C89A9_ARATH</v>
      </c>
      <c r="D1143" t="s">
        <v>1185</v>
      </c>
      <c r="E1143" s="3" t="s">
        <v>3</v>
      </c>
      <c r="F1143" s="4">
        <v>0</v>
      </c>
      <c r="G1143" s="3">
        <v>1471</v>
      </c>
      <c r="H1143" s="3">
        <v>57</v>
      </c>
      <c r="I1143" s="3">
        <v>519</v>
      </c>
      <c r="J1143" s="3">
        <v>253</v>
      </c>
      <c r="K1143" s="3">
        <v>1782</v>
      </c>
      <c r="L1143" s="3">
        <v>8</v>
      </c>
      <c r="M1143" s="3">
        <v>511</v>
      </c>
    </row>
    <row r="1144" spans="1:13" x14ac:dyDescent="0.25">
      <c r="A1144" s="1" t="str">
        <f>HYPERLINK("http://www.rosaceae.org/Prunus/Prunus_persica/p.persica_gdr_reftransV1_0004213","p.persica_gdr_reftransV1_0004213")</f>
        <v>p.persica_gdr_reftransV1_0004213</v>
      </c>
      <c r="B1144" s="3">
        <v>2093</v>
      </c>
      <c r="C1144" s="1" t="str">
        <f>HYPERLINK("http://www.uniprot.org/uniprot/Y4862_ARATH","Y4862_ARATH")</f>
        <v>Y4862_ARATH</v>
      </c>
      <c r="D1144" t="s">
        <v>1186</v>
      </c>
      <c r="E1144" s="3" t="s">
        <v>3</v>
      </c>
      <c r="F1144" s="4">
        <v>4.51E-122</v>
      </c>
      <c r="G1144" s="3">
        <v>1017</v>
      </c>
      <c r="H1144" s="3">
        <v>51</v>
      </c>
      <c r="I1144" s="3">
        <v>456</v>
      </c>
      <c r="J1144" s="3">
        <v>670</v>
      </c>
      <c r="K1144" s="3">
        <v>2037</v>
      </c>
      <c r="L1144" s="3">
        <v>1</v>
      </c>
      <c r="M1144" s="3">
        <v>450</v>
      </c>
    </row>
    <row r="1145" spans="1:13" x14ac:dyDescent="0.25">
      <c r="A1145" s="1" t="str">
        <f>HYPERLINK("http://www.rosaceae.org/Prunus/Prunus_persica/p.persica_gdr_reftransV1_0004263","p.persica_gdr_reftransV1_0004263")</f>
        <v>p.persica_gdr_reftransV1_0004263</v>
      </c>
      <c r="B1145" s="3">
        <v>1534</v>
      </c>
      <c r="C1145" s="1" t="str">
        <f>HYPERLINK("http://www.uniprot.org/uniprot/SQV7_CAEEL","SQV7_CAEEL")</f>
        <v>SQV7_CAEEL</v>
      </c>
      <c r="D1145" t="s">
        <v>1187</v>
      </c>
      <c r="E1145" s="3" t="s">
        <v>281</v>
      </c>
      <c r="F1145" s="4">
        <v>6.1900000000000003E-23</v>
      </c>
      <c r="G1145" s="3">
        <v>197</v>
      </c>
      <c r="H1145" s="3">
        <v>37</v>
      </c>
      <c r="I1145" s="3">
        <v>179</v>
      </c>
      <c r="J1145" s="3">
        <v>335</v>
      </c>
      <c r="K1145" s="3">
        <v>856</v>
      </c>
      <c r="L1145" s="3">
        <v>132</v>
      </c>
      <c r="M1145" s="3">
        <v>307</v>
      </c>
    </row>
    <row r="1146" spans="1:13" x14ac:dyDescent="0.25">
      <c r="A1146" s="1" t="str">
        <f>HYPERLINK("http://www.rosaceae.org/Prunus/Prunus_persica/p.persica_gdr_reftransV1_0004363","p.persica_gdr_reftransV1_0004363")</f>
        <v>p.persica_gdr_reftransV1_0004363</v>
      </c>
      <c r="B1146" s="3">
        <v>3307</v>
      </c>
      <c r="C1146" s="1" t="str">
        <f>HYPERLINK("http://www.uniprot.org/uniprot/NIPA_PONAB","NIPA_PONAB")</f>
        <v>NIPA_PONAB</v>
      </c>
      <c r="D1146" t="s">
        <v>1188</v>
      </c>
      <c r="E1146" s="3" t="s">
        <v>176</v>
      </c>
      <c r="F1146" s="4">
        <v>6.1700000000000004E-10</v>
      </c>
      <c r="G1146" s="3">
        <v>162</v>
      </c>
      <c r="H1146" s="3">
        <v>32</v>
      </c>
      <c r="I1146" s="3">
        <v>122</v>
      </c>
      <c r="J1146" s="3">
        <v>2637</v>
      </c>
      <c r="K1146" s="3">
        <v>2990</v>
      </c>
      <c r="L1146" s="3">
        <v>78</v>
      </c>
      <c r="M1146" s="3">
        <v>199</v>
      </c>
    </row>
    <row r="1147" spans="1:13" x14ac:dyDescent="0.25">
      <c r="A1147" s="1" t="str">
        <f>HYPERLINK("http://www.rosaceae.org/Prunus/Prunus_persica/p.persica_gdr_reftransV1_0004413","p.persica_gdr_reftransV1_0004413")</f>
        <v>p.persica_gdr_reftransV1_0004413</v>
      </c>
      <c r="B1147" s="3">
        <v>1044</v>
      </c>
      <c r="C1147" s="1" t="str">
        <f>HYPERLINK("http://www.uniprot.org/uniprot/MUB3_ORYSJ","MUB3_ORYSJ")</f>
        <v>MUB3_ORYSJ</v>
      </c>
      <c r="D1147" t="s">
        <v>594</v>
      </c>
      <c r="E1147" s="3" t="s">
        <v>38</v>
      </c>
      <c r="F1147" s="4">
        <v>3.8999999999999998E-35</v>
      </c>
      <c r="G1147" s="3">
        <v>326</v>
      </c>
      <c r="H1147" s="3">
        <v>52</v>
      </c>
      <c r="I1147" s="3">
        <v>119</v>
      </c>
      <c r="J1147" s="3">
        <v>291</v>
      </c>
      <c r="K1147" s="3">
        <v>647</v>
      </c>
      <c r="L1147" s="3">
        <v>3</v>
      </c>
      <c r="M1147" s="3">
        <v>119</v>
      </c>
    </row>
    <row r="1148" spans="1:13" x14ac:dyDescent="0.25">
      <c r="A1148" s="1" t="str">
        <f>HYPERLINK("http://www.rosaceae.org/Prunus/Prunus_persica/p.persica_gdr_reftransV1_0004663","p.persica_gdr_reftransV1_0004663")</f>
        <v>p.persica_gdr_reftransV1_0004663</v>
      </c>
      <c r="B1148" s="3">
        <v>1471</v>
      </c>
      <c r="C1148" s="1" t="str">
        <f>HYPERLINK("http://www.uniprot.org/uniprot/NNRD_VITVI","NNRD_VITVI")</f>
        <v>NNRD_VITVI</v>
      </c>
      <c r="D1148" t="s">
        <v>1189</v>
      </c>
      <c r="E1148" s="3" t="s">
        <v>362</v>
      </c>
      <c r="F1148" s="4">
        <v>0</v>
      </c>
      <c r="G1148" s="3">
        <v>1408</v>
      </c>
      <c r="H1148" s="3">
        <v>85</v>
      </c>
      <c r="I1148" s="3">
        <v>318</v>
      </c>
      <c r="J1148" s="3">
        <v>275</v>
      </c>
      <c r="K1148" s="3">
        <v>1225</v>
      </c>
      <c r="L1148" s="3">
        <v>37</v>
      </c>
      <c r="M1148" s="3">
        <v>354</v>
      </c>
    </row>
    <row r="1149" spans="1:13" x14ac:dyDescent="0.25">
      <c r="A1149" s="1" t="str">
        <f>HYPERLINK("http://www.rosaceae.org/Prunus/Prunus_persica/p.persica_gdr_reftransV1_0004763","p.persica_gdr_reftransV1_0004763")</f>
        <v>p.persica_gdr_reftransV1_0004763</v>
      </c>
      <c r="B1149" s="3">
        <v>1067</v>
      </c>
      <c r="C1149" s="1" t="str">
        <f>HYPERLINK("http://www.uniprot.org/uniprot/RL10_EUPES","RL10_EUPES")</f>
        <v>RL10_EUPES</v>
      </c>
      <c r="D1149" t="s">
        <v>1190</v>
      </c>
      <c r="E1149" s="3" t="s">
        <v>1191</v>
      </c>
      <c r="F1149" s="4">
        <v>3.6699999999999998E-141</v>
      </c>
      <c r="G1149" s="3">
        <v>1044</v>
      </c>
      <c r="H1149" s="3">
        <v>89</v>
      </c>
      <c r="I1149" s="3">
        <v>219</v>
      </c>
      <c r="J1149" s="3">
        <v>67</v>
      </c>
      <c r="K1149" s="3">
        <v>723</v>
      </c>
      <c r="L1149" s="3">
        <v>1</v>
      </c>
      <c r="M1149" s="3">
        <v>219</v>
      </c>
    </row>
    <row r="1150" spans="1:13" x14ac:dyDescent="0.25">
      <c r="A1150" s="1" t="str">
        <f>HYPERLINK("http://www.rosaceae.org/Prunus/Prunus_persica/p.persica_gdr_reftransV1_0004813","p.persica_gdr_reftransV1_0004813")</f>
        <v>p.persica_gdr_reftransV1_0004813</v>
      </c>
      <c r="B1150" s="3">
        <v>971</v>
      </c>
      <c r="C1150" s="1" t="str">
        <f>HYPERLINK("http://www.uniprot.org/uniprot/RL11_MEDSA","RL11_MEDSA")</f>
        <v>RL11_MEDSA</v>
      </c>
      <c r="D1150" t="s">
        <v>1192</v>
      </c>
      <c r="E1150" s="3" t="s">
        <v>515</v>
      </c>
      <c r="F1150" s="4">
        <v>1.9200000000000001E-109</v>
      </c>
      <c r="G1150" s="3">
        <v>827</v>
      </c>
      <c r="H1150" s="3">
        <v>98</v>
      </c>
      <c r="I1150" s="3">
        <v>180</v>
      </c>
      <c r="J1150" s="3">
        <v>303</v>
      </c>
      <c r="K1150" s="3">
        <v>842</v>
      </c>
      <c r="L1150" s="3">
        <v>1</v>
      </c>
      <c r="M1150" s="3">
        <v>180</v>
      </c>
    </row>
    <row r="1151" spans="1:13" x14ac:dyDescent="0.25">
      <c r="A1151" s="1" t="str">
        <f>HYPERLINK("http://www.rosaceae.org/Prunus/Prunus_persica/p.persica_gdr_reftransV1_0005113","p.persica_gdr_reftransV1_0005113")</f>
        <v>p.persica_gdr_reftransV1_0005113</v>
      </c>
      <c r="B1151" s="3">
        <v>1556</v>
      </c>
      <c r="C1151" s="1" t="str">
        <f>HYPERLINK("http://www.uniprot.org/uniprot/ARR8_ARATH","ARR8_ARATH")</f>
        <v>ARR8_ARATH</v>
      </c>
      <c r="D1151" t="s">
        <v>1193</v>
      </c>
      <c r="E1151" s="3" t="s">
        <v>3</v>
      </c>
      <c r="F1151" s="4">
        <v>3.1800000000000001E-13</v>
      </c>
      <c r="G1151" s="3">
        <v>178</v>
      </c>
      <c r="H1151" s="3">
        <v>59</v>
      </c>
      <c r="I1151" s="3">
        <v>96</v>
      </c>
      <c r="J1151" s="3">
        <v>381</v>
      </c>
      <c r="K1151" s="3">
        <v>665</v>
      </c>
      <c r="L1151" s="3">
        <v>9</v>
      </c>
      <c r="M1151" s="3">
        <v>96</v>
      </c>
    </row>
    <row r="1152" spans="1:13" x14ac:dyDescent="0.25">
      <c r="A1152" s="1" t="str">
        <f>HYPERLINK("http://www.rosaceae.org/Prunus/Prunus_persica/p.persica_gdr_reftransV1_0005163","p.persica_gdr_reftransV1_0005163")</f>
        <v>p.persica_gdr_reftransV1_0005163</v>
      </c>
      <c r="B1152" s="3">
        <v>3459</v>
      </c>
      <c r="C1152" s="1" t="str">
        <f>HYPERLINK("http://www.uniprot.org/uniprot/DRL42_ARATH","DRL42_ARATH")</f>
        <v>DRL42_ARATH</v>
      </c>
      <c r="D1152" t="s">
        <v>819</v>
      </c>
      <c r="E1152" s="3" t="s">
        <v>3</v>
      </c>
      <c r="F1152" s="4">
        <v>3.0700000000000002E-90</v>
      </c>
      <c r="G1152" s="3">
        <v>805</v>
      </c>
      <c r="H1152" s="3">
        <v>42</v>
      </c>
      <c r="I1152" s="3">
        <v>466</v>
      </c>
      <c r="J1152" s="3">
        <v>505</v>
      </c>
      <c r="K1152" s="3">
        <v>1884</v>
      </c>
      <c r="L1152" s="3">
        <v>349</v>
      </c>
      <c r="M1152" s="3">
        <v>802</v>
      </c>
    </row>
    <row r="1153" spans="1:13" x14ac:dyDescent="0.25">
      <c r="A1153" s="1" t="str">
        <f>HYPERLINK("http://www.rosaceae.org/Prunus/Prunus_persica/p.persica_gdr_reftransV1_0005213","p.persica_gdr_reftransV1_0005213")</f>
        <v>p.persica_gdr_reftransV1_0005213</v>
      </c>
      <c r="B1153" s="3">
        <v>490</v>
      </c>
      <c r="C1153" s="1" t="str">
        <f>HYPERLINK("http://www.uniprot.org/uniprot/LEA1_CICAR","LEA1_CICAR")</f>
        <v>LEA1_CICAR</v>
      </c>
      <c r="D1153" t="s">
        <v>1194</v>
      </c>
      <c r="E1153" s="3" t="s">
        <v>944</v>
      </c>
      <c r="F1153" s="4">
        <v>1.4999999999999999E-7</v>
      </c>
      <c r="G1153" s="3">
        <v>122</v>
      </c>
      <c r="H1153" s="3">
        <v>39</v>
      </c>
      <c r="I1153" s="3">
        <v>76</v>
      </c>
      <c r="J1153" s="3">
        <v>19</v>
      </c>
      <c r="K1153" s="3">
        <v>234</v>
      </c>
      <c r="L1153" s="3">
        <v>87</v>
      </c>
      <c r="M1153" s="3">
        <v>162</v>
      </c>
    </row>
    <row r="1154" spans="1:13" x14ac:dyDescent="0.25">
      <c r="A1154" s="1" t="str">
        <f>HYPERLINK("http://www.rosaceae.org/Prunus/Prunus_persica/p.persica_gdr_reftransV1_0005263","p.persica_gdr_reftransV1_0005263")</f>
        <v>p.persica_gdr_reftransV1_0005263</v>
      </c>
      <c r="B1154" s="3">
        <v>1467</v>
      </c>
      <c r="C1154" s="1" t="str">
        <f>HYPERLINK("http://www.uniprot.org/uniprot/CCR1_ARATH","CCR1_ARATH")</f>
        <v>CCR1_ARATH</v>
      </c>
      <c r="D1154" t="s">
        <v>1195</v>
      </c>
      <c r="E1154" s="3" t="s">
        <v>3</v>
      </c>
      <c r="F1154" s="4">
        <v>2.4399999999999999E-92</v>
      </c>
      <c r="G1154" s="3">
        <v>745</v>
      </c>
      <c r="H1154" s="3">
        <v>50</v>
      </c>
      <c r="I1154" s="3">
        <v>325</v>
      </c>
      <c r="J1154" s="3">
        <v>150</v>
      </c>
      <c r="K1154" s="3">
        <v>1118</v>
      </c>
      <c r="L1154" s="3">
        <v>5</v>
      </c>
      <c r="M1154" s="3">
        <v>322</v>
      </c>
    </row>
    <row r="1155" spans="1:13" x14ac:dyDescent="0.25">
      <c r="A1155" s="1" t="str">
        <f>HYPERLINK("http://www.rosaceae.org/Prunus/Prunus_persica/p.persica_gdr_reftransV1_0005313","p.persica_gdr_reftransV1_0005313")</f>
        <v>p.persica_gdr_reftransV1_0005313</v>
      </c>
      <c r="B1155" s="3">
        <v>1250</v>
      </c>
      <c r="C1155" s="1" t="str">
        <f>HYPERLINK("http://www.uniprot.org/uniprot/PPD1_ARATH","PPD1_ARATH")</f>
        <v>PPD1_ARATH</v>
      </c>
      <c r="D1155" t="s">
        <v>1196</v>
      </c>
      <c r="E1155" s="3" t="s">
        <v>3</v>
      </c>
      <c r="F1155" s="4">
        <v>1.29E-104</v>
      </c>
      <c r="G1155" s="3">
        <v>815</v>
      </c>
      <c r="H1155" s="3">
        <v>67</v>
      </c>
      <c r="I1155" s="3">
        <v>244</v>
      </c>
      <c r="J1155" s="3">
        <v>190</v>
      </c>
      <c r="K1155" s="3">
        <v>915</v>
      </c>
      <c r="L1155" s="3">
        <v>57</v>
      </c>
      <c r="M1155" s="3">
        <v>287</v>
      </c>
    </row>
    <row r="1156" spans="1:13" x14ac:dyDescent="0.25">
      <c r="A1156" s="1" t="str">
        <f>HYPERLINK("http://www.rosaceae.org/Prunus/Prunus_persica/p.persica_gdr_reftransV1_0005413","p.persica_gdr_reftransV1_0005413")</f>
        <v>p.persica_gdr_reftransV1_0005413</v>
      </c>
      <c r="B1156" s="3">
        <v>505</v>
      </c>
      <c r="C1156" s="1" t="str">
        <f>HYPERLINK("http://www.uniprot.org/uniprot/PPR53_ARATH","PPR53_ARATH")</f>
        <v>PPR53_ARATH</v>
      </c>
      <c r="D1156" t="s">
        <v>1197</v>
      </c>
      <c r="E1156" s="3" t="s">
        <v>3</v>
      </c>
      <c r="F1156" s="4">
        <v>5.23E-57</v>
      </c>
      <c r="G1156" s="3">
        <v>495</v>
      </c>
      <c r="H1156" s="3">
        <v>51</v>
      </c>
      <c r="I1156" s="3">
        <v>168</v>
      </c>
      <c r="J1156" s="3">
        <v>2</v>
      </c>
      <c r="K1156" s="3">
        <v>505</v>
      </c>
      <c r="L1156" s="3">
        <v>564</v>
      </c>
      <c r="M1156" s="3">
        <v>731</v>
      </c>
    </row>
    <row r="1157" spans="1:13" x14ac:dyDescent="0.25">
      <c r="A1157" s="1" t="str">
        <f>HYPERLINK("http://www.rosaceae.org/Prunus/Prunus_persica/p.persica_gdr_reftransV1_0005513","p.persica_gdr_reftransV1_0005513")</f>
        <v>p.persica_gdr_reftransV1_0005513</v>
      </c>
      <c r="B1157" s="3">
        <v>935</v>
      </c>
      <c r="C1157" s="1" t="str">
        <f>HYPERLINK("http://www.uniprot.org/uniprot/PRU1_PRUAR","PRU1_PRUAR")</f>
        <v>PRU1_PRUAR</v>
      </c>
      <c r="D1157" t="s">
        <v>1198</v>
      </c>
      <c r="E1157" s="3" t="s">
        <v>62</v>
      </c>
      <c r="F1157" s="4">
        <v>1.8600000000000001E-83</v>
      </c>
      <c r="G1157" s="3">
        <v>652</v>
      </c>
      <c r="H1157" s="3">
        <v>76</v>
      </c>
      <c r="I1157" s="3">
        <v>160</v>
      </c>
      <c r="J1157" s="3">
        <v>128</v>
      </c>
      <c r="K1157" s="3">
        <v>607</v>
      </c>
      <c r="L1157" s="3">
        <v>1</v>
      </c>
      <c r="M1157" s="3">
        <v>160</v>
      </c>
    </row>
    <row r="1158" spans="1:13" x14ac:dyDescent="0.25">
      <c r="A1158" s="1" t="str">
        <f>HYPERLINK("http://www.rosaceae.org/Prunus/Prunus_persica/p.persica_gdr_reftransV1_0005563","p.persica_gdr_reftransV1_0005563")</f>
        <v>p.persica_gdr_reftransV1_0005563</v>
      </c>
      <c r="B1158" s="3">
        <v>519</v>
      </c>
      <c r="C1158" s="1" t="str">
        <f>HYPERLINK("http://www.uniprot.org/uniprot/WSD1_ARATH","WSD1_ARATH")</f>
        <v>WSD1_ARATH</v>
      </c>
      <c r="D1158" t="s">
        <v>84</v>
      </c>
      <c r="E1158" s="3" t="s">
        <v>3</v>
      </c>
      <c r="F1158" s="4">
        <v>2.0400000000000001E-16</v>
      </c>
      <c r="G1158" s="3">
        <v>196</v>
      </c>
      <c r="H1158" s="3">
        <v>36</v>
      </c>
      <c r="I1158" s="3">
        <v>112</v>
      </c>
      <c r="J1158" s="3">
        <v>158</v>
      </c>
      <c r="K1158" s="3">
        <v>484</v>
      </c>
      <c r="L1158" s="3">
        <v>59</v>
      </c>
      <c r="M1158" s="3">
        <v>169</v>
      </c>
    </row>
    <row r="1159" spans="1:13" x14ac:dyDescent="0.25">
      <c r="A1159" s="1" t="str">
        <f>HYPERLINK("http://www.rosaceae.org/Prunus/Prunus_persica/p.persica_gdr_reftransV1_0005613","p.persica_gdr_reftransV1_0005613")</f>
        <v>p.persica_gdr_reftransV1_0005613</v>
      </c>
      <c r="B1159" s="3">
        <v>398</v>
      </c>
      <c r="C1159" s="1" t="str">
        <f>HYPERLINK("http://www.uniprot.org/uniprot/GLR27_ARATH","GLR27_ARATH")</f>
        <v>GLR27_ARATH</v>
      </c>
      <c r="D1159" t="s">
        <v>1199</v>
      </c>
      <c r="E1159" s="3" t="s">
        <v>3</v>
      </c>
      <c r="F1159" s="4">
        <v>1.0100000000000001E-42</v>
      </c>
      <c r="G1159" s="3">
        <v>391</v>
      </c>
      <c r="H1159" s="3">
        <v>57</v>
      </c>
      <c r="I1159" s="3">
        <v>131</v>
      </c>
      <c r="J1159" s="3">
        <v>2</v>
      </c>
      <c r="K1159" s="3">
        <v>394</v>
      </c>
      <c r="L1159" s="3">
        <v>617</v>
      </c>
      <c r="M1159" s="3">
        <v>743</v>
      </c>
    </row>
    <row r="1160" spans="1:13" x14ac:dyDescent="0.25">
      <c r="A1160" s="1" t="str">
        <f>HYPERLINK("http://www.rosaceae.org/Prunus/Prunus_persica/p.persica_gdr_reftransV1_0005813","p.persica_gdr_reftransV1_0005813")</f>
        <v>p.persica_gdr_reftransV1_0005813</v>
      </c>
      <c r="B1160" s="3">
        <v>3128</v>
      </c>
      <c r="C1160" s="1" t="str">
        <f>HYPERLINK("http://www.uniprot.org/uniprot/CAHC_TOBAC","CAHC_TOBAC")</f>
        <v>CAHC_TOBAC</v>
      </c>
      <c r="D1160" t="s">
        <v>1200</v>
      </c>
      <c r="E1160" s="3" t="s">
        <v>200</v>
      </c>
      <c r="F1160" s="4">
        <v>1.2900000000000001E-39</v>
      </c>
      <c r="G1160" s="3">
        <v>391</v>
      </c>
      <c r="H1160" s="3">
        <v>72</v>
      </c>
      <c r="I1160" s="3">
        <v>100</v>
      </c>
      <c r="J1160" s="3">
        <v>1545</v>
      </c>
      <c r="K1160" s="3">
        <v>1844</v>
      </c>
      <c r="L1160" s="3">
        <v>130</v>
      </c>
      <c r="M1160" s="3">
        <v>229</v>
      </c>
    </row>
    <row r="1161" spans="1:13" x14ac:dyDescent="0.25">
      <c r="A1161" s="1" t="str">
        <f>HYPERLINK("http://www.rosaceae.org/Prunus/Prunus_persica/p.persica_gdr_reftransV1_0005963","p.persica_gdr_reftransV1_0005963")</f>
        <v>p.persica_gdr_reftransV1_0005963</v>
      </c>
      <c r="B1161" s="3">
        <v>1860</v>
      </c>
      <c r="C1161" s="1" t="str">
        <f>HYPERLINK("http://www.uniprot.org/uniprot/WSD1_ARATH","WSD1_ARATH")</f>
        <v>WSD1_ARATH</v>
      </c>
      <c r="D1161" t="s">
        <v>84</v>
      </c>
      <c r="E1161" s="3" t="s">
        <v>3</v>
      </c>
      <c r="F1161" s="4">
        <v>1.11E-37</v>
      </c>
      <c r="G1161" s="3">
        <v>377</v>
      </c>
      <c r="H1161" s="3">
        <v>27</v>
      </c>
      <c r="I1161" s="3">
        <v>474</v>
      </c>
      <c r="J1161" s="3">
        <v>66</v>
      </c>
      <c r="K1161" s="3">
        <v>1427</v>
      </c>
      <c r="L1161" s="3">
        <v>7</v>
      </c>
      <c r="M1161" s="3">
        <v>471</v>
      </c>
    </row>
    <row r="1162" spans="1:13" x14ac:dyDescent="0.25">
      <c r="A1162" s="1" t="str">
        <f>HYPERLINK("http://www.rosaceae.org/Prunus/Prunus_persica/p.persica_gdr_reftransV1_0006013","p.persica_gdr_reftransV1_0006013")</f>
        <v>p.persica_gdr_reftransV1_0006013</v>
      </c>
      <c r="B1162" s="3">
        <v>563</v>
      </c>
      <c r="C1162" s="1" t="str">
        <f>HYPERLINK("http://www.uniprot.org/uniprot/Y2621_ARATH","Y2621_ARATH")</f>
        <v>Y2621_ARATH</v>
      </c>
      <c r="D1162" t="s">
        <v>1201</v>
      </c>
      <c r="E1162" s="3" t="s">
        <v>3</v>
      </c>
      <c r="F1162" s="4">
        <v>6.6800000000000005E-11</v>
      </c>
      <c r="G1162" s="3">
        <v>152</v>
      </c>
      <c r="H1162" s="3">
        <v>35</v>
      </c>
      <c r="I1162" s="3">
        <v>111</v>
      </c>
      <c r="J1162" s="3">
        <v>59</v>
      </c>
      <c r="K1162" s="3">
        <v>379</v>
      </c>
      <c r="L1162" s="3">
        <v>10</v>
      </c>
      <c r="M1162" s="3">
        <v>117</v>
      </c>
    </row>
    <row r="1163" spans="1:13" x14ac:dyDescent="0.25">
      <c r="A1163" s="1" t="str">
        <f>HYPERLINK("http://www.rosaceae.org/Prunus/Prunus_persica/p.persica_gdr_reftransV1_0006063","p.persica_gdr_reftransV1_0006063")</f>
        <v>p.persica_gdr_reftransV1_0006063</v>
      </c>
      <c r="B1163" s="3">
        <v>374</v>
      </c>
      <c r="C1163" s="1" t="str">
        <f>HYPERLINK("http://www.uniprot.org/uniprot/Y1491_ARATH","Y1491_ARATH")</f>
        <v>Y1491_ARATH</v>
      </c>
      <c r="D1163" t="s">
        <v>310</v>
      </c>
      <c r="E1163" s="3" t="s">
        <v>3</v>
      </c>
      <c r="F1163" s="4">
        <v>3.0399999999999998E-17</v>
      </c>
      <c r="G1163" s="3">
        <v>199</v>
      </c>
      <c r="H1163" s="3">
        <v>37</v>
      </c>
      <c r="I1163" s="3">
        <v>121</v>
      </c>
      <c r="J1163" s="3">
        <v>5</v>
      </c>
      <c r="K1163" s="3">
        <v>361</v>
      </c>
      <c r="L1163" s="3">
        <v>154</v>
      </c>
      <c r="M1163" s="3">
        <v>273</v>
      </c>
    </row>
    <row r="1164" spans="1:13" x14ac:dyDescent="0.25">
      <c r="A1164" s="1" t="str">
        <f>HYPERLINK("http://www.rosaceae.org/Prunus/Prunus_persica/p.persica_gdr_reftransV1_0006163","p.persica_gdr_reftransV1_0006163")</f>
        <v>p.persica_gdr_reftransV1_0006163</v>
      </c>
      <c r="B1164" s="3">
        <v>884</v>
      </c>
      <c r="C1164" s="1" t="str">
        <f>HYPERLINK("http://www.uniprot.org/uniprot/BH096_ARATH","BH096_ARATH")</f>
        <v>BH096_ARATH</v>
      </c>
      <c r="D1164" t="s">
        <v>1202</v>
      </c>
      <c r="E1164" s="3" t="s">
        <v>3</v>
      </c>
      <c r="F1164" s="4">
        <v>6.0299999999999999E-83</v>
      </c>
      <c r="G1164" s="3">
        <v>662</v>
      </c>
      <c r="H1164" s="3">
        <v>61</v>
      </c>
      <c r="I1164" s="3">
        <v>221</v>
      </c>
      <c r="J1164" s="3">
        <v>91</v>
      </c>
      <c r="K1164" s="3">
        <v>699</v>
      </c>
      <c r="L1164" s="3">
        <v>113</v>
      </c>
      <c r="M1164" s="3">
        <v>315</v>
      </c>
    </row>
    <row r="1165" spans="1:13" x14ac:dyDescent="0.25">
      <c r="A1165" s="1" t="str">
        <f>HYPERLINK("http://www.rosaceae.org/Prunus/Prunus_persica/p.persica_gdr_reftransV1_0006213","p.persica_gdr_reftransV1_0006213")</f>
        <v>p.persica_gdr_reftransV1_0006213</v>
      </c>
      <c r="B1165" s="3">
        <v>532</v>
      </c>
      <c r="C1165" s="1" t="str">
        <f>HYPERLINK("http://www.uniprot.org/uniprot/FB333_ARATH","FB333_ARATH")</f>
        <v>FB333_ARATH</v>
      </c>
      <c r="D1165" t="s">
        <v>1203</v>
      </c>
      <c r="E1165" s="3" t="s">
        <v>3</v>
      </c>
      <c r="F1165" s="4">
        <v>2.2400000000000001E-36</v>
      </c>
      <c r="G1165" s="3">
        <v>344</v>
      </c>
      <c r="H1165" s="3">
        <v>50</v>
      </c>
      <c r="I1165" s="3">
        <v>173</v>
      </c>
      <c r="J1165" s="3">
        <v>1</v>
      </c>
      <c r="K1165" s="3">
        <v>516</v>
      </c>
      <c r="L1165" s="3">
        <v>260</v>
      </c>
      <c r="M1165" s="3">
        <v>425</v>
      </c>
    </row>
    <row r="1166" spans="1:13" x14ac:dyDescent="0.25">
      <c r="A1166" s="1" t="str">
        <f>HYPERLINK("http://www.rosaceae.org/Prunus/Prunus_persica/p.persica_gdr_reftransV1_0006313","p.persica_gdr_reftransV1_0006313")</f>
        <v>p.persica_gdr_reftransV1_0006313</v>
      </c>
      <c r="B1166" s="3">
        <v>561</v>
      </c>
      <c r="C1166" s="1" t="str">
        <f>HYPERLINK("http://www.uniprot.org/uniprot/PP151_ARATH","PP151_ARATH")</f>
        <v>PP151_ARATH</v>
      </c>
      <c r="D1166" t="s">
        <v>1204</v>
      </c>
      <c r="E1166" s="3" t="s">
        <v>3</v>
      </c>
      <c r="F1166" s="4">
        <v>1.1400000000000001E-24</v>
      </c>
      <c r="G1166" s="3">
        <v>261</v>
      </c>
      <c r="H1166" s="3">
        <v>38</v>
      </c>
      <c r="I1166" s="3">
        <v>164</v>
      </c>
      <c r="J1166" s="3">
        <v>4</v>
      </c>
      <c r="K1166" s="3">
        <v>495</v>
      </c>
      <c r="L1166" s="3">
        <v>488</v>
      </c>
      <c r="M1166" s="3">
        <v>651</v>
      </c>
    </row>
    <row r="1167" spans="1:13" x14ac:dyDescent="0.25">
      <c r="A1167" s="1" t="str">
        <f>HYPERLINK("http://www.rosaceae.org/Prunus/Prunus_persica/p.persica_gdr_reftransV1_0006363","p.persica_gdr_reftransV1_0006363")</f>
        <v>p.persica_gdr_reftransV1_0006363</v>
      </c>
      <c r="B1167" s="3">
        <v>1936</v>
      </c>
      <c r="C1167" s="1" t="str">
        <f>HYPERLINK("http://www.uniprot.org/uniprot/MATE9_ARATH","MATE9_ARATH")</f>
        <v>MATE9_ARATH</v>
      </c>
      <c r="D1167" t="s">
        <v>1205</v>
      </c>
      <c r="E1167" s="3" t="s">
        <v>3</v>
      </c>
      <c r="F1167" s="4">
        <v>2.4499999999999998E-65</v>
      </c>
      <c r="G1167" s="3">
        <v>582</v>
      </c>
      <c r="H1167" s="3">
        <v>56</v>
      </c>
      <c r="I1167" s="3">
        <v>254</v>
      </c>
      <c r="J1167" s="3">
        <v>903</v>
      </c>
      <c r="K1167" s="3">
        <v>1664</v>
      </c>
      <c r="L1167" s="3">
        <v>142</v>
      </c>
      <c r="M1167" s="3">
        <v>395</v>
      </c>
    </row>
    <row r="1168" spans="1:13" x14ac:dyDescent="0.25">
      <c r="A1168" s="1" t="str">
        <f>HYPERLINK("http://www.rosaceae.org/Prunus/Prunus_persica/p.persica_gdr_reftransV1_0006413","p.persica_gdr_reftransV1_0006413")</f>
        <v>p.persica_gdr_reftransV1_0006413</v>
      </c>
      <c r="B1168" s="3">
        <v>596</v>
      </c>
      <c r="C1168" s="1" t="str">
        <f>HYPERLINK("http://www.uniprot.org/uniprot/MSH4_ARATH","MSH4_ARATH")</f>
        <v>MSH4_ARATH</v>
      </c>
      <c r="D1168" t="s">
        <v>1206</v>
      </c>
      <c r="E1168" s="3" t="s">
        <v>3</v>
      </c>
      <c r="F1168" s="4">
        <v>1.66E-94</v>
      </c>
      <c r="G1168" s="3">
        <v>763</v>
      </c>
      <c r="H1168" s="3">
        <v>78</v>
      </c>
      <c r="I1168" s="3">
        <v>185</v>
      </c>
      <c r="J1168" s="3">
        <v>41</v>
      </c>
      <c r="K1168" s="3">
        <v>595</v>
      </c>
      <c r="L1168" s="3">
        <v>260</v>
      </c>
      <c r="M1168" s="3">
        <v>444</v>
      </c>
    </row>
    <row r="1169" spans="1:13" x14ac:dyDescent="0.25">
      <c r="A1169" s="1" t="str">
        <f>HYPERLINK("http://www.rosaceae.org/Prunus/Prunus_persica/p.persica_gdr_reftransV1_0006513","p.persica_gdr_reftransV1_0006513")</f>
        <v>p.persica_gdr_reftransV1_0006513</v>
      </c>
      <c r="B1169" s="3">
        <v>604</v>
      </c>
      <c r="C1169" s="1" t="str">
        <f>HYPERLINK("http://www.uniprot.org/uniprot/Y1343_ARATH","Y1343_ARATH")</f>
        <v>Y1343_ARATH</v>
      </c>
      <c r="D1169" t="s">
        <v>1207</v>
      </c>
      <c r="E1169" s="3" t="s">
        <v>3</v>
      </c>
      <c r="F1169" s="4">
        <v>2.2699999999999998E-22</v>
      </c>
      <c r="G1169" s="3">
        <v>246</v>
      </c>
      <c r="H1169" s="3">
        <v>41</v>
      </c>
      <c r="I1169" s="3">
        <v>116</v>
      </c>
      <c r="J1169" s="3">
        <v>258</v>
      </c>
      <c r="K1169" s="3">
        <v>599</v>
      </c>
      <c r="L1169" s="3">
        <v>650</v>
      </c>
      <c r="M1169" s="3">
        <v>765</v>
      </c>
    </row>
    <row r="1170" spans="1:13" x14ac:dyDescent="0.25">
      <c r="A1170" s="1" t="str">
        <f>HYPERLINK("http://www.rosaceae.org/Prunus/Prunus_persica/p.persica_gdr_reftransV1_0006613","p.persica_gdr_reftransV1_0006613")</f>
        <v>p.persica_gdr_reftransV1_0006613</v>
      </c>
      <c r="B1170" s="3">
        <v>4093</v>
      </c>
      <c r="C1170" s="1" t="str">
        <f>HYPERLINK("http://www.uniprot.org/uniprot/UNE10_ARATH","UNE10_ARATH")</f>
        <v>UNE10_ARATH</v>
      </c>
      <c r="D1170" t="s">
        <v>1208</v>
      </c>
      <c r="E1170" s="3" t="s">
        <v>3</v>
      </c>
      <c r="F1170" s="4">
        <v>3.4199999999999997E-52</v>
      </c>
      <c r="G1170" s="3">
        <v>495</v>
      </c>
      <c r="H1170" s="3">
        <v>43</v>
      </c>
      <c r="I1170" s="3">
        <v>362</v>
      </c>
      <c r="J1170" s="3">
        <v>394</v>
      </c>
      <c r="K1170" s="3">
        <v>1458</v>
      </c>
      <c r="L1170" s="3">
        <v>1</v>
      </c>
      <c r="M1170" s="3">
        <v>245</v>
      </c>
    </row>
    <row r="1171" spans="1:13" x14ac:dyDescent="0.25">
      <c r="A1171" s="1" t="str">
        <f>HYPERLINK("http://www.rosaceae.org/Prunus/Prunus_persica/p.persica_gdr_reftransV1_0006663","p.persica_gdr_reftransV1_0006663")</f>
        <v>p.persica_gdr_reftransV1_0006663</v>
      </c>
      <c r="B1171" s="3">
        <v>542</v>
      </c>
      <c r="C1171" s="1" t="str">
        <f>HYPERLINK("http://www.uniprot.org/uniprot/KCS3_ARATH","KCS3_ARATH")</f>
        <v>KCS3_ARATH</v>
      </c>
      <c r="D1171" t="s">
        <v>1209</v>
      </c>
      <c r="E1171" s="3" t="s">
        <v>3</v>
      </c>
      <c r="F1171" s="4">
        <v>2.2300000000000001E-47</v>
      </c>
      <c r="G1171" s="3">
        <v>420</v>
      </c>
      <c r="H1171" s="3">
        <v>77</v>
      </c>
      <c r="I1171" s="3">
        <v>111</v>
      </c>
      <c r="J1171" s="3">
        <v>3</v>
      </c>
      <c r="K1171" s="3">
        <v>317</v>
      </c>
      <c r="L1171" s="3">
        <v>365</v>
      </c>
      <c r="M1171" s="3">
        <v>475</v>
      </c>
    </row>
    <row r="1172" spans="1:13" x14ac:dyDescent="0.25">
      <c r="A1172" s="1" t="str">
        <f>HYPERLINK("http://www.rosaceae.org/Prunus/Prunus_persica/p.persica_gdr_reftransV1_0006713","p.persica_gdr_reftransV1_0006713")</f>
        <v>p.persica_gdr_reftransV1_0006713</v>
      </c>
      <c r="B1172" s="3">
        <v>1341</v>
      </c>
      <c r="C1172" s="1" t="str">
        <f>HYPERLINK("http://www.uniprot.org/uniprot/TKPR1_ARATH","TKPR1_ARATH")</f>
        <v>TKPR1_ARATH</v>
      </c>
      <c r="D1172" t="s">
        <v>221</v>
      </c>
      <c r="E1172" s="3" t="s">
        <v>3</v>
      </c>
      <c r="F1172" s="4">
        <v>1.11E-60</v>
      </c>
      <c r="G1172" s="3">
        <v>525</v>
      </c>
      <c r="H1172" s="3">
        <v>39</v>
      </c>
      <c r="I1172" s="3">
        <v>327</v>
      </c>
      <c r="J1172" s="3">
        <v>192</v>
      </c>
      <c r="K1172" s="3">
        <v>1151</v>
      </c>
      <c r="L1172" s="3">
        <v>8</v>
      </c>
      <c r="M1172" s="3">
        <v>321</v>
      </c>
    </row>
    <row r="1173" spans="1:13" x14ac:dyDescent="0.25">
      <c r="A1173" s="1" t="str">
        <f>HYPERLINK("http://www.rosaceae.org/Prunus/Prunus_persica/p.persica_gdr_reftransV1_0006763","p.persica_gdr_reftransV1_0006763")</f>
        <v>p.persica_gdr_reftransV1_0006763</v>
      </c>
      <c r="B1173" s="3">
        <v>634</v>
      </c>
      <c r="C1173" s="1" t="str">
        <f>HYPERLINK("http://www.uniprot.org/uniprot/PSYR1_ARATH","PSYR1_ARATH")</f>
        <v>PSYR1_ARATH</v>
      </c>
      <c r="D1173" t="s">
        <v>177</v>
      </c>
      <c r="E1173" s="3" t="s">
        <v>3</v>
      </c>
      <c r="F1173" s="4">
        <v>2.0999999999999999E-31</v>
      </c>
      <c r="G1173" s="3">
        <v>316</v>
      </c>
      <c r="H1173" s="3">
        <v>48</v>
      </c>
      <c r="I1173" s="3">
        <v>173</v>
      </c>
      <c r="J1173" s="3">
        <v>1</v>
      </c>
      <c r="K1173" s="3">
        <v>510</v>
      </c>
      <c r="L1173" s="3">
        <v>534</v>
      </c>
      <c r="M1173" s="3">
        <v>699</v>
      </c>
    </row>
    <row r="1174" spans="1:13" x14ac:dyDescent="0.25">
      <c r="A1174" s="1" t="str">
        <f>HYPERLINK("http://www.rosaceae.org/Prunus/Prunus_persica/p.persica_gdr_reftransV1_0006813","p.persica_gdr_reftransV1_0006813")</f>
        <v>p.persica_gdr_reftransV1_0006813</v>
      </c>
      <c r="B1174" s="3">
        <v>4147</v>
      </c>
      <c r="C1174" s="1" t="str">
        <f>HYPERLINK("http://www.uniprot.org/uniprot/YI31B_YEAST","YI31B_YEAST")</f>
        <v>YI31B_YEAST</v>
      </c>
      <c r="D1174" t="s">
        <v>1210</v>
      </c>
      <c r="E1174" s="3" t="s">
        <v>34</v>
      </c>
      <c r="F1174" s="4">
        <v>2.8899999999999998E-11</v>
      </c>
      <c r="G1174" s="3">
        <v>166</v>
      </c>
      <c r="H1174" s="3">
        <v>34</v>
      </c>
      <c r="I1174" s="3">
        <v>140</v>
      </c>
      <c r="J1174" s="3">
        <v>2255</v>
      </c>
      <c r="K1174" s="3">
        <v>2671</v>
      </c>
      <c r="L1174" s="3">
        <v>610</v>
      </c>
      <c r="M1174" s="3">
        <v>747</v>
      </c>
    </row>
    <row r="1175" spans="1:13" x14ac:dyDescent="0.25">
      <c r="A1175" s="1" t="str">
        <f>HYPERLINK("http://www.rosaceae.org/Prunus/Prunus_persica/p.persica_gdr_reftransV1_0006863","p.persica_gdr_reftransV1_0006863")</f>
        <v>p.persica_gdr_reftransV1_0006863</v>
      </c>
      <c r="B1175" s="3">
        <v>958</v>
      </c>
      <c r="C1175" s="1" t="str">
        <f>HYPERLINK("http://www.uniprot.org/uniprot/WAKLD_ARATH","WAKLD_ARATH")</f>
        <v>WAKLD_ARATH</v>
      </c>
      <c r="D1175" t="s">
        <v>1211</v>
      </c>
      <c r="E1175" s="3" t="s">
        <v>3</v>
      </c>
      <c r="F1175" s="4">
        <v>2.22E-83</v>
      </c>
      <c r="G1175" s="3">
        <v>698</v>
      </c>
      <c r="H1175" s="3">
        <v>58</v>
      </c>
      <c r="I1175" s="3">
        <v>220</v>
      </c>
      <c r="J1175" s="3">
        <v>2</v>
      </c>
      <c r="K1175" s="3">
        <v>658</v>
      </c>
      <c r="L1175" s="3">
        <v>482</v>
      </c>
      <c r="M1175" s="3">
        <v>700</v>
      </c>
    </row>
    <row r="1176" spans="1:13" x14ac:dyDescent="0.25">
      <c r="A1176" s="1" t="str">
        <f>HYPERLINK("http://www.rosaceae.org/Prunus/Prunus_persica/p.persica_gdr_reftransV1_0006913","p.persica_gdr_reftransV1_0006913")</f>
        <v>p.persica_gdr_reftransV1_0006913</v>
      </c>
      <c r="B1176" s="3">
        <v>1401</v>
      </c>
      <c r="C1176" s="1" t="str">
        <f>HYPERLINK("http://www.uniprot.org/uniprot/CRK4_ARATH","CRK4_ARATH")</f>
        <v>CRK4_ARATH</v>
      </c>
      <c r="D1176" t="s">
        <v>1212</v>
      </c>
      <c r="E1176" s="3" t="s">
        <v>3</v>
      </c>
      <c r="F1176" s="4">
        <v>1.45E-33</v>
      </c>
      <c r="G1176" s="3">
        <v>208</v>
      </c>
      <c r="H1176" s="3">
        <v>38</v>
      </c>
      <c r="I1176" s="3">
        <v>183</v>
      </c>
      <c r="J1176" s="3">
        <v>268</v>
      </c>
      <c r="K1176" s="3">
        <v>807</v>
      </c>
      <c r="L1176" s="3">
        <v>195</v>
      </c>
      <c r="M1176" s="3">
        <v>372</v>
      </c>
    </row>
    <row r="1177" spans="1:13" x14ac:dyDescent="0.25">
      <c r="A1177" s="1" t="str">
        <f>HYPERLINK("http://www.rosaceae.org/Prunus/Prunus_persica/p.persica_gdr_reftransV1_0006963","p.persica_gdr_reftransV1_0006963")</f>
        <v>p.persica_gdr_reftransV1_0006963</v>
      </c>
      <c r="B1177" s="3">
        <v>725</v>
      </c>
      <c r="C1177" s="1" t="str">
        <f>HYPERLINK("http://www.uniprot.org/uniprot/FLOT3_MEDTR","FLOT3_MEDTR")</f>
        <v>FLOT3_MEDTR</v>
      </c>
      <c r="D1177" t="s">
        <v>1213</v>
      </c>
      <c r="E1177" s="3" t="s">
        <v>91</v>
      </c>
      <c r="F1177" s="4">
        <v>1.68E-68</v>
      </c>
      <c r="G1177" s="3">
        <v>571</v>
      </c>
      <c r="H1177" s="3">
        <v>64</v>
      </c>
      <c r="I1177" s="3">
        <v>209</v>
      </c>
      <c r="J1177" s="3">
        <v>2</v>
      </c>
      <c r="K1177" s="3">
        <v>628</v>
      </c>
      <c r="L1177" s="3">
        <v>273</v>
      </c>
      <c r="M1177" s="3">
        <v>463</v>
      </c>
    </row>
    <row r="1178" spans="1:13" x14ac:dyDescent="0.25">
      <c r="A1178" s="1" t="str">
        <f>HYPERLINK("http://www.rosaceae.org/Prunus/Prunus_persica/p.persica_gdr_reftransV1_0007013","p.persica_gdr_reftransV1_0007013")</f>
        <v>p.persica_gdr_reftransV1_0007013</v>
      </c>
      <c r="B1178" s="3">
        <v>1528</v>
      </c>
      <c r="C1178" s="1" t="str">
        <f>HYPERLINK("http://www.uniprot.org/uniprot/OTUBL_ARATH","OTUBL_ARATH")</f>
        <v>OTUBL_ARATH</v>
      </c>
      <c r="D1178" t="s">
        <v>1214</v>
      </c>
      <c r="E1178" s="3" t="s">
        <v>3</v>
      </c>
      <c r="F1178" s="4">
        <v>1.2099999999999999E-155</v>
      </c>
      <c r="G1178" s="3">
        <v>1164</v>
      </c>
      <c r="H1178" s="3">
        <v>74</v>
      </c>
      <c r="I1178" s="3">
        <v>302</v>
      </c>
      <c r="J1178" s="3">
        <v>424</v>
      </c>
      <c r="K1178" s="3">
        <v>1329</v>
      </c>
      <c r="L1178" s="3">
        <v>1</v>
      </c>
      <c r="M1178" s="3">
        <v>295</v>
      </c>
    </row>
    <row r="1179" spans="1:13" x14ac:dyDescent="0.25">
      <c r="A1179" s="1" t="str">
        <f>HYPERLINK("http://www.rosaceae.org/Prunus/Prunus_persica/p.persica_gdr_reftransV1_0007063","p.persica_gdr_reftransV1_0007063")</f>
        <v>p.persica_gdr_reftransV1_0007063</v>
      </c>
      <c r="B1179" s="3">
        <v>882</v>
      </c>
      <c r="C1179" s="1" t="str">
        <f>HYPERLINK("http://www.uniprot.org/uniprot/M810_ARATH","M810_ARATH")</f>
        <v>M810_ARATH</v>
      </c>
      <c r="D1179" t="s">
        <v>92</v>
      </c>
      <c r="E1179" s="3" t="s">
        <v>3</v>
      </c>
      <c r="F1179" s="4">
        <v>3.0899999999999999E-26</v>
      </c>
      <c r="G1179" s="3">
        <v>269</v>
      </c>
      <c r="H1179" s="3">
        <v>46</v>
      </c>
      <c r="I1179" s="3">
        <v>106</v>
      </c>
      <c r="J1179" s="3">
        <v>51</v>
      </c>
      <c r="K1179" s="3">
        <v>368</v>
      </c>
      <c r="L1179" s="3">
        <v>96</v>
      </c>
      <c r="M1179" s="3">
        <v>201</v>
      </c>
    </row>
    <row r="1180" spans="1:13" x14ac:dyDescent="0.25">
      <c r="A1180" s="1" t="str">
        <f>HYPERLINK("http://www.rosaceae.org/Prunus/Prunus_persica/p.persica_gdr_reftransV1_0007113","p.persica_gdr_reftransV1_0007113")</f>
        <v>p.persica_gdr_reftransV1_0007113</v>
      </c>
      <c r="B1180" s="3">
        <v>1955</v>
      </c>
      <c r="C1180" s="1" t="str">
        <f>HYPERLINK("http://www.uniprot.org/uniprot/GLR32_ARATH","GLR32_ARATH")</f>
        <v>GLR32_ARATH</v>
      </c>
      <c r="D1180" t="s">
        <v>1215</v>
      </c>
      <c r="E1180" s="3" t="s">
        <v>3</v>
      </c>
      <c r="F1180" s="4">
        <v>7.3800000000000005E-82</v>
      </c>
      <c r="G1180" s="3">
        <v>723</v>
      </c>
      <c r="H1180" s="3">
        <v>34</v>
      </c>
      <c r="I1180" s="3">
        <v>502</v>
      </c>
      <c r="J1180" s="3">
        <v>141</v>
      </c>
      <c r="K1180" s="3">
        <v>1616</v>
      </c>
      <c r="L1180" s="3">
        <v>360</v>
      </c>
      <c r="M1180" s="3">
        <v>850</v>
      </c>
    </row>
    <row r="1181" spans="1:13" x14ac:dyDescent="0.25">
      <c r="A1181" s="1" t="str">
        <f>HYPERLINK("http://www.rosaceae.org/Prunus/Prunus_persica/p.persica_gdr_reftransV1_0007163","p.persica_gdr_reftransV1_0007163")</f>
        <v>p.persica_gdr_reftransV1_0007163</v>
      </c>
      <c r="B1181" s="3">
        <v>1502</v>
      </c>
      <c r="C1181" s="1" t="str">
        <f>HYPERLINK("http://www.uniprot.org/uniprot/TAF8_ARATH","TAF8_ARATH")</f>
        <v>TAF8_ARATH</v>
      </c>
      <c r="D1181" t="s">
        <v>1216</v>
      </c>
      <c r="E1181" s="3" t="s">
        <v>3</v>
      </c>
      <c r="F1181" s="4">
        <v>1.28E-58</v>
      </c>
      <c r="G1181" s="3">
        <v>517</v>
      </c>
      <c r="H1181" s="3">
        <v>55</v>
      </c>
      <c r="I1181" s="3">
        <v>182</v>
      </c>
      <c r="J1181" s="3">
        <v>52</v>
      </c>
      <c r="K1181" s="3">
        <v>588</v>
      </c>
      <c r="L1181" s="3">
        <v>25</v>
      </c>
      <c r="M1181" s="3">
        <v>206</v>
      </c>
    </row>
    <row r="1182" spans="1:13" x14ac:dyDescent="0.25">
      <c r="A1182" s="1" t="str">
        <f>HYPERLINK("http://www.rosaceae.org/Prunus/Prunus_persica/p.persica_gdr_reftransV1_0007213","p.persica_gdr_reftransV1_0007213")</f>
        <v>p.persica_gdr_reftransV1_0007213</v>
      </c>
      <c r="B1182" s="3">
        <v>2188</v>
      </c>
      <c r="C1182" s="1" t="str">
        <f>HYPERLINK("http://www.uniprot.org/uniprot/RPP5_ARATH","RPP5_ARATH")</f>
        <v>RPP5_ARATH</v>
      </c>
      <c r="D1182" t="s">
        <v>1217</v>
      </c>
      <c r="E1182" s="3" t="s">
        <v>3</v>
      </c>
      <c r="F1182" s="4">
        <v>3.67E-22</v>
      </c>
      <c r="G1182" s="3">
        <v>264</v>
      </c>
      <c r="H1182" s="3">
        <v>25</v>
      </c>
      <c r="I1182" s="3">
        <v>506</v>
      </c>
      <c r="J1182" s="3">
        <v>275</v>
      </c>
      <c r="K1182" s="3">
        <v>1612</v>
      </c>
      <c r="L1182" s="3">
        <v>915</v>
      </c>
      <c r="M1182" s="3">
        <v>1351</v>
      </c>
    </row>
    <row r="1183" spans="1:13" x14ac:dyDescent="0.25">
      <c r="A1183" s="1" t="str">
        <f>HYPERLINK("http://www.rosaceae.org/Prunus/Prunus_persica/p.persica_gdr_reftransV1_0007263","p.persica_gdr_reftransV1_0007263")</f>
        <v>p.persica_gdr_reftransV1_0007263</v>
      </c>
      <c r="B1183" s="3">
        <v>2638</v>
      </c>
      <c r="C1183" s="1" t="str">
        <f>HYPERLINK("http://www.uniprot.org/uniprot/Y1790_ARATH","Y1790_ARATH")</f>
        <v>Y1790_ARATH</v>
      </c>
      <c r="D1183" t="s">
        <v>1218</v>
      </c>
      <c r="E1183" s="3" t="s">
        <v>3</v>
      </c>
      <c r="F1183" s="4">
        <v>0</v>
      </c>
      <c r="G1183" s="3">
        <v>2014</v>
      </c>
      <c r="H1183" s="3">
        <v>73</v>
      </c>
      <c r="I1183" s="3">
        <v>642</v>
      </c>
      <c r="J1183" s="3">
        <v>448</v>
      </c>
      <c r="K1183" s="3">
        <v>2340</v>
      </c>
      <c r="L1183" s="3">
        <v>1</v>
      </c>
      <c r="M1183" s="3">
        <v>630</v>
      </c>
    </row>
    <row r="1184" spans="1:13" x14ac:dyDescent="0.25">
      <c r="A1184" s="1" t="str">
        <f>HYPERLINK("http://www.rosaceae.org/Prunus/Prunus_persica/p.persica_gdr_reftransV1_0007313","p.persica_gdr_reftransV1_0007313")</f>
        <v>p.persica_gdr_reftransV1_0007313</v>
      </c>
      <c r="B1184" s="3">
        <v>2858</v>
      </c>
      <c r="C1184" s="1" t="str">
        <f>HYPERLINK("http://www.uniprot.org/uniprot/RLP12_ARATH","RLP12_ARATH")</f>
        <v>RLP12_ARATH</v>
      </c>
      <c r="D1184" t="s">
        <v>1219</v>
      </c>
      <c r="E1184" s="3" t="s">
        <v>3</v>
      </c>
      <c r="F1184" s="4">
        <v>1.82E-106</v>
      </c>
      <c r="G1184" s="3">
        <v>914</v>
      </c>
      <c r="H1184" s="3">
        <v>36</v>
      </c>
      <c r="I1184" s="3">
        <v>767</v>
      </c>
      <c r="J1184" s="3">
        <v>248</v>
      </c>
      <c r="K1184" s="3">
        <v>2527</v>
      </c>
      <c r="L1184" s="3">
        <v>109</v>
      </c>
      <c r="M1184" s="3">
        <v>833</v>
      </c>
    </row>
    <row r="1185" spans="1:13" x14ac:dyDescent="0.25">
      <c r="A1185" s="1" t="str">
        <f>HYPERLINK("http://www.rosaceae.org/Prunus/Prunus_persica/p.persica_gdr_reftransV1_0007513","p.persica_gdr_reftransV1_0007513")</f>
        <v>p.persica_gdr_reftransV1_0007513</v>
      </c>
      <c r="B1185" s="3">
        <v>1959</v>
      </c>
      <c r="C1185" s="1" t="str">
        <f>HYPERLINK("http://www.uniprot.org/uniprot/CHM1B_ARATH","CHM1B_ARATH")</f>
        <v>CHM1B_ARATH</v>
      </c>
      <c r="D1185" t="s">
        <v>1220</v>
      </c>
      <c r="E1185" s="3" t="s">
        <v>3</v>
      </c>
      <c r="F1185" s="4">
        <v>1.3700000000000001E-111</v>
      </c>
      <c r="G1185" s="3">
        <v>874</v>
      </c>
      <c r="H1185" s="3">
        <v>92</v>
      </c>
      <c r="I1185" s="3">
        <v>203</v>
      </c>
      <c r="J1185" s="3">
        <v>1201</v>
      </c>
      <c r="K1185" s="3">
        <v>1809</v>
      </c>
      <c r="L1185" s="3">
        <v>1</v>
      </c>
      <c r="M1185" s="3">
        <v>203</v>
      </c>
    </row>
    <row r="1186" spans="1:13" x14ac:dyDescent="0.25">
      <c r="A1186" s="1" t="str">
        <f>HYPERLINK("http://www.rosaceae.org/Prunus/Prunus_persica/p.persica_gdr_reftransV1_0007563","p.persica_gdr_reftransV1_0007563")</f>
        <v>p.persica_gdr_reftransV1_0007563</v>
      </c>
      <c r="B1186" s="3">
        <v>916</v>
      </c>
      <c r="C1186" s="1" t="str">
        <f>HYPERLINK("http://www.uniprot.org/uniprot/PMAT1_ARATH","PMAT1_ARATH")</f>
        <v>PMAT1_ARATH</v>
      </c>
      <c r="D1186" t="s">
        <v>1221</v>
      </c>
      <c r="E1186" s="3" t="s">
        <v>3</v>
      </c>
      <c r="F1186" s="4">
        <v>1.8900000000000002E-24</v>
      </c>
      <c r="G1186" s="3">
        <v>264</v>
      </c>
      <c r="H1186" s="3">
        <v>36</v>
      </c>
      <c r="I1186" s="3">
        <v>159</v>
      </c>
      <c r="J1186" s="3">
        <v>38</v>
      </c>
      <c r="K1186" s="3">
        <v>505</v>
      </c>
      <c r="L1186" s="3">
        <v>320</v>
      </c>
      <c r="M1186" s="3">
        <v>469</v>
      </c>
    </row>
    <row r="1187" spans="1:13" x14ac:dyDescent="0.25">
      <c r="A1187" s="1" t="str">
        <f>HYPERLINK("http://www.rosaceae.org/Prunus/Prunus_persica/p.persica_gdr_reftransV1_0007613","p.persica_gdr_reftransV1_0007613")</f>
        <v>p.persica_gdr_reftransV1_0007613</v>
      </c>
      <c r="B1187" s="3">
        <v>2650</v>
      </c>
      <c r="C1187" s="1" t="str">
        <f>HYPERLINK("http://www.uniprot.org/uniprot/XPO7_MOUSE","XPO7_MOUSE")</f>
        <v>XPO7_MOUSE</v>
      </c>
      <c r="D1187" t="s">
        <v>1222</v>
      </c>
      <c r="E1187" s="3" t="s">
        <v>157</v>
      </c>
      <c r="F1187" s="4">
        <v>1.1400000000000001E-31</v>
      </c>
      <c r="G1187" s="3">
        <v>345</v>
      </c>
      <c r="H1187" s="3">
        <v>49</v>
      </c>
      <c r="I1187" s="3">
        <v>161</v>
      </c>
      <c r="J1187" s="3">
        <v>1526</v>
      </c>
      <c r="K1187" s="3">
        <v>1969</v>
      </c>
      <c r="L1187" s="3">
        <v>163</v>
      </c>
      <c r="M1187" s="3">
        <v>321</v>
      </c>
    </row>
    <row r="1188" spans="1:13" x14ac:dyDescent="0.25">
      <c r="A1188" s="1" t="str">
        <f>HYPERLINK("http://www.rosaceae.org/Prunus/Prunus_persica/p.persica_gdr_reftransV1_0007813","p.persica_gdr_reftransV1_0007813")</f>
        <v>p.persica_gdr_reftransV1_0007813</v>
      </c>
      <c r="B1188" s="3">
        <v>1685</v>
      </c>
      <c r="C1188" s="1" t="str">
        <f>HYPERLINK("http://www.uniprot.org/uniprot/PLY5_ARATH","PLY5_ARATH")</f>
        <v>PLY5_ARATH</v>
      </c>
      <c r="D1188" t="s">
        <v>1223</v>
      </c>
      <c r="E1188" s="3" t="s">
        <v>3</v>
      </c>
      <c r="F1188" s="4">
        <v>0</v>
      </c>
      <c r="G1188" s="3">
        <v>1710</v>
      </c>
      <c r="H1188" s="3">
        <v>84</v>
      </c>
      <c r="I1188" s="3">
        <v>387</v>
      </c>
      <c r="J1188" s="3">
        <v>371</v>
      </c>
      <c r="K1188" s="3">
        <v>1528</v>
      </c>
      <c r="L1188" s="3">
        <v>22</v>
      </c>
      <c r="M1188" s="3">
        <v>408</v>
      </c>
    </row>
    <row r="1189" spans="1:13" x14ac:dyDescent="0.25">
      <c r="A1189" s="1" t="str">
        <f>HYPERLINK("http://www.rosaceae.org/Prunus/Prunus_persica/p.persica_gdr_reftransV1_0007913","p.persica_gdr_reftransV1_0007913")</f>
        <v>p.persica_gdr_reftransV1_0007913</v>
      </c>
      <c r="B1189" s="3">
        <v>2508</v>
      </c>
      <c r="C1189" s="1" t="str">
        <f>HYPERLINK("http://www.uniprot.org/uniprot/GGT2_ARATH","GGT2_ARATH")</f>
        <v>GGT2_ARATH</v>
      </c>
      <c r="D1189" t="s">
        <v>1224</v>
      </c>
      <c r="E1189" s="3" t="s">
        <v>3</v>
      </c>
      <c r="F1189" s="4">
        <v>7.6799999999999996E-170</v>
      </c>
      <c r="G1189" s="3">
        <v>1306</v>
      </c>
      <c r="H1189" s="3">
        <v>89</v>
      </c>
      <c r="I1189" s="3">
        <v>271</v>
      </c>
      <c r="J1189" s="3">
        <v>356</v>
      </c>
      <c r="K1189" s="3">
        <v>1168</v>
      </c>
      <c r="L1189" s="3">
        <v>211</v>
      </c>
      <c r="M1189" s="3">
        <v>481</v>
      </c>
    </row>
    <row r="1190" spans="1:13" x14ac:dyDescent="0.25">
      <c r="A1190" s="1" t="str">
        <f>HYPERLINK("http://www.rosaceae.org/Prunus/Prunus_persica/p.persica_gdr_reftransV1_0008163","p.persica_gdr_reftransV1_0008163")</f>
        <v>p.persica_gdr_reftransV1_0008163</v>
      </c>
      <c r="B1190" s="3">
        <v>617</v>
      </c>
      <c r="C1190" s="1" t="str">
        <f>HYPERLINK("http://www.uniprot.org/uniprot/PP377_ARATH","PP377_ARATH")</f>
        <v>PP377_ARATH</v>
      </c>
      <c r="D1190" t="s">
        <v>1225</v>
      </c>
      <c r="E1190" s="3" t="s">
        <v>3</v>
      </c>
      <c r="F1190" s="4">
        <v>4.6100000000000003E-73</v>
      </c>
      <c r="G1190" s="3">
        <v>617</v>
      </c>
      <c r="H1190" s="3">
        <v>58</v>
      </c>
      <c r="I1190" s="3">
        <v>198</v>
      </c>
      <c r="J1190" s="3">
        <v>1</v>
      </c>
      <c r="K1190" s="3">
        <v>594</v>
      </c>
      <c r="L1190" s="3">
        <v>162</v>
      </c>
      <c r="M1190" s="3">
        <v>359</v>
      </c>
    </row>
    <row r="1191" spans="1:13" x14ac:dyDescent="0.25">
      <c r="A1191" s="1" t="str">
        <f>HYPERLINK("http://www.rosaceae.org/Prunus/Prunus_persica/p.persica_gdr_reftransV1_0008263","p.persica_gdr_reftransV1_0008263")</f>
        <v>p.persica_gdr_reftransV1_0008263</v>
      </c>
      <c r="B1191" s="3">
        <v>840</v>
      </c>
      <c r="C1191" s="1" t="str">
        <f>HYPERLINK("http://www.uniprot.org/uniprot/RAA1F_ARATH","RAA1F_ARATH")</f>
        <v>RAA1F_ARATH</v>
      </c>
      <c r="D1191" t="s">
        <v>1226</v>
      </c>
      <c r="E1191" s="3" t="s">
        <v>3</v>
      </c>
      <c r="F1191" s="4">
        <v>1.89E-109</v>
      </c>
      <c r="G1191" s="3">
        <v>826</v>
      </c>
      <c r="H1191" s="3">
        <v>96</v>
      </c>
      <c r="I1191" s="3">
        <v>160</v>
      </c>
      <c r="J1191" s="3">
        <v>1</v>
      </c>
      <c r="K1191" s="3">
        <v>480</v>
      </c>
      <c r="L1191" s="3">
        <v>57</v>
      </c>
      <c r="M1191" s="3">
        <v>216</v>
      </c>
    </row>
    <row r="1192" spans="1:13" x14ac:dyDescent="0.25">
      <c r="A1192" s="1" t="str">
        <f>HYPERLINK("http://www.rosaceae.org/Prunus/Prunus_persica/p.persica_gdr_reftransV1_0008363","p.persica_gdr_reftransV1_0008363")</f>
        <v>p.persica_gdr_reftransV1_0008363</v>
      </c>
      <c r="B1192" s="3">
        <v>1851</v>
      </c>
      <c r="C1192" s="1" t="str">
        <f>HYPERLINK("http://www.uniprot.org/uniprot/PDI53_ARATH","PDI53_ARATH")</f>
        <v>PDI53_ARATH</v>
      </c>
      <c r="D1192" t="s">
        <v>1227</v>
      </c>
      <c r="E1192" s="3" t="s">
        <v>3</v>
      </c>
      <c r="F1192" s="4">
        <v>0</v>
      </c>
      <c r="G1192" s="3">
        <v>1999</v>
      </c>
      <c r="H1192" s="3">
        <v>75</v>
      </c>
      <c r="I1192" s="3">
        <v>483</v>
      </c>
      <c r="J1192" s="3">
        <v>147</v>
      </c>
      <c r="K1192" s="3">
        <v>1583</v>
      </c>
      <c r="L1192" s="3">
        <v>1</v>
      </c>
      <c r="M1192" s="3">
        <v>482</v>
      </c>
    </row>
    <row r="1193" spans="1:13" x14ac:dyDescent="0.25">
      <c r="A1193" s="1" t="str">
        <f>HYPERLINK("http://www.rosaceae.org/Prunus/Prunus_persica/p.persica_gdr_reftransV1_0008463","p.persica_gdr_reftransV1_0008463")</f>
        <v>p.persica_gdr_reftransV1_0008463</v>
      </c>
      <c r="B1193" s="3">
        <v>1564</v>
      </c>
      <c r="C1193" s="1" t="str">
        <f>HYPERLINK("http://www.uniprot.org/uniprot/ZOG_PHALU","ZOG_PHALU")</f>
        <v>ZOG_PHALU</v>
      </c>
      <c r="D1193" t="s">
        <v>1228</v>
      </c>
      <c r="E1193" s="3" t="s">
        <v>1229</v>
      </c>
      <c r="F1193" s="4">
        <v>0</v>
      </c>
      <c r="G1193" s="3">
        <v>1403</v>
      </c>
      <c r="H1193" s="3">
        <v>58</v>
      </c>
      <c r="I1193" s="3">
        <v>464</v>
      </c>
      <c r="J1193" s="3">
        <v>101</v>
      </c>
      <c r="K1193" s="3">
        <v>1492</v>
      </c>
      <c r="L1193" s="3">
        <v>10</v>
      </c>
      <c r="M1193" s="3">
        <v>459</v>
      </c>
    </row>
    <row r="1194" spans="1:13" x14ac:dyDescent="0.25">
      <c r="A1194" s="1" t="str">
        <f>HYPERLINK("http://www.rosaceae.org/Prunus/Prunus_persica/p.persica_gdr_reftransV1_0008513","p.persica_gdr_reftransV1_0008513")</f>
        <v>p.persica_gdr_reftransV1_0008513</v>
      </c>
      <c r="B1194" s="3">
        <v>1429</v>
      </c>
      <c r="C1194" s="1" t="str">
        <f>HYPERLINK("http://www.uniprot.org/uniprot/ACER3_MOUSE","ACER3_MOUSE")</f>
        <v>ACER3_MOUSE</v>
      </c>
      <c r="D1194" t="s">
        <v>1230</v>
      </c>
      <c r="E1194" s="3" t="s">
        <v>157</v>
      </c>
      <c r="F1194" s="4">
        <v>3.7399999999999998E-29</v>
      </c>
      <c r="G1194" s="3">
        <v>298</v>
      </c>
      <c r="H1194" s="3">
        <v>29</v>
      </c>
      <c r="I1194" s="3">
        <v>268</v>
      </c>
      <c r="J1194" s="3">
        <v>279</v>
      </c>
      <c r="K1194" s="3">
        <v>1034</v>
      </c>
      <c r="L1194" s="3">
        <v>4</v>
      </c>
      <c r="M1194" s="3">
        <v>265</v>
      </c>
    </row>
    <row r="1195" spans="1:13" x14ac:dyDescent="0.25">
      <c r="A1195" s="1" t="str">
        <f>HYPERLINK("http://www.rosaceae.org/Prunus/Prunus_persica/p.persica_gdr_reftransV1_0008563","p.persica_gdr_reftransV1_0008563")</f>
        <v>p.persica_gdr_reftransV1_0008563</v>
      </c>
      <c r="B1195" s="3">
        <v>1854</v>
      </c>
      <c r="C1195" s="1" t="str">
        <f>HYPERLINK("http://www.uniprot.org/uniprot/MVD1_DANRE","MVD1_DANRE")</f>
        <v>MVD1_DANRE</v>
      </c>
      <c r="D1195" t="s">
        <v>1231</v>
      </c>
      <c r="E1195" s="3" t="s">
        <v>704</v>
      </c>
      <c r="F1195" s="4">
        <v>1.4599999999999999E-53</v>
      </c>
      <c r="G1195" s="3">
        <v>491</v>
      </c>
      <c r="H1195" s="3">
        <v>54</v>
      </c>
      <c r="I1195" s="3">
        <v>169</v>
      </c>
      <c r="J1195" s="3">
        <v>3</v>
      </c>
      <c r="K1195" s="3">
        <v>509</v>
      </c>
      <c r="L1195" s="3">
        <v>134</v>
      </c>
      <c r="M1195" s="3">
        <v>299</v>
      </c>
    </row>
    <row r="1196" spans="1:13" x14ac:dyDescent="0.25">
      <c r="A1196" s="1" t="str">
        <f>HYPERLINK("http://www.rosaceae.org/Prunus/Prunus_persica/p.persica_gdr_reftransV1_0008613","p.persica_gdr_reftransV1_0008613")</f>
        <v>p.persica_gdr_reftransV1_0008613</v>
      </c>
      <c r="B1196" s="3">
        <v>4057</v>
      </c>
      <c r="C1196" s="1" t="str">
        <f>HYPERLINK("http://www.uniprot.org/uniprot/DRL25_ARATH","DRL25_ARATH")</f>
        <v>DRL25_ARATH</v>
      </c>
      <c r="D1196" t="s">
        <v>1232</v>
      </c>
      <c r="E1196" s="3" t="s">
        <v>3</v>
      </c>
      <c r="F1196" s="4">
        <v>9.9199999999999993E-93</v>
      </c>
      <c r="G1196" s="3">
        <v>847</v>
      </c>
      <c r="H1196" s="3">
        <v>33</v>
      </c>
      <c r="I1196" s="3">
        <v>946</v>
      </c>
      <c r="J1196" s="3">
        <v>173</v>
      </c>
      <c r="K1196" s="3">
        <v>2815</v>
      </c>
      <c r="L1196" s="3">
        <v>27</v>
      </c>
      <c r="M1196" s="3">
        <v>928</v>
      </c>
    </row>
    <row r="1197" spans="1:13" x14ac:dyDescent="0.25">
      <c r="A1197" s="1" t="str">
        <f>HYPERLINK("http://www.rosaceae.org/Prunus/Prunus_persica/p.persica_gdr_reftransV1_0008663","p.persica_gdr_reftransV1_0008663")</f>
        <v>p.persica_gdr_reftransV1_0008663</v>
      </c>
      <c r="B1197" s="3">
        <v>1701</v>
      </c>
      <c r="C1197" s="1" t="str">
        <f>HYPERLINK("http://www.uniprot.org/uniprot/HARB1_DANRE","HARB1_DANRE")</f>
        <v>HARB1_DANRE</v>
      </c>
      <c r="D1197" t="s">
        <v>1233</v>
      </c>
      <c r="E1197" s="3" t="s">
        <v>704</v>
      </c>
      <c r="F1197" s="4">
        <v>1.9899999999999999E-22</v>
      </c>
      <c r="G1197" s="3">
        <v>254</v>
      </c>
      <c r="H1197" s="3">
        <v>27</v>
      </c>
      <c r="I1197" s="3">
        <v>280</v>
      </c>
      <c r="J1197" s="3">
        <v>287</v>
      </c>
      <c r="K1197" s="3">
        <v>1117</v>
      </c>
      <c r="L1197" s="3">
        <v>48</v>
      </c>
      <c r="M1197" s="3">
        <v>307</v>
      </c>
    </row>
    <row r="1198" spans="1:13" x14ac:dyDescent="0.25">
      <c r="A1198" s="1" t="str">
        <f>HYPERLINK("http://www.rosaceae.org/Prunus/Prunus_persica/p.persica_gdr_reftransV1_0008713","p.persica_gdr_reftransV1_0008713")</f>
        <v>p.persica_gdr_reftransV1_0008713</v>
      </c>
      <c r="B1198" s="3">
        <v>1501</v>
      </c>
      <c r="C1198" s="1" t="str">
        <f>HYPERLINK("http://www.uniprot.org/uniprot/Y3720_ARATH","Y3720_ARATH")</f>
        <v>Y3720_ARATH</v>
      </c>
      <c r="D1198" t="s">
        <v>104</v>
      </c>
      <c r="E1198" s="3" t="s">
        <v>3</v>
      </c>
      <c r="F1198" s="4">
        <v>3.8699999999999997E-89</v>
      </c>
      <c r="G1198" s="3">
        <v>735</v>
      </c>
      <c r="H1198" s="3">
        <v>36</v>
      </c>
      <c r="I1198" s="3">
        <v>434</v>
      </c>
      <c r="J1198" s="3">
        <v>191</v>
      </c>
      <c r="K1198" s="3">
        <v>1426</v>
      </c>
      <c r="L1198" s="3">
        <v>31</v>
      </c>
      <c r="M1198" s="3">
        <v>458</v>
      </c>
    </row>
    <row r="1199" spans="1:13" x14ac:dyDescent="0.25">
      <c r="A1199" s="1" t="str">
        <f>HYPERLINK("http://www.rosaceae.org/Prunus/Prunus_persica/p.persica_gdr_reftransV1_0008813","p.persica_gdr_reftransV1_0008813")</f>
        <v>p.persica_gdr_reftransV1_0008813</v>
      </c>
      <c r="B1199" s="3">
        <v>2504</v>
      </c>
      <c r="C1199" s="1" t="str">
        <f>HYPERLINK("http://www.uniprot.org/uniprot/NUP85_ARATH","NUP85_ARATH")</f>
        <v>NUP85_ARATH</v>
      </c>
      <c r="D1199" t="s">
        <v>1234</v>
      </c>
      <c r="E1199" s="3" t="s">
        <v>3</v>
      </c>
      <c r="F1199" s="4">
        <v>0</v>
      </c>
      <c r="G1199" s="3">
        <v>2530</v>
      </c>
      <c r="H1199" s="3">
        <v>68</v>
      </c>
      <c r="I1199" s="3">
        <v>724</v>
      </c>
      <c r="J1199" s="3">
        <v>206</v>
      </c>
      <c r="K1199" s="3">
        <v>2377</v>
      </c>
      <c r="L1199" s="3">
        <v>1</v>
      </c>
      <c r="M1199" s="3">
        <v>715</v>
      </c>
    </row>
    <row r="1200" spans="1:13" x14ac:dyDescent="0.25">
      <c r="A1200" s="1" t="str">
        <f>HYPERLINK("http://www.rosaceae.org/Prunus/Prunus_persica/p.persica_gdr_reftransV1_0008963","p.persica_gdr_reftransV1_0008963")</f>
        <v>p.persica_gdr_reftransV1_0008963</v>
      </c>
      <c r="B1200" s="3">
        <v>751</v>
      </c>
      <c r="C1200" s="1" t="str">
        <f>HYPERLINK("http://www.uniprot.org/uniprot/GEM_ARATH","GEM_ARATH")</f>
        <v>GEM_ARATH</v>
      </c>
      <c r="D1200" t="s">
        <v>1235</v>
      </c>
      <c r="E1200" s="3" t="s">
        <v>3</v>
      </c>
      <c r="F1200" s="4">
        <v>1.6899999999999999E-49</v>
      </c>
      <c r="G1200" s="3">
        <v>431</v>
      </c>
      <c r="H1200" s="3">
        <v>54</v>
      </c>
      <c r="I1200" s="3">
        <v>189</v>
      </c>
      <c r="J1200" s="3">
        <v>208</v>
      </c>
      <c r="K1200" s="3">
        <v>750</v>
      </c>
      <c r="L1200" s="3">
        <v>1</v>
      </c>
      <c r="M1200" s="3">
        <v>185</v>
      </c>
    </row>
    <row r="1201" spans="1:13" x14ac:dyDescent="0.25">
      <c r="A1201" s="1" t="str">
        <f>HYPERLINK("http://www.rosaceae.org/Prunus/Prunus_persica/p.persica_gdr_reftransV1_0009063","p.persica_gdr_reftransV1_0009063")</f>
        <v>p.persica_gdr_reftransV1_0009063</v>
      </c>
      <c r="B1201" s="3">
        <v>5878</v>
      </c>
      <c r="C1201" s="1" t="str">
        <f>HYPERLINK("http://www.uniprot.org/uniprot/BBR_ARATH","BBR_ARATH")</f>
        <v>BBR_ARATH</v>
      </c>
      <c r="D1201" t="s">
        <v>1236</v>
      </c>
      <c r="E1201" s="3" t="s">
        <v>3</v>
      </c>
      <c r="F1201" s="4">
        <v>1.41E-68</v>
      </c>
      <c r="G1201" s="3">
        <v>616</v>
      </c>
      <c r="H1201" s="3">
        <v>60</v>
      </c>
      <c r="I1201" s="3">
        <v>225</v>
      </c>
      <c r="J1201" s="3">
        <v>2703</v>
      </c>
      <c r="K1201" s="3">
        <v>3359</v>
      </c>
      <c r="L1201" s="3">
        <v>108</v>
      </c>
      <c r="M1201" s="3">
        <v>324</v>
      </c>
    </row>
    <row r="1202" spans="1:13" x14ac:dyDescent="0.25">
      <c r="A1202" s="1" t="str">
        <f>HYPERLINK("http://www.rosaceae.org/Prunus/Prunus_persica/p.persica_gdr_reftransV1_0009113","p.persica_gdr_reftransV1_0009113")</f>
        <v>p.persica_gdr_reftransV1_0009113</v>
      </c>
      <c r="B1202" s="3">
        <v>4009</v>
      </c>
      <c r="C1202" s="1" t="str">
        <f>HYPERLINK("http://www.uniprot.org/uniprot/F91A1_MOUSE","F91A1_MOUSE")</f>
        <v>F91A1_MOUSE</v>
      </c>
      <c r="D1202" t="s">
        <v>1237</v>
      </c>
      <c r="E1202" s="3" t="s">
        <v>157</v>
      </c>
      <c r="F1202" s="4">
        <v>7.3900000000000002E-76</v>
      </c>
      <c r="G1202" s="3">
        <v>701</v>
      </c>
      <c r="H1202" s="3">
        <v>37</v>
      </c>
      <c r="I1202" s="3">
        <v>453</v>
      </c>
      <c r="J1202" s="3">
        <v>2540</v>
      </c>
      <c r="K1202" s="3">
        <v>3829</v>
      </c>
      <c r="L1202" s="3">
        <v>9</v>
      </c>
      <c r="M1202" s="3">
        <v>453</v>
      </c>
    </row>
    <row r="1203" spans="1:13" x14ac:dyDescent="0.25">
      <c r="A1203" s="1" t="str">
        <f>HYPERLINK("http://www.rosaceae.org/Prunus/Prunus_persica/p.persica_gdr_reftransV1_0009313","p.persica_gdr_reftransV1_0009313")</f>
        <v>p.persica_gdr_reftransV1_0009313</v>
      </c>
      <c r="B1203" s="3">
        <v>1838</v>
      </c>
      <c r="C1203" s="1" t="str">
        <f>HYPERLINK("http://www.uniprot.org/uniprot/ASPG1_ARATH","ASPG1_ARATH")</f>
        <v>ASPG1_ARATH</v>
      </c>
      <c r="D1203" t="s">
        <v>1238</v>
      </c>
      <c r="E1203" s="3" t="s">
        <v>3</v>
      </c>
      <c r="F1203" s="4">
        <v>1.3300000000000001E-66</v>
      </c>
      <c r="G1203" s="3">
        <v>590</v>
      </c>
      <c r="H1203" s="3">
        <v>37</v>
      </c>
      <c r="I1203" s="3">
        <v>414</v>
      </c>
      <c r="J1203" s="3">
        <v>264</v>
      </c>
      <c r="K1203" s="3">
        <v>1430</v>
      </c>
      <c r="L1203" s="3">
        <v>106</v>
      </c>
      <c r="M1203" s="3">
        <v>500</v>
      </c>
    </row>
    <row r="1204" spans="1:13" x14ac:dyDescent="0.25">
      <c r="A1204" s="1" t="str">
        <f>HYPERLINK("http://www.rosaceae.org/Prunus/Prunus_persica/p.persica_gdr_reftransV1_0009413","p.persica_gdr_reftransV1_0009413")</f>
        <v>p.persica_gdr_reftransV1_0009413</v>
      </c>
      <c r="B1204" s="3">
        <v>1433</v>
      </c>
      <c r="C1204" s="1" t="str">
        <f>HYPERLINK("http://www.uniprot.org/uniprot/MAKR6_ARATH","MAKR6_ARATH")</f>
        <v>MAKR6_ARATH</v>
      </c>
      <c r="D1204" t="s">
        <v>1239</v>
      </c>
      <c r="E1204" s="3" t="s">
        <v>3</v>
      </c>
      <c r="F1204" s="4">
        <v>7.8800000000000004E-35</v>
      </c>
      <c r="G1204" s="3">
        <v>338</v>
      </c>
      <c r="H1204" s="3">
        <v>45</v>
      </c>
      <c r="I1204" s="3">
        <v>246</v>
      </c>
      <c r="J1204" s="3">
        <v>228</v>
      </c>
      <c r="K1204" s="3">
        <v>941</v>
      </c>
      <c r="L1204" s="3">
        <v>7</v>
      </c>
      <c r="M1204" s="3">
        <v>233</v>
      </c>
    </row>
    <row r="1205" spans="1:13" x14ac:dyDescent="0.25">
      <c r="A1205" s="1" t="str">
        <f>HYPERLINK("http://www.rosaceae.org/Prunus/Prunus_persica/p.persica_gdr_reftransV1_0009463","p.persica_gdr_reftransV1_0009463")</f>
        <v>p.persica_gdr_reftransV1_0009463</v>
      </c>
      <c r="B1205" s="3">
        <v>1397</v>
      </c>
      <c r="C1205" s="1" t="str">
        <f>HYPERLINK("http://www.uniprot.org/uniprot/SAP3_ARATH","SAP3_ARATH")</f>
        <v>SAP3_ARATH</v>
      </c>
      <c r="D1205" t="s">
        <v>1240</v>
      </c>
      <c r="E1205" s="3" t="s">
        <v>3</v>
      </c>
      <c r="F1205" s="4">
        <v>1.3599999999999999E-40</v>
      </c>
      <c r="G1205" s="3">
        <v>374</v>
      </c>
      <c r="H1205" s="3">
        <v>50</v>
      </c>
      <c r="I1205" s="3">
        <v>159</v>
      </c>
      <c r="J1205" s="3">
        <v>481</v>
      </c>
      <c r="K1205" s="3">
        <v>954</v>
      </c>
      <c r="L1205" s="3">
        <v>5</v>
      </c>
      <c r="M1205" s="3">
        <v>163</v>
      </c>
    </row>
    <row r="1206" spans="1:13" x14ac:dyDescent="0.25">
      <c r="A1206" s="1" t="str">
        <f>HYPERLINK("http://www.rosaceae.org/Prunus/Prunus_persica/p.persica_gdr_reftransV1_0009513","p.persica_gdr_reftransV1_0009513")</f>
        <v>p.persica_gdr_reftransV1_0009513</v>
      </c>
      <c r="B1206" s="3">
        <v>968</v>
      </c>
      <c r="C1206" s="1" t="str">
        <f>HYPERLINK("http://www.uniprot.org/uniprot/TMM97_HUMAN","TMM97_HUMAN")</f>
        <v>TMM97_HUMAN</v>
      </c>
      <c r="D1206" t="s">
        <v>1241</v>
      </c>
      <c r="E1206" s="3" t="s">
        <v>28</v>
      </c>
      <c r="F1206" s="4">
        <v>3.8300000000000002E-9</v>
      </c>
      <c r="G1206" s="3">
        <v>141</v>
      </c>
      <c r="H1206" s="3">
        <v>34</v>
      </c>
      <c r="I1206" s="3">
        <v>89</v>
      </c>
      <c r="J1206" s="3">
        <v>193</v>
      </c>
      <c r="K1206" s="3">
        <v>456</v>
      </c>
      <c r="L1206" s="3">
        <v>28</v>
      </c>
      <c r="M1206" s="3">
        <v>116</v>
      </c>
    </row>
    <row r="1207" spans="1:13" x14ac:dyDescent="0.25">
      <c r="A1207" s="1" t="str">
        <f>HYPERLINK("http://www.rosaceae.org/Prunus/Prunus_persica/p.persica_gdr_reftransV1_0009713","p.persica_gdr_reftransV1_0009713")</f>
        <v>p.persica_gdr_reftransV1_0009713</v>
      </c>
      <c r="B1207" s="3">
        <v>740</v>
      </c>
      <c r="C1207" s="1" t="str">
        <f>HYPERLINK("http://www.uniprot.org/uniprot/FBL34_ARATH","FBL34_ARATH")</f>
        <v>FBL34_ARATH</v>
      </c>
      <c r="D1207" t="s">
        <v>1242</v>
      </c>
      <c r="E1207" s="3" t="s">
        <v>3</v>
      </c>
      <c r="F1207" s="4">
        <v>4.3499999999999998E-80</v>
      </c>
      <c r="G1207" s="3">
        <v>468</v>
      </c>
      <c r="H1207" s="3">
        <v>73</v>
      </c>
      <c r="I1207" s="3">
        <v>120</v>
      </c>
      <c r="J1207" s="3">
        <v>43</v>
      </c>
      <c r="K1207" s="3">
        <v>402</v>
      </c>
      <c r="L1207" s="3">
        <v>173</v>
      </c>
      <c r="M1207" s="3">
        <v>292</v>
      </c>
    </row>
    <row r="1208" spans="1:13" x14ac:dyDescent="0.25">
      <c r="A1208" s="1" t="str">
        <f>HYPERLINK("http://www.rosaceae.org/Prunus/Prunus_persica/p.persica_gdr_reftransV1_0009863","p.persica_gdr_reftransV1_0009863")</f>
        <v>p.persica_gdr_reftransV1_0009863</v>
      </c>
      <c r="B1208" s="3">
        <v>2717</v>
      </c>
      <c r="C1208" s="1" t="str">
        <f>HYPERLINK("http://www.uniprot.org/uniprot/ASIL2_ARATH","ASIL2_ARATH")</f>
        <v>ASIL2_ARATH</v>
      </c>
      <c r="D1208" t="s">
        <v>1243</v>
      </c>
      <c r="E1208" s="3" t="s">
        <v>3</v>
      </c>
      <c r="F1208" s="4">
        <v>4.8499999999999997E-12</v>
      </c>
      <c r="G1208" s="3">
        <v>177</v>
      </c>
      <c r="H1208" s="3">
        <v>43</v>
      </c>
      <c r="I1208" s="3">
        <v>101</v>
      </c>
      <c r="J1208" s="3">
        <v>1811</v>
      </c>
      <c r="K1208" s="3">
        <v>2101</v>
      </c>
      <c r="L1208" s="3">
        <v>79</v>
      </c>
      <c r="M1208" s="3">
        <v>178</v>
      </c>
    </row>
    <row r="1209" spans="1:13" x14ac:dyDescent="0.25">
      <c r="A1209" s="1" t="str">
        <f>HYPERLINK("http://www.rosaceae.org/Prunus/Prunus_persica/p.persica_gdr_reftransV1_0009913","p.persica_gdr_reftransV1_0009913")</f>
        <v>p.persica_gdr_reftransV1_0009913</v>
      </c>
      <c r="B1209" s="3">
        <v>1951</v>
      </c>
      <c r="C1209" s="1" t="str">
        <f>HYPERLINK("http://www.uniprot.org/uniprot/PEX12_ARATH","PEX12_ARATH")</f>
        <v>PEX12_ARATH</v>
      </c>
      <c r="D1209" t="s">
        <v>1244</v>
      </c>
      <c r="E1209" s="3" t="s">
        <v>3</v>
      </c>
      <c r="F1209" s="4">
        <v>9.7800000000000004E-94</v>
      </c>
      <c r="G1209" s="3">
        <v>604</v>
      </c>
      <c r="H1209" s="3">
        <v>65</v>
      </c>
      <c r="I1209" s="3">
        <v>178</v>
      </c>
      <c r="J1209" s="3">
        <v>367</v>
      </c>
      <c r="K1209" s="3">
        <v>891</v>
      </c>
      <c r="L1209" s="3">
        <v>68</v>
      </c>
      <c r="M1209" s="3">
        <v>242</v>
      </c>
    </row>
    <row r="1210" spans="1:13" x14ac:dyDescent="0.25">
      <c r="A1210" s="1" t="str">
        <f>HYPERLINK("http://www.rosaceae.org/Prunus/Prunus_persica/p.persica_gdr_reftransV1_0010063","p.persica_gdr_reftransV1_0010063")</f>
        <v>p.persica_gdr_reftransV1_0010063</v>
      </c>
      <c r="B1210" s="3">
        <v>1691</v>
      </c>
      <c r="C1210" s="1" t="str">
        <f>HYPERLINK("http://www.uniprot.org/uniprot/FB341_ARATH","FB341_ARATH")</f>
        <v>FB341_ARATH</v>
      </c>
      <c r="D1210" t="s">
        <v>1245</v>
      </c>
      <c r="E1210" s="3" t="s">
        <v>3</v>
      </c>
      <c r="F1210" s="4">
        <v>0</v>
      </c>
      <c r="G1210" s="3">
        <v>1376</v>
      </c>
      <c r="H1210" s="3">
        <v>69</v>
      </c>
      <c r="I1210" s="3">
        <v>362</v>
      </c>
      <c r="J1210" s="3">
        <v>303</v>
      </c>
      <c r="K1210" s="3">
        <v>1379</v>
      </c>
      <c r="L1210" s="3">
        <v>1</v>
      </c>
      <c r="M1210" s="3">
        <v>358</v>
      </c>
    </row>
    <row r="1211" spans="1:13" x14ac:dyDescent="0.25">
      <c r="A1211" s="1" t="str">
        <f>HYPERLINK("http://www.rosaceae.org/Prunus/Prunus_persica/p.persica_gdr_reftransV1_0010213","p.persica_gdr_reftransV1_0010213")</f>
        <v>p.persica_gdr_reftransV1_0010213</v>
      </c>
      <c r="B1211" s="3">
        <v>5294</v>
      </c>
      <c r="C1211" s="1" t="str">
        <f>HYPERLINK("http://www.uniprot.org/uniprot/DPOE1_ARATH","DPOE1_ARATH")</f>
        <v>DPOE1_ARATH</v>
      </c>
      <c r="D1211" t="s">
        <v>1246</v>
      </c>
      <c r="E1211" s="3" t="s">
        <v>3</v>
      </c>
      <c r="F1211" s="4">
        <v>0</v>
      </c>
      <c r="G1211" s="3">
        <v>5813</v>
      </c>
      <c r="H1211" s="3">
        <v>67</v>
      </c>
      <c r="I1211" s="3">
        <v>1688</v>
      </c>
      <c r="J1211" s="3">
        <v>247</v>
      </c>
      <c r="K1211" s="3">
        <v>5292</v>
      </c>
      <c r="L1211" s="3">
        <v>529</v>
      </c>
      <c r="M1211" s="3">
        <v>2156</v>
      </c>
    </row>
    <row r="1212" spans="1:13" x14ac:dyDescent="0.25">
      <c r="A1212" s="1" t="str">
        <f>HYPERLINK("http://www.rosaceae.org/Prunus/Prunus_persica/p.persica_gdr_reftransV1_0010313","p.persica_gdr_reftransV1_0010313")</f>
        <v>p.persica_gdr_reftransV1_0010313</v>
      </c>
      <c r="B1212" s="3">
        <v>2084</v>
      </c>
      <c r="C1212" s="1" t="str">
        <f>HYPERLINK("http://www.uniprot.org/uniprot/ZFP4_ARATH","ZFP4_ARATH")</f>
        <v>ZFP4_ARATH</v>
      </c>
      <c r="D1212" t="s">
        <v>1247</v>
      </c>
      <c r="E1212" s="3" t="s">
        <v>3</v>
      </c>
      <c r="F1212" s="4">
        <v>1.34E-41</v>
      </c>
      <c r="G1212" s="3">
        <v>395</v>
      </c>
      <c r="H1212" s="3">
        <v>48</v>
      </c>
      <c r="I1212" s="3">
        <v>184</v>
      </c>
      <c r="J1212" s="3">
        <v>1301</v>
      </c>
      <c r="K1212" s="3">
        <v>1795</v>
      </c>
      <c r="L1212" s="3">
        <v>83</v>
      </c>
      <c r="M1212" s="3">
        <v>260</v>
      </c>
    </row>
    <row r="1213" spans="1:13" x14ac:dyDescent="0.25">
      <c r="A1213" s="1" t="str">
        <f>HYPERLINK("http://www.rosaceae.org/Prunus/Prunus_persica/p.persica_gdr_reftransV1_0010413","p.persica_gdr_reftransV1_0010413")</f>
        <v>p.persica_gdr_reftransV1_0010413</v>
      </c>
      <c r="B1213" s="3">
        <v>2224</v>
      </c>
      <c r="C1213" s="1" t="str">
        <f>HYPERLINK("http://www.uniprot.org/uniprot/TM87B_MOUSE","TM87B_MOUSE")</f>
        <v>TM87B_MOUSE</v>
      </c>
      <c r="D1213" t="s">
        <v>1248</v>
      </c>
      <c r="E1213" s="3" t="s">
        <v>157</v>
      </c>
      <c r="F1213" s="4">
        <v>3.5799999999999999E-45</v>
      </c>
      <c r="G1213" s="3">
        <v>440</v>
      </c>
      <c r="H1213" s="3">
        <v>34</v>
      </c>
      <c r="I1213" s="3">
        <v>264</v>
      </c>
      <c r="J1213" s="3">
        <v>845</v>
      </c>
      <c r="K1213" s="3">
        <v>1627</v>
      </c>
      <c r="L1213" s="3">
        <v>206</v>
      </c>
      <c r="M1213" s="3">
        <v>463</v>
      </c>
    </row>
    <row r="1214" spans="1:13" x14ac:dyDescent="0.25">
      <c r="A1214" s="1" t="str">
        <f>HYPERLINK("http://www.rosaceae.org/Prunus/Prunus_persica/p.persica_gdr_reftransV1_0010463","p.persica_gdr_reftransV1_0010463")</f>
        <v>p.persica_gdr_reftransV1_0010463</v>
      </c>
      <c r="B1214" s="3">
        <v>1777</v>
      </c>
      <c r="C1214" s="1" t="str">
        <f>HYPERLINK("http://www.uniprot.org/uniprot/MYB44_ARATH","MYB44_ARATH")</f>
        <v>MYB44_ARATH</v>
      </c>
      <c r="D1214" t="s">
        <v>1249</v>
      </c>
      <c r="E1214" s="3" t="s">
        <v>3</v>
      </c>
      <c r="F1214" s="4">
        <v>1.67E-68</v>
      </c>
      <c r="G1214" s="3">
        <v>587</v>
      </c>
      <c r="H1214" s="3">
        <v>66</v>
      </c>
      <c r="I1214" s="3">
        <v>182</v>
      </c>
      <c r="J1214" s="3">
        <v>1045</v>
      </c>
      <c r="K1214" s="3">
        <v>1587</v>
      </c>
      <c r="L1214" s="3">
        <v>1</v>
      </c>
      <c r="M1214" s="3">
        <v>182</v>
      </c>
    </row>
    <row r="1215" spans="1:13" x14ac:dyDescent="0.25">
      <c r="A1215" s="1" t="str">
        <f>HYPERLINK("http://www.rosaceae.org/Prunus/Prunus_persica/p.persica_gdr_reftransV1_0010613","p.persica_gdr_reftransV1_0010613")</f>
        <v>p.persica_gdr_reftransV1_0010613</v>
      </c>
      <c r="B1215" s="3">
        <v>2535</v>
      </c>
      <c r="C1215" s="1" t="str">
        <f>HYPERLINK("http://www.uniprot.org/uniprot/PHRF1_HUMAN","PHRF1_HUMAN")</f>
        <v>PHRF1_HUMAN</v>
      </c>
      <c r="D1215" t="s">
        <v>1250</v>
      </c>
      <c r="E1215" s="3" t="s">
        <v>28</v>
      </c>
      <c r="F1215" s="4">
        <v>1.2699999999999999E-15</v>
      </c>
      <c r="G1215" s="3">
        <v>211</v>
      </c>
      <c r="H1215" s="3">
        <v>34</v>
      </c>
      <c r="I1215" s="3">
        <v>143</v>
      </c>
      <c r="J1215" s="3">
        <v>102</v>
      </c>
      <c r="K1215" s="3">
        <v>506</v>
      </c>
      <c r="L1215" s="3">
        <v>94</v>
      </c>
      <c r="M1215" s="3">
        <v>232</v>
      </c>
    </row>
    <row r="1216" spans="1:13" x14ac:dyDescent="0.25">
      <c r="A1216" s="1" t="str">
        <f>HYPERLINK("http://www.rosaceae.org/Prunus/Prunus_persica/p.persica_gdr_reftransV1_0010763","p.persica_gdr_reftransV1_0010763")</f>
        <v>p.persica_gdr_reftransV1_0010763</v>
      </c>
      <c r="B1216" s="3">
        <v>4080</v>
      </c>
      <c r="C1216" s="1" t="str">
        <f>HYPERLINK("http://www.uniprot.org/uniprot/AGO10_ARATH","AGO10_ARATH")</f>
        <v>AGO10_ARATH</v>
      </c>
      <c r="D1216" t="s">
        <v>1251</v>
      </c>
      <c r="E1216" s="3" t="s">
        <v>3</v>
      </c>
      <c r="F1216" s="4">
        <v>0</v>
      </c>
      <c r="G1216" s="3">
        <v>2588</v>
      </c>
      <c r="H1216" s="3">
        <v>92</v>
      </c>
      <c r="I1216" s="3">
        <v>505</v>
      </c>
      <c r="J1216" s="3">
        <v>2238</v>
      </c>
      <c r="K1216" s="3">
        <v>3749</v>
      </c>
      <c r="L1216" s="3">
        <v>484</v>
      </c>
      <c r="M1216" s="3">
        <v>988</v>
      </c>
    </row>
    <row r="1217" spans="1:13" x14ac:dyDescent="0.25">
      <c r="A1217" s="1" t="str">
        <f>HYPERLINK("http://www.rosaceae.org/Prunus/Prunus_persica/p.persica_gdr_reftransV1_0010813","p.persica_gdr_reftransV1_0010813")</f>
        <v>p.persica_gdr_reftransV1_0010813</v>
      </c>
      <c r="B1217" s="3">
        <v>1594</v>
      </c>
      <c r="C1217" s="1" t="str">
        <f>HYPERLINK("http://www.uniprot.org/uniprot/APG3_ARATH","APG3_ARATH")</f>
        <v>APG3_ARATH</v>
      </c>
      <c r="D1217" t="s">
        <v>1252</v>
      </c>
      <c r="E1217" s="3" t="s">
        <v>3</v>
      </c>
      <c r="F1217" s="4">
        <v>0</v>
      </c>
      <c r="G1217" s="3">
        <v>1514</v>
      </c>
      <c r="H1217" s="3">
        <v>79</v>
      </c>
      <c r="I1217" s="3">
        <v>371</v>
      </c>
      <c r="J1217" s="3">
        <v>199</v>
      </c>
      <c r="K1217" s="3">
        <v>1311</v>
      </c>
      <c r="L1217" s="3">
        <v>49</v>
      </c>
      <c r="M1217" s="3">
        <v>419</v>
      </c>
    </row>
    <row r="1218" spans="1:13" x14ac:dyDescent="0.25">
      <c r="A1218" s="1" t="str">
        <f>HYPERLINK("http://www.rosaceae.org/Prunus/Prunus_persica/p.persica_gdr_reftransV1_0011013","p.persica_gdr_reftransV1_0011013")</f>
        <v>p.persica_gdr_reftransV1_0011013</v>
      </c>
      <c r="B1218" s="3">
        <v>1729</v>
      </c>
      <c r="C1218" s="1" t="str">
        <f>HYPERLINK("http://www.uniprot.org/uniprot/POLX_TOBAC","POLX_TOBAC")</f>
        <v>POLX_TOBAC</v>
      </c>
      <c r="D1218" t="s">
        <v>1253</v>
      </c>
      <c r="E1218" s="3" t="s">
        <v>200</v>
      </c>
      <c r="F1218" s="4">
        <v>6.89E-20</v>
      </c>
      <c r="G1218" s="3">
        <v>243</v>
      </c>
      <c r="H1218" s="3">
        <v>25</v>
      </c>
      <c r="I1218" s="3">
        <v>361</v>
      </c>
      <c r="J1218" s="3">
        <v>6</v>
      </c>
      <c r="K1218" s="3">
        <v>1052</v>
      </c>
      <c r="L1218" s="3">
        <v>209</v>
      </c>
      <c r="M1218" s="3">
        <v>533</v>
      </c>
    </row>
    <row r="1219" spans="1:13" x14ac:dyDescent="0.25">
      <c r="A1219" s="1" t="str">
        <f>HYPERLINK("http://www.rosaceae.org/Prunus/Prunus_persica/p.persica_gdr_reftransV1_0011113","p.persica_gdr_reftransV1_0011113")</f>
        <v>p.persica_gdr_reftransV1_0011113</v>
      </c>
      <c r="B1219" s="3">
        <v>1672</v>
      </c>
      <c r="C1219" s="1" t="str">
        <f>HYPERLINK("http://www.uniprot.org/uniprot/ZCIS_ARATH","ZCIS_ARATH")</f>
        <v>ZCIS_ARATH</v>
      </c>
      <c r="D1219" t="s">
        <v>1254</v>
      </c>
      <c r="E1219" s="3" t="s">
        <v>3</v>
      </c>
      <c r="F1219" s="4">
        <v>4.34E-132</v>
      </c>
      <c r="G1219" s="3">
        <v>753</v>
      </c>
      <c r="H1219" s="3">
        <v>78</v>
      </c>
      <c r="I1219" s="3">
        <v>179</v>
      </c>
      <c r="J1219" s="3">
        <v>562</v>
      </c>
      <c r="K1219" s="3">
        <v>1098</v>
      </c>
      <c r="L1219" s="3">
        <v>78</v>
      </c>
      <c r="M1219" s="3">
        <v>256</v>
      </c>
    </row>
    <row r="1220" spans="1:13" x14ac:dyDescent="0.25">
      <c r="A1220" s="1" t="str">
        <f>HYPERLINK("http://www.rosaceae.org/Prunus/Prunus_persica/p.persica_gdr_reftransV1_0011163","p.persica_gdr_reftransV1_0011163")</f>
        <v>p.persica_gdr_reftransV1_0011163</v>
      </c>
      <c r="B1220" s="3">
        <v>2974</v>
      </c>
      <c r="C1220" s="1" t="str">
        <f>HYPERLINK("http://www.uniprot.org/uniprot/Y4885_ARATH","Y4885_ARATH")</f>
        <v>Y4885_ARATH</v>
      </c>
      <c r="D1220" t="s">
        <v>468</v>
      </c>
      <c r="E1220" s="3" t="s">
        <v>3</v>
      </c>
      <c r="F1220" s="4">
        <v>0</v>
      </c>
      <c r="G1220" s="3">
        <v>1673</v>
      </c>
      <c r="H1220" s="3">
        <v>45</v>
      </c>
      <c r="I1220" s="3">
        <v>818</v>
      </c>
      <c r="J1220" s="3">
        <v>236</v>
      </c>
      <c r="K1220" s="3">
        <v>2641</v>
      </c>
      <c r="L1220" s="3">
        <v>228</v>
      </c>
      <c r="M1220" s="3">
        <v>1041</v>
      </c>
    </row>
    <row r="1221" spans="1:13" x14ac:dyDescent="0.25">
      <c r="A1221" s="1" t="str">
        <f>HYPERLINK("http://www.rosaceae.org/Prunus/Prunus_persica/p.persica_gdr_reftransV1_0011213","p.persica_gdr_reftransV1_0011213")</f>
        <v>p.persica_gdr_reftransV1_0011213</v>
      </c>
      <c r="B1221" s="3">
        <v>1348</v>
      </c>
      <c r="C1221" s="1" t="str">
        <f>HYPERLINK("http://www.uniprot.org/uniprot/HSP72_SOLLC","HSP72_SOLLC")</f>
        <v>HSP72_SOLLC</v>
      </c>
      <c r="D1221" t="s">
        <v>1255</v>
      </c>
      <c r="E1221" s="3" t="s">
        <v>64</v>
      </c>
      <c r="F1221" s="4">
        <v>0</v>
      </c>
      <c r="G1221" s="3">
        <v>2169</v>
      </c>
      <c r="H1221" s="3">
        <v>96</v>
      </c>
      <c r="I1221" s="3">
        <v>449</v>
      </c>
      <c r="J1221" s="3">
        <v>1</v>
      </c>
      <c r="K1221" s="3">
        <v>1347</v>
      </c>
      <c r="L1221" s="3">
        <v>60</v>
      </c>
      <c r="M1221" s="3">
        <v>508</v>
      </c>
    </row>
    <row r="1222" spans="1:13" x14ac:dyDescent="0.25">
      <c r="A1222" s="1" t="str">
        <f>HYPERLINK("http://www.rosaceae.org/Prunus/Prunus_persica/p.persica_gdr_reftransV1_0011263","p.persica_gdr_reftransV1_0011263")</f>
        <v>p.persica_gdr_reftransV1_0011263</v>
      </c>
      <c r="B1222" s="3">
        <v>816</v>
      </c>
      <c r="C1222" s="1" t="str">
        <f>HYPERLINK("http://www.uniprot.org/uniprot/AMRA1_HUMAN","AMRA1_HUMAN")</f>
        <v>AMRA1_HUMAN</v>
      </c>
      <c r="D1222" t="s">
        <v>48</v>
      </c>
      <c r="E1222" s="3" t="s">
        <v>28</v>
      </c>
      <c r="F1222" s="4">
        <v>6.1699999999999997E-19</v>
      </c>
      <c r="G1222" s="3">
        <v>225</v>
      </c>
      <c r="H1222" s="3">
        <v>55</v>
      </c>
      <c r="I1222" s="3">
        <v>82</v>
      </c>
      <c r="J1222" s="3">
        <v>28</v>
      </c>
      <c r="K1222" s="3">
        <v>273</v>
      </c>
      <c r="L1222" s="3">
        <v>44</v>
      </c>
      <c r="M1222" s="3">
        <v>125</v>
      </c>
    </row>
    <row r="1223" spans="1:13" x14ac:dyDescent="0.25">
      <c r="A1223" s="1" t="str">
        <f>HYPERLINK("http://www.rosaceae.org/Prunus/Prunus_persica/p.persica_gdr_reftransV1_0011363","p.persica_gdr_reftransV1_0011363")</f>
        <v>p.persica_gdr_reftransV1_0011363</v>
      </c>
      <c r="B1223" s="3">
        <v>1571</v>
      </c>
      <c r="C1223" s="1" t="str">
        <f>HYPERLINK("http://www.uniprot.org/uniprot/PAPS2_ARATH","PAPS2_ARATH")</f>
        <v>PAPS2_ARATH</v>
      </c>
      <c r="D1223" t="s">
        <v>1256</v>
      </c>
      <c r="E1223" s="3" t="s">
        <v>3</v>
      </c>
      <c r="F1223" s="4">
        <v>2.9100000000000002E-36</v>
      </c>
      <c r="G1223" s="3">
        <v>371</v>
      </c>
      <c r="H1223" s="3">
        <v>62</v>
      </c>
      <c r="I1223" s="3">
        <v>120</v>
      </c>
      <c r="J1223" s="3">
        <v>735</v>
      </c>
      <c r="K1223" s="3">
        <v>1088</v>
      </c>
      <c r="L1223" s="3">
        <v>21</v>
      </c>
      <c r="M1223" s="3">
        <v>135</v>
      </c>
    </row>
    <row r="1224" spans="1:13" x14ac:dyDescent="0.25">
      <c r="A1224" s="1" t="str">
        <f>HYPERLINK("http://www.rosaceae.org/Prunus/Prunus_persica/p.persica_gdr_reftransV1_0011413","p.persica_gdr_reftransV1_0011413")</f>
        <v>p.persica_gdr_reftransV1_0011413</v>
      </c>
      <c r="B1224" s="3">
        <v>1940</v>
      </c>
      <c r="C1224" s="1" t="str">
        <f>HYPERLINK("http://www.uniprot.org/uniprot/FBK77_ARATH","FBK77_ARATH")</f>
        <v>FBK77_ARATH</v>
      </c>
      <c r="D1224" t="s">
        <v>1257</v>
      </c>
      <c r="E1224" s="3" t="s">
        <v>3</v>
      </c>
      <c r="F1224" s="4">
        <v>0</v>
      </c>
      <c r="G1224" s="3">
        <v>1467</v>
      </c>
      <c r="H1224" s="3">
        <v>67</v>
      </c>
      <c r="I1224" s="3">
        <v>415</v>
      </c>
      <c r="J1224" s="3">
        <v>272</v>
      </c>
      <c r="K1224" s="3">
        <v>1486</v>
      </c>
      <c r="L1224" s="3">
        <v>1</v>
      </c>
      <c r="M1224" s="3">
        <v>411</v>
      </c>
    </row>
    <row r="1225" spans="1:13" x14ac:dyDescent="0.25">
      <c r="A1225" s="1" t="str">
        <f>HYPERLINK("http://www.rosaceae.org/Prunus/Prunus_persica/p.persica_gdr_reftransV1_0011513","p.persica_gdr_reftransV1_0011513")</f>
        <v>p.persica_gdr_reftransV1_0011513</v>
      </c>
      <c r="B1225" s="3">
        <v>1542</v>
      </c>
      <c r="C1225" s="1" t="str">
        <f>HYPERLINK("http://www.uniprot.org/uniprot/CYSK_CITLA","CYSK_CITLA")</f>
        <v>CYSK_CITLA</v>
      </c>
      <c r="D1225" t="s">
        <v>1258</v>
      </c>
      <c r="E1225" s="3" t="s">
        <v>1259</v>
      </c>
      <c r="F1225" s="4">
        <v>0</v>
      </c>
      <c r="G1225" s="3">
        <v>1398</v>
      </c>
      <c r="H1225" s="3">
        <v>89</v>
      </c>
      <c r="I1225" s="3">
        <v>325</v>
      </c>
      <c r="J1225" s="3">
        <v>329</v>
      </c>
      <c r="K1225" s="3">
        <v>1303</v>
      </c>
      <c r="L1225" s="3">
        <v>1</v>
      </c>
      <c r="M1225" s="3">
        <v>325</v>
      </c>
    </row>
    <row r="1226" spans="1:13" x14ac:dyDescent="0.25">
      <c r="A1226" s="1" t="str">
        <f>HYPERLINK("http://www.rosaceae.org/Prunus/Prunus_persica/p.persica_gdr_reftransV1_0011763","p.persica_gdr_reftransV1_0011763")</f>
        <v>p.persica_gdr_reftransV1_0011763</v>
      </c>
      <c r="B1226" s="3">
        <v>937</v>
      </c>
      <c r="C1226" s="1" t="str">
        <f>HYPERLINK("http://www.uniprot.org/uniprot/PK1IP_DANRE","PK1IP_DANRE")</f>
        <v>PK1IP_DANRE</v>
      </c>
      <c r="D1226" t="s">
        <v>1260</v>
      </c>
      <c r="E1226" s="3" t="s">
        <v>704</v>
      </c>
      <c r="F1226" s="4">
        <v>6.2200000000000001E-15</v>
      </c>
      <c r="G1226" s="3">
        <v>191</v>
      </c>
      <c r="H1226" s="3">
        <v>33</v>
      </c>
      <c r="I1226" s="3">
        <v>132</v>
      </c>
      <c r="J1226" s="3">
        <v>2</v>
      </c>
      <c r="K1226" s="3">
        <v>397</v>
      </c>
      <c r="L1226" s="3">
        <v>181</v>
      </c>
      <c r="M1226" s="3">
        <v>304</v>
      </c>
    </row>
    <row r="1227" spans="1:13" x14ac:dyDescent="0.25">
      <c r="A1227" s="1" t="str">
        <f>HYPERLINK("http://www.rosaceae.org/Prunus/Prunus_persica/p.persica_gdr_reftransV1_0011913","p.persica_gdr_reftransV1_0011913")</f>
        <v>p.persica_gdr_reftransV1_0011913</v>
      </c>
      <c r="B1227" s="3">
        <v>1074</v>
      </c>
      <c r="C1227" s="1" t="str">
        <f>HYPERLINK("http://www.uniprot.org/uniprot/MMGT_ARATH","MMGT_ARATH")</f>
        <v>MMGT_ARATH</v>
      </c>
      <c r="D1227" t="s">
        <v>1261</v>
      </c>
      <c r="E1227" s="3" t="s">
        <v>3</v>
      </c>
      <c r="F1227" s="4">
        <v>9.4100000000000003E-35</v>
      </c>
      <c r="G1227" s="3">
        <v>323</v>
      </c>
      <c r="H1227" s="3">
        <v>72</v>
      </c>
      <c r="I1227" s="3">
        <v>104</v>
      </c>
      <c r="J1227" s="3">
        <v>622</v>
      </c>
      <c r="K1227" s="3">
        <v>933</v>
      </c>
      <c r="L1227" s="3">
        <v>1</v>
      </c>
      <c r="M1227" s="3">
        <v>104</v>
      </c>
    </row>
    <row r="1228" spans="1:13" x14ac:dyDescent="0.25">
      <c r="A1228" s="1" t="str">
        <f>HYPERLINK("http://www.rosaceae.org/Prunus/Prunus_persica/p.persica_gdr_reftransV1_0012063","p.persica_gdr_reftransV1_0012063")</f>
        <v>p.persica_gdr_reftransV1_0012063</v>
      </c>
      <c r="B1228" s="3">
        <v>1725</v>
      </c>
      <c r="C1228" s="1" t="str">
        <f>HYPERLINK("http://www.uniprot.org/uniprot/CRTSO_DAUCA","CRTSO_DAUCA")</f>
        <v>CRTSO_DAUCA</v>
      </c>
      <c r="D1228" t="s">
        <v>1262</v>
      </c>
      <c r="E1228" s="3" t="s">
        <v>32</v>
      </c>
      <c r="F1228" s="4">
        <v>3.4799999999999998E-41</v>
      </c>
      <c r="G1228" s="3">
        <v>407</v>
      </c>
      <c r="H1228" s="3">
        <v>37</v>
      </c>
      <c r="I1228" s="3">
        <v>302</v>
      </c>
      <c r="J1228" s="3">
        <v>698</v>
      </c>
      <c r="K1228" s="3">
        <v>1579</v>
      </c>
      <c r="L1228" s="3">
        <v>318</v>
      </c>
      <c r="M1228" s="3">
        <v>612</v>
      </c>
    </row>
    <row r="1229" spans="1:13" x14ac:dyDescent="0.25">
      <c r="A1229" s="1" t="str">
        <f>HYPERLINK("http://www.rosaceae.org/Prunus/Prunus_persica/p.persica_gdr_reftransV1_0012413","p.persica_gdr_reftransV1_0012413")</f>
        <v>p.persica_gdr_reftransV1_0012413</v>
      </c>
      <c r="B1229" s="3">
        <v>3141</v>
      </c>
      <c r="C1229" s="1" t="str">
        <f>HYPERLINK("http://www.uniprot.org/uniprot/P2C39_ARATH","P2C39_ARATH")</f>
        <v>P2C39_ARATH</v>
      </c>
      <c r="D1229" t="s">
        <v>1263</v>
      </c>
      <c r="E1229" s="3" t="s">
        <v>3</v>
      </c>
      <c r="F1229" s="4">
        <v>5.3099999999999998E-49</v>
      </c>
      <c r="G1229" s="3">
        <v>259</v>
      </c>
      <c r="H1229" s="3">
        <v>51</v>
      </c>
      <c r="I1229" s="3">
        <v>106</v>
      </c>
      <c r="J1229" s="3">
        <v>344</v>
      </c>
      <c r="K1229" s="3">
        <v>655</v>
      </c>
      <c r="L1229" s="3">
        <v>40</v>
      </c>
      <c r="M1229" s="3">
        <v>139</v>
      </c>
    </row>
    <row r="1230" spans="1:13" x14ac:dyDescent="0.25">
      <c r="A1230" s="1" t="str">
        <f>HYPERLINK("http://www.rosaceae.org/Prunus/Prunus_persica/p.persica_gdr_reftransV1_0012463","p.persica_gdr_reftransV1_0012463")</f>
        <v>p.persica_gdr_reftransV1_0012463</v>
      </c>
      <c r="B1230" s="3">
        <v>1287</v>
      </c>
      <c r="C1230" s="1" t="str">
        <f>HYPERLINK("http://www.uniprot.org/uniprot/BH149_ARATH","BH149_ARATH")</f>
        <v>BH149_ARATH</v>
      </c>
      <c r="D1230" t="s">
        <v>1264</v>
      </c>
      <c r="E1230" s="3" t="s">
        <v>3</v>
      </c>
      <c r="F1230" s="4">
        <v>1.45E-25</v>
      </c>
      <c r="G1230" s="3">
        <v>267</v>
      </c>
      <c r="H1230" s="3">
        <v>51</v>
      </c>
      <c r="I1230" s="3">
        <v>176</v>
      </c>
      <c r="J1230" s="3">
        <v>369</v>
      </c>
      <c r="K1230" s="3">
        <v>866</v>
      </c>
      <c r="L1230" s="3">
        <v>14</v>
      </c>
      <c r="M1230" s="3">
        <v>188</v>
      </c>
    </row>
    <row r="1231" spans="1:13" x14ac:dyDescent="0.25">
      <c r="A1231" s="1" t="str">
        <f>HYPERLINK("http://www.rosaceae.org/Prunus/Prunus_persica/p.persica_gdr_reftransV1_0012613","p.persica_gdr_reftransV1_0012613")</f>
        <v>p.persica_gdr_reftransV1_0012613</v>
      </c>
      <c r="B1231" s="3">
        <v>1358</v>
      </c>
      <c r="C1231" s="1" t="str">
        <f>HYPERLINK("http://www.uniprot.org/uniprot/TATD1_XENLA","TATD1_XENLA")</f>
        <v>TATD1_XENLA</v>
      </c>
      <c r="D1231" t="s">
        <v>1265</v>
      </c>
      <c r="E1231" s="3" t="s">
        <v>475</v>
      </c>
      <c r="F1231" s="4">
        <v>7.4400000000000003E-94</v>
      </c>
      <c r="G1231" s="3">
        <v>747</v>
      </c>
      <c r="H1231" s="3">
        <v>56</v>
      </c>
      <c r="I1231" s="3">
        <v>254</v>
      </c>
      <c r="J1231" s="3">
        <v>316</v>
      </c>
      <c r="K1231" s="3">
        <v>1077</v>
      </c>
      <c r="L1231" s="3">
        <v>49</v>
      </c>
      <c r="M1231" s="3">
        <v>295</v>
      </c>
    </row>
    <row r="1232" spans="1:13" x14ac:dyDescent="0.25">
      <c r="A1232" s="1" t="str">
        <f>HYPERLINK("http://www.rosaceae.org/Prunus/Prunus_persica/p.persica_gdr_reftransV1_0013063","p.persica_gdr_reftransV1_0013063")</f>
        <v>p.persica_gdr_reftransV1_0013063</v>
      </c>
      <c r="B1232" s="3">
        <v>4961</v>
      </c>
      <c r="C1232" s="1" t="str">
        <f>HYPERLINK("http://www.uniprot.org/uniprot/CLASP_ARATH","CLASP_ARATH")</f>
        <v>CLASP_ARATH</v>
      </c>
      <c r="D1232" t="s">
        <v>1266</v>
      </c>
      <c r="E1232" s="3" t="s">
        <v>3</v>
      </c>
      <c r="F1232" s="4">
        <v>0</v>
      </c>
      <c r="G1232" s="3">
        <v>5462</v>
      </c>
      <c r="H1232" s="3">
        <v>77</v>
      </c>
      <c r="I1232" s="3">
        <v>1449</v>
      </c>
      <c r="J1232" s="3">
        <v>320</v>
      </c>
      <c r="K1232" s="3">
        <v>4645</v>
      </c>
      <c r="L1232" s="3">
        <v>1</v>
      </c>
      <c r="M1232" s="3">
        <v>1438</v>
      </c>
    </row>
    <row r="1233" spans="1:13" x14ac:dyDescent="0.25">
      <c r="A1233" s="1" t="str">
        <f>HYPERLINK("http://www.rosaceae.org/Prunus/Prunus_persica/p.persica_gdr_reftransV1_0013213","p.persica_gdr_reftransV1_0013213")</f>
        <v>p.persica_gdr_reftransV1_0013213</v>
      </c>
      <c r="B1233" s="3">
        <v>1464</v>
      </c>
      <c r="C1233" s="1" t="str">
        <f>HYPERLINK("http://www.uniprot.org/uniprot/ZHD11_ARATH","ZHD11_ARATH")</f>
        <v>ZHD11_ARATH</v>
      </c>
      <c r="D1233" t="s">
        <v>1267</v>
      </c>
      <c r="E1233" s="3" t="s">
        <v>3</v>
      </c>
      <c r="F1233" s="4">
        <v>1.4699999999999999E-53</v>
      </c>
      <c r="G1233" s="3">
        <v>472</v>
      </c>
      <c r="H1233" s="3">
        <v>47</v>
      </c>
      <c r="I1233" s="3">
        <v>216</v>
      </c>
      <c r="J1233" s="3">
        <v>366</v>
      </c>
      <c r="K1233" s="3">
        <v>1004</v>
      </c>
      <c r="L1233" s="3">
        <v>27</v>
      </c>
      <c r="M1233" s="3">
        <v>215</v>
      </c>
    </row>
    <row r="1234" spans="1:13" x14ac:dyDescent="0.25">
      <c r="A1234" s="1" t="str">
        <f>HYPERLINK("http://www.rosaceae.org/Prunus/Prunus_persica/p.persica_gdr_reftransV1_0013313","p.persica_gdr_reftransV1_0013313")</f>
        <v>p.persica_gdr_reftransV1_0013313</v>
      </c>
      <c r="B1234" s="3">
        <v>1179</v>
      </c>
      <c r="C1234" s="1" t="str">
        <f>HYPERLINK("http://www.uniprot.org/uniprot/APC10_ARATH","APC10_ARATH")</f>
        <v>APC10_ARATH</v>
      </c>
      <c r="D1234" t="s">
        <v>1268</v>
      </c>
      <c r="E1234" s="3" t="s">
        <v>3</v>
      </c>
      <c r="F1234" s="4">
        <v>1.34E-78</v>
      </c>
      <c r="G1234" s="3">
        <v>563</v>
      </c>
      <c r="H1234" s="3">
        <v>87</v>
      </c>
      <c r="I1234" s="3">
        <v>133</v>
      </c>
      <c r="J1234" s="3">
        <v>270</v>
      </c>
      <c r="K1234" s="3">
        <v>668</v>
      </c>
      <c r="L1234" s="3">
        <v>60</v>
      </c>
      <c r="M1234" s="3">
        <v>192</v>
      </c>
    </row>
    <row r="1235" spans="1:13" x14ac:dyDescent="0.25">
      <c r="A1235" s="1" t="str">
        <f>HYPERLINK("http://www.rosaceae.org/Prunus/Prunus_persica/p.persica_gdr_reftransV1_0013363","p.persica_gdr_reftransV1_0013363")</f>
        <v>p.persica_gdr_reftransV1_0013363</v>
      </c>
      <c r="B1235" s="3">
        <v>3373</v>
      </c>
      <c r="C1235" s="1" t="str">
        <f>HYPERLINK("http://www.uniprot.org/uniprot/WDR44_BOVIN","WDR44_BOVIN")</f>
        <v>WDR44_BOVIN</v>
      </c>
      <c r="D1235" t="s">
        <v>1269</v>
      </c>
      <c r="E1235" s="3" t="s">
        <v>184</v>
      </c>
      <c r="F1235" s="4">
        <v>8.3699999999999994E-52</v>
      </c>
      <c r="G1235" s="3">
        <v>511</v>
      </c>
      <c r="H1235" s="3">
        <v>38</v>
      </c>
      <c r="I1235" s="3">
        <v>381</v>
      </c>
      <c r="J1235" s="3">
        <v>808</v>
      </c>
      <c r="K1235" s="3">
        <v>1905</v>
      </c>
      <c r="L1235" s="3">
        <v>509</v>
      </c>
      <c r="M1235" s="3">
        <v>866</v>
      </c>
    </row>
    <row r="1236" spans="1:13" x14ac:dyDescent="0.25">
      <c r="A1236" s="1" t="str">
        <f>HYPERLINK("http://www.rosaceae.org/Prunus/Prunus_persica/p.persica_gdr_reftransV1_0013463","p.persica_gdr_reftransV1_0013463")</f>
        <v>p.persica_gdr_reftransV1_0013463</v>
      </c>
      <c r="B1236" s="3">
        <v>607</v>
      </c>
      <c r="C1236" s="1" t="str">
        <f>HYPERLINK("http://www.uniprot.org/uniprot/LOR12_ARATH","LOR12_ARATH")</f>
        <v>LOR12_ARATH</v>
      </c>
      <c r="D1236" t="s">
        <v>1270</v>
      </c>
      <c r="E1236" s="3" t="s">
        <v>3</v>
      </c>
      <c r="F1236" s="4">
        <v>1.4699999999999999E-39</v>
      </c>
      <c r="G1236" s="3">
        <v>354</v>
      </c>
      <c r="H1236" s="3">
        <v>63</v>
      </c>
      <c r="I1236" s="3">
        <v>96</v>
      </c>
      <c r="J1236" s="3">
        <v>3</v>
      </c>
      <c r="K1236" s="3">
        <v>290</v>
      </c>
      <c r="L1236" s="3">
        <v>14</v>
      </c>
      <c r="M1236" s="3">
        <v>109</v>
      </c>
    </row>
    <row r="1237" spans="1:13" x14ac:dyDescent="0.25">
      <c r="A1237" s="1" t="str">
        <f>HYPERLINK("http://www.rosaceae.org/Prunus/Prunus_persica/p.persica_gdr_reftransV1_0013763","p.persica_gdr_reftransV1_0013763")</f>
        <v>p.persica_gdr_reftransV1_0013763</v>
      </c>
      <c r="B1237" s="3">
        <v>1018</v>
      </c>
      <c r="C1237" s="1" t="str">
        <f>HYPERLINK("http://www.uniprot.org/uniprot/TI10B_ARATH","TI10B_ARATH")</f>
        <v>TI10B_ARATH</v>
      </c>
      <c r="D1237" t="s">
        <v>1271</v>
      </c>
      <c r="E1237" s="3" t="s">
        <v>3</v>
      </c>
      <c r="F1237" s="4">
        <v>2.6699999999999998E-27</v>
      </c>
      <c r="G1237" s="3">
        <v>280</v>
      </c>
      <c r="H1237" s="3">
        <v>34</v>
      </c>
      <c r="I1237" s="3">
        <v>233</v>
      </c>
      <c r="J1237" s="3">
        <v>107</v>
      </c>
      <c r="K1237" s="3">
        <v>670</v>
      </c>
      <c r="L1237" s="3">
        <v>13</v>
      </c>
      <c r="M1237" s="3">
        <v>239</v>
      </c>
    </row>
    <row r="1238" spans="1:13" x14ac:dyDescent="0.25">
      <c r="A1238" s="1" t="str">
        <f>HYPERLINK("http://www.rosaceae.org/Prunus/Prunus_persica/p.persica_gdr_reftransV1_0013863","p.persica_gdr_reftransV1_0013863")</f>
        <v>p.persica_gdr_reftransV1_0013863</v>
      </c>
      <c r="B1238" s="3">
        <v>2491</v>
      </c>
      <c r="C1238" s="1" t="str">
        <f>HYPERLINK("http://www.uniprot.org/uniprot/GPAA1_MOUSE","GPAA1_MOUSE")</f>
        <v>GPAA1_MOUSE</v>
      </c>
      <c r="D1238" t="s">
        <v>1272</v>
      </c>
      <c r="E1238" s="3" t="s">
        <v>157</v>
      </c>
      <c r="F1238" s="4">
        <v>2.3600000000000001E-30</v>
      </c>
      <c r="G1238" s="3">
        <v>329</v>
      </c>
      <c r="H1238" s="3">
        <v>27</v>
      </c>
      <c r="I1238" s="3">
        <v>586</v>
      </c>
      <c r="J1238" s="3">
        <v>373</v>
      </c>
      <c r="K1238" s="3">
        <v>2115</v>
      </c>
      <c r="L1238" s="3">
        <v>46</v>
      </c>
      <c r="M1238" s="3">
        <v>537</v>
      </c>
    </row>
    <row r="1239" spans="1:13" x14ac:dyDescent="0.25">
      <c r="A1239" s="1" t="str">
        <f>HYPERLINK("http://www.rosaceae.org/Prunus/Prunus_persica/p.persica_gdr_reftransV1_0013913","p.persica_gdr_reftransV1_0013913")</f>
        <v>p.persica_gdr_reftransV1_0013913</v>
      </c>
      <c r="B1239" s="3">
        <v>1181</v>
      </c>
      <c r="C1239" s="1" t="str">
        <f>HYPERLINK("http://www.uniprot.org/uniprot/CD029_MOUSE","CD029_MOUSE")</f>
        <v>CD029_MOUSE</v>
      </c>
      <c r="D1239" t="s">
        <v>1273</v>
      </c>
      <c r="E1239" s="3" t="s">
        <v>157</v>
      </c>
      <c r="F1239" s="4">
        <v>8.4900000000000004E-29</v>
      </c>
      <c r="G1239" s="3">
        <v>301</v>
      </c>
      <c r="H1239" s="3">
        <v>35</v>
      </c>
      <c r="I1239" s="3">
        <v>232</v>
      </c>
      <c r="J1239" s="3">
        <v>3</v>
      </c>
      <c r="K1239" s="3">
        <v>677</v>
      </c>
      <c r="L1239" s="3">
        <v>8</v>
      </c>
      <c r="M1239" s="3">
        <v>234</v>
      </c>
    </row>
    <row r="1240" spans="1:13" x14ac:dyDescent="0.25">
      <c r="A1240" s="1" t="str">
        <f>HYPERLINK("http://www.rosaceae.org/Prunus/Prunus_persica/p.persica_gdr_reftransV1_0013963","p.persica_gdr_reftransV1_0013963")</f>
        <v>p.persica_gdr_reftransV1_0013963</v>
      </c>
      <c r="B1240" s="3">
        <v>3260</v>
      </c>
      <c r="C1240" s="1" t="str">
        <f>HYPERLINK("http://www.uniprot.org/uniprot/ALFIN_MEDSA","ALFIN_MEDSA")</f>
        <v>ALFIN_MEDSA</v>
      </c>
      <c r="D1240" t="s">
        <v>1274</v>
      </c>
      <c r="E1240" s="3" t="s">
        <v>515</v>
      </c>
      <c r="F1240" s="4">
        <v>4.0200000000000001E-25</v>
      </c>
      <c r="G1240" s="3">
        <v>277</v>
      </c>
      <c r="H1240" s="3">
        <v>64</v>
      </c>
      <c r="I1240" s="3">
        <v>109</v>
      </c>
      <c r="J1240" s="3">
        <v>2</v>
      </c>
      <c r="K1240" s="3">
        <v>322</v>
      </c>
      <c r="L1240" s="3">
        <v>114</v>
      </c>
      <c r="M1240" s="3">
        <v>222</v>
      </c>
    </row>
    <row r="1241" spans="1:13" x14ac:dyDescent="0.25">
      <c r="A1241" s="1" t="str">
        <f>HYPERLINK("http://www.rosaceae.org/Prunus/Prunus_persica/p.persica_gdr_reftransV1_0014063","p.persica_gdr_reftransV1_0014063")</f>
        <v>p.persica_gdr_reftransV1_0014063</v>
      </c>
      <c r="B1241" s="3">
        <v>1795</v>
      </c>
      <c r="C1241" s="1" t="str">
        <f>HYPERLINK("http://www.uniprot.org/uniprot/Y1461_ARATH","Y1461_ARATH")</f>
        <v>Y1461_ARATH</v>
      </c>
      <c r="D1241" t="s">
        <v>392</v>
      </c>
      <c r="E1241" s="3" t="s">
        <v>3</v>
      </c>
      <c r="F1241" s="4">
        <v>0</v>
      </c>
      <c r="G1241" s="3">
        <v>1704</v>
      </c>
      <c r="H1241" s="3">
        <v>76</v>
      </c>
      <c r="I1241" s="3">
        <v>431</v>
      </c>
      <c r="J1241" s="3">
        <v>528</v>
      </c>
      <c r="K1241" s="3">
        <v>1793</v>
      </c>
      <c r="L1241" s="3">
        <v>129</v>
      </c>
      <c r="M1241" s="3">
        <v>558</v>
      </c>
    </row>
    <row r="1242" spans="1:13" x14ac:dyDescent="0.25">
      <c r="A1242" s="1" t="str">
        <f>HYPERLINK("http://www.rosaceae.org/Prunus/Prunus_persica/p.persica_gdr_reftransV1_0014113","p.persica_gdr_reftransV1_0014113")</f>
        <v>p.persica_gdr_reftransV1_0014113</v>
      </c>
      <c r="B1242" s="3">
        <v>1038</v>
      </c>
      <c r="C1242" s="1" t="str">
        <f>HYPERLINK("http://www.uniprot.org/uniprot/CALS5_ARATH","CALS5_ARATH")</f>
        <v>CALS5_ARATH</v>
      </c>
      <c r="D1242" t="s">
        <v>932</v>
      </c>
      <c r="E1242" s="3" t="s">
        <v>3</v>
      </c>
      <c r="F1242" s="4">
        <v>0</v>
      </c>
      <c r="G1242" s="3">
        <v>1676</v>
      </c>
      <c r="H1242" s="3">
        <v>89</v>
      </c>
      <c r="I1242" s="3">
        <v>345</v>
      </c>
      <c r="J1242" s="3">
        <v>3</v>
      </c>
      <c r="K1242" s="3">
        <v>1037</v>
      </c>
      <c r="L1242" s="3">
        <v>1096</v>
      </c>
      <c r="M1242" s="3">
        <v>1439</v>
      </c>
    </row>
    <row r="1243" spans="1:13" x14ac:dyDescent="0.25">
      <c r="A1243" s="1" t="str">
        <f>HYPERLINK("http://www.rosaceae.org/Prunus/Prunus_persica/p.persica_gdr_reftransV1_0014163","p.persica_gdr_reftransV1_0014163")</f>
        <v>p.persica_gdr_reftransV1_0014163</v>
      </c>
      <c r="B1243" s="3">
        <v>1726</v>
      </c>
      <c r="C1243" s="1" t="str">
        <f>HYPERLINK("http://www.uniprot.org/uniprot/GPX4_CITSI","GPX4_CITSI")</f>
        <v>GPX4_CITSI</v>
      </c>
      <c r="D1243" t="s">
        <v>1275</v>
      </c>
      <c r="E1243" s="3" t="s">
        <v>1276</v>
      </c>
      <c r="F1243" s="4">
        <v>4.3100000000000003E-84</v>
      </c>
      <c r="G1243" s="3">
        <v>679</v>
      </c>
      <c r="H1243" s="3">
        <v>75</v>
      </c>
      <c r="I1243" s="3">
        <v>167</v>
      </c>
      <c r="J1243" s="3">
        <v>196</v>
      </c>
      <c r="K1243" s="3">
        <v>696</v>
      </c>
      <c r="L1243" s="3">
        <v>1</v>
      </c>
      <c r="M1243" s="3">
        <v>167</v>
      </c>
    </row>
    <row r="1244" spans="1:13" x14ac:dyDescent="0.25">
      <c r="A1244" s="1" t="str">
        <f>HYPERLINK("http://www.rosaceae.org/Prunus/Prunus_persica/p.persica_gdr_reftransV1_0014713","p.persica_gdr_reftransV1_0014713")</f>
        <v>p.persica_gdr_reftransV1_0014713</v>
      </c>
      <c r="B1244" s="3">
        <v>2798</v>
      </c>
      <c r="C1244" s="1" t="str">
        <f>HYPERLINK("http://www.uniprot.org/uniprot/DYM_CHICK","DYM_CHICK")</f>
        <v>DYM_CHICK</v>
      </c>
      <c r="D1244" t="s">
        <v>1277</v>
      </c>
      <c r="E1244" s="3" t="s">
        <v>1278</v>
      </c>
      <c r="F1244" s="4">
        <v>1.9200000000000001E-82</v>
      </c>
      <c r="G1244" s="3">
        <v>731</v>
      </c>
      <c r="H1244" s="3">
        <v>31</v>
      </c>
      <c r="I1244" s="3">
        <v>708</v>
      </c>
      <c r="J1244" s="3">
        <v>400</v>
      </c>
      <c r="K1244" s="3">
        <v>2478</v>
      </c>
      <c r="L1244" s="3">
        <v>2</v>
      </c>
      <c r="M1244" s="3">
        <v>667</v>
      </c>
    </row>
    <row r="1245" spans="1:13" x14ac:dyDescent="0.25">
      <c r="A1245" s="1" t="str">
        <f>HYPERLINK("http://www.rosaceae.org/Prunus/Prunus_persica/p.persica_gdr_reftransV1_0014813","p.persica_gdr_reftransV1_0014813")</f>
        <v>p.persica_gdr_reftransV1_0014813</v>
      </c>
      <c r="B1245" s="3">
        <v>3474</v>
      </c>
      <c r="C1245" s="1" t="str">
        <f>HYPERLINK("http://www.uniprot.org/uniprot/VPS11_ARATH","VPS11_ARATH")</f>
        <v>VPS11_ARATH</v>
      </c>
      <c r="D1245" t="s">
        <v>1279</v>
      </c>
      <c r="E1245" s="3" t="s">
        <v>3</v>
      </c>
      <c r="F1245" s="4">
        <v>0</v>
      </c>
      <c r="G1245" s="3">
        <v>3923</v>
      </c>
      <c r="H1245" s="3">
        <v>79</v>
      </c>
      <c r="I1245" s="3">
        <v>940</v>
      </c>
      <c r="J1245" s="3">
        <v>359</v>
      </c>
      <c r="K1245" s="3">
        <v>3178</v>
      </c>
      <c r="L1245" s="3">
        <v>1</v>
      </c>
      <c r="M1245" s="3">
        <v>924</v>
      </c>
    </row>
    <row r="1246" spans="1:13" x14ac:dyDescent="0.25">
      <c r="A1246" s="1" t="str">
        <f>HYPERLINK("http://www.rosaceae.org/Prunus/Prunus_persica/p.persica_gdr_reftransV1_0014913","p.persica_gdr_reftransV1_0014913")</f>
        <v>p.persica_gdr_reftransV1_0014913</v>
      </c>
      <c r="B1246" s="3">
        <v>1004</v>
      </c>
      <c r="C1246" s="1" t="str">
        <f>HYPERLINK("http://www.uniprot.org/uniprot/PP251_ARATH","PP251_ARATH")</f>
        <v>PP251_ARATH</v>
      </c>
      <c r="D1246" t="s">
        <v>1144</v>
      </c>
      <c r="E1246" s="3" t="s">
        <v>3</v>
      </c>
      <c r="F1246" s="4">
        <v>7.3099999999999993E-148</v>
      </c>
      <c r="G1246" s="3">
        <v>1132</v>
      </c>
      <c r="H1246" s="3">
        <v>69</v>
      </c>
      <c r="I1246" s="3">
        <v>296</v>
      </c>
      <c r="J1246" s="3">
        <v>3</v>
      </c>
      <c r="K1246" s="3">
        <v>890</v>
      </c>
      <c r="L1246" s="3">
        <v>420</v>
      </c>
      <c r="M1246" s="3">
        <v>715</v>
      </c>
    </row>
    <row r="1247" spans="1:13" x14ac:dyDescent="0.25">
      <c r="A1247" s="1" t="str">
        <f>HYPERLINK("http://www.rosaceae.org/Prunus/Prunus_persica/p.persica_gdr_reftransV1_0015063","p.persica_gdr_reftransV1_0015063")</f>
        <v>p.persica_gdr_reftransV1_0015063</v>
      </c>
      <c r="B1247" s="3">
        <v>1023</v>
      </c>
      <c r="C1247" s="1" t="str">
        <f>HYPERLINK("http://www.uniprot.org/uniprot/21KD_DAUCA","21KD_DAUCA")</f>
        <v>21KD_DAUCA</v>
      </c>
      <c r="D1247" t="s">
        <v>1280</v>
      </c>
      <c r="E1247" s="3" t="s">
        <v>32</v>
      </c>
      <c r="F1247" s="4">
        <v>3.9400000000000002E-41</v>
      </c>
      <c r="G1247" s="3">
        <v>373</v>
      </c>
      <c r="H1247" s="3">
        <v>46</v>
      </c>
      <c r="I1247" s="3">
        <v>170</v>
      </c>
      <c r="J1247" s="3">
        <v>359</v>
      </c>
      <c r="K1247" s="3">
        <v>862</v>
      </c>
      <c r="L1247" s="3">
        <v>28</v>
      </c>
      <c r="M1247" s="3">
        <v>192</v>
      </c>
    </row>
    <row r="1248" spans="1:13" x14ac:dyDescent="0.25">
      <c r="A1248" s="1" t="str">
        <f>HYPERLINK("http://www.rosaceae.org/Prunus/Prunus_persica/p.persica_gdr_reftransV1_0015163","p.persica_gdr_reftransV1_0015163")</f>
        <v>p.persica_gdr_reftransV1_0015163</v>
      </c>
      <c r="B1248" s="3">
        <v>1975</v>
      </c>
      <c r="C1248" s="1" t="str">
        <f>HYPERLINK("http://www.uniprot.org/uniprot/PP270_ARATH","PP270_ARATH")</f>
        <v>PP270_ARATH</v>
      </c>
      <c r="D1248" t="s">
        <v>1281</v>
      </c>
      <c r="E1248" s="3" t="s">
        <v>3</v>
      </c>
      <c r="F1248" s="4">
        <v>1.49E-15</v>
      </c>
      <c r="G1248" s="3">
        <v>206</v>
      </c>
      <c r="H1248" s="3">
        <v>28</v>
      </c>
      <c r="I1248" s="3">
        <v>165</v>
      </c>
      <c r="J1248" s="3">
        <v>1037</v>
      </c>
      <c r="K1248" s="3">
        <v>1531</v>
      </c>
      <c r="L1248" s="3">
        <v>284</v>
      </c>
      <c r="M1248" s="3">
        <v>448</v>
      </c>
    </row>
    <row r="1249" spans="1:13" x14ac:dyDescent="0.25">
      <c r="A1249" s="1" t="str">
        <f>HYPERLINK("http://www.rosaceae.org/Prunus/Prunus_persica/p.persica_gdr_reftransV1_0015213","p.persica_gdr_reftransV1_0015213")</f>
        <v>p.persica_gdr_reftransV1_0015213</v>
      </c>
      <c r="B1249" s="3">
        <v>2246</v>
      </c>
      <c r="C1249" s="1" t="str">
        <f>HYPERLINK("http://www.uniprot.org/uniprot/KCO1_ARATH","KCO1_ARATH")</f>
        <v>KCO1_ARATH</v>
      </c>
      <c r="D1249" t="s">
        <v>1282</v>
      </c>
      <c r="E1249" s="3" t="s">
        <v>3</v>
      </c>
      <c r="F1249" s="4">
        <v>2.9499999999999998E-142</v>
      </c>
      <c r="G1249" s="3">
        <v>1103</v>
      </c>
      <c r="H1249" s="3">
        <v>68</v>
      </c>
      <c r="I1249" s="3">
        <v>297</v>
      </c>
      <c r="J1249" s="3">
        <v>285</v>
      </c>
      <c r="K1249" s="3">
        <v>1175</v>
      </c>
      <c r="L1249" s="3">
        <v>63</v>
      </c>
      <c r="M1249" s="3">
        <v>359</v>
      </c>
    </row>
    <row r="1250" spans="1:13" x14ac:dyDescent="0.25">
      <c r="A1250" s="1" t="str">
        <f>HYPERLINK("http://www.rosaceae.org/Prunus/Prunus_persica/p.persica_gdr_reftransV1_0015263","p.persica_gdr_reftransV1_0015263")</f>
        <v>p.persica_gdr_reftransV1_0015263</v>
      </c>
      <c r="B1250" s="3">
        <v>1526</v>
      </c>
      <c r="C1250" s="1" t="str">
        <f>HYPERLINK("http://www.uniprot.org/uniprot/AB17A_BOVIN","AB17A_BOVIN")</f>
        <v>AB17A_BOVIN</v>
      </c>
      <c r="D1250" t="s">
        <v>1283</v>
      </c>
      <c r="E1250" s="3" t="s">
        <v>184</v>
      </c>
      <c r="F1250" s="4">
        <v>4.2299999999999998E-60</v>
      </c>
      <c r="G1250" s="3">
        <v>524</v>
      </c>
      <c r="H1250" s="3">
        <v>47</v>
      </c>
      <c r="I1250" s="3">
        <v>220</v>
      </c>
      <c r="J1250" s="3">
        <v>516</v>
      </c>
      <c r="K1250" s="3">
        <v>1169</v>
      </c>
      <c r="L1250" s="3">
        <v>85</v>
      </c>
      <c r="M1250" s="3">
        <v>303</v>
      </c>
    </row>
    <row r="1251" spans="1:13" x14ac:dyDescent="0.25">
      <c r="A1251" s="1" t="str">
        <f>HYPERLINK("http://www.rosaceae.org/Prunus/Prunus_persica/p.persica_gdr_reftransV1_0015313","p.persica_gdr_reftransV1_0015313")</f>
        <v>p.persica_gdr_reftransV1_0015313</v>
      </c>
      <c r="B1251" s="3">
        <v>1264</v>
      </c>
      <c r="C1251" s="1" t="str">
        <f>HYPERLINK("http://www.uniprot.org/uniprot/ADAT2_BOVIN","ADAT2_BOVIN")</f>
        <v>ADAT2_BOVIN</v>
      </c>
      <c r="D1251" t="s">
        <v>1284</v>
      </c>
      <c r="E1251" s="3" t="s">
        <v>184</v>
      </c>
      <c r="F1251" s="4">
        <v>7.7200000000000002E-27</v>
      </c>
      <c r="G1251" s="3">
        <v>275</v>
      </c>
      <c r="H1251" s="3">
        <v>48</v>
      </c>
      <c r="I1251" s="3">
        <v>171</v>
      </c>
      <c r="J1251" s="3">
        <v>273</v>
      </c>
      <c r="K1251" s="3">
        <v>785</v>
      </c>
      <c r="L1251" s="3">
        <v>20</v>
      </c>
      <c r="M1251" s="3">
        <v>180</v>
      </c>
    </row>
    <row r="1252" spans="1:13" x14ac:dyDescent="0.25">
      <c r="A1252" s="1" t="str">
        <f>HYPERLINK("http://www.rosaceae.org/Prunus/Prunus_persica/p.persica_gdr_reftransV1_0015513","p.persica_gdr_reftransV1_0015513")</f>
        <v>p.persica_gdr_reftransV1_0015513</v>
      </c>
      <c r="B1252" s="3">
        <v>2680</v>
      </c>
      <c r="C1252" s="1" t="str">
        <f>HYPERLINK("http://www.uniprot.org/uniprot/CNDH2_ARATH","CNDH2_ARATH")</f>
        <v>CNDH2_ARATH</v>
      </c>
      <c r="D1252" t="s">
        <v>1285</v>
      </c>
      <c r="E1252" s="3" t="s">
        <v>3</v>
      </c>
      <c r="F1252" s="4">
        <v>0</v>
      </c>
      <c r="G1252" s="3">
        <v>1644</v>
      </c>
      <c r="H1252" s="3">
        <v>53</v>
      </c>
      <c r="I1252" s="3">
        <v>677</v>
      </c>
      <c r="J1252" s="3">
        <v>337</v>
      </c>
      <c r="K1252" s="3">
        <v>2328</v>
      </c>
      <c r="L1252" s="3">
        <v>14</v>
      </c>
      <c r="M1252" s="3">
        <v>663</v>
      </c>
    </row>
    <row r="1253" spans="1:13" x14ac:dyDescent="0.25">
      <c r="A1253" s="1" t="str">
        <f>HYPERLINK("http://www.rosaceae.org/Prunus/Prunus_persica/p.persica_gdr_reftransV1_0015563","p.persica_gdr_reftransV1_0015563")</f>
        <v>p.persica_gdr_reftransV1_0015563</v>
      </c>
      <c r="B1253" s="3">
        <v>1405</v>
      </c>
      <c r="C1253" s="1" t="str">
        <f>HYPERLINK("http://www.uniprot.org/uniprot/PUB4_ARATH","PUB4_ARATH")</f>
        <v>PUB4_ARATH</v>
      </c>
      <c r="D1253" t="s">
        <v>1286</v>
      </c>
      <c r="E1253" s="3" t="s">
        <v>3</v>
      </c>
      <c r="F1253" s="4">
        <v>4.2899999999999999E-19</v>
      </c>
      <c r="G1253" s="3">
        <v>233</v>
      </c>
      <c r="H1253" s="3">
        <v>34</v>
      </c>
      <c r="I1253" s="3">
        <v>235</v>
      </c>
      <c r="J1253" s="3">
        <v>253</v>
      </c>
      <c r="K1253" s="3">
        <v>942</v>
      </c>
      <c r="L1253" s="3">
        <v>561</v>
      </c>
      <c r="M1253" s="3">
        <v>782</v>
      </c>
    </row>
    <row r="1254" spans="1:13" x14ac:dyDescent="0.25">
      <c r="A1254" s="1" t="str">
        <f>HYPERLINK("http://www.rosaceae.org/Prunus/Prunus_persica/p.persica_gdr_reftransV1_0015613","p.persica_gdr_reftransV1_0015613")</f>
        <v>p.persica_gdr_reftransV1_0015613</v>
      </c>
      <c r="B1254" s="3">
        <v>982</v>
      </c>
      <c r="C1254" s="1" t="str">
        <f>HYPERLINK("http://www.uniprot.org/uniprot/BH113_ARATH","BH113_ARATH")</f>
        <v>BH113_ARATH</v>
      </c>
      <c r="D1254" t="s">
        <v>1287</v>
      </c>
      <c r="E1254" s="3" t="s">
        <v>3</v>
      </c>
      <c r="F1254" s="4">
        <v>1.31E-8</v>
      </c>
      <c r="G1254" s="3">
        <v>141</v>
      </c>
      <c r="H1254" s="3">
        <v>63</v>
      </c>
      <c r="I1254" s="3">
        <v>40</v>
      </c>
      <c r="J1254" s="3">
        <v>246</v>
      </c>
      <c r="K1254" s="3">
        <v>365</v>
      </c>
      <c r="L1254" s="3">
        <v>226</v>
      </c>
      <c r="M1254" s="3">
        <v>265</v>
      </c>
    </row>
    <row r="1255" spans="1:13" x14ac:dyDescent="0.25">
      <c r="A1255" s="1" t="str">
        <f>HYPERLINK("http://www.rosaceae.org/Prunus/Prunus_persica/p.persica_gdr_reftransV1_0015713","p.persica_gdr_reftransV1_0015713")</f>
        <v>p.persica_gdr_reftransV1_0015713</v>
      </c>
      <c r="B1255" s="3">
        <v>1181</v>
      </c>
      <c r="C1255" s="1" t="str">
        <f>HYPERLINK("http://www.uniprot.org/uniprot/ARPC3_ARATH","ARPC3_ARATH")</f>
        <v>ARPC3_ARATH</v>
      </c>
      <c r="D1255" t="s">
        <v>1288</v>
      </c>
      <c r="E1255" s="3" t="s">
        <v>3</v>
      </c>
      <c r="F1255" s="4">
        <v>7.4300000000000002E-95</v>
      </c>
      <c r="G1255" s="3">
        <v>737</v>
      </c>
      <c r="H1255" s="3">
        <v>88</v>
      </c>
      <c r="I1255" s="3">
        <v>173</v>
      </c>
      <c r="J1255" s="3">
        <v>386</v>
      </c>
      <c r="K1255" s="3">
        <v>904</v>
      </c>
      <c r="L1255" s="3">
        <v>1</v>
      </c>
      <c r="M1255" s="3">
        <v>173</v>
      </c>
    </row>
    <row r="1256" spans="1:13" x14ac:dyDescent="0.25">
      <c r="A1256" s="1" t="str">
        <f>HYPERLINK("http://www.rosaceae.org/Prunus/Prunus_persica/p.persica_gdr_reftransV1_0015863","p.persica_gdr_reftransV1_0015863")</f>
        <v>p.persica_gdr_reftransV1_0015863</v>
      </c>
      <c r="B1256" s="3">
        <v>1808</v>
      </c>
      <c r="C1256" s="1" t="str">
        <f>HYPERLINK("http://www.uniprot.org/uniprot/ATL7_ARATH","ATL7_ARATH")</f>
        <v>ATL7_ARATH</v>
      </c>
      <c r="D1256" t="s">
        <v>1289</v>
      </c>
      <c r="E1256" s="3" t="s">
        <v>3</v>
      </c>
      <c r="F1256" s="4">
        <v>9.5900000000000006E-40</v>
      </c>
      <c r="G1256" s="3">
        <v>377</v>
      </c>
      <c r="H1256" s="3">
        <v>46</v>
      </c>
      <c r="I1256" s="3">
        <v>166</v>
      </c>
      <c r="J1256" s="3">
        <v>763</v>
      </c>
      <c r="K1256" s="3">
        <v>1251</v>
      </c>
      <c r="L1256" s="3">
        <v>60</v>
      </c>
      <c r="M1256" s="3">
        <v>223</v>
      </c>
    </row>
    <row r="1257" spans="1:13" x14ac:dyDescent="0.25">
      <c r="A1257" s="1" t="str">
        <f>HYPERLINK("http://www.rosaceae.org/Prunus/Prunus_persica/p.persica_gdr_reftransV1_0015963","p.persica_gdr_reftransV1_0015963")</f>
        <v>p.persica_gdr_reftransV1_0015963</v>
      </c>
      <c r="B1257" s="3">
        <v>1627</v>
      </c>
      <c r="C1257" s="1" t="str">
        <f>HYPERLINK("http://www.uniprot.org/uniprot/DCYD2_ARATH","DCYD2_ARATH")</f>
        <v>DCYD2_ARATH</v>
      </c>
      <c r="D1257" t="s">
        <v>1290</v>
      </c>
      <c r="E1257" s="3" t="s">
        <v>3</v>
      </c>
      <c r="F1257" s="4">
        <v>1.3899999999999999E-143</v>
      </c>
      <c r="G1257" s="3">
        <v>1099</v>
      </c>
      <c r="H1257" s="3">
        <v>59</v>
      </c>
      <c r="I1257" s="3">
        <v>409</v>
      </c>
      <c r="J1257" s="3">
        <v>254</v>
      </c>
      <c r="K1257" s="3">
        <v>1477</v>
      </c>
      <c r="L1257" s="3">
        <v>32</v>
      </c>
      <c r="M1257" s="3">
        <v>426</v>
      </c>
    </row>
    <row r="1258" spans="1:13" x14ac:dyDescent="0.25">
      <c r="A1258" s="1" t="str">
        <f>HYPERLINK("http://www.rosaceae.org/Prunus/Prunus_persica/p.persica_gdr_reftransV1_0016113","p.persica_gdr_reftransV1_0016113")</f>
        <v>p.persica_gdr_reftransV1_0016113</v>
      </c>
      <c r="B1258" s="3">
        <v>1102</v>
      </c>
      <c r="C1258" s="1" t="str">
        <f>HYPERLINK("http://www.uniprot.org/uniprot/MED6_ARATH","MED6_ARATH")</f>
        <v>MED6_ARATH</v>
      </c>
      <c r="D1258" t="s">
        <v>1291</v>
      </c>
      <c r="E1258" s="3" t="s">
        <v>3</v>
      </c>
      <c r="F1258" s="4">
        <v>2.4E-87</v>
      </c>
      <c r="G1258" s="3">
        <v>696</v>
      </c>
      <c r="H1258" s="3">
        <v>61</v>
      </c>
      <c r="I1258" s="3">
        <v>227</v>
      </c>
      <c r="J1258" s="3">
        <v>456</v>
      </c>
      <c r="K1258" s="3">
        <v>1013</v>
      </c>
      <c r="L1258" s="3">
        <v>23</v>
      </c>
      <c r="M1258" s="3">
        <v>247</v>
      </c>
    </row>
    <row r="1259" spans="1:13" x14ac:dyDescent="0.25">
      <c r="A1259" s="1" t="str">
        <f>HYPERLINK("http://www.rosaceae.org/Prunus/Prunus_persica/p.persica_gdr_reftransV1_0016263","p.persica_gdr_reftransV1_0016263")</f>
        <v>p.persica_gdr_reftransV1_0016263</v>
      </c>
      <c r="B1259" s="3">
        <v>3106</v>
      </c>
      <c r="C1259" s="1" t="str">
        <f>HYPERLINK("http://www.uniprot.org/uniprot/FBL3_ARATH","FBL3_ARATH")</f>
        <v>FBL3_ARATH</v>
      </c>
      <c r="D1259" t="s">
        <v>1292</v>
      </c>
      <c r="E1259" s="3" t="s">
        <v>3</v>
      </c>
      <c r="F1259" s="4">
        <v>0</v>
      </c>
      <c r="G1259" s="3">
        <v>1550</v>
      </c>
      <c r="H1259" s="3">
        <v>57</v>
      </c>
      <c r="I1259" s="3">
        <v>658</v>
      </c>
      <c r="J1259" s="3">
        <v>1062</v>
      </c>
      <c r="K1259" s="3">
        <v>3032</v>
      </c>
      <c r="L1259" s="3">
        <v>1</v>
      </c>
      <c r="M1259" s="3">
        <v>657</v>
      </c>
    </row>
    <row r="1260" spans="1:13" x14ac:dyDescent="0.25">
      <c r="A1260" s="1" t="str">
        <f>HYPERLINK("http://www.rosaceae.org/Prunus/Prunus_persica/p.persica_gdr_reftransV1_0016313","p.persica_gdr_reftransV1_0016313")</f>
        <v>p.persica_gdr_reftransV1_0016313</v>
      </c>
      <c r="B1260" s="3">
        <v>2128</v>
      </c>
      <c r="C1260" s="1" t="str">
        <f>HYPERLINK("http://www.uniprot.org/uniprot/BSPA_POPDE","BSPA_POPDE")</f>
        <v>BSPA_POPDE</v>
      </c>
      <c r="D1260" t="s">
        <v>1293</v>
      </c>
      <c r="E1260" s="3" t="s">
        <v>1294</v>
      </c>
      <c r="F1260" s="4">
        <v>1.44E-36</v>
      </c>
      <c r="G1260" s="3">
        <v>245</v>
      </c>
      <c r="H1260" s="3">
        <v>35</v>
      </c>
      <c r="I1260" s="3">
        <v>171</v>
      </c>
      <c r="J1260" s="3">
        <v>913</v>
      </c>
      <c r="K1260" s="3">
        <v>1419</v>
      </c>
      <c r="L1260" s="3">
        <v>141</v>
      </c>
      <c r="M1260" s="3">
        <v>304</v>
      </c>
    </row>
    <row r="1261" spans="1:13" x14ac:dyDescent="0.25">
      <c r="A1261" s="1" t="str">
        <f>HYPERLINK("http://www.rosaceae.org/Prunus/Prunus_persica/p.persica_gdr_reftransV1_0016413","p.persica_gdr_reftransV1_0016413")</f>
        <v>p.persica_gdr_reftransV1_0016413</v>
      </c>
      <c r="B1261" s="3">
        <v>4294</v>
      </c>
      <c r="C1261" s="1" t="str">
        <f>HYPERLINK("http://www.uniprot.org/uniprot/RFC1_ARATH","RFC1_ARATH")</f>
        <v>RFC1_ARATH</v>
      </c>
      <c r="D1261" t="s">
        <v>1295</v>
      </c>
      <c r="E1261" s="3" t="s">
        <v>3</v>
      </c>
      <c r="F1261" s="4">
        <v>0</v>
      </c>
      <c r="G1261" s="3">
        <v>2220</v>
      </c>
      <c r="H1261" s="3">
        <v>76</v>
      </c>
      <c r="I1261" s="3">
        <v>587</v>
      </c>
      <c r="J1261" s="3">
        <v>2435</v>
      </c>
      <c r="K1261" s="3">
        <v>4189</v>
      </c>
      <c r="L1261" s="3">
        <v>182</v>
      </c>
      <c r="M1261" s="3">
        <v>753</v>
      </c>
    </row>
    <row r="1262" spans="1:13" x14ac:dyDescent="0.25">
      <c r="A1262" s="1" t="str">
        <f>HYPERLINK("http://www.rosaceae.org/Prunus/Prunus_persica/p.persica_gdr_reftransV1_0016563","p.persica_gdr_reftransV1_0016563")</f>
        <v>p.persica_gdr_reftransV1_0016563</v>
      </c>
      <c r="B1262" s="3">
        <v>3761</v>
      </c>
      <c r="C1262" s="1" t="str">
        <f>HYPERLINK("http://www.uniprot.org/uniprot/MAA3_ARATH","MAA3_ARATH")</f>
        <v>MAA3_ARATH</v>
      </c>
      <c r="D1262" t="s">
        <v>1296</v>
      </c>
      <c r="E1262" s="3" t="s">
        <v>3</v>
      </c>
      <c r="F1262" s="4">
        <v>5.68E-159</v>
      </c>
      <c r="G1262" s="3">
        <v>1295</v>
      </c>
      <c r="H1262" s="3">
        <v>56</v>
      </c>
      <c r="I1262" s="3">
        <v>510</v>
      </c>
      <c r="J1262" s="3">
        <v>1643</v>
      </c>
      <c r="K1262" s="3">
        <v>3133</v>
      </c>
      <c r="L1262" s="3">
        <v>1</v>
      </c>
      <c r="M1262" s="3">
        <v>495</v>
      </c>
    </row>
    <row r="1263" spans="1:13" x14ac:dyDescent="0.25">
      <c r="A1263" s="1" t="str">
        <f>HYPERLINK("http://www.rosaceae.org/Prunus/Prunus_persica/p.persica_gdr_reftransV1_0016663","p.persica_gdr_reftransV1_0016663")</f>
        <v>p.persica_gdr_reftransV1_0016663</v>
      </c>
      <c r="B1263" s="3">
        <v>1231</v>
      </c>
      <c r="C1263" s="1" t="str">
        <f>HYPERLINK("http://www.uniprot.org/uniprot/S38A6_XENTR","S38A6_XENTR")</f>
        <v>S38A6_XENTR</v>
      </c>
      <c r="D1263" t="s">
        <v>1297</v>
      </c>
      <c r="E1263" s="3" t="s">
        <v>173</v>
      </c>
      <c r="F1263" s="4">
        <v>1.8899999999999998E-20</v>
      </c>
      <c r="G1263" s="3">
        <v>238</v>
      </c>
      <c r="H1263" s="3">
        <v>31</v>
      </c>
      <c r="I1263" s="3">
        <v>332</v>
      </c>
      <c r="J1263" s="3">
        <v>37</v>
      </c>
      <c r="K1263" s="3">
        <v>978</v>
      </c>
      <c r="L1263" s="3">
        <v>10</v>
      </c>
      <c r="M1263" s="3">
        <v>317</v>
      </c>
    </row>
    <row r="1264" spans="1:13" x14ac:dyDescent="0.25">
      <c r="A1264" s="1" t="str">
        <f>HYPERLINK("http://www.rosaceae.org/Prunus/Prunus_persica/p.persica_gdr_reftransV1_0017113","p.persica_gdr_reftransV1_0017113")</f>
        <v>p.persica_gdr_reftransV1_0017113</v>
      </c>
      <c r="B1264" s="3">
        <v>4120</v>
      </c>
      <c r="C1264" s="1" t="str">
        <f>HYPERLINK("http://www.uniprot.org/uniprot/PUB33_ARATH","PUB33_ARATH")</f>
        <v>PUB33_ARATH</v>
      </c>
      <c r="D1264" t="s">
        <v>1298</v>
      </c>
      <c r="E1264" s="3" t="s">
        <v>3</v>
      </c>
      <c r="F1264" s="4">
        <v>0</v>
      </c>
      <c r="G1264" s="3">
        <v>1664</v>
      </c>
      <c r="H1264" s="3">
        <v>67</v>
      </c>
      <c r="I1264" s="3">
        <v>492</v>
      </c>
      <c r="J1264" s="3">
        <v>261</v>
      </c>
      <c r="K1264" s="3">
        <v>1736</v>
      </c>
      <c r="L1264" s="3">
        <v>349</v>
      </c>
      <c r="M1264" s="3">
        <v>833</v>
      </c>
    </row>
    <row r="1265" spans="1:13" x14ac:dyDescent="0.25">
      <c r="A1265" s="1" t="str">
        <f>HYPERLINK("http://www.rosaceae.org/Prunus/Prunus_persica/p.persica_gdr_reftransV1_0017263","p.persica_gdr_reftransV1_0017263")</f>
        <v>p.persica_gdr_reftransV1_0017263</v>
      </c>
      <c r="B1265" s="3">
        <v>2863</v>
      </c>
      <c r="C1265" s="1" t="str">
        <f>HYPERLINK("http://www.uniprot.org/uniprot/NADA_ARATH","NADA_ARATH")</f>
        <v>NADA_ARATH</v>
      </c>
      <c r="D1265" t="s">
        <v>1299</v>
      </c>
      <c r="E1265" s="3" t="s">
        <v>3</v>
      </c>
      <c r="F1265" s="4">
        <v>0</v>
      </c>
      <c r="G1265" s="3">
        <v>1750</v>
      </c>
      <c r="H1265" s="3">
        <v>71</v>
      </c>
      <c r="I1265" s="3">
        <v>470</v>
      </c>
      <c r="J1265" s="3">
        <v>122</v>
      </c>
      <c r="K1265" s="3">
        <v>1510</v>
      </c>
      <c r="L1265" s="3">
        <v>26</v>
      </c>
      <c r="M1265" s="3">
        <v>480</v>
      </c>
    </row>
    <row r="1266" spans="1:13" x14ac:dyDescent="0.25">
      <c r="A1266" s="1" t="str">
        <f>HYPERLINK("http://www.rosaceae.org/Prunus/Prunus_persica/p.persica_gdr_reftransV1_0017413","p.persica_gdr_reftransV1_0017413")</f>
        <v>p.persica_gdr_reftransV1_0017413</v>
      </c>
      <c r="B1266" s="3">
        <v>1438</v>
      </c>
      <c r="C1266" s="1" t="str">
        <f>HYPERLINK("http://www.uniprot.org/uniprot/PP297_ARATH","PP297_ARATH")</f>
        <v>PP297_ARATH</v>
      </c>
      <c r="D1266" t="s">
        <v>1300</v>
      </c>
      <c r="E1266" s="3" t="s">
        <v>3</v>
      </c>
      <c r="F1266" s="4">
        <v>6.7800000000000001E-164</v>
      </c>
      <c r="G1266" s="3">
        <v>1259</v>
      </c>
      <c r="H1266" s="3">
        <v>63</v>
      </c>
      <c r="I1266" s="3">
        <v>352</v>
      </c>
      <c r="J1266" s="3">
        <v>1</v>
      </c>
      <c r="K1266" s="3">
        <v>1056</v>
      </c>
      <c r="L1266" s="3">
        <v>417</v>
      </c>
      <c r="M1266" s="3">
        <v>768</v>
      </c>
    </row>
    <row r="1267" spans="1:13" x14ac:dyDescent="0.25">
      <c r="A1267" s="1" t="str">
        <f>HYPERLINK("http://www.rosaceae.org/Prunus/Prunus_persica/p.persica_gdr_reftransV1_0017513","p.persica_gdr_reftransV1_0017513")</f>
        <v>p.persica_gdr_reftransV1_0017513</v>
      </c>
      <c r="B1267" s="3">
        <v>2481</v>
      </c>
      <c r="C1267" s="1" t="str">
        <f>HYPERLINK("http://www.uniprot.org/uniprot/CAX3_ARATH","CAX3_ARATH")</f>
        <v>CAX3_ARATH</v>
      </c>
      <c r="D1267" t="s">
        <v>1301</v>
      </c>
      <c r="E1267" s="3" t="s">
        <v>3</v>
      </c>
      <c r="F1267" s="4">
        <v>0</v>
      </c>
      <c r="G1267" s="3">
        <v>1418</v>
      </c>
      <c r="H1267" s="3">
        <v>72</v>
      </c>
      <c r="I1267" s="3">
        <v>449</v>
      </c>
      <c r="J1267" s="3">
        <v>743</v>
      </c>
      <c r="K1267" s="3">
        <v>2056</v>
      </c>
      <c r="L1267" s="3">
        <v>6</v>
      </c>
      <c r="M1267" s="3">
        <v>452</v>
      </c>
    </row>
    <row r="1268" spans="1:13" x14ac:dyDescent="0.25">
      <c r="A1268" s="1" t="str">
        <f>HYPERLINK("http://www.rosaceae.org/Prunus/Prunus_persica/p.persica_gdr_reftransV1_0017613","p.persica_gdr_reftransV1_0017613")</f>
        <v>p.persica_gdr_reftransV1_0017613</v>
      </c>
      <c r="B1268" s="3">
        <v>3325</v>
      </c>
      <c r="C1268" s="1" t="str">
        <f>HYPERLINK("http://www.uniprot.org/uniprot/POT8_ARATH","POT8_ARATH")</f>
        <v>POT8_ARATH</v>
      </c>
      <c r="D1268" t="s">
        <v>1302</v>
      </c>
      <c r="E1268" s="3" t="s">
        <v>3</v>
      </c>
      <c r="F1268" s="4">
        <v>0</v>
      </c>
      <c r="G1268" s="3">
        <v>3167</v>
      </c>
      <c r="H1268" s="3">
        <v>79</v>
      </c>
      <c r="I1268" s="3">
        <v>782</v>
      </c>
      <c r="J1268" s="3">
        <v>646</v>
      </c>
      <c r="K1268" s="3">
        <v>2970</v>
      </c>
      <c r="L1268" s="3">
        <v>1</v>
      </c>
      <c r="M1268" s="3">
        <v>781</v>
      </c>
    </row>
    <row r="1269" spans="1:13" x14ac:dyDescent="0.25">
      <c r="A1269" s="1" t="str">
        <f>HYPERLINK("http://www.rosaceae.org/Prunus/Prunus_persica/p.persica_gdr_reftransV1_0017813","p.persica_gdr_reftransV1_0017813")</f>
        <v>p.persica_gdr_reftransV1_0017813</v>
      </c>
      <c r="B1269" s="3">
        <v>1616</v>
      </c>
      <c r="C1269" s="1" t="str">
        <f>HYPERLINK("http://www.uniprot.org/uniprot/COQ9_MOUSE","COQ9_MOUSE")</f>
        <v>COQ9_MOUSE</v>
      </c>
      <c r="D1269" t="s">
        <v>1303</v>
      </c>
      <c r="E1269" s="3" t="s">
        <v>157</v>
      </c>
      <c r="F1269" s="4">
        <v>7.3500000000000001E-42</v>
      </c>
      <c r="G1269" s="3">
        <v>397</v>
      </c>
      <c r="H1269" s="3">
        <v>34</v>
      </c>
      <c r="I1269" s="3">
        <v>283</v>
      </c>
      <c r="J1269" s="3">
        <v>592</v>
      </c>
      <c r="K1269" s="3">
        <v>1377</v>
      </c>
      <c r="L1269" s="3">
        <v>28</v>
      </c>
      <c r="M1269" s="3">
        <v>296</v>
      </c>
    </row>
    <row r="1270" spans="1:13" x14ac:dyDescent="0.25">
      <c r="A1270" s="1" t="str">
        <f>HYPERLINK("http://www.rosaceae.org/Prunus/Prunus_persica/p.persica_gdr_reftransV1_0018163","p.persica_gdr_reftransV1_0018163")</f>
        <v>p.persica_gdr_reftransV1_0018163</v>
      </c>
      <c r="B1270" s="3">
        <v>3092</v>
      </c>
      <c r="C1270" s="1" t="str">
        <f>HYPERLINK("http://www.uniprot.org/uniprot/SPE1_PEA","SPE1_PEA")</f>
        <v>SPE1_PEA</v>
      </c>
      <c r="D1270" t="s">
        <v>1304</v>
      </c>
      <c r="E1270" s="3" t="s">
        <v>60</v>
      </c>
      <c r="F1270" s="4">
        <v>0</v>
      </c>
      <c r="G1270" s="3">
        <v>2588</v>
      </c>
      <c r="H1270" s="3">
        <v>73</v>
      </c>
      <c r="I1270" s="3">
        <v>711</v>
      </c>
      <c r="J1270" s="3">
        <v>462</v>
      </c>
      <c r="K1270" s="3">
        <v>2558</v>
      </c>
      <c r="L1270" s="3">
        <v>1</v>
      </c>
      <c r="M1270" s="3">
        <v>704</v>
      </c>
    </row>
    <row r="1271" spans="1:13" x14ac:dyDescent="0.25">
      <c r="A1271" s="1" t="str">
        <f>HYPERLINK("http://www.rosaceae.org/Prunus/Prunus_persica/p.persica_gdr_reftransV1_0018213","p.persica_gdr_reftransV1_0018213")</f>
        <v>p.persica_gdr_reftransV1_0018213</v>
      </c>
      <c r="B1271" s="3">
        <v>2193</v>
      </c>
      <c r="C1271" s="1" t="str">
        <f>HYPERLINK("http://www.uniprot.org/uniprot/GAI_ARATH","GAI_ARATH")</f>
        <v>GAI_ARATH</v>
      </c>
      <c r="D1271" t="s">
        <v>1305</v>
      </c>
      <c r="E1271" s="3" t="s">
        <v>3</v>
      </c>
      <c r="F1271" s="4">
        <v>5.9899999999999997E-142</v>
      </c>
      <c r="G1271" s="3">
        <v>1115</v>
      </c>
      <c r="H1271" s="3">
        <v>51</v>
      </c>
      <c r="I1271" s="3">
        <v>511</v>
      </c>
      <c r="J1271" s="3">
        <v>259</v>
      </c>
      <c r="K1271" s="3">
        <v>1704</v>
      </c>
      <c r="L1271" s="3">
        <v>27</v>
      </c>
      <c r="M1271" s="3">
        <v>530</v>
      </c>
    </row>
    <row r="1272" spans="1:13" x14ac:dyDescent="0.25">
      <c r="A1272" s="1" t="str">
        <f>HYPERLINK("http://www.rosaceae.org/Prunus/Prunus_persica/p.persica_gdr_reftransV1_0018413","p.persica_gdr_reftransV1_0018413")</f>
        <v>p.persica_gdr_reftransV1_0018413</v>
      </c>
      <c r="B1272" s="3">
        <v>4131</v>
      </c>
      <c r="C1272" s="1" t="str">
        <f>HYPERLINK("http://www.uniprot.org/uniprot/PP175_ARATH","PP175_ARATH")</f>
        <v>PP175_ARATH</v>
      </c>
      <c r="D1272" t="s">
        <v>272</v>
      </c>
      <c r="E1272" s="3" t="s">
        <v>3</v>
      </c>
      <c r="F1272" s="4">
        <v>1.27E-141</v>
      </c>
      <c r="G1272" s="3">
        <v>1175</v>
      </c>
      <c r="H1272" s="3">
        <v>40</v>
      </c>
      <c r="I1272" s="3">
        <v>574</v>
      </c>
      <c r="J1272" s="3">
        <v>188</v>
      </c>
      <c r="K1272" s="3">
        <v>1900</v>
      </c>
      <c r="L1272" s="3">
        <v>39</v>
      </c>
      <c r="M1272" s="3">
        <v>612</v>
      </c>
    </row>
    <row r="1273" spans="1:13" x14ac:dyDescent="0.25">
      <c r="A1273" s="1" t="str">
        <f>HYPERLINK("http://www.rosaceae.org/Prunus/Prunus_persica/p.persica_gdr_reftransV1_0018463","p.persica_gdr_reftransV1_0018463")</f>
        <v>p.persica_gdr_reftransV1_0018463</v>
      </c>
      <c r="B1273" s="3">
        <v>2577</v>
      </c>
      <c r="C1273" s="1" t="str">
        <f>HYPERLINK("http://www.uniprot.org/uniprot/REV_ARATH","REV_ARATH")</f>
        <v>REV_ARATH</v>
      </c>
      <c r="D1273" t="s">
        <v>1306</v>
      </c>
      <c r="E1273" s="3" t="s">
        <v>3</v>
      </c>
      <c r="F1273" s="4">
        <v>0</v>
      </c>
      <c r="G1273" s="3">
        <v>2693</v>
      </c>
      <c r="H1273" s="3">
        <v>87</v>
      </c>
      <c r="I1273" s="3">
        <v>596</v>
      </c>
      <c r="J1273" s="3">
        <v>686</v>
      </c>
      <c r="K1273" s="3">
        <v>2470</v>
      </c>
      <c r="L1273" s="3">
        <v>1</v>
      </c>
      <c r="M1273" s="3">
        <v>591</v>
      </c>
    </row>
    <row r="1274" spans="1:13" x14ac:dyDescent="0.25">
      <c r="A1274" s="1" t="str">
        <f>HYPERLINK("http://www.rosaceae.org/Prunus/Prunus_persica/p.persica_gdr_reftransV1_0018513","p.persica_gdr_reftransV1_0018513")</f>
        <v>p.persica_gdr_reftransV1_0018513</v>
      </c>
      <c r="B1274" s="3">
        <v>1532</v>
      </c>
      <c r="C1274" s="1" t="str">
        <f>HYPERLINK("http://www.uniprot.org/uniprot/LGUL_BRAOG","LGUL_BRAOG")</f>
        <v>LGUL_BRAOG</v>
      </c>
      <c r="D1274" t="s">
        <v>1307</v>
      </c>
      <c r="E1274" s="3" t="s">
        <v>1308</v>
      </c>
      <c r="F1274" s="4">
        <v>2.52E-164</v>
      </c>
      <c r="G1274" s="3">
        <v>1219</v>
      </c>
      <c r="H1274" s="3">
        <v>82</v>
      </c>
      <c r="I1274" s="3">
        <v>274</v>
      </c>
      <c r="J1274" s="3">
        <v>287</v>
      </c>
      <c r="K1274" s="3">
        <v>1108</v>
      </c>
      <c r="L1274" s="3">
        <v>10</v>
      </c>
      <c r="M1274" s="3">
        <v>282</v>
      </c>
    </row>
    <row r="1275" spans="1:13" x14ac:dyDescent="0.25">
      <c r="A1275" s="1" t="str">
        <f>HYPERLINK("http://www.rosaceae.org/Prunus/Prunus_persica/p.persica_gdr_reftransV1_0018663","p.persica_gdr_reftransV1_0018663")</f>
        <v>p.persica_gdr_reftransV1_0018663</v>
      </c>
      <c r="B1275" s="3">
        <v>1564</v>
      </c>
      <c r="C1275" s="1" t="str">
        <f>HYPERLINK("http://www.uniprot.org/uniprot/BASS1_ARATH","BASS1_ARATH")</f>
        <v>BASS1_ARATH</v>
      </c>
      <c r="D1275" t="s">
        <v>1309</v>
      </c>
      <c r="E1275" s="3" t="s">
        <v>3</v>
      </c>
      <c r="F1275" s="4">
        <v>5.6499999999999999E-180</v>
      </c>
      <c r="G1275" s="3">
        <v>1336</v>
      </c>
      <c r="H1275" s="3">
        <v>82</v>
      </c>
      <c r="I1275" s="3">
        <v>333</v>
      </c>
      <c r="J1275" s="3">
        <v>212</v>
      </c>
      <c r="K1275" s="3">
        <v>1210</v>
      </c>
      <c r="L1275" s="3">
        <v>70</v>
      </c>
      <c r="M1275" s="3">
        <v>401</v>
      </c>
    </row>
    <row r="1276" spans="1:13" x14ac:dyDescent="0.25">
      <c r="A1276" s="1" t="str">
        <f>HYPERLINK("http://www.rosaceae.org/Prunus/Prunus_persica/p.persica_gdr_reftransV1_0018813","p.persica_gdr_reftransV1_0018813")</f>
        <v>p.persica_gdr_reftransV1_0018813</v>
      </c>
      <c r="B1276" s="3">
        <v>2720</v>
      </c>
      <c r="C1276" s="1" t="str">
        <f>HYPERLINK("http://www.uniprot.org/uniprot/SKI24_ARATH","SKI24_ARATH")</f>
        <v>SKI24_ARATH</v>
      </c>
      <c r="D1276" t="s">
        <v>1310</v>
      </c>
      <c r="E1276" s="3" t="s">
        <v>3</v>
      </c>
      <c r="F1276" s="4">
        <v>9.3999999999999998E-68</v>
      </c>
      <c r="G1276" s="3">
        <v>594</v>
      </c>
      <c r="H1276" s="3">
        <v>54</v>
      </c>
      <c r="I1276" s="3">
        <v>238</v>
      </c>
      <c r="J1276" s="3">
        <v>175</v>
      </c>
      <c r="K1276" s="3">
        <v>888</v>
      </c>
      <c r="L1276" s="3">
        <v>1</v>
      </c>
      <c r="M1276" s="3">
        <v>234</v>
      </c>
    </row>
    <row r="1277" spans="1:13" x14ac:dyDescent="0.25">
      <c r="A1277" s="1" t="str">
        <f>HYPERLINK("http://www.rosaceae.org/Prunus/Prunus_persica/p.persica_gdr_reftransV1_0018913","p.persica_gdr_reftransV1_0018913")</f>
        <v>p.persica_gdr_reftransV1_0018913</v>
      </c>
      <c r="B1277" s="3">
        <v>889</v>
      </c>
      <c r="C1277" s="1" t="str">
        <f>HYPERLINK("http://www.uniprot.org/uniprot/Y4449_ARATH","Y4449_ARATH")</f>
        <v>Y4449_ARATH</v>
      </c>
      <c r="D1277" t="s">
        <v>1311</v>
      </c>
      <c r="E1277" s="3" t="s">
        <v>3</v>
      </c>
      <c r="F1277" s="4">
        <v>1.7599999999999999E-7</v>
      </c>
      <c r="G1277" s="3">
        <v>133</v>
      </c>
      <c r="H1277" s="3">
        <v>51</v>
      </c>
      <c r="I1277" s="3">
        <v>49</v>
      </c>
      <c r="J1277" s="3">
        <v>554</v>
      </c>
      <c r="K1277" s="3">
        <v>700</v>
      </c>
      <c r="L1277" s="3">
        <v>330</v>
      </c>
      <c r="M1277" s="3">
        <v>378</v>
      </c>
    </row>
    <row r="1278" spans="1:13" x14ac:dyDescent="0.25">
      <c r="A1278" s="1" t="str">
        <f>HYPERLINK("http://www.rosaceae.org/Prunus/Prunus_persica/p.persica_gdr_reftransV1_0019163","p.persica_gdr_reftransV1_0019163")</f>
        <v>p.persica_gdr_reftransV1_0019163</v>
      </c>
      <c r="B1278" s="3">
        <v>1670</v>
      </c>
      <c r="C1278" s="1" t="str">
        <f>HYPERLINK("http://www.uniprot.org/uniprot/UBCP_ARATH","UBCP_ARATH")</f>
        <v>UBCP_ARATH</v>
      </c>
      <c r="D1278" t="s">
        <v>1312</v>
      </c>
      <c r="E1278" s="3" t="s">
        <v>3</v>
      </c>
      <c r="F1278" s="4">
        <v>2.9799999999999997E-91</v>
      </c>
      <c r="G1278" s="3">
        <v>725</v>
      </c>
      <c r="H1278" s="3">
        <v>83</v>
      </c>
      <c r="I1278" s="3">
        <v>157</v>
      </c>
      <c r="J1278" s="3">
        <v>968</v>
      </c>
      <c r="K1278" s="3">
        <v>1438</v>
      </c>
      <c r="L1278" s="3">
        <v>184</v>
      </c>
      <c r="M1278" s="3">
        <v>340</v>
      </c>
    </row>
    <row r="1279" spans="1:13" x14ac:dyDescent="0.25">
      <c r="A1279" s="1" t="str">
        <f>HYPERLINK("http://www.rosaceae.org/Prunus/Prunus_persica/p.persica_gdr_reftransV1_0019313","p.persica_gdr_reftransV1_0019313")</f>
        <v>p.persica_gdr_reftransV1_0019313</v>
      </c>
      <c r="B1279" s="3">
        <v>447</v>
      </c>
      <c r="C1279" s="1" t="str">
        <f>HYPERLINK("http://www.uniprot.org/uniprot/ACA12_ARATH","ACA12_ARATH")</f>
        <v>ACA12_ARATH</v>
      </c>
      <c r="D1279" t="s">
        <v>22</v>
      </c>
      <c r="E1279" s="3" t="s">
        <v>3</v>
      </c>
      <c r="F1279" s="4">
        <v>4.8399999999999999E-48</v>
      </c>
      <c r="G1279" s="3">
        <v>433</v>
      </c>
      <c r="H1279" s="3">
        <v>55</v>
      </c>
      <c r="I1279" s="3">
        <v>148</v>
      </c>
      <c r="J1279" s="3">
        <v>3</v>
      </c>
      <c r="K1279" s="3">
        <v>446</v>
      </c>
      <c r="L1279" s="3">
        <v>518</v>
      </c>
      <c r="M1279" s="3">
        <v>657</v>
      </c>
    </row>
    <row r="1280" spans="1:13" x14ac:dyDescent="0.25">
      <c r="A1280" s="1" t="str">
        <f>HYPERLINK("http://www.rosaceae.org/Prunus/Prunus_persica/p.persica_gdr_reftransV1_0019613","p.persica_gdr_reftransV1_0019613")</f>
        <v>p.persica_gdr_reftransV1_0019613</v>
      </c>
      <c r="B1280" s="3">
        <v>1282</v>
      </c>
      <c r="C1280" s="1" t="str">
        <f>HYPERLINK("http://www.uniprot.org/uniprot/PSA6_SOYBN","PSA6_SOYBN")</f>
        <v>PSA6_SOYBN</v>
      </c>
      <c r="D1280" t="s">
        <v>1313</v>
      </c>
      <c r="E1280" s="3" t="s">
        <v>307</v>
      </c>
      <c r="F1280" s="4">
        <v>9.4200000000000004E-158</v>
      </c>
      <c r="G1280" s="3">
        <v>1164</v>
      </c>
      <c r="H1280" s="3">
        <v>77</v>
      </c>
      <c r="I1280" s="3">
        <v>291</v>
      </c>
      <c r="J1280" s="3">
        <v>308</v>
      </c>
      <c r="K1280" s="3">
        <v>1180</v>
      </c>
      <c r="L1280" s="3">
        <v>1</v>
      </c>
      <c r="M1280" s="3">
        <v>246</v>
      </c>
    </row>
    <row r="1281" spans="1:13" x14ac:dyDescent="0.25">
      <c r="A1281" s="1" t="str">
        <f>HYPERLINK("http://www.rosaceae.org/Prunus/Prunus_persica/p.persica_gdr_reftransV1_0019913","p.persica_gdr_reftransV1_0019913")</f>
        <v>p.persica_gdr_reftransV1_0019913</v>
      </c>
      <c r="B1281" s="3">
        <v>777</v>
      </c>
      <c r="C1281" s="1" t="str">
        <f>HYPERLINK("http://www.uniprot.org/uniprot/WRK19_ARATH","WRK19_ARATH")</f>
        <v>WRK19_ARATH</v>
      </c>
      <c r="D1281" t="s">
        <v>1314</v>
      </c>
      <c r="E1281" s="3" t="s">
        <v>3</v>
      </c>
      <c r="F1281" s="4">
        <v>9.1699999999999996E-21</v>
      </c>
      <c r="G1281" s="3">
        <v>239</v>
      </c>
      <c r="H1281" s="3">
        <v>41</v>
      </c>
      <c r="I1281" s="3">
        <v>144</v>
      </c>
      <c r="J1281" s="3">
        <v>62</v>
      </c>
      <c r="K1281" s="3">
        <v>493</v>
      </c>
      <c r="L1281" s="3">
        <v>1305</v>
      </c>
      <c r="M1281" s="3">
        <v>1448</v>
      </c>
    </row>
    <row r="1282" spans="1:13" x14ac:dyDescent="0.25">
      <c r="A1282" s="1" t="str">
        <f>HYPERLINK("http://www.rosaceae.org/Prunus/Prunus_persica/p.persica_gdr_reftransV1_0020063","p.persica_gdr_reftransV1_0020063")</f>
        <v>p.persica_gdr_reftransV1_0020063</v>
      </c>
      <c r="B1282" s="3">
        <v>558</v>
      </c>
      <c r="C1282" s="1" t="str">
        <f>HYPERLINK("http://www.uniprot.org/uniprot/UXS5_ARATH","UXS5_ARATH")</f>
        <v>UXS5_ARATH</v>
      </c>
      <c r="D1282" t="s">
        <v>1315</v>
      </c>
      <c r="E1282" s="3" t="s">
        <v>3</v>
      </c>
      <c r="F1282" s="4">
        <v>7.6500000000000002E-50</v>
      </c>
      <c r="G1282" s="3">
        <v>430</v>
      </c>
      <c r="H1282" s="3">
        <v>65</v>
      </c>
      <c r="I1282" s="3">
        <v>135</v>
      </c>
      <c r="J1282" s="3">
        <v>1</v>
      </c>
      <c r="K1282" s="3">
        <v>405</v>
      </c>
      <c r="L1282" s="3">
        <v>240</v>
      </c>
      <c r="M1282" s="3">
        <v>341</v>
      </c>
    </row>
    <row r="1283" spans="1:13" x14ac:dyDescent="0.25">
      <c r="A1283" s="1" t="str">
        <f>HYPERLINK("http://www.rosaceae.org/Prunus/Prunus_persica/p.persica_gdr_reftransV1_0020213","p.persica_gdr_reftransV1_0020213")</f>
        <v>p.persica_gdr_reftransV1_0020213</v>
      </c>
      <c r="B1283" s="3">
        <v>4474</v>
      </c>
      <c r="C1283" s="1" t="str">
        <f>HYPERLINK("http://www.uniprot.org/uniprot/MYO1_ARATH","MYO1_ARATH")</f>
        <v>MYO1_ARATH</v>
      </c>
      <c r="D1283" t="s">
        <v>1316</v>
      </c>
      <c r="E1283" s="3" t="s">
        <v>3</v>
      </c>
      <c r="F1283" s="4">
        <v>0</v>
      </c>
      <c r="G1283" s="3">
        <v>3529</v>
      </c>
      <c r="H1283" s="3">
        <v>79</v>
      </c>
      <c r="I1283" s="3">
        <v>849</v>
      </c>
      <c r="J1283" s="3">
        <v>1549</v>
      </c>
      <c r="K1283" s="3">
        <v>4095</v>
      </c>
      <c r="L1283" s="3">
        <v>1</v>
      </c>
      <c r="M1283" s="3">
        <v>829</v>
      </c>
    </row>
    <row r="1284" spans="1:13" x14ac:dyDescent="0.25">
      <c r="A1284" s="1" t="str">
        <f>HYPERLINK("http://www.rosaceae.org/Prunus/Prunus_persica/p.persica_gdr_reftransV1_0020263","p.persica_gdr_reftransV1_0020263")</f>
        <v>p.persica_gdr_reftransV1_0020263</v>
      </c>
      <c r="B1284" s="3">
        <v>1392</v>
      </c>
      <c r="C1284" s="1" t="str">
        <f>HYPERLINK("http://www.uniprot.org/uniprot/APL_ARATH","APL_ARATH")</f>
        <v>APL_ARATH</v>
      </c>
      <c r="D1284" t="s">
        <v>1317</v>
      </c>
      <c r="E1284" s="3" t="s">
        <v>3</v>
      </c>
      <c r="F1284" s="4">
        <v>5.7400000000000004E-43</v>
      </c>
      <c r="G1284" s="3">
        <v>405</v>
      </c>
      <c r="H1284" s="3">
        <v>48</v>
      </c>
      <c r="I1284" s="3">
        <v>187</v>
      </c>
      <c r="J1284" s="3">
        <v>713</v>
      </c>
      <c r="K1284" s="3">
        <v>1273</v>
      </c>
      <c r="L1284" s="3">
        <v>28</v>
      </c>
      <c r="M1284" s="3">
        <v>172</v>
      </c>
    </row>
    <row r="1285" spans="1:13" x14ac:dyDescent="0.25">
      <c r="A1285" s="1" t="str">
        <f>HYPERLINK("http://www.rosaceae.org/Prunus/Prunus_persica/p.persica_gdr_reftransV1_0020313","p.persica_gdr_reftransV1_0020313")</f>
        <v>p.persica_gdr_reftransV1_0020313</v>
      </c>
      <c r="B1285" s="3">
        <v>1348</v>
      </c>
      <c r="C1285" s="1" t="str">
        <f>HYPERLINK("http://www.uniprot.org/uniprot/ZSWM7_DANRE","ZSWM7_DANRE")</f>
        <v>ZSWM7_DANRE</v>
      </c>
      <c r="D1285" t="s">
        <v>1318</v>
      </c>
      <c r="E1285" s="3" t="s">
        <v>704</v>
      </c>
      <c r="F1285" s="4">
        <v>2.57E-14</v>
      </c>
      <c r="G1285" s="3">
        <v>181</v>
      </c>
      <c r="H1285" s="3">
        <v>34</v>
      </c>
      <c r="I1285" s="3">
        <v>160</v>
      </c>
      <c r="J1285" s="3">
        <v>180</v>
      </c>
      <c r="K1285" s="3">
        <v>644</v>
      </c>
      <c r="L1285" s="3">
        <v>8</v>
      </c>
      <c r="M1285" s="3">
        <v>134</v>
      </c>
    </row>
    <row r="1286" spans="1:13" x14ac:dyDescent="0.25">
      <c r="A1286" s="1" t="str">
        <f>HYPERLINK("http://www.rosaceae.org/Prunus/Prunus_persica/p.persica_gdr_reftransV1_0020613","p.persica_gdr_reftransV1_0020613")</f>
        <v>p.persica_gdr_reftransV1_0020613</v>
      </c>
      <c r="B1286" s="3">
        <v>2001</v>
      </c>
      <c r="C1286" s="1" t="str">
        <f>HYPERLINK("http://www.uniprot.org/uniprot/AROD1_ARATH","AROD1_ARATH")</f>
        <v>AROD1_ARATH</v>
      </c>
      <c r="D1286" t="s">
        <v>1319</v>
      </c>
      <c r="E1286" s="3" t="s">
        <v>3</v>
      </c>
      <c r="F1286" s="4">
        <v>2.5199999999999999E-180</v>
      </c>
      <c r="G1286" s="3">
        <v>1352</v>
      </c>
      <c r="H1286" s="3">
        <v>66</v>
      </c>
      <c r="I1286" s="3">
        <v>396</v>
      </c>
      <c r="J1286" s="3">
        <v>516</v>
      </c>
      <c r="K1286" s="3">
        <v>1697</v>
      </c>
      <c r="L1286" s="3">
        <v>1</v>
      </c>
      <c r="M1286" s="3">
        <v>391</v>
      </c>
    </row>
    <row r="1287" spans="1:13" x14ac:dyDescent="0.25">
      <c r="A1287" s="1" t="str">
        <f>HYPERLINK("http://www.rosaceae.org/Prunus/Prunus_persica/p.persica_gdr_reftransV1_0020713","p.persica_gdr_reftransV1_0020713")</f>
        <v>p.persica_gdr_reftransV1_0020713</v>
      </c>
      <c r="B1287" s="3">
        <v>2551</v>
      </c>
      <c r="C1287" s="1" t="str">
        <f>HYPERLINK("http://www.uniprot.org/uniprot/CCA1_YEAST","CCA1_YEAST")</f>
        <v>CCA1_YEAST</v>
      </c>
      <c r="D1287" t="s">
        <v>1320</v>
      </c>
      <c r="E1287" s="3" t="s">
        <v>34</v>
      </c>
      <c r="F1287" s="4">
        <v>3.9800000000000002E-69</v>
      </c>
      <c r="G1287" s="3">
        <v>623</v>
      </c>
      <c r="H1287" s="3">
        <v>33</v>
      </c>
      <c r="I1287" s="3">
        <v>518</v>
      </c>
      <c r="J1287" s="3">
        <v>501</v>
      </c>
      <c r="K1287" s="3">
        <v>1943</v>
      </c>
      <c r="L1287" s="3">
        <v>63</v>
      </c>
      <c r="M1287" s="3">
        <v>546</v>
      </c>
    </row>
    <row r="1288" spans="1:13" x14ac:dyDescent="0.25">
      <c r="A1288" s="1" t="str">
        <f>HYPERLINK("http://www.rosaceae.org/Prunus/Prunus_persica/p.persica_gdr_reftransV1_0020913","p.persica_gdr_reftransV1_0020913")</f>
        <v>p.persica_gdr_reftransV1_0020913</v>
      </c>
      <c r="B1288" s="3">
        <v>1497</v>
      </c>
      <c r="C1288" s="1" t="str">
        <f>HYPERLINK("http://www.uniprot.org/uniprot/RNF25_MOUSE","RNF25_MOUSE")</f>
        <v>RNF25_MOUSE</v>
      </c>
      <c r="D1288" t="s">
        <v>1321</v>
      </c>
      <c r="E1288" s="3" t="s">
        <v>157</v>
      </c>
      <c r="F1288" s="4">
        <v>1.3399999999999999E-9</v>
      </c>
      <c r="G1288" s="3">
        <v>154</v>
      </c>
      <c r="H1288" s="3">
        <v>24</v>
      </c>
      <c r="I1288" s="3">
        <v>271</v>
      </c>
      <c r="J1288" s="3">
        <v>128</v>
      </c>
      <c r="K1288" s="3">
        <v>925</v>
      </c>
      <c r="L1288" s="3">
        <v>27</v>
      </c>
      <c r="M1288" s="3">
        <v>250</v>
      </c>
    </row>
    <row r="1289" spans="1:13" x14ac:dyDescent="0.25">
      <c r="A1289" s="1" t="str">
        <f>HYPERLINK("http://www.rosaceae.org/Prunus/Prunus_persica/p.persica_gdr_reftransV1_0021213","p.persica_gdr_reftransV1_0021213")</f>
        <v>p.persica_gdr_reftransV1_0021213</v>
      </c>
      <c r="B1289" s="3">
        <v>1467</v>
      </c>
      <c r="C1289" s="1" t="str">
        <f>HYPERLINK("http://www.uniprot.org/uniprot/SABP2_TOBAC","SABP2_TOBAC")</f>
        <v>SABP2_TOBAC</v>
      </c>
      <c r="D1289" t="s">
        <v>1322</v>
      </c>
      <c r="E1289" s="3" t="s">
        <v>200</v>
      </c>
      <c r="F1289" s="4">
        <v>7.9899999999999998E-33</v>
      </c>
      <c r="G1289" s="3">
        <v>325</v>
      </c>
      <c r="H1289" s="3">
        <v>41</v>
      </c>
      <c r="I1289" s="3">
        <v>181</v>
      </c>
      <c r="J1289" s="3">
        <v>943</v>
      </c>
      <c r="K1289" s="3">
        <v>1467</v>
      </c>
      <c r="L1289" s="3">
        <v>80</v>
      </c>
      <c r="M1289" s="3">
        <v>260</v>
      </c>
    </row>
    <row r="1290" spans="1:13" x14ac:dyDescent="0.25">
      <c r="A1290" s="1" t="str">
        <f>HYPERLINK("http://www.rosaceae.org/Prunus/Prunus_persica/p.persica_gdr_reftransV1_0021413","p.persica_gdr_reftransV1_0021413")</f>
        <v>p.persica_gdr_reftransV1_0021413</v>
      </c>
      <c r="B1290" s="3">
        <v>2293</v>
      </c>
      <c r="C1290" s="1" t="str">
        <f>HYPERLINK("http://www.uniprot.org/uniprot/TAD2B_ARATH","TAD2B_ARATH")</f>
        <v>TAD2B_ARATH</v>
      </c>
      <c r="D1290" t="s">
        <v>1323</v>
      </c>
      <c r="E1290" s="3" t="s">
        <v>3</v>
      </c>
      <c r="F1290" s="4">
        <v>0</v>
      </c>
      <c r="G1290" s="3">
        <v>1579</v>
      </c>
      <c r="H1290" s="3">
        <v>58</v>
      </c>
      <c r="I1290" s="3">
        <v>541</v>
      </c>
      <c r="J1290" s="3">
        <v>462</v>
      </c>
      <c r="K1290" s="3">
        <v>2084</v>
      </c>
      <c r="L1290" s="3">
        <v>18</v>
      </c>
      <c r="M1290" s="3">
        <v>486</v>
      </c>
    </row>
    <row r="1291" spans="1:13" x14ac:dyDescent="0.25">
      <c r="A1291" s="1" t="str">
        <f>HYPERLINK("http://www.rosaceae.org/Prunus/Prunus_persica/p.persica_gdr_reftransV1_0021513","p.persica_gdr_reftransV1_0021513")</f>
        <v>p.persica_gdr_reftransV1_0021513</v>
      </c>
      <c r="B1291" s="3">
        <v>2230</v>
      </c>
      <c r="C1291" s="1" t="str">
        <f>HYPERLINK("http://www.uniprot.org/uniprot/PP295_ARATH","PP295_ARATH")</f>
        <v>PP295_ARATH</v>
      </c>
      <c r="D1291" t="s">
        <v>1324</v>
      </c>
      <c r="E1291" s="3" t="s">
        <v>3</v>
      </c>
      <c r="F1291" s="4">
        <v>0</v>
      </c>
      <c r="G1291" s="3">
        <v>1976</v>
      </c>
      <c r="H1291" s="3">
        <v>64</v>
      </c>
      <c r="I1291" s="3">
        <v>573</v>
      </c>
      <c r="J1291" s="3">
        <v>411</v>
      </c>
      <c r="K1291" s="3">
        <v>2117</v>
      </c>
      <c r="L1291" s="3">
        <v>1</v>
      </c>
      <c r="M1291" s="3">
        <v>573</v>
      </c>
    </row>
    <row r="1292" spans="1:13" x14ac:dyDescent="0.25">
      <c r="A1292" s="1" t="str">
        <f>HYPERLINK("http://www.rosaceae.org/Prunus/Prunus_persica/p.persica_gdr_reftransV1_0021563","p.persica_gdr_reftransV1_0021563")</f>
        <v>p.persica_gdr_reftransV1_0021563</v>
      </c>
      <c r="B1292" s="3">
        <v>454</v>
      </c>
      <c r="C1292" s="1" t="str">
        <f>HYPERLINK("http://www.uniprot.org/uniprot/PP272_ARATH","PP272_ARATH")</f>
        <v>PP272_ARATH</v>
      </c>
      <c r="D1292" t="s">
        <v>658</v>
      </c>
      <c r="E1292" s="3" t="s">
        <v>3</v>
      </c>
      <c r="F1292" s="4">
        <v>3.6500000000000002E-47</v>
      </c>
      <c r="G1292" s="3">
        <v>424</v>
      </c>
      <c r="H1292" s="3">
        <v>49</v>
      </c>
      <c r="I1292" s="3">
        <v>150</v>
      </c>
      <c r="J1292" s="3">
        <v>2</v>
      </c>
      <c r="K1292" s="3">
        <v>451</v>
      </c>
      <c r="L1292" s="3">
        <v>525</v>
      </c>
      <c r="M1292" s="3">
        <v>674</v>
      </c>
    </row>
    <row r="1293" spans="1:13" x14ac:dyDescent="0.25">
      <c r="A1293" s="1" t="str">
        <f>HYPERLINK("http://www.rosaceae.org/Prunus/Prunus_persica/p.persica_gdr_reftransV1_0022113","p.persica_gdr_reftransV1_0022113")</f>
        <v>p.persica_gdr_reftransV1_0022113</v>
      </c>
      <c r="B1293" s="3">
        <v>3809</v>
      </c>
      <c r="C1293" s="1" t="str">
        <f>HYPERLINK("http://www.uniprot.org/uniprot/ACCH1_ARATH","ACCH1_ARATH")</f>
        <v>ACCH1_ARATH</v>
      </c>
      <c r="D1293" t="s">
        <v>1325</v>
      </c>
      <c r="E1293" s="3" t="s">
        <v>3</v>
      </c>
      <c r="F1293" s="4">
        <v>4.6899999999999998E-96</v>
      </c>
      <c r="G1293" s="3">
        <v>814</v>
      </c>
      <c r="H1293" s="3">
        <v>48</v>
      </c>
      <c r="I1293" s="3">
        <v>355</v>
      </c>
      <c r="J1293" s="3">
        <v>661</v>
      </c>
      <c r="K1293" s="3">
        <v>1701</v>
      </c>
      <c r="L1293" s="3">
        <v>12</v>
      </c>
      <c r="M1293" s="3">
        <v>358</v>
      </c>
    </row>
    <row r="1294" spans="1:13" x14ac:dyDescent="0.25">
      <c r="A1294" s="1" t="str">
        <f>HYPERLINK("http://www.rosaceae.org/Prunus/Prunus_persica/p.persica_gdr_reftransV1_0022463","p.persica_gdr_reftransV1_0022463")</f>
        <v>p.persica_gdr_reftransV1_0022463</v>
      </c>
      <c r="B1294" s="3">
        <v>1158</v>
      </c>
      <c r="C1294" s="1" t="str">
        <f>HYPERLINK("http://www.uniprot.org/uniprot/FLXL3_ARATH","FLXL3_ARATH")</f>
        <v>FLXL3_ARATH</v>
      </c>
      <c r="D1294" t="s">
        <v>1326</v>
      </c>
      <c r="E1294" s="3" t="s">
        <v>3</v>
      </c>
      <c r="F1294" s="4">
        <v>1.9000000000000001E-42</v>
      </c>
      <c r="G1294" s="3">
        <v>392</v>
      </c>
      <c r="H1294" s="3">
        <v>43</v>
      </c>
      <c r="I1294" s="3">
        <v>230</v>
      </c>
      <c r="J1294" s="3">
        <v>342</v>
      </c>
      <c r="K1294" s="3">
        <v>1001</v>
      </c>
      <c r="L1294" s="3">
        <v>1</v>
      </c>
      <c r="M1294" s="3">
        <v>229</v>
      </c>
    </row>
    <row r="1295" spans="1:13" x14ac:dyDescent="0.25">
      <c r="A1295" s="1" t="str">
        <f>HYPERLINK("http://www.rosaceae.org/Prunus/Prunus_persica/p.persica_gdr_reftransV1_0022613","p.persica_gdr_reftransV1_0022613")</f>
        <v>p.persica_gdr_reftransV1_0022613</v>
      </c>
      <c r="B1295" s="3">
        <v>3358</v>
      </c>
      <c r="C1295" s="1" t="str">
        <f>HYPERLINK("http://www.uniprot.org/uniprot/ASOL_BRANA","ASOL_BRANA")</f>
        <v>ASOL_BRANA</v>
      </c>
      <c r="D1295" t="s">
        <v>1327</v>
      </c>
      <c r="E1295" s="3" t="s">
        <v>776</v>
      </c>
      <c r="F1295" s="4">
        <v>1.1800000000000001E-116</v>
      </c>
      <c r="G1295" s="3">
        <v>972</v>
      </c>
      <c r="H1295" s="3">
        <v>56</v>
      </c>
      <c r="I1295" s="3">
        <v>366</v>
      </c>
      <c r="J1295" s="3">
        <v>432</v>
      </c>
      <c r="K1295" s="3">
        <v>1502</v>
      </c>
      <c r="L1295" s="3">
        <v>176</v>
      </c>
      <c r="M1295" s="3">
        <v>540</v>
      </c>
    </row>
    <row r="1296" spans="1:13" x14ac:dyDescent="0.25">
      <c r="A1296" s="1" t="str">
        <f>HYPERLINK("http://www.rosaceae.org/Prunus/Prunus_persica/p.persica_gdr_reftransV1_0022813","p.persica_gdr_reftransV1_0022813")</f>
        <v>p.persica_gdr_reftransV1_0022813</v>
      </c>
      <c r="B1296" s="3">
        <v>2251</v>
      </c>
      <c r="C1296" s="1" t="str">
        <f>HYPERLINK("http://www.uniprot.org/uniprot/FUT12_ARATH","FUT12_ARATH")</f>
        <v>FUT12_ARATH</v>
      </c>
      <c r="D1296" t="s">
        <v>1328</v>
      </c>
      <c r="E1296" s="3" t="s">
        <v>3</v>
      </c>
      <c r="F1296" s="4">
        <v>0</v>
      </c>
      <c r="G1296" s="3">
        <v>1819</v>
      </c>
      <c r="H1296" s="3">
        <v>66</v>
      </c>
      <c r="I1296" s="3">
        <v>516</v>
      </c>
      <c r="J1296" s="3">
        <v>355</v>
      </c>
      <c r="K1296" s="3">
        <v>1860</v>
      </c>
      <c r="L1296" s="3">
        <v>1</v>
      </c>
      <c r="M1296" s="3">
        <v>513</v>
      </c>
    </row>
    <row r="1297" spans="1:13" x14ac:dyDescent="0.25">
      <c r="A1297" s="1" t="str">
        <f>HYPERLINK("http://www.rosaceae.org/Prunus/Prunus_persica/p.persica_gdr_reftransV1_0022913","p.persica_gdr_reftransV1_0022913")</f>
        <v>p.persica_gdr_reftransV1_0022913</v>
      </c>
      <c r="B1297" s="3">
        <v>503</v>
      </c>
      <c r="C1297" s="1" t="str">
        <f>HYPERLINK("http://www.uniprot.org/uniprot/GAE4_ARATH","GAE4_ARATH")</f>
        <v>GAE4_ARATH</v>
      </c>
      <c r="D1297" t="s">
        <v>1329</v>
      </c>
      <c r="E1297" s="3" t="s">
        <v>3</v>
      </c>
      <c r="F1297" s="4">
        <v>1.2000000000000001E-90</v>
      </c>
      <c r="G1297" s="3">
        <v>709</v>
      </c>
      <c r="H1297" s="3">
        <v>79</v>
      </c>
      <c r="I1297" s="3">
        <v>167</v>
      </c>
      <c r="J1297" s="3">
        <v>1</v>
      </c>
      <c r="K1297" s="3">
        <v>501</v>
      </c>
      <c r="L1297" s="3">
        <v>120</v>
      </c>
      <c r="M1297" s="3">
        <v>286</v>
      </c>
    </row>
    <row r="1298" spans="1:13" x14ac:dyDescent="0.25">
      <c r="A1298" s="1" t="str">
        <f>HYPERLINK("http://www.rosaceae.org/Prunus/Prunus_persica/p.persica_gdr_reftransV1_0023013","p.persica_gdr_reftransV1_0023013")</f>
        <v>p.persica_gdr_reftransV1_0023013</v>
      </c>
      <c r="B1298" s="3">
        <v>2100</v>
      </c>
      <c r="C1298" s="1" t="str">
        <f>HYPERLINK("http://www.uniprot.org/uniprot/OXR1_MOUSE","OXR1_MOUSE")</f>
        <v>OXR1_MOUSE</v>
      </c>
      <c r="D1298" t="s">
        <v>1330</v>
      </c>
      <c r="E1298" s="3" t="s">
        <v>157</v>
      </c>
      <c r="F1298" s="4">
        <v>4.1100000000000001E-12</v>
      </c>
      <c r="G1298" s="3">
        <v>179</v>
      </c>
      <c r="H1298" s="3">
        <v>38</v>
      </c>
      <c r="I1298" s="3">
        <v>117</v>
      </c>
      <c r="J1298" s="3">
        <v>1220</v>
      </c>
      <c r="K1298" s="3">
        <v>1570</v>
      </c>
      <c r="L1298" s="3">
        <v>693</v>
      </c>
      <c r="M1298" s="3">
        <v>806</v>
      </c>
    </row>
    <row r="1299" spans="1:13" x14ac:dyDescent="0.25">
      <c r="A1299" s="1" t="str">
        <f>HYPERLINK("http://www.rosaceae.org/Prunus/Prunus_persica/p.persica_gdr_reftransV1_0023063","p.persica_gdr_reftransV1_0023063")</f>
        <v>p.persica_gdr_reftransV1_0023063</v>
      </c>
      <c r="B1299" s="3">
        <v>1554</v>
      </c>
      <c r="C1299" s="1" t="str">
        <f>HYPERLINK("http://www.uniprot.org/uniprot/DR102_ARATH","DR102_ARATH")</f>
        <v>DR102_ARATH</v>
      </c>
      <c r="D1299" t="s">
        <v>1331</v>
      </c>
      <c r="E1299" s="3" t="s">
        <v>3</v>
      </c>
      <c r="F1299" s="4">
        <v>9.5099999999999991E-137</v>
      </c>
      <c r="G1299" s="3">
        <v>1040</v>
      </c>
      <c r="H1299" s="3">
        <v>67</v>
      </c>
      <c r="I1299" s="3">
        <v>286</v>
      </c>
      <c r="J1299" s="3">
        <v>224</v>
      </c>
      <c r="K1299" s="3">
        <v>1072</v>
      </c>
      <c r="L1299" s="3">
        <v>6</v>
      </c>
      <c r="M1299" s="3">
        <v>289</v>
      </c>
    </row>
    <row r="1300" spans="1:13" x14ac:dyDescent="0.25">
      <c r="A1300" s="1" t="str">
        <f>HYPERLINK("http://www.rosaceae.org/Prunus/Prunus_persica/p.persica_gdr_reftransV1_0023113","p.persica_gdr_reftransV1_0023113")</f>
        <v>p.persica_gdr_reftransV1_0023113</v>
      </c>
      <c r="B1300" s="3">
        <v>3414</v>
      </c>
      <c r="C1300" s="1" t="str">
        <f>HYPERLINK("http://www.uniprot.org/uniprot/EBF1_ARATH","EBF1_ARATH")</f>
        <v>EBF1_ARATH</v>
      </c>
      <c r="D1300" t="s">
        <v>1332</v>
      </c>
      <c r="E1300" s="3" t="s">
        <v>3</v>
      </c>
      <c r="F1300" s="4">
        <v>0</v>
      </c>
      <c r="G1300" s="3">
        <v>1744</v>
      </c>
      <c r="H1300" s="3">
        <v>56</v>
      </c>
      <c r="I1300" s="3">
        <v>658</v>
      </c>
      <c r="J1300" s="3">
        <v>1269</v>
      </c>
      <c r="K1300" s="3">
        <v>3227</v>
      </c>
      <c r="L1300" s="3">
        <v>1</v>
      </c>
      <c r="M1300" s="3">
        <v>628</v>
      </c>
    </row>
    <row r="1301" spans="1:13" x14ac:dyDescent="0.25">
      <c r="A1301" s="1" t="str">
        <f>HYPERLINK("http://www.rosaceae.org/Prunus/Prunus_persica/p.persica_gdr_reftransV1_0023213","p.persica_gdr_reftransV1_0023213")</f>
        <v>p.persica_gdr_reftransV1_0023213</v>
      </c>
      <c r="B1301" s="3">
        <v>1445</v>
      </c>
      <c r="C1301" s="1" t="str">
        <f>HYPERLINK("http://www.uniprot.org/uniprot/CTL2_ARATH","CTL2_ARATH")</f>
        <v>CTL2_ARATH</v>
      </c>
      <c r="D1301" t="s">
        <v>1333</v>
      </c>
      <c r="E1301" s="3" t="s">
        <v>3</v>
      </c>
      <c r="F1301" s="4">
        <v>2.3199999999999998E-180</v>
      </c>
      <c r="G1301" s="3">
        <v>1327</v>
      </c>
      <c r="H1301" s="3">
        <v>85</v>
      </c>
      <c r="I1301" s="3">
        <v>285</v>
      </c>
      <c r="J1301" s="3">
        <v>203</v>
      </c>
      <c r="K1301" s="3">
        <v>1054</v>
      </c>
      <c r="L1301" s="3">
        <v>35</v>
      </c>
      <c r="M1301" s="3">
        <v>319</v>
      </c>
    </row>
    <row r="1302" spans="1:13" x14ac:dyDescent="0.25">
      <c r="A1302" s="1" t="str">
        <f>HYPERLINK("http://www.rosaceae.org/Prunus/Prunus_persica/p.persica_gdr_reftransV1_0024113","p.persica_gdr_reftransV1_0024113")</f>
        <v>p.persica_gdr_reftransV1_0024113</v>
      </c>
      <c r="B1302" s="3">
        <v>1346</v>
      </c>
      <c r="C1302" s="1" t="str">
        <f>HYPERLINK("http://www.uniprot.org/uniprot/EIF3G_DANRE","EIF3G_DANRE")</f>
        <v>EIF3G_DANRE</v>
      </c>
      <c r="D1302" t="s">
        <v>1334</v>
      </c>
      <c r="E1302" s="3" t="s">
        <v>704</v>
      </c>
      <c r="F1302" s="4">
        <v>4.5300000000000001E-52</v>
      </c>
      <c r="G1302" s="3">
        <v>464</v>
      </c>
      <c r="H1302" s="3">
        <v>41</v>
      </c>
      <c r="I1302" s="3">
        <v>270</v>
      </c>
      <c r="J1302" s="3">
        <v>218</v>
      </c>
      <c r="K1302" s="3">
        <v>982</v>
      </c>
      <c r="L1302" s="3">
        <v>29</v>
      </c>
      <c r="M1302" s="3">
        <v>288</v>
      </c>
    </row>
    <row r="1303" spans="1:13" x14ac:dyDescent="0.25">
      <c r="A1303" s="1" t="str">
        <f>HYPERLINK("http://www.rosaceae.org/Prunus/Prunus_persica/p.persica_gdr_reftransV1_0024263","p.persica_gdr_reftransV1_0024263")</f>
        <v>p.persica_gdr_reftransV1_0024263</v>
      </c>
      <c r="B1303" s="3">
        <v>2600</v>
      </c>
      <c r="C1303" s="1" t="str">
        <f>HYPERLINK("http://www.uniprot.org/uniprot/Y4837_ARATH","Y4837_ARATH")</f>
        <v>Y4837_ARATH</v>
      </c>
      <c r="D1303" t="s">
        <v>1335</v>
      </c>
      <c r="E1303" s="3" t="s">
        <v>3</v>
      </c>
      <c r="F1303" s="4">
        <v>4.6399999999999998E-23</v>
      </c>
      <c r="G1303" s="3">
        <v>270</v>
      </c>
      <c r="H1303" s="3">
        <v>25</v>
      </c>
      <c r="I1303" s="3">
        <v>563</v>
      </c>
      <c r="J1303" s="3">
        <v>375</v>
      </c>
      <c r="K1303" s="3">
        <v>1955</v>
      </c>
      <c r="L1303" s="3">
        <v>109</v>
      </c>
      <c r="M1303" s="3">
        <v>605</v>
      </c>
    </row>
    <row r="1304" spans="1:13" x14ac:dyDescent="0.25">
      <c r="A1304" s="1" t="str">
        <f>HYPERLINK("http://www.rosaceae.org/Prunus/Prunus_persica/p.persica_gdr_reftransV1_0024563","p.persica_gdr_reftransV1_0024563")</f>
        <v>p.persica_gdr_reftransV1_0024563</v>
      </c>
      <c r="B1304" s="3">
        <v>2577</v>
      </c>
      <c r="C1304" s="1" t="str">
        <f>HYPERLINK("http://www.uniprot.org/uniprot/RBL10_ARATH","RBL10_ARATH")</f>
        <v>RBL10_ARATH</v>
      </c>
      <c r="D1304" t="s">
        <v>1336</v>
      </c>
      <c r="E1304" s="3" t="s">
        <v>3</v>
      </c>
      <c r="F1304" s="4">
        <v>2.0800000000000001E-45</v>
      </c>
      <c r="G1304" s="3">
        <v>284</v>
      </c>
      <c r="H1304" s="3">
        <v>65</v>
      </c>
      <c r="I1304" s="3">
        <v>77</v>
      </c>
      <c r="J1304" s="3">
        <v>507</v>
      </c>
      <c r="K1304" s="3">
        <v>737</v>
      </c>
      <c r="L1304" s="3">
        <v>140</v>
      </c>
      <c r="M1304" s="3">
        <v>216</v>
      </c>
    </row>
    <row r="1305" spans="1:13" x14ac:dyDescent="0.25">
      <c r="A1305" s="1" t="str">
        <f>HYPERLINK("http://www.rosaceae.org/Prunus/Prunus_persica/p.persica_gdr_reftransV1_0024713","p.persica_gdr_reftransV1_0024713")</f>
        <v>p.persica_gdr_reftransV1_0024713</v>
      </c>
      <c r="B1305" s="3">
        <v>3057</v>
      </c>
      <c r="C1305" s="1" t="str">
        <f>HYPERLINK("http://www.uniprot.org/uniprot/DNLI1_ARATH","DNLI1_ARATH")</f>
        <v>DNLI1_ARATH</v>
      </c>
      <c r="D1305" t="s">
        <v>1337</v>
      </c>
      <c r="E1305" s="3" t="s">
        <v>3</v>
      </c>
      <c r="F1305" s="4">
        <v>0</v>
      </c>
      <c r="G1305" s="3">
        <v>2089</v>
      </c>
      <c r="H1305" s="3">
        <v>74</v>
      </c>
      <c r="I1305" s="3">
        <v>505</v>
      </c>
      <c r="J1305" s="3">
        <v>547</v>
      </c>
      <c r="K1305" s="3">
        <v>2061</v>
      </c>
      <c r="L1305" s="3">
        <v>286</v>
      </c>
      <c r="M1305" s="3">
        <v>790</v>
      </c>
    </row>
    <row r="1306" spans="1:13" x14ac:dyDescent="0.25">
      <c r="A1306" s="1" t="str">
        <f>HYPERLINK("http://www.rosaceae.org/Prunus/Prunus_persica/p.persica_gdr_reftransV1_0024763","p.persica_gdr_reftransV1_0024763")</f>
        <v>p.persica_gdr_reftransV1_0024763</v>
      </c>
      <c r="B1306" s="3">
        <v>472</v>
      </c>
      <c r="C1306" s="1" t="str">
        <f>HYPERLINK("http://www.uniprot.org/uniprot/FLS1_ARATH","FLS1_ARATH")</f>
        <v>FLS1_ARATH</v>
      </c>
      <c r="D1306" t="s">
        <v>1338</v>
      </c>
      <c r="E1306" s="3" t="s">
        <v>3</v>
      </c>
      <c r="F1306" s="4">
        <v>1.6500000000000001E-9</v>
      </c>
      <c r="G1306" s="3">
        <v>141</v>
      </c>
      <c r="H1306" s="3">
        <v>44</v>
      </c>
      <c r="I1306" s="3">
        <v>68</v>
      </c>
      <c r="J1306" s="3">
        <v>135</v>
      </c>
      <c r="K1306" s="3">
        <v>338</v>
      </c>
      <c r="L1306" s="3">
        <v>42</v>
      </c>
      <c r="M1306" s="3">
        <v>103</v>
      </c>
    </row>
    <row r="1307" spans="1:13" x14ac:dyDescent="0.25">
      <c r="A1307" s="1" t="str">
        <f>HYPERLINK("http://www.rosaceae.org/Prunus/Prunus_persica/p.persica_gdr_reftransV1_0024813","p.persica_gdr_reftransV1_0024813")</f>
        <v>p.persica_gdr_reftransV1_0024813</v>
      </c>
      <c r="B1307" s="3">
        <v>2899</v>
      </c>
      <c r="C1307" s="1" t="str">
        <f>HYPERLINK("http://www.uniprot.org/uniprot/WRK19_ARATH","WRK19_ARATH")</f>
        <v>WRK19_ARATH</v>
      </c>
      <c r="D1307" t="s">
        <v>1314</v>
      </c>
      <c r="E1307" s="3" t="s">
        <v>3</v>
      </c>
      <c r="F1307" s="4">
        <v>3.7300000000000002E-67</v>
      </c>
      <c r="G1307" s="3">
        <v>640</v>
      </c>
      <c r="H1307" s="3">
        <v>65</v>
      </c>
      <c r="I1307" s="3">
        <v>196</v>
      </c>
      <c r="J1307" s="3">
        <v>1178</v>
      </c>
      <c r="K1307" s="3">
        <v>1615</v>
      </c>
      <c r="L1307" s="3">
        <v>91</v>
      </c>
      <c r="M1307" s="3">
        <v>286</v>
      </c>
    </row>
    <row r="1308" spans="1:13" x14ac:dyDescent="0.25">
      <c r="A1308" s="1" t="str">
        <f>HYPERLINK("http://www.rosaceae.org/Prunus/Prunus_persica/p.persica_gdr_reftransV1_0025063","p.persica_gdr_reftransV1_0025063")</f>
        <v>p.persica_gdr_reftransV1_0025063</v>
      </c>
      <c r="B1308" s="3">
        <v>2868</v>
      </c>
      <c r="C1308" s="1" t="str">
        <f>HYPERLINK("http://www.uniprot.org/uniprot/RH47B_ORYSJ","RH47B_ORYSJ")</f>
        <v>RH47B_ORYSJ</v>
      </c>
      <c r="D1308" t="s">
        <v>1339</v>
      </c>
      <c r="E1308" s="3" t="s">
        <v>38</v>
      </c>
      <c r="F1308" s="4">
        <v>0</v>
      </c>
      <c r="G1308" s="3">
        <v>1781</v>
      </c>
      <c r="H1308" s="3">
        <v>65</v>
      </c>
      <c r="I1308" s="3">
        <v>554</v>
      </c>
      <c r="J1308" s="3">
        <v>448</v>
      </c>
      <c r="K1308" s="3">
        <v>2058</v>
      </c>
      <c r="L1308" s="3">
        <v>31</v>
      </c>
      <c r="M1308" s="3">
        <v>570</v>
      </c>
    </row>
    <row r="1309" spans="1:13" x14ac:dyDescent="0.25">
      <c r="A1309" s="1" t="str">
        <f>HYPERLINK("http://www.rosaceae.org/Prunus/Prunus_persica/p.persica_gdr_reftransV1_0025263","p.persica_gdr_reftransV1_0025263")</f>
        <v>p.persica_gdr_reftransV1_0025263</v>
      </c>
      <c r="B1309" s="3">
        <v>2786</v>
      </c>
      <c r="C1309" s="1" t="str">
        <f>HYPERLINK("http://www.uniprot.org/uniprot/PECT1_ARATH","PECT1_ARATH")</f>
        <v>PECT1_ARATH</v>
      </c>
      <c r="D1309" t="s">
        <v>1340</v>
      </c>
      <c r="E1309" s="3" t="s">
        <v>3</v>
      </c>
      <c r="F1309" s="4">
        <v>2.3400000000000001E-149</v>
      </c>
      <c r="G1309" s="3">
        <v>1170</v>
      </c>
      <c r="H1309" s="3">
        <v>88</v>
      </c>
      <c r="I1309" s="3">
        <v>250</v>
      </c>
      <c r="J1309" s="3">
        <v>1651</v>
      </c>
      <c r="K1309" s="3">
        <v>2394</v>
      </c>
      <c r="L1309" s="3">
        <v>45</v>
      </c>
      <c r="M1309" s="3">
        <v>294</v>
      </c>
    </row>
    <row r="1310" spans="1:13" x14ac:dyDescent="0.25">
      <c r="A1310" s="1" t="str">
        <f>HYPERLINK("http://www.rosaceae.org/Prunus/Prunus_persica/p.persica_gdr_reftransV1_0025513","p.persica_gdr_reftransV1_0025513")</f>
        <v>p.persica_gdr_reftransV1_0025513</v>
      </c>
      <c r="B1310" s="3">
        <v>2382</v>
      </c>
      <c r="C1310" s="1" t="str">
        <f>HYPERLINK("http://www.uniprot.org/uniprot/QKIL3_ARATH","QKIL3_ARATH")</f>
        <v>QKIL3_ARATH</v>
      </c>
      <c r="D1310" t="s">
        <v>1341</v>
      </c>
      <c r="E1310" s="3" t="s">
        <v>3</v>
      </c>
      <c r="F1310" s="4">
        <v>1.22E-141</v>
      </c>
      <c r="G1310" s="3">
        <v>1095</v>
      </c>
      <c r="H1310" s="3">
        <v>89</v>
      </c>
      <c r="I1310" s="3">
        <v>236</v>
      </c>
      <c r="J1310" s="3">
        <v>568</v>
      </c>
      <c r="K1310" s="3">
        <v>1266</v>
      </c>
      <c r="L1310" s="3">
        <v>1</v>
      </c>
      <c r="M1310" s="3">
        <v>236</v>
      </c>
    </row>
    <row r="1311" spans="1:13" x14ac:dyDescent="0.25">
      <c r="A1311" s="1" t="str">
        <f>HYPERLINK("http://www.rosaceae.org/Prunus/Prunus_persica/p.persica_gdr_reftransV1_0025613","p.persica_gdr_reftransV1_0025613")</f>
        <v>p.persica_gdr_reftransV1_0025613</v>
      </c>
      <c r="B1311" s="3">
        <v>2762</v>
      </c>
      <c r="C1311" s="1" t="str">
        <f>HYPERLINK("http://www.uniprot.org/uniprot/RD19A_ARATH","RD19A_ARATH")</f>
        <v>RD19A_ARATH</v>
      </c>
      <c r="D1311" t="s">
        <v>1342</v>
      </c>
      <c r="E1311" s="3" t="s">
        <v>3</v>
      </c>
      <c r="F1311" s="4">
        <v>1.2599999999999999E-95</v>
      </c>
      <c r="G1311" s="3">
        <v>799</v>
      </c>
      <c r="H1311" s="3">
        <v>83</v>
      </c>
      <c r="I1311" s="3">
        <v>174</v>
      </c>
      <c r="J1311" s="3">
        <v>1637</v>
      </c>
      <c r="K1311" s="3">
        <v>2158</v>
      </c>
      <c r="L1311" s="3">
        <v>193</v>
      </c>
      <c r="M1311" s="3">
        <v>366</v>
      </c>
    </row>
    <row r="1312" spans="1:13" x14ac:dyDescent="0.25">
      <c r="A1312" s="1" t="str">
        <f>HYPERLINK("http://www.rosaceae.org/Prunus/Prunus_persica/p.persica_gdr_reftransV1_0025763","p.persica_gdr_reftransV1_0025763")</f>
        <v>p.persica_gdr_reftransV1_0025763</v>
      </c>
      <c r="B1312" s="3">
        <v>2141</v>
      </c>
      <c r="C1312" s="1" t="str">
        <f>HYPERLINK("http://www.uniprot.org/uniprot/CAO_ARATH","CAO_ARATH")</f>
        <v>CAO_ARATH</v>
      </c>
      <c r="D1312" t="s">
        <v>1343</v>
      </c>
      <c r="E1312" s="3" t="s">
        <v>3</v>
      </c>
      <c r="F1312" s="4">
        <v>0</v>
      </c>
      <c r="G1312" s="3">
        <v>2057</v>
      </c>
      <c r="H1312" s="3">
        <v>72</v>
      </c>
      <c r="I1312" s="3">
        <v>574</v>
      </c>
      <c r="J1312" s="3">
        <v>57</v>
      </c>
      <c r="K1312" s="3">
        <v>1769</v>
      </c>
      <c r="L1312" s="3">
        <v>5</v>
      </c>
      <c r="M1312" s="3">
        <v>535</v>
      </c>
    </row>
    <row r="1313" spans="1:13" x14ac:dyDescent="0.25">
      <c r="A1313" s="1" t="str">
        <f>HYPERLINK("http://www.rosaceae.org/Prunus/Prunus_persica/p.persica_gdr_reftransV1_0026363","p.persica_gdr_reftransV1_0026363")</f>
        <v>p.persica_gdr_reftransV1_0026363</v>
      </c>
      <c r="B1313" s="3">
        <v>2875</v>
      </c>
      <c r="C1313" s="1" t="str">
        <f>HYPERLINK("http://www.uniprot.org/uniprot/CAD1_ARATH","CAD1_ARATH")</f>
        <v>CAD1_ARATH</v>
      </c>
      <c r="D1313" t="s">
        <v>1344</v>
      </c>
      <c r="E1313" s="3" t="s">
        <v>3</v>
      </c>
      <c r="F1313" s="4">
        <v>0</v>
      </c>
      <c r="G1313" s="3">
        <v>1427</v>
      </c>
      <c r="H1313" s="3">
        <v>78</v>
      </c>
      <c r="I1313" s="3">
        <v>331</v>
      </c>
      <c r="J1313" s="3">
        <v>1560</v>
      </c>
      <c r="K1313" s="3">
        <v>2552</v>
      </c>
      <c r="L1313" s="3">
        <v>25</v>
      </c>
      <c r="M1313" s="3">
        <v>355</v>
      </c>
    </row>
    <row r="1314" spans="1:13" x14ac:dyDescent="0.25">
      <c r="A1314" s="1" t="str">
        <f>HYPERLINK("http://www.rosaceae.org/Prunus/Prunus_persica/p.persica_gdr_reftransV1_0026463","p.persica_gdr_reftransV1_0026463")</f>
        <v>p.persica_gdr_reftransV1_0026463</v>
      </c>
      <c r="B1314" s="3">
        <v>5936</v>
      </c>
      <c r="C1314" s="1" t="str">
        <f>HYPERLINK("http://www.uniprot.org/uniprot/idM1_ARATH","idM1_ARATH")</f>
        <v>idM1_ARATH</v>
      </c>
      <c r="D1314" t="s">
        <v>1345</v>
      </c>
      <c r="E1314" s="3" t="s">
        <v>3</v>
      </c>
      <c r="F1314" s="4">
        <v>1.45E-86</v>
      </c>
      <c r="G1314" s="3">
        <v>807</v>
      </c>
      <c r="H1314" s="3">
        <v>41</v>
      </c>
      <c r="I1314" s="3">
        <v>455</v>
      </c>
      <c r="J1314" s="3">
        <v>2225</v>
      </c>
      <c r="K1314" s="3">
        <v>3568</v>
      </c>
      <c r="L1314" s="3">
        <v>586</v>
      </c>
      <c r="M1314" s="3">
        <v>1032</v>
      </c>
    </row>
    <row r="1315" spans="1:13" x14ac:dyDescent="0.25">
      <c r="A1315" s="1" t="str">
        <f>HYPERLINK("http://www.rosaceae.org/Prunus/Prunus_persica/p.persica_gdr_reftransV1_0026563","p.persica_gdr_reftransV1_0026563")</f>
        <v>p.persica_gdr_reftransV1_0026563</v>
      </c>
      <c r="B1315" s="3">
        <v>1226</v>
      </c>
      <c r="C1315" s="1" t="str">
        <f>HYPERLINK("http://www.uniprot.org/uniprot/IYO_ARATH","IYO_ARATH")</f>
        <v>IYO_ARATH</v>
      </c>
      <c r="D1315" t="s">
        <v>1346</v>
      </c>
      <c r="E1315" s="3" t="s">
        <v>3</v>
      </c>
      <c r="F1315" s="4">
        <v>5.6600000000000003E-62</v>
      </c>
      <c r="G1315" s="3">
        <v>566</v>
      </c>
      <c r="H1315" s="3">
        <v>41</v>
      </c>
      <c r="I1315" s="3">
        <v>406</v>
      </c>
      <c r="J1315" s="3">
        <v>132</v>
      </c>
      <c r="K1315" s="3">
        <v>1223</v>
      </c>
      <c r="L1315" s="3">
        <v>18</v>
      </c>
      <c r="M1315" s="3">
        <v>397</v>
      </c>
    </row>
    <row r="1316" spans="1:13" x14ac:dyDescent="0.25">
      <c r="A1316" s="1" t="str">
        <f>HYPERLINK("http://www.rosaceae.org/Prunus/Prunus_persica/p.persica_gdr_reftransV1_0026763","p.persica_gdr_reftransV1_0026763")</f>
        <v>p.persica_gdr_reftransV1_0026763</v>
      </c>
      <c r="B1316" s="3">
        <v>3230</v>
      </c>
      <c r="C1316" s="1" t="str">
        <f>HYPERLINK("http://www.uniprot.org/uniprot/GACP3_ARATH","GACP3_ARATH")</f>
        <v>GACP3_ARATH</v>
      </c>
      <c r="D1316" t="s">
        <v>1347</v>
      </c>
      <c r="E1316" s="3" t="s">
        <v>3</v>
      </c>
      <c r="F1316" s="4">
        <v>0</v>
      </c>
      <c r="G1316" s="3">
        <v>3443</v>
      </c>
      <c r="H1316" s="3">
        <v>78</v>
      </c>
      <c r="I1316" s="3">
        <v>850</v>
      </c>
      <c r="J1316" s="3">
        <v>557</v>
      </c>
      <c r="K1316" s="3">
        <v>3106</v>
      </c>
      <c r="L1316" s="3">
        <v>1</v>
      </c>
      <c r="M1316" s="3">
        <v>834</v>
      </c>
    </row>
    <row r="1317" spans="1:13" x14ac:dyDescent="0.25">
      <c r="A1317" s="1" t="str">
        <f>HYPERLINK("http://www.rosaceae.org/Prunus/Prunus_persica/p.persica_gdr_reftransV1_0027713","p.persica_gdr_reftransV1_0027713")</f>
        <v>p.persica_gdr_reftransV1_0027713</v>
      </c>
      <c r="B1317" s="3">
        <v>4293</v>
      </c>
      <c r="C1317" s="1" t="str">
        <f>HYPERLINK("http://www.uniprot.org/uniprot/STAD_RICCO","STAD_RICCO")</f>
        <v>STAD_RICCO</v>
      </c>
      <c r="D1317" t="s">
        <v>752</v>
      </c>
      <c r="E1317" s="3" t="s">
        <v>421</v>
      </c>
      <c r="F1317" s="4">
        <v>0</v>
      </c>
      <c r="G1317" s="3">
        <v>1712</v>
      </c>
      <c r="H1317" s="3">
        <v>85</v>
      </c>
      <c r="I1317" s="3">
        <v>364</v>
      </c>
      <c r="J1317" s="3">
        <v>2061</v>
      </c>
      <c r="K1317" s="3">
        <v>3152</v>
      </c>
      <c r="L1317" s="3">
        <v>33</v>
      </c>
      <c r="M1317" s="3">
        <v>396</v>
      </c>
    </row>
    <row r="1318" spans="1:13" x14ac:dyDescent="0.25">
      <c r="A1318" s="1" t="str">
        <f>HYPERLINK("http://www.rosaceae.org/Prunus/Prunus_persica/p.persica_gdr_reftransV1_0027763","p.persica_gdr_reftransV1_0027763")</f>
        <v>p.persica_gdr_reftransV1_0027763</v>
      </c>
      <c r="B1318" s="3">
        <v>4201</v>
      </c>
      <c r="C1318" s="1" t="str">
        <f>HYPERLINK("http://www.uniprot.org/uniprot/RPO1B_TOBAC","RPO1B_TOBAC")</f>
        <v>RPO1B_TOBAC</v>
      </c>
      <c r="D1318" t="s">
        <v>1348</v>
      </c>
      <c r="E1318" s="3" t="s">
        <v>200</v>
      </c>
      <c r="F1318" s="4">
        <v>0</v>
      </c>
      <c r="G1318" s="3">
        <v>2291</v>
      </c>
      <c r="H1318" s="3">
        <v>87</v>
      </c>
      <c r="I1318" s="3">
        <v>483</v>
      </c>
      <c r="J1318" s="3">
        <v>2074</v>
      </c>
      <c r="K1318" s="3">
        <v>3522</v>
      </c>
      <c r="L1318" s="3">
        <v>520</v>
      </c>
      <c r="M1318" s="3">
        <v>1002</v>
      </c>
    </row>
    <row r="1319" spans="1:13" x14ac:dyDescent="0.25">
      <c r="A1319" s="1" t="str">
        <f>HYPERLINK("http://www.rosaceae.org/Prunus/Prunus_persica/p.persica_gdr_reftransV1_0028513","p.persica_gdr_reftransV1_0028513")</f>
        <v>p.persica_gdr_reftransV1_0028513</v>
      </c>
      <c r="B1319" s="3">
        <v>1452</v>
      </c>
      <c r="C1319" s="1" t="str">
        <f>HYPERLINK("http://www.uniprot.org/uniprot/IN37_SPIOL","IN37_SPIOL")</f>
        <v>IN37_SPIOL</v>
      </c>
      <c r="D1319" t="s">
        <v>1349</v>
      </c>
      <c r="E1319" s="3" t="s">
        <v>131</v>
      </c>
      <c r="F1319" s="4">
        <v>4.2899999999999998E-162</v>
      </c>
      <c r="G1319" s="3">
        <v>1208</v>
      </c>
      <c r="H1319" s="3">
        <v>76</v>
      </c>
      <c r="I1319" s="3">
        <v>327</v>
      </c>
      <c r="J1319" s="3">
        <v>191</v>
      </c>
      <c r="K1319" s="3">
        <v>1165</v>
      </c>
      <c r="L1319" s="3">
        <v>1</v>
      </c>
      <c r="M1319" s="3">
        <v>322</v>
      </c>
    </row>
    <row r="1320" spans="1:13" x14ac:dyDescent="0.25">
      <c r="A1320" s="1" t="str">
        <f>HYPERLINK("http://www.rosaceae.org/Prunus/Prunus_persica/p.persica_gdr_reftransV1_0028613","p.persica_gdr_reftransV1_0028613")</f>
        <v>p.persica_gdr_reftransV1_0028613</v>
      </c>
      <c r="B1320" s="3">
        <v>9704</v>
      </c>
      <c r="C1320" s="1" t="str">
        <f>HYPERLINK("http://www.uniprot.org/uniprot/LVSC_DICDI","LVSC_DICDI")</f>
        <v>LVSC_DICDI</v>
      </c>
      <c r="D1320" t="s">
        <v>1350</v>
      </c>
      <c r="E1320" s="3" t="s">
        <v>9</v>
      </c>
      <c r="F1320" s="4">
        <v>6.0499999999999999E-125</v>
      </c>
      <c r="G1320" s="3">
        <v>1150</v>
      </c>
      <c r="H1320" s="3">
        <v>42</v>
      </c>
      <c r="I1320" s="3">
        <v>596</v>
      </c>
      <c r="J1320" s="3">
        <v>1156</v>
      </c>
      <c r="K1320" s="3">
        <v>2922</v>
      </c>
      <c r="L1320" s="3">
        <v>1790</v>
      </c>
      <c r="M1320" s="3">
        <v>2327</v>
      </c>
    </row>
    <row r="1321" spans="1:13" x14ac:dyDescent="0.25">
      <c r="A1321" s="1" t="str">
        <f>HYPERLINK("http://www.rosaceae.org/Prunus/Prunus_persica/p.persica_gdr_reftransV1_0028713","p.persica_gdr_reftransV1_0028713")</f>
        <v>p.persica_gdr_reftransV1_0028713</v>
      </c>
      <c r="B1321" s="3">
        <v>1690</v>
      </c>
      <c r="C1321" s="1" t="str">
        <f>HYPERLINK("http://www.uniprot.org/uniprot/NB5R1_ARATH","NB5R1_ARATH")</f>
        <v>NB5R1_ARATH</v>
      </c>
      <c r="D1321" t="s">
        <v>1351</v>
      </c>
      <c r="E1321" s="3" t="s">
        <v>3</v>
      </c>
      <c r="F1321" s="4">
        <v>1.09E-101</v>
      </c>
      <c r="G1321" s="3">
        <v>808</v>
      </c>
      <c r="H1321" s="3">
        <v>83</v>
      </c>
      <c r="I1321" s="3">
        <v>197</v>
      </c>
      <c r="J1321" s="3">
        <v>825</v>
      </c>
      <c r="K1321" s="3">
        <v>1409</v>
      </c>
      <c r="L1321" s="3">
        <v>4</v>
      </c>
      <c r="M1321" s="3">
        <v>200</v>
      </c>
    </row>
    <row r="1322" spans="1:13" x14ac:dyDescent="0.25">
      <c r="A1322" s="1" t="str">
        <f>HYPERLINK("http://www.rosaceae.org/Prunus/Prunus_persica/p.persica_gdr_reftransV1_0029063","p.persica_gdr_reftransV1_0029063")</f>
        <v>p.persica_gdr_reftransV1_0029063</v>
      </c>
      <c r="B1322" s="3">
        <v>1154</v>
      </c>
      <c r="C1322" s="1" t="str">
        <f>HYPERLINK("http://www.uniprot.org/uniprot/RK15_PEA","RK15_PEA")</f>
        <v>RK15_PEA</v>
      </c>
      <c r="D1322" t="s">
        <v>1352</v>
      </c>
      <c r="E1322" s="3" t="s">
        <v>60</v>
      </c>
      <c r="F1322" s="4">
        <v>3.5199999999999999E-105</v>
      </c>
      <c r="G1322" s="3">
        <v>813</v>
      </c>
      <c r="H1322" s="3">
        <v>77</v>
      </c>
      <c r="I1322" s="3">
        <v>230</v>
      </c>
      <c r="J1322" s="3">
        <v>138</v>
      </c>
      <c r="K1322" s="3">
        <v>824</v>
      </c>
      <c r="L1322" s="3">
        <v>20</v>
      </c>
      <c r="M1322" s="3">
        <v>247</v>
      </c>
    </row>
    <row r="1323" spans="1:13" x14ac:dyDescent="0.25">
      <c r="A1323" s="1" t="str">
        <f>HYPERLINK("http://www.rosaceae.org/Prunus/Prunus_persica/p.persica_gdr_reftransV1_0029263","p.persica_gdr_reftransV1_0029263")</f>
        <v>p.persica_gdr_reftransV1_0029263</v>
      </c>
      <c r="B1323" s="3">
        <v>878</v>
      </c>
      <c r="C1323" s="1" t="str">
        <f>HYPERLINK("http://www.uniprot.org/uniprot/H2A1_PEA","H2A1_PEA")</f>
        <v>H2A1_PEA</v>
      </c>
      <c r="D1323" t="s">
        <v>1353</v>
      </c>
      <c r="E1323" s="3" t="s">
        <v>60</v>
      </c>
      <c r="F1323" s="4">
        <v>1.7899999999999999E-40</v>
      </c>
      <c r="G1323" s="3">
        <v>362</v>
      </c>
      <c r="H1323" s="3">
        <v>81</v>
      </c>
      <c r="I1323" s="3">
        <v>103</v>
      </c>
      <c r="J1323" s="3">
        <v>133</v>
      </c>
      <c r="K1323" s="3">
        <v>441</v>
      </c>
      <c r="L1323" s="3">
        <v>23</v>
      </c>
      <c r="M1323" s="3">
        <v>125</v>
      </c>
    </row>
    <row r="1324" spans="1:13" x14ac:dyDescent="0.25">
      <c r="A1324" s="1" t="str">
        <f>HYPERLINK("http://www.rosaceae.org/Prunus/Prunus_persica/p.persica_gdr_reftransV1_0029313","p.persica_gdr_reftransV1_0029313")</f>
        <v>p.persica_gdr_reftransV1_0029313</v>
      </c>
      <c r="B1324" s="3">
        <v>1369</v>
      </c>
      <c r="C1324" s="1" t="str">
        <f>HYPERLINK("http://www.uniprot.org/uniprot/PAP4_ARATH","PAP4_ARATH")</f>
        <v>PAP4_ARATH</v>
      </c>
      <c r="D1324" t="s">
        <v>1354</v>
      </c>
      <c r="E1324" s="3" t="s">
        <v>3</v>
      </c>
      <c r="F1324" s="4">
        <v>3.8000000000000001E-88</v>
      </c>
      <c r="G1324" s="3">
        <v>704</v>
      </c>
      <c r="H1324" s="3">
        <v>65</v>
      </c>
      <c r="I1324" s="3">
        <v>206</v>
      </c>
      <c r="J1324" s="3">
        <v>522</v>
      </c>
      <c r="K1324" s="3">
        <v>1118</v>
      </c>
      <c r="L1324" s="3">
        <v>37</v>
      </c>
      <c r="M1324" s="3">
        <v>242</v>
      </c>
    </row>
    <row r="1325" spans="1:13" x14ac:dyDescent="0.25">
      <c r="A1325" s="1" t="str">
        <f>HYPERLINK("http://www.rosaceae.org/Prunus/Prunus_persica/p.persica_gdr_reftransV1_0029363","p.persica_gdr_reftransV1_0029363")</f>
        <v>p.persica_gdr_reftransV1_0029363</v>
      </c>
      <c r="B1325" s="3">
        <v>2478</v>
      </c>
      <c r="C1325" s="1" t="str">
        <f>HYPERLINK("http://www.uniprot.org/uniprot/C82A3_SOYBN","C82A3_SOYBN")</f>
        <v>C82A3_SOYBN</v>
      </c>
      <c r="D1325" t="s">
        <v>1355</v>
      </c>
      <c r="E1325" s="3" t="s">
        <v>307</v>
      </c>
      <c r="F1325" s="4">
        <v>3.46E-163</v>
      </c>
      <c r="G1325" s="3">
        <v>1265</v>
      </c>
      <c r="H1325" s="3">
        <v>50</v>
      </c>
      <c r="I1325" s="3">
        <v>542</v>
      </c>
      <c r="J1325" s="3">
        <v>89</v>
      </c>
      <c r="K1325" s="3">
        <v>1699</v>
      </c>
      <c r="L1325" s="3">
        <v>14</v>
      </c>
      <c r="M1325" s="3">
        <v>525</v>
      </c>
    </row>
    <row r="1326" spans="1:13" x14ac:dyDescent="0.25">
      <c r="A1326" s="1" t="str">
        <f>HYPERLINK("http://www.rosaceae.org/Prunus/Prunus_persica/p.persica_gdr_reftransV1_0029713","p.persica_gdr_reftransV1_0029713")</f>
        <v>p.persica_gdr_reftransV1_0029713</v>
      </c>
      <c r="B1326" s="3">
        <v>2458</v>
      </c>
      <c r="C1326" s="1" t="str">
        <f>HYPERLINK("http://www.uniprot.org/uniprot/POLH_ARATH","POLH_ARATH")</f>
        <v>POLH_ARATH</v>
      </c>
      <c r="D1326" t="s">
        <v>1356</v>
      </c>
      <c r="E1326" s="3" t="s">
        <v>3</v>
      </c>
      <c r="F1326" s="4">
        <v>0</v>
      </c>
      <c r="G1326" s="3">
        <v>2157</v>
      </c>
      <c r="H1326" s="3">
        <v>60</v>
      </c>
      <c r="I1326" s="3">
        <v>723</v>
      </c>
      <c r="J1326" s="3">
        <v>72</v>
      </c>
      <c r="K1326" s="3">
        <v>2225</v>
      </c>
      <c r="L1326" s="3">
        <v>1</v>
      </c>
      <c r="M1326" s="3">
        <v>669</v>
      </c>
    </row>
    <row r="1327" spans="1:13" x14ac:dyDescent="0.25">
      <c r="A1327" s="1" t="str">
        <f>HYPERLINK("http://www.rosaceae.org/Prunus/Prunus_persica/p.persica_gdr_reftransV1_0029763","p.persica_gdr_reftransV1_0029763")</f>
        <v>p.persica_gdr_reftransV1_0029763</v>
      </c>
      <c r="B1327" s="3">
        <v>5621</v>
      </c>
      <c r="C1327" s="1" t="str">
        <f>HYPERLINK("http://www.uniprot.org/uniprot/TOB1A_XENLA","TOB1A_XENLA")</f>
        <v>TOB1A_XENLA</v>
      </c>
      <c r="D1327" t="s">
        <v>1357</v>
      </c>
      <c r="E1327" s="3" t="s">
        <v>475</v>
      </c>
      <c r="F1327" s="4">
        <v>3.46E-9</v>
      </c>
      <c r="G1327" s="3">
        <v>160</v>
      </c>
      <c r="H1327" s="3">
        <v>29</v>
      </c>
      <c r="I1327" s="3">
        <v>156</v>
      </c>
      <c r="J1327" s="3">
        <v>952</v>
      </c>
      <c r="K1327" s="3">
        <v>1383</v>
      </c>
      <c r="L1327" s="3">
        <v>599</v>
      </c>
      <c r="M1327" s="3">
        <v>750</v>
      </c>
    </row>
    <row r="1328" spans="1:13" x14ac:dyDescent="0.25">
      <c r="A1328" s="1" t="str">
        <f>HYPERLINK("http://www.rosaceae.org/Prunus/Prunus_persica/p.persica_gdr_reftransV1_0029813","p.persica_gdr_reftransV1_0029813")</f>
        <v>p.persica_gdr_reftransV1_0029813</v>
      </c>
      <c r="B1328" s="3">
        <v>792</v>
      </c>
      <c r="C1328" s="1" t="str">
        <f>HYPERLINK("http://www.uniprot.org/uniprot/UMEC_ARMRU","UMEC_ARMRU")</f>
        <v>UMEC_ARMRU</v>
      </c>
      <c r="D1328" t="s">
        <v>1358</v>
      </c>
      <c r="E1328" s="3" t="s">
        <v>1359</v>
      </c>
      <c r="F1328" s="4">
        <v>4.1300000000000001E-16</v>
      </c>
      <c r="G1328" s="3">
        <v>186</v>
      </c>
      <c r="H1328" s="3">
        <v>41</v>
      </c>
      <c r="I1328" s="3">
        <v>91</v>
      </c>
      <c r="J1328" s="3">
        <v>448</v>
      </c>
      <c r="K1328" s="3">
        <v>711</v>
      </c>
      <c r="L1328" s="3">
        <v>11</v>
      </c>
      <c r="M1328" s="3">
        <v>101</v>
      </c>
    </row>
    <row r="1329" spans="1:13" x14ac:dyDescent="0.25">
      <c r="A1329" s="1" t="str">
        <f>HYPERLINK("http://www.rosaceae.org/Prunus/Prunus_persica/p.persica_gdr_reftransV1_0029963","p.persica_gdr_reftransV1_0029963")</f>
        <v>p.persica_gdr_reftransV1_0029963</v>
      </c>
      <c r="B1329" s="3">
        <v>2038</v>
      </c>
      <c r="C1329" s="1" t="str">
        <f>HYPERLINK("http://www.uniprot.org/uniprot/MCA4_ARATH","MCA4_ARATH")</f>
        <v>MCA4_ARATH</v>
      </c>
      <c r="D1329" t="s">
        <v>1360</v>
      </c>
      <c r="E1329" s="3" t="s">
        <v>3</v>
      </c>
      <c r="F1329" s="4">
        <v>3.0700000000000001E-108</v>
      </c>
      <c r="G1329" s="3">
        <v>874</v>
      </c>
      <c r="H1329" s="3">
        <v>58</v>
      </c>
      <c r="I1329" s="3">
        <v>308</v>
      </c>
      <c r="J1329" s="3">
        <v>66</v>
      </c>
      <c r="K1329" s="3">
        <v>968</v>
      </c>
      <c r="L1329" s="3">
        <v>113</v>
      </c>
      <c r="M1329" s="3">
        <v>418</v>
      </c>
    </row>
    <row r="1330" spans="1:13" x14ac:dyDescent="0.25">
      <c r="A1330" s="1" t="str">
        <f>HYPERLINK("http://www.rosaceae.org/Prunus/Prunus_persica/p.persica_gdr_reftransV1_0030163","p.persica_gdr_reftransV1_0030163")</f>
        <v>p.persica_gdr_reftransV1_0030163</v>
      </c>
      <c r="B1330" s="3">
        <v>1683</v>
      </c>
      <c r="C1330" s="1" t="str">
        <f>HYPERLINK("http://www.uniprot.org/uniprot/HHP2_ARATH","HHP2_ARATH")</f>
        <v>HHP2_ARATH</v>
      </c>
      <c r="D1330" t="s">
        <v>1361</v>
      </c>
      <c r="E1330" s="3" t="s">
        <v>3</v>
      </c>
      <c r="F1330" s="4">
        <v>7.5499999999999996E-129</v>
      </c>
      <c r="G1330" s="3">
        <v>996</v>
      </c>
      <c r="H1330" s="3">
        <v>57</v>
      </c>
      <c r="I1330" s="3">
        <v>371</v>
      </c>
      <c r="J1330" s="3">
        <v>277</v>
      </c>
      <c r="K1330" s="3">
        <v>1389</v>
      </c>
      <c r="L1330" s="3">
        <v>34</v>
      </c>
      <c r="M1330" s="3">
        <v>358</v>
      </c>
    </row>
    <row r="1331" spans="1:13" x14ac:dyDescent="0.25">
      <c r="A1331" s="1" t="str">
        <f>HYPERLINK("http://www.rosaceae.org/Prunus/Prunus_persica/p.persica_gdr_reftransV1_0030413","p.persica_gdr_reftransV1_0030413")</f>
        <v>p.persica_gdr_reftransV1_0030413</v>
      </c>
      <c r="B1331" s="3">
        <v>2031</v>
      </c>
      <c r="C1331" s="1" t="str">
        <f>HYPERLINK("http://www.uniprot.org/uniprot/PFKA3_ARATH","PFKA3_ARATH")</f>
        <v>PFKA3_ARATH</v>
      </c>
      <c r="D1331" t="s">
        <v>1362</v>
      </c>
      <c r="E1331" s="3" t="s">
        <v>3</v>
      </c>
      <c r="F1331" s="4">
        <v>7.7299999999999997E-90</v>
      </c>
      <c r="G1331" s="3">
        <v>755</v>
      </c>
      <c r="H1331" s="3">
        <v>81</v>
      </c>
      <c r="I1331" s="3">
        <v>175</v>
      </c>
      <c r="J1331" s="3">
        <v>465</v>
      </c>
      <c r="K1331" s="3">
        <v>989</v>
      </c>
      <c r="L1331" s="3">
        <v>201</v>
      </c>
      <c r="M1331" s="3">
        <v>375</v>
      </c>
    </row>
    <row r="1332" spans="1:13" x14ac:dyDescent="0.25">
      <c r="A1332" s="1" t="str">
        <f>HYPERLINK("http://www.rosaceae.org/Prunus/Prunus_persica/p.persica_gdr_reftransV1_0030463","p.persica_gdr_reftransV1_0030463")</f>
        <v>p.persica_gdr_reftransV1_0030463</v>
      </c>
      <c r="B1332" s="3">
        <v>649</v>
      </c>
      <c r="C1332" s="1" t="str">
        <f>HYPERLINK("http://www.uniprot.org/uniprot/IPYR6_ARATH","IPYR6_ARATH")</f>
        <v>IPYR6_ARATH</v>
      </c>
      <c r="D1332" t="s">
        <v>1363</v>
      </c>
      <c r="E1332" s="3" t="s">
        <v>3</v>
      </c>
      <c r="F1332" s="4">
        <v>4.4899999999999995E-44</v>
      </c>
      <c r="G1332" s="3">
        <v>391</v>
      </c>
      <c r="H1332" s="3">
        <v>59</v>
      </c>
      <c r="I1332" s="3">
        <v>138</v>
      </c>
      <c r="J1332" s="3">
        <v>162</v>
      </c>
      <c r="K1332" s="3">
        <v>566</v>
      </c>
      <c r="L1332" s="3">
        <v>18</v>
      </c>
      <c r="M1332" s="3">
        <v>150</v>
      </c>
    </row>
    <row r="1333" spans="1:13" x14ac:dyDescent="0.25">
      <c r="A1333" s="1" t="str">
        <f>HYPERLINK("http://www.rosaceae.org/Prunus/Prunus_persica/p.persica_gdr_reftransV1_0030563","p.persica_gdr_reftransV1_0030563")</f>
        <v>p.persica_gdr_reftransV1_0030563</v>
      </c>
      <c r="B1333" s="3">
        <v>1829</v>
      </c>
      <c r="C1333" s="1" t="str">
        <f>HYPERLINK("http://www.uniprot.org/uniprot/PPA27_ARATH","PPA27_ARATH")</f>
        <v>PPA27_ARATH</v>
      </c>
      <c r="D1333" t="s">
        <v>1364</v>
      </c>
      <c r="E1333" s="3" t="s">
        <v>3</v>
      </c>
      <c r="F1333" s="4">
        <v>0</v>
      </c>
      <c r="G1333" s="3">
        <v>2145</v>
      </c>
      <c r="H1333" s="3">
        <v>77</v>
      </c>
      <c r="I1333" s="3">
        <v>521</v>
      </c>
      <c r="J1333" s="3">
        <v>1</v>
      </c>
      <c r="K1333" s="3">
        <v>1557</v>
      </c>
      <c r="L1333" s="3">
        <v>92</v>
      </c>
      <c r="M1333" s="3">
        <v>611</v>
      </c>
    </row>
    <row r="1334" spans="1:13" x14ac:dyDescent="0.25">
      <c r="A1334" s="1" t="str">
        <f>HYPERLINK("http://www.rosaceae.org/Prunus/Prunus_persica/p.persica_gdr_reftransV1_0030663","p.persica_gdr_reftransV1_0030663")</f>
        <v>p.persica_gdr_reftransV1_0030663</v>
      </c>
      <c r="B1334" s="3">
        <v>2764</v>
      </c>
      <c r="C1334" s="1" t="str">
        <f>HYPERLINK("http://www.uniprot.org/uniprot/SDL5A_SOYBN","SDL5A_SOYBN")</f>
        <v>SDL5A_SOYBN</v>
      </c>
      <c r="D1334" t="s">
        <v>1365</v>
      </c>
      <c r="E1334" s="3" t="s">
        <v>307</v>
      </c>
      <c r="F1334" s="4">
        <v>0</v>
      </c>
      <c r="G1334" s="3">
        <v>1372</v>
      </c>
      <c r="H1334" s="3">
        <v>89</v>
      </c>
      <c r="I1334" s="3">
        <v>284</v>
      </c>
      <c r="J1334" s="3">
        <v>861</v>
      </c>
      <c r="K1334" s="3">
        <v>1712</v>
      </c>
      <c r="L1334" s="3">
        <v>161</v>
      </c>
      <c r="M1334" s="3">
        <v>444</v>
      </c>
    </row>
    <row r="1335" spans="1:13" x14ac:dyDescent="0.25">
      <c r="A1335" s="1" t="str">
        <f>HYPERLINK("http://www.rosaceae.org/Prunus/Prunus_persica/p.persica_gdr_reftransV1_0030713","p.persica_gdr_reftransV1_0030713")</f>
        <v>p.persica_gdr_reftransV1_0030713</v>
      </c>
      <c r="B1335" s="3">
        <v>2223</v>
      </c>
      <c r="C1335" s="1" t="str">
        <f>HYPERLINK("http://www.uniprot.org/uniprot/P2C55_ARATH","P2C55_ARATH")</f>
        <v>P2C55_ARATH</v>
      </c>
      <c r="D1335" t="s">
        <v>1366</v>
      </c>
      <c r="E1335" s="3" t="s">
        <v>3</v>
      </c>
      <c r="F1335" s="4">
        <v>1.0200000000000001E-175</v>
      </c>
      <c r="G1335" s="3">
        <v>1336</v>
      </c>
      <c r="H1335" s="3">
        <v>62</v>
      </c>
      <c r="I1335" s="3">
        <v>474</v>
      </c>
      <c r="J1335" s="3">
        <v>711</v>
      </c>
      <c r="K1335" s="3">
        <v>2126</v>
      </c>
      <c r="L1335" s="3">
        <v>8</v>
      </c>
      <c r="M1335" s="3">
        <v>451</v>
      </c>
    </row>
    <row r="1336" spans="1:13" x14ac:dyDescent="0.25">
      <c r="A1336" s="1" t="str">
        <f>HYPERLINK("http://www.rosaceae.org/Prunus/Prunus_persica/p.persica_gdr_reftransV1_0030763","p.persica_gdr_reftransV1_0030763")</f>
        <v>p.persica_gdr_reftransV1_0030763</v>
      </c>
      <c r="B1336" s="3">
        <v>1445</v>
      </c>
      <c r="C1336" s="1" t="str">
        <f>HYPERLINK("http://www.uniprot.org/uniprot/BH113_ARATH","BH113_ARATH")</f>
        <v>BH113_ARATH</v>
      </c>
      <c r="D1336" t="s">
        <v>1287</v>
      </c>
      <c r="E1336" s="3" t="s">
        <v>3</v>
      </c>
      <c r="F1336" s="4">
        <v>1.09E-16</v>
      </c>
      <c r="G1336" s="3">
        <v>206</v>
      </c>
      <c r="H1336" s="3">
        <v>40</v>
      </c>
      <c r="I1336" s="3">
        <v>132</v>
      </c>
      <c r="J1336" s="3">
        <v>344</v>
      </c>
      <c r="K1336" s="3">
        <v>730</v>
      </c>
      <c r="L1336" s="3">
        <v>121</v>
      </c>
      <c r="M1336" s="3">
        <v>251</v>
      </c>
    </row>
    <row r="1337" spans="1:13" x14ac:dyDescent="0.25">
      <c r="A1337" s="1" t="str">
        <f>HYPERLINK("http://www.rosaceae.org/Prunus/Prunus_persica/p.persica_gdr_reftransV1_0031063","p.persica_gdr_reftransV1_0031063")</f>
        <v>p.persica_gdr_reftransV1_0031063</v>
      </c>
      <c r="B1337" s="3">
        <v>2099</v>
      </c>
      <c r="C1337" s="1" t="str">
        <f>HYPERLINK("http://www.uniprot.org/uniprot/PDXK_ARATH","PDXK_ARATH")</f>
        <v>PDXK_ARATH</v>
      </c>
      <c r="D1337" t="s">
        <v>1367</v>
      </c>
      <c r="E1337" s="3" t="s">
        <v>3</v>
      </c>
      <c r="F1337" s="4">
        <v>1.31E-74</v>
      </c>
      <c r="G1337" s="3">
        <v>636</v>
      </c>
      <c r="H1337" s="3">
        <v>81</v>
      </c>
      <c r="I1337" s="3">
        <v>164</v>
      </c>
      <c r="J1337" s="3">
        <v>1188</v>
      </c>
      <c r="K1337" s="3">
        <v>1679</v>
      </c>
      <c r="L1337" s="3">
        <v>146</v>
      </c>
      <c r="M1337" s="3">
        <v>309</v>
      </c>
    </row>
    <row r="1338" spans="1:13" x14ac:dyDescent="0.25">
      <c r="A1338" s="1" t="str">
        <f>HYPERLINK("http://www.rosaceae.org/Prunus/Prunus_persica/p.persica_gdr_reftransV1_0031263","p.persica_gdr_reftransV1_0031263")</f>
        <v>p.persica_gdr_reftransV1_0031263</v>
      </c>
      <c r="B1338" s="3">
        <v>1824</v>
      </c>
      <c r="C1338" s="1" t="str">
        <f>HYPERLINK("http://www.uniprot.org/uniprot/TGS1_MOUSE","TGS1_MOUSE")</f>
        <v>TGS1_MOUSE</v>
      </c>
      <c r="D1338" t="s">
        <v>1368</v>
      </c>
      <c r="E1338" s="3" t="s">
        <v>157</v>
      </c>
      <c r="F1338" s="4">
        <v>5.8899999999999999E-33</v>
      </c>
      <c r="G1338" s="3">
        <v>348</v>
      </c>
      <c r="H1338" s="3">
        <v>57</v>
      </c>
      <c r="I1338" s="3">
        <v>114</v>
      </c>
      <c r="J1338" s="3">
        <v>1284</v>
      </c>
      <c r="K1338" s="3">
        <v>1607</v>
      </c>
      <c r="L1338" s="3">
        <v>634</v>
      </c>
      <c r="M1338" s="3">
        <v>745</v>
      </c>
    </row>
    <row r="1339" spans="1:13" x14ac:dyDescent="0.25">
      <c r="A1339" s="1" t="str">
        <f>HYPERLINK("http://www.rosaceae.org/Prunus/Prunus_persica/p.persica_gdr_reftransV1_0031813","p.persica_gdr_reftransV1_0031813")</f>
        <v>p.persica_gdr_reftransV1_0031813</v>
      </c>
      <c r="B1339" s="3">
        <v>3712</v>
      </c>
      <c r="C1339" s="1" t="str">
        <f>HYPERLINK("http://www.uniprot.org/uniprot/RER1_ARATH","RER1_ARATH")</f>
        <v>RER1_ARATH</v>
      </c>
      <c r="D1339" t="s">
        <v>1369</v>
      </c>
      <c r="E1339" s="3" t="s">
        <v>3</v>
      </c>
      <c r="F1339" s="4">
        <v>4.2799999999999999E-8</v>
      </c>
      <c r="G1339" s="3">
        <v>146</v>
      </c>
      <c r="H1339" s="3">
        <v>29</v>
      </c>
      <c r="I1339" s="3">
        <v>140</v>
      </c>
      <c r="J1339" s="3">
        <v>2254</v>
      </c>
      <c r="K1339" s="3">
        <v>2652</v>
      </c>
      <c r="L1339" s="3">
        <v>209</v>
      </c>
      <c r="M1339" s="3">
        <v>347</v>
      </c>
    </row>
    <row r="1340" spans="1:13" x14ac:dyDescent="0.25">
      <c r="A1340" s="1" t="str">
        <f>HYPERLINK("http://www.rosaceae.org/Prunus/Prunus_persica/p.persica_gdr_reftransV1_0031863","p.persica_gdr_reftransV1_0031863")</f>
        <v>p.persica_gdr_reftransV1_0031863</v>
      </c>
      <c r="B1340" s="3">
        <v>3111</v>
      </c>
      <c r="C1340" s="1" t="str">
        <f>HYPERLINK("http://www.uniprot.org/uniprot/M810_ARATH","M810_ARATH")</f>
        <v>M810_ARATH</v>
      </c>
      <c r="D1340" t="s">
        <v>92</v>
      </c>
      <c r="E1340" s="3" t="s">
        <v>3</v>
      </c>
      <c r="F1340" s="4">
        <v>1.3599999999999999E-39</v>
      </c>
      <c r="G1340" s="3">
        <v>385</v>
      </c>
      <c r="H1340" s="3">
        <v>58</v>
      </c>
      <c r="I1340" s="3">
        <v>126</v>
      </c>
      <c r="J1340" s="3">
        <v>2701</v>
      </c>
      <c r="K1340" s="3">
        <v>3075</v>
      </c>
      <c r="L1340" s="3">
        <v>100</v>
      </c>
      <c r="M1340" s="3">
        <v>225</v>
      </c>
    </row>
    <row r="1341" spans="1:13" x14ac:dyDescent="0.25">
      <c r="A1341" s="1" t="str">
        <f>HYPERLINK("http://www.rosaceae.org/Prunus/Prunus_persica/p.persica_gdr_reftransV1_0032113","p.persica_gdr_reftransV1_0032113")</f>
        <v>p.persica_gdr_reftransV1_0032113</v>
      </c>
      <c r="B1341" s="3">
        <v>1853</v>
      </c>
      <c r="C1341" s="1" t="str">
        <f>HYPERLINK("http://www.uniprot.org/uniprot/HEXP_LEIMA","HEXP_LEIMA")</f>
        <v>HEXP_LEIMA</v>
      </c>
      <c r="D1341" t="s">
        <v>1370</v>
      </c>
      <c r="E1341" s="3" t="s">
        <v>1371</v>
      </c>
      <c r="F1341" s="4">
        <v>8.4200000000000005E-17</v>
      </c>
      <c r="G1341" s="3">
        <v>209</v>
      </c>
      <c r="H1341" s="3">
        <v>33</v>
      </c>
      <c r="I1341" s="3">
        <v>210</v>
      </c>
      <c r="J1341" s="3">
        <v>535</v>
      </c>
      <c r="K1341" s="3">
        <v>1065</v>
      </c>
      <c r="L1341" s="3">
        <v>10</v>
      </c>
      <c r="M1341" s="3">
        <v>217</v>
      </c>
    </row>
    <row r="1342" spans="1:13" x14ac:dyDescent="0.25">
      <c r="A1342" s="1" t="str">
        <f>HYPERLINK("http://www.rosaceae.org/Prunus/Prunus_persica/p.persica_gdr_reftransV1_0032463","p.persica_gdr_reftransV1_0032463")</f>
        <v>p.persica_gdr_reftransV1_0032463</v>
      </c>
      <c r="B1342" s="3">
        <v>1719</v>
      </c>
      <c r="C1342" s="1" t="str">
        <f>HYPERLINK("http://www.uniprot.org/uniprot/PPR4_ARATH","PPR4_ARATH")</f>
        <v>PPR4_ARATH</v>
      </c>
      <c r="D1342" t="s">
        <v>1372</v>
      </c>
      <c r="E1342" s="3" t="s">
        <v>3</v>
      </c>
      <c r="F1342" s="4">
        <v>4.8199999999999995E-94</v>
      </c>
      <c r="G1342" s="3">
        <v>779</v>
      </c>
      <c r="H1342" s="3">
        <v>53</v>
      </c>
      <c r="I1342" s="3">
        <v>290</v>
      </c>
      <c r="J1342" s="3">
        <v>5</v>
      </c>
      <c r="K1342" s="3">
        <v>868</v>
      </c>
      <c r="L1342" s="3">
        <v>229</v>
      </c>
      <c r="M1342" s="3">
        <v>517</v>
      </c>
    </row>
    <row r="1343" spans="1:13" x14ac:dyDescent="0.25">
      <c r="A1343" s="1" t="str">
        <f>HYPERLINK("http://www.rosaceae.org/Prunus/Prunus_persica/p.persica_gdr_reftransV1_0032513","p.persica_gdr_reftransV1_0032513")</f>
        <v>p.persica_gdr_reftransV1_0032513</v>
      </c>
      <c r="B1343" s="3">
        <v>1573</v>
      </c>
      <c r="C1343" s="1" t="str">
        <f>HYPERLINK("http://www.uniprot.org/uniprot/IST1_BOVIN","IST1_BOVIN")</f>
        <v>IST1_BOVIN</v>
      </c>
      <c r="D1343" t="s">
        <v>1373</v>
      </c>
      <c r="E1343" s="3" t="s">
        <v>184</v>
      </c>
      <c r="F1343" s="4">
        <v>1.38E-25</v>
      </c>
      <c r="G1343" s="3">
        <v>278</v>
      </c>
      <c r="H1343" s="3">
        <v>34</v>
      </c>
      <c r="I1343" s="3">
        <v>217</v>
      </c>
      <c r="J1343" s="3">
        <v>628</v>
      </c>
      <c r="K1343" s="3">
        <v>1275</v>
      </c>
      <c r="L1343" s="3">
        <v>1</v>
      </c>
      <c r="M1343" s="3">
        <v>181</v>
      </c>
    </row>
    <row r="1344" spans="1:13" x14ac:dyDescent="0.25">
      <c r="A1344" s="1" t="str">
        <f>HYPERLINK("http://www.rosaceae.org/Prunus/Prunus_persica/p.persica_gdr_reftransV1_0032713","p.persica_gdr_reftransV1_0032713")</f>
        <v>p.persica_gdr_reftransV1_0032713</v>
      </c>
      <c r="B1344" s="3">
        <v>838</v>
      </c>
      <c r="C1344" s="1" t="str">
        <f>HYPERLINK("http://www.uniprot.org/uniprot/YLS3_ARATH","YLS3_ARATH")</f>
        <v>YLS3_ARATH</v>
      </c>
      <c r="D1344" t="s">
        <v>1374</v>
      </c>
      <c r="E1344" s="3" t="s">
        <v>3</v>
      </c>
      <c r="F1344" s="4">
        <v>1.7699999999999999E-29</v>
      </c>
      <c r="G1344" s="3">
        <v>289</v>
      </c>
      <c r="H1344" s="3">
        <v>40</v>
      </c>
      <c r="I1344" s="3">
        <v>131</v>
      </c>
      <c r="J1344" s="3">
        <v>357</v>
      </c>
      <c r="K1344" s="3">
        <v>749</v>
      </c>
      <c r="L1344" s="3">
        <v>1</v>
      </c>
      <c r="M1344" s="3">
        <v>131</v>
      </c>
    </row>
    <row r="1345" spans="1:13" x14ac:dyDescent="0.25">
      <c r="A1345" s="1" t="str">
        <f>HYPERLINK("http://www.rosaceae.org/Prunus/Prunus_persica/p.persica_gdr_reftransV1_0033263","p.persica_gdr_reftransV1_0033263")</f>
        <v>p.persica_gdr_reftransV1_0033263</v>
      </c>
      <c r="B1345" s="3">
        <v>701</v>
      </c>
      <c r="C1345" s="1" t="str">
        <f>HYPERLINK("http://www.uniprot.org/uniprot/TMVRN_NICGU","TMVRN_NICGU")</f>
        <v>TMVRN_NICGU</v>
      </c>
      <c r="D1345" t="s">
        <v>151</v>
      </c>
      <c r="E1345" s="3" t="s">
        <v>152</v>
      </c>
      <c r="F1345" s="4">
        <v>1.57E-37</v>
      </c>
      <c r="G1345" s="3">
        <v>365</v>
      </c>
      <c r="H1345" s="3">
        <v>35</v>
      </c>
      <c r="I1345" s="3">
        <v>232</v>
      </c>
      <c r="J1345" s="3">
        <v>1</v>
      </c>
      <c r="K1345" s="3">
        <v>696</v>
      </c>
      <c r="L1345" s="3">
        <v>456</v>
      </c>
      <c r="M1345" s="3">
        <v>678</v>
      </c>
    </row>
    <row r="1346" spans="1:13" x14ac:dyDescent="0.25">
      <c r="A1346" s="1" t="str">
        <f>HYPERLINK("http://www.rosaceae.org/Prunus/Prunus_persica/p.persica_gdr_reftransV1_0033713","p.persica_gdr_reftransV1_0033713")</f>
        <v>p.persica_gdr_reftransV1_0033713</v>
      </c>
      <c r="B1346" s="3">
        <v>1742</v>
      </c>
      <c r="C1346" s="1" t="str">
        <f>HYPERLINK("http://www.uniprot.org/uniprot/RD23B_ARATH","RD23B_ARATH")</f>
        <v>RD23B_ARATH</v>
      </c>
      <c r="D1346" t="s">
        <v>1375</v>
      </c>
      <c r="E1346" s="3" t="s">
        <v>3</v>
      </c>
      <c r="F1346" s="4">
        <v>3.5099999999999997E-176</v>
      </c>
      <c r="G1346" s="3">
        <v>1314</v>
      </c>
      <c r="H1346" s="3">
        <v>67</v>
      </c>
      <c r="I1346" s="3">
        <v>404</v>
      </c>
      <c r="J1346" s="3">
        <v>428</v>
      </c>
      <c r="K1346" s="3">
        <v>1621</v>
      </c>
      <c r="L1346" s="3">
        <v>1</v>
      </c>
      <c r="M1346" s="3">
        <v>371</v>
      </c>
    </row>
    <row r="1347" spans="1:13" x14ac:dyDescent="0.25">
      <c r="A1347" s="1" t="str">
        <f>HYPERLINK("http://www.rosaceae.org/Prunus/Prunus_persica/p.persica_gdr_reftransV1_0033763","p.persica_gdr_reftransV1_0033763")</f>
        <v>p.persica_gdr_reftransV1_0033763</v>
      </c>
      <c r="B1347" s="3">
        <v>3349</v>
      </c>
      <c r="C1347" s="1" t="str">
        <f>HYPERLINK("http://www.uniprot.org/uniprot/ARK2_ARATH","ARK2_ARATH")</f>
        <v>ARK2_ARATH</v>
      </c>
      <c r="D1347" t="s">
        <v>1376</v>
      </c>
      <c r="E1347" s="3" t="s">
        <v>3</v>
      </c>
      <c r="F1347" s="4">
        <v>0</v>
      </c>
      <c r="G1347" s="3">
        <v>2597</v>
      </c>
      <c r="H1347" s="3">
        <v>75</v>
      </c>
      <c r="I1347" s="3">
        <v>722</v>
      </c>
      <c r="J1347" s="3">
        <v>1089</v>
      </c>
      <c r="K1347" s="3">
        <v>3236</v>
      </c>
      <c r="L1347" s="3">
        <v>5</v>
      </c>
      <c r="M1347" s="3">
        <v>708</v>
      </c>
    </row>
    <row r="1348" spans="1:13" x14ac:dyDescent="0.25">
      <c r="A1348" s="1" t="str">
        <f>HYPERLINK("http://www.rosaceae.org/Prunus/Prunus_persica/p.persica_gdr_reftransV1_0033813","p.persica_gdr_reftransV1_0033813")</f>
        <v>p.persica_gdr_reftransV1_0033813</v>
      </c>
      <c r="B1348" s="3">
        <v>1491</v>
      </c>
      <c r="C1348" s="1" t="str">
        <f>HYPERLINK("http://www.uniprot.org/uniprot/GAT1_ARATH","GAT1_ARATH")</f>
        <v>GAT1_ARATH</v>
      </c>
      <c r="D1348" t="s">
        <v>1377</v>
      </c>
      <c r="E1348" s="3" t="s">
        <v>3</v>
      </c>
      <c r="F1348" s="4">
        <v>4.72E-70</v>
      </c>
      <c r="G1348" s="3">
        <v>603</v>
      </c>
      <c r="H1348" s="3">
        <v>33</v>
      </c>
      <c r="I1348" s="3">
        <v>431</v>
      </c>
      <c r="J1348" s="3">
        <v>145</v>
      </c>
      <c r="K1348" s="3">
        <v>1401</v>
      </c>
      <c r="L1348" s="3">
        <v>27</v>
      </c>
      <c r="M1348" s="3">
        <v>451</v>
      </c>
    </row>
    <row r="1349" spans="1:13" x14ac:dyDescent="0.25">
      <c r="A1349" s="1" t="str">
        <f>HYPERLINK("http://www.rosaceae.org/Prunus/Prunus_persica/p.persica_gdr_reftransV1_0033913","p.persica_gdr_reftransV1_0033913")</f>
        <v>p.persica_gdr_reftransV1_0033913</v>
      </c>
      <c r="B1349" s="3">
        <v>2596</v>
      </c>
      <c r="C1349" s="1" t="str">
        <f>HYPERLINK("http://www.uniprot.org/uniprot/DPHS1_ARATH","DPHS1_ARATH")</f>
        <v>DPHS1_ARATH</v>
      </c>
      <c r="D1349" t="s">
        <v>1378</v>
      </c>
      <c r="E1349" s="3" t="s">
        <v>3</v>
      </c>
      <c r="F1349" s="4">
        <v>0</v>
      </c>
      <c r="G1349" s="3">
        <v>2394</v>
      </c>
      <c r="H1349" s="3">
        <v>70</v>
      </c>
      <c r="I1349" s="3">
        <v>769</v>
      </c>
      <c r="J1349" s="3">
        <v>71</v>
      </c>
      <c r="K1349" s="3">
        <v>2341</v>
      </c>
      <c r="L1349" s="3">
        <v>151</v>
      </c>
      <c r="M1349" s="3">
        <v>914</v>
      </c>
    </row>
    <row r="1350" spans="1:13" x14ac:dyDescent="0.25">
      <c r="A1350" s="1" t="str">
        <f>HYPERLINK("http://www.rosaceae.org/Prunus/Prunus_persica/p.persica_gdr_reftransV1_0034113","p.persica_gdr_reftransV1_0034113")</f>
        <v>p.persica_gdr_reftransV1_0034113</v>
      </c>
      <c r="B1350" s="3">
        <v>435</v>
      </c>
      <c r="C1350" s="1" t="str">
        <f>HYPERLINK("http://www.uniprot.org/uniprot/ANAG_HUMAN","ANAG_HUMAN")</f>
        <v>ANAG_HUMAN</v>
      </c>
      <c r="D1350" t="s">
        <v>1379</v>
      </c>
      <c r="E1350" s="3" t="s">
        <v>28</v>
      </c>
      <c r="F1350" s="4">
        <v>4.5100000000000003E-15</v>
      </c>
      <c r="G1350" s="3">
        <v>186</v>
      </c>
      <c r="H1350" s="3">
        <v>31</v>
      </c>
      <c r="I1350" s="3">
        <v>138</v>
      </c>
      <c r="J1350" s="3">
        <v>3</v>
      </c>
      <c r="K1350" s="3">
        <v>416</v>
      </c>
      <c r="L1350" s="3">
        <v>602</v>
      </c>
      <c r="M1350" s="3">
        <v>734</v>
      </c>
    </row>
    <row r="1351" spans="1:13" x14ac:dyDescent="0.25">
      <c r="A1351" s="1" t="str">
        <f>HYPERLINK("http://www.rosaceae.org/Prunus/Prunus_persica/p.persica_gdr_reftransV1_0034463","p.persica_gdr_reftransV1_0034463")</f>
        <v>p.persica_gdr_reftransV1_0034463</v>
      </c>
      <c r="B1351" s="3">
        <v>2989</v>
      </c>
      <c r="C1351" s="1" t="str">
        <f>HYPERLINK("http://www.uniprot.org/uniprot/Y3037_ARATH","Y3037_ARATH")</f>
        <v>Y3037_ARATH</v>
      </c>
      <c r="D1351" t="s">
        <v>566</v>
      </c>
      <c r="E1351" s="3" t="s">
        <v>3</v>
      </c>
      <c r="F1351" s="4">
        <v>0</v>
      </c>
      <c r="G1351" s="3">
        <v>1845</v>
      </c>
      <c r="H1351" s="3">
        <v>57</v>
      </c>
      <c r="I1351" s="3">
        <v>738</v>
      </c>
      <c r="J1351" s="3">
        <v>564</v>
      </c>
      <c r="K1351" s="3">
        <v>2762</v>
      </c>
      <c r="L1351" s="3">
        <v>43</v>
      </c>
      <c r="M1351" s="3">
        <v>771</v>
      </c>
    </row>
    <row r="1352" spans="1:13" x14ac:dyDescent="0.25">
      <c r="A1352" s="1" t="str">
        <f>HYPERLINK("http://www.rosaceae.org/Prunus/Prunus_persica/p.persica_gdr_reftransV1_0034813","p.persica_gdr_reftransV1_0034813")</f>
        <v>p.persica_gdr_reftransV1_0034813</v>
      </c>
      <c r="B1352" s="3">
        <v>1329</v>
      </c>
      <c r="C1352" s="1" t="str">
        <f>HYPERLINK("http://www.uniprot.org/uniprot/METL5_MOUSE","METL5_MOUSE")</f>
        <v>METL5_MOUSE</v>
      </c>
      <c r="D1352" t="s">
        <v>1380</v>
      </c>
      <c r="E1352" s="3" t="s">
        <v>157</v>
      </c>
      <c r="F1352" s="4">
        <v>2.65E-26</v>
      </c>
      <c r="G1352" s="3">
        <v>272</v>
      </c>
      <c r="H1352" s="3">
        <v>57</v>
      </c>
      <c r="I1352" s="3">
        <v>93</v>
      </c>
      <c r="J1352" s="3">
        <v>797</v>
      </c>
      <c r="K1352" s="3">
        <v>1072</v>
      </c>
      <c r="L1352" s="3">
        <v>117</v>
      </c>
      <c r="M1352" s="3">
        <v>207</v>
      </c>
    </row>
    <row r="1353" spans="1:13" x14ac:dyDescent="0.25">
      <c r="A1353" s="1" t="str">
        <f>HYPERLINK("http://www.rosaceae.org/Prunus/Prunus_persica/p.persica_gdr_reftransV1_0034963","p.persica_gdr_reftransV1_0034963")</f>
        <v>p.persica_gdr_reftransV1_0034963</v>
      </c>
      <c r="B1353" s="3">
        <v>3008</v>
      </c>
      <c r="C1353" s="1" t="str">
        <f>HYPERLINK("http://www.uniprot.org/uniprot/LIPN_MOUSE","LIPN_MOUSE")</f>
        <v>LIPN_MOUSE</v>
      </c>
      <c r="D1353" t="s">
        <v>1381</v>
      </c>
      <c r="E1353" s="3" t="s">
        <v>157</v>
      </c>
      <c r="F1353" s="4">
        <v>1.3600000000000001E-12</v>
      </c>
      <c r="G1353" s="3">
        <v>182</v>
      </c>
      <c r="H1353" s="3">
        <v>26</v>
      </c>
      <c r="I1353" s="3">
        <v>291</v>
      </c>
      <c r="J1353" s="3">
        <v>1607</v>
      </c>
      <c r="K1353" s="3">
        <v>2434</v>
      </c>
      <c r="L1353" s="3">
        <v>108</v>
      </c>
      <c r="M1353" s="3">
        <v>356</v>
      </c>
    </row>
    <row r="1354" spans="1:13" x14ac:dyDescent="0.25">
      <c r="A1354" s="1" t="str">
        <f>HYPERLINK("http://www.rosaceae.org/Prunus/Prunus_persica/p.persica_gdr_reftransV1_0035213","p.persica_gdr_reftransV1_0035213")</f>
        <v>p.persica_gdr_reftransV1_0035213</v>
      </c>
      <c r="B1354" s="3">
        <v>1928</v>
      </c>
      <c r="C1354" s="1" t="str">
        <f>HYPERLINK("http://www.uniprot.org/uniprot/INV1_ARATH","INV1_ARATH")</f>
        <v>INV1_ARATH</v>
      </c>
      <c r="D1354" t="s">
        <v>1382</v>
      </c>
      <c r="E1354" s="3" t="s">
        <v>3</v>
      </c>
      <c r="F1354" s="4">
        <v>0</v>
      </c>
      <c r="G1354" s="3">
        <v>2042</v>
      </c>
      <c r="H1354" s="3">
        <v>68</v>
      </c>
      <c r="I1354" s="3">
        <v>557</v>
      </c>
      <c r="J1354" s="3">
        <v>81</v>
      </c>
      <c r="K1354" s="3">
        <v>1730</v>
      </c>
      <c r="L1354" s="3">
        <v>30</v>
      </c>
      <c r="M1354" s="3">
        <v>584</v>
      </c>
    </row>
    <row r="1355" spans="1:13" x14ac:dyDescent="0.25">
      <c r="A1355" s="1" t="str">
        <f>HYPERLINK("http://www.rosaceae.org/Prunus/Prunus_persica/p.persica_gdr_reftransV1_0035263","p.persica_gdr_reftransV1_0035263")</f>
        <v>p.persica_gdr_reftransV1_0035263</v>
      </c>
      <c r="B1355" s="3">
        <v>2742</v>
      </c>
      <c r="C1355" s="1" t="str">
        <f>HYPERLINK("http://www.uniprot.org/uniprot/P2C16_ARATH","P2C16_ARATH")</f>
        <v>P2C16_ARATH</v>
      </c>
      <c r="D1355" t="s">
        <v>1383</v>
      </c>
      <c r="E1355" s="3" t="s">
        <v>3</v>
      </c>
      <c r="F1355" s="4">
        <v>2.4999999999999999E-150</v>
      </c>
      <c r="G1355" s="3">
        <v>1185</v>
      </c>
      <c r="H1355" s="3">
        <v>65</v>
      </c>
      <c r="I1355" s="3">
        <v>340</v>
      </c>
      <c r="J1355" s="3">
        <v>248</v>
      </c>
      <c r="K1355" s="3">
        <v>1267</v>
      </c>
      <c r="L1355" s="3">
        <v>179</v>
      </c>
      <c r="M1355" s="3">
        <v>511</v>
      </c>
    </row>
    <row r="1356" spans="1:13" x14ac:dyDescent="0.25">
      <c r="A1356" s="1" t="str">
        <f>HYPERLINK("http://www.rosaceae.org/Prunus/Prunus_persica/p.persica_gdr_reftransV1_0035513","p.persica_gdr_reftransV1_0035513")</f>
        <v>p.persica_gdr_reftransV1_0035513</v>
      </c>
      <c r="B1356" s="3">
        <v>3119</v>
      </c>
      <c r="C1356" s="1" t="str">
        <f>HYPERLINK("http://www.uniprot.org/uniprot/NUDT8_ARATH","NUDT8_ARATH")</f>
        <v>NUDT8_ARATH</v>
      </c>
      <c r="D1356" t="s">
        <v>1384</v>
      </c>
      <c r="E1356" s="3" t="s">
        <v>3</v>
      </c>
      <c r="F1356" s="4">
        <v>8.8099999999999993E-62</v>
      </c>
      <c r="G1356" s="3">
        <v>559</v>
      </c>
      <c r="H1356" s="3">
        <v>53</v>
      </c>
      <c r="I1356" s="3">
        <v>227</v>
      </c>
      <c r="J1356" s="3">
        <v>1849</v>
      </c>
      <c r="K1356" s="3">
        <v>2523</v>
      </c>
      <c r="L1356" s="3">
        <v>15</v>
      </c>
      <c r="M1356" s="3">
        <v>229</v>
      </c>
    </row>
    <row r="1357" spans="1:13" x14ac:dyDescent="0.25">
      <c r="A1357" s="1" t="str">
        <f>HYPERLINK("http://www.rosaceae.org/Prunus/Prunus_persica/p.persica_gdr_reftransV1_0035713","p.persica_gdr_reftransV1_0035713")</f>
        <v>p.persica_gdr_reftransV1_0035713</v>
      </c>
      <c r="B1357" s="3">
        <v>3754</v>
      </c>
      <c r="C1357" s="1" t="str">
        <f>HYPERLINK("http://www.uniprot.org/uniprot/TMK1_ARATH","TMK1_ARATH")</f>
        <v>TMK1_ARATH</v>
      </c>
      <c r="D1357" t="s">
        <v>1385</v>
      </c>
      <c r="E1357" s="3" t="s">
        <v>3</v>
      </c>
      <c r="F1357" s="4">
        <v>0</v>
      </c>
      <c r="G1357" s="3">
        <v>1999</v>
      </c>
      <c r="H1357" s="3">
        <v>47</v>
      </c>
      <c r="I1357" s="3">
        <v>947</v>
      </c>
      <c r="J1357" s="3">
        <v>553</v>
      </c>
      <c r="K1357" s="3">
        <v>3336</v>
      </c>
      <c r="L1357" s="3">
        <v>23</v>
      </c>
      <c r="M1357" s="3">
        <v>942</v>
      </c>
    </row>
    <row r="1358" spans="1:13" x14ac:dyDescent="0.25">
      <c r="A1358" s="1" t="str">
        <f>HYPERLINK("http://www.rosaceae.org/Prunus/Prunus_persica/p.persica_gdr_reftransV1_0035763","p.persica_gdr_reftransV1_0035763")</f>
        <v>p.persica_gdr_reftransV1_0035763</v>
      </c>
      <c r="B1358" s="3">
        <v>2241</v>
      </c>
      <c r="C1358" s="1" t="str">
        <f>HYPERLINK("http://www.uniprot.org/uniprot/RGAPX_ARATH","RGAPX_ARATH")</f>
        <v>RGAPX_ARATH</v>
      </c>
      <c r="D1358" t="s">
        <v>1386</v>
      </c>
      <c r="E1358" s="3" t="s">
        <v>3</v>
      </c>
      <c r="F1358" s="4">
        <v>0</v>
      </c>
      <c r="G1358" s="3">
        <v>1473</v>
      </c>
      <c r="H1358" s="3">
        <v>74</v>
      </c>
      <c r="I1358" s="3">
        <v>371</v>
      </c>
      <c r="J1358" s="3">
        <v>644</v>
      </c>
      <c r="K1358" s="3">
        <v>1750</v>
      </c>
      <c r="L1358" s="3">
        <v>8</v>
      </c>
      <c r="M1358" s="3">
        <v>376</v>
      </c>
    </row>
    <row r="1359" spans="1:13" x14ac:dyDescent="0.25">
      <c r="A1359" s="1" t="str">
        <f>HYPERLINK("http://www.rosaceae.org/Prunus/Prunus_persica/p.persica_gdr_reftransV1_0035863","p.persica_gdr_reftransV1_0035863")</f>
        <v>p.persica_gdr_reftransV1_0035863</v>
      </c>
      <c r="B1359" s="3">
        <v>540</v>
      </c>
      <c r="C1359" s="1" t="str">
        <f>HYPERLINK("http://www.uniprot.org/uniprot/Y1561_ARATH","Y1561_ARATH")</f>
        <v>Y1561_ARATH</v>
      </c>
      <c r="D1359" t="s">
        <v>1387</v>
      </c>
      <c r="E1359" s="3" t="s">
        <v>3</v>
      </c>
      <c r="F1359" s="4">
        <v>4.0500000000000001E-41</v>
      </c>
      <c r="G1359" s="3">
        <v>385</v>
      </c>
      <c r="H1359" s="3">
        <v>61</v>
      </c>
      <c r="I1359" s="3">
        <v>122</v>
      </c>
      <c r="J1359" s="3">
        <v>175</v>
      </c>
      <c r="K1359" s="3">
        <v>540</v>
      </c>
      <c r="L1359" s="3">
        <v>801</v>
      </c>
      <c r="M1359" s="3">
        <v>921</v>
      </c>
    </row>
    <row r="1360" spans="1:13" x14ac:dyDescent="0.25">
      <c r="A1360" s="1" t="str">
        <f>HYPERLINK("http://www.rosaceae.org/Prunus/Prunus_persica/p.persica_gdr_reftransV1_0036013","p.persica_gdr_reftransV1_0036013")</f>
        <v>p.persica_gdr_reftransV1_0036013</v>
      </c>
      <c r="B1360" s="3">
        <v>3607</v>
      </c>
      <c r="C1360" s="1" t="str">
        <f>HYPERLINK("http://www.uniprot.org/uniprot/ARI2_ARATH","ARI2_ARATH")</f>
        <v>ARI2_ARATH</v>
      </c>
      <c r="D1360" t="s">
        <v>1388</v>
      </c>
      <c r="E1360" s="3" t="s">
        <v>3</v>
      </c>
      <c r="F1360" s="4">
        <v>0</v>
      </c>
      <c r="G1360" s="3">
        <v>1613</v>
      </c>
      <c r="H1360" s="3">
        <v>80</v>
      </c>
      <c r="I1360" s="3">
        <v>376</v>
      </c>
      <c r="J1360" s="3">
        <v>1620</v>
      </c>
      <c r="K1360" s="3">
        <v>2747</v>
      </c>
      <c r="L1360" s="3">
        <v>150</v>
      </c>
      <c r="M1360" s="3">
        <v>525</v>
      </c>
    </row>
    <row r="1361" spans="1:13" x14ac:dyDescent="0.25">
      <c r="A1361" s="1" t="str">
        <f>HYPERLINK("http://www.rosaceae.org/Prunus/Prunus_persica/p.persica_gdr_reftransV1_0036163","p.persica_gdr_reftransV1_0036163")</f>
        <v>p.persica_gdr_reftransV1_0036163</v>
      </c>
      <c r="B1361" s="3">
        <v>2747</v>
      </c>
      <c r="C1361" s="1" t="str">
        <f>HYPERLINK("http://www.uniprot.org/uniprot/YSL8_ARATH","YSL8_ARATH")</f>
        <v>YSL8_ARATH</v>
      </c>
      <c r="D1361" t="s">
        <v>1389</v>
      </c>
      <c r="E1361" s="3" t="s">
        <v>3</v>
      </c>
      <c r="F1361" s="4">
        <v>0</v>
      </c>
      <c r="G1361" s="3">
        <v>2293</v>
      </c>
      <c r="H1361" s="3">
        <v>76</v>
      </c>
      <c r="I1361" s="3">
        <v>671</v>
      </c>
      <c r="J1361" s="3">
        <v>415</v>
      </c>
      <c r="K1361" s="3">
        <v>2412</v>
      </c>
      <c r="L1361" s="3">
        <v>55</v>
      </c>
      <c r="M1361" s="3">
        <v>724</v>
      </c>
    </row>
    <row r="1362" spans="1:13" x14ac:dyDescent="0.25">
      <c r="A1362" s="1" t="str">
        <f>HYPERLINK("http://www.rosaceae.org/Prunus/Prunus_persica/p.persica_gdr_reftransV1_0036313","p.persica_gdr_reftransV1_0036313")</f>
        <v>p.persica_gdr_reftransV1_0036313</v>
      </c>
      <c r="B1362" s="3">
        <v>2458</v>
      </c>
      <c r="C1362" s="1" t="str">
        <f>HYPERLINK("http://www.uniprot.org/uniprot/TDX_ARATH","TDX_ARATH")</f>
        <v>TDX_ARATH</v>
      </c>
      <c r="D1362" t="s">
        <v>1390</v>
      </c>
      <c r="E1362" s="3" t="s">
        <v>3</v>
      </c>
      <c r="F1362" s="4">
        <v>1.3E-103</v>
      </c>
      <c r="G1362" s="3">
        <v>849</v>
      </c>
      <c r="H1362" s="3">
        <v>67</v>
      </c>
      <c r="I1362" s="3">
        <v>249</v>
      </c>
      <c r="J1362" s="3">
        <v>18</v>
      </c>
      <c r="K1362" s="3">
        <v>764</v>
      </c>
      <c r="L1362" s="3">
        <v>2</v>
      </c>
      <c r="M1362" s="3">
        <v>246</v>
      </c>
    </row>
    <row r="1363" spans="1:13" x14ac:dyDescent="0.25">
      <c r="A1363" s="1" t="str">
        <f>HYPERLINK("http://www.rosaceae.org/Prunus/Prunus_persica/p.persica_gdr_reftransV1_0036463","p.persica_gdr_reftransV1_0036463")</f>
        <v>p.persica_gdr_reftransV1_0036463</v>
      </c>
      <c r="B1363" s="3">
        <v>3034</v>
      </c>
      <c r="C1363" s="1" t="str">
        <f>HYPERLINK("http://www.uniprot.org/uniprot/L2HDH_NEMVE","L2HDH_NEMVE")</f>
        <v>L2HDH_NEMVE</v>
      </c>
      <c r="D1363" t="s">
        <v>1391</v>
      </c>
      <c r="E1363" s="3" t="s">
        <v>1392</v>
      </c>
      <c r="F1363" s="4">
        <v>7.6000000000000003E-26</v>
      </c>
      <c r="G1363" s="3">
        <v>289</v>
      </c>
      <c r="H1363" s="3">
        <v>46</v>
      </c>
      <c r="I1363" s="3">
        <v>157</v>
      </c>
      <c r="J1363" s="3">
        <v>2157</v>
      </c>
      <c r="K1363" s="3">
        <v>2621</v>
      </c>
      <c r="L1363" s="3">
        <v>36</v>
      </c>
      <c r="M1363" s="3">
        <v>192</v>
      </c>
    </row>
    <row r="1364" spans="1:13" x14ac:dyDescent="0.25">
      <c r="A1364" s="1" t="str">
        <f>HYPERLINK("http://www.rosaceae.org/Prunus/Prunus_persica/p.persica_gdr_reftransV1_0036513","p.persica_gdr_reftransV1_0036513")</f>
        <v>p.persica_gdr_reftransV1_0036513</v>
      </c>
      <c r="B1364" s="3">
        <v>2735</v>
      </c>
      <c r="C1364" s="1" t="str">
        <f>HYPERLINK("http://www.uniprot.org/uniprot/S2544_MOUSE","S2544_MOUSE")</f>
        <v>S2544_MOUSE</v>
      </c>
      <c r="D1364" t="s">
        <v>1393</v>
      </c>
      <c r="E1364" s="3" t="s">
        <v>157</v>
      </c>
      <c r="F1364" s="4">
        <v>4.1299999999999998E-26</v>
      </c>
      <c r="G1364" s="3">
        <v>220</v>
      </c>
      <c r="H1364" s="3">
        <v>38</v>
      </c>
      <c r="I1364" s="3">
        <v>138</v>
      </c>
      <c r="J1364" s="3">
        <v>1986</v>
      </c>
      <c r="K1364" s="3">
        <v>2387</v>
      </c>
      <c r="L1364" s="3">
        <v>10</v>
      </c>
      <c r="M1364" s="3">
        <v>134</v>
      </c>
    </row>
    <row r="1365" spans="1:13" x14ac:dyDescent="0.25">
      <c r="A1365" s="1" t="str">
        <f>HYPERLINK("http://www.rosaceae.org/Prunus/Prunus_persica/p.persica_gdr_reftransV1_0037313","p.persica_gdr_reftransV1_0037313")</f>
        <v>p.persica_gdr_reftransV1_0037313</v>
      </c>
      <c r="B1365" s="3">
        <v>3355</v>
      </c>
      <c r="C1365" s="1" t="str">
        <f>HYPERLINK("http://www.uniprot.org/uniprot/CRS1_MAIZE","CRS1_MAIZE")</f>
        <v>CRS1_MAIZE</v>
      </c>
      <c r="D1365" t="s">
        <v>1394</v>
      </c>
      <c r="E1365" s="3" t="s">
        <v>72</v>
      </c>
      <c r="F1365" s="4">
        <v>5.84E-100</v>
      </c>
      <c r="G1365" s="3">
        <v>868</v>
      </c>
      <c r="H1365" s="3">
        <v>42</v>
      </c>
      <c r="I1365" s="3">
        <v>540</v>
      </c>
      <c r="J1365" s="3">
        <v>760</v>
      </c>
      <c r="K1365" s="3">
        <v>2355</v>
      </c>
      <c r="L1365" s="3">
        <v>194</v>
      </c>
      <c r="M1365" s="3">
        <v>703</v>
      </c>
    </row>
    <row r="1366" spans="1:13" x14ac:dyDescent="0.25">
      <c r="A1366" s="1" t="str">
        <f>HYPERLINK("http://www.rosaceae.org/Prunus/Prunus_persica/p.persica_gdr_reftransV1_0037413","p.persica_gdr_reftransV1_0037413")</f>
        <v>p.persica_gdr_reftransV1_0037413</v>
      </c>
      <c r="B1366" s="3">
        <v>1891</v>
      </c>
      <c r="C1366" s="1" t="str">
        <f>HYPERLINK("http://www.uniprot.org/uniprot/RBK2_ARATH","RBK2_ARATH")</f>
        <v>RBK2_ARATH</v>
      </c>
      <c r="D1366" t="s">
        <v>1395</v>
      </c>
      <c r="E1366" s="3" t="s">
        <v>3</v>
      </c>
      <c r="F1366" s="4">
        <v>0</v>
      </c>
      <c r="G1366" s="3">
        <v>1469</v>
      </c>
      <c r="H1366" s="3">
        <v>64</v>
      </c>
      <c r="I1366" s="3">
        <v>457</v>
      </c>
      <c r="J1366" s="3">
        <v>312</v>
      </c>
      <c r="K1366" s="3">
        <v>1637</v>
      </c>
      <c r="L1366" s="3">
        <v>4</v>
      </c>
      <c r="M1366" s="3">
        <v>460</v>
      </c>
    </row>
    <row r="1367" spans="1:13" x14ac:dyDescent="0.25">
      <c r="A1367" s="1" t="str">
        <f>HYPERLINK("http://www.rosaceae.org/Prunus/Prunus_persica/p.persica_gdr_reftransV1_0037913","p.persica_gdr_reftransV1_0037913")</f>
        <v>p.persica_gdr_reftransV1_0037913</v>
      </c>
      <c r="B1367" s="3">
        <v>1858</v>
      </c>
      <c r="C1367" s="1" t="str">
        <f>HYPERLINK("http://www.uniprot.org/uniprot/PP147_ARATH","PP147_ARATH")</f>
        <v>PP147_ARATH</v>
      </c>
      <c r="D1367" t="s">
        <v>1396</v>
      </c>
      <c r="E1367" s="3" t="s">
        <v>3</v>
      </c>
      <c r="F1367" s="4">
        <v>3.3000000000000002E-82</v>
      </c>
      <c r="G1367" s="3">
        <v>708</v>
      </c>
      <c r="H1367" s="3">
        <v>48</v>
      </c>
      <c r="I1367" s="3">
        <v>261</v>
      </c>
      <c r="J1367" s="3">
        <v>1059</v>
      </c>
      <c r="K1367" s="3">
        <v>1841</v>
      </c>
      <c r="L1367" s="3">
        <v>290</v>
      </c>
      <c r="M1367" s="3">
        <v>550</v>
      </c>
    </row>
    <row r="1368" spans="1:13" x14ac:dyDescent="0.25">
      <c r="A1368" s="1" t="str">
        <f>HYPERLINK("http://www.rosaceae.org/Prunus/Prunus_persica/p.persica_gdr_reftransV1_0038163","p.persica_gdr_reftransV1_0038163")</f>
        <v>p.persica_gdr_reftransV1_0038163</v>
      </c>
      <c r="B1368" s="3">
        <v>3842</v>
      </c>
      <c r="C1368" s="1" t="str">
        <f>HYPERLINK("http://www.uniprot.org/uniprot/HDA9_ARATH","HDA9_ARATH")</f>
        <v>HDA9_ARATH</v>
      </c>
      <c r="D1368" t="s">
        <v>1397</v>
      </c>
      <c r="E1368" s="3" t="s">
        <v>3</v>
      </c>
      <c r="F1368" s="4">
        <v>0</v>
      </c>
      <c r="G1368" s="3">
        <v>1615</v>
      </c>
      <c r="H1368" s="3">
        <v>88</v>
      </c>
      <c r="I1368" s="3">
        <v>334</v>
      </c>
      <c r="J1368" s="3">
        <v>2674</v>
      </c>
      <c r="K1368" s="3">
        <v>3675</v>
      </c>
      <c r="L1368" s="3">
        <v>1</v>
      </c>
      <c r="M1368" s="3">
        <v>333</v>
      </c>
    </row>
    <row r="1369" spans="1:13" x14ac:dyDescent="0.25">
      <c r="A1369" s="1" t="str">
        <f>HYPERLINK("http://www.rosaceae.org/Prunus/Prunus_persica/p.persica_gdr_reftransV1_0038413","p.persica_gdr_reftransV1_0038413")</f>
        <v>p.persica_gdr_reftransV1_0038413</v>
      </c>
      <c r="B1369" s="3">
        <v>742</v>
      </c>
      <c r="C1369" s="1" t="str">
        <f>HYPERLINK("http://www.uniprot.org/uniprot/UBIQP_HORVU","UBIQP_HORVU")</f>
        <v>UBIQP_HORVU</v>
      </c>
      <c r="D1369" t="s">
        <v>1398</v>
      </c>
      <c r="E1369" s="3" t="s">
        <v>769</v>
      </c>
      <c r="F1369" s="4">
        <v>1.18E-28</v>
      </c>
      <c r="G1369" s="3">
        <v>279</v>
      </c>
      <c r="H1369" s="3">
        <v>41</v>
      </c>
      <c r="I1369" s="3">
        <v>166</v>
      </c>
      <c r="J1369" s="3">
        <v>253</v>
      </c>
      <c r="K1369" s="3">
        <v>741</v>
      </c>
      <c r="L1369" s="3">
        <v>3</v>
      </c>
      <c r="M1369" s="3">
        <v>165</v>
      </c>
    </row>
    <row r="1370" spans="1:13" x14ac:dyDescent="0.25">
      <c r="A1370" s="1" t="str">
        <f>HYPERLINK("http://www.rosaceae.org/Prunus/Prunus_persica/p.persica_gdr_reftransV1_0038513","p.persica_gdr_reftransV1_0038513")</f>
        <v>p.persica_gdr_reftransV1_0038513</v>
      </c>
      <c r="B1370" s="3">
        <v>949</v>
      </c>
      <c r="C1370" s="1" t="str">
        <f>HYPERLINK("http://www.uniprot.org/uniprot/TMVRN_NICGU","TMVRN_NICGU")</f>
        <v>TMVRN_NICGU</v>
      </c>
      <c r="D1370" t="s">
        <v>151</v>
      </c>
      <c r="E1370" s="3" t="s">
        <v>152</v>
      </c>
      <c r="F1370" s="4">
        <v>3.8600000000000001E-66</v>
      </c>
      <c r="G1370" s="3">
        <v>584</v>
      </c>
      <c r="H1370" s="3">
        <v>39</v>
      </c>
      <c r="I1370" s="3">
        <v>328</v>
      </c>
      <c r="J1370" s="3">
        <v>11</v>
      </c>
      <c r="K1370" s="3">
        <v>949</v>
      </c>
      <c r="L1370" s="3">
        <v>215</v>
      </c>
      <c r="M1370" s="3">
        <v>535</v>
      </c>
    </row>
    <row r="1371" spans="1:13" x14ac:dyDescent="0.25">
      <c r="A1371" s="1" t="str">
        <f>HYPERLINK("http://www.rosaceae.org/Prunus/Prunus_persica/p.persica_gdr_reftransV1_0039313","p.persica_gdr_reftransV1_0039313")</f>
        <v>p.persica_gdr_reftransV1_0039313</v>
      </c>
      <c r="B1371" s="3">
        <v>1823</v>
      </c>
      <c r="C1371" s="1" t="str">
        <f>HYPERLINK("http://www.uniprot.org/uniprot/YDJ7_SCHPO","YDJ7_SCHPO")</f>
        <v>YDJ7_SCHPO</v>
      </c>
      <c r="D1371" t="s">
        <v>1399</v>
      </c>
      <c r="E1371" s="3" t="s">
        <v>464</v>
      </c>
      <c r="F1371" s="4">
        <v>1.3700000000000001E-60</v>
      </c>
      <c r="G1371" s="3">
        <v>534</v>
      </c>
      <c r="H1371" s="3">
        <v>43</v>
      </c>
      <c r="I1371" s="3">
        <v>278</v>
      </c>
      <c r="J1371" s="3">
        <v>682</v>
      </c>
      <c r="K1371" s="3">
        <v>1482</v>
      </c>
      <c r="L1371" s="3">
        <v>41</v>
      </c>
      <c r="M1371" s="3">
        <v>311</v>
      </c>
    </row>
    <row r="1372" spans="1:13" x14ac:dyDescent="0.25">
      <c r="A1372" s="1" t="str">
        <f>HYPERLINK("http://www.rosaceae.org/Prunus/Prunus_persica/p.persica_gdr_reftransV1_0039363","p.persica_gdr_reftransV1_0039363")</f>
        <v>p.persica_gdr_reftransV1_0039363</v>
      </c>
      <c r="B1372" s="3">
        <v>1655</v>
      </c>
      <c r="C1372" s="1" t="str">
        <f>HYPERLINK("http://www.uniprot.org/uniprot/EMB8_PICGL","EMB8_PICGL")</f>
        <v>EMB8_PICGL</v>
      </c>
      <c r="D1372" t="s">
        <v>469</v>
      </c>
      <c r="E1372" s="3" t="s">
        <v>470</v>
      </c>
      <c r="F1372" s="4">
        <v>1.25E-109</v>
      </c>
      <c r="G1372" s="3">
        <v>630</v>
      </c>
      <c r="H1372" s="3">
        <v>64</v>
      </c>
      <c r="I1372" s="3">
        <v>227</v>
      </c>
      <c r="J1372" s="3">
        <v>180</v>
      </c>
      <c r="K1372" s="3">
        <v>836</v>
      </c>
      <c r="L1372" s="3">
        <v>69</v>
      </c>
      <c r="M1372" s="3">
        <v>293</v>
      </c>
    </row>
    <row r="1373" spans="1:13" x14ac:dyDescent="0.25">
      <c r="A1373" s="1" t="str">
        <f>HYPERLINK("http://www.rosaceae.org/Prunus/Prunus_persica/p.persica_gdr_reftransV1_0039813","p.persica_gdr_reftransV1_0039813")</f>
        <v>p.persica_gdr_reftransV1_0039813</v>
      </c>
      <c r="B1373" s="3">
        <v>3143</v>
      </c>
      <c r="C1373" s="1" t="str">
        <f>HYPERLINK("http://www.uniprot.org/uniprot/PABN3_ARATH","PABN3_ARATH")</f>
        <v>PABN3_ARATH</v>
      </c>
      <c r="D1373" t="s">
        <v>1400</v>
      </c>
      <c r="E1373" s="3" t="s">
        <v>3</v>
      </c>
      <c r="F1373" s="4">
        <v>2.1400000000000001E-67</v>
      </c>
      <c r="G1373" s="3">
        <v>586</v>
      </c>
      <c r="H1373" s="3">
        <v>86</v>
      </c>
      <c r="I1373" s="3">
        <v>125</v>
      </c>
      <c r="J1373" s="3">
        <v>521</v>
      </c>
      <c r="K1373" s="3">
        <v>895</v>
      </c>
      <c r="L1373" s="3">
        <v>92</v>
      </c>
      <c r="M1373" s="3">
        <v>216</v>
      </c>
    </row>
    <row r="1374" spans="1:13" x14ac:dyDescent="0.25">
      <c r="A1374" s="1" t="str">
        <f>HYPERLINK("http://www.rosaceae.org/Prunus/Prunus_persica/p.persica_gdr_reftransV1_0040413","p.persica_gdr_reftransV1_0040413")</f>
        <v>p.persica_gdr_reftransV1_0040413</v>
      </c>
      <c r="B1374" s="3">
        <v>1768</v>
      </c>
      <c r="C1374" s="1" t="str">
        <f>HYPERLINK("http://www.uniprot.org/uniprot/PNO1_DROME","PNO1_DROME")</f>
        <v>PNO1_DROME</v>
      </c>
      <c r="D1374" t="s">
        <v>1401</v>
      </c>
      <c r="E1374" s="3" t="s">
        <v>5</v>
      </c>
      <c r="F1374" s="4">
        <v>8.7900000000000002E-83</v>
      </c>
      <c r="G1374" s="3">
        <v>678</v>
      </c>
      <c r="H1374" s="3">
        <v>67</v>
      </c>
      <c r="I1374" s="3">
        <v>181</v>
      </c>
      <c r="J1374" s="3">
        <v>373</v>
      </c>
      <c r="K1374" s="3">
        <v>915</v>
      </c>
      <c r="L1374" s="3">
        <v>60</v>
      </c>
      <c r="M1374" s="3">
        <v>240</v>
      </c>
    </row>
    <row r="1375" spans="1:13" x14ac:dyDescent="0.25">
      <c r="A1375" s="1" t="str">
        <f>HYPERLINK("http://www.rosaceae.org/Prunus/Prunus_persica/p.persica_gdr_reftransV1_0040463","p.persica_gdr_reftransV1_0040463")</f>
        <v>p.persica_gdr_reftransV1_0040463</v>
      </c>
      <c r="B1375" s="3">
        <v>3406</v>
      </c>
      <c r="C1375" s="1" t="str">
        <f>HYPERLINK("http://www.uniprot.org/uniprot/CNOT3_HUMAN","CNOT3_HUMAN")</f>
        <v>CNOT3_HUMAN</v>
      </c>
      <c r="D1375" t="s">
        <v>1402</v>
      </c>
      <c r="E1375" s="3" t="s">
        <v>28</v>
      </c>
      <c r="F1375" s="4">
        <v>4.8799999999999997E-62</v>
      </c>
      <c r="G1375" s="3">
        <v>587</v>
      </c>
      <c r="H1375" s="3">
        <v>50</v>
      </c>
      <c r="I1375" s="3">
        <v>255</v>
      </c>
      <c r="J1375" s="3">
        <v>141</v>
      </c>
      <c r="K1375" s="3">
        <v>890</v>
      </c>
      <c r="L1375" s="3">
        <v>1</v>
      </c>
      <c r="M1375" s="3">
        <v>244</v>
      </c>
    </row>
    <row r="1376" spans="1:13" x14ac:dyDescent="0.25">
      <c r="A1376" s="1" t="str">
        <f>HYPERLINK("http://www.rosaceae.org/Prunus/Prunus_persica/p.persica_gdr_reftransV1_0040513","p.persica_gdr_reftransV1_0040513")</f>
        <v>p.persica_gdr_reftransV1_0040513</v>
      </c>
      <c r="B1376" s="3">
        <v>982</v>
      </c>
      <c r="C1376" s="1" t="str">
        <f>HYPERLINK("http://www.uniprot.org/uniprot/RL24_PRUAV","RL24_PRUAV")</f>
        <v>RL24_PRUAV</v>
      </c>
      <c r="D1376" t="s">
        <v>1403</v>
      </c>
      <c r="E1376" s="3" t="s">
        <v>1404</v>
      </c>
      <c r="F1376" s="4">
        <v>1.31E-74</v>
      </c>
      <c r="G1376" s="3">
        <v>597</v>
      </c>
      <c r="H1376" s="3">
        <v>98</v>
      </c>
      <c r="I1376" s="3">
        <v>115</v>
      </c>
      <c r="J1376" s="3">
        <v>585</v>
      </c>
      <c r="K1376" s="3">
        <v>929</v>
      </c>
      <c r="L1376" s="3">
        <v>1</v>
      </c>
      <c r="M1376" s="3">
        <v>115</v>
      </c>
    </row>
    <row r="1377" spans="1:13" x14ac:dyDescent="0.25">
      <c r="A1377" s="1" t="str">
        <f>HYPERLINK("http://www.rosaceae.org/Prunus/Prunus_persica/p.persica_gdr_reftransV1_0040713","p.persica_gdr_reftransV1_0040713")</f>
        <v>p.persica_gdr_reftransV1_0040713</v>
      </c>
      <c r="B1377" s="3">
        <v>3701</v>
      </c>
      <c r="C1377" s="1" t="str">
        <f>HYPERLINK("http://www.uniprot.org/uniprot/SYSM_ARATH","SYSM_ARATH")</f>
        <v>SYSM_ARATH</v>
      </c>
      <c r="D1377" t="s">
        <v>1405</v>
      </c>
      <c r="E1377" s="3" t="s">
        <v>3</v>
      </c>
      <c r="F1377" s="4">
        <v>0</v>
      </c>
      <c r="G1377" s="3">
        <v>1395</v>
      </c>
      <c r="H1377" s="3">
        <v>81</v>
      </c>
      <c r="I1377" s="3">
        <v>312</v>
      </c>
      <c r="J1377" s="3">
        <v>1949</v>
      </c>
      <c r="K1377" s="3">
        <v>2884</v>
      </c>
      <c r="L1377" s="3">
        <v>201</v>
      </c>
      <c r="M1377" s="3">
        <v>512</v>
      </c>
    </row>
    <row r="1378" spans="1:13" x14ac:dyDescent="0.25">
      <c r="A1378" s="1" t="str">
        <f>HYPERLINK("http://www.rosaceae.org/Prunus/Prunus_persica/p.persica_gdr_reftransV1_0041463","p.persica_gdr_reftransV1_0041463")</f>
        <v>p.persica_gdr_reftransV1_0041463</v>
      </c>
      <c r="B1378" s="3">
        <v>708</v>
      </c>
      <c r="C1378" s="1" t="str">
        <f>HYPERLINK("http://www.uniprot.org/uniprot/TRY_ARATH","TRY_ARATH")</f>
        <v>TRY_ARATH</v>
      </c>
      <c r="D1378" t="s">
        <v>1406</v>
      </c>
      <c r="E1378" s="3" t="s">
        <v>3</v>
      </c>
      <c r="F1378" s="4">
        <v>5.7900000000000001E-33</v>
      </c>
      <c r="G1378" s="3">
        <v>303</v>
      </c>
      <c r="H1378" s="3">
        <v>67</v>
      </c>
      <c r="I1378" s="3">
        <v>88</v>
      </c>
      <c r="J1378" s="3">
        <v>279</v>
      </c>
      <c r="K1378" s="3">
        <v>542</v>
      </c>
      <c r="L1378" s="3">
        <v>7</v>
      </c>
      <c r="M1378" s="3">
        <v>94</v>
      </c>
    </row>
    <row r="1379" spans="1:13" x14ac:dyDescent="0.25">
      <c r="A1379" s="1" t="str">
        <f>HYPERLINK("http://www.rosaceae.org/Prunus/Prunus_persica/p.persica_gdr_reftransV1_0041513","p.persica_gdr_reftransV1_0041513")</f>
        <v>p.persica_gdr_reftransV1_0041513</v>
      </c>
      <c r="B1379" s="3">
        <v>2060</v>
      </c>
      <c r="C1379" s="1" t="str">
        <f>HYPERLINK("http://www.uniprot.org/uniprot/ERG_ANTMA","ERG_ANTMA")</f>
        <v>ERG_ANTMA</v>
      </c>
      <c r="D1379" t="s">
        <v>1407</v>
      </c>
      <c r="E1379" s="3" t="s">
        <v>1408</v>
      </c>
      <c r="F1379" s="4">
        <v>0</v>
      </c>
      <c r="G1379" s="3">
        <v>1386</v>
      </c>
      <c r="H1379" s="3">
        <v>63</v>
      </c>
      <c r="I1379" s="3">
        <v>433</v>
      </c>
      <c r="J1379" s="3">
        <v>82</v>
      </c>
      <c r="K1379" s="3">
        <v>1347</v>
      </c>
      <c r="L1379" s="3">
        <v>1</v>
      </c>
      <c r="M1379" s="3">
        <v>423</v>
      </c>
    </row>
    <row r="1380" spans="1:13" x14ac:dyDescent="0.25">
      <c r="A1380" s="1" t="str">
        <f>HYPERLINK("http://www.rosaceae.org/Prunus/Prunus_persica/p.persica_gdr_reftransV1_0041613","p.persica_gdr_reftransV1_0041613")</f>
        <v>p.persica_gdr_reftransV1_0041613</v>
      </c>
      <c r="B1380" s="3">
        <v>2226</v>
      </c>
      <c r="C1380" s="1" t="str">
        <f>HYPERLINK("http://www.uniprot.org/uniprot/ACR4_ARATH","ACR4_ARATH")</f>
        <v>ACR4_ARATH</v>
      </c>
      <c r="D1380" t="s">
        <v>1409</v>
      </c>
      <c r="E1380" s="3" t="s">
        <v>3</v>
      </c>
      <c r="F1380" s="4">
        <v>0</v>
      </c>
      <c r="G1380" s="3">
        <v>1883</v>
      </c>
      <c r="H1380" s="3">
        <v>78</v>
      </c>
      <c r="I1380" s="3">
        <v>451</v>
      </c>
      <c r="J1380" s="3">
        <v>461</v>
      </c>
      <c r="K1380" s="3">
        <v>1789</v>
      </c>
      <c r="L1380" s="3">
        <v>1</v>
      </c>
      <c r="M1380" s="3">
        <v>451</v>
      </c>
    </row>
    <row r="1381" spans="1:13" x14ac:dyDescent="0.25">
      <c r="A1381" s="1" t="str">
        <f>HYPERLINK("http://www.rosaceae.org/Prunus/Prunus_persica/p.persica_gdr_reftransV1_0041763","p.persica_gdr_reftransV1_0041763")</f>
        <v>p.persica_gdr_reftransV1_0041763</v>
      </c>
      <c r="B1381" s="3">
        <v>2859</v>
      </c>
      <c r="C1381" s="1" t="str">
        <f>HYPERLINK("http://www.uniprot.org/uniprot/LPPB_ARATH","LPPB_ARATH")</f>
        <v>LPPB_ARATH</v>
      </c>
      <c r="D1381" t="s">
        <v>1410</v>
      </c>
      <c r="E1381" s="3" t="s">
        <v>3</v>
      </c>
      <c r="F1381" s="4">
        <v>9.3300000000000004E-18</v>
      </c>
      <c r="G1381" s="3">
        <v>217</v>
      </c>
      <c r="H1381" s="3">
        <v>52</v>
      </c>
      <c r="I1381" s="3">
        <v>112</v>
      </c>
      <c r="J1381" s="3">
        <v>496</v>
      </c>
      <c r="K1381" s="3">
        <v>825</v>
      </c>
      <c r="L1381" s="3">
        <v>87</v>
      </c>
      <c r="M1381" s="3">
        <v>196</v>
      </c>
    </row>
    <row r="1382" spans="1:13" x14ac:dyDescent="0.25">
      <c r="A1382" s="1" t="str">
        <f>HYPERLINK("http://www.rosaceae.org/Prunus/Prunus_persica/p.persica_gdr_reftransV1_0043063","p.persica_gdr_reftransV1_0043063")</f>
        <v>p.persica_gdr_reftransV1_0043063</v>
      </c>
      <c r="B1382" s="3">
        <v>455</v>
      </c>
      <c r="C1382" s="1" t="str">
        <f>HYPERLINK("http://www.uniprot.org/uniprot/CADH6_ORYSJ","CADH6_ORYSJ")</f>
        <v>CADH6_ORYSJ</v>
      </c>
      <c r="D1382" t="s">
        <v>1411</v>
      </c>
      <c r="E1382" s="3" t="s">
        <v>38</v>
      </c>
      <c r="F1382" s="4">
        <v>2.9099999999999999E-64</v>
      </c>
      <c r="G1382" s="3">
        <v>525</v>
      </c>
      <c r="H1382" s="3">
        <v>77</v>
      </c>
      <c r="I1382" s="3">
        <v>117</v>
      </c>
      <c r="J1382" s="3">
        <v>17</v>
      </c>
      <c r="K1382" s="3">
        <v>367</v>
      </c>
      <c r="L1382" s="3">
        <v>2</v>
      </c>
      <c r="M1382" s="3">
        <v>118</v>
      </c>
    </row>
    <row r="1383" spans="1:13" x14ac:dyDescent="0.25">
      <c r="A1383" s="1" t="str">
        <f>HYPERLINK("http://www.rosaceae.org/Prunus/Prunus_persica/p.persica_gdr_reftransV1_0043113","p.persica_gdr_reftransV1_0043113")</f>
        <v>p.persica_gdr_reftransV1_0043113</v>
      </c>
      <c r="B1383" s="3">
        <v>1019</v>
      </c>
      <c r="C1383" s="1" t="str">
        <f>HYPERLINK("http://www.uniprot.org/uniprot/TL16_ARATH","TL16_ARATH")</f>
        <v>TL16_ARATH</v>
      </c>
      <c r="D1383" t="s">
        <v>1412</v>
      </c>
      <c r="E1383" s="3" t="s">
        <v>3</v>
      </c>
      <c r="F1383" s="4">
        <v>1.41E-60</v>
      </c>
      <c r="G1383" s="3">
        <v>507</v>
      </c>
      <c r="H1383" s="3">
        <v>65</v>
      </c>
      <c r="I1383" s="3">
        <v>184</v>
      </c>
      <c r="J1383" s="3">
        <v>249</v>
      </c>
      <c r="K1383" s="3">
        <v>791</v>
      </c>
      <c r="L1383" s="3">
        <v>33</v>
      </c>
      <c r="M1383" s="3">
        <v>216</v>
      </c>
    </row>
    <row r="1384" spans="1:13" x14ac:dyDescent="0.25">
      <c r="A1384" s="1" t="str">
        <f>HYPERLINK("http://www.rosaceae.org/Prunus/Prunus_persica/p.persica_gdr_reftransV1_0043213","p.persica_gdr_reftransV1_0043213")</f>
        <v>p.persica_gdr_reftransV1_0043213</v>
      </c>
      <c r="B1384" s="3">
        <v>1845</v>
      </c>
      <c r="C1384" s="1" t="str">
        <f>HYPERLINK("http://www.uniprot.org/uniprot/DET1_SOLLC","DET1_SOLLC")</f>
        <v>DET1_SOLLC</v>
      </c>
      <c r="D1384" t="s">
        <v>1413</v>
      </c>
      <c r="E1384" s="3" t="s">
        <v>64</v>
      </c>
      <c r="F1384" s="4">
        <v>0</v>
      </c>
      <c r="G1384" s="3">
        <v>1986</v>
      </c>
      <c r="H1384" s="3">
        <v>70</v>
      </c>
      <c r="I1384" s="3">
        <v>536</v>
      </c>
      <c r="J1384" s="3">
        <v>106</v>
      </c>
      <c r="K1384" s="3">
        <v>1611</v>
      </c>
      <c r="L1384" s="3">
        <v>1</v>
      </c>
      <c r="M1384" s="3">
        <v>523</v>
      </c>
    </row>
    <row r="1385" spans="1:13" x14ac:dyDescent="0.25">
      <c r="A1385" s="1" t="str">
        <f>HYPERLINK("http://www.rosaceae.org/Prunus/Prunus_persica/p.persica_gdr_reftransV1_0043263","p.persica_gdr_reftransV1_0043263")</f>
        <v>p.persica_gdr_reftransV1_0043263</v>
      </c>
      <c r="B1385" s="3">
        <v>818</v>
      </c>
      <c r="C1385" s="1" t="str">
        <f>HYPERLINK("http://www.uniprot.org/uniprot/KNAT1_ARATH","KNAT1_ARATH")</f>
        <v>KNAT1_ARATH</v>
      </c>
      <c r="D1385" t="s">
        <v>1414</v>
      </c>
      <c r="E1385" s="3" t="s">
        <v>3</v>
      </c>
      <c r="F1385" s="4">
        <v>9.4999999999999995E-12</v>
      </c>
      <c r="G1385" s="3">
        <v>165</v>
      </c>
      <c r="H1385" s="3">
        <v>33</v>
      </c>
      <c r="I1385" s="3">
        <v>134</v>
      </c>
      <c r="J1385" s="3">
        <v>101</v>
      </c>
      <c r="K1385" s="3">
        <v>493</v>
      </c>
      <c r="L1385" s="3">
        <v>103</v>
      </c>
      <c r="M1385" s="3">
        <v>236</v>
      </c>
    </row>
    <row r="1386" spans="1:13" x14ac:dyDescent="0.25">
      <c r="A1386" s="1" t="str">
        <f>HYPERLINK("http://www.rosaceae.org/Prunus/Prunus_persica/p.persica_gdr_reftransV1_0043313","p.persica_gdr_reftransV1_0043313")</f>
        <v>p.persica_gdr_reftransV1_0043313</v>
      </c>
      <c r="B1386" s="3">
        <v>1428</v>
      </c>
      <c r="C1386" s="1" t="str">
        <f>HYPERLINK("http://www.uniprot.org/uniprot/QORL2_NEMVE","QORL2_NEMVE")</f>
        <v>QORL2_NEMVE</v>
      </c>
      <c r="D1386" t="s">
        <v>1415</v>
      </c>
      <c r="E1386" s="3" t="s">
        <v>1392</v>
      </c>
      <c r="F1386" s="4">
        <v>6.9099999999999995E-54</v>
      </c>
      <c r="G1386" s="3">
        <v>483</v>
      </c>
      <c r="H1386" s="3">
        <v>37</v>
      </c>
      <c r="I1386" s="3">
        <v>347</v>
      </c>
      <c r="J1386" s="3">
        <v>95</v>
      </c>
      <c r="K1386" s="3">
        <v>1126</v>
      </c>
      <c r="L1386" s="3">
        <v>31</v>
      </c>
      <c r="M1386" s="3">
        <v>361</v>
      </c>
    </row>
    <row r="1387" spans="1:13" x14ac:dyDescent="0.25">
      <c r="A1387" s="1" t="str">
        <f>HYPERLINK("http://www.rosaceae.org/Prunus/Prunus_persica/p.persica_gdr_reftransV1_0043363","p.persica_gdr_reftransV1_0043363")</f>
        <v>p.persica_gdr_reftransV1_0043363</v>
      </c>
      <c r="B1387" s="3">
        <v>1151</v>
      </c>
      <c r="C1387" s="1" t="str">
        <f>HYPERLINK("http://www.uniprot.org/uniprot/SABP2_TOBAC","SABP2_TOBAC")</f>
        <v>SABP2_TOBAC</v>
      </c>
      <c r="D1387" t="s">
        <v>1322</v>
      </c>
      <c r="E1387" s="3" t="s">
        <v>200</v>
      </c>
      <c r="F1387" s="4">
        <v>5.38E-65</v>
      </c>
      <c r="G1387" s="3">
        <v>544</v>
      </c>
      <c r="H1387" s="3">
        <v>45</v>
      </c>
      <c r="I1387" s="3">
        <v>256</v>
      </c>
      <c r="J1387" s="3">
        <v>128</v>
      </c>
      <c r="K1387" s="3">
        <v>877</v>
      </c>
      <c r="L1387" s="3">
        <v>5</v>
      </c>
      <c r="M1387" s="3">
        <v>260</v>
      </c>
    </row>
    <row r="1388" spans="1:13" x14ac:dyDescent="0.25">
      <c r="A1388" s="1" t="str">
        <f>HYPERLINK("http://www.rosaceae.org/Prunus/Prunus_persica/p.persica_gdr_reftransV1_0043463","p.persica_gdr_reftransV1_0043463")</f>
        <v>p.persica_gdr_reftransV1_0043463</v>
      </c>
      <c r="B1388" s="3">
        <v>660</v>
      </c>
      <c r="C1388" s="1" t="str">
        <f>HYPERLINK("http://www.uniprot.org/uniprot/HFA6B_ARATH","HFA6B_ARATH")</f>
        <v>HFA6B_ARATH</v>
      </c>
      <c r="D1388" t="s">
        <v>1416</v>
      </c>
      <c r="E1388" s="3" t="s">
        <v>3</v>
      </c>
      <c r="F1388" s="4">
        <v>3.7199999999999999E-34</v>
      </c>
      <c r="G1388" s="3">
        <v>328</v>
      </c>
      <c r="H1388" s="3">
        <v>52</v>
      </c>
      <c r="I1388" s="3">
        <v>142</v>
      </c>
      <c r="J1388" s="3">
        <v>258</v>
      </c>
      <c r="K1388" s="3">
        <v>659</v>
      </c>
      <c r="L1388" s="3">
        <v>188</v>
      </c>
      <c r="M1388" s="3">
        <v>328</v>
      </c>
    </row>
    <row r="1389" spans="1:13" x14ac:dyDescent="0.25">
      <c r="A1389" s="1" t="str">
        <f>HYPERLINK("http://www.rosaceae.org/Prunus/Prunus_persica/p.persica_gdr_reftransV1_0043613","p.persica_gdr_reftransV1_0043613")</f>
        <v>p.persica_gdr_reftransV1_0043613</v>
      </c>
      <c r="B1389" s="3">
        <v>1060</v>
      </c>
      <c r="C1389" s="1" t="str">
        <f>HYPERLINK("http://www.uniprot.org/uniprot/BBX19_ARATH","BBX19_ARATH")</f>
        <v>BBX19_ARATH</v>
      </c>
      <c r="D1389" t="s">
        <v>1417</v>
      </c>
      <c r="E1389" s="3" t="s">
        <v>3</v>
      </c>
      <c r="F1389" s="4">
        <v>5.5200000000000003E-76</v>
      </c>
      <c r="G1389" s="3">
        <v>608</v>
      </c>
      <c r="H1389" s="3">
        <v>58</v>
      </c>
      <c r="I1389" s="3">
        <v>212</v>
      </c>
      <c r="J1389" s="3">
        <v>172</v>
      </c>
      <c r="K1389" s="3">
        <v>807</v>
      </c>
      <c r="L1389" s="3">
        <v>1</v>
      </c>
      <c r="M1389" s="3">
        <v>183</v>
      </c>
    </row>
    <row r="1390" spans="1:13" x14ac:dyDescent="0.25">
      <c r="A1390" s="1" t="str">
        <f>HYPERLINK("http://www.rosaceae.org/Prunus/Prunus_persica/p.persica_gdr_reftransV1_0043663","p.persica_gdr_reftransV1_0043663")</f>
        <v>p.persica_gdr_reftransV1_0043663</v>
      </c>
      <c r="B1390" s="3">
        <v>2526</v>
      </c>
      <c r="C1390" s="1" t="str">
        <f>HYPERLINK("http://www.uniprot.org/uniprot/CDCA7_HUMAN","CDCA7_HUMAN")</f>
        <v>CDCA7_HUMAN</v>
      </c>
      <c r="D1390" t="s">
        <v>1418</v>
      </c>
      <c r="E1390" s="3" t="s">
        <v>28</v>
      </c>
      <c r="F1390" s="4">
        <v>1.3199999999999999E-18</v>
      </c>
      <c r="G1390" s="3">
        <v>228</v>
      </c>
      <c r="H1390" s="3">
        <v>47</v>
      </c>
      <c r="I1390" s="3">
        <v>99</v>
      </c>
      <c r="J1390" s="3">
        <v>236</v>
      </c>
      <c r="K1390" s="3">
        <v>532</v>
      </c>
      <c r="L1390" s="3">
        <v>264</v>
      </c>
      <c r="M1390" s="3">
        <v>360</v>
      </c>
    </row>
    <row r="1391" spans="1:13" x14ac:dyDescent="0.25">
      <c r="A1391" s="1" t="str">
        <f>HYPERLINK("http://www.rosaceae.org/Prunus/Prunus_persica/p.persica_gdr_reftransV1_0043763","p.persica_gdr_reftransV1_0043763")</f>
        <v>p.persica_gdr_reftransV1_0043763</v>
      </c>
      <c r="B1391" s="3">
        <v>506</v>
      </c>
      <c r="C1391" s="1" t="str">
        <f>HYPERLINK("http://www.uniprot.org/uniprot/AB10C_ARATH","AB10C_ARATH")</f>
        <v>AB10C_ARATH</v>
      </c>
      <c r="D1391" t="s">
        <v>1068</v>
      </c>
      <c r="E1391" s="3" t="s">
        <v>3</v>
      </c>
      <c r="F1391" s="4">
        <v>2.8299999999999998E-82</v>
      </c>
      <c r="G1391" s="3">
        <v>690</v>
      </c>
      <c r="H1391" s="3">
        <v>76</v>
      </c>
      <c r="I1391" s="3">
        <v>168</v>
      </c>
      <c r="J1391" s="3">
        <v>2</v>
      </c>
      <c r="K1391" s="3">
        <v>505</v>
      </c>
      <c r="L1391" s="3">
        <v>631</v>
      </c>
      <c r="M1391" s="3">
        <v>798</v>
      </c>
    </row>
    <row r="1392" spans="1:13" x14ac:dyDescent="0.25">
      <c r="A1392" s="1" t="str">
        <f>HYPERLINK("http://www.rosaceae.org/Prunus/Prunus_persica/p.persica_gdr_reftransV1_0043813","p.persica_gdr_reftransV1_0043813")</f>
        <v>p.persica_gdr_reftransV1_0043813</v>
      </c>
      <c r="B1392" s="3">
        <v>940</v>
      </c>
      <c r="C1392" s="1" t="str">
        <f>HYPERLINK("http://www.uniprot.org/uniprot/AAP2_ARATH","AAP2_ARATH")</f>
        <v>AAP2_ARATH</v>
      </c>
      <c r="D1392" t="s">
        <v>1419</v>
      </c>
      <c r="E1392" s="3" t="s">
        <v>3</v>
      </c>
      <c r="F1392" s="4">
        <v>2.1399999999999999E-146</v>
      </c>
      <c r="G1392" s="3">
        <v>1101</v>
      </c>
      <c r="H1392" s="3">
        <v>77</v>
      </c>
      <c r="I1392" s="3">
        <v>255</v>
      </c>
      <c r="J1392" s="3">
        <v>177</v>
      </c>
      <c r="K1392" s="3">
        <v>938</v>
      </c>
      <c r="L1392" s="3">
        <v>239</v>
      </c>
      <c r="M1392" s="3">
        <v>493</v>
      </c>
    </row>
    <row r="1393" spans="1:13" x14ac:dyDescent="0.25">
      <c r="A1393" s="1" t="str">
        <f>HYPERLINK("http://www.rosaceae.org/Prunus/Prunus_persica/p.persica_gdr_reftransV1_0043963","p.persica_gdr_reftransV1_0043963")</f>
        <v>p.persica_gdr_reftransV1_0043963</v>
      </c>
      <c r="B1393" s="3">
        <v>1353</v>
      </c>
      <c r="C1393" s="1" t="str">
        <f>HYPERLINK("http://www.uniprot.org/uniprot/RFC2_ARATH","RFC2_ARATH")</f>
        <v>RFC2_ARATH</v>
      </c>
      <c r="D1393" t="s">
        <v>1420</v>
      </c>
      <c r="E1393" s="3" t="s">
        <v>3</v>
      </c>
      <c r="F1393" s="4">
        <v>0</v>
      </c>
      <c r="G1393" s="3">
        <v>1599</v>
      </c>
      <c r="H1393" s="3">
        <v>93</v>
      </c>
      <c r="I1393" s="3">
        <v>321</v>
      </c>
      <c r="J1393" s="3">
        <v>141</v>
      </c>
      <c r="K1393" s="3">
        <v>1103</v>
      </c>
      <c r="L1393" s="3">
        <v>12</v>
      </c>
      <c r="M1393" s="3">
        <v>332</v>
      </c>
    </row>
    <row r="1394" spans="1:13" x14ac:dyDescent="0.25">
      <c r="A1394" s="1" t="str">
        <f>HYPERLINK("http://www.rosaceae.org/Prunus/Prunus_persica/p.persica_gdr_reftransV1_0044013","p.persica_gdr_reftransV1_0044013")</f>
        <v>p.persica_gdr_reftransV1_0044013</v>
      </c>
      <c r="B1394" s="3">
        <v>1662</v>
      </c>
      <c r="C1394" s="1" t="str">
        <f>HYPERLINK("http://www.uniprot.org/uniprot/UBR7_HUMAN","UBR7_HUMAN")</f>
        <v>UBR7_HUMAN</v>
      </c>
      <c r="D1394" t="s">
        <v>1421</v>
      </c>
      <c r="E1394" s="3" t="s">
        <v>28</v>
      </c>
      <c r="F1394" s="4">
        <v>6.9399999999999995E-67</v>
      </c>
      <c r="G1394" s="3">
        <v>583</v>
      </c>
      <c r="H1394" s="3">
        <v>35</v>
      </c>
      <c r="I1394" s="3">
        <v>403</v>
      </c>
      <c r="J1394" s="3">
        <v>256</v>
      </c>
      <c r="K1394" s="3">
        <v>1410</v>
      </c>
      <c r="L1394" s="3">
        <v>33</v>
      </c>
      <c r="M1394" s="3">
        <v>418</v>
      </c>
    </row>
    <row r="1395" spans="1:13" x14ac:dyDescent="0.25">
      <c r="A1395" s="1" t="str">
        <f>HYPERLINK("http://www.rosaceae.org/Prunus/Prunus_persica/p.persica_gdr_reftransV1_0044063","p.persica_gdr_reftransV1_0044063")</f>
        <v>p.persica_gdr_reftransV1_0044063</v>
      </c>
      <c r="B1395" s="3">
        <v>5346</v>
      </c>
      <c r="C1395" s="1" t="str">
        <f>HYPERLINK("http://www.uniprot.org/uniprot/SPT6H_HUMAN","SPT6H_HUMAN")</f>
        <v>SPT6H_HUMAN</v>
      </c>
      <c r="D1395" t="s">
        <v>1422</v>
      </c>
      <c r="E1395" s="3" t="s">
        <v>28</v>
      </c>
      <c r="F1395" s="4">
        <v>2.98E-151</v>
      </c>
      <c r="G1395" s="3">
        <v>1327</v>
      </c>
      <c r="H1395" s="3">
        <v>28</v>
      </c>
      <c r="I1395" s="3">
        <v>1393</v>
      </c>
      <c r="J1395" s="3">
        <v>800</v>
      </c>
      <c r="K1395" s="3">
        <v>4516</v>
      </c>
      <c r="L1395" s="3">
        <v>200</v>
      </c>
      <c r="M1395" s="3">
        <v>1539</v>
      </c>
    </row>
    <row r="1396" spans="1:13" x14ac:dyDescent="0.25">
      <c r="A1396" s="1" t="str">
        <f>HYPERLINK("http://www.rosaceae.org/Prunus/Prunus_persica/p.persica_gdr_reftransV1_0044113","p.persica_gdr_reftransV1_0044113")</f>
        <v>p.persica_gdr_reftransV1_0044113</v>
      </c>
      <c r="B1396" s="3">
        <v>1092</v>
      </c>
      <c r="C1396" s="1" t="str">
        <f>HYPERLINK("http://www.uniprot.org/uniprot/ATOX1_ARATH","ATOX1_ARATH")</f>
        <v>ATOX1_ARATH</v>
      </c>
      <c r="D1396" t="s">
        <v>1423</v>
      </c>
      <c r="E1396" s="3" t="s">
        <v>3</v>
      </c>
      <c r="F1396" s="4">
        <v>3.3800000000000002E-10</v>
      </c>
      <c r="G1396" s="3">
        <v>147</v>
      </c>
      <c r="H1396" s="3">
        <v>39</v>
      </c>
      <c r="I1396" s="3">
        <v>88</v>
      </c>
      <c r="J1396" s="3">
        <v>790</v>
      </c>
      <c r="K1396" s="3">
        <v>1053</v>
      </c>
      <c r="L1396" s="3">
        <v>19</v>
      </c>
      <c r="M1396" s="3">
        <v>100</v>
      </c>
    </row>
    <row r="1397" spans="1:13" x14ac:dyDescent="0.25">
      <c r="A1397" s="1" t="str">
        <f>HYPERLINK("http://www.rosaceae.org/Prunus/Prunus_persica/p.persica_gdr_reftransV1_0044163","p.persica_gdr_reftransV1_0044163")</f>
        <v>p.persica_gdr_reftransV1_0044163</v>
      </c>
      <c r="B1397" s="3">
        <v>1766</v>
      </c>
      <c r="C1397" s="1" t="str">
        <f>HYPERLINK("http://www.uniprot.org/uniprot/ASK21_ARATH","ASK21_ARATH")</f>
        <v>ASK21_ARATH</v>
      </c>
      <c r="D1397" t="s">
        <v>1424</v>
      </c>
      <c r="E1397" s="3" t="s">
        <v>3</v>
      </c>
      <c r="F1397" s="4">
        <v>4.7499999999999998E-127</v>
      </c>
      <c r="G1397" s="3">
        <v>986</v>
      </c>
      <c r="H1397" s="3">
        <v>68</v>
      </c>
      <c r="I1397" s="3">
        <v>353</v>
      </c>
      <c r="J1397" s="3">
        <v>204</v>
      </c>
      <c r="K1397" s="3">
        <v>1259</v>
      </c>
      <c r="L1397" s="3">
        <v>1</v>
      </c>
      <c r="M1397" s="3">
        <v>344</v>
      </c>
    </row>
    <row r="1398" spans="1:13" x14ac:dyDescent="0.25">
      <c r="A1398" s="1" t="str">
        <f>HYPERLINK("http://www.rosaceae.org/Prunus/Prunus_persica/p.persica_gdr_reftransV1_0044213","p.persica_gdr_reftransV1_0044213")</f>
        <v>p.persica_gdr_reftransV1_0044213</v>
      </c>
      <c r="B1398" s="3">
        <v>473</v>
      </c>
      <c r="C1398" s="1" t="str">
        <f>HYPERLINK("http://www.uniprot.org/uniprot/PUP3_ARATH","PUP3_ARATH")</f>
        <v>PUP3_ARATH</v>
      </c>
      <c r="D1398" t="s">
        <v>1425</v>
      </c>
      <c r="E1398" s="3" t="s">
        <v>3</v>
      </c>
      <c r="F1398" s="4">
        <v>5.2600000000000003E-36</v>
      </c>
      <c r="G1398" s="3">
        <v>333</v>
      </c>
      <c r="H1398" s="3">
        <v>57</v>
      </c>
      <c r="I1398" s="3">
        <v>106</v>
      </c>
      <c r="J1398" s="3">
        <v>3</v>
      </c>
      <c r="K1398" s="3">
        <v>314</v>
      </c>
      <c r="L1398" s="3">
        <v>3</v>
      </c>
      <c r="M1398" s="3">
        <v>108</v>
      </c>
    </row>
    <row r="1399" spans="1:13" x14ac:dyDescent="0.25">
      <c r="A1399" s="1" t="str">
        <f>HYPERLINK("http://www.rosaceae.org/Prunus/Prunus_persica/p.persica_gdr_reftransV1_0044263","p.persica_gdr_reftransV1_0044263")</f>
        <v>p.persica_gdr_reftransV1_0044263</v>
      </c>
      <c r="B1399" s="3">
        <v>1908</v>
      </c>
      <c r="C1399" s="1" t="str">
        <f>HYPERLINK("http://www.uniprot.org/uniprot/APS2_ARATH","APS2_ARATH")</f>
        <v>APS2_ARATH</v>
      </c>
      <c r="D1399" t="s">
        <v>1426</v>
      </c>
      <c r="E1399" s="3" t="s">
        <v>3</v>
      </c>
      <c r="F1399" s="4">
        <v>0</v>
      </c>
      <c r="G1399" s="3">
        <v>1945</v>
      </c>
      <c r="H1399" s="3">
        <v>80</v>
      </c>
      <c r="I1399" s="3">
        <v>438</v>
      </c>
      <c r="J1399" s="3">
        <v>384</v>
      </c>
      <c r="K1399" s="3">
        <v>1697</v>
      </c>
      <c r="L1399" s="3">
        <v>39</v>
      </c>
      <c r="M1399" s="3">
        <v>474</v>
      </c>
    </row>
    <row r="1400" spans="1:13" x14ac:dyDescent="0.25">
      <c r="A1400" s="1" t="str">
        <f>HYPERLINK("http://www.rosaceae.org/Prunus/Prunus_persica/p.persica_gdr_reftransV1_0044363","p.persica_gdr_reftransV1_0044363")</f>
        <v>p.persica_gdr_reftransV1_0044363</v>
      </c>
      <c r="B1400" s="3">
        <v>530</v>
      </c>
      <c r="C1400" s="1" t="str">
        <f>HYPERLINK("http://www.uniprot.org/uniprot/UB12L_ARATH","UB12L_ARATH")</f>
        <v>UB12L_ARATH</v>
      </c>
      <c r="D1400" t="s">
        <v>1427</v>
      </c>
      <c r="E1400" s="3" t="s">
        <v>3</v>
      </c>
      <c r="F1400" s="4">
        <v>1.31E-53</v>
      </c>
      <c r="G1400" s="3">
        <v>442</v>
      </c>
      <c r="H1400" s="3">
        <v>79</v>
      </c>
      <c r="I1400" s="3">
        <v>107</v>
      </c>
      <c r="J1400" s="3">
        <v>7</v>
      </c>
      <c r="K1400" s="3">
        <v>327</v>
      </c>
      <c r="L1400" s="3">
        <v>79</v>
      </c>
      <c r="M1400" s="3">
        <v>184</v>
      </c>
    </row>
    <row r="1401" spans="1:13" x14ac:dyDescent="0.25">
      <c r="A1401" s="1" t="str">
        <f>HYPERLINK("http://www.rosaceae.org/Prunus/Prunus_persica/p.persica_gdr_reftransV1_0044413","p.persica_gdr_reftransV1_0044413")</f>
        <v>p.persica_gdr_reftransV1_0044413</v>
      </c>
      <c r="B1401" s="3">
        <v>983</v>
      </c>
      <c r="C1401" s="1" t="str">
        <f>HYPERLINK("http://www.uniprot.org/uniprot/YAB2_ARATH","YAB2_ARATH")</f>
        <v>YAB2_ARATH</v>
      </c>
      <c r="D1401" t="s">
        <v>1428</v>
      </c>
      <c r="E1401" s="3" t="s">
        <v>3</v>
      </c>
      <c r="F1401" s="4">
        <v>3.5999999999999998E-54</v>
      </c>
      <c r="G1401" s="3">
        <v>460</v>
      </c>
      <c r="H1401" s="3">
        <v>61</v>
      </c>
      <c r="I1401" s="3">
        <v>174</v>
      </c>
      <c r="J1401" s="3">
        <v>224</v>
      </c>
      <c r="K1401" s="3">
        <v>736</v>
      </c>
      <c r="L1401" s="3">
        <v>21</v>
      </c>
      <c r="M1401" s="3">
        <v>184</v>
      </c>
    </row>
    <row r="1402" spans="1:13" x14ac:dyDescent="0.25">
      <c r="A1402" s="1" t="str">
        <f>HYPERLINK("http://www.rosaceae.org/Prunus/Prunus_persica/p.persica_gdr_reftransV1_0044513","p.persica_gdr_reftransV1_0044513")</f>
        <v>p.persica_gdr_reftransV1_0044513</v>
      </c>
      <c r="B1402" s="3">
        <v>1312</v>
      </c>
      <c r="C1402" s="1" t="str">
        <f>HYPERLINK("http://www.uniprot.org/uniprot/ZIP1_ORYSJ","ZIP1_ORYSJ")</f>
        <v>ZIP1_ORYSJ</v>
      </c>
      <c r="D1402" t="s">
        <v>1429</v>
      </c>
      <c r="E1402" s="3" t="s">
        <v>38</v>
      </c>
      <c r="F1402" s="4">
        <v>1.76E-124</v>
      </c>
      <c r="G1402" s="3">
        <v>955</v>
      </c>
      <c r="H1402" s="3">
        <v>63</v>
      </c>
      <c r="I1402" s="3">
        <v>323</v>
      </c>
      <c r="J1402" s="3">
        <v>180</v>
      </c>
      <c r="K1402" s="3">
        <v>1106</v>
      </c>
      <c r="L1402" s="3">
        <v>30</v>
      </c>
      <c r="M1402" s="3">
        <v>352</v>
      </c>
    </row>
    <row r="1403" spans="1:13" x14ac:dyDescent="0.25">
      <c r="A1403" s="1" t="str">
        <f>HYPERLINK("http://www.rosaceae.org/Prunus/Prunus_persica/p.persica_gdr_reftransV1_0044613","p.persica_gdr_reftransV1_0044613")</f>
        <v>p.persica_gdr_reftransV1_0044613</v>
      </c>
      <c r="B1403" s="3">
        <v>3263</v>
      </c>
      <c r="C1403" s="1" t="str">
        <f>HYPERLINK("http://www.uniprot.org/uniprot/FHY3_ARATH","FHY3_ARATH")</f>
        <v>FHY3_ARATH</v>
      </c>
      <c r="D1403" t="s">
        <v>154</v>
      </c>
      <c r="E1403" s="3" t="s">
        <v>3</v>
      </c>
      <c r="F1403" s="4">
        <v>0</v>
      </c>
      <c r="G1403" s="3">
        <v>3130</v>
      </c>
      <c r="H1403" s="3">
        <v>68</v>
      </c>
      <c r="I1403" s="3">
        <v>848</v>
      </c>
      <c r="J1403" s="3">
        <v>381</v>
      </c>
      <c r="K1403" s="3">
        <v>2924</v>
      </c>
      <c r="L1403" s="3">
        <v>1</v>
      </c>
      <c r="M1403" s="3">
        <v>839</v>
      </c>
    </row>
    <row r="1404" spans="1:13" x14ac:dyDescent="0.25">
      <c r="A1404" s="1" t="str">
        <f>HYPERLINK("http://www.rosaceae.org/Prunus/Prunus_persica/p.persica_gdr_reftransV1_0044663","p.persica_gdr_reftransV1_0044663")</f>
        <v>p.persica_gdr_reftransV1_0044663</v>
      </c>
      <c r="B1404" s="3">
        <v>571</v>
      </c>
      <c r="C1404" s="1" t="str">
        <f>HYPERLINK("http://www.uniprot.org/uniprot/SPO11_ARATH","SPO11_ARATH")</f>
        <v>SPO11_ARATH</v>
      </c>
      <c r="D1404" t="s">
        <v>1430</v>
      </c>
      <c r="E1404" s="3" t="s">
        <v>3</v>
      </c>
      <c r="F1404" s="4">
        <v>1.2699999999999999E-46</v>
      </c>
      <c r="G1404" s="3">
        <v>410</v>
      </c>
      <c r="H1404" s="3">
        <v>65</v>
      </c>
      <c r="I1404" s="3">
        <v>130</v>
      </c>
      <c r="J1404" s="3">
        <v>37</v>
      </c>
      <c r="K1404" s="3">
        <v>426</v>
      </c>
      <c r="L1404" s="3">
        <v>12</v>
      </c>
      <c r="M1404" s="3">
        <v>141</v>
      </c>
    </row>
    <row r="1405" spans="1:13" x14ac:dyDescent="0.25">
      <c r="A1405" s="1" t="str">
        <f>HYPERLINK("http://www.rosaceae.org/Prunus/Prunus_persica/p.persica_gdr_reftransV1_0044713","p.persica_gdr_reftransV1_0044713")</f>
        <v>p.persica_gdr_reftransV1_0044713</v>
      </c>
      <c r="B1405" s="3">
        <v>3240</v>
      </c>
      <c r="C1405" s="1" t="str">
        <f>HYPERLINK("http://www.uniprot.org/uniprot/VPS54_ARATH","VPS54_ARATH")</f>
        <v>VPS54_ARATH</v>
      </c>
      <c r="D1405" t="s">
        <v>1431</v>
      </c>
      <c r="E1405" s="3" t="s">
        <v>3</v>
      </c>
      <c r="F1405" s="4">
        <v>0</v>
      </c>
      <c r="G1405" s="3">
        <v>2661</v>
      </c>
      <c r="H1405" s="3">
        <v>69</v>
      </c>
      <c r="I1405" s="3">
        <v>861</v>
      </c>
      <c r="J1405" s="3">
        <v>646</v>
      </c>
      <c r="K1405" s="3">
        <v>3225</v>
      </c>
      <c r="L1405" s="3">
        <v>138</v>
      </c>
      <c r="M1405" s="3">
        <v>989</v>
      </c>
    </row>
    <row r="1406" spans="1:13" x14ac:dyDescent="0.25">
      <c r="A1406" s="1" t="str">
        <f>HYPERLINK("http://www.rosaceae.org/Prunus/Prunus_persica/p.persica_gdr_reftransV1_0044763","p.persica_gdr_reftransV1_0044763")</f>
        <v>p.persica_gdr_reftransV1_0044763</v>
      </c>
      <c r="B1406" s="3">
        <v>770</v>
      </c>
      <c r="C1406" s="1" t="str">
        <f>HYPERLINK("http://www.uniprot.org/uniprot/LOB_ARATH","LOB_ARATH")</f>
        <v>LOB_ARATH</v>
      </c>
      <c r="D1406" t="s">
        <v>1432</v>
      </c>
      <c r="E1406" s="3" t="s">
        <v>3</v>
      </c>
      <c r="F1406" s="4">
        <v>3.2800000000000002E-67</v>
      </c>
      <c r="G1406" s="3">
        <v>541</v>
      </c>
      <c r="H1406" s="3">
        <v>87</v>
      </c>
      <c r="I1406" s="3">
        <v>119</v>
      </c>
      <c r="J1406" s="3">
        <v>265</v>
      </c>
      <c r="K1406" s="3">
        <v>621</v>
      </c>
      <c r="L1406" s="3">
        <v>1</v>
      </c>
      <c r="M1406" s="3">
        <v>118</v>
      </c>
    </row>
    <row r="1407" spans="1:13" x14ac:dyDescent="0.25">
      <c r="A1407" s="1" t="str">
        <f>HYPERLINK("http://www.rosaceae.org/Prunus/Prunus_persica/p.persica_gdr_reftransV1_0044813","p.persica_gdr_reftransV1_0044813")</f>
        <v>p.persica_gdr_reftransV1_0044813</v>
      </c>
      <c r="B1407" s="3">
        <v>956</v>
      </c>
      <c r="C1407" s="1" t="str">
        <f>HYPERLINK("http://www.uniprot.org/uniprot/ISU1_ARATH","ISU1_ARATH")</f>
        <v>ISU1_ARATH</v>
      </c>
      <c r="D1407" t="s">
        <v>1433</v>
      </c>
      <c r="E1407" s="3" t="s">
        <v>3</v>
      </c>
      <c r="F1407" s="4">
        <v>2.7099999999999998E-81</v>
      </c>
      <c r="G1407" s="3">
        <v>639</v>
      </c>
      <c r="H1407" s="3">
        <v>80</v>
      </c>
      <c r="I1407" s="3">
        <v>151</v>
      </c>
      <c r="J1407" s="3">
        <v>194</v>
      </c>
      <c r="K1407" s="3">
        <v>643</v>
      </c>
      <c r="L1407" s="3">
        <v>11</v>
      </c>
      <c r="M1407" s="3">
        <v>161</v>
      </c>
    </row>
    <row r="1408" spans="1:13" x14ac:dyDescent="0.25">
      <c r="A1408" s="1" t="str">
        <f>HYPERLINK("http://www.rosaceae.org/Prunus/Prunus_persica/p.persica_gdr_reftransV1_0044863","p.persica_gdr_reftransV1_0044863")</f>
        <v>p.persica_gdr_reftransV1_0044863</v>
      </c>
      <c r="B1408" s="3">
        <v>2111</v>
      </c>
      <c r="C1408" s="1" t="str">
        <f>HYPERLINK("http://www.uniprot.org/uniprot/FLK_ARATH","FLK_ARATH")</f>
        <v>FLK_ARATH</v>
      </c>
      <c r="D1408" t="s">
        <v>1434</v>
      </c>
      <c r="E1408" s="3" t="s">
        <v>3</v>
      </c>
      <c r="F1408" s="4">
        <v>1.6599999999999999E-159</v>
      </c>
      <c r="G1408" s="3">
        <v>1235</v>
      </c>
      <c r="H1408" s="3">
        <v>74</v>
      </c>
      <c r="I1408" s="3">
        <v>383</v>
      </c>
      <c r="J1408" s="3">
        <v>647</v>
      </c>
      <c r="K1408" s="3">
        <v>1780</v>
      </c>
      <c r="L1408" s="3">
        <v>187</v>
      </c>
      <c r="M1408" s="3">
        <v>562</v>
      </c>
    </row>
    <row r="1409" spans="1:13" x14ac:dyDescent="0.25">
      <c r="A1409" s="1" t="str">
        <f>HYPERLINK("http://www.rosaceae.org/Prunus/Prunus_persica/p.persica_gdr_reftransV1_0044913","p.persica_gdr_reftransV1_0044913")</f>
        <v>p.persica_gdr_reftransV1_0044913</v>
      </c>
      <c r="B1409" s="3">
        <v>1245</v>
      </c>
      <c r="C1409" s="1" t="str">
        <f>HYPERLINK("http://www.uniprot.org/uniprot/MIOX1_ARATH","MIOX1_ARATH")</f>
        <v>MIOX1_ARATH</v>
      </c>
      <c r="D1409" t="s">
        <v>1435</v>
      </c>
      <c r="E1409" s="3" t="s">
        <v>3</v>
      </c>
      <c r="F1409" s="4">
        <v>4.8999999999999998E-171</v>
      </c>
      <c r="G1409" s="3">
        <v>1257</v>
      </c>
      <c r="H1409" s="3">
        <v>77</v>
      </c>
      <c r="I1409" s="3">
        <v>313</v>
      </c>
      <c r="J1409" s="3">
        <v>97</v>
      </c>
      <c r="K1409" s="3">
        <v>1023</v>
      </c>
      <c r="L1409" s="3">
        <v>1</v>
      </c>
      <c r="M1409" s="3">
        <v>311</v>
      </c>
    </row>
    <row r="1410" spans="1:13" x14ac:dyDescent="0.25">
      <c r="A1410" s="1" t="str">
        <f>HYPERLINK("http://www.rosaceae.org/Prunus/Prunus_persica/p.persica_gdr_reftransV1_0044963","p.persica_gdr_reftransV1_0044963")</f>
        <v>p.persica_gdr_reftransV1_0044963</v>
      </c>
      <c r="B1410" s="3">
        <v>740</v>
      </c>
      <c r="C1410" s="1" t="str">
        <f>HYPERLINK("http://www.uniprot.org/uniprot/H2A1_SOLLC","H2A1_SOLLC")</f>
        <v>H2A1_SOLLC</v>
      </c>
      <c r="D1410" t="s">
        <v>63</v>
      </c>
      <c r="E1410" s="3" t="s">
        <v>64</v>
      </c>
      <c r="F1410" s="4">
        <v>1.0899999999999999E-36</v>
      </c>
      <c r="G1410" s="3">
        <v>332</v>
      </c>
      <c r="H1410" s="3">
        <v>88</v>
      </c>
      <c r="I1410" s="3">
        <v>94</v>
      </c>
      <c r="J1410" s="3">
        <v>153</v>
      </c>
      <c r="K1410" s="3">
        <v>434</v>
      </c>
      <c r="L1410" s="3">
        <v>30</v>
      </c>
      <c r="M1410" s="3">
        <v>123</v>
      </c>
    </row>
    <row r="1411" spans="1:13" x14ac:dyDescent="0.25">
      <c r="A1411" s="1" t="str">
        <f>HYPERLINK("http://www.rosaceae.org/Prunus/Prunus_persica/p.persica_gdr_reftransV1_0045013","p.persica_gdr_reftransV1_0045013")</f>
        <v>p.persica_gdr_reftransV1_0045013</v>
      </c>
      <c r="B1411" s="3">
        <v>966</v>
      </c>
      <c r="C1411" s="1" t="str">
        <f>HYPERLINK("http://www.uniprot.org/uniprot/NFD2_ARATH","NFD2_ARATH")</f>
        <v>NFD2_ARATH</v>
      </c>
      <c r="D1411" t="s">
        <v>1436</v>
      </c>
      <c r="E1411" s="3" t="s">
        <v>3</v>
      </c>
      <c r="F1411" s="4">
        <v>1.8100000000000001E-49</v>
      </c>
      <c r="G1411" s="3">
        <v>428</v>
      </c>
      <c r="H1411" s="3">
        <v>57</v>
      </c>
      <c r="I1411" s="3">
        <v>170</v>
      </c>
      <c r="J1411" s="3">
        <v>221</v>
      </c>
      <c r="K1411" s="3">
        <v>730</v>
      </c>
      <c r="L1411" s="3">
        <v>13</v>
      </c>
      <c r="M1411" s="3">
        <v>180</v>
      </c>
    </row>
    <row r="1412" spans="1:13" x14ac:dyDescent="0.25">
      <c r="A1412" s="1" t="str">
        <f>HYPERLINK("http://www.rosaceae.org/Prunus/Prunus_persica/p.persica_gdr_reftransV1_0045113","p.persica_gdr_reftransV1_0045113")</f>
        <v>p.persica_gdr_reftransV1_0045113</v>
      </c>
      <c r="B1412" s="3">
        <v>2242</v>
      </c>
      <c r="C1412" s="1" t="str">
        <f>HYPERLINK("http://www.uniprot.org/uniprot/DEGP9_ARATH","DEGP9_ARATH")</f>
        <v>DEGP9_ARATH</v>
      </c>
      <c r="D1412" t="s">
        <v>1437</v>
      </c>
      <c r="E1412" s="3" t="s">
        <v>3</v>
      </c>
      <c r="F1412" s="4">
        <v>0</v>
      </c>
      <c r="G1412" s="3">
        <v>2199</v>
      </c>
      <c r="H1412" s="3">
        <v>81</v>
      </c>
      <c r="I1412" s="3">
        <v>516</v>
      </c>
      <c r="J1412" s="3">
        <v>296</v>
      </c>
      <c r="K1412" s="3">
        <v>1825</v>
      </c>
      <c r="L1412" s="3">
        <v>73</v>
      </c>
      <c r="M1412" s="3">
        <v>588</v>
      </c>
    </row>
    <row r="1413" spans="1:13" x14ac:dyDescent="0.25">
      <c r="A1413" s="1" t="str">
        <f>HYPERLINK("http://www.rosaceae.org/Prunus/Prunus_persica/p.persica_gdr_reftransV1_0045163","p.persica_gdr_reftransV1_0045163")</f>
        <v>p.persica_gdr_reftransV1_0045163</v>
      </c>
      <c r="B1413" s="3">
        <v>1378</v>
      </c>
      <c r="C1413" s="1" t="str">
        <f>HYPERLINK("http://www.uniprot.org/uniprot/PDX12_ARATH","PDX12_ARATH")</f>
        <v>PDX12_ARATH</v>
      </c>
      <c r="D1413" t="s">
        <v>1438</v>
      </c>
      <c r="E1413" s="3" t="s">
        <v>3</v>
      </c>
      <c r="F1413" s="4">
        <v>2.58E-158</v>
      </c>
      <c r="G1413" s="3">
        <v>1178</v>
      </c>
      <c r="H1413" s="3">
        <v>70</v>
      </c>
      <c r="I1413" s="3">
        <v>303</v>
      </c>
      <c r="J1413" s="3">
        <v>218</v>
      </c>
      <c r="K1413" s="3">
        <v>1120</v>
      </c>
      <c r="L1413" s="3">
        <v>10</v>
      </c>
      <c r="M1413" s="3">
        <v>312</v>
      </c>
    </row>
    <row r="1414" spans="1:13" x14ac:dyDescent="0.25">
      <c r="A1414" s="1" t="str">
        <f>HYPERLINK("http://www.rosaceae.org/Prunus/Prunus_persica/p.persica_gdr_reftransV1_0045263","p.persica_gdr_reftransV1_0045263")</f>
        <v>p.persica_gdr_reftransV1_0045263</v>
      </c>
      <c r="B1414" s="3">
        <v>778</v>
      </c>
      <c r="C1414" s="1" t="str">
        <f>HYPERLINK("http://www.uniprot.org/uniprot/SORCN_SCHJA","SORCN_SCHJA")</f>
        <v>SORCN_SCHJA</v>
      </c>
      <c r="D1414" t="s">
        <v>1439</v>
      </c>
      <c r="E1414" s="3" t="s">
        <v>1440</v>
      </c>
      <c r="F1414" s="4">
        <v>1.44E-18</v>
      </c>
      <c r="G1414" s="3">
        <v>208</v>
      </c>
      <c r="H1414" s="3">
        <v>34</v>
      </c>
      <c r="I1414" s="3">
        <v>158</v>
      </c>
      <c r="J1414" s="3">
        <v>85</v>
      </c>
      <c r="K1414" s="3">
        <v>549</v>
      </c>
      <c r="L1414" s="3">
        <v>8</v>
      </c>
      <c r="M1414" s="3">
        <v>163</v>
      </c>
    </row>
    <row r="1415" spans="1:13" x14ac:dyDescent="0.25">
      <c r="A1415" s="1" t="str">
        <f>HYPERLINK("http://www.rosaceae.org/Prunus/Prunus_persica/p.persica_gdr_reftransV1_0045313","p.persica_gdr_reftransV1_0045313")</f>
        <v>p.persica_gdr_reftransV1_0045313</v>
      </c>
      <c r="B1415" s="3">
        <v>1546</v>
      </c>
      <c r="C1415" s="1" t="str">
        <f>HYPERLINK("http://www.uniprot.org/uniprot/B2_DAUCA","B2_DAUCA")</f>
        <v>B2_DAUCA</v>
      </c>
      <c r="D1415" t="s">
        <v>1441</v>
      </c>
      <c r="E1415" s="3" t="s">
        <v>32</v>
      </c>
      <c r="F1415" s="4">
        <v>1.2100000000000001E-24</v>
      </c>
      <c r="G1415" s="3">
        <v>263</v>
      </c>
      <c r="H1415" s="3">
        <v>41</v>
      </c>
      <c r="I1415" s="3">
        <v>142</v>
      </c>
      <c r="J1415" s="3">
        <v>1014</v>
      </c>
      <c r="K1415" s="3">
        <v>1436</v>
      </c>
      <c r="L1415" s="3">
        <v>61</v>
      </c>
      <c r="M1415" s="3">
        <v>191</v>
      </c>
    </row>
    <row r="1416" spans="1:13" x14ac:dyDescent="0.25">
      <c r="A1416" s="1" t="str">
        <f>HYPERLINK("http://www.rosaceae.org/Prunus/Prunus_persica/p.persica_gdr_reftransV1_0045463","p.persica_gdr_reftransV1_0045463")</f>
        <v>p.persica_gdr_reftransV1_0045463</v>
      </c>
      <c r="B1416" s="3">
        <v>2922</v>
      </c>
      <c r="C1416" s="1" t="str">
        <f>HYPERLINK("http://www.uniprot.org/uniprot/SCAI_MOUSE","SCAI_MOUSE")</f>
        <v>SCAI_MOUSE</v>
      </c>
      <c r="D1416" t="s">
        <v>1442</v>
      </c>
      <c r="E1416" s="3" t="s">
        <v>157</v>
      </c>
      <c r="F1416" s="4">
        <v>2.3000000000000001E-69</v>
      </c>
      <c r="G1416" s="3">
        <v>632</v>
      </c>
      <c r="H1416" s="3">
        <v>32</v>
      </c>
      <c r="I1416" s="3">
        <v>607</v>
      </c>
      <c r="J1416" s="3">
        <v>541</v>
      </c>
      <c r="K1416" s="3">
        <v>2313</v>
      </c>
      <c r="L1416" s="3">
        <v>62</v>
      </c>
      <c r="M1416" s="3">
        <v>598</v>
      </c>
    </row>
    <row r="1417" spans="1:13" x14ac:dyDescent="0.25">
      <c r="A1417" s="1" t="str">
        <f>HYPERLINK("http://www.rosaceae.org/Prunus/Prunus_persica/p.persica_gdr_reftransV1_0045613","p.persica_gdr_reftransV1_0045613")</f>
        <v>p.persica_gdr_reftransV1_0045613</v>
      </c>
      <c r="B1417" s="3">
        <v>1008</v>
      </c>
      <c r="C1417" s="1" t="str">
        <f>HYPERLINK("http://www.uniprot.org/uniprot/SEN21_ARATH","SEN21_ARATH")</f>
        <v>SEN21_ARATH</v>
      </c>
      <c r="D1417" t="s">
        <v>1443</v>
      </c>
      <c r="E1417" s="3" t="s">
        <v>3</v>
      </c>
      <c r="F1417" s="4">
        <v>6.9799999999999998E-80</v>
      </c>
      <c r="G1417" s="3">
        <v>638</v>
      </c>
      <c r="H1417" s="3">
        <v>57</v>
      </c>
      <c r="I1417" s="3">
        <v>238</v>
      </c>
      <c r="J1417" s="3">
        <v>156</v>
      </c>
      <c r="K1417" s="3">
        <v>863</v>
      </c>
      <c r="L1417" s="3">
        <v>1</v>
      </c>
      <c r="M1417" s="3">
        <v>235</v>
      </c>
    </row>
    <row r="1418" spans="1:13" x14ac:dyDescent="0.25">
      <c r="A1418" s="1" t="str">
        <f>HYPERLINK("http://www.rosaceae.org/Prunus/Prunus_persica/p.persica_gdr_reftransV1_0045663","p.persica_gdr_reftransV1_0045663")</f>
        <v>p.persica_gdr_reftransV1_0045663</v>
      </c>
      <c r="B1418" s="3">
        <v>2266</v>
      </c>
      <c r="C1418" s="1" t="str">
        <f>HYPERLINK("http://www.uniprot.org/uniprot/PLR1_ARATH","PLR1_ARATH")</f>
        <v>PLR1_ARATH</v>
      </c>
      <c r="D1418" t="s">
        <v>1444</v>
      </c>
      <c r="E1418" s="3" t="s">
        <v>3</v>
      </c>
      <c r="F1418" s="4">
        <v>0</v>
      </c>
      <c r="G1418" s="3">
        <v>1437</v>
      </c>
      <c r="H1418" s="3">
        <v>78</v>
      </c>
      <c r="I1418" s="3">
        <v>328</v>
      </c>
      <c r="J1418" s="3">
        <v>1104</v>
      </c>
      <c r="K1418" s="3">
        <v>2087</v>
      </c>
      <c r="L1418" s="3">
        <v>38</v>
      </c>
      <c r="M1418" s="3">
        <v>365</v>
      </c>
    </row>
    <row r="1419" spans="1:13" x14ac:dyDescent="0.25">
      <c r="A1419" s="1" t="str">
        <f>HYPERLINK("http://www.rosaceae.org/Prunus/Prunus_persica/p.persica_gdr_reftransV1_0045713","p.persica_gdr_reftransV1_0045713")</f>
        <v>p.persica_gdr_reftransV1_0045713</v>
      </c>
      <c r="B1419" s="3">
        <v>816</v>
      </c>
      <c r="C1419" s="1" t="str">
        <f>HYPERLINK("http://www.uniprot.org/uniprot/ASPG1_ARATH","ASPG1_ARATH")</f>
        <v>ASPG1_ARATH</v>
      </c>
      <c r="D1419" t="s">
        <v>1238</v>
      </c>
      <c r="E1419" s="3" t="s">
        <v>3</v>
      </c>
      <c r="F1419" s="4">
        <v>9.5700000000000001E-22</v>
      </c>
      <c r="G1419" s="3">
        <v>243</v>
      </c>
      <c r="H1419" s="3">
        <v>35</v>
      </c>
      <c r="I1419" s="3">
        <v>150</v>
      </c>
      <c r="J1419" s="3">
        <v>402</v>
      </c>
      <c r="K1419" s="3">
        <v>815</v>
      </c>
      <c r="L1419" s="3">
        <v>106</v>
      </c>
      <c r="M1419" s="3">
        <v>246</v>
      </c>
    </row>
    <row r="1420" spans="1:13" x14ac:dyDescent="0.25">
      <c r="A1420" s="1" t="str">
        <f>HYPERLINK("http://www.rosaceae.org/Prunus/Prunus_persica/p.persica_gdr_reftransV1_0045763","p.persica_gdr_reftransV1_0045763")</f>
        <v>p.persica_gdr_reftransV1_0045763</v>
      </c>
      <c r="B1420" s="3">
        <v>2189</v>
      </c>
      <c r="C1420" s="1" t="str">
        <f>HYPERLINK("http://www.uniprot.org/uniprot/PINI_ARATH","PINI_ARATH")</f>
        <v>PINI_ARATH</v>
      </c>
      <c r="D1420" t="s">
        <v>1445</v>
      </c>
      <c r="E1420" s="3" t="s">
        <v>3</v>
      </c>
      <c r="F1420" s="4">
        <v>0</v>
      </c>
      <c r="G1420" s="3">
        <v>2256</v>
      </c>
      <c r="H1420" s="3">
        <v>72</v>
      </c>
      <c r="I1420" s="3">
        <v>645</v>
      </c>
      <c r="J1420" s="3">
        <v>132</v>
      </c>
      <c r="K1420" s="3">
        <v>1988</v>
      </c>
      <c r="L1420" s="3">
        <v>1</v>
      </c>
      <c r="M1420" s="3">
        <v>622</v>
      </c>
    </row>
    <row r="1421" spans="1:13" x14ac:dyDescent="0.25">
      <c r="A1421" s="1" t="str">
        <f>HYPERLINK("http://www.rosaceae.org/Prunus/Prunus_persica/p.persica_gdr_reftransV1_0045813","p.persica_gdr_reftransV1_0045813")</f>
        <v>p.persica_gdr_reftransV1_0045813</v>
      </c>
      <c r="B1421" s="3">
        <v>2348</v>
      </c>
      <c r="C1421" s="1" t="str">
        <f>HYPERLINK("http://www.uniprot.org/uniprot/GLYC7_ARATH","GLYC7_ARATH")</f>
        <v>GLYC7_ARATH</v>
      </c>
      <c r="D1421" t="s">
        <v>1446</v>
      </c>
      <c r="E1421" s="3" t="s">
        <v>3</v>
      </c>
      <c r="F1421" s="4">
        <v>0</v>
      </c>
      <c r="G1421" s="3">
        <v>2074</v>
      </c>
      <c r="H1421" s="3">
        <v>75</v>
      </c>
      <c r="I1421" s="3">
        <v>542</v>
      </c>
      <c r="J1421" s="3">
        <v>455</v>
      </c>
      <c r="K1421" s="3">
        <v>2065</v>
      </c>
      <c r="L1421" s="3">
        <v>54</v>
      </c>
      <c r="M1421" s="3">
        <v>595</v>
      </c>
    </row>
    <row r="1422" spans="1:13" x14ac:dyDescent="0.25">
      <c r="A1422" s="1" t="str">
        <f>HYPERLINK("http://www.rosaceae.org/Prunus/Prunus_persica/p.persica_gdr_reftransV1_0045863","p.persica_gdr_reftransV1_0045863")</f>
        <v>p.persica_gdr_reftransV1_0045863</v>
      </c>
      <c r="B1422" s="3">
        <v>550</v>
      </c>
      <c r="C1422" s="1" t="str">
        <f>HYPERLINK("http://www.uniprot.org/uniprot/ODPA1_ORYSJ","ODPA1_ORYSJ")</f>
        <v>ODPA1_ORYSJ</v>
      </c>
      <c r="D1422" t="s">
        <v>1447</v>
      </c>
      <c r="E1422" s="3" t="s">
        <v>38</v>
      </c>
      <c r="F1422" s="4">
        <v>3.9099999999999997E-83</v>
      </c>
      <c r="G1422" s="3">
        <v>657</v>
      </c>
      <c r="H1422" s="3">
        <v>85</v>
      </c>
      <c r="I1422" s="3">
        <v>141</v>
      </c>
      <c r="J1422" s="3">
        <v>40</v>
      </c>
      <c r="K1422" s="3">
        <v>462</v>
      </c>
      <c r="L1422" s="3">
        <v>250</v>
      </c>
      <c r="M1422" s="3">
        <v>390</v>
      </c>
    </row>
    <row r="1423" spans="1:13" x14ac:dyDescent="0.25">
      <c r="A1423" s="1" t="str">
        <f>HYPERLINK("http://www.rosaceae.org/Prunus/Prunus_persica/p.persica_gdr_reftransV1_0045963","p.persica_gdr_reftransV1_0045963")</f>
        <v>p.persica_gdr_reftransV1_0045963</v>
      </c>
      <c r="B1423" s="3">
        <v>1983</v>
      </c>
      <c r="C1423" s="1" t="str">
        <f>HYPERLINK("http://www.uniprot.org/uniprot/LUT1_ARATH","LUT1_ARATH")</f>
        <v>LUT1_ARATH</v>
      </c>
      <c r="D1423" t="s">
        <v>1448</v>
      </c>
      <c r="E1423" s="3" t="s">
        <v>3</v>
      </c>
      <c r="F1423" s="4">
        <v>0</v>
      </c>
      <c r="G1423" s="3">
        <v>2228</v>
      </c>
      <c r="H1423" s="3">
        <v>83</v>
      </c>
      <c r="I1423" s="3">
        <v>484</v>
      </c>
      <c r="J1423" s="3">
        <v>310</v>
      </c>
      <c r="K1423" s="3">
        <v>1761</v>
      </c>
      <c r="L1423" s="3">
        <v>56</v>
      </c>
      <c r="M1423" s="3">
        <v>539</v>
      </c>
    </row>
    <row r="1424" spans="1:13" x14ac:dyDescent="0.25">
      <c r="A1424" s="1" t="str">
        <f>HYPERLINK("http://www.rosaceae.org/Prunus/Prunus_persica/p.persica_gdr_reftransV1_0046063","p.persica_gdr_reftransV1_0046063")</f>
        <v>p.persica_gdr_reftransV1_0046063</v>
      </c>
      <c r="B1424" s="3">
        <v>1610</v>
      </c>
      <c r="C1424" s="1" t="str">
        <f>HYPERLINK("http://www.uniprot.org/uniprot/RBP45_NICPL","RBP45_NICPL")</f>
        <v>RBP45_NICPL</v>
      </c>
      <c r="D1424" t="s">
        <v>1449</v>
      </c>
      <c r="E1424" s="3" t="s">
        <v>1450</v>
      </c>
      <c r="F1424" s="4">
        <v>3.48E-118</v>
      </c>
      <c r="G1424" s="3">
        <v>736</v>
      </c>
      <c r="H1424" s="3">
        <v>74</v>
      </c>
      <c r="I1424" s="3">
        <v>186</v>
      </c>
      <c r="J1424" s="3">
        <v>751</v>
      </c>
      <c r="K1424" s="3">
        <v>1302</v>
      </c>
      <c r="L1424" s="3">
        <v>79</v>
      </c>
      <c r="M1424" s="3">
        <v>263</v>
      </c>
    </row>
    <row r="1425" spans="1:13" x14ac:dyDescent="0.25">
      <c r="A1425" s="1" t="str">
        <f>HYPERLINK("http://www.rosaceae.org/Prunus/Prunus_persica/p.persica_gdr_reftransV1_0046163","p.persica_gdr_reftransV1_0046163")</f>
        <v>p.persica_gdr_reftransV1_0046163</v>
      </c>
      <c r="B1425" s="3">
        <v>891</v>
      </c>
      <c r="C1425" s="1" t="str">
        <f>HYPERLINK("http://www.uniprot.org/uniprot/HSFB4_ARATH","HSFB4_ARATH")</f>
        <v>HSFB4_ARATH</v>
      </c>
      <c r="D1425" t="s">
        <v>1451</v>
      </c>
      <c r="E1425" s="3" t="s">
        <v>3</v>
      </c>
      <c r="F1425" s="4">
        <v>2.8799999999999999E-27</v>
      </c>
      <c r="G1425" s="3">
        <v>282</v>
      </c>
      <c r="H1425" s="3">
        <v>38</v>
      </c>
      <c r="I1425" s="3">
        <v>244</v>
      </c>
      <c r="J1425" s="3">
        <v>90</v>
      </c>
      <c r="K1425" s="3">
        <v>815</v>
      </c>
      <c r="L1425" s="3">
        <v>153</v>
      </c>
      <c r="M1425" s="3">
        <v>347</v>
      </c>
    </row>
    <row r="1426" spans="1:13" x14ac:dyDescent="0.25">
      <c r="A1426" s="1" t="str">
        <f>HYPERLINK("http://www.rosaceae.org/Prunus/Prunus_persica/p.persica_gdr_reftransV1_0046263","p.persica_gdr_reftransV1_0046263")</f>
        <v>p.persica_gdr_reftransV1_0046263</v>
      </c>
      <c r="B1426" s="3">
        <v>3605</v>
      </c>
      <c r="C1426" s="1" t="str">
        <f>HYPERLINK("http://www.uniprot.org/uniprot/NUP96_ARATH","NUP96_ARATH")</f>
        <v>NUP96_ARATH</v>
      </c>
      <c r="D1426" t="s">
        <v>1452</v>
      </c>
      <c r="E1426" s="3" t="s">
        <v>3</v>
      </c>
      <c r="F1426" s="4">
        <v>0</v>
      </c>
      <c r="G1426" s="3">
        <v>3221</v>
      </c>
      <c r="H1426" s="3">
        <v>62</v>
      </c>
      <c r="I1426" s="3">
        <v>1027</v>
      </c>
      <c r="J1426" s="3">
        <v>401</v>
      </c>
      <c r="K1426" s="3">
        <v>3475</v>
      </c>
      <c r="L1426" s="3">
        <v>23</v>
      </c>
      <c r="M1426" s="3">
        <v>1042</v>
      </c>
    </row>
    <row r="1427" spans="1:13" x14ac:dyDescent="0.25">
      <c r="A1427" s="1" t="str">
        <f>HYPERLINK("http://www.rosaceae.org/Prunus/Prunus_persica/p.persica_gdr_reftransV1_0046313","p.persica_gdr_reftransV1_0046313")</f>
        <v>p.persica_gdr_reftransV1_0046313</v>
      </c>
      <c r="B1427" s="3">
        <v>756</v>
      </c>
      <c r="C1427" s="1" t="str">
        <f>HYPERLINK("http://www.uniprot.org/uniprot/A494_ARATH","A494_ARATH")</f>
        <v>A494_ARATH</v>
      </c>
      <c r="D1427" t="s">
        <v>1453</v>
      </c>
      <c r="E1427" s="3" t="s">
        <v>3</v>
      </c>
      <c r="F1427" s="4">
        <v>3.97E-121</v>
      </c>
      <c r="G1427" s="3">
        <v>914</v>
      </c>
      <c r="H1427" s="3">
        <v>79</v>
      </c>
      <c r="I1427" s="3">
        <v>210</v>
      </c>
      <c r="J1427" s="3">
        <v>52</v>
      </c>
      <c r="K1427" s="3">
        <v>678</v>
      </c>
      <c r="L1427" s="3">
        <v>149</v>
      </c>
      <c r="M1427" s="3">
        <v>358</v>
      </c>
    </row>
    <row r="1428" spans="1:13" x14ac:dyDescent="0.25">
      <c r="A1428" s="1" t="str">
        <f>HYPERLINK("http://www.rosaceae.org/Prunus/Prunus_persica/p.persica_gdr_reftransV1_0046463","p.persica_gdr_reftransV1_0046463")</f>
        <v>p.persica_gdr_reftransV1_0046463</v>
      </c>
      <c r="B1428" s="3">
        <v>991</v>
      </c>
      <c r="C1428" s="1" t="str">
        <f>HYPERLINK("http://www.uniprot.org/uniprot/NTPCR_BOVIN","NTPCR_BOVIN")</f>
        <v>NTPCR_BOVIN</v>
      </c>
      <c r="D1428" t="s">
        <v>1454</v>
      </c>
      <c r="E1428" s="3" t="s">
        <v>184</v>
      </c>
      <c r="F1428" s="4">
        <v>9.6799999999999998E-33</v>
      </c>
      <c r="G1428" s="3">
        <v>314</v>
      </c>
      <c r="H1428" s="3">
        <v>41</v>
      </c>
      <c r="I1428" s="3">
        <v>188</v>
      </c>
      <c r="J1428" s="3">
        <v>178</v>
      </c>
      <c r="K1428" s="3">
        <v>714</v>
      </c>
      <c r="L1428" s="3">
        <v>3</v>
      </c>
      <c r="M1428" s="3">
        <v>185</v>
      </c>
    </row>
    <row r="1429" spans="1:13" x14ac:dyDescent="0.25">
      <c r="A1429" s="1" t="str">
        <f>HYPERLINK("http://www.rosaceae.org/Prunus/Prunus_persica/p.persica_gdr_reftransV1_0046563","p.persica_gdr_reftransV1_0046563")</f>
        <v>p.persica_gdr_reftransV1_0046563</v>
      </c>
      <c r="B1429" s="3">
        <v>853</v>
      </c>
      <c r="C1429" s="1" t="str">
        <f>HYPERLINK("http://www.uniprot.org/uniprot/QKY_ARATH","QKY_ARATH")</f>
        <v>QKY_ARATH</v>
      </c>
      <c r="D1429" t="s">
        <v>707</v>
      </c>
      <c r="E1429" s="3" t="s">
        <v>3</v>
      </c>
      <c r="F1429" s="4">
        <v>8.3600000000000002E-75</v>
      </c>
      <c r="G1429" s="3">
        <v>643</v>
      </c>
      <c r="H1429" s="3">
        <v>57</v>
      </c>
      <c r="I1429" s="3">
        <v>235</v>
      </c>
      <c r="J1429" s="3">
        <v>146</v>
      </c>
      <c r="K1429" s="3">
        <v>850</v>
      </c>
      <c r="L1429" s="3">
        <v>847</v>
      </c>
      <c r="M1429" s="3">
        <v>1081</v>
      </c>
    </row>
    <row r="1430" spans="1:13" x14ac:dyDescent="0.25">
      <c r="A1430" s="1" t="str">
        <f>HYPERLINK("http://www.rosaceae.org/Prunus/Prunus_persica/p.persica_gdr_reftransV1_0046613","p.persica_gdr_reftransV1_0046613")</f>
        <v>p.persica_gdr_reftransV1_0046613</v>
      </c>
      <c r="B1430" s="3">
        <v>1976</v>
      </c>
      <c r="C1430" s="1" t="str">
        <f>HYPERLINK("http://www.uniprot.org/uniprot/AP5M_ARATH","AP5M_ARATH")</f>
        <v>AP5M_ARATH</v>
      </c>
      <c r="D1430" t="s">
        <v>1455</v>
      </c>
      <c r="E1430" s="3" t="s">
        <v>3</v>
      </c>
      <c r="F1430" s="4">
        <v>0</v>
      </c>
      <c r="G1430" s="3">
        <v>1571</v>
      </c>
      <c r="H1430" s="3">
        <v>67</v>
      </c>
      <c r="I1430" s="3">
        <v>513</v>
      </c>
      <c r="J1430" s="3">
        <v>13</v>
      </c>
      <c r="K1430" s="3">
        <v>1536</v>
      </c>
      <c r="L1430" s="3">
        <v>112</v>
      </c>
      <c r="M1430" s="3">
        <v>611</v>
      </c>
    </row>
    <row r="1431" spans="1:13" x14ac:dyDescent="0.25">
      <c r="A1431" s="1" t="str">
        <f>HYPERLINK("http://www.rosaceae.org/Prunus/Prunus_persica/p.persica_gdr_reftransV1_0046813","p.persica_gdr_reftransV1_0046813")</f>
        <v>p.persica_gdr_reftransV1_0046813</v>
      </c>
      <c r="B1431" s="3">
        <v>1253</v>
      </c>
      <c r="C1431" s="1" t="str">
        <f>HYPERLINK("http://www.uniprot.org/uniprot/LEUD3_ARATH","LEUD3_ARATH")</f>
        <v>LEUD3_ARATH</v>
      </c>
      <c r="D1431" t="s">
        <v>1456</v>
      </c>
      <c r="E1431" s="3" t="s">
        <v>3</v>
      </c>
      <c r="F1431" s="4">
        <v>3.92E-88</v>
      </c>
      <c r="G1431" s="3">
        <v>702</v>
      </c>
      <c r="H1431" s="3">
        <v>67</v>
      </c>
      <c r="I1431" s="3">
        <v>253</v>
      </c>
      <c r="J1431" s="3">
        <v>317</v>
      </c>
      <c r="K1431" s="3">
        <v>1066</v>
      </c>
      <c r="L1431" s="3">
        <v>1</v>
      </c>
      <c r="M1431" s="3">
        <v>248</v>
      </c>
    </row>
    <row r="1432" spans="1:13" x14ac:dyDescent="0.25">
      <c r="A1432" s="1" t="str">
        <f>HYPERLINK("http://www.rosaceae.org/Prunus/Prunus_persica/p.persica_gdr_reftransV1_0046863","p.persica_gdr_reftransV1_0046863")</f>
        <v>p.persica_gdr_reftransV1_0046863</v>
      </c>
      <c r="B1432" s="3">
        <v>310</v>
      </c>
      <c r="C1432" s="1" t="str">
        <f>HYPERLINK("http://www.uniprot.org/uniprot/FB291_ARATH","FB291_ARATH")</f>
        <v>FB291_ARATH</v>
      </c>
      <c r="D1432" t="s">
        <v>1457</v>
      </c>
      <c r="E1432" s="3" t="s">
        <v>3</v>
      </c>
      <c r="F1432" s="4">
        <v>8.8099999999999996E-10</v>
      </c>
      <c r="G1432" s="3">
        <v>139</v>
      </c>
      <c r="H1432" s="3">
        <v>49</v>
      </c>
      <c r="I1432" s="3">
        <v>51</v>
      </c>
      <c r="J1432" s="3">
        <v>99</v>
      </c>
      <c r="K1432" s="3">
        <v>251</v>
      </c>
      <c r="L1432" s="3">
        <v>2</v>
      </c>
      <c r="M1432" s="3">
        <v>52</v>
      </c>
    </row>
    <row r="1433" spans="1:13" x14ac:dyDescent="0.25">
      <c r="A1433" s="1" t="str">
        <f>HYPERLINK("http://www.rosaceae.org/Prunus/Prunus_persica/p.persica_gdr_reftransV1_0046963","p.persica_gdr_reftransV1_0046963")</f>
        <v>p.persica_gdr_reftransV1_0046963</v>
      </c>
      <c r="B1433" s="3">
        <v>646</v>
      </c>
      <c r="C1433" s="1" t="str">
        <f>HYPERLINK("http://www.uniprot.org/uniprot/PFD4_AVEFA","PFD4_AVEFA")</f>
        <v>PFD4_AVEFA</v>
      </c>
      <c r="D1433" t="s">
        <v>1458</v>
      </c>
      <c r="E1433" s="3" t="s">
        <v>1459</v>
      </c>
      <c r="F1433" s="4">
        <v>6.7900000000000005E-60</v>
      </c>
      <c r="G1433" s="3">
        <v>483</v>
      </c>
      <c r="H1433" s="3">
        <v>79</v>
      </c>
      <c r="I1433" s="3">
        <v>126</v>
      </c>
      <c r="J1433" s="3">
        <v>68</v>
      </c>
      <c r="K1433" s="3">
        <v>445</v>
      </c>
      <c r="L1433" s="3">
        <v>1</v>
      </c>
      <c r="M1433" s="3">
        <v>126</v>
      </c>
    </row>
    <row r="1434" spans="1:13" x14ac:dyDescent="0.25">
      <c r="A1434" s="1" t="str">
        <f>HYPERLINK("http://www.rosaceae.org/Prunus/Prunus_persica/p.persica_gdr_reftransV1_0047013","p.persica_gdr_reftransV1_0047013")</f>
        <v>p.persica_gdr_reftransV1_0047013</v>
      </c>
      <c r="B1434" s="3">
        <v>993</v>
      </c>
      <c r="C1434" s="1" t="str">
        <f>HYPERLINK("http://www.uniprot.org/uniprot/RS82_ARATH","RS82_ARATH")</f>
        <v>RS82_ARATH</v>
      </c>
      <c r="D1434" t="s">
        <v>1460</v>
      </c>
      <c r="E1434" s="3" t="s">
        <v>3</v>
      </c>
      <c r="F1434" s="4">
        <v>4.0099999999999998E-81</v>
      </c>
      <c r="G1434" s="3">
        <v>543</v>
      </c>
      <c r="H1434" s="3">
        <v>82</v>
      </c>
      <c r="I1434" s="3">
        <v>158</v>
      </c>
      <c r="J1434" s="3">
        <v>89</v>
      </c>
      <c r="K1434" s="3">
        <v>562</v>
      </c>
      <c r="L1434" s="3">
        <v>1</v>
      </c>
      <c r="M1434" s="3">
        <v>147</v>
      </c>
    </row>
    <row r="1435" spans="1:13" x14ac:dyDescent="0.25">
      <c r="A1435" s="1" t="str">
        <f>HYPERLINK("http://www.rosaceae.org/Prunus/Prunus_persica/p.persica_gdr_reftransV1_0047063","p.persica_gdr_reftransV1_0047063")</f>
        <v>p.persica_gdr_reftransV1_0047063</v>
      </c>
      <c r="B1435" s="3">
        <v>2227</v>
      </c>
      <c r="C1435" s="1" t="str">
        <f>HYPERLINK("http://www.uniprot.org/uniprot/BCCIP_ARATH","BCCIP_ARATH")</f>
        <v>BCCIP_ARATH</v>
      </c>
      <c r="D1435" t="s">
        <v>1461</v>
      </c>
      <c r="E1435" s="3" t="s">
        <v>3</v>
      </c>
      <c r="F1435" s="4">
        <v>6.9000000000000003E-95</v>
      </c>
      <c r="G1435" s="3">
        <v>779</v>
      </c>
      <c r="H1435" s="3">
        <v>56</v>
      </c>
      <c r="I1435" s="3">
        <v>333</v>
      </c>
      <c r="J1435" s="3">
        <v>673</v>
      </c>
      <c r="K1435" s="3">
        <v>1641</v>
      </c>
      <c r="L1435" s="3">
        <v>1</v>
      </c>
      <c r="M1435" s="3">
        <v>326</v>
      </c>
    </row>
    <row r="1436" spans="1:13" x14ac:dyDescent="0.25">
      <c r="A1436" s="1" t="str">
        <f>HYPERLINK("http://www.rosaceae.org/Prunus/Prunus_persica/p.persica_gdr_reftransV1_0047113","p.persica_gdr_reftransV1_0047113")</f>
        <v>p.persica_gdr_reftransV1_0047113</v>
      </c>
      <c r="B1436" s="3">
        <v>1727</v>
      </c>
      <c r="C1436" s="1" t="str">
        <f>HYPERLINK("http://www.uniprot.org/uniprot/CADH1_ARACO","CADH1_ARACO")</f>
        <v>CADH1_ARACO</v>
      </c>
      <c r="D1436" t="s">
        <v>1462</v>
      </c>
      <c r="E1436" s="3" t="s">
        <v>1463</v>
      </c>
      <c r="F1436" s="4">
        <v>2.23E-169</v>
      </c>
      <c r="G1436" s="3">
        <v>1267</v>
      </c>
      <c r="H1436" s="3">
        <v>78</v>
      </c>
      <c r="I1436" s="3">
        <v>357</v>
      </c>
      <c r="J1436" s="3">
        <v>513</v>
      </c>
      <c r="K1436" s="3">
        <v>1580</v>
      </c>
      <c r="L1436" s="3">
        <v>1</v>
      </c>
      <c r="M1436" s="3">
        <v>357</v>
      </c>
    </row>
    <row r="1437" spans="1:13" x14ac:dyDescent="0.25">
      <c r="A1437" s="1" t="str">
        <f>HYPERLINK("http://www.rosaceae.org/Prunus/Prunus_persica/p.persica_gdr_reftransV1_0047213","p.persica_gdr_reftransV1_0047213")</f>
        <v>p.persica_gdr_reftransV1_0047213</v>
      </c>
      <c r="B1437" s="3">
        <v>1201</v>
      </c>
      <c r="C1437" s="1" t="str">
        <f>HYPERLINK("http://www.uniprot.org/uniprot/PSB3A_ARATH","PSB3A_ARATH")</f>
        <v>PSB3A_ARATH</v>
      </c>
      <c r="D1437" t="s">
        <v>1464</v>
      </c>
      <c r="E1437" s="3" t="s">
        <v>3</v>
      </c>
      <c r="F1437" s="4">
        <v>3.44E-137</v>
      </c>
      <c r="G1437" s="3">
        <v>1021</v>
      </c>
      <c r="H1437" s="3">
        <v>90</v>
      </c>
      <c r="I1437" s="3">
        <v>204</v>
      </c>
      <c r="J1437" s="3">
        <v>150</v>
      </c>
      <c r="K1437" s="3">
        <v>761</v>
      </c>
      <c r="L1437" s="3">
        <v>1</v>
      </c>
      <c r="M1437" s="3">
        <v>204</v>
      </c>
    </row>
    <row r="1438" spans="1:13" x14ac:dyDescent="0.25">
      <c r="A1438" s="1" t="str">
        <f>HYPERLINK("http://www.rosaceae.org/Prunus/Prunus_persica/p.persica_gdr_reftransV1_0047313","p.persica_gdr_reftransV1_0047313")</f>
        <v>p.persica_gdr_reftransV1_0047313</v>
      </c>
      <c r="B1438" s="3">
        <v>2891</v>
      </c>
      <c r="C1438" s="1" t="str">
        <f>HYPERLINK("http://www.uniprot.org/uniprot/LVSC_DICDI","LVSC_DICDI")</f>
        <v>LVSC_DICDI</v>
      </c>
      <c r="D1438" t="s">
        <v>1350</v>
      </c>
      <c r="E1438" s="3" t="s">
        <v>9</v>
      </c>
      <c r="F1438" s="4">
        <v>0</v>
      </c>
      <c r="G1438" s="3">
        <v>1576</v>
      </c>
      <c r="H1438" s="3">
        <v>45</v>
      </c>
      <c r="I1438" s="3">
        <v>739</v>
      </c>
      <c r="J1438" s="3">
        <v>643</v>
      </c>
      <c r="K1438" s="3">
        <v>2817</v>
      </c>
      <c r="L1438" s="3">
        <v>1769</v>
      </c>
      <c r="M1438" s="3">
        <v>2464</v>
      </c>
    </row>
    <row r="1439" spans="1:13" x14ac:dyDescent="0.25">
      <c r="A1439" s="1" t="str">
        <f>HYPERLINK("http://www.rosaceae.org/Prunus/Prunus_persica/p.persica_gdr_reftransV1_0047363","p.persica_gdr_reftransV1_0047363")</f>
        <v>p.persica_gdr_reftransV1_0047363</v>
      </c>
      <c r="B1439" s="3">
        <v>442</v>
      </c>
      <c r="C1439" s="1" t="str">
        <f>HYPERLINK("http://www.uniprot.org/uniprot/PP317_ARATH","PP317_ARATH")</f>
        <v>PP317_ARATH</v>
      </c>
      <c r="D1439" t="s">
        <v>1465</v>
      </c>
      <c r="E1439" s="3" t="s">
        <v>3</v>
      </c>
      <c r="F1439" s="4">
        <v>1.0200000000000001E-52</v>
      </c>
      <c r="G1439" s="3">
        <v>461</v>
      </c>
      <c r="H1439" s="3">
        <v>60</v>
      </c>
      <c r="I1439" s="3">
        <v>147</v>
      </c>
      <c r="J1439" s="3">
        <v>2</v>
      </c>
      <c r="K1439" s="3">
        <v>442</v>
      </c>
      <c r="L1439" s="3">
        <v>515</v>
      </c>
      <c r="M1439" s="3">
        <v>661</v>
      </c>
    </row>
    <row r="1440" spans="1:13" x14ac:dyDescent="0.25">
      <c r="A1440" s="1" t="str">
        <f>HYPERLINK("http://www.rosaceae.org/Prunus/Prunus_persica/p.persica_gdr_reftransV1_0047463","p.persica_gdr_reftransV1_0047463")</f>
        <v>p.persica_gdr_reftransV1_0047463</v>
      </c>
      <c r="B1440" s="3">
        <v>547</v>
      </c>
      <c r="C1440" s="1" t="str">
        <f>HYPERLINK("http://www.uniprot.org/uniprot/SGO1_MAIZE","SGO1_MAIZE")</f>
        <v>SGO1_MAIZE</v>
      </c>
      <c r="D1440" t="s">
        <v>1466</v>
      </c>
      <c r="E1440" s="3" t="s">
        <v>72</v>
      </c>
      <c r="F1440" s="4">
        <v>6.2000000000000002E-12</v>
      </c>
      <c r="G1440" s="3">
        <v>162</v>
      </c>
      <c r="H1440" s="3">
        <v>52</v>
      </c>
      <c r="I1440" s="3">
        <v>82</v>
      </c>
      <c r="J1440" s="3">
        <v>298</v>
      </c>
      <c r="K1440" s="3">
        <v>543</v>
      </c>
      <c r="L1440" s="3">
        <v>72</v>
      </c>
      <c r="M1440" s="3">
        <v>153</v>
      </c>
    </row>
    <row r="1441" spans="1:13" x14ac:dyDescent="0.25">
      <c r="A1441" s="1" t="str">
        <f>HYPERLINK("http://www.rosaceae.org/Prunus/Prunus_persica/p.persica_gdr_reftransV1_0047513","p.persica_gdr_reftransV1_0047513")</f>
        <v>p.persica_gdr_reftransV1_0047513</v>
      </c>
      <c r="B1441" s="3">
        <v>784</v>
      </c>
      <c r="C1441" s="1" t="str">
        <f>HYPERLINK("http://www.uniprot.org/uniprot/ASIL2_ARATH","ASIL2_ARATH")</f>
        <v>ASIL2_ARATH</v>
      </c>
      <c r="D1441" t="s">
        <v>1243</v>
      </c>
      <c r="E1441" s="3" t="s">
        <v>3</v>
      </c>
      <c r="F1441" s="4">
        <v>7.1299999999999997E-8</v>
      </c>
      <c r="G1441" s="3">
        <v>135</v>
      </c>
      <c r="H1441" s="3">
        <v>55</v>
      </c>
      <c r="I1441" s="3">
        <v>49</v>
      </c>
      <c r="J1441" s="3">
        <v>410</v>
      </c>
      <c r="K1441" s="3">
        <v>556</v>
      </c>
      <c r="L1441" s="3">
        <v>352</v>
      </c>
      <c r="M1441" s="3">
        <v>400</v>
      </c>
    </row>
    <row r="1442" spans="1:13" x14ac:dyDescent="0.25">
      <c r="A1442" s="1" t="str">
        <f>HYPERLINK("http://www.rosaceae.org/Prunus/Prunus_persica/p.persica_gdr_reftransV1_0047563","p.persica_gdr_reftransV1_0047563")</f>
        <v>p.persica_gdr_reftransV1_0047563</v>
      </c>
      <c r="B1442" s="3">
        <v>2381</v>
      </c>
      <c r="C1442" s="1" t="str">
        <f>HYPERLINK("http://www.uniprot.org/uniprot/CDPKL_ARATH","CDPKL_ARATH")</f>
        <v>CDPKL_ARATH</v>
      </c>
      <c r="D1442" t="s">
        <v>1467</v>
      </c>
      <c r="E1442" s="3" t="s">
        <v>3</v>
      </c>
      <c r="F1442" s="4">
        <v>0</v>
      </c>
      <c r="G1442" s="3">
        <v>2088</v>
      </c>
      <c r="H1442" s="3">
        <v>82</v>
      </c>
      <c r="I1442" s="3">
        <v>467</v>
      </c>
      <c r="J1442" s="3">
        <v>630</v>
      </c>
      <c r="K1442" s="3">
        <v>2027</v>
      </c>
      <c r="L1442" s="3">
        <v>66</v>
      </c>
      <c r="M1442" s="3">
        <v>531</v>
      </c>
    </row>
    <row r="1443" spans="1:13" x14ac:dyDescent="0.25">
      <c r="A1443" s="1" t="str">
        <f>HYPERLINK("http://www.rosaceae.org/Prunus/Prunus_persica/p.persica_gdr_reftransV1_0047613","p.persica_gdr_reftransV1_0047613")</f>
        <v>p.persica_gdr_reftransV1_0047613</v>
      </c>
      <c r="B1443" s="3">
        <v>2016</v>
      </c>
      <c r="C1443" s="1" t="str">
        <f>HYPERLINK("http://www.uniprot.org/uniprot/KDSA1_ARATH","KDSA1_ARATH")</f>
        <v>KDSA1_ARATH</v>
      </c>
      <c r="D1443" t="s">
        <v>1468</v>
      </c>
      <c r="E1443" s="3" t="s">
        <v>3</v>
      </c>
      <c r="F1443" s="4">
        <v>0</v>
      </c>
      <c r="G1443" s="3">
        <v>1362</v>
      </c>
      <c r="H1443" s="3">
        <v>89</v>
      </c>
      <c r="I1443" s="3">
        <v>290</v>
      </c>
      <c r="J1443" s="3">
        <v>331</v>
      </c>
      <c r="K1443" s="3">
        <v>1200</v>
      </c>
      <c r="L1443" s="3">
        <v>1</v>
      </c>
      <c r="M1443" s="3">
        <v>290</v>
      </c>
    </row>
    <row r="1444" spans="1:13" x14ac:dyDescent="0.25">
      <c r="A1444" s="1" t="str">
        <f>HYPERLINK("http://www.rosaceae.org/Prunus/Prunus_persica/p.persica_gdr_reftransV1_0047663","p.persica_gdr_reftransV1_0047663")</f>
        <v>p.persica_gdr_reftransV1_0047663</v>
      </c>
      <c r="B1444" s="3">
        <v>2490</v>
      </c>
      <c r="C1444" s="1" t="str">
        <f>HYPERLINK("http://www.uniprot.org/uniprot/WDR25_HUMAN","WDR25_HUMAN")</f>
        <v>WDR25_HUMAN</v>
      </c>
      <c r="D1444" t="s">
        <v>302</v>
      </c>
      <c r="E1444" s="3" t="s">
        <v>28</v>
      </c>
      <c r="F1444" s="4">
        <v>1.75E-66</v>
      </c>
      <c r="G1444" s="3">
        <v>603</v>
      </c>
      <c r="H1444" s="3">
        <v>33</v>
      </c>
      <c r="I1444" s="3">
        <v>311</v>
      </c>
      <c r="J1444" s="3">
        <v>1444</v>
      </c>
      <c r="K1444" s="3">
        <v>2343</v>
      </c>
      <c r="L1444" s="3">
        <v>234</v>
      </c>
      <c r="M1444" s="3">
        <v>543</v>
      </c>
    </row>
    <row r="1445" spans="1:13" x14ac:dyDescent="0.25">
      <c r="A1445" s="1" t="str">
        <f>HYPERLINK("http://www.rosaceae.org/Prunus/Prunus_persica/p.persica_gdr_reftransV1_0047713","p.persica_gdr_reftransV1_0047713")</f>
        <v>p.persica_gdr_reftransV1_0047713</v>
      </c>
      <c r="B1445" s="3">
        <v>900</v>
      </c>
      <c r="C1445" s="1" t="str">
        <f>HYPERLINK("http://www.uniprot.org/uniprot/GEML2_ARATH","GEML2_ARATH")</f>
        <v>GEML2_ARATH</v>
      </c>
      <c r="D1445" t="s">
        <v>1469</v>
      </c>
      <c r="E1445" s="3" t="s">
        <v>3</v>
      </c>
      <c r="F1445" s="4">
        <v>1.9100000000000001E-64</v>
      </c>
      <c r="G1445" s="3">
        <v>531</v>
      </c>
      <c r="H1445" s="3">
        <v>46</v>
      </c>
      <c r="I1445" s="3">
        <v>223</v>
      </c>
      <c r="J1445" s="3">
        <v>70</v>
      </c>
      <c r="K1445" s="3">
        <v>729</v>
      </c>
      <c r="L1445" s="3">
        <v>17</v>
      </c>
      <c r="M1445" s="3">
        <v>224</v>
      </c>
    </row>
    <row r="1446" spans="1:13" x14ac:dyDescent="0.25">
      <c r="A1446" s="1" t="str">
        <f>HYPERLINK("http://www.rosaceae.org/Prunus/Prunus_persica/p.persica_gdr_reftransV1_0047763","p.persica_gdr_reftransV1_0047763")</f>
        <v>p.persica_gdr_reftransV1_0047763</v>
      </c>
      <c r="B1446" s="3">
        <v>377</v>
      </c>
      <c r="C1446" s="1" t="str">
        <f>HYPERLINK("http://www.uniprot.org/uniprot/GLR36_ARATH","GLR36_ARATH")</f>
        <v>GLR36_ARATH</v>
      </c>
      <c r="D1446" t="s">
        <v>1470</v>
      </c>
      <c r="E1446" s="3" t="s">
        <v>3</v>
      </c>
      <c r="F1446" s="4">
        <v>6.8599999999999998E-35</v>
      </c>
      <c r="G1446" s="3">
        <v>332</v>
      </c>
      <c r="H1446" s="3">
        <v>53</v>
      </c>
      <c r="I1446" s="3">
        <v>116</v>
      </c>
      <c r="J1446" s="3">
        <v>37</v>
      </c>
      <c r="K1446" s="3">
        <v>375</v>
      </c>
      <c r="L1446" s="3">
        <v>188</v>
      </c>
      <c r="M1446" s="3">
        <v>303</v>
      </c>
    </row>
    <row r="1447" spans="1:13" x14ac:dyDescent="0.25">
      <c r="A1447" s="1" t="str">
        <f>HYPERLINK("http://www.rosaceae.org/Prunus/Prunus_persica/p.persica_gdr_reftransV1_0047813","p.persica_gdr_reftransV1_0047813")</f>
        <v>p.persica_gdr_reftransV1_0047813</v>
      </c>
      <c r="B1447" s="3">
        <v>967</v>
      </c>
      <c r="C1447" s="1" t="str">
        <f>HYPERLINK("http://www.uniprot.org/uniprot/TI223_ARATH","TI223_ARATH")</f>
        <v>TI223_ARATH</v>
      </c>
      <c r="D1447" t="s">
        <v>1471</v>
      </c>
      <c r="E1447" s="3" t="s">
        <v>3</v>
      </c>
      <c r="F1447" s="4">
        <v>2.2E-69</v>
      </c>
      <c r="G1447" s="3">
        <v>564</v>
      </c>
      <c r="H1447" s="3">
        <v>71</v>
      </c>
      <c r="I1447" s="3">
        <v>163</v>
      </c>
      <c r="J1447" s="3">
        <v>280</v>
      </c>
      <c r="K1447" s="3">
        <v>762</v>
      </c>
      <c r="L1447" s="3">
        <v>44</v>
      </c>
      <c r="M1447" s="3">
        <v>206</v>
      </c>
    </row>
    <row r="1448" spans="1:13" x14ac:dyDescent="0.25">
      <c r="A1448" s="1" t="str">
        <f>HYPERLINK("http://www.rosaceae.org/Prunus/Prunus_persica/p.persica_gdr_reftransV1_0047863","p.persica_gdr_reftransV1_0047863")</f>
        <v>p.persica_gdr_reftransV1_0047863</v>
      </c>
      <c r="B1448" s="3">
        <v>904</v>
      </c>
      <c r="C1448" s="1" t="str">
        <f>HYPERLINK("http://www.uniprot.org/uniprot/Y5248_ARATH","Y5248_ARATH")</f>
        <v>Y5248_ARATH</v>
      </c>
      <c r="D1448" t="s">
        <v>1472</v>
      </c>
      <c r="E1448" s="3" t="s">
        <v>3</v>
      </c>
      <c r="F1448" s="4">
        <v>1.0099999999999999E-54</v>
      </c>
      <c r="G1448" s="3">
        <v>494</v>
      </c>
      <c r="H1448" s="3">
        <v>49</v>
      </c>
      <c r="I1448" s="3">
        <v>213</v>
      </c>
      <c r="J1448" s="3">
        <v>1</v>
      </c>
      <c r="K1448" s="3">
        <v>630</v>
      </c>
      <c r="L1448" s="3">
        <v>515</v>
      </c>
      <c r="M1448" s="3">
        <v>722</v>
      </c>
    </row>
    <row r="1449" spans="1:13" x14ac:dyDescent="0.25">
      <c r="A1449" s="1" t="str">
        <f>HYPERLINK("http://www.rosaceae.org/Prunus/Prunus_persica/p.persica_gdr_reftransV1_0047913","p.persica_gdr_reftransV1_0047913")</f>
        <v>p.persica_gdr_reftransV1_0047913</v>
      </c>
      <c r="B1449" s="3">
        <v>3498</v>
      </c>
      <c r="C1449" s="1" t="str">
        <f>HYPERLINK("http://www.uniprot.org/uniprot/UBP23_ARATH","UBP23_ARATH")</f>
        <v>UBP23_ARATH</v>
      </c>
      <c r="D1449" t="s">
        <v>1473</v>
      </c>
      <c r="E1449" s="3" t="s">
        <v>3</v>
      </c>
      <c r="F1449" s="4">
        <v>0</v>
      </c>
      <c r="G1449" s="3">
        <v>1537</v>
      </c>
      <c r="H1449" s="3">
        <v>69</v>
      </c>
      <c r="I1449" s="3">
        <v>410</v>
      </c>
      <c r="J1449" s="3">
        <v>1983</v>
      </c>
      <c r="K1449" s="3">
        <v>3212</v>
      </c>
      <c r="L1449" s="3">
        <v>30</v>
      </c>
      <c r="M1449" s="3">
        <v>428</v>
      </c>
    </row>
    <row r="1450" spans="1:13" x14ac:dyDescent="0.25">
      <c r="A1450" s="1" t="str">
        <f>HYPERLINK("http://www.rosaceae.org/Prunus/Prunus_persica/p.persica_gdr_reftransV1_0047963","p.persica_gdr_reftransV1_0047963")</f>
        <v>p.persica_gdr_reftransV1_0047963</v>
      </c>
      <c r="B1450" s="3">
        <v>481</v>
      </c>
      <c r="C1450" s="1" t="str">
        <f>HYPERLINK("http://www.uniprot.org/uniprot/SRS2L_ARATH","SRS2L_ARATH")</f>
        <v>SRS2L_ARATH</v>
      </c>
      <c r="D1450" t="s">
        <v>1474</v>
      </c>
      <c r="E1450" s="3" t="s">
        <v>3</v>
      </c>
      <c r="F1450" s="4">
        <v>1.41E-73</v>
      </c>
      <c r="G1450" s="3">
        <v>621</v>
      </c>
      <c r="H1450" s="3">
        <v>71</v>
      </c>
      <c r="I1450" s="3">
        <v>168</v>
      </c>
      <c r="J1450" s="3">
        <v>1</v>
      </c>
      <c r="K1450" s="3">
        <v>480</v>
      </c>
      <c r="L1450" s="3">
        <v>355</v>
      </c>
      <c r="M1450" s="3">
        <v>520</v>
      </c>
    </row>
    <row r="1451" spans="1:13" x14ac:dyDescent="0.25">
      <c r="A1451" s="1" t="str">
        <f>HYPERLINK("http://www.rosaceae.org/Prunus/Prunus_persica/p.persica_gdr_reftransV1_0048013","p.persica_gdr_reftransV1_0048013")</f>
        <v>p.persica_gdr_reftransV1_0048013</v>
      </c>
      <c r="B1451" s="3">
        <v>379</v>
      </c>
      <c r="C1451" s="1" t="str">
        <f>HYPERLINK("http://www.uniprot.org/uniprot/PP143_ARATH","PP143_ARATH")</f>
        <v>PP143_ARATH</v>
      </c>
      <c r="D1451" t="s">
        <v>1475</v>
      </c>
      <c r="E1451" s="3" t="s">
        <v>3</v>
      </c>
      <c r="F1451" s="4">
        <v>1.18E-47</v>
      </c>
      <c r="G1451" s="3">
        <v>422</v>
      </c>
      <c r="H1451" s="3">
        <v>64</v>
      </c>
      <c r="I1451" s="3">
        <v>125</v>
      </c>
      <c r="J1451" s="3">
        <v>3</v>
      </c>
      <c r="K1451" s="3">
        <v>377</v>
      </c>
      <c r="L1451" s="3">
        <v>134</v>
      </c>
      <c r="M1451" s="3">
        <v>255</v>
      </c>
    </row>
    <row r="1452" spans="1:13" x14ac:dyDescent="0.25">
      <c r="A1452" s="1" t="str">
        <f>HYPERLINK("http://www.rosaceae.org/Prunus/Prunus_persica/p.persica_gdr_reftransV1_0048063","p.persica_gdr_reftransV1_0048063")</f>
        <v>p.persica_gdr_reftransV1_0048063</v>
      </c>
      <c r="B1452" s="3">
        <v>2066</v>
      </c>
      <c r="C1452" s="1" t="str">
        <f>HYPERLINK("http://www.uniprot.org/uniprot/ERG1_PANGI","ERG1_PANGI")</f>
        <v>ERG1_PANGI</v>
      </c>
      <c r="D1452" t="s">
        <v>1476</v>
      </c>
      <c r="E1452" s="3" t="s">
        <v>1477</v>
      </c>
      <c r="F1452" s="4">
        <v>0</v>
      </c>
      <c r="G1452" s="3">
        <v>1877</v>
      </c>
      <c r="H1452" s="3">
        <v>80</v>
      </c>
      <c r="I1452" s="3">
        <v>480</v>
      </c>
      <c r="J1452" s="3">
        <v>358</v>
      </c>
      <c r="K1452" s="3">
        <v>1794</v>
      </c>
      <c r="L1452" s="3">
        <v>59</v>
      </c>
      <c r="M1452" s="3">
        <v>537</v>
      </c>
    </row>
    <row r="1453" spans="1:13" x14ac:dyDescent="0.25">
      <c r="A1453" s="1" t="str">
        <f>HYPERLINK("http://www.rosaceae.org/Prunus/Prunus_persica/p.persica_gdr_reftransV1_0048213","p.persica_gdr_reftransV1_0048213")</f>
        <v>p.persica_gdr_reftransV1_0048213</v>
      </c>
      <c r="B1453" s="3">
        <v>1680</v>
      </c>
      <c r="C1453" s="1" t="str">
        <f>HYPERLINK("http://www.uniprot.org/uniprot/GBF3_ARATH","GBF3_ARATH")</f>
        <v>GBF3_ARATH</v>
      </c>
      <c r="D1453" t="s">
        <v>1478</v>
      </c>
      <c r="E1453" s="3" t="s">
        <v>3</v>
      </c>
      <c r="F1453" s="4">
        <v>9.0700000000000007E-19</v>
      </c>
      <c r="G1453" s="3">
        <v>227</v>
      </c>
      <c r="H1453" s="3">
        <v>51</v>
      </c>
      <c r="I1453" s="3">
        <v>100</v>
      </c>
      <c r="J1453" s="3">
        <v>591</v>
      </c>
      <c r="K1453" s="3">
        <v>860</v>
      </c>
      <c r="L1453" s="3">
        <v>228</v>
      </c>
      <c r="M1453" s="3">
        <v>327</v>
      </c>
    </row>
    <row r="1454" spans="1:13" x14ac:dyDescent="0.25">
      <c r="A1454" s="1" t="str">
        <f>HYPERLINK("http://www.rosaceae.org/Prunus/Prunus_persica/p.persica_gdr_reftransV1_0048263","p.persica_gdr_reftransV1_0048263")</f>
        <v>p.persica_gdr_reftransV1_0048263</v>
      </c>
      <c r="B1454" s="3">
        <v>974</v>
      </c>
      <c r="C1454" s="1" t="str">
        <f>HYPERLINK("http://www.uniprot.org/uniprot/MD37E_ARATH","MD37E_ARATH")</f>
        <v>MD37E_ARATH</v>
      </c>
      <c r="D1454" t="s">
        <v>1479</v>
      </c>
      <c r="E1454" s="3" t="s">
        <v>3</v>
      </c>
      <c r="F1454" s="4">
        <v>4.8300000000000001E-113</v>
      </c>
      <c r="G1454" s="3">
        <v>893</v>
      </c>
      <c r="H1454" s="3">
        <v>79</v>
      </c>
      <c r="I1454" s="3">
        <v>230</v>
      </c>
      <c r="J1454" s="3">
        <v>47</v>
      </c>
      <c r="K1454" s="3">
        <v>724</v>
      </c>
      <c r="L1454" s="3">
        <v>422</v>
      </c>
      <c r="M1454" s="3">
        <v>651</v>
      </c>
    </row>
    <row r="1455" spans="1:13" x14ac:dyDescent="0.25">
      <c r="A1455" s="1" t="str">
        <f>HYPERLINK("http://www.rosaceae.org/Prunus/Prunus_persica/p.persica_gdr_reftransV1_0048313","p.persica_gdr_reftransV1_0048313")</f>
        <v>p.persica_gdr_reftransV1_0048313</v>
      </c>
      <c r="B1455" s="3">
        <v>1221</v>
      </c>
      <c r="C1455" s="1" t="str">
        <f>HYPERLINK("http://www.uniprot.org/uniprot/SPX1_ARATH","SPX1_ARATH")</f>
        <v>SPX1_ARATH</v>
      </c>
      <c r="D1455" t="s">
        <v>940</v>
      </c>
      <c r="E1455" s="3" t="s">
        <v>3</v>
      </c>
      <c r="F1455" s="4">
        <v>1.53E-122</v>
      </c>
      <c r="G1455" s="3">
        <v>930</v>
      </c>
      <c r="H1455" s="3">
        <v>67</v>
      </c>
      <c r="I1455" s="3">
        <v>291</v>
      </c>
      <c r="J1455" s="3">
        <v>112</v>
      </c>
      <c r="K1455" s="3">
        <v>984</v>
      </c>
      <c r="L1455" s="3">
        <v>1</v>
      </c>
      <c r="M1455" s="3">
        <v>256</v>
      </c>
    </row>
    <row r="1456" spans="1:13" x14ac:dyDescent="0.25">
      <c r="A1456" s="1" t="str">
        <f>HYPERLINK("http://www.rosaceae.org/Prunus/Prunus_persica/p.persica_gdr_reftransV1_0048363","p.persica_gdr_reftransV1_0048363")</f>
        <v>p.persica_gdr_reftransV1_0048363</v>
      </c>
      <c r="B1456" s="3">
        <v>777</v>
      </c>
      <c r="C1456" s="1" t="str">
        <f>HYPERLINK("http://www.uniprot.org/uniprot/NDHL_ARATH","NDHL_ARATH")</f>
        <v>NDHL_ARATH</v>
      </c>
      <c r="D1456" t="s">
        <v>1480</v>
      </c>
      <c r="E1456" s="3" t="s">
        <v>3</v>
      </c>
      <c r="F1456" s="4">
        <v>3.7899999999999998E-64</v>
      </c>
      <c r="G1456" s="3">
        <v>521</v>
      </c>
      <c r="H1456" s="3">
        <v>55</v>
      </c>
      <c r="I1456" s="3">
        <v>191</v>
      </c>
      <c r="J1456" s="3">
        <v>81</v>
      </c>
      <c r="K1456" s="3">
        <v>635</v>
      </c>
      <c r="L1456" s="3">
        <v>6</v>
      </c>
      <c r="M1456" s="3">
        <v>189</v>
      </c>
    </row>
    <row r="1457" spans="1:13" x14ac:dyDescent="0.25">
      <c r="A1457" s="1" t="str">
        <f>HYPERLINK("http://www.rosaceae.org/Prunus/Prunus_persica/p.persica_gdr_reftransV1_0048463","p.persica_gdr_reftransV1_0048463")</f>
        <v>p.persica_gdr_reftransV1_0048463</v>
      </c>
      <c r="B1457" s="3">
        <v>1345</v>
      </c>
      <c r="C1457" s="1" t="str">
        <f>HYPERLINK("http://www.uniprot.org/uniprot/Y2165_ARATH","Y2165_ARATH")</f>
        <v>Y2165_ARATH</v>
      </c>
      <c r="D1457" t="s">
        <v>1481</v>
      </c>
      <c r="E1457" s="3" t="s">
        <v>3</v>
      </c>
      <c r="F1457" s="4">
        <v>3.2200000000000003E-95</v>
      </c>
      <c r="G1457" s="3">
        <v>801</v>
      </c>
      <c r="H1457" s="3">
        <v>74</v>
      </c>
      <c r="I1457" s="3">
        <v>206</v>
      </c>
      <c r="J1457" s="3">
        <v>1</v>
      </c>
      <c r="K1457" s="3">
        <v>606</v>
      </c>
      <c r="L1457" s="3">
        <v>649</v>
      </c>
      <c r="M1457" s="3">
        <v>853</v>
      </c>
    </row>
    <row r="1458" spans="1:13" x14ac:dyDescent="0.25">
      <c r="A1458" s="1" t="str">
        <f>HYPERLINK("http://www.rosaceae.org/Prunus/Prunus_persica/p.persica_gdr_reftransV1_0048513","p.persica_gdr_reftransV1_0048513")</f>
        <v>p.persica_gdr_reftransV1_0048513</v>
      </c>
      <c r="B1458" s="3">
        <v>2453</v>
      </c>
      <c r="C1458" s="1" t="str">
        <f>HYPERLINK("http://www.uniprot.org/uniprot/GGAP1_ARATH","GGAP1_ARATH")</f>
        <v>GGAP1_ARATH</v>
      </c>
      <c r="D1458" t="s">
        <v>1482</v>
      </c>
      <c r="E1458" s="3" t="s">
        <v>3</v>
      </c>
      <c r="F1458" s="4">
        <v>0</v>
      </c>
      <c r="G1458" s="3">
        <v>1659</v>
      </c>
      <c r="H1458" s="3">
        <v>72</v>
      </c>
      <c r="I1458" s="3">
        <v>445</v>
      </c>
      <c r="J1458" s="3">
        <v>371</v>
      </c>
      <c r="K1458" s="3">
        <v>1687</v>
      </c>
      <c r="L1458" s="3">
        <v>7</v>
      </c>
      <c r="M1458" s="3">
        <v>442</v>
      </c>
    </row>
    <row r="1459" spans="1:13" x14ac:dyDescent="0.25">
      <c r="A1459" s="1" t="str">
        <f>HYPERLINK("http://www.rosaceae.org/Prunus/Prunus_persica/p.persica_gdr_reftransV1_0048613","p.persica_gdr_reftransV1_0048613")</f>
        <v>p.persica_gdr_reftransV1_0048613</v>
      </c>
      <c r="B1459" s="3">
        <v>497</v>
      </c>
      <c r="C1459" s="1" t="str">
        <f>HYPERLINK("http://www.uniprot.org/uniprot/TOPB1_HUMAN","TOPB1_HUMAN")</f>
        <v>TOPB1_HUMAN</v>
      </c>
      <c r="D1459" t="s">
        <v>1483</v>
      </c>
      <c r="E1459" s="3" t="s">
        <v>28</v>
      </c>
      <c r="F1459" s="4">
        <v>3.2200000000000003E-10</v>
      </c>
      <c r="G1459" s="3">
        <v>150</v>
      </c>
      <c r="H1459" s="3">
        <v>29</v>
      </c>
      <c r="I1459" s="3">
        <v>112</v>
      </c>
      <c r="J1459" s="3">
        <v>164</v>
      </c>
      <c r="K1459" s="3">
        <v>496</v>
      </c>
      <c r="L1459" s="3">
        <v>68</v>
      </c>
      <c r="M1459" s="3">
        <v>178</v>
      </c>
    </row>
    <row r="1460" spans="1:13" x14ac:dyDescent="0.25">
      <c r="A1460" s="1" t="str">
        <f>HYPERLINK("http://www.rosaceae.org/Prunus/Prunus_persica/p.persica_gdr_reftransV1_0048663","p.persica_gdr_reftransV1_0048663")</f>
        <v>p.persica_gdr_reftransV1_0048663</v>
      </c>
      <c r="B1460" s="3">
        <v>756</v>
      </c>
      <c r="C1460" s="1" t="str">
        <f>HYPERLINK("http://www.uniprot.org/uniprot/SPL1_ARATH","SPL1_ARATH")</f>
        <v>SPL1_ARATH</v>
      </c>
      <c r="D1460" t="s">
        <v>1484</v>
      </c>
      <c r="E1460" s="3" t="s">
        <v>3</v>
      </c>
      <c r="F1460" s="4">
        <v>2.76E-56</v>
      </c>
      <c r="G1460" s="3">
        <v>501</v>
      </c>
      <c r="H1460" s="3">
        <v>49</v>
      </c>
      <c r="I1460" s="3">
        <v>209</v>
      </c>
      <c r="J1460" s="3">
        <v>86</v>
      </c>
      <c r="K1460" s="3">
        <v>700</v>
      </c>
      <c r="L1460" s="3">
        <v>506</v>
      </c>
      <c r="M1460" s="3">
        <v>697</v>
      </c>
    </row>
    <row r="1461" spans="1:13" x14ac:dyDescent="0.25">
      <c r="A1461" s="1" t="str">
        <f>HYPERLINK("http://www.rosaceae.org/Prunus/Prunus_persica/p.persica_gdr_reftransV1_0048713","p.persica_gdr_reftransV1_0048713")</f>
        <v>p.persica_gdr_reftransV1_0048713</v>
      </c>
      <c r="B1461" s="3">
        <v>374</v>
      </c>
      <c r="C1461" s="1" t="str">
        <f>HYPERLINK("http://www.uniprot.org/uniprot/KAT2_ARATH","KAT2_ARATH")</f>
        <v>KAT2_ARATH</v>
      </c>
      <c r="D1461" t="s">
        <v>1485</v>
      </c>
      <c r="E1461" s="3" t="s">
        <v>3</v>
      </c>
      <c r="F1461" s="4">
        <v>1.9999999999999999E-48</v>
      </c>
      <c r="G1461" s="3">
        <v>427</v>
      </c>
      <c r="H1461" s="3">
        <v>71</v>
      </c>
      <c r="I1461" s="3">
        <v>124</v>
      </c>
      <c r="J1461" s="3">
        <v>2</v>
      </c>
      <c r="K1461" s="3">
        <v>373</v>
      </c>
      <c r="L1461" s="3">
        <v>375</v>
      </c>
      <c r="M1461" s="3">
        <v>498</v>
      </c>
    </row>
    <row r="1462" spans="1:13" x14ac:dyDescent="0.25">
      <c r="A1462" s="1" t="str">
        <f>HYPERLINK("http://www.rosaceae.org/Prunus/Prunus_persica/p.persica_gdr_reftransV1_0048763","p.persica_gdr_reftransV1_0048763")</f>
        <v>p.persica_gdr_reftransV1_0048763</v>
      </c>
      <c r="B1462" s="3">
        <v>601</v>
      </c>
      <c r="C1462" s="1" t="str">
        <f>HYPERLINK("http://www.uniprot.org/uniprot/KI13B_HUMAN","KI13B_HUMAN")</f>
        <v>KI13B_HUMAN</v>
      </c>
      <c r="D1462" t="s">
        <v>1486</v>
      </c>
      <c r="E1462" s="3" t="s">
        <v>28</v>
      </c>
      <c r="F1462" s="4">
        <v>2.2199999999999999E-17</v>
      </c>
      <c r="G1462" s="3">
        <v>209</v>
      </c>
      <c r="H1462" s="3">
        <v>32</v>
      </c>
      <c r="I1462" s="3">
        <v>165</v>
      </c>
      <c r="J1462" s="3">
        <v>115</v>
      </c>
      <c r="K1462" s="3">
        <v>600</v>
      </c>
      <c r="L1462" s="3">
        <v>185</v>
      </c>
      <c r="M1462" s="3">
        <v>347</v>
      </c>
    </row>
    <row r="1463" spans="1:13" x14ac:dyDescent="0.25">
      <c r="A1463" s="1" t="str">
        <f>HYPERLINK("http://www.rosaceae.org/Prunus/Prunus_persica/p.persica_gdr_reftransV1_0048813","p.persica_gdr_reftransV1_0048813")</f>
        <v>p.persica_gdr_reftransV1_0048813</v>
      </c>
      <c r="B1463" s="3">
        <v>3082</v>
      </c>
      <c r="C1463" s="1" t="str">
        <f>HYPERLINK("http://www.uniprot.org/uniprot/Y5262_ARATH","Y5262_ARATH")</f>
        <v>Y5262_ARATH</v>
      </c>
      <c r="D1463" t="s">
        <v>399</v>
      </c>
      <c r="E1463" s="3" t="s">
        <v>3</v>
      </c>
      <c r="F1463" s="4">
        <v>9.5100000000000004E-126</v>
      </c>
      <c r="G1463" s="3">
        <v>1027</v>
      </c>
      <c r="H1463" s="3">
        <v>51</v>
      </c>
      <c r="I1463" s="3">
        <v>495</v>
      </c>
      <c r="J1463" s="3">
        <v>873</v>
      </c>
      <c r="K1463" s="3">
        <v>2333</v>
      </c>
      <c r="L1463" s="3">
        <v>9</v>
      </c>
      <c r="M1463" s="3">
        <v>500</v>
      </c>
    </row>
    <row r="1464" spans="1:13" x14ac:dyDescent="0.25">
      <c r="A1464" s="1" t="str">
        <f>HYPERLINK("http://www.rosaceae.org/Prunus/Prunus_persica/p.persica_gdr_reftransV1_0048963","p.persica_gdr_reftransV1_0048963")</f>
        <v>p.persica_gdr_reftransV1_0048963</v>
      </c>
      <c r="B1464" s="3">
        <v>1969</v>
      </c>
      <c r="C1464" s="1" t="str">
        <f>HYPERLINK("http://www.uniprot.org/uniprot/AAE16_ARATH","AAE16_ARATH")</f>
        <v>AAE16_ARATH</v>
      </c>
      <c r="D1464" t="s">
        <v>1487</v>
      </c>
      <c r="E1464" s="3" t="s">
        <v>3</v>
      </c>
      <c r="F1464" s="4">
        <v>0</v>
      </c>
      <c r="G1464" s="3">
        <v>1073</v>
      </c>
      <c r="H1464" s="3">
        <v>65</v>
      </c>
      <c r="I1464" s="3">
        <v>304</v>
      </c>
      <c r="J1464" s="3">
        <v>1063</v>
      </c>
      <c r="K1464" s="3">
        <v>1968</v>
      </c>
      <c r="L1464" s="3">
        <v>169</v>
      </c>
      <c r="M1464" s="3">
        <v>471</v>
      </c>
    </row>
    <row r="1465" spans="1:13" x14ac:dyDescent="0.25">
      <c r="A1465" s="1" t="str">
        <f>HYPERLINK("http://www.rosaceae.org/Prunus/Prunus_persica/p.persica_gdr_reftransV1_0049063","p.persica_gdr_reftransV1_0049063")</f>
        <v>p.persica_gdr_reftransV1_0049063</v>
      </c>
      <c r="B1465" s="3">
        <v>2905</v>
      </c>
      <c r="C1465" s="1" t="str">
        <f>HYPERLINK("http://www.uniprot.org/uniprot/TADA_ARATH","TADA_ARATH")</f>
        <v>TADA_ARATH</v>
      </c>
      <c r="D1465" t="s">
        <v>1488</v>
      </c>
      <c r="E1465" s="3" t="s">
        <v>3</v>
      </c>
      <c r="F1465" s="4">
        <v>1.86E-27</v>
      </c>
      <c r="G1465" s="3">
        <v>311</v>
      </c>
      <c r="H1465" s="3">
        <v>29</v>
      </c>
      <c r="I1465" s="3">
        <v>496</v>
      </c>
      <c r="J1465" s="3">
        <v>1253</v>
      </c>
      <c r="K1465" s="3">
        <v>2722</v>
      </c>
      <c r="L1465" s="3">
        <v>300</v>
      </c>
      <c r="M1465" s="3">
        <v>760</v>
      </c>
    </row>
    <row r="1466" spans="1:13" x14ac:dyDescent="0.25">
      <c r="A1466" s="1" t="str">
        <f>HYPERLINK("http://www.rosaceae.org/Prunus/Prunus_persica/p.persica_gdr_reftransV1_0049163","p.persica_gdr_reftransV1_0049163")</f>
        <v>p.persica_gdr_reftransV1_0049163</v>
      </c>
      <c r="B1466" s="3">
        <v>535</v>
      </c>
      <c r="C1466" s="1" t="str">
        <f>HYPERLINK("http://www.uniprot.org/uniprot/NICA_PSEPU","NICA_PSEPU")</f>
        <v>NICA_PSEPU</v>
      </c>
      <c r="D1466" t="s">
        <v>1489</v>
      </c>
      <c r="E1466" s="3" t="s">
        <v>1490</v>
      </c>
      <c r="F1466" s="4">
        <v>2.3699999999999999E-15</v>
      </c>
      <c r="G1466" s="3">
        <v>190</v>
      </c>
      <c r="H1466" s="3">
        <v>40</v>
      </c>
      <c r="I1466" s="3">
        <v>88</v>
      </c>
      <c r="J1466" s="3">
        <v>6</v>
      </c>
      <c r="K1466" s="3">
        <v>269</v>
      </c>
      <c r="L1466" s="3">
        <v>105</v>
      </c>
      <c r="M1466" s="3">
        <v>192</v>
      </c>
    </row>
    <row r="1467" spans="1:13" x14ac:dyDescent="0.25">
      <c r="A1467" s="1" t="str">
        <f>HYPERLINK("http://www.rosaceae.org/Prunus/Prunus_persica/p.persica_gdr_reftransV1_0000014","p.persica_gdr_reftransV1_0000014")</f>
        <v>p.persica_gdr_reftransV1_0000014</v>
      </c>
      <c r="B1467" s="3">
        <v>1420</v>
      </c>
      <c r="C1467" s="1" t="str">
        <f>HYPERLINK("http://www.uniprot.org/uniprot/LCYD1_ARATH","LCYD1_ARATH")</f>
        <v>LCYD1_ARATH</v>
      </c>
      <c r="D1467" t="s">
        <v>1049</v>
      </c>
      <c r="E1467" s="3" t="s">
        <v>3</v>
      </c>
      <c r="F1467" s="4">
        <v>3.6400000000000001E-173</v>
      </c>
      <c r="G1467" s="3">
        <v>1291</v>
      </c>
      <c r="H1467" s="3">
        <v>62</v>
      </c>
      <c r="I1467" s="3">
        <v>370</v>
      </c>
      <c r="J1467" s="3">
        <v>314</v>
      </c>
      <c r="K1467" s="3">
        <v>1420</v>
      </c>
      <c r="L1467" s="3">
        <v>15</v>
      </c>
      <c r="M1467" s="3">
        <v>381</v>
      </c>
    </row>
    <row r="1468" spans="1:13" x14ac:dyDescent="0.25">
      <c r="A1468" s="1" t="str">
        <f>HYPERLINK("http://www.rosaceae.org/Prunus/Prunus_persica/p.persica_gdr_reftransV1_0000114","p.persica_gdr_reftransV1_0000114")</f>
        <v>p.persica_gdr_reftransV1_0000114</v>
      </c>
      <c r="B1468" s="3">
        <v>2921</v>
      </c>
      <c r="C1468" s="1" t="str">
        <f>HYPERLINK("http://www.uniprot.org/uniprot/Y4121_ARATH","Y4121_ARATH")</f>
        <v>Y4121_ARATH</v>
      </c>
      <c r="D1468" t="s">
        <v>1491</v>
      </c>
      <c r="E1468" s="3" t="s">
        <v>3</v>
      </c>
      <c r="F1468" s="4">
        <v>1.02E-176</v>
      </c>
      <c r="G1468" s="3">
        <v>1355</v>
      </c>
      <c r="H1468" s="3">
        <v>63</v>
      </c>
      <c r="I1468" s="3">
        <v>422</v>
      </c>
      <c r="J1468" s="3">
        <v>210</v>
      </c>
      <c r="K1468" s="3">
        <v>1469</v>
      </c>
      <c r="L1468" s="3">
        <v>1</v>
      </c>
      <c r="M1468" s="3">
        <v>393</v>
      </c>
    </row>
    <row r="1469" spans="1:13" x14ac:dyDescent="0.25">
      <c r="A1469" s="1" t="str">
        <f>HYPERLINK("http://www.rosaceae.org/Prunus/Prunus_persica/p.persica_gdr_reftransV1_0000164","p.persica_gdr_reftransV1_0000164")</f>
        <v>p.persica_gdr_reftransV1_0000164</v>
      </c>
      <c r="B1469" s="3">
        <v>325</v>
      </c>
      <c r="C1469" s="1" t="str">
        <f>HYPERLINK("http://www.uniprot.org/uniprot/C3H15_ARATH","C3H15_ARATH")</f>
        <v>C3H15_ARATH</v>
      </c>
      <c r="D1469" t="s">
        <v>1492</v>
      </c>
      <c r="E1469" s="3" t="s">
        <v>3</v>
      </c>
      <c r="F1469" s="4">
        <v>5.4900000000000002E-30</v>
      </c>
      <c r="G1469" s="3">
        <v>284</v>
      </c>
      <c r="H1469" s="3">
        <v>80</v>
      </c>
      <c r="I1469" s="3">
        <v>56</v>
      </c>
      <c r="J1469" s="3">
        <v>4</v>
      </c>
      <c r="K1469" s="3">
        <v>171</v>
      </c>
      <c r="L1469" s="3">
        <v>217</v>
      </c>
      <c r="M1469" s="3">
        <v>272</v>
      </c>
    </row>
    <row r="1470" spans="1:13" x14ac:dyDescent="0.25">
      <c r="A1470" s="1" t="str">
        <f>HYPERLINK("http://www.rosaceae.org/Prunus/Prunus_persica/p.persica_gdr_reftransV1_0000214","p.persica_gdr_reftransV1_0000214")</f>
        <v>p.persica_gdr_reftransV1_0000214</v>
      </c>
      <c r="B1470" s="3">
        <v>530</v>
      </c>
      <c r="C1470" s="1" t="str">
        <f>HYPERLINK("http://www.uniprot.org/uniprot/RGA2_SOLBU","RGA2_SOLBU")</f>
        <v>RGA2_SOLBU</v>
      </c>
      <c r="D1470" t="s">
        <v>925</v>
      </c>
      <c r="E1470" s="3" t="s">
        <v>560</v>
      </c>
      <c r="F1470" s="4">
        <v>1.8100000000000001E-11</v>
      </c>
      <c r="G1470" s="3">
        <v>160</v>
      </c>
      <c r="H1470" s="3">
        <v>40</v>
      </c>
      <c r="I1470" s="3">
        <v>75</v>
      </c>
      <c r="J1470" s="3">
        <v>203</v>
      </c>
      <c r="K1470" s="3">
        <v>427</v>
      </c>
      <c r="L1470" s="3">
        <v>9</v>
      </c>
      <c r="M1470" s="3">
        <v>83</v>
      </c>
    </row>
    <row r="1471" spans="1:13" x14ac:dyDescent="0.25">
      <c r="A1471" s="1" t="str">
        <f>HYPERLINK("http://www.rosaceae.org/Prunus/Prunus_persica/p.persica_gdr_reftransV1_0000264","p.persica_gdr_reftransV1_0000264")</f>
        <v>p.persica_gdr_reftransV1_0000264</v>
      </c>
      <c r="B1471" s="3">
        <v>734</v>
      </c>
      <c r="C1471" s="1" t="str">
        <f>HYPERLINK("http://www.uniprot.org/uniprot/MYB3_ARATH","MYB3_ARATH")</f>
        <v>MYB3_ARATH</v>
      </c>
      <c r="D1471" t="s">
        <v>1493</v>
      </c>
      <c r="E1471" s="3" t="s">
        <v>3</v>
      </c>
      <c r="F1471" s="4">
        <v>7.8000000000000004E-59</v>
      </c>
      <c r="G1471" s="3">
        <v>490</v>
      </c>
      <c r="H1471" s="3">
        <v>61</v>
      </c>
      <c r="I1471" s="3">
        <v>147</v>
      </c>
      <c r="J1471" s="3">
        <v>45</v>
      </c>
      <c r="K1471" s="3">
        <v>485</v>
      </c>
      <c r="L1471" s="3">
        <v>1</v>
      </c>
      <c r="M1471" s="3">
        <v>146</v>
      </c>
    </row>
    <row r="1472" spans="1:13" x14ac:dyDescent="0.25">
      <c r="A1472" s="1" t="str">
        <f>HYPERLINK("http://www.rosaceae.org/Prunus/Prunus_persica/p.persica_gdr_reftransV1_0000314","p.persica_gdr_reftransV1_0000314")</f>
        <v>p.persica_gdr_reftransV1_0000314</v>
      </c>
      <c r="B1472" s="3">
        <v>831</v>
      </c>
      <c r="C1472" s="1" t="str">
        <f>HYPERLINK("http://www.uniprot.org/uniprot/GUN11_ARATH","GUN11_ARATH")</f>
        <v>GUN11_ARATH</v>
      </c>
      <c r="D1472" t="s">
        <v>1494</v>
      </c>
      <c r="E1472" s="3" t="s">
        <v>3</v>
      </c>
      <c r="F1472" s="4">
        <v>9.87E-120</v>
      </c>
      <c r="G1472" s="3">
        <v>923</v>
      </c>
      <c r="H1472" s="3">
        <v>85</v>
      </c>
      <c r="I1472" s="3">
        <v>222</v>
      </c>
      <c r="J1472" s="3">
        <v>164</v>
      </c>
      <c r="K1472" s="3">
        <v>829</v>
      </c>
      <c r="L1472" s="3">
        <v>37</v>
      </c>
      <c r="M1472" s="3">
        <v>258</v>
      </c>
    </row>
    <row r="1473" spans="1:13" x14ac:dyDescent="0.25">
      <c r="A1473" s="1" t="str">
        <f>HYPERLINK("http://www.rosaceae.org/Prunus/Prunus_persica/p.persica_gdr_reftransV1_0000364","p.persica_gdr_reftransV1_0000364")</f>
        <v>p.persica_gdr_reftransV1_0000364</v>
      </c>
      <c r="B1473" s="3">
        <v>2065</v>
      </c>
      <c r="C1473" s="1" t="str">
        <f>HYPERLINK("http://www.uniprot.org/uniprot/ODP25_ARATH","ODP25_ARATH")</f>
        <v>ODP25_ARATH</v>
      </c>
      <c r="D1473" t="s">
        <v>1495</v>
      </c>
      <c r="E1473" s="3" t="s">
        <v>3</v>
      </c>
      <c r="F1473" s="4">
        <v>9.8200000000000008E-156</v>
      </c>
      <c r="G1473" s="3">
        <v>1197</v>
      </c>
      <c r="H1473" s="3">
        <v>85</v>
      </c>
      <c r="I1473" s="3">
        <v>290</v>
      </c>
      <c r="J1473" s="3">
        <v>458</v>
      </c>
      <c r="K1473" s="3">
        <v>1327</v>
      </c>
      <c r="L1473" s="3">
        <v>178</v>
      </c>
      <c r="M1473" s="3">
        <v>465</v>
      </c>
    </row>
    <row r="1474" spans="1:13" x14ac:dyDescent="0.25">
      <c r="A1474" s="1" t="str">
        <f>HYPERLINK("http://www.rosaceae.org/Prunus/Prunus_persica/p.persica_gdr_reftransV1_0000464","p.persica_gdr_reftransV1_0000464")</f>
        <v>p.persica_gdr_reftransV1_0000464</v>
      </c>
      <c r="B1474" s="3">
        <v>328</v>
      </c>
      <c r="C1474" s="1" t="str">
        <f>HYPERLINK("http://www.uniprot.org/uniprot/PUP9_ARATH","PUP9_ARATH")</f>
        <v>PUP9_ARATH</v>
      </c>
      <c r="D1474" t="s">
        <v>1496</v>
      </c>
      <c r="E1474" s="3" t="s">
        <v>3</v>
      </c>
      <c r="F1474" s="4">
        <v>4.9799999999999997E-15</v>
      </c>
      <c r="G1474" s="3">
        <v>179</v>
      </c>
      <c r="H1474" s="3">
        <v>70</v>
      </c>
      <c r="I1474" s="3">
        <v>80</v>
      </c>
      <c r="J1474" s="3">
        <v>64</v>
      </c>
      <c r="K1474" s="3">
        <v>300</v>
      </c>
      <c r="L1474" s="3">
        <v>117</v>
      </c>
      <c r="M1474" s="3">
        <v>196</v>
      </c>
    </row>
    <row r="1475" spans="1:13" x14ac:dyDescent="0.25">
      <c r="A1475" s="1" t="str">
        <f>HYPERLINK("http://www.rosaceae.org/Prunus/Prunus_persica/p.persica_gdr_reftransV1_0000564","p.persica_gdr_reftransV1_0000564")</f>
        <v>p.persica_gdr_reftransV1_0000564</v>
      </c>
      <c r="B1475" s="3">
        <v>1178</v>
      </c>
      <c r="C1475" s="1" t="str">
        <f>HYPERLINK("http://www.uniprot.org/uniprot/FK202_ARATH","FK202_ARATH")</f>
        <v>FK202_ARATH</v>
      </c>
      <c r="D1475" t="s">
        <v>1497</v>
      </c>
      <c r="E1475" s="3" t="s">
        <v>3</v>
      </c>
      <c r="F1475" s="4">
        <v>2.4300000000000001E-71</v>
      </c>
      <c r="G1475" s="3">
        <v>486</v>
      </c>
      <c r="H1475" s="3">
        <v>87</v>
      </c>
      <c r="I1475" s="3">
        <v>102</v>
      </c>
      <c r="J1475" s="3">
        <v>551</v>
      </c>
      <c r="K1475" s="3">
        <v>856</v>
      </c>
      <c r="L1475" s="3">
        <v>140</v>
      </c>
      <c r="M1475" s="3">
        <v>241</v>
      </c>
    </row>
    <row r="1476" spans="1:13" x14ac:dyDescent="0.25">
      <c r="A1476" s="1" t="str">
        <f>HYPERLINK("http://www.rosaceae.org/Prunus/Prunus_persica/p.persica_gdr_reftransV1_0000614","p.persica_gdr_reftransV1_0000614")</f>
        <v>p.persica_gdr_reftransV1_0000614</v>
      </c>
      <c r="B1476" s="3">
        <v>1737</v>
      </c>
      <c r="C1476" s="1" t="str">
        <f>HYPERLINK("http://www.uniprot.org/uniprot/MVD1_MOUSE","MVD1_MOUSE")</f>
        <v>MVD1_MOUSE</v>
      </c>
      <c r="D1476" t="s">
        <v>1498</v>
      </c>
      <c r="E1476" s="3" t="s">
        <v>157</v>
      </c>
      <c r="F1476" s="4">
        <v>1.93E-116</v>
      </c>
      <c r="G1476" s="3">
        <v>919</v>
      </c>
      <c r="H1476" s="3">
        <v>51</v>
      </c>
      <c r="I1476" s="3">
        <v>410</v>
      </c>
      <c r="J1476" s="3">
        <v>183</v>
      </c>
      <c r="K1476" s="3">
        <v>1412</v>
      </c>
      <c r="L1476" s="3">
        <v>9</v>
      </c>
      <c r="M1476" s="3">
        <v>398</v>
      </c>
    </row>
    <row r="1477" spans="1:13" x14ac:dyDescent="0.25">
      <c r="A1477" s="1" t="str">
        <f>HYPERLINK("http://www.rosaceae.org/Prunus/Prunus_persica/p.persica_gdr_reftransV1_0000664","p.persica_gdr_reftransV1_0000664")</f>
        <v>p.persica_gdr_reftransV1_0000664</v>
      </c>
      <c r="B1477" s="3">
        <v>2231</v>
      </c>
      <c r="C1477" s="1" t="str">
        <f>HYPERLINK("http://www.uniprot.org/uniprot/TCPQ_ARATH","TCPQ_ARATH")</f>
        <v>TCPQ_ARATH</v>
      </c>
      <c r="D1477" t="s">
        <v>1499</v>
      </c>
      <c r="E1477" s="3" t="s">
        <v>3</v>
      </c>
      <c r="F1477" s="4">
        <v>0</v>
      </c>
      <c r="G1477" s="3">
        <v>2425</v>
      </c>
      <c r="H1477" s="3">
        <v>83</v>
      </c>
      <c r="I1477" s="3">
        <v>535</v>
      </c>
      <c r="J1477" s="3">
        <v>440</v>
      </c>
      <c r="K1477" s="3">
        <v>2044</v>
      </c>
      <c r="L1477" s="3">
        <v>4</v>
      </c>
      <c r="M1477" s="3">
        <v>537</v>
      </c>
    </row>
    <row r="1478" spans="1:13" x14ac:dyDescent="0.25">
      <c r="A1478" s="1" t="str">
        <f>HYPERLINK("http://www.rosaceae.org/Prunus/Prunus_persica/p.persica_gdr_reftransV1_0000764","p.persica_gdr_reftransV1_0000764")</f>
        <v>p.persica_gdr_reftransV1_0000764</v>
      </c>
      <c r="B1478" s="3">
        <v>1828</v>
      </c>
      <c r="C1478" s="1" t="str">
        <f>HYPERLINK("http://www.uniprot.org/uniprot/DCDA2_ARATH","DCDA2_ARATH")</f>
        <v>DCDA2_ARATH</v>
      </c>
      <c r="D1478" t="s">
        <v>1500</v>
      </c>
      <c r="E1478" s="3" t="s">
        <v>3</v>
      </c>
      <c r="F1478" s="4">
        <v>0</v>
      </c>
      <c r="G1478" s="3">
        <v>2115</v>
      </c>
      <c r="H1478" s="3">
        <v>80</v>
      </c>
      <c r="I1478" s="3">
        <v>491</v>
      </c>
      <c r="J1478" s="3">
        <v>69</v>
      </c>
      <c r="K1478" s="3">
        <v>1529</v>
      </c>
      <c r="L1478" s="3">
        <v>3</v>
      </c>
      <c r="M1478" s="3">
        <v>489</v>
      </c>
    </row>
    <row r="1479" spans="1:13" x14ac:dyDescent="0.25">
      <c r="A1479" s="1" t="str">
        <f>HYPERLINK("http://www.rosaceae.org/Prunus/Prunus_persica/p.persica_gdr_reftransV1_0000864","p.persica_gdr_reftransV1_0000864")</f>
        <v>p.persica_gdr_reftransV1_0000864</v>
      </c>
      <c r="B1479" s="3">
        <v>1792</v>
      </c>
      <c r="C1479" s="1" t="str">
        <f>HYPERLINK("http://www.uniprot.org/uniprot/TMVRN_NICGU","TMVRN_NICGU")</f>
        <v>TMVRN_NICGU</v>
      </c>
      <c r="D1479" t="s">
        <v>151</v>
      </c>
      <c r="E1479" s="3" t="s">
        <v>152</v>
      </c>
      <c r="F1479" s="4">
        <v>9.9099999999999995E-25</v>
      </c>
      <c r="G1479" s="3">
        <v>283</v>
      </c>
      <c r="H1479" s="3">
        <v>32</v>
      </c>
      <c r="I1479" s="3">
        <v>278</v>
      </c>
      <c r="J1479" s="3">
        <v>1071</v>
      </c>
      <c r="K1479" s="3">
        <v>1790</v>
      </c>
      <c r="L1479" s="3">
        <v>636</v>
      </c>
      <c r="M1479" s="3">
        <v>911</v>
      </c>
    </row>
    <row r="1480" spans="1:13" x14ac:dyDescent="0.25">
      <c r="A1480" s="1" t="str">
        <f>HYPERLINK("http://www.rosaceae.org/Prunus/Prunus_persica/p.persica_gdr_reftransV1_0000914","p.persica_gdr_reftransV1_0000914")</f>
        <v>p.persica_gdr_reftransV1_0000914</v>
      </c>
      <c r="B1480" s="3">
        <v>2333</v>
      </c>
      <c r="C1480" s="1" t="str">
        <f>HYPERLINK("http://www.uniprot.org/uniprot/TMVRN_NICGU","TMVRN_NICGU")</f>
        <v>TMVRN_NICGU</v>
      </c>
      <c r="D1480" t="s">
        <v>151</v>
      </c>
      <c r="E1480" s="3" t="s">
        <v>152</v>
      </c>
      <c r="F1480" s="4">
        <v>4.3600000000000001E-63</v>
      </c>
      <c r="G1480" s="3">
        <v>595</v>
      </c>
      <c r="H1480" s="3">
        <v>32</v>
      </c>
      <c r="I1480" s="3">
        <v>553</v>
      </c>
      <c r="J1480" s="3">
        <v>14</v>
      </c>
      <c r="K1480" s="3">
        <v>1585</v>
      </c>
      <c r="L1480" s="3">
        <v>483</v>
      </c>
      <c r="M1480" s="3">
        <v>1013</v>
      </c>
    </row>
    <row r="1481" spans="1:13" x14ac:dyDescent="0.25">
      <c r="A1481" s="1" t="str">
        <f>HYPERLINK("http://www.rosaceae.org/Prunus/Prunus_persica/p.persica_gdr_reftransV1_0001014","p.persica_gdr_reftransV1_0001014")</f>
        <v>p.persica_gdr_reftransV1_0001014</v>
      </c>
      <c r="B1481" s="3">
        <v>543</v>
      </c>
      <c r="C1481" s="1" t="str">
        <f>HYPERLINK("http://www.uniprot.org/uniprot/PIF1_ARATH","PIF1_ARATH")</f>
        <v>PIF1_ARATH</v>
      </c>
      <c r="D1481" t="s">
        <v>1501</v>
      </c>
      <c r="E1481" s="3" t="s">
        <v>3</v>
      </c>
      <c r="F1481" s="4">
        <v>6.7099999999999999E-14</v>
      </c>
      <c r="G1481" s="3">
        <v>177</v>
      </c>
      <c r="H1481" s="3">
        <v>51</v>
      </c>
      <c r="I1481" s="3">
        <v>85</v>
      </c>
      <c r="J1481" s="3">
        <v>239</v>
      </c>
      <c r="K1481" s="3">
        <v>490</v>
      </c>
      <c r="L1481" s="3">
        <v>39</v>
      </c>
      <c r="M1481" s="3">
        <v>110</v>
      </c>
    </row>
    <row r="1482" spans="1:13" x14ac:dyDescent="0.25">
      <c r="A1482" s="1" t="str">
        <f>HYPERLINK("http://www.rosaceae.org/Prunus/Prunus_persica/p.persica_gdr_reftransV1_0001064","p.persica_gdr_reftransV1_0001064")</f>
        <v>p.persica_gdr_reftransV1_0001064</v>
      </c>
      <c r="B1482" s="3">
        <v>1490</v>
      </c>
      <c r="C1482" s="1" t="str">
        <f>HYPERLINK("http://www.uniprot.org/uniprot/ADK2_ARATH","ADK2_ARATH")</f>
        <v>ADK2_ARATH</v>
      </c>
      <c r="D1482" t="s">
        <v>1502</v>
      </c>
      <c r="E1482" s="3" t="s">
        <v>3</v>
      </c>
      <c r="F1482" s="4">
        <v>0</v>
      </c>
      <c r="G1482" s="3">
        <v>1603</v>
      </c>
      <c r="H1482" s="3">
        <v>85</v>
      </c>
      <c r="I1482" s="3">
        <v>343</v>
      </c>
      <c r="J1482" s="3">
        <v>65</v>
      </c>
      <c r="K1482" s="3">
        <v>1093</v>
      </c>
      <c r="L1482" s="3">
        <v>3</v>
      </c>
      <c r="M1482" s="3">
        <v>345</v>
      </c>
    </row>
    <row r="1483" spans="1:13" x14ac:dyDescent="0.25">
      <c r="A1483" s="1" t="str">
        <f>HYPERLINK("http://www.rosaceae.org/Prunus/Prunus_persica/p.persica_gdr_reftransV1_0001114","p.persica_gdr_reftransV1_0001114")</f>
        <v>p.persica_gdr_reftransV1_0001114</v>
      </c>
      <c r="B1483" s="3">
        <v>1238</v>
      </c>
      <c r="C1483" s="1" t="str">
        <f>HYPERLINK("http://www.uniprot.org/uniprot/ADH_MALDO","ADH_MALDO")</f>
        <v>ADH_MALDO</v>
      </c>
      <c r="D1483" t="s">
        <v>1503</v>
      </c>
      <c r="E1483" s="3" t="s">
        <v>540</v>
      </c>
      <c r="F1483" s="4">
        <v>2.4300000000000001E-118</v>
      </c>
      <c r="G1483" s="3">
        <v>914</v>
      </c>
      <c r="H1483" s="3">
        <v>91</v>
      </c>
      <c r="I1483" s="3">
        <v>210</v>
      </c>
      <c r="J1483" s="3">
        <v>609</v>
      </c>
      <c r="K1483" s="3">
        <v>1238</v>
      </c>
      <c r="L1483" s="3">
        <v>43</v>
      </c>
      <c r="M1483" s="3">
        <v>252</v>
      </c>
    </row>
    <row r="1484" spans="1:13" x14ac:dyDescent="0.25">
      <c r="A1484" s="1" t="str">
        <f>HYPERLINK("http://www.rosaceae.org/Prunus/Prunus_persica/p.persica_gdr_reftransV1_0001164","p.persica_gdr_reftransV1_0001164")</f>
        <v>p.persica_gdr_reftransV1_0001164</v>
      </c>
      <c r="B1484" s="3">
        <v>1084</v>
      </c>
      <c r="C1484" s="1" t="str">
        <f>HYPERLINK("http://www.uniprot.org/uniprot/COMT1_PRUDU","COMT1_PRUDU")</f>
        <v>COMT1_PRUDU</v>
      </c>
      <c r="D1484" t="s">
        <v>1504</v>
      </c>
      <c r="E1484" s="3" t="s">
        <v>418</v>
      </c>
      <c r="F1484" s="4">
        <v>4.8000000000000003E-132</v>
      </c>
      <c r="G1484" s="3">
        <v>999</v>
      </c>
      <c r="H1484" s="3">
        <v>69</v>
      </c>
      <c r="I1484" s="3">
        <v>264</v>
      </c>
      <c r="J1484" s="3">
        <v>291</v>
      </c>
      <c r="K1484" s="3">
        <v>1082</v>
      </c>
      <c r="L1484" s="3">
        <v>22</v>
      </c>
      <c r="M1484" s="3">
        <v>283</v>
      </c>
    </row>
    <row r="1485" spans="1:13" x14ac:dyDescent="0.25">
      <c r="A1485" s="1" t="str">
        <f>HYPERLINK("http://www.rosaceae.org/Prunus/Prunus_persica/p.persica_gdr_reftransV1_0001214","p.persica_gdr_reftransV1_0001214")</f>
        <v>p.persica_gdr_reftransV1_0001214</v>
      </c>
      <c r="B1485" s="3">
        <v>2610</v>
      </c>
      <c r="C1485" s="1" t="str">
        <f>HYPERLINK("http://www.uniprot.org/uniprot/PPR85_ARATH","PPR85_ARATH")</f>
        <v>PPR85_ARATH</v>
      </c>
      <c r="D1485" t="s">
        <v>1505</v>
      </c>
      <c r="E1485" s="3" t="s">
        <v>3</v>
      </c>
      <c r="F1485" s="4">
        <v>3.1900000000000002E-14</v>
      </c>
      <c r="G1485" s="3">
        <v>197</v>
      </c>
      <c r="H1485" s="3">
        <v>76</v>
      </c>
      <c r="I1485" s="3">
        <v>42</v>
      </c>
      <c r="J1485" s="3">
        <v>3</v>
      </c>
      <c r="K1485" s="3">
        <v>128</v>
      </c>
      <c r="L1485" s="3">
        <v>597</v>
      </c>
      <c r="M1485" s="3">
        <v>638</v>
      </c>
    </row>
    <row r="1486" spans="1:13" x14ac:dyDescent="0.25">
      <c r="A1486" s="1" t="str">
        <f>HYPERLINK("http://www.rosaceae.org/Prunus/Prunus_persica/p.persica_gdr_reftransV1_0001264","p.persica_gdr_reftransV1_0001264")</f>
        <v>p.persica_gdr_reftransV1_0001264</v>
      </c>
      <c r="B1486" s="3">
        <v>858</v>
      </c>
      <c r="C1486" s="1" t="str">
        <f>HYPERLINK("http://www.uniprot.org/uniprot/AB15B_ARATH","AB15B_ARATH")</f>
        <v>AB15B_ARATH</v>
      </c>
      <c r="D1486" t="s">
        <v>446</v>
      </c>
      <c r="E1486" s="3" t="s">
        <v>3</v>
      </c>
      <c r="F1486" s="4">
        <v>3.0300000000000003E-122</v>
      </c>
      <c r="G1486" s="3">
        <v>986</v>
      </c>
      <c r="H1486" s="3">
        <v>67</v>
      </c>
      <c r="I1486" s="3">
        <v>294</v>
      </c>
      <c r="J1486" s="3">
        <v>2</v>
      </c>
      <c r="K1486" s="3">
        <v>856</v>
      </c>
      <c r="L1486" s="3">
        <v>547</v>
      </c>
      <c r="M1486" s="3">
        <v>824</v>
      </c>
    </row>
    <row r="1487" spans="1:13" x14ac:dyDescent="0.25">
      <c r="A1487" s="1" t="str">
        <f>HYPERLINK("http://www.rosaceae.org/Prunus/Prunus_persica/p.persica_gdr_reftransV1_0001314","p.persica_gdr_reftransV1_0001314")</f>
        <v>p.persica_gdr_reftransV1_0001314</v>
      </c>
      <c r="B1487" s="3">
        <v>1790</v>
      </c>
      <c r="C1487" s="1" t="str">
        <f>HYPERLINK("http://www.uniprot.org/uniprot/SR30_ARATH","SR30_ARATH")</f>
        <v>SR30_ARATH</v>
      </c>
      <c r="D1487" t="s">
        <v>1506</v>
      </c>
      <c r="E1487" s="3" t="s">
        <v>3</v>
      </c>
      <c r="F1487" s="4">
        <v>2.3199999999999999E-80</v>
      </c>
      <c r="G1487" s="3">
        <v>665</v>
      </c>
      <c r="H1487" s="3">
        <v>77</v>
      </c>
      <c r="I1487" s="3">
        <v>186</v>
      </c>
      <c r="J1487" s="3">
        <v>101</v>
      </c>
      <c r="K1487" s="3">
        <v>658</v>
      </c>
      <c r="L1487" s="3">
        <v>1</v>
      </c>
      <c r="M1487" s="3">
        <v>184</v>
      </c>
    </row>
    <row r="1488" spans="1:13" x14ac:dyDescent="0.25">
      <c r="A1488" s="1" t="str">
        <f>HYPERLINK("http://www.rosaceae.org/Prunus/Prunus_persica/p.persica_gdr_reftransV1_0001364","p.persica_gdr_reftransV1_0001364")</f>
        <v>p.persica_gdr_reftransV1_0001364</v>
      </c>
      <c r="B1488" s="3">
        <v>853</v>
      </c>
      <c r="C1488" s="1" t="str">
        <f>HYPERLINK("http://www.uniprot.org/uniprot/P2C74_ARATH","P2C74_ARATH")</f>
        <v>P2C74_ARATH</v>
      </c>
      <c r="D1488" t="s">
        <v>1507</v>
      </c>
      <c r="E1488" s="3" t="s">
        <v>3</v>
      </c>
      <c r="F1488" s="4">
        <v>2.12E-38</v>
      </c>
      <c r="G1488" s="3">
        <v>366</v>
      </c>
      <c r="H1488" s="3">
        <v>83</v>
      </c>
      <c r="I1488" s="3">
        <v>96</v>
      </c>
      <c r="J1488" s="3">
        <v>5</v>
      </c>
      <c r="K1488" s="3">
        <v>289</v>
      </c>
      <c r="L1488" s="3">
        <v>286</v>
      </c>
      <c r="M1488" s="3">
        <v>381</v>
      </c>
    </row>
    <row r="1489" spans="1:13" x14ac:dyDescent="0.25">
      <c r="A1489" s="1" t="str">
        <f>HYPERLINK("http://www.rosaceae.org/Prunus/Prunus_persica/p.persica_gdr_reftransV1_0001414","p.persica_gdr_reftransV1_0001414")</f>
        <v>p.persica_gdr_reftransV1_0001414</v>
      </c>
      <c r="B1489" s="3">
        <v>1451</v>
      </c>
      <c r="C1489" s="1" t="str">
        <f>HYPERLINK("http://www.uniprot.org/uniprot/ENL2_ARATH","ENL2_ARATH")</f>
        <v>ENL2_ARATH</v>
      </c>
      <c r="D1489" t="s">
        <v>1508</v>
      </c>
      <c r="E1489" s="3" t="s">
        <v>3</v>
      </c>
      <c r="F1489" s="4">
        <v>6.3099999999999994E-42</v>
      </c>
      <c r="G1489" s="3">
        <v>398</v>
      </c>
      <c r="H1489" s="3">
        <v>56</v>
      </c>
      <c r="I1489" s="3">
        <v>121</v>
      </c>
      <c r="J1489" s="3">
        <v>276</v>
      </c>
      <c r="K1489" s="3">
        <v>638</v>
      </c>
      <c r="L1489" s="3">
        <v>12</v>
      </c>
      <c r="M1489" s="3">
        <v>132</v>
      </c>
    </row>
    <row r="1490" spans="1:13" x14ac:dyDescent="0.25">
      <c r="A1490" s="1" t="str">
        <f>HYPERLINK("http://www.rosaceae.org/Prunus/Prunus_persica/p.persica_gdr_reftransV1_0001564","p.persica_gdr_reftransV1_0001564")</f>
        <v>p.persica_gdr_reftransV1_0001564</v>
      </c>
      <c r="B1490" s="3">
        <v>384</v>
      </c>
      <c r="C1490" s="1" t="str">
        <f>HYPERLINK("http://www.uniprot.org/uniprot/COMT1_POPTM","COMT1_POPTM")</f>
        <v>COMT1_POPTM</v>
      </c>
      <c r="D1490" t="s">
        <v>828</v>
      </c>
      <c r="E1490" s="3" t="s">
        <v>829</v>
      </c>
      <c r="F1490" s="4">
        <v>5.7299999999999998E-35</v>
      </c>
      <c r="G1490" s="3">
        <v>323</v>
      </c>
      <c r="H1490" s="3">
        <v>53</v>
      </c>
      <c r="I1490" s="3">
        <v>126</v>
      </c>
      <c r="J1490" s="3">
        <v>2</v>
      </c>
      <c r="K1490" s="3">
        <v>379</v>
      </c>
      <c r="L1490" s="3">
        <v>6</v>
      </c>
      <c r="M1490" s="3">
        <v>127</v>
      </c>
    </row>
    <row r="1491" spans="1:13" x14ac:dyDescent="0.25">
      <c r="A1491" s="1" t="str">
        <f>HYPERLINK("http://www.rosaceae.org/Prunus/Prunus_persica/p.persica_gdr_reftransV1_0001614","p.persica_gdr_reftransV1_0001614")</f>
        <v>p.persica_gdr_reftransV1_0001614</v>
      </c>
      <c r="B1491" s="3">
        <v>619</v>
      </c>
      <c r="C1491" s="1" t="str">
        <f>HYPERLINK("http://www.uniprot.org/uniprot/FB336_ARATH","FB336_ARATH")</f>
        <v>FB336_ARATH</v>
      </c>
      <c r="D1491" t="s">
        <v>1509</v>
      </c>
      <c r="E1491" s="3" t="s">
        <v>3</v>
      </c>
      <c r="F1491" s="4">
        <v>4.1500000000000003E-18</v>
      </c>
      <c r="G1491" s="3">
        <v>206</v>
      </c>
      <c r="H1491" s="3">
        <v>33</v>
      </c>
      <c r="I1491" s="3">
        <v>184</v>
      </c>
      <c r="J1491" s="3">
        <v>68</v>
      </c>
      <c r="K1491" s="3">
        <v>607</v>
      </c>
      <c r="L1491" s="3">
        <v>119</v>
      </c>
      <c r="M1491" s="3">
        <v>286</v>
      </c>
    </row>
    <row r="1492" spans="1:13" x14ac:dyDescent="0.25">
      <c r="A1492" s="1" t="str">
        <f>HYPERLINK("http://www.rosaceae.org/Prunus/Prunus_persica/p.persica_gdr_reftransV1_0001864","p.persica_gdr_reftransV1_0001864")</f>
        <v>p.persica_gdr_reftransV1_0001864</v>
      </c>
      <c r="B1492" s="3">
        <v>1349</v>
      </c>
      <c r="C1492" s="1" t="str">
        <f>HYPERLINK("http://www.uniprot.org/uniprot/11SB_CUCMA","11SB_CUCMA")</f>
        <v>11SB_CUCMA</v>
      </c>
      <c r="D1492" t="s">
        <v>1510</v>
      </c>
      <c r="E1492" s="3" t="s">
        <v>1511</v>
      </c>
      <c r="F1492" s="4">
        <v>1.6600000000000001E-69</v>
      </c>
      <c r="G1492" s="3">
        <v>598</v>
      </c>
      <c r="H1492" s="3">
        <v>43</v>
      </c>
      <c r="I1492" s="3">
        <v>296</v>
      </c>
      <c r="J1492" s="3">
        <v>81</v>
      </c>
      <c r="K1492" s="3">
        <v>962</v>
      </c>
      <c r="L1492" s="3">
        <v>196</v>
      </c>
      <c r="M1492" s="3">
        <v>471</v>
      </c>
    </row>
    <row r="1493" spans="1:13" x14ac:dyDescent="0.25">
      <c r="A1493" s="1" t="str">
        <f>HYPERLINK("http://www.rosaceae.org/Prunus/Prunus_persica/p.persica_gdr_reftransV1_0001914","p.persica_gdr_reftransV1_0001914")</f>
        <v>p.persica_gdr_reftransV1_0001914</v>
      </c>
      <c r="B1493" s="3">
        <v>5784</v>
      </c>
      <c r="C1493" s="1" t="str">
        <f>HYPERLINK("http://www.uniprot.org/uniprot/JMJ25_ARATH","JMJ25_ARATH")</f>
        <v>JMJ25_ARATH</v>
      </c>
      <c r="D1493" t="s">
        <v>1512</v>
      </c>
      <c r="E1493" s="3" t="s">
        <v>3</v>
      </c>
      <c r="F1493" s="4">
        <v>2.2399999999999999E-132</v>
      </c>
      <c r="G1493" s="3">
        <v>1150</v>
      </c>
      <c r="H1493" s="3">
        <v>47</v>
      </c>
      <c r="I1493" s="3">
        <v>530</v>
      </c>
      <c r="J1493" s="3">
        <v>389</v>
      </c>
      <c r="K1493" s="3">
        <v>1966</v>
      </c>
      <c r="L1493" s="3">
        <v>408</v>
      </c>
      <c r="M1493" s="3">
        <v>889</v>
      </c>
    </row>
    <row r="1494" spans="1:13" x14ac:dyDescent="0.25">
      <c r="A1494" s="1" t="str">
        <f>HYPERLINK("http://www.rosaceae.org/Prunus/Prunus_persica/p.persica_gdr_reftransV1_0002014","p.persica_gdr_reftransV1_0002014")</f>
        <v>p.persica_gdr_reftransV1_0002014</v>
      </c>
      <c r="B1494" s="3">
        <v>363</v>
      </c>
      <c r="C1494" s="1" t="str">
        <f>HYPERLINK("http://www.uniprot.org/uniprot/RPP1_ARATH","RPP1_ARATH")</f>
        <v>RPP1_ARATH</v>
      </c>
      <c r="D1494" t="s">
        <v>1513</v>
      </c>
      <c r="E1494" s="3" t="s">
        <v>3</v>
      </c>
      <c r="F1494" s="4">
        <v>2.6799999999999998E-8</v>
      </c>
      <c r="G1494" s="3">
        <v>132</v>
      </c>
      <c r="H1494" s="3">
        <v>45</v>
      </c>
      <c r="I1494" s="3">
        <v>69</v>
      </c>
      <c r="J1494" s="3">
        <v>158</v>
      </c>
      <c r="K1494" s="3">
        <v>361</v>
      </c>
      <c r="L1494" s="3">
        <v>793</v>
      </c>
      <c r="M1494" s="3">
        <v>861</v>
      </c>
    </row>
    <row r="1495" spans="1:13" x14ac:dyDescent="0.25">
      <c r="A1495" s="1" t="str">
        <f>HYPERLINK("http://www.rosaceae.org/Prunus/Prunus_persica/p.persica_gdr_reftransV1_0002114","p.persica_gdr_reftransV1_0002114")</f>
        <v>p.persica_gdr_reftransV1_0002114</v>
      </c>
      <c r="B1495" s="3">
        <v>338</v>
      </c>
      <c r="C1495" s="1" t="str">
        <f>HYPERLINK("http://www.uniprot.org/uniprot/ATN5_YEAST","ATN5_YEAST")</f>
        <v>ATN5_YEAST</v>
      </c>
      <c r="D1495" t="s">
        <v>1514</v>
      </c>
      <c r="E1495" s="3" t="s">
        <v>34</v>
      </c>
      <c r="F1495" s="4">
        <v>3.3900000000000001E-33</v>
      </c>
      <c r="G1495" s="3">
        <v>319</v>
      </c>
      <c r="H1495" s="3">
        <v>46</v>
      </c>
      <c r="I1495" s="3">
        <v>105</v>
      </c>
      <c r="J1495" s="3">
        <v>8</v>
      </c>
      <c r="K1495" s="3">
        <v>322</v>
      </c>
      <c r="L1495" s="3">
        <v>924</v>
      </c>
      <c r="M1495" s="3">
        <v>1028</v>
      </c>
    </row>
    <row r="1496" spans="1:13" x14ac:dyDescent="0.25">
      <c r="A1496" s="1" t="str">
        <f>HYPERLINK("http://www.rosaceae.org/Prunus/Prunus_persica/p.persica_gdr_reftransV1_0002214","p.persica_gdr_reftransV1_0002214")</f>
        <v>p.persica_gdr_reftransV1_0002214</v>
      </c>
      <c r="B1496" s="3">
        <v>910</v>
      </c>
      <c r="C1496" s="1" t="str">
        <f>HYPERLINK("http://www.uniprot.org/uniprot/NIC2_ARATH","NIC2_ARATH")</f>
        <v>NIC2_ARATH</v>
      </c>
      <c r="D1496" t="s">
        <v>1515</v>
      </c>
      <c r="E1496" s="3" t="s">
        <v>3</v>
      </c>
      <c r="F1496" s="4">
        <v>1.84E-97</v>
      </c>
      <c r="G1496" s="3">
        <v>748</v>
      </c>
      <c r="H1496" s="3">
        <v>70</v>
      </c>
      <c r="I1496" s="3">
        <v>196</v>
      </c>
      <c r="J1496" s="3">
        <v>127</v>
      </c>
      <c r="K1496" s="3">
        <v>708</v>
      </c>
      <c r="L1496" s="3">
        <v>1</v>
      </c>
      <c r="M1496" s="3">
        <v>196</v>
      </c>
    </row>
    <row r="1497" spans="1:13" x14ac:dyDescent="0.25">
      <c r="A1497" s="1" t="str">
        <f>HYPERLINK("http://www.rosaceae.org/Prunus/Prunus_persica/p.persica_gdr_reftransV1_0002314","p.persica_gdr_reftransV1_0002314")</f>
        <v>p.persica_gdr_reftransV1_0002314</v>
      </c>
      <c r="B1497" s="3">
        <v>898</v>
      </c>
      <c r="C1497" s="1" t="str">
        <f>HYPERLINK("http://www.uniprot.org/uniprot/EIF3B_TOBAC","EIF3B_TOBAC")</f>
        <v>EIF3B_TOBAC</v>
      </c>
      <c r="D1497" t="s">
        <v>1516</v>
      </c>
      <c r="E1497" s="3" t="s">
        <v>200</v>
      </c>
      <c r="F1497" s="4">
        <v>9.3699999999999998E-33</v>
      </c>
      <c r="G1497" s="3">
        <v>331</v>
      </c>
      <c r="H1497" s="3">
        <v>38</v>
      </c>
      <c r="I1497" s="3">
        <v>170</v>
      </c>
      <c r="J1497" s="3">
        <v>331</v>
      </c>
      <c r="K1497" s="3">
        <v>837</v>
      </c>
      <c r="L1497" s="3">
        <v>3</v>
      </c>
      <c r="M1497" s="3">
        <v>165</v>
      </c>
    </row>
    <row r="1498" spans="1:13" x14ac:dyDescent="0.25">
      <c r="A1498" s="1" t="str">
        <f>HYPERLINK("http://www.rosaceae.org/Prunus/Prunus_persica/p.persica_gdr_reftransV1_0002414","p.persica_gdr_reftransV1_0002414")</f>
        <v>p.persica_gdr_reftransV1_0002414</v>
      </c>
      <c r="B1498" s="3">
        <v>3467</v>
      </c>
      <c r="C1498" s="1" t="str">
        <f>HYPERLINK("http://www.uniprot.org/uniprot/CRK2_ARATH","CRK2_ARATH")</f>
        <v>CRK2_ARATH</v>
      </c>
      <c r="D1498" t="s">
        <v>1517</v>
      </c>
      <c r="E1498" s="3" t="s">
        <v>3</v>
      </c>
      <c r="F1498" s="4">
        <v>0</v>
      </c>
      <c r="G1498" s="3">
        <v>2172</v>
      </c>
      <c r="H1498" s="3">
        <v>71</v>
      </c>
      <c r="I1498" s="3">
        <v>601</v>
      </c>
      <c r="J1498" s="3">
        <v>1269</v>
      </c>
      <c r="K1498" s="3">
        <v>3062</v>
      </c>
      <c r="L1498" s="3">
        <v>29</v>
      </c>
      <c r="M1498" s="3">
        <v>629</v>
      </c>
    </row>
    <row r="1499" spans="1:13" x14ac:dyDescent="0.25">
      <c r="A1499" s="1" t="str">
        <f>HYPERLINK("http://www.rosaceae.org/Prunus/Prunus_persica/p.persica_gdr_reftransV1_0002464","p.persica_gdr_reftransV1_0002464")</f>
        <v>p.persica_gdr_reftransV1_0002464</v>
      </c>
      <c r="B1499" s="3">
        <v>2475</v>
      </c>
      <c r="C1499" s="1" t="str">
        <f>HYPERLINK("http://www.uniprot.org/uniprot/BIP5_TOBAC","BIP5_TOBAC")</f>
        <v>BIP5_TOBAC</v>
      </c>
      <c r="D1499" t="s">
        <v>1518</v>
      </c>
      <c r="E1499" s="3" t="s">
        <v>200</v>
      </c>
      <c r="F1499" s="4">
        <v>0</v>
      </c>
      <c r="G1499" s="3">
        <v>2984</v>
      </c>
      <c r="H1499" s="3">
        <v>95</v>
      </c>
      <c r="I1499" s="3">
        <v>646</v>
      </c>
      <c r="J1499" s="3">
        <v>399</v>
      </c>
      <c r="K1499" s="3">
        <v>2336</v>
      </c>
      <c r="L1499" s="3">
        <v>1</v>
      </c>
      <c r="M1499" s="3">
        <v>646</v>
      </c>
    </row>
    <row r="1500" spans="1:13" x14ac:dyDescent="0.25">
      <c r="A1500" s="1" t="str">
        <f>HYPERLINK("http://www.rosaceae.org/Prunus/Prunus_persica/p.persica_gdr_reftransV1_0002514","p.persica_gdr_reftransV1_0002514")</f>
        <v>p.persica_gdr_reftransV1_0002514</v>
      </c>
      <c r="B1500" s="3">
        <v>2076</v>
      </c>
      <c r="C1500" s="1" t="str">
        <f>HYPERLINK("http://www.uniprot.org/uniprot/PFPB_RICCO","PFPB_RICCO")</f>
        <v>PFPB_RICCO</v>
      </c>
      <c r="D1500" t="s">
        <v>1519</v>
      </c>
      <c r="E1500" s="3" t="s">
        <v>421</v>
      </c>
      <c r="F1500" s="4">
        <v>0</v>
      </c>
      <c r="G1500" s="3">
        <v>2232</v>
      </c>
      <c r="H1500" s="3">
        <v>82</v>
      </c>
      <c r="I1500" s="3">
        <v>537</v>
      </c>
      <c r="J1500" s="3">
        <v>137</v>
      </c>
      <c r="K1500" s="3">
        <v>1747</v>
      </c>
      <c r="L1500" s="3">
        <v>7</v>
      </c>
      <c r="M1500" s="3">
        <v>543</v>
      </c>
    </row>
    <row r="1501" spans="1:13" x14ac:dyDescent="0.25">
      <c r="A1501" s="1" t="str">
        <f>HYPERLINK("http://www.rosaceae.org/Prunus/Prunus_persica/p.persica_gdr_reftransV1_0002614","p.persica_gdr_reftransV1_0002614")</f>
        <v>p.persica_gdr_reftransV1_0002614</v>
      </c>
      <c r="B1501" s="3">
        <v>1238</v>
      </c>
      <c r="C1501" s="1" t="str">
        <f>HYPERLINK("http://www.uniprot.org/uniprot/QORX_HUMAN","QORX_HUMAN")</f>
        <v>QORX_HUMAN</v>
      </c>
      <c r="D1501" t="s">
        <v>1520</v>
      </c>
      <c r="E1501" s="3" t="s">
        <v>28</v>
      </c>
      <c r="F1501" s="4">
        <v>4.0400000000000001E-68</v>
      </c>
      <c r="G1501" s="3">
        <v>574</v>
      </c>
      <c r="H1501" s="3">
        <v>41</v>
      </c>
      <c r="I1501" s="3">
        <v>328</v>
      </c>
      <c r="J1501" s="3">
        <v>206</v>
      </c>
      <c r="K1501" s="3">
        <v>1174</v>
      </c>
      <c r="L1501" s="3">
        <v>1</v>
      </c>
      <c r="M1501" s="3">
        <v>328</v>
      </c>
    </row>
    <row r="1502" spans="1:13" x14ac:dyDescent="0.25">
      <c r="A1502" s="1" t="str">
        <f>HYPERLINK("http://www.rosaceae.org/Prunus/Prunus_persica/p.persica_gdr_reftransV1_0002664","p.persica_gdr_reftransV1_0002664")</f>
        <v>p.persica_gdr_reftransV1_0002664</v>
      </c>
      <c r="B1502" s="3">
        <v>665</v>
      </c>
      <c r="C1502" s="1" t="str">
        <f>HYPERLINK("http://www.uniprot.org/uniprot/DRE1F_ORYSJ","DRE1F_ORYSJ")</f>
        <v>DRE1F_ORYSJ</v>
      </c>
      <c r="D1502" t="s">
        <v>1521</v>
      </c>
      <c r="E1502" s="3" t="s">
        <v>38</v>
      </c>
      <c r="F1502" s="4">
        <v>4.1199999999999998E-25</v>
      </c>
      <c r="G1502" s="3">
        <v>256</v>
      </c>
      <c r="H1502" s="3">
        <v>46</v>
      </c>
      <c r="I1502" s="3">
        <v>169</v>
      </c>
      <c r="J1502" s="3">
        <v>83</v>
      </c>
      <c r="K1502" s="3">
        <v>541</v>
      </c>
      <c r="L1502" s="3">
        <v>31</v>
      </c>
      <c r="M1502" s="3">
        <v>197</v>
      </c>
    </row>
    <row r="1503" spans="1:13" x14ac:dyDescent="0.25">
      <c r="A1503" s="1" t="str">
        <f>HYPERLINK("http://www.rosaceae.org/Prunus/Prunus_persica/p.persica_gdr_reftransV1_0002714","p.persica_gdr_reftransV1_0002714")</f>
        <v>p.persica_gdr_reftransV1_0002714</v>
      </c>
      <c r="B1503" s="3">
        <v>3091</v>
      </c>
      <c r="C1503" s="1" t="str">
        <f>HYPERLINK("http://www.uniprot.org/uniprot/DRL42_ARATH","DRL42_ARATH")</f>
        <v>DRL42_ARATH</v>
      </c>
      <c r="D1503" t="s">
        <v>819</v>
      </c>
      <c r="E1503" s="3" t="s">
        <v>3</v>
      </c>
      <c r="F1503" s="4">
        <v>2.9600000000000003E-129</v>
      </c>
      <c r="G1503" s="3">
        <v>700</v>
      </c>
      <c r="H1503" s="3">
        <v>38</v>
      </c>
      <c r="I1503" s="3">
        <v>522</v>
      </c>
      <c r="J1503" s="3">
        <v>1136</v>
      </c>
      <c r="K1503" s="3">
        <v>2662</v>
      </c>
      <c r="L1503" s="3">
        <v>34</v>
      </c>
      <c r="M1503" s="3">
        <v>532</v>
      </c>
    </row>
    <row r="1504" spans="1:13" x14ac:dyDescent="0.25">
      <c r="A1504" s="1" t="str">
        <f>HYPERLINK("http://www.rosaceae.org/Prunus/Prunus_persica/p.persica_gdr_reftransV1_0002864","p.persica_gdr_reftransV1_0002864")</f>
        <v>p.persica_gdr_reftransV1_0002864</v>
      </c>
      <c r="B1504" s="3">
        <v>2185</v>
      </c>
      <c r="C1504" s="1" t="str">
        <f>HYPERLINK("http://www.uniprot.org/uniprot/Y5520_ARATH","Y5520_ARATH")</f>
        <v>Y5520_ARATH</v>
      </c>
      <c r="D1504" t="s">
        <v>1522</v>
      </c>
      <c r="E1504" s="3" t="s">
        <v>3</v>
      </c>
      <c r="F1504" s="4">
        <v>0</v>
      </c>
      <c r="G1504" s="3">
        <v>2193</v>
      </c>
      <c r="H1504" s="3">
        <v>76</v>
      </c>
      <c r="I1504" s="3">
        <v>550</v>
      </c>
      <c r="J1504" s="3">
        <v>337</v>
      </c>
      <c r="K1504" s="3">
        <v>1983</v>
      </c>
      <c r="L1504" s="3">
        <v>3</v>
      </c>
      <c r="M1504" s="3">
        <v>539</v>
      </c>
    </row>
    <row r="1505" spans="1:13" x14ac:dyDescent="0.25">
      <c r="A1505" s="1" t="str">
        <f>HYPERLINK("http://www.rosaceae.org/Prunus/Prunus_persica/p.persica_gdr_reftransV1_0003014","p.persica_gdr_reftransV1_0003014")</f>
        <v>p.persica_gdr_reftransV1_0003014</v>
      </c>
      <c r="B1505" s="3">
        <v>2175</v>
      </c>
      <c r="C1505" s="1" t="str">
        <f>HYPERLINK("http://www.uniprot.org/uniprot/UGT9_GARJA","UGT9_GARJA")</f>
        <v>UGT9_GARJA</v>
      </c>
      <c r="D1505" t="s">
        <v>623</v>
      </c>
      <c r="E1505" s="3" t="s">
        <v>624</v>
      </c>
      <c r="F1505" s="4">
        <v>2.4099999999999998E-140</v>
      </c>
      <c r="G1505" s="3">
        <v>1096</v>
      </c>
      <c r="H1505" s="3">
        <v>51</v>
      </c>
      <c r="I1505" s="3">
        <v>441</v>
      </c>
      <c r="J1505" s="3">
        <v>95</v>
      </c>
      <c r="K1505" s="3">
        <v>1411</v>
      </c>
      <c r="L1505" s="3">
        <v>1</v>
      </c>
      <c r="M1505" s="3">
        <v>437</v>
      </c>
    </row>
    <row r="1506" spans="1:13" x14ac:dyDescent="0.25">
      <c r="A1506" s="1" t="str">
        <f>HYPERLINK("http://www.rosaceae.org/Prunus/Prunus_persica/p.persica_gdr_reftransV1_0003064","p.persica_gdr_reftransV1_0003064")</f>
        <v>p.persica_gdr_reftransV1_0003064</v>
      </c>
      <c r="B1506" s="3">
        <v>796</v>
      </c>
      <c r="C1506" s="1" t="str">
        <f>HYPERLINK("http://www.uniprot.org/uniprot/CCU41_ARATH","CCU41_ARATH")</f>
        <v>CCU41_ARATH</v>
      </c>
      <c r="D1506" t="s">
        <v>1523</v>
      </c>
      <c r="E1506" s="3" t="s">
        <v>3</v>
      </c>
      <c r="F1506" s="4">
        <v>6.1000000000000005E-73</v>
      </c>
      <c r="G1506" s="3">
        <v>582</v>
      </c>
      <c r="H1506" s="3">
        <v>70</v>
      </c>
      <c r="I1506" s="3">
        <v>158</v>
      </c>
      <c r="J1506" s="3">
        <v>2</v>
      </c>
      <c r="K1506" s="3">
        <v>475</v>
      </c>
      <c r="L1506" s="3">
        <v>40</v>
      </c>
      <c r="M1506" s="3">
        <v>192</v>
      </c>
    </row>
    <row r="1507" spans="1:13" x14ac:dyDescent="0.25">
      <c r="A1507" s="1" t="str">
        <f>HYPERLINK("http://www.rosaceae.org/Prunus/Prunus_persica/p.persica_gdr_reftransV1_0003114","p.persica_gdr_reftransV1_0003114")</f>
        <v>p.persica_gdr_reftransV1_0003114</v>
      </c>
      <c r="B1507" s="3">
        <v>3758</v>
      </c>
      <c r="C1507" s="1" t="str">
        <f>HYPERLINK("http://www.uniprot.org/uniprot/TPR3_ARATH","TPR3_ARATH")</f>
        <v>TPR3_ARATH</v>
      </c>
      <c r="D1507" t="s">
        <v>1524</v>
      </c>
      <c r="E1507" s="3" t="s">
        <v>3</v>
      </c>
      <c r="F1507" s="4">
        <v>0</v>
      </c>
      <c r="G1507" s="3">
        <v>4490</v>
      </c>
      <c r="H1507" s="3">
        <v>76</v>
      </c>
      <c r="I1507" s="3">
        <v>1132</v>
      </c>
      <c r="J1507" s="3">
        <v>109</v>
      </c>
      <c r="K1507" s="3">
        <v>3504</v>
      </c>
      <c r="L1507" s="3">
        <v>1</v>
      </c>
      <c r="M1507" s="3">
        <v>1108</v>
      </c>
    </row>
    <row r="1508" spans="1:13" x14ac:dyDescent="0.25">
      <c r="A1508" s="1" t="str">
        <f>HYPERLINK("http://www.rosaceae.org/Prunus/Prunus_persica/p.persica_gdr_reftransV1_0003264","p.persica_gdr_reftransV1_0003264")</f>
        <v>p.persica_gdr_reftransV1_0003264</v>
      </c>
      <c r="B1508" s="3">
        <v>438</v>
      </c>
      <c r="C1508" s="1" t="str">
        <f>HYPERLINK("http://www.uniprot.org/uniprot/ELO2_YEAST","ELO2_YEAST")</f>
        <v>ELO2_YEAST</v>
      </c>
      <c r="D1508" t="s">
        <v>1525</v>
      </c>
      <c r="E1508" s="3" t="s">
        <v>34</v>
      </c>
      <c r="F1508" s="4">
        <v>3.9499999999999998E-7</v>
      </c>
      <c r="G1508" s="3">
        <v>122</v>
      </c>
      <c r="H1508" s="3">
        <v>65</v>
      </c>
      <c r="I1508" s="3">
        <v>37</v>
      </c>
      <c r="J1508" s="3">
        <v>3</v>
      </c>
      <c r="K1508" s="3">
        <v>113</v>
      </c>
      <c r="L1508" s="3">
        <v>267</v>
      </c>
      <c r="M1508" s="3">
        <v>303</v>
      </c>
    </row>
    <row r="1509" spans="1:13" x14ac:dyDescent="0.25">
      <c r="A1509" s="1" t="str">
        <f>HYPERLINK("http://www.rosaceae.org/Prunus/Prunus_persica/p.persica_gdr_reftransV1_0003314","p.persica_gdr_reftransV1_0003314")</f>
        <v>p.persica_gdr_reftransV1_0003314</v>
      </c>
      <c r="B1509" s="3">
        <v>744</v>
      </c>
      <c r="C1509" s="1" t="str">
        <f>HYPERLINK("http://www.uniprot.org/uniprot/CRSP_ARATH","CRSP_ARATH")</f>
        <v>CRSP_ARATH</v>
      </c>
      <c r="D1509" t="s">
        <v>1526</v>
      </c>
      <c r="E1509" s="3" t="s">
        <v>3</v>
      </c>
      <c r="F1509" s="4">
        <v>1.6599999999999999E-65</v>
      </c>
      <c r="G1509" s="3">
        <v>566</v>
      </c>
      <c r="H1509" s="3">
        <v>58</v>
      </c>
      <c r="I1509" s="3">
        <v>196</v>
      </c>
      <c r="J1509" s="3">
        <v>2</v>
      </c>
      <c r="K1509" s="3">
        <v>589</v>
      </c>
      <c r="L1509" s="3">
        <v>35</v>
      </c>
      <c r="M1509" s="3">
        <v>212</v>
      </c>
    </row>
    <row r="1510" spans="1:13" x14ac:dyDescent="0.25">
      <c r="A1510" s="1" t="str">
        <f>HYPERLINK("http://www.rosaceae.org/Prunus/Prunus_persica/p.persica_gdr_reftransV1_0003364","p.persica_gdr_reftransV1_0003364")</f>
        <v>p.persica_gdr_reftransV1_0003364</v>
      </c>
      <c r="B1510" s="3">
        <v>1049</v>
      </c>
      <c r="C1510" s="1" t="str">
        <f>HYPERLINK("http://www.uniprot.org/uniprot/CFIS1_ARATH","CFIS1_ARATH")</f>
        <v>CFIS1_ARATH</v>
      </c>
      <c r="D1510" t="s">
        <v>1527</v>
      </c>
      <c r="E1510" s="3" t="s">
        <v>3</v>
      </c>
      <c r="F1510" s="4">
        <v>1.59E-73</v>
      </c>
      <c r="G1510" s="3">
        <v>595</v>
      </c>
      <c r="H1510" s="3">
        <v>53</v>
      </c>
      <c r="I1510" s="3">
        <v>221</v>
      </c>
      <c r="J1510" s="3">
        <v>341</v>
      </c>
      <c r="K1510" s="3">
        <v>913</v>
      </c>
      <c r="L1510" s="3">
        <v>1</v>
      </c>
      <c r="M1510" s="3">
        <v>221</v>
      </c>
    </row>
    <row r="1511" spans="1:13" x14ac:dyDescent="0.25">
      <c r="A1511" s="1" t="str">
        <f>HYPERLINK("http://www.rosaceae.org/Prunus/Prunus_persica/p.persica_gdr_reftransV1_0003414","p.persica_gdr_reftransV1_0003414")</f>
        <v>p.persica_gdr_reftransV1_0003414</v>
      </c>
      <c r="B1511" s="3">
        <v>2504</v>
      </c>
      <c r="C1511" s="1" t="str">
        <f>HYPERLINK("http://www.uniprot.org/uniprot/AK3_ARATH","AK3_ARATH")</f>
        <v>AK3_ARATH</v>
      </c>
      <c r="D1511" t="s">
        <v>1528</v>
      </c>
      <c r="E1511" s="3" t="s">
        <v>3</v>
      </c>
      <c r="F1511" s="4">
        <v>0</v>
      </c>
      <c r="G1511" s="3">
        <v>1246</v>
      </c>
      <c r="H1511" s="3">
        <v>70</v>
      </c>
      <c r="I1511" s="3">
        <v>360</v>
      </c>
      <c r="J1511" s="3">
        <v>355</v>
      </c>
      <c r="K1511" s="3">
        <v>1416</v>
      </c>
      <c r="L1511" s="3">
        <v>1</v>
      </c>
      <c r="M1511" s="3">
        <v>346</v>
      </c>
    </row>
    <row r="1512" spans="1:13" x14ac:dyDescent="0.25">
      <c r="A1512" s="1" t="str">
        <f>HYPERLINK("http://www.rosaceae.org/Prunus/Prunus_persica/p.persica_gdr_reftransV1_0003514","p.persica_gdr_reftransV1_0003514")</f>
        <v>p.persica_gdr_reftransV1_0003514</v>
      </c>
      <c r="B1512" s="3">
        <v>958</v>
      </c>
      <c r="C1512" s="1" t="str">
        <f>HYPERLINK("http://www.uniprot.org/uniprot/PMM_ORYSJ","PMM_ORYSJ")</f>
        <v>PMM_ORYSJ</v>
      </c>
      <c r="D1512" t="s">
        <v>1529</v>
      </c>
      <c r="E1512" s="3" t="s">
        <v>38</v>
      </c>
      <c r="F1512" s="4">
        <v>2.21E-132</v>
      </c>
      <c r="G1512" s="3">
        <v>985</v>
      </c>
      <c r="H1512" s="3">
        <v>85</v>
      </c>
      <c r="I1512" s="3">
        <v>213</v>
      </c>
      <c r="J1512" s="3">
        <v>178</v>
      </c>
      <c r="K1512" s="3">
        <v>813</v>
      </c>
      <c r="L1512" s="3">
        <v>1</v>
      </c>
      <c r="M1512" s="3">
        <v>213</v>
      </c>
    </row>
    <row r="1513" spans="1:13" x14ac:dyDescent="0.25">
      <c r="A1513" s="1" t="str">
        <f>HYPERLINK("http://www.rosaceae.org/Prunus/Prunus_persica/p.persica_gdr_reftransV1_0003664","p.persica_gdr_reftransV1_0003664")</f>
        <v>p.persica_gdr_reftransV1_0003664</v>
      </c>
      <c r="B1513" s="3">
        <v>2204</v>
      </c>
      <c r="C1513" s="1" t="str">
        <f>HYPERLINK("http://www.uniprot.org/uniprot/RVE1_ARATH","RVE1_ARATH")</f>
        <v>RVE1_ARATH</v>
      </c>
      <c r="D1513" t="s">
        <v>636</v>
      </c>
      <c r="E1513" s="3" t="s">
        <v>3</v>
      </c>
      <c r="F1513" s="4">
        <v>6.2599999999999998E-39</v>
      </c>
      <c r="G1513" s="3">
        <v>236</v>
      </c>
      <c r="H1513" s="3">
        <v>77</v>
      </c>
      <c r="I1513" s="3">
        <v>53</v>
      </c>
      <c r="J1513" s="3">
        <v>1509</v>
      </c>
      <c r="K1513" s="3">
        <v>1667</v>
      </c>
      <c r="L1513" s="3">
        <v>29</v>
      </c>
      <c r="M1513" s="3">
        <v>81</v>
      </c>
    </row>
    <row r="1514" spans="1:13" x14ac:dyDescent="0.25">
      <c r="A1514" s="1" t="str">
        <f>HYPERLINK("http://www.rosaceae.org/Prunus/Prunus_persica/p.persica_gdr_reftransV1_0003714","p.persica_gdr_reftransV1_0003714")</f>
        <v>p.persica_gdr_reftransV1_0003714</v>
      </c>
      <c r="B1514" s="3">
        <v>1929</v>
      </c>
      <c r="C1514" s="1" t="str">
        <f>HYPERLINK("http://www.uniprot.org/uniprot/HPSE3_ARATH","HPSE3_ARATH")</f>
        <v>HPSE3_ARATH</v>
      </c>
      <c r="D1514" t="s">
        <v>1530</v>
      </c>
      <c r="E1514" s="3" t="s">
        <v>3</v>
      </c>
      <c r="F1514" s="4">
        <v>0</v>
      </c>
      <c r="G1514" s="3">
        <v>1757</v>
      </c>
      <c r="H1514" s="3">
        <v>60</v>
      </c>
      <c r="I1514" s="3">
        <v>536</v>
      </c>
      <c r="J1514" s="3">
        <v>91</v>
      </c>
      <c r="K1514" s="3">
        <v>1698</v>
      </c>
      <c r="L1514" s="3">
        <v>31</v>
      </c>
      <c r="M1514" s="3">
        <v>535</v>
      </c>
    </row>
    <row r="1515" spans="1:13" x14ac:dyDescent="0.25">
      <c r="A1515" s="1" t="str">
        <f>HYPERLINK("http://www.rosaceae.org/Prunus/Prunus_persica/p.persica_gdr_reftransV1_0003764","p.persica_gdr_reftransV1_0003764")</f>
        <v>p.persica_gdr_reftransV1_0003764</v>
      </c>
      <c r="B1515" s="3">
        <v>1962</v>
      </c>
      <c r="C1515" s="1" t="str">
        <f>HYPERLINK("http://www.uniprot.org/uniprot/PME40_ARATH","PME40_ARATH")</f>
        <v>PME40_ARATH</v>
      </c>
      <c r="D1515" t="s">
        <v>1531</v>
      </c>
      <c r="E1515" s="3" t="s">
        <v>3</v>
      </c>
      <c r="F1515" s="4">
        <v>0</v>
      </c>
      <c r="G1515" s="3">
        <v>1466</v>
      </c>
      <c r="H1515" s="3">
        <v>54</v>
      </c>
      <c r="I1515" s="3">
        <v>505</v>
      </c>
      <c r="J1515" s="3">
        <v>339</v>
      </c>
      <c r="K1515" s="3">
        <v>1808</v>
      </c>
      <c r="L1515" s="3">
        <v>33</v>
      </c>
      <c r="M1515" s="3">
        <v>518</v>
      </c>
    </row>
    <row r="1516" spans="1:13" x14ac:dyDescent="0.25">
      <c r="A1516" s="1" t="str">
        <f>HYPERLINK("http://www.rosaceae.org/Prunus/Prunus_persica/p.persica_gdr_reftransV1_0003864","p.persica_gdr_reftransV1_0003864")</f>
        <v>p.persica_gdr_reftransV1_0003864</v>
      </c>
      <c r="B1516" s="3">
        <v>387</v>
      </c>
      <c r="C1516" s="1" t="str">
        <f>HYPERLINK("http://www.uniprot.org/uniprot/RS12_BLUGH","RS12_BLUGH")</f>
        <v>RS12_BLUGH</v>
      </c>
      <c r="D1516" t="s">
        <v>1532</v>
      </c>
      <c r="E1516" s="3" t="s">
        <v>1533</v>
      </c>
      <c r="F1516" s="4">
        <v>3.22E-56</v>
      </c>
      <c r="G1516" s="3">
        <v>450</v>
      </c>
      <c r="H1516" s="3">
        <v>85</v>
      </c>
      <c r="I1516" s="3">
        <v>99</v>
      </c>
      <c r="J1516" s="3">
        <v>3</v>
      </c>
      <c r="K1516" s="3">
        <v>296</v>
      </c>
      <c r="L1516" s="3">
        <v>2</v>
      </c>
      <c r="M1516" s="3">
        <v>100</v>
      </c>
    </row>
    <row r="1517" spans="1:13" x14ac:dyDescent="0.25">
      <c r="A1517" s="1" t="str">
        <f>HYPERLINK("http://www.rosaceae.org/Prunus/Prunus_persica/p.persica_gdr_reftransV1_0004014","p.persica_gdr_reftransV1_0004014")</f>
        <v>p.persica_gdr_reftransV1_0004014</v>
      </c>
      <c r="B1517" s="3">
        <v>1009</v>
      </c>
      <c r="C1517" s="1" t="str">
        <f>HYPERLINK("http://www.uniprot.org/uniprot/TMVRN_NICGU","TMVRN_NICGU")</f>
        <v>TMVRN_NICGU</v>
      </c>
      <c r="D1517" t="s">
        <v>151</v>
      </c>
      <c r="E1517" s="3" t="s">
        <v>152</v>
      </c>
      <c r="F1517" s="4">
        <v>1.61E-9</v>
      </c>
      <c r="G1517" s="3">
        <v>152</v>
      </c>
      <c r="H1517" s="3">
        <v>30</v>
      </c>
      <c r="I1517" s="3">
        <v>179</v>
      </c>
      <c r="J1517" s="3">
        <v>3</v>
      </c>
      <c r="K1517" s="3">
        <v>515</v>
      </c>
      <c r="L1517" s="3">
        <v>844</v>
      </c>
      <c r="M1517" s="3">
        <v>1013</v>
      </c>
    </row>
    <row r="1518" spans="1:13" x14ac:dyDescent="0.25">
      <c r="A1518" s="1" t="str">
        <f>HYPERLINK("http://www.rosaceae.org/Prunus/Prunus_persica/p.persica_gdr_reftransV1_0004064","p.persica_gdr_reftransV1_0004064")</f>
        <v>p.persica_gdr_reftransV1_0004064</v>
      </c>
      <c r="B1518" s="3">
        <v>2809</v>
      </c>
      <c r="C1518" s="1" t="str">
        <f>HYPERLINK("http://www.uniprot.org/uniprot/PUM23_ARATH","PUM23_ARATH")</f>
        <v>PUM23_ARATH</v>
      </c>
      <c r="D1518" t="s">
        <v>1534</v>
      </c>
      <c r="E1518" s="3" t="s">
        <v>3</v>
      </c>
      <c r="F1518" s="4">
        <v>0</v>
      </c>
      <c r="G1518" s="3">
        <v>2117</v>
      </c>
      <c r="H1518" s="3">
        <v>57</v>
      </c>
      <c r="I1518" s="3">
        <v>733</v>
      </c>
      <c r="J1518" s="3">
        <v>166</v>
      </c>
      <c r="K1518" s="3">
        <v>2322</v>
      </c>
      <c r="L1518" s="3">
        <v>1</v>
      </c>
      <c r="M1518" s="3">
        <v>721</v>
      </c>
    </row>
    <row r="1519" spans="1:13" x14ac:dyDescent="0.25">
      <c r="A1519" s="1" t="str">
        <f>HYPERLINK("http://www.rosaceae.org/Prunus/Prunus_persica/p.persica_gdr_reftransV1_0004164","p.persica_gdr_reftransV1_0004164")</f>
        <v>p.persica_gdr_reftransV1_0004164</v>
      </c>
      <c r="B1519" s="3">
        <v>448</v>
      </c>
      <c r="C1519" s="1" t="str">
        <f>HYPERLINK("http://www.uniprot.org/uniprot/CHS6_USTMA","CHS6_USTMA")</f>
        <v>CHS6_USTMA</v>
      </c>
      <c r="D1519" t="s">
        <v>1535</v>
      </c>
      <c r="E1519" s="3" t="s">
        <v>833</v>
      </c>
      <c r="F1519" s="4">
        <v>9.5300000000000005E-62</v>
      </c>
      <c r="G1519" s="3">
        <v>534</v>
      </c>
      <c r="H1519" s="3">
        <v>72</v>
      </c>
      <c r="I1519" s="3">
        <v>148</v>
      </c>
      <c r="J1519" s="3">
        <v>3</v>
      </c>
      <c r="K1519" s="3">
        <v>446</v>
      </c>
      <c r="L1519" s="3">
        <v>503</v>
      </c>
      <c r="M1519" s="3">
        <v>648</v>
      </c>
    </row>
    <row r="1520" spans="1:13" x14ac:dyDescent="0.25">
      <c r="A1520" s="1" t="str">
        <f>HYPERLINK("http://www.rosaceae.org/Prunus/Prunus_persica/p.persica_gdr_reftransV1_0004314","p.persica_gdr_reftransV1_0004314")</f>
        <v>p.persica_gdr_reftransV1_0004314</v>
      </c>
      <c r="B1520" s="3">
        <v>1870</v>
      </c>
      <c r="C1520" s="1" t="str">
        <f>HYPERLINK("http://www.uniprot.org/uniprot/MATE1_ARATH","MATE1_ARATH")</f>
        <v>MATE1_ARATH</v>
      </c>
      <c r="D1520" t="s">
        <v>1536</v>
      </c>
      <c r="E1520" s="3" t="s">
        <v>3</v>
      </c>
      <c r="F1520" s="4">
        <v>0</v>
      </c>
      <c r="G1520" s="3">
        <v>1500</v>
      </c>
      <c r="H1520" s="3">
        <v>73</v>
      </c>
      <c r="I1520" s="3">
        <v>451</v>
      </c>
      <c r="J1520" s="3">
        <v>186</v>
      </c>
      <c r="K1520" s="3">
        <v>1532</v>
      </c>
      <c r="L1520" s="3">
        <v>65</v>
      </c>
      <c r="M1520" s="3">
        <v>515</v>
      </c>
    </row>
    <row r="1521" spans="1:13" x14ac:dyDescent="0.25">
      <c r="A1521" s="1" t="str">
        <f>HYPERLINK("http://www.rosaceae.org/Prunus/Prunus_persica/p.persica_gdr_reftransV1_0004364","p.persica_gdr_reftransV1_0004364")</f>
        <v>p.persica_gdr_reftransV1_0004364</v>
      </c>
      <c r="B1521" s="3">
        <v>2125</v>
      </c>
      <c r="C1521" s="1" t="str">
        <f>HYPERLINK("http://www.uniprot.org/uniprot/C79D4_LOTJA","C79D4_LOTJA")</f>
        <v>C79D4_LOTJA</v>
      </c>
      <c r="D1521" t="s">
        <v>1537</v>
      </c>
      <c r="E1521" s="3" t="s">
        <v>880</v>
      </c>
      <c r="F1521" s="4">
        <v>0</v>
      </c>
      <c r="G1521" s="3">
        <v>1546</v>
      </c>
      <c r="H1521" s="3">
        <v>56</v>
      </c>
      <c r="I1521" s="3">
        <v>509</v>
      </c>
      <c r="J1521" s="3">
        <v>168</v>
      </c>
      <c r="K1521" s="3">
        <v>1685</v>
      </c>
      <c r="L1521" s="3">
        <v>7</v>
      </c>
      <c r="M1521" s="3">
        <v>510</v>
      </c>
    </row>
    <row r="1522" spans="1:13" x14ac:dyDescent="0.25">
      <c r="A1522" s="1" t="str">
        <f>HYPERLINK("http://www.rosaceae.org/Prunus/Prunus_persica/p.persica_gdr_reftransV1_0004464","p.persica_gdr_reftransV1_0004464")</f>
        <v>p.persica_gdr_reftransV1_0004464</v>
      </c>
      <c r="B1522" s="3">
        <v>3105</v>
      </c>
      <c r="C1522" s="1" t="str">
        <f>HYPERLINK("http://www.uniprot.org/uniprot/LACS1_ARATH","LACS1_ARATH")</f>
        <v>LACS1_ARATH</v>
      </c>
      <c r="D1522" t="s">
        <v>1538</v>
      </c>
      <c r="E1522" s="3" t="s">
        <v>3</v>
      </c>
      <c r="F1522" s="4">
        <v>1.28E-162</v>
      </c>
      <c r="G1522" s="3">
        <v>1273</v>
      </c>
      <c r="H1522" s="3">
        <v>70</v>
      </c>
      <c r="I1522" s="3">
        <v>345</v>
      </c>
      <c r="J1522" s="3">
        <v>1397</v>
      </c>
      <c r="K1522" s="3">
        <v>2431</v>
      </c>
      <c r="L1522" s="3">
        <v>72</v>
      </c>
      <c r="M1522" s="3">
        <v>416</v>
      </c>
    </row>
    <row r="1523" spans="1:13" x14ac:dyDescent="0.25">
      <c r="A1523" s="1" t="str">
        <f>HYPERLINK("http://www.rosaceae.org/Prunus/Prunus_persica/p.persica_gdr_reftransV1_0004514","p.persica_gdr_reftransV1_0004514")</f>
        <v>p.persica_gdr_reftransV1_0004514</v>
      </c>
      <c r="B1523" s="3">
        <v>424</v>
      </c>
      <c r="C1523" s="1" t="str">
        <f>HYPERLINK("http://www.uniprot.org/uniprot/TMVRN_NICGU","TMVRN_NICGU")</f>
        <v>TMVRN_NICGU</v>
      </c>
      <c r="D1523" t="s">
        <v>151</v>
      </c>
      <c r="E1523" s="3" t="s">
        <v>152</v>
      </c>
      <c r="F1523" s="4">
        <v>1.5900000000000001E-24</v>
      </c>
      <c r="G1523" s="3">
        <v>258</v>
      </c>
      <c r="H1523" s="3">
        <v>41</v>
      </c>
      <c r="I1523" s="3">
        <v>143</v>
      </c>
      <c r="J1523" s="3">
        <v>4</v>
      </c>
      <c r="K1523" s="3">
        <v>423</v>
      </c>
      <c r="L1523" s="3">
        <v>66</v>
      </c>
      <c r="M1523" s="3">
        <v>192</v>
      </c>
    </row>
    <row r="1524" spans="1:13" x14ac:dyDescent="0.25">
      <c r="A1524" s="1" t="str">
        <f>HYPERLINK("http://www.rosaceae.org/Prunus/Prunus_persica/p.persica_gdr_reftransV1_0004564","p.persica_gdr_reftransV1_0004564")</f>
        <v>p.persica_gdr_reftransV1_0004564</v>
      </c>
      <c r="B1524" s="3">
        <v>964</v>
      </c>
      <c r="C1524" s="1" t="str">
        <f>HYPERLINK("http://www.uniprot.org/uniprot/DHAR2_ARATH","DHAR2_ARATH")</f>
        <v>DHAR2_ARATH</v>
      </c>
      <c r="D1524" t="s">
        <v>1539</v>
      </c>
      <c r="E1524" s="3" t="s">
        <v>3</v>
      </c>
      <c r="F1524" s="4">
        <v>8.5499999999999998E-113</v>
      </c>
      <c r="G1524" s="3">
        <v>852</v>
      </c>
      <c r="H1524" s="3">
        <v>75</v>
      </c>
      <c r="I1524" s="3">
        <v>212</v>
      </c>
      <c r="J1524" s="3">
        <v>140</v>
      </c>
      <c r="K1524" s="3">
        <v>772</v>
      </c>
      <c r="L1524" s="3">
        <v>1</v>
      </c>
      <c r="M1524" s="3">
        <v>212</v>
      </c>
    </row>
    <row r="1525" spans="1:13" x14ac:dyDescent="0.25">
      <c r="A1525" s="1" t="str">
        <f>HYPERLINK("http://www.rosaceae.org/Prunus/Prunus_persica/p.persica_gdr_reftransV1_0004614","p.persica_gdr_reftransV1_0004614")</f>
        <v>p.persica_gdr_reftransV1_0004614</v>
      </c>
      <c r="B1525" s="3">
        <v>4034</v>
      </c>
      <c r="C1525" s="1" t="str">
        <f>HYPERLINK("http://www.uniprot.org/uniprot/DCL3A_ORYSJ","DCL3A_ORYSJ")</f>
        <v>DCL3A_ORYSJ</v>
      </c>
      <c r="D1525" t="s">
        <v>1540</v>
      </c>
      <c r="E1525" s="3" t="s">
        <v>38</v>
      </c>
      <c r="F1525" s="4">
        <v>0</v>
      </c>
      <c r="G1525" s="3">
        <v>3043</v>
      </c>
      <c r="H1525" s="3">
        <v>51</v>
      </c>
      <c r="I1525" s="3">
        <v>1289</v>
      </c>
      <c r="J1525" s="3">
        <v>222</v>
      </c>
      <c r="K1525" s="3">
        <v>4025</v>
      </c>
      <c r="L1525" s="3">
        <v>394</v>
      </c>
      <c r="M1525" s="3">
        <v>1646</v>
      </c>
    </row>
    <row r="1526" spans="1:13" x14ac:dyDescent="0.25">
      <c r="A1526" s="1" t="str">
        <f>HYPERLINK("http://www.rosaceae.org/Prunus/Prunus_persica/p.persica_gdr_reftransV1_0004664","p.persica_gdr_reftransV1_0004664")</f>
        <v>p.persica_gdr_reftransV1_0004664</v>
      </c>
      <c r="B1526" s="3">
        <v>1439</v>
      </c>
      <c r="C1526" s="1" t="str">
        <f>HYPERLINK("http://www.uniprot.org/uniprot/C90B1_ARATH","C90B1_ARATH")</f>
        <v>C90B1_ARATH</v>
      </c>
      <c r="D1526" t="s">
        <v>1541</v>
      </c>
      <c r="E1526" s="3" t="s">
        <v>3</v>
      </c>
      <c r="F1526" s="4">
        <v>0</v>
      </c>
      <c r="G1526" s="3">
        <v>1760</v>
      </c>
      <c r="H1526" s="3">
        <v>76</v>
      </c>
      <c r="I1526" s="3">
        <v>445</v>
      </c>
      <c r="J1526" s="3">
        <v>179</v>
      </c>
      <c r="K1526" s="3">
        <v>1438</v>
      </c>
      <c r="L1526" s="3">
        <v>29</v>
      </c>
      <c r="M1526" s="3">
        <v>473</v>
      </c>
    </row>
    <row r="1527" spans="1:13" x14ac:dyDescent="0.25">
      <c r="A1527" s="1" t="str">
        <f>HYPERLINK("http://www.rosaceae.org/Prunus/Prunus_persica/p.persica_gdr_reftransV1_0004714","p.persica_gdr_reftransV1_0004714")</f>
        <v>p.persica_gdr_reftransV1_0004714</v>
      </c>
      <c r="B1527" s="3">
        <v>1272</v>
      </c>
      <c r="C1527" s="1" t="str">
        <f>HYPERLINK("http://www.uniprot.org/uniprot/CB12_PETHY","CB12_PETHY")</f>
        <v>CB12_PETHY</v>
      </c>
      <c r="D1527" t="s">
        <v>1542</v>
      </c>
      <c r="E1527" s="3" t="s">
        <v>509</v>
      </c>
      <c r="F1527" s="4">
        <v>1.3100000000000001E-100</v>
      </c>
      <c r="G1527" s="3">
        <v>787</v>
      </c>
      <c r="H1527" s="3">
        <v>61</v>
      </c>
      <c r="I1527" s="3">
        <v>241</v>
      </c>
      <c r="J1527" s="3">
        <v>373</v>
      </c>
      <c r="K1527" s="3">
        <v>1077</v>
      </c>
      <c r="L1527" s="3">
        <v>28</v>
      </c>
      <c r="M1527" s="3">
        <v>268</v>
      </c>
    </row>
    <row r="1528" spans="1:13" x14ac:dyDescent="0.25">
      <c r="A1528" s="1" t="str">
        <f>HYPERLINK("http://www.rosaceae.org/Prunus/Prunus_persica/p.persica_gdr_reftransV1_0005014","p.persica_gdr_reftransV1_0005014")</f>
        <v>p.persica_gdr_reftransV1_0005014</v>
      </c>
      <c r="B1528" s="3">
        <v>2879</v>
      </c>
      <c r="C1528" s="1" t="str">
        <f>HYPERLINK("http://www.uniprot.org/uniprot/Y3903_ARATH","Y3903_ARATH")</f>
        <v>Y3903_ARATH</v>
      </c>
      <c r="D1528" t="s">
        <v>1543</v>
      </c>
      <c r="E1528" s="3" t="s">
        <v>3</v>
      </c>
      <c r="F1528" s="4">
        <v>4.3000000000000003E-173</v>
      </c>
      <c r="G1528" s="3">
        <v>1336</v>
      </c>
      <c r="H1528" s="3">
        <v>61</v>
      </c>
      <c r="I1528" s="3">
        <v>440</v>
      </c>
      <c r="J1528" s="3">
        <v>1439</v>
      </c>
      <c r="K1528" s="3">
        <v>2752</v>
      </c>
      <c r="L1528" s="3">
        <v>9</v>
      </c>
      <c r="M1528" s="3">
        <v>436</v>
      </c>
    </row>
    <row r="1529" spans="1:13" x14ac:dyDescent="0.25">
      <c r="A1529" s="1" t="str">
        <f>HYPERLINK("http://www.rosaceae.org/Prunus/Prunus_persica/p.persica_gdr_reftransV1_0005114","p.persica_gdr_reftransV1_0005114")</f>
        <v>p.persica_gdr_reftransV1_0005114</v>
      </c>
      <c r="B1529" s="3">
        <v>2791</v>
      </c>
      <c r="C1529" s="1" t="str">
        <f>HYPERLINK("http://www.uniprot.org/uniprot/PAL1_RUBid","PAL1_RUBid")</f>
        <v>PAL1_RUBid</v>
      </c>
      <c r="D1529" t="s">
        <v>1544</v>
      </c>
      <c r="E1529" s="3" t="s">
        <v>1545</v>
      </c>
      <c r="F1529" s="4">
        <v>0</v>
      </c>
      <c r="G1529" s="3">
        <v>3314</v>
      </c>
      <c r="H1529" s="3">
        <v>86</v>
      </c>
      <c r="I1529" s="3">
        <v>713</v>
      </c>
      <c r="J1529" s="3">
        <v>402</v>
      </c>
      <c r="K1529" s="3">
        <v>2537</v>
      </c>
      <c r="L1529" s="3">
        <v>5</v>
      </c>
      <c r="M1529" s="3">
        <v>710</v>
      </c>
    </row>
    <row r="1530" spans="1:13" x14ac:dyDescent="0.25">
      <c r="A1530" s="1" t="str">
        <f>HYPERLINK("http://www.rosaceae.org/Prunus/Prunus_persica/p.persica_gdr_reftransV1_0005264","p.persica_gdr_reftransV1_0005264")</f>
        <v>p.persica_gdr_reftransV1_0005264</v>
      </c>
      <c r="B1530" s="3">
        <v>476</v>
      </c>
      <c r="C1530" s="1" t="str">
        <f>HYPERLINK("http://www.uniprot.org/uniprot/NRPD1_ARATH","NRPD1_ARATH")</f>
        <v>NRPD1_ARATH</v>
      </c>
      <c r="D1530" t="s">
        <v>1546</v>
      </c>
      <c r="E1530" s="3" t="s">
        <v>3</v>
      </c>
      <c r="F1530" s="4">
        <v>1.52E-50</v>
      </c>
      <c r="G1530" s="3">
        <v>455</v>
      </c>
      <c r="H1530" s="3">
        <v>62</v>
      </c>
      <c r="I1530" s="3">
        <v>155</v>
      </c>
      <c r="J1530" s="3">
        <v>10</v>
      </c>
      <c r="K1530" s="3">
        <v>474</v>
      </c>
      <c r="L1530" s="3">
        <v>287</v>
      </c>
      <c r="M1530" s="3">
        <v>438</v>
      </c>
    </row>
    <row r="1531" spans="1:13" x14ac:dyDescent="0.25">
      <c r="A1531" s="1" t="str">
        <f>HYPERLINK("http://www.rosaceae.org/Prunus/Prunus_persica/p.persica_gdr_reftransV1_0005414","p.persica_gdr_reftransV1_0005414")</f>
        <v>p.persica_gdr_reftransV1_0005414</v>
      </c>
      <c r="B1531" s="3">
        <v>335</v>
      </c>
      <c r="C1531" s="1" t="str">
        <f>HYPERLINK("http://www.uniprot.org/uniprot/PP210_ARATH","PP210_ARATH")</f>
        <v>PP210_ARATH</v>
      </c>
      <c r="D1531" t="s">
        <v>1547</v>
      </c>
      <c r="E1531" s="3" t="s">
        <v>3</v>
      </c>
      <c r="F1531" s="4">
        <v>4.5399999999999996E-22</v>
      </c>
      <c r="G1531" s="3">
        <v>236</v>
      </c>
      <c r="H1531" s="3">
        <v>40</v>
      </c>
      <c r="I1531" s="3">
        <v>108</v>
      </c>
      <c r="J1531" s="3">
        <v>11</v>
      </c>
      <c r="K1531" s="3">
        <v>334</v>
      </c>
      <c r="L1531" s="3">
        <v>105</v>
      </c>
      <c r="M1531" s="3">
        <v>212</v>
      </c>
    </row>
    <row r="1532" spans="1:13" x14ac:dyDescent="0.25">
      <c r="A1532" s="1" t="str">
        <f>HYPERLINK("http://www.rosaceae.org/Prunus/Prunus_persica/p.persica_gdr_reftransV1_0005564","p.persica_gdr_reftransV1_0005564")</f>
        <v>p.persica_gdr_reftransV1_0005564</v>
      </c>
      <c r="B1532" s="3">
        <v>1318</v>
      </c>
      <c r="C1532" s="1" t="str">
        <f>HYPERLINK("http://www.uniprot.org/uniprot/SCP20_ARATH","SCP20_ARATH")</f>
        <v>SCP20_ARATH</v>
      </c>
      <c r="D1532" t="s">
        <v>1548</v>
      </c>
      <c r="E1532" s="3" t="s">
        <v>3</v>
      </c>
      <c r="F1532" s="4">
        <v>0</v>
      </c>
      <c r="G1532" s="3">
        <v>1497</v>
      </c>
      <c r="H1532" s="3">
        <v>67</v>
      </c>
      <c r="I1532" s="3">
        <v>418</v>
      </c>
      <c r="J1532" s="3">
        <v>3</v>
      </c>
      <c r="K1532" s="3">
        <v>1256</v>
      </c>
      <c r="L1532" s="3">
        <v>89</v>
      </c>
      <c r="M1532" s="3">
        <v>497</v>
      </c>
    </row>
    <row r="1533" spans="1:13" x14ac:dyDescent="0.25">
      <c r="A1533" s="1" t="str">
        <f>HYPERLINK("http://www.rosaceae.org/Prunus/Prunus_persica/p.persica_gdr_reftransV1_0005614","p.persica_gdr_reftransV1_0005614")</f>
        <v>p.persica_gdr_reftransV1_0005614</v>
      </c>
      <c r="B1533" s="3">
        <v>472</v>
      </c>
      <c r="C1533" s="1" t="str">
        <f>HYPERLINK("http://www.uniprot.org/uniprot/RIBA3_ARATH","RIBA3_ARATH")</f>
        <v>RIBA3_ARATH</v>
      </c>
      <c r="D1533" t="s">
        <v>1549</v>
      </c>
      <c r="E1533" s="3" t="s">
        <v>3</v>
      </c>
      <c r="F1533" s="4">
        <v>4.4399999999999996E-84</v>
      </c>
      <c r="G1533" s="3">
        <v>670</v>
      </c>
      <c r="H1533" s="3">
        <v>81</v>
      </c>
      <c r="I1533" s="3">
        <v>157</v>
      </c>
      <c r="J1533" s="3">
        <v>1</v>
      </c>
      <c r="K1533" s="3">
        <v>471</v>
      </c>
      <c r="L1533" s="3">
        <v>119</v>
      </c>
      <c r="M1533" s="3">
        <v>275</v>
      </c>
    </row>
    <row r="1534" spans="1:13" x14ac:dyDescent="0.25">
      <c r="A1534" s="1" t="str">
        <f>HYPERLINK("http://www.rosaceae.org/Prunus/Prunus_persica/p.persica_gdr_reftransV1_0006164","p.persica_gdr_reftransV1_0006164")</f>
        <v>p.persica_gdr_reftransV1_0006164</v>
      </c>
      <c r="B1534" s="3">
        <v>1217</v>
      </c>
      <c r="C1534" s="1" t="str">
        <f>HYPERLINK("http://www.uniprot.org/uniprot/MYB44_ARATH","MYB44_ARATH")</f>
        <v>MYB44_ARATH</v>
      </c>
      <c r="D1534" t="s">
        <v>1249</v>
      </c>
      <c r="E1534" s="3" t="s">
        <v>3</v>
      </c>
      <c r="F1534" s="4">
        <v>5.24E-20</v>
      </c>
      <c r="G1534" s="3">
        <v>230</v>
      </c>
      <c r="H1534" s="3">
        <v>51</v>
      </c>
      <c r="I1534" s="3">
        <v>101</v>
      </c>
      <c r="J1534" s="3">
        <v>921</v>
      </c>
      <c r="K1534" s="3">
        <v>1217</v>
      </c>
      <c r="L1534" s="3">
        <v>36</v>
      </c>
      <c r="M1534" s="3">
        <v>129</v>
      </c>
    </row>
    <row r="1535" spans="1:13" x14ac:dyDescent="0.25">
      <c r="A1535" s="1" t="str">
        <f>HYPERLINK("http://www.rosaceae.org/Prunus/Prunus_persica/p.persica_gdr_reftransV1_0006314","p.persica_gdr_reftransV1_0006314")</f>
        <v>p.persica_gdr_reftransV1_0006314</v>
      </c>
      <c r="B1535" s="3">
        <v>1095</v>
      </c>
      <c r="C1535" s="1" t="str">
        <f>HYPERLINK("http://www.uniprot.org/uniprot/GDL17_ARATH","GDL17_ARATH")</f>
        <v>GDL17_ARATH</v>
      </c>
      <c r="D1535" t="s">
        <v>1550</v>
      </c>
      <c r="E1535" s="3" t="s">
        <v>3</v>
      </c>
      <c r="F1535" s="4">
        <v>2.2799999999999999E-147</v>
      </c>
      <c r="G1535" s="3">
        <v>1101</v>
      </c>
      <c r="H1535" s="3">
        <v>70</v>
      </c>
      <c r="I1535" s="3">
        <v>288</v>
      </c>
      <c r="J1535" s="3">
        <v>111</v>
      </c>
      <c r="K1535" s="3">
        <v>965</v>
      </c>
      <c r="L1535" s="3">
        <v>85</v>
      </c>
      <c r="M1535" s="3">
        <v>370</v>
      </c>
    </row>
    <row r="1536" spans="1:13" x14ac:dyDescent="0.25">
      <c r="A1536" s="1" t="str">
        <f>HYPERLINK("http://www.rosaceae.org/Prunus/Prunus_persica/p.persica_gdr_reftransV1_0006664","p.persica_gdr_reftransV1_0006664")</f>
        <v>p.persica_gdr_reftransV1_0006664</v>
      </c>
      <c r="B1536" s="3">
        <v>1504</v>
      </c>
      <c r="C1536" s="1" t="str">
        <f>HYPERLINK("http://www.uniprot.org/uniprot/Y3475_ARATH","Y3475_ARATH")</f>
        <v>Y3475_ARATH</v>
      </c>
      <c r="D1536" t="s">
        <v>827</v>
      </c>
      <c r="E1536" s="3" t="s">
        <v>3</v>
      </c>
      <c r="F1536" s="4">
        <v>6.5199999999999997E-65</v>
      </c>
      <c r="G1536" s="3">
        <v>589</v>
      </c>
      <c r="H1536" s="3">
        <v>40</v>
      </c>
      <c r="I1536" s="3">
        <v>435</v>
      </c>
      <c r="J1536" s="3">
        <v>126</v>
      </c>
      <c r="K1536" s="3">
        <v>1418</v>
      </c>
      <c r="L1536" s="3">
        <v>24</v>
      </c>
      <c r="M1536" s="3">
        <v>455</v>
      </c>
    </row>
    <row r="1537" spans="1:13" x14ac:dyDescent="0.25">
      <c r="A1537" s="1" t="str">
        <f>HYPERLINK("http://www.rosaceae.org/Prunus/Prunus_persica/p.persica_gdr_reftransV1_0006714","p.persica_gdr_reftransV1_0006714")</f>
        <v>p.persica_gdr_reftransV1_0006714</v>
      </c>
      <c r="B1537" s="3">
        <v>1087</v>
      </c>
      <c r="C1537" s="1" t="str">
        <f>HYPERLINK("http://www.uniprot.org/uniprot/RLP12_ARATH","RLP12_ARATH")</f>
        <v>RLP12_ARATH</v>
      </c>
      <c r="D1537" t="s">
        <v>1219</v>
      </c>
      <c r="E1537" s="3" t="s">
        <v>3</v>
      </c>
      <c r="F1537" s="4">
        <v>6.3499999999999997E-58</v>
      </c>
      <c r="G1537" s="3">
        <v>523</v>
      </c>
      <c r="H1537" s="3">
        <v>39</v>
      </c>
      <c r="I1537" s="3">
        <v>327</v>
      </c>
      <c r="J1537" s="3">
        <v>13</v>
      </c>
      <c r="K1537" s="3">
        <v>969</v>
      </c>
      <c r="L1537" s="3">
        <v>521</v>
      </c>
      <c r="M1537" s="3">
        <v>843</v>
      </c>
    </row>
    <row r="1538" spans="1:13" x14ac:dyDescent="0.25">
      <c r="A1538" s="1" t="str">
        <f>HYPERLINK("http://www.rosaceae.org/Prunus/Prunus_persica/p.persica_gdr_reftransV1_0006764","p.persica_gdr_reftransV1_0006764")</f>
        <v>p.persica_gdr_reftransV1_0006764</v>
      </c>
      <c r="B1538" s="3">
        <v>714</v>
      </c>
      <c r="C1538" s="1" t="str">
        <f>HYPERLINK("http://www.uniprot.org/uniprot/IP5PB_ARATH","IP5PB_ARATH")</f>
        <v>IP5PB_ARATH</v>
      </c>
      <c r="D1538" t="s">
        <v>1551</v>
      </c>
      <c r="E1538" s="3" t="s">
        <v>3</v>
      </c>
      <c r="F1538" s="4">
        <v>7.0500000000000004E-66</v>
      </c>
      <c r="G1538" s="3">
        <v>543</v>
      </c>
      <c r="H1538" s="3">
        <v>62</v>
      </c>
      <c r="I1538" s="3">
        <v>154</v>
      </c>
      <c r="J1538" s="3">
        <v>252</v>
      </c>
      <c r="K1538" s="3">
        <v>713</v>
      </c>
      <c r="L1538" s="3">
        <v>179</v>
      </c>
      <c r="M1538" s="3">
        <v>328</v>
      </c>
    </row>
    <row r="1539" spans="1:13" x14ac:dyDescent="0.25">
      <c r="A1539" s="1" t="str">
        <f>HYPERLINK("http://www.rosaceae.org/Prunus/Prunus_persica/p.persica_gdr_reftransV1_0006814","p.persica_gdr_reftransV1_0006814")</f>
        <v>p.persica_gdr_reftransV1_0006814</v>
      </c>
      <c r="B1539" s="3">
        <v>647</v>
      </c>
      <c r="C1539" s="1" t="str">
        <f>HYPERLINK("http://www.uniprot.org/uniprot/PLDE1_ARATH","PLDE1_ARATH")</f>
        <v>PLDE1_ARATH</v>
      </c>
      <c r="D1539" t="s">
        <v>1552</v>
      </c>
      <c r="E1539" s="3" t="s">
        <v>3</v>
      </c>
      <c r="F1539" s="4">
        <v>5.2600000000000005E-81</v>
      </c>
      <c r="G1539" s="3">
        <v>671</v>
      </c>
      <c r="H1539" s="3">
        <v>60</v>
      </c>
      <c r="I1539" s="3">
        <v>216</v>
      </c>
      <c r="J1539" s="3">
        <v>1</v>
      </c>
      <c r="K1539" s="3">
        <v>636</v>
      </c>
      <c r="L1539" s="3">
        <v>557</v>
      </c>
      <c r="M1539" s="3">
        <v>762</v>
      </c>
    </row>
    <row r="1540" spans="1:13" x14ac:dyDescent="0.25">
      <c r="A1540" s="1" t="str">
        <f>HYPERLINK("http://www.rosaceae.org/Prunus/Prunus_persica/p.persica_gdr_reftransV1_0006864","p.persica_gdr_reftransV1_0006864")</f>
        <v>p.persica_gdr_reftransV1_0006864</v>
      </c>
      <c r="B1540" s="3">
        <v>604</v>
      </c>
      <c r="C1540" s="1" t="str">
        <f>HYPERLINK("http://www.uniprot.org/uniprot/POLX_TOBAC","POLX_TOBAC")</f>
        <v>POLX_TOBAC</v>
      </c>
      <c r="D1540" t="s">
        <v>1253</v>
      </c>
      <c r="E1540" s="3" t="s">
        <v>200</v>
      </c>
      <c r="F1540" s="4">
        <v>3.54E-54</v>
      </c>
      <c r="G1540" s="3">
        <v>486</v>
      </c>
      <c r="H1540" s="3">
        <v>45</v>
      </c>
      <c r="I1540" s="3">
        <v>199</v>
      </c>
      <c r="J1540" s="3">
        <v>3</v>
      </c>
      <c r="K1540" s="3">
        <v>599</v>
      </c>
      <c r="L1540" s="3">
        <v>421</v>
      </c>
      <c r="M1540" s="3">
        <v>616</v>
      </c>
    </row>
    <row r="1541" spans="1:13" x14ac:dyDescent="0.25">
      <c r="A1541" s="1" t="str">
        <f>HYPERLINK("http://www.rosaceae.org/Prunus/Prunus_persica/p.persica_gdr_reftransV1_0006914","p.persica_gdr_reftransV1_0006914")</f>
        <v>p.persica_gdr_reftransV1_0006914</v>
      </c>
      <c r="B1541" s="3">
        <v>2292</v>
      </c>
      <c r="C1541" s="1" t="str">
        <f>HYPERLINK("http://www.uniprot.org/uniprot/AL2C4_ARATH","AL2C4_ARATH")</f>
        <v>AL2C4_ARATH</v>
      </c>
      <c r="D1541" t="s">
        <v>1553</v>
      </c>
      <c r="E1541" s="3" t="s">
        <v>3</v>
      </c>
      <c r="F1541" s="4">
        <v>0</v>
      </c>
      <c r="G1541" s="3">
        <v>1472</v>
      </c>
      <c r="H1541" s="3">
        <v>72</v>
      </c>
      <c r="I1541" s="3">
        <v>394</v>
      </c>
      <c r="J1541" s="3">
        <v>388</v>
      </c>
      <c r="K1541" s="3">
        <v>1566</v>
      </c>
      <c r="L1541" s="3">
        <v>6</v>
      </c>
      <c r="M1541" s="3">
        <v>395</v>
      </c>
    </row>
    <row r="1542" spans="1:13" x14ac:dyDescent="0.25">
      <c r="A1542" s="1" t="str">
        <f>HYPERLINK("http://www.rosaceae.org/Prunus/Prunus_persica/p.persica_gdr_reftransV1_0007064","p.persica_gdr_reftransV1_0007064")</f>
        <v>p.persica_gdr_reftransV1_0007064</v>
      </c>
      <c r="B1542" s="3">
        <v>1801</v>
      </c>
      <c r="C1542" s="1" t="str">
        <f>HYPERLINK("http://www.uniprot.org/uniprot/PVADH_PSESP","PVADH_PSESP")</f>
        <v>PVADH_PSESP</v>
      </c>
      <c r="D1542" t="s">
        <v>1554</v>
      </c>
      <c r="E1542" s="3" t="s">
        <v>1555</v>
      </c>
      <c r="F1542" s="4">
        <v>1.9700000000000001E-35</v>
      </c>
      <c r="G1542" s="3">
        <v>364</v>
      </c>
      <c r="H1542" s="3">
        <v>27</v>
      </c>
      <c r="I1542" s="3">
        <v>516</v>
      </c>
      <c r="J1542" s="3">
        <v>345</v>
      </c>
      <c r="K1542" s="3">
        <v>1790</v>
      </c>
      <c r="L1542" s="3">
        <v>146</v>
      </c>
      <c r="M1542" s="3">
        <v>612</v>
      </c>
    </row>
    <row r="1543" spans="1:13" x14ac:dyDescent="0.25">
      <c r="A1543" s="1" t="str">
        <f>HYPERLINK("http://www.rosaceae.org/Prunus/Prunus_persica/p.persica_gdr_reftransV1_0007164","p.persica_gdr_reftransV1_0007164")</f>
        <v>p.persica_gdr_reftransV1_0007164</v>
      </c>
      <c r="B1543" s="3">
        <v>1533</v>
      </c>
      <c r="C1543" s="1" t="str">
        <f>HYPERLINK("http://www.uniprot.org/uniprot/HPPR_PLESU","HPPR_PLESU")</f>
        <v>HPPR_PLESU</v>
      </c>
      <c r="D1543" t="s">
        <v>1556</v>
      </c>
      <c r="E1543" s="3" t="s">
        <v>1557</v>
      </c>
      <c r="F1543" s="4">
        <v>7.5599999999999996E-166</v>
      </c>
      <c r="G1543" s="3">
        <v>1233</v>
      </c>
      <c r="H1543" s="3">
        <v>80</v>
      </c>
      <c r="I1543" s="3">
        <v>303</v>
      </c>
      <c r="J1543" s="3">
        <v>277</v>
      </c>
      <c r="K1543" s="3">
        <v>1185</v>
      </c>
      <c r="L1543" s="3">
        <v>1</v>
      </c>
      <c r="M1543" s="3">
        <v>303</v>
      </c>
    </row>
    <row r="1544" spans="1:13" x14ac:dyDescent="0.25">
      <c r="A1544" s="1" t="str">
        <f>HYPERLINK("http://www.rosaceae.org/Prunus/Prunus_persica/p.persica_gdr_reftransV1_0007314","p.persica_gdr_reftransV1_0007314")</f>
        <v>p.persica_gdr_reftransV1_0007314</v>
      </c>
      <c r="B1544" s="3">
        <v>1401</v>
      </c>
      <c r="C1544" s="1" t="str">
        <f>HYPERLINK("http://www.uniprot.org/uniprot/FCL2_ARATH","FCL2_ARATH")</f>
        <v>FCL2_ARATH</v>
      </c>
      <c r="D1544" t="s">
        <v>1558</v>
      </c>
      <c r="E1544" s="3" t="s">
        <v>3</v>
      </c>
      <c r="F1544" s="4">
        <v>0</v>
      </c>
      <c r="G1544" s="3">
        <v>1405</v>
      </c>
      <c r="H1544" s="3">
        <v>85</v>
      </c>
      <c r="I1544" s="3">
        <v>319</v>
      </c>
      <c r="J1544" s="3">
        <v>275</v>
      </c>
      <c r="K1544" s="3">
        <v>1231</v>
      </c>
      <c r="L1544" s="3">
        <v>7</v>
      </c>
      <c r="M1544" s="3">
        <v>325</v>
      </c>
    </row>
    <row r="1545" spans="1:13" x14ac:dyDescent="0.25">
      <c r="A1545" s="1" t="str">
        <f>HYPERLINK("http://www.rosaceae.org/Prunus/Prunus_persica/p.persica_gdr_reftransV1_0007414","p.persica_gdr_reftransV1_0007414")</f>
        <v>p.persica_gdr_reftransV1_0007414</v>
      </c>
      <c r="B1545" s="3">
        <v>5128</v>
      </c>
      <c r="C1545" s="1" t="str">
        <f>HYPERLINK("http://www.uniprot.org/uniprot/E13B_WHEAT","E13B_WHEAT")</f>
        <v>E13B_WHEAT</v>
      </c>
      <c r="D1545" t="s">
        <v>1559</v>
      </c>
      <c r="E1545" s="3" t="s">
        <v>710</v>
      </c>
      <c r="F1545" s="4">
        <v>4.6900000000000003E-100</v>
      </c>
      <c r="G1545" s="3">
        <v>860</v>
      </c>
      <c r="H1545" s="3">
        <v>52</v>
      </c>
      <c r="I1545" s="3">
        <v>324</v>
      </c>
      <c r="J1545" s="3">
        <v>99</v>
      </c>
      <c r="K1545" s="3">
        <v>1046</v>
      </c>
      <c r="L1545" s="3">
        <v>26</v>
      </c>
      <c r="M1545" s="3">
        <v>349</v>
      </c>
    </row>
    <row r="1546" spans="1:13" x14ac:dyDescent="0.25">
      <c r="A1546" s="1" t="str">
        <f>HYPERLINK("http://www.rosaceae.org/Prunus/Prunus_persica/p.persica_gdr_reftransV1_0007614","p.persica_gdr_reftransV1_0007614")</f>
        <v>p.persica_gdr_reftransV1_0007614</v>
      </c>
      <c r="B1546" s="3">
        <v>598</v>
      </c>
      <c r="C1546" s="1" t="str">
        <f>HYPERLINK("http://www.uniprot.org/uniprot/DRL40_ARATH","DRL40_ARATH")</f>
        <v>DRL40_ARATH</v>
      </c>
      <c r="D1546" t="s">
        <v>1560</v>
      </c>
      <c r="E1546" s="3" t="s">
        <v>3</v>
      </c>
      <c r="F1546" s="4">
        <v>2.1000000000000001E-28</v>
      </c>
      <c r="G1546" s="3">
        <v>292</v>
      </c>
      <c r="H1546" s="3">
        <v>38</v>
      </c>
      <c r="I1546" s="3">
        <v>179</v>
      </c>
      <c r="J1546" s="3">
        <v>60</v>
      </c>
      <c r="K1546" s="3">
        <v>596</v>
      </c>
      <c r="L1546" s="3">
        <v>1</v>
      </c>
      <c r="M1546" s="3">
        <v>174</v>
      </c>
    </row>
    <row r="1547" spans="1:13" x14ac:dyDescent="0.25">
      <c r="A1547" s="1" t="str">
        <f>HYPERLINK("http://www.rosaceae.org/Prunus/Prunus_persica/p.persica_gdr_reftransV1_0007664","p.persica_gdr_reftransV1_0007664")</f>
        <v>p.persica_gdr_reftransV1_0007664</v>
      </c>
      <c r="B1547" s="3">
        <v>2010</v>
      </c>
      <c r="C1547" s="1" t="str">
        <f>HYPERLINK("http://www.uniprot.org/uniprot/YI01_SCHPO","YI01_SCHPO")</f>
        <v>YI01_SCHPO</v>
      </c>
      <c r="D1547" t="s">
        <v>1561</v>
      </c>
      <c r="E1547" s="3" t="s">
        <v>464</v>
      </c>
      <c r="F1547" s="4">
        <v>8.2400000000000006E-87</v>
      </c>
      <c r="G1547" s="3">
        <v>741</v>
      </c>
      <c r="H1547" s="3">
        <v>38</v>
      </c>
      <c r="I1547" s="3">
        <v>518</v>
      </c>
      <c r="J1547" s="3">
        <v>299</v>
      </c>
      <c r="K1547" s="3">
        <v>1756</v>
      </c>
      <c r="L1547" s="3">
        <v>61</v>
      </c>
      <c r="M1547" s="3">
        <v>572</v>
      </c>
    </row>
    <row r="1548" spans="1:13" x14ac:dyDescent="0.25">
      <c r="A1548" s="1" t="str">
        <f>HYPERLINK("http://www.rosaceae.org/Prunus/Prunus_persica/p.persica_gdr_reftransV1_0007814","p.persica_gdr_reftransV1_0007814")</f>
        <v>p.persica_gdr_reftransV1_0007814</v>
      </c>
      <c r="B1548" s="3">
        <v>1913</v>
      </c>
      <c r="C1548" s="1" t="str">
        <f>HYPERLINK("http://www.uniprot.org/uniprot/NSN1_ARATH","NSN1_ARATH")</f>
        <v>NSN1_ARATH</v>
      </c>
      <c r="D1548" t="s">
        <v>1562</v>
      </c>
      <c r="E1548" s="3" t="s">
        <v>3</v>
      </c>
      <c r="F1548" s="4">
        <v>0</v>
      </c>
      <c r="G1548" s="3">
        <v>1706</v>
      </c>
      <c r="H1548" s="3">
        <v>72</v>
      </c>
      <c r="I1548" s="3">
        <v>488</v>
      </c>
      <c r="J1548" s="3">
        <v>237</v>
      </c>
      <c r="K1548" s="3">
        <v>1700</v>
      </c>
      <c r="L1548" s="3">
        <v>47</v>
      </c>
      <c r="M1548" s="3">
        <v>521</v>
      </c>
    </row>
    <row r="1549" spans="1:13" x14ac:dyDescent="0.25">
      <c r="A1549" s="1" t="str">
        <f>HYPERLINK("http://www.rosaceae.org/Prunus/Prunus_persica/p.persica_gdr_reftransV1_0007864","p.persica_gdr_reftransV1_0007864")</f>
        <v>p.persica_gdr_reftransV1_0007864</v>
      </c>
      <c r="B1549" s="3">
        <v>2833</v>
      </c>
      <c r="C1549" s="1" t="str">
        <f>HYPERLINK("http://www.uniprot.org/uniprot/OPT3_ARATH","OPT3_ARATH")</f>
        <v>OPT3_ARATH</v>
      </c>
      <c r="D1549" t="s">
        <v>1563</v>
      </c>
      <c r="E1549" s="3" t="s">
        <v>3</v>
      </c>
      <c r="F1549" s="4">
        <v>0</v>
      </c>
      <c r="G1549" s="3">
        <v>3233</v>
      </c>
      <c r="H1549" s="3">
        <v>84</v>
      </c>
      <c r="I1549" s="3">
        <v>736</v>
      </c>
      <c r="J1549" s="3">
        <v>198</v>
      </c>
      <c r="K1549" s="3">
        <v>2393</v>
      </c>
      <c r="L1549" s="3">
        <v>2</v>
      </c>
      <c r="M1549" s="3">
        <v>737</v>
      </c>
    </row>
    <row r="1550" spans="1:13" x14ac:dyDescent="0.25">
      <c r="A1550" s="1" t="str">
        <f>HYPERLINK("http://www.rosaceae.org/Prunus/Prunus_persica/p.persica_gdr_reftransV1_0007964","p.persica_gdr_reftransV1_0007964")</f>
        <v>p.persica_gdr_reftransV1_0007964</v>
      </c>
      <c r="B1550" s="3">
        <v>2712</v>
      </c>
      <c r="C1550" s="1" t="str">
        <f>HYPERLINK("http://www.uniprot.org/uniprot/MDHP_ARATH","MDHP_ARATH")</f>
        <v>MDHP_ARATH</v>
      </c>
      <c r="D1550" t="s">
        <v>1564</v>
      </c>
      <c r="E1550" s="3" t="s">
        <v>3</v>
      </c>
      <c r="F1550" s="4">
        <v>0</v>
      </c>
      <c r="G1550" s="3">
        <v>1489</v>
      </c>
      <c r="H1550" s="3">
        <v>75</v>
      </c>
      <c r="I1550" s="3">
        <v>404</v>
      </c>
      <c r="J1550" s="3">
        <v>1322</v>
      </c>
      <c r="K1550" s="3">
        <v>2533</v>
      </c>
      <c r="L1550" s="3">
        <v>1</v>
      </c>
      <c r="M1550" s="3">
        <v>391</v>
      </c>
    </row>
    <row r="1551" spans="1:13" x14ac:dyDescent="0.25">
      <c r="A1551" s="1" t="str">
        <f>HYPERLINK("http://www.rosaceae.org/Prunus/Prunus_persica/p.persica_gdr_reftransV1_0008014","p.persica_gdr_reftransV1_0008014")</f>
        <v>p.persica_gdr_reftransV1_0008014</v>
      </c>
      <c r="B1551" s="3">
        <v>377</v>
      </c>
      <c r="C1551" s="1" t="str">
        <f>HYPERLINK("http://www.uniprot.org/uniprot/PDR1_TOBAC","PDR1_TOBAC")</f>
        <v>PDR1_TOBAC</v>
      </c>
      <c r="D1551" t="s">
        <v>498</v>
      </c>
      <c r="E1551" s="3" t="s">
        <v>200</v>
      </c>
      <c r="F1551" s="4">
        <v>8.1200000000000002E-23</v>
      </c>
      <c r="G1551" s="3">
        <v>244</v>
      </c>
      <c r="H1551" s="3">
        <v>59</v>
      </c>
      <c r="I1551" s="3">
        <v>79</v>
      </c>
      <c r="J1551" s="3">
        <v>139</v>
      </c>
      <c r="K1551" s="3">
        <v>375</v>
      </c>
      <c r="L1551" s="3">
        <v>25</v>
      </c>
      <c r="M1551" s="3">
        <v>103</v>
      </c>
    </row>
    <row r="1552" spans="1:13" x14ac:dyDescent="0.25">
      <c r="A1552" s="1" t="str">
        <f>HYPERLINK("http://www.rosaceae.org/Prunus/Prunus_persica/p.persica_gdr_reftransV1_0008064","p.persica_gdr_reftransV1_0008064")</f>
        <v>p.persica_gdr_reftransV1_0008064</v>
      </c>
      <c r="B1552" s="3">
        <v>1757</v>
      </c>
      <c r="C1552" s="1" t="str">
        <f>HYPERLINK("http://www.uniprot.org/uniprot/BRTL1_ARATH","BRTL1_ARATH")</f>
        <v>BRTL1_ARATH</v>
      </c>
      <c r="D1552" t="s">
        <v>1565</v>
      </c>
      <c r="E1552" s="3" t="s">
        <v>3</v>
      </c>
      <c r="F1552" s="4">
        <v>2.2599999999999999E-167</v>
      </c>
      <c r="G1552" s="3">
        <v>1254</v>
      </c>
      <c r="H1552" s="3">
        <v>72</v>
      </c>
      <c r="I1552" s="3">
        <v>331</v>
      </c>
      <c r="J1552" s="3">
        <v>442</v>
      </c>
      <c r="K1552" s="3">
        <v>1434</v>
      </c>
      <c r="L1552" s="3">
        <v>10</v>
      </c>
      <c r="M1552" s="3">
        <v>340</v>
      </c>
    </row>
    <row r="1553" spans="1:13" x14ac:dyDescent="0.25">
      <c r="A1553" s="1" t="str">
        <f>HYPERLINK("http://www.rosaceae.org/Prunus/Prunus_persica/p.persica_gdr_reftransV1_0008114","p.persica_gdr_reftransV1_0008114")</f>
        <v>p.persica_gdr_reftransV1_0008114</v>
      </c>
      <c r="B1553" s="3">
        <v>4233</v>
      </c>
      <c r="C1553" s="1" t="str">
        <f>HYPERLINK("http://www.uniprot.org/uniprot/RAD4_ARATH","RAD4_ARATH")</f>
        <v>RAD4_ARATH</v>
      </c>
      <c r="D1553" t="s">
        <v>1566</v>
      </c>
      <c r="E1553" s="3" t="s">
        <v>3</v>
      </c>
      <c r="F1553" s="4">
        <v>1.6599999999999999E-125</v>
      </c>
      <c r="G1553" s="3">
        <v>1074</v>
      </c>
      <c r="H1553" s="3">
        <v>57</v>
      </c>
      <c r="I1553" s="3">
        <v>410</v>
      </c>
      <c r="J1553" s="3">
        <v>2599</v>
      </c>
      <c r="K1553" s="3">
        <v>3825</v>
      </c>
      <c r="L1553" s="3">
        <v>464</v>
      </c>
      <c r="M1553" s="3">
        <v>865</v>
      </c>
    </row>
    <row r="1554" spans="1:13" x14ac:dyDescent="0.25">
      <c r="A1554" s="1" t="str">
        <f>HYPERLINK("http://www.rosaceae.org/Prunus/Prunus_persica/p.persica_gdr_reftransV1_0008164","p.persica_gdr_reftransV1_0008164")</f>
        <v>p.persica_gdr_reftransV1_0008164</v>
      </c>
      <c r="B1554" s="3">
        <v>520</v>
      </c>
      <c r="C1554" s="1" t="str">
        <f>HYPERLINK("http://www.uniprot.org/uniprot/RHD3_ORYSJ","RHD3_ORYSJ")</f>
        <v>RHD3_ORYSJ</v>
      </c>
      <c r="D1554" t="s">
        <v>1567</v>
      </c>
      <c r="E1554" s="3" t="s">
        <v>38</v>
      </c>
      <c r="F1554" s="4">
        <v>6.2600000000000004E-95</v>
      </c>
      <c r="G1554" s="3">
        <v>764</v>
      </c>
      <c r="H1554" s="3">
        <v>82</v>
      </c>
      <c r="I1554" s="3">
        <v>173</v>
      </c>
      <c r="J1554" s="3">
        <v>1</v>
      </c>
      <c r="K1554" s="3">
        <v>516</v>
      </c>
      <c r="L1554" s="3">
        <v>51</v>
      </c>
      <c r="M1554" s="3">
        <v>223</v>
      </c>
    </row>
    <row r="1555" spans="1:13" x14ac:dyDescent="0.25">
      <c r="A1555" s="1" t="str">
        <f>HYPERLINK("http://www.rosaceae.org/Prunus/Prunus_persica/p.persica_gdr_reftransV1_0008214","p.persica_gdr_reftransV1_0008214")</f>
        <v>p.persica_gdr_reftransV1_0008214</v>
      </c>
      <c r="B1555" s="3">
        <v>800</v>
      </c>
      <c r="C1555" s="1" t="str">
        <f>HYPERLINK("http://www.uniprot.org/uniprot/NU98B_ARATH","NU98B_ARATH")</f>
        <v>NU98B_ARATH</v>
      </c>
      <c r="D1555" t="s">
        <v>1568</v>
      </c>
      <c r="E1555" s="3" t="s">
        <v>3</v>
      </c>
      <c r="F1555" s="4">
        <v>1.85E-19</v>
      </c>
      <c r="G1555" s="3">
        <v>228</v>
      </c>
      <c r="H1555" s="3">
        <v>41</v>
      </c>
      <c r="I1555" s="3">
        <v>239</v>
      </c>
      <c r="J1555" s="3">
        <v>15</v>
      </c>
      <c r="K1555" s="3">
        <v>650</v>
      </c>
      <c r="L1555" s="3">
        <v>1</v>
      </c>
      <c r="M1555" s="3">
        <v>205</v>
      </c>
    </row>
    <row r="1556" spans="1:13" x14ac:dyDescent="0.25">
      <c r="A1556" s="1" t="str">
        <f>HYPERLINK("http://www.rosaceae.org/Prunus/Prunus_persica/p.persica_gdr_reftransV1_0008314","p.persica_gdr_reftransV1_0008314")</f>
        <v>p.persica_gdr_reftransV1_0008314</v>
      </c>
      <c r="B1556" s="3">
        <v>2359</v>
      </c>
      <c r="C1556" s="1" t="str">
        <f>HYPERLINK("http://www.uniprot.org/uniprot/SFR2_ORYSJ","SFR2_ORYSJ")</f>
        <v>SFR2_ORYSJ</v>
      </c>
      <c r="D1556" t="s">
        <v>1569</v>
      </c>
      <c r="E1556" s="3" t="s">
        <v>38</v>
      </c>
      <c r="F1556" s="4">
        <v>0</v>
      </c>
      <c r="G1556" s="3">
        <v>2232</v>
      </c>
      <c r="H1556" s="3">
        <v>70</v>
      </c>
      <c r="I1556" s="3">
        <v>604</v>
      </c>
      <c r="J1556" s="3">
        <v>153</v>
      </c>
      <c r="K1556" s="3">
        <v>1934</v>
      </c>
      <c r="L1556" s="3">
        <v>42</v>
      </c>
      <c r="M1556" s="3">
        <v>635</v>
      </c>
    </row>
    <row r="1557" spans="1:13" x14ac:dyDescent="0.25">
      <c r="A1557" s="1" t="str">
        <f>HYPERLINK("http://www.rosaceae.org/Prunus/Prunus_persica/p.persica_gdr_reftransV1_0008364","p.persica_gdr_reftransV1_0008364")</f>
        <v>p.persica_gdr_reftransV1_0008364</v>
      </c>
      <c r="B1557" s="3">
        <v>566</v>
      </c>
      <c r="C1557" s="1" t="str">
        <f>HYPERLINK("http://www.uniprot.org/uniprot/HFA6B_ARATH","HFA6B_ARATH")</f>
        <v>HFA6B_ARATH</v>
      </c>
      <c r="D1557" t="s">
        <v>1416</v>
      </c>
      <c r="E1557" s="3" t="s">
        <v>3</v>
      </c>
      <c r="F1557" s="4">
        <v>9.1199999999999994E-65</v>
      </c>
      <c r="G1557" s="3">
        <v>536</v>
      </c>
      <c r="H1557" s="3">
        <v>66</v>
      </c>
      <c r="I1557" s="3">
        <v>160</v>
      </c>
      <c r="J1557" s="3">
        <v>110</v>
      </c>
      <c r="K1557" s="3">
        <v>565</v>
      </c>
      <c r="L1557" s="3">
        <v>120</v>
      </c>
      <c r="M1557" s="3">
        <v>279</v>
      </c>
    </row>
    <row r="1558" spans="1:13" x14ac:dyDescent="0.25">
      <c r="A1558" s="1" t="str">
        <f>HYPERLINK("http://www.rosaceae.org/Prunus/Prunus_persica/p.persica_gdr_reftransV1_0008414","p.persica_gdr_reftransV1_0008414")</f>
        <v>p.persica_gdr_reftransV1_0008414</v>
      </c>
      <c r="B1558" s="3">
        <v>1467</v>
      </c>
      <c r="C1558" s="1" t="str">
        <f>HYPERLINK("http://www.uniprot.org/uniprot/TSJT1_TOBAC","TSJT1_TOBAC")</f>
        <v>TSJT1_TOBAC</v>
      </c>
      <c r="D1558" t="s">
        <v>1570</v>
      </c>
      <c r="E1558" s="3" t="s">
        <v>200</v>
      </c>
      <c r="F1558" s="4">
        <v>1.2399999999999999E-35</v>
      </c>
      <c r="G1558" s="3">
        <v>337</v>
      </c>
      <c r="H1558" s="3">
        <v>46</v>
      </c>
      <c r="I1558" s="3">
        <v>149</v>
      </c>
      <c r="J1558" s="3">
        <v>122</v>
      </c>
      <c r="K1558" s="3">
        <v>562</v>
      </c>
      <c r="L1558" s="3">
        <v>1</v>
      </c>
      <c r="M1558" s="3">
        <v>148</v>
      </c>
    </row>
    <row r="1559" spans="1:13" x14ac:dyDescent="0.25">
      <c r="A1559" s="1" t="str">
        <f>HYPERLINK("http://www.rosaceae.org/Prunus/Prunus_persica/p.persica_gdr_reftransV1_0008464","p.persica_gdr_reftransV1_0008464")</f>
        <v>p.persica_gdr_reftransV1_0008464</v>
      </c>
      <c r="B1559" s="3">
        <v>581</v>
      </c>
      <c r="C1559" s="1" t="str">
        <f>HYPERLINK("http://www.uniprot.org/uniprot/PP301_ARATH","PP301_ARATH")</f>
        <v>PP301_ARATH</v>
      </c>
      <c r="D1559" t="s">
        <v>1571</v>
      </c>
      <c r="E1559" s="3" t="s">
        <v>3</v>
      </c>
      <c r="F1559" s="4">
        <v>3.0300000000000001E-46</v>
      </c>
      <c r="G1559" s="3">
        <v>421</v>
      </c>
      <c r="H1559" s="3">
        <v>46</v>
      </c>
      <c r="I1559" s="3">
        <v>148</v>
      </c>
      <c r="J1559" s="3">
        <v>21</v>
      </c>
      <c r="K1559" s="3">
        <v>464</v>
      </c>
      <c r="L1559" s="3">
        <v>508</v>
      </c>
      <c r="M1559" s="3">
        <v>655</v>
      </c>
    </row>
    <row r="1560" spans="1:13" x14ac:dyDescent="0.25">
      <c r="A1560" s="1" t="str">
        <f>HYPERLINK("http://www.rosaceae.org/Prunus/Prunus_persica/p.persica_gdr_reftransV1_0008514","p.persica_gdr_reftransV1_0008514")</f>
        <v>p.persica_gdr_reftransV1_0008514</v>
      </c>
      <c r="B1560" s="3">
        <v>906</v>
      </c>
      <c r="C1560" s="1" t="str">
        <f>HYPERLINK("http://www.uniprot.org/uniprot/CNGC1_ARATH","CNGC1_ARATH")</f>
        <v>CNGC1_ARATH</v>
      </c>
      <c r="D1560" t="s">
        <v>241</v>
      </c>
      <c r="E1560" s="3" t="s">
        <v>3</v>
      </c>
      <c r="F1560" s="4">
        <v>1.08E-26</v>
      </c>
      <c r="G1560" s="3">
        <v>285</v>
      </c>
      <c r="H1560" s="3">
        <v>35</v>
      </c>
      <c r="I1560" s="3">
        <v>192</v>
      </c>
      <c r="J1560" s="3">
        <v>333</v>
      </c>
      <c r="K1560" s="3">
        <v>902</v>
      </c>
      <c r="L1560" s="3">
        <v>423</v>
      </c>
      <c r="M1560" s="3">
        <v>605</v>
      </c>
    </row>
    <row r="1561" spans="1:13" x14ac:dyDescent="0.25">
      <c r="A1561" s="1" t="str">
        <f>HYPERLINK("http://www.rosaceae.org/Prunus/Prunus_persica/p.persica_gdr_reftransV1_0008664","p.persica_gdr_reftransV1_0008664")</f>
        <v>p.persica_gdr_reftransV1_0008664</v>
      </c>
      <c r="B1561" s="3">
        <v>2006</v>
      </c>
      <c r="C1561" s="1" t="str">
        <f>HYPERLINK("http://www.uniprot.org/uniprot/PCS1L_ARATH","PCS1L_ARATH")</f>
        <v>PCS1L_ARATH</v>
      </c>
      <c r="D1561" t="s">
        <v>1572</v>
      </c>
      <c r="E1561" s="3" t="s">
        <v>3</v>
      </c>
      <c r="F1561" s="4">
        <v>0</v>
      </c>
      <c r="G1561" s="3">
        <v>1430</v>
      </c>
      <c r="H1561" s="3">
        <v>68</v>
      </c>
      <c r="I1561" s="3">
        <v>411</v>
      </c>
      <c r="J1561" s="3">
        <v>408</v>
      </c>
      <c r="K1561" s="3">
        <v>1619</v>
      </c>
      <c r="L1561" s="3">
        <v>44</v>
      </c>
      <c r="M1561" s="3">
        <v>452</v>
      </c>
    </row>
    <row r="1562" spans="1:13" x14ac:dyDescent="0.25">
      <c r="A1562" s="1" t="str">
        <f>HYPERLINK("http://www.rosaceae.org/Prunus/Prunus_persica/p.persica_gdr_reftransV1_0008814","p.persica_gdr_reftransV1_0008814")</f>
        <v>p.persica_gdr_reftransV1_0008814</v>
      </c>
      <c r="B1562" s="3">
        <v>3553</v>
      </c>
      <c r="C1562" s="1" t="str">
        <f>HYPERLINK("http://www.uniprot.org/uniprot/CDPKA_ARATH","CDPKA_ARATH")</f>
        <v>CDPKA_ARATH</v>
      </c>
      <c r="D1562" t="s">
        <v>1573</v>
      </c>
      <c r="E1562" s="3" t="s">
        <v>3</v>
      </c>
      <c r="F1562" s="4">
        <v>0</v>
      </c>
      <c r="G1562" s="3">
        <v>2306</v>
      </c>
      <c r="H1562" s="3">
        <v>82</v>
      </c>
      <c r="I1562" s="3">
        <v>548</v>
      </c>
      <c r="J1562" s="3">
        <v>447</v>
      </c>
      <c r="K1562" s="3">
        <v>2090</v>
      </c>
      <c r="L1562" s="3">
        <v>1</v>
      </c>
      <c r="M1562" s="3">
        <v>545</v>
      </c>
    </row>
    <row r="1563" spans="1:13" x14ac:dyDescent="0.25">
      <c r="A1563" s="1" t="str">
        <f>HYPERLINK("http://www.rosaceae.org/Prunus/Prunus_persica/p.persica_gdr_reftransV1_0008864","p.persica_gdr_reftransV1_0008864")</f>
        <v>p.persica_gdr_reftransV1_0008864</v>
      </c>
      <c r="B1563" s="3">
        <v>986</v>
      </c>
      <c r="C1563" s="1" t="str">
        <f>HYPERLINK("http://www.uniprot.org/uniprot/CNGC1_ARATH","CNGC1_ARATH")</f>
        <v>CNGC1_ARATH</v>
      </c>
      <c r="D1563" t="s">
        <v>241</v>
      </c>
      <c r="E1563" s="3" t="s">
        <v>3</v>
      </c>
      <c r="F1563" s="4">
        <v>1.8799999999999999E-28</v>
      </c>
      <c r="G1563" s="3">
        <v>300</v>
      </c>
      <c r="H1563" s="3">
        <v>36</v>
      </c>
      <c r="I1563" s="3">
        <v>244</v>
      </c>
      <c r="J1563" s="3">
        <v>251</v>
      </c>
      <c r="K1563" s="3">
        <v>982</v>
      </c>
      <c r="L1563" s="3">
        <v>372</v>
      </c>
      <c r="M1563" s="3">
        <v>599</v>
      </c>
    </row>
    <row r="1564" spans="1:13" x14ac:dyDescent="0.25">
      <c r="A1564" s="1" t="str">
        <f>HYPERLINK("http://www.rosaceae.org/Prunus/Prunus_persica/p.persica_gdr_reftransV1_0009014","p.persica_gdr_reftransV1_0009014")</f>
        <v>p.persica_gdr_reftransV1_0009014</v>
      </c>
      <c r="B1564" s="3">
        <v>1120</v>
      </c>
      <c r="C1564" s="1" t="str">
        <f>HYPERLINK("http://www.uniprot.org/uniprot/PP185_ARATH","PP185_ARATH")</f>
        <v>PP185_ARATH</v>
      </c>
      <c r="D1564" t="s">
        <v>1574</v>
      </c>
      <c r="E1564" s="3" t="s">
        <v>3</v>
      </c>
      <c r="F1564" s="4">
        <v>2.0099999999999999E-149</v>
      </c>
      <c r="G1564" s="3">
        <v>1139</v>
      </c>
      <c r="H1564" s="3">
        <v>63</v>
      </c>
      <c r="I1564" s="3">
        <v>322</v>
      </c>
      <c r="J1564" s="3">
        <v>78</v>
      </c>
      <c r="K1564" s="3">
        <v>1043</v>
      </c>
      <c r="L1564" s="3">
        <v>46</v>
      </c>
      <c r="M1564" s="3">
        <v>367</v>
      </c>
    </row>
    <row r="1565" spans="1:13" x14ac:dyDescent="0.25">
      <c r="A1565" s="1" t="str">
        <f>HYPERLINK("http://www.rosaceae.org/Prunus/Prunus_persica/p.persica_gdr_reftransV1_0009114","p.persica_gdr_reftransV1_0009114")</f>
        <v>p.persica_gdr_reftransV1_0009114</v>
      </c>
      <c r="B1565" s="3">
        <v>1146</v>
      </c>
      <c r="C1565" s="1" t="str">
        <f>HYPERLINK("http://www.uniprot.org/uniprot/RFA2A_ARATH","RFA2A_ARATH")</f>
        <v>RFA2A_ARATH</v>
      </c>
      <c r="D1565" t="s">
        <v>1575</v>
      </c>
      <c r="E1565" s="3" t="s">
        <v>3</v>
      </c>
      <c r="F1565" s="4">
        <v>3.7500000000000003E-86</v>
      </c>
      <c r="G1565" s="3">
        <v>688</v>
      </c>
      <c r="H1565" s="3">
        <v>52</v>
      </c>
      <c r="I1565" s="3">
        <v>266</v>
      </c>
      <c r="J1565" s="3">
        <v>120</v>
      </c>
      <c r="K1565" s="3">
        <v>908</v>
      </c>
      <c r="L1565" s="3">
        <v>15</v>
      </c>
      <c r="M1565" s="3">
        <v>275</v>
      </c>
    </row>
    <row r="1566" spans="1:13" x14ac:dyDescent="0.25">
      <c r="A1566" s="1" t="str">
        <f>HYPERLINK("http://www.rosaceae.org/Prunus/Prunus_persica/p.persica_gdr_reftransV1_0009364","p.persica_gdr_reftransV1_0009364")</f>
        <v>p.persica_gdr_reftransV1_0009364</v>
      </c>
      <c r="B1566" s="3">
        <v>1673</v>
      </c>
      <c r="C1566" s="1" t="str">
        <f>HYPERLINK("http://www.uniprot.org/uniprot/NUD12_ARATH","NUD12_ARATH")</f>
        <v>NUD12_ARATH</v>
      </c>
      <c r="D1566" t="s">
        <v>1576</v>
      </c>
      <c r="E1566" s="3" t="s">
        <v>3</v>
      </c>
      <c r="F1566" s="4">
        <v>5.0300000000000001E-70</v>
      </c>
      <c r="G1566" s="3">
        <v>586</v>
      </c>
      <c r="H1566" s="3">
        <v>58</v>
      </c>
      <c r="I1566" s="3">
        <v>210</v>
      </c>
      <c r="J1566" s="3">
        <v>522</v>
      </c>
      <c r="K1566" s="3">
        <v>1142</v>
      </c>
      <c r="L1566" s="3">
        <v>1</v>
      </c>
      <c r="M1566" s="3">
        <v>170</v>
      </c>
    </row>
    <row r="1567" spans="1:13" x14ac:dyDescent="0.25">
      <c r="A1567" s="1" t="str">
        <f>HYPERLINK("http://www.rosaceae.org/Prunus/Prunus_persica/p.persica_gdr_reftransV1_0009414","p.persica_gdr_reftransV1_0009414")</f>
        <v>p.persica_gdr_reftransV1_0009414</v>
      </c>
      <c r="B1567" s="3">
        <v>2292</v>
      </c>
      <c r="C1567" s="1" t="str">
        <f>HYPERLINK("http://www.uniprot.org/uniprot/MSTO1_MOUSE","MSTO1_MOUSE")</f>
        <v>MSTO1_MOUSE</v>
      </c>
      <c r="D1567" t="s">
        <v>1577</v>
      </c>
      <c r="E1567" s="3" t="s">
        <v>157</v>
      </c>
      <c r="F1567" s="4">
        <v>2.1900000000000002E-47</v>
      </c>
      <c r="G1567" s="3">
        <v>458</v>
      </c>
      <c r="H1567" s="3">
        <v>32</v>
      </c>
      <c r="I1567" s="3">
        <v>410</v>
      </c>
      <c r="J1567" s="3">
        <v>53</v>
      </c>
      <c r="K1567" s="3">
        <v>1255</v>
      </c>
      <c r="L1567" s="3">
        <v>6</v>
      </c>
      <c r="M1567" s="3">
        <v>382</v>
      </c>
    </row>
    <row r="1568" spans="1:13" x14ac:dyDescent="0.25">
      <c r="A1568" s="1" t="str">
        <f>HYPERLINK("http://www.rosaceae.org/Prunus/Prunus_persica/p.persica_gdr_reftransV1_0009514","p.persica_gdr_reftransV1_0009514")</f>
        <v>p.persica_gdr_reftransV1_0009514</v>
      </c>
      <c r="B1568" s="3">
        <v>552</v>
      </c>
      <c r="C1568" s="1" t="str">
        <f>HYPERLINK("http://www.uniprot.org/uniprot/PP369_ARATH","PP369_ARATH")</f>
        <v>PP369_ARATH</v>
      </c>
      <c r="D1568" t="s">
        <v>1578</v>
      </c>
      <c r="E1568" s="3" t="s">
        <v>3</v>
      </c>
      <c r="F1568" s="4">
        <v>3.8299999999999998E-30</v>
      </c>
      <c r="G1568" s="3">
        <v>298</v>
      </c>
      <c r="H1568" s="3">
        <v>39</v>
      </c>
      <c r="I1568" s="3">
        <v>147</v>
      </c>
      <c r="J1568" s="3">
        <v>3</v>
      </c>
      <c r="K1568" s="3">
        <v>440</v>
      </c>
      <c r="L1568" s="3">
        <v>17</v>
      </c>
      <c r="M1568" s="3">
        <v>162</v>
      </c>
    </row>
    <row r="1569" spans="1:13" x14ac:dyDescent="0.25">
      <c r="A1569" s="1" t="str">
        <f>HYPERLINK("http://www.rosaceae.org/Prunus/Prunus_persica/p.persica_gdr_reftransV1_0009564","p.persica_gdr_reftransV1_0009564")</f>
        <v>p.persica_gdr_reftransV1_0009564</v>
      </c>
      <c r="B1569" s="3">
        <v>2357</v>
      </c>
      <c r="C1569" s="1" t="str">
        <f>HYPERLINK("http://www.uniprot.org/uniprot/NIFU1_ARATH","NIFU1_ARATH")</f>
        <v>NIFU1_ARATH</v>
      </c>
      <c r="D1569" t="s">
        <v>1579</v>
      </c>
      <c r="E1569" s="3" t="s">
        <v>3</v>
      </c>
      <c r="F1569" s="4">
        <v>2.6500000000000002E-35</v>
      </c>
      <c r="G1569" s="3">
        <v>349</v>
      </c>
      <c r="H1569" s="3">
        <v>61</v>
      </c>
      <c r="I1569" s="3">
        <v>168</v>
      </c>
      <c r="J1569" s="3">
        <v>66</v>
      </c>
      <c r="K1569" s="3">
        <v>554</v>
      </c>
      <c r="L1569" s="3">
        <v>4</v>
      </c>
      <c r="M1569" s="3">
        <v>169</v>
      </c>
    </row>
    <row r="1570" spans="1:13" x14ac:dyDescent="0.25">
      <c r="A1570" s="1" t="str">
        <f>HYPERLINK("http://www.rosaceae.org/Prunus/Prunus_persica/p.persica_gdr_reftransV1_0009664","p.persica_gdr_reftransV1_0009664")</f>
        <v>p.persica_gdr_reftransV1_0009664</v>
      </c>
      <c r="B1570" s="3">
        <v>1069</v>
      </c>
      <c r="C1570" s="1" t="str">
        <f>HYPERLINK("http://www.uniprot.org/uniprot/LHTL8_ARATH","LHTL8_ARATH")</f>
        <v>LHTL8_ARATH</v>
      </c>
      <c r="D1570" t="s">
        <v>1580</v>
      </c>
      <c r="E1570" s="3" t="s">
        <v>3</v>
      </c>
      <c r="F1570" s="4">
        <v>2.3E-56</v>
      </c>
      <c r="G1570" s="3">
        <v>502</v>
      </c>
      <c r="H1570" s="3">
        <v>52</v>
      </c>
      <c r="I1570" s="3">
        <v>225</v>
      </c>
      <c r="J1570" s="3">
        <v>86</v>
      </c>
      <c r="K1570" s="3">
        <v>760</v>
      </c>
      <c r="L1570" s="3">
        <v>301</v>
      </c>
      <c r="M1570" s="3">
        <v>517</v>
      </c>
    </row>
    <row r="1571" spans="1:13" x14ac:dyDescent="0.25">
      <c r="A1571" s="1" t="str">
        <f>HYPERLINK("http://www.rosaceae.org/Prunus/Prunus_persica/p.persica_gdr_reftransV1_0009764","p.persica_gdr_reftransV1_0009764")</f>
        <v>p.persica_gdr_reftransV1_0009764</v>
      </c>
      <c r="B1571" s="3">
        <v>1054</v>
      </c>
      <c r="C1571" s="1" t="str">
        <f>HYPERLINK("http://www.uniprot.org/uniprot/PRU1_PRUAR","PRU1_PRUAR")</f>
        <v>PRU1_PRUAR</v>
      </c>
      <c r="D1571" t="s">
        <v>1198</v>
      </c>
      <c r="E1571" s="3" t="s">
        <v>62</v>
      </c>
      <c r="F1571" s="4">
        <v>7.9999999999999996E-44</v>
      </c>
      <c r="G1571" s="3">
        <v>390</v>
      </c>
      <c r="H1571" s="3">
        <v>39</v>
      </c>
      <c r="I1571" s="3">
        <v>199</v>
      </c>
      <c r="J1571" s="3">
        <v>157</v>
      </c>
      <c r="K1571" s="3">
        <v>753</v>
      </c>
      <c r="L1571" s="3">
        <v>1</v>
      </c>
      <c r="M1571" s="3">
        <v>160</v>
      </c>
    </row>
    <row r="1572" spans="1:13" x14ac:dyDescent="0.25">
      <c r="A1572" s="1" t="str">
        <f>HYPERLINK("http://www.rosaceae.org/Prunus/Prunus_persica/p.persica_gdr_reftransV1_0010164","p.persica_gdr_reftransV1_0010164")</f>
        <v>p.persica_gdr_reftransV1_0010164</v>
      </c>
      <c r="B1572" s="3">
        <v>1302</v>
      </c>
      <c r="C1572" s="1" t="str">
        <f>HYPERLINK("http://www.uniprot.org/uniprot/HidM_GLYEC","HidM_GLYEC")</f>
        <v>HidM_GLYEC</v>
      </c>
      <c r="D1572" t="s">
        <v>1581</v>
      </c>
      <c r="E1572" s="3" t="s">
        <v>1582</v>
      </c>
      <c r="F1572" s="4">
        <v>2.4300000000000001E-70</v>
      </c>
      <c r="G1572" s="3">
        <v>590</v>
      </c>
      <c r="H1572" s="3">
        <v>43</v>
      </c>
      <c r="I1572" s="3">
        <v>316</v>
      </c>
      <c r="J1572" s="3">
        <v>252</v>
      </c>
      <c r="K1572" s="3">
        <v>1127</v>
      </c>
      <c r="L1572" s="3">
        <v>12</v>
      </c>
      <c r="M1572" s="3">
        <v>327</v>
      </c>
    </row>
    <row r="1573" spans="1:13" x14ac:dyDescent="0.25">
      <c r="A1573" s="1" t="str">
        <f>HYPERLINK("http://www.rosaceae.org/Prunus/Prunus_persica/p.persica_gdr_reftransV1_0010214","p.persica_gdr_reftransV1_0010214")</f>
        <v>p.persica_gdr_reftransV1_0010214</v>
      </c>
      <c r="B1573" s="3">
        <v>406</v>
      </c>
      <c r="C1573" s="1" t="str">
        <f>HYPERLINK("http://www.uniprot.org/uniprot/BAHD1_ARATH","BAHD1_ARATH")</f>
        <v>BAHD1_ARATH</v>
      </c>
      <c r="D1573" t="s">
        <v>897</v>
      </c>
      <c r="E1573" s="3" t="s">
        <v>3</v>
      </c>
      <c r="F1573" s="4">
        <v>3.4100000000000001E-14</v>
      </c>
      <c r="G1573" s="3">
        <v>176</v>
      </c>
      <c r="H1573" s="3">
        <v>31</v>
      </c>
      <c r="I1573" s="3">
        <v>144</v>
      </c>
      <c r="J1573" s="3">
        <v>11</v>
      </c>
      <c r="K1573" s="3">
        <v>406</v>
      </c>
      <c r="L1573" s="3">
        <v>267</v>
      </c>
      <c r="M1573" s="3">
        <v>410</v>
      </c>
    </row>
    <row r="1574" spans="1:13" x14ac:dyDescent="0.25">
      <c r="A1574" s="1" t="str">
        <f>HYPERLINK("http://www.rosaceae.org/Prunus/Prunus_persica/p.persica_gdr_reftransV1_0010264","p.persica_gdr_reftransV1_0010264")</f>
        <v>p.persica_gdr_reftransV1_0010264</v>
      </c>
      <c r="B1574" s="3">
        <v>874</v>
      </c>
      <c r="C1574" s="1" t="str">
        <f>HYPERLINK("http://www.uniprot.org/uniprot/RHA2B_ARATH","RHA2B_ARATH")</f>
        <v>RHA2B_ARATH</v>
      </c>
      <c r="D1574" t="s">
        <v>1583</v>
      </c>
      <c r="E1574" s="3" t="s">
        <v>3</v>
      </c>
      <c r="F1574" s="4">
        <v>5.64E-11</v>
      </c>
      <c r="G1574" s="3">
        <v>152</v>
      </c>
      <c r="H1574" s="3">
        <v>44</v>
      </c>
      <c r="I1574" s="3">
        <v>70</v>
      </c>
      <c r="J1574" s="3">
        <v>466</v>
      </c>
      <c r="K1574" s="3">
        <v>675</v>
      </c>
      <c r="L1574" s="3">
        <v>59</v>
      </c>
      <c r="M1574" s="3">
        <v>120</v>
      </c>
    </row>
    <row r="1575" spans="1:13" x14ac:dyDescent="0.25">
      <c r="A1575" s="1" t="str">
        <f>HYPERLINK("http://www.rosaceae.org/Prunus/Prunus_persica/p.persica_gdr_reftransV1_0010314","p.persica_gdr_reftransV1_0010314")</f>
        <v>p.persica_gdr_reftransV1_0010314</v>
      </c>
      <c r="B1575" s="3">
        <v>1852</v>
      </c>
      <c r="C1575" s="1" t="str">
        <f>HYPERLINK("http://www.uniprot.org/uniprot/TCP2_ARATH","TCP2_ARATH")</f>
        <v>TCP2_ARATH</v>
      </c>
      <c r="D1575" t="s">
        <v>1584</v>
      </c>
      <c r="E1575" s="3" t="s">
        <v>3</v>
      </c>
      <c r="F1575" s="4">
        <v>4.2699999999999997E-40</v>
      </c>
      <c r="G1575" s="3">
        <v>389</v>
      </c>
      <c r="H1575" s="3">
        <v>83</v>
      </c>
      <c r="I1575" s="3">
        <v>92</v>
      </c>
      <c r="J1575" s="3">
        <v>1579</v>
      </c>
      <c r="K1575" s="3">
        <v>1845</v>
      </c>
      <c r="L1575" s="3">
        <v>18</v>
      </c>
      <c r="M1575" s="3">
        <v>109</v>
      </c>
    </row>
    <row r="1576" spans="1:13" x14ac:dyDescent="0.25">
      <c r="A1576" s="1" t="str">
        <f>HYPERLINK("http://www.rosaceae.org/Prunus/Prunus_persica/p.persica_gdr_reftransV1_0010364","p.persica_gdr_reftransV1_0010364")</f>
        <v>p.persica_gdr_reftransV1_0010364</v>
      </c>
      <c r="B1576" s="3">
        <v>445</v>
      </c>
      <c r="C1576" s="1" t="str">
        <f>HYPERLINK("http://www.uniprot.org/uniprot/P2C55_ARATH","P2C55_ARATH")</f>
        <v>P2C55_ARATH</v>
      </c>
      <c r="D1576" t="s">
        <v>1366</v>
      </c>
      <c r="E1576" s="3" t="s">
        <v>3</v>
      </c>
      <c r="F1576" s="4">
        <v>5.0499999999999996E-15</v>
      </c>
      <c r="G1576" s="3">
        <v>184</v>
      </c>
      <c r="H1576" s="3">
        <v>40</v>
      </c>
      <c r="I1576" s="3">
        <v>111</v>
      </c>
      <c r="J1576" s="3">
        <v>107</v>
      </c>
      <c r="K1576" s="3">
        <v>439</v>
      </c>
      <c r="L1576" s="3">
        <v>347</v>
      </c>
      <c r="M1576" s="3">
        <v>452</v>
      </c>
    </row>
    <row r="1577" spans="1:13" x14ac:dyDescent="0.25">
      <c r="A1577" s="1" t="str">
        <f>HYPERLINK("http://www.rosaceae.org/Prunus/Prunus_persica/p.persica_gdr_reftransV1_0010464","p.persica_gdr_reftransV1_0010464")</f>
        <v>p.persica_gdr_reftransV1_0010464</v>
      </c>
      <c r="B1577" s="3">
        <v>2881</v>
      </c>
      <c r="C1577" s="1" t="str">
        <f>HYPERLINK("http://www.uniprot.org/uniprot/PP190_ARATH","PP190_ARATH")</f>
        <v>PP190_ARATH</v>
      </c>
      <c r="D1577" t="s">
        <v>1585</v>
      </c>
      <c r="E1577" s="3" t="s">
        <v>3</v>
      </c>
      <c r="F1577" s="4">
        <v>0</v>
      </c>
      <c r="G1577" s="3">
        <v>2544</v>
      </c>
      <c r="H1577" s="3">
        <v>66</v>
      </c>
      <c r="I1577" s="3">
        <v>752</v>
      </c>
      <c r="J1577" s="3">
        <v>612</v>
      </c>
      <c r="K1577" s="3">
        <v>2798</v>
      </c>
      <c r="L1577" s="3">
        <v>1</v>
      </c>
      <c r="M1577" s="3">
        <v>743</v>
      </c>
    </row>
    <row r="1578" spans="1:13" x14ac:dyDescent="0.25">
      <c r="A1578" s="1" t="str">
        <f>HYPERLINK("http://www.rosaceae.org/Prunus/Prunus_persica/p.persica_gdr_reftransV1_0010514","p.persica_gdr_reftransV1_0010514")</f>
        <v>p.persica_gdr_reftransV1_0010514</v>
      </c>
      <c r="B1578" s="3">
        <v>2171</v>
      </c>
      <c r="C1578" s="1" t="str">
        <f>HYPERLINK("http://www.uniprot.org/uniprot/PUX8_ARATH","PUX8_ARATH")</f>
        <v>PUX8_ARATH</v>
      </c>
      <c r="D1578" t="s">
        <v>1586</v>
      </c>
      <c r="E1578" s="3" t="s">
        <v>3</v>
      </c>
      <c r="F1578" s="4">
        <v>7.8999999999999996E-126</v>
      </c>
      <c r="G1578" s="3">
        <v>1009</v>
      </c>
      <c r="H1578" s="3">
        <v>54</v>
      </c>
      <c r="I1578" s="3">
        <v>585</v>
      </c>
      <c r="J1578" s="3">
        <v>243</v>
      </c>
      <c r="K1578" s="3">
        <v>1946</v>
      </c>
      <c r="L1578" s="3">
        <v>29</v>
      </c>
      <c r="M1578" s="3">
        <v>564</v>
      </c>
    </row>
    <row r="1579" spans="1:13" x14ac:dyDescent="0.25">
      <c r="A1579" s="1" t="str">
        <f>HYPERLINK("http://www.rosaceae.org/Prunus/Prunus_persica/p.persica_gdr_reftransV1_0010614","p.persica_gdr_reftransV1_0010614")</f>
        <v>p.persica_gdr_reftransV1_0010614</v>
      </c>
      <c r="B1579" s="3">
        <v>1504</v>
      </c>
      <c r="C1579" s="1" t="str">
        <f>HYPERLINK("http://www.uniprot.org/uniprot/GAT25_ARATH","GAT25_ARATH")</f>
        <v>GAT25_ARATH</v>
      </c>
      <c r="D1579" t="s">
        <v>1587</v>
      </c>
      <c r="E1579" s="3" t="s">
        <v>3</v>
      </c>
      <c r="F1579" s="4">
        <v>5.7500000000000003E-80</v>
      </c>
      <c r="G1579" s="3">
        <v>659</v>
      </c>
      <c r="H1579" s="3">
        <v>59</v>
      </c>
      <c r="I1579" s="3">
        <v>240</v>
      </c>
      <c r="J1579" s="3">
        <v>377</v>
      </c>
      <c r="K1579" s="3">
        <v>1072</v>
      </c>
      <c r="L1579" s="3">
        <v>69</v>
      </c>
      <c r="M1579" s="3">
        <v>308</v>
      </c>
    </row>
    <row r="1580" spans="1:13" x14ac:dyDescent="0.25">
      <c r="A1580" s="1" t="str">
        <f>HYPERLINK("http://www.rosaceae.org/Prunus/Prunus_persica/p.persica_gdr_reftransV1_0010814","p.persica_gdr_reftransV1_0010814")</f>
        <v>p.persica_gdr_reftransV1_0010814</v>
      </c>
      <c r="B1580" s="3">
        <v>636</v>
      </c>
      <c r="C1580" s="1" t="str">
        <f>HYPERLINK("http://www.uniprot.org/uniprot/PP108_ARATH","PP108_ARATH")</f>
        <v>PP108_ARATH</v>
      </c>
      <c r="D1580" t="s">
        <v>1588</v>
      </c>
      <c r="E1580" s="3" t="s">
        <v>3</v>
      </c>
      <c r="F1580" s="4">
        <v>2.1900000000000002E-40</v>
      </c>
      <c r="G1580" s="3">
        <v>380</v>
      </c>
      <c r="H1580" s="3">
        <v>40</v>
      </c>
      <c r="I1580" s="3">
        <v>211</v>
      </c>
      <c r="J1580" s="3">
        <v>2</v>
      </c>
      <c r="K1580" s="3">
        <v>634</v>
      </c>
      <c r="L1580" s="3">
        <v>232</v>
      </c>
      <c r="M1580" s="3">
        <v>439</v>
      </c>
    </row>
    <row r="1581" spans="1:13" x14ac:dyDescent="0.25">
      <c r="A1581" s="1" t="str">
        <f>HYPERLINK("http://www.rosaceae.org/Prunus/Prunus_persica/p.persica_gdr_reftransV1_0010864","p.persica_gdr_reftransV1_0010864")</f>
        <v>p.persica_gdr_reftransV1_0010864</v>
      </c>
      <c r="B1581" s="3">
        <v>927</v>
      </c>
      <c r="C1581" s="1" t="str">
        <f>HYPERLINK("http://www.uniprot.org/uniprot/PP342_ARATH","PP342_ARATH")</f>
        <v>PP342_ARATH</v>
      </c>
      <c r="D1581" t="s">
        <v>1589</v>
      </c>
      <c r="E1581" s="3" t="s">
        <v>3</v>
      </c>
      <c r="F1581" s="4">
        <v>3.5599999999999998E-132</v>
      </c>
      <c r="G1581" s="3">
        <v>1038</v>
      </c>
      <c r="H1581" s="3">
        <v>74</v>
      </c>
      <c r="I1581" s="3">
        <v>273</v>
      </c>
      <c r="J1581" s="3">
        <v>2</v>
      </c>
      <c r="K1581" s="3">
        <v>820</v>
      </c>
      <c r="L1581" s="3">
        <v>632</v>
      </c>
      <c r="M1581" s="3">
        <v>904</v>
      </c>
    </row>
    <row r="1582" spans="1:13" x14ac:dyDescent="0.25">
      <c r="A1582" s="1" t="str">
        <f>HYPERLINK("http://www.rosaceae.org/Prunus/Prunus_persica/p.persica_gdr_reftransV1_0010964","p.persica_gdr_reftransV1_0010964")</f>
        <v>p.persica_gdr_reftransV1_0010964</v>
      </c>
      <c r="B1582" s="3">
        <v>942</v>
      </c>
      <c r="C1582" s="1" t="str">
        <f>HYPERLINK("http://www.uniprot.org/uniprot/ATG8C_ORYSJ","ATG8C_ORYSJ")</f>
        <v>ATG8C_ORYSJ</v>
      </c>
      <c r="D1582" t="s">
        <v>1590</v>
      </c>
      <c r="E1582" s="3" t="s">
        <v>38</v>
      </c>
      <c r="F1582" s="4">
        <v>1.0899999999999999E-36</v>
      </c>
      <c r="G1582" s="3">
        <v>335</v>
      </c>
      <c r="H1582" s="3">
        <v>87</v>
      </c>
      <c r="I1582" s="3">
        <v>71</v>
      </c>
      <c r="J1582" s="3">
        <v>523</v>
      </c>
      <c r="K1582" s="3">
        <v>735</v>
      </c>
      <c r="L1582" s="3">
        <v>49</v>
      </c>
      <c r="M1582" s="3">
        <v>119</v>
      </c>
    </row>
    <row r="1583" spans="1:13" x14ac:dyDescent="0.25">
      <c r="A1583" s="1" t="str">
        <f>HYPERLINK("http://www.rosaceae.org/Prunus/Prunus_persica/p.persica_gdr_reftransV1_0011214","p.persica_gdr_reftransV1_0011214")</f>
        <v>p.persica_gdr_reftransV1_0011214</v>
      </c>
      <c r="B1583" s="3">
        <v>2598</v>
      </c>
      <c r="C1583" s="1" t="str">
        <f>HYPERLINK("http://www.uniprot.org/uniprot/CIPKA_ARATH","CIPKA_ARATH")</f>
        <v>CIPKA_ARATH</v>
      </c>
      <c r="D1583" t="s">
        <v>1591</v>
      </c>
      <c r="E1583" s="3" t="s">
        <v>3</v>
      </c>
      <c r="F1583" s="4">
        <v>0</v>
      </c>
      <c r="G1583" s="3">
        <v>1454</v>
      </c>
      <c r="H1583" s="3">
        <v>70</v>
      </c>
      <c r="I1583" s="3">
        <v>450</v>
      </c>
      <c r="J1583" s="3">
        <v>947</v>
      </c>
      <c r="K1583" s="3">
        <v>2254</v>
      </c>
      <c r="L1583" s="3">
        <v>1</v>
      </c>
      <c r="M1583" s="3">
        <v>449</v>
      </c>
    </row>
    <row r="1584" spans="1:13" x14ac:dyDescent="0.25">
      <c r="A1584" s="1" t="str">
        <f>HYPERLINK("http://www.rosaceae.org/Prunus/Prunus_persica/p.persica_gdr_reftransV1_0011264","p.persica_gdr_reftransV1_0011264")</f>
        <v>p.persica_gdr_reftransV1_0011264</v>
      </c>
      <c r="B1584" s="3">
        <v>1281</v>
      </c>
      <c r="C1584" s="1" t="str">
        <f>HYPERLINK("http://www.uniprot.org/uniprot/PP242_ARATH","PP242_ARATH")</f>
        <v>PP242_ARATH</v>
      </c>
      <c r="D1584" t="s">
        <v>132</v>
      </c>
      <c r="E1584" s="3" t="s">
        <v>3</v>
      </c>
      <c r="F1584" s="4">
        <v>2.5700000000000001E-90</v>
      </c>
      <c r="G1584" s="3">
        <v>751</v>
      </c>
      <c r="H1584" s="3">
        <v>51</v>
      </c>
      <c r="I1584" s="3">
        <v>306</v>
      </c>
      <c r="J1584" s="3">
        <v>366</v>
      </c>
      <c r="K1584" s="3">
        <v>1280</v>
      </c>
      <c r="L1584" s="3">
        <v>368</v>
      </c>
      <c r="M1584" s="3">
        <v>673</v>
      </c>
    </row>
    <row r="1585" spans="1:13" x14ac:dyDescent="0.25">
      <c r="A1585" s="1" t="str">
        <f>HYPERLINK("http://www.rosaceae.org/Prunus/Prunus_persica/p.persica_gdr_reftransV1_0011314","p.persica_gdr_reftransV1_0011314")</f>
        <v>p.persica_gdr_reftransV1_0011314</v>
      </c>
      <c r="B1585" s="3">
        <v>2189</v>
      </c>
      <c r="C1585" s="1" t="str">
        <f>HYPERLINK("http://www.uniprot.org/uniprot/PHSD_ARATH","PHSD_ARATH")</f>
        <v>PHSD_ARATH</v>
      </c>
      <c r="D1585" t="s">
        <v>1592</v>
      </c>
      <c r="E1585" s="3" t="s">
        <v>3</v>
      </c>
      <c r="F1585" s="4">
        <v>0</v>
      </c>
      <c r="G1585" s="3">
        <v>1726</v>
      </c>
      <c r="H1585" s="3">
        <v>75</v>
      </c>
      <c r="I1585" s="3">
        <v>483</v>
      </c>
      <c r="J1585" s="3">
        <v>379</v>
      </c>
      <c r="K1585" s="3">
        <v>1824</v>
      </c>
      <c r="L1585" s="3">
        <v>1</v>
      </c>
      <c r="M1585" s="3">
        <v>478</v>
      </c>
    </row>
    <row r="1586" spans="1:13" x14ac:dyDescent="0.25">
      <c r="A1586" s="1" t="str">
        <f>HYPERLINK("http://www.rosaceae.org/Prunus/Prunus_persica/p.persica_gdr_reftransV1_0011414","p.persica_gdr_reftransV1_0011414")</f>
        <v>p.persica_gdr_reftransV1_0011414</v>
      </c>
      <c r="B1586" s="3">
        <v>1810</v>
      </c>
      <c r="C1586" s="1" t="str">
        <f>HYPERLINK("http://www.uniprot.org/uniprot/UGT1_GARJA","UGT1_GARJA")</f>
        <v>UGT1_GARJA</v>
      </c>
      <c r="D1586" t="s">
        <v>1593</v>
      </c>
      <c r="E1586" s="3" t="s">
        <v>624</v>
      </c>
      <c r="F1586" s="4">
        <v>4.9299999999999997E-139</v>
      </c>
      <c r="G1586" s="3">
        <v>1079</v>
      </c>
      <c r="H1586" s="3">
        <v>48</v>
      </c>
      <c r="I1586" s="3">
        <v>479</v>
      </c>
      <c r="J1586" s="3">
        <v>313</v>
      </c>
      <c r="K1586" s="3">
        <v>1710</v>
      </c>
      <c r="L1586" s="3">
        <v>3</v>
      </c>
      <c r="M1586" s="3">
        <v>466</v>
      </c>
    </row>
    <row r="1587" spans="1:13" x14ac:dyDescent="0.25">
      <c r="A1587" s="1" t="str">
        <f>HYPERLINK("http://www.rosaceae.org/Prunus/Prunus_persica/p.persica_gdr_reftransV1_0011514","p.persica_gdr_reftransV1_0011514")</f>
        <v>p.persica_gdr_reftransV1_0011514</v>
      </c>
      <c r="B1587" s="3">
        <v>984</v>
      </c>
      <c r="C1587" s="1" t="str">
        <f>HYPERLINK("http://www.uniprot.org/uniprot/CPR30_ARATH","CPR30_ARATH")</f>
        <v>CPR30_ARATH</v>
      </c>
      <c r="D1587" t="s">
        <v>1594</v>
      </c>
      <c r="E1587" s="3" t="s">
        <v>3</v>
      </c>
      <c r="F1587" s="4">
        <v>3.3599999999999998E-19</v>
      </c>
      <c r="G1587" s="3">
        <v>224</v>
      </c>
      <c r="H1587" s="3">
        <v>31</v>
      </c>
      <c r="I1587" s="3">
        <v>251</v>
      </c>
      <c r="J1587" s="3">
        <v>2</v>
      </c>
      <c r="K1587" s="3">
        <v>688</v>
      </c>
      <c r="L1587" s="3">
        <v>111</v>
      </c>
      <c r="M1587" s="3">
        <v>357</v>
      </c>
    </row>
    <row r="1588" spans="1:13" x14ac:dyDescent="0.25">
      <c r="A1588" s="1" t="str">
        <f>HYPERLINK("http://www.rosaceae.org/Prunus/Prunus_persica/p.persica_gdr_reftransV1_0011564","p.persica_gdr_reftransV1_0011564")</f>
        <v>p.persica_gdr_reftransV1_0011564</v>
      </c>
      <c r="B1588" s="3">
        <v>3137</v>
      </c>
      <c r="C1588" s="1" t="str">
        <f>HYPERLINK("http://www.uniprot.org/uniprot/UFAA1_MYCTU","UFAA1_MYCTU")</f>
        <v>UFAA1_MYCTU</v>
      </c>
      <c r="D1588" t="s">
        <v>1595</v>
      </c>
      <c r="E1588" s="3" t="s">
        <v>1596</v>
      </c>
      <c r="F1588" s="4">
        <v>8.5999999999999995E-51</v>
      </c>
      <c r="G1588" s="3">
        <v>483</v>
      </c>
      <c r="H1588" s="3">
        <v>40</v>
      </c>
      <c r="I1588" s="3">
        <v>284</v>
      </c>
      <c r="J1588" s="3">
        <v>1919</v>
      </c>
      <c r="K1588" s="3">
        <v>2749</v>
      </c>
      <c r="L1588" s="3">
        <v>144</v>
      </c>
      <c r="M1588" s="3">
        <v>425</v>
      </c>
    </row>
    <row r="1589" spans="1:13" x14ac:dyDescent="0.25">
      <c r="A1589" s="1" t="str">
        <f>HYPERLINK("http://www.rosaceae.org/Prunus/Prunus_persica/p.persica_gdr_reftransV1_0011664","p.persica_gdr_reftransV1_0011664")</f>
        <v>p.persica_gdr_reftransV1_0011664</v>
      </c>
      <c r="B1589" s="3">
        <v>1447</v>
      </c>
      <c r="C1589" s="1" t="str">
        <f>HYPERLINK("http://www.uniprot.org/uniprot/SPEE_BIFLO","SPEE_BIFLO")</f>
        <v>SPEE_BIFLO</v>
      </c>
      <c r="D1589" t="s">
        <v>1597</v>
      </c>
      <c r="E1589" s="3" t="s">
        <v>1598</v>
      </c>
      <c r="F1589" s="4">
        <v>1.18E-7</v>
      </c>
      <c r="G1589" s="3">
        <v>138</v>
      </c>
      <c r="H1589" s="3">
        <v>25</v>
      </c>
      <c r="I1589" s="3">
        <v>232</v>
      </c>
      <c r="J1589" s="3">
        <v>465</v>
      </c>
      <c r="K1589" s="3">
        <v>1148</v>
      </c>
      <c r="L1589" s="3">
        <v>143</v>
      </c>
      <c r="M1589" s="3">
        <v>337</v>
      </c>
    </row>
    <row r="1590" spans="1:13" x14ac:dyDescent="0.25">
      <c r="A1590" s="1" t="str">
        <f>HYPERLINK("http://www.rosaceae.org/Prunus/Prunus_persica/p.persica_gdr_reftransV1_0011814","p.persica_gdr_reftransV1_0011814")</f>
        <v>p.persica_gdr_reftransV1_0011814</v>
      </c>
      <c r="B1590" s="3">
        <v>2832</v>
      </c>
      <c r="C1590" s="1" t="str">
        <f>HYPERLINK("http://www.uniprot.org/uniprot/LRK81_ARATH","LRK81_ARATH")</f>
        <v>LRK81_ARATH</v>
      </c>
      <c r="D1590" t="s">
        <v>1599</v>
      </c>
      <c r="E1590" s="3" t="s">
        <v>3</v>
      </c>
      <c r="F1590" s="4">
        <v>0</v>
      </c>
      <c r="G1590" s="3">
        <v>2346</v>
      </c>
      <c r="H1590" s="3">
        <v>71</v>
      </c>
      <c r="I1590" s="3">
        <v>687</v>
      </c>
      <c r="J1590" s="3">
        <v>582</v>
      </c>
      <c r="K1590" s="3">
        <v>2624</v>
      </c>
      <c r="L1590" s="3">
        <v>5</v>
      </c>
      <c r="M1590" s="3">
        <v>686</v>
      </c>
    </row>
    <row r="1591" spans="1:13" x14ac:dyDescent="0.25">
      <c r="A1591" s="1" t="str">
        <f>HYPERLINK("http://www.rosaceae.org/Prunus/Prunus_persica/p.persica_gdr_reftransV1_0011864","p.persica_gdr_reftransV1_0011864")</f>
        <v>p.persica_gdr_reftransV1_0011864</v>
      </c>
      <c r="B1591" s="3">
        <v>971</v>
      </c>
      <c r="C1591" s="1" t="str">
        <f>HYPERLINK("http://www.uniprot.org/uniprot/POLX_TOBAC","POLX_TOBAC")</f>
        <v>POLX_TOBAC</v>
      </c>
      <c r="D1591" t="s">
        <v>1253</v>
      </c>
      <c r="E1591" s="3" t="s">
        <v>200</v>
      </c>
      <c r="F1591" s="4">
        <v>1.2399999999999999E-46</v>
      </c>
      <c r="G1591" s="3">
        <v>442</v>
      </c>
      <c r="H1591" s="3">
        <v>42</v>
      </c>
      <c r="I1591" s="3">
        <v>215</v>
      </c>
      <c r="J1591" s="3">
        <v>336</v>
      </c>
      <c r="K1591" s="3">
        <v>965</v>
      </c>
      <c r="L1591" s="3">
        <v>811</v>
      </c>
      <c r="M1591" s="3">
        <v>1025</v>
      </c>
    </row>
    <row r="1592" spans="1:13" x14ac:dyDescent="0.25">
      <c r="A1592" s="1" t="str">
        <f>HYPERLINK("http://www.rosaceae.org/Prunus/Prunus_persica/p.persica_gdr_reftransV1_0012064","p.persica_gdr_reftransV1_0012064")</f>
        <v>p.persica_gdr_reftransV1_0012064</v>
      </c>
      <c r="B1592" s="3">
        <v>1667</v>
      </c>
      <c r="C1592" s="1" t="str">
        <f>HYPERLINK("http://www.uniprot.org/uniprot/GGR_ARATH","GGR_ARATH")</f>
        <v>GGR_ARATH</v>
      </c>
      <c r="D1592" t="s">
        <v>1600</v>
      </c>
      <c r="E1592" s="3" t="s">
        <v>3</v>
      </c>
      <c r="F1592" s="4">
        <v>8.0499999999999995E-19</v>
      </c>
      <c r="G1592" s="3">
        <v>225</v>
      </c>
      <c r="H1592" s="3">
        <v>36</v>
      </c>
      <c r="I1592" s="3">
        <v>220</v>
      </c>
      <c r="J1592" s="3">
        <v>540</v>
      </c>
      <c r="K1592" s="3">
        <v>1187</v>
      </c>
      <c r="L1592" s="3">
        <v>50</v>
      </c>
      <c r="M1592" s="3">
        <v>265</v>
      </c>
    </row>
    <row r="1593" spans="1:13" x14ac:dyDescent="0.25">
      <c r="A1593" s="1" t="str">
        <f>HYPERLINK("http://www.rosaceae.org/Prunus/Prunus_persica/p.persica_gdr_reftransV1_0012114","p.persica_gdr_reftransV1_0012114")</f>
        <v>p.persica_gdr_reftransV1_0012114</v>
      </c>
      <c r="B1593" s="3">
        <v>1955</v>
      </c>
      <c r="C1593" s="1" t="str">
        <f>HYPERLINK("http://www.uniprot.org/uniprot/SPNS2_ARATH","SPNS2_ARATH")</f>
        <v>SPNS2_ARATH</v>
      </c>
      <c r="D1593" t="s">
        <v>1601</v>
      </c>
      <c r="E1593" s="3" t="s">
        <v>3</v>
      </c>
      <c r="F1593" s="4">
        <v>0</v>
      </c>
      <c r="G1593" s="3">
        <v>1582</v>
      </c>
      <c r="H1593" s="3">
        <v>67</v>
      </c>
      <c r="I1593" s="3">
        <v>491</v>
      </c>
      <c r="J1593" s="3">
        <v>337</v>
      </c>
      <c r="K1593" s="3">
        <v>1809</v>
      </c>
      <c r="L1593" s="3">
        <v>30</v>
      </c>
      <c r="M1593" s="3">
        <v>482</v>
      </c>
    </row>
    <row r="1594" spans="1:13" x14ac:dyDescent="0.25">
      <c r="A1594" s="1" t="str">
        <f>HYPERLINK("http://www.rosaceae.org/Prunus/Prunus_persica/p.persica_gdr_reftransV1_0012164","p.persica_gdr_reftransV1_0012164")</f>
        <v>p.persica_gdr_reftransV1_0012164</v>
      </c>
      <c r="B1594" s="3">
        <v>2715</v>
      </c>
      <c r="C1594" s="1" t="str">
        <f>HYPERLINK("http://www.uniprot.org/uniprot/PP131_ARATH","PP131_ARATH")</f>
        <v>PP131_ARATH</v>
      </c>
      <c r="D1594" t="s">
        <v>1602</v>
      </c>
      <c r="E1594" s="3" t="s">
        <v>3</v>
      </c>
      <c r="F1594" s="4">
        <v>0</v>
      </c>
      <c r="G1594" s="3">
        <v>1982</v>
      </c>
      <c r="H1594" s="3">
        <v>66</v>
      </c>
      <c r="I1594" s="3">
        <v>578</v>
      </c>
      <c r="J1594" s="3">
        <v>518</v>
      </c>
      <c r="K1594" s="3">
        <v>2206</v>
      </c>
      <c r="L1594" s="3">
        <v>1</v>
      </c>
      <c r="M1594" s="3">
        <v>576</v>
      </c>
    </row>
    <row r="1595" spans="1:13" x14ac:dyDescent="0.25">
      <c r="A1595" s="1" t="str">
        <f>HYPERLINK("http://www.rosaceae.org/Prunus/Prunus_persica/p.persica_gdr_reftransV1_0012464","p.persica_gdr_reftransV1_0012464")</f>
        <v>p.persica_gdr_reftransV1_0012464</v>
      </c>
      <c r="B1595" s="3">
        <v>1192</v>
      </c>
      <c r="C1595" s="1" t="str">
        <f>HYPERLINK("http://www.uniprot.org/uniprot/UCHL3_BOVIN","UCHL3_BOVIN")</f>
        <v>UCHL3_BOVIN</v>
      </c>
      <c r="D1595" t="s">
        <v>1603</v>
      </c>
      <c r="E1595" s="3" t="s">
        <v>184</v>
      </c>
      <c r="F1595" s="4">
        <v>2.3199999999999998E-64</v>
      </c>
      <c r="G1595" s="3">
        <v>538</v>
      </c>
      <c r="H1595" s="3">
        <v>48</v>
      </c>
      <c r="I1595" s="3">
        <v>227</v>
      </c>
      <c r="J1595" s="3">
        <v>51</v>
      </c>
      <c r="K1595" s="3">
        <v>710</v>
      </c>
      <c r="L1595" s="3">
        <v>3</v>
      </c>
      <c r="M1595" s="3">
        <v>228</v>
      </c>
    </row>
    <row r="1596" spans="1:13" x14ac:dyDescent="0.25">
      <c r="A1596" s="1" t="str">
        <f>HYPERLINK("http://www.rosaceae.org/Prunus/Prunus_persica/p.persica_gdr_reftransV1_0012514","p.persica_gdr_reftransV1_0012514")</f>
        <v>p.persica_gdr_reftransV1_0012514</v>
      </c>
      <c r="B1596" s="3">
        <v>2039</v>
      </c>
      <c r="C1596" s="1" t="str">
        <f>HYPERLINK("http://www.uniprot.org/uniprot/B561C_ARATH","B561C_ARATH")</f>
        <v>B561C_ARATH</v>
      </c>
      <c r="D1596" t="s">
        <v>1604</v>
      </c>
      <c r="E1596" s="3" t="s">
        <v>3</v>
      </c>
      <c r="F1596" s="4">
        <v>1.2599999999999999E-72</v>
      </c>
      <c r="G1596" s="3">
        <v>628</v>
      </c>
      <c r="H1596" s="3">
        <v>73</v>
      </c>
      <c r="I1596" s="3">
        <v>173</v>
      </c>
      <c r="J1596" s="3">
        <v>448</v>
      </c>
      <c r="K1596" s="3">
        <v>966</v>
      </c>
      <c r="L1596" s="3">
        <v>218</v>
      </c>
      <c r="M1596" s="3">
        <v>390</v>
      </c>
    </row>
    <row r="1597" spans="1:13" x14ac:dyDescent="0.25">
      <c r="A1597" s="1" t="str">
        <f>HYPERLINK("http://www.rosaceae.org/Prunus/Prunus_persica/p.persica_gdr_reftransV1_0013014","p.persica_gdr_reftransV1_0013014")</f>
        <v>p.persica_gdr_reftransV1_0013014</v>
      </c>
      <c r="B1597" s="3">
        <v>2675</v>
      </c>
      <c r="C1597" s="1" t="str">
        <f>HYPERLINK("http://www.uniprot.org/uniprot/NCRK_ARATH","NCRK_ARATH")</f>
        <v>NCRK_ARATH</v>
      </c>
      <c r="D1597" t="s">
        <v>1605</v>
      </c>
      <c r="E1597" s="3" t="s">
        <v>3</v>
      </c>
      <c r="F1597" s="4">
        <v>0</v>
      </c>
      <c r="G1597" s="3">
        <v>1434</v>
      </c>
      <c r="H1597" s="3">
        <v>56</v>
      </c>
      <c r="I1597" s="3">
        <v>576</v>
      </c>
      <c r="J1597" s="3">
        <v>573</v>
      </c>
      <c r="K1597" s="3">
        <v>2249</v>
      </c>
      <c r="L1597" s="3">
        <v>33</v>
      </c>
      <c r="M1597" s="3">
        <v>557</v>
      </c>
    </row>
    <row r="1598" spans="1:13" x14ac:dyDescent="0.25">
      <c r="A1598" s="1" t="str">
        <f>HYPERLINK("http://www.rosaceae.org/Prunus/Prunus_persica/p.persica_gdr_reftransV1_0013064","p.persica_gdr_reftransV1_0013064")</f>
        <v>p.persica_gdr_reftransV1_0013064</v>
      </c>
      <c r="B1598" s="3">
        <v>2394</v>
      </c>
      <c r="C1598" s="1" t="str">
        <f>HYPERLINK("http://www.uniprot.org/uniprot/RH40_ARATH","RH40_ARATH")</f>
        <v>RH40_ARATH</v>
      </c>
      <c r="D1598" t="s">
        <v>1606</v>
      </c>
      <c r="E1598" s="3" t="s">
        <v>3</v>
      </c>
      <c r="F1598" s="4">
        <v>4.0700000000000002E-9</v>
      </c>
      <c r="G1598" s="3">
        <v>155</v>
      </c>
      <c r="H1598" s="3">
        <v>43</v>
      </c>
      <c r="I1598" s="3">
        <v>74</v>
      </c>
      <c r="J1598" s="3">
        <v>1920</v>
      </c>
      <c r="K1598" s="3">
        <v>2132</v>
      </c>
      <c r="L1598" s="3">
        <v>8</v>
      </c>
      <c r="M1598" s="3">
        <v>77</v>
      </c>
    </row>
    <row r="1599" spans="1:13" x14ac:dyDescent="0.25">
      <c r="A1599" s="1" t="str">
        <f>HYPERLINK("http://www.rosaceae.org/Prunus/Prunus_persica/p.persica_gdr_reftransV1_0013164","p.persica_gdr_reftransV1_0013164")</f>
        <v>p.persica_gdr_reftransV1_0013164</v>
      </c>
      <c r="B1599" s="3">
        <v>837</v>
      </c>
      <c r="C1599" s="1" t="str">
        <f>HYPERLINK("http://www.uniprot.org/uniprot/CLSY3_ARATH","CLSY3_ARATH")</f>
        <v>CLSY3_ARATH</v>
      </c>
      <c r="D1599" t="s">
        <v>562</v>
      </c>
      <c r="E1599" s="3" t="s">
        <v>3</v>
      </c>
      <c r="F1599" s="4">
        <v>1.69E-34</v>
      </c>
      <c r="G1599" s="3">
        <v>347</v>
      </c>
      <c r="H1599" s="3">
        <v>41</v>
      </c>
      <c r="I1599" s="3">
        <v>192</v>
      </c>
      <c r="J1599" s="3">
        <v>1</v>
      </c>
      <c r="K1599" s="3">
        <v>537</v>
      </c>
      <c r="L1599" s="3">
        <v>1199</v>
      </c>
      <c r="M1599" s="3">
        <v>1389</v>
      </c>
    </row>
    <row r="1600" spans="1:13" x14ac:dyDescent="0.25">
      <c r="A1600" s="1" t="str">
        <f>HYPERLINK("http://www.rosaceae.org/Prunus/Prunus_persica/p.persica_gdr_reftransV1_0013264","p.persica_gdr_reftransV1_0013264")</f>
        <v>p.persica_gdr_reftransV1_0013264</v>
      </c>
      <c r="B1600" s="3">
        <v>2404</v>
      </c>
      <c r="C1600" s="1" t="str">
        <f>HYPERLINK("http://www.uniprot.org/uniprot/CCX2_ARATH","CCX2_ARATH")</f>
        <v>CCX2_ARATH</v>
      </c>
      <c r="D1600" t="s">
        <v>1607</v>
      </c>
      <c r="E1600" s="3" t="s">
        <v>3</v>
      </c>
      <c r="F1600" s="4">
        <v>6.7599999999999998E-119</v>
      </c>
      <c r="G1600" s="3">
        <v>968</v>
      </c>
      <c r="H1600" s="3">
        <v>54</v>
      </c>
      <c r="I1600" s="3">
        <v>552</v>
      </c>
      <c r="J1600" s="3">
        <v>489</v>
      </c>
      <c r="K1600" s="3">
        <v>2129</v>
      </c>
      <c r="L1600" s="3">
        <v>18</v>
      </c>
      <c r="M1600" s="3">
        <v>557</v>
      </c>
    </row>
    <row r="1601" spans="1:13" x14ac:dyDescent="0.25">
      <c r="A1601" s="1" t="str">
        <f>HYPERLINK("http://www.rosaceae.org/Prunus/Prunus_persica/p.persica_gdr_reftransV1_0013364","p.persica_gdr_reftransV1_0013364")</f>
        <v>p.persica_gdr_reftransV1_0013364</v>
      </c>
      <c r="B1601" s="3">
        <v>2721</v>
      </c>
      <c r="C1601" s="1" t="str">
        <f>HYPERLINK("http://www.uniprot.org/uniprot/PUB30_ARATH","PUB30_ARATH")</f>
        <v>PUB30_ARATH</v>
      </c>
      <c r="D1601" t="s">
        <v>1608</v>
      </c>
      <c r="E1601" s="3" t="s">
        <v>3</v>
      </c>
      <c r="F1601" s="4">
        <v>0</v>
      </c>
      <c r="G1601" s="3">
        <v>1607</v>
      </c>
      <c r="H1601" s="3">
        <v>75</v>
      </c>
      <c r="I1601" s="3">
        <v>449</v>
      </c>
      <c r="J1601" s="3">
        <v>618</v>
      </c>
      <c r="K1601" s="3">
        <v>1964</v>
      </c>
      <c r="L1601" s="3">
        <v>1</v>
      </c>
      <c r="M1601" s="3">
        <v>448</v>
      </c>
    </row>
    <row r="1602" spans="1:13" x14ac:dyDescent="0.25">
      <c r="A1602" s="1" t="str">
        <f>HYPERLINK("http://www.rosaceae.org/Prunus/Prunus_persica/p.persica_gdr_reftransV1_0013464","p.persica_gdr_reftransV1_0013464")</f>
        <v>p.persica_gdr_reftransV1_0013464</v>
      </c>
      <c r="B1602" s="3">
        <v>762</v>
      </c>
      <c r="C1602" s="1" t="str">
        <f>HYPERLINK("http://www.uniprot.org/uniprot/CNGC1_ARATH","CNGC1_ARATH")</f>
        <v>CNGC1_ARATH</v>
      </c>
      <c r="D1602" t="s">
        <v>241</v>
      </c>
      <c r="E1602" s="3" t="s">
        <v>3</v>
      </c>
      <c r="F1602" s="4">
        <v>3.4999999999999996E-24</v>
      </c>
      <c r="G1602" s="3">
        <v>263</v>
      </c>
      <c r="H1602" s="3">
        <v>39</v>
      </c>
      <c r="I1602" s="3">
        <v>168</v>
      </c>
      <c r="J1602" s="3">
        <v>264</v>
      </c>
      <c r="K1602" s="3">
        <v>761</v>
      </c>
      <c r="L1602" s="3">
        <v>86</v>
      </c>
      <c r="M1602" s="3">
        <v>237</v>
      </c>
    </row>
    <row r="1603" spans="1:13" x14ac:dyDescent="0.25">
      <c r="A1603" s="1" t="str">
        <f>HYPERLINK("http://www.rosaceae.org/Prunus/Prunus_persica/p.persica_gdr_reftransV1_0013614","p.persica_gdr_reftransV1_0013614")</f>
        <v>p.persica_gdr_reftransV1_0013614</v>
      </c>
      <c r="B1603" s="3">
        <v>2060</v>
      </c>
      <c r="C1603" s="1" t="str">
        <f>HYPERLINK("http://www.uniprot.org/uniprot/MFP1_TOBAC","MFP1_TOBAC")</f>
        <v>MFP1_TOBAC</v>
      </c>
      <c r="D1603" t="s">
        <v>1609</v>
      </c>
      <c r="E1603" s="3" t="s">
        <v>200</v>
      </c>
      <c r="F1603" s="4">
        <v>8.6099999999999998E-119</v>
      </c>
      <c r="G1603" s="3">
        <v>971</v>
      </c>
      <c r="H1603" s="3">
        <v>52</v>
      </c>
      <c r="I1603" s="3">
        <v>558</v>
      </c>
      <c r="J1603" s="3">
        <v>394</v>
      </c>
      <c r="K1603" s="3">
        <v>2058</v>
      </c>
      <c r="L1603" s="3">
        <v>158</v>
      </c>
      <c r="M1603" s="3">
        <v>715</v>
      </c>
    </row>
    <row r="1604" spans="1:13" x14ac:dyDescent="0.25">
      <c r="A1604" s="1" t="str">
        <f>HYPERLINK("http://www.rosaceae.org/Prunus/Prunus_persica/p.persica_gdr_reftransV1_0013764","p.persica_gdr_reftransV1_0013764")</f>
        <v>p.persica_gdr_reftransV1_0013764</v>
      </c>
      <c r="B1604" s="3">
        <v>1631</v>
      </c>
      <c r="C1604" s="1" t="str">
        <f>HYPERLINK("http://www.uniprot.org/uniprot/SPC25_SCHPO","SPC25_SCHPO")</f>
        <v>SPC25_SCHPO</v>
      </c>
      <c r="D1604" t="s">
        <v>1610</v>
      </c>
      <c r="E1604" s="3" t="s">
        <v>464</v>
      </c>
      <c r="F1604" s="4">
        <v>1.14E-12</v>
      </c>
      <c r="G1604" s="3">
        <v>174</v>
      </c>
      <c r="H1604" s="3">
        <v>31</v>
      </c>
      <c r="I1604" s="3">
        <v>128</v>
      </c>
      <c r="J1604" s="3">
        <v>882</v>
      </c>
      <c r="K1604" s="3">
        <v>1247</v>
      </c>
      <c r="L1604" s="3">
        <v>113</v>
      </c>
      <c r="M1604" s="3">
        <v>238</v>
      </c>
    </row>
    <row r="1605" spans="1:13" x14ac:dyDescent="0.25">
      <c r="A1605" s="1" t="str">
        <f>HYPERLINK("http://www.rosaceae.org/Prunus/Prunus_persica/p.persica_gdr_reftransV1_0014114","p.persica_gdr_reftransV1_0014114")</f>
        <v>p.persica_gdr_reftransV1_0014114</v>
      </c>
      <c r="B1605" s="3">
        <v>6466</v>
      </c>
      <c r="C1605" s="1" t="str">
        <f>HYPERLINK("http://www.uniprot.org/uniprot/TRRAP_HUMAN","TRRAP_HUMAN")</f>
        <v>TRRAP_HUMAN</v>
      </c>
      <c r="D1605" t="s">
        <v>1611</v>
      </c>
      <c r="E1605" s="3" t="s">
        <v>28</v>
      </c>
      <c r="F1605" s="4">
        <v>0</v>
      </c>
      <c r="G1605" s="3">
        <v>1650</v>
      </c>
      <c r="H1605" s="3">
        <v>28</v>
      </c>
      <c r="I1605" s="3">
        <v>2222</v>
      </c>
      <c r="J1605" s="3">
        <v>74</v>
      </c>
      <c r="K1605" s="3">
        <v>6355</v>
      </c>
      <c r="L1605" s="3">
        <v>221</v>
      </c>
      <c r="M1605" s="3">
        <v>2303</v>
      </c>
    </row>
    <row r="1606" spans="1:13" x14ac:dyDescent="0.25">
      <c r="A1606" s="1" t="str">
        <f>HYPERLINK("http://www.rosaceae.org/Prunus/Prunus_persica/p.persica_gdr_reftransV1_0014214","p.persica_gdr_reftransV1_0014214")</f>
        <v>p.persica_gdr_reftransV1_0014214</v>
      </c>
      <c r="B1606" s="3">
        <v>2530</v>
      </c>
      <c r="C1606" s="1" t="str">
        <f>HYPERLINK("http://www.uniprot.org/uniprot/PPR57_ARATH","PPR57_ARATH")</f>
        <v>PPR57_ARATH</v>
      </c>
      <c r="D1606" t="s">
        <v>1612</v>
      </c>
      <c r="E1606" s="3" t="s">
        <v>3</v>
      </c>
      <c r="F1606" s="4">
        <v>0</v>
      </c>
      <c r="G1606" s="3">
        <v>2678</v>
      </c>
      <c r="H1606" s="3">
        <v>64</v>
      </c>
      <c r="I1606" s="3">
        <v>757</v>
      </c>
      <c r="J1606" s="3">
        <v>7</v>
      </c>
      <c r="K1606" s="3">
        <v>2271</v>
      </c>
      <c r="L1606" s="3">
        <v>44</v>
      </c>
      <c r="M1606" s="3">
        <v>790</v>
      </c>
    </row>
    <row r="1607" spans="1:13" x14ac:dyDescent="0.25">
      <c r="A1607" s="1" t="str">
        <f>HYPERLINK("http://www.rosaceae.org/Prunus/Prunus_persica/p.persica_gdr_reftransV1_0014364","p.persica_gdr_reftransV1_0014364")</f>
        <v>p.persica_gdr_reftransV1_0014364</v>
      </c>
      <c r="B1607" s="3">
        <v>2220</v>
      </c>
      <c r="C1607" s="1" t="str">
        <f>HYPERLINK("http://www.uniprot.org/uniprot/FBT4_ARATH","FBT4_ARATH")</f>
        <v>FBT4_ARATH</v>
      </c>
      <c r="D1607" t="s">
        <v>1613</v>
      </c>
      <c r="E1607" s="3" t="s">
        <v>3</v>
      </c>
      <c r="F1607" s="4">
        <v>5.8200000000000002E-108</v>
      </c>
      <c r="G1607" s="3">
        <v>883</v>
      </c>
      <c r="H1607" s="3">
        <v>62</v>
      </c>
      <c r="I1607" s="3">
        <v>322</v>
      </c>
      <c r="J1607" s="3">
        <v>66</v>
      </c>
      <c r="K1607" s="3">
        <v>995</v>
      </c>
      <c r="L1607" s="3">
        <v>1</v>
      </c>
      <c r="M1607" s="3">
        <v>303</v>
      </c>
    </row>
    <row r="1608" spans="1:13" x14ac:dyDescent="0.25">
      <c r="A1608" s="1" t="str">
        <f>HYPERLINK("http://www.rosaceae.org/Prunus/Prunus_persica/p.persica_gdr_reftransV1_0014514","p.persica_gdr_reftransV1_0014514")</f>
        <v>p.persica_gdr_reftransV1_0014514</v>
      </c>
      <c r="B1608" s="3">
        <v>836</v>
      </c>
      <c r="C1608" s="1" t="str">
        <f>HYPERLINK("http://www.uniprot.org/uniprot/GRXC2_ARATH","GRXC2_ARATH")</f>
        <v>GRXC2_ARATH</v>
      </c>
      <c r="D1608" t="s">
        <v>1614</v>
      </c>
      <c r="E1608" s="3" t="s">
        <v>3</v>
      </c>
      <c r="F1608" s="4">
        <v>2.8599999999999999E-57</v>
      </c>
      <c r="G1608" s="3">
        <v>470</v>
      </c>
      <c r="H1608" s="3">
        <v>83</v>
      </c>
      <c r="I1608" s="3">
        <v>103</v>
      </c>
      <c r="J1608" s="3">
        <v>325</v>
      </c>
      <c r="K1608" s="3">
        <v>633</v>
      </c>
      <c r="L1608" s="3">
        <v>1</v>
      </c>
      <c r="M1608" s="3">
        <v>103</v>
      </c>
    </row>
    <row r="1609" spans="1:13" x14ac:dyDescent="0.25">
      <c r="A1609" s="1" t="str">
        <f>HYPERLINK("http://www.rosaceae.org/Prunus/Prunus_persica/p.persica_gdr_reftransV1_0014564","p.persica_gdr_reftransV1_0014564")</f>
        <v>p.persica_gdr_reftransV1_0014564</v>
      </c>
      <c r="B1609" s="3">
        <v>3659</v>
      </c>
      <c r="C1609" s="1" t="str">
        <f>HYPERLINK("http://www.uniprot.org/uniprot/T112A_ARATH","T112A_ARATH")</f>
        <v>T112A_ARATH</v>
      </c>
      <c r="D1609" t="s">
        <v>1615</v>
      </c>
      <c r="E1609" s="3" t="s">
        <v>3</v>
      </c>
      <c r="F1609" s="4">
        <v>5.8999999999999999E-42</v>
      </c>
      <c r="G1609" s="3">
        <v>393</v>
      </c>
      <c r="H1609" s="3">
        <v>74</v>
      </c>
      <c r="I1609" s="3">
        <v>124</v>
      </c>
      <c r="J1609" s="3">
        <v>181</v>
      </c>
      <c r="K1609" s="3">
        <v>546</v>
      </c>
      <c r="L1609" s="3">
        <v>1</v>
      </c>
      <c r="M1609" s="3">
        <v>124</v>
      </c>
    </row>
    <row r="1610" spans="1:13" x14ac:dyDescent="0.25">
      <c r="A1610" s="1" t="str">
        <f>HYPERLINK("http://www.rosaceae.org/Prunus/Prunus_persica/p.persica_gdr_reftransV1_0014664","p.persica_gdr_reftransV1_0014664")</f>
        <v>p.persica_gdr_reftransV1_0014664</v>
      </c>
      <c r="B1610" s="3">
        <v>2438</v>
      </c>
      <c r="C1610" s="1" t="str">
        <f>HYPERLINK("http://www.uniprot.org/uniprot/PUB19_ARATH","PUB19_ARATH")</f>
        <v>PUB19_ARATH</v>
      </c>
      <c r="D1610" t="s">
        <v>1616</v>
      </c>
      <c r="E1610" s="3" t="s">
        <v>3</v>
      </c>
      <c r="F1610" s="4">
        <v>2.7800000000000001E-159</v>
      </c>
      <c r="G1610" s="3">
        <v>1253</v>
      </c>
      <c r="H1610" s="3">
        <v>42</v>
      </c>
      <c r="I1610" s="3">
        <v>671</v>
      </c>
      <c r="J1610" s="3">
        <v>309</v>
      </c>
      <c r="K1610" s="3">
        <v>2291</v>
      </c>
      <c r="L1610" s="3">
        <v>7</v>
      </c>
      <c r="M1610" s="3">
        <v>667</v>
      </c>
    </row>
    <row r="1611" spans="1:13" x14ac:dyDescent="0.25">
      <c r="A1611" s="1" t="str">
        <f>HYPERLINK("http://www.rosaceae.org/Prunus/Prunus_persica/p.persica_gdr_reftransV1_0014714","p.persica_gdr_reftransV1_0014714")</f>
        <v>p.persica_gdr_reftransV1_0014714</v>
      </c>
      <c r="B1611" s="3">
        <v>1040</v>
      </c>
      <c r="C1611" s="1" t="str">
        <f>HYPERLINK("http://www.uniprot.org/uniprot/HS23C_OXYRB","HS23C_OXYRB")</f>
        <v>HS23C_OXYRB</v>
      </c>
      <c r="D1611" t="s">
        <v>1617</v>
      </c>
      <c r="E1611" s="3" t="s">
        <v>1618</v>
      </c>
      <c r="F1611" s="4">
        <v>3.1300000000000001E-55</v>
      </c>
      <c r="G1611" s="3">
        <v>470</v>
      </c>
      <c r="H1611" s="3">
        <v>53</v>
      </c>
      <c r="I1611" s="3">
        <v>214</v>
      </c>
      <c r="J1611" s="3">
        <v>183</v>
      </c>
      <c r="K1611" s="3">
        <v>797</v>
      </c>
      <c r="L1611" s="3">
        <v>2</v>
      </c>
      <c r="M1611" s="3">
        <v>204</v>
      </c>
    </row>
    <row r="1612" spans="1:13" x14ac:dyDescent="0.25">
      <c r="A1612" s="1" t="str">
        <f>HYPERLINK("http://www.rosaceae.org/Prunus/Prunus_persica/p.persica_gdr_reftransV1_0014864","p.persica_gdr_reftransV1_0014864")</f>
        <v>p.persica_gdr_reftransV1_0014864</v>
      </c>
      <c r="B1612" s="3">
        <v>3196</v>
      </c>
      <c r="C1612" s="1" t="str">
        <f>HYPERLINK("http://www.uniprot.org/uniprot/PUB14_ARATH","PUB14_ARATH")</f>
        <v>PUB14_ARATH</v>
      </c>
      <c r="D1612" t="s">
        <v>1619</v>
      </c>
      <c r="E1612" s="3" t="s">
        <v>3</v>
      </c>
      <c r="F1612" s="4">
        <v>6.9299999999999998E-12</v>
      </c>
      <c r="G1612" s="3">
        <v>179</v>
      </c>
      <c r="H1612" s="3">
        <v>45</v>
      </c>
      <c r="I1612" s="3">
        <v>95</v>
      </c>
      <c r="J1612" s="3">
        <v>2675</v>
      </c>
      <c r="K1612" s="3">
        <v>2959</v>
      </c>
      <c r="L1612" s="3">
        <v>1</v>
      </c>
      <c r="M1612" s="3">
        <v>95</v>
      </c>
    </row>
    <row r="1613" spans="1:13" x14ac:dyDescent="0.25">
      <c r="A1613" s="1" t="str">
        <f>HYPERLINK("http://www.rosaceae.org/Prunus/Prunus_persica/p.persica_gdr_reftransV1_0014964","p.persica_gdr_reftransV1_0014964")</f>
        <v>p.persica_gdr_reftransV1_0014964</v>
      </c>
      <c r="B1613" s="3">
        <v>526</v>
      </c>
      <c r="C1613" s="1" t="str">
        <f>HYPERLINK("http://www.uniprot.org/uniprot/PP348_ARATH","PP348_ARATH")</f>
        <v>PP348_ARATH</v>
      </c>
      <c r="D1613" t="s">
        <v>1620</v>
      </c>
      <c r="E1613" s="3" t="s">
        <v>3</v>
      </c>
      <c r="F1613" s="4">
        <v>1.37E-57</v>
      </c>
      <c r="G1613" s="3">
        <v>501</v>
      </c>
      <c r="H1613" s="3">
        <v>56</v>
      </c>
      <c r="I1613" s="3">
        <v>174</v>
      </c>
      <c r="J1613" s="3">
        <v>12</v>
      </c>
      <c r="K1613" s="3">
        <v>524</v>
      </c>
      <c r="L1613" s="3">
        <v>34</v>
      </c>
      <c r="M1613" s="3">
        <v>204</v>
      </c>
    </row>
    <row r="1614" spans="1:13" x14ac:dyDescent="0.25">
      <c r="A1614" s="1" t="str">
        <f>HYPERLINK("http://www.rosaceae.org/Prunus/Prunus_persica/p.persica_gdr_reftransV1_0015014","p.persica_gdr_reftransV1_0015014")</f>
        <v>p.persica_gdr_reftransV1_0015014</v>
      </c>
      <c r="B1614" s="3">
        <v>2386</v>
      </c>
      <c r="C1614" s="1" t="str">
        <f>HYPERLINK("http://www.uniprot.org/uniprot/ASE2_ARATH","ASE2_ARATH")</f>
        <v>ASE2_ARATH</v>
      </c>
      <c r="D1614" t="s">
        <v>1621</v>
      </c>
      <c r="E1614" s="3" t="s">
        <v>3</v>
      </c>
      <c r="F1614" s="4">
        <v>0</v>
      </c>
      <c r="G1614" s="3">
        <v>2038</v>
      </c>
      <c r="H1614" s="3">
        <v>86</v>
      </c>
      <c r="I1614" s="3">
        <v>480</v>
      </c>
      <c r="J1614" s="3">
        <v>528</v>
      </c>
      <c r="K1614" s="3">
        <v>1964</v>
      </c>
      <c r="L1614" s="3">
        <v>82</v>
      </c>
      <c r="M1614" s="3">
        <v>561</v>
      </c>
    </row>
    <row r="1615" spans="1:13" x14ac:dyDescent="0.25">
      <c r="A1615" s="1" t="str">
        <f>HYPERLINK("http://www.rosaceae.org/Prunus/Prunus_persica/p.persica_gdr_reftransV1_0015164","p.persica_gdr_reftransV1_0015164")</f>
        <v>p.persica_gdr_reftransV1_0015164</v>
      </c>
      <c r="B1615" s="3">
        <v>3235</v>
      </c>
      <c r="C1615" s="1" t="str">
        <f>HYPERLINK("http://www.uniprot.org/uniprot/LRCC1_XENLA","LRCC1_XENLA")</f>
        <v>LRCC1_XENLA</v>
      </c>
      <c r="D1615" t="s">
        <v>1622</v>
      </c>
      <c r="E1615" s="3" t="s">
        <v>475</v>
      </c>
      <c r="F1615" s="4">
        <v>2.5399999999999999E-9</v>
      </c>
      <c r="G1615" s="3">
        <v>158</v>
      </c>
      <c r="H1615" s="3">
        <v>43</v>
      </c>
      <c r="I1615" s="3">
        <v>97</v>
      </c>
      <c r="J1615" s="3">
        <v>2229</v>
      </c>
      <c r="K1615" s="3">
        <v>2519</v>
      </c>
      <c r="L1615" s="3">
        <v>11</v>
      </c>
      <c r="M1615" s="3">
        <v>106</v>
      </c>
    </row>
    <row r="1616" spans="1:13" x14ac:dyDescent="0.25">
      <c r="A1616" s="1" t="str">
        <f>HYPERLINK("http://www.rosaceae.org/Prunus/Prunus_persica/p.persica_gdr_reftransV1_0015514","p.persica_gdr_reftransV1_0015514")</f>
        <v>p.persica_gdr_reftransV1_0015514</v>
      </c>
      <c r="B1616" s="3">
        <v>2582</v>
      </c>
      <c r="C1616" s="1" t="str">
        <f>HYPERLINK("http://www.uniprot.org/uniprot/PTR14_ARATH","PTR14_ARATH")</f>
        <v>PTR14_ARATH</v>
      </c>
      <c r="D1616" t="s">
        <v>1623</v>
      </c>
      <c r="E1616" s="3" t="s">
        <v>3</v>
      </c>
      <c r="F1616" s="4">
        <v>2.8799999999999999E-157</v>
      </c>
      <c r="G1616" s="3">
        <v>1237</v>
      </c>
      <c r="H1616" s="3">
        <v>79</v>
      </c>
      <c r="I1616" s="3">
        <v>283</v>
      </c>
      <c r="J1616" s="3">
        <v>1323</v>
      </c>
      <c r="K1616" s="3">
        <v>2171</v>
      </c>
      <c r="L1616" s="3">
        <v>312</v>
      </c>
      <c r="M1616" s="3">
        <v>594</v>
      </c>
    </row>
    <row r="1617" spans="1:13" x14ac:dyDescent="0.25">
      <c r="A1617" s="1" t="str">
        <f>HYPERLINK("http://www.rosaceae.org/Prunus/Prunus_persica/p.persica_gdr_reftransV1_0015664","p.persica_gdr_reftransV1_0015664")</f>
        <v>p.persica_gdr_reftransV1_0015664</v>
      </c>
      <c r="B1617" s="3">
        <v>1511</v>
      </c>
      <c r="C1617" s="1" t="str">
        <f>HYPERLINK("http://www.uniprot.org/uniprot/TET2_ARATH","TET2_ARATH")</f>
        <v>TET2_ARATH</v>
      </c>
      <c r="D1617" t="s">
        <v>1624</v>
      </c>
      <c r="E1617" s="3" t="s">
        <v>3</v>
      </c>
      <c r="F1617" s="4">
        <v>1.8200000000000001E-113</v>
      </c>
      <c r="G1617" s="3">
        <v>880</v>
      </c>
      <c r="H1617" s="3">
        <v>71</v>
      </c>
      <c r="I1617" s="3">
        <v>270</v>
      </c>
      <c r="J1617" s="3">
        <v>410</v>
      </c>
      <c r="K1617" s="3">
        <v>1216</v>
      </c>
      <c r="L1617" s="3">
        <v>1</v>
      </c>
      <c r="M1617" s="3">
        <v>270</v>
      </c>
    </row>
    <row r="1618" spans="1:13" x14ac:dyDescent="0.25">
      <c r="A1618" s="1" t="str">
        <f>HYPERLINK("http://www.rosaceae.org/Prunus/Prunus_persica/p.persica_gdr_reftransV1_0015814","p.persica_gdr_reftransV1_0015814")</f>
        <v>p.persica_gdr_reftransV1_0015814</v>
      </c>
      <c r="B1618" s="3">
        <v>1916</v>
      </c>
      <c r="C1618" s="1" t="str">
        <f>HYPERLINK("http://www.uniprot.org/uniprot/PP433_ARATH","PP433_ARATH")</f>
        <v>PP433_ARATH</v>
      </c>
      <c r="D1618" t="s">
        <v>1625</v>
      </c>
      <c r="E1618" s="3" t="s">
        <v>3</v>
      </c>
      <c r="F1618" s="4">
        <v>3.2800000000000002E-22</v>
      </c>
      <c r="G1618" s="3">
        <v>259</v>
      </c>
      <c r="H1618" s="3">
        <v>56</v>
      </c>
      <c r="I1618" s="3">
        <v>87</v>
      </c>
      <c r="J1618" s="3">
        <v>3</v>
      </c>
      <c r="K1618" s="3">
        <v>263</v>
      </c>
      <c r="L1618" s="3">
        <v>441</v>
      </c>
      <c r="M1618" s="3">
        <v>527</v>
      </c>
    </row>
    <row r="1619" spans="1:13" x14ac:dyDescent="0.25">
      <c r="A1619" s="1" t="str">
        <f>HYPERLINK("http://www.rosaceae.org/Prunus/Prunus_persica/p.persica_gdr_reftransV1_0016014","p.persica_gdr_reftransV1_0016014")</f>
        <v>p.persica_gdr_reftransV1_0016014</v>
      </c>
      <c r="B1619" s="3">
        <v>804</v>
      </c>
      <c r="C1619" s="1" t="str">
        <f>HYPERLINK("http://www.uniprot.org/uniprot/R35A3_ARATH","R35A3_ARATH")</f>
        <v>R35A3_ARATH</v>
      </c>
      <c r="D1619" t="s">
        <v>1626</v>
      </c>
      <c r="E1619" s="3" t="s">
        <v>3</v>
      </c>
      <c r="F1619" s="4">
        <v>1.8600000000000001E-65</v>
      </c>
      <c r="G1619" s="3">
        <v>524</v>
      </c>
      <c r="H1619" s="3">
        <v>87</v>
      </c>
      <c r="I1619" s="3">
        <v>112</v>
      </c>
      <c r="J1619" s="3">
        <v>404</v>
      </c>
      <c r="K1619" s="3">
        <v>739</v>
      </c>
      <c r="L1619" s="3">
        <v>1</v>
      </c>
      <c r="M1619" s="3">
        <v>112</v>
      </c>
    </row>
    <row r="1620" spans="1:13" x14ac:dyDescent="0.25">
      <c r="A1620" s="1" t="str">
        <f>HYPERLINK("http://www.rosaceae.org/Prunus/Prunus_persica/p.persica_gdr_reftransV1_0016064","p.persica_gdr_reftransV1_0016064")</f>
        <v>p.persica_gdr_reftransV1_0016064</v>
      </c>
      <c r="B1620" s="3">
        <v>1846</v>
      </c>
      <c r="C1620" s="1" t="str">
        <f>HYPERLINK("http://www.uniprot.org/uniprot/FES1_NEOFI","FES1_NEOFI")</f>
        <v>FES1_NEOFI</v>
      </c>
      <c r="D1620" t="s">
        <v>1627</v>
      </c>
      <c r="E1620" s="3" t="s">
        <v>1173</v>
      </c>
      <c r="F1620" s="4">
        <v>2.0100000000000001E-16</v>
      </c>
      <c r="G1620" s="3">
        <v>204</v>
      </c>
      <c r="H1620" s="3">
        <v>34</v>
      </c>
      <c r="I1620" s="3">
        <v>170</v>
      </c>
      <c r="J1620" s="3">
        <v>237</v>
      </c>
      <c r="K1620" s="3">
        <v>743</v>
      </c>
      <c r="L1620" s="3">
        <v>4</v>
      </c>
      <c r="M1620" s="3">
        <v>170</v>
      </c>
    </row>
    <row r="1621" spans="1:13" x14ac:dyDescent="0.25">
      <c r="A1621" s="1" t="str">
        <f>HYPERLINK("http://www.rosaceae.org/Prunus/Prunus_persica/p.persica_gdr_reftransV1_0016114","p.persica_gdr_reftransV1_0016114")</f>
        <v>p.persica_gdr_reftransV1_0016114</v>
      </c>
      <c r="B1621" s="3">
        <v>869</v>
      </c>
      <c r="C1621" s="1" t="str">
        <f>HYPERLINK("http://www.uniprot.org/uniprot/MIOX1_ARATH","MIOX1_ARATH")</f>
        <v>MIOX1_ARATH</v>
      </c>
      <c r="D1621" t="s">
        <v>1435</v>
      </c>
      <c r="E1621" s="3" t="s">
        <v>3</v>
      </c>
      <c r="F1621" s="4">
        <v>2.2299999999999999E-128</v>
      </c>
      <c r="G1621" s="3">
        <v>962</v>
      </c>
      <c r="H1621" s="3">
        <v>70</v>
      </c>
      <c r="I1621" s="3">
        <v>263</v>
      </c>
      <c r="J1621" s="3">
        <v>2</v>
      </c>
      <c r="K1621" s="3">
        <v>784</v>
      </c>
      <c r="L1621" s="3">
        <v>1</v>
      </c>
      <c r="M1621" s="3">
        <v>239</v>
      </c>
    </row>
    <row r="1622" spans="1:13" x14ac:dyDescent="0.25">
      <c r="A1622" s="1" t="str">
        <f>HYPERLINK("http://www.rosaceae.org/Prunus/Prunus_persica/p.persica_gdr_reftransV1_0016164","p.persica_gdr_reftransV1_0016164")</f>
        <v>p.persica_gdr_reftransV1_0016164</v>
      </c>
      <c r="B1622" s="3">
        <v>5760</v>
      </c>
      <c r="C1622" s="1" t="str">
        <f>HYPERLINK("http://www.uniprot.org/uniprot/THRC_SOLTU","THRC_SOLTU")</f>
        <v>THRC_SOLTU</v>
      </c>
      <c r="D1622" t="s">
        <v>1628</v>
      </c>
      <c r="E1622" s="3" t="s">
        <v>11</v>
      </c>
      <c r="F1622" s="4">
        <v>0</v>
      </c>
      <c r="G1622" s="3">
        <v>2106</v>
      </c>
      <c r="H1622" s="3">
        <v>87</v>
      </c>
      <c r="I1622" s="3">
        <v>469</v>
      </c>
      <c r="J1622" s="3">
        <v>4229</v>
      </c>
      <c r="K1622" s="3">
        <v>5635</v>
      </c>
      <c r="L1622" s="3">
        <v>58</v>
      </c>
      <c r="M1622" s="3">
        <v>518</v>
      </c>
    </row>
    <row r="1623" spans="1:13" x14ac:dyDescent="0.25">
      <c r="A1623" s="1" t="str">
        <f>HYPERLINK("http://www.rosaceae.org/Prunus/Prunus_persica/p.persica_gdr_reftransV1_0016414","p.persica_gdr_reftransV1_0016414")</f>
        <v>p.persica_gdr_reftransV1_0016414</v>
      </c>
      <c r="B1623" s="3">
        <v>1457</v>
      </c>
      <c r="C1623" s="1" t="str">
        <f>HYPERLINK("http://www.uniprot.org/uniprot/YUid_BACSU","YUid_BACSU")</f>
        <v>YUid_BACSU</v>
      </c>
      <c r="D1623" t="s">
        <v>1629</v>
      </c>
      <c r="E1623" s="3" t="s">
        <v>1630</v>
      </c>
      <c r="F1623" s="4">
        <v>6.0100000000000002E-24</v>
      </c>
      <c r="G1623" s="3">
        <v>254</v>
      </c>
      <c r="H1623" s="3">
        <v>44</v>
      </c>
      <c r="I1623" s="3">
        <v>156</v>
      </c>
      <c r="J1623" s="3">
        <v>524</v>
      </c>
      <c r="K1623" s="3">
        <v>949</v>
      </c>
      <c r="L1623" s="3">
        <v>2</v>
      </c>
      <c r="M1623" s="3">
        <v>154</v>
      </c>
    </row>
    <row r="1624" spans="1:13" x14ac:dyDescent="0.25">
      <c r="A1624" s="1" t="str">
        <f>HYPERLINK("http://www.rosaceae.org/Prunus/Prunus_persica/p.persica_gdr_reftransV1_0016464","p.persica_gdr_reftransV1_0016464")</f>
        <v>p.persica_gdr_reftransV1_0016464</v>
      </c>
      <c r="B1624" s="3">
        <v>2773</v>
      </c>
      <c r="C1624" s="1" t="str">
        <f>HYPERLINK("http://www.uniprot.org/uniprot/NU301_DROME","NU301_DROME")</f>
        <v>NU301_DROME</v>
      </c>
      <c r="D1624" t="s">
        <v>1631</v>
      </c>
      <c r="E1624" s="3" t="s">
        <v>5</v>
      </c>
      <c r="F1624" s="4">
        <v>5.3399999999999997E-20</v>
      </c>
      <c r="G1624" s="3">
        <v>249</v>
      </c>
      <c r="H1624" s="3">
        <v>27</v>
      </c>
      <c r="I1624" s="3">
        <v>295</v>
      </c>
      <c r="J1624" s="3">
        <v>1548</v>
      </c>
      <c r="K1624" s="3">
        <v>2402</v>
      </c>
      <c r="L1624" s="3">
        <v>175</v>
      </c>
      <c r="M1624" s="3">
        <v>420</v>
      </c>
    </row>
    <row r="1625" spans="1:13" x14ac:dyDescent="0.25">
      <c r="A1625" s="1" t="str">
        <f>HYPERLINK("http://www.rosaceae.org/Prunus/Prunus_persica/p.persica_gdr_reftransV1_0016514","p.persica_gdr_reftransV1_0016514")</f>
        <v>p.persica_gdr_reftransV1_0016514</v>
      </c>
      <c r="B1625" s="3">
        <v>989</v>
      </c>
      <c r="C1625" s="1" t="str">
        <f>HYPERLINK("http://www.uniprot.org/uniprot/LOR3_ARATH","LOR3_ARATH")</f>
        <v>LOR3_ARATH</v>
      </c>
      <c r="D1625" t="s">
        <v>1632</v>
      </c>
      <c r="E1625" s="3" t="s">
        <v>3</v>
      </c>
      <c r="F1625" s="4">
        <v>6.5799999999999997E-32</v>
      </c>
      <c r="G1625" s="3">
        <v>310</v>
      </c>
      <c r="H1625" s="3">
        <v>42</v>
      </c>
      <c r="I1625" s="3">
        <v>212</v>
      </c>
      <c r="J1625" s="3">
        <v>200</v>
      </c>
      <c r="K1625" s="3">
        <v>817</v>
      </c>
      <c r="L1625" s="3">
        <v>13</v>
      </c>
      <c r="M1625" s="3">
        <v>217</v>
      </c>
    </row>
    <row r="1626" spans="1:13" x14ac:dyDescent="0.25">
      <c r="A1626" s="1" t="str">
        <f>HYPERLINK("http://www.rosaceae.org/Prunus/Prunus_persica/p.persica_gdr_reftransV1_0016614","p.persica_gdr_reftransV1_0016614")</f>
        <v>p.persica_gdr_reftransV1_0016614</v>
      </c>
      <c r="B1626" s="3">
        <v>1937</v>
      </c>
      <c r="C1626" s="1" t="str">
        <f>HYPERLINK("http://www.uniprot.org/uniprot/HA22A_ARATH","HA22A_ARATH")</f>
        <v>HA22A_ARATH</v>
      </c>
      <c r="D1626" t="s">
        <v>1633</v>
      </c>
      <c r="E1626" s="3" t="s">
        <v>3</v>
      </c>
      <c r="F1626" s="4">
        <v>9.1199999999999994E-20</v>
      </c>
      <c r="G1626" s="3">
        <v>228</v>
      </c>
      <c r="H1626" s="3">
        <v>37</v>
      </c>
      <c r="I1626" s="3">
        <v>129</v>
      </c>
      <c r="J1626" s="3">
        <v>1220</v>
      </c>
      <c r="K1626" s="3">
        <v>1573</v>
      </c>
      <c r="L1626" s="3">
        <v>31</v>
      </c>
      <c r="M1626" s="3">
        <v>157</v>
      </c>
    </row>
    <row r="1627" spans="1:13" x14ac:dyDescent="0.25">
      <c r="A1627" s="1" t="str">
        <f>HYPERLINK("http://www.rosaceae.org/Prunus/Prunus_persica/p.persica_gdr_reftransV1_0016664","p.persica_gdr_reftransV1_0016664")</f>
        <v>p.persica_gdr_reftransV1_0016664</v>
      </c>
      <c r="B1627" s="3">
        <v>1886</v>
      </c>
      <c r="C1627" s="1" t="str">
        <f>HYPERLINK("http://www.uniprot.org/uniprot/CCD51_ARATH","CCD51_ARATH")</f>
        <v>CCD51_ARATH</v>
      </c>
      <c r="D1627" t="s">
        <v>1634</v>
      </c>
      <c r="E1627" s="3" t="s">
        <v>3</v>
      </c>
      <c r="F1627" s="4">
        <v>2.0800000000000001E-45</v>
      </c>
      <c r="G1627" s="3">
        <v>426</v>
      </c>
      <c r="H1627" s="3">
        <v>39</v>
      </c>
      <c r="I1627" s="3">
        <v>330</v>
      </c>
      <c r="J1627" s="3">
        <v>709</v>
      </c>
      <c r="K1627" s="3">
        <v>1656</v>
      </c>
      <c r="L1627" s="3">
        <v>13</v>
      </c>
      <c r="M1627" s="3">
        <v>321</v>
      </c>
    </row>
    <row r="1628" spans="1:13" x14ac:dyDescent="0.25">
      <c r="A1628" s="1" t="str">
        <f>HYPERLINK("http://www.rosaceae.org/Prunus/Prunus_persica/p.persica_gdr_reftransV1_0016814","p.persica_gdr_reftransV1_0016814")</f>
        <v>p.persica_gdr_reftransV1_0016814</v>
      </c>
      <c r="B1628" s="3">
        <v>1189</v>
      </c>
      <c r="C1628" s="1" t="str">
        <f>HYPERLINK("http://www.uniprot.org/uniprot/ECI1_ARATH","ECI1_ARATH")</f>
        <v>ECI1_ARATH</v>
      </c>
      <c r="D1628" t="s">
        <v>1635</v>
      </c>
      <c r="E1628" s="3" t="s">
        <v>3</v>
      </c>
      <c r="F1628" s="4">
        <v>1.3100000000000001E-88</v>
      </c>
      <c r="G1628" s="3">
        <v>702</v>
      </c>
      <c r="H1628" s="3">
        <v>61</v>
      </c>
      <c r="I1628" s="3">
        <v>234</v>
      </c>
      <c r="J1628" s="3">
        <v>156</v>
      </c>
      <c r="K1628" s="3">
        <v>857</v>
      </c>
      <c r="L1628" s="3">
        <v>1</v>
      </c>
      <c r="M1628" s="3">
        <v>229</v>
      </c>
    </row>
    <row r="1629" spans="1:13" x14ac:dyDescent="0.25">
      <c r="A1629" s="1" t="str">
        <f>HYPERLINK("http://www.rosaceae.org/Prunus/Prunus_persica/p.persica_gdr_reftransV1_0017064","p.persica_gdr_reftransV1_0017064")</f>
        <v>p.persica_gdr_reftransV1_0017064</v>
      </c>
      <c r="B1629" s="3">
        <v>3505</v>
      </c>
      <c r="C1629" s="1" t="str">
        <f>HYPERLINK("http://www.uniprot.org/uniprot/EF2_BETVU","EF2_BETVU")</f>
        <v>EF2_BETVU</v>
      </c>
      <c r="D1629" t="s">
        <v>1122</v>
      </c>
      <c r="E1629" s="3" t="s">
        <v>1123</v>
      </c>
      <c r="F1629" s="4">
        <v>0</v>
      </c>
      <c r="G1629" s="3">
        <v>4182</v>
      </c>
      <c r="H1629" s="3">
        <v>93</v>
      </c>
      <c r="I1629" s="3">
        <v>843</v>
      </c>
      <c r="J1629" s="3">
        <v>834</v>
      </c>
      <c r="K1629" s="3">
        <v>3362</v>
      </c>
      <c r="L1629" s="3">
        <v>1</v>
      </c>
      <c r="M1629" s="3">
        <v>843</v>
      </c>
    </row>
    <row r="1630" spans="1:13" x14ac:dyDescent="0.25">
      <c r="A1630" s="1" t="str">
        <f>HYPERLINK("http://www.rosaceae.org/Prunus/Prunus_persica/p.persica_gdr_reftransV1_0017114","p.persica_gdr_reftransV1_0017114")</f>
        <v>p.persica_gdr_reftransV1_0017114</v>
      </c>
      <c r="B1630" s="3">
        <v>1798</v>
      </c>
      <c r="C1630" s="1" t="str">
        <f>HYPERLINK("http://www.uniprot.org/uniprot/URT1_FRAAN","URT1_FRAAN")</f>
        <v>URT1_FRAAN</v>
      </c>
      <c r="D1630" t="s">
        <v>1636</v>
      </c>
      <c r="E1630" s="3" t="s">
        <v>15</v>
      </c>
      <c r="F1630" s="4">
        <v>0</v>
      </c>
      <c r="G1630" s="3">
        <v>1686</v>
      </c>
      <c r="H1630" s="3">
        <v>75</v>
      </c>
      <c r="I1630" s="3">
        <v>440</v>
      </c>
      <c r="J1630" s="3">
        <v>196</v>
      </c>
      <c r="K1630" s="3">
        <v>1494</v>
      </c>
      <c r="L1630" s="3">
        <v>10</v>
      </c>
      <c r="M1630" s="3">
        <v>449</v>
      </c>
    </row>
    <row r="1631" spans="1:13" x14ac:dyDescent="0.25">
      <c r="A1631" s="1" t="str">
        <f>HYPERLINK("http://www.rosaceae.org/Prunus/Prunus_persica/p.persica_gdr_reftransV1_0017164","p.persica_gdr_reftransV1_0017164")</f>
        <v>p.persica_gdr_reftransV1_0017164</v>
      </c>
      <c r="B1631" s="3">
        <v>3622</v>
      </c>
      <c r="C1631" s="1" t="str">
        <f>HYPERLINK("http://www.uniprot.org/uniprot/EXEC1_ARATH","EXEC1_ARATH")</f>
        <v>EXEC1_ARATH</v>
      </c>
      <c r="D1631" t="s">
        <v>1637</v>
      </c>
      <c r="E1631" s="3" t="s">
        <v>3</v>
      </c>
      <c r="F1631" s="4">
        <v>2.3499999999999999E-172</v>
      </c>
      <c r="G1631" s="3">
        <v>1372</v>
      </c>
      <c r="H1631" s="3">
        <v>55</v>
      </c>
      <c r="I1631" s="3">
        <v>664</v>
      </c>
      <c r="J1631" s="3">
        <v>1519</v>
      </c>
      <c r="K1631" s="3">
        <v>3462</v>
      </c>
      <c r="L1631" s="3">
        <v>3</v>
      </c>
      <c r="M1631" s="3">
        <v>654</v>
      </c>
    </row>
    <row r="1632" spans="1:13" x14ac:dyDescent="0.25">
      <c r="A1632" s="1" t="str">
        <f>HYPERLINK("http://www.rosaceae.org/Prunus/Prunus_persica/p.persica_gdr_reftransV1_0017214","p.persica_gdr_reftransV1_0017214")</f>
        <v>p.persica_gdr_reftransV1_0017214</v>
      </c>
      <c r="B1632" s="3">
        <v>1626</v>
      </c>
      <c r="C1632" s="1" t="str">
        <f>HYPERLINK("http://www.uniprot.org/uniprot/GIF3_ARATH","GIF3_ARATH")</f>
        <v>GIF3_ARATH</v>
      </c>
      <c r="D1632" t="s">
        <v>1638</v>
      </c>
      <c r="E1632" s="3" t="s">
        <v>3</v>
      </c>
      <c r="F1632" s="4">
        <v>9.0799999999999996E-29</v>
      </c>
      <c r="G1632" s="3">
        <v>295</v>
      </c>
      <c r="H1632" s="3">
        <v>89</v>
      </c>
      <c r="I1632" s="3">
        <v>66</v>
      </c>
      <c r="J1632" s="3">
        <v>225</v>
      </c>
      <c r="K1632" s="3">
        <v>419</v>
      </c>
      <c r="L1632" s="3">
        <v>14</v>
      </c>
      <c r="M1632" s="3">
        <v>79</v>
      </c>
    </row>
    <row r="1633" spans="1:13" x14ac:dyDescent="0.25">
      <c r="A1633" s="1" t="str">
        <f>HYPERLINK("http://www.rosaceae.org/Prunus/Prunus_persica/p.persica_gdr_reftransV1_0017414","p.persica_gdr_reftransV1_0017414")</f>
        <v>p.persica_gdr_reftransV1_0017414</v>
      </c>
      <c r="B1633" s="3">
        <v>6125</v>
      </c>
      <c r="C1633" s="1" t="str">
        <f>HYPERLINK("http://www.uniprot.org/uniprot/NU205_ARATH","NU205_ARATH")</f>
        <v>NU205_ARATH</v>
      </c>
      <c r="D1633" t="s">
        <v>1639</v>
      </c>
      <c r="E1633" s="3" t="s">
        <v>3</v>
      </c>
      <c r="F1633" s="4">
        <v>0</v>
      </c>
      <c r="G1633" s="3">
        <v>6499</v>
      </c>
      <c r="H1633" s="3">
        <v>67</v>
      </c>
      <c r="I1633" s="3">
        <v>1882</v>
      </c>
      <c r="J1633" s="3">
        <v>188</v>
      </c>
      <c r="K1633" s="3">
        <v>5812</v>
      </c>
      <c r="L1633" s="3">
        <v>1</v>
      </c>
      <c r="M1633" s="3">
        <v>1836</v>
      </c>
    </row>
    <row r="1634" spans="1:13" x14ac:dyDescent="0.25">
      <c r="A1634" s="1" t="str">
        <f>HYPERLINK("http://www.rosaceae.org/Prunus/Prunus_persica/p.persica_gdr_reftransV1_0017464","p.persica_gdr_reftransV1_0017464")</f>
        <v>p.persica_gdr_reftransV1_0017464</v>
      </c>
      <c r="B1634" s="3">
        <v>4233</v>
      </c>
      <c r="C1634" s="1" t="str">
        <f>HYPERLINK("http://www.uniprot.org/uniprot/TON2_ARATH","TON2_ARATH")</f>
        <v>TON2_ARATH</v>
      </c>
      <c r="D1634" t="s">
        <v>1640</v>
      </c>
      <c r="E1634" s="3" t="s">
        <v>3</v>
      </c>
      <c r="F1634" s="4">
        <v>0</v>
      </c>
      <c r="G1634" s="3">
        <v>1770</v>
      </c>
      <c r="H1634" s="3">
        <v>88</v>
      </c>
      <c r="I1634" s="3">
        <v>401</v>
      </c>
      <c r="J1634" s="3">
        <v>148</v>
      </c>
      <c r="K1634" s="3">
        <v>1347</v>
      </c>
      <c r="L1634" s="3">
        <v>1</v>
      </c>
      <c r="M1634" s="3">
        <v>401</v>
      </c>
    </row>
    <row r="1635" spans="1:13" x14ac:dyDescent="0.25">
      <c r="A1635" s="1" t="str">
        <f>HYPERLINK("http://www.rosaceae.org/Prunus/Prunus_persica/p.persica_gdr_reftransV1_0017614","p.persica_gdr_reftransV1_0017614")</f>
        <v>p.persica_gdr_reftransV1_0017614</v>
      </c>
      <c r="B1635" s="3">
        <v>5954</v>
      </c>
      <c r="C1635" s="1" t="str">
        <f>HYPERLINK("http://www.uniprot.org/uniprot/idM1_ARATH","idM1_ARATH")</f>
        <v>idM1_ARATH</v>
      </c>
      <c r="D1635" t="s">
        <v>1345</v>
      </c>
      <c r="E1635" s="3" t="s">
        <v>3</v>
      </c>
      <c r="F1635" s="4">
        <v>7.48E-10</v>
      </c>
      <c r="G1635" s="3">
        <v>165</v>
      </c>
      <c r="H1635" s="3">
        <v>40</v>
      </c>
      <c r="I1635" s="3">
        <v>84</v>
      </c>
      <c r="J1635" s="3">
        <v>1536</v>
      </c>
      <c r="K1635" s="3">
        <v>1787</v>
      </c>
      <c r="L1635" s="3">
        <v>721</v>
      </c>
      <c r="M1635" s="3">
        <v>800</v>
      </c>
    </row>
    <row r="1636" spans="1:13" x14ac:dyDescent="0.25">
      <c r="A1636" s="1" t="str">
        <f>HYPERLINK("http://www.rosaceae.org/Prunus/Prunus_persica/p.persica_gdr_reftransV1_0017764","p.persica_gdr_reftransV1_0017764")</f>
        <v>p.persica_gdr_reftransV1_0017764</v>
      </c>
      <c r="B1636" s="3">
        <v>709</v>
      </c>
      <c r="C1636" s="1" t="str">
        <f>HYPERLINK("http://www.uniprot.org/uniprot/CCT14_ORYSJ","CCT14_ORYSJ")</f>
        <v>CCT14_ORYSJ</v>
      </c>
      <c r="D1636" t="s">
        <v>1641</v>
      </c>
      <c r="E1636" s="3" t="s">
        <v>38</v>
      </c>
      <c r="F1636" s="4">
        <v>5.4800000000000004E-62</v>
      </c>
      <c r="G1636" s="3">
        <v>531</v>
      </c>
      <c r="H1636" s="3">
        <v>77</v>
      </c>
      <c r="I1636" s="3">
        <v>126</v>
      </c>
      <c r="J1636" s="3">
        <v>343</v>
      </c>
      <c r="K1636" s="3">
        <v>708</v>
      </c>
      <c r="L1636" s="3">
        <v>2</v>
      </c>
      <c r="M1636" s="3">
        <v>127</v>
      </c>
    </row>
    <row r="1637" spans="1:13" x14ac:dyDescent="0.25">
      <c r="A1637" s="1" t="str">
        <f>HYPERLINK("http://www.rosaceae.org/Prunus/Prunus_persica/p.persica_gdr_reftransV1_0017864","p.persica_gdr_reftransV1_0017864")</f>
        <v>p.persica_gdr_reftransV1_0017864</v>
      </c>
      <c r="B1637" s="3">
        <v>2629</v>
      </c>
      <c r="C1637" s="1" t="str">
        <f>HYPERLINK("http://www.uniprot.org/uniprot/MYOB4_ARATH","MYOB4_ARATH")</f>
        <v>MYOB4_ARATH</v>
      </c>
      <c r="D1637" t="s">
        <v>1642</v>
      </c>
      <c r="E1637" s="3" t="s">
        <v>3</v>
      </c>
      <c r="F1637" s="4">
        <v>9.0699999999999996E-42</v>
      </c>
      <c r="G1637" s="3">
        <v>424</v>
      </c>
      <c r="H1637" s="3">
        <v>55</v>
      </c>
      <c r="I1637" s="3">
        <v>177</v>
      </c>
      <c r="J1637" s="3">
        <v>943</v>
      </c>
      <c r="K1637" s="3">
        <v>1464</v>
      </c>
      <c r="L1637" s="3">
        <v>585</v>
      </c>
      <c r="M1637" s="3">
        <v>755</v>
      </c>
    </row>
    <row r="1638" spans="1:13" x14ac:dyDescent="0.25">
      <c r="A1638" s="1" t="str">
        <f>HYPERLINK("http://www.rosaceae.org/Prunus/Prunus_persica/p.persica_gdr_reftransV1_0017964","p.persica_gdr_reftransV1_0017964")</f>
        <v>p.persica_gdr_reftransV1_0017964</v>
      </c>
      <c r="B1638" s="3">
        <v>3057</v>
      </c>
      <c r="C1638" s="1" t="str">
        <f>HYPERLINK("http://www.uniprot.org/uniprot/CECR2_HUMAN","CECR2_HUMAN")</f>
        <v>CECR2_HUMAN</v>
      </c>
      <c r="D1638" t="s">
        <v>1643</v>
      </c>
      <c r="E1638" s="3" t="s">
        <v>28</v>
      </c>
      <c r="F1638" s="4">
        <v>8.6599999999999995E-8</v>
      </c>
      <c r="G1638" s="3">
        <v>145</v>
      </c>
      <c r="H1638" s="3">
        <v>28</v>
      </c>
      <c r="I1638" s="3">
        <v>172</v>
      </c>
      <c r="J1638" s="3">
        <v>513</v>
      </c>
      <c r="K1638" s="3">
        <v>1025</v>
      </c>
      <c r="L1638" s="3">
        <v>14</v>
      </c>
      <c r="M1638" s="3">
        <v>167</v>
      </c>
    </row>
    <row r="1639" spans="1:13" x14ac:dyDescent="0.25">
      <c r="A1639" s="1" t="str">
        <f>HYPERLINK("http://www.rosaceae.org/Prunus/Prunus_persica/p.persica_gdr_reftransV1_0018064","p.persica_gdr_reftransV1_0018064")</f>
        <v>p.persica_gdr_reftransV1_0018064</v>
      </c>
      <c r="B1639" s="3">
        <v>1862</v>
      </c>
      <c r="C1639" s="1" t="str">
        <f>HYPERLINK("http://www.uniprot.org/uniprot/RIR2A_ARATH","RIR2A_ARATH")</f>
        <v>RIR2A_ARATH</v>
      </c>
      <c r="D1639" t="s">
        <v>1644</v>
      </c>
      <c r="E1639" s="3" t="s">
        <v>3</v>
      </c>
      <c r="F1639" s="4">
        <v>5.2499999999999999E-167</v>
      </c>
      <c r="G1639" s="3">
        <v>1254</v>
      </c>
      <c r="H1639" s="3">
        <v>73</v>
      </c>
      <c r="I1639" s="3">
        <v>347</v>
      </c>
      <c r="J1639" s="3">
        <v>116</v>
      </c>
      <c r="K1639" s="3">
        <v>1156</v>
      </c>
      <c r="L1639" s="3">
        <v>1</v>
      </c>
      <c r="M1639" s="3">
        <v>304</v>
      </c>
    </row>
    <row r="1640" spans="1:13" x14ac:dyDescent="0.25">
      <c r="A1640" s="1" t="str">
        <f>HYPERLINK("http://www.rosaceae.org/Prunus/Prunus_persica/p.persica_gdr_reftransV1_0018164","p.persica_gdr_reftransV1_0018164")</f>
        <v>p.persica_gdr_reftransV1_0018164</v>
      </c>
      <c r="B1640" s="3">
        <v>4503</v>
      </c>
      <c r="C1640" s="1" t="str">
        <f>HYPERLINK("http://www.uniprot.org/uniprot/PP219_ARATH","PP219_ARATH")</f>
        <v>PP219_ARATH</v>
      </c>
      <c r="D1640" t="s">
        <v>1645</v>
      </c>
      <c r="E1640" s="3" t="s">
        <v>3</v>
      </c>
      <c r="F1640" s="4">
        <v>0</v>
      </c>
      <c r="G1640" s="3">
        <v>1236</v>
      </c>
      <c r="H1640" s="3">
        <v>65</v>
      </c>
      <c r="I1640" s="3">
        <v>343</v>
      </c>
      <c r="J1640" s="3">
        <v>2236</v>
      </c>
      <c r="K1640" s="3">
        <v>3264</v>
      </c>
      <c r="L1640" s="3">
        <v>343</v>
      </c>
      <c r="M1640" s="3">
        <v>685</v>
      </c>
    </row>
    <row r="1641" spans="1:13" x14ac:dyDescent="0.25">
      <c r="A1641" s="1" t="str">
        <f>HYPERLINK("http://www.rosaceae.org/Prunus/Prunus_persica/p.persica_gdr_reftransV1_0018364","p.persica_gdr_reftransV1_0018364")</f>
        <v>p.persica_gdr_reftransV1_0018364</v>
      </c>
      <c r="B1641" s="3">
        <v>2987</v>
      </c>
      <c r="C1641" s="1" t="str">
        <f>HYPERLINK("http://www.uniprot.org/uniprot/ZDHC6_ARATH","ZDHC6_ARATH")</f>
        <v>ZDHC6_ARATH</v>
      </c>
      <c r="D1641" t="s">
        <v>1646</v>
      </c>
      <c r="E1641" s="3" t="s">
        <v>3</v>
      </c>
      <c r="F1641" s="4">
        <v>1.35E-52</v>
      </c>
      <c r="G1641" s="3">
        <v>484</v>
      </c>
      <c r="H1641" s="3">
        <v>70</v>
      </c>
      <c r="I1641" s="3">
        <v>128</v>
      </c>
      <c r="J1641" s="3">
        <v>541</v>
      </c>
      <c r="K1641" s="3">
        <v>924</v>
      </c>
      <c r="L1641" s="3">
        <v>158</v>
      </c>
      <c r="M1641" s="3">
        <v>285</v>
      </c>
    </row>
    <row r="1642" spans="1:13" x14ac:dyDescent="0.25">
      <c r="A1642" s="1" t="str">
        <f>HYPERLINK("http://www.rosaceae.org/Prunus/Prunus_persica/p.persica_gdr_reftransV1_0018464","p.persica_gdr_reftransV1_0018464")</f>
        <v>p.persica_gdr_reftransV1_0018464</v>
      </c>
      <c r="B1642" s="3">
        <v>671</v>
      </c>
      <c r="C1642" s="1" t="str">
        <f>HYPERLINK("http://www.uniprot.org/uniprot/5BPOR_DIGLA","5BPOR_DIGLA")</f>
        <v>5BPOR_DIGLA</v>
      </c>
      <c r="D1642" t="s">
        <v>1647</v>
      </c>
      <c r="E1642" s="3" t="s">
        <v>1648</v>
      </c>
      <c r="F1642" s="4">
        <v>2.2899999999999999E-108</v>
      </c>
      <c r="G1642" s="3">
        <v>829</v>
      </c>
      <c r="H1642" s="3">
        <v>69</v>
      </c>
      <c r="I1642" s="3">
        <v>223</v>
      </c>
      <c r="J1642" s="3">
        <v>3</v>
      </c>
      <c r="K1642" s="3">
        <v>671</v>
      </c>
      <c r="L1642" s="3">
        <v>57</v>
      </c>
      <c r="M1642" s="3">
        <v>277</v>
      </c>
    </row>
    <row r="1643" spans="1:13" x14ac:dyDescent="0.25">
      <c r="A1643" s="1" t="str">
        <f>HYPERLINK("http://www.rosaceae.org/Prunus/Prunus_persica/p.persica_gdr_reftransV1_0018514","p.persica_gdr_reftransV1_0018514")</f>
        <v>p.persica_gdr_reftransV1_0018514</v>
      </c>
      <c r="B1643" s="3">
        <v>2044</v>
      </c>
      <c r="C1643" s="1" t="str">
        <f>HYPERLINK("http://www.uniprot.org/uniprot/FMDA_SCHPO","FMDA_SCHPO")</f>
        <v>FMDA_SCHPO</v>
      </c>
      <c r="D1643" t="s">
        <v>1649</v>
      </c>
      <c r="E1643" s="3" t="s">
        <v>464</v>
      </c>
      <c r="F1643" s="4">
        <v>1.09E-79</v>
      </c>
      <c r="G1643" s="3">
        <v>679</v>
      </c>
      <c r="H1643" s="3">
        <v>51</v>
      </c>
      <c r="I1643" s="3">
        <v>295</v>
      </c>
      <c r="J1643" s="3">
        <v>1101</v>
      </c>
      <c r="K1643" s="3">
        <v>1982</v>
      </c>
      <c r="L1643" s="3">
        <v>2</v>
      </c>
      <c r="M1643" s="3">
        <v>281</v>
      </c>
    </row>
    <row r="1644" spans="1:13" x14ac:dyDescent="0.25">
      <c r="A1644" s="1" t="str">
        <f>HYPERLINK("http://www.rosaceae.org/Prunus/Prunus_persica/p.persica_gdr_reftransV1_0018864","p.persica_gdr_reftransV1_0018864")</f>
        <v>p.persica_gdr_reftransV1_0018864</v>
      </c>
      <c r="B1644" s="3">
        <v>1146</v>
      </c>
      <c r="C1644" s="1" t="str">
        <f>HYPERLINK("http://www.uniprot.org/uniprot/Y4833_ARATH","Y4833_ARATH")</f>
        <v>Y4833_ARATH</v>
      </c>
      <c r="D1644" t="s">
        <v>1650</v>
      </c>
      <c r="E1644" s="3" t="s">
        <v>3</v>
      </c>
      <c r="F1644" s="4">
        <v>2.2000000000000001E-40</v>
      </c>
      <c r="G1644" s="3">
        <v>368</v>
      </c>
      <c r="H1644" s="3">
        <v>66</v>
      </c>
      <c r="I1644" s="3">
        <v>128</v>
      </c>
      <c r="J1644" s="3">
        <v>328</v>
      </c>
      <c r="K1644" s="3">
        <v>711</v>
      </c>
      <c r="L1644" s="3">
        <v>36</v>
      </c>
      <c r="M1644" s="3">
        <v>160</v>
      </c>
    </row>
    <row r="1645" spans="1:13" x14ac:dyDescent="0.25">
      <c r="A1645" s="1" t="str">
        <f>HYPERLINK("http://www.rosaceae.org/Prunus/Prunus_persica/p.persica_gdr_reftransV1_0018914","p.persica_gdr_reftransV1_0018914")</f>
        <v>p.persica_gdr_reftransV1_0018914</v>
      </c>
      <c r="B1645" s="3">
        <v>378</v>
      </c>
      <c r="C1645" s="1" t="str">
        <f>HYPERLINK("http://www.uniprot.org/uniprot/ZHD1_ORYSJ","ZHD1_ORYSJ")</f>
        <v>ZHD1_ORYSJ</v>
      </c>
      <c r="D1645" t="s">
        <v>1651</v>
      </c>
      <c r="E1645" s="3" t="s">
        <v>38</v>
      </c>
      <c r="F1645" s="4">
        <v>1.06E-36</v>
      </c>
      <c r="G1645" s="3">
        <v>331</v>
      </c>
      <c r="H1645" s="3">
        <v>56</v>
      </c>
      <c r="I1645" s="3">
        <v>143</v>
      </c>
      <c r="J1645" s="3">
        <v>1</v>
      </c>
      <c r="K1645" s="3">
        <v>378</v>
      </c>
      <c r="L1645" s="3">
        <v>53</v>
      </c>
      <c r="M1645" s="3">
        <v>187</v>
      </c>
    </row>
    <row r="1646" spans="1:13" x14ac:dyDescent="0.25">
      <c r="A1646" s="1" t="str">
        <f>HYPERLINK("http://www.rosaceae.org/Prunus/Prunus_persica/p.persica_gdr_reftransV1_0019414","p.persica_gdr_reftransV1_0019414")</f>
        <v>p.persica_gdr_reftransV1_0019414</v>
      </c>
      <c r="B1646" s="3">
        <v>1937</v>
      </c>
      <c r="C1646" s="1" t="str">
        <f>HYPERLINK("http://www.uniprot.org/uniprot/SEUSS_ARATH","SEUSS_ARATH")</f>
        <v>SEUSS_ARATH</v>
      </c>
      <c r="D1646" t="s">
        <v>389</v>
      </c>
      <c r="E1646" s="3" t="s">
        <v>3</v>
      </c>
      <c r="F1646" s="4">
        <v>1.12E-172</v>
      </c>
      <c r="G1646" s="3">
        <v>1344</v>
      </c>
      <c r="H1646" s="3">
        <v>88</v>
      </c>
      <c r="I1646" s="3">
        <v>285</v>
      </c>
      <c r="J1646" s="3">
        <v>817</v>
      </c>
      <c r="K1646" s="3">
        <v>1671</v>
      </c>
      <c r="L1646" s="3">
        <v>294</v>
      </c>
      <c r="M1646" s="3">
        <v>578</v>
      </c>
    </row>
    <row r="1647" spans="1:13" x14ac:dyDescent="0.25">
      <c r="A1647" s="1" t="str">
        <f>HYPERLINK("http://www.rosaceae.org/Prunus/Prunus_persica/p.persica_gdr_reftransV1_0019564","p.persica_gdr_reftransV1_0019564")</f>
        <v>p.persica_gdr_reftransV1_0019564</v>
      </c>
      <c r="B1647" s="3">
        <v>2764</v>
      </c>
      <c r="C1647" s="1" t="str">
        <f>HYPERLINK("http://www.uniprot.org/uniprot/SRC28_ARATH","SRC28_ARATH")</f>
        <v>SRC28_ARATH</v>
      </c>
      <c r="D1647" t="s">
        <v>1652</v>
      </c>
      <c r="E1647" s="3" t="s">
        <v>3</v>
      </c>
      <c r="F1647" s="4">
        <v>4.9100000000000004E-43</v>
      </c>
      <c r="G1647" s="3">
        <v>409</v>
      </c>
      <c r="H1647" s="3">
        <v>83</v>
      </c>
      <c r="I1647" s="3">
        <v>89</v>
      </c>
      <c r="J1647" s="3">
        <v>292</v>
      </c>
      <c r="K1647" s="3">
        <v>558</v>
      </c>
      <c r="L1647" s="3">
        <v>45</v>
      </c>
      <c r="M1647" s="3">
        <v>133</v>
      </c>
    </row>
    <row r="1648" spans="1:13" x14ac:dyDescent="0.25">
      <c r="A1648" s="1" t="str">
        <f>HYPERLINK("http://www.rosaceae.org/Prunus/Prunus_persica/p.persica_gdr_reftransV1_0019614","p.persica_gdr_reftransV1_0019614")</f>
        <v>p.persica_gdr_reftransV1_0019614</v>
      </c>
      <c r="B1648" s="3">
        <v>1794</v>
      </c>
      <c r="C1648" s="1" t="str">
        <f>HYPERLINK("http://www.uniprot.org/uniprot/PGML1_ARATH","PGML1_ARATH")</f>
        <v>PGML1_ARATH</v>
      </c>
      <c r="D1648" t="s">
        <v>1653</v>
      </c>
      <c r="E1648" s="3" t="s">
        <v>3</v>
      </c>
      <c r="F1648" s="4">
        <v>4.8699999999999998E-152</v>
      </c>
      <c r="G1648" s="3">
        <v>1146</v>
      </c>
      <c r="H1648" s="3">
        <v>76</v>
      </c>
      <c r="I1648" s="3">
        <v>276</v>
      </c>
      <c r="J1648" s="3">
        <v>600</v>
      </c>
      <c r="K1648" s="3">
        <v>1427</v>
      </c>
      <c r="L1648" s="3">
        <v>1</v>
      </c>
      <c r="M1648" s="3">
        <v>276</v>
      </c>
    </row>
    <row r="1649" spans="1:13" x14ac:dyDescent="0.25">
      <c r="A1649" s="1" t="str">
        <f>HYPERLINK("http://www.rosaceae.org/Prunus/Prunus_persica/p.persica_gdr_reftransV1_0019714","p.persica_gdr_reftransV1_0019714")</f>
        <v>p.persica_gdr_reftransV1_0019714</v>
      </c>
      <c r="B1649" s="3">
        <v>1690</v>
      </c>
      <c r="C1649" s="1" t="str">
        <f>HYPERLINK("http://www.uniprot.org/uniprot/RPOC1_CUCSA","RPOC1_CUCSA")</f>
        <v>RPOC1_CUCSA</v>
      </c>
      <c r="D1649" t="s">
        <v>1654</v>
      </c>
      <c r="E1649" s="3" t="s">
        <v>1149</v>
      </c>
      <c r="F1649" s="4">
        <v>0</v>
      </c>
      <c r="G1649" s="3">
        <v>1997</v>
      </c>
      <c r="H1649" s="3">
        <v>98</v>
      </c>
      <c r="I1649" s="3">
        <v>402</v>
      </c>
      <c r="J1649" s="3">
        <v>485</v>
      </c>
      <c r="K1649" s="3">
        <v>1690</v>
      </c>
      <c r="L1649" s="3">
        <v>142</v>
      </c>
      <c r="M1649" s="3">
        <v>543</v>
      </c>
    </row>
    <row r="1650" spans="1:13" x14ac:dyDescent="0.25">
      <c r="A1650" s="1" t="str">
        <f>HYPERLINK("http://www.rosaceae.org/Prunus/Prunus_persica/p.persica_gdr_reftransV1_0019764","p.persica_gdr_reftransV1_0019764")</f>
        <v>p.persica_gdr_reftransV1_0019764</v>
      </c>
      <c r="B1650" s="3">
        <v>1316</v>
      </c>
      <c r="C1650" s="1" t="str">
        <f>HYPERLINK("http://www.uniprot.org/uniprot/WNK11_ARATH","WNK11_ARATH")</f>
        <v>WNK11_ARATH</v>
      </c>
      <c r="D1650" t="s">
        <v>1655</v>
      </c>
      <c r="E1650" s="3" t="s">
        <v>3</v>
      </c>
      <c r="F1650" s="4">
        <v>9.7800000000000004E-171</v>
      </c>
      <c r="G1650" s="3">
        <v>1257</v>
      </c>
      <c r="H1650" s="3">
        <v>76</v>
      </c>
      <c r="I1650" s="3">
        <v>289</v>
      </c>
      <c r="J1650" s="3">
        <v>62</v>
      </c>
      <c r="K1650" s="3">
        <v>928</v>
      </c>
      <c r="L1650" s="3">
        <v>1</v>
      </c>
      <c r="M1650" s="3">
        <v>289</v>
      </c>
    </row>
    <row r="1651" spans="1:13" x14ac:dyDescent="0.25">
      <c r="A1651" s="1" t="str">
        <f>HYPERLINK("http://www.rosaceae.org/Prunus/Prunus_persica/p.persica_gdr_reftransV1_0019864","p.persica_gdr_reftransV1_0019864")</f>
        <v>p.persica_gdr_reftransV1_0019864</v>
      </c>
      <c r="B1651" s="3">
        <v>1642</v>
      </c>
      <c r="C1651" s="1" t="str">
        <f>HYPERLINK("http://www.uniprot.org/uniprot/RNG1A_ARATH","RNG1A_ARATH")</f>
        <v>RNG1A_ARATH</v>
      </c>
      <c r="D1651" t="s">
        <v>1656</v>
      </c>
      <c r="E1651" s="3" t="s">
        <v>3</v>
      </c>
      <c r="F1651" s="4">
        <v>1.85E-57</v>
      </c>
      <c r="G1651" s="3">
        <v>523</v>
      </c>
      <c r="H1651" s="3">
        <v>77</v>
      </c>
      <c r="I1651" s="3">
        <v>140</v>
      </c>
      <c r="J1651" s="3">
        <v>1126</v>
      </c>
      <c r="K1651" s="3">
        <v>1545</v>
      </c>
      <c r="L1651" s="3">
        <v>109</v>
      </c>
      <c r="M1651" s="3">
        <v>248</v>
      </c>
    </row>
    <row r="1652" spans="1:13" x14ac:dyDescent="0.25">
      <c r="A1652" s="1" t="str">
        <f>HYPERLINK("http://www.rosaceae.org/Prunus/Prunus_persica/p.persica_gdr_reftransV1_0019914","p.persica_gdr_reftransV1_0019914")</f>
        <v>p.persica_gdr_reftransV1_0019914</v>
      </c>
      <c r="B1652" s="3">
        <v>3174</v>
      </c>
      <c r="C1652" s="1" t="str">
        <f>HYPERLINK("http://www.uniprot.org/uniprot/RGA4_SOLBU","RGA4_SOLBU")</f>
        <v>RGA4_SOLBU</v>
      </c>
      <c r="D1652" t="s">
        <v>1657</v>
      </c>
      <c r="E1652" s="3" t="s">
        <v>560</v>
      </c>
      <c r="F1652" s="4">
        <v>1.1800000000000001E-11</v>
      </c>
      <c r="G1652" s="3">
        <v>178</v>
      </c>
      <c r="H1652" s="3">
        <v>31</v>
      </c>
      <c r="I1652" s="3">
        <v>232</v>
      </c>
      <c r="J1652" s="3">
        <v>2346</v>
      </c>
      <c r="K1652" s="3">
        <v>3026</v>
      </c>
      <c r="L1652" s="3">
        <v>784</v>
      </c>
      <c r="M1652" s="3">
        <v>987</v>
      </c>
    </row>
    <row r="1653" spans="1:13" x14ac:dyDescent="0.25">
      <c r="A1653" s="1" t="str">
        <f>HYPERLINK("http://www.rosaceae.org/Prunus/Prunus_persica/p.persica_gdr_reftransV1_0020014","p.persica_gdr_reftransV1_0020014")</f>
        <v>p.persica_gdr_reftransV1_0020014</v>
      </c>
      <c r="B1653" s="3">
        <v>1912</v>
      </c>
      <c r="C1653" s="1" t="str">
        <f>HYPERLINK("http://www.uniprot.org/uniprot/ASPL2_ARATH","ASPL2_ARATH")</f>
        <v>ASPL2_ARATH</v>
      </c>
      <c r="D1653" t="s">
        <v>545</v>
      </c>
      <c r="E1653" s="3" t="s">
        <v>3</v>
      </c>
      <c r="F1653" s="4">
        <v>1.0099999999999999E-82</v>
      </c>
      <c r="G1653" s="3">
        <v>702</v>
      </c>
      <c r="H1653" s="3">
        <v>37</v>
      </c>
      <c r="I1653" s="3">
        <v>411</v>
      </c>
      <c r="J1653" s="3">
        <v>165</v>
      </c>
      <c r="K1653" s="3">
        <v>1382</v>
      </c>
      <c r="L1653" s="3">
        <v>37</v>
      </c>
      <c r="M1653" s="3">
        <v>426</v>
      </c>
    </row>
    <row r="1654" spans="1:13" x14ac:dyDescent="0.25">
      <c r="A1654" s="1" t="str">
        <f>HYPERLINK("http://www.rosaceae.org/Prunus/Prunus_persica/p.persica_gdr_reftransV1_0020314","p.persica_gdr_reftransV1_0020314")</f>
        <v>p.persica_gdr_reftransV1_0020314</v>
      </c>
      <c r="B1654" s="3">
        <v>510</v>
      </c>
      <c r="C1654" s="1" t="str">
        <f>HYPERLINK("http://www.uniprot.org/uniprot/COPIA_DROME","COPIA_DROME")</f>
        <v>COPIA_DROME</v>
      </c>
      <c r="D1654" t="s">
        <v>478</v>
      </c>
      <c r="E1654" s="3" t="s">
        <v>5</v>
      </c>
      <c r="F1654" s="4">
        <v>9.2599999999999996E-11</v>
      </c>
      <c r="G1654" s="3">
        <v>143</v>
      </c>
      <c r="H1654" s="3">
        <v>34</v>
      </c>
      <c r="I1654" s="3">
        <v>121</v>
      </c>
      <c r="J1654" s="3">
        <v>144</v>
      </c>
      <c r="K1654" s="3">
        <v>497</v>
      </c>
      <c r="L1654" s="3">
        <v>590</v>
      </c>
      <c r="M1654" s="3">
        <v>706</v>
      </c>
    </row>
    <row r="1655" spans="1:13" x14ac:dyDescent="0.25">
      <c r="A1655" s="1" t="str">
        <f>HYPERLINK("http://www.rosaceae.org/Prunus/Prunus_persica/p.persica_gdr_reftransV1_0020464","p.persica_gdr_reftransV1_0020464")</f>
        <v>p.persica_gdr_reftransV1_0020464</v>
      </c>
      <c r="B1655" s="3">
        <v>3066</v>
      </c>
      <c r="C1655" s="1" t="str">
        <f>HYPERLINK("http://www.uniprot.org/uniprot/Y4407_SELML","Y4407_SELML")</f>
        <v>Y4407_SELML</v>
      </c>
      <c r="D1655" t="s">
        <v>1658</v>
      </c>
      <c r="E1655" s="3" t="s">
        <v>1659</v>
      </c>
      <c r="F1655" s="4">
        <v>4.5599999999999996E-140</v>
      </c>
      <c r="G1655" s="3">
        <v>1128</v>
      </c>
      <c r="H1655" s="3">
        <v>45</v>
      </c>
      <c r="I1655" s="3">
        <v>583</v>
      </c>
      <c r="J1655" s="3">
        <v>758</v>
      </c>
      <c r="K1655" s="3">
        <v>2506</v>
      </c>
      <c r="L1655" s="3">
        <v>5</v>
      </c>
      <c r="M1655" s="3">
        <v>479</v>
      </c>
    </row>
    <row r="1656" spans="1:13" x14ac:dyDescent="0.25">
      <c r="A1656" s="1" t="str">
        <f>HYPERLINK("http://www.rosaceae.org/Prunus/Prunus_persica/p.persica_gdr_reftransV1_0020514","p.persica_gdr_reftransV1_0020514")</f>
        <v>p.persica_gdr_reftransV1_0020514</v>
      </c>
      <c r="B1656" s="3">
        <v>1438</v>
      </c>
      <c r="C1656" s="1" t="str">
        <f>HYPERLINK("http://www.uniprot.org/uniprot/AT7L3_DANRE","AT7L3_DANRE")</f>
        <v>AT7L3_DANRE</v>
      </c>
      <c r="D1656" t="s">
        <v>1660</v>
      </c>
      <c r="E1656" s="3" t="s">
        <v>704</v>
      </c>
      <c r="F1656" s="4">
        <v>9.5600000000000004E-7</v>
      </c>
      <c r="G1656" s="3">
        <v>130</v>
      </c>
      <c r="H1656" s="3">
        <v>59</v>
      </c>
      <c r="I1656" s="3">
        <v>39</v>
      </c>
      <c r="J1656" s="3">
        <v>618</v>
      </c>
      <c r="K1656" s="3">
        <v>734</v>
      </c>
      <c r="L1656" s="3">
        <v>69</v>
      </c>
      <c r="M1656" s="3">
        <v>107</v>
      </c>
    </row>
    <row r="1657" spans="1:13" x14ac:dyDescent="0.25">
      <c r="A1657" s="1" t="str">
        <f>HYPERLINK("http://www.rosaceae.org/Prunus/Prunus_persica/p.persica_gdr_reftransV1_0020564","p.persica_gdr_reftransV1_0020564")</f>
        <v>p.persica_gdr_reftransV1_0020564</v>
      </c>
      <c r="B1657" s="3">
        <v>691</v>
      </c>
      <c r="C1657" s="1" t="str">
        <f>HYPERLINK("http://www.uniprot.org/uniprot/ETHE1_ARATH","ETHE1_ARATH")</f>
        <v>ETHE1_ARATH</v>
      </c>
      <c r="D1657" t="s">
        <v>1661</v>
      </c>
      <c r="E1657" s="3" t="s">
        <v>3</v>
      </c>
      <c r="F1657" s="4">
        <v>1.2199999999999999E-49</v>
      </c>
      <c r="G1657" s="3">
        <v>384</v>
      </c>
      <c r="H1657" s="3">
        <v>83</v>
      </c>
      <c r="I1657" s="3">
        <v>100</v>
      </c>
      <c r="J1657" s="3">
        <v>282</v>
      </c>
      <c r="K1657" s="3">
        <v>581</v>
      </c>
      <c r="L1657" s="3">
        <v>51</v>
      </c>
      <c r="M1657" s="3">
        <v>150</v>
      </c>
    </row>
    <row r="1658" spans="1:13" x14ac:dyDescent="0.25">
      <c r="A1658" s="1" t="str">
        <f>HYPERLINK("http://www.rosaceae.org/Prunus/Prunus_persica/p.persica_gdr_reftransV1_0020614","p.persica_gdr_reftransV1_0020614")</f>
        <v>p.persica_gdr_reftransV1_0020614</v>
      </c>
      <c r="B1658" s="3">
        <v>615</v>
      </c>
      <c r="C1658" s="1" t="str">
        <f>HYPERLINK("http://www.uniprot.org/uniprot/Y4317_ARATH","Y4317_ARATH")</f>
        <v>Y4317_ARATH</v>
      </c>
      <c r="D1658" t="s">
        <v>1662</v>
      </c>
      <c r="E1658" s="3" t="s">
        <v>3</v>
      </c>
      <c r="F1658" s="4">
        <v>1.95E-12</v>
      </c>
      <c r="G1658" s="3">
        <v>162</v>
      </c>
      <c r="H1658" s="3">
        <v>35</v>
      </c>
      <c r="I1658" s="3">
        <v>109</v>
      </c>
      <c r="J1658" s="3">
        <v>20</v>
      </c>
      <c r="K1658" s="3">
        <v>343</v>
      </c>
      <c r="L1658" s="3">
        <v>133</v>
      </c>
      <c r="M1658" s="3">
        <v>241</v>
      </c>
    </row>
    <row r="1659" spans="1:13" x14ac:dyDescent="0.25">
      <c r="A1659" s="1" t="str">
        <f>HYPERLINK("http://www.rosaceae.org/Prunus/Prunus_persica/p.persica_gdr_reftransV1_0020764","p.persica_gdr_reftransV1_0020764")</f>
        <v>p.persica_gdr_reftransV1_0020764</v>
      </c>
      <c r="B1659" s="3">
        <v>4036</v>
      </c>
      <c r="C1659" s="1" t="str">
        <f>HYPERLINK("http://www.uniprot.org/uniprot/Y1770_SYNY3","Y1770_SYNY3")</f>
        <v>Y1770_SYNY3</v>
      </c>
      <c r="D1659" t="s">
        <v>1663</v>
      </c>
      <c r="E1659" s="3" t="s">
        <v>527</v>
      </c>
      <c r="F1659" s="4">
        <v>7.9800000000000001E-161</v>
      </c>
      <c r="G1659" s="3">
        <v>1292</v>
      </c>
      <c r="H1659" s="3">
        <v>44</v>
      </c>
      <c r="I1659" s="3">
        <v>625</v>
      </c>
      <c r="J1659" s="3">
        <v>1233</v>
      </c>
      <c r="K1659" s="3">
        <v>3092</v>
      </c>
      <c r="L1659" s="3">
        <v>15</v>
      </c>
      <c r="M1659" s="3">
        <v>585</v>
      </c>
    </row>
    <row r="1660" spans="1:13" x14ac:dyDescent="0.25">
      <c r="A1660" s="1" t="str">
        <f>HYPERLINK("http://www.rosaceae.org/Prunus/Prunus_persica/p.persica_gdr_reftransV1_0021064","p.persica_gdr_reftransV1_0021064")</f>
        <v>p.persica_gdr_reftransV1_0021064</v>
      </c>
      <c r="B1660" s="3">
        <v>2155</v>
      </c>
      <c r="C1660" s="1" t="str">
        <f>HYPERLINK("http://www.uniprot.org/uniprot/RIN4_ARATH","RIN4_ARATH")</f>
        <v>RIN4_ARATH</v>
      </c>
      <c r="D1660" t="s">
        <v>1664</v>
      </c>
      <c r="E1660" s="3" t="s">
        <v>3</v>
      </c>
      <c r="F1660" s="4">
        <v>8.7800000000000002E-20</v>
      </c>
      <c r="G1660" s="3">
        <v>231</v>
      </c>
      <c r="H1660" s="3">
        <v>44</v>
      </c>
      <c r="I1660" s="3">
        <v>147</v>
      </c>
      <c r="J1660" s="3">
        <v>777</v>
      </c>
      <c r="K1660" s="3">
        <v>1202</v>
      </c>
      <c r="L1660" s="3">
        <v>3</v>
      </c>
      <c r="M1660" s="3">
        <v>122</v>
      </c>
    </row>
    <row r="1661" spans="1:13" x14ac:dyDescent="0.25">
      <c r="A1661" s="1" t="str">
        <f>HYPERLINK("http://www.rosaceae.org/Prunus/Prunus_persica/p.persica_gdr_reftransV1_0021114","p.persica_gdr_reftransV1_0021114")</f>
        <v>p.persica_gdr_reftransV1_0021114</v>
      </c>
      <c r="B1661" s="3">
        <v>4086</v>
      </c>
      <c r="C1661" s="1" t="str">
        <f>HYPERLINK("http://www.uniprot.org/uniprot/VHAA1_ARATH","VHAA1_ARATH")</f>
        <v>VHAA1_ARATH</v>
      </c>
      <c r="D1661" t="s">
        <v>1665</v>
      </c>
      <c r="E1661" s="3" t="s">
        <v>3</v>
      </c>
      <c r="F1661" s="4">
        <v>0</v>
      </c>
      <c r="G1661" s="3">
        <v>1760</v>
      </c>
      <c r="H1661" s="3">
        <v>76</v>
      </c>
      <c r="I1661" s="3">
        <v>455</v>
      </c>
      <c r="J1661" s="3">
        <v>283</v>
      </c>
      <c r="K1661" s="3">
        <v>1647</v>
      </c>
      <c r="L1661" s="3">
        <v>1</v>
      </c>
      <c r="M1661" s="3">
        <v>455</v>
      </c>
    </row>
    <row r="1662" spans="1:13" x14ac:dyDescent="0.25">
      <c r="A1662" s="1" t="str">
        <f>HYPERLINK("http://www.rosaceae.org/Prunus/Prunus_persica/p.persica_gdr_reftransV1_0021164","p.persica_gdr_reftransV1_0021164")</f>
        <v>p.persica_gdr_reftransV1_0021164</v>
      </c>
      <c r="B1662" s="3">
        <v>2905</v>
      </c>
      <c r="C1662" s="1" t="str">
        <f>HYPERLINK("http://www.uniprot.org/uniprot/AP5M_ARATH","AP5M_ARATH")</f>
        <v>AP5M_ARATH</v>
      </c>
      <c r="D1662" t="s">
        <v>1455</v>
      </c>
      <c r="E1662" s="3" t="s">
        <v>3</v>
      </c>
      <c r="F1662" s="4">
        <v>0</v>
      </c>
      <c r="G1662" s="3">
        <v>1249</v>
      </c>
      <c r="H1662" s="3">
        <v>61</v>
      </c>
      <c r="I1662" s="3">
        <v>478</v>
      </c>
      <c r="J1662" s="3">
        <v>872</v>
      </c>
      <c r="K1662" s="3">
        <v>2290</v>
      </c>
      <c r="L1662" s="3">
        <v>174</v>
      </c>
      <c r="M1662" s="3">
        <v>593</v>
      </c>
    </row>
    <row r="1663" spans="1:13" x14ac:dyDescent="0.25">
      <c r="A1663" s="1" t="str">
        <f>HYPERLINK("http://www.rosaceae.org/Prunus/Prunus_persica/p.persica_gdr_reftransV1_0021214","p.persica_gdr_reftransV1_0021214")</f>
        <v>p.persica_gdr_reftransV1_0021214</v>
      </c>
      <c r="B1663" s="3">
        <v>1461</v>
      </c>
      <c r="C1663" s="1" t="str">
        <f>HYPERLINK("http://www.uniprot.org/uniprot/TSJT1_TOBAC","TSJT1_TOBAC")</f>
        <v>TSJT1_TOBAC</v>
      </c>
      <c r="D1663" t="s">
        <v>1570</v>
      </c>
      <c r="E1663" s="3" t="s">
        <v>200</v>
      </c>
      <c r="F1663" s="4">
        <v>2.01E-31</v>
      </c>
      <c r="G1663" s="3">
        <v>306</v>
      </c>
      <c r="H1663" s="3">
        <v>39</v>
      </c>
      <c r="I1663" s="3">
        <v>151</v>
      </c>
      <c r="J1663" s="3">
        <v>922</v>
      </c>
      <c r="K1663" s="3">
        <v>1365</v>
      </c>
      <c r="L1663" s="3">
        <v>1</v>
      </c>
      <c r="M1663" s="3">
        <v>148</v>
      </c>
    </row>
    <row r="1664" spans="1:13" x14ac:dyDescent="0.25">
      <c r="A1664" s="1" t="str">
        <f>HYPERLINK("http://www.rosaceae.org/Prunus/Prunus_persica/p.persica_gdr_reftransV1_0021264","p.persica_gdr_reftransV1_0021264")</f>
        <v>p.persica_gdr_reftransV1_0021264</v>
      </c>
      <c r="B1664" s="3">
        <v>863</v>
      </c>
      <c r="C1664" s="1" t="str">
        <f>HYPERLINK("http://www.uniprot.org/uniprot/ASIL2_ARATH","ASIL2_ARATH")</f>
        <v>ASIL2_ARATH</v>
      </c>
      <c r="D1664" t="s">
        <v>1243</v>
      </c>
      <c r="E1664" s="3" t="s">
        <v>3</v>
      </c>
      <c r="F1664" s="4">
        <v>5.2600000000000004E-10</v>
      </c>
      <c r="G1664" s="3">
        <v>152</v>
      </c>
      <c r="H1664" s="3">
        <v>34</v>
      </c>
      <c r="I1664" s="3">
        <v>91</v>
      </c>
      <c r="J1664" s="3">
        <v>493</v>
      </c>
      <c r="K1664" s="3">
        <v>762</v>
      </c>
      <c r="L1664" s="3">
        <v>84</v>
      </c>
      <c r="M1664" s="3">
        <v>172</v>
      </c>
    </row>
    <row r="1665" spans="1:13" x14ac:dyDescent="0.25">
      <c r="A1665" s="1" t="str">
        <f>HYPERLINK("http://www.rosaceae.org/Prunus/Prunus_persica/p.persica_gdr_reftransV1_0021314","p.persica_gdr_reftransV1_0021314")</f>
        <v>p.persica_gdr_reftransV1_0021314</v>
      </c>
      <c r="B1665" s="3">
        <v>1869</v>
      </c>
      <c r="C1665" s="1" t="str">
        <f>HYPERLINK("http://www.uniprot.org/uniprot/SAPK2_ORYSI","SAPK2_ORYSI")</f>
        <v>SAPK2_ORYSI</v>
      </c>
      <c r="D1665" t="s">
        <v>1666</v>
      </c>
      <c r="E1665" s="3" t="s">
        <v>38</v>
      </c>
      <c r="F1665" s="4">
        <v>8.6200000000000001E-88</v>
      </c>
      <c r="G1665" s="3">
        <v>657</v>
      </c>
      <c r="H1665" s="3">
        <v>68</v>
      </c>
      <c r="I1665" s="3">
        <v>187</v>
      </c>
      <c r="J1665" s="3">
        <v>1145</v>
      </c>
      <c r="K1665" s="3">
        <v>1696</v>
      </c>
      <c r="L1665" s="3">
        <v>150</v>
      </c>
      <c r="M1665" s="3">
        <v>336</v>
      </c>
    </row>
    <row r="1666" spans="1:13" x14ac:dyDescent="0.25">
      <c r="A1666" s="1" t="str">
        <f>HYPERLINK("http://www.rosaceae.org/Prunus/Prunus_persica/p.persica_gdr_reftransV1_0021364","p.persica_gdr_reftransV1_0021364")</f>
        <v>p.persica_gdr_reftransV1_0021364</v>
      </c>
      <c r="B1666" s="3">
        <v>2736</v>
      </c>
      <c r="C1666" s="1" t="str">
        <f>HYPERLINK("http://www.uniprot.org/uniprot/SYEM_ARATH","SYEM_ARATH")</f>
        <v>SYEM_ARATH</v>
      </c>
      <c r="D1666" t="s">
        <v>1667</v>
      </c>
      <c r="E1666" s="3" t="s">
        <v>3</v>
      </c>
      <c r="F1666" s="4">
        <v>0</v>
      </c>
      <c r="G1666" s="3">
        <v>2359</v>
      </c>
      <c r="H1666" s="3">
        <v>78</v>
      </c>
      <c r="I1666" s="3">
        <v>574</v>
      </c>
      <c r="J1666" s="3">
        <v>826</v>
      </c>
      <c r="K1666" s="3">
        <v>2541</v>
      </c>
      <c r="L1666" s="3">
        <v>1</v>
      </c>
      <c r="M1666" s="3">
        <v>570</v>
      </c>
    </row>
    <row r="1667" spans="1:13" x14ac:dyDescent="0.25">
      <c r="A1667" s="1" t="str">
        <f>HYPERLINK("http://www.rosaceae.org/Prunus/Prunus_persica/p.persica_gdr_reftransV1_0021464","p.persica_gdr_reftransV1_0021464")</f>
        <v>p.persica_gdr_reftransV1_0021464</v>
      </c>
      <c r="B1667" s="3">
        <v>2604</v>
      </c>
      <c r="C1667" s="1" t="str">
        <f>HYPERLINK("http://www.uniprot.org/uniprot/GYP7_YARLI","GYP7_YARLI")</f>
        <v>GYP7_YARLI</v>
      </c>
      <c r="D1667" t="s">
        <v>1668</v>
      </c>
      <c r="E1667" s="3" t="s">
        <v>1669</v>
      </c>
      <c r="F1667" s="4">
        <v>3.1799999999999999E-28</v>
      </c>
      <c r="G1667" s="3">
        <v>314</v>
      </c>
      <c r="H1667" s="3">
        <v>31</v>
      </c>
      <c r="I1667" s="3">
        <v>208</v>
      </c>
      <c r="J1667" s="3">
        <v>1534</v>
      </c>
      <c r="K1667" s="3">
        <v>2157</v>
      </c>
      <c r="L1667" s="3">
        <v>495</v>
      </c>
      <c r="M1667" s="3">
        <v>682</v>
      </c>
    </row>
    <row r="1668" spans="1:13" x14ac:dyDescent="0.25">
      <c r="A1668" s="1" t="str">
        <f>HYPERLINK("http://www.rosaceae.org/Prunus/Prunus_persica/p.persica_gdr_reftransV1_0021664","p.persica_gdr_reftransV1_0021664")</f>
        <v>p.persica_gdr_reftransV1_0021664</v>
      </c>
      <c r="B1668" s="3">
        <v>1508</v>
      </c>
      <c r="C1668" s="1" t="str">
        <f>HYPERLINK("http://www.uniprot.org/uniprot/VDAC2_SOLTU","VDAC2_SOLTU")</f>
        <v>VDAC2_SOLTU</v>
      </c>
      <c r="D1668" t="s">
        <v>335</v>
      </c>
      <c r="E1668" s="3" t="s">
        <v>11</v>
      </c>
      <c r="F1668" s="4">
        <v>1.07E-158</v>
      </c>
      <c r="G1668" s="3">
        <v>1181</v>
      </c>
      <c r="H1668" s="3">
        <v>82</v>
      </c>
      <c r="I1668" s="3">
        <v>265</v>
      </c>
      <c r="J1668" s="3">
        <v>197</v>
      </c>
      <c r="K1668" s="3">
        <v>991</v>
      </c>
      <c r="L1668" s="3">
        <v>1</v>
      </c>
      <c r="M1668" s="3">
        <v>265</v>
      </c>
    </row>
    <row r="1669" spans="1:13" x14ac:dyDescent="0.25">
      <c r="A1669" s="1" t="str">
        <f>HYPERLINK("http://www.rosaceae.org/Prunus/Prunus_persica/p.persica_gdr_reftransV1_0021764","p.persica_gdr_reftransV1_0021764")</f>
        <v>p.persica_gdr_reftransV1_0021764</v>
      </c>
      <c r="B1669" s="3">
        <v>692</v>
      </c>
      <c r="C1669" s="1" t="str">
        <f>HYPERLINK("http://www.uniprot.org/uniprot/OSP4_PEA","OSP4_PEA")</f>
        <v>OSP4_PEA</v>
      </c>
      <c r="D1669" t="s">
        <v>1670</v>
      </c>
      <c r="E1669" s="3" t="s">
        <v>60</v>
      </c>
      <c r="F1669" s="4">
        <v>2.1899999999999999E-7</v>
      </c>
      <c r="G1669" s="3">
        <v>123</v>
      </c>
      <c r="H1669" s="3">
        <v>32</v>
      </c>
      <c r="I1669" s="3">
        <v>119</v>
      </c>
      <c r="J1669" s="3">
        <v>276</v>
      </c>
      <c r="K1669" s="3">
        <v>611</v>
      </c>
      <c r="L1669" s="3">
        <v>21</v>
      </c>
      <c r="M1669" s="3">
        <v>129</v>
      </c>
    </row>
    <row r="1670" spans="1:13" x14ac:dyDescent="0.25">
      <c r="A1670" s="1" t="str">
        <f>HYPERLINK("http://www.rosaceae.org/Prunus/Prunus_persica/p.persica_gdr_reftransV1_0021864","p.persica_gdr_reftransV1_0021864")</f>
        <v>p.persica_gdr_reftransV1_0021864</v>
      </c>
      <c r="B1670" s="3">
        <v>2160</v>
      </c>
      <c r="C1670" s="1" t="str">
        <f>HYPERLINK("http://www.uniprot.org/uniprot/Y009_CHLTE","Y009_CHLTE")</f>
        <v>Y009_CHLTE</v>
      </c>
      <c r="D1670" t="s">
        <v>1671</v>
      </c>
      <c r="E1670" s="3" t="s">
        <v>1672</v>
      </c>
      <c r="F1670" s="4">
        <v>2.02E-99</v>
      </c>
      <c r="G1670" s="3">
        <v>823</v>
      </c>
      <c r="H1670" s="3">
        <v>38</v>
      </c>
      <c r="I1670" s="3">
        <v>491</v>
      </c>
      <c r="J1670" s="3">
        <v>521</v>
      </c>
      <c r="K1670" s="3">
        <v>1975</v>
      </c>
      <c r="L1670" s="3">
        <v>13</v>
      </c>
      <c r="M1670" s="3">
        <v>480</v>
      </c>
    </row>
    <row r="1671" spans="1:13" x14ac:dyDescent="0.25">
      <c r="A1671" s="1" t="str">
        <f>HYPERLINK("http://www.rosaceae.org/Prunus/Prunus_persica/p.persica_gdr_reftransV1_0021914","p.persica_gdr_reftransV1_0021914")</f>
        <v>p.persica_gdr_reftransV1_0021914</v>
      </c>
      <c r="B1671" s="3">
        <v>4240</v>
      </c>
      <c r="C1671" s="1" t="str">
        <f>HYPERLINK("http://www.uniprot.org/uniprot/YERG_SCHPO","YERG_SCHPO")</f>
        <v>YERG_SCHPO</v>
      </c>
      <c r="D1671" t="s">
        <v>1673</v>
      </c>
      <c r="E1671" s="3" t="s">
        <v>464</v>
      </c>
      <c r="F1671" s="4">
        <v>1.7400000000000002E-61</v>
      </c>
      <c r="G1671" s="3">
        <v>567</v>
      </c>
      <c r="H1671" s="3">
        <v>36</v>
      </c>
      <c r="I1671" s="3">
        <v>314</v>
      </c>
      <c r="J1671" s="3">
        <v>2895</v>
      </c>
      <c r="K1671" s="3">
        <v>3827</v>
      </c>
      <c r="L1671" s="3">
        <v>67</v>
      </c>
      <c r="M1671" s="3">
        <v>374</v>
      </c>
    </row>
    <row r="1672" spans="1:13" x14ac:dyDescent="0.25">
      <c r="A1672" s="1" t="str">
        <f>HYPERLINK("http://www.rosaceae.org/Prunus/Prunus_persica/p.persica_gdr_reftransV1_0022014","p.persica_gdr_reftransV1_0022014")</f>
        <v>p.persica_gdr_reftransV1_0022014</v>
      </c>
      <c r="B1672" s="3">
        <v>3037</v>
      </c>
      <c r="C1672" s="1" t="str">
        <f>HYPERLINK("http://www.uniprot.org/uniprot/BIM2_ARATH","BIM2_ARATH")</f>
        <v>BIM2_ARATH</v>
      </c>
      <c r="D1672" t="s">
        <v>1674</v>
      </c>
      <c r="E1672" s="3" t="s">
        <v>3</v>
      </c>
      <c r="F1672" s="4">
        <v>1.8399999999999999E-98</v>
      </c>
      <c r="G1672" s="3">
        <v>817</v>
      </c>
      <c r="H1672" s="3">
        <v>59</v>
      </c>
      <c r="I1672" s="3">
        <v>309</v>
      </c>
      <c r="J1672" s="3">
        <v>1791</v>
      </c>
      <c r="K1672" s="3">
        <v>2708</v>
      </c>
      <c r="L1672" s="3">
        <v>1</v>
      </c>
      <c r="M1672" s="3">
        <v>288</v>
      </c>
    </row>
    <row r="1673" spans="1:13" x14ac:dyDescent="0.25">
      <c r="A1673" s="1" t="str">
        <f>HYPERLINK("http://www.rosaceae.org/Prunus/Prunus_persica/p.persica_gdr_reftransV1_0022364","p.persica_gdr_reftransV1_0022364")</f>
        <v>p.persica_gdr_reftransV1_0022364</v>
      </c>
      <c r="B1673" s="3">
        <v>1559</v>
      </c>
      <c r="C1673" s="1" t="str">
        <f>HYPERLINK("http://www.uniprot.org/uniprot/DRB3_ARATH","DRB3_ARATH")</f>
        <v>DRB3_ARATH</v>
      </c>
      <c r="D1673" t="s">
        <v>1675</v>
      </c>
      <c r="E1673" s="3" t="s">
        <v>3</v>
      </c>
      <c r="F1673" s="4">
        <v>1.27E-27</v>
      </c>
      <c r="G1673" s="3">
        <v>190</v>
      </c>
      <c r="H1673" s="3">
        <v>44</v>
      </c>
      <c r="I1673" s="3">
        <v>84</v>
      </c>
      <c r="J1673" s="3">
        <v>891</v>
      </c>
      <c r="K1673" s="3">
        <v>1142</v>
      </c>
      <c r="L1673" s="3">
        <v>83</v>
      </c>
      <c r="M1673" s="3">
        <v>161</v>
      </c>
    </row>
    <row r="1674" spans="1:13" x14ac:dyDescent="0.25">
      <c r="A1674" s="1" t="str">
        <f>HYPERLINK("http://www.rosaceae.org/Prunus/Prunus_persica/p.persica_gdr_reftransV1_0022664","p.persica_gdr_reftransV1_0022664")</f>
        <v>p.persica_gdr_reftransV1_0022664</v>
      </c>
      <c r="B1674" s="3">
        <v>2283</v>
      </c>
      <c r="C1674" s="1" t="str">
        <f>HYPERLINK("http://www.uniprot.org/uniprot/ARAD1_ARATH","ARAD1_ARATH")</f>
        <v>ARAD1_ARATH</v>
      </c>
      <c r="D1674" t="s">
        <v>123</v>
      </c>
      <c r="E1674" s="3" t="s">
        <v>3</v>
      </c>
      <c r="F1674" s="4">
        <v>4.0899999999999999E-46</v>
      </c>
      <c r="G1674" s="3">
        <v>443</v>
      </c>
      <c r="H1674" s="3">
        <v>32</v>
      </c>
      <c r="I1674" s="3">
        <v>399</v>
      </c>
      <c r="J1674" s="3">
        <v>428</v>
      </c>
      <c r="K1674" s="3">
        <v>1594</v>
      </c>
      <c r="L1674" s="3">
        <v>55</v>
      </c>
      <c r="M1674" s="3">
        <v>406</v>
      </c>
    </row>
    <row r="1675" spans="1:13" x14ac:dyDescent="0.25">
      <c r="A1675" s="1" t="str">
        <f>HYPERLINK("http://www.rosaceae.org/Prunus/Prunus_persica/p.persica_gdr_reftransV1_0022764","p.persica_gdr_reftransV1_0022764")</f>
        <v>p.persica_gdr_reftransV1_0022764</v>
      </c>
      <c r="B1675" s="3">
        <v>1323</v>
      </c>
      <c r="C1675" s="1" t="str">
        <f>HYPERLINK("http://www.uniprot.org/uniprot/SERK1_ARATH","SERK1_ARATH")</f>
        <v>SERK1_ARATH</v>
      </c>
      <c r="D1675" t="s">
        <v>1676</v>
      </c>
      <c r="E1675" s="3" t="s">
        <v>3</v>
      </c>
      <c r="F1675" s="4">
        <v>3.45E-65</v>
      </c>
      <c r="G1675" s="3">
        <v>576</v>
      </c>
      <c r="H1675" s="3">
        <v>64</v>
      </c>
      <c r="I1675" s="3">
        <v>181</v>
      </c>
      <c r="J1675" s="3">
        <v>273</v>
      </c>
      <c r="K1675" s="3">
        <v>815</v>
      </c>
      <c r="L1675" s="3">
        <v>24</v>
      </c>
      <c r="M1675" s="3">
        <v>204</v>
      </c>
    </row>
    <row r="1676" spans="1:13" x14ac:dyDescent="0.25">
      <c r="A1676" s="1" t="str">
        <f>HYPERLINK("http://www.rosaceae.org/Prunus/Prunus_persica/p.persica_gdr_reftransV1_0022964","p.persica_gdr_reftransV1_0022964")</f>
        <v>p.persica_gdr_reftransV1_0022964</v>
      </c>
      <c r="B1676" s="3">
        <v>5968</v>
      </c>
      <c r="C1676" s="1" t="str">
        <f>HYPERLINK("http://www.uniprot.org/uniprot/PP437_ARATH","PP437_ARATH")</f>
        <v>PP437_ARATH</v>
      </c>
      <c r="D1676" t="s">
        <v>1677</v>
      </c>
      <c r="E1676" s="3" t="s">
        <v>3</v>
      </c>
      <c r="F1676" s="4">
        <v>0</v>
      </c>
      <c r="G1676" s="3">
        <v>2707</v>
      </c>
      <c r="H1676" s="3">
        <v>60</v>
      </c>
      <c r="I1676" s="3">
        <v>833</v>
      </c>
      <c r="J1676" s="3">
        <v>3</v>
      </c>
      <c r="K1676" s="3">
        <v>2495</v>
      </c>
      <c r="L1676" s="3">
        <v>65</v>
      </c>
      <c r="M1676" s="3">
        <v>897</v>
      </c>
    </row>
    <row r="1677" spans="1:13" x14ac:dyDescent="0.25">
      <c r="A1677" s="1" t="str">
        <f>HYPERLINK("http://www.rosaceae.org/Prunus/Prunus_persica/p.persica_gdr_reftransV1_0023064","p.persica_gdr_reftransV1_0023064")</f>
        <v>p.persica_gdr_reftransV1_0023064</v>
      </c>
      <c r="B1677" s="3">
        <v>1274</v>
      </c>
      <c r="C1677" s="1" t="str">
        <f>HYPERLINK("http://www.uniprot.org/uniprot/RISB_ARATH","RISB_ARATH")</f>
        <v>RISB_ARATH</v>
      </c>
      <c r="D1677" t="s">
        <v>1678</v>
      </c>
      <c r="E1677" s="3" t="s">
        <v>3</v>
      </c>
      <c r="F1677" s="4">
        <v>9.3000000000000006E-77</v>
      </c>
      <c r="G1677" s="3">
        <v>624</v>
      </c>
      <c r="H1677" s="3">
        <v>80</v>
      </c>
      <c r="I1677" s="3">
        <v>138</v>
      </c>
      <c r="J1677" s="3">
        <v>438</v>
      </c>
      <c r="K1677" s="3">
        <v>851</v>
      </c>
      <c r="L1677" s="3">
        <v>90</v>
      </c>
      <c r="M1677" s="3">
        <v>227</v>
      </c>
    </row>
    <row r="1678" spans="1:13" x14ac:dyDescent="0.25">
      <c r="A1678" s="1" t="str">
        <f>HYPERLINK("http://www.rosaceae.org/Prunus/Prunus_persica/p.persica_gdr_reftransV1_0023264","p.persica_gdr_reftransV1_0023264")</f>
        <v>p.persica_gdr_reftransV1_0023264</v>
      </c>
      <c r="B1678" s="3">
        <v>2744</v>
      </c>
      <c r="C1678" s="1" t="str">
        <f>HYPERLINK("http://www.uniprot.org/uniprot/NT5D_DICDI","NT5D_DICDI")</f>
        <v>NT5D_DICDI</v>
      </c>
      <c r="D1678" t="s">
        <v>1679</v>
      </c>
      <c r="E1678" s="3" t="s">
        <v>9</v>
      </c>
      <c r="F1678" s="4">
        <v>5.4800000000000003E-110</v>
      </c>
      <c r="G1678" s="3">
        <v>917</v>
      </c>
      <c r="H1678" s="3">
        <v>41</v>
      </c>
      <c r="I1678" s="3">
        <v>463</v>
      </c>
      <c r="J1678" s="3">
        <v>438</v>
      </c>
      <c r="K1678" s="3">
        <v>1817</v>
      </c>
      <c r="L1678" s="3">
        <v>137</v>
      </c>
      <c r="M1678" s="3">
        <v>591</v>
      </c>
    </row>
    <row r="1679" spans="1:13" x14ac:dyDescent="0.25">
      <c r="A1679" s="1" t="str">
        <f>HYPERLINK("http://www.rosaceae.org/Prunus/Prunus_persica/p.persica_gdr_reftransV1_0023864","p.persica_gdr_reftransV1_0023864")</f>
        <v>p.persica_gdr_reftransV1_0023864</v>
      </c>
      <c r="B1679" s="3">
        <v>2160</v>
      </c>
      <c r="C1679" s="1" t="str">
        <f>HYPERLINK("http://www.uniprot.org/uniprot/GBF4_ARATH","GBF4_ARATH")</f>
        <v>GBF4_ARATH</v>
      </c>
      <c r="D1679" t="s">
        <v>1680</v>
      </c>
      <c r="E1679" s="3" t="s">
        <v>3</v>
      </c>
      <c r="F1679" s="4">
        <v>2.5399999999999998E-34</v>
      </c>
      <c r="G1679" s="3">
        <v>344</v>
      </c>
      <c r="H1679" s="3">
        <v>59</v>
      </c>
      <c r="I1679" s="3">
        <v>208</v>
      </c>
      <c r="J1679" s="3">
        <v>1006</v>
      </c>
      <c r="K1679" s="3">
        <v>1605</v>
      </c>
      <c r="L1679" s="3">
        <v>85</v>
      </c>
      <c r="M1679" s="3">
        <v>270</v>
      </c>
    </row>
    <row r="1680" spans="1:13" x14ac:dyDescent="0.25">
      <c r="A1680" s="1" t="str">
        <f>HYPERLINK("http://www.rosaceae.org/Prunus/Prunus_persica/p.persica_gdr_reftransV1_0023914","p.persica_gdr_reftransV1_0023914")</f>
        <v>p.persica_gdr_reftransV1_0023914</v>
      </c>
      <c r="B1680" s="3">
        <v>1897</v>
      </c>
      <c r="C1680" s="1" t="str">
        <f>HYPERLINK("http://www.uniprot.org/uniprot/PP424_ARATH","PP424_ARATH")</f>
        <v>PP424_ARATH</v>
      </c>
      <c r="D1680" t="s">
        <v>1681</v>
      </c>
      <c r="E1680" s="3" t="s">
        <v>3</v>
      </c>
      <c r="F1680" s="4">
        <v>0</v>
      </c>
      <c r="G1680" s="3">
        <v>1878</v>
      </c>
      <c r="H1680" s="3">
        <v>76</v>
      </c>
      <c r="I1680" s="3">
        <v>450</v>
      </c>
      <c r="J1680" s="3">
        <v>218</v>
      </c>
      <c r="K1680" s="3">
        <v>1567</v>
      </c>
      <c r="L1680" s="3">
        <v>62</v>
      </c>
      <c r="M1680" s="3">
        <v>508</v>
      </c>
    </row>
    <row r="1681" spans="1:13" x14ac:dyDescent="0.25">
      <c r="A1681" s="1" t="str">
        <f>HYPERLINK("http://www.rosaceae.org/Prunus/Prunus_persica/p.persica_gdr_reftransV1_0024064","p.persica_gdr_reftransV1_0024064")</f>
        <v>p.persica_gdr_reftransV1_0024064</v>
      </c>
      <c r="B1681" s="3">
        <v>3722</v>
      </c>
      <c r="C1681" s="1" t="str">
        <f>HYPERLINK("http://www.uniprot.org/uniprot/PPR49_ARATH","PPR49_ARATH")</f>
        <v>PPR49_ARATH</v>
      </c>
      <c r="D1681" t="s">
        <v>791</v>
      </c>
      <c r="E1681" s="3" t="s">
        <v>3</v>
      </c>
      <c r="F1681" s="4">
        <v>0</v>
      </c>
      <c r="G1681" s="3">
        <v>3048</v>
      </c>
      <c r="H1681" s="3">
        <v>65</v>
      </c>
      <c r="I1681" s="3">
        <v>884</v>
      </c>
      <c r="J1681" s="3">
        <v>649</v>
      </c>
      <c r="K1681" s="3">
        <v>3258</v>
      </c>
      <c r="L1681" s="3">
        <v>1</v>
      </c>
      <c r="M1681" s="3">
        <v>860</v>
      </c>
    </row>
    <row r="1682" spans="1:13" x14ac:dyDescent="0.25">
      <c r="A1682" s="1" t="str">
        <f>HYPERLINK("http://www.rosaceae.org/Prunus/Prunus_persica/p.persica_gdr_reftransV1_0024114","p.persica_gdr_reftransV1_0024114")</f>
        <v>p.persica_gdr_reftransV1_0024114</v>
      </c>
      <c r="B1682" s="3">
        <v>1093</v>
      </c>
      <c r="C1682" s="1" t="str">
        <f>HYPERLINK("http://www.uniprot.org/uniprot/SERK1_ARATH","SERK1_ARATH")</f>
        <v>SERK1_ARATH</v>
      </c>
      <c r="D1682" t="s">
        <v>1676</v>
      </c>
      <c r="E1682" s="3" t="s">
        <v>3</v>
      </c>
      <c r="F1682" s="4">
        <v>3.9299999999999998E-57</v>
      </c>
      <c r="G1682" s="3">
        <v>513</v>
      </c>
      <c r="H1682" s="3">
        <v>63</v>
      </c>
      <c r="I1682" s="3">
        <v>157</v>
      </c>
      <c r="J1682" s="3">
        <v>231</v>
      </c>
      <c r="K1682" s="3">
        <v>701</v>
      </c>
      <c r="L1682" s="3">
        <v>26</v>
      </c>
      <c r="M1682" s="3">
        <v>182</v>
      </c>
    </row>
    <row r="1683" spans="1:13" x14ac:dyDescent="0.25">
      <c r="A1683" s="1" t="str">
        <f>HYPERLINK("http://www.rosaceae.org/Prunus/Prunus_persica/p.persica_gdr_reftransV1_0024164","p.persica_gdr_reftransV1_0024164")</f>
        <v>p.persica_gdr_reftransV1_0024164</v>
      </c>
      <c r="B1683" s="3">
        <v>3179</v>
      </c>
      <c r="C1683" s="1" t="str">
        <f>HYPERLINK("http://www.uniprot.org/uniprot/RBOHE_ARATH","RBOHE_ARATH")</f>
        <v>RBOHE_ARATH</v>
      </c>
      <c r="D1683" t="s">
        <v>1682</v>
      </c>
      <c r="E1683" s="3" t="s">
        <v>3</v>
      </c>
      <c r="F1683" s="4">
        <v>0</v>
      </c>
      <c r="G1683" s="3">
        <v>2263</v>
      </c>
      <c r="H1683" s="3">
        <v>70</v>
      </c>
      <c r="I1683" s="3">
        <v>628</v>
      </c>
      <c r="J1683" s="3">
        <v>1068</v>
      </c>
      <c r="K1683" s="3">
        <v>2927</v>
      </c>
      <c r="L1683" s="3">
        <v>333</v>
      </c>
      <c r="M1683" s="3">
        <v>952</v>
      </c>
    </row>
    <row r="1684" spans="1:13" x14ac:dyDescent="0.25">
      <c r="A1684" s="1" t="str">
        <f>HYPERLINK("http://www.rosaceae.org/Prunus/Prunus_persica/p.persica_gdr_reftransV1_0025014","p.persica_gdr_reftransV1_0025014")</f>
        <v>p.persica_gdr_reftransV1_0025014</v>
      </c>
      <c r="B1684" s="3">
        <v>1201</v>
      </c>
      <c r="C1684" s="1" t="str">
        <f>HYPERLINK("http://www.uniprot.org/uniprot/BH062_ARATH","BH062_ARATH")</f>
        <v>BH062_ARATH</v>
      </c>
      <c r="D1684" t="s">
        <v>1683</v>
      </c>
      <c r="E1684" s="3" t="s">
        <v>3</v>
      </c>
      <c r="F1684" s="4">
        <v>3.2900000000000001E-73</v>
      </c>
      <c r="G1684" s="3">
        <v>617</v>
      </c>
      <c r="H1684" s="3">
        <v>56</v>
      </c>
      <c r="I1684" s="3">
        <v>246</v>
      </c>
      <c r="J1684" s="3">
        <v>18</v>
      </c>
      <c r="K1684" s="3">
        <v>746</v>
      </c>
      <c r="L1684" s="3">
        <v>250</v>
      </c>
      <c r="M1684" s="3">
        <v>456</v>
      </c>
    </row>
    <row r="1685" spans="1:13" x14ac:dyDescent="0.25">
      <c r="A1685" s="1" t="str">
        <f>HYPERLINK("http://www.rosaceae.org/Prunus/Prunus_persica/p.persica_gdr_reftransV1_0025214","p.persica_gdr_reftransV1_0025214")</f>
        <v>p.persica_gdr_reftransV1_0025214</v>
      </c>
      <c r="B1685" s="3">
        <v>981</v>
      </c>
      <c r="C1685" s="1" t="str">
        <f>HYPERLINK("http://www.uniprot.org/uniprot/FAOMT_VITVI","FAOMT_VITVI")</f>
        <v>FAOMT_VITVI</v>
      </c>
      <c r="D1685" t="s">
        <v>1684</v>
      </c>
      <c r="E1685" s="3" t="s">
        <v>362</v>
      </c>
      <c r="F1685" s="4">
        <v>3.12E-107</v>
      </c>
      <c r="G1685" s="3">
        <v>818</v>
      </c>
      <c r="H1685" s="3">
        <v>70</v>
      </c>
      <c r="I1685" s="3">
        <v>235</v>
      </c>
      <c r="J1685" s="3">
        <v>220</v>
      </c>
      <c r="K1685" s="3">
        <v>915</v>
      </c>
      <c r="L1685" s="3">
        <v>9</v>
      </c>
      <c r="M1685" s="3">
        <v>235</v>
      </c>
    </row>
    <row r="1686" spans="1:13" x14ac:dyDescent="0.25">
      <c r="A1686" s="1" t="str">
        <f>HYPERLINK("http://www.rosaceae.org/Prunus/Prunus_persica/p.persica_gdr_reftransV1_0025564","p.persica_gdr_reftransV1_0025564")</f>
        <v>p.persica_gdr_reftransV1_0025564</v>
      </c>
      <c r="B1686" s="3">
        <v>723</v>
      </c>
      <c r="C1686" s="1" t="str">
        <f>HYPERLINK("http://www.uniprot.org/uniprot/RPOC2_MORIN","RPOC2_MORIN")</f>
        <v>RPOC2_MORIN</v>
      </c>
      <c r="D1686" t="s">
        <v>1685</v>
      </c>
      <c r="E1686" s="3" t="s">
        <v>69</v>
      </c>
      <c r="F1686" s="4">
        <v>2.4699999999999998E-106</v>
      </c>
      <c r="G1686" s="3">
        <v>872</v>
      </c>
      <c r="H1686" s="3">
        <v>87</v>
      </c>
      <c r="I1686" s="3">
        <v>192</v>
      </c>
      <c r="J1686" s="3">
        <v>148</v>
      </c>
      <c r="K1686" s="3">
        <v>723</v>
      </c>
      <c r="L1686" s="3">
        <v>558</v>
      </c>
      <c r="M1686" s="3">
        <v>749</v>
      </c>
    </row>
    <row r="1687" spans="1:13" x14ac:dyDescent="0.25">
      <c r="A1687" s="1" t="str">
        <f>HYPERLINK("http://www.rosaceae.org/Prunus/Prunus_persica/p.persica_gdr_reftransV1_0025664","p.persica_gdr_reftransV1_0025664")</f>
        <v>p.persica_gdr_reftransV1_0025664</v>
      </c>
      <c r="B1687" s="3">
        <v>7562</v>
      </c>
      <c r="C1687" s="1" t="str">
        <f>HYPERLINK("http://www.uniprot.org/uniprot/RH28_ARATH","RH28_ARATH")</f>
        <v>RH28_ARATH</v>
      </c>
      <c r="D1687" t="s">
        <v>1686</v>
      </c>
      <c r="E1687" s="3" t="s">
        <v>3</v>
      </c>
      <c r="F1687" s="4">
        <v>0</v>
      </c>
      <c r="G1687" s="3">
        <v>2057</v>
      </c>
      <c r="H1687" s="3">
        <v>65</v>
      </c>
      <c r="I1687" s="3">
        <v>651</v>
      </c>
      <c r="J1687" s="3">
        <v>778</v>
      </c>
      <c r="K1687" s="3">
        <v>2721</v>
      </c>
      <c r="L1687" s="3">
        <v>65</v>
      </c>
      <c r="M1687" s="3">
        <v>664</v>
      </c>
    </row>
    <row r="1688" spans="1:13" x14ac:dyDescent="0.25">
      <c r="A1688" s="1" t="str">
        <f>HYPERLINK("http://www.rosaceae.org/Prunus/Prunus_persica/p.persica_gdr_reftransV1_0025714","p.persica_gdr_reftransV1_0025714")</f>
        <v>p.persica_gdr_reftransV1_0025714</v>
      </c>
      <c r="B1688" s="3">
        <v>10084</v>
      </c>
      <c r="C1688" s="1" t="str">
        <f>HYPERLINK("http://www.uniprot.org/uniprot/PP249_ARATH","PP249_ARATH")</f>
        <v>PP249_ARATH</v>
      </c>
      <c r="D1688" t="s">
        <v>602</v>
      </c>
      <c r="E1688" s="3" t="s">
        <v>3</v>
      </c>
      <c r="F1688" s="4">
        <v>6.6699999999999998E-171</v>
      </c>
      <c r="G1688" s="3">
        <v>1436</v>
      </c>
      <c r="H1688" s="3">
        <v>36</v>
      </c>
      <c r="I1688" s="3">
        <v>858</v>
      </c>
      <c r="J1688" s="3">
        <v>1996</v>
      </c>
      <c r="K1688" s="3">
        <v>4506</v>
      </c>
      <c r="L1688" s="3">
        <v>17</v>
      </c>
      <c r="M1688" s="3">
        <v>842</v>
      </c>
    </row>
    <row r="1689" spans="1:13" x14ac:dyDescent="0.25">
      <c r="A1689" s="1" t="str">
        <f>HYPERLINK("http://www.rosaceae.org/Prunus/Prunus_persica/p.persica_gdr_reftransV1_0025764","p.persica_gdr_reftransV1_0025764")</f>
        <v>p.persica_gdr_reftransV1_0025764</v>
      </c>
      <c r="B1689" s="3">
        <v>3680</v>
      </c>
      <c r="C1689" s="1" t="str">
        <f>HYPERLINK("http://www.uniprot.org/uniprot/PUM5_ARATH","PUM5_ARATH")</f>
        <v>PUM5_ARATH</v>
      </c>
      <c r="D1689" t="s">
        <v>1687</v>
      </c>
      <c r="E1689" s="3" t="s">
        <v>3</v>
      </c>
      <c r="F1689" s="4">
        <v>0</v>
      </c>
      <c r="G1689" s="3">
        <v>1734</v>
      </c>
      <c r="H1689" s="3">
        <v>44</v>
      </c>
      <c r="I1689" s="3">
        <v>1014</v>
      </c>
      <c r="J1689" s="3">
        <v>519</v>
      </c>
      <c r="K1689" s="3">
        <v>3392</v>
      </c>
      <c r="L1689" s="3">
        <v>3</v>
      </c>
      <c r="M1689" s="3">
        <v>948</v>
      </c>
    </row>
    <row r="1690" spans="1:13" x14ac:dyDescent="0.25">
      <c r="A1690" s="1" t="str">
        <f>HYPERLINK("http://www.rosaceae.org/Prunus/Prunus_persica/p.persica_gdr_reftransV1_0025914","p.persica_gdr_reftransV1_0025914")</f>
        <v>p.persica_gdr_reftransV1_0025914</v>
      </c>
      <c r="B1690" s="3">
        <v>3115</v>
      </c>
      <c r="C1690" s="1" t="str">
        <f>HYPERLINK("http://www.uniprot.org/uniprot/Y1491_ARATH","Y1491_ARATH")</f>
        <v>Y1491_ARATH</v>
      </c>
      <c r="D1690" t="s">
        <v>310</v>
      </c>
      <c r="E1690" s="3" t="s">
        <v>3</v>
      </c>
      <c r="F1690" s="4">
        <v>1.15E-76</v>
      </c>
      <c r="G1690" s="3">
        <v>681</v>
      </c>
      <c r="H1690" s="3">
        <v>37</v>
      </c>
      <c r="I1690" s="3">
        <v>437</v>
      </c>
      <c r="J1690" s="3">
        <v>951</v>
      </c>
      <c r="K1690" s="3">
        <v>2225</v>
      </c>
      <c r="L1690" s="3">
        <v>61</v>
      </c>
      <c r="M1690" s="3">
        <v>487</v>
      </c>
    </row>
    <row r="1691" spans="1:13" x14ac:dyDescent="0.25">
      <c r="A1691" s="1" t="str">
        <f>HYPERLINK("http://www.rosaceae.org/Prunus/Prunus_persica/p.persica_gdr_reftransV1_0025964","p.persica_gdr_reftransV1_0025964")</f>
        <v>p.persica_gdr_reftransV1_0025964</v>
      </c>
      <c r="B1691" s="3">
        <v>6651</v>
      </c>
      <c r="C1691" s="1" t="str">
        <f>HYPERLINK("http://www.uniprot.org/uniprot/OTC_PEA","OTC_PEA")</f>
        <v>OTC_PEA</v>
      </c>
      <c r="D1691" t="s">
        <v>1688</v>
      </c>
      <c r="E1691" s="3" t="s">
        <v>60</v>
      </c>
      <c r="F1691" s="4">
        <v>0</v>
      </c>
      <c r="G1691" s="3">
        <v>1485</v>
      </c>
      <c r="H1691" s="3">
        <v>82</v>
      </c>
      <c r="I1691" s="3">
        <v>327</v>
      </c>
      <c r="J1691" s="3">
        <v>5449</v>
      </c>
      <c r="K1691" s="3">
        <v>6429</v>
      </c>
      <c r="L1691" s="3">
        <v>49</v>
      </c>
      <c r="M1691" s="3">
        <v>374</v>
      </c>
    </row>
    <row r="1692" spans="1:13" x14ac:dyDescent="0.25">
      <c r="A1692" s="1" t="str">
        <f>HYPERLINK("http://www.rosaceae.org/Prunus/Prunus_persica/p.persica_gdr_reftransV1_0026164","p.persica_gdr_reftransV1_0026164")</f>
        <v>p.persica_gdr_reftransV1_0026164</v>
      </c>
      <c r="B1692" s="3">
        <v>1949</v>
      </c>
      <c r="C1692" s="1" t="str">
        <f>HYPERLINK("http://www.uniprot.org/uniprot/FRI3_SOYBN","FRI3_SOYBN")</f>
        <v>FRI3_SOYBN</v>
      </c>
      <c r="D1692" t="s">
        <v>1689</v>
      </c>
      <c r="E1692" s="3" t="s">
        <v>307</v>
      </c>
      <c r="F1692" s="4">
        <v>2.97E-103</v>
      </c>
      <c r="G1692" s="3">
        <v>823</v>
      </c>
      <c r="H1692" s="3">
        <v>82</v>
      </c>
      <c r="I1692" s="3">
        <v>230</v>
      </c>
      <c r="J1692" s="3">
        <v>981</v>
      </c>
      <c r="K1692" s="3">
        <v>1670</v>
      </c>
      <c r="L1692" s="3">
        <v>25</v>
      </c>
      <c r="M1692" s="3">
        <v>253</v>
      </c>
    </row>
    <row r="1693" spans="1:13" x14ac:dyDescent="0.25">
      <c r="A1693" s="1" t="str">
        <f>HYPERLINK("http://www.rosaceae.org/Prunus/Prunus_persica/p.persica_gdr_reftransV1_0026664","p.persica_gdr_reftransV1_0026664")</f>
        <v>p.persica_gdr_reftransV1_0026664</v>
      </c>
      <c r="B1693" s="3">
        <v>2514</v>
      </c>
      <c r="C1693" s="1" t="str">
        <f>HYPERLINK("http://www.uniprot.org/uniprot/SUT31_ARATH","SUT31_ARATH")</f>
        <v>SUT31_ARATH</v>
      </c>
      <c r="D1693" t="s">
        <v>1690</v>
      </c>
      <c r="E1693" s="3" t="s">
        <v>3</v>
      </c>
      <c r="F1693" s="4">
        <v>0</v>
      </c>
      <c r="G1693" s="3">
        <v>2517</v>
      </c>
      <c r="H1693" s="3">
        <v>72</v>
      </c>
      <c r="I1693" s="3">
        <v>660</v>
      </c>
      <c r="J1693" s="3">
        <v>217</v>
      </c>
      <c r="K1693" s="3">
        <v>2163</v>
      </c>
      <c r="L1693" s="3">
        <v>1</v>
      </c>
      <c r="M1693" s="3">
        <v>658</v>
      </c>
    </row>
    <row r="1694" spans="1:13" x14ac:dyDescent="0.25">
      <c r="A1694" s="1" t="str">
        <f>HYPERLINK("http://www.rosaceae.org/Prunus/Prunus_persica/p.persica_gdr_reftransV1_0026714","p.persica_gdr_reftransV1_0026714")</f>
        <v>p.persica_gdr_reftransV1_0026714</v>
      </c>
      <c r="B1694" s="3">
        <v>670</v>
      </c>
      <c r="C1694" s="1" t="str">
        <f>HYPERLINK("http://www.uniprot.org/uniprot/ROS1_ARATH","ROS1_ARATH")</f>
        <v>ROS1_ARATH</v>
      </c>
      <c r="D1694" t="s">
        <v>1691</v>
      </c>
      <c r="E1694" s="3" t="s">
        <v>3</v>
      </c>
      <c r="F1694" s="4">
        <v>2.5700000000000001E-73</v>
      </c>
      <c r="G1694" s="3">
        <v>630</v>
      </c>
      <c r="H1694" s="3">
        <v>76</v>
      </c>
      <c r="I1694" s="3">
        <v>147</v>
      </c>
      <c r="J1694" s="3">
        <v>225</v>
      </c>
      <c r="K1694" s="3">
        <v>665</v>
      </c>
      <c r="L1694" s="3">
        <v>927</v>
      </c>
      <c r="M1694" s="3">
        <v>1073</v>
      </c>
    </row>
    <row r="1695" spans="1:13" x14ac:dyDescent="0.25">
      <c r="A1695" s="1" t="str">
        <f>HYPERLINK("http://www.rosaceae.org/Prunus/Prunus_persica/p.persica_gdr_reftransV1_0026764","p.persica_gdr_reftransV1_0026764")</f>
        <v>p.persica_gdr_reftransV1_0026764</v>
      </c>
      <c r="B1695" s="3">
        <v>2536</v>
      </c>
      <c r="C1695" s="1" t="str">
        <f>HYPERLINK("http://www.uniprot.org/uniprot/NBS1_ARATH","NBS1_ARATH")</f>
        <v>NBS1_ARATH</v>
      </c>
      <c r="D1695" t="s">
        <v>1692</v>
      </c>
      <c r="E1695" s="3" t="s">
        <v>3</v>
      </c>
      <c r="F1695" s="4">
        <v>4.7300000000000002E-63</v>
      </c>
      <c r="G1695" s="3">
        <v>578</v>
      </c>
      <c r="H1695" s="3">
        <v>55</v>
      </c>
      <c r="I1695" s="3">
        <v>194</v>
      </c>
      <c r="J1695" s="3">
        <v>127</v>
      </c>
      <c r="K1695" s="3">
        <v>696</v>
      </c>
      <c r="L1695" s="3">
        <v>1</v>
      </c>
      <c r="M1695" s="3">
        <v>194</v>
      </c>
    </row>
    <row r="1696" spans="1:13" x14ac:dyDescent="0.25">
      <c r="A1696" s="1" t="str">
        <f>HYPERLINK("http://www.rosaceae.org/Prunus/Prunus_persica/p.persica_gdr_reftransV1_0026914","p.persica_gdr_reftransV1_0026914")</f>
        <v>p.persica_gdr_reftransV1_0026914</v>
      </c>
      <c r="B1696" s="3">
        <v>2366</v>
      </c>
      <c r="C1696" s="1" t="str">
        <f>HYPERLINK("http://www.uniprot.org/uniprot/TF3B_MOUSE","TF3B_MOUSE")</f>
        <v>TF3B_MOUSE</v>
      </c>
      <c r="D1696" t="s">
        <v>1693</v>
      </c>
      <c r="E1696" s="3" t="s">
        <v>157</v>
      </c>
      <c r="F1696" s="4">
        <v>6.4300000000000002E-52</v>
      </c>
      <c r="G1696" s="3">
        <v>498</v>
      </c>
      <c r="H1696" s="3">
        <v>38</v>
      </c>
      <c r="I1696" s="3">
        <v>289</v>
      </c>
      <c r="J1696" s="3">
        <v>1201</v>
      </c>
      <c r="K1696" s="3">
        <v>2013</v>
      </c>
      <c r="L1696" s="3">
        <v>21</v>
      </c>
      <c r="M1696" s="3">
        <v>296</v>
      </c>
    </row>
    <row r="1697" spans="1:13" x14ac:dyDescent="0.25">
      <c r="A1697" s="1" t="str">
        <f>HYPERLINK("http://www.rosaceae.org/Prunus/Prunus_persica/p.persica_gdr_reftransV1_0026964","p.persica_gdr_reftransV1_0026964")</f>
        <v>p.persica_gdr_reftransV1_0026964</v>
      </c>
      <c r="B1697" s="3">
        <v>3606</v>
      </c>
      <c r="C1697" s="1" t="str">
        <f>HYPERLINK("http://www.uniprot.org/uniprot/PP318_ARATH","PP318_ARATH")</f>
        <v>PP318_ARATH</v>
      </c>
      <c r="D1697" t="s">
        <v>1694</v>
      </c>
      <c r="E1697" s="3" t="s">
        <v>3</v>
      </c>
      <c r="F1697" s="4">
        <v>3.6600000000000002E-160</v>
      </c>
      <c r="G1697" s="3">
        <v>1267</v>
      </c>
      <c r="H1697" s="3">
        <v>54</v>
      </c>
      <c r="I1697" s="3">
        <v>441</v>
      </c>
      <c r="J1697" s="3">
        <v>2023</v>
      </c>
      <c r="K1697" s="3">
        <v>3342</v>
      </c>
      <c r="L1697" s="3">
        <v>11</v>
      </c>
      <c r="M1697" s="3">
        <v>450</v>
      </c>
    </row>
    <row r="1698" spans="1:13" x14ac:dyDescent="0.25">
      <c r="A1698" s="1" t="str">
        <f>HYPERLINK("http://www.rosaceae.org/Prunus/Prunus_persica/p.persica_gdr_reftransV1_0027014","p.persica_gdr_reftransV1_0027014")</f>
        <v>p.persica_gdr_reftransV1_0027014</v>
      </c>
      <c r="B1698" s="3">
        <v>1376</v>
      </c>
      <c r="C1698" s="1" t="str">
        <f>HYPERLINK("http://www.uniprot.org/uniprot/DYL_DICDI","DYL_DICDI")</f>
        <v>DYL_DICDI</v>
      </c>
      <c r="D1698" t="s">
        <v>1695</v>
      </c>
      <c r="E1698" s="3" t="s">
        <v>9</v>
      </c>
      <c r="F1698" s="4">
        <v>1.9099999999999999E-20</v>
      </c>
      <c r="G1698" s="3">
        <v>223</v>
      </c>
      <c r="H1698" s="3">
        <v>48</v>
      </c>
      <c r="I1698" s="3">
        <v>89</v>
      </c>
      <c r="J1698" s="3">
        <v>664</v>
      </c>
      <c r="K1698" s="3">
        <v>930</v>
      </c>
      <c r="L1698" s="3">
        <v>4</v>
      </c>
      <c r="M1698" s="3">
        <v>89</v>
      </c>
    </row>
    <row r="1699" spans="1:13" x14ac:dyDescent="0.25">
      <c r="A1699" s="1" t="str">
        <f>HYPERLINK("http://www.rosaceae.org/Prunus/Prunus_persica/p.persica_gdr_reftransV1_0027114","p.persica_gdr_reftransV1_0027114")</f>
        <v>p.persica_gdr_reftransV1_0027114</v>
      </c>
      <c r="B1699" s="3">
        <v>2899</v>
      </c>
      <c r="C1699" s="1" t="str">
        <f>HYPERLINK("http://www.uniprot.org/uniprot/CCR2_ARATH","CCR2_ARATH")</f>
        <v>CCR2_ARATH</v>
      </c>
      <c r="D1699" t="s">
        <v>1696</v>
      </c>
      <c r="E1699" s="3" t="s">
        <v>3</v>
      </c>
      <c r="F1699" s="4">
        <v>1.01E-39</v>
      </c>
      <c r="G1699" s="3">
        <v>392</v>
      </c>
      <c r="H1699" s="3">
        <v>48</v>
      </c>
      <c r="I1699" s="3">
        <v>210</v>
      </c>
      <c r="J1699" s="3">
        <v>2078</v>
      </c>
      <c r="K1699" s="3">
        <v>2707</v>
      </c>
      <c r="L1699" s="3">
        <v>5</v>
      </c>
      <c r="M1699" s="3">
        <v>208</v>
      </c>
    </row>
    <row r="1700" spans="1:13" x14ac:dyDescent="0.25">
      <c r="A1700" s="1" t="str">
        <f>HYPERLINK("http://www.rosaceae.org/Prunus/Prunus_persica/p.persica_gdr_reftransV1_0027864","p.persica_gdr_reftransV1_0027864")</f>
        <v>p.persica_gdr_reftransV1_0027864</v>
      </c>
      <c r="B1700" s="3">
        <v>2596</v>
      </c>
      <c r="C1700" s="1" t="str">
        <f>HYPERLINK("http://www.uniprot.org/uniprot/TF3C5_HUMAN","TF3C5_HUMAN")</f>
        <v>TF3C5_HUMAN</v>
      </c>
      <c r="D1700" t="s">
        <v>1697</v>
      </c>
      <c r="E1700" s="3" t="s">
        <v>28</v>
      </c>
      <c r="F1700" s="4">
        <v>8.9000000000000006E-27</v>
      </c>
      <c r="G1700" s="3">
        <v>297</v>
      </c>
      <c r="H1700" s="3">
        <v>26</v>
      </c>
      <c r="I1700" s="3">
        <v>318</v>
      </c>
      <c r="J1700" s="3">
        <v>3</v>
      </c>
      <c r="K1700" s="3">
        <v>914</v>
      </c>
      <c r="L1700" s="3">
        <v>30</v>
      </c>
      <c r="M1700" s="3">
        <v>324</v>
      </c>
    </row>
    <row r="1701" spans="1:13" x14ac:dyDescent="0.25">
      <c r="A1701" s="1" t="str">
        <f>HYPERLINK("http://www.rosaceae.org/Prunus/Prunus_persica/p.persica_gdr_reftransV1_0028164","p.persica_gdr_reftransV1_0028164")</f>
        <v>p.persica_gdr_reftransV1_0028164</v>
      </c>
      <c r="B1701" s="3">
        <v>1836</v>
      </c>
      <c r="C1701" s="1" t="str">
        <f>HYPERLINK("http://www.uniprot.org/uniprot/HGH1_DICDI","HGH1_DICDI")</f>
        <v>HGH1_DICDI</v>
      </c>
      <c r="D1701" t="s">
        <v>1698</v>
      </c>
      <c r="E1701" s="3" t="s">
        <v>9</v>
      </c>
      <c r="F1701" s="4">
        <v>1.18E-12</v>
      </c>
      <c r="G1701" s="3">
        <v>179</v>
      </c>
      <c r="H1701" s="3">
        <v>24</v>
      </c>
      <c r="I1701" s="3">
        <v>203</v>
      </c>
      <c r="J1701" s="3">
        <v>1161</v>
      </c>
      <c r="K1701" s="3">
        <v>1754</v>
      </c>
      <c r="L1701" s="3">
        <v>3</v>
      </c>
      <c r="M1701" s="3">
        <v>201</v>
      </c>
    </row>
    <row r="1702" spans="1:13" x14ac:dyDescent="0.25">
      <c r="A1702" s="1" t="str">
        <f>HYPERLINK("http://www.rosaceae.org/Prunus/Prunus_persica/p.persica_gdr_reftransV1_0028214","p.persica_gdr_reftransV1_0028214")</f>
        <v>p.persica_gdr_reftransV1_0028214</v>
      </c>
      <c r="B1702" s="3">
        <v>3776</v>
      </c>
      <c r="C1702" s="1" t="str">
        <f>HYPERLINK("http://www.uniprot.org/uniprot/UBA2C_ARATH","UBA2C_ARATH")</f>
        <v>UBA2C_ARATH</v>
      </c>
      <c r="D1702" t="s">
        <v>188</v>
      </c>
      <c r="E1702" s="3" t="s">
        <v>3</v>
      </c>
      <c r="F1702" s="4">
        <v>4.2600000000000001E-88</v>
      </c>
      <c r="G1702" s="3">
        <v>759</v>
      </c>
      <c r="H1702" s="3">
        <v>67</v>
      </c>
      <c r="I1702" s="3">
        <v>229</v>
      </c>
      <c r="J1702" s="3">
        <v>2923</v>
      </c>
      <c r="K1702" s="3">
        <v>3606</v>
      </c>
      <c r="L1702" s="3">
        <v>32</v>
      </c>
      <c r="M1702" s="3">
        <v>256</v>
      </c>
    </row>
    <row r="1703" spans="1:13" x14ac:dyDescent="0.25">
      <c r="A1703" s="1" t="str">
        <f>HYPERLINK("http://www.rosaceae.org/Prunus/Prunus_persica/p.persica_gdr_reftransV1_0028364","p.persica_gdr_reftransV1_0028364")</f>
        <v>p.persica_gdr_reftransV1_0028364</v>
      </c>
      <c r="B1703" s="3">
        <v>2938</v>
      </c>
      <c r="C1703" s="1" t="str">
        <f>HYPERLINK("http://www.uniprot.org/uniprot/APL_ARATH","APL_ARATH")</f>
        <v>APL_ARATH</v>
      </c>
      <c r="D1703" t="s">
        <v>1317</v>
      </c>
      <c r="E1703" s="3" t="s">
        <v>3</v>
      </c>
      <c r="F1703" s="4">
        <v>3.6E-10</v>
      </c>
      <c r="G1703" s="3">
        <v>161</v>
      </c>
      <c r="H1703" s="3">
        <v>78</v>
      </c>
      <c r="I1703" s="3">
        <v>41</v>
      </c>
      <c r="J1703" s="3">
        <v>543</v>
      </c>
      <c r="K1703" s="3">
        <v>665</v>
      </c>
      <c r="L1703" s="3">
        <v>60</v>
      </c>
      <c r="M1703" s="3">
        <v>100</v>
      </c>
    </row>
    <row r="1704" spans="1:13" x14ac:dyDescent="0.25">
      <c r="A1704" s="1" t="str">
        <f>HYPERLINK("http://www.rosaceae.org/Prunus/Prunus_persica/p.persica_gdr_reftransV1_0029014","p.persica_gdr_reftransV1_0029014")</f>
        <v>p.persica_gdr_reftransV1_0029014</v>
      </c>
      <c r="B1704" s="3">
        <v>1235</v>
      </c>
      <c r="C1704" s="1" t="str">
        <f>HYPERLINK("http://www.uniprot.org/uniprot/RUVX_CALS8","RUVX_CALS8")</f>
        <v>RUVX_CALS8</v>
      </c>
      <c r="D1704" t="s">
        <v>1699</v>
      </c>
      <c r="E1704" s="3" t="s">
        <v>1700</v>
      </c>
      <c r="F1704" s="4">
        <v>1.99E-17</v>
      </c>
      <c r="G1704" s="3">
        <v>203</v>
      </c>
      <c r="H1704" s="3">
        <v>38</v>
      </c>
      <c r="I1704" s="3">
        <v>141</v>
      </c>
      <c r="J1704" s="3">
        <v>261</v>
      </c>
      <c r="K1704" s="3">
        <v>677</v>
      </c>
      <c r="L1704" s="3">
        <v>2</v>
      </c>
      <c r="M1704" s="3">
        <v>137</v>
      </c>
    </row>
    <row r="1705" spans="1:13" x14ac:dyDescent="0.25">
      <c r="A1705" s="1" t="str">
        <f>HYPERLINK("http://www.rosaceae.org/Prunus/Prunus_persica/p.persica_gdr_reftransV1_0029414","p.persica_gdr_reftransV1_0029414")</f>
        <v>p.persica_gdr_reftransV1_0029414</v>
      </c>
      <c r="B1705" s="3">
        <v>3374</v>
      </c>
      <c r="C1705" s="1" t="str">
        <f>HYPERLINK("http://www.uniprot.org/uniprot/RP8L2_ARATH","RP8L2_ARATH")</f>
        <v>RP8L2_ARATH</v>
      </c>
      <c r="D1705" t="s">
        <v>1701</v>
      </c>
      <c r="E1705" s="3" t="s">
        <v>3</v>
      </c>
      <c r="F1705" s="4">
        <v>1.1699999999999999E-133</v>
      </c>
      <c r="G1705" s="3">
        <v>1119</v>
      </c>
      <c r="H1705" s="3">
        <v>34</v>
      </c>
      <c r="I1705" s="3">
        <v>911</v>
      </c>
      <c r="J1705" s="3">
        <v>549</v>
      </c>
      <c r="K1705" s="3">
        <v>3185</v>
      </c>
      <c r="L1705" s="3">
        <v>1</v>
      </c>
      <c r="M1705" s="3">
        <v>899</v>
      </c>
    </row>
    <row r="1706" spans="1:13" x14ac:dyDescent="0.25">
      <c r="A1706" s="1" t="str">
        <f>HYPERLINK("http://www.rosaceae.org/Prunus/Prunus_persica/p.persica_gdr_reftransV1_0029464","p.persica_gdr_reftransV1_0029464")</f>
        <v>p.persica_gdr_reftransV1_0029464</v>
      </c>
      <c r="B1706" s="3">
        <v>3317</v>
      </c>
      <c r="C1706" s="1" t="str">
        <f>HYPERLINK("http://www.uniprot.org/uniprot/DRM2_ARATH","DRM2_ARATH")</f>
        <v>DRM2_ARATH</v>
      </c>
      <c r="D1706" t="s">
        <v>393</v>
      </c>
      <c r="E1706" s="3" t="s">
        <v>3</v>
      </c>
      <c r="F1706" s="4">
        <v>1.8899999999999998E-86</v>
      </c>
      <c r="G1706" s="3">
        <v>763</v>
      </c>
      <c r="H1706" s="3">
        <v>44</v>
      </c>
      <c r="I1706" s="3">
        <v>326</v>
      </c>
      <c r="J1706" s="3">
        <v>1990</v>
      </c>
      <c r="K1706" s="3">
        <v>2961</v>
      </c>
      <c r="L1706" s="3">
        <v>297</v>
      </c>
      <c r="M1706" s="3">
        <v>621</v>
      </c>
    </row>
    <row r="1707" spans="1:13" x14ac:dyDescent="0.25">
      <c r="A1707" s="1" t="str">
        <f>HYPERLINK("http://www.rosaceae.org/Prunus/Prunus_persica/p.persica_gdr_reftransV1_0029514","p.persica_gdr_reftransV1_0029514")</f>
        <v>p.persica_gdr_reftransV1_0029514</v>
      </c>
      <c r="B1707" s="3">
        <v>1949</v>
      </c>
      <c r="C1707" s="1" t="str">
        <f>HYPERLINK("http://www.uniprot.org/uniprot/TAS_SHIFL","TAS_SHIFL")</f>
        <v>TAS_SHIFL</v>
      </c>
      <c r="D1707" t="s">
        <v>1702</v>
      </c>
      <c r="E1707" s="3" t="s">
        <v>1703</v>
      </c>
      <c r="F1707" s="4">
        <v>4.38E-59</v>
      </c>
      <c r="G1707" s="3">
        <v>528</v>
      </c>
      <c r="H1707" s="3">
        <v>48</v>
      </c>
      <c r="I1707" s="3">
        <v>223</v>
      </c>
      <c r="J1707" s="3">
        <v>283</v>
      </c>
      <c r="K1707" s="3">
        <v>936</v>
      </c>
      <c r="L1707" s="3">
        <v>1</v>
      </c>
      <c r="M1707" s="3">
        <v>216</v>
      </c>
    </row>
    <row r="1708" spans="1:13" x14ac:dyDescent="0.25">
      <c r="A1708" s="1" t="str">
        <f>HYPERLINK("http://www.rosaceae.org/Prunus/Prunus_persica/p.persica_gdr_reftransV1_0029864","p.persica_gdr_reftransV1_0029864")</f>
        <v>p.persica_gdr_reftransV1_0029864</v>
      </c>
      <c r="B1708" s="3">
        <v>2649</v>
      </c>
      <c r="C1708" s="1" t="str">
        <f>HYPERLINK("http://www.uniprot.org/uniprot/AAH_ARATH","AAH_ARATH")</f>
        <v>AAH_ARATH</v>
      </c>
      <c r="D1708" t="s">
        <v>1704</v>
      </c>
      <c r="E1708" s="3" t="s">
        <v>3</v>
      </c>
      <c r="F1708" s="4">
        <v>2.0199999999999999E-168</v>
      </c>
      <c r="G1708" s="3">
        <v>1305</v>
      </c>
      <c r="H1708" s="3">
        <v>71</v>
      </c>
      <c r="I1708" s="3">
        <v>345</v>
      </c>
      <c r="J1708" s="3">
        <v>1399</v>
      </c>
      <c r="K1708" s="3">
        <v>2433</v>
      </c>
      <c r="L1708" s="3">
        <v>206</v>
      </c>
      <c r="M1708" s="3">
        <v>525</v>
      </c>
    </row>
    <row r="1709" spans="1:13" x14ac:dyDescent="0.25">
      <c r="A1709" s="1" t="str">
        <f>HYPERLINK("http://www.rosaceae.org/Prunus/Prunus_persica/p.persica_gdr_reftransV1_0030614","p.persica_gdr_reftransV1_0030614")</f>
        <v>p.persica_gdr_reftransV1_0030614</v>
      </c>
      <c r="B1709" s="3">
        <v>4103</v>
      </c>
      <c r="C1709" s="1" t="str">
        <f>HYPERLINK("http://www.uniprot.org/uniprot/SUGP1_ARATH","SUGP1_ARATH")</f>
        <v>SUGP1_ARATH</v>
      </c>
      <c r="D1709" t="s">
        <v>1705</v>
      </c>
      <c r="E1709" s="3" t="s">
        <v>3</v>
      </c>
      <c r="F1709" s="4">
        <v>1.7100000000000001E-118</v>
      </c>
      <c r="G1709" s="3">
        <v>985</v>
      </c>
      <c r="H1709" s="3">
        <v>65</v>
      </c>
      <c r="I1709" s="3">
        <v>315</v>
      </c>
      <c r="J1709" s="3">
        <v>2605</v>
      </c>
      <c r="K1709" s="3">
        <v>3480</v>
      </c>
      <c r="L1709" s="3">
        <v>129</v>
      </c>
      <c r="M1709" s="3">
        <v>443</v>
      </c>
    </row>
    <row r="1710" spans="1:13" x14ac:dyDescent="0.25">
      <c r="A1710" s="1" t="str">
        <f>HYPERLINK("http://www.rosaceae.org/Prunus/Prunus_persica/p.persica_gdr_reftransV1_0030764","p.persica_gdr_reftransV1_0030764")</f>
        <v>p.persica_gdr_reftransV1_0030764</v>
      </c>
      <c r="B1710" s="3">
        <v>1743</v>
      </c>
      <c r="C1710" s="1" t="str">
        <f>HYPERLINK("http://www.uniprot.org/uniprot/PGES2_DANRE","PGES2_DANRE")</f>
        <v>PGES2_DANRE</v>
      </c>
      <c r="D1710" t="s">
        <v>1706</v>
      </c>
      <c r="E1710" s="3" t="s">
        <v>704</v>
      </c>
      <c r="F1710" s="4">
        <v>9.2999999999999997E-73</v>
      </c>
      <c r="G1710" s="3">
        <v>622</v>
      </c>
      <c r="H1710" s="3">
        <v>46</v>
      </c>
      <c r="I1710" s="3">
        <v>287</v>
      </c>
      <c r="J1710" s="3">
        <v>609</v>
      </c>
      <c r="K1710" s="3">
        <v>1334</v>
      </c>
      <c r="L1710" s="3">
        <v>86</v>
      </c>
      <c r="M1710" s="3">
        <v>372</v>
      </c>
    </row>
    <row r="1711" spans="1:13" x14ac:dyDescent="0.25">
      <c r="A1711" s="1" t="str">
        <f>HYPERLINK("http://www.rosaceae.org/Prunus/Prunus_persica/p.persica_gdr_reftransV1_0031014","p.persica_gdr_reftransV1_0031014")</f>
        <v>p.persica_gdr_reftransV1_0031014</v>
      </c>
      <c r="B1711" s="3">
        <v>2502</v>
      </c>
      <c r="C1711" s="1" t="str">
        <f>HYPERLINK("http://www.uniprot.org/uniprot/Y3913_ARATH","Y3913_ARATH")</f>
        <v>Y3913_ARATH</v>
      </c>
      <c r="D1711" t="s">
        <v>1707</v>
      </c>
      <c r="E1711" s="3" t="s">
        <v>3</v>
      </c>
      <c r="F1711" s="4">
        <v>3.4000000000000001E-138</v>
      </c>
      <c r="G1711" s="3">
        <v>1095</v>
      </c>
      <c r="H1711" s="3">
        <v>48</v>
      </c>
      <c r="I1711" s="3">
        <v>522</v>
      </c>
      <c r="J1711" s="3">
        <v>337</v>
      </c>
      <c r="K1711" s="3">
        <v>1863</v>
      </c>
      <c r="L1711" s="3">
        <v>1</v>
      </c>
      <c r="M1711" s="3">
        <v>495</v>
      </c>
    </row>
    <row r="1712" spans="1:13" x14ac:dyDescent="0.25">
      <c r="A1712" s="1" t="str">
        <f>HYPERLINK("http://www.rosaceae.org/Prunus/Prunus_persica/p.persica_gdr_reftransV1_0031214","p.persica_gdr_reftransV1_0031214")</f>
        <v>p.persica_gdr_reftransV1_0031214</v>
      </c>
      <c r="B1712" s="3">
        <v>3126</v>
      </c>
      <c r="C1712" s="1" t="str">
        <f>HYPERLINK("http://www.uniprot.org/uniprot/OOPDA_ARATH","OOPDA_ARATH")</f>
        <v>OOPDA_ARATH</v>
      </c>
      <c r="D1712" t="s">
        <v>1708</v>
      </c>
      <c r="E1712" s="3" t="s">
        <v>3</v>
      </c>
      <c r="F1712" s="4">
        <v>0</v>
      </c>
      <c r="G1712" s="3">
        <v>2862</v>
      </c>
      <c r="H1712" s="3">
        <v>77</v>
      </c>
      <c r="I1712" s="3">
        <v>741</v>
      </c>
      <c r="J1712" s="3">
        <v>812</v>
      </c>
      <c r="K1712" s="3">
        <v>2995</v>
      </c>
      <c r="L1712" s="3">
        <v>1</v>
      </c>
      <c r="M1712" s="3">
        <v>740</v>
      </c>
    </row>
    <row r="1713" spans="1:13" x14ac:dyDescent="0.25">
      <c r="A1713" s="1" t="str">
        <f>HYPERLINK("http://www.rosaceae.org/Prunus/Prunus_persica/p.persica_gdr_reftransV1_0031414","p.persica_gdr_reftransV1_0031414")</f>
        <v>p.persica_gdr_reftransV1_0031414</v>
      </c>
      <c r="B1713" s="3">
        <v>8315</v>
      </c>
      <c r="C1713" s="1" t="str">
        <f>HYPERLINK("http://www.uniprot.org/uniprot/ATXR3_ARATH","ATXR3_ARATH")</f>
        <v>ATXR3_ARATH</v>
      </c>
      <c r="D1713" t="s">
        <v>1709</v>
      </c>
      <c r="E1713" s="3" t="s">
        <v>3</v>
      </c>
      <c r="F1713" s="4">
        <v>0</v>
      </c>
      <c r="G1713" s="3">
        <v>6317</v>
      </c>
      <c r="H1713" s="3">
        <v>56</v>
      </c>
      <c r="I1713" s="3">
        <v>2376</v>
      </c>
      <c r="J1713" s="3">
        <v>716</v>
      </c>
      <c r="K1713" s="3">
        <v>7807</v>
      </c>
      <c r="L1713" s="3">
        <v>148</v>
      </c>
      <c r="M1713" s="3">
        <v>2334</v>
      </c>
    </row>
    <row r="1714" spans="1:13" x14ac:dyDescent="0.25">
      <c r="A1714" s="1" t="str">
        <f>HYPERLINK("http://www.rosaceae.org/Prunus/Prunus_persica/p.persica_gdr_reftransV1_0031464","p.persica_gdr_reftransV1_0031464")</f>
        <v>p.persica_gdr_reftransV1_0031464</v>
      </c>
      <c r="B1714" s="3">
        <v>2157</v>
      </c>
      <c r="C1714" s="1" t="str">
        <f>HYPERLINK("http://www.uniprot.org/uniprot/CER7_ARATH","CER7_ARATH")</f>
        <v>CER7_ARATH</v>
      </c>
      <c r="D1714" t="s">
        <v>1710</v>
      </c>
      <c r="E1714" s="3" t="s">
        <v>3</v>
      </c>
      <c r="F1714" s="4">
        <v>1.85E-168</v>
      </c>
      <c r="G1714" s="3">
        <v>1282</v>
      </c>
      <c r="H1714" s="3">
        <v>60</v>
      </c>
      <c r="I1714" s="3">
        <v>454</v>
      </c>
      <c r="J1714" s="3">
        <v>68</v>
      </c>
      <c r="K1714" s="3">
        <v>1384</v>
      </c>
      <c r="L1714" s="3">
        <v>1</v>
      </c>
      <c r="M1714" s="3">
        <v>428</v>
      </c>
    </row>
    <row r="1715" spans="1:13" x14ac:dyDescent="0.25">
      <c r="A1715" s="1" t="str">
        <f>HYPERLINK("http://www.rosaceae.org/Prunus/Prunus_persica/p.persica_gdr_reftransV1_0031514","p.persica_gdr_reftransV1_0031514")</f>
        <v>p.persica_gdr_reftransV1_0031514</v>
      </c>
      <c r="B1715" s="3">
        <v>807</v>
      </c>
      <c r="C1715" s="1" t="str">
        <f>HYPERLINK("http://www.uniprot.org/uniprot/PFD6_MOUSE","PFD6_MOUSE")</f>
        <v>PFD6_MOUSE</v>
      </c>
      <c r="D1715" t="s">
        <v>1711</v>
      </c>
      <c r="E1715" s="3" t="s">
        <v>157</v>
      </c>
      <c r="F1715" s="4">
        <v>2.7299999999999997E-26</v>
      </c>
      <c r="G1715" s="3">
        <v>261</v>
      </c>
      <c r="H1715" s="3">
        <v>47</v>
      </c>
      <c r="I1715" s="3">
        <v>121</v>
      </c>
      <c r="J1715" s="3">
        <v>92</v>
      </c>
      <c r="K1715" s="3">
        <v>454</v>
      </c>
      <c r="L1715" s="3">
        <v>5</v>
      </c>
      <c r="M1715" s="3">
        <v>125</v>
      </c>
    </row>
    <row r="1716" spans="1:13" x14ac:dyDescent="0.25">
      <c r="A1716" s="1" t="str">
        <f>HYPERLINK("http://www.rosaceae.org/Prunus/Prunus_persica/p.persica_gdr_reftransV1_0031564","p.persica_gdr_reftransV1_0031564")</f>
        <v>p.persica_gdr_reftransV1_0031564</v>
      </c>
      <c r="B1716" s="3">
        <v>447</v>
      </c>
      <c r="C1716" s="1" t="str">
        <f>HYPERLINK("http://www.uniprot.org/uniprot/PTR29_ARATH","PTR29_ARATH")</f>
        <v>PTR29_ARATH</v>
      </c>
      <c r="D1716" t="s">
        <v>1712</v>
      </c>
      <c r="E1716" s="3" t="s">
        <v>3</v>
      </c>
      <c r="F1716" s="4">
        <v>2.6299999999999999E-18</v>
      </c>
      <c r="G1716" s="3">
        <v>209</v>
      </c>
      <c r="H1716" s="3">
        <v>42</v>
      </c>
      <c r="I1716" s="3">
        <v>158</v>
      </c>
      <c r="J1716" s="3">
        <v>2</v>
      </c>
      <c r="K1716" s="3">
        <v>445</v>
      </c>
      <c r="L1716" s="3">
        <v>293</v>
      </c>
      <c r="M1716" s="3">
        <v>446</v>
      </c>
    </row>
    <row r="1717" spans="1:13" x14ac:dyDescent="0.25">
      <c r="A1717" s="1" t="str">
        <f>HYPERLINK("http://www.rosaceae.org/Prunus/Prunus_persica/p.persica_gdr_reftransV1_0031614","p.persica_gdr_reftransV1_0031614")</f>
        <v>p.persica_gdr_reftransV1_0031614</v>
      </c>
      <c r="B1717" s="3">
        <v>1260</v>
      </c>
      <c r="C1717" s="1" t="str">
        <f>HYPERLINK("http://www.uniprot.org/uniprot/CML16_ARATH","CML16_ARATH")</f>
        <v>CML16_ARATH</v>
      </c>
      <c r="D1717" t="s">
        <v>1713</v>
      </c>
      <c r="E1717" s="3" t="s">
        <v>3</v>
      </c>
      <c r="F1717" s="4">
        <v>1.0200000000000001E-82</v>
      </c>
      <c r="G1717" s="3">
        <v>657</v>
      </c>
      <c r="H1717" s="3">
        <v>78</v>
      </c>
      <c r="I1717" s="3">
        <v>158</v>
      </c>
      <c r="J1717" s="3">
        <v>261</v>
      </c>
      <c r="K1717" s="3">
        <v>734</v>
      </c>
      <c r="L1717" s="3">
        <v>1</v>
      </c>
      <c r="M1717" s="3">
        <v>158</v>
      </c>
    </row>
    <row r="1718" spans="1:13" x14ac:dyDescent="0.25">
      <c r="A1718" s="1" t="str">
        <f>HYPERLINK("http://www.rosaceae.org/Prunus/Prunus_persica/p.persica_gdr_reftransV1_0031864","p.persica_gdr_reftransV1_0031864")</f>
        <v>p.persica_gdr_reftransV1_0031864</v>
      </c>
      <c r="B1718" s="3">
        <v>919</v>
      </c>
      <c r="C1718" s="1" t="str">
        <f>HYPERLINK("http://www.uniprot.org/uniprot/YLS3_ARATH","YLS3_ARATH")</f>
        <v>YLS3_ARATH</v>
      </c>
      <c r="D1718" t="s">
        <v>1374</v>
      </c>
      <c r="E1718" s="3" t="s">
        <v>3</v>
      </c>
      <c r="F1718" s="4">
        <v>7.2199999999999999E-55</v>
      </c>
      <c r="G1718" s="3">
        <v>465</v>
      </c>
      <c r="H1718" s="3">
        <v>69</v>
      </c>
      <c r="I1718" s="3">
        <v>117</v>
      </c>
      <c r="J1718" s="3">
        <v>362</v>
      </c>
      <c r="K1718" s="3">
        <v>712</v>
      </c>
      <c r="L1718" s="3">
        <v>25</v>
      </c>
      <c r="M1718" s="3">
        <v>141</v>
      </c>
    </row>
    <row r="1719" spans="1:13" x14ac:dyDescent="0.25">
      <c r="A1719" s="1" t="str">
        <f>HYPERLINK("http://www.rosaceae.org/Prunus/Prunus_persica/p.persica_gdr_reftransV1_0032064","p.persica_gdr_reftransV1_0032064")</f>
        <v>p.persica_gdr_reftransV1_0032064</v>
      </c>
      <c r="B1719" s="3">
        <v>2777</v>
      </c>
      <c r="C1719" s="1" t="str">
        <f>HYPERLINK("http://www.uniprot.org/uniprot/APC7_ARATH","APC7_ARATH")</f>
        <v>APC7_ARATH</v>
      </c>
      <c r="D1719" t="s">
        <v>1714</v>
      </c>
      <c r="E1719" s="3" t="s">
        <v>3</v>
      </c>
      <c r="F1719" s="4">
        <v>0</v>
      </c>
      <c r="G1719" s="3">
        <v>1822</v>
      </c>
      <c r="H1719" s="3">
        <v>73</v>
      </c>
      <c r="I1719" s="3">
        <v>513</v>
      </c>
      <c r="J1719" s="3">
        <v>1123</v>
      </c>
      <c r="K1719" s="3">
        <v>2661</v>
      </c>
      <c r="L1719" s="3">
        <v>1</v>
      </c>
      <c r="M1719" s="3">
        <v>511</v>
      </c>
    </row>
    <row r="1720" spans="1:13" x14ac:dyDescent="0.25">
      <c r="A1720" s="1" t="str">
        <f>HYPERLINK("http://www.rosaceae.org/Prunus/Prunus_persica/p.persica_gdr_reftransV1_0032764","p.persica_gdr_reftransV1_0032764")</f>
        <v>p.persica_gdr_reftransV1_0032764</v>
      </c>
      <c r="B1720" s="3">
        <v>2599</v>
      </c>
      <c r="C1720" s="1" t="str">
        <f>HYPERLINK("http://www.uniprot.org/uniprot/UCKC_DICDI","UCKC_DICDI")</f>
        <v>UCKC_DICDI</v>
      </c>
      <c r="D1720" t="s">
        <v>1028</v>
      </c>
      <c r="E1720" s="3" t="s">
        <v>9</v>
      </c>
      <c r="F1720" s="4">
        <v>8.8599999999999995E-125</v>
      </c>
      <c r="G1720" s="3">
        <v>1002</v>
      </c>
      <c r="H1720" s="3">
        <v>48</v>
      </c>
      <c r="I1720" s="3">
        <v>388</v>
      </c>
      <c r="J1720" s="3">
        <v>360</v>
      </c>
      <c r="K1720" s="3">
        <v>1502</v>
      </c>
      <c r="L1720" s="3">
        <v>14</v>
      </c>
      <c r="M1720" s="3">
        <v>400</v>
      </c>
    </row>
    <row r="1721" spans="1:13" x14ac:dyDescent="0.25">
      <c r="A1721" s="1" t="str">
        <f>HYPERLINK("http://www.rosaceae.org/Prunus/Prunus_persica/p.persica_gdr_reftransV1_0032914","p.persica_gdr_reftransV1_0032914")</f>
        <v>p.persica_gdr_reftransV1_0032914</v>
      </c>
      <c r="B1721" s="3">
        <v>2997</v>
      </c>
      <c r="C1721" s="1" t="str">
        <f>HYPERLINK("http://www.uniprot.org/uniprot/SHH1_ARATH","SHH1_ARATH")</f>
        <v>SHH1_ARATH</v>
      </c>
      <c r="D1721" t="s">
        <v>1715</v>
      </c>
      <c r="E1721" s="3" t="s">
        <v>3</v>
      </c>
      <c r="F1721" s="4">
        <v>2.31E-48</v>
      </c>
      <c r="G1721" s="3">
        <v>451</v>
      </c>
      <c r="H1721" s="3">
        <v>63</v>
      </c>
      <c r="I1721" s="3">
        <v>129</v>
      </c>
      <c r="J1721" s="3">
        <v>1013</v>
      </c>
      <c r="K1721" s="3">
        <v>1399</v>
      </c>
      <c r="L1721" s="3">
        <v>121</v>
      </c>
      <c r="M1721" s="3">
        <v>249</v>
      </c>
    </row>
    <row r="1722" spans="1:13" x14ac:dyDescent="0.25">
      <c r="A1722" s="1" t="str">
        <f>HYPERLINK("http://www.rosaceae.org/Prunus/Prunus_persica/p.persica_gdr_reftransV1_0032964","p.persica_gdr_reftransV1_0032964")</f>
        <v>p.persica_gdr_reftransV1_0032964</v>
      </c>
      <c r="B1722" s="3">
        <v>1041</v>
      </c>
      <c r="C1722" s="1" t="str">
        <f>HYPERLINK("http://www.uniprot.org/uniprot/HD3A_ORYSJ","HD3A_ORYSJ")</f>
        <v>HD3A_ORYSJ</v>
      </c>
      <c r="D1722" t="s">
        <v>1716</v>
      </c>
      <c r="E1722" s="3" t="s">
        <v>38</v>
      </c>
      <c r="F1722" s="4">
        <v>1.58E-85</v>
      </c>
      <c r="G1722" s="3">
        <v>671</v>
      </c>
      <c r="H1722" s="3">
        <v>83</v>
      </c>
      <c r="I1722" s="3">
        <v>144</v>
      </c>
      <c r="J1722" s="3">
        <v>196</v>
      </c>
      <c r="K1722" s="3">
        <v>627</v>
      </c>
      <c r="L1722" s="3">
        <v>24</v>
      </c>
      <c r="M1722" s="3">
        <v>167</v>
      </c>
    </row>
    <row r="1723" spans="1:13" x14ac:dyDescent="0.25">
      <c r="A1723" s="1" t="str">
        <f>HYPERLINK("http://www.rosaceae.org/Prunus/Prunus_persica/p.persica_gdr_reftransV1_0033164","p.persica_gdr_reftransV1_0033164")</f>
        <v>p.persica_gdr_reftransV1_0033164</v>
      </c>
      <c r="B1723" s="3">
        <v>2384</v>
      </c>
      <c r="C1723" s="1" t="str">
        <f>HYPERLINK("http://www.uniprot.org/uniprot/SC61A_DICDI","SC61A_DICDI")</f>
        <v>SC61A_DICDI</v>
      </c>
      <c r="D1723" t="s">
        <v>1717</v>
      </c>
      <c r="E1723" s="3" t="s">
        <v>9</v>
      </c>
      <c r="F1723" s="4">
        <v>0</v>
      </c>
      <c r="G1723" s="3">
        <v>1554</v>
      </c>
      <c r="H1723" s="3">
        <v>72</v>
      </c>
      <c r="I1723" s="3">
        <v>394</v>
      </c>
      <c r="J1723" s="3">
        <v>1009</v>
      </c>
      <c r="K1723" s="3">
        <v>2190</v>
      </c>
      <c r="L1723" s="3">
        <v>2</v>
      </c>
      <c r="M1723" s="3">
        <v>394</v>
      </c>
    </row>
    <row r="1724" spans="1:13" x14ac:dyDescent="0.25">
      <c r="A1724" s="1" t="str">
        <f>HYPERLINK("http://www.rosaceae.org/Prunus/Prunus_persica/p.persica_gdr_reftransV1_0033264","p.persica_gdr_reftransV1_0033264")</f>
        <v>p.persica_gdr_reftransV1_0033264</v>
      </c>
      <c r="B1724" s="3">
        <v>2266</v>
      </c>
      <c r="C1724" s="1" t="str">
        <f>HYPERLINK("http://www.uniprot.org/uniprot/CH62_CUCMA","CH62_CUCMA")</f>
        <v>CH62_CUCMA</v>
      </c>
      <c r="D1724" t="s">
        <v>1718</v>
      </c>
      <c r="E1724" s="3" t="s">
        <v>1511</v>
      </c>
      <c r="F1724" s="4">
        <v>0</v>
      </c>
      <c r="G1724" s="3">
        <v>2653</v>
      </c>
      <c r="H1724" s="3">
        <v>89</v>
      </c>
      <c r="I1724" s="3">
        <v>575</v>
      </c>
      <c r="J1724" s="3">
        <v>159</v>
      </c>
      <c r="K1724" s="3">
        <v>1883</v>
      </c>
      <c r="L1724" s="3">
        <v>1</v>
      </c>
      <c r="M1724" s="3">
        <v>575</v>
      </c>
    </row>
    <row r="1725" spans="1:13" x14ac:dyDescent="0.25">
      <c r="A1725" s="1" t="str">
        <f>HYPERLINK("http://www.rosaceae.org/Prunus/Prunus_persica/p.persica_gdr_reftransV1_0033314","p.persica_gdr_reftransV1_0033314")</f>
        <v>p.persica_gdr_reftransV1_0033314</v>
      </c>
      <c r="B1725" s="3">
        <v>6857</v>
      </c>
      <c r="C1725" s="1" t="str">
        <f>HYPERLINK("http://www.uniprot.org/uniprot/ATG2_CRYNJ","ATG2_CRYNJ")</f>
        <v>ATG2_CRYNJ</v>
      </c>
      <c r="D1725" t="s">
        <v>1719</v>
      </c>
      <c r="E1725" s="3" t="s">
        <v>1720</v>
      </c>
      <c r="F1725" s="4">
        <v>1.07E-44</v>
      </c>
      <c r="G1725" s="3">
        <v>464</v>
      </c>
      <c r="H1725" s="3">
        <v>33</v>
      </c>
      <c r="I1725" s="3">
        <v>448</v>
      </c>
      <c r="J1725" s="3">
        <v>4952</v>
      </c>
      <c r="K1725" s="3">
        <v>6220</v>
      </c>
      <c r="L1725" s="3">
        <v>1508</v>
      </c>
      <c r="M1725" s="3">
        <v>1934</v>
      </c>
    </row>
    <row r="1726" spans="1:13" x14ac:dyDescent="0.25">
      <c r="A1726" s="1" t="str">
        <f>HYPERLINK("http://www.rosaceae.org/Prunus/Prunus_persica/p.persica_gdr_reftransV1_0033364","p.persica_gdr_reftransV1_0033364")</f>
        <v>p.persica_gdr_reftransV1_0033364</v>
      </c>
      <c r="B1726" s="3">
        <v>1518</v>
      </c>
      <c r="C1726" s="1" t="str">
        <f>HYPERLINK("http://www.uniprot.org/uniprot/LNG1_ARATH","LNG1_ARATH")</f>
        <v>LNG1_ARATH</v>
      </c>
      <c r="D1726" t="s">
        <v>512</v>
      </c>
      <c r="E1726" s="3" t="s">
        <v>3</v>
      </c>
      <c r="F1726" s="4">
        <v>1.07E-44</v>
      </c>
      <c r="G1726" s="3">
        <v>438</v>
      </c>
      <c r="H1726" s="3">
        <v>38</v>
      </c>
      <c r="I1726" s="3">
        <v>328</v>
      </c>
      <c r="J1726" s="3">
        <v>535</v>
      </c>
      <c r="K1726" s="3">
        <v>1491</v>
      </c>
      <c r="L1726" s="3">
        <v>620</v>
      </c>
      <c r="M1726" s="3">
        <v>925</v>
      </c>
    </row>
    <row r="1727" spans="1:13" x14ac:dyDescent="0.25">
      <c r="A1727" s="1" t="str">
        <f>HYPERLINK("http://www.rosaceae.org/Prunus/Prunus_persica/p.persica_gdr_reftransV1_0033814","p.persica_gdr_reftransV1_0033814")</f>
        <v>p.persica_gdr_reftransV1_0033814</v>
      </c>
      <c r="B1727" s="3">
        <v>3824</v>
      </c>
      <c r="C1727" s="1" t="str">
        <f>HYPERLINK("http://www.uniprot.org/uniprot/Y5977_ARATH","Y5977_ARATH")</f>
        <v>Y5977_ARATH</v>
      </c>
      <c r="D1727" t="s">
        <v>1721</v>
      </c>
      <c r="E1727" s="3" t="s">
        <v>3</v>
      </c>
      <c r="F1727" s="4">
        <v>0</v>
      </c>
      <c r="G1727" s="3">
        <v>2170</v>
      </c>
      <c r="H1727" s="3">
        <v>53</v>
      </c>
      <c r="I1727" s="3">
        <v>902</v>
      </c>
      <c r="J1727" s="3">
        <v>528</v>
      </c>
      <c r="K1727" s="3">
        <v>3203</v>
      </c>
      <c r="L1727" s="3">
        <v>20</v>
      </c>
      <c r="M1727" s="3">
        <v>916</v>
      </c>
    </row>
    <row r="1728" spans="1:13" x14ac:dyDescent="0.25">
      <c r="A1728" s="1" t="str">
        <f>HYPERLINK("http://www.rosaceae.org/Prunus/Prunus_persica/p.persica_gdr_reftransV1_0033914","p.persica_gdr_reftransV1_0033914")</f>
        <v>p.persica_gdr_reftransV1_0033914</v>
      </c>
      <c r="B1728" s="3">
        <v>3127</v>
      </c>
      <c r="C1728" s="1" t="str">
        <f>HYPERLINK("http://www.uniprot.org/uniprot/AMPD_ARATH","AMPD_ARATH")</f>
        <v>AMPD_ARATH</v>
      </c>
      <c r="D1728" t="s">
        <v>467</v>
      </c>
      <c r="E1728" s="3" t="s">
        <v>3</v>
      </c>
      <c r="F1728" s="4">
        <v>0</v>
      </c>
      <c r="G1728" s="3">
        <v>3522</v>
      </c>
      <c r="H1728" s="3">
        <v>81</v>
      </c>
      <c r="I1728" s="3">
        <v>825</v>
      </c>
      <c r="J1728" s="3">
        <v>234</v>
      </c>
      <c r="K1728" s="3">
        <v>2684</v>
      </c>
      <c r="L1728" s="3">
        <v>24</v>
      </c>
      <c r="M1728" s="3">
        <v>837</v>
      </c>
    </row>
    <row r="1729" spans="1:13" x14ac:dyDescent="0.25">
      <c r="A1729" s="1" t="str">
        <f>HYPERLINK("http://www.rosaceae.org/Prunus/Prunus_persica/p.persica_gdr_reftransV1_0034114","p.persica_gdr_reftransV1_0034114")</f>
        <v>p.persica_gdr_reftransV1_0034114</v>
      </c>
      <c r="B1729" s="3">
        <v>1516</v>
      </c>
      <c r="C1729" s="1" t="str">
        <f>HYPERLINK("http://www.uniprot.org/uniprot/YB95_ARATH","YB95_ARATH")</f>
        <v>YB95_ARATH</v>
      </c>
      <c r="D1729" t="s">
        <v>1722</v>
      </c>
      <c r="E1729" s="3" t="s">
        <v>3</v>
      </c>
      <c r="F1729" s="4">
        <v>1.16E-17</v>
      </c>
      <c r="G1729" s="3">
        <v>213</v>
      </c>
      <c r="H1729" s="3">
        <v>30</v>
      </c>
      <c r="I1729" s="3">
        <v>215</v>
      </c>
      <c r="J1729" s="3">
        <v>231</v>
      </c>
      <c r="K1729" s="3">
        <v>845</v>
      </c>
      <c r="L1729" s="3">
        <v>38</v>
      </c>
      <c r="M1729" s="3">
        <v>250</v>
      </c>
    </row>
    <row r="1730" spans="1:13" x14ac:dyDescent="0.25">
      <c r="A1730" s="1" t="str">
        <f>HYPERLINK("http://www.rosaceae.org/Prunus/Prunus_persica/p.persica_gdr_reftransV1_0034264","p.persica_gdr_reftransV1_0034264")</f>
        <v>p.persica_gdr_reftransV1_0034264</v>
      </c>
      <c r="B1730" s="3">
        <v>2884</v>
      </c>
      <c r="C1730" s="1" t="str">
        <f>HYPERLINK("http://www.uniprot.org/uniprot/EIF2A_SCHPO","EIF2A_SCHPO")</f>
        <v>EIF2A_SCHPO</v>
      </c>
      <c r="D1730" t="s">
        <v>1723</v>
      </c>
      <c r="E1730" s="3" t="s">
        <v>464</v>
      </c>
      <c r="F1730" s="4">
        <v>1.26E-53</v>
      </c>
      <c r="G1730" s="3">
        <v>511</v>
      </c>
      <c r="H1730" s="3">
        <v>37</v>
      </c>
      <c r="I1730" s="3">
        <v>291</v>
      </c>
      <c r="J1730" s="3">
        <v>488</v>
      </c>
      <c r="K1730" s="3">
        <v>1345</v>
      </c>
      <c r="L1730" s="3">
        <v>42</v>
      </c>
      <c r="M1730" s="3">
        <v>325</v>
      </c>
    </row>
    <row r="1731" spans="1:13" x14ac:dyDescent="0.25">
      <c r="A1731" s="1" t="str">
        <f>HYPERLINK("http://www.rosaceae.org/Prunus/Prunus_persica/p.persica_gdr_reftransV1_0034464","p.persica_gdr_reftransV1_0034464")</f>
        <v>p.persica_gdr_reftransV1_0034464</v>
      </c>
      <c r="B1731" s="3">
        <v>1691</v>
      </c>
      <c r="C1731" s="1" t="str">
        <f>HYPERLINK("http://www.uniprot.org/uniprot/PPCK1_ARATH","PPCK1_ARATH")</f>
        <v>PPCK1_ARATH</v>
      </c>
      <c r="D1731" t="s">
        <v>1724</v>
      </c>
      <c r="E1731" s="3" t="s">
        <v>3</v>
      </c>
      <c r="F1731" s="4">
        <v>5.3599999999999999E-112</v>
      </c>
      <c r="G1731" s="3">
        <v>877</v>
      </c>
      <c r="H1731" s="3">
        <v>62</v>
      </c>
      <c r="I1731" s="3">
        <v>267</v>
      </c>
      <c r="J1731" s="3">
        <v>733</v>
      </c>
      <c r="K1731" s="3">
        <v>1524</v>
      </c>
      <c r="L1731" s="3">
        <v>13</v>
      </c>
      <c r="M1731" s="3">
        <v>279</v>
      </c>
    </row>
    <row r="1732" spans="1:13" x14ac:dyDescent="0.25">
      <c r="A1732" s="1" t="str">
        <f>HYPERLINK("http://www.rosaceae.org/Prunus/Prunus_persica/p.persica_gdr_reftransV1_0034514","p.persica_gdr_reftransV1_0034514")</f>
        <v>p.persica_gdr_reftransV1_0034514</v>
      </c>
      <c r="B1732" s="3">
        <v>1854</v>
      </c>
      <c r="C1732" s="1" t="str">
        <f>HYPERLINK("http://www.uniprot.org/uniprot/PP449_ARATH","PP449_ARATH")</f>
        <v>PP449_ARATH</v>
      </c>
      <c r="D1732" t="s">
        <v>1725</v>
      </c>
      <c r="E1732" s="3" t="s">
        <v>3</v>
      </c>
      <c r="F1732" s="4">
        <v>6.3199999999999997E-123</v>
      </c>
      <c r="G1732" s="3">
        <v>985</v>
      </c>
      <c r="H1732" s="3">
        <v>44</v>
      </c>
      <c r="I1732" s="3">
        <v>432</v>
      </c>
      <c r="J1732" s="3">
        <v>3</v>
      </c>
      <c r="K1732" s="3">
        <v>1298</v>
      </c>
      <c r="L1732" s="3">
        <v>93</v>
      </c>
      <c r="M1732" s="3">
        <v>524</v>
      </c>
    </row>
    <row r="1733" spans="1:13" x14ac:dyDescent="0.25">
      <c r="A1733" s="1" t="str">
        <f>HYPERLINK("http://www.rosaceae.org/Prunus/Prunus_persica/p.persica_gdr_reftransV1_0034664","p.persica_gdr_reftransV1_0034664")</f>
        <v>p.persica_gdr_reftransV1_0034664</v>
      </c>
      <c r="B1733" s="3">
        <v>1277</v>
      </c>
      <c r="C1733" s="1" t="str">
        <f>HYPERLINK("http://www.uniprot.org/uniprot/CYP23_ARATH","CYP23_ARATH")</f>
        <v>CYP23_ARATH</v>
      </c>
      <c r="D1733" t="s">
        <v>1726</v>
      </c>
      <c r="E1733" s="3" t="s">
        <v>3</v>
      </c>
      <c r="F1733" s="4">
        <v>1E-127</v>
      </c>
      <c r="G1733" s="3">
        <v>963</v>
      </c>
      <c r="H1733" s="3">
        <v>77</v>
      </c>
      <c r="I1733" s="3">
        <v>229</v>
      </c>
      <c r="J1733" s="3">
        <v>441</v>
      </c>
      <c r="K1733" s="3">
        <v>1127</v>
      </c>
      <c r="L1733" s="3">
        <v>5</v>
      </c>
      <c r="M1733" s="3">
        <v>226</v>
      </c>
    </row>
    <row r="1734" spans="1:13" x14ac:dyDescent="0.25">
      <c r="A1734" s="1" t="str">
        <f>HYPERLINK("http://www.rosaceae.org/Prunus/Prunus_persica/p.persica_gdr_reftransV1_0035764","p.persica_gdr_reftransV1_0035764")</f>
        <v>p.persica_gdr_reftransV1_0035764</v>
      </c>
      <c r="B1734" s="3">
        <v>1146</v>
      </c>
      <c r="C1734" s="1" t="str">
        <f>HYPERLINK("http://www.uniprot.org/uniprot/CALR3_ARATH","CALR3_ARATH")</f>
        <v>CALR3_ARATH</v>
      </c>
      <c r="D1734" t="s">
        <v>1727</v>
      </c>
      <c r="E1734" s="3" t="s">
        <v>3</v>
      </c>
      <c r="F1734" s="4">
        <v>6.3800000000000001E-13</v>
      </c>
      <c r="G1734" s="3">
        <v>179</v>
      </c>
      <c r="H1734" s="3">
        <v>74</v>
      </c>
      <c r="I1734" s="3">
        <v>43</v>
      </c>
      <c r="J1734" s="3">
        <v>1018</v>
      </c>
      <c r="K1734" s="3">
        <v>1146</v>
      </c>
      <c r="L1734" s="3">
        <v>316</v>
      </c>
      <c r="M1734" s="3">
        <v>358</v>
      </c>
    </row>
    <row r="1735" spans="1:13" x14ac:dyDescent="0.25">
      <c r="A1735" s="1" t="str">
        <f>HYPERLINK("http://www.rosaceae.org/Prunus/Prunus_persica/p.persica_gdr_reftransV1_0037064","p.persica_gdr_reftransV1_0037064")</f>
        <v>p.persica_gdr_reftransV1_0037064</v>
      </c>
      <c r="B1735" s="3">
        <v>1784</v>
      </c>
      <c r="C1735" s="1" t="str">
        <f>HYPERLINK("http://www.uniprot.org/uniprot/C3H39_ARATH","C3H39_ARATH")</f>
        <v>C3H39_ARATH</v>
      </c>
      <c r="D1735" t="s">
        <v>1728</v>
      </c>
      <c r="E1735" s="3" t="s">
        <v>3</v>
      </c>
      <c r="F1735" s="4">
        <v>1.1699999999999999E-86</v>
      </c>
      <c r="G1735" s="3">
        <v>718</v>
      </c>
      <c r="H1735" s="3">
        <v>48</v>
      </c>
      <c r="I1735" s="3">
        <v>318</v>
      </c>
      <c r="J1735" s="3">
        <v>358</v>
      </c>
      <c r="K1735" s="3">
        <v>1215</v>
      </c>
      <c r="L1735" s="3">
        <v>60</v>
      </c>
      <c r="M1735" s="3">
        <v>376</v>
      </c>
    </row>
    <row r="1736" spans="1:13" x14ac:dyDescent="0.25">
      <c r="A1736" s="1" t="str">
        <f>HYPERLINK("http://www.rosaceae.org/Prunus/Prunus_persica/p.persica_gdr_reftransV1_0037314","p.persica_gdr_reftransV1_0037314")</f>
        <v>p.persica_gdr_reftransV1_0037314</v>
      </c>
      <c r="B1736" s="3">
        <v>1508</v>
      </c>
      <c r="C1736" s="1" t="str">
        <f>HYPERLINK("http://www.uniprot.org/uniprot/R10A_ORYSJ","R10A_ORYSJ")</f>
        <v>R10A_ORYSJ</v>
      </c>
      <c r="D1736" t="s">
        <v>1729</v>
      </c>
      <c r="E1736" s="3" t="s">
        <v>38</v>
      </c>
      <c r="F1736" s="4">
        <v>1.56E-120</v>
      </c>
      <c r="G1736" s="3">
        <v>922</v>
      </c>
      <c r="H1736" s="3">
        <v>87</v>
      </c>
      <c r="I1736" s="3">
        <v>216</v>
      </c>
      <c r="J1736" s="3">
        <v>90</v>
      </c>
      <c r="K1736" s="3">
        <v>737</v>
      </c>
      <c r="L1736" s="3">
        <v>1</v>
      </c>
      <c r="M1736" s="3">
        <v>216</v>
      </c>
    </row>
    <row r="1737" spans="1:13" x14ac:dyDescent="0.25">
      <c r="A1737" s="1" t="str">
        <f>HYPERLINK("http://www.rosaceae.org/Prunus/Prunus_persica/p.persica_gdr_reftransV1_0037714","p.persica_gdr_reftransV1_0037714")</f>
        <v>p.persica_gdr_reftransV1_0037714</v>
      </c>
      <c r="B1737" s="3">
        <v>976</v>
      </c>
      <c r="C1737" s="1" t="str">
        <f>HYPERLINK("http://www.uniprot.org/uniprot/ATB12_ARATH","ATB12_ARATH")</f>
        <v>ATB12_ARATH</v>
      </c>
      <c r="D1737" t="s">
        <v>1730</v>
      </c>
      <c r="E1737" s="3" t="s">
        <v>3</v>
      </c>
      <c r="F1737" s="4">
        <v>1.6999999999999999E-9</v>
      </c>
      <c r="G1737" s="3">
        <v>146</v>
      </c>
      <c r="H1737" s="3">
        <v>39</v>
      </c>
      <c r="I1737" s="3">
        <v>130</v>
      </c>
      <c r="J1737" s="3">
        <v>123</v>
      </c>
      <c r="K1737" s="3">
        <v>476</v>
      </c>
      <c r="L1737" s="3">
        <v>115</v>
      </c>
      <c r="M1737" s="3">
        <v>235</v>
      </c>
    </row>
    <row r="1738" spans="1:13" x14ac:dyDescent="0.25">
      <c r="A1738" s="1" t="str">
        <f>HYPERLINK("http://www.rosaceae.org/Prunus/Prunus_persica/p.persica_gdr_reftransV1_0037914","p.persica_gdr_reftransV1_0037914")</f>
        <v>p.persica_gdr_reftransV1_0037914</v>
      </c>
      <c r="B1738" s="3">
        <v>1807</v>
      </c>
      <c r="C1738" s="1" t="str">
        <f>HYPERLINK("http://www.uniprot.org/uniprot/ORP4B_ARATH","ORP4B_ARATH")</f>
        <v>ORP4B_ARATH</v>
      </c>
      <c r="D1738" t="s">
        <v>1731</v>
      </c>
      <c r="E1738" s="3" t="s">
        <v>3</v>
      </c>
      <c r="F1738" s="4">
        <v>2.5700000000000001E-135</v>
      </c>
      <c r="G1738" s="3">
        <v>1046</v>
      </c>
      <c r="H1738" s="3">
        <v>55</v>
      </c>
      <c r="I1738" s="3">
        <v>382</v>
      </c>
      <c r="J1738" s="3">
        <v>439</v>
      </c>
      <c r="K1738" s="3">
        <v>1572</v>
      </c>
      <c r="L1738" s="3">
        <v>3</v>
      </c>
      <c r="M1738" s="3">
        <v>382</v>
      </c>
    </row>
    <row r="1739" spans="1:13" x14ac:dyDescent="0.25">
      <c r="A1739" s="1" t="str">
        <f>HYPERLINK("http://www.rosaceae.org/Prunus/Prunus_persica/p.persica_gdr_reftransV1_0038014","p.persica_gdr_reftransV1_0038014")</f>
        <v>p.persica_gdr_reftransV1_0038014</v>
      </c>
      <c r="B1739" s="3">
        <v>2896</v>
      </c>
      <c r="C1739" s="1" t="str">
        <f>HYPERLINK("http://www.uniprot.org/uniprot/PGK2_PYRHO","PGK2_PYRHO")</f>
        <v>PGK2_PYRHO</v>
      </c>
      <c r="D1739" t="s">
        <v>1732</v>
      </c>
      <c r="E1739" s="3" t="s">
        <v>1733</v>
      </c>
      <c r="F1739" s="4">
        <v>5.74E-14</v>
      </c>
      <c r="G1739" s="3">
        <v>189</v>
      </c>
      <c r="H1739" s="3">
        <v>36</v>
      </c>
      <c r="I1739" s="3">
        <v>146</v>
      </c>
      <c r="J1739" s="3">
        <v>528</v>
      </c>
      <c r="K1739" s="3">
        <v>938</v>
      </c>
      <c r="L1739" s="3">
        <v>65</v>
      </c>
      <c r="M1739" s="3">
        <v>207</v>
      </c>
    </row>
    <row r="1740" spans="1:13" x14ac:dyDescent="0.25">
      <c r="A1740" s="1" t="str">
        <f>HYPERLINK("http://www.rosaceae.org/Prunus/Prunus_persica/p.persica_gdr_reftransV1_0038114","p.persica_gdr_reftransV1_0038114")</f>
        <v>p.persica_gdr_reftransV1_0038114</v>
      </c>
      <c r="B1740" s="3">
        <v>2158</v>
      </c>
      <c r="C1740" s="1" t="str">
        <f>HYPERLINK("http://www.uniprot.org/uniprot/SEC22_ARATH","SEC22_ARATH")</f>
        <v>SEC22_ARATH</v>
      </c>
      <c r="D1740" t="s">
        <v>1734</v>
      </c>
      <c r="E1740" s="3" t="s">
        <v>3</v>
      </c>
      <c r="F1740" s="4">
        <v>1.15E-75</v>
      </c>
      <c r="G1740" s="3">
        <v>491</v>
      </c>
      <c r="H1740" s="3">
        <v>96</v>
      </c>
      <c r="I1740" s="3">
        <v>97</v>
      </c>
      <c r="J1740" s="3">
        <v>520</v>
      </c>
      <c r="K1740" s="3">
        <v>810</v>
      </c>
      <c r="L1740" s="3">
        <v>117</v>
      </c>
      <c r="M1740" s="3">
        <v>213</v>
      </c>
    </row>
    <row r="1741" spans="1:13" x14ac:dyDescent="0.25">
      <c r="A1741" s="1" t="str">
        <f>HYPERLINK("http://www.rosaceae.org/Prunus/Prunus_persica/p.persica_gdr_reftransV1_0038264","p.persica_gdr_reftransV1_0038264")</f>
        <v>p.persica_gdr_reftransV1_0038264</v>
      </c>
      <c r="B1741" s="3">
        <v>999</v>
      </c>
      <c r="C1741" s="1" t="str">
        <f>HYPERLINK("http://www.uniprot.org/uniprot/MGDP1_MOUSE","MGDP1_MOUSE")</f>
        <v>MGDP1_MOUSE</v>
      </c>
      <c r="D1741" t="s">
        <v>1735</v>
      </c>
      <c r="E1741" s="3" t="s">
        <v>157</v>
      </c>
      <c r="F1741" s="4">
        <v>1.21E-28</v>
      </c>
      <c r="G1741" s="3">
        <v>283</v>
      </c>
      <c r="H1741" s="3">
        <v>38</v>
      </c>
      <c r="I1741" s="3">
        <v>158</v>
      </c>
      <c r="J1741" s="3">
        <v>149</v>
      </c>
      <c r="K1741" s="3">
        <v>577</v>
      </c>
      <c r="L1741" s="3">
        <v>4</v>
      </c>
      <c r="M1741" s="3">
        <v>159</v>
      </c>
    </row>
    <row r="1742" spans="1:13" x14ac:dyDescent="0.25">
      <c r="A1742" s="1" t="str">
        <f>HYPERLINK("http://www.rosaceae.org/Prunus/Prunus_persica/p.persica_gdr_reftransV1_0038664","p.persica_gdr_reftransV1_0038664")</f>
        <v>p.persica_gdr_reftransV1_0038664</v>
      </c>
      <c r="B1742" s="3">
        <v>2204</v>
      </c>
      <c r="C1742" s="1" t="str">
        <f>HYPERLINK("http://www.uniprot.org/uniprot/TT12_ARATH","TT12_ARATH")</f>
        <v>TT12_ARATH</v>
      </c>
      <c r="D1742" t="s">
        <v>353</v>
      </c>
      <c r="E1742" s="3" t="s">
        <v>3</v>
      </c>
      <c r="F1742" s="4">
        <v>2.8699999999999998E-103</v>
      </c>
      <c r="G1742" s="3">
        <v>852</v>
      </c>
      <c r="H1742" s="3">
        <v>40</v>
      </c>
      <c r="I1742" s="3">
        <v>489</v>
      </c>
      <c r="J1742" s="3">
        <v>509</v>
      </c>
      <c r="K1742" s="3">
        <v>1939</v>
      </c>
      <c r="L1742" s="3">
        <v>5</v>
      </c>
      <c r="M1742" s="3">
        <v>492</v>
      </c>
    </row>
    <row r="1743" spans="1:13" x14ac:dyDescent="0.25">
      <c r="A1743" s="1" t="str">
        <f>HYPERLINK("http://www.rosaceae.org/Prunus/Prunus_persica/p.persica_gdr_reftransV1_0039064","p.persica_gdr_reftransV1_0039064")</f>
        <v>p.persica_gdr_reftransV1_0039064</v>
      </c>
      <c r="B1743" s="3">
        <v>1472</v>
      </c>
      <c r="C1743" s="1" t="str">
        <f>HYPERLINK("http://www.uniprot.org/uniprot/GOLS1_ARATH","GOLS1_ARATH")</f>
        <v>GOLS1_ARATH</v>
      </c>
      <c r="D1743" t="s">
        <v>1736</v>
      </c>
      <c r="E1743" s="3" t="s">
        <v>3</v>
      </c>
      <c r="F1743" s="4">
        <v>0</v>
      </c>
      <c r="G1743" s="3">
        <v>1468</v>
      </c>
      <c r="H1743" s="3">
        <v>79</v>
      </c>
      <c r="I1743" s="3">
        <v>355</v>
      </c>
      <c r="J1743" s="3">
        <v>312</v>
      </c>
      <c r="K1743" s="3">
        <v>1358</v>
      </c>
      <c r="L1743" s="3">
        <v>1</v>
      </c>
      <c r="M1743" s="3">
        <v>344</v>
      </c>
    </row>
    <row r="1744" spans="1:13" x14ac:dyDescent="0.25">
      <c r="A1744" s="1" t="str">
        <f>HYPERLINK("http://www.rosaceae.org/Prunus/Prunus_persica/p.persica_gdr_reftransV1_0039414","p.persica_gdr_reftransV1_0039414")</f>
        <v>p.persica_gdr_reftransV1_0039414</v>
      </c>
      <c r="B1744" s="3">
        <v>1729</v>
      </c>
      <c r="C1744" s="1" t="str">
        <f>HYPERLINK("http://www.uniprot.org/uniprot/U496M_ARATH","U496M_ARATH")</f>
        <v>U496M_ARATH</v>
      </c>
      <c r="D1744" t="s">
        <v>1737</v>
      </c>
      <c r="E1744" s="3" t="s">
        <v>3</v>
      </c>
      <c r="F1744" s="4">
        <v>2.7399999999999997E-32</v>
      </c>
      <c r="G1744" s="3">
        <v>331</v>
      </c>
      <c r="H1744" s="3">
        <v>44</v>
      </c>
      <c r="I1744" s="3">
        <v>308</v>
      </c>
      <c r="J1744" s="3">
        <v>278</v>
      </c>
      <c r="K1744" s="3">
        <v>1198</v>
      </c>
      <c r="L1744" s="3">
        <v>95</v>
      </c>
      <c r="M1744" s="3">
        <v>369</v>
      </c>
    </row>
    <row r="1745" spans="1:13" x14ac:dyDescent="0.25">
      <c r="A1745" s="1" t="str">
        <f>HYPERLINK("http://www.rosaceae.org/Prunus/Prunus_persica/p.persica_gdr_reftransV1_0039614","p.persica_gdr_reftransV1_0039614")</f>
        <v>p.persica_gdr_reftransV1_0039614</v>
      </c>
      <c r="B1745" s="3">
        <v>842</v>
      </c>
      <c r="C1745" s="1" t="str">
        <f>HYPERLINK("http://www.uniprot.org/uniprot/NDUB2_ARATH","NDUB2_ARATH")</f>
        <v>NDUB2_ARATH</v>
      </c>
      <c r="D1745" t="s">
        <v>1738</v>
      </c>
      <c r="E1745" s="3" t="s">
        <v>3</v>
      </c>
      <c r="F1745" s="4">
        <v>8.45E-23</v>
      </c>
      <c r="G1745" s="3">
        <v>232</v>
      </c>
      <c r="H1745" s="3">
        <v>83</v>
      </c>
      <c r="I1745" s="3">
        <v>47</v>
      </c>
      <c r="J1745" s="3">
        <v>102</v>
      </c>
      <c r="K1745" s="3">
        <v>242</v>
      </c>
      <c r="L1745" s="3">
        <v>11</v>
      </c>
      <c r="M1745" s="3">
        <v>57</v>
      </c>
    </row>
    <row r="1746" spans="1:13" x14ac:dyDescent="0.25">
      <c r="A1746" s="1" t="str">
        <f>HYPERLINK("http://www.rosaceae.org/Prunus/Prunus_persica/p.persica_gdr_reftransV1_0039864","p.persica_gdr_reftransV1_0039864")</f>
        <v>p.persica_gdr_reftransV1_0039864</v>
      </c>
      <c r="B1746" s="3">
        <v>934</v>
      </c>
      <c r="C1746" s="1" t="str">
        <f>HYPERLINK("http://www.uniprot.org/uniprot/SUMO2_ARATH","SUMO2_ARATH")</f>
        <v>SUMO2_ARATH</v>
      </c>
      <c r="D1746" t="s">
        <v>99</v>
      </c>
      <c r="E1746" s="3" t="s">
        <v>3</v>
      </c>
      <c r="F1746" s="4">
        <v>1.63E-38</v>
      </c>
      <c r="G1746" s="3">
        <v>346</v>
      </c>
      <c r="H1746" s="3">
        <v>92</v>
      </c>
      <c r="I1746" s="3">
        <v>72</v>
      </c>
      <c r="J1746" s="3">
        <v>717</v>
      </c>
      <c r="K1746" s="3">
        <v>932</v>
      </c>
      <c r="L1746" s="3">
        <v>25</v>
      </c>
      <c r="M1746" s="3">
        <v>96</v>
      </c>
    </row>
    <row r="1747" spans="1:13" x14ac:dyDescent="0.25">
      <c r="A1747" s="1" t="str">
        <f>HYPERLINK("http://www.rosaceae.org/Prunus/Prunus_persica/p.persica_gdr_reftransV1_0040214","p.persica_gdr_reftransV1_0040214")</f>
        <v>p.persica_gdr_reftransV1_0040214</v>
      </c>
      <c r="B1747" s="3">
        <v>3356</v>
      </c>
      <c r="C1747" s="1" t="str">
        <f>HYPERLINK("http://www.uniprot.org/uniprot/CLPB1_ARATH","CLPB1_ARATH")</f>
        <v>CLPB1_ARATH</v>
      </c>
      <c r="D1747" t="s">
        <v>1739</v>
      </c>
      <c r="E1747" s="3" t="s">
        <v>3</v>
      </c>
      <c r="F1747" s="4">
        <v>0</v>
      </c>
      <c r="G1747" s="3">
        <v>3935</v>
      </c>
      <c r="H1747" s="3">
        <v>86</v>
      </c>
      <c r="I1747" s="3">
        <v>900</v>
      </c>
      <c r="J1747" s="3">
        <v>234</v>
      </c>
      <c r="K1747" s="3">
        <v>2924</v>
      </c>
      <c r="L1747" s="3">
        <v>1</v>
      </c>
      <c r="M1747" s="3">
        <v>896</v>
      </c>
    </row>
    <row r="1748" spans="1:13" x14ac:dyDescent="0.25">
      <c r="A1748" s="1" t="str">
        <f>HYPERLINK("http://www.rosaceae.org/Prunus/Prunus_persica/p.persica_gdr_reftransV1_0040514","p.persica_gdr_reftransV1_0040514")</f>
        <v>p.persica_gdr_reftransV1_0040514</v>
      </c>
      <c r="B1748" s="3">
        <v>1292</v>
      </c>
      <c r="C1748" s="1" t="str">
        <f>HYPERLINK("http://www.uniprot.org/uniprot/NFYB8_ARATH","NFYB8_ARATH")</f>
        <v>NFYB8_ARATH</v>
      </c>
      <c r="D1748" t="s">
        <v>1740</v>
      </c>
      <c r="E1748" s="3" t="s">
        <v>3</v>
      </c>
      <c r="F1748" s="4">
        <v>7.5199999999999999E-65</v>
      </c>
      <c r="G1748" s="3">
        <v>539</v>
      </c>
      <c r="H1748" s="3">
        <v>71</v>
      </c>
      <c r="I1748" s="3">
        <v>143</v>
      </c>
      <c r="J1748" s="3">
        <v>519</v>
      </c>
      <c r="K1748" s="3">
        <v>947</v>
      </c>
      <c r="L1748" s="3">
        <v>28</v>
      </c>
      <c r="M1748" s="3">
        <v>169</v>
      </c>
    </row>
    <row r="1749" spans="1:13" x14ac:dyDescent="0.25">
      <c r="A1749" s="1" t="str">
        <f>HYPERLINK("http://www.rosaceae.org/Prunus/Prunus_persica/p.persica_gdr_reftransV1_0041014","p.persica_gdr_reftransV1_0041014")</f>
        <v>p.persica_gdr_reftransV1_0041014</v>
      </c>
      <c r="B1749" s="3">
        <v>3365</v>
      </c>
      <c r="C1749" s="1" t="str">
        <f>HYPERLINK("http://www.uniprot.org/uniprot/NISCH_HUMAN","NISCH_HUMAN")</f>
        <v>NISCH_HUMAN</v>
      </c>
      <c r="D1749" t="s">
        <v>1741</v>
      </c>
      <c r="E1749" s="3" t="s">
        <v>28</v>
      </c>
      <c r="F1749" s="4">
        <v>5.14E-9</v>
      </c>
      <c r="G1749" s="3">
        <v>156</v>
      </c>
      <c r="H1749" s="3">
        <v>44</v>
      </c>
      <c r="I1749" s="3">
        <v>90</v>
      </c>
      <c r="J1749" s="3">
        <v>2906</v>
      </c>
      <c r="K1749" s="3">
        <v>3172</v>
      </c>
      <c r="L1749" s="3">
        <v>312</v>
      </c>
      <c r="M1749" s="3">
        <v>401</v>
      </c>
    </row>
    <row r="1750" spans="1:13" x14ac:dyDescent="0.25">
      <c r="A1750" s="1" t="str">
        <f>HYPERLINK("http://www.rosaceae.org/Prunus/Prunus_persica/p.persica_gdr_reftransV1_0041264","p.persica_gdr_reftransV1_0041264")</f>
        <v>p.persica_gdr_reftransV1_0041264</v>
      </c>
      <c r="B1750" s="3">
        <v>2128</v>
      </c>
      <c r="C1750" s="1" t="str">
        <f>HYPERLINK("http://www.uniprot.org/uniprot/YO059_YEAST","YO059_YEAST")</f>
        <v>YO059_YEAST</v>
      </c>
      <c r="D1750" t="s">
        <v>1742</v>
      </c>
      <c r="E1750" s="3" t="s">
        <v>34</v>
      </c>
      <c r="F1750" s="4">
        <v>2.17E-16</v>
      </c>
      <c r="G1750" s="3">
        <v>212</v>
      </c>
      <c r="H1750" s="3">
        <v>29</v>
      </c>
      <c r="I1750" s="3">
        <v>237</v>
      </c>
      <c r="J1750" s="3">
        <v>423</v>
      </c>
      <c r="K1750" s="3">
        <v>1106</v>
      </c>
      <c r="L1750" s="3">
        <v>6</v>
      </c>
      <c r="M1750" s="3">
        <v>207</v>
      </c>
    </row>
    <row r="1751" spans="1:13" x14ac:dyDescent="0.25">
      <c r="A1751" s="1" t="str">
        <f>HYPERLINK("http://www.rosaceae.org/Prunus/Prunus_persica/p.persica_gdr_reftransV1_0041564","p.persica_gdr_reftransV1_0041564")</f>
        <v>p.persica_gdr_reftransV1_0041564</v>
      </c>
      <c r="B1751" s="3">
        <v>2539</v>
      </c>
      <c r="C1751" s="1" t="str">
        <f>HYPERLINK("http://www.uniprot.org/uniprot/SWA1_ARATH","SWA1_ARATH")</f>
        <v>SWA1_ARATH</v>
      </c>
      <c r="D1751" t="s">
        <v>1743</v>
      </c>
      <c r="E1751" s="3" t="s">
        <v>3</v>
      </c>
      <c r="F1751" s="4">
        <v>0</v>
      </c>
      <c r="G1751" s="3">
        <v>1681</v>
      </c>
      <c r="H1751" s="3">
        <v>63</v>
      </c>
      <c r="I1751" s="3">
        <v>522</v>
      </c>
      <c r="J1751" s="3">
        <v>810</v>
      </c>
      <c r="K1751" s="3">
        <v>2375</v>
      </c>
      <c r="L1751" s="3">
        <v>36</v>
      </c>
      <c r="M1751" s="3">
        <v>529</v>
      </c>
    </row>
    <row r="1752" spans="1:13" x14ac:dyDescent="0.25">
      <c r="A1752" s="1" t="str">
        <f>HYPERLINK("http://www.rosaceae.org/Prunus/Prunus_persica/p.persica_gdr_reftransV1_0041664","p.persica_gdr_reftransV1_0041664")</f>
        <v>p.persica_gdr_reftransV1_0041664</v>
      </c>
      <c r="B1752" s="3">
        <v>3357</v>
      </c>
      <c r="C1752" s="1" t="str">
        <f>HYPERLINK("http://www.uniprot.org/uniprot/ZMYM1_HUMAN","ZMYM1_HUMAN")</f>
        <v>ZMYM1_HUMAN</v>
      </c>
      <c r="D1752" t="s">
        <v>1744</v>
      </c>
      <c r="E1752" s="3" t="s">
        <v>28</v>
      </c>
      <c r="F1752" s="4">
        <v>1.01E-36</v>
      </c>
      <c r="G1752" s="3">
        <v>390</v>
      </c>
      <c r="H1752" s="3">
        <v>24</v>
      </c>
      <c r="I1752" s="3">
        <v>716</v>
      </c>
      <c r="J1752" s="3">
        <v>200</v>
      </c>
      <c r="K1752" s="3">
        <v>2257</v>
      </c>
      <c r="L1752" s="3">
        <v>454</v>
      </c>
      <c r="M1752" s="3">
        <v>1138</v>
      </c>
    </row>
    <row r="1753" spans="1:13" x14ac:dyDescent="0.25">
      <c r="A1753" s="1" t="str">
        <f>HYPERLINK("http://www.rosaceae.org/Prunus/Prunus_persica/p.persica_gdr_reftransV1_0042164","p.persica_gdr_reftransV1_0042164")</f>
        <v>p.persica_gdr_reftransV1_0042164</v>
      </c>
      <c r="B1753" s="3">
        <v>2244</v>
      </c>
      <c r="C1753" s="1" t="str">
        <f>HYPERLINK("http://www.uniprot.org/uniprot/MBD9_ARATH","MBD9_ARATH")</f>
        <v>MBD9_ARATH</v>
      </c>
      <c r="D1753" t="s">
        <v>1745</v>
      </c>
      <c r="E1753" s="3" t="s">
        <v>3</v>
      </c>
      <c r="F1753" s="4">
        <v>3.3000000000000002E-11</v>
      </c>
      <c r="G1753" s="3">
        <v>173</v>
      </c>
      <c r="H1753" s="3">
        <v>36</v>
      </c>
      <c r="I1753" s="3">
        <v>88</v>
      </c>
      <c r="J1753" s="3">
        <v>490</v>
      </c>
      <c r="K1753" s="3">
        <v>738</v>
      </c>
      <c r="L1753" s="3">
        <v>1289</v>
      </c>
      <c r="M1753" s="3">
        <v>1376</v>
      </c>
    </row>
    <row r="1754" spans="1:13" x14ac:dyDescent="0.25">
      <c r="A1754" s="1" t="str">
        <f>HYPERLINK("http://www.rosaceae.org/Prunus/Prunus_persica/p.persica_gdr_reftransV1_0042314","p.persica_gdr_reftransV1_0042314")</f>
        <v>p.persica_gdr_reftransV1_0042314</v>
      </c>
      <c r="B1754" s="3">
        <v>2847</v>
      </c>
      <c r="C1754" s="1" t="str">
        <f>HYPERLINK("http://www.uniprot.org/uniprot/WNK11_ARATH","WNK11_ARATH")</f>
        <v>WNK11_ARATH</v>
      </c>
      <c r="D1754" t="s">
        <v>1655</v>
      </c>
      <c r="E1754" s="3" t="s">
        <v>3</v>
      </c>
      <c r="F1754" s="4">
        <v>6.9599999999999998E-86</v>
      </c>
      <c r="G1754" s="3">
        <v>727</v>
      </c>
      <c r="H1754" s="3">
        <v>59</v>
      </c>
      <c r="I1754" s="3">
        <v>238</v>
      </c>
      <c r="J1754" s="3">
        <v>1017</v>
      </c>
      <c r="K1754" s="3">
        <v>1718</v>
      </c>
      <c r="L1754" s="3">
        <v>9</v>
      </c>
      <c r="M1754" s="3">
        <v>246</v>
      </c>
    </row>
    <row r="1755" spans="1:13" x14ac:dyDescent="0.25">
      <c r="A1755" s="1" t="str">
        <f>HYPERLINK("http://www.rosaceae.org/Prunus/Prunus_persica/p.persica_gdr_reftransV1_0042364","p.persica_gdr_reftransV1_0042364")</f>
        <v>p.persica_gdr_reftransV1_0042364</v>
      </c>
      <c r="B1755" s="3">
        <v>2537</v>
      </c>
      <c r="C1755" s="1" t="str">
        <f>HYPERLINK("http://www.uniprot.org/uniprot/Y9853_DICDI","Y9853_DICDI")</f>
        <v>Y9853_DICDI</v>
      </c>
      <c r="D1755" t="s">
        <v>1746</v>
      </c>
      <c r="E1755" s="3" t="s">
        <v>9</v>
      </c>
      <c r="F1755" s="4">
        <v>3.8399999999999999E-20</v>
      </c>
      <c r="G1755" s="3">
        <v>245</v>
      </c>
      <c r="H1755" s="3">
        <v>43</v>
      </c>
      <c r="I1755" s="3">
        <v>142</v>
      </c>
      <c r="J1755" s="3">
        <v>1578</v>
      </c>
      <c r="K1755" s="3">
        <v>1979</v>
      </c>
      <c r="L1755" s="3">
        <v>20</v>
      </c>
      <c r="M1755" s="3">
        <v>158</v>
      </c>
    </row>
    <row r="1756" spans="1:13" x14ac:dyDescent="0.25">
      <c r="A1756" s="1" t="str">
        <f>HYPERLINK("http://www.rosaceae.org/Prunus/Prunus_persica/p.persica_gdr_reftransV1_0042414","p.persica_gdr_reftransV1_0042414")</f>
        <v>p.persica_gdr_reftransV1_0042414</v>
      </c>
      <c r="B1756" s="3">
        <v>710</v>
      </c>
      <c r="C1756" s="1" t="str">
        <f>HYPERLINK("http://www.uniprot.org/uniprot/PUMP5_ARATH","PUMP5_ARATH")</f>
        <v>PUMP5_ARATH</v>
      </c>
      <c r="D1756" t="s">
        <v>1747</v>
      </c>
      <c r="E1756" s="3" t="s">
        <v>3</v>
      </c>
      <c r="F1756" s="4">
        <v>5.7699999999999996E-56</v>
      </c>
      <c r="G1756" s="3">
        <v>475</v>
      </c>
      <c r="H1756" s="3">
        <v>80</v>
      </c>
      <c r="I1756" s="3">
        <v>124</v>
      </c>
      <c r="J1756" s="3">
        <v>337</v>
      </c>
      <c r="K1756" s="3">
        <v>708</v>
      </c>
      <c r="L1756" s="3">
        <v>188</v>
      </c>
      <c r="M1756" s="3">
        <v>311</v>
      </c>
    </row>
    <row r="1757" spans="1:13" x14ac:dyDescent="0.25">
      <c r="A1757" s="1" t="str">
        <f>HYPERLINK("http://www.rosaceae.org/Prunus/Prunus_persica/p.persica_gdr_reftransV1_0042914","p.persica_gdr_reftransV1_0042914")</f>
        <v>p.persica_gdr_reftransV1_0042914</v>
      </c>
      <c r="B1757" s="3">
        <v>2392</v>
      </c>
      <c r="C1757" s="1" t="str">
        <f>HYPERLINK("http://www.uniprot.org/uniprot/CALM_SOLLC","CALM_SOLLC")</f>
        <v>CALM_SOLLC</v>
      </c>
      <c r="D1757" t="s">
        <v>1748</v>
      </c>
      <c r="E1757" s="3" t="s">
        <v>64</v>
      </c>
      <c r="F1757" s="4">
        <v>7.3999999999999998E-35</v>
      </c>
      <c r="G1757" s="3">
        <v>339</v>
      </c>
      <c r="H1757" s="3">
        <v>93</v>
      </c>
      <c r="I1757" s="3">
        <v>72</v>
      </c>
      <c r="J1757" s="3">
        <v>533</v>
      </c>
      <c r="K1757" s="3">
        <v>748</v>
      </c>
      <c r="L1757" s="3">
        <v>78</v>
      </c>
      <c r="M1757" s="3">
        <v>149</v>
      </c>
    </row>
    <row r="1758" spans="1:13" x14ac:dyDescent="0.25">
      <c r="A1758" s="1" t="str">
        <f>HYPERLINK("http://www.rosaceae.org/Prunus/Prunus_persica/p.persica_gdr_reftransV1_0042964","p.persica_gdr_reftransV1_0042964")</f>
        <v>p.persica_gdr_reftransV1_0042964</v>
      </c>
      <c r="B1758" s="3">
        <v>1863</v>
      </c>
      <c r="C1758" s="1" t="str">
        <f>HYPERLINK("http://www.uniprot.org/uniprot/PUB28_ARATH","PUB28_ARATH")</f>
        <v>PUB28_ARATH</v>
      </c>
      <c r="D1758" t="s">
        <v>1749</v>
      </c>
      <c r="E1758" s="3" t="s">
        <v>3</v>
      </c>
      <c r="F1758" s="4">
        <v>1.18E-83</v>
      </c>
      <c r="G1758" s="3">
        <v>702</v>
      </c>
      <c r="H1758" s="3">
        <v>41</v>
      </c>
      <c r="I1758" s="3">
        <v>419</v>
      </c>
      <c r="J1758" s="3">
        <v>330</v>
      </c>
      <c r="K1758" s="3">
        <v>1559</v>
      </c>
      <c r="L1758" s="3">
        <v>1</v>
      </c>
      <c r="M1758" s="3">
        <v>408</v>
      </c>
    </row>
    <row r="1759" spans="1:13" x14ac:dyDescent="0.25">
      <c r="A1759" s="1" t="str">
        <f>HYPERLINK("http://www.rosaceae.org/Prunus/Prunus_persica/p.persica_gdr_reftransV1_0043064","p.persica_gdr_reftransV1_0043064")</f>
        <v>p.persica_gdr_reftransV1_0043064</v>
      </c>
      <c r="B1759" s="3">
        <v>1599</v>
      </c>
      <c r="C1759" s="1" t="str">
        <f>HYPERLINK("http://www.uniprot.org/uniprot/LUPS_GLYGL","LUPS_GLYGL")</f>
        <v>LUPS_GLYGL</v>
      </c>
      <c r="D1759" t="s">
        <v>1750</v>
      </c>
      <c r="E1759" s="3" t="s">
        <v>1751</v>
      </c>
      <c r="F1759" s="4">
        <v>0</v>
      </c>
      <c r="G1759" s="3">
        <v>1537</v>
      </c>
      <c r="H1759" s="3">
        <v>77</v>
      </c>
      <c r="I1759" s="3">
        <v>362</v>
      </c>
      <c r="J1759" s="3">
        <v>172</v>
      </c>
      <c r="K1759" s="3">
        <v>1257</v>
      </c>
      <c r="L1759" s="3">
        <v>397</v>
      </c>
      <c r="M1759" s="3">
        <v>757</v>
      </c>
    </row>
    <row r="1760" spans="1:13" x14ac:dyDescent="0.25">
      <c r="A1760" s="1" t="str">
        <f>HYPERLINK("http://www.rosaceae.org/Prunus/Prunus_persica/p.persica_gdr_reftransV1_0043114","p.persica_gdr_reftransV1_0043114")</f>
        <v>p.persica_gdr_reftransV1_0043114</v>
      </c>
      <c r="B1760" s="3">
        <v>965</v>
      </c>
      <c r="C1760" s="1" t="str">
        <f>HYPERLINK("http://www.uniprot.org/uniprot/SNR25_BOVIN","SNR25_BOVIN")</f>
        <v>SNR25_BOVIN</v>
      </c>
      <c r="D1760" t="s">
        <v>1752</v>
      </c>
      <c r="E1760" s="3" t="s">
        <v>184</v>
      </c>
      <c r="F1760" s="4">
        <v>4.5399999999999996E-9</v>
      </c>
      <c r="G1760" s="3">
        <v>138</v>
      </c>
      <c r="H1760" s="3">
        <v>32</v>
      </c>
      <c r="I1760" s="3">
        <v>81</v>
      </c>
      <c r="J1760" s="3">
        <v>357</v>
      </c>
      <c r="K1760" s="3">
        <v>581</v>
      </c>
      <c r="L1760" s="3">
        <v>40</v>
      </c>
      <c r="M1760" s="3">
        <v>120</v>
      </c>
    </row>
    <row r="1761" spans="1:13" x14ac:dyDescent="0.25">
      <c r="A1761" s="1" t="str">
        <f>HYPERLINK("http://www.rosaceae.org/Prunus/Prunus_persica/p.persica_gdr_reftransV1_0043164","p.persica_gdr_reftransV1_0043164")</f>
        <v>p.persica_gdr_reftransV1_0043164</v>
      </c>
      <c r="B1761" s="3">
        <v>1177</v>
      </c>
      <c r="C1761" s="1" t="str">
        <f>HYPERLINK("http://www.uniprot.org/uniprot/SD11_ARATH","SD11_ARATH")</f>
        <v>SD11_ARATH</v>
      </c>
      <c r="D1761" t="s">
        <v>1753</v>
      </c>
      <c r="E1761" s="3" t="s">
        <v>3</v>
      </c>
      <c r="F1761" s="4">
        <v>5.0299999999999997E-114</v>
      </c>
      <c r="G1761" s="3">
        <v>740</v>
      </c>
      <c r="H1761" s="3">
        <v>72</v>
      </c>
      <c r="I1761" s="3">
        <v>201</v>
      </c>
      <c r="J1761" s="3">
        <v>18</v>
      </c>
      <c r="K1761" s="3">
        <v>620</v>
      </c>
      <c r="L1761" s="3">
        <v>477</v>
      </c>
      <c r="M1761" s="3">
        <v>675</v>
      </c>
    </row>
    <row r="1762" spans="1:13" x14ac:dyDescent="0.25">
      <c r="A1762" s="1" t="str">
        <f>HYPERLINK("http://www.rosaceae.org/Prunus/Prunus_persica/p.persica_gdr_reftransV1_0043264","p.persica_gdr_reftransV1_0043264")</f>
        <v>p.persica_gdr_reftransV1_0043264</v>
      </c>
      <c r="B1762" s="3">
        <v>1677</v>
      </c>
      <c r="C1762" s="1" t="str">
        <f>HYPERLINK("http://www.uniprot.org/uniprot/C3H62_ORYSJ","C3H62_ORYSJ")</f>
        <v>C3H62_ORYSJ</v>
      </c>
      <c r="D1762" t="s">
        <v>1754</v>
      </c>
      <c r="E1762" s="3" t="s">
        <v>38</v>
      </c>
      <c r="F1762" s="4">
        <v>1.08E-60</v>
      </c>
      <c r="G1762" s="3">
        <v>556</v>
      </c>
      <c r="H1762" s="3">
        <v>47</v>
      </c>
      <c r="I1762" s="3">
        <v>302</v>
      </c>
      <c r="J1762" s="3">
        <v>718</v>
      </c>
      <c r="K1762" s="3">
        <v>1617</v>
      </c>
      <c r="L1762" s="3">
        <v>50</v>
      </c>
      <c r="M1762" s="3">
        <v>344</v>
      </c>
    </row>
    <row r="1763" spans="1:13" x14ac:dyDescent="0.25">
      <c r="A1763" s="1" t="str">
        <f>HYPERLINK("http://www.rosaceae.org/Prunus/Prunus_persica/p.persica_gdr_reftransV1_0043364","p.persica_gdr_reftransV1_0043364")</f>
        <v>p.persica_gdr_reftransV1_0043364</v>
      </c>
      <c r="B1763" s="3">
        <v>752</v>
      </c>
      <c r="C1763" s="1" t="str">
        <f>HYPERLINK("http://www.uniprot.org/uniprot/HOP2_ARATH","HOP2_ARATH")</f>
        <v>HOP2_ARATH</v>
      </c>
      <c r="D1763" t="s">
        <v>1755</v>
      </c>
      <c r="E1763" s="3" t="s">
        <v>3</v>
      </c>
      <c r="F1763" s="4">
        <v>1.8199999999999999E-94</v>
      </c>
      <c r="G1763" s="3">
        <v>725</v>
      </c>
      <c r="H1763" s="3">
        <v>71</v>
      </c>
      <c r="I1763" s="3">
        <v>187</v>
      </c>
      <c r="J1763" s="3">
        <v>190</v>
      </c>
      <c r="K1763" s="3">
        <v>750</v>
      </c>
      <c r="L1763" s="3">
        <v>39</v>
      </c>
      <c r="M1763" s="3">
        <v>225</v>
      </c>
    </row>
    <row r="1764" spans="1:13" x14ac:dyDescent="0.25">
      <c r="A1764" s="1" t="str">
        <f>HYPERLINK("http://www.rosaceae.org/Prunus/Prunus_persica/p.persica_gdr_reftransV1_0043514","p.persica_gdr_reftransV1_0043514")</f>
        <v>p.persica_gdr_reftransV1_0043514</v>
      </c>
      <c r="B1764" s="3">
        <v>1309</v>
      </c>
      <c r="C1764" s="1" t="str">
        <f>HYPERLINK("http://www.uniprot.org/uniprot/ILR1_ARATH","ILR1_ARATH")</f>
        <v>ILR1_ARATH</v>
      </c>
      <c r="D1764" t="s">
        <v>397</v>
      </c>
      <c r="E1764" s="3" t="s">
        <v>3</v>
      </c>
      <c r="F1764" s="4">
        <v>0</v>
      </c>
      <c r="G1764" s="3">
        <v>1360</v>
      </c>
      <c r="H1764" s="3">
        <v>61</v>
      </c>
      <c r="I1764" s="3">
        <v>397</v>
      </c>
      <c r="J1764" s="3">
        <v>90</v>
      </c>
      <c r="K1764" s="3">
        <v>1280</v>
      </c>
      <c r="L1764" s="3">
        <v>32</v>
      </c>
      <c r="M1764" s="3">
        <v>428</v>
      </c>
    </row>
    <row r="1765" spans="1:13" x14ac:dyDescent="0.25">
      <c r="A1765" s="1" t="str">
        <f>HYPERLINK("http://www.rosaceae.org/Prunus/Prunus_persica/p.persica_gdr_reftransV1_0043614","p.persica_gdr_reftransV1_0043614")</f>
        <v>p.persica_gdr_reftransV1_0043614</v>
      </c>
      <c r="B1765" s="3">
        <v>744</v>
      </c>
      <c r="C1765" s="1" t="str">
        <f>HYPERLINK("http://www.uniprot.org/uniprot/HHT1_ARATH","HHT1_ARATH")</f>
        <v>HHT1_ARATH</v>
      </c>
      <c r="D1765" t="s">
        <v>1756</v>
      </c>
      <c r="E1765" s="3" t="s">
        <v>3</v>
      </c>
      <c r="F1765" s="4">
        <v>5.46E-34</v>
      </c>
      <c r="G1765" s="3">
        <v>331</v>
      </c>
      <c r="H1765" s="3">
        <v>35</v>
      </c>
      <c r="I1765" s="3">
        <v>253</v>
      </c>
      <c r="J1765" s="3">
        <v>3</v>
      </c>
      <c r="K1765" s="3">
        <v>743</v>
      </c>
      <c r="L1765" s="3">
        <v>167</v>
      </c>
      <c r="M1765" s="3">
        <v>408</v>
      </c>
    </row>
    <row r="1766" spans="1:13" x14ac:dyDescent="0.25">
      <c r="A1766" s="1" t="str">
        <f>HYPERLINK("http://www.rosaceae.org/Prunus/Prunus_persica/p.persica_gdr_reftransV1_0043714","p.persica_gdr_reftransV1_0043714")</f>
        <v>p.persica_gdr_reftransV1_0043714</v>
      </c>
      <c r="B1766" s="3">
        <v>1602</v>
      </c>
      <c r="C1766" s="1" t="str">
        <f>HYPERLINK("http://www.uniprot.org/uniprot/FOLD4_ARATH","FOLD4_ARATH")</f>
        <v>FOLD4_ARATH</v>
      </c>
      <c r="D1766" t="s">
        <v>1757</v>
      </c>
      <c r="E1766" s="3" t="s">
        <v>3</v>
      </c>
      <c r="F1766" s="4">
        <v>0</v>
      </c>
      <c r="G1766" s="3">
        <v>1452</v>
      </c>
      <c r="H1766" s="3">
        <v>78</v>
      </c>
      <c r="I1766" s="3">
        <v>366</v>
      </c>
      <c r="J1766" s="3">
        <v>137</v>
      </c>
      <c r="K1766" s="3">
        <v>1216</v>
      </c>
      <c r="L1766" s="3">
        <v>1</v>
      </c>
      <c r="M1766" s="3">
        <v>360</v>
      </c>
    </row>
    <row r="1767" spans="1:13" x14ac:dyDescent="0.25">
      <c r="A1767" s="1" t="str">
        <f>HYPERLINK("http://www.rosaceae.org/Prunus/Prunus_persica/p.persica_gdr_reftransV1_0043764","p.persica_gdr_reftransV1_0043764")</f>
        <v>p.persica_gdr_reftransV1_0043764</v>
      </c>
      <c r="B1767" s="3">
        <v>1582</v>
      </c>
      <c r="C1767" s="1" t="str">
        <f>HYPERLINK("http://www.uniprot.org/uniprot/KIP1L_ARATH","KIP1L_ARATH")</f>
        <v>KIP1L_ARATH</v>
      </c>
      <c r="D1767" t="s">
        <v>1758</v>
      </c>
      <c r="E1767" s="3" t="s">
        <v>3</v>
      </c>
      <c r="F1767" s="4">
        <v>6.4900000000000003E-30</v>
      </c>
      <c r="G1767" s="3">
        <v>307</v>
      </c>
      <c r="H1767" s="3">
        <v>32</v>
      </c>
      <c r="I1767" s="3">
        <v>272</v>
      </c>
      <c r="J1767" s="3">
        <v>381</v>
      </c>
      <c r="K1767" s="3">
        <v>1196</v>
      </c>
      <c r="L1767" s="3">
        <v>3</v>
      </c>
      <c r="M1767" s="3">
        <v>233</v>
      </c>
    </row>
    <row r="1768" spans="1:13" x14ac:dyDescent="0.25">
      <c r="A1768" s="1" t="str">
        <f>HYPERLINK("http://www.rosaceae.org/Prunus/Prunus_persica/p.persica_gdr_reftransV1_0043814","p.persica_gdr_reftransV1_0043814")</f>
        <v>p.persica_gdr_reftransV1_0043814</v>
      </c>
      <c r="B1768" s="3">
        <v>1639</v>
      </c>
      <c r="C1768" s="1" t="str">
        <f>HYPERLINK("http://www.uniprot.org/uniprot/AAP3_ARATH","AAP3_ARATH")</f>
        <v>AAP3_ARATH</v>
      </c>
      <c r="D1768" t="s">
        <v>1759</v>
      </c>
      <c r="E1768" s="3" t="s">
        <v>3</v>
      </c>
      <c r="F1768" s="4">
        <v>0</v>
      </c>
      <c r="G1768" s="3">
        <v>1971</v>
      </c>
      <c r="H1768" s="3">
        <v>78</v>
      </c>
      <c r="I1768" s="3">
        <v>476</v>
      </c>
      <c r="J1768" s="3">
        <v>100</v>
      </c>
      <c r="K1768" s="3">
        <v>1527</v>
      </c>
      <c r="L1768" s="3">
        <v>2</v>
      </c>
      <c r="M1768" s="3">
        <v>476</v>
      </c>
    </row>
    <row r="1769" spans="1:13" x14ac:dyDescent="0.25">
      <c r="A1769" s="1" t="str">
        <f>HYPERLINK("http://www.rosaceae.org/Prunus/Prunus_persica/p.persica_gdr_reftransV1_0044014","p.persica_gdr_reftransV1_0044014")</f>
        <v>p.persica_gdr_reftransV1_0044014</v>
      </c>
      <c r="B1769" s="3">
        <v>2679</v>
      </c>
      <c r="C1769" s="1" t="str">
        <f>HYPERLINK("http://www.uniprot.org/uniprot/CLAH1_ARATH","CLAH1_ARATH")</f>
        <v>CLAH1_ARATH</v>
      </c>
      <c r="D1769" t="s">
        <v>1760</v>
      </c>
      <c r="E1769" s="3" t="s">
        <v>3</v>
      </c>
      <c r="F1769" s="4">
        <v>0</v>
      </c>
      <c r="G1769" s="3">
        <v>3959</v>
      </c>
      <c r="H1769" s="3">
        <v>91</v>
      </c>
      <c r="I1769" s="3">
        <v>824</v>
      </c>
      <c r="J1769" s="3">
        <v>2</v>
      </c>
      <c r="K1769" s="3">
        <v>2473</v>
      </c>
      <c r="L1769" s="3">
        <v>1</v>
      </c>
      <c r="M1769" s="3">
        <v>824</v>
      </c>
    </row>
    <row r="1770" spans="1:13" x14ac:dyDescent="0.25">
      <c r="A1770" s="1" t="str">
        <f>HYPERLINK("http://www.rosaceae.org/Prunus/Prunus_persica/p.persica_gdr_reftransV1_0044064","p.persica_gdr_reftransV1_0044064")</f>
        <v>p.persica_gdr_reftransV1_0044064</v>
      </c>
      <c r="B1770" s="3">
        <v>755</v>
      </c>
      <c r="C1770" s="1" t="str">
        <f>HYPERLINK("http://www.uniprot.org/uniprot/CADH1_ARATH","CADH1_ARATH")</f>
        <v>CADH1_ARATH</v>
      </c>
      <c r="D1770" t="s">
        <v>75</v>
      </c>
      <c r="E1770" s="3" t="s">
        <v>3</v>
      </c>
      <c r="F1770" s="4">
        <v>2.5199999999999999E-118</v>
      </c>
      <c r="G1770" s="3">
        <v>895</v>
      </c>
      <c r="H1770" s="3">
        <v>80</v>
      </c>
      <c r="I1770" s="3">
        <v>218</v>
      </c>
      <c r="J1770" s="3">
        <v>88</v>
      </c>
      <c r="K1770" s="3">
        <v>741</v>
      </c>
      <c r="L1770" s="3">
        <v>3</v>
      </c>
      <c r="M1770" s="3">
        <v>219</v>
      </c>
    </row>
    <row r="1771" spans="1:13" x14ac:dyDescent="0.25">
      <c r="A1771" s="1" t="str">
        <f>HYPERLINK("http://www.rosaceae.org/Prunus/Prunus_persica/p.persica_gdr_reftransV1_0044114","p.persica_gdr_reftransV1_0044114")</f>
        <v>p.persica_gdr_reftransV1_0044114</v>
      </c>
      <c r="B1771" s="3">
        <v>1932</v>
      </c>
      <c r="C1771" s="1" t="str">
        <f>HYPERLINK("http://www.uniprot.org/uniprot/DHX36_HUMAN","DHX36_HUMAN")</f>
        <v>DHX36_HUMAN</v>
      </c>
      <c r="D1771" t="s">
        <v>1761</v>
      </c>
      <c r="E1771" s="3" t="s">
        <v>28</v>
      </c>
      <c r="F1771" s="4">
        <v>7.0900000000000002E-95</v>
      </c>
      <c r="G1771" s="3">
        <v>820</v>
      </c>
      <c r="H1771" s="3">
        <v>40</v>
      </c>
      <c r="I1771" s="3">
        <v>489</v>
      </c>
      <c r="J1771" s="3">
        <v>486</v>
      </c>
      <c r="K1771" s="3">
        <v>1925</v>
      </c>
      <c r="L1771" s="3">
        <v>549</v>
      </c>
      <c r="M1771" s="3">
        <v>992</v>
      </c>
    </row>
    <row r="1772" spans="1:13" x14ac:dyDescent="0.25">
      <c r="A1772" s="1" t="str">
        <f>HYPERLINK("http://www.rosaceae.org/Prunus/Prunus_persica/p.persica_gdr_reftransV1_0044164","p.persica_gdr_reftransV1_0044164")</f>
        <v>p.persica_gdr_reftransV1_0044164</v>
      </c>
      <c r="B1772" s="3">
        <v>1017</v>
      </c>
      <c r="C1772" s="1" t="str">
        <f>HYPERLINK("http://www.uniprot.org/uniprot/CCU21_ARATH","CCU21_ARATH")</f>
        <v>CCU21_ARATH</v>
      </c>
      <c r="D1772" t="s">
        <v>1762</v>
      </c>
      <c r="E1772" s="3" t="s">
        <v>3</v>
      </c>
      <c r="F1772" s="4">
        <v>1.1399999999999999E-102</v>
      </c>
      <c r="G1772" s="3">
        <v>788</v>
      </c>
      <c r="H1772" s="3">
        <v>74</v>
      </c>
      <c r="I1772" s="3">
        <v>222</v>
      </c>
      <c r="J1772" s="3">
        <v>172</v>
      </c>
      <c r="K1772" s="3">
        <v>822</v>
      </c>
      <c r="L1772" s="3">
        <v>8</v>
      </c>
      <c r="M1772" s="3">
        <v>222</v>
      </c>
    </row>
    <row r="1773" spans="1:13" x14ac:dyDescent="0.25">
      <c r="A1773" s="1" t="str">
        <f>HYPERLINK("http://www.rosaceae.org/Prunus/Prunus_persica/p.persica_gdr_reftransV1_0044214","p.persica_gdr_reftransV1_0044214")</f>
        <v>p.persica_gdr_reftransV1_0044214</v>
      </c>
      <c r="B1773" s="3">
        <v>857</v>
      </c>
      <c r="C1773" s="1" t="str">
        <f>HYPERLINK("http://www.uniprot.org/uniprot/HVA22_HORVU","HVA22_HORVU")</f>
        <v>HVA22_HORVU</v>
      </c>
      <c r="D1773" t="s">
        <v>1763</v>
      </c>
      <c r="E1773" s="3" t="s">
        <v>769</v>
      </c>
      <c r="F1773" s="4">
        <v>2.5600000000000001E-51</v>
      </c>
      <c r="G1773" s="3">
        <v>433</v>
      </c>
      <c r="H1773" s="3">
        <v>64</v>
      </c>
      <c r="I1773" s="3">
        <v>129</v>
      </c>
      <c r="J1773" s="3">
        <v>314</v>
      </c>
      <c r="K1773" s="3">
        <v>682</v>
      </c>
      <c r="L1773" s="3">
        <v>1</v>
      </c>
      <c r="M1773" s="3">
        <v>128</v>
      </c>
    </row>
    <row r="1774" spans="1:13" x14ac:dyDescent="0.25">
      <c r="A1774" s="1" t="str">
        <f>HYPERLINK("http://www.rosaceae.org/Prunus/Prunus_persica/p.persica_gdr_reftransV1_0044264","p.persica_gdr_reftransV1_0044264")</f>
        <v>p.persica_gdr_reftransV1_0044264</v>
      </c>
      <c r="B1774" s="3">
        <v>1349</v>
      </c>
      <c r="C1774" s="1" t="str">
        <f>HYPERLINK("http://www.uniprot.org/uniprot/LYPA2_HUMAN","LYPA2_HUMAN")</f>
        <v>LYPA2_HUMAN</v>
      </c>
      <c r="D1774" t="s">
        <v>765</v>
      </c>
      <c r="E1774" s="3" t="s">
        <v>28</v>
      </c>
      <c r="F1774" s="4">
        <v>4.0500000000000003E-30</v>
      </c>
      <c r="G1774" s="3">
        <v>302</v>
      </c>
      <c r="H1774" s="3">
        <v>36</v>
      </c>
      <c r="I1774" s="3">
        <v>222</v>
      </c>
      <c r="J1774" s="3">
        <v>309</v>
      </c>
      <c r="K1774" s="3">
        <v>956</v>
      </c>
      <c r="L1774" s="3">
        <v>25</v>
      </c>
      <c r="M1774" s="3">
        <v>228</v>
      </c>
    </row>
    <row r="1775" spans="1:13" x14ac:dyDescent="0.25">
      <c r="A1775" s="1" t="str">
        <f>HYPERLINK("http://www.rosaceae.org/Prunus/Prunus_persica/p.persica_gdr_reftransV1_0044414","p.persica_gdr_reftransV1_0044414")</f>
        <v>p.persica_gdr_reftransV1_0044414</v>
      </c>
      <c r="B1775" s="3">
        <v>1072</v>
      </c>
      <c r="C1775" s="1" t="str">
        <f>HYPERLINK("http://www.uniprot.org/uniprot/HMGYA_SOYBN","HMGYA_SOYBN")</f>
        <v>HMGYA_SOYBN</v>
      </c>
      <c r="D1775" t="s">
        <v>1764</v>
      </c>
      <c r="E1775" s="3" t="s">
        <v>307</v>
      </c>
      <c r="F1775" s="4">
        <v>6.6099999999999998E-33</v>
      </c>
      <c r="G1775" s="3">
        <v>316</v>
      </c>
      <c r="H1775" s="3">
        <v>73</v>
      </c>
      <c r="I1775" s="3">
        <v>83</v>
      </c>
      <c r="J1775" s="3">
        <v>633</v>
      </c>
      <c r="K1775" s="3">
        <v>881</v>
      </c>
      <c r="L1775" s="3">
        <v>1</v>
      </c>
      <c r="M1775" s="3">
        <v>81</v>
      </c>
    </row>
    <row r="1776" spans="1:13" x14ac:dyDescent="0.25">
      <c r="A1776" s="1" t="str">
        <f>HYPERLINK("http://www.rosaceae.org/Prunus/Prunus_persica/p.persica_gdr_reftransV1_0044464","p.persica_gdr_reftransV1_0044464")</f>
        <v>p.persica_gdr_reftransV1_0044464</v>
      </c>
      <c r="B1776" s="3">
        <v>369</v>
      </c>
      <c r="C1776" s="1" t="str">
        <f>HYPERLINK("http://www.uniprot.org/uniprot/STA1_ARATH","STA1_ARATH")</f>
        <v>STA1_ARATH</v>
      </c>
      <c r="D1776" t="s">
        <v>1090</v>
      </c>
      <c r="E1776" s="3" t="s">
        <v>3</v>
      </c>
      <c r="F1776" s="4">
        <v>3.0200000000000002E-57</v>
      </c>
      <c r="G1776" s="3">
        <v>497</v>
      </c>
      <c r="H1776" s="3">
        <v>77</v>
      </c>
      <c r="I1776" s="3">
        <v>121</v>
      </c>
      <c r="J1776" s="3">
        <v>3</v>
      </c>
      <c r="K1776" s="3">
        <v>365</v>
      </c>
      <c r="L1776" s="3">
        <v>746</v>
      </c>
      <c r="M1776" s="3">
        <v>866</v>
      </c>
    </row>
    <row r="1777" spans="1:13" x14ac:dyDescent="0.25">
      <c r="A1777" s="1" t="str">
        <f>HYPERLINK("http://www.rosaceae.org/Prunus/Prunus_persica/p.persica_gdr_reftransV1_0044514","p.persica_gdr_reftransV1_0044514")</f>
        <v>p.persica_gdr_reftransV1_0044514</v>
      </c>
      <c r="B1777" s="3">
        <v>1315</v>
      </c>
      <c r="C1777" s="1" t="str">
        <f>HYPERLINK("http://www.uniprot.org/uniprot/MYB46_ARATH","MYB46_ARATH")</f>
        <v>MYB46_ARATH</v>
      </c>
      <c r="D1777" t="s">
        <v>1765</v>
      </c>
      <c r="E1777" s="3" t="s">
        <v>3</v>
      </c>
      <c r="F1777" s="4">
        <v>1.51E-62</v>
      </c>
      <c r="G1777" s="3">
        <v>534</v>
      </c>
      <c r="H1777" s="3">
        <v>90</v>
      </c>
      <c r="I1777" s="3">
        <v>104</v>
      </c>
      <c r="J1777" s="3">
        <v>876</v>
      </c>
      <c r="K1777" s="3">
        <v>1187</v>
      </c>
      <c r="L1777" s="3">
        <v>21</v>
      </c>
      <c r="M1777" s="3">
        <v>124</v>
      </c>
    </row>
    <row r="1778" spans="1:13" x14ac:dyDescent="0.25">
      <c r="A1778" s="1" t="str">
        <f>HYPERLINK("http://www.rosaceae.org/Prunus/Prunus_persica/p.persica_gdr_reftransV1_0044614","p.persica_gdr_reftransV1_0044614")</f>
        <v>p.persica_gdr_reftransV1_0044614</v>
      </c>
      <c r="B1778" s="3">
        <v>297</v>
      </c>
      <c r="C1778" s="1" t="str">
        <f>HYPERLINK("http://www.uniprot.org/uniprot/RGA1_SOLBU","RGA1_SOLBU")</f>
        <v>RGA1_SOLBU</v>
      </c>
      <c r="D1778" t="s">
        <v>559</v>
      </c>
      <c r="E1778" s="3" t="s">
        <v>560</v>
      </c>
      <c r="F1778" s="4">
        <v>1.1900000000000001E-11</v>
      </c>
      <c r="G1778" s="3">
        <v>156</v>
      </c>
      <c r="H1778" s="3">
        <v>41</v>
      </c>
      <c r="I1778" s="3">
        <v>98</v>
      </c>
      <c r="J1778" s="3">
        <v>3</v>
      </c>
      <c r="K1778" s="3">
        <v>296</v>
      </c>
      <c r="L1778" s="3">
        <v>468</v>
      </c>
      <c r="M1778" s="3">
        <v>556</v>
      </c>
    </row>
    <row r="1779" spans="1:13" x14ac:dyDescent="0.25">
      <c r="A1779" s="1" t="str">
        <f>HYPERLINK("http://www.rosaceae.org/Prunus/Prunus_persica/p.persica_gdr_reftransV1_0044664","p.persica_gdr_reftransV1_0044664")</f>
        <v>p.persica_gdr_reftransV1_0044664</v>
      </c>
      <c r="B1779" s="3">
        <v>913</v>
      </c>
      <c r="C1779" s="1" t="str">
        <f>HYPERLINK("http://www.uniprot.org/uniprot/RL4_RHOCS","RL4_RHOCS")</f>
        <v>RL4_RHOCS</v>
      </c>
      <c r="D1779" t="s">
        <v>1766</v>
      </c>
      <c r="E1779" s="3" t="s">
        <v>702</v>
      </c>
      <c r="F1779" s="4">
        <v>2.5499999999999999E-47</v>
      </c>
      <c r="G1779" s="3">
        <v>414</v>
      </c>
      <c r="H1779" s="3">
        <v>50</v>
      </c>
      <c r="I1779" s="3">
        <v>161</v>
      </c>
      <c r="J1779" s="3">
        <v>319</v>
      </c>
      <c r="K1779" s="3">
        <v>801</v>
      </c>
      <c r="L1779" s="3">
        <v>45</v>
      </c>
      <c r="M1779" s="3">
        <v>205</v>
      </c>
    </row>
    <row r="1780" spans="1:13" x14ac:dyDescent="0.25">
      <c r="A1780" s="1" t="str">
        <f>HYPERLINK("http://www.rosaceae.org/Prunus/Prunus_persica/p.persica_gdr_reftransV1_0044714","p.persica_gdr_reftransV1_0044714")</f>
        <v>p.persica_gdr_reftransV1_0044714</v>
      </c>
      <c r="B1780" s="3">
        <v>1738</v>
      </c>
      <c r="C1780" s="1" t="str">
        <f>HYPERLINK("http://www.uniprot.org/uniprot/U74E2_ARATH","U74E2_ARATH")</f>
        <v>U74E2_ARATH</v>
      </c>
      <c r="D1780" t="s">
        <v>473</v>
      </c>
      <c r="E1780" s="3" t="s">
        <v>3</v>
      </c>
      <c r="F1780" s="4">
        <v>3.4E-147</v>
      </c>
      <c r="G1780" s="3">
        <v>1129</v>
      </c>
      <c r="H1780" s="3">
        <v>48</v>
      </c>
      <c r="I1780" s="3">
        <v>452</v>
      </c>
      <c r="J1780" s="3">
        <v>76</v>
      </c>
      <c r="K1780" s="3">
        <v>1413</v>
      </c>
      <c r="L1780" s="3">
        <v>4</v>
      </c>
      <c r="M1780" s="3">
        <v>453</v>
      </c>
    </row>
    <row r="1781" spans="1:13" x14ac:dyDescent="0.25">
      <c r="A1781" s="1" t="str">
        <f>HYPERLINK("http://www.rosaceae.org/Prunus/Prunus_persica/p.persica_gdr_reftransV1_0044764","p.persica_gdr_reftransV1_0044764")</f>
        <v>p.persica_gdr_reftransV1_0044764</v>
      </c>
      <c r="B1781" s="3">
        <v>1130</v>
      </c>
      <c r="C1781" s="1" t="str">
        <f>HYPERLINK("http://www.uniprot.org/uniprot/HEBP2_HUMAN","HEBP2_HUMAN")</f>
        <v>HEBP2_HUMAN</v>
      </c>
      <c r="D1781" t="s">
        <v>1767</v>
      </c>
      <c r="E1781" s="3" t="s">
        <v>28</v>
      </c>
      <c r="F1781" s="4">
        <v>1.78E-25</v>
      </c>
      <c r="G1781" s="3">
        <v>265</v>
      </c>
      <c r="H1781" s="3">
        <v>40</v>
      </c>
      <c r="I1781" s="3">
        <v>167</v>
      </c>
      <c r="J1781" s="3">
        <v>365</v>
      </c>
      <c r="K1781" s="3">
        <v>859</v>
      </c>
      <c r="L1781" s="3">
        <v>38</v>
      </c>
      <c r="M1781" s="3">
        <v>194</v>
      </c>
    </row>
    <row r="1782" spans="1:13" x14ac:dyDescent="0.25">
      <c r="A1782" s="1" t="str">
        <f>HYPERLINK("http://www.rosaceae.org/Prunus/Prunus_persica/p.persica_gdr_reftransV1_0044914","p.persica_gdr_reftransV1_0044914")</f>
        <v>p.persica_gdr_reftransV1_0044914</v>
      </c>
      <c r="B1782" s="3">
        <v>3381</v>
      </c>
      <c r="C1782" s="1" t="str">
        <f>HYPERLINK("http://www.uniprot.org/uniprot/CRRS3_ARATH","CRRS3_ARATH")</f>
        <v>CRRS3_ARATH</v>
      </c>
      <c r="D1782" t="s">
        <v>1768</v>
      </c>
      <c r="E1782" s="3" t="s">
        <v>3</v>
      </c>
      <c r="F1782" s="4">
        <v>7.7900000000000001E-114</v>
      </c>
      <c r="G1782" s="3">
        <v>929</v>
      </c>
      <c r="H1782" s="3">
        <v>74</v>
      </c>
      <c r="I1782" s="3">
        <v>285</v>
      </c>
      <c r="J1782" s="3">
        <v>366</v>
      </c>
      <c r="K1782" s="3">
        <v>1190</v>
      </c>
      <c r="L1782" s="3">
        <v>23</v>
      </c>
      <c r="M1782" s="3">
        <v>307</v>
      </c>
    </row>
    <row r="1783" spans="1:13" x14ac:dyDescent="0.25">
      <c r="A1783" s="1" t="str">
        <f>HYPERLINK("http://www.rosaceae.org/Prunus/Prunus_persica/p.persica_gdr_reftransV1_0044964","p.persica_gdr_reftransV1_0044964")</f>
        <v>p.persica_gdr_reftransV1_0044964</v>
      </c>
      <c r="B1783" s="3">
        <v>880</v>
      </c>
      <c r="C1783" s="1" t="str">
        <f>HYPERLINK("http://www.uniprot.org/uniprot/H2A_EUPES","H2A_EUPES")</f>
        <v>H2A_EUPES</v>
      </c>
      <c r="D1783" t="s">
        <v>1769</v>
      </c>
      <c r="E1783" s="3" t="s">
        <v>1191</v>
      </c>
      <c r="F1783" s="4">
        <v>8.3600000000000004E-47</v>
      </c>
      <c r="G1783" s="3">
        <v>405</v>
      </c>
      <c r="H1783" s="3">
        <v>97</v>
      </c>
      <c r="I1783" s="3">
        <v>103</v>
      </c>
      <c r="J1783" s="3">
        <v>374</v>
      </c>
      <c r="K1783" s="3">
        <v>682</v>
      </c>
      <c r="L1783" s="3">
        <v>23</v>
      </c>
      <c r="M1783" s="3">
        <v>125</v>
      </c>
    </row>
    <row r="1784" spans="1:13" x14ac:dyDescent="0.25">
      <c r="A1784" s="1" t="str">
        <f>HYPERLINK("http://www.rosaceae.org/Prunus/Prunus_persica/p.persica_gdr_reftransV1_0045064","p.persica_gdr_reftransV1_0045064")</f>
        <v>p.persica_gdr_reftransV1_0045064</v>
      </c>
      <c r="B1784" s="3">
        <v>1072</v>
      </c>
      <c r="C1784" s="1" t="str">
        <f>HYPERLINK("http://www.uniprot.org/uniprot/LSM1B_ARATH","LSM1B_ARATH")</f>
        <v>LSM1B_ARATH</v>
      </c>
      <c r="D1784" t="s">
        <v>1770</v>
      </c>
      <c r="E1784" s="3" t="s">
        <v>3</v>
      </c>
      <c r="F1784" s="4">
        <v>6.6999999999999999E-62</v>
      </c>
      <c r="G1784" s="3">
        <v>509</v>
      </c>
      <c r="H1784" s="3">
        <v>89</v>
      </c>
      <c r="I1784" s="3">
        <v>128</v>
      </c>
      <c r="J1784" s="3">
        <v>234</v>
      </c>
      <c r="K1784" s="3">
        <v>617</v>
      </c>
      <c r="L1784" s="3">
        <v>1</v>
      </c>
      <c r="M1784" s="3">
        <v>128</v>
      </c>
    </row>
    <row r="1785" spans="1:13" x14ac:dyDescent="0.25">
      <c r="A1785" s="1" t="str">
        <f>HYPERLINK("http://www.rosaceae.org/Prunus/Prunus_persica/p.persica_gdr_reftransV1_0045114","p.persica_gdr_reftransV1_0045114")</f>
        <v>p.persica_gdr_reftransV1_0045114</v>
      </c>
      <c r="B1785" s="3">
        <v>1751</v>
      </c>
      <c r="C1785" s="1" t="str">
        <f>HYPERLINK("http://www.uniprot.org/uniprot/DEGP9_ARATH","DEGP9_ARATH")</f>
        <v>DEGP9_ARATH</v>
      </c>
      <c r="D1785" t="s">
        <v>1437</v>
      </c>
      <c r="E1785" s="3" t="s">
        <v>3</v>
      </c>
      <c r="F1785" s="4">
        <v>0</v>
      </c>
      <c r="G1785" s="3">
        <v>2195</v>
      </c>
      <c r="H1785" s="3">
        <v>87</v>
      </c>
      <c r="I1785" s="3">
        <v>467</v>
      </c>
      <c r="J1785" s="3">
        <v>349</v>
      </c>
      <c r="K1785" s="3">
        <v>1749</v>
      </c>
      <c r="L1785" s="3">
        <v>124</v>
      </c>
      <c r="M1785" s="3">
        <v>590</v>
      </c>
    </row>
    <row r="1786" spans="1:13" x14ac:dyDescent="0.25">
      <c r="A1786" s="1" t="str">
        <f>HYPERLINK("http://www.rosaceae.org/Prunus/Prunus_persica/p.persica_gdr_reftransV1_0045164","p.persica_gdr_reftransV1_0045164")</f>
        <v>p.persica_gdr_reftransV1_0045164</v>
      </c>
      <c r="B1786" s="3">
        <v>1863</v>
      </c>
      <c r="C1786" s="1" t="str">
        <f>HYPERLINK("http://www.uniprot.org/uniprot/GATA5_ARATH","GATA5_ARATH")</f>
        <v>GATA5_ARATH</v>
      </c>
      <c r="D1786" t="s">
        <v>244</v>
      </c>
      <c r="E1786" s="3" t="s">
        <v>3</v>
      </c>
      <c r="F1786" s="4">
        <v>1.1200000000000001E-44</v>
      </c>
      <c r="G1786" s="3">
        <v>422</v>
      </c>
      <c r="H1786" s="3">
        <v>50</v>
      </c>
      <c r="I1786" s="3">
        <v>233</v>
      </c>
      <c r="J1786" s="3">
        <v>473</v>
      </c>
      <c r="K1786" s="3">
        <v>1159</v>
      </c>
      <c r="L1786" s="3">
        <v>100</v>
      </c>
      <c r="M1786" s="3">
        <v>332</v>
      </c>
    </row>
    <row r="1787" spans="1:13" x14ac:dyDescent="0.25">
      <c r="A1787" s="1" t="str">
        <f>HYPERLINK("http://www.rosaceae.org/Prunus/Prunus_persica/p.persica_gdr_reftransV1_0045264","p.persica_gdr_reftransV1_0045264")</f>
        <v>p.persica_gdr_reftransV1_0045264</v>
      </c>
      <c r="B1787" s="3">
        <v>1247</v>
      </c>
      <c r="C1787" s="1" t="str">
        <f>HYPERLINK("http://www.uniprot.org/uniprot/11S2_SESIN","11S2_SESIN")</f>
        <v>11S2_SESIN</v>
      </c>
      <c r="D1787" t="s">
        <v>1771</v>
      </c>
      <c r="E1787" s="3" t="s">
        <v>1772</v>
      </c>
      <c r="F1787" s="4">
        <v>9.4099999999999995E-27</v>
      </c>
      <c r="G1787" s="3">
        <v>286</v>
      </c>
      <c r="H1787" s="3">
        <v>23</v>
      </c>
      <c r="I1787" s="3">
        <v>394</v>
      </c>
      <c r="J1787" s="3">
        <v>190</v>
      </c>
      <c r="K1787" s="3">
        <v>1140</v>
      </c>
      <c r="L1787" s="3">
        <v>49</v>
      </c>
      <c r="M1787" s="3">
        <v>435</v>
      </c>
    </row>
    <row r="1788" spans="1:13" x14ac:dyDescent="0.25">
      <c r="A1788" s="1" t="str">
        <f>HYPERLINK("http://www.rosaceae.org/Prunus/Prunus_persica/p.persica_gdr_reftransV1_0045314","p.persica_gdr_reftransV1_0045314")</f>
        <v>p.persica_gdr_reftransV1_0045314</v>
      </c>
      <c r="B1788" s="3">
        <v>660</v>
      </c>
      <c r="C1788" s="1" t="str">
        <f>HYPERLINK("http://www.uniprot.org/uniprot/SC61B_ARATH","SC61B_ARATH")</f>
        <v>SC61B_ARATH</v>
      </c>
      <c r="D1788" t="s">
        <v>1773</v>
      </c>
      <c r="E1788" s="3" t="s">
        <v>3</v>
      </c>
      <c r="F1788" s="4">
        <v>1.5299999999999999E-20</v>
      </c>
      <c r="G1788" s="3">
        <v>214</v>
      </c>
      <c r="H1788" s="3">
        <v>98</v>
      </c>
      <c r="I1788" s="3">
        <v>42</v>
      </c>
      <c r="J1788" s="3">
        <v>231</v>
      </c>
      <c r="K1788" s="3">
        <v>356</v>
      </c>
      <c r="L1788" s="3">
        <v>41</v>
      </c>
      <c r="M1788" s="3">
        <v>82</v>
      </c>
    </row>
    <row r="1789" spans="1:13" x14ac:dyDescent="0.25">
      <c r="A1789" s="1" t="str">
        <f>HYPERLINK("http://www.rosaceae.org/Prunus/Prunus_persica/p.persica_gdr_reftransV1_0045464","p.persica_gdr_reftransV1_0045464")</f>
        <v>p.persica_gdr_reftransV1_0045464</v>
      </c>
      <c r="B1789" s="3">
        <v>1726</v>
      </c>
      <c r="C1789" s="1" t="str">
        <f>HYPERLINK("http://www.uniprot.org/uniprot/EXP15_ARATH","EXP15_ARATH")</f>
        <v>EXP15_ARATH</v>
      </c>
      <c r="D1789" t="s">
        <v>1774</v>
      </c>
      <c r="E1789" s="3" t="s">
        <v>3</v>
      </c>
      <c r="F1789" s="4">
        <v>3.01E-89</v>
      </c>
      <c r="G1789" s="3">
        <v>722</v>
      </c>
      <c r="H1789" s="3">
        <v>81</v>
      </c>
      <c r="I1789" s="3">
        <v>227</v>
      </c>
      <c r="J1789" s="3">
        <v>519</v>
      </c>
      <c r="K1789" s="3">
        <v>1175</v>
      </c>
      <c r="L1789" s="3">
        <v>26</v>
      </c>
      <c r="M1789" s="3">
        <v>252</v>
      </c>
    </row>
    <row r="1790" spans="1:13" x14ac:dyDescent="0.25">
      <c r="A1790" s="1" t="str">
        <f>HYPERLINK("http://www.rosaceae.org/Prunus/Prunus_persica/p.persica_gdr_reftransV1_0045564","p.persica_gdr_reftransV1_0045564")</f>
        <v>p.persica_gdr_reftransV1_0045564</v>
      </c>
      <c r="B1790" s="3">
        <v>2412</v>
      </c>
      <c r="C1790" s="1" t="str">
        <f>HYPERLINK("http://www.uniprot.org/uniprot/PP135_ARATH","PP135_ARATH")</f>
        <v>PP135_ARATH</v>
      </c>
      <c r="D1790" t="s">
        <v>1775</v>
      </c>
      <c r="E1790" s="3" t="s">
        <v>3</v>
      </c>
      <c r="F1790" s="4">
        <v>0</v>
      </c>
      <c r="G1790" s="3">
        <v>1582</v>
      </c>
      <c r="H1790" s="3">
        <v>56</v>
      </c>
      <c r="I1790" s="3">
        <v>556</v>
      </c>
      <c r="J1790" s="3">
        <v>434</v>
      </c>
      <c r="K1790" s="3">
        <v>2077</v>
      </c>
      <c r="L1790" s="3">
        <v>56</v>
      </c>
      <c r="M1790" s="3">
        <v>593</v>
      </c>
    </row>
    <row r="1791" spans="1:13" x14ac:dyDescent="0.25">
      <c r="A1791" s="1" t="str">
        <f>HYPERLINK("http://www.rosaceae.org/Prunus/Prunus_persica/p.persica_gdr_reftransV1_0045614","p.persica_gdr_reftransV1_0045614")</f>
        <v>p.persica_gdr_reftransV1_0045614</v>
      </c>
      <c r="B1791" s="3">
        <v>1000</v>
      </c>
      <c r="C1791" s="1" t="str">
        <f>HYPERLINK("http://www.uniprot.org/uniprot/ADF_VITVI","ADF_VITVI")</f>
        <v>ADF_VITVI</v>
      </c>
      <c r="D1791" t="s">
        <v>1776</v>
      </c>
      <c r="E1791" s="3" t="s">
        <v>362</v>
      </c>
      <c r="F1791" s="4">
        <v>3.3700000000000001E-80</v>
      </c>
      <c r="G1791" s="3">
        <v>631</v>
      </c>
      <c r="H1791" s="3">
        <v>87</v>
      </c>
      <c r="I1791" s="3">
        <v>143</v>
      </c>
      <c r="J1791" s="3">
        <v>316</v>
      </c>
      <c r="K1791" s="3">
        <v>744</v>
      </c>
      <c r="L1791" s="3">
        <v>1</v>
      </c>
      <c r="M1791" s="3">
        <v>143</v>
      </c>
    </row>
    <row r="1792" spans="1:13" x14ac:dyDescent="0.25">
      <c r="A1792" s="1" t="str">
        <f>HYPERLINK("http://www.rosaceae.org/Prunus/Prunus_persica/p.persica_gdr_reftransV1_0045714","p.persica_gdr_reftransV1_0045714")</f>
        <v>p.persica_gdr_reftransV1_0045714</v>
      </c>
      <c r="B1792" s="3">
        <v>925</v>
      </c>
      <c r="C1792" s="1" t="str">
        <f>HYPERLINK("http://www.uniprot.org/uniprot/GUF1_RICCO","GUF1_RICCO")</f>
        <v>GUF1_RICCO</v>
      </c>
      <c r="D1792" t="s">
        <v>1777</v>
      </c>
      <c r="E1792" s="3" t="s">
        <v>421</v>
      </c>
      <c r="F1792" s="4">
        <v>2.2299999999999998E-87</v>
      </c>
      <c r="G1792" s="3">
        <v>719</v>
      </c>
      <c r="H1792" s="3">
        <v>92</v>
      </c>
      <c r="I1792" s="3">
        <v>160</v>
      </c>
      <c r="J1792" s="3">
        <v>446</v>
      </c>
      <c r="K1792" s="3">
        <v>925</v>
      </c>
      <c r="L1792" s="3">
        <v>509</v>
      </c>
      <c r="M1792" s="3">
        <v>668</v>
      </c>
    </row>
    <row r="1793" spans="1:13" x14ac:dyDescent="0.25">
      <c r="A1793" s="1" t="str">
        <f>HYPERLINK("http://www.rosaceae.org/Prunus/Prunus_persica/p.persica_gdr_reftransV1_0045764","p.persica_gdr_reftransV1_0045764")</f>
        <v>p.persica_gdr_reftransV1_0045764</v>
      </c>
      <c r="B1793" s="3">
        <v>516</v>
      </c>
      <c r="C1793" s="1" t="str">
        <f>HYPERLINK("http://www.uniprot.org/uniprot/BZP61_ARATH","BZP61_ARATH")</f>
        <v>BZP61_ARATH</v>
      </c>
      <c r="D1793" t="s">
        <v>1778</v>
      </c>
      <c r="E1793" s="3" t="s">
        <v>3</v>
      </c>
      <c r="F1793" s="4">
        <v>2.7300000000000001E-58</v>
      </c>
      <c r="G1793" s="3">
        <v>485</v>
      </c>
      <c r="H1793" s="3">
        <v>91</v>
      </c>
      <c r="I1793" s="3">
        <v>104</v>
      </c>
      <c r="J1793" s="3">
        <v>110</v>
      </c>
      <c r="K1793" s="3">
        <v>421</v>
      </c>
      <c r="L1793" s="3">
        <v>204</v>
      </c>
      <c r="M1793" s="3">
        <v>307</v>
      </c>
    </row>
    <row r="1794" spans="1:13" x14ac:dyDescent="0.25">
      <c r="A1794" s="1" t="str">
        <f>HYPERLINK("http://www.rosaceae.org/Prunus/Prunus_persica/p.persica_gdr_reftransV1_0045814","p.persica_gdr_reftransV1_0045814")</f>
        <v>p.persica_gdr_reftransV1_0045814</v>
      </c>
      <c r="B1794" s="3">
        <v>4296</v>
      </c>
      <c r="C1794" s="1" t="str">
        <f>HYPERLINK("http://www.uniprot.org/uniprot/UBE11_ARATH","UBE11_ARATH")</f>
        <v>UBE11_ARATH</v>
      </c>
      <c r="D1794" t="s">
        <v>1779</v>
      </c>
      <c r="E1794" s="3" t="s">
        <v>3</v>
      </c>
      <c r="F1794" s="4">
        <v>0</v>
      </c>
      <c r="G1794" s="3">
        <v>4460</v>
      </c>
      <c r="H1794" s="3">
        <v>79</v>
      </c>
      <c r="I1794" s="3">
        <v>1018</v>
      </c>
      <c r="J1794" s="3">
        <v>330</v>
      </c>
      <c r="K1794" s="3">
        <v>3383</v>
      </c>
      <c r="L1794" s="3">
        <v>63</v>
      </c>
      <c r="M1794" s="3">
        <v>1080</v>
      </c>
    </row>
    <row r="1795" spans="1:13" x14ac:dyDescent="0.25">
      <c r="A1795" s="1" t="str">
        <f>HYPERLINK("http://www.rosaceae.org/Prunus/Prunus_persica/p.persica_gdr_reftransV1_0045864","p.persica_gdr_reftransV1_0045864")</f>
        <v>p.persica_gdr_reftransV1_0045864</v>
      </c>
      <c r="B1795" s="3">
        <v>521</v>
      </c>
      <c r="C1795" s="1" t="str">
        <f>HYPERLINK("http://www.uniprot.org/uniprot/LSH1_ARATH","LSH1_ARATH")</f>
        <v>LSH1_ARATH</v>
      </c>
      <c r="D1795" t="s">
        <v>1780</v>
      </c>
      <c r="E1795" s="3" t="s">
        <v>3</v>
      </c>
      <c r="F1795" s="4">
        <v>1.09E-66</v>
      </c>
      <c r="G1795" s="3">
        <v>530</v>
      </c>
      <c r="H1795" s="3">
        <v>93</v>
      </c>
      <c r="I1795" s="3">
        <v>125</v>
      </c>
      <c r="J1795" s="3">
        <v>146</v>
      </c>
      <c r="K1795" s="3">
        <v>520</v>
      </c>
      <c r="L1795" s="3">
        <v>25</v>
      </c>
      <c r="M1795" s="3">
        <v>149</v>
      </c>
    </row>
    <row r="1796" spans="1:13" x14ac:dyDescent="0.25">
      <c r="A1796" s="1" t="str">
        <f>HYPERLINK("http://www.rosaceae.org/Prunus/Prunus_persica/p.persica_gdr_reftransV1_0045914","p.persica_gdr_reftransV1_0045914")</f>
        <v>p.persica_gdr_reftransV1_0045914</v>
      </c>
      <c r="B1796" s="3">
        <v>2813</v>
      </c>
      <c r="C1796" s="1" t="str">
        <f>HYPERLINK("http://www.uniprot.org/uniprot/PMT5_ARATH","PMT5_ARATH")</f>
        <v>PMT5_ARATH</v>
      </c>
      <c r="D1796" t="s">
        <v>1781</v>
      </c>
      <c r="E1796" s="3" t="s">
        <v>3</v>
      </c>
      <c r="F1796" s="4">
        <v>0</v>
      </c>
      <c r="G1796" s="3">
        <v>2120</v>
      </c>
      <c r="H1796" s="3">
        <v>68</v>
      </c>
      <c r="I1796" s="3">
        <v>621</v>
      </c>
      <c r="J1796" s="3">
        <v>672</v>
      </c>
      <c r="K1796" s="3">
        <v>2522</v>
      </c>
      <c r="L1796" s="3">
        <v>1</v>
      </c>
      <c r="M1796" s="3">
        <v>606</v>
      </c>
    </row>
    <row r="1797" spans="1:13" x14ac:dyDescent="0.25">
      <c r="A1797" s="1" t="str">
        <f>HYPERLINK("http://www.rosaceae.org/Prunus/Prunus_persica/p.persica_gdr_reftransV1_0046064","p.persica_gdr_reftransV1_0046064")</f>
        <v>p.persica_gdr_reftransV1_0046064</v>
      </c>
      <c r="B1797" s="3">
        <v>537</v>
      </c>
      <c r="C1797" s="1" t="str">
        <f>HYPERLINK("http://www.uniprot.org/uniprot/Y2253_MYCBO","Y2253_MYCBO")</f>
        <v>Y2253_MYCBO</v>
      </c>
      <c r="D1797" t="s">
        <v>737</v>
      </c>
      <c r="E1797" s="3" t="s">
        <v>738</v>
      </c>
      <c r="F1797" s="4">
        <v>3.5699999999999998E-16</v>
      </c>
      <c r="G1797" s="3">
        <v>192</v>
      </c>
      <c r="H1797" s="3">
        <v>50</v>
      </c>
      <c r="I1797" s="3">
        <v>86</v>
      </c>
      <c r="J1797" s="3">
        <v>283</v>
      </c>
      <c r="K1797" s="3">
        <v>537</v>
      </c>
      <c r="L1797" s="3">
        <v>3</v>
      </c>
      <c r="M1797" s="3">
        <v>88</v>
      </c>
    </row>
    <row r="1798" spans="1:13" x14ac:dyDescent="0.25">
      <c r="A1798" s="1" t="str">
        <f>HYPERLINK("http://www.rosaceae.org/Prunus/Prunus_persica/p.persica_gdr_reftransV1_0046114","p.persica_gdr_reftransV1_0046114")</f>
        <v>p.persica_gdr_reftransV1_0046114</v>
      </c>
      <c r="B1798" s="3">
        <v>1984</v>
      </c>
      <c r="C1798" s="1" t="str">
        <f>HYPERLINK("http://www.uniprot.org/uniprot/UAH_ARATH","UAH_ARATH")</f>
        <v>UAH_ARATH</v>
      </c>
      <c r="D1798" t="s">
        <v>1782</v>
      </c>
      <c r="E1798" s="3" t="s">
        <v>3</v>
      </c>
      <c r="F1798" s="4">
        <v>0</v>
      </c>
      <c r="G1798" s="3">
        <v>1780</v>
      </c>
      <c r="H1798" s="3">
        <v>79</v>
      </c>
      <c r="I1798" s="3">
        <v>450</v>
      </c>
      <c r="J1798" s="3">
        <v>450</v>
      </c>
      <c r="K1798" s="3">
        <v>1790</v>
      </c>
      <c r="L1798" s="3">
        <v>26</v>
      </c>
      <c r="M1798" s="3">
        <v>475</v>
      </c>
    </row>
    <row r="1799" spans="1:13" x14ac:dyDescent="0.25">
      <c r="A1799" s="1" t="str">
        <f>HYPERLINK("http://www.rosaceae.org/Prunus/Prunus_persica/p.persica_gdr_reftransV1_0046164","p.persica_gdr_reftransV1_0046164")</f>
        <v>p.persica_gdr_reftransV1_0046164</v>
      </c>
      <c r="B1799" s="3">
        <v>861</v>
      </c>
      <c r="C1799" s="1" t="str">
        <f>HYPERLINK("http://www.uniprot.org/uniprot/VATG_CITLI","VATG_CITLI")</f>
        <v>VATG_CITLI</v>
      </c>
      <c r="D1799" t="s">
        <v>1783</v>
      </c>
      <c r="E1799" s="3" t="s">
        <v>1784</v>
      </c>
      <c r="F1799" s="4">
        <v>2.6200000000000001E-41</v>
      </c>
      <c r="G1799" s="3">
        <v>364</v>
      </c>
      <c r="H1799" s="3">
        <v>79</v>
      </c>
      <c r="I1799" s="3">
        <v>109</v>
      </c>
      <c r="J1799" s="3">
        <v>405</v>
      </c>
      <c r="K1799" s="3">
        <v>731</v>
      </c>
      <c r="L1799" s="3">
        <v>1</v>
      </c>
      <c r="M1799" s="3">
        <v>109</v>
      </c>
    </row>
    <row r="1800" spans="1:13" x14ac:dyDescent="0.25">
      <c r="A1800" s="1" t="str">
        <f>HYPERLINK("http://www.rosaceae.org/Prunus/Prunus_persica/p.persica_gdr_reftransV1_0046264","p.persica_gdr_reftransV1_0046264")</f>
        <v>p.persica_gdr_reftransV1_0046264</v>
      </c>
      <c r="B1800" s="3">
        <v>2317</v>
      </c>
      <c r="C1800" s="1" t="str">
        <f>HYPERLINK("http://www.uniprot.org/uniprot/ABA2_PRUAR","ABA2_PRUAR")</f>
        <v>ABA2_PRUAR</v>
      </c>
      <c r="D1800" t="s">
        <v>1785</v>
      </c>
      <c r="E1800" s="3" t="s">
        <v>62</v>
      </c>
      <c r="F1800" s="4">
        <v>0</v>
      </c>
      <c r="G1800" s="3">
        <v>2558</v>
      </c>
      <c r="H1800" s="3">
        <v>99</v>
      </c>
      <c r="I1800" s="3">
        <v>486</v>
      </c>
      <c r="J1800" s="3">
        <v>585</v>
      </c>
      <c r="K1800" s="3">
        <v>2042</v>
      </c>
      <c r="L1800" s="3">
        <v>176</v>
      </c>
      <c r="M1800" s="3">
        <v>661</v>
      </c>
    </row>
    <row r="1801" spans="1:13" x14ac:dyDescent="0.25">
      <c r="A1801" s="1" t="str">
        <f>HYPERLINK("http://www.rosaceae.org/Prunus/Prunus_persica/p.persica_gdr_reftransV1_0046314","p.persica_gdr_reftransV1_0046314")</f>
        <v>p.persica_gdr_reftransV1_0046314</v>
      </c>
      <c r="B1801" s="3">
        <v>2537</v>
      </c>
      <c r="C1801" s="1" t="str">
        <f>HYPERLINK("http://www.uniprot.org/uniprot/NAF1_RAT","NAF1_RAT")</f>
        <v>NAF1_RAT</v>
      </c>
      <c r="D1801" t="s">
        <v>1786</v>
      </c>
      <c r="E1801" s="3" t="s">
        <v>161</v>
      </c>
      <c r="F1801" s="4">
        <v>5.3500000000000001E-21</v>
      </c>
      <c r="G1801" s="3">
        <v>249</v>
      </c>
      <c r="H1801" s="3">
        <v>38</v>
      </c>
      <c r="I1801" s="3">
        <v>165</v>
      </c>
      <c r="J1801" s="3">
        <v>966</v>
      </c>
      <c r="K1801" s="3">
        <v>1439</v>
      </c>
      <c r="L1801" s="3">
        <v>135</v>
      </c>
      <c r="M1801" s="3">
        <v>298</v>
      </c>
    </row>
    <row r="1802" spans="1:13" x14ac:dyDescent="0.25">
      <c r="A1802" s="1" t="str">
        <f>HYPERLINK("http://www.rosaceae.org/Prunus/Prunus_persica/p.persica_gdr_reftransV1_0046414","p.persica_gdr_reftransV1_0046414")</f>
        <v>p.persica_gdr_reftransV1_0046414</v>
      </c>
      <c r="B1802" s="3">
        <v>1255</v>
      </c>
      <c r="C1802" s="1" t="str">
        <f>HYPERLINK("http://www.uniprot.org/uniprot/MYB3_ARATH","MYB3_ARATH")</f>
        <v>MYB3_ARATH</v>
      </c>
      <c r="D1802" t="s">
        <v>1493</v>
      </c>
      <c r="E1802" s="3" t="s">
        <v>3</v>
      </c>
      <c r="F1802" s="4">
        <v>5.2E-42</v>
      </c>
      <c r="G1802" s="3">
        <v>389</v>
      </c>
      <c r="H1802" s="3">
        <v>76</v>
      </c>
      <c r="I1802" s="3">
        <v>90</v>
      </c>
      <c r="J1802" s="3">
        <v>190</v>
      </c>
      <c r="K1802" s="3">
        <v>459</v>
      </c>
      <c r="L1802" s="3">
        <v>45</v>
      </c>
      <c r="M1802" s="3">
        <v>134</v>
      </c>
    </row>
    <row r="1803" spans="1:13" x14ac:dyDescent="0.25">
      <c r="A1803" s="1" t="str">
        <f>HYPERLINK("http://www.rosaceae.org/Prunus/Prunus_persica/p.persica_gdr_reftransV1_0046514","p.persica_gdr_reftransV1_0046514")</f>
        <v>p.persica_gdr_reftransV1_0046514</v>
      </c>
      <c r="B1803" s="3">
        <v>4071</v>
      </c>
      <c r="C1803" s="1" t="str">
        <f>HYPERLINK("http://www.uniprot.org/uniprot/ENPL_CATRO","ENPL_CATRO")</f>
        <v>ENPL_CATRO</v>
      </c>
      <c r="D1803" t="s">
        <v>1787</v>
      </c>
      <c r="E1803" s="3" t="s">
        <v>457</v>
      </c>
      <c r="F1803" s="4">
        <v>0</v>
      </c>
      <c r="G1803" s="3">
        <v>2153</v>
      </c>
      <c r="H1803" s="3">
        <v>85</v>
      </c>
      <c r="I1803" s="3">
        <v>576</v>
      </c>
      <c r="J1803" s="3">
        <v>2250</v>
      </c>
      <c r="K1803" s="3">
        <v>3977</v>
      </c>
      <c r="L1803" s="3">
        <v>1</v>
      </c>
      <c r="M1803" s="3">
        <v>576</v>
      </c>
    </row>
    <row r="1804" spans="1:13" x14ac:dyDescent="0.25">
      <c r="A1804" s="1" t="str">
        <f>HYPERLINK("http://www.rosaceae.org/Prunus/Prunus_persica/p.persica_gdr_reftransV1_0046564","p.persica_gdr_reftransV1_0046564")</f>
        <v>p.persica_gdr_reftransV1_0046564</v>
      </c>
      <c r="B1804" s="3">
        <v>1169</v>
      </c>
      <c r="C1804" s="1" t="str">
        <f>HYPERLINK("http://www.uniprot.org/uniprot/GSTX1_TOBAC","GSTX1_TOBAC")</f>
        <v>GSTX1_TOBAC</v>
      </c>
      <c r="D1804" t="s">
        <v>1788</v>
      </c>
      <c r="E1804" s="3" t="s">
        <v>200</v>
      </c>
      <c r="F1804" s="4">
        <v>4.6800000000000004E-68</v>
      </c>
      <c r="G1804" s="3">
        <v>562</v>
      </c>
      <c r="H1804" s="3">
        <v>52</v>
      </c>
      <c r="I1804" s="3">
        <v>212</v>
      </c>
      <c r="J1804" s="3">
        <v>6</v>
      </c>
      <c r="K1804" s="3">
        <v>641</v>
      </c>
      <c r="L1804" s="3">
        <v>1</v>
      </c>
      <c r="M1804" s="3">
        <v>211</v>
      </c>
    </row>
    <row r="1805" spans="1:13" x14ac:dyDescent="0.25">
      <c r="A1805" s="1" t="str">
        <f>HYPERLINK("http://www.rosaceae.org/Prunus/Prunus_persica/p.persica_gdr_reftransV1_0046664","p.persica_gdr_reftransV1_0046664")</f>
        <v>p.persica_gdr_reftransV1_0046664</v>
      </c>
      <c r="B1805" s="3">
        <v>586</v>
      </c>
      <c r="C1805" s="1" t="str">
        <f>HYPERLINK("http://www.uniprot.org/uniprot/PMS1_ARATH","PMS1_ARATH")</f>
        <v>PMS1_ARATH</v>
      </c>
      <c r="D1805" t="s">
        <v>1789</v>
      </c>
      <c r="E1805" s="3" t="s">
        <v>3</v>
      </c>
      <c r="F1805" s="4">
        <v>1.49E-22</v>
      </c>
      <c r="G1805" s="3">
        <v>247</v>
      </c>
      <c r="H1805" s="3">
        <v>34</v>
      </c>
      <c r="I1805" s="3">
        <v>195</v>
      </c>
      <c r="J1805" s="3">
        <v>9</v>
      </c>
      <c r="K1805" s="3">
        <v>584</v>
      </c>
      <c r="L1805" s="3">
        <v>299</v>
      </c>
      <c r="M1805" s="3">
        <v>479</v>
      </c>
    </row>
    <row r="1806" spans="1:13" x14ac:dyDescent="0.25">
      <c r="A1806" s="1" t="str">
        <f>HYPERLINK("http://www.rosaceae.org/Prunus/Prunus_persica/p.persica_gdr_reftransV1_0046964","p.persica_gdr_reftransV1_0046964")</f>
        <v>p.persica_gdr_reftransV1_0046964</v>
      </c>
      <c r="B1806" s="3">
        <v>1417</v>
      </c>
      <c r="C1806" s="1" t="str">
        <f>HYPERLINK("http://www.uniprot.org/uniprot/OEP37_PEA","OEP37_PEA")</f>
        <v>OEP37_PEA</v>
      </c>
      <c r="D1806" t="s">
        <v>1790</v>
      </c>
      <c r="E1806" s="3" t="s">
        <v>60</v>
      </c>
      <c r="F1806" s="4">
        <v>3.5200000000000002E-159</v>
      </c>
      <c r="G1806" s="3">
        <v>1186</v>
      </c>
      <c r="H1806" s="3">
        <v>71</v>
      </c>
      <c r="I1806" s="3">
        <v>309</v>
      </c>
      <c r="J1806" s="3">
        <v>147</v>
      </c>
      <c r="K1806" s="3">
        <v>1061</v>
      </c>
      <c r="L1806" s="3">
        <v>21</v>
      </c>
      <c r="M1806" s="3">
        <v>329</v>
      </c>
    </row>
    <row r="1807" spans="1:13" x14ac:dyDescent="0.25">
      <c r="A1807" s="1" t="str">
        <f>HYPERLINK("http://www.rosaceae.org/Prunus/Prunus_persica/p.persica_gdr_reftransV1_0047214","p.persica_gdr_reftransV1_0047214")</f>
        <v>p.persica_gdr_reftransV1_0047214</v>
      </c>
      <c r="B1807" s="3">
        <v>1262</v>
      </c>
      <c r="C1807" s="1" t="str">
        <f>HYPERLINK("http://www.uniprot.org/uniprot/HDT1_SOYBN","HDT1_SOYBN")</f>
        <v>HDT1_SOYBN</v>
      </c>
      <c r="D1807" t="s">
        <v>1791</v>
      </c>
      <c r="E1807" s="3" t="s">
        <v>307</v>
      </c>
      <c r="F1807" s="4">
        <v>7.5400000000000001E-28</v>
      </c>
      <c r="G1807" s="3">
        <v>289</v>
      </c>
      <c r="H1807" s="3">
        <v>47</v>
      </c>
      <c r="I1807" s="3">
        <v>129</v>
      </c>
      <c r="J1807" s="3">
        <v>803</v>
      </c>
      <c r="K1807" s="3">
        <v>1162</v>
      </c>
      <c r="L1807" s="3">
        <v>1</v>
      </c>
      <c r="M1807" s="3">
        <v>129</v>
      </c>
    </row>
    <row r="1808" spans="1:13" x14ac:dyDescent="0.25">
      <c r="A1808" s="1" t="str">
        <f>HYPERLINK("http://www.rosaceae.org/Prunus/Prunus_persica/p.persica_gdr_reftransV1_0047314","p.persica_gdr_reftransV1_0047314")</f>
        <v>p.persica_gdr_reftransV1_0047314</v>
      </c>
      <c r="B1808" s="3">
        <v>987</v>
      </c>
      <c r="C1808" s="1" t="str">
        <f>HYPERLINK("http://www.uniprot.org/uniprot/WSD1_ARATH","WSD1_ARATH")</f>
        <v>WSD1_ARATH</v>
      </c>
      <c r="D1808" t="s">
        <v>84</v>
      </c>
      <c r="E1808" s="3" t="s">
        <v>3</v>
      </c>
      <c r="F1808" s="4">
        <v>1.7500000000000001E-27</v>
      </c>
      <c r="G1808" s="3">
        <v>288</v>
      </c>
      <c r="H1808" s="3">
        <v>30</v>
      </c>
      <c r="I1808" s="3">
        <v>269</v>
      </c>
      <c r="J1808" s="3">
        <v>214</v>
      </c>
      <c r="K1808" s="3">
        <v>972</v>
      </c>
      <c r="L1808" s="3">
        <v>59</v>
      </c>
      <c r="M1808" s="3">
        <v>326</v>
      </c>
    </row>
    <row r="1809" spans="1:13" x14ac:dyDescent="0.25">
      <c r="A1809" s="1" t="str">
        <f>HYPERLINK("http://www.rosaceae.org/Prunus/Prunus_persica/p.persica_gdr_reftransV1_0047364","p.persica_gdr_reftransV1_0047364")</f>
        <v>p.persica_gdr_reftransV1_0047364</v>
      </c>
      <c r="B1809" s="3">
        <v>2194</v>
      </c>
      <c r="C1809" s="1" t="str">
        <f>HYPERLINK("http://www.uniprot.org/uniprot/DRP1E_ARATH","DRP1E_ARATH")</f>
        <v>DRP1E_ARATH</v>
      </c>
      <c r="D1809" t="s">
        <v>891</v>
      </c>
      <c r="E1809" s="3" t="s">
        <v>3</v>
      </c>
      <c r="F1809" s="4">
        <v>0</v>
      </c>
      <c r="G1809" s="3">
        <v>2451</v>
      </c>
      <c r="H1809" s="3">
        <v>77</v>
      </c>
      <c r="I1809" s="3">
        <v>622</v>
      </c>
      <c r="J1809" s="3">
        <v>121</v>
      </c>
      <c r="K1809" s="3">
        <v>1956</v>
      </c>
      <c r="L1809" s="3">
        <v>1</v>
      </c>
      <c r="M1809" s="3">
        <v>622</v>
      </c>
    </row>
    <row r="1810" spans="1:13" x14ac:dyDescent="0.25">
      <c r="A1810" s="1" t="str">
        <f>HYPERLINK("http://www.rosaceae.org/Prunus/Prunus_persica/p.persica_gdr_reftransV1_0047564","p.persica_gdr_reftransV1_0047564")</f>
        <v>p.persica_gdr_reftransV1_0047564</v>
      </c>
      <c r="B1810" s="3">
        <v>2252</v>
      </c>
      <c r="C1810" s="1" t="str">
        <f>HYPERLINK("http://www.uniprot.org/uniprot/PTR5_ARATH","PTR5_ARATH")</f>
        <v>PTR5_ARATH</v>
      </c>
      <c r="D1810" t="s">
        <v>1792</v>
      </c>
      <c r="E1810" s="3" t="s">
        <v>3</v>
      </c>
      <c r="F1810" s="4">
        <v>0</v>
      </c>
      <c r="G1810" s="3">
        <v>2142</v>
      </c>
      <c r="H1810" s="3">
        <v>70</v>
      </c>
      <c r="I1810" s="3">
        <v>577</v>
      </c>
      <c r="J1810" s="3">
        <v>257</v>
      </c>
      <c r="K1810" s="3">
        <v>1984</v>
      </c>
      <c r="L1810" s="3">
        <v>2</v>
      </c>
      <c r="M1810" s="3">
        <v>567</v>
      </c>
    </row>
    <row r="1811" spans="1:13" x14ac:dyDescent="0.25">
      <c r="A1811" s="1" t="str">
        <f>HYPERLINK("http://www.rosaceae.org/Prunus/Prunus_persica/p.persica_gdr_reftransV1_0047614","p.persica_gdr_reftransV1_0047614")</f>
        <v>p.persica_gdr_reftransV1_0047614</v>
      </c>
      <c r="B1811" s="3">
        <v>1634</v>
      </c>
      <c r="C1811" s="1" t="str">
        <f>HYPERLINK("http://www.uniprot.org/uniprot/PIRL_SOLLC","PIRL_SOLLC")</f>
        <v>PIRL_SOLLC</v>
      </c>
      <c r="D1811" t="s">
        <v>1793</v>
      </c>
      <c r="E1811" s="3" t="s">
        <v>64</v>
      </c>
      <c r="F1811" s="4">
        <v>7.0300000000000002E-63</v>
      </c>
      <c r="G1811" s="3">
        <v>544</v>
      </c>
      <c r="H1811" s="3">
        <v>78</v>
      </c>
      <c r="I1811" s="3">
        <v>131</v>
      </c>
      <c r="J1811" s="3">
        <v>1193</v>
      </c>
      <c r="K1811" s="3">
        <v>1585</v>
      </c>
      <c r="L1811" s="3">
        <v>1</v>
      </c>
      <c r="M1811" s="3">
        <v>131</v>
      </c>
    </row>
    <row r="1812" spans="1:13" x14ac:dyDescent="0.25">
      <c r="A1812" s="1" t="str">
        <f>HYPERLINK("http://www.rosaceae.org/Prunus/Prunus_persica/p.persica_gdr_reftransV1_0047664","p.persica_gdr_reftransV1_0047664")</f>
        <v>p.persica_gdr_reftransV1_0047664</v>
      </c>
      <c r="B1812" s="3">
        <v>1101</v>
      </c>
      <c r="C1812" s="1" t="str">
        <f>HYPERLINK("http://www.uniprot.org/uniprot/WAK5_ARATH","WAK5_ARATH")</f>
        <v>WAK5_ARATH</v>
      </c>
      <c r="D1812" t="s">
        <v>1794</v>
      </c>
      <c r="E1812" s="3" t="s">
        <v>3</v>
      </c>
      <c r="F1812" s="4">
        <v>2.7799999999999999E-97</v>
      </c>
      <c r="G1812" s="3">
        <v>797</v>
      </c>
      <c r="H1812" s="3">
        <v>51</v>
      </c>
      <c r="I1812" s="3">
        <v>295</v>
      </c>
      <c r="J1812" s="3">
        <v>168</v>
      </c>
      <c r="K1812" s="3">
        <v>1043</v>
      </c>
      <c r="L1812" s="3">
        <v>391</v>
      </c>
      <c r="M1812" s="3">
        <v>685</v>
      </c>
    </row>
    <row r="1813" spans="1:13" x14ac:dyDescent="0.25">
      <c r="A1813" s="1" t="str">
        <f>HYPERLINK("http://www.rosaceae.org/Prunus/Prunus_persica/p.persica_gdr_reftransV1_0047714","p.persica_gdr_reftransV1_0047714")</f>
        <v>p.persica_gdr_reftransV1_0047714</v>
      </c>
      <c r="B1813" s="3">
        <v>1074</v>
      </c>
      <c r="C1813" s="1" t="str">
        <f>HYPERLINK("http://www.uniprot.org/uniprot/MED30_ARATH","MED30_ARATH")</f>
        <v>MED30_ARATH</v>
      </c>
      <c r="D1813" t="s">
        <v>1795</v>
      </c>
      <c r="E1813" s="3" t="s">
        <v>3</v>
      </c>
      <c r="F1813" s="4">
        <v>1.3799999999999999E-44</v>
      </c>
      <c r="G1813" s="3">
        <v>398</v>
      </c>
      <c r="H1813" s="3">
        <v>53</v>
      </c>
      <c r="I1813" s="3">
        <v>181</v>
      </c>
      <c r="J1813" s="3">
        <v>159</v>
      </c>
      <c r="K1813" s="3">
        <v>695</v>
      </c>
      <c r="L1813" s="3">
        <v>15</v>
      </c>
      <c r="M1813" s="3">
        <v>189</v>
      </c>
    </row>
    <row r="1814" spans="1:13" x14ac:dyDescent="0.25">
      <c r="A1814" s="1" t="str">
        <f>HYPERLINK("http://www.rosaceae.org/Prunus/Prunus_persica/p.persica_gdr_reftransV1_0047764","p.persica_gdr_reftransV1_0047764")</f>
        <v>p.persica_gdr_reftransV1_0047764</v>
      </c>
      <c r="B1814" s="3">
        <v>562</v>
      </c>
      <c r="C1814" s="1" t="str">
        <f>HYPERLINK("http://www.uniprot.org/uniprot/RPOC2_MANES","RPOC2_MANES")</f>
        <v>RPOC2_MANES</v>
      </c>
      <c r="D1814" t="s">
        <v>1796</v>
      </c>
      <c r="E1814" s="3" t="s">
        <v>1797</v>
      </c>
      <c r="F1814" s="4">
        <v>1.3700000000000001E-109</v>
      </c>
      <c r="G1814" s="3">
        <v>889</v>
      </c>
      <c r="H1814" s="3">
        <v>95</v>
      </c>
      <c r="I1814" s="3">
        <v>186</v>
      </c>
      <c r="J1814" s="3">
        <v>3</v>
      </c>
      <c r="K1814" s="3">
        <v>560</v>
      </c>
      <c r="L1814" s="3">
        <v>308</v>
      </c>
      <c r="M1814" s="3">
        <v>493</v>
      </c>
    </row>
    <row r="1815" spans="1:13" x14ac:dyDescent="0.25">
      <c r="A1815" s="1" t="str">
        <f>HYPERLINK("http://www.rosaceae.org/Prunus/Prunus_persica/p.persica_gdr_reftransV1_0047814","p.persica_gdr_reftransV1_0047814")</f>
        <v>p.persica_gdr_reftransV1_0047814</v>
      </c>
      <c r="B1815" s="3">
        <v>492</v>
      </c>
      <c r="C1815" s="1" t="str">
        <f>HYPERLINK("http://www.uniprot.org/uniprot/PS1_ARATH","PS1_ARATH")</f>
        <v>PS1_ARATH</v>
      </c>
      <c r="D1815" t="s">
        <v>1798</v>
      </c>
      <c r="E1815" s="3" t="s">
        <v>3</v>
      </c>
      <c r="F1815" s="4">
        <v>1.3799999999999999E-8</v>
      </c>
      <c r="G1815" s="3">
        <v>136</v>
      </c>
      <c r="H1815" s="3">
        <v>39</v>
      </c>
      <c r="I1815" s="3">
        <v>93</v>
      </c>
      <c r="J1815" s="3">
        <v>268</v>
      </c>
      <c r="K1815" s="3">
        <v>477</v>
      </c>
      <c r="L1815" s="3">
        <v>990</v>
      </c>
      <c r="M1815" s="3">
        <v>1079</v>
      </c>
    </row>
    <row r="1816" spans="1:13" x14ac:dyDescent="0.25">
      <c r="A1816" s="1" t="str">
        <f>HYPERLINK("http://www.rosaceae.org/Prunus/Prunus_persica/p.persica_gdr_reftransV1_0047964","p.persica_gdr_reftransV1_0047964")</f>
        <v>p.persica_gdr_reftransV1_0047964</v>
      </c>
      <c r="B1816" s="3">
        <v>1431</v>
      </c>
      <c r="C1816" s="1" t="str">
        <f>HYPERLINK("http://www.uniprot.org/uniprot/PME63_ARATH","PME63_ARATH")</f>
        <v>PME63_ARATH</v>
      </c>
      <c r="D1816" t="s">
        <v>1799</v>
      </c>
      <c r="E1816" s="3" t="s">
        <v>3</v>
      </c>
      <c r="F1816" s="4">
        <v>5.9800000000000003E-96</v>
      </c>
      <c r="G1816" s="3">
        <v>588</v>
      </c>
      <c r="H1816" s="3">
        <v>64</v>
      </c>
      <c r="I1816" s="3">
        <v>162</v>
      </c>
      <c r="J1816" s="3">
        <v>290</v>
      </c>
      <c r="K1816" s="3">
        <v>775</v>
      </c>
      <c r="L1816" s="3">
        <v>45</v>
      </c>
      <c r="M1816" s="3">
        <v>206</v>
      </c>
    </row>
    <row r="1817" spans="1:13" x14ac:dyDescent="0.25">
      <c r="A1817" s="1" t="str">
        <f>HYPERLINK("http://www.rosaceae.org/Prunus/Prunus_persica/p.persica_gdr_reftransV1_0048014","p.persica_gdr_reftransV1_0048014")</f>
        <v>p.persica_gdr_reftransV1_0048014</v>
      </c>
      <c r="B1817" s="3">
        <v>753</v>
      </c>
      <c r="C1817" s="1" t="str">
        <f>HYPERLINK("http://www.uniprot.org/uniprot/PP249_ARATH","PP249_ARATH")</f>
        <v>PP249_ARATH</v>
      </c>
      <c r="D1817" t="s">
        <v>602</v>
      </c>
      <c r="E1817" s="3" t="s">
        <v>3</v>
      </c>
      <c r="F1817" s="4">
        <v>1.3200000000000001E-37</v>
      </c>
      <c r="G1817" s="3">
        <v>365</v>
      </c>
      <c r="H1817" s="3">
        <v>35</v>
      </c>
      <c r="I1817" s="3">
        <v>255</v>
      </c>
      <c r="J1817" s="3">
        <v>3</v>
      </c>
      <c r="K1817" s="3">
        <v>749</v>
      </c>
      <c r="L1817" s="3">
        <v>42</v>
      </c>
      <c r="M1817" s="3">
        <v>284</v>
      </c>
    </row>
    <row r="1818" spans="1:13" x14ac:dyDescent="0.25">
      <c r="A1818" s="1" t="str">
        <f>HYPERLINK("http://www.rosaceae.org/Prunus/Prunus_persica/p.persica_gdr_reftransV1_0048064","p.persica_gdr_reftransV1_0048064")</f>
        <v>p.persica_gdr_reftransV1_0048064</v>
      </c>
      <c r="B1818" s="3">
        <v>642</v>
      </c>
      <c r="C1818" s="1" t="str">
        <f>HYPERLINK("http://www.uniprot.org/uniprot/PXC2_ARATH","PXC2_ARATH")</f>
        <v>PXC2_ARATH</v>
      </c>
      <c r="D1818" t="s">
        <v>230</v>
      </c>
      <c r="E1818" s="3" t="s">
        <v>3</v>
      </c>
      <c r="F1818" s="4">
        <v>1.0800000000000001E-36</v>
      </c>
      <c r="G1818" s="3">
        <v>355</v>
      </c>
      <c r="H1818" s="3">
        <v>69</v>
      </c>
      <c r="I1818" s="3">
        <v>118</v>
      </c>
      <c r="J1818" s="3">
        <v>284</v>
      </c>
      <c r="K1818" s="3">
        <v>637</v>
      </c>
      <c r="L1818" s="3">
        <v>8</v>
      </c>
      <c r="M1818" s="3">
        <v>124</v>
      </c>
    </row>
    <row r="1819" spans="1:13" x14ac:dyDescent="0.25">
      <c r="A1819" s="1" t="str">
        <f>HYPERLINK("http://www.rosaceae.org/Prunus/Prunus_persica/p.persica_gdr_reftransV1_0048114","p.persica_gdr_reftransV1_0048114")</f>
        <v>p.persica_gdr_reftransV1_0048114</v>
      </c>
      <c r="B1819" s="3">
        <v>2144</v>
      </c>
      <c r="C1819" s="1" t="str">
        <f>HYPERLINK("http://www.uniprot.org/uniprot/ACR8_ARATH","ACR8_ARATH")</f>
        <v>ACR8_ARATH</v>
      </c>
      <c r="D1819" t="s">
        <v>1800</v>
      </c>
      <c r="E1819" s="3" t="s">
        <v>3</v>
      </c>
      <c r="F1819" s="4">
        <v>0</v>
      </c>
      <c r="G1819" s="3">
        <v>1559</v>
      </c>
      <c r="H1819" s="3">
        <v>67</v>
      </c>
      <c r="I1819" s="3">
        <v>443</v>
      </c>
      <c r="J1819" s="3">
        <v>446</v>
      </c>
      <c r="K1819" s="3">
        <v>1768</v>
      </c>
      <c r="L1819" s="3">
        <v>1</v>
      </c>
      <c r="M1819" s="3">
        <v>441</v>
      </c>
    </row>
    <row r="1820" spans="1:13" x14ac:dyDescent="0.25">
      <c r="A1820" s="1" t="str">
        <f>HYPERLINK("http://www.rosaceae.org/Prunus/Prunus_persica/p.persica_gdr_reftransV1_0048264","p.persica_gdr_reftransV1_0048264")</f>
        <v>p.persica_gdr_reftransV1_0048264</v>
      </c>
      <c r="B1820" s="3">
        <v>1479</v>
      </c>
      <c r="C1820" s="1" t="str">
        <f>HYPERLINK("http://www.uniprot.org/uniprot/ZDHC7_ARATH","ZDHC7_ARATH")</f>
        <v>ZDHC7_ARATH</v>
      </c>
      <c r="D1820" t="s">
        <v>1801</v>
      </c>
      <c r="E1820" s="3" t="s">
        <v>3</v>
      </c>
      <c r="F1820" s="4">
        <v>3.29E-124</v>
      </c>
      <c r="G1820" s="3">
        <v>958</v>
      </c>
      <c r="H1820" s="3">
        <v>56</v>
      </c>
      <c r="I1820" s="3">
        <v>357</v>
      </c>
      <c r="J1820" s="3">
        <v>290</v>
      </c>
      <c r="K1820" s="3">
        <v>1318</v>
      </c>
      <c r="L1820" s="3">
        <v>1</v>
      </c>
      <c r="M1820" s="3">
        <v>343</v>
      </c>
    </row>
    <row r="1821" spans="1:13" x14ac:dyDescent="0.25">
      <c r="A1821" s="1" t="str">
        <f>HYPERLINK("http://www.rosaceae.org/Prunus/Prunus_persica/p.persica_gdr_reftransV1_0048314","p.persica_gdr_reftransV1_0048314")</f>
        <v>p.persica_gdr_reftransV1_0048314</v>
      </c>
      <c r="B1821" s="3">
        <v>644</v>
      </c>
      <c r="C1821" s="1" t="str">
        <f>HYPERLINK("http://www.uniprot.org/uniprot/PP359_ARATH","PP359_ARATH")</f>
        <v>PP359_ARATH</v>
      </c>
      <c r="D1821" t="s">
        <v>861</v>
      </c>
      <c r="E1821" s="3" t="s">
        <v>3</v>
      </c>
      <c r="F1821" s="4">
        <v>1.0300000000000001E-65</v>
      </c>
      <c r="G1821" s="3">
        <v>564</v>
      </c>
      <c r="H1821" s="3">
        <v>52</v>
      </c>
      <c r="I1821" s="3">
        <v>215</v>
      </c>
      <c r="J1821" s="3">
        <v>2</v>
      </c>
      <c r="K1821" s="3">
        <v>643</v>
      </c>
      <c r="L1821" s="3">
        <v>309</v>
      </c>
      <c r="M1821" s="3">
        <v>523</v>
      </c>
    </row>
    <row r="1822" spans="1:13" x14ac:dyDescent="0.25">
      <c r="A1822" s="1" t="str">
        <f>HYPERLINK("http://www.rosaceae.org/Prunus/Prunus_persica/p.persica_gdr_reftransV1_0048364","p.persica_gdr_reftransV1_0048364")</f>
        <v>p.persica_gdr_reftransV1_0048364</v>
      </c>
      <c r="B1822" s="3">
        <v>1075</v>
      </c>
      <c r="C1822" s="1" t="str">
        <f>HYPERLINK("http://www.uniprot.org/uniprot/HDHD3_MOUSE","HDHD3_MOUSE")</f>
        <v>HDHD3_MOUSE</v>
      </c>
      <c r="D1822" t="s">
        <v>1802</v>
      </c>
      <c r="E1822" s="3" t="s">
        <v>157</v>
      </c>
      <c r="F1822" s="4">
        <v>8.2599999999999994E-24</v>
      </c>
      <c r="G1822" s="3">
        <v>254</v>
      </c>
      <c r="H1822" s="3">
        <v>36</v>
      </c>
      <c r="I1822" s="3">
        <v>188</v>
      </c>
      <c r="J1822" s="3">
        <v>322</v>
      </c>
      <c r="K1822" s="3">
        <v>852</v>
      </c>
      <c r="L1822" s="3">
        <v>23</v>
      </c>
      <c r="M1822" s="3">
        <v>210</v>
      </c>
    </row>
    <row r="1823" spans="1:13" x14ac:dyDescent="0.25">
      <c r="A1823" s="1" t="str">
        <f>HYPERLINK("http://www.rosaceae.org/Prunus/Prunus_persica/p.persica_gdr_reftransV1_0048414","p.persica_gdr_reftransV1_0048414")</f>
        <v>p.persica_gdr_reftransV1_0048414</v>
      </c>
      <c r="B1823" s="3">
        <v>5104</v>
      </c>
      <c r="C1823" s="1" t="str">
        <f>HYPERLINK("http://www.uniprot.org/uniprot/ATAD1_BOVIN","ATAD1_BOVIN")</f>
        <v>ATAD1_BOVIN</v>
      </c>
      <c r="D1823" t="s">
        <v>1803</v>
      </c>
      <c r="E1823" s="3" t="s">
        <v>184</v>
      </c>
      <c r="F1823" s="4">
        <v>1.09E-69</v>
      </c>
      <c r="G1823" s="3">
        <v>625</v>
      </c>
      <c r="H1823" s="3">
        <v>43</v>
      </c>
      <c r="I1823" s="3">
        <v>301</v>
      </c>
      <c r="J1823" s="3">
        <v>2998</v>
      </c>
      <c r="K1823" s="3">
        <v>3894</v>
      </c>
      <c r="L1823" s="3">
        <v>70</v>
      </c>
      <c r="M1823" s="3">
        <v>354</v>
      </c>
    </row>
    <row r="1824" spans="1:13" x14ac:dyDescent="0.25">
      <c r="A1824" s="1" t="str">
        <f>HYPERLINK("http://www.rosaceae.org/Prunus/Prunus_persica/p.persica_gdr_reftransV1_0048464","p.persica_gdr_reftransV1_0048464")</f>
        <v>p.persica_gdr_reftransV1_0048464</v>
      </c>
      <c r="B1824" s="3">
        <v>982</v>
      </c>
      <c r="C1824" s="1" t="str">
        <f>HYPERLINK("http://www.uniprot.org/uniprot/RQL4A_ARATH","RQL4A_ARATH")</f>
        <v>RQL4A_ARATH</v>
      </c>
      <c r="D1824" t="s">
        <v>1804</v>
      </c>
      <c r="E1824" s="3" t="s">
        <v>3</v>
      </c>
      <c r="F1824" s="4">
        <v>1.14E-43</v>
      </c>
      <c r="G1824" s="3">
        <v>419</v>
      </c>
      <c r="H1824" s="3">
        <v>37</v>
      </c>
      <c r="I1824" s="3">
        <v>319</v>
      </c>
      <c r="J1824" s="3">
        <v>8</v>
      </c>
      <c r="K1824" s="3">
        <v>949</v>
      </c>
      <c r="L1824" s="3">
        <v>27</v>
      </c>
      <c r="M1824" s="3">
        <v>334</v>
      </c>
    </row>
    <row r="1825" spans="1:13" x14ac:dyDescent="0.25">
      <c r="A1825" s="1" t="str">
        <f>HYPERLINK("http://www.rosaceae.org/Prunus/Prunus_persica/p.persica_gdr_reftransV1_0048514","p.persica_gdr_reftransV1_0048514")</f>
        <v>p.persica_gdr_reftransV1_0048514</v>
      </c>
      <c r="B1825" s="3">
        <v>822</v>
      </c>
      <c r="C1825" s="1" t="str">
        <f>HYPERLINK("http://www.uniprot.org/uniprot/JMJ25_ARATH","JMJ25_ARATH")</f>
        <v>JMJ25_ARATH</v>
      </c>
      <c r="D1825" t="s">
        <v>1512</v>
      </c>
      <c r="E1825" s="3" t="s">
        <v>3</v>
      </c>
      <c r="F1825" s="4">
        <v>2.99E-64</v>
      </c>
      <c r="G1825" s="3">
        <v>564</v>
      </c>
      <c r="H1825" s="3">
        <v>72</v>
      </c>
      <c r="I1825" s="3">
        <v>151</v>
      </c>
      <c r="J1825" s="3">
        <v>129</v>
      </c>
      <c r="K1825" s="3">
        <v>581</v>
      </c>
      <c r="L1825" s="3">
        <v>742</v>
      </c>
      <c r="M1825" s="3">
        <v>892</v>
      </c>
    </row>
    <row r="1826" spans="1:13" x14ac:dyDescent="0.25">
      <c r="A1826" s="1" t="str">
        <f>HYPERLINK("http://www.rosaceae.org/Prunus/Prunus_persica/p.persica_gdr_reftransV1_0048564","p.persica_gdr_reftransV1_0048564")</f>
        <v>p.persica_gdr_reftransV1_0048564</v>
      </c>
      <c r="B1826" s="3">
        <v>3114</v>
      </c>
      <c r="C1826" s="1" t="str">
        <f>HYPERLINK("http://www.uniprot.org/uniprot/BH074_ARATH","BH074_ARATH")</f>
        <v>BH074_ARATH</v>
      </c>
      <c r="D1826" t="s">
        <v>1805</v>
      </c>
      <c r="E1826" s="3" t="s">
        <v>3</v>
      </c>
      <c r="F1826" s="4">
        <v>2.9099999999999998E-81</v>
      </c>
      <c r="G1826" s="3">
        <v>701</v>
      </c>
      <c r="H1826" s="3">
        <v>46</v>
      </c>
      <c r="I1826" s="3">
        <v>445</v>
      </c>
      <c r="J1826" s="3">
        <v>484</v>
      </c>
      <c r="K1826" s="3">
        <v>1782</v>
      </c>
      <c r="L1826" s="3">
        <v>1</v>
      </c>
      <c r="M1826" s="3">
        <v>366</v>
      </c>
    </row>
    <row r="1827" spans="1:13" x14ac:dyDescent="0.25">
      <c r="A1827" s="1" t="str">
        <f>HYPERLINK("http://www.rosaceae.org/Prunus/Prunus_persica/p.persica_gdr_reftransV1_0048614","p.persica_gdr_reftransV1_0048614")</f>
        <v>p.persica_gdr_reftransV1_0048614</v>
      </c>
      <c r="B1827" s="3">
        <v>908</v>
      </c>
      <c r="C1827" s="1" t="str">
        <f>HYPERLINK("http://www.uniprot.org/uniprot/RR21_SPIOL","RR21_SPIOL")</f>
        <v>RR21_SPIOL</v>
      </c>
      <c r="D1827" t="s">
        <v>1806</v>
      </c>
      <c r="E1827" s="3" t="s">
        <v>131</v>
      </c>
      <c r="F1827" s="4">
        <v>4.3900000000000001E-14</v>
      </c>
      <c r="G1827" s="3">
        <v>168</v>
      </c>
      <c r="H1827" s="3">
        <v>91</v>
      </c>
      <c r="I1827" s="3">
        <v>35</v>
      </c>
      <c r="J1827" s="3">
        <v>312</v>
      </c>
      <c r="K1827" s="3">
        <v>416</v>
      </c>
      <c r="L1827" s="3">
        <v>1</v>
      </c>
      <c r="M1827" s="3">
        <v>35</v>
      </c>
    </row>
    <row r="1828" spans="1:13" x14ac:dyDescent="0.25">
      <c r="A1828" s="1" t="str">
        <f>HYPERLINK("http://www.rosaceae.org/Prunus/Prunus_persica/p.persica_gdr_reftransV1_0048664","p.persica_gdr_reftransV1_0048664")</f>
        <v>p.persica_gdr_reftransV1_0048664</v>
      </c>
      <c r="B1828" s="3">
        <v>1618</v>
      </c>
      <c r="C1828" s="1" t="str">
        <f>HYPERLINK("http://www.uniprot.org/uniprot/ATPG_TOBAC","ATPG_TOBAC")</f>
        <v>ATPG_TOBAC</v>
      </c>
      <c r="D1828" t="s">
        <v>1807</v>
      </c>
      <c r="E1828" s="3" t="s">
        <v>200</v>
      </c>
      <c r="F1828" s="4">
        <v>0</v>
      </c>
      <c r="G1828" s="3">
        <v>1447</v>
      </c>
      <c r="H1828" s="3">
        <v>85</v>
      </c>
      <c r="I1828" s="3">
        <v>377</v>
      </c>
      <c r="J1828" s="3">
        <v>261</v>
      </c>
      <c r="K1828" s="3">
        <v>1388</v>
      </c>
      <c r="L1828" s="3">
        <v>1</v>
      </c>
      <c r="M1828" s="3">
        <v>377</v>
      </c>
    </row>
    <row r="1829" spans="1:13" x14ac:dyDescent="0.25">
      <c r="A1829" s="1" t="str">
        <f>HYPERLINK("http://www.rosaceae.org/Prunus/Prunus_persica/p.persica_gdr_reftransV1_0048714","p.persica_gdr_reftransV1_0048714")</f>
        <v>p.persica_gdr_reftransV1_0048714</v>
      </c>
      <c r="B1829" s="3">
        <v>2969</v>
      </c>
      <c r="C1829" s="1" t="str">
        <f>HYPERLINK("http://www.uniprot.org/uniprot/ARI8_ARATH","ARI8_ARATH")</f>
        <v>ARI8_ARATH</v>
      </c>
      <c r="D1829" t="s">
        <v>973</v>
      </c>
      <c r="E1829" s="3" t="s">
        <v>3</v>
      </c>
      <c r="F1829" s="4">
        <v>0</v>
      </c>
      <c r="G1829" s="3">
        <v>2255</v>
      </c>
      <c r="H1829" s="3">
        <v>75</v>
      </c>
      <c r="I1829" s="3">
        <v>554</v>
      </c>
      <c r="J1829" s="3">
        <v>48</v>
      </c>
      <c r="K1829" s="3">
        <v>1709</v>
      </c>
      <c r="L1829" s="3">
        <v>27</v>
      </c>
      <c r="M1829" s="3">
        <v>567</v>
      </c>
    </row>
    <row r="1830" spans="1:13" x14ac:dyDescent="0.25">
      <c r="A1830" s="1" t="str">
        <f>HYPERLINK("http://www.rosaceae.org/Prunus/Prunus_persica/p.persica_gdr_reftransV1_0048764","p.persica_gdr_reftransV1_0048764")</f>
        <v>p.persica_gdr_reftransV1_0048764</v>
      </c>
      <c r="B1830" s="3">
        <v>514</v>
      </c>
      <c r="C1830" s="1" t="str">
        <f>HYPERLINK("http://www.uniprot.org/uniprot/GCP2_ARATH","GCP2_ARATH")</f>
        <v>GCP2_ARATH</v>
      </c>
      <c r="D1830" t="s">
        <v>1808</v>
      </c>
      <c r="E1830" s="3" t="s">
        <v>3</v>
      </c>
      <c r="F1830" s="4">
        <v>8.9499999999999996E-41</v>
      </c>
      <c r="G1830" s="3">
        <v>377</v>
      </c>
      <c r="H1830" s="3">
        <v>54</v>
      </c>
      <c r="I1830" s="3">
        <v>153</v>
      </c>
      <c r="J1830" s="3">
        <v>53</v>
      </c>
      <c r="K1830" s="3">
        <v>508</v>
      </c>
      <c r="L1830" s="3">
        <v>133</v>
      </c>
      <c r="M1830" s="3">
        <v>282</v>
      </c>
    </row>
    <row r="1831" spans="1:13" x14ac:dyDescent="0.25">
      <c r="A1831" s="1" t="str">
        <f>HYPERLINK("http://www.rosaceae.org/Prunus/Prunus_persica/p.persica_gdr_reftransV1_0048864","p.persica_gdr_reftransV1_0048864")</f>
        <v>p.persica_gdr_reftransV1_0048864</v>
      </c>
      <c r="B1831" s="3">
        <v>3336</v>
      </c>
      <c r="C1831" s="1" t="str">
        <f>HYPERLINK("http://www.uniprot.org/uniprot/RNJ_CORGL","RNJ_CORGL")</f>
        <v>RNJ_CORGL</v>
      </c>
      <c r="D1831" t="s">
        <v>1809</v>
      </c>
      <c r="E1831" s="3" t="s">
        <v>1810</v>
      </c>
      <c r="F1831" s="4">
        <v>2.3000000000000001E-87</v>
      </c>
      <c r="G1831" s="3">
        <v>776</v>
      </c>
      <c r="H1831" s="3">
        <v>39</v>
      </c>
      <c r="I1831" s="3">
        <v>414</v>
      </c>
      <c r="J1831" s="3">
        <v>1637</v>
      </c>
      <c r="K1831" s="3">
        <v>2872</v>
      </c>
      <c r="L1831" s="3">
        <v>155</v>
      </c>
      <c r="M1831" s="3">
        <v>565</v>
      </c>
    </row>
    <row r="1832" spans="1:13" x14ac:dyDescent="0.25">
      <c r="A1832" s="1" t="str">
        <f>HYPERLINK("http://www.rosaceae.org/Prunus/Prunus_persica/p.persica_gdr_reftransV1_0048914","p.persica_gdr_reftransV1_0048914")</f>
        <v>p.persica_gdr_reftransV1_0048914</v>
      </c>
      <c r="B1832" s="3">
        <v>717</v>
      </c>
      <c r="C1832" s="1" t="str">
        <f>HYPERLINK("http://www.uniprot.org/uniprot/PLA13_ARATH","PLA13_ARATH")</f>
        <v>PLA13_ARATH</v>
      </c>
      <c r="D1832" t="s">
        <v>1811</v>
      </c>
      <c r="E1832" s="3" t="s">
        <v>3</v>
      </c>
      <c r="F1832" s="4">
        <v>7.0199999999999995E-120</v>
      </c>
      <c r="G1832" s="3">
        <v>916</v>
      </c>
      <c r="H1832" s="3">
        <v>76</v>
      </c>
      <c r="I1832" s="3">
        <v>227</v>
      </c>
      <c r="J1832" s="3">
        <v>52</v>
      </c>
      <c r="K1832" s="3">
        <v>717</v>
      </c>
      <c r="L1832" s="3">
        <v>88</v>
      </c>
      <c r="M1832" s="3">
        <v>314</v>
      </c>
    </row>
    <row r="1833" spans="1:13" x14ac:dyDescent="0.25">
      <c r="A1833" s="1" t="str">
        <f>HYPERLINK("http://www.rosaceae.org/Prunus/Prunus_persica/p.persica_gdr_reftransV1_0049014","p.persica_gdr_reftransV1_0049014")</f>
        <v>p.persica_gdr_reftransV1_0049014</v>
      </c>
      <c r="B1833" s="3">
        <v>1791</v>
      </c>
      <c r="C1833" s="1" t="str">
        <f>HYPERLINK("http://www.uniprot.org/uniprot/GMPPA_DICDI","GMPPA_DICDI")</f>
        <v>GMPPA_DICDI</v>
      </c>
      <c r="D1833" t="s">
        <v>1812</v>
      </c>
      <c r="E1833" s="3" t="s">
        <v>9</v>
      </c>
      <c r="F1833" s="4">
        <v>3.1400000000000002E-118</v>
      </c>
      <c r="G1833" s="3">
        <v>934</v>
      </c>
      <c r="H1833" s="3">
        <v>45</v>
      </c>
      <c r="I1833" s="3">
        <v>421</v>
      </c>
      <c r="J1833" s="3">
        <v>248</v>
      </c>
      <c r="K1833" s="3">
        <v>1465</v>
      </c>
      <c r="L1833" s="3">
        <v>8</v>
      </c>
      <c r="M1833" s="3">
        <v>412</v>
      </c>
    </row>
    <row r="1834" spans="1:13" x14ac:dyDescent="0.25">
      <c r="A1834" s="1" t="str">
        <f>HYPERLINK("http://www.rosaceae.org/Prunus/Prunus_persica/p.persica_gdr_reftransV1_0049064","p.persica_gdr_reftransV1_0049064")</f>
        <v>p.persica_gdr_reftransV1_0049064</v>
      </c>
      <c r="B1834" s="3">
        <v>2353</v>
      </c>
      <c r="C1834" s="1" t="str">
        <f>HYPERLINK("http://www.uniprot.org/uniprot/TRPD_AQUAE","TRPD_AQUAE")</f>
        <v>TRPD_AQUAE</v>
      </c>
      <c r="D1834" t="s">
        <v>1813</v>
      </c>
      <c r="E1834" s="3" t="s">
        <v>863</v>
      </c>
      <c r="F1834" s="4">
        <v>6.6300000000000005E-7</v>
      </c>
      <c r="G1834" s="3">
        <v>133</v>
      </c>
      <c r="H1834" s="3">
        <v>30</v>
      </c>
      <c r="I1834" s="3">
        <v>170</v>
      </c>
      <c r="J1834" s="3">
        <v>373</v>
      </c>
      <c r="K1834" s="3">
        <v>879</v>
      </c>
      <c r="L1834" s="3">
        <v>196</v>
      </c>
      <c r="M1834" s="3">
        <v>340</v>
      </c>
    </row>
    <row r="1835" spans="1:13" x14ac:dyDescent="0.25">
      <c r="A1835" s="1" t="str">
        <f>HYPERLINK("http://www.rosaceae.org/Prunus/Prunus_persica/p.persica_gdr_reftransV1_0049164","p.persica_gdr_reftransV1_0049164")</f>
        <v>p.persica_gdr_reftransV1_0049164</v>
      </c>
      <c r="B1835" s="3">
        <v>819</v>
      </c>
      <c r="C1835" s="1" t="str">
        <f>HYPERLINK("http://www.uniprot.org/uniprot/RL273_ARATH","RL273_ARATH")</f>
        <v>RL273_ARATH</v>
      </c>
      <c r="D1835" t="s">
        <v>1814</v>
      </c>
      <c r="E1835" s="3" t="s">
        <v>3</v>
      </c>
      <c r="F1835" s="4">
        <v>3.2400000000000001E-68</v>
      </c>
      <c r="G1835" s="3">
        <v>545</v>
      </c>
      <c r="H1835" s="3">
        <v>82</v>
      </c>
      <c r="I1835" s="3">
        <v>135</v>
      </c>
      <c r="J1835" s="3">
        <v>190</v>
      </c>
      <c r="K1835" s="3">
        <v>594</v>
      </c>
      <c r="L1835" s="3">
        <v>1</v>
      </c>
      <c r="M1835" s="3">
        <v>135</v>
      </c>
    </row>
    <row r="1836" spans="1:13" x14ac:dyDescent="0.25">
      <c r="A1836" s="1" t="str">
        <f>HYPERLINK("http://www.rosaceae.org/Prunus/Prunus_persica/p.persica_gdr_reftransV1_0000015","p.persica_gdr_reftransV1_0000015")</f>
        <v>p.persica_gdr_reftransV1_0000015</v>
      </c>
      <c r="B1836" s="3">
        <v>815</v>
      </c>
      <c r="C1836" s="1" t="str">
        <f>HYPERLINK("http://www.uniprot.org/uniprot/CP122_ARATH","CP122_ARATH")</f>
        <v>CP122_ARATH</v>
      </c>
      <c r="D1836" t="s">
        <v>1815</v>
      </c>
      <c r="E1836" s="3" t="s">
        <v>3</v>
      </c>
      <c r="F1836" s="4">
        <v>5.3699999999999997E-37</v>
      </c>
      <c r="G1836" s="3">
        <v>335</v>
      </c>
      <c r="H1836" s="3">
        <v>54</v>
      </c>
      <c r="I1836" s="3">
        <v>134</v>
      </c>
      <c r="J1836" s="3">
        <v>96</v>
      </c>
      <c r="K1836" s="3">
        <v>482</v>
      </c>
      <c r="L1836" s="3">
        <v>2</v>
      </c>
      <c r="M1836" s="3">
        <v>131</v>
      </c>
    </row>
    <row r="1837" spans="1:13" x14ac:dyDescent="0.25">
      <c r="A1837" s="1" t="str">
        <f>HYPERLINK("http://www.rosaceae.org/Prunus/Prunus_persica/p.persica_gdr_reftransV1_0000065","p.persica_gdr_reftransV1_0000065")</f>
        <v>p.persica_gdr_reftransV1_0000065</v>
      </c>
      <c r="B1837" s="3">
        <v>1585</v>
      </c>
      <c r="C1837" s="1" t="str">
        <f>HYPERLINK("http://www.uniprot.org/uniprot/BRL3_ARATH","BRL3_ARATH")</f>
        <v>BRL3_ARATH</v>
      </c>
      <c r="D1837" t="s">
        <v>1816</v>
      </c>
      <c r="E1837" s="3" t="s">
        <v>3</v>
      </c>
      <c r="F1837" s="4">
        <v>0</v>
      </c>
      <c r="G1837" s="3">
        <v>1506</v>
      </c>
      <c r="H1837" s="3">
        <v>67</v>
      </c>
      <c r="I1837" s="3">
        <v>517</v>
      </c>
      <c r="J1837" s="3">
        <v>3</v>
      </c>
      <c r="K1837" s="3">
        <v>1532</v>
      </c>
      <c r="L1837" s="3">
        <v>130</v>
      </c>
      <c r="M1837" s="3">
        <v>646</v>
      </c>
    </row>
    <row r="1838" spans="1:13" x14ac:dyDescent="0.25">
      <c r="A1838" s="1" t="str">
        <f>HYPERLINK("http://www.rosaceae.org/Prunus/Prunus_persica/p.persica_gdr_reftransV1_0000115","p.persica_gdr_reftransV1_0000115")</f>
        <v>p.persica_gdr_reftransV1_0000115</v>
      </c>
      <c r="B1838" s="3">
        <v>992</v>
      </c>
      <c r="C1838" s="1" t="str">
        <f>HYPERLINK("http://www.uniprot.org/uniprot/RU2B2_ARATH","RU2B2_ARATH")</f>
        <v>RU2B2_ARATH</v>
      </c>
      <c r="D1838" t="s">
        <v>1817</v>
      </c>
      <c r="E1838" s="3" t="s">
        <v>3</v>
      </c>
      <c r="F1838" s="4">
        <v>1.7800000000000001E-96</v>
      </c>
      <c r="G1838" s="3">
        <v>747</v>
      </c>
      <c r="H1838" s="3">
        <v>70</v>
      </c>
      <c r="I1838" s="3">
        <v>233</v>
      </c>
      <c r="J1838" s="3">
        <v>226</v>
      </c>
      <c r="K1838" s="3">
        <v>924</v>
      </c>
      <c r="L1838" s="3">
        <v>1</v>
      </c>
      <c r="M1838" s="3">
        <v>229</v>
      </c>
    </row>
    <row r="1839" spans="1:13" x14ac:dyDescent="0.25">
      <c r="A1839" s="1" t="str">
        <f>HYPERLINK("http://www.rosaceae.org/Prunus/Prunus_persica/p.persica_gdr_reftransV1_0000165","p.persica_gdr_reftransV1_0000165")</f>
        <v>p.persica_gdr_reftransV1_0000165</v>
      </c>
      <c r="B1839" s="3">
        <v>1782</v>
      </c>
      <c r="C1839" s="1" t="str">
        <f>HYPERLINK("http://www.uniprot.org/uniprot/GAE6_ARATH","GAE6_ARATH")</f>
        <v>GAE6_ARATH</v>
      </c>
      <c r="D1839" t="s">
        <v>1818</v>
      </c>
      <c r="E1839" s="3" t="s">
        <v>3</v>
      </c>
      <c r="F1839" s="4">
        <v>0</v>
      </c>
      <c r="G1839" s="3">
        <v>1899</v>
      </c>
      <c r="H1839" s="3">
        <v>82</v>
      </c>
      <c r="I1839" s="3">
        <v>451</v>
      </c>
      <c r="J1839" s="3">
        <v>244</v>
      </c>
      <c r="K1839" s="3">
        <v>1581</v>
      </c>
      <c r="L1839" s="3">
        <v>3</v>
      </c>
      <c r="M1839" s="3">
        <v>452</v>
      </c>
    </row>
    <row r="1840" spans="1:13" x14ac:dyDescent="0.25">
      <c r="A1840" s="1" t="str">
        <f>HYPERLINK("http://www.rosaceae.org/Prunus/Prunus_persica/p.persica_gdr_reftransV1_0000265","p.persica_gdr_reftransV1_0000265")</f>
        <v>p.persica_gdr_reftransV1_0000265</v>
      </c>
      <c r="B1840" s="3">
        <v>799</v>
      </c>
      <c r="C1840" s="1" t="str">
        <f>HYPERLINK("http://www.uniprot.org/uniprot/CIRBP_XENTR","CIRBP_XENTR")</f>
        <v>CIRBP_XENTR</v>
      </c>
      <c r="D1840" t="s">
        <v>1819</v>
      </c>
      <c r="E1840" s="3" t="s">
        <v>173</v>
      </c>
      <c r="F1840" s="4">
        <v>1.7E-15</v>
      </c>
      <c r="G1840" s="3">
        <v>185</v>
      </c>
      <c r="H1840" s="3">
        <v>46</v>
      </c>
      <c r="I1840" s="3">
        <v>80</v>
      </c>
      <c r="J1840" s="3">
        <v>228</v>
      </c>
      <c r="K1840" s="3">
        <v>467</v>
      </c>
      <c r="L1840" s="3">
        <v>7</v>
      </c>
      <c r="M1840" s="3">
        <v>86</v>
      </c>
    </row>
    <row r="1841" spans="1:13" x14ac:dyDescent="0.25">
      <c r="A1841" s="1" t="str">
        <f>HYPERLINK("http://www.rosaceae.org/Prunus/Prunus_persica/p.persica_gdr_reftransV1_0000315","p.persica_gdr_reftransV1_0000315")</f>
        <v>p.persica_gdr_reftransV1_0000315</v>
      </c>
      <c r="B1841" s="3">
        <v>1307</v>
      </c>
      <c r="C1841" s="1" t="str">
        <f>HYPERLINK("http://www.uniprot.org/uniprot/CHMP5_RAT","CHMP5_RAT")</f>
        <v>CHMP5_RAT</v>
      </c>
      <c r="D1841" t="s">
        <v>1820</v>
      </c>
      <c r="E1841" s="3" t="s">
        <v>161</v>
      </c>
      <c r="F1841" s="4">
        <v>5E-53</v>
      </c>
      <c r="G1841" s="3">
        <v>463</v>
      </c>
      <c r="H1841" s="3">
        <v>46</v>
      </c>
      <c r="I1841" s="3">
        <v>233</v>
      </c>
      <c r="J1841" s="3">
        <v>235</v>
      </c>
      <c r="K1841" s="3">
        <v>927</v>
      </c>
      <c r="L1841" s="3">
        <v>1</v>
      </c>
      <c r="M1841" s="3">
        <v>217</v>
      </c>
    </row>
    <row r="1842" spans="1:13" x14ac:dyDescent="0.25">
      <c r="A1842" s="1" t="str">
        <f>HYPERLINK("http://www.rosaceae.org/Prunus/Prunus_persica/p.persica_gdr_reftransV1_0000465","p.persica_gdr_reftransV1_0000465")</f>
        <v>p.persica_gdr_reftransV1_0000465</v>
      </c>
      <c r="B1842" s="3">
        <v>1655</v>
      </c>
      <c r="C1842" s="1" t="str">
        <f>HYPERLINK("http://www.uniprot.org/uniprot/UBR7_HUMAN","UBR7_HUMAN")</f>
        <v>UBR7_HUMAN</v>
      </c>
      <c r="D1842" t="s">
        <v>1421</v>
      </c>
      <c r="E1842" s="3" t="s">
        <v>28</v>
      </c>
      <c r="F1842" s="4">
        <v>6.4899999999999994E-67</v>
      </c>
      <c r="G1842" s="3">
        <v>583</v>
      </c>
      <c r="H1842" s="3">
        <v>35</v>
      </c>
      <c r="I1842" s="3">
        <v>403</v>
      </c>
      <c r="J1842" s="3">
        <v>269</v>
      </c>
      <c r="K1842" s="3">
        <v>1423</v>
      </c>
      <c r="L1842" s="3">
        <v>33</v>
      </c>
      <c r="M1842" s="3">
        <v>418</v>
      </c>
    </row>
    <row r="1843" spans="1:13" x14ac:dyDescent="0.25">
      <c r="A1843" s="1" t="str">
        <f>HYPERLINK("http://www.rosaceae.org/Prunus/Prunus_persica/p.persica_gdr_reftransV1_0000565","p.persica_gdr_reftransV1_0000565")</f>
        <v>p.persica_gdr_reftransV1_0000565</v>
      </c>
      <c r="B1843" s="3">
        <v>2081</v>
      </c>
      <c r="C1843" s="1" t="str">
        <f>HYPERLINK("http://www.uniprot.org/uniprot/NAC62_ARATH","NAC62_ARATH")</f>
        <v>NAC62_ARATH</v>
      </c>
      <c r="D1843" t="s">
        <v>1821</v>
      </c>
      <c r="E1843" s="3" t="s">
        <v>3</v>
      </c>
      <c r="F1843" s="4">
        <v>6.6500000000000001E-97</v>
      </c>
      <c r="G1843" s="3">
        <v>802</v>
      </c>
      <c r="H1843" s="3">
        <v>44</v>
      </c>
      <c r="I1843" s="3">
        <v>429</v>
      </c>
      <c r="J1843" s="3">
        <v>240</v>
      </c>
      <c r="K1843" s="3">
        <v>1466</v>
      </c>
      <c r="L1843" s="3">
        <v>4</v>
      </c>
      <c r="M1843" s="3">
        <v>393</v>
      </c>
    </row>
    <row r="1844" spans="1:13" x14ac:dyDescent="0.25">
      <c r="A1844" s="1" t="str">
        <f>HYPERLINK("http://www.rosaceae.org/Prunus/Prunus_persica/p.persica_gdr_reftransV1_0000615","p.persica_gdr_reftransV1_0000615")</f>
        <v>p.persica_gdr_reftransV1_0000615</v>
      </c>
      <c r="B1844" s="3">
        <v>1306</v>
      </c>
      <c r="C1844" s="1" t="str">
        <f>HYPERLINK("http://www.uniprot.org/uniprot/CNBL1_ARATH","CNBL1_ARATH")</f>
        <v>CNBL1_ARATH</v>
      </c>
      <c r="D1844" t="s">
        <v>1822</v>
      </c>
      <c r="E1844" s="3" t="s">
        <v>3</v>
      </c>
      <c r="F1844" s="4">
        <v>7.1000000000000001E-130</v>
      </c>
      <c r="G1844" s="3">
        <v>977</v>
      </c>
      <c r="H1844" s="3">
        <v>85</v>
      </c>
      <c r="I1844" s="3">
        <v>213</v>
      </c>
      <c r="J1844" s="3">
        <v>343</v>
      </c>
      <c r="K1844" s="3">
        <v>981</v>
      </c>
      <c r="L1844" s="3">
        <v>1</v>
      </c>
      <c r="M1844" s="3">
        <v>213</v>
      </c>
    </row>
    <row r="1845" spans="1:13" x14ac:dyDescent="0.25">
      <c r="A1845" s="1" t="str">
        <f>HYPERLINK("http://www.rosaceae.org/Prunus/Prunus_persica/p.persica_gdr_reftransV1_0000665","p.persica_gdr_reftransV1_0000665")</f>
        <v>p.persica_gdr_reftransV1_0000665</v>
      </c>
      <c r="B1845" s="3">
        <v>993</v>
      </c>
      <c r="C1845" s="1" t="str">
        <f>HYPERLINK("http://www.uniprot.org/uniprot/ARFRP_RAT","ARFRP_RAT")</f>
        <v>ARFRP_RAT</v>
      </c>
      <c r="D1845" t="s">
        <v>1823</v>
      </c>
      <c r="E1845" s="3" t="s">
        <v>161</v>
      </c>
      <c r="F1845" s="4">
        <v>7.3000000000000002E-53</v>
      </c>
      <c r="G1845" s="3">
        <v>453</v>
      </c>
      <c r="H1845" s="3">
        <v>46</v>
      </c>
      <c r="I1845" s="3">
        <v>190</v>
      </c>
      <c r="J1845" s="3">
        <v>224</v>
      </c>
      <c r="K1845" s="3">
        <v>784</v>
      </c>
      <c r="L1845" s="3">
        <v>1</v>
      </c>
      <c r="M1845" s="3">
        <v>190</v>
      </c>
    </row>
    <row r="1846" spans="1:13" x14ac:dyDescent="0.25">
      <c r="A1846" s="1" t="str">
        <f>HYPERLINK("http://www.rosaceae.org/Prunus/Prunus_persica/p.persica_gdr_reftransV1_0000765","p.persica_gdr_reftransV1_0000765")</f>
        <v>p.persica_gdr_reftransV1_0000765</v>
      </c>
      <c r="B1846" s="3">
        <v>442</v>
      </c>
      <c r="C1846" s="1" t="str">
        <f>HYPERLINK("http://www.uniprot.org/uniprot/Y3918_ARATH","Y3918_ARATH")</f>
        <v>Y3918_ARATH</v>
      </c>
      <c r="D1846" t="s">
        <v>1824</v>
      </c>
      <c r="E1846" s="3" t="s">
        <v>3</v>
      </c>
      <c r="F1846" s="4">
        <v>5.44E-15</v>
      </c>
      <c r="G1846" s="3">
        <v>178</v>
      </c>
      <c r="H1846" s="3">
        <v>51</v>
      </c>
      <c r="I1846" s="3">
        <v>111</v>
      </c>
      <c r="J1846" s="3">
        <v>70</v>
      </c>
      <c r="K1846" s="3">
        <v>384</v>
      </c>
      <c r="L1846" s="3">
        <v>1</v>
      </c>
      <c r="M1846" s="3">
        <v>106</v>
      </c>
    </row>
    <row r="1847" spans="1:13" x14ac:dyDescent="0.25">
      <c r="A1847" s="1" t="str">
        <f>HYPERLINK("http://www.rosaceae.org/Prunus/Prunus_persica/p.persica_gdr_reftransV1_0000815","p.persica_gdr_reftransV1_0000815")</f>
        <v>p.persica_gdr_reftransV1_0000815</v>
      </c>
      <c r="B1847" s="3">
        <v>953</v>
      </c>
      <c r="C1847" s="1" t="str">
        <f>HYPERLINK("http://www.uniprot.org/uniprot/RL44_GOSHI","RL44_GOSHI")</f>
        <v>RL44_GOSHI</v>
      </c>
      <c r="D1847" t="s">
        <v>1825</v>
      </c>
      <c r="E1847" s="3" t="s">
        <v>816</v>
      </c>
      <c r="F1847" s="4">
        <v>1.39E-52</v>
      </c>
      <c r="G1847" s="3">
        <v>442</v>
      </c>
      <c r="H1847" s="3">
        <v>96</v>
      </c>
      <c r="I1847" s="3">
        <v>105</v>
      </c>
      <c r="J1847" s="3">
        <v>558</v>
      </c>
      <c r="K1847" s="3">
        <v>872</v>
      </c>
      <c r="L1847" s="3">
        <v>1</v>
      </c>
      <c r="M1847" s="3">
        <v>105</v>
      </c>
    </row>
    <row r="1848" spans="1:13" x14ac:dyDescent="0.25">
      <c r="A1848" s="1" t="str">
        <f>HYPERLINK("http://www.rosaceae.org/Prunus/Prunus_persica/p.persica_gdr_reftransV1_0000915","p.persica_gdr_reftransV1_0000915")</f>
        <v>p.persica_gdr_reftransV1_0000915</v>
      </c>
      <c r="B1848" s="3">
        <v>3395</v>
      </c>
      <c r="C1848" s="1" t="str">
        <f>HYPERLINK("http://www.uniprot.org/uniprot/Y5519_ARATH","Y5519_ARATH")</f>
        <v>Y5519_ARATH</v>
      </c>
      <c r="D1848" t="s">
        <v>1826</v>
      </c>
      <c r="E1848" s="3" t="s">
        <v>3</v>
      </c>
      <c r="F1848" s="4">
        <v>1.5E-9</v>
      </c>
      <c r="G1848" s="3">
        <v>159</v>
      </c>
      <c r="H1848" s="3">
        <v>35</v>
      </c>
      <c r="I1848" s="3">
        <v>124</v>
      </c>
      <c r="J1848" s="3">
        <v>1406</v>
      </c>
      <c r="K1848" s="3">
        <v>1723</v>
      </c>
      <c r="L1848" s="3">
        <v>436</v>
      </c>
      <c r="M1848" s="3">
        <v>557</v>
      </c>
    </row>
    <row r="1849" spans="1:13" x14ac:dyDescent="0.25">
      <c r="A1849" s="1" t="str">
        <f>HYPERLINK("http://www.rosaceae.org/Prunus/Prunus_persica/p.persica_gdr_reftransV1_0001015","p.persica_gdr_reftransV1_0001015")</f>
        <v>p.persica_gdr_reftransV1_0001015</v>
      </c>
      <c r="B1849" s="3">
        <v>1725</v>
      </c>
      <c r="C1849" s="1" t="str">
        <f>HYPERLINK("http://www.uniprot.org/uniprot/AAT3_ARATH","AAT3_ARATH")</f>
        <v>AAT3_ARATH</v>
      </c>
      <c r="D1849" t="s">
        <v>1827</v>
      </c>
      <c r="E1849" s="3" t="s">
        <v>3</v>
      </c>
      <c r="F1849" s="4">
        <v>0</v>
      </c>
      <c r="G1849" s="3">
        <v>1977</v>
      </c>
      <c r="H1849" s="3">
        <v>82</v>
      </c>
      <c r="I1849" s="3">
        <v>436</v>
      </c>
      <c r="J1849" s="3">
        <v>146</v>
      </c>
      <c r="K1849" s="3">
        <v>1450</v>
      </c>
      <c r="L1849" s="3">
        <v>13</v>
      </c>
      <c r="M1849" s="3">
        <v>447</v>
      </c>
    </row>
    <row r="1850" spans="1:13" x14ac:dyDescent="0.25">
      <c r="A1850" s="1" t="str">
        <f>HYPERLINK("http://www.rosaceae.org/Prunus/Prunus_persica/p.persica_gdr_reftransV1_0001065","p.persica_gdr_reftransV1_0001065")</f>
        <v>p.persica_gdr_reftransV1_0001065</v>
      </c>
      <c r="B1850" s="3">
        <v>2164</v>
      </c>
      <c r="C1850" s="1" t="str">
        <f>HYPERLINK("http://www.uniprot.org/uniprot/PPP5_SOLLC","PPP5_SOLLC")</f>
        <v>PPP5_SOLLC</v>
      </c>
      <c r="D1850" t="s">
        <v>1828</v>
      </c>
      <c r="E1850" s="3" t="s">
        <v>64</v>
      </c>
      <c r="F1850" s="4">
        <v>0</v>
      </c>
      <c r="G1850" s="3">
        <v>2356</v>
      </c>
      <c r="H1850" s="3">
        <v>80</v>
      </c>
      <c r="I1850" s="3">
        <v>552</v>
      </c>
      <c r="J1850" s="3">
        <v>116</v>
      </c>
      <c r="K1850" s="3">
        <v>1765</v>
      </c>
      <c r="L1850" s="3">
        <v>4</v>
      </c>
      <c r="M1850" s="3">
        <v>555</v>
      </c>
    </row>
    <row r="1851" spans="1:13" x14ac:dyDescent="0.25">
      <c r="A1851" s="1" t="str">
        <f>HYPERLINK("http://www.rosaceae.org/Prunus/Prunus_persica/p.persica_gdr_reftransV1_0001115","p.persica_gdr_reftransV1_0001115")</f>
        <v>p.persica_gdr_reftransV1_0001115</v>
      </c>
      <c r="B1851" s="3">
        <v>4069</v>
      </c>
      <c r="C1851" s="1" t="str">
        <f>HYPERLINK("http://www.uniprot.org/uniprot/CDKG2_ORYSJ","CDKG2_ORYSJ")</f>
        <v>CDKG2_ORYSJ</v>
      </c>
      <c r="D1851" t="s">
        <v>1829</v>
      </c>
      <c r="E1851" s="3" t="s">
        <v>38</v>
      </c>
      <c r="F1851" s="4">
        <v>7.9299999999999996E-179</v>
      </c>
      <c r="G1851" s="3">
        <v>1428</v>
      </c>
      <c r="H1851" s="3">
        <v>56</v>
      </c>
      <c r="I1851" s="3">
        <v>593</v>
      </c>
      <c r="J1851" s="3">
        <v>733</v>
      </c>
      <c r="K1851" s="3">
        <v>2439</v>
      </c>
      <c r="L1851" s="3">
        <v>82</v>
      </c>
      <c r="M1851" s="3">
        <v>622</v>
      </c>
    </row>
    <row r="1852" spans="1:13" x14ac:dyDescent="0.25">
      <c r="A1852" s="1" t="str">
        <f>HYPERLINK("http://www.rosaceae.org/Prunus/Prunus_persica/p.persica_gdr_reftransV1_0001265","p.persica_gdr_reftransV1_0001265")</f>
        <v>p.persica_gdr_reftransV1_0001265</v>
      </c>
      <c r="B1852" s="3">
        <v>542</v>
      </c>
      <c r="C1852" s="1" t="str">
        <f>HYPERLINK("http://www.uniprot.org/uniprot/POT5_ARATH","POT5_ARATH")</f>
        <v>POT5_ARATH</v>
      </c>
      <c r="D1852" t="s">
        <v>1830</v>
      </c>
      <c r="E1852" s="3" t="s">
        <v>3</v>
      </c>
      <c r="F1852" s="4">
        <v>8.4799999999999995E-72</v>
      </c>
      <c r="G1852" s="3">
        <v>603</v>
      </c>
      <c r="H1852" s="3">
        <v>75</v>
      </c>
      <c r="I1852" s="3">
        <v>179</v>
      </c>
      <c r="J1852" s="3">
        <v>5</v>
      </c>
      <c r="K1852" s="3">
        <v>541</v>
      </c>
      <c r="L1852" s="3">
        <v>342</v>
      </c>
      <c r="M1852" s="3">
        <v>520</v>
      </c>
    </row>
    <row r="1853" spans="1:13" x14ac:dyDescent="0.25">
      <c r="A1853" s="1" t="str">
        <f>HYPERLINK("http://www.rosaceae.org/Prunus/Prunus_persica/p.persica_gdr_reftransV1_0001315","p.persica_gdr_reftransV1_0001315")</f>
        <v>p.persica_gdr_reftransV1_0001315</v>
      </c>
      <c r="B1853" s="3">
        <v>2227</v>
      </c>
      <c r="C1853" s="1" t="str">
        <f>HYPERLINK("http://www.uniprot.org/uniprot/IPPK_ARATH","IPPK_ARATH")</f>
        <v>IPPK_ARATH</v>
      </c>
      <c r="D1853" t="s">
        <v>1127</v>
      </c>
      <c r="E1853" s="3" t="s">
        <v>3</v>
      </c>
      <c r="F1853" s="4">
        <v>4.7900000000000003E-166</v>
      </c>
      <c r="G1853" s="3">
        <v>1270</v>
      </c>
      <c r="H1853" s="3">
        <v>56</v>
      </c>
      <c r="I1853" s="3">
        <v>442</v>
      </c>
      <c r="J1853" s="3">
        <v>352</v>
      </c>
      <c r="K1853" s="3">
        <v>1662</v>
      </c>
      <c r="L1853" s="3">
        <v>1</v>
      </c>
      <c r="M1853" s="3">
        <v>437</v>
      </c>
    </row>
    <row r="1854" spans="1:13" x14ac:dyDescent="0.25">
      <c r="A1854" s="1" t="str">
        <f>HYPERLINK("http://www.rosaceae.org/Prunus/Prunus_persica/p.persica_gdr_reftransV1_0001365","p.persica_gdr_reftransV1_0001365")</f>
        <v>p.persica_gdr_reftransV1_0001365</v>
      </c>
      <c r="B1854" s="3">
        <v>926</v>
      </c>
      <c r="C1854" s="1" t="str">
        <f>HYPERLINK("http://www.uniprot.org/uniprot/CML19_ORYSJ","CML19_ORYSJ")</f>
        <v>CML19_ORYSJ</v>
      </c>
      <c r="D1854" t="s">
        <v>1831</v>
      </c>
      <c r="E1854" s="3" t="s">
        <v>38</v>
      </c>
      <c r="F1854" s="4">
        <v>8.4400000000000002E-26</v>
      </c>
      <c r="G1854" s="3">
        <v>261</v>
      </c>
      <c r="H1854" s="3">
        <v>54</v>
      </c>
      <c r="I1854" s="3">
        <v>137</v>
      </c>
      <c r="J1854" s="3">
        <v>370</v>
      </c>
      <c r="K1854" s="3">
        <v>768</v>
      </c>
      <c r="L1854" s="3">
        <v>8</v>
      </c>
      <c r="M1854" s="3">
        <v>144</v>
      </c>
    </row>
    <row r="1855" spans="1:13" x14ac:dyDescent="0.25">
      <c r="A1855" s="1" t="str">
        <f>HYPERLINK("http://www.rosaceae.org/Prunus/Prunus_persica/p.persica_gdr_reftransV1_0001415","p.persica_gdr_reftransV1_0001415")</f>
        <v>p.persica_gdr_reftransV1_0001415</v>
      </c>
      <c r="B1855" s="3">
        <v>2086</v>
      </c>
      <c r="C1855" s="1" t="str">
        <f>HYPERLINK("http://www.uniprot.org/uniprot/PP379_ARATH","PP379_ARATH")</f>
        <v>PP379_ARATH</v>
      </c>
      <c r="D1855" t="s">
        <v>1832</v>
      </c>
      <c r="E1855" s="3" t="s">
        <v>3</v>
      </c>
      <c r="F1855" s="4">
        <v>0</v>
      </c>
      <c r="G1855" s="3">
        <v>1450</v>
      </c>
      <c r="H1855" s="3">
        <v>52</v>
      </c>
      <c r="I1855" s="3">
        <v>569</v>
      </c>
      <c r="J1855" s="3">
        <v>172</v>
      </c>
      <c r="K1855" s="3">
        <v>1863</v>
      </c>
      <c r="L1855" s="3">
        <v>38</v>
      </c>
      <c r="M1855" s="3">
        <v>589</v>
      </c>
    </row>
    <row r="1856" spans="1:13" x14ac:dyDescent="0.25">
      <c r="A1856" s="1" t="str">
        <f>HYPERLINK("http://www.rosaceae.org/Prunus/Prunus_persica/p.persica_gdr_reftransV1_0001515","p.persica_gdr_reftransV1_0001515")</f>
        <v>p.persica_gdr_reftransV1_0001515</v>
      </c>
      <c r="B1856" s="3">
        <v>4291</v>
      </c>
      <c r="C1856" s="1" t="str">
        <f>HYPERLINK("http://www.uniprot.org/uniprot/PIR_ARATH","PIR_ARATH")</f>
        <v>PIR_ARATH</v>
      </c>
      <c r="D1856" t="s">
        <v>1833</v>
      </c>
      <c r="E1856" s="3" t="s">
        <v>3</v>
      </c>
      <c r="F1856" s="4">
        <v>0</v>
      </c>
      <c r="G1856" s="3">
        <v>5801</v>
      </c>
      <c r="H1856" s="3">
        <v>84</v>
      </c>
      <c r="I1856" s="3">
        <v>1283</v>
      </c>
      <c r="J1856" s="3">
        <v>304</v>
      </c>
      <c r="K1856" s="3">
        <v>4149</v>
      </c>
      <c r="L1856" s="3">
        <v>1</v>
      </c>
      <c r="M1856" s="3">
        <v>1278</v>
      </c>
    </row>
    <row r="1857" spans="1:13" x14ac:dyDescent="0.25">
      <c r="A1857" s="1" t="str">
        <f>HYPERLINK("http://www.rosaceae.org/Prunus/Prunus_persica/p.persica_gdr_reftransV1_0001565","p.persica_gdr_reftransV1_0001565")</f>
        <v>p.persica_gdr_reftransV1_0001565</v>
      </c>
      <c r="B1857" s="3">
        <v>1493</v>
      </c>
      <c r="C1857" s="1" t="str">
        <f>HYPERLINK("http://www.uniprot.org/uniprot/YCF37_GUITH","YCF37_GUITH")</f>
        <v>YCF37_GUITH</v>
      </c>
      <c r="D1857" t="s">
        <v>1834</v>
      </c>
      <c r="E1857" s="3" t="s">
        <v>1835</v>
      </c>
      <c r="F1857" s="4">
        <v>2.4599999999999998E-19</v>
      </c>
      <c r="G1857" s="3">
        <v>222</v>
      </c>
      <c r="H1857" s="3">
        <v>32</v>
      </c>
      <c r="I1857" s="3">
        <v>146</v>
      </c>
      <c r="J1857" s="3">
        <v>387</v>
      </c>
      <c r="K1857" s="3">
        <v>821</v>
      </c>
      <c r="L1857" s="3">
        <v>23</v>
      </c>
      <c r="M1857" s="3">
        <v>168</v>
      </c>
    </row>
    <row r="1858" spans="1:13" x14ac:dyDescent="0.25">
      <c r="A1858" s="1" t="str">
        <f>HYPERLINK("http://www.rosaceae.org/Prunus/Prunus_persica/p.persica_gdr_reftransV1_0001715","p.persica_gdr_reftransV1_0001715")</f>
        <v>p.persica_gdr_reftransV1_0001715</v>
      </c>
      <c r="B1858" s="3">
        <v>442</v>
      </c>
      <c r="C1858" s="1" t="str">
        <f>HYPERLINK("http://www.uniprot.org/uniprot/EPD2_CANMA","EPD2_CANMA")</f>
        <v>EPD2_CANMA</v>
      </c>
      <c r="D1858" t="s">
        <v>1836</v>
      </c>
      <c r="E1858" s="3" t="s">
        <v>1837</v>
      </c>
      <c r="F1858" s="4">
        <v>5.5699999999999996E-37</v>
      </c>
      <c r="G1858" s="3">
        <v>344</v>
      </c>
      <c r="H1858" s="3">
        <v>55</v>
      </c>
      <c r="I1858" s="3">
        <v>109</v>
      </c>
      <c r="J1858" s="3">
        <v>4</v>
      </c>
      <c r="K1858" s="3">
        <v>327</v>
      </c>
      <c r="L1858" s="3">
        <v>26</v>
      </c>
      <c r="M1858" s="3">
        <v>134</v>
      </c>
    </row>
    <row r="1859" spans="1:13" x14ac:dyDescent="0.25">
      <c r="A1859" s="1" t="str">
        <f>HYPERLINK("http://www.rosaceae.org/Prunus/Prunus_persica/p.persica_gdr_reftransV1_0001765","p.persica_gdr_reftransV1_0001765")</f>
        <v>p.persica_gdr_reftransV1_0001765</v>
      </c>
      <c r="B1859" s="3">
        <v>2082</v>
      </c>
      <c r="C1859" s="1" t="str">
        <f>HYPERLINK("http://www.uniprot.org/uniprot/SIPL2_ARATH","SIPL2_ARATH")</f>
        <v>SIPL2_ARATH</v>
      </c>
      <c r="D1859" t="s">
        <v>1838</v>
      </c>
      <c r="E1859" s="3" t="s">
        <v>3</v>
      </c>
      <c r="F1859" s="4">
        <v>0</v>
      </c>
      <c r="G1859" s="3">
        <v>2212</v>
      </c>
      <c r="H1859" s="3">
        <v>79</v>
      </c>
      <c r="I1859" s="3">
        <v>517</v>
      </c>
      <c r="J1859" s="3">
        <v>231</v>
      </c>
      <c r="K1859" s="3">
        <v>1778</v>
      </c>
      <c r="L1859" s="3">
        <v>24</v>
      </c>
      <c r="M1859" s="3">
        <v>539</v>
      </c>
    </row>
    <row r="1860" spans="1:13" x14ac:dyDescent="0.25">
      <c r="A1860" s="1" t="str">
        <f>HYPERLINK("http://www.rosaceae.org/Prunus/Prunus_persica/p.persica_gdr_reftransV1_0001815","p.persica_gdr_reftransV1_0001815")</f>
        <v>p.persica_gdr_reftransV1_0001815</v>
      </c>
      <c r="B1860" s="3">
        <v>1620</v>
      </c>
      <c r="C1860" s="1" t="str">
        <f>HYPERLINK("http://www.uniprot.org/uniprot/PHF1_ARATH","PHF1_ARATH")</f>
        <v>PHF1_ARATH</v>
      </c>
      <c r="D1860" t="s">
        <v>1839</v>
      </c>
      <c r="E1860" s="3" t="s">
        <v>3</v>
      </c>
      <c r="F1860" s="4">
        <v>3.0199999999999997E-160</v>
      </c>
      <c r="G1860" s="3">
        <v>1207</v>
      </c>
      <c r="H1860" s="3">
        <v>63</v>
      </c>
      <c r="I1860" s="3">
        <v>390</v>
      </c>
      <c r="J1860" s="3">
        <v>388</v>
      </c>
      <c r="K1860" s="3">
        <v>1554</v>
      </c>
      <c r="L1860" s="3">
        <v>6</v>
      </c>
      <c r="M1860" s="3">
        <v>394</v>
      </c>
    </row>
    <row r="1861" spans="1:13" x14ac:dyDescent="0.25">
      <c r="A1861" s="1" t="str">
        <f>HYPERLINK("http://www.rosaceae.org/Prunus/Prunus_persica/p.persica_gdr_reftransV1_0001865","p.persica_gdr_reftransV1_0001865")</f>
        <v>p.persica_gdr_reftransV1_0001865</v>
      </c>
      <c r="B1861" s="3">
        <v>1573</v>
      </c>
      <c r="C1861" s="1" t="str">
        <f>HYPERLINK("http://www.uniprot.org/uniprot/PTI5_SOLLC","PTI5_SOLLC")</f>
        <v>PTI5_SOLLC</v>
      </c>
      <c r="D1861" t="s">
        <v>1840</v>
      </c>
      <c r="E1861" s="3" t="s">
        <v>64</v>
      </c>
      <c r="F1861" s="4">
        <v>2.3399999999999999E-43</v>
      </c>
      <c r="G1861" s="3">
        <v>395</v>
      </c>
      <c r="H1861" s="3">
        <v>75</v>
      </c>
      <c r="I1861" s="3">
        <v>118</v>
      </c>
      <c r="J1861" s="3">
        <v>890</v>
      </c>
      <c r="K1861" s="3">
        <v>1243</v>
      </c>
      <c r="L1861" s="3">
        <v>6</v>
      </c>
      <c r="M1861" s="3">
        <v>122</v>
      </c>
    </row>
    <row r="1862" spans="1:13" x14ac:dyDescent="0.25">
      <c r="A1862" s="1" t="str">
        <f>HYPERLINK("http://www.rosaceae.org/Prunus/Prunus_persica/p.persica_gdr_reftransV1_0002015","p.persica_gdr_reftransV1_0002015")</f>
        <v>p.persica_gdr_reftransV1_0002015</v>
      </c>
      <c r="B1862" s="3">
        <v>602</v>
      </c>
      <c r="C1862" s="1" t="str">
        <f>HYPERLINK("http://www.uniprot.org/uniprot/TCP9_ARATH","TCP9_ARATH")</f>
        <v>TCP9_ARATH</v>
      </c>
      <c r="D1862" t="s">
        <v>1841</v>
      </c>
      <c r="E1862" s="3" t="s">
        <v>3</v>
      </c>
      <c r="F1862" s="4">
        <v>2.0900000000000002E-12</v>
      </c>
      <c r="G1862" s="3">
        <v>165</v>
      </c>
      <c r="H1862" s="3">
        <v>91</v>
      </c>
      <c r="I1862" s="3">
        <v>32</v>
      </c>
      <c r="J1862" s="3">
        <v>1</v>
      </c>
      <c r="K1862" s="3">
        <v>96</v>
      </c>
      <c r="L1862" s="3">
        <v>72</v>
      </c>
      <c r="M1862" s="3">
        <v>103</v>
      </c>
    </row>
    <row r="1863" spans="1:13" x14ac:dyDescent="0.25">
      <c r="A1863" s="1" t="str">
        <f>HYPERLINK("http://www.rosaceae.org/Prunus/Prunus_persica/p.persica_gdr_reftransV1_0002065","p.persica_gdr_reftransV1_0002065")</f>
        <v>p.persica_gdr_reftransV1_0002065</v>
      </c>
      <c r="B1863" s="3">
        <v>1925</v>
      </c>
      <c r="C1863" s="1" t="str">
        <f>HYPERLINK("http://www.uniprot.org/uniprot/DAR2_ARATH","DAR2_ARATH")</f>
        <v>DAR2_ARATH</v>
      </c>
      <c r="D1863" t="s">
        <v>1842</v>
      </c>
      <c r="E1863" s="3" t="s">
        <v>3</v>
      </c>
      <c r="F1863" s="4">
        <v>0</v>
      </c>
      <c r="G1863" s="3">
        <v>1752</v>
      </c>
      <c r="H1863" s="3">
        <v>69</v>
      </c>
      <c r="I1863" s="3">
        <v>514</v>
      </c>
      <c r="J1863" s="3">
        <v>140</v>
      </c>
      <c r="K1863" s="3">
        <v>1657</v>
      </c>
      <c r="L1863" s="3">
        <v>21</v>
      </c>
      <c r="M1863" s="3">
        <v>528</v>
      </c>
    </row>
    <row r="1864" spans="1:13" x14ac:dyDescent="0.25">
      <c r="A1864" s="1" t="str">
        <f>HYPERLINK("http://www.rosaceae.org/Prunus/Prunus_persica/p.persica_gdr_reftransV1_0002165","p.persica_gdr_reftransV1_0002165")</f>
        <v>p.persica_gdr_reftransV1_0002165</v>
      </c>
      <c r="B1864" s="3">
        <v>1988</v>
      </c>
      <c r="C1864" s="1" t="str">
        <f>HYPERLINK("http://www.uniprot.org/uniprot/AMO1_ARTS1","AMO1_ARTS1")</f>
        <v>AMO1_ARTS1</v>
      </c>
      <c r="D1864" t="s">
        <v>1843</v>
      </c>
      <c r="E1864" s="3" t="s">
        <v>1844</v>
      </c>
      <c r="F1864" s="4">
        <v>1.1800000000000001E-162</v>
      </c>
      <c r="G1864" s="3">
        <v>1258</v>
      </c>
      <c r="H1864" s="3">
        <v>46</v>
      </c>
      <c r="I1864" s="3">
        <v>559</v>
      </c>
      <c r="J1864" s="3">
        <v>4</v>
      </c>
      <c r="K1864" s="3">
        <v>1677</v>
      </c>
      <c r="L1864" s="3">
        <v>100</v>
      </c>
      <c r="M1864" s="3">
        <v>642</v>
      </c>
    </row>
    <row r="1865" spans="1:13" x14ac:dyDescent="0.25">
      <c r="A1865" s="1" t="str">
        <f>HYPERLINK("http://www.rosaceae.org/Prunus/Prunus_persica/p.persica_gdr_reftransV1_0002215","p.persica_gdr_reftransV1_0002215")</f>
        <v>p.persica_gdr_reftransV1_0002215</v>
      </c>
      <c r="B1865" s="3">
        <v>402</v>
      </c>
      <c r="C1865" s="1" t="str">
        <f>HYPERLINK("http://www.uniprot.org/uniprot/MATE4_ARATH","MATE4_ARATH")</f>
        <v>MATE4_ARATH</v>
      </c>
      <c r="D1865" t="s">
        <v>1845</v>
      </c>
      <c r="E1865" s="3" t="s">
        <v>3</v>
      </c>
      <c r="F1865" s="4">
        <v>9.9099999999999996E-57</v>
      </c>
      <c r="G1865" s="3">
        <v>484</v>
      </c>
      <c r="H1865" s="3">
        <v>68</v>
      </c>
      <c r="I1865" s="3">
        <v>133</v>
      </c>
      <c r="J1865" s="3">
        <v>3</v>
      </c>
      <c r="K1865" s="3">
        <v>401</v>
      </c>
      <c r="L1865" s="3">
        <v>324</v>
      </c>
      <c r="M1865" s="3">
        <v>456</v>
      </c>
    </row>
    <row r="1866" spans="1:13" x14ac:dyDescent="0.25">
      <c r="A1866" s="1" t="str">
        <f>HYPERLINK("http://www.rosaceae.org/Prunus/Prunus_persica/p.persica_gdr_reftransV1_0002315","p.persica_gdr_reftransV1_0002315")</f>
        <v>p.persica_gdr_reftransV1_0002315</v>
      </c>
      <c r="B1866" s="3">
        <v>2369</v>
      </c>
      <c r="C1866" s="1" t="str">
        <f>HYPERLINK("http://www.uniprot.org/uniprot/ORP1C_ARATH","ORP1C_ARATH")</f>
        <v>ORP1C_ARATH</v>
      </c>
      <c r="D1866" t="s">
        <v>1846</v>
      </c>
      <c r="E1866" s="3" t="s">
        <v>3</v>
      </c>
      <c r="F1866" s="4">
        <v>0</v>
      </c>
      <c r="G1866" s="3">
        <v>2936</v>
      </c>
      <c r="H1866" s="3">
        <v>81</v>
      </c>
      <c r="I1866" s="3">
        <v>729</v>
      </c>
      <c r="J1866" s="3">
        <v>176</v>
      </c>
      <c r="K1866" s="3">
        <v>2353</v>
      </c>
      <c r="L1866" s="3">
        <v>82</v>
      </c>
      <c r="M1866" s="3">
        <v>806</v>
      </c>
    </row>
    <row r="1867" spans="1:13" x14ac:dyDescent="0.25">
      <c r="A1867" s="1" t="str">
        <f>HYPERLINK("http://www.rosaceae.org/Prunus/Prunus_persica/p.persica_gdr_reftransV1_0002465","p.persica_gdr_reftransV1_0002465")</f>
        <v>p.persica_gdr_reftransV1_0002465</v>
      </c>
      <c r="B1867" s="3">
        <v>3626</v>
      </c>
      <c r="C1867" s="1" t="str">
        <f>HYPERLINK("http://www.uniprot.org/uniprot/U202A_ARATH","U202A_ARATH")</f>
        <v>U202A_ARATH</v>
      </c>
      <c r="D1867" t="s">
        <v>1847</v>
      </c>
      <c r="E1867" s="3" t="s">
        <v>3</v>
      </c>
      <c r="F1867" s="4">
        <v>0</v>
      </c>
      <c r="G1867" s="3">
        <v>2180</v>
      </c>
      <c r="H1867" s="3">
        <v>67</v>
      </c>
      <c r="I1867" s="3">
        <v>681</v>
      </c>
      <c r="J1867" s="3">
        <v>173</v>
      </c>
      <c r="K1867" s="3">
        <v>2143</v>
      </c>
      <c r="L1867" s="3">
        <v>352</v>
      </c>
      <c r="M1867" s="3">
        <v>1027</v>
      </c>
    </row>
    <row r="1868" spans="1:13" x14ac:dyDescent="0.25">
      <c r="A1868" s="1" t="str">
        <f>HYPERLINK("http://www.rosaceae.org/Prunus/Prunus_persica/p.persica_gdr_reftransV1_0002565","p.persica_gdr_reftransV1_0002565")</f>
        <v>p.persica_gdr_reftransV1_0002565</v>
      </c>
      <c r="B1868" s="3">
        <v>431</v>
      </c>
      <c r="C1868" s="1" t="str">
        <f>HYPERLINK("http://www.uniprot.org/uniprot/SSL6_ARATH","SSL6_ARATH")</f>
        <v>SSL6_ARATH</v>
      </c>
      <c r="D1868" t="s">
        <v>1848</v>
      </c>
      <c r="E1868" s="3" t="s">
        <v>3</v>
      </c>
      <c r="F1868" s="4">
        <v>4.0000000000000003E-18</v>
      </c>
      <c r="G1868" s="3">
        <v>204</v>
      </c>
      <c r="H1868" s="3">
        <v>50</v>
      </c>
      <c r="I1868" s="3">
        <v>80</v>
      </c>
      <c r="J1868" s="3">
        <v>1</v>
      </c>
      <c r="K1868" s="3">
        <v>237</v>
      </c>
      <c r="L1868" s="3">
        <v>9</v>
      </c>
      <c r="M1868" s="3">
        <v>88</v>
      </c>
    </row>
    <row r="1869" spans="1:13" x14ac:dyDescent="0.25">
      <c r="A1869" s="1" t="str">
        <f>HYPERLINK("http://www.rosaceae.org/Prunus/Prunus_persica/p.persica_gdr_reftransV1_0002665","p.persica_gdr_reftransV1_0002665")</f>
        <v>p.persica_gdr_reftransV1_0002665</v>
      </c>
      <c r="B1869" s="3">
        <v>994</v>
      </c>
      <c r="C1869" s="1" t="str">
        <f>HYPERLINK("http://www.uniprot.org/uniprot/SETD6_XENLA","SETD6_XENLA")</f>
        <v>SETD6_XENLA</v>
      </c>
      <c r="D1869" t="s">
        <v>1849</v>
      </c>
      <c r="E1869" s="3" t="s">
        <v>475</v>
      </c>
      <c r="F1869" s="4">
        <v>4.2200000000000001E-8</v>
      </c>
      <c r="G1869" s="3">
        <v>139</v>
      </c>
      <c r="H1869" s="3">
        <v>37</v>
      </c>
      <c r="I1869" s="3">
        <v>75</v>
      </c>
      <c r="J1869" s="3">
        <v>59</v>
      </c>
      <c r="K1869" s="3">
        <v>283</v>
      </c>
      <c r="L1869" s="3">
        <v>247</v>
      </c>
      <c r="M1869" s="3">
        <v>321</v>
      </c>
    </row>
    <row r="1870" spans="1:13" x14ac:dyDescent="0.25">
      <c r="A1870" s="1" t="str">
        <f>HYPERLINK("http://www.rosaceae.org/Prunus/Prunus_persica/p.persica_gdr_reftransV1_0002815","p.persica_gdr_reftransV1_0002815")</f>
        <v>p.persica_gdr_reftransV1_0002815</v>
      </c>
      <c r="B1870" s="3">
        <v>1913</v>
      </c>
      <c r="C1870" s="1" t="str">
        <f>HYPERLINK("http://www.uniprot.org/uniprot/C94C1_ARATH","C94C1_ARATH")</f>
        <v>C94C1_ARATH</v>
      </c>
      <c r="D1870" t="s">
        <v>1850</v>
      </c>
      <c r="E1870" s="3" t="s">
        <v>3</v>
      </c>
      <c r="F1870" s="4">
        <v>0</v>
      </c>
      <c r="G1870" s="3">
        <v>1636</v>
      </c>
      <c r="H1870" s="3">
        <v>65</v>
      </c>
      <c r="I1870" s="3">
        <v>468</v>
      </c>
      <c r="J1870" s="3">
        <v>164</v>
      </c>
      <c r="K1870" s="3">
        <v>1552</v>
      </c>
      <c r="L1870" s="3">
        <v>31</v>
      </c>
      <c r="M1870" s="3">
        <v>494</v>
      </c>
    </row>
    <row r="1871" spans="1:13" x14ac:dyDescent="0.25">
      <c r="A1871" s="1" t="str">
        <f>HYPERLINK("http://www.rosaceae.org/Prunus/Prunus_persica/p.persica_gdr_reftransV1_0002915","p.persica_gdr_reftransV1_0002915")</f>
        <v>p.persica_gdr_reftransV1_0002915</v>
      </c>
      <c r="B1871" s="3">
        <v>3421</v>
      </c>
      <c r="C1871" s="1" t="str">
        <f>HYPERLINK("http://www.uniprot.org/uniprot/SCP45_ARATH","SCP45_ARATH")</f>
        <v>SCP45_ARATH</v>
      </c>
      <c r="D1871" t="s">
        <v>1851</v>
      </c>
      <c r="E1871" s="3" t="s">
        <v>3</v>
      </c>
      <c r="F1871" s="4">
        <v>0</v>
      </c>
      <c r="G1871" s="3">
        <v>1868</v>
      </c>
      <c r="H1871" s="3">
        <v>79</v>
      </c>
      <c r="I1871" s="3">
        <v>435</v>
      </c>
      <c r="J1871" s="3">
        <v>376</v>
      </c>
      <c r="K1871" s="3">
        <v>1680</v>
      </c>
      <c r="L1871" s="3">
        <v>28</v>
      </c>
      <c r="M1871" s="3">
        <v>461</v>
      </c>
    </row>
    <row r="1872" spans="1:13" x14ac:dyDescent="0.25">
      <c r="A1872" s="1" t="str">
        <f>HYPERLINK("http://www.rosaceae.org/Prunus/Prunus_persica/p.persica_gdr_reftransV1_0003015","p.persica_gdr_reftransV1_0003015")</f>
        <v>p.persica_gdr_reftransV1_0003015</v>
      </c>
      <c r="B1872" s="3">
        <v>1094</v>
      </c>
      <c r="C1872" s="1" t="str">
        <f>HYPERLINK("http://www.uniprot.org/uniprot/NFYB6_ARATH","NFYB6_ARATH")</f>
        <v>NFYB6_ARATH</v>
      </c>
      <c r="D1872" t="s">
        <v>1852</v>
      </c>
      <c r="E1872" s="3" t="s">
        <v>3</v>
      </c>
      <c r="F1872" s="4">
        <v>1.1600000000000001E-56</v>
      </c>
      <c r="G1872" s="3">
        <v>484</v>
      </c>
      <c r="H1872" s="3">
        <v>96</v>
      </c>
      <c r="I1872" s="3">
        <v>91</v>
      </c>
      <c r="J1872" s="3">
        <v>509</v>
      </c>
      <c r="K1872" s="3">
        <v>781</v>
      </c>
      <c r="L1872" s="3">
        <v>53</v>
      </c>
      <c r="M1872" s="3">
        <v>143</v>
      </c>
    </row>
    <row r="1873" spans="1:13" x14ac:dyDescent="0.25">
      <c r="A1873" s="1" t="str">
        <f>HYPERLINK("http://www.rosaceae.org/Prunus/Prunus_persica/p.persica_gdr_reftransV1_0003065","p.persica_gdr_reftransV1_0003065")</f>
        <v>p.persica_gdr_reftransV1_0003065</v>
      </c>
      <c r="B1873" s="3">
        <v>1183</v>
      </c>
      <c r="C1873" s="1" t="str">
        <f>HYPERLINK("http://www.uniprot.org/uniprot/PSA6_TOBAC","PSA6_TOBAC")</f>
        <v>PSA6_TOBAC</v>
      </c>
      <c r="D1873" t="s">
        <v>1853</v>
      </c>
      <c r="E1873" s="3" t="s">
        <v>200</v>
      </c>
      <c r="F1873" s="4">
        <v>1.3300000000000001E-169</v>
      </c>
      <c r="G1873" s="3">
        <v>1238</v>
      </c>
      <c r="H1873" s="3">
        <v>92</v>
      </c>
      <c r="I1873" s="3">
        <v>246</v>
      </c>
      <c r="J1873" s="3">
        <v>139</v>
      </c>
      <c r="K1873" s="3">
        <v>876</v>
      </c>
      <c r="L1873" s="3">
        <v>1</v>
      </c>
      <c r="M1873" s="3">
        <v>246</v>
      </c>
    </row>
    <row r="1874" spans="1:13" x14ac:dyDescent="0.25">
      <c r="A1874" s="1" t="str">
        <f>HYPERLINK("http://www.rosaceae.org/Prunus/Prunus_persica/p.persica_gdr_reftransV1_0003165","p.persica_gdr_reftransV1_0003165")</f>
        <v>p.persica_gdr_reftransV1_0003165</v>
      </c>
      <c r="B1874" s="3">
        <v>3391</v>
      </c>
      <c r="C1874" s="1" t="str">
        <f>HYPERLINK("http://www.uniprot.org/uniprot/BGAL3_ARATH","BGAL3_ARATH")</f>
        <v>BGAL3_ARATH</v>
      </c>
      <c r="D1874" t="s">
        <v>1034</v>
      </c>
      <c r="E1874" s="3" t="s">
        <v>3</v>
      </c>
      <c r="F1874" s="4">
        <v>0</v>
      </c>
      <c r="G1874" s="3">
        <v>3818</v>
      </c>
      <c r="H1874" s="3">
        <v>83</v>
      </c>
      <c r="I1874" s="3">
        <v>823</v>
      </c>
      <c r="J1874" s="3">
        <v>536</v>
      </c>
      <c r="K1874" s="3">
        <v>3001</v>
      </c>
      <c r="L1874" s="3">
        <v>30</v>
      </c>
      <c r="M1874" s="3">
        <v>852</v>
      </c>
    </row>
    <row r="1875" spans="1:13" x14ac:dyDescent="0.25">
      <c r="A1875" s="1" t="str">
        <f>HYPERLINK("http://www.rosaceae.org/Prunus/Prunus_persica/p.persica_gdr_reftransV1_0003215","p.persica_gdr_reftransV1_0003215")</f>
        <v>p.persica_gdr_reftransV1_0003215</v>
      </c>
      <c r="B1875" s="3">
        <v>1540</v>
      </c>
      <c r="C1875" s="1" t="str">
        <f>HYPERLINK("http://www.uniprot.org/uniprot/WAAK_SALTY","WAAK_SALTY")</f>
        <v>WAAK_SALTY</v>
      </c>
      <c r="D1875" t="s">
        <v>1854</v>
      </c>
      <c r="E1875" s="3" t="s">
        <v>112</v>
      </c>
      <c r="F1875" s="4">
        <v>3.6299999999999999E-10</v>
      </c>
      <c r="G1875" s="3">
        <v>158</v>
      </c>
      <c r="H1875" s="3">
        <v>26</v>
      </c>
      <c r="I1875" s="3">
        <v>182</v>
      </c>
      <c r="J1875" s="3">
        <v>206</v>
      </c>
      <c r="K1875" s="3">
        <v>703</v>
      </c>
      <c r="L1875" s="3">
        <v>147</v>
      </c>
      <c r="M1875" s="3">
        <v>323</v>
      </c>
    </row>
    <row r="1876" spans="1:13" x14ac:dyDescent="0.25">
      <c r="A1876" s="1" t="str">
        <f>HYPERLINK("http://www.rosaceae.org/Prunus/Prunus_persica/p.persica_gdr_reftransV1_0003315","p.persica_gdr_reftransV1_0003315")</f>
        <v>p.persica_gdr_reftransV1_0003315</v>
      </c>
      <c r="B1876" s="3">
        <v>433</v>
      </c>
      <c r="C1876" s="1" t="str">
        <f>HYPERLINK("http://www.uniprot.org/uniprot/SM3L1_ARATH","SM3L1_ARATH")</f>
        <v>SM3L1_ARATH</v>
      </c>
      <c r="D1876" t="s">
        <v>1855</v>
      </c>
      <c r="E1876" s="3" t="s">
        <v>3</v>
      </c>
      <c r="F1876" s="4">
        <v>7.0999999999999998E-19</v>
      </c>
      <c r="G1876" s="3">
        <v>215</v>
      </c>
      <c r="H1876" s="3">
        <v>50</v>
      </c>
      <c r="I1876" s="3">
        <v>108</v>
      </c>
      <c r="J1876" s="3">
        <v>120</v>
      </c>
      <c r="K1876" s="3">
        <v>431</v>
      </c>
      <c r="L1876" s="3">
        <v>342</v>
      </c>
      <c r="M1876" s="3">
        <v>438</v>
      </c>
    </row>
    <row r="1877" spans="1:13" x14ac:dyDescent="0.25">
      <c r="A1877" s="1" t="str">
        <f>HYPERLINK("http://www.rosaceae.org/Prunus/Prunus_persica/p.persica_gdr_reftransV1_0003465","p.persica_gdr_reftransV1_0003465")</f>
        <v>p.persica_gdr_reftransV1_0003465</v>
      </c>
      <c r="B1877" s="3">
        <v>662</v>
      </c>
      <c r="C1877" s="1" t="str">
        <f>HYPERLINK("http://www.uniprot.org/uniprot/HS154_ARATH","HS154_ARATH")</f>
        <v>HS154_ARATH</v>
      </c>
      <c r="D1877" t="s">
        <v>1856</v>
      </c>
      <c r="E1877" s="3" t="s">
        <v>3</v>
      </c>
      <c r="F1877" s="4">
        <v>6.2100000000000003E-41</v>
      </c>
      <c r="G1877" s="3">
        <v>358</v>
      </c>
      <c r="H1877" s="3">
        <v>56</v>
      </c>
      <c r="I1877" s="3">
        <v>128</v>
      </c>
      <c r="J1877" s="3">
        <v>172</v>
      </c>
      <c r="K1877" s="3">
        <v>549</v>
      </c>
      <c r="L1877" s="3">
        <v>10</v>
      </c>
      <c r="M1877" s="3">
        <v>134</v>
      </c>
    </row>
    <row r="1878" spans="1:13" x14ac:dyDescent="0.25">
      <c r="A1878" s="1" t="str">
        <f>HYPERLINK("http://www.rosaceae.org/Prunus/Prunus_persica/p.persica_gdr_reftransV1_0003515","p.persica_gdr_reftransV1_0003515")</f>
        <v>p.persica_gdr_reftransV1_0003515</v>
      </c>
      <c r="B1878" s="3">
        <v>1148</v>
      </c>
      <c r="C1878" s="1" t="str">
        <f>HYPERLINK("http://www.uniprot.org/uniprot/CAHC_SPIOL","CAHC_SPIOL")</f>
        <v>CAHC_SPIOL</v>
      </c>
      <c r="D1878" t="s">
        <v>1857</v>
      </c>
      <c r="E1878" s="3" t="s">
        <v>131</v>
      </c>
      <c r="F1878" s="4">
        <v>8.6800000000000001E-97</v>
      </c>
      <c r="G1878" s="3">
        <v>762</v>
      </c>
      <c r="H1878" s="3">
        <v>60</v>
      </c>
      <c r="I1878" s="3">
        <v>246</v>
      </c>
      <c r="J1878" s="3">
        <v>101</v>
      </c>
      <c r="K1878" s="3">
        <v>829</v>
      </c>
      <c r="L1878" s="3">
        <v>66</v>
      </c>
      <c r="M1878" s="3">
        <v>310</v>
      </c>
    </row>
    <row r="1879" spans="1:13" x14ac:dyDescent="0.25">
      <c r="A1879" s="1" t="str">
        <f>HYPERLINK("http://www.rosaceae.org/Prunus/Prunus_persica/p.persica_gdr_reftransV1_0003565","p.persica_gdr_reftransV1_0003565")</f>
        <v>p.persica_gdr_reftransV1_0003565</v>
      </c>
      <c r="B1879" s="3">
        <v>583</v>
      </c>
      <c r="C1879" s="1" t="str">
        <f>HYPERLINK("http://www.uniprot.org/uniprot/R13L1_ARATH","R13L1_ARATH")</f>
        <v>R13L1_ARATH</v>
      </c>
      <c r="D1879" t="s">
        <v>100</v>
      </c>
      <c r="E1879" s="3" t="s">
        <v>3</v>
      </c>
      <c r="F1879" s="4">
        <v>9.1500000000000001E-38</v>
      </c>
      <c r="G1879" s="3">
        <v>362</v>
      </c>
      <c r="H1879" s="3">
        <v>43</v>
      </c>
      <c r="I1879" s="3">
        <v>196</v>
      </c>
      <c r="J1879" s="3">
        <v>15</v>
      </c>
      <c r="K1879" s="3">
        <v>569</v>
      </c>
      <c r="L1879" s="3">
        <v>671</v>
      </c>
      <c r="M1879" s="3">
        <v>866</v>
      </c>
    </row>
    <row r="1880" spans="1:13" x14ac:dyDescent="0.25">
      <c r="A1880" s="1" t="str">
        <f>HYPERLINK("http://www.rosaceae.org/Prunus/Prunus_persica/p.persica_gdr_reftransV1_0003615","p.persica_gdr_reftransV1_0003615")</f>
        <v>p.persica_gdr_reftransV1_0003615</v>
      </c>
      <c r="B1880" s="3">
        <v>1287</v>
      </c>
      <c r="C1880" s="1" t="str">
        <f>HYPERLINK("http://www.uniprot.org/uniprot/BCAT7_ARATH","BCAT7_ARATH")</f>
        <v>BCAT7_ARATH</v>
      </c>
      <c r="D1880" t="s">
        <v>1858</v>
      </c>
      <c r="E1880" s="3" t="s">
        <v>3</v>
      </c>
      <c r="F1880" s="4">
        <v>1.5299999999999999E-165</v>
      </c>
      <c r="G1880" s="3">
        <v>1228</v>
      </c>
      <c r="H1880" s="3">
        <v>63</v>
      </c>
      <c r="I1880" s="3">
        <v>355</v>
      </c>
      <c r="J1880" s="3">
        <v>148</v>
      </c>
      <c r="K1880" s="3">
        <v>1212</v>
      </c>
      <c r="L1880" s="3">
        <v>2</v>
      </c>
      <c r="M1880" s="3">
        <v>355</v>
      </c>
    </row>
    <row r="1881" spans="1:13" x14ac:dyDescent="0.25">
      <c r="A1881" s="1" t="str">
        <f>HYPERLINK("http://www.rosaceae.org/Prunus/Prunus_persica/p.persica_gdr_reftransV1_0003815","p.persica_gdr_reftransV1_0003815")</f>
        <v>p.persica_gdr_reftransV1_0003815</v>
      </c>
      <c r="B1881" s="3">
        <v>3371</v>
      </c>
      <c r="C1881" s="1" t="str">
        <f>HYPERLINK("http://www.uniprot.org/uniprot/SYLM_ARATH","SYLM_ARATH")</f>
        <v>SYLM_ARATH</v>
      </c>
      <c r="D1881" t="s">
        <v>1859</v>
      </c>
      <c r="E1881" s="3" t="s">
        <v>3</v>
      </c>
      <c r="F1881" s="4">
        <v>0</v>
      </c>
      <c r="G1881" s="3">
        <v>2540</v>
      </c>
      <c r="H1881" s="3">
        <v>76</v>
      </c>
      <c r="I1881" s="3">
        <v>647</v>
      </c>
      <c r="J1881" s="3">
        <v>233</v>
      </c>
      <c r="K1881" s="3">
        <v>2161</v>
      </c>
      <c r="L1881" s="3">
        <v>53</v>
      </c>
      <c r="M1881" s="3">
        <v>672</v>
      </c>
    </row>
    <row r="1882" spans="1:13" x14ac:dyDescent="0.25">
      <c r="A1882" s="1" t="str">
        <f>HYPERLINK("http://www.rosaceae.org/Prunus/Prunus_persica/p.persica_gdr_reftransV1_0003865","p.persica_gdr_reftransV1_0003865")</f>
        <v>p.persica_gdr_reftransV1_0003865</v>
      </c>
      <c r="B1882" s="3">
        <v>1618</v>
      </c>
      <c r="C1882" s="1" t="str">
        <f>HYPERLINK("http://www.uniprot.org/uniprot/LIP2_ARATH","LIP2_ARATH")</f>
        <v>LIP2_ARATH</v>
      </c>
      <c r="D1882" t="s">
        <v>1860</v>
      </c>
      <c r="E1882" s="3" t="s">
        <v>3</v>
      </c>
      <c r="F1882" s="4">
        <v>9.3300000000000005E-141</v>
      </c>
      <c r="G1882" s="3">
        <v>788</v>
      </c>
      <c r="H1882" s="3">
        <v>63</v>
      </c>
      <c r="I1882" s="3">
        <v>219</v>
      </c>
      <c r="J1882" s="3">
        <v>238</v>
      </c>
      <c r="K1882" s="3">
        <v>894</v>
      </c>
      <c r="L1882" s="3">
        <v>192</v>
      </c>
      <c r="M1882" s="3">
        <v>410</v>
      </c>
    </row>
    <row r="1883" spans="1:13" x14ac:dyDescent="0.25">
      <c r="A1883" s="1" t="str">
        <f>HYPERLINK("http://www.rosaceae.org/Prunus/Prunus_persica/p.persica_gdr_reftransV1_0003915","p.persica_gdr_reftransV1_0003915")</f>
        <v>p.persica_gdr_reftransV1_0003915</v>
      </c>
      <c r="B1883" s="3">
        <v>1784</v>
      </c>
      <c r="C1883" s="1" t="str">
        <f>HYPERLINK("http://www.uniprot.org/uniprot/DHQS_ACTCH","DHQS_ACTCH")</f>
        <v>DHQS_ACTCH</v>
      </c>
      <c r="D1883" t="s">
        <v>1861</v>
      </c>
      <c r="E1883" s="3" t="s">
        <v>1862</v>
      </c>
      <c r="F1883" s="4">
        <v>0</v>
      </c>
      <c r="G1883" s="3">
        <v>1766</v>
      </c>
      <c r="H1883" s="3">
        <v>87</v>
      </c>
      <c r="I1883" s="3">
        <v>392</v>
      </c>
      <c r="J1883" s="3">
        <v>239</v>
      </c>
      <c r="K1883" s="3">
        <v>1414</v>
      </c>
      <c r="L1883" s="3">
        <v>54</v>
      </c>
      <c r="M1883" s="3">
        <v>445</v>
      </c>
    </row>
    <row r="1884" spans="1:13" x14ac:dyDescent="0.25">
      <c r="A1884" s="1" t="str">
        <f>HYPERLINK("http://www.rosaceae.org/Prunus/Prunus_persica/p.persica_gdr_reftransV1_0004065","p.persica_gdr_reftransV1_0004065")</f>
        <v>p.persica_gdr_reftransV1_0004065</v>
      </c>
      <c r="B1884" s="3">
        <v>1456</v>
      </c>
      <c r="C1884" s="1" t="str">
        <f>HYPERLINK("http://www.uniprot.org/uniprot/BURP3_ORYSJ","BURP3_ORYSJ")</f>
        <v>BURP3_ORYSJ</v>
      </c>
      <c r="D1884" t="s">
        <v>1863</v>
      </c>
      <c r="E1884" s="3" t="s">
        <v>38</v>
      </c>
      <c r="F1884" s="4">
        <v>6.4800000000000004E-35</v>
      </c>
      <c r="G1884" s="3">
        <v>350</v>
      </c>
      <c r="H1884" s="3">
        <v>50</v>
      </c>
      <c r="I1884" s="3">
        <v>151</v>
      </c>
      <c r="J1884" s="3">
        <v>819</v>
      </c>
      <c r="K1884" s="3">
        <v>1268</v>
      </c>
      <c r="L1884" s="3">
        <v>182</v>
      </c>
      <c r="M1884" s="3">
        <v>329</v>
      </c>
    </row>
    <row r="1885" spans="1:13" x14ac:dyDescent="0.25">
      <c r="A1885" s="1" t="str">
        <f>HYPERLINK("http://www.rosaceae.org/Prunus/Prunus_persica/p.persica_gdr_reftransV1_0004115","p.persica_gdr_reftransV1_0004115")</f>
        <v>p.persica_gdr_reftransV1_0004115</v>
      </c>
      <c r="B1885" s="3">
        <v>3268</v>
      </c>
      <c r="C1885" s="1" t="str">
        <f>HYPERLINK("http://www.uniprot.org/uniprot/EDR1_ARATH","EDR1_ARATH")</f>
        <v>EDR1_ARATH</v>
      </c>
      <c r="D1885" t="s">
        <v>1864</v>
      </c>
      <c r="E1885" s="3" t="s">
        <v>3</v>
      </c>
      <c r="F1885" s="4">
        <v>0</v>
      </c>
      <c r="G1885" s="3">
        <v>2615</v>
      </c>
      <c r="H1885" s="3">
        <v>59</v>
      </c>
      <c r="I1885" s="3">
        <v>959</v>
      </c>
      <c r="J1885" s="3">
        <v>348</v>
      </c>
      <c r="K1885" s="3">
        <v>3152</v>
      </c>
      <c r="L1885" s="3">
        <v>1</v>
      </c>
      <c r="M1885" s="3">
        <v>931</v>
      </c>
    </row>
    <row r="1886" spans="1:13" x14ac:dyDescent="0.25">
      <c r="A1886" s="1" t="str">
        <f>HYPERLINK("http://www.rosaceae.org/Prunus/Prunus_persica/p.persica_gdr_reftransV1_0004165","p.persica_gdr_reftransV1_0004165")</f>
        <v>p.persica_gdr_reftransV1_0004165</v>
      </c>
      <c r="B1886" s="3">
        <v>3537</v>
      </c>
      <c r="C1886" s="1" t="str">
        <f>HYPERLINK("http://www.uniprot.org/uniprot/YJNA_SCHPO","YJNA_SCHPO")</f>
        <v>YJNA_SCHPO</v>
      </c>
      <c r="D1886" t="s">
        <v>1865</v>
      </c>
      <c r="E1886" s="3" t="s">
        <v>464</v>
      </c>
      <c r="F1886" s="4">
        <v>1.18E-70</v>
      </c>
      <c r="G1886" s="3">
        <v>625</v>
      </c>
      <c r="H1886" s="3">
        <v>51</v>
      </c>
      <c r="I1886" s="3">
        <v>248</v>
      </c>
      <c r="J1886" s="3">
        <v>2039</v>
      </c>
      <c r="K1886" s="3">
        <v>2776</v>
      </c>
      <c r="L1886" s="3">
        <v>68</v>
      </c>
      <c r="M1886" s="3">
        <v>313</v>
      </c>
    </row>
    <row r="1887" spans="1:13" x14ac:dyDescent="0.25">
      <c r="A1887" s="1" t="str">
        <f>HYPERLINK("http://www.rosaceae.org/Prunus/Prunus_persica/p.persica_gdr_reftransV1_0004265","p.persica_gdr_reftransV1_0004265")</f>
        <v>p.persica_gdr_reftransV1_0004265</v>
      </c>
      <c r="B1887" s="3">
        <v>875</v>
      </c>
      <c r="C1887" s="1" t="str">
        <f>HYPERLINK("http://www.uniprot.org/uniprot/HMG14_ARATH","HMG14_ARATH")</f>
        <v>HMG14_ARATH</v>
      </c>
      <c r="D1887" t="s">
        <v>1866</v>
      </c>
      <c r="E1887" s="3" t="s">
        <v>3</v>
      </c>
      <c r="F1887" s="4">
        <v>2.8799999999999999E-15</v>
      </c>
      <c r="G1887" s="3">
        <v>183</v>
      </c>
      <c r="H1887" s="3">
        <v>76</v>
      </c>
      <c r="I1887" s="3">
        <v>45</v>
      </c>
      <c r="J1887" s="3">
        <v>382</v>
      </c>
      <c r="K1887" s="3">
        <v>516</v>
      </c>
      <c r="L1887" s="3">
        <v>94</v>
      </c>
      <c r="M1887" s="3">
        <v>138</v>
      </c>
    </row>
    <row r="1888" spans="1:13" x14ac:dyDescent="0.25">
      <c r="A1888" s="1" t="str">
        <f>HYPERLINK("http://www.rosaceae.org/Prunus/Prunus_persica/p.persica_gdr_reftransV1_0004315","p.persica_gdr_reftransV1_0004315")</f>
        <v>p.persica_gdr_reftransV1_0004315</v>
      </c>
      <c r="B1888" s="3">
        <v>2589</v>
      </c>
      <c r="C1888" s="1" t="str">
        <f>HYPERLINK("http://www.uniprot.org/uniprot/2A5N_ARATH","2A5N_ARATH")</f>
        <v>2A5N_ARATH</v>
      </c>
      <c r="D1888" t="s">
        <v>1867</v>
      </c>
      <c r="E1888" s="3" t="s">
        <v>3</v>
      </c>
      <c r="F1888" s="4">
        <v>0</v>
      </c>
      <c r="G1888" s="3">
        <v>1785</v>
      </c>
      <c r="H1888" s="3">
        <v>73</v>
      </c>
      <c r="I1888" s="3">
        <v>511</v>
      </c>
      <c r="J1888" s="3">
        <v>371</v>
      </c>
      <c r="K1888" s="3">
        <v>1882</v>
      </c>
      <c r="L1888" s="3">
        <v>1</v>
      </c>
      <c r="M1888" s="3">
        <v>510</v>
      </c>
    </row>
    <row r="1889" spans="1:13" x14ac:dyDescent="0.25">
      <c r="A1889" s="1" t="str">
        <f>HYPERLINK("http://www.rosaceae.org/Prunus/Prunus_persica/p.persica_gdr_reftransV1_0004365","p.persica_gdr_reftransV1_0004365")</f>
        <v>p.persica_gdr_reftransV1_0004365</v>
      </c>
      <c r="B1889" s="3">
        <v>521</v>
      </c>
      <c r="C1889" s="1" t="str">
        <f>HYPERLINK("http://www.uniprot.org/uniprot/Y3037_ARATH","Y3037_ARATH")</f>
        <v>Y3037_ARATH</v>
      </c>
      <c r="D1889" t="s">
        <v>566</v>
      </c>
      <c r="E1889" s="3" t="s">
        <v>3</v>
      </c>
      <c r="F1889" s="4">
        <v>3.2899999999999998E-11</v>
      </c>
      <c r="G1889" s="3">
        <v>157</v>
      </c>
      <c r="H1889" s="3">
        <v>44</v>
      </c>
      <c r="I1889" s="3">
        <v>101</v>
      </c>
      <c r="J1889" s="3">
        <v>1</v>
      </c>
      <c r="K1889" s="3">
        <v>303</v>
      </c>
      <c r="L1889" s="3">
        <v>43</v>
      </c>
      <c r="M1889" s="3">
        <v>130</v>
      </c>
    </row>
    <row r="1890" spans="1:13" x14ac:dyDescent="0.25">
      <c r="A1890" s="1" t="str">
        <f>HYPERLINK("http://www.rosaceae.org/Prunus/Prunus_persica/p.persica_gdr_reftransV1_0004415","p.persica_gdr_reftransV1_0004415")</f>
        <v>p.persica_gdr_reftransV1_0004415</v>
      </c>
      <c r="B1890" s="3">
        <v>868</v>
      </c>
      <c r="C1890" s="1" t="str">
        <f>HYPERLINK("http://www.uniprot.org/uniprot/M3K1_ARATH","M3K1_ARATH")</f>
        <v>M3K1_ARATH</v>
      </c>
      <c r="D1890" t="s">
        <v>1062</v>
      </c>
      <c r="E1890" s="3" t="s">
        <v>3</v>
      </c>
      <c r="F1890" s="4">
        <v>2.6500000000000001E-40</v>
      </c>
      <c r="G1890" s="3">
        <v>383</v>
      </c>
      <c r="H1890" s="3">
        <v>71</v>
      </c>
      <c r="I1890" s="3">
        <v>101</v>
      </c>
      <c r="J1890" s="3">
        <v>569</v>
      </c>
      <c r="K1890" s="3">
        <v>868</v>
      </c>
      <c r="L1890" s="3">
        <v>489</v>
      </c>
      <c r="M1890" s="3">
        <v>589</v>
      </c>
    </row>
    <row r="1891" spans="1:13" x14ac:dyDescent="0.25">
      <c r="A1891" s="1" t="str">
        <f>HYPERLINK("http://www.rosaceae.org/Prunus/Prunus_persica/p.persica_gdr_reftransV1_0004515","p.persica_gdr_reftransV1_0004515")</f>
        <v>p.persica_gdr_reftransV1_0004515</v>
      </c>
      <c r="B1891" s="3">
        <v>1308</v>
      </c>
      <c r="C1891" s="1" t="str">
        <f>HYPERLINK("http://www.uniprot.org/uniprot/ALFL1_ARATH","ALFL1_ARATH")</f>
        <v>ALFL1_ARATH</v>
      </c>
      <c r="D1891" t="s">
        <v>1868</v>
      </c>
      <c r="E1891" s="3" t="s">
        <v>3</v>
      </c>
      <c r="F1891" s="4">
        <v>3.5399999999999998E-101</v>
      </c>
      <c r="G1891" s="3">
        <v>789</v>
      </c>
      <c r="H1891" s="3">
        <v>78</v>
      </c>
      <c r="I1891" s="3">
        <v>237</v>
      </c>
      <c r="J1891" s="3">
        <v>323</v>
      </c>
      <c r="K1891" s="3">
        <v>1030</v>
      </c>
      <c r="L1891" s="3">
        <v>5</v>
      </c>
      <c r="M1891" s="3">
        <v>241</v>
      </c>
    </row>
    <row r="1892" spans="1:13" x14ac:dyDescent="0.25">
      <c r="A1892" s="1" t="str">
        <f>HYPERLINK("http://www.rosaceae.org/Prunus/Prunus_persica/p.persica_gdr_reftransV1_0004565","p.persica_gdr_reftransV1_0004565")</f>
        <v>p.persica_gdr_reftransV1_0004565</v>
      </c>
      <c r="B1892" s="3">
        <v>987</v>
      </c>
      <c r="C1892" s="1" t="str">
        <f>HYPERLINK("http://www.uniprot.org/uniprot/RRP36_NEMVE","RRP36_NEMVE")</f>
        <v>RRP36_NEMVE</v>
      </c>
      <c r="D1892" t="s">
        <v>1869</v>
      </c>
      <c r="E1892" s="3" t="s">
        <v>1392</v>
      </c>
      <c r="F1892" s="4">
        <v>1.37E-21</v>
      </c>
      <c r="G1892" s="3">
        <v>169</v>
      </c>
      <c r="H1892" s="3">
        <v>54</v>
      </c>
      <c r="I1892" s="3">
        <v>63</v>
      </c>
      <c r="J1892" s="3">
        <v>163</v>
      </c>
      <c r="K1892" s="3">
        <v>351</v>
      </c>
      <c r="L1892" s="3">
        <v>181</v>
      </c>
      <c r="M1892" s="3">
        <v>243</v>
      </c>
    </row>
    <row r="1893" spans="1:13" x14ac:dyDescent="0.25">
      <c r="A1893" s="1" t="str">
        <f>HYPERLINK("http://www.rosaceae.org/Prunus/Prunus_persica/p.persica_gdr_reftransV1_0004615","p.persica_gdr_reftransV1_0004615")</f>
        <v>p.persica_gdr_reftransV1_0004615</v>
      </c>
      <c r="B1893" s="3">
        <v>1709</v>
      </c>
      <c r="C1893" s="1" t="str">
        <f>HYPERLINK("http://www.uniprot.org/uniprot/RTNLQ_ARATH","RTNLQ_ARATH")</f>
        <v>RTNLQ_ARATH</v>
      </c>
      <c r="D1893" t="s">
        <v>1870</v>
      </c>
      <c r="E1893" s="3" t="s">
        <v>3</v>
      </c>
      <c r="F1893" s="4">
        <v>1.8800000000000001E-80</v>
      </c>
      <c r="G1893" s="3">
        <v>678</v>
      </c>
      <c r="H1893" s="3">
        <v>64</v>
      </c>
      <c r="I1893" s="3">
        <v>219</v>
      </c>
      <c r="J1893" s="3">
        <v>741</v>
      </c>
      <c r="K1893" s="3">
        <v>1397</v>
      </c>
      <c r="L1893" s="3">
        <v>158</v>
      </c>
      <c r="M1893" s="3">
        <v>376</v>
      </c>
    </row>
    <row r="1894" spans="1:13" x14ac:dyDescent="0.25">
      <c r="A1894" s="1" t="str">
        <f>HYPERLINK("http://www.rosaceae.org/Prunus/Prunus_persica/p.persica_gdr_reftransV1_0004665","p.persica_gdr_reftransV1_0004665")</f>
        <v>p.persica_gdr_reftransV1_0004665</v>
      </c>
      <c r="B1894" s="3">
        <v>1494</v>
      </c>
      <c r="C1894" s="1" t="str">
        <f>HYPERLINK("http://www.uniprot.org/uniprot/PFKA2_ARATH","PFKA2_ARATH")</f>
        <v>PFKA2_ARATH</v>
      </c>
      <c r="D1894" t="s">
        <v>1871</v>
      </c>
      <c r="E1894" s="3" t="s">
        <v>3</v>
      </c>
      <c r="F1894" s="4">
        <v>0</v>
      </c>
      <c r="G1894" s="3">
        <v>1670</v>
      </c>
      <c r="H1894" s="3">
        <v>77</v>
      </c>
      <c r="I1894" s="3">
        <v>402</v>
      </c>
      <c r="J1894" s="3">
        <v>229</v>
      </c>
      <c r="K1894" s="3">
        <v>1434</v>
      </c>
      <c r="L1894" s="3">
        <v>60</v>
      </c>
      <c r="M1894" s="3">
        <v>440</v>
      </c>
    </row>
    <row r="1895" spans="1:13" x14ac:dyDescent="0.25">
      <c r="A1895" s="1" t="str">
        <f>HYPERLINK("http://www.rosaceae.org/Prunus/Prunus_persica/p.persica_gdr_reftransV1_0004965","p.persica_gdr_reftransV1_0004965")</f>
        <v>p.persica_gdr_reftransV1_0004965</v>
      </c>
      <c r="B1895" s="3">
        <v>1996</v>
      </c>
      <c r="C1895" s="1" t="str">
        <f>HYPERLINK("http://www.uniprot.org/uniprot/GRS17_ARATH","GRS17_ARATH")</f>
        <v>GRS17_ARATH</v>
      </c>
      <c r="D1895" t="s">
        <v>1872</v>
      </c>
      <c r="E1895" s="3" t="s">
        <v>3</v>
      </c>
      <c r="F1895" s="4">
        <v>0</v>
      </c>
      <c r="G1895" s="3">
        <v>1839</v>
      </c>
      <c r="H1895" s="3">
        <v>73</v>
      </c>
      <c r="I1895" s="3">
        <v>493</v>
      </c>
      <c r="J1895" s="3">
        <v>194</v>
      </c>
      <c r="K1895" s="3">
        <v>1669</v>
      </c>
      <c r="L1895" s="3">
        <v>1</v>
      </c>
      <c r="M1895" s="3">
        <v>488</v>
      </c>
    </row>
    <row r="1896" spans="1:13" x14ac:dyDescent="0.25">
      <c r="A1896" s="1" t="str">
        <f>HYPERLINK("http://www.rosaceae.org/Prunus/Prunus_persica/p.persica_gdr_reftransV1_0005165","p.persica_gdr_reftransV1_0005165")</f>
        <v>p.persica_gdr_reftransV1_0005165</v>
      </c>
      <c r="B1896" s="3">
        <v>1291</v>
      </c>
      <c r="C1896" s="1" t="str">
        <f>HYPERLINK("http://www.uniprot.org/uniprot/MET22_HUMAN","MET22_HUMAN")</f>
        <v>MET22_HUMAN</v>
      </c>
      <c r="D1896" t="s">
        <v>1873</v>
      </c>
      <c r="E1896" s="3" t="s">
        <v>28</v>
      </c>
      <c r="F1896" s="4">
        <v>1.8499999999999999E-26</v>
      </c>
      <c r="G1896" s="3">
        <v>220</v>
      </c>
      <c r="H1896" s="3">
        <v>35</v>
      </c>
      <c r="I1896" s="3">
        <v>193</v>
      </c>
      <c r="J1896" s="3">
        <v>93</v>
      </c>
      <c r="K1896" s="3">
        <v>644</v>
      </c>
      <c r="L1896" s="3">
        <v>224</v>
      </c>
      <c r="M1896" s="3">
        <v>398</v>
      </c>
    </row>
    <row r="1897" spans="1:13" x14ac:dyDescent="0.25">
      <c r="A1897" s="1" t="str">
        <f>HYPERLINK("http://www.rosaceae.org/Prunus/Prunus_persica/p.persica_gdr_reftransV1_0005215","p.persica_gdr_reftransV1_0005215")</f>
        <v>p.persica_gdr_reftransV1_0005215</v>
      </c>
      <c r="B1897" s="3">
        <v>546</v>
      </c>
      <c r="C1897" s="1" t="str">
        <f>HYPERLINK("http://www.uniprot.org/uniprot/PME58_ARATH","PME58_ARATH")</f>
        <v>PME58_ARATH</v>
      </c>
      <c r="D1897" t="s">
        <v>1874</v>
      </c>
      <c r="E1897" s="3" t="s">
        <v>3</v>
      </c>
      <c r="F1897" s="4">
        <v>2.4099999999999999E-42</v>
      </c>
      <c r="G1897" s="3">
        <v>387</v>
      </c>
      <c r="H1897" s="3">
        <v>55</v>
      </c>
      <c r="I1897" s="3">
        <v>124</v>
      </c>
      <c r="J1897" s="3">
        <v>2</v>
      </c>
      <c r="K1897" s="3">
        <v>373</v>
      </c>
      <c r="L1897" s="3">
        <v>444</v>
      </c>
      <c r="M1897" s="3">
        <v>567</v>
      </c>
    </row>
    <row r="1898" spans="1:13" x14ac:dyDescent="0.25">
      <c r="A1898" s="1" t="str">
        <f>HYPERLINK("http://www.rosaceae.org/Prunus/Prunus_persica/p.persica_gdr_reftransV1_0005265","p.persica_gdr_reftransV1_0005265")</f>
        <v>p.persica_gdr_reftransV1_0005265</v>
      </c>
      <c r="B1898" s="3">
        <v>2877</v>
      </c>
      <c r="C1898" s="1" t="str">
        <f>HYPERLINK("http://www.uniprot.org/uniprot/Y2090_ARATH","Y2090_ARATH")</f>
        <v>Y2090_ARATH</v>
      </c>
      <c r="D1898" t="s">
        <v>1875</v>
      </c>
      <c r="E1898" s="3" t="s">
        <v>3</v>
      </c>
      <c r="F1898" s="4">
        <v>2.4999999999999999E-17</v>
      </c>
      <c r="G1898" s="3">
        <v>176</v>
      </c>
      <c r="H1898" s="3">
        <v>57</v>
      </c>
      <c r="I1898" s="3">
        <v>58</v>
      </c>
      <c r="J1898" s="3">
        <v>1610</v>
      </c>
      <c r="K1898" s="3">
        <v>1783</v>
      </c>
      <c r="L1898" s="3">
        <v>392</v>
      </c>
      <c r="M1898" s="3">
        <v>449</v>
      </c>
    </row>
    <row r="1899" spans="1:13" x14ac:dyDescent="0.25">
      <c r="A1899" s="1" t="str">
        <f>HYPERLINK("http://www.rosaceae.org/Prunus/Prunus_persica/p.persica_gdr_reftransV1_0005565","p.persica_gdr_reftransV1_0005565")</f>
        <v>p.persica_gdr_reftransV1_0005565</v>
      </c>
      <c r="B1899" s="3">
        <v>300</v>
      </c>
      <c r="C1899" s="1" t="str">
        <f>HYPERLINK("http://www.uniprot.org/uniprot/PP297_ARATH","PP297_ARATH")</f>
        <v>PP297_ARATH</v>
      </c>
      <c r="D1899" t="s">
        <v>1300</v>
      </c>
      <c r="E1899" s="3" t="s">
        <v>3</v>
      </c>
      <c r="F1899" s="4">
        <v>1.5299999999999999E-30</v>
      </c>
      <c r="G1899" s="3">
        <v>296</v>
      </c>
      <c r="H1899" s="3">
        <v>56</v>
      </c>
      <c r="I1899" s="3">
        <v>98</v>
      </c>
      <c r="J1899" s="3">
        <v>6</v>
      </c>
      <c r="K1899" s="3">
        <v>299</v>
      </c>
      <c r="L1899" s="3">
        <v>319</v>
      </c>
      <c r="M1899" s="3">
        <v>416</v>
      </c>
    </row>
    <row r="1900" spans="1:13" x14ac:dyDescent="0.25">
      <c r="A1900" s="1" t="str">
        <f>HYPERLINK("http://www.rosaceae.org/Prunus/Prunus_persica/p.persica_gdr_reftransV1_0005665","p.persica_gdr_reftransV1_0005665")</f>
        <v>p.persica_gdr_reftransV1_0005665</v>
      </c>
      <c r="B1900" s="3">
        <v>1308</v>
      </c>
      <c r="C1900" s="1" t="str">
        <f>HYPERLINK("http://www.uniprot.org/uniprot/Y3720_ARATH","Y3720_ARATH")</f>
        <v>Y3720_ARATH</v>
      </c>
      <c r="D1900" t="s">
        <v>104</v>
      </c>
      <c r="E1900" s="3" t="s">
        <v>3</v>
      </c>
      <c r="F1900" s="4">
        <v>5.3600000000000003E-15</v>
      </c>
      <c r="G1900" s="3">
        <v>197</v>
      </c>
      <c r="H1900" s="3">
        <v>31</v>
      </c>
      <c r="I1900" s="3">
        <v>185</v>
      </c>
      <c r="J1900" s="3">
        <v>377</v>
      </c>
      <c r="K1900" s="3">
        <v>901</v>
      </c>
      <c r="L1900" s="3">
        <v>281</v>
      </c>
      <c r="M1900" s="3">
        <v>454</v>
      </c>
    </row>
    <row r="1901" spans="1:13" x14ac:dyDescent="0.25">
      <c r="A1901" s="1" t="str">
        <f>HYPERLINK("http://www.rosaceae.org/Prunus/Prunus_persica/p.persica_gdr_reftransV1_0005715","p.persica_gdr_reftransV1_0005715")</f>
        <v>p.persica_gdr_reftransV1_0005715</v>
      </c>
      <c r="B1901" s="3">
        <v>1342</v>
      </c>
      <c r="C1901" s="1" t="str">
        <f>HYPERLINK("http://www.uniprot.org/uniprot/PER27_ARATH","PER27_ARATH")</f>
        <v>PER27_ARATH</v>
      </c>
      <c r="D1901" t="s">
        <v>1876</v>
      </c>
      <c r="E1901" s="3" t="s">
        <v>3</v>
      </c>
      <c r="F1901" s="4">
        <v>1.6000000000000001E-129</v>
      </c>
      <c r="G1901" s="3">
        <v>986</v>
      </c>
      <c r="H1901" s="3">
        <v>66</v>
      </c>
      <c r="I1901" s="3">
        <v>305</v>
      </c>
      <c r="J1901" s="3">
        <v>68</v>
      </c>
      <c r="K1901" s="3">
        <v>982</v>
      </c>
      <c r="L1901" s="3">
        <v>21</v>
      </c>
      <c r="M1901" s="3">
        <v>321</v>
      </c>
    </row>
    <row r="1902" spans="1:13" x14ac:dyDescent="0.25">
      <c r="A1902" s="1" t="str">
        <f>HYPERLINK("http://www.rosaceae.org/Prunus/Prunus_persica/p.persica_gdr_reftransV1_0005865","p.persica_gdr_reftransV1_0005865")</f>
        <v>p.persica_gdr_reftransV1_0005865</v>
      </c>
      <c r="B1902" s="3">
        <v>462</v>
      </c>
      <c r="C1902" s="1" t="str">
        <f>HYPERLINK("http://www.uniprot.org/uniprot/idD12_ARATH","idD12_ARATH")</f>
        <v>idD12_ARATH</v>
      </c>
      <c r="D1902" t="s">
        <v>1877</v>
      </c>
      <c r="E1902" s="3" t="s">
        <v>3</v>
      </c>
      <c r="F1902" s="4">
        <v>2.62E-101</v>
      </c>
      <c r="G1902" s="3">
        <v>776</v>
      </c>
      <c r="H1902" s="3">
        <v>89</v>
      </c>
      <c r="I1902" s="3">
        <v>153</v>
      </c>
      <c r="J1902" s="3">
        <v>2</v>
      </c>
      <c r="K1902" s="3">
        <v>460</v>
      </c>
      <c r="L1902" s="3">
        <v>55</v>
      </c>
      <c r="M1902" s="3">
        <v>207</v>
      </c>
    </row>
    <row r="1903" spans="1:13" x14ac:dyDescent="0.25">
      <c r="A1903" s="1" t="str">
        <f>HYPERLINK("http://www.rosaceae.org/Prunus/Prunus_persica/p.persica_gdr_reftransV1_0005915","p.persica_gdr_reftransV1_0005915")</f>
        <v>p.persica_gdr_reftransV1_0005915</v>
      </c>
      <c r="B1903" s="3">
        <v>1978</v>
      </c>
      <c r="C1903" s="1" t="str">
        <f>HYPERLINK("http://www.uniprot.org/uniprot/S17P_ARATH","S17P_ARATH")</f>
        <v>S17P_ARATH</v>
      </c>
      <c r="D1903" t="s">
        <v>1878</v>
      </c>
      <c r="E1903" s="3" t="s">
        <v>3</v>
      </c>
      <c r="F1903" s="4">
        <v>2.3699999999999999E-169</v>
      </c>
      <c r="G1903" s="3">
        <v>1087</v>
      </c>
      <c r="H1903" s="3">
        <v>80</v>
      </c>
      <c r="I1903" s="3">
        <v>279</v>
      </c>
      <c r="J1903" s="3">
        <v>202</v>
      </c>
      <c r="K1903" s="3">
        <v>1032</v>
      </c>
      <c r="L1903" s="3">
        <v>1</v>
      </c>
      <c r="M1903" s="3">
        <v>278</v>
      </c>
    </row>
    <row r="1904" spans="1:13" x14ac:dyDescent="0.25">
      <c r="A1904" s="1" t="str">
        <f>HYPERLINK("http://www.rosaceae.org/Prunus/Prunus_persica/p.persica_gdr_reftransV1_0006015","p.persica_gdr_reftransV1_0006015")</f>
        <v>p.persica_gdr_reftransV1_0006015</v>
      </c>
      <c r="B1904" s="3">
        <v>1917</v>
      </c>
      <c r="C1904" s="1" t="str">
        <f>HYPERLINK("http://www.uniprot.org/uniprot/B2_DAUCA","B2_DAUCA")</f>
        <v>B2_DAUCA</v>
      </c>
      <c r="D1904" t="s">
        <v>1441</v>
      </c>
      <c r="E1904" s="3" t="s">
        <v>32</v>
      </c>
      <c r="F1904" s="4">
        <v>1.35E-15</v>
      </c>
      <c r="G1904" s="3">
        <v>197</v>
      </c>
      <c r="H1904" s="3">
        <v>37</v>
      </c>
      <c r="I1904" s="3">
        <v>135</v>
      </c>
      <c r="J1904" s="3">
        <v>248</v>
      </c>
      <c r="K1904" s="3">
        <v>631</v>
      </c>
      <c r="L1904" s="3">
        <v>72</v>
      </c>
      <c r="M1904" s="3">
        <v>203</v>
      </c>
    </row>
    <row r="1905" spans="1:13" x14ac:dyDescent="0.25">
      <c r="A1905" s="1" t="str">
        <f>HYPERLINK("http://www.rosaceae.org/Prunus/Prunus_persica/p.persica_gdr_reftransV1_0006065","p.persica_gdr_reftransV1_0006065")</f>
        <v>p.persica_gdr_reftransV1_0006065</v>
      </c>
      <c r="B1905" s="3">
        <v>912</v>
      </c>
      <c r="C1905" s="1" t="str">
        <f>HYPERLINK("http://www.uniprot.org/uniprot/CXE6_ARATH","CXE6_ARATH")</f>
        <v>CXE6_ARATH</v>
      </c>
      <c r="D1905" t="s">
        <v>1879</v>
      </c>
      <c r="E1905" s="3" t="s">
        <v>3</v>
      </c>
      <c r="F1905" s="4">
        <v>1.31E-95</v>
      </c>
      <c r="G1905" s="3">
        <v>748</v>
      </c>
      <c r="H1905" s="3">
        <v>56</v>
      </c>
      <c r="I1905" s="3">
        <v>268</v>
      </c>
      <c r="J1905" s="3">
        <v>5</v>
      </c>
      <c r="K1905" s="3">
        <v>802</v>
      </c>
      <c r="L1905" s="3">
        <v>12</v>
      </c>
      <c r="M1905" s="3">
        <v>257</v>
      </c>
    </row>
    <row r="1906" spans="1:13" x14ac:dyDescent="0.25">
      <c r="A1906" s="1" t="str">
        <f>HYPERLINK("http://www.rosaceae.org/Prunus/Prunus_persica/p.persica_gdr_reftransV1_0006165","p.persica_gdr_reftransV1_0006165")</f>
        <v>p.persica_gdr_reftransV1_0006165</v>
      </c>
      <c r="B1906" s="3">
        <v>580</v>
      </c>
      <c r="C1906" s="1" t="str">
        <f>HYPERLINK("http://www.uniprot.org/uniprot/MLO13_ARATH","MLO13_ARATH")</f>
        <v>MLO13_ARATH</v>
      </c>
      <c r="D1906" t="s">
        <v>1880</v>
      </c>
      <c r="E1906" s="3" t="s">
        <v>3</v>
      </c>
      <c r="F1906" s="4">
        <v>1.1200000000000001E-53</v>
      </c>
      <c r="G1906" s="3">
        <v>465</v>
      </c>
      <c r="H1906" s="3">
        <v>65</v>
      </c>
      <c r="I1906" s="3">
        <v>172</v>
      </c>
      <c r="J1906" s="3">
        <v>2</v>
      </c>
      <c r="K1906" s="3">
        <v>517</v>
      </c>
      <c r="L1906" s="3">
        <v>1</v>
      </c>
      <c r="M1906" s="3">
        <v>170</v>
      </c>
    </row>
    <row r="1907" spans="1:13" x14ac:dyDescent="0.25">
      <c r="A1907" s="1" t="str">
        <f>HYPERLINK("http://www.rosaceae.org/Prunus/Prunus_persica/p.persica_gdr_reftransV1_0006315","p.persica_gdr_reftransV1_0006315")</f>
        <v>p.persica_gdr_reftransV1_0006315</v>
      </c>
      <c r="B1907" s="3">
        <v>623</v>
      </c>
      <c r="C1907" s="1" t="str">
        <f>HYPERLINK("http://www.uniprot.org/uniprot/PP359_ARATH","PP359_ARATH")</f>
        <v>PP359_ARATH</v>
      </c>
      <c r="D1907" t="s">
        <v>861</v>
      </c>
      <c r="E1907" s="3" t="s">
        <v>3</v>
      </c>
      <c r="F1907" s="4">
        <v>1.76E-56</v>
      </c>
      <c r="G1907" s="3">
        <v>496</v>
      </c>
      <c r="H1907" s="3">
        <v>53</v>
      </c>
      <c r="I1907" s="3">
        <v>186</v>
      </c>
      <c r="J1907" s="3">
        <v>65</v>
      </c>
      <c r="K1907" s="3">
        <v>622</v>
      </c>
      <c r="L1907" s="3">
        <v>18</v>
      </c>
      <c r="M1907" s="3">
        <v>203</v>
      </c>
    </row>
    <row r="1908" spans="1:13" x14ac:dyDescent="0.25">
      <c r="A1908" s="1" t="str">
        <f>HYPERLINK("http://www.rosaceae.org/Prunus/Prunus_persica/p.persica_gdr_reftransV1_0006415","p.persica_gdr_reftransV1_0006415")</f>
        <v>p.persica_gdr_reftransV1_0006415</v>
      </c>
      <c r="B1908" s="3">
        <v>617</v>
      </c>
      <c r="C1908" s="1" t="str">
        <f>HYPERLINK("http://www.uniprot.org/uniprot/SFH3_ARATH","SFH3_ARATH")</f>
        <v>SFH3_ARATH</v>
      </c>
      <c r="D1908" t="s">
        <v>1881</v>
      </c>
      <c r="E1908" s="3" t="s">
        <v>3</v>
      </c>
      <c r="F1908" s="4">
        <v>4.6700000000000003E-66</v>
      </c>
      <c r="G1908" s="3">
        <v>556</v>
      </c>
      <c r="H1908" s="3">
        <v>67</v>
      </c>
      <c r="I1908" s="3">
        <v>174</v>
      </c>
      <c r="J1908" s="3">
        <v>3</v>
      </c>
      <c r="K1908" s="3">
        <v>524</v>
      </c>
      <c r="L1908" s="3">
        <v>3</v>
      </c>
      <c r="M1908" s="3">
        <v>176</v>
      </c>
    </row>
    <row r="1909" spans="1:13" x14ac:dyDescent="0.25">
      <c r="A1909" s="1" t="str">
        <f>HYPERLINK("http://www.rosaceae.org/Prunus/Prunus_persica/p.persica_gdr_reftransV1_0006465","p.persica_gdr_reftransV1_0006465")</f>
        <v>p.persica_gdr_reftransV1_0006465</v>
      </c>
      <c r="B1909" s="3">
        <v>1142</v>
      </c>
      <c r="C1909" s="1" t="str">
        <f>HYPERLINK("http://www.uniprot.org/uniprot/PME2_CITSI","PME2_CITSI")</f>
        <v>PME2_CITSI</v>
      </c>
      <c r="D1909" t="s">
        <v>1882</v>
      </c>
      <c r="E1909" s="3" t="s">
        <v>1276</v>
      </c>
      <c r="F1909" s="4">
        <v>0</v>
      </c>
      <c r="G1909" s="3">
        <v>1379</v>
      </c>
      <c r="H1909" s="3">
        <v>75</v>
      </c>
      <c r="I1909" s="3">
        <v>334</v>
      </c>
      <c r="J1909" s="3">
        <v>138</v>
      </c>
      <c r="K1909" s="3">
        <v>1139</v>
      </c>
      <c r="L1909" s="3">
        <v>179</v>
      </c>
      <c r="M1909" s="3">
        <v>510</v>
      </c>
    </row>
    <row r="1910" spans="1:13" x14ac:dyDescent="0.25">
      <c r="A1910" s="1" t="str">
        <f>HYPERLINK("http://www.rosaceae.org/Prunus/Prunus_persica/p.persica_gdr_reftransV1_0006515","p.persica_gdr_reftransV1_0006515")</f>
        <v>p.persica_gdr_reftransV1_0006515</v>
      </c>
      <c r="B1910" s="3">
        <v>583</v>
      </c>
      <c r="C1910" s="1" t="str">
        <f>HYPERLINK("http://www.uniprot.org/uniprot/RPD1_ARATH","RPD1_ARATH")</f>
        <v>RPD1_ARATH</v>
      </c>
      <c r="D1910" t="s">
        <v>1883</v>
      </c>
      <c r="E1910" s="3" t="s">
        <v>3</v>
      </c>
      <c r="F1910" s="4">
        <v>1.8E-9</v>
      </c>
      <c r="G1910" s="3">
        <v>143</v>
      </c>
      <c r="H1910" s="3">
        <v>33</v>
      </c>
      <c r="I1910" s="3">
        <v>99</v>
      </c>
      <c r="J1910" s="3">
        <v>47</v>
      </c>
      <c r="K1910" s="3">
        <v>334</v>
      </c>
      <c r="L1910" s="3">
        <v>45</v>
      </c>
      <c r="M1910" s="3">
        <v>142</v>
      </c>
    </row>
    <row r="1911" spans="1:13" x14ac:dyDescent="0.25">
      <c r="A1911" s="1" t="str">
        <f>HYPERLINK("http://www.rosaceae.org/Prunus/Prunus_persica/p.persica_gdr_reftransV1_0006715","p.persica_gdr_reftransV1_0006715")</f>
        <v>p.persica_gdr_reftransV1_0006715</v>
      </c>
      <c r="B1911" s="3">
        <v>611</v>
      </c>
      <c r="C1911" s="1" t="str">
        <f>HYPERLINK("http://www.uniprot.org/uniprot/RGA3_SOLBU","RGA3_SOLBU")</f>
        <v>RGA3_SOLBU</v>
      </c>
      <c r="D1911" t="s">
        <v>1884</v>
      </c>
      <c r="E1911" s="3" t="s">
        <v>560</v>
      </c>
      <c r="F1911" s="4">
        <v>8.5299999999999994E-15</v>
      </c>
      <c r="G1911" s="3">
        <v>188</v>
      </c>
      <c r="H1911" s="3">
        <v>46</v>
      </c>
      <c r="I1911" s="3">
        <v>91</v>
      </c>
      <c r="J1911" s="3">
        <v>275</v>
      </c>
      <c r="K1911" s="3">
        <v>547</v>
      </c>
      <c r="L1911" s="3">
        <v>1</v>
      </c>
      <c r="M1911" s="3">
        <v>87</v>
      </c>
    </row>
    <row r="1912" spans="1:13" x14ac:dyDescent="0.25">
      <c r="A1912" s="1" t="str">
        <f>HYPERLINK("http://www.rosaceae.org/Prunus/Prunus_persica/p.persica_gdr_reftransV1_0006865","p.persica_gdr_reftransV1_0006865")</f>
        <v>p.persica_gdr_reftransV1_0006865</v>
      </c>
      <c r="B1912" s="3">
        <v>413</v>
      </c>
      <c r="C1912" s="1" t="str">
        <f>HYPERLINK("http://www.uniprot.org/uniprot/HMA5_ARATH","HMA5_ARATH")</f>
        <v>HMA5_ARATH</v>
      </c>
      <c r="D1912" t="s">
        <v>1885</v>
      </c>
      <c r="E1912" s="3" t="s">
        <v>3</v>
      </c>
      <c r="F1912" s="4">
        <v>4.8499999999999999E-16</v>
      </c>
      <c r="G1912" s="3">
        <v>193</v>
      </c>
      <c r="H1912" s="3">
        <v>57</v>
      </c>
      <c r="I1912" s="3">
        <v>61</v>
      </c>
      <c r="J1912" s="3">
        <v>156</v>
      </c>
      <c r="K1912" s="3">
        <v>338</v>
      </c>
      <c r="L1912" s="3">
        <v>42</v>
      </c>
      <c r="M1912" s="3">
        <v>102</v>
      </c>
    </row>
    <row r="1913" spans="1:13" x14ac:dyDescent="0.25">
      <c r="A1913" s="1" t="str">
        <f>HYPERLINK("http://www.rosaceae.org/Prunus/Prunus_persica/p.persica_gdr_reftransV1_0006965","p.persica_gdr_reftransV1_0006965")</f>
        <v>p.persica_gdr_reftransV1_0006965</v>
      </c>
      <c r="B1913" s="3">
        <v>1091</v>
      </c>
      <c r="C1913" s="1" t="str">
        <f>HYPERLINK("http://www.uniprot.org/uniprot/POLX_TOBAC","POLX_TOBAC")</f>
        <v>POLX_TOBAC</v>
      </c>
      <c r="D1913" t="s">
        <v>1253</v>
      </c>
      <c r="E1913" s="3" t="s">
        <v>200</v>
      </c>
      <c r="F1913" s="4">
        <v>8.1999999999999996E-37</v>
      </c>
      <c r="G1913" s="3">
        <v>371</v>
      </c>
      <c r="H1913" s="3">
        <v>41</v>
      </c>
      <c r="I1913" s="3">
        <v>190</v>
      </c>
      <c r="J1913" s="3">
        <v>168</v>
      </c>
      <c r="K1913" s="3">
        <v>734</v>
      </c>
      <c r="L1913" s="3">
        <v>1139</v>
      </c>
      <c r="M1913" s="3">
        <v>1325</v>
      </c>
    </row>
    <row r="1914" spans="1:13" x14ac:dyDescent="0.25">
      <c r="A1914" s="1" t="str">
        <f>HYPERLINK("http://www.rosaceae.org/Prunus/Prunus_persica/p.persica_gdr_reftransV1_0007015","p.persica_gdr_reftransV1_0007015")</f>
        <v>p.persica_gdr_reftransV1_0007015</v>
      </c>
      <c r="B1914" s="3">
        <v>3972</v>
      </c>
      <c r="C1914" s="1" t="str">
        <f>HYPERLINK("http://www.uniprot.org/uniprot/MNS3_ARATH","MNS3_ARATH")</f>
        <v>MNS3_ARATH</v>
      </c>
      <c r="D1914" t="s">
        <v>1886</v>
      </c>
      <c r="E1914" s="3" t="s">
        <v>3</v>
      </c>
      <c r="F1914" s="4">
        <v>0</v>
      </c>
      <c r="G1914" s="3">
        <v>2242</v>
      </c>
      <c r="H1914" s="3">
        <v>71</v>
      </c>
      <c r="I1914" s="3">
        <v>607</v>
      </c>
      <c r="J1914" s="3">
        <v>719</v>
      </c>
      <c r="K1914" s="3">
        <v>2530</v>
      </c>
      <c r="L1914" s="3">
        <v>26</v>
      </c>
      <c r="M1914" s="3">
        <v>624</v>
      </c>
    </row>
    <row r="1915" spans="1:13" x14ac:dyDescent="0.25">
      <c r="A1915" s="1" t="str">
        <f>HYPERLINK("http://www.rosaceae.org/Prunus/Prunus_persica/p.persica_gdr_reftransV1_0007065","p.persica_gdr_reftransV1_0007065")</f>
        <v>p.persica_gdr_reftransV1_0007065</v>
      </c>
      <c r="B1915" s="3">
        <v>761</v>
      </c>
      <c r="C1915" s="1" t="str">
        <f>HYPERLINK("http://www.uniprot.org/uniprot/AB33G_ARATH","AB33G_ARATH")</f>
        <v>AB33G_ARATH</v>
      </c>
      <c r="D1915" t="s">
        <v>1887</v>
      </c>
      <c r="E1915" s="3" t="s">
        <v>3</v>
      </c>
      <c r="F1915" s="4">
        <v>6.0400000000000003E-142</v>
      </c>
      <c r="G1915" s="3">
        <v>1127</v>
      </c>
      <c r="H1915" s="3">
        <v>79</v>
      </c>
      <c r="I1915" s="3">
        <v>254</v>
      </c>
      <c r="J1915" s="3">
        <v>1</v>
      </c>
      <c r="K1915" s="3">
        <v>759</v>
      </c>
      <c r="L1915" s="3">
        <v>197</v>
      </c>
      <c r="M1915" s="3">
        <v>450</v>
      </c>
    </row>
    <row r="1916" spans="1:13" x14ac:dyDescent="0.25">
      <c r="A1916" s="1" t="str">
        <f>HYPERLINK("http://www.rosaceae.org/Prunus/Prunus_persica/p.persica_gdr_reftransV1_0007215","p.persica_gdr_reftransV1_0007215")</f>
        <v>p.persica_gdr_reftransV1_0007215</v>
      </c>
      <c r="B1916" s="3">
        <v>1533</v>
      </c>
      <c r="C1916" s="1" t="str">
        <f>HYPERLINK("http://www.uniprot.org/uniprot/RGA4_SOLBU","RGA4_SOLBU")</f>
        <v>RGA4_SOLBU</v>
      </c>
      <c r="D1916" t="s">
        <v>1657</v>
      </c>
      <c r="E1916" s="3" t="s">
        <v>560</v>
      </c>
      <c r="F1916" s="4">
        <v>1.1399999999999999E-38</v>
      </c>
      <c r="G1916" s="3">
        <v>391</v>
      </c>
      <c r="H1916" s="3">
        <v>32</v>
      </c>
      <c r="I1916" s="3">
        <v>443</v>
      </c>
      <c r="J1916" s="3">
        <v>300</v>
      </c>
      <c r="K1916" s="3">
        <v>1532</v>
      </c>
      <c r="L1916" s="3">
        <v>539</v>
      </c>
      <c r="M1916" s="3">
        <v>965</v>
      </c>
    </row>
    <row r="1917" spans="1:13" x14ac:dyDescent="0.25">
      <c r="A1917" s="1" t="str">
        <f>HYPERLINK("http://www.rosaceae.org/Prunus/Prunus_persica/p.persica_gdr_reftransV1_0007515","p.persica_gdr_reftransV1_0007515")</f>
        <v>p.persica_gdr_reftransV1_0007515</v>
      </c>
      <c r="B1917" s="3">
        <v>1122</v>
      </c>
      <c r="C1917" s="1" t="str">
        <f>HYPERLINK("http://www.uniprot.org/uniprot/SOC1_ARATH","SOC1_ARATH")</f>
        <v>SOC1_ARATH</v>
      </c>
      <c r="D1917" t="s">
        <v>867</v>
      </c>
      <c r="E1917" s="3" t="s">
        <v>3</v>
      </c>
      <c r="F1917" s="4">
        <v>1.6699999999999999E-10</v>
      </c>
      <c r="G1917" s="3">
        <v>154</v>
      </c>
      <c r="H1917" s="3">
        <v>39</v>
      </c>
      <c r="I1917" s="3">
        <v>75</v>
      </c>
      <c r="J1917" s="3">
        <v>305</v>
      </c>
      <c r="K1917" s="3">
        <v>529</v>
      </c>
      <c r="L1917" s="3">
        <v>16</v>
      </c>
      <c r="M1917" s="3">
        <v>90</v>
      </c>
    </row>
    <row r="1918" spans="1:13" x14ac:dyDescent="0.25">
      <c r="A1918" s="1" t="str">
        <f>HYPERLINK("http://www.rosaceae.org/Prunus/Prunus_persica/p.persica_gdr_reftransV1_0007615","p.persica_gdr_reftransV1_0007615")</f>
        <v>p.persica_gdr_reftransV1_0007615</v>
      </c>
      <c r="B1918" s="3">
        <v>1819</v>
      </c>
      <c r="C1918" s="1" t="str">
        <f>HYPERLINK("http://www.uniprot.org/uniprot/TF2B_DICDI","TF2B_DICDI")</f>
        <v>TF2B_DICDI</v>
      </c>
      <c r="D1918" t="s">
        <v>1888</v>
      </c>
      <c r="E1918" s="3" t="s">
        <v>9</v>
      </c>
      <c r="F1918" s="4">
        <v>5.6599999999999996E-25</v>
      </c>
      <c r="G1918" s="3">
        <v>274</v>
      </c>
      <c r="H1918" s="3">
        <v>30</v>
      </c>
      <c r="I1918" s="3">
        <v>224</v>
      </c>
      <c r="J1918" s="3">
        <v>243</v>
      </c>
      <c r="K1918" s="3">
        <v>914</v>
      </c>
      <c r="L1918" s="3">
        <v>122</v>
      </c>
      <c r="M1918" s="3">
        <v>324</v>
      </c>
    </row>
    <row r="1919" spans="1:13" x14ac:dyDescent="0.25">
      <c r="A1919" s="1" t="str">
        <f>HYPERLINK("http://www.rosaceae.org/Prunus/Prunus_persica/p.persica_gdr_reftransV1_0007665","p.persica_gdr_reftransV1_0007665")</f>
        <v>p.persica_gdr_reftransV1_0007665</v>
      </c>
      <c r="B1919" s="3">
        <v>716</v>
      </c>
      <c r="C1919" s="1" t="str">
        <f>HYPERLINK("http://www.uniprot.org/uniprot/CSPLA_RICCO","CSPLA_RICCO")</f>
        <v>CSPLA_RICCO</v>
      </c>
      <c r="D1919" t="s">
        <v>1889</v>
      </c>
      <c r="E1919" s="3" t="s">
        <v>421</v>
      </c>
      <c r="F1919" s="4">
        <v>1.53E-13</v>
      </c>
      <c r="G1919" s="3">
        <v>171</v>
      </c>
      <c r="H1919" s="3">
        <v>53</v>
      </c>
      <c r="I1919" s="3">
        <v>66</v>
      </c>
      <c r="J1919" s="3">
        <v>62</v>
      </c>
      <c r="K1919" s="3">
        <v>259</v>
      </c>
      <c r="L1919" s="3">
        <v>24</v>
      </c>
      <c r="M1919" s="3">
        <v>89</v>
      </c>
    </row>
    <row r="1920" spans="1:13" x14ac:dyDescent="0.25">
      <c r="A1920" s="1" t="str">
        <f>HYPERLINK("http://www.rosaceae.org/Prunus/Prunus_persica/p.persica_gdr_reftransV1_0007965","p.persica_gdr_reftransV1_0007965")</f>
        <v>p.persica_gdr_reftransV1_0007965</v>
      </c>
      <c r="B1920" s="3">
        <v>2411</v>
      </c>
      <c r="C1920" s="1" t="str">
        <f>HYPERLINK("http://www.uniprot.org/uniprot/PP301_ARATH","PP301_ARATH")</f>
        <v>PP301_ARATH</v>
      </c>
      <c r="D1920" t="s">
        <v>1571</v>
      </c>
      <c r="E1920" s="3" t="s">
        <v>3</v>
      </c>
      <c r="F1920" s="4">
        <v>2.48E-152</v>
      </c>
      <c r="G1920" s="3">
        <v>1213</v>
      </c>
      <c r="H1920" s="3">
        <v>41</v>
      </c>
      <c r="I1920" s="3">
        <v>537</v>
      </c>
      <c r="J1920" s="3">
        <v>411</v>
      </c>
      <c r="K1920" s="3">
        <v>2021</v>
      </c>
      <c r="L1920" s="3">
        <v>149</v>
      </c>
      <c r="M1920" s="3">
        <v>685</v>
      </c>
    </row>
    <row r="1921" spans="1:13" x14ac:dyDescent="0.25">
      <c r="A1921" s="1" t="str">
        <f>HYPERLINK("http://www.rosaceae.org/Prunus/Prunus_persica/p.persica_gdr_reftransV1_0008115","p.persica_gdr_reftransV1_0008115")</f>
        <v>p.persica_gdr_reftransV1_0008115</v>
      </c>
      <c r="B1921" s="3">
        <v>760</v>
      </c>
      <c r="C1921" s="1" t="str">
        <f>HYPERLINK("http://www.uniprot.org/uniprot/IND_ARATH","IND_ARATH")</f>
        <v>IND_ARATH</v>
      </c>
      <c r="D1921" t="s">
        <v>1890</v>
      </c>
      <c r="E1921" s="3" t="s">
        <v>3</v>
      </c>
      <c r="F1921" s="4">
        <v>1.0900000000000001E-41</v>
      </c>
      <c r="G1921" s="3">
        <v>371</v>
      </c>
      <c r="H1921" s="3">
        <v>82</v>
      </c>
      <c r="I1921" s="3">
        <v>85</v>
      </c>
      <c r="J1921" s="3">
        <v>193</v>
      </c>
      <c r="K1921" s="3">
        <v>447</v>
      </c>
      <c r="L1921" s="3">
        <v>88</v>
      </c>
      <c r="M1921" s="3">
        <v>172</v>
      </c>
    </row>
    <row r="1922" spans="1:13" x14ac:dyDescent="0.25">
      <c r="A1922" s="1" t="str">
        <f>HYPERLINK("http://www.rosaceae.org/Prunus/Prunus_persica/p.persica_gdr_reftransV1_0008165","p.persica_gdr_reftransV1_0008165")</f>
        <v>p.persica_gdr_reftransV1_0008165</v>
      </c>
      <c r="B1922" s="3">
        <v>2579</v>
      </c>
      <c r="C1922" s="1" t="str">
        <f>HYPERLINK("http://www.uniprot.org/uniprot/E70A1_ARATH","E70A1_ARATH")</f>
        <v>E70A1_ARATH</v>
      </c>
      <c r="D1922" t="s">
        <v>89</v>
      </c>
      <c r="E1922" s="3" t="s">
        <v>3</v>
      </c>
      <c r="F1922" s="4">
        <v>2.08E-35</v>
      </c>
      <c r="G1922" s="3">
        <v>370</v>
      </c>
      <c r="H1922" s="3">
        <v>26</v>
      </c>
      <c r="I1922" s="3">
        <v>403</v>
      </c>
      <c r="J1922" s="3">
        <v>377</v>
      </c>
      <c r="K1922" s="3">
        <v>1540</v>
      </c>
      <c r="L1922" s="3">
        <v>251</v>
      </c>
      <c r="M1922" s="3">
        <v>629</v>
      </c>
    </row>
    <row r="1923" spans="1:13" x14ac:dyDescent="0.25">
      <c r="A1923" s="1" t="str">
        <f>HYPERLINK("http://www.rosaceae.org/Prunus/Prunus_persica/p.persica_gdr_reftransV1_0008365","p.persica_gdr_reftransV1_0008365")</f>
        <v>p.persica_gdr_reftransV1_0008365</v>
      </c>
      <c r="B1923" s="3">
        <v>584</v>
      </c>
      <c r="C1923" s="1" t="str">
        <f>HYPERLINK("http://www.uniprot.org/uniprot/PFKA3_ARATH","PFKA3_ARATH")</f>
        <v>PFKA3_ARATH</v>
      </c>
      <c r="D1923" t="s">
        <v>1362</v>
      </c>
      <c r="E1923" s="3" t="s">
        <v>3</v>
      </c>
      <c r="F1923" s="4">
        <v>9.1200000000000002E-117</v>
      </c>
      <c r="G1923" s="3">
        <v>891</v>
      </c>
      <c r="H1923" s="3">
        <v>85</v>
      </c>
      <c r="I1923" s="3">
        <v>194</v>
      </c>
      <c r="J1923" s="3">
        <v>2</v>
      </c>
      <c r="K1923" s="3">
        <v>583</v>
      </c>
      <c r="L1923" s="3">
        <v>42</v>
      </c>
      <c r="M1923" s="3">
        <v>235</v>
      </c>
    </row>
    <row r="1924" spans="1:13" x14ac:dyDescent="0.25">
      <c r="A1924" s="1" t="str">
        <f>HYPERLINK("http://www.rosaceae.org/Prunus/Prunus_persica/p.persica_gdr_reftransV1_0008465","p.persica_gdr_reftransV1_0008465")</f>
        <v>p.persica_gdr_reftransV1_0008465</v>
      </c>
      <c r="B1924" s="3">
        <v>3308</v>
      </c>
      <c r="C1924" s="1" t="str">
        <f>HYPERLINK("http://www.uniprot.org/uniprot/C3H38_ARATH","C3H38_ARATH")</f>
        <v>C3H38_ARATH</v>
      </c>
      <c r="D1924" t="s">
        <v>1891</v>
      </c>
      <c r="E1924" s="3" t="s">
        <v>3</v>
      </c>
      <c r="F1924" s="4">
        <v>3.2699999999999999E-24</v>
      </c>
      <c r="G1924" s="3">
        <v>282</v>
      </c>
      <c r="H1924" s="3">
        <v>79</v>
      </c>
      <c r="I1924" s="3">
        <v>80</v>
      </c>
      <c r="J1924" s="3">
        <v>2715</v>
      </c>
      <c r="K1924" s="3">
        <v>2954</v>
      </c>
      <c r="L1924" s="3">
        <v>596</v>
      </c>
      <c r="M1924" s="3">
        <v>675</v>
      </c>
    </row>
    <row r="1925" spans="1:13" x14ac:dyDescent="0.25">
      <c r="A1925" s="1" t="str">
        <f>HYPERLINK("http://www.rosaceae.org/Prunus/Prunus_persica/p.persica_gdr_reftransV1_0008515","p.persica_gdr_reftransV1_0008515")</f>
        <v>p.persica_gdr_reftransV1_0008515</v>
      </c>
      <c r="B1925" s="3">
        <v>994</v>
      </c>
      <c r="C1925" s="1" t="str">
        <f>HYPERLINK("http://www.uniprot.org/uniprot/Y1648_ARATH","Y1648_ARATH")</f>
        <v>Y1648_ARATH</v>
      </c>
      <c r="D1925" t="s">
        <v>1892</v>
      </c>
      <c r="E1925" s="3" t="s">
        <v>3</v>
      </c>
      <c r="F1925" s="4">
        <v>8.1000000000000003E-56</v>
      </c>
      <c r="G1925" s="3">
        <v>475</v>
      </c>
      <c r="H1925" s="3">
        <v>57</v>
      </c>
      <c r="I1925" s="3">
        <v>175</v>
      </c>
      <c r="J1925" s="3">
        <v>76</v>
      </c>
      <c r="K1925" s="3">
        <v>555</v>
      </c>
      <c r="L1925" s="3">
        <v>1</v>
      </c>
      <c r="M1925" s="3">
        <v>175</v>
      </c>
    </row>
    <row r="1926" spans="1:13" x14ac:dyDescent="0.25">
      <c r="A1926" s="1" t="str">
        <f>HYPERLINK("http://www.rosaceae.org/Prunus/Prunus_persica/p.persica_gdr_reftransV1_0008665","p.persica_gdr_reftransV1_0008665")</f>
        <v>p.persica_gdr_reftransV1_0008665</v>
      </c>
      <c r="B1926" s="3">
        <v>1015</v>
      </c>
      <c r="C1926" s="1" t="str">
        <f>HYPERLINK("http://www.uniprot.org/uniprot/NADHK_ARATH","NADHK_ARATH")</f>
        <v>NADHK_ARATH</v>
      </c>
      <c r="D1926" t="s">
        <v>1893</v>
      </c>
      <c r="E1926" s="3" t="s">
        <v>3</v>
      </c>
      <c r="F1926" s="4">
        <v>3.14E-126</v>
      </c>
      <c r="G1926" s="3">
        <v>953</v>
      </c>
      <c r="H1926" s="3">
        <v>67</v>
      </c>
      <c r="I1926" s="3">
        <v>300</v>
      </c>
      <c r="J1926" s="3">
        <v>118</v>
      </c>
      <c r="K1926" s="3">
        <v>1014</v>
      </c>
      <c r="L1926" s="3">
        <v>11</v>
      </c>
      <c r="M1926" s="3">
        <v>308</v>
      </c>
    </row>
    <row r="1927" spans="1:13" x14ac:dyDescent="0.25">
      <c r="A1927" s="1" t="str">
        <f>HYPERLINK("http://www.rosaceae.org/Prunus/Prunus_persica/p.persica_gdr_reftransV1_0008765","p.persica_gdr_reftransV1_0008765")</f>
        <v>p.persica_gdr_reftransV1_0008765</v>
      </c>
      <c r="B1927" s="3">
        <v>955</v>
      </c>
      <c r="C1927" s="1" t="str">
        <f>HYPERLINK("http://www.uniprot.org/uniprot/CLE44_ARATH","CLE44_ARATH")</f>
        <v>CLE44_ARATH</v>
      </c>
      <c r="D1927" t="s">
        <v>1894</v>
      </c>
      <c r="E1927" s="3" t="s">
        <v>3</v>
      </c>
      <c r="F1927" s="4">
        <v>7.7700000000000004E-7</v>
      </c>
      <c r="G1927" s="3">
        <v>121</v>
      </c>
      <c r="H1927" s="3">
        <v>55</v>
      </c>
      <c r="I1927" s="3">
        <v>56</v>
      </c>
      <c r="J1927" s="3">
        <v>368</v>
      </c>
      <c r="K1927" s="3">
        <v>535</v>
      </c>
      <c r="L1927" s="3">
        <v>57</v>
      </c>
      <c r="M1927" s="3">
        <v>112</v>
      </c>
    </row>
    <row r="1928" spans="1:13" x14ac:dyDescent="0.25">
      <c r="A1928" s="1" t="str">
        <f>HYPERLINK("http://www.rosaceae.org/Prunus/Prunus_persica/p.persica_gdr_reftransV1_0008815","p.persica_gdr_reftransV1_0008815")</f>
        <v>p.persica_gdr_reftransV1_0008815</v>
      </c>
      <c r="B1928" s="3">
        <v>1085</v>
      </c>
      <c r="C1928" s="1" t="str">
        <f>HYPERLINK("http://www.uniprot.org/uniprot/REMO_SOLTU","REMO_SOLTU")</f>
        <v>REMO_SOLTU</v>
      </c>
      <c r="D1928" t="s">
        <v>1895</v>
      </c>
      <c r="E1928" s="3" t="s">
        <v>11</v>
      </c>
      <c r="F1928" s="4">
        <v>4.8200000000000002E-37</v>
      </c>
      <c r="G1928" s="3">
        <v>347</v>
      </c>
      <c r="H1928" s="3">
        <v>78</v>
      </c>
      <c r="I1928" s="3">
        <v>150</v>
      </c>
      <c r="J1928" s="3">
        <v>374</v>
      </c>
      <c r="K1928" s="3">
        <v>820</v>
      </c>
      <c r="L1928" s="3">
        <v>51</v>
      </c>
      <c r="M1928" s="3">
        <v>198</v>
      </c>
    </row>
    <row r="1929" spans="1:13" x14ac:dyDescent="0.25">
      <c r="A1929" s="1" t="str">
        <f>HYPERLINK("http://www.rosaceae.org/Prunus/Prunus_persica/p.persica_gdr_reftransV1_0009065","p.persica_gdr_reftransV1_0009065")</f>
        <v>p.persica_gdr_reftransV1_0009065</v>
      </c>
      <c r="B1929" s="3">
        <v>2436</v>
      </c>
      <c r="C1929" s="1" t="str">
        <f>HYPERLINK("http://www.uniprot.org/uniprot/PP129_ARATH","PP129_ARATH")</f>
        <v>PP129_ARATH</v>
      </c>
      <c r="D1929" t="s">
        <v>121</v>
      </c>
      <c r="E1929" s="3" t="s">
        <v>3</v>
      </c>
      <c r="F1929" s="4">
        <v>9.1300000000000007E-43</v>
      </c>
      <c r="G1929" s="3">
        <v>422</v>
      </c>
      <c r="H1929" s="3">
        <v>29</v>
      </c>
      <c r="I1929" s="3">
        <v>377</v>
      </c>
      <c r="J1929" s="3">
        <v>113</v>
      </c>
      <c r="K1929" s="3">
        <v>1228</v>
      </c>
      <c r="L1929" s="3">
        <v>78</v>
      </c>
      <c r="M1929" s="3">
        <v>444</v>
      </c>
    </row>
    <row r="1930" spans="1:13" x14ac:dyDescent="0.25">
      <c r="A1930" s="1" t="str">
        <f>HYPERLINK("http://www.rosaceae.org/Prunus/Prunus_persica/p.persica_gdr_reftransV1_0009215","p.persica_gdr_reftransV1_0009215")</f>
        <v>p.persica_gdr_reftransV1_0009215</v>
      </c>
      <c r="B1930" s="3">
        <v>2068</v>
      </c>
      <c r="C1930" s="1" t="str">
        <f>HYPERLINK("http://www.uniprot.org/uniprot/LIMYB_ARATH","LIMYB_ARATH")</f>
        <v>LIMYB_ARATH</v>
      </c>
      <c r="D1930" t="s">
        <v>1896</v>
      </c>
      <c r="E1930" s="3" t="s">
        <v>3</v>
      </c>
      <c r="F1930" s="4">
        <v>7.0299999999999995E-10</v>
      </c>
      <c r="G1930" s="3">
        <v>158</v>
      </c>
      <c r="H1930" s="3">
        <v>31</v>
      </c>
      <c r="I1930" s="3">
        <v>99</v>
      </c>
      <c r="J1930" s="3">
        <v>1626</v>
      </c>
      <c r="K1930" s="3">
        <v>1922</v>
      </c>
      <c r="L1930" s="3">
        <v>4</v>
      </c>
      <c r="M1930" s="3">
        <v>102</v>
      </c>
    </row>
    <row r="1931" spans="1:13" x14ac:dyDescent="0.25">
      <c r="A1931" s="1" t="str">
        <f>HYPERLINK("http://www.rosaceae.org/Prunus/Prunus_persica/p.persica_gdr_reftransV1_0009315","p.persica_gdr_reftransV1_0009315")</f>
        <v>p.persica_gdr_reftransV1_0009315</v>
      </c>
      <c r="B1931" s="3">
        <v>1061</v>
      </c>
      <c r="C1931" s="1" t="str">
        <f>HYPERLINK("http://www.uniprot.org/uniprot/ERG3_ORYSJ","ERG3_ORYSJ")</f>
        <v>ERG3_ORYSJ</v>
      </c>
      <c r="D1931" t="s">
        <v>1897</v>
      </c>
      <c r="E1931" s="3" t="s">
        <v>38</v>
      </c>
      <c r="F1931" s="4">
        <v>2.2600000000000001E-21</v>
      </c>
      <c r="G1931" s="3">
        <v>229</v>
      </c>
      <c r="H1931" s="3">
        <v>63</v>
      </c>
      <c r="I1931" s="3">
        <v>71</v>
      </c>
      <c r="J1931" s="3">
        <v>3</v>
      </c>
      <c r="K1931" s="3">
        <v>215</v>
      </c>
      <c r="L1931" s="3">
        <v>56</v>
      </c>
      <c r="M1931" s="3">
        <v>125</v>
      </c>
    </row>
    <row r="1932" spans="1:13" x14ac:dyDescent="0.25">
      <c r="A1932" s="1" t="str">
        <f>HYPERLINK("http://www.rosaceae.org/Prunus/Prunus_persica/p.persica_gdr_reftransV1_0009365","p.persica_gdr_reftransV1_0009365")</f>
        <v>p.persica_gdr_reftransV1_0009365</v>
      </c>
      <c r="B1932" s="3">
        <v>1767</v>
      </c>
      <c r="C1932" s="1" t="str">
        <f>HYPERLINK("http://www.uniprot.org/uniprot/Y5241_ARATH","Y5241_ARATH")</f>
        <v>Y5241_ARATH</v>
      </c>
      <c r="D1932" t="s">
        <v>1898</v>
      </c>
      <c r="E1932" s="3" t="s">
        <v>3</v>
      </c>
      <c r="F1932" s="4">
        <v>8.9599999999999997E-91</v>
      </c>
      <c r="G1932" s="3">
        <v>777</v>
      </c>
      <c r="H1932" s="3">
        <v>44</v>
      </c>
      <c r="I1932" s="3">
        <v>370</v>
      </c>
      <c r="J1932" s="3">
        <v>186</v>
      </c>
      <c r="K1932" s="3">
        <v>1283</v>
      </c>
      <c r="L1932" s="3">
        <v>26</v>
      </c>
      <c r="M1932" s="3">
        <v>392</v>
      </c>
    </row>
    <row r="1933" spans="1:13" x14ac:dyDescent="0.25">
      <c r="A1933" s="1" t="str">
        <f>HYPERLINK("http://www.rosaceae.org/Prunus/Prunus_persica/p.persica_gdr_reftransV1_0009415","p.persica_gdr_reftransV1_0009415")</f>
        <v>p.persica_gdr_reftransV1_0009415</v>
      </c>
      <c r="B1933" s="3">
        <v>490</v>
      </c>
      <c r="C1933" s="1" t="str">
        <f>HYPERLINK("http://www.uniprot.org/uniprot/ACO13_MOUSE","ACO13_MOUSE")</f>
        <v>ACO13_MOUSE</v>
      </c>
      <c r="D1933" t="s">
        <v>1899</v>
      </c>
      <c r="E1933" s="3" t="s">
        <v>157</v>
      </c>
      <c r="F1933" s="4">
        <v>1.0499999999999999E-11</v>
      </c>
      <c r="G1933" s="3">
        <v>152</v>
      </c>
      <c r="H1933" s="3">
        <v>38</v>
      </c>
      <c r="I1933" s="3">
        <v>107</v>
      </c>
      <c r="J1933" s="3">
        <v>185</v>
      </c>
      <c r="K1933" s="3">
        <v>490</v>
      </c>
      <c r="L1933" s="3">
        <v>40</v>
      </c>
      <c r="M1933" s="3">
        <v>139</v>
      </c>
    </row>
    <row r="1934" spans="1:13" x14ac:dyDescent="0.25">
      <c r="A1934" s="1" t="str">
        <f>HYPERLINK("http://www.rosaceae.org/Prunus/Prunus_persica/p.persica_gdr_reftransV1_0009465","p.persica_gdr_reftransV1_0009465")</f>
        <v>p.persica_gdr_reftransV1_0009465</v>
      </c>
      <c r="B1934" s="3">
        <v>1385</v>
      </c>
      <c r="C1934" s="1" t="str">
        <f>HYPERLINK("http://www.uniprot.org/uniprot/MYOB3_ARATH","MYOB3_ARATH")</f>
        <v>MYOB3_ARATH</v>
      </c>
      <c r="D1934" t="s">
        <v>1900</v>
      </c>
      <c r="E1934" s="3" t="s">
        <v>3</v>
      </c>
      <c r="F1934" s="4">
        <v>2.16E-39</v>
      </c>
      <c r="G1934" s="3">
        <v>389</v>
      </c>
      <c r="H1934" s="3">
        <v>39</v>
      </c>
      <c r="I1934" s="3">
        <v>289</v>
      </c>
      <c r="J1934" s="3">
        <v>1</v>
      </c>
      <c r="K1934" s="3">
        <v>864</v>
      </c>
      <c r="L1934" s="3">
        <v>441</v>
      </c>
      <c r="M1934" s="3">
        <v>663</v>
      </c>
    </row>
    <row r="1935" spans="1:13" x14ac:dyDescent="0.25">
      <c r="A1935" s="1" t="str">
        <f>HYPERLINK("http://www.rosaceae.org/Prunus/Prunus_persica/p.persica_gdr_reftransV1_0009515","p.persica_gdr_reftransV1_0009515")</f>
        <v>p.persica_gdr_reftransV1_0009515</v>
      </c>
      <c r="B1935" s="3">
        <v>1460</v>
      </c>
      <c r="C1935" s="1" t="str">
        <f>HYPERLINK("http://www.uniprot.org/uniprot/GRF3_ORYSJ","GRF3_ORYSJ")</f>
        <v>GRF3_ORYSJ</v>
      </c>
      <c r="D1935" t="s">
        <v>1901</v>
      </c>
      <c r="E1935" s="3" t="s">
        <v>38</v>
      </c>
      <c r="F1935" s="4">
        <v>3.2400000000000002E-56</v>
      </c>
      <c r="G1935" s="3">
        <v>502</v>
      </c>
      <c r="H1935" s="3">
        <v>40</v>
      </c>
      <c r="I1935" s="3">
        <v>357</v>
      </c>
      <c r="J1935" s="3">
        <v>392</v>
      </c>
      <c r="K1935" s="3">
        <v>1363</v>
      </c>
      <c r="L1935" s="3">
        <v>52</v>
      </c>
      <c r="M1935" s="3">
        <v>386</v>
      </c>
    </row>
    <row r="1936" spans="1:13" x14ac:dyDescent="0.25">
      <c r="A1936" s="1" t="str">
        <f>HYPERLINK("http://www.rosaceae.org/Prunus/Prunus_persica/p.persica_gdr_reftransV1_0009815","p.persica_gdr_reftransV1_0009815")</f>
        <v>p.persica_gdr_reftransV1_0009815</v>
      </c>
      <c r="B1936" s="3">
        <v>2495</v>
      </c>
      <c r="C1936" s="1" t="str">
        <f>HYPERLINK("http://www.uniprot.org/uniprot/ZAT4_ARATH","ZAT4_ARATH")</f>
        <v>ZAT4_ARATH</v>
      </c>
      <c r="D1936" t="s">
        <v>1902</v>
      </c>
      <c r="E1936" s="3" t="s">
        <v>3</v>
      </c>
      <c r="F1936" s="4">
        <v>2.0400000000000001E-23</v>
      </c>
      <c r="G1936" s="3">
        <v>265</v>
      </c>
      <c r="H1936" s="3">
        <v>44</v>
      </c>
      <c r="I1936" s="3">
        <v>147</v>
      </c>
      <c r="J1936" s="3">
        <v>1652</v>
      </c>
      <c r="K1936" s="3">
        <v>2086</v>
      </c>
      <c r="L1936" s="3">
        <v>186</v>
      </c>
      <c r="M1936" s="3">
        <v>301</v>
      </c>
    </row>
    <row r="1937" spans="1:13" x14ac:dyDescent="0.25">
      <c r="A1937" s="1" t="str">
        <f>HYPERLINK("http://www.rosaceae.org/Prunus/Prunus_persica/p.persica_gdr_reftransV1_0009865","p.persica_gdr_reftransV1_0009865")</f>
        <v>p.persica_gdr_reftransV1_0009865</v>
      </c>
      <c r="B1937" s="3">
        <v>932</v>
      </c>
      <c r="C1937" s="1" t="str">
        <f>HYPERLINK("http://www.uniprot.org/uniprot/ALF_CICAR","ALF_CICAR")</f>
        <v>ALF_CICAR</v>
      </c>
      <c r="D1937" t="s">
        <v>1903</v>
      </c>
      <c r="E1937" s="3" t="s">
        <v>944</v>
      </c>
      <c r="F1937" s="4">
        <v>2.8200000000000001E-117</v>
      </c>
      <c r="G1937" s="3">
        <v>895</v>
      </c>
      <c r="H1937" s="3">
        <v>88</v>
      </c>
      <c r="I1937" s="3">
        <v>186</v>
      </c>
      <c r="J1937" s="3">
        <v>2</v>
      </c>
      <c r="K1937" s="3">
        <v>559</v>
      </c>
      <c r="L1937" s="3">
        <v>174</v>
      </c>
      <c r="M1937" s="3">
        <v>359</v>
      </c>
    </row>
    <row r="1938" spans="1:13" x14ac:dyDescent="0.25">
      <c r="A1938" s="1" t="str">
        <f>HYPERLINK("http://www.rosaceae.org/Prunus/Prunus_persica/p.persica_gdr_reftransV1_0010215","p.persica_gdr_reftransV1_0010215")</f>
        <v>p.persica_gdr_reftransV1_0010215</v>
      </c>
      <c r="B1938" s="3">
        <v>2003</v>
      </c>
      <c r="C1938" s="1" t="str">
        <f>HYPERLINK("http://www.uniprot.org/uniprot/WRKY6_ARATH","WRKY6_ARATH")</f>
        <v>WRKY6_ARATH</v>
      </c>
      <c r="D1938" t="s">
        <v>1904</v>
      </c>
      <c r="E1938" s="3" t="s">
        <v>3</v>
      </c>
      <c r="F1938" s="4">
        <v>8.5500000000000007E-112</v>
      </c>
      <c r="G1938" s="3">
        <v>909</v>
      </c>
      <c r="H1938" s="3">
        <v>52</v>
      </c>
      <c r="I1938" s="3">
        <v>469</v>
      </c>
      <c r="J1938" s="3">
        <v>90</v>
      </c>
      <c r="K1938" s="3">
        <v>1415</v>
      </c>
      <c r="L1938" s="3">
        <v>84</v>
      </c>
      <c r="M1938" s="3">
        <v>498</v>
      </c>
    </row>
    <row r="1939" spans="1:13" x14ac:dyDescent="0.25">
      <c r="A1939" s="1" t="str">
        <f>HYPERLINK("http://www.rosaceae.org/Prunus/Prunus_persica/p.persica_gdr_reftransV1_0010265","p.persica_gdr_reftransV1_0010265")</f>
        <v>p.persica_gdr_reftransV1_0010265</v>
      </c>
      <c r="B1939" s="3">
        <v>1229</v>
      </c>
      <c r="C1939" s="1" t="str">
        <f>HYPERLINK("http://www.uniprot.org/uniprot/IF4G1_ARATH","IF4G1_ARATH")</f>
        <v>IF4G1_ARATH</v>
      </c>
      <c r="D1939" t="s">
        <v>1905</v>
      </c>
      <c r="E1939" s="3" t="s">
        <v>3</v>
      </c>
      <c r="F1939" s="4">
        <v>6.9299999999999995E-58</v>
      </c>
      <c r="G1939" s="3">
        <v>526</v>
      </c>
      <c r="H1939" s="3">
        <v>60</v>
      </c>
      <c r="I1939" s="3">
        <v>179</v>
      </c>
      <c r="J1939" s="3">
        <v>454</v>
      </c>
      <c r="K1939" s="3">
        <v>969</v>
      </c>
      <c r="L1939" s="3">
        <v>45</v>
      </c>
      <c r="M1939" s="3">
        <v>221</v>
      </c>
    </row>
    <row r="1940" spans="1:13" x14ac:dyDescent="0.25">
      <c r="A1940" s="1" t="str">
        <f>HYPERLINK("http://www.rosaceae.org/Prunus/Prunus_persica/p.persica_gdr_reftransV1_0010365","p.persica_gdr_reftransV1_0010365")</f>
        <v>p.persica_gdr_reftransV1_0010365</v>
      </c>
      <c r="B1940" s="3">
        <v>403</v>
      </c>
      <c r="C1940" s="1" t="str">
        <f>HYPERLINK("http://www.uniprot.org/uniprot/MED8_ARATH","MED8_ARATH")</f>
        <v>MED8_ARATH</v>
      </c>
      <c r="D1940" t="s">
        <v>366</v>
      </c>
      <c r="E1940" s="3" t="s">
        <v>3</v>
      </c>
      <c r="F1940" s="4">
        <v>5.7599999999999999E-24</v>
      </c>
      <c r="G1940" s="3">
        <v>249</v>
      </c>
      <c r="H1940" s="3">
        <v>57</v>
      </c>
      <c r="I1940" s="3">
        <v>77</v>
      </c>
      <c r="J1940" s="3">
        <v>156</v>
      </c>
      <c r="K1940" s="3">
        <v>386</v>
      </c>
      <c r="L1940" s="3">
        <v>14</v>
      </c>
      <c r="M1940" s="3">
        <v>90</v>
      </c>
    </row>
    <row r="1941" spans="1:13" x14ac:dyDescent="0.25">
      <c r="A1941" s="1" t="str">
        <f>HYPERLINK("http://www.rosaceae.org/Prunus/Prunus_persica/p.persica_gdr_reftransV1_0010565","p.persica_gdr_reftransV1_0010565")</f>
        <v>p.persica_gdr_reftransV1_0010565</v>
      </c>
      <c r="B1941" s="3">
        <v>3544</v>
      </c>
      <c r="C1941" s="1" t="str">
        <f>HYPERLINK("http://www.uniprot.org/uniprot/XLG1_ARATH","XLG1_ARATH")</f>
        <v>XLG1_ARATH</v>
      </c>
      <c r="D1941" t="s">
        <v>1906</v>
      </c>
      <c r="E1941" s="3" t="s">
        <v>3</v>
      </c>
      <c r="F1941" s="4">
        <v>0</v>
      </c>
      <c r="G1941" s="3">
        <v>2351</v>
      </c>
      <c r="H1941" s="3">
        <v>67</v>
      </c>
      <c r="I1941" s="3">
        <v>724</v>
      </c>
      <c r="J1941" s="3">
        <v>1120</v>
      </c>
      <c r="K1941" s="3">
        <v>3228</v>
      </c>
      <c r="L1941" s="3">
        <v>1</v>
      </c>
      <c r="M1941" s="3">
        <v>701</v>
      </c>
    </row>
    <row r="1942" spans="1:13" x14ac:dyDescent="0.25">
      <c r="A1942" s="1" t="str">
        <f>HYPERLINK("http://www.rosaceae.org/Prunus/Prunus_persica/p.persica_gdr_reftransV1_0010615","p.persica_gdr_reftransV1_0010615")</f>
        <v>p.persica_gdr_reftransV1_0010615</v>
      </c>
      <c r="B1942" s="3">
        <v>577</v>
      </c>
      <c r="C1942" s="1" t="str">
        <f>HYPERLINK("http://www.uniprot.org/uniprot/PPR84_ARATH","PPR84_ARATH")</f>
        <v>PPR84_ARATH</v>
      </c>
      <c r="D1942" t="s">
        <v>1907</v>
      </c>
      <c r="E1942" s="3" t="s">
        <v>3</v>
      </c>
      <c r="F1942" s="4">
        <v>1.2999999999999999E-57</v>
      </c>
      <c r="G1942" s="3">
        <v>502</v>
      </c>
      <c r="H1942" s="3">
        <v>73</v>
      </c>
      <c r="I1942" s="3">
        <v>125</v>
      </c>
      <c r="J1942" s="3">
        <v>1</v>
      </c>
      <c r="K1942" s="3">
        <v>375</v>
      </c>
      <c r="L1942" s="3">
        <v>580</v>
      </c>
      <c r="M1942" s="3">
        <v>704</v>
      </c>
    </row>
    <row r="1943" spans="1:13" x14ac:dyDescent="0.25">
      <c r="A1943" s="1" t="str">
        <f>HYPERLINK("http://www.rosaceae.org/Prunus/Prunus_persica/p.persica_gdr_reftransV1_0010715","p.persica_gdr_reftransV1_0010715")</f>
        <v>p.persica_gdr_reftransV1_0010715</v>
      </c>
      <c r="B1943" s="3">
        <v>1481</v>
      </c>
      <c r="C1943" s="1" t="str">
        <f>HYPERLINK("http://www.uniprot.org/uniprot/NGDN_BOVIN","NGDN_BOVIN")</f>
        <v>NGDN_BOVIN</v>
      </c>
      <c r="D1943" t="s">
        <v>1908</v>
      </c>
      <c r="E1943" s="3" t="s">
        <v>184</v>
      </c>
      <c r="F1943" s="4">
        <v>3.8599999999999999E-30</v>
      </c>
      <c r="G1943" s="3">
        <v>309</v>
      </c>
      <c r="H1943" s="3">
        <v>33</v>
      </c>
      <c r="I1943" s="3">
        <v>270</v>
      </c>
      <c r="J1943" s="3">
        <v>517</v>
      </c>
      <c r="K1943" s="3">
        <v>1263</v>
      </c>
      <c r="L1943" s="3">
        <v>7</v>
      </c>
      <c r="M1943" s="3">
        <v>252</v>
      </c>
    </row>
    <row r="1944" spans="1:13" x14ac:dyDescent="0.25">
      <c r="A1944" s="1" t="str">
        <f>HYPERLINK("http://www.rosaceae.org/Prunus/Prunus_persica/p.persica_gdr_reftransV1_0010865","p.persica_gdr_reftransV1_0010865")</f>
        <v>p.persica_gdr_reftransV1_0010865</v>
      </c>
      <c r="B1944" s="3">
        <v>1390</v>
      </c>
      <c r="C1944" s="1" t="str">
        <f>HYPERLINK("http://www.uniprot.org/uniprot/NB5R2_ARATH","NB5R2_ARATH")</f>
        <v>NB5R2_ARATH</v>
      </c>
      <c r="D1944" t="s">
        <v>1909</v>
      </c>
      <c r="E1944" s="3" t="s">
        <v>3</v>
      </c>
      <c r="F1944" s="4">
        <v>1.07E-177</v>
      </c>
      <c r="G1944" s="3">
        <v>1307</v>
      </c>
      <c r="H1944" s="3">
        <v>78</v>
      </c>
      <c r="I1944" s="3">
        <v>326</v>
      </c>
      <c r="J1944" s="3">
        <v>167</v>
      </c>
      <c r="K1944" s="3">
        <v>1135</v>
      </c>
      <c r="L1944" s="3">
        <v>3</v>
      </c>
      <c r="M1944" s="3">
        <v>328</v>
      </c>
    </row>
    <row r="1945" spans="1:13" x14ac:dyDescent="0.25">
      <c r="A1945" s="1" t="str">
        <f>HYPERLINK("http://www.rosaceae.org/Prunus/Prunus_persica/p.persica_gdr_reftransV1_0010915","p.persica_gdr_reftransV1_0010915")</f>
        <v>p.persica_gdr_reftransV1_0010915</v>
      </c>
      <c r="B1945" s="3">
        <v>2212</v>
      </c>
      <c r="C1945" s="1" t="str">
        <f>HYPERLINK("http://www.uniprot.org/uniprot/LPSB_RHIME","LPSB_RHIME")</f>
        <v>LPSB_RHIME</v>
      </c>
      <c r="D1945" t="s">
        <v>1910</v>
      </c>
      <c r="E1945" s="3" t="s">
        <v>1911</v>
      </c>
      <c r="F1945" s="4">
        <v>1.0700000000000001E-10</v>
      </c>
      <c r="G1945" s="3">
        <v>164</v>
      </c>
      <c r="H1945" s="3">
        <v>24</v>
      </c>
      <c r="I1945" s="3">
        <v>238</v>
      </c>
      <c r="J1945" s="3">
        <v>447</v>
      </c>
      <c r="K1945" s="3">
        <v>1154</v>
      </c>
      <c r="L1945" s="3">
        <v>132</v>
      </c>
      <c r="M1945" s="3">
        <v>350</v>
      </c>
    </row>
    <row r="1946" spans="1:13" x14ac:dyDescent="0.25">
      <c r="A1946" s="1" t="str">
        <f>HYPERLINK("http://www.rosaceae.org/Prunus/Prunus_persica/p.persica_gdr_reftransV1_0010965","p.persica_gdr_reftransV1_0010965")</f>
        <v>p.persica_gdr_reftransV1_0010965</v>
      </c>
      <c r="B1946" s="3">
        <v>3253</v>
      </c>
      <c r="C1946" s="1" t="str">
        <f>HYPERLINK("http://www.uniprot.org/uniprot/DOF17_ARATH","DOF17_ARATH")</f>
        <v>DOF17_ARATH</v>
      </c>
      <c r="D1946" t="s">
        <v>1912</v>
      </c>
      <c r="E1946" s="3" t="s">
        <v>3</v>
      </c>
      <c r="F1946" s="4">
        <v>1.0599999999999999E-33</v>
      </c>
      <c r="G1946" s="3">
        <v>337</v>
      </c>
      <c r="H1946" s="3">
        <v>52</v>
      </c>
      <c r="I1946" s="3">
        <v>153</v>
      </c>
      <c r="J1946" s="3">
        <v>819</v>
      </c>
      <c r="K1946" s="3">
        <v>1244</v>
      </c>
      <c r="L1946" s="3">
        <v>18</v>
      </c>
      <c r="M1946" s="3">
        <v>158</v>
      </c>
    </row>
    <row r="1947" spans="1:13" x14ac:dyDescent="0.25">
      <c r="A1947" s="1" t="str">
        <f>HYPERLINK("http://www.rosaceae.org/Prunus/Prunus_persica/p.persica_gdr_reftransV1_0011065","p.persica_gdr_reftransV1_0011065")</f>
        <v>p.persica_gdr_reftransV1_0011065</v>
      </c>
      <c r="B1947" s="3">
        <v>1033</v>
      </c>
      <c r="C1947" s="1" t="str">
        <f>HYPERLINK("http://www.uniprot.org/uniprot/Y1465_ARATH","Y1465_ARATH")</f>
        <v>Y1465_ARATH</v>
      </c>
      <c r="D1947" t="s">
        <v>1913</v>
      </c>
      <c r="E1947" s="3" t="s">
        <v>3</v>
      </c>
      <c r="F1947" s="4">
        <v>6.1900000000000001E-12</v>
      </c>
      <c r="G1947" s="3">
        <v>164</v>
      </c>
      <c r="H1947" s="3">
        <v>26</v>
      </c>
      <c r="I1947" s="3">
        <v>211</v>
      </c>
      <c r="J1947" s="3">
        <v>128</v>
      </c>
      <c r="K1947" s="3">
        <v>742</v>
      </c>
      <c r="L1947" s="3">
        <v>9</v>
      </c>
      <c r="M1947" s="3">
        <v>214</v>
      </c>
    </row>
    <row r="1948" spans="1:13" x14ac:dyDescent="0.25">
      <c r="A1948" s="1" t="str">
        <f>HYPERLINK("http://www.rosaceae.org/Prunus/Prunus_persica/p.persica_gdr_reftransV1_0011115","p.persica_gdr_reftransV1_0011115")</f>
        <v>p.persica_gdr_reftransV1_0011115</v>
      </c>
      <c r="B1948" s="3">
        <v>1315</v>
      </c>
      <c r="C1948" s="1" t="str">
        <f>HYPERLINK("http://www.uniprot.org/uniprot/RNG1L_ARATH","RNG1L_ARATH")</f>
        <v>RNG1L_ARATH</v>
      </c>
      <c r="D1948" t="s">
        <v>189</v>
      </c>
      <c r="E1948" s="3" t="s">
        <v>3</v>
      </c>
      <c r="F1948" s="4">
        <v>3.2500000000000002E-10</v>
      </c>
      <c r="G1948" s="3">
        <v>157</v>
      </c>
      <c r="H1948" s="3">
        <v>45</v>
      </c>
      <c r="I1948" s="3">
        <v>47</v>
      </c>
      <c r="J1948" s="3">
        <v>709</v>
      </c>
      <c r="K1948" s="3">
        <v>849</v>
      </c>
      <c r="L1948" s="3">
        <v>214</v>
      </c>
      <c r="M1948" s="3">
        <v>260</v>
      </c>
    </row>
    <row r="1949" spans="1:13" x14ac:dyDescent="0.25">
      <c r="A1949" s="1" t="str">
        <f>HYPERLINK("http://www.rosaceae.org/Prunus/Prunus_persica/p.persica_gdr_reftransV1_0011165","p.persica_gdr_reftransV1_0011165")</f>
        <v>p.persica_gdr_reftransV1_0011165</v>
      </c>
      <c r="B1949" s="3">
        <v>2580</v>
      </c>
      <c r="C1949" s="1" t="str">
        <f>HYPERLINK("http://www.uniprot.org/uniprot/GPAT6_ARATH","GPAT6_ARATH")</f>
        <v>GPAT6_ARATH</v>
      </c>
      <c r="D1949" t="s">
        <v>1914</v>
      </c>
      <c r="E1949" s="3" t="s">
        <v>3</v>
      </c>
      <c r="F1949" s="4">
        <v>8.3799999999999995E-167</v>
      </c>
      <c r="G1949" s="3">
        <v>1290</v>
      </c>
      <c r="H1949" s="3">
        <v>86</v>
      </c>
      <c r="I1949" s="3">
        <v>289</v>
      </c>
      <c r="J1949" s="3">
        <v>1367</v>
      </c>
      <c r="K1949" s="3">
        <v>2233</v>
      </c>
      <c r="L1949" s="3">
        <v>206</v>
      </c>
      <c r="M1949" s="3">
        <v>494</v>
      </c>
    </row>
    <row r="1950" spans="1:13" x14ac:dyDescent="0.25">
      <c r="A1950" s="1" t="str">
        <f>HYPERLINK("http://www.rosaceae.org/Prunus/Prunus_persica/p.persica_gdr_reftransV1_0011265","p.persica_gdr_reftransV1_0011265")</f>
        <v>p.persica_gdr_reftransV1_0011265</v>
      </c>
      <c r="B1950" s="3">
        <v>845</v>
      </c>
      <c r="C1950" s="1" t="str">
        <f>HYPERLINK("http://www.uniprot.org/uniprot/WAKLQ_ARATH","WAKLQ_ARATH")</f>
        <v>WAKLQ_ARATH</v>
      </c>
      <c r="D1950" t="s">
        <v>1055</v>
      </c>
      <c r="E1950" s="3" t="s">
        <v>3</v>
      </c>
      <c r="F1950" s="4">
        <v>7.4700000000000007E-43</v>
      </c>
      <c r="G1950" s="3">
        <v>402</v>
      </c>
      <c r="H1950" s="3">
        <v>67</v>
      </c>
      <c r="I1950" s="3">
        <v>110</v>
      </c>
      <c r="J1950" s="3">
        <v>516</v>
      </c>
      <c r="K1950" s="3">
        <v>845</v>
      </c>
      <c r="L1950" s="3">
        <v>540</v>
      </c>
      <c r="M1950" s="3">
        <v>649</v>
      </c>
    </row>
    <row r="1951" spans="1:13" x14ac:dyDescent="0.25">
      <c r="A1951" s="1" t="str">
        <f>HYPERLINK("http://www.rosaceae.org/Prunus/Prunus_persica/p.persica_gdr_reftransV1_0011315","p.persica_gdr_reftransV1_0011315")</f>
        <v>p.persica_gdr_reftransV1_0011315</v>
      </c>
      <c r="B1951" s="3">
        <v>1267</v>
      </c>
      <c r="C1951" s="1" t="str">
        <f>HYPERLINK("http://www.uniprot.org/uniprot/ELO2_YEAST","ELO2_YEAST")</f>
        <v>ELO2_YEAST</v>
      </c>
      <c r="D1951" t="s">
        <v>1525</v>
      </c>
      <c r="E1951" s="3" t="s">
        <v>34</v>
      </c>
      <c r="F1951" s="4">
        <v>6.6800000000000003E-19</v>
      </c>
      <c r="G1951" s="3">
        <v>224</v>
      </c>
      <c r="H1951" s="3">
        <v>38</v>
      </c>
      <c r="I1951" s="3">
        <v>154</v>
      </c>
      <c r="J1951" s="3">
        <v>588</v>
      </c>
      <c r="K1951" s="3">
        <v>1019</v>
      </c>
      <c r="L1951" s="3">
        <v>151</v>
      </c>
      <c r="M1951" s="3">
        <v>302</v>
      </c>
    </row>
    <row r="1952" spans="1:13" x14ac:dyDescent="0.25">
      <c r="A1952" s="1" t="str">
        <f>HYPERLINK("http://www.rosaceae.org/Prunus/Prunus_persica/p.persica_gdr_reftransV1_0011365","p.persica_gdr_reftransV1_0011365")</f>
        <v>p.persica_gdr_reftransV1_0011365</v>
      </c>
      <c r="B1952" s="3">
        <v>2957</v>
      </c>
      <c r="C1952" s="1" t="str">
        <f>HYPERLINK("http://www.uniprot.org/uniprot/YDM6_SCHPO","YDM6_SCHPO")</f>
        <v>YDM6_SCHPO</v>
      </c>
      <c r="D1952" t="s">
        <v>1915</v>
      </c>
      <c r="E1952" s="3" t="s">
        <v>464</v>
      </c>
      <c r="F1952" s="4">
        <v>1.18E-24</v>
      </c>
      <c r="G1952" s="3">
        <v>286</v>
      </c>
      <c r="H1952" s="3">
        <v>37</v>
      </c>
      <c r="I1952" s="3">
        <v>267</v>
      </c>
      <c r="J1952" s="3">
        <v>572</v>
      </c>
      <c r="K1952" s="3">
        <v>1348</v>
      </c>
      <c r="L1952" s="3">
        <v>272</v>
      </c>
      <c r="M1952" s="3">
        <v>527</v>
      </c>
    </row>
    <row r="1953" spans="1:13" x14ac:dyDescent="0.25">
      <c r="A1953" s="1" t="str">
        <f>HYPERLINK("http://www.rosaceae.org/Prunus/Prunus_persica/p.persica_gdr_reftransV1_0011415","p.persica_gdr_reftransV1_0011415")</f>
        <v>p.persica_gdr_reftransV1_0011415</v>
      </c>
      <c r="B1953" s="3">
        <v>880</v>
      </c>
      <c r="C1953" s="1" t="str">
        <f>HYPERLINK("http://www.uniprot.org/uniprot/PSMG3_DICDI","PSMG3_DICDI")</f>
        <v>PSMG3_DICDI</v>
      </c>
      <c r="D1953" t="s">
        <v>1916</v>
      </c>
      <c r="E1953" s="3" t="s">
        <v>9</v>
      </c>
      <c r="F1953" s="4">
        <v>3.7200000000000003E-12</v>
      </c>
      <c r="G1953" s="3">
        <v>161</v>
      </c>
      <c r="H1953" s="3">
        <v>31</v>
      </c>
      <c r="I1953" s="3">
        <v>118</v>
      </c>
      <c r="J1953" s="3">
        <v>113</v>
      </c>
      <c r="K1953" s="3">
        <v>457</v>
      </c>
      <c r="L1953" s="3">
        <v>29</v>
      </c>
      <c r="M1953" s="3">
        <v>145</v>
      </c>
    </row>
    <row r="1954" spans="1:13" x14ac:dyDescent="0.25">
      <c r="A1954" s="1" t="str">
        <f>HYPERLINK("http://www.rosaceae.org/Prunus/Prunus_persica/p.persica_gdr_reftransV1_0011615","p.persica_gdr_reftransV1_0011615")</f>
        <v>p.persica_gdr_reftransV1_0011615</v>
      </c>
      <c r="B1954" s="3">
        <v>2788</v>
      </c>
      <c r="C1954" s="1" t="str">
        <f>HYPERLINK("http://www.uniprot.org/uniprot/NAC8_ARATH","NAC8_ARATH")</f>
        <v>NAC8_ARATH</v>
      </c>
      <c r="D1954" t="s">
        <v>1917</v>
      </c>
      <c r="E1954" s="3" t="s">
        <v>3</v>
      </c>
      <c r="F1954" s="4">
        <v>1.17E-73</v>
      </c>
      <c r="G1954" s="3">
        <v>651</v>
      </c>
      <c r="H1954" s="3">
        <v>52</v>
      </c>
      <c r="I1954" s="3">
        <v>261</v>
      </c>
      <c r="J1954" s="3">
        <v>1312</v>
      </c>
      <c r="K1954" s="3">
        <v>2079</v>
      </c>
      <c r="L1954" s="3">
        <v>4</v>
      </c>
      <c r="M1954" s="3">
        <v>256</v>
      </c>
    </row>
    <row r="1955" spans="1:13" x14ac:dyDescent="0.25">
      <c r="A1955" s="1" t="str">
        <f>HYPERLINK("http://www.rosaceae.org/Prunus/Prunus_persica/p.persica_gdr_reftransV1_0011815","p.persica_gdr_reftransV1_0011815")</f>
        <v>p.persica_gdr_reftransV1_0011815</v>
      </c>
      <c r="B1955" s="3">
        <v>1539</v>
      </c>
      <c r="C1955" s="1" t="str">
        <f>HYPERLINK("http://www.uniprot.org/uniprot/CAF1F_ARATH","CAF1F_ARATH")</f>
        <v>CAF1F_ARATH</v>
      </c>
      <c r="D1955" t="s">
        <v>1918</v>
      </c>
      <c r="E1955" s="3" t="s">
        <v>3</v>
      </c>
      <c r="F1955" s="4">
        <v>1.1299999999999999E-161</v>
      </c>
      <c r="G1955" s="3">
        <v>1201</v>
      </c>
      <c r="H1955" s="3">
        <v>81</v>
      </c>
      <c r="I1955" s="3">
        <v>269</v>
      </c>
      <c r="J1955" s="3">
        <v>516</v>
      </c>
      <c r="K1955" s="3">
        <v>1322</v>
      </c>
      <c r="L1955" s="3">
        <v>1</v>
      </c>
      <c r="M1955" s="3">
        <v>269</v>
      </c>
    </row>
    <row r="1956" spans="1:13" x14ac:dyDescent="0.25">
      <c r="A1956" s="1" t="str">
        <f>HYPERLINK("http://www.rosaceae.org/Prunus/Prunus_persica/p.persica_gdr_reftransV1_0011865","p.persica_gdr_reftransV1_0011865")</f>
        <v>p.persica_gdr_reftransV1_0011865</v>
      </c>
      <c r="B1956" s="3">
        <v>2650</v>
      </c>
      <c r="C1956" s="1" t="str">
        <f>HYPERLINK("http://www.uniprot.org/uniprot/ZRAB3_BOVIN","ZRAB3_BOVIN")</f>
        <v>ZRAB3_BOVIN</v>
      </c>
      <c r="D1956" t="s">
        <v>1919</v>
      </c>
      <c r="E1956" s="3" t="s">
        <v>184</v>
      </c>
      <c r="F1956" s="4">
        <v>7.5100000000000006E-102</v>
      </c>
      <c r="G1956" s="3">
        <v>890</v>
      </c>
      <c r="H1956" s="3">
        <v>40</v>
      </c>
      <c r="I1956" s="3">
        <v>495</v>
      </c>
      <c r="J1956" s="3">
        <v>751</v>
      </c>
      <c r="K1956" s="3">
        <v>2211</v>
      </c>
      <c r="L1956" s="3">
        <v>25</v>
      </c>
      <c r="M1956" s="3">
        <v>477</v>
      </c>
    </row>
    <row r="1957" spans="1:13" x14ac:dyDescent="0.25">
      <c r="A1957" s="1" t="str">
        <f>HYPERLINK("http://www.rosaceae.org/Prunus/Prunus_persica/p.persica_gdr_reftransV1_0011915","p.persica_gdr_reftransV1_0011915")</f>
        <v>p.persica_gdr_reftransV1_0011915</v>
      </c>
      <c r="B1957" s="3">
        <v>1068</v>
      </c>
      <c r="C1957" s="1" t="str">
        <f>HYPERLINK("http://www.uniprot.org/uniprot/IKU2_ARATH","IKU2_ARATH")</f>
        <v>IKU2_ARATH</v>
      </c>
      <c r="D1957" t="s">
        <v>1920</v>
      </c>
      <c r="E1957" s="3" t="s">
        <v>3</v>
      </c>
      <c r="F1957" s="4">
        <v>2.7299999999999998E-43</v>
      </c>
      <c r="G1957" s="3">
        <v>418</v>
      </c>
      <c r="H1957" s="3">
        <v>51</v>
      </c>
      <c r="I1957" s="3">
        <v>183</v>
      </c>
      <c r="J1957" s="3">
        <v>532</v>
      </c>
      <c r="K1957" s="3">
        <v>1068</v>
      </c>
      <c r="L1957" s="3">
        <v>820</v>
      </c>
      <c r="M1957" s="3">
        <v>971</v>
      </c>
    </row>
    <row r="1958" spans="1:13" x14ac:dyDescent="0.25">
      <c r="A1958" s="1" t="str">
        <f>HYPERLINK("http://www.rosaceae.org/Prunus/Prunus_persica/p.persica_gdr_reftransV1_0012015","p.persica_gdr_reftransV1_0012015")</f>
        <v>p.persica_gdr_reftransV1_0012015</v>
      </c>
      <c r="B1958" s="3">
        <v>1945</v>
      </c>
      <c r="C1958" s="1" t="str">
        <f>HYPERLINK("http://www.uniprot.org/uniprot/LHTL6_ARATH","LHTL6_ARATH")</f>
        <v>LHTL6_ARATH</v>
      </c>
      <c r="D1958" t="s">
        <v>1921</v>
      </c>
      <c r="E1958" s="3" t="s">
        <v>3</v>
      </c>
      <c r="F1958" s="4">
        <v>0</v>
      </c>
      <c r="G1958" s="3">
        <v>1750</v>
      </c>
      <c r="H1958" s="3">
        <v>79</v>
      </c>
      <c r="I1958" s="3">
        <v>424</v>
      </c>
      <c r="J1958" s="3">
        <v>370</v>
      </c>
      <c r="K1958" s="3">
        <v>1641</v>
      </c>
      <c r="L1958" s="3">
        <v>17</v>
      </c>
      <c r="M1958" s="3">
        <v>439</v>
      </c>
    </row>
    <row r="1959" spans="1:13" x14ac:dyDescent="0.25">
      <c r="A1959" s="1" t="str">
        <f>HYPERLINK("http://www.rosaceae.org/Prunus/Prunus_persica/p.persica_gdr_reftransV1_0012065","p.persica_gdr_reftransV1_0012065")</f>
        <v>p.persica_gdr_reftransV1_0012065</v>
      </c>
      <c r="B1959" s="3">
        <v>975</v>
      </c>
      <c r="C1959" s="1" t="str">
        <f>HYPERLINK("http://www.uniprot.org/uniprot/LOG1_ARATH","LOG1_ARATH")</f>
        <v>LOG1_ARATH</v>
      </c>
      <c r="D1959" t="s">
        <v>1922</v>
      </c>
      <c r="E1959" s="3" t="s">
        <v>3</v>
      </c>
      <c r="F1959" s="4">
        <v>3.4300000000000001E-110</v>
      </c>
      <c r="G1959" s="3">
        <v>836</v>
      </c>
      <c r="H1959" s="3">
        <v>78</v>
      </c>
      <c r="I1959" s="3">
        <v>200</v>
      </c>
      <c r="J1959" s="3">
        <v>164</v>
      </c>
      <c r="K1959" s="3">
        <v>751</v>
      </c>
      <c r="L1959" s="3">
        <v>3</v>
      </c>
      <c r="M1959" s="3">
        <v>202</v>
      </c>
    </row>
    <row r="1960" spans="1:13" x14ac:dyDescent="0.25">
      <c r="A1960" s="1" t="str">
        <f>HYPERLINK("http://www.rosaceae.org/Prunus/Prunus_persica/p.persica_gdr_reftransV1_0012115","p.persica_gdr_reftransV1_0012115")</f>
        <v>p.persica_gdr_reftransV1_0012115</v>
      </c>
      <c r="B1960" s="3">
        <v>2937</v>
      </c>
      <c r="C1960" s="1" t="str">
        <f>HYPERLINK("http://www.uniprot.org/uniprot/ZDH17_ARATH","ZDH17_ARATH")</f>
        <v>ZDH17_ARATH</v>
      </c>
      <c r="D1960" t="s">
        <v>1923</v>
      </c>
      <c r="E1960" s="3" t="s">
        <v>3</v>
      </c>
      <c r="F1960" s="4">
        <v>0</v>
      </c>
      <c r="G1960" s="3">
        <v>1879</v>
      </c>
      <c r="H1960" s="3">
        <v>63</v>
      </c>
      <c r="I1960" s="3">
        <v>731</v>
      </c>
      <c r="J1960" s="3">
        <v>498</v>
      </c>
      <c r="K1960" s="3">
        <v>2633</v>
      </c>
      <c r="L1960" s="3">
        <v>1</v>
      </c>
      <c r="M1960" s="3">
        <v>715</v>
      </c>
    </row>
    <row r="1961" spans="1:13" x14ac:dyDescent="0.25">
      <c r="A1961" s="1" t="str">
        <f>HYPERLINK("http://www.rosaceae.org/Prunus/Prunus_persica/p.persica_gdr_reftransV1_0012165","p.persica_gdr_reftransV1_0012165")</f>
        <v>p.persica_gdr_reftransV1_0012165</v>
      </c>
      <c r="B1961" s="3">
        <v>2088</v>
      </c>
      <c r="C1961" s="1" t="str">
        <f>HYPERLINK("http://www.uniprot.org/uniprot/CTLHA_DICDI","CTLHA_DICDI")</f>
        <v>CTLHA_DICDI</v>
      </c>
      <c r="D1961" t="s">
        <v>1924</v>
      </c>
      <c r="E1961" s="3" t="s">
        <v>9</v>
      </c>
      <c r="F1961" s="4">
        <v>4.89E-7</v>
      </c>
      <c r="G1961" s="3">
        <v>135</v>
      </c>
      <c r="H1961" s="3">
        <v>23</v>
      </c>
      <c r="I1961" s="3">
        <v>240</v>
      </c>
      <c r="J1961" s="3">
        <v>1104</v>
      </c>
      <c r="K1961" s="3">
        <v>1775</v>
      </c>
      <c r="L1961" s="3">
        <v>296</v>
      </c>
      <c r="M1961" s="3">
        <v>529</v>
      </c>
    </row>
    <row r="1962" spans="1:13" x14ac:dyDescent="0.25">
      <c r="A1962" s="1" t="str">
        <f>HYPERLINK("http://www.rosaceae.org/Prunus/Prunus_persica/p.persica_gdr_reftransV1_0012615","p.persica_gdr_reftransV1_0012615")</f>
        <v>p.persica_gdr_reftransV1_0012615</v>
      </c>
      <c r="B1962" s="3">
        <v>2404</v>
      </c>
      <c r="C1962" s="1" t="str">
        <f>HYPERLINK("http://www.uniprot.org/uniprot/SPF31_SCHPO","SPF31_SCHPO")</f>
        <v>SPF31_SCHPO</v>
      </c>
      <c r="D1962" t="s">
        <v>1925</v>
      </c>
      <c r="E1962" s="3" t="s">
        <v>464</v>
      </c>
      <c r="F1962" s="4">
        <v>6.0999999999999996E-10</v>
      </c>
      <c r="G1962" s="3">
        <v>153</v>
      </c>
      <c r="H1962" s="3">
        <v>32</v>
      </c>
      <c r="I1962" s="3">
        <v>190</v>
      </c>
      <c r="J1962" s="3">
        <v>1721</v>
      </c>
      <c r="K1962" s="3">
        <v>2284</v>
      </c>
      <c r="L1962" s="3">
        <v>13</v>
      </c>
      <c r="M1962" s="3">
        <v>184</v>
      </c>
    </row>
    <row r="1963" spans="1:13" x14ac:dyDescent="0.25">
      <c r="A1963" s="1" t="str">
        <f>HYPERLINK("http://www.rosaceae.org/Prunus/Prunus_persica/p.persica_gdr_reftransV1_0012665","p.persica_gdr_reftransV1_0012665")</f>
        <v>p.persica_gdr_reftransV1_0012665</v>
      </c>
      <c r="B1963" s="3">
        <v>2413</v>
      </c>
      <c r="C1963" s="1" t="str">
        <f>HYPERLINK("http://www.uniprot.org/uniprot/POLX_TOBAC","POLX_TOBAC")</f>
        <v>POLX_TOBAC</v>
      </c>
      <c r="D1963" t="s">
        <v>1253</v>
      </c>
      <c r="E1963" s="3" t="s">
        <v>200</v>
      </c>
      <c r="F1963" s="4">
        <v>2.6800000000000002E-144</v>
      </c>
      <c r="G1963" s="3">
        <v>1196</v>
      </c>
      <c r="H1963" s="3">
        <v>35</v>
      </c>
      <c r="I1963" s="3">
        <v>795</v>
      </c>
      <c r="J1963" s="3">
        <v>161</v>
      </c>
      <c r="K1963" s="3">
        <v>2413</v>
      </c>
      <c r="L1963" s="3">
        <v>211</v>
      </c>
      <c r="M1963" s="3">
        <v>995</v>
      </c>
    </row>
    <row r="1964" spans="1:13" x14ac:dyDescent="0.25">
      <c r="A1964" s="1" t="str">
        <f>HYPERLINK("http://www.rosaceae.org/Prunus/Prunus_persica/p.persica_gdr_reftransV1_0012715","p.persica_gdr_reftransV1_0012715")</f>
        <v>p.persica_gdr_reftransV1_0012715</v>
      </c>
      <c r="B1964" s="3">
        <v>2140</v>
      </c>
      <c r="C1964" s="1" t="str">
        <f>HYPERLINK("http://www.uniprot.org/uniprot/Y5843_ARATH","Y5843_ARATH")</f>
        <v>Y5843_ARATH</v>
      </c>
      <c r="D1964" t="s">
        <v>1926</v>
      </c>
      <c r="E1964" s="3" t="s">
        <v>3</v>
      </c>
      <c r="F1964" s="4">
        <v>3.0999999999999999E-95</v>
      </c>
      <c r="G1964" s="3">
        <v>799</v>
      </c>
      <c r="H1964" s="3">
        <v>45</v>
      </c>
      <c r="I1964" s="3">
        <v>357</v>
      </c>
      <c r="J1964" s="3">
        <v>988</v>
      </c>
      <c r="K1964" s="3">
        <v>2058</v>
      </c>
      <c r="L1964" s="3">
        <v>16</v>
      </c>
      <c r="M1964" s="3">
        <v>356</v>
      </c>
    </row>
    <row r="1965" spans="1:13" x14ac:dyDescent="0.25">
      <c r="A1965" s="1" t="str">
        <f>HYPERLINK("http://www.rosaceae.org/Prunus/Prunus_persica/p.persica_gdr_reftransV1_0012765","p.persica_gdr_reftransV1_0012765")</f>
        <v>p.persica_gdr_reftransV1_0012765</v>
      </c>
      <c r="B1965" s="3">
        <v>1064</v>
      </c>
      <c r="C1965" s="1" t="str">
        <f>HYPERLINK("http://www.uniprot.org/uniprot/PP151_ARATH","PP151_ARATH")</f>
        <v>PP151_ARATH</v>
      </c>
      <c r="D1965" t="s">
        <v>1204</v>
      </c>
      <c r="E1965" s="3" t="s">
        <v>3</v>
      </c>
      <c r="F1965" s="4">
        <v>2.9999999999999999E-178</v>
      </c>
      <c r="G1965" s="3">
        <v>1335</v>
      </c>
      <c r="H1965" s="3">
        <v>71</v>
      </c>
      <c r="I1965" s="3">
        <v>354</v>
      </c>
      <c r="J1965" s="3">
        <v>1</v>
      </c>
      <c r="K1965" s="3">
        <v>1062</v>
      </c>
      <c r="L1965" s="3">
        <v>67</v>
      </c>
      <c r="M1965" s="3">
        <v>420</v>
      </c>
    </row>
    <row r="1966" spans="1:13" x14ac:dyDescent="0.25">
      <c r="A1966" s="1" t="str">
        <f>HYPERLINK("http://www.rosaceae.org/Prunus/Prunus_persica/p.persica_gdr_reftransV1_0012865","p.persica_gdr_reftransV1_0012865")</f>
        <v>p.persica_gdr_reftransV1_0012865</v>
      </c>
      <c r="B1966" s="3">
        <v>2176</v>
      </c>
      <c r="C1966" s="1" t="str">
        <f>HYPERLINK("http://www.uniprot.org/uniprot/THG1_ARATH","THG1_ARATH")</f>
        <v>THG1_ARATH</v>
      </c>
      <c r="D1966" t="s">
        <v>1927</v>
      </c>
      <c r="E1966" s="3" t="s">
        <v>3</v>
      </c>
      <c r="F1966" s="4">
        <v>0</v>
      </c>
      <c r="G1966" s="3">
        <v>1849</v>
      </c>
      <c r="H1966" s="3">
        <v>64</v>
      </c>
      <c r="I1966" s="3">
        <v>524</v>
      </c>
      <c r="J1966" s="3">
        <v>396</v>
      </c>
      <c r="K1966" s="3">
        <v>1955</v>
      </c>
      <c r="L1966" s="3">
        <v>45</v>
      </c>
      <c r="M1966" s="3">
        <v>564</v>
      </c>
    </row>
    <row r="1967" spans="1:13" x14ac:dyDescent="0.25">
      <c r="A1967" s="1" t="str">
        <f>HYPERLINK("http://www.rosaceae.org/Prunus/Prunus_persica/p.persica_gdr_reftransV1_0012965","p.persica_gdr_reftransV1_0012965")</f>
        <v>p.persica_gdr_reftransV1_0012965</v>
      </c>
      <c r="B1967" s="3">
        <v>2958</v>
      </c>
      <c r="C1967" s="1" t="str">
        <f>HYPERLINK("http://www.uniprot.org/uniprot/C3H24_ARATH","C3H24_ARATH")</f>
        <v>C3H24_ARATH</v>
      </c>
      <c r="D1967" t="s">
        <v>1928</v>
      </c>
      <c r="E1967" s="3" t="s">
        <v>3</v>
      </c>
      <c r="F1967" s="4">
        <v>0</v>
      </c>
      <c r="G1967" s="3">
        <v>2262</v>
      </c>
      <c r="H1967" s="3">
        <v>57</v>
      </c>
      <c r="I1967" s="3">
        <v>804</v>
      </c>
      <c r="J1967" s="3">
        <v>289</v>
      </c>
      <c r="K1967" s="3">
        <v>2682</v>
      </c>
      <c r="L1967" s="3">
        <v>80</v>
      </c>
      <c r="M1967" s="3">
        <v>809</v>
      </c>
    </row>
    <row r="1968" spans="1:13" x14ac:dyDescent="0.25">
      <c r="A1968" s="1" t="str">
        <f>HYPERLINK("http://www.rosaceae.org/Prunus/Prunus_persica/p.persica_gdr_reftransV1_0013115","p.persica_gdr_reftransV1_0013115")</f>
        <v>p.persica_gdr_reftransV1_0013115</v>
      </c>
      <c r="B1968" s="3">
        <v>548</v>
      </c>
      <c r="C1968" s="1" t="str">
        <f>HYPERLINK("http://www.uniprot.org/uniprot/PBP1_ARATH","PBP1_ARATH")</f>
        <v>PBP1_ARATH</v>
      </c>
      <c r="D1968" t="s">
        <v>1929</v>
      </c>
      <c r="E1968" s="3" t="s">
        <v>3</v>
      </c>
      <c r="F1968" s="4">
        <v>6.9500000000000003E-38</v>
      </c>
      <c r="G1968" s="3">
        <v>333</v>
      </c>
      <c r="H1968" s="3">
        <v>64</v>
      </c>
      <c r="I1968" s="3">
        <v>105</v>
      </c>
      <c r="J1968" s="3">
        <v>160</v>
      </c>
      <c r="K1968" s="3">
        <v>471</v>
      </c>
      <c r="L1968" s="3">
        <v>19</v>
      </c>
      <c r="M1968" s="3">
        <v>123</v>
      </c>
    </row>
    <row r="1969" spans="1:13" x14ac:dyDescent="0.25">
      <c r="A1969" s="1" t="str">
        <f>HYPERLINK("http://www.rosaceae.org/Prunus/Prunus_persica/p.persica_gdr_reftransV1_0013165","p.persica_gdr_reftransV1_0013165")</f>
        <v>p.persica_gdr_reftransV1_0013165</v>
      </c>
      <c r="B1969" s="3">
        <v>2615</v>
      </c>
      <c r="C1969" s="1" t="str">
        <f>HYPERLINK("http://www.uniprot.org/uniprot/U2A2B_ARATH","U2A2B_ARATH")</f>
        <v>U2A2B_ARATH</v>
      </c>
      <c r="D1969" t="s">
        <v>1930</v>
      </c>
      <c r="E1969" s="3" t="s">
        <v>3</v>
      </c>
      <c r="F1969" s="4">
        <v>1.47E-180</v>
      </c>
      <c r="G1969" s="3">
        <v>1391</v>
      </c>
      <c r="H1969" s="3">
        <v>67</v>
      </c>
      <c r="I1969" s="3">
        <v>400</v>
      </c>
      <c r="J1969" s="3">
        <v>422</v>
      </c>
      <c r="K1969" s="3">
        <v>1609</v>
      </c>
      <c r="L1969" s="3">
        <v>208</v>
      </c>
      <c r="M1969" s="3">
        <v>587</v>
      </c>
    </row>
    <row r="1970" spans="1:13" x14ac:dyDescent="0.25">
      <c r="A1970" s="1" t="str">
        <f>HYPERLINK("http://www.rosaceae.org/Prunus/Prunus_persica/p.persica_gdr_reftransV1_0013265","p.persica_gdr_reftransV1_0013265")</f>
        <v>p.persica_gdr_reftransV1_0013265</v>
      </c>
      <c r="B1970" s="3">
        <v>1137</v>
      </c>
      <c r="C1970" s="1" t="str">
        <f>HYPERLINK("http://www.uniprot.org/uniprot/CB24_PEA","CB24_PEA")</f>
        <v>CB24_PEA</v>
      </c>
      <c r="D1970" t="s">
        <v>1931</v>
      </c>
      <c r="E1970" s="3" t="s">
        <v>60</v>
      </c>
      <c r="F1970" s="4">
        <v>1.22E-46</v>
      </c>
      <c r="G1970" s="3">
        <v>418</v>
      </c>
      <c r="H1970" s="3">
        <v>49</v>
      </c>
      <c r="I1970" s="3">
        <v>194</v>
      </c>
      <c r="J1970" s="3">
        <v>191</v>
      </c>
      <c r="K1970" s="3">
        <v>766</v>
      </c>
      <c r="L1970" s="3">
        <v>69</v>
      </c>
      <c r="M1970" s="3">
        <v>252</v>
      </c>
    </row>
    <row r="1971" spans="1:13" x14ac:dyDescent="0.25">
      <c r="A1971" s="1" t="str">
        <f>HYPERLINK("http://www.rosaceae.org/Prunus/Prunus_persica/p.persica_gdr_reftransV1_0013315","p.persica_gdr_reftransV1_0013315")</f>
        <v>p.persica_gdr_reftransV1_0013315</v>
      </c>
      <c r="B1971" s="3">
        <v>1268</v>
      </c>
      <c r="C1971" s="1" t="str">
        <f>HYPERLINK("http://www.uniprot.org/uniprot/BH079_ARATH","BH079_ARATH")</f>
        <v>BH079_ARATH</v>
      </c>
      <c r="D1971" t="s">
        <v>1155</v>
      </c>
      <c r="E1971" s="3" t="s">
        <v>3</v>
      </c>
      <c r="F1971" s="4">
        <v>2.51E-85</v>
      </c>
      <c r="G1971" s="3">
        <v>686</v>
      </c>
      <c r="H1971" s="3">
        <v>57</v>
      </c>
      <c r="I1971" s="3">
        <v>284</v>
      </c>
      <c r="J1971" s="3">
        <v>304</v>
      </c>
      <c r="K1971" s="3">
        <v>1140</v>
      </c>
      <c r="L1971" s="3">
        <v>1</v>
      </c>
      <c r="M1971" s="3">
        <v>281</v>
      </c>
    </row>
    <row r="1972" spans="1:13" x14ac:dyDescent="0.25">
      <c r="A1972" s="1" t="str">
        <f>HYPERLINK("http://www.rosaceae.org/Prunus/Prunus_persica/p.persica_gdr_reftransV1_0013365","p.persica_gdr_reftransV1_0013365")</f>
        <v>p.persica_gdr_reftransV1_0013365</v>
      </c>
      <c r="B1972" s="3">
        <v>852</v>
      </c>
      <c r="C1972" s="1" t="str">
        <f>HYPERLINK("http://www.uniprot.org/uniprot/KAN1_ARATH","KAN1_ARATH")</f>
        <v>KAN1_ARATH</v>
      </c>
      <c r="D1972" t="s">
        <v>1932</v>
      </c>
      <c r="E1972" s="3" t="s">
        <v>3</v>
      </c>
      <c r="F1972" s="4">
        <v>3.17E-29</v>
      </c>
      <c r="G1972" s="3">
        <v>297</v>
      </c>
      <c r="H1972" s="3">
        <v>82</v>
      </c>
      <c r="I1972" s="3">
        <v>71</v>
      </c>
      <c r="J1972" s="3">
        <v>2</v>
      </c>
      <c r="K1972" s="3">
        <v>214</v>
      </c>
      <c r="L1972" s="3">
        <v>202</v>
      </c>
      <c r="M1972" s="3">
        <v>268</v>
      </c>
    </row>
    <row r="1973" spans="1:13" x14ac:dyDescent="0.25">
      <c r="A1973" s="1" t="str">
        <f>HYPERLINK("http://www.rosaceae.org/Prunus/Prunus_persica/p.persica_gdr_reftransV1_0013765","p.persica_gdr_reftransV1_0013765")</f>
        <v>p.persica_gdr_reftransV1_0013765</v>
      </c>
      <c r="B1973" s="3">
        <v>2817</v>
      </c>
      <c r="C1973" s="1" t="str">
        <f>HYPERLINK("http://www.uniprot.org/uniprot/SUVH9_ARATH","SUVH9_ARATH")</f>
        <v>SUVH9_ARATH</v>
      </c>
      <c r="D1973" t="s">
        <v>1933</v>
      </c>
      <c r="E1973" s="3" t="s">
        <v>3</v>
      </c>
      <c r="F1973" s="4">
        <v>0</v>
      </c>
      <c r="G1973" s="3">
        <v>2048</v>
      </c>
      <c r="H1973" s="3">
        <v>62</v>
      </c>
      <c r="I1973" s="3">
        <v>647</v>
      </c>
      <c r="J1973" s="3">
        <v>313</v>
      </c>
      <c r="K1973" s="3">
        <v>2196</v>
      </c>
      <c r="L1973" s="3">
        <v>7</v>
      </c>
      <c r="M1973" s="3">
        <v>650</v>
      </c>
    </row>
    <row r="1974" spans="1:13" x14ac:dyDescent="0.25">
      <c r="A1974" s="1" t="str">
        <f>HYPERLINK("http://www.rosaceae.org/Prunus/Prunus_persica/p.persica_gdr_reftransV1_0013865","p.persica_gdr_reftransV1_0013865")</f>
        <v>p.persica_gdr_reftransV1_0013865</v>
      </c>
      <c r="B1974" s="3">
        <v>3014</v>
      </c>
      <c r="C1974" s="1" t="str">
        <f>HYPERLINK("http://www.uniprot.org/uniprot/NOG1_ARATH","NOG1_ARATH")</f>
        <v>NOG1_ARATH</v>
      </c>
      <c r="D1974" t="s">
        <v>1934</v>
      </c>
      <c r="E1974" s="3" t="s">
        <v>3</v>
      </c>
      <c r="F1974" s="4">
        <v>0</v>
      </c>
      <c r="G1974" s="3">
        <v>2604</v>
      </c>
      <c r="H1974" s="3">
        <v>79</v>
      </c>
      <c r="I1974" s="3">
        <v>680</v>
      </c>
      <c r="J1974" s="3">
        <v>872</v>
      </c>
      <c r="K1974" s="3">
        <v>2896</v>
      </c>
      <c r="L1974" s="3">
        <v>1</v>
      </c>
      <c r="M1974" s="3">
        <v>671</v>
      </c>
    </row>
    <row r="1975" spans="1:13" x14ac:dyDescent="0.25">
      <c r="A1975" s="1" t="str">
        <f>HYPERLINK("http://www.rosaceae.org/Prunus/Prunus_persica/p.persica_gdr_reftransV1_0014065","p.persica_gdr_reftransV1_0014065")</f>
        <v>p.persica_gdr_reftransV1_0014065</v>
      </c>
      <c r="B1975" s="3">
        <v>3267</v>
      </c>
      <c r="C1975" s="1" t="str">
        <f>HYPERLINK("http://www.uniprot.org/uniprot/FBK28_ARATH","FBK28_ARATH")</f>
        <v>FBK28_ARATH</v>
      </c>
      <c r="D1975" t="s">
        <v>1935</v>
      </c>
      <c r="E1975" s="3" t="s">
        <v>3</v>
      </c>
      <c r="F1975" s="4">
        <v>6.8299999999999997E-152</v>
      </c>
      <c r="G1975" s="3">
        <v>1195</v>
      </c>
      <c r="H1975" s="3">
        <v>63</v>
      </c>
      <c r="I1975" s="3">
        <v>345</v>
      </c>
      <c r="J1975" s="3">
        <v>1849</v>
      </c>
      <c r="K1975" s="3">
        <v>2883</v>
      </c>
      <c r="L1975" s="3">
        <v>30</v>
      </c>
      <c r="M1975" s="3">
        <v>374</v>
      </c>
    </row>
    <row r="1976" spans="1:13" x14ac:dyDescent="0.25">
      <c r="A1976" s="1" t="str">
        <f>HYPERLINK("http://www.rosaceae.org/Prunus/Prunus_persica/p.persica_gdr_reftransV1_0014115","p.persica_gdr_reftransV1_0014115")</f>
        <v>p.persica_gdr_reftransV1_0014115</v>
      </c>
      <c r="B1976" s="3">
        <v>1475</v>
      </c>
      <c r="C1976" s="1" t="str">
        <f>HYPERLINK("http://www.uniprot.org/uniprot/SRG1_ARATH","SRG1_ARATH")</f>
        <v>SRG1_ARATH</v>
      </c>
      <c r="D1976" t="s">
        <v>25</v>
      </c>
      <c r="E1976" s="3" t="s">
        <v>3</v>
      </c>
      <c r="F1976" s="4">
        <v>1.0100000000000001E-85</v>
      </c>
      <c r="G1976" s="3">
        <v>701</v>
      </c>
      <c r="H1976" s="3">
        <v>41</v>
      </c>
      <c r="I1976" s="3">
        <v>350</v>
      </c>
      <c r="J1976" s="3">
        <v>162</v>
      </c>
      <c r="K1976" s="3">
        <v>1196</v>
      </c>
      <c r="L1976" s="3">
        <v>13</v>
      </c>
      <c r="M1976" s="3">
        <v>358</v>
      </c>
    </row>
    <row r="1977" spans="1:13" x14ac:dyDescent="0.25">
      <c r="A1977" s="1" t="str">
        <f>HYPERLINK("http://www.rosaceae.org/Prunus/Prunus_persica/p.persica_gdr_reftransV1_0014165","p.persica_gdr_reftransV1_0014165")</f>
        <v>p.persica_gdr_reftransV1_0014165</v>
      </c>
      <c r="B1977" s="3">
        <v>2451</v>
      </c>
      <c r="C1977" s="1" t="str">
        <f>HYPERLINK("http://www.uniprot.org/uniprot/ARP_ARATH","ARP_ARATH")</f>
        <v>ARP_ARATH</v>
      </c>
      <c r="D1977" t="s">
        <v>1936</v>
      </c>
      <c r="E1977" s="3" t="s">
        <v>3</v>
      </c>
      <c r="F1977" s="4">
        <v>9.6199999999999998E-105</v>
      </c>
      <c r="G1977" s="3">
        <v>870</v>
      </c>
      <c r="H1977" s="3">
        <v>82</v>
      </c>
      <c r="I1977" s="3">
        <v>187</v>
      </c>
      <c r="J1977" s="3">
        <v>1797</v>
      </c>
      <c r="K1977" s="3">
        <v>2357</v>
      </c>
      <c r="L1977" s="3">
        <v>350</v>
      </c>
      <c r="M1977" s="3">
        <v>536</v>
      </c>
    </row>
    <row r="1978" spans="1:13" x14ac:dyDescent="0.25">
      <c r="A1978" s="1" t="str">
        <f>HYPERLINK("http://www.rosaceae.org/Prunus/Prunus_persica/p.persica_gdr_reftransV1_0014215","p.persica_gdr_reftransV1_0014215")</f>
        <v>p.persica_gdr_reftransV1_0014215</v>
      </c>
      <c r="B1978" s="3">
        <v>1562</v>
      </c>
      <c r="C1978" s="1" t="str">
        <f>HYPERLINK("http://www.uniprot.org/uniprot/CHX20_ARATH","CHX20_ARATH")</f>
        <v>CHX20_ARATH</v>
      </c>
      <c r="D1978" t="s">
        <v>1937</v>
      </c>
      <c r="E1978" s="3" t="s">
        <v>3</v>
      </c>
      <c r="F1978" s="4">
        <v>1.9999999999999999E-106</v>
      </c>
      <c r="G1978" s="3">
        <v>881</v>
      </c>
      <c r="H1978" s="3">
        <v>47</v>
      </c>
      <c r="I1978" s="3">
        <v>417</v>
      </c>
      <c r="J1978" s="3">
        <v>335</v>
      </c>
      <c r="K1978" s="3">
        <v>1471</v>
      </c>
      <c r="L1978" s="3">
        <v>405</v>
      </c>
      <c r="M1978" s="3">
        <v>813</v>
      </c>
    </row>
    <row r="1979" spans="1:13" x14ac:dyDescent="0.25">
      <c r="A1979" s="1" t="str">
        <f>HYPERLINK("http://www.rosaceae.org/Prunus/Prunus_persica/p.persica_gdr_reftransV1_0014315","p.persica_gdr_reftransV1_0014315")</f>
        <v>p.persica_gdr_reftransV1_0014315</v>
      </c>
      <c r="B1979" s="3">
        <v>1349</v>
      </c>
      <c r="C1979" s="1" t="str">
        <f>HYPERLINK("http://www.uniprot.org/uniprot/QORH_ARATH","QORH_ARATH")</f>
        <v>QORH_ARATH</v>
      </c>
      <c r="D1979" t="s">
        <v>1938</v>
      </c>
      <c r="E1979" s="3" t="s">
        <v>3</v>
      </c>
      <c r="F1979" s="4">
        <v>2.47E-175</v>
      </c>
      <c r="G1979" s="3">
        <v>1291</v>
      </c>
      <c r="H1979" s="3">
        <v>78</v>
      </c>
      <c r="I1979" s="3">
        <v>329</v>
      </c>
      <c r="J1979" s="3">
        <v>84</v>
      </c>
      <c r="K1979" s="3">
        <v>1070</v>
      </c>
      <c r="L1979" s="3">
        <v>1</v>
      </c>
      <c r="M1979" s="3">
        <v>329</v>
      </c>
    </row>
    <row r="1980" spans="1:13" x14ac:dyDescent="0.25">
      <c r="A1980" s="1" t="str">
        <f>HYPERLINK("http://www.rosaceae.org/Prunus/Prunus_persica/p.persica_gdr_reftransV1_0014365","p.persica_gdr_reftransV1_0014365")</f>
        <v>p.persica_gdr_reftransV1_0014365</v>
      </c>
      <c r="B1980" s="3">
        <v>2032</v>
      </c>
      <c r="C1980" s="1" t="str">
        <f>HYPERLINK("http://www.uniprot.org/uniprot/SCL8_ARATH","SCL8_ARATH")</f>
        <v>SCL8_ARATH</v>
      </c>
      <c r="D1980" t="s">
        <v>812</v>
      </c>
      <c r="E1980" s="3" t="s">
        <v>3</v>
      </c>
      <c r="F1980" s="4">
        <v>7.2900000000000001E-152</v>
      </c>
      <c r="G1980" s="3">
        <v>1187</v>
      </c>
      <c r="H1980" s="3">
        <v>58</v>
      </c>
      <c r="I1980" s="3">
        <v>441</v>
      </c>
      <c r="J1980" s="3">
        <v>161</v>
      </c>
      <c r="K1980" s="3">
        <v>1441</v>
      </c>
      <c r="L1980" s="3">
        <v>216</v>
      </c>
      <c r="M1980" s="3">
        <v>640</v>
      </c>
    </row>
    <row r="1981" spans="1:13" x14ac:dyDescent="0.25">
      <c r="A1981" s="1" t="str">
        <f>HYPERLINK("http://www.rosaceae.org/Prunus/Prunus_persica/p.persica_gdr_reftransV1_0014415","p.persica_gdr_reftransV1_0014415")</f>
        <v>p.persica_gdr_reftransV1_0014415</v>
      </c>
      <c r="B1981" s="3">
        <v>5279</v>
      </c>
      <c r="C1981" s="1" t="str">
        <f>HYPERLINK("http://www.uniprot.org/uniprot/NUDT3_ARATH","NUDT3_ARATH")</f>
        <v>NUDT3_ARATH</v>
      </c>
      <c r="D1981" t="s">
        <v>1939</v>
      </c>
      <c r="E1981" s="3" t="s">
        <v>3</v>
      </c>
      <c r="F1981" s="4">
        <v>0</v>
      </c>
      <c r="G1981" s="3">
        <v>2512</v>
      </c>
      <c r="H1981" s="3">
        <v>75</v>
      </c>
      <c r="I1981" s="3">
        <v>615</v>
      </c>
      <c r="J1981" s="3">
        <v>3231</v>
      </c>
      <c r="K1981" s="3">
        <v>5075</v>
      </c>
      <c r="L1981" s="3">
        <v>3</v>
      </c>
      <c r="M1981" s="3">
        <v>615</v>
      </c>
    </row>
    <row r="1982" spans="1:13" x14ac:dyDescent="0.25">
      <c r="A1982" s="1" t="str">
        <f>HYPERLINK("http://www.rosaceae.org/Prunus/Prunus_persica/p.persica_gdr_reftransV1_0014715","p.persica_gdr_reftransV1_0014715")</f>
        <v>p.persica_gdr_reftransV1_0014715</v>
      </c>
      <c r="B1982" s="3">
        <v>2584</v>
      </c>
      <c r="C1982" s="1" t="str">
        <f>HYPERLINK("http://www.uniprot.org/uniprot/DSLE_ARATH","DSLE_ARATH")</f>
        <v>DSLE_ARATH</v>
      </c>
      <c r="D1982" t="s">
        <v>1940</v>
      </c>
      <c r="E1982" s="3" t="s">
        <v>3</v>
      </c>
      <c r="F1982" s="4">
        <v>0</v>
      </c>
      <c r="G1982" s="3">
        <v>1759</v>
      </c>
      <c r="H1982" s="3">
        <v>51</v>
      </c>
      <c r="I1982" s="3">
        <v>644</v>
      </c>
      <c r="J1982" s="3">
        <v>360</v>
      </c>
      <c r="K1982" s="3">
        <v>2282</v>
      </c>
      <c r="L1982" s="3">
        <v>55</v>
      </c>
      <c r="M1982" s="3">
        <v>674</v>
      </c>
    </row>
    <row r="1983" spans="1:13" x14ac:dyDescent="0.25">
      <c r="A1983" s="1" t="str">
        <f>HYPERLINK("http://www.rosaceae.org/Prunus/Prunus_persica/p.persica_gdr_reftransV1_0014815","p.persica_gdr_reftransV1_0014815")</f>
        <v>p.persica_gdr_reftransV1_0014815</v>
      </c>
      <c r="B1983" s="3">
        <v>2398</v>
      </c>
      <c r="C1983" s="1" t="str">
        <f>HYPERLINK("http://www.uniprot.org/uniprot/S38A6_XENTR","S38A6_XENTR")</f>
        <v>S38A6_XENTR</v>
      </c>
      <c r="D1983" t="s">
        <v>1297</v>
      </c>
      <c r="E1983" s="3" t="s">
        <v>173</v>
      </c>
      <c r="F1983" s="4">
        <v>1.1E-28</v>
      </c>
      <c r="G1983" s="3">
        <v>310</v>
      </c>
      <c r="H1983" s="3">
        <v>30</v>
      </c>
      <c r="I1983" s="3">
        <v>397</v>
      </c>
      <c r="J1983" s="3">
        <v>701</v>
      </c>
      <c r="K1983" s="3">
        <v>1840</v>
      </c>
      <c r="L1983" s="3">
        <v>35</v>
      </c>
      <c r="M1983" s="3">
        <v>415</v>
      </c>
    </row>
    <row r="1984" spans="1:13" x14ac:dyDescent="0.25">
      <c r="A1984" s="1" t="str">
        <f>HYPERLINK("http://www.rosaceae.org/Prunus/Prunus_persica/p.persica_gdr_reftransV1_0014915","p.persica_gdr_reftransV1_0014915")</f>
        <v>p.persica_gdr_reftransV1_0014915</v>
      </c>
      <c r="B1984" s="3">
        <v>2347</v>
      </c>
      <c r="C1984" s="1" t="str">
        <f>HYPERLINK("http://www.uniprot.org/uniprot/HNRL1_MOUSE","HNRL1_MOUSE")</f>
        <v>HNRL1_MOUSE</v>
      </c>
      <c r="D1984" t="s">
        <v>1941</v>
      </c>
      <c r="E1984" s="3" t="s">
        <v>157</v>
      </c>
      <c r="F1984" s="4">
        <v>3.4000000000000002E-75</v>
      </c>
      <c r="G1984" s="3">
        <v>681</v>
      </c>
      <c r="H1984" s="3">
        <v>40</v>
      </c>
      <c r="I1984" s="3">
        <v>417</v>
      </c>
      <c r="J1984" s="3">
        <v>50</v>
      </c>
      <c r="K1984" s="3">
        <v>1261</v>
      </c>
      <c r="L1984" s="3">
        <v>212</v>
      </c>
      <c r="M1984" s="3">
        <v>597</v>
      </c>
    </row>
    <row r="1985" spans="1:13" x14ac:dyDescent="0.25">
      <c r="A1985" s="1" t="str">
        <f>HYPERLINK("http://www.rosaceae.org/Prunus/Prunus_persica/p.persica_gdr_reftransV1_0014965","p.persica_gdr_reftransV1_0014965")</f>
        <v>p.persica_gdr_reftransV1_0014965</v>
      </c>
      <c r="B1985" s="3">
        <v>1160</v>
      </c>
      <c r="C1985" s="1" t="str">
        <f>HYPERLINK("http://www.uniprot.org/uniprot/PQL3_ARATH","PQL3_ARATH")</f>
        <v>PQL3_ARATH</v>
      </c>
      <c r="D1985" t="s">
        <v>1942</v>
      </c>
      <c r="E1985" s="3" t="s">
        <v>3</v>
      </c>
      <c r="F1985" s="4">
        <v>8.4800000000000001E-26</v>
      </c>
      <c r="G1985" s="3">
        <v>266</v>
      </c>
      <c r="H1985" s="3">
        <v>47</v>
      </c>
      <c r="I1985" s="3">
        <v>109</v>
      </c>
      <c r="J1985" s="3">
        <v>427</v>
      </c>
      <c r="K1985" s="3">
        <v>750</v>
      </c>
      <c r="L1985" s="3">
        <v>79</v>
      </c>
      <c r="M1985" s="3">
        <v>187</v>
      </c>
    </row>
    <row r="1986" spans="1:13" x14ac:dyDescent="0.25">
      <c r="A1986" s="1" t="str">
        <f>HYPERLINK("http://www.rosaceae.org/Prunus/Prunus_persica/p.persica_gdr_reftransV1_0015015","p.persica_gdr_reftransV1_0015015")</f>
        <v>p.persica_gdr_reftransV1_0015015</v>
      </c>
      <c r="B1986" s="3">
        <v>922</v>
      </c>
      <c r="C1986" s="1" t="str">
        <f>HYPERLINK("http://www.uniprot.org/uniprot/Y5344_ARATH","Y5344_ARATH")</f>
        <v>Y5344_ARATH</v>
      </c>
      <c r="D1986" t="s">
        <v>1943</v>
      </c>
      <c r="E1986" s="3" t="s">
        <v>3</v>
      </c>
      <c r="F1986" s="4">
        <v>4.4000000000000002E-66</v>
      </c>
      <c r="G1986" s="3">
        <v>581</v>
      </c>
      <c r="H1986" s="3">
        <v>48</v>
      </c>
      <c r="I1986" s="3">
        <v>250</v>
      </c>
      <c r="J1986" s="3">
        <v>44</v>
      </c>
      <c r="K1986" s="3">
        <v>790</v>
      </c>
      <c r="L1986" s="3">
        <v>737</v>
      </c>
      <c r="M1986" s="3">
        <v>982</v>
      </c>
    </row>
    <row r="1987" spans="1:13" x14ac:dyDescent="0.25">
      <c r="A1987" s="1" t="str">
        <f>HYPERLINK("http://www.rosaceae.org/Prunus/Prunus_persica/p.persica_gdr_reftransV1_0015065","p.persica_gdr_reftransV1_0015065")</f>
        <v>p.persica_gdr_reftransV1_0015065</v>
      </c>
      <c r="B1987" s="3">
        <v>692</v>
      </c>
      <c r="C1987" s="1" t="str">
        <f>HYPERLINK("http://www.uniprot.org/uniprot/CNGC1_ARATH","CNGC1_ARATH")</f>
        <v>CNGC1_ARATH</v>
      </c>
      <c r="D1987" t="s">
        <v>241</v>
      </c>
      <c r="E1987" s="3" t="s">
        <v>3</v>
      </c>
      <c r="F1987" s="4">
        <v>2.7000000000000001E-21</v>
      </c>
      <c r="G1987" s="3">
        <v>239</v>
      </c>
      <c r="H1987" s="3">
        <v>32</v>
      </c>
      <c r="I1987" s="3">
        <v>192</v>
      </c>
      <c r="J1987" s="3">
        <v>3</v>
      </c>
      <c r="K1987" s="3">
        <v>575</v>
      </c>
      <c r="L1987" s="3">
        <v>456</v>
      </c>
      <c r="M1987" s="3">
        <v>602</v>
      </c>
    </row>
    <row r="1988" spans="1:13" x14ac:dyDescent="0.25">
      <c r="A1988" s="1" t="str">
        <f>HYPERLINK("http://www.rosaceae.org/Prunus/Prunus_persica/p.persica_gdr_reftransV1_0015215","p.persica_gdr_reftransV1_0015215")</f>
        <v>p.persica_gdr_reftransV1_0015215</v>
      </c>
      <c r="B1988" s="3">
        <v>1011</v>
      </c>
      <c r="C1988" s="1" t="str">
        <f>HYPERLINK("http://www.uniprot.org/uniprot/LAML_ARATH","LAML_ARATH")</f>
        <v>LAML_ARATH</v>
      </c>
      <c r="D1988" t="s">
        <v>1944</v>
      </c>
      <c r="E1988" s="3" t="s">
        <v>3</v>
      </c>
      <c r="F1988" s="4">
        <v>1.4300000000000001E-47</v>
      </c>
      <c r="G1988" s="3">
        <v>415</v>
      </c>
      <c r="H1988" s="3">
        <v>58</v>
      </c>
      <c r="I1988" s="3">
        <v>151</v>
      </c>
      <c r="J1988" s="3">
        <v>223</v>
      </c>
      <c r="K1988" s="3">
        <v>672</v>
      </c>
      <c r="L1988" s="3">
        <v>22</v>
      </c>
      <c r="M1988" s="3">
        <v>171</v>
      </c>
    </row>
    <row r="1989" spans="1:13" x14ac:dyDescent="0.25">
      <c r="A1989" s="1" t="str">
        <f>HYPERLINK("http://www.rosaceae.org/Prunus/Prunus_persica/p.persica_gdr_reftransV1_0015265","p.persica_gdr_reftransV1_0015265")</f>
        <v>p.persica_gdr_reftransV1_0015265</v>
      </c>
      <c r="B1989" s="3">
        <v>1729</v>
      </c>
      <c r="C1989" s="1" t="str">
        <f>HYPERLINK("http://www.uniprot.org/uniprot/SURE_CAMJR","SURE_CAMJR")</f>
        <v>SURE_CAMJR</v>
      </c>
      <c r="D1989" t="s">
        <v>1945</v>
      </c>
      <c r="E1989" s="3" t="s">
        <v>1946</v>
      </c>
      <c r="F1989" s="4">
        <v>2.3199999999999999E-23</v>
      </c>
      <c r="G1989" s="3">
        <v>258</v>
      </c>
      <c r="H1989" s="3">
        <v>40</v>
      </c>
      <c r="I1989" s="3">
        <v>191</v>
      </c>
      <c r="J1989" s="3">
        <v>756</v>
      </c>
      <c r="K1989" s="3">
        <v>1319</v>
      </c>
      <c r="L1989" s="3">
        <v>4</v>
      </c>
      <c r="M1989" s="3">
        <v>184</v>
      </c>
    </row>
    <row r="1990" spans="1:13" x14ac:dyDescent="0.25">
      <c r="A1990" s="1" t="str">
        <f>HYPERLINK("http://www.rosaceae.org/Prunus/Prunus_persica/p.persica_gdr_reftransV1_0015315","p.persica_gdr_reftransV1_0015315")</f>
        <v>p.persica_gdr_reftransV1_0015315</v>
      </c>
      <c r="B1990" s="3">
        <v>2801</v>
      </c>
      <c r="C1990" s="1" t="str">
        <f>HYPERLINK("http://www.uniprot.org/uniprot/YG31B_YEAST","YG31B_YEAST")</f>
        <v>YG31B_YEAST</v>
      </c>
      <c r="D1990" t="s">
        <v>1947</v>
      </c>
      <c r="E1990" s="3" t="s">
        <v>34</v>
      </c>
      <c r="F1990" s="4">
        <v>1.2099999999999999E-46</v>
      </c>
      <c r="G1990" s="3">
        <v>471</v>
      </c>
      <c r="H1990" s="3">
        <v>44</v>
      </c>
      <c r="I1990" s="3">
        <v>219</v>
      </c>
      <c r="J1990" s="3">
        <v>352</v>
      </c>
      <c r="K1990" s="3">
        <v>1008</v>
      </c>
      <c r="L1990" s="3">
        <v>584</v>
      </c>
      <c r="M1990" s="3">
        <v>800</v>
      </c>
    </row>
    <row r="1991" spans="1:13" x14ac:dyDescent="0.25">
      <c r="A1991" s="1" t="str">
        <f>HYPERLINK("http://www.rosaceae.org/Prunus/Prunus_persica/p.persica_gdr_reftransV1_0015615","p.persica_gdr_reftransV1_0015615")</f>
        <v>p.persica_gdr_reftransV1_0015615</v>
      </c>
      <c r="B1991" s="3">
        <v>887</v>
      </c>
      <c r="C1991" s="1" t="str">
        <f>HYPERLINK("http://www.uniprot.org/uniprot/SMD2_DROME","SMD2_DROME")</f>
        <v>SMD2_DROME</v>
      </c>
      <c r="D1991" t="s">
        <v>1948</v>
      </c>
      <c r="E1991" s="3" t="s">
        <v>5</v>
      </c>
      <c r="F1991" s="4">
        <v>7.4199999999999995E-42</v>
      </c>
      <c r="G1991" s="3">
        <v>369</v>
      </c>
      <c r="H1991" s="3">
        <v>89</v>
      </c>
      <c r="I1991" s="3">
        <v>90</v>
      </c>
      <c r="J1991" s="3">
        <v>343</v>
      </c>
      <c r="K1991" s="3">
        <v>612</v>
      </c>
      <c r="L1991" s="3">
        <v>23</v>
      </c>
      <c r="M1991" s="3">
        <v>112</v>
      </c>
    </row>
    <row r="1992" spans="1:13" x14ac:dyDescent="0.25">
      <c r="A1992" s="1" t="str">
        <f>HYPERLINK("http://www.rosaceae.org/Prunus/Prunus_persica/p.persica_gdr_reftransV1_0015765","p.persica_gdr_reftransV1_0015765")</f>
        <v>p.persica_gdr_reftransV1_0015765</v>
      </c>
      <c r="B1992" s="3">
        <v>1384</v>
      </c>
      <c r="C1992" s="1" t="str">
        <f>HYPERLINK("http://www.uniprot.org/uniprot/SYP81_ARATH","SYP81_ARATH")</f>
        <v>SYP81_ARATH</v>
      </c>
      <c r="D1992" t="s">
        <v>1949</v>
      </c>
      <c r="E1992" s="3" t="s">
        <v>3</v>
      </c>
      <c r="F1992" s="4">
        <v>3.6299999999999999E-143</v>
      </c>
      <c r="G1992" s="3">
        <v>1077</v>
      </c>
      <c r="H1992" s="3">
        <v>73</v>
      </c>
      <c r="I1992" s="3">
        <v>310</v>
      </c>
      <c r="J1992" s="3">
        <v>227</v>
      </c>
      <c r="K1992" s="3">
        <v>1153</v>
      </c>
      <c r="L1992" s="3">
        <v>1</v>
      </c>
      <c r="M1992" s="3">
        <v>310</v>
      </c>
    </row>
    <row r="1993" spans="1:13" x14ac:dyDescent="0.25">
      <c r="A1993" s="1" t="str">
        <f>HYPERLINK("http://www.rosaceae.org/Prunus/Prunus_persica/p.persica_gdr_reftransV1_0016015","p.persica_gdr_reftransV1_0016015")</f>
        <v>p.persica_gdr_reftransV1_0016015</v>
      </c>
      <c r="B1993" s="3">
        <v>1181</v>
      </c>
      <c r="C1993" s="1" t="str">
        <f>HYPERLINK("http://www.uniprot.org/uniprot/E137_ARATH","E137_ARATH")</f>
        <v>E137_ARATH</v>
      </c>
      <c r="D1993" t="s">
        <v>1950</v>
      </c>
      <c r="E1993" s="3" t="s">
        <v>3</v>
      </c>
      <c r="F1993" s="4">
        <v>1.0800000000000001E-100</v>
      </c>
      <c r="G1993" s="3">
        <v>806</v>
      </c>
      <c r="H1993" s="3">
        <v>60</v>
      </c>
      <c r="I1993" s="3">
        <v>257</v>
      </c>
      <c r="J1993" s="3">
        <v>3</v>
      </c>
      <c r="K1993" s="3">
        <v>773</v>
      </c>
      <c r="L1993" s="3">
        <v>224</v>
      </c>
      <c r="M1993" s="3">
        <v>448</v>
      </c>
    </row>
    <row r="1994" spans="1:13" x14ac:dyDescent="0.25">
      <c r="A1994" s="1" t="str">
        <f>HYPERLINK("http://www.rosaceae.org/Prunus/Prunus_persica/p.persica_gdr_reftransV1_0016115","p.persica_gdr_reftransV1_0016115")</f>
        <v>p.persica_gdr_reftransV1_0016115</v>
      </c>
      <c r="B1994" s="3">
        <v>798</v>
      </c>
      <c r="C1994" s="1" t="str">
        <f>HYPERLINK("http://www.uniprot.org/uniprot/H33_VITVI","H33_VITVI")</f>
        <v>H33_VITVI</v>
      </c>
      <c r="D1994" t="s">
        <v>1951</v>
      </c>
      <c r="E1994" s="3" t="s">
        <v>362</v>
      </c>
      <c r="F1994" s="4">
        <v>2.14E-85</v>
      </c>
      <c r="G1994" s="3">
        <v>658</v>
      </c>
      <c r="H1994" s="3">
        <v>100</v>
      </c>
      <c r="I1994" s="3">
        <v>127</v>
      </c>
      <c r="J1994" s="3">
        <v>150</v>
      </c>
      <c r="K1994" s="3">
        <v>530</v>
      </c>
      <c r="L1994" s="3">
        <v>1</v>
      </c>
      <c r="M1994" s="3">
        <v>127</v>
      </c>
    </row>
    <row r="1995" spans="1:13" x14ac:dyDescent="0.25">
      <c r="A1995" s="1" t="str">
        <f>HYPERLINK("http://www.rosaceae.org/Prunus/Prunus_persica/p.persica_gdr_reftransV1_0016465","p.persica_gdr_reftransV1_0016465")</f>
        <v>p.persica_gdr_reftransV1_0016465</v>
      </c>
      <c r="B1995" s="3">
        <v>2190</v>
      </c>
      <c r="C1995" s="1" t="str">
        <f>HYPERLINK("http://www.uniprot.org/uniprot/ALKB5_XENTR","ALKB5_XENTR")</f>
        <v>ALKB5_XENTR</v>
      </c>
      <c r="D1995" t="s">
        <v>1952</v>
      </c>
      <c r="E1995" s="3" t="s">
        <v>173</v>
      </c>
      <c r="F1995" s="4">
        <v>1.6499999999999999E-14</v>
      </c>
      <c r="G1995" s="3">
        <v>194</v>
      </c>
      <c r="H1995" s="3">
        <v>34</v>
      </c>
      <c r="I1995" s="3">
        <v>185</v>
      </c>
      <c r="J1995" s="3">
        <v>836</v>
      </c>
      <c r="K1995" s="3">
        <v>1366</v>
      </c>
      <c r="L1995" s="3">
        <v>60</v>
      </c>
      <c r="M1995" s="3">
        <v>234</v>
      </c>
    </row>
    <row r="1996" spans="1:13" x14ac:dyDescent="0.25">
      <c r="A1996" s="1" t="str">
        <f>HYPERLINK("http://www.rosaceae.org/Prunus/Prunus_persica/p.persica_gdr_reftransV1_0016515","p.persica_gdr_reftransV1_0016515")</f>
        <v>p.persica_gdr_reftransV1_0016515</v>
      </c>
      <c r="B1996" s="3">
        <v>508</v>
      </c>
      <c r="C1996" s="1" t="str">
        <f>HYPERLINK("http://www.uniprot.org/uniprot/SHGR9_ARATH","SHGR9_ARATH")</f>
        <v>SHGR9_ARATH</v>
      </c>
      <c r="D1996" t="s">
        <v>1953</v>
      </c>
      <c r="E1996" s="3" t="s">
        <v>3</v>
      </c>
      <c r="F1996" s="4">
        <v>7.4200000000000002E-14</v>
      </c>
      <c r="G1996" s="3">
        <v>172</v>
      </c>
      <c r="H1996" s="3">
        <v>50</v>
      </c>
      <c r="I1996" s="3">
        <v>76</v>
      </c>
      <c r="J1996" s="3">
        <v>1</v>
      </c>
      <c r="K1996" s="3">
        <v>225</v>
      </c>
      <c r="L1996" s="3">
        <v>93</v>
      </c>
      <c r="M1996" s="3">
        <v>168</v>
      </c>
    </row>
    <row r="1997" spans="1:13" x14ac:dyDescent="0.25">
      <c r="A1997" s="1" t="str">
        <f>HYPERLINK("http://www.rosaceae.org/Prunus/Prunus_persica/p.persica_gdr_reftransV1_0016665","p.persica_gdr_reftransV1_0016665")</f>
        <v>p.persica_gdr_reftransV1_0016665</v>
      </c>
      <c r="B1997" s="3">
        <v>1052</v>
      </c>
      <c r="C1997" s="1" t="str">
        <f>HYPERLINK("http://www.uniprot.org/uniprot/NAC2_ARATH","NAC2_ARATH")</f>
        <v>NAC2_ARATH</v>
      </c>
      <c r="D1997" t="s">
        <v>1954</v>
      </c>
      <c r="E1997" s="3" t="s">
        <v>3</v>
      </c>
      <c r="F1997" s="4">
        <v>5.2899999999999999E-90</v>
      </c>
      <c r="G1997" s="3">
        <v>711</v>
      </c>
      <c r="H1997" s="3">
        <v>90</v>
      </c>
      <c r="I1997" s="3">
        <v>146</v>
      </c>
      <c r="J1997" s="3">
        <v>524</v>
      </c>
      <c r="K1997" s="3">
        <v>961</v>
      </c>
      <c r="L1997" s="3">
        <v>2</v>
      </c>
      <c r="M1997" s="3">
        <v>147</v>
      </c>
    </row>
    <row r="1998" spans="1:13" x14ac:dyDescent="0.25">
      <c r="A1998" s="1" t="str">
        <f>HYPERLINK("http://www.rosaceae.org/Prunus/Prunus_persica/p.persica_gdr_reftransV1_0016915","p.persica_gdr_reftransV1_0016915")</f>
        <v>p.persica_gdr_reftransV1_0016915</v>
      </c>
      <c r="B1998" s="3">
        <v>2919</v>
      </c>
      <c r="C1998" s="1" t="str">
        <f>HYPERLINK("http://www.uniprot.org/uniprot/MSL10_ARATH","MSL10_ARATH")</f>
        <v>MSL10_ARATH</v>
      </c>
      <c r="D1998" t="s">
        <v>378</v>
      </c>
      <c r="E1998" s="3" t="s">
        <v>3</v>
      </c>
      <c r="F1998" s="4">
        <v>0</v>
      </c>
      <c r="G1998" s="3">
        <v>1588</v>
      </c>
      <c r="H1998" s="3">
        <v>52</v>
      </c>
      <c r="I1998" s="3">
        <v>707</v>
      </c>
      <c r="J1998" s="3">
        <v>384</v>
      </c>
      <c r="K1998" s="3">
        <v>2486</v>
      </c>
      <c r="L1998" s="3">
        <v>41</v>
      </c>
      <c r="M1998" s="3">
        <v>730</v>
      </c>
    </row>
    <row r="1999" spans="1:13" x14ac:dyDescent="0.25">
      <c r="A1999" s="1" t="str">
        <f>HYPERLINK("http://www.rosaceae.org/Prunus/Prunus_persica/p.persica_gdr_reftransV1_0017265","p.persica_gdr_reftransV1_0017265")</f>
        <v>p.persica_gdr_reftransV1_0017265</v>
      </c>
      <c r="B1999" s="3">
        <v>4061</v>
      </c>
      <c r="C1999" s="1" t="str">
        <f>HYPERLINK("http://www.uniprot.org/uniprot/UBC23_ARATH","UBC23_ARATH")</f>
        <v>UBC23_ARATH</v>
      </c>
      <c r="D1999" t="s">
        <v>1955</v>
      </c>
      <c r="E1999" s="3" t="s">
        <v>3</v>
      </c>
      <c r="F1999" s="4">
        <v>0</v>
      </c>
      <c r="G1999" s="3">
        <v>1644</v>
      </c>
      <c r="H1999" s="3">
        <v>65</v>
      </c>
      <c r="I1999" s="3">
        <v>539</v>
      </c>
      <c r="J1999" s="3">
        <v>449</v>
      </c>
      <c r="K1999" s="3">
        <v>2047</v>
      </c>
      <c r="L1999" s="3">
        <v>578</v>
      </c>
      <c r="M1999" s="3">
        <v>1101</v>
      </c>
    </row>
    <row r="2000" spans="1:13" x14ac:dyDescent="0.25">
      <c r="A2000" s="1" t="str">
        <f>HYPERLINK("http://www.rosaceae.org/Prunus/Prunus_persica/p.persica_gdr_reftransV1_0017415","p.persica_gdr_reftransV1_0017415")</f>
        <v>p.persica_gdr_reftransV1_0017415</v>
      </c>
      <c r="B2000" s="3">
        <v>895</v>
      </c>
      <c r="C2000" s="1" t="str">
        <f>HYPERLINK("http://www.uniprot.org/uniprot/FBK50_ARATH","FBK50_ARATH")</f>
        <v>FBK50_ARATH</v>
      </c>
      <c r="D2000" t="s">
        <v>13</v>
      </c>
      <c r="E2000" s="3" t="s">
        <v>3</v>
      </c>
      <c r="F2000" s="4">
        <v>7.6400000000000002E-26</v>
      </c>
      <c r="G2000" s="3">
        <v>273</v>
      </c>
      <c r="H2000" s="3">
        <v>35</v>
      </c>
      <c r="I2000" s="3">
        <v>216</v>
      </c>
      <c r="J2000" s="3">
        <v>6</v>
      </c>
      <c r="K2000" s="3">
        <v>605</v>
      </c>
      <c r="L2000" s="3">
        <v>212</v>
      </c>
      <c r="M2000" s="3">
        <v>421</v>
      </c>
    </row>
    <row r="2001" spans="1:13" x14ac:dyDescent="0.25">
      <c r="A2001" s="1" t="str">
        <f>HYPERLINK("http://www.rosaceae.org/Prunus/Prunus_persica/p.persica_gdr_reftransV1_0017565","p.persica_gdr_reftransV1_0017565")</f>
        <v>p.persica_gdr_reftransV1_0017565</v>
      </c>
      <c r="B2001" s="3">
        <v>3089</v>
      </c>
      <c r="C2001" s="1" t="str">
        <f>HYPERLINK("http://www.uniprot.org/uniprot/2A5N_ARATH","2A5N_ARATH")</f>
        <v>2A5N_ARATH</v>
      </c>
      <c r="D2001" t="s">
        <v>1867</v>
      </c>
      <c r="E2001" s="3" t="s">
        <v>3</v>
      </c>
      <c r="F2001" s="4">
        <v>0</v>
      </c>
      <c r="G2001" s="3">
        <v>1818</v>
      </c>
      <c r="H2001" s="3">
        <v>71</v>
      </c>
      <c r="I2001" s="3">
        <v>504</v>
      </c>
      <c r="J2001" s="3">
        <v>961</v>
      </c>
      <c r="K2001" s="3">
        <v>2448</v>
      </c>
      <c r="L2001" s="3">
        <v>1</v>
      </c>
      <c r="M2001" s="3">
        <v>503</v>
      </c>
    </row>
    <row r="2002" spans="1:13" x14ac:dyDescent="0.25">
      <c r="A2002" s="1" t="str">
        <f>HYPERLINK("http://www.rosaceae.org/Prunus/Prunus_persica/p.persica_gdr_reftransV1_0017665","p.persica_gdr_reftransV1_0017665")</f>
        <v>p.persica_gdr_reftransV1_0017665</v>
      </c>
      <c r="B2002" s="3">
        <v>2067</v>
      </c>
      <c r="C2002" s="1" t="str">
        <f>HYPERLINK("http://www.uniprot.org/uniprot/PTA12_ARATH","PTA12_ARATH")</f>
        <v>PTA12_ARATH</v>
      </c>
      <c r="D2002" t="s">
        <v>1956</v>
      </c>
      <c r="E2002" s="3" t="s">
        <v>3</v>
      </c>
      <c r="F2002" s="4">
        <v>6.0400000000000003E-170</v>
      </c>
      <c r="G2002" s="3">
        <v>1124</v>
      </c>
      <c r="H2002" s="3">
        <v>60</v>
      </c>
      <c r="I2002" s="3">
        <v>411</v>
      </c>
      <c r="J2002" s="3">
        <v>223</v>
      </c>
      <c r="K2002" s="3">
        <v>1398</v>
      </c>
      <c r="L2002" s="3">
        <v>1</v>
      </c>
      <c r="M2002" s="3">
        <v>379</v>
      </c>
    </row>
    <row r="2003" spans="1:13" x14ac:dyDescent="0.25">
      <c r="A2003" s="1" t="str">
        <f>HYPERLINK("http://www.rosaceae.org/Prunus/Prunus_persica/p.persica_gdr_reftransV1_0017715","p.persica_gdr_reftransV1_0017715")</f>
        <v>p.persica_gdr_reftransV1_0017715</v>
      </c>
      <c r="B2003" s="3">
        <v>4735</v>
      </c>
      <c r="C2003" s="1" t="str">
        <f>HYPERLINK("http://www.uniprot.org/uniprot/PP169_ARATH","PP169_ARATH")</f>
        <v>PP169_ARATH</v>
      </c>
      <c r="D2003" t="s">
        <v>1957</v>
      </c>
      <c r="E2003" s="3" t="s">
        <v>3</v>
      </c>
      <c r="F2003" s="4">
        <v>1.05E-162</v>
      </c>
      <c r="G2003" s="3">
        <v>1327</v>
      </c>
      <c r="H2003" s="3">
        <v>43</v>
      </c>
      <c r="I2003" s="3">
        <v>617</v>
      </c>
      <c r="J2003" s="3">
        <v>1945</v>
      </c>
      <c r="K2003" s="3">
        <v>3780</v>
      </c>
      <c r="L2003" s="3">
        <v>44</v>
      </c>
      <c r="M2003" s="3">
        <v>659</v>
      </c>
    </row>
    <row r="2004" spans="1:13" x14ac:dyDescent="0.25">
      <c r="A2004" s="1" t="str">
        <f>HYPERLINK("http://www.rosaceae.org/Prunus/Prunus_persica/p.persica_gdr_reftransV1_0017815","p.persica_gdr_reftransV1_0017815")</f>
        <v>p.persica_gdr_reftransV1_0017815</v>
      </c>
      <c r="B2004" s="3">
        <v>1665</v>
      </c>
      <c r="C2004" s="1" t="str">
        <f>HYPERLINK("http://www.uniprot.org/uniprot/DFRA_SYNY3","DFRA_SYNY3")</f>
        <v>DFRA_SYNY3</v>
      </c>
      <c r="D2004" t="s">
        <v>1958</v>
      </c>
      <c r="E2004" s="3" t="s">
        <v>527</v>
      </c>
      <c r="F2004" s="4">
        <v>8.4000000000000006E-27</v>
      </c>
      <c r="G2004" s="3">
        <v>287</v>
      </c>
      <c r="H2004" s="3">
        <v>33</v>
      </c>
      <c r="I2004" s="3">
        <v>277</v>
      </c>
      <c r="J2004" s="3">
        <v>119</v>
      </c>
      <c r="K2004" s="3">
        <v>934</v>
      </c>
      <c r="L2004" s="3">
        <v>15</v>
      </c>
      <c r="M2004" s="3">
        <v>278</v>
      </c>
    </row>
    <row r="2005" spans="1:13" x14ac:dyDescent="0.25">
      <c r="A2005" s="1" t="str">
        <f>HYPERLINK("http://www.rosaceae.org/Prunus/Prunus_persica/p.persica_gdr_reftransV1_0017965","p.persica_gdr_reftransV1_0017965")</f>
        <v>p.persica_gdr_reftransV1_0017965</v>
      </c>
      <c r="B2005" s="3">
        <v>2624</v>
      </c>
      <c r="C2005" s="1" t="str">
        <f>HYPERLINK("http://www.uniprot.org/uniprot/LRKS4_ARATH","LRKS4_ARATH")</f>
        <v>LRKS4_ARATH</v>
      </c>
      <c r="D2005" t="s">
        <v>1959</v>
      </c>
      <c r="E2005" s="3" t="s">
        <v>3</v>
      </c>
      <c r="F2005" s="4">
        <v>0</v>
      </c>
      <c r="G2005" s="3">
        <v>1311</v>
      </c>
      <c r="H2005" s="3">
        <v>69</v>
      </c>
      <c r="I2005" s="3">
        <v>348</v>
      </c>
      <c r="J2005" s="3">
        <v>1171</v>
      </c>
      <c r="K2005" s="3">
        <v>2193</v>
      </c>
      <c r="L2005" s="3">
        <v>310</v>
      </c>
      <c r="M2005" s="3">
        <v>657</v>
      </c>
    </row>
    <row r="2006" spans="1:13" x14ac:dyDescent="0.25">
      <c r="A2006" s="1" t="str">
        <f>HYPERLINK("http://www.rosaceae.org/Prunus/Prunus_persica/p.persica_gdr_reftransV1_0018115","p.persica_gdr_reftransV1_0018115")</f>
        <v>p.persica_gdr_reftransV1_0018115</v>
      </c>
      <c r="B2006" s="3">
        <v>2418</v>
      </c>
      <c r="C2006" s="1" t="str">
        <f>HYPERLINK("http://www.uniprot.org/uniprot/2ABB_ARATH","2ABB_ARATH")</f>
        <v>2ABB_ARATH</v>
      </c>
      <c r="D2006" t="s">
        <v>1960</v>
      </c>
      <c r="E2006" s="3" t="s">
        <v>3</v>
      </c>
      <c r="F2006" s="4">
        <v>1.4000000000000001E-141</v>
      </c>
      <c r="G2006" s="3">
        <v>1109</v>
      </c>
      <c r="H2006" s="3">
        <v>61</v>
      </c>
      <c r="I2006" s="3">
        <v>380</v>
      </c>
      <c r="J2006" s="3">
        <v>839</v>
      </c>
      <c r="K2006" s="3">
        <v>1954</v>
      </c>
      <c r="L2006" s="3">
        <v>68</v>
      </c>
      <c r="M2006" s="3">
        <v>434</v>
      </c>
    </row>
    <row r="2007" spans="1:13" x14ac:dyDescent="0.25">
      <c r="A2007" s="1" t="str">
        <f>HYPERLINK("http://www.rosaceae.org/Prunus/Prunus_persica/p.persica_gdr_reftransV1_0018315","p.persica_gdr_reftransV1_0018315")</f>
        <v>p.persica_gdr_reftransV1_0018315</v>
      </c>
      <c r="B2007" s="3">
        <v>1318</v>
      </c>
      <c r="C2007" s="1" t="str">
        <f>HYPERLINK("http://www.uniprot.org/uniprot/PTHC_ARATH","PTHC_ARATH")</f>
        <v>PTHC_ARATH</v>
      </c>
      <c r="D2007" t="s">
        <v>1961</v>
      </c>
      <c r="E2007" s="3" t="s">
        <v>3</v>
      </c>
      <c r="F2007" s="4">
        <v>4.01E-110</v>
      </c>
      <c r="G2007" s="3">
        <v>854</v>
      </c>
      <c r="H2007" s="3">
        <v>79</v>
      </c>
      <c r="I2007" s="3">
        <v>200</v>
      </c>
      <c r="J2007" s="3">
        <v>427</v>
      </c>
      <c r="K2007" s="3">
        <v>1023</v>
      </c>
      <c r="L2007" s="3">
        <v>87</v>
      </c>
      <c r="M2007" s="3">
        <v>286</v>
      </c>
    </row>
    <row r="2008" spans="1:13" x14ac:dyDescent="0.25">
      <c r="A2008" s="1" t="str">
        <f>HYPERLINK("http://www.rosaceae.org/Prunus/Prunus_persica/p.persica_gdr_reftransV1_0018465","p.persica_gdr_reftransV1_0018465")</f>
        <v>p.persica_gdr_reftransV1_0018465</v>
      </c>
      <c r="B2008" s="3">
        <v>1151</v>
      </c>
      <c r="C2008" s="1" t="str">
        <f>HYPERLINK("http://www.uniprot.org/uniprot/RL13_CHLAD","RL13_CHLAD")</f>
        <v>RL13_CHLAD</v>
      </c>
      <c r="D2008" t="s">
        <v>1962</v>
      </c>
      <c r="E2008" s="3" t="s">
        <v>1963</v>
      </c>
      <c r="F2008" s="4">
        <v>9.1400000000000001E-32</v>
      </c>
      <c r="G2008" s="3">
        <v>306</v>
      </c>
      <c r="H2008" s="3">
        <v>49</v>
      </c>
      <c r="I2008" s="3">
        <v>127</v>
      </c>
      <c r="J2008" s="3">
        <v>310</v>
      </c>
      <c r="K2008" s="3">
        <v>690</v>
      </c>
      <c r="L2008" s="3">
        <v>15</v>
      </c>
      <c r="M2008" s="3">
        <v>141</v>
      </c>
    </row>
    <row r="2009" spans="1:13" x14ac:dyDescent="0.25">
      <c r="A2009" s="1" t="str">
        <f>HYPERLINK("http://www.rosaceae.org/Prunus/Prunus_persica/p.persica_gdr_reftransV1_0018565","p.persica_gdr_reftransV1_0018565")</f>
        <v>p.persica_gdr_reftransV1_0018565</v>
      </c>
      <c r="B2009" s="3">
        <v>1290</v>
      </c>
      <c r="C2009" s="1" t="str">
        <f>HYPERLINK("http://www.uniprot.org/uniprot/GRP2_NICSY","GRP2_NICSY")</f>
        <v>GRP2_NICSY</v>
      </c>
      <c r="D2009" t="s">
        <v>1964</v>
      </c>
      <c r="E2009" s="3" t="s">
        <v>495</v>
      </c>
      <c r="F2009" s="4">
        <v>9.5499999999999994E-30</v>
      </c>
      <c r="G2009" s="3">
        <v>298</v>
      </c>
      <c r="H2009" s="3">
        <v>74</v>
      </c>
      <c r="I2009" s="3">
        <v>76</v>
      </c>
      <c r="J2009" s="3">
        <v>91</v>
      </c>
      <c r="K2009" s="3">
        <v>318</v>
      </c>
      <c r="L2009" s="3">
        <v>6</v>
      </c>
      <c r="M2009" s="3">
        <v>81</v>
      </c>
    </row>
    <row r="2010" spans="1:13" x14ac:dyDescent="0.25">
      <c r="A2010" s="1" t="str">
        <f>HYPERLINK("http://www.rosaceae.org/Prunus/Prunus_persica/p.persica_gdr_reftransV1_0018865","p.persica_gdr_reftransV1_0018865")</f>
        <v>p.persica_gdr_reftransV1_0018865</v>
      </c>
      <c r="B2010" s="3">
        <v>778</v>
      </c>
      <c r="C2010" s="1" t="str">
        <f>HYPERLINK("http://www.uniprot.org/uniprot/LTD_ARATH","LTD_ARATH")</f>
        <v>LTD_ARATH</v>
      </c>
      <c r="D2010" t="s">
        <v>1965</v>
      </c>
      <c r="E2010" s="3" t="s">
        <v>3</v>
      </c>
      <c r="F2010" s="4">
        <v>7.3599999999999994E-79</v>
      </c>
      <c r="G2010" s="3">
        <v>618</v>
      </c>
      <c r="H2010" s="3">
        <v>79</v>
      </c>
      <c r="I2010" s="3">
        <v>143</v>
      </c>
      <c r="J2010" s="3">
        <v>246</v>
      </c>
      <c r="K2010" s="3">
        <v>674</v>
      </c>
      <c r="L2010" s="3">
        <v>33</v>
      </c>
      <c r="M2010" s="3">
        <v>175</v>
      </c>
    </row>
    <row r="2011" spans="1:13" x14ac:dyDescent="0.25">
      <c r="A2011" s="1" t="str">
        <f>HYPERLINK("http://www.rosaceae.org/Prunus/Prunus_persica/p.persica_gdr_reftransV1_0019015","p.persica_gdr_reftransV1_0019015")</f>
        <v>p.persica_gdr_reftransV1_0019015</v>
      </c>
      <c r="B2011" s="3">
        <v>1917</v>
      </c>
      <c r="C2011" s="1" t="str">
        <f>HYPERLINK("http://www.uniprot.org/uniprot/CFXQ2_CYACA","CFXQ2_CYACA")</f>
        <v>CFXQ2_CYACA</v>
      </c>
      <c r="D2011" t="s">
        <v>1966</v>
      </c>
      <c r="E2011" s="3" t="s">
        <v>1967</v>
      </c>
      <c r="F2011" s="4">
        <v>3.6800000000000001E-41</v>
      </c>
      <c r="G2011" s="3">
        <v>392</v>
      </c>
      <c r="H2011" s="3">
        <v>40</v>
      </c>
      <c r="I2011" s="3">
        <v>207</v>
      </c>
      <c r="J2011" s="3">
        <v>712</v>
      </c>
      <c r="K2011" s="3">
        <v>1326</v>
      </c>
      <c r="L2011" s="3">
        <v>12</v>
      </c>
      <c r="M2011" s="3">
        <v>212</v>
      </c>
    </row>
    <row r="2012" spans="1:13" x14ac:dyDescent="0.25">
      <c r="A2012" s="1" t="str">
        <f>HYPERLINK("http://www.rosaceae.org/Prunus/Prunus_persica/p.persica_gdr_reftransV1_0019315","p.persica_gdr_reftransV1_0019315")</f>
        <v>p.persica_gdr_reftransV1_0019315</v>
      </c>
      <c r="B2012" s="3">
        <v>3079</v>
      </c>
      <c r="C2012" s="1" t="str">
        <f>HYPERLINK("http://www.uniprot.org/uniprot/ELF3_ARATH","ELF3_ARATH")</f>
        <v>ELF3_ARATH</v>
      </c>
      <c r="D2012" t="s">
        <v>1968</v>
      </c>
      <c r="E2012" s="3" t="s">
        <v>3</v>
      </c>
      <c r="F2012" s="4">
        <v>1.21E-114</v>
      </c>
      <c r="G2012" s="3">
        <v>965</v>
      </c>
      <c r="H2012" s="3">
        <v>41</v>
      </c>
      <c r="I2012" s="3">
        <v>767</v>
      </c>
      <c r="J2012" s="3">
        <v>337</v>
      </c>
      <c r="K2012" s="3">
        <v>2511</v>
      </c>
      <c r="L2012" s="3">
        <v>1</v>
      </c>
      <c r="M2012" s="3">
        <v>692</v>
      </c>
    </row>
    <row r="2013" spans="1:13" x14ac:dyDescent="0.25">
      <c r="A2013" s="1" t="str">
        <f>HYPERLINK("http://www.rosaceae.org/Prunus/Prunus_persica/p.persica_gdr_reftransV1_0019515","p.persica_gdr_reftransV1_0019515")</f>
        <v>p.persica_gdr_reftransV1_0019515</v>
      </c>
      <c r="B2013" s="3">
        <v>1694</v>
      </c>
      <c r="C2013" s="1" t="str">
        <f>HYPERLINK("http://www.uniprot.org/uniprot/CRK42_ARATH","CRK42_ARATH")</f>
        <v>CRK42_ARATH</v>
      </c>
      <c r="D2013" t="s">
        <v>875</v>
      </c>
      <c r="E2013" s="3" t="s">
        <v>3</v>
      </c>
      <c r="F2013" s="4">
        <v>4.14E-120</v>
      </c>
      <c r="G2013" s="3">
        <v>681</v>
      </c>
      <c r="H2013" s="3">
        <v>62</v>
      </c>
      <c r="I2013" s="3">
        <v>209</v>
      </c>
      <c r="J2013" s="3">
        <v>524</v>
      </c>
      <c r="K2013" s="3">
        <v>1132</v>
      </c>
      <c r="L2013" s="3">
        <v>402</v>
      </c>
      <c r="M2013" s="3">
        <v>607</v>
      </c>
    </row>
    <row r="2014" spans="1:13" x14ac:dyDescent="0.25">
      <c r="A2014" s="1" t="str">
        <f>HYPERLINK("http://www.rosaceae.org/Prunus/Prunus_persica/p.persica_gdr_reftransV1_0020215","p.persica_gdr_reftransV1_0020215")</f>
        <v>p.persica_gdr_reftransV1_0020215</v>
      </c>
      <c r="B2014" s="3">
        <v>1684</v>
      </c>
      <c r="C2014" s="1" t="str">
        <f>HYPERLINK("http://www.uniprot.org/uniprot/LRX4_ARATH","LRX4_ARATH")</f>
        <v>LRX4_ARATH</v>
      </c>
      <c r="D2014" t="s">
        <v>1969</v>
      </c>
      <c r="E2014" s="3" t="s">
        <v>3</v>
      </c>
      <c r="F2014" s="4">
        <v>7.2100000000000004E-168</v>
      </c>
      <c r="G2014" s="3">
        <v>1269</v>
      </c>
      <c r="H2014" s="3">
        <v>68</v>
      </c>
      <c r="I2014" s="3">
        <v>367</v>
      </c>
      <c r="J2014" s="3">
        <v>119</v>
      </c>
      <c r="K2014" s="3">
        <v>1216</v>
      </c>
      <c r="L2014" s="3">
        <v>31</v>
      </c>
      <c r="M2014" s="3">
        <v>396</v>
      </c>
    </row>
    <row r="2015" spans="1:13" x14ac:dyDescent="0.25">
      <c r="A2015" s="1" t="str">
        <f>HYPERLINK("http://www.rosaceae.org/Prunus/Prunus_persica/p.persica_gdr_reftransV1_0020265","p.persica_gdr_reftransV1_0020265")</f>
        <v>p.persica_gdr_reftransV1_0020265</v>
      </c>
      <c r="B2015" s="3">
        <v>2007</v>
      </c>
      <c r="C2015" s="1" t="str">
        <f>HYPERLINK("http://www.uniprot.org/uniprot/Y5133_ARATH","Y5133_ARATH")</f>
        <v>Y5133_ARATH</v>
      </c>
      <c r="D2015" t="s">
        <v>1970</v>
      </c>
      <c r="E2015" s="3" t="s">
        <v>3</v>
      </c>
      <c r="F2015" s="4">
        <v>0</v>
      </c>
      <c r="G2015" s="3">
        <v>1495</v>
      </c>
      <c r="H2015" s="3">
        <v>63</v>
      </c>
      <c r="I2015" s="3">
        <v>459</v>
      </c>
      <c r="J2015" s="3">
        <v>257</v>
      </c>
      <c r="K2015" s="3">
        <v>1624</v>
      </c>
      <c r="L2015" s="3">
        <v>3</v>
      </c>
      <c r="M2015" s="3">
        <v>456</v>
      </c>
    </row>
    <row r="2016" spans="1:13" x14ac:dyDescent="0.25">
      <c r="A2016" s="1" t="str">
        <f>HYPERLINK("http://www.rosaceae.org/Prunus/Prunus_persica/p.persica_gdr_reftransV1_0020565","p.persica_gdr_reftransV1_0020565")</f>
        <v>p.persica_gdr_reftransV1_0020565</v>
      </c>
      <c r="B2016" s="3">
        <v>1387</v>
      </c>
      <c r="C2016" s="1" t="str">
        <f>HYPERLINK("http://www.uniprot.org/uniprot/CRR56_ARATH","CRR56_ARATH")</f>
        <v>CRR56_ARATH</v>
      </c>
      <c r="D2016" t="s">
        <v>1971</v>
      </c>
      <c r="E2016" s="3" t="s">
        <v>3</v>
      </c>
      <c r="F2016" s="4">
        <v>2.3100000000000001E-87</v>
      </c>
      <c r="G2016" s="3">
        <v>705</v>
      </c>
      <c r="H2016" s="3">
        <v>56</v>
      </c>
      <c r="I2016" s="3">
        <v>282</v>
      </c>
      <c r="J2016" s="3">
        <v>381</v>
      </c>
      <c r="K2016" s="3">
        <v>1181</v>
      </c>
      <c r="L2016" s="3">
        <v>24</v>
      </c>
      <c r="M2016" s="3">
        <v>303</v>
      </c>
    </row>
    <row r="2017" spans="1:13" x14ac:dyDescent="0.25">
      <c r="A2017" s="1" t="str">
        <f>HYPERLINK("http://www.rosaceae.org/Prunus/Prunus_persica/p.persica_gdr_reftransV1_0020715","p.persica_gdr_reftransV1_0020715")</f>
        <v>p.persica_gdr_reftransV1_0020715</v>
      </c>
      <c r="B2017" s="3">
        <v>2372</v>
      </c>
      <c r="C2017" s="1" t="str">
        <f>HYPERLINK("http://www.uniprot.org/uniprot/SBIR1_ARATH","SBIR1_ARATH")</f>
        <v>SBIR1_ARATH</v>
      </c>
      <c r="D2017" t="s">
        <v>1972</v>
      </c>
      <c r="E2017" s="3" t="s">
        <v>3</v>
      </c>
      <c r="F2017" s="4">
        <v>0</v>
      </c>
      <c r="G2017" s="3">
        <v>1964</v>
      </c>
      <c r="H2017" s="3">
        <v>61</v>
      </c>
      <c r="I2017" s="3">
        <v>615</v>
      </c>
      <c r="J2017" s="3">
        <v>139</v>
      </c>
      <c r="K2017" s="3">
        <v>1962</v>
      </c>
      <c r="L2017" s="3">
        <v>35</v>
      </c>
      <c r="M2017" s="3">
        <v>641</v>
      </c>
    </row>
    <row r="2018" spans="1:13" x14ac:dyDescent="0.25">
      <c r="A2018" s="1" t="str">
        <f>HYPERLINK("http://www.rosaceae.org/Prunus/Prunus_persica/p.persica_gdr_reftransV1_0020865","p.persica_gdr_reftransV1_0020865")</f>
        <v>p.persica_gdr_reftransV1_0020865</v>
      </c>
      <c r="B2018" s="3">
        <v>1451</v>
      </c>
      <c r="C2018" s="1" t="str">
        <f>HYPERLINK("http://www.uniprot.org/uniprot/BH068_ARATH","BH068_ARATH")</f>
        <v>BH068_ARATH</v>
      </c>
      <c r="D2018" t="s">
        <v>1973</v>
      </c>
      <c r="E2018" s="3" t="s">
        <v>3</v>
      </c>
      <c r="F2018" s="4">
        <v>1.8100000000000001E-74</v>
      </c>
      <c r="G2018" s="3">
        <v>629</v>
      </c>
      <c r="H2018" s="3">
        <v>57</v>
      </c>
      <c r="I2018" s="3">
        <v>281</v>
      </c>
      <c r="J2018" s="3">
        <v>387</v>
      </c>
      <c r="K2018" s="3">
        <v>1187</v>
      </c>
      <c r="L2018" s="3">
        <v>138</v>
      </c>
      <c r="M2018" s="3">
        <v>406</v>
      </c>
    </row>
    <row r="2019" spans="1:13" x14ac:dyDescent="0.25">
      <c r="A2019" s="1" t="str">
        <f>HYPERLINK("http://www.rosaceae.org/Prunus/Prunus_persica/p.persica_gdr_reftransV1_0021015","p.persica_gdr_reftransV1_0021015")</f>
        <v>p.persica_gdr_reftransV1_0021015</v>
      </c>
      <c r="B2019" s="3">
        <v>749</v>
      </c>
      <c r="C2019" s="1" t="str">
        <f>HYPERLINK("http://www.uniprot.org/uniprot/CDP1_ARATH","CDP1_ARATH")</f>
        <v>CDP1_ARATH</v>
      </c>
      <c r="D2019" t="s">
        <v>1974</v>
      </c>
      <c r="E2019" s="3" t="s">
        <v>3</v>
      </c>
      <c r="F2019" s="4">
        <v>1.1E-56</v>
      </c>
      <c r="G2019" s="3">
        <v>503</v>
      </c>
      <c r="H2019" s="3">
        <v>64</v>
      </c>
      <c r="I2019" s="3">
        <v>148</v>
      </c>
      <c r="J2019" s="3">
        <v>329</v>
      </c>
      <c r="K2019" s="3">
        <v>748</v>
      </c>
      <c r="L2019" s="3">
        <v>75</v>
      </c>
      <c r="M2019" s="3">
        <v>222</v>
      </c>
    </row>
    <row r="2020" spans="1:13" x14ac:dyDescent="0.25">
      <c r="A2020" s="1" t="str">
        <f>HYPERLINK("http://www.rosaceae.org/Prunus/Prunus_persica/p.persica_gdr_reftransV1_0021115","p.persica_gdr_reftransV1_0021115")</f>
        <v>p.persica_gdr_reftransV1_0021115</v>
      </c>
      <c r="B2020" s="3">
        <v>1673</v>
      </c>
      <c r="C2020" s="1" t="str">
        <f>HYPERLINK("http://www.uniprot.org/uniprot/RRS1_ARATH","RRS1_ARATH")</f>
        <v>RRS1_ARATH</v>
      </c>
      <c r="D2020" t="s">
        <v>1975</v>
      </c>
      <c r="E2020" s="3" t="s">
        <v>3</v>
      </c>
      <c r="F2020" s="4">
        <v>1.6999999999999999E-77</v>
      </c>
      <c r="G2020" s="3">
        <v>647</v>
      </c>
      <c r="H2020" s="3">
        <v>70</v>
      </c>
      <c r="I2020" s="3">
        <v>179</v>
      </c>
      <c r="J2020" s="3">
        <v>1019</v>
      </c>
      <c r="K2020" s="3">
        <v>1555</v>
      </c>
      <c r="L2020" s="3">
        <v>5</v>
      </c>
      <c r="M2020" s="3">
        <v>183</v>
      </c>
    </row>
    <row r="2021" spans="1:13" x14ac:dyDescent="0.25">
      <c r="A2021" s="1" t="str">
        <f>HYPERLINK("http://www.rosaceae.org/Prunus/Prunus_persica/p.persica_gdr_reftransV1_0021265","p.persica_gdr_reftransV1_0021265")</f>
        <v>p.persica_gdr_reftransV1_0021265</v>
      </c>
      <c r="B2021" s="3">
        <v>1312</v>
      </c>
      <c r="C2021" s="1" t="str">
        <f>HYPERLINK("http://www.uniprot.org/uniprot/C3H48_ARATH","C3H48_ARATH")</f>
        <v>C3H48_ARATH</v>
      </c>
      <c r="D2021" t="s">
        <v>1976</v>
      </c>
      <c r="E2021" s="3" t="s">
        <v>3</v>
      </c>
      <c r="F2021" s="4">
        <v>5.9700000000000001E-43</v>
      </c>
      <c r="G2021" s="3">
        <v>408</v>
      </c>
      <c r="H2021" s="3">
        <v>45</v>
      </c>
      <c r="I2021" s="3">
        <v>182</v>
      </c>
      <c r="J2021" s="3">
        <v>3</v>
      </c>
      <c r="K2021" s="3">
        <v>494</v>
      </c>
      <c r="L2021" s="3">
        <v>21</v>
      </c>
      <c r="M2021" s="3">
        <v>202</v>
      </c>
    </row>
    <row r="2022" spans="1:13" x14ac:dyDescent="0.25">
      <c r="A2022" s="1" t="str">
        <f>HYPERLINK("http://www.rosaceae.org/Prunus/Prunus_persica/p.persica_gdr_reftransV1_0021515","p.persica_gdr_reftransV1_0021515")</f>
        <v>p.persica_gdr_reftransV1_0021515</v>
      </c>
      <c r="B2022" s="3">
        <v>1872</v>
      </c>
      <c r="C2022" s="1" t="str">
        <f>HYPERLINK("http://www.uniprot.org/uniprot/idND_VITVI","idND_VITVI")</f>
        <v>idND_VITVI</v>
      </c>
      <c r="D2022" t="s">
        <v>1977</v>
      </c>
      <c r="E2022" s="3" t="s">
        <v>362</v>
      </c>
      <c r="F2022" s="4">
        <v>3.9299999999999996E-111</v>
      </c>
      <c r="G2022" s="3">
        <v>884</v>
      </c>
      <c r="H2022" s="3">
        <v>76</v>
      </c>
      <c r="I2022" s="3">
        <v>224</v>
      </c>
      <c r="J2022" s="3">
        <v>352</v>
      </c>
      <c r="K2022" s="3">
        <v>1023</v>
      </c>
      <c r="L2022" s="3">
        <v>143</v>
      </c>
      <c r="M2022" s="3">
        <v>366</v>
      </c>
    </row>
    <row r="2023" spans="1:13" x14ac:dyDescent="0.25">
      <c r="A2023" s="1" t="str">
        <f>HYPERLINK("http://www.rosaceae.org/Prunus/Prunus_persica/p.persica_gdr_reftransV1_0021665","p.persica_gdr_reftransV1_0021665")</f>
        <v>p.persica_gdr_reftransV1_0021665</v>
      </c>
      <c r="B2023" s="3">
        <v>1515</v>
      </c>
      <c r="C2023" s="1" t="str">
        <f>HYPERLINK("http://www.uniprot.org/uniprot/RBL12_ARATH","RBL12_ARATH")</f>
        <v>RBL12_ARATH</v>
      </c>
      <c r="D2023" t="s">
        <v>1978</v>
      </c>
      <c r="E2023" s="3" t="s">
        <v>3</v>
      </c>
      <c r="F2023" s="4">
        <v>5.2E-92</v>
      </c>
      <c r="G2023" s="3">
        <v>743</v>
      </c>
      <c r="H2023" s="3">
        <v>58</v>
      </c>
      <c r="I2023" s="3">
        <v>317</v>
      </c>
      <c r="J2023" s="3">
        <v>223</v>
      </c>
      <c r="K2023" s="3">
        <v>1167</v>
      </c>
      <c r="L2023" s="3">
        <v>29</v>
      </c>
      <c r="M2023" s="3">
        <v>334</v>
      </c>
    </row>
    <row r="2024" spans="1:13" x14ac:dyDescent="0.25">
      <c r="A2024" s="1" t="str">
        <f>HYPERLINK("http://www.rosaceae.org/Prunus/Prunus_persica/p.persica_gdr_reftransV1_0021715","p.persica_gdr_reftransV1_0021715")</f>
        <v>p.persica_gdr_reftransV1_0021715</v>
      </c>
      <c r="B2024" s="3">
        <v>3741</v>
      </c>
      <c r="C2024" s="1" t="str">
        <f>HYPERLINK("http://www.uniprot.org/uniprot/DNJ10_ARATH","DNJ10_ARATH")</f>
        <v>DNJ10_ARATH</v>
      </c>
      <c r="D2024" t="s">
        <v>1099</v>
      </c>
      <c r="E2024" s="3" t="s">
        <v>3</v>
      </c>
      <c r="F2024" s="4">
        <v>1.6399999999999999E-62</v>
      </c>
      <c r="G2024" s="3">
        <v>571</v>
      </c>
      <c r="H2024" s="3">
        <v>54</v>
      </c>
      <c r="I2024" s="3">
        <v>217</v>
      </c>
      <c r="J2024" s="3">
        <v>1304</v>
      </c>
      <c r="K2024" s="3">
        <v>1948</v>
      </c>
      <c r="L2024" s="3">
        <v>73</v>
      </c>
      <c r="M2024" s="3">
        <v>286</v>
      </c>
    </row>
    <row r="2025" spans="1:13" x14ac:dyDescent="0.25">
      <c r="A2025" s="1" t="str">
        <f>HYPERLINK("http://www.rosaceae.org/Prunus/Prunus_persica/p.persica_gdr_reftransV1_0021765","p.persica_gdr_reftransV1_0021765")</f>
        <v>p.persica_gdr_reftransV1_0021765</v>
      </c>
      <c r="B2025" s="3">
        <v>732</v>
      </c>
      <c r="C2025" s="1" t="str">
        <f>HYPERLINK("http://www.uniprot.org/uniprot/GEM_ARATH","GEM_ARATH")</f>
        <v>GEM_ARATH</v>
      </c>
      <c r="D2025" t="s">
        <v>1235</v>
      </c>
      <c r="E2025" s="3" t="s">
        <v>3</v>
      </c>
      <c r="F2025" s="4">
        <v>1.0999999999999999E-82</v>
      </c>
      <c r="G2025" s="3">
        <v>653</v>
      </c>
      <c r="H2025" s="3">
        <v>88</v>
      </c>
      <c r="I2025" s="3">
        <v>136</v>
      </c>
      <c r="J2025" s="3">
        <v>2</v>
      </c>
      <c r="K2025" s="3">
        <v>409</v>
      </c>
      <c r="L2025" s="3">
        <v>158</v>
      </c>
      <c r="M2025" s="3">
        <v>293</v>
      </c>
    </row>
    <row r="2026" spans="1:13" x14ac:dyDescent="0.25">
      <c r="A2026" s="1" t="str">
        <f>HYPERLINK("http://www.rosaceae.org/Prunus/Prunus_persica/p.persica_gdr_reftransV1_0022365","p.persica_gdr_reftransV1_0022365")</f>
        <v>p.persica_gdr_reftransV1_0022365</v>
      </c>
      <c r="B2026" s="3">
        <v>410</v>
      </c>
      <c r="C2026" s="1" t="str">
        <f>HYPERLINK("http://www.uniprot.org/uniprot/PAP3_ORYSJ","PAP3_ORYSJ")</f>
        <v>PAP3_ORYSJ</v>
      </c>
      <c r="D2026" t="s">
        <v>1979</v>
      </c>
      <c r="E2026" s="3" t="s">
        <v>38</v>
      </c>
      <c r="F2026" s="4">
        <v>6.6500000000000004E-45</v>
      </c>
      <c r="G2026" s="3">
        <v>393</v>
      </c>
      <c r="H2026" s="3">
        <v>73</v>
      </c>
      <c r="I2026" s="3">
        <v>106</v>
      </c>
      <c r="J2026" s="3">
        <v>37</v>
      </c>
      <c r="K2026" s="3">
        <v>351</v>
      </c>
      <c r="L2026" s="3">
        <v>268</v>
      </c>
      <c r="M2026" s="3">
        <v>373</v>
      </c>
    </row>
    <row r="2027" spans="1:13" x14ac:dyDescent="0.25">
      <c r="A2027" s="1" t="str">
        <f>HYPERLINK("http://www.rosaceae.org/Prunus/Prunus_persica/p.persica_gdr_reftransV1_0022415","p.persica_gdr_reftransV1_0022415")</f>
        <v>p.persica_gdr_reftransV1_0022415</v>
      </c>
      <c r="B2027" s="3">
        <v>1796</v>
      </c>
      <c r="C2027" s="1" t="str">
        <f>HYPERLINK("http://www.uniprot.org/uniprot/NC100_ARATH","NC100_ARATH")</f>
        <v>NC100_ARATH</v>
      </c>
      <c r="D2027" t="s">
        <v>1980</v>
      </c>
      <c r="E2027" s="3" t="s">
        <v>3</v>
      </c>
      <c r="F2027" s="4">
        <v>1.7700000000000001E-151</v>
      </c>
      <c r="G2027" s="3">
        <v>1148</v>
      </c>
      <c r="H2027" s="3">
        <v>65</v>
      </c>
      <c r="I2027" s="3">
        <v>356</v>
      </c>
      <c r="J2027" s="3">
        <v>406</v>
      </c>
      <c r="K2027" s="3">
        <v>1470</v>
      </c>
      <c r="L2027" s="3">
        <v>5</v>
      </c>
      <c r="M2027" s="3">
        <v>336</v>
      </c>
    </row>
    <row r="2028" spans="1:13" x14ac:dyDescent="0.25">
      <c r="A2028" s="1" t="str">
        <f>HYPERLINK("http://www.rosaceae.org/Prunus/Prunus_persica/p.persica_gdr_reftransV1_0022815","p.persica_gdr_reftransV1_0022815")</f>
        <v>p.persica_gdr_reftransV1_0022815</v>
      </c>
      <c r="B2028" s="3">
        <v>1913</v>
      </c>
      <c r="C2028" s="1" t="str">
        <f>HYPERLINK("http://www.uniprot.org/uniprot/FKB53_ARATH","FKB53_ARATH")</f>
        <v>FKB53_ARATH</v>
      </c>
      <c r="D2028" t="s">
        <v>1981</v>
      </c>
      <c r="E2028" s="3" t="s">
        <v>3</v>
      </c>
      <c r="F2028" s="4">
        <v>9.6000000000000008E-96</v>
      </c>
      <c r="G2028" s="3">
        <v>791</v>
      </c>
      <c r="H2028" s="3">
        <v>46</v>
      </c>
      <c r="I2028" s="3">
        <v>501</v>
      </c>
      <c r="J2028" s="3">
        <v>135</v>
      </c>
      <c r="K2028" s="3">
        <v>1598</v>
      </c>
      <c r="L2028" s="3">
        <v>1</v>
      </c>
      <c r="M2028" s="3">
        <v>476</v>
      </c>
    </row>
    <row r="2029" spans="1:13" x14ac:dyDescent="0.25">
      <c r="A2029" s="1" t="str">
        <f>HYPERLINK("http://www.rosaceae.org/Prunus/Prunus_persica/p.persica_gdr_reftransV1_0023365","p.persica_gdr_reftransV1_0023365")</f>
        <v>p.persica_gdr_reftransV1_0023365</v>
      </c>
      <c r="B2029" s="3">
        <v>2538</v>
      </c>
      <c r="C2029" s="1" t="str">
        <f>HYPERLINK("http://www.uniprot.org/uniprot/PP413_ARATH","PP413_ARATH")</f>
        <v>PP413_ARATH</v>
      </c>
      <c r="D2029" t="s">
        <v>1982</v>
      </c>
      <c r="E2029" s="3" t="s">
        <v>3</v>
      </c>
      <c r="F2029" s="4">
        <v>0</v>
      </c>
      <c r="G2029" s="3">
        <v>2581</v>
      </c>
      <c r="H2029" s="3">
        <v>78</v>
      </c>
      <c r="I2029" s="3">
        <v>628</v>
      </c>
      <c r="J2029" s="3">
        <v>475</v>
      </c>
      <c r="K2029" s="3">
        <v>2340</v>
      </c>
      <c r="L2029" s="3">
        <v>81</v>
      </c>
      <c r="M2029" s="3">
        <v>707</v>
      </c>
    </row>
    <row r="2030" spans="1:13" x14ac:dyDescent="0.25">
      <c r="A2030" s="1" t="str">
        <f>HYPERLINK("http://www.rosaceae.org/Prunus/Prunus_persica/p.persica_gdr_reftransV1_0023415","p.persica_gdr_reftransV1_0023415")</f>
        <v>p.persica_gdr_reftransV1_0023415</v>
      </c>
      <c r="B2030" s="3">
        <v>2676</v>
      </c>
      <c r="C2030" s="1" t="str">
        <f>HYPERLINK("http://www.uniprot.org/uniprot/PTR16_ARATH","PTR16_ARATH")</f>
        <v>PTR16_ARATH</v>
      </c>
      <c r="D2030" t="s">
        <v>1983</v>
      </c>
      <c r="E2030" s="3" t="s">
        <v>3</v>
      </c>
      <c r="F2030" s="4">
        <v>8.1600000000000003E-137</v>
      </c>
      <c r="G2030" s="3">
        <v>1099</v>
      </c>
      <c r="H2030" s="3">
        <v>79</v>
      </c>
      <c r="I2030" s="3">
        <v>257</v>
      </c>
      <c r="J2030" s="3">
        <v>301</v>
      </c>
      <c r="K2030" s="3">
        <v>1071</v>
      </c>
      <c r="L2030" s="3">
        <v>23</v>
      </c>
      <c r="M2030" s="3">
        <v>274</v>
      </c>
    </row>
    <row r="2031" spans="1:13" x14ac:dyDescent="0.25">
      <c r="A2031" s="1" t="str">
        <f>HYPERLINK("http://www.rosaceae.org/Prunus/Prunus_persica/p.persica_gdr_reftransV1_0023465","p.persica_gdr_reftransV1_0023465")</f>
        <v>p.persica_gdr_reftransV1_0023465</v>
      </c>
      <c r="B2031" s="3">
        <v>895</v>
      </c>
      <c r="C2031" s="1" t="str">
        <f>HYPERLINK("http://www.uniprot.org/uniprot/KPYC_TOBAC","KPYC_TOBAC")</f>
        <v>KPYC_TOBAC</v>
      </c>
      <c r="D2031" t="s">
        <v>1984</v>
      </c>
      <c r="E2031" s="3" t="s">
        <v>200</v>
      </c>
      <c r="F2031" s="4">
        <v>8.9799999999999998E-48</v>
      </c>
      <c r="G2031" s="3">
        <v>436</v>
      </c>
      <c r="H2031" s="3">
        <v>46</v>
      </c>
      <c r="I2031" s="3">
        <v>201</v>
      </c>
      <c r="J2031" s="3">
        <v>293</v>
      </c>
      <c r="K2031" s="3">
        <v>895</v>
      </c>
      <c r="L2031" s="3">
        <v>309</v>
      </c>
      <c r="M2031" s="3">
        <v>508</v>
      </c>
    </row>
    <row r="2032" spans="1:13" x14ac:dyDescent="0.25">
      <c r="A2032" s="1" t="str">
        <f>HYPERLINK("http://www.rosaceae.org/Prunus/Prunus_persica/p.persica_gdr_reftransV1_0023965","p.persica_gdr_reftransV1_0023965")</f>
        <v>p.persica_gdr_reftransV1_0023965</v>
      </c>
      <c r="B2032" s="3">
        <v>1875</v>
      </c>
      <c r="C2032" s="1" t="str">
        <f>HYPERLINK("http://www.uniprot.org/uniprot/FDFT_NICBE","FDFT_NICBE")</f>
        <v>FDFT_NICBE</v>
      </c>
      <c r="D2032" t="s">
        <v>1985</v>
      </c>
      <c r="E2032" s="3" t="s">
        <v>1986</v>
      </c>
      <c r="F2032" s="4">
        <v>0</v>
      </c>
      <c r="G2032" s="3">
        <v>1779</v>
      </c>
      <c r="H2032" s="3">
        <v>82</v>
      </c>
      <c r="I2032" s="3">
        <v>388</v>
      </c>
      <c r="J2032" s="3">
        <v>498</v>
      </c>
      <c r="K2032" s="3">
        <v>1661</v>
      </c>
      <c r="L2032" s="3">
        <v>1</v>
      </c>
      <c r="M2032" s="3">
        <v>388</v>
      </c>
    </row>
    <row r="2033" spans="1:13" x14ac:dyDescent="0.25">
      <c r="A2033" s="1" t="str">
        <f>HYPERLINK("http://www.rosaceae.org/Prunus/Prunus_persica/p.persica_gdr_reftransV1_0024065","p.persica_gdr_reftransV1_0024065")</f>
        <v>p.persica_gdr_reftransV1_0024065</v>
      </c>
      <c r="B2033" s="3">
        <v>1849</v>
      </c>
      <c r="C2033" s="1" t="str">
        <f>HYPERLINK("http://www.uniprot.org/uniprot/ZPR1_YEAST","ZPR1_YEAST")</f>
        <v>ZPR1_YEAST</v>
      </c>
      <c r="D2033" t="s">
        <v>1987</v>
      </c>
      <c r="E2033" s="3" t="s">
        <v>34</v>
      </c>
      <c r="F2033" s="4">
        <v>2.9100000000000001E-93</v>
      </c>
      <c r="G2033" s="3">
        <v>773</v>
      </c>
      <c r="H2033" s="3">
        <v>41</v>
      </c>
      <c r="I2033" s="3">
        <v>461</v>
      </c>
      <c r="J2033" s="3">
        <v>270</v>
      </c>
      <c r="K2033" s="3">
        <v>1628</v>
      </c>
      <c r="L2033" s="3">
        <v>46</v>
      </c>
      <c r="M2033" s="3">
        <v>483</v>
      </c>
    </row>
    <row r="2034" spans="1:13" x14ac:dyDescent="0.25">
      <c r="A2034" s="1" t="str">
        <f>HYPERLINK("http://www.rosaceae.org/Prunus/Prunus_persica/p.persica_gdr_reftransV1_0024365","p.persica_gdr_reftransV1_0024365")</f>
        <v>p.persica_gdr_reftransV1_0024365</v>
      </c>
      <c r="B2034" s="3">
        <v>2448</v>
      </c>
      <c r="C2034" s="1" t="str">
        <f>HYPERLINK("http://www.uniprot.org/uniprot/PP407_ARATH","PP407_ARATH")</f>
        <v>PP407_ARATH</v>
      </c>
      <c r="D2034" t="s">
        <v>724</v>
      </c>
      <c r="E2034" s="3" t="s">
        <v>3</v>
      </c>
      <c r="F2034" s="4">
        <v>0</v>
      </c>
      <c r="G2034" s="3">
        <v>1536</v>
      </c>
      <c r="H2034" s="3">
        <v>68</v>
      </c>
      <c r="I2034" s="3">
        <v>414</v>
      </c>
      <c r="J2034" s="3">
        <v>947</v>
      </c>
      <c r="K2034" s="3">
        <v>2170</v>
      </c>
      <c r="L2034" s="3">
        <v>311</v>
      </c>
      <c r="M2034" s="3">
        <v>724</v>
      </c>
    </row>
    <row r="2035" spans="1:13" x14ac:dyDescent="0.25">
      <c r="A2035" s="1" t="str">
        <f>HYPERLINK("http://www.rosaceae.org/Prunus/Prunus_persica/p.persica_gdr_reftransV1_0024515","p.persica_gdr_reftransV1_0024515")</f>
        <v>p.persica_gdr_reftransV1_0024515</v>
      </c>
      <c r="B2035" s="3">
        <v>2914</v>
      </c>
      <c r="C2035" s="1" t="str">
        <f>HYPERLINK("http://www.uniprot.org/uniprot/Y5343_ARATH","Y5343_ARATH")</f>
        <v>Y5343_ARATH</v>
      </c>
      <c r="D2035" t="s">
        <v>1988</v>
      </c>
      <c r="E2035" s="3" t="s">
        <v>3</v>
      </c>
      <c r="F2035" s="4">
        <v>1.4600000000000001E-88</v>
      </c>
      <c r="G2035" s="3">
        <v>797</v>
      </c>
      <c r="H2035" s="3">
        <v>51</v>
      </c>
      <c r="I2035" s="3">
        <v>309</v>
      </c>
      <c r="J2035" s="3">
        <v>1392</v>
      </c>
      <c r="K2035" s="3">
        <v>2315</v>
      </c>
      <c r="L2035" s="3">
        <v>657</v>
      </c>
      <c r="M2035" s="3">
        <v>965</v>
      </c>
    </row>
    <row r="2036" spans="1:13" x14ac:dyDescent="0.25">
      <c r="A2036" s="1" t="str">
        <f>HYPERLINK("http://www.rosaceae.org/Prunus/Prunus_persica/p.persica_gdr_reftransV1_0024765","p.persica_gdr_reftransV1_0024765")</f>
        <v>p.persica_gdr_reftransV1_0024765</v>
      </c>
      <c r="B2036" s="3">
        <v>3159</v>
      </c>
      <c r="C2036" s="1" t="str">
        <f>HYPERLINK("http://www.uniprot.org/uniprot/BAM3_ARATH","BAM3_ARATH")</f>
        <v>BAM3_ARATH</v>
      </c>
      <c r="D2036" t="s">
        <v>1989</v>
      </c>
      <c r="E2036" s="3" t="s">
        <v>3</v>
      </c>
      <c r="F2036" s="4">
        <v>2.7199999999999998E-166</v>
      </c>
      <c r="G2036" s="3">
        <v>828</v>
      </c>
      <c r="H2036" s="3">
        <v>69</v>
      </c>
      <c r="I2036" s="3">
        <v>204</v>
      </c>
      <c r="J2036" s="3">
        <v>1196</v>
      </c>
      <c r="K2036" s="3">
        <v>1807</v>
      </c>
      <c r="L2036" s="3">
        <v>86</v>
      </c>
      <c r="M2036" s="3">
        <v>289</v>
      </c>
    </row>
    <row r="2037" spans="1:13" x14ac:dyDescent="0.25">
      <c r="A2037" s="1" t="str">
        <f>HYPERLINK("http://www.rosaceae.org/Prunus/Prunus_persica/p.persica_gdr_reftransV1_0024815","p.persica_gdr_reftransV1_0024815")</f>
        <v>p.persica_gdr_reftransV1_0024815</v>
      </c>
      <c r="B2037" s="3">
        <v>745</v>
      </c>
      <c r="C2037" s="1" t="str">
        <f>HYPERLINK("http://www.uniprot.org/uniprot/FENR1_TOBAC","FENR1_TOBAC")</f>
        <v>FENR1_TOBAC</v>
      </c>
      <c r="D2037" t="s">
        <v>1990</v>
      </c>
      <c r="E2037" s="3" t="s">
        <v>200</v>
      </c>
      <c r="F2037" s="4">
        <v>1.9E-71</v>
      </c>
      <c r="G2037" s="3">
        <v>584</v>
      </c>
      <c r="H2037" s="3">
        <v>80</v>
      </c>
      <c r="I2037" s="3">
        <v>136</v>
      </c>
      <c r="J2037" s="3">
        <v>286</v>
      </c>
      <c r="K2037" s="3">
        <v>693</v>
      </c>
      <c r="L2037" s="3">
        <v>29</v>
      </c>
      <c r="M2037" s="3">
        <v>162</v>
      </c>
    </row>
    <row r="2038" spans="1:13" x14ac:dyDescent="0.25">
      <c r="A2038" s="1" t="str">
        <f>HYPERLINK("http://www.rosaceae.org/Prunus/Prunus_persica/p.persica_gdr_reftransV1_0024865","p.persica_gdr_reftransV1_0024865")</f>
        <v>p.persica_gdr_reftransV1_0024865</v>
      </c>
      <c r="B2038" s="3">
        <v>1525</v>
      </c>
      <c r="C2038" s="1" t="str">
        <f>HYPERLINK("http://www.uniprot.org/uniprot/YKJ1_YEAST","YKJ1_YEAST")</f>
        <v>YKJ1_YEAST</v>
      </c>
      <c r="D2038" t="s">
        <v>1991</v>
      </c>
      <c r="E2038" s="3" t="s">
        <v>34</v>
      </c>
      <c r="F2038" s="4">
        <v>2.82E-18</v>
      </c>
      <c r="G2038" s="3">
        <v>220</v>
      </c>
      <c r="H2038" s="3">
        <v>31</v>
      </c>
      <c r="I2038" s="3">
        <v>254</v>
      </c>
      <c r="J2038" s="3">
        <v>442</v>
      </c>
      <c r="K2038" s="3">
        <v>1134</v>
      </c>
      <c r="L2038" s="3">
        <v>24</v>
      </c>
      <c r="M2038" s="3">
        <v>272</v>
      </c>
    </row>
    <row r="2039" spans="1:13" x14ac:dyDescent="0.25">
      <c r="A2039" s="1" t="str">
        <f>HYPERLINK("http://www.rosaceae.org/Prunus/Prunus_persica/p.persica_gdr_reftransV1_0025365","p.persica_gdr_reftransV1_0025365")</f>
        <v>p.persica_gdr_reftransV1_0025365</v>
      </c>
      <c r="B2039" s="3">
        <v>1230</v>
      </c>
      <c r="C2039" s="1" t="str">
        <f>HYPERLINK("http://www.uniprot.org/uniprot/AE7_ARATH","AE7_ARATH")</f>
        <v>AE7_ARATH</v>
      </c>
      <c r="D2039" t="s">
        <v>1992</v>
      </c>
      <c r="E2039" s="3" t="s">
        <v>3</v>
      </c>
      <c r="F2039" s="4">
        <v>9.7700000000000002E-81</v>
      </c>
      <c r="G2039" s="3">
        <v>643</v>
      </c>
      <c r="H2039" s="3">
        <v>78</v>
      </c>
      <c r="I2039" s="3">
        <v>159</v>
      </c>
      <c r="J2039" s="3">
        <v>309</v>
      </c>
      <c r="K2039" s="3">
        <v>785</v>
      </c>
      <c r="L2039" s="3">
        <v>1</v>
      </c>
      <c r="M2039" s="3">
        <v>157</v>
      </c>
    </row>
    <row r="2040" spans="1:13" x14ac:dyDescent="0.25">
      <c r="A2040" s="1" t="str">
        <f>HYPERLINK("http://www.rosaceae.org/Prunus/Prunus_persica/p.persica_gdr_reftransV1_0025565","p.persica_gdr_reftransV1_0025565")</f>
        <v>p.persica_gdr_reftransV1_0025565</v>
      </c>
      <c r="B2040" s="3">
        <v>1492</v>
      </c>
      <c r="C2040" s="1" t="str">
        <f>HYPERLINK("http://www.uniprot.org/uniprot/STOP1_ARATH","STOP1_ARATH")</f>
        <v>STOP1_ARATH</v>
      </c>
      <c r="D2040" t="s">
        <v>1993</v>
      </c>
      <c r="E2040" s="3" t="s">
        <v>3</v>
      </c>
      <c r="F2040" s="4">
        <v>1.9699999999999999E-72</v>
      </c>
      <c r="G2040" s="3">
        <v>623</v>
      </c>
      <c r="H2040" s="3">
        <v>39</v>
      </c>
      <c r="I2040" s="3">
        <v>328</v>
      </c>
      <c r="J2040" s="3">
        <v>122</v>
      </c>
      <c r="K2040" s="3">
        <v>943</v>
      </c>
      <c r="L2040" s="3">
        <v>73</v>
      </c>
      <c r="M2040" s="3">
        <v>400</v>
      </c>
    </row>
    <row r="2041" spans="1:13" x14ac:dyDescent="0.25">
      <c r="A2041" s="1" t="str">
        <f>HYPERLINK("http://www.rosaceae.org/Prunus/Prunus_persica/p.persica_gdr_reftransV1_0025615","p.persica_gdr_reftransV1_0025615")</f>
        <v>p.persica_gdr_reftransV1_0025615</v>
      </c>
      <c r="B2041" s="3">
        <v>2432</v>
      </c>
      <c r="C2041" s="1" t="str">
        <f>HYPERLINK("http://www.uniprot.org/uniprot/PP257_ARATH","PP257_ARATH")</f>
        <v>PP257_ARATH</v>
      </c>
      <c r="D2041" t="s">
        <v>1994</v>
      </c>
      <c r="E2041" s="3" t="s">
        <v>3</v>
      </c>
      <c r="F2041" s="4">
        <v>3.3E-163</v>
      </c>
      <c r="G2041" s="3">
        <v>1257</v>
      </c>
      <c r="H2041" s="3">
        <v>60</v>
      </c>
      <c r="I2041" s="3">
        <v>399</v>
      </c>
      <c r="J2041" s="3">
        <v>541</v>
      </c>
      <c r="K2041" s="3">
        <v>1728</v>
      </c>
      <c r="L2041" s="3">
        <v>18</v>
      </c>
      <c r="M2041" s="3">
        <v>415</v>
      </c>
    </row>
    <row r="2042" spans="1:13" x14ac:dyDescent="0.25">
      <c r="A2042" s="1" t="str">
        <f>HYPERLINK("http://www.rosaceae.org/Prunus/Prunus_persica/p.persica_gdr_reftransV1_0025765","p.persica_gdr_reftransV1_0025765")</f>
        <v>p.persica_gdr_reftransV1_0025765</v>
      </c>
      <c r="B2042" s="3">
        <v>2321</v>
      </c>
      <c r="C2042" s="1" t="str">
        <f>HYPERLINK("http://www.uniprot.org/uniprot/JP650_ARATH","JP650_ARATH")</f>
        <v>JP650_ARATH</v>
      </c>
      <c r="D2042" t="s">
        <v>1995</v>
      </c>
      <c r="E2042" s="3" t="s">
        <v>3</v>
      </c>
      <c r="F2042" s="4">
        <v>0</v>
      </c>
      <c r="G2042" s="3">
        <v>2127</v>
      </c>
      <c r="H2042" s="3">
        <v>64</v>
      </c>
      <c r="I2042" s="3">
        <v>614</v>
      </c>
      <c r="J2042" s="3">
        <v>318</v>
      </c>
      <c r="K2042" s="3">
        <v>2144</v>
      </c>
      <c r="L2042" s="3">
        <v>17</v>
      </c>
      <c r="M2042" s="3">
        <v>626</v>
      </c>
    </row>
    <row r="2043" spans="1:13" x14ac:dyDescent="0.25">
      <c r="A2043" s="1" t="str">
        <f>HYPERLINK("http://www.rosaceae.org/Prunus/Prunus_persica/p.persica_gdr_reftransV1_0025915","p.persica_gdr_reftransV1_0025915")</f>
        <v>p.persica_gdr_reftransV1_0025915</v>
      </c>
      <c r="B2043" s="3">
        <v>2083</v>
      </c>
      <c r="C2043" s="1" t="str">
        <f>HYPERLINK("http://www.uniprot.org/uniprot/RAA6A_ARATH","RAA6A_ARATH")</f>
        <v>RAA6A_ARATH</v>
      </c>
      <c r="D2043" t="s">
        <v>1996</v>
      </c>
      <c r="E2043" s="3" t="s">
        <v>3</v>
      </c>
      <c r="F2043" s="4">
        <v>3.2299999999999998E-47</v>
      </c>
      <c r="G2043" s="3">
        <v>433</v>
      </c>
      <c r="H2043" s="3">
        <v>54</v>
      </c>
      <c r="I2043" s="3">
        <v>161</v>
      </c>
      <c r="J2043" s="3">
        <v>1474</v>
      </c>
      <c r="K2043" s="3">
        <v>1917</v>
      </c>
      <c r="L2043" s="3">
        <v>74</v>
      </c>
      <c r="M2043" s="3">
        <v>231</v>
      </c>
    </row>
    <row r="2044" spans="1:13" x14ac:dyDescent="0.25">
      <c r="A2044" s="1" t="str">
        <f>HYPERLINK("http://www.rosaceae.org/Prunus/Prunus_persica/p.persica_gdr_reftransV1_0026215","p.persica_gdr_reftransV1_0026215")</f>
        <v>p.persica_gdr_reftransV1_0026215</v>
      </c>
      <c r="B2044" s="3">
        <v>3354</v>
      </c>
      <c r="C2044" s="1" t="str">
        <f>HYPERLINK("http://www.uniprot.org/uniprot/PGML1_ARATH","PGML1_ARATH")</f>
        <v>PGML1_ARATH</v>
      </c>
      <c r="D2044" t="s">
        <v>1653</v>
      </c>
      <c r="E2044" s="3" t="s">
        <v>3</v>
      </c>
      <c r="F2044" s="4">
        <v>1.02E-81</v>
      </c>
      <c r="G2044" s="3">
        <v>698</v>
      </c>
      <c r="H2044" s="3">
        <v>73</v>
      </c>
      <c r="I2044" s="3">
        <v>175</v>
      </c>
      <c r="J2044" s="3">
        <v>1661</v>
      </c>
      <c r="K2044" s="3">
        <v>2185</v>
      </c>
      <c r="L2044" s="3">
        <v>56</v>
      </c>
      <c r="M2044" s="3">
        <v>230</v>
      </c>
    </row>
    <row r="2045" spans="1:13" x14ac:dyDescent="0.25">
      <c r="A2045" s="1" t="str">
        <f>HYPERLINK("http://www.rosaceae.org/Prunus/Prunus_persica/p.persica_gdr_reftransV1_0026515","p.persica_gdr_reftransV1_0026515")</f>
        <v>p.persica_gdr_reftransV1_0026515</v>
      </c>
      <c r="B2045" s="3">
        <v>4556</v>
      </c>
      <c r="C2045" s="1" t="str">
        <f>HYPERLINK("http://www.uniprot.org/uniprot/PPA3_ARATH","PPA3_ARATH")</f>
        <v>PPA3_ARATH</v>
      </c>
      <c r="D2045" t="s">
        <v>1997</v>
      </c>
      <c r="E2045" s="3" t="s">
        <v>3</v>
      </c>
      <c r="F2045" s="4">
        <v>3.6899999999999998E-110</v>
      </c>
      <c r="G2045" s="3">
        <v>921</v>
      </c>
      <c r="H2045" s="3">
        <v>64</v>
      </c>
      <c r="I2045" s="3">
        <v>256</v>
      </c>
      <c r="J2045" s="3">
        <v>2303</v>
      </c>
      <c r="K2045" s="3">
        <v>3064</v>
      </c>
      <c r="L2045" s="3">
        <v>97</v>
      </c>
      <c r="M2045" s="3">
        <v>352</v>
      </c>
    </row>
    <row r="2046" spans="1:13" x14ac:dyDescent="0.25">
      <c r="A2046" s="1" t="str">
        <f>HYPERLINK("http://www.rosaceae.org/Prunus/Prunus_persica/p.persica_gdr_reftransV1_0026615","p.persica_gdr_reftransV1_0026615")</f>
        <v>p.persica_gdr_reftransV1_0026615</v>
      </c>
      <c r="B2046" s="3">
        <v>1255</v>
      </c>
      <c r="C2046" s="1" t="str">
        <f>HYPERLINK("http://www.uniprot.org/uniprot/ACCH1_ARATH","ACCH1_ARATH")</f>
        <v>ACCH1_ARATH</v>
      </c>
      <c r="D2046" t="s">
        <v>1325</v>
      </c>
      <c r="E2046" s="3" t="s">
        <v>3</v>
      </c>
      <c r="F2046" s="4">
        <v>1.1600000000000001E-123</v>
      </c>
      <c r="G2046" s="3">
        <v>949</v>
      </c>
      <c r="H2046" s="3">
        <v>52</v>
      </c>
      <c r="I2046" s="3">
        <v>354</v>
      </c>
      <c r="J2046" s="3">
        <v>69</v>
      </c>
      <c r="K2046" s="3">
        <v>1121</v>
      </c>
      <c r="L2046" s="3">
        <v>12</v>
      </c>
      <c r="M2046" s="3">
        <v>365</v>
      </c>
    </row>
    <row r="2047" spans="1:13" x14ac:dyDescent="0.25">
      <c r="A2047" s="1" t="str">
        <f>HYPERLINK("http://www.rosaceae.org/Prunus/Prunus_persica/p.persica_gdr_reftransV1_0026815","p.persica_gdr_reftransV1_0026815")</f>
        <v>p.persica_gdr_reftransV1_0026815</v>
      </c>
      <c r="B2047" s="3">
        <v>3087</v>
      </c>
      <c r="C2047" s="1" t="str">
        <f>HYPERLINK("http://www.uniprot.org/uniprot/ATG4_MEDTR","ATG4_MEDTR")</f>
        <v>ATG4_MEDTR</v>
      </c>
      <c r="D2047" t="s">
        <v>1998</v>
      </c>
      <c r="E2047" s="3" t="s">
        <v>91</v>
      </c>
      <c r="F2047" s="4">
        <v>0</v>
      </c>
      <c r="G2047" s="3">
        <v>1415</v>
      </c>
      <c r="H2047" s="3">
        <v>69</v>
      </c>
      <c r="I2047" s="3">
        <v>432</v>
      </c>
      <c r="J2047" s="3">
        <v>1001</v>
      </c>
      <c r="K2047" s="3">
        <v>2293</v>
      </c>
      <c r="L2047" s="3">
        <v>2</v>
      </c>
      <c r="M2047" s="3">
        <v>424</v>
      </c>
    </row>
    <row r="2048" spans="1:13" x14ac:dyDescent="0.25">
      <c r="A2048" s="1" t="str">
        <f>HYPERLINK("http://www.rosaceae.org/Prunus/Prunus_persica/p.persica_gdr_reftransV1_0027065","p.persica_gdr_reftransV1_0027065")</f>
        <v>p.persica_gdr_reftransV1_0027065</v>
      </c>
      <c r="B2048" s="3">
        <v>3515</v>
      </c>
      <c r="C2048" s="1" t="str">
        <f>HYPERLINK("http://www.uniprot.org/uniprot/U1148_ARATH","U1148_ARATH")</f>
        <v>U1148_ARATH</v>
      </c>
      <c r="D2048" t="s">
        <v>1999</v>
      </c>
      <c r="E2048" s="3" t="s">
        <v>3</v>
      </c>
      <c r="F2048" s="4">
        <v>1.2399999999999999E-111</v>
      </c>
      <c r="G2048" s="3">
        <v>953</v>
      </c>
      <c r="H2048" s="3">
        <v>48</v>
      </c>
      <c r="I2048" s="3">
        <v>443</v>
      </c>
      <c r="J2048" s="3">
        <v>1699</v>
      </c>
      <c r="K2048" s="3">
        <v>2952</v>
      </c>
      <c r="L2048" s="3">
        <v>149</v>
      </c>
      <c r="M2048" s="3">
        <v>583</v>
      </c>
    </row>
    <row r="2049" spans="1:13" x14ac:dyDescent="0.25">
      <c r="A2049" s="1" t="str">
        <f>HYPERLINK("http://www.rosaceae.org/Prunus/Prunus_persica/p.persica_gdr_reftransV1_0027165","p.persica_gdr_reftransV1_0027165")</f>
        <v>p.persica_gdr_reftransV1_0027165</v>
      </c>
      <c r="B2049" s="3">
        <v>3568</v>
      </c>
      <c r="C2049" s="1" t="str">
        <f>HYPERLINK("http://www.uniprot.org/uniprot/GLR33_ARATH","GLR33_ARATH")</f>
        <v>GLR33_ARATH</v>
      </c>
      <c r="D2049" t="s">
        <v>2000</v>
      </c>
      <c r="E2049" s="3" t="s">
        <v>3</v>
      </c>
      <c r="F2049" s="4">
        <v>0</v>
      </c>
      <c r="G2049" s="3">
        <v>2896</v>
      </c>
      <c r="H2049" s="3">
        <v>60</v>
      </c>
      <c r="I2049" s="3">
        <v>914</v>
      </c>
      <c r="J2049" s="3">
        <v>615</v>
      </c>
      <c r="K2049" s="3">
        <v>3314</v>
      </c>
      <c r="L2049" s="3">
        <v>23</v>
      </c>
      <c r="M2049" s="3">
        <v>907</v>
      </c>
    </row>
    <row r="2050" spans="1:13" x14ac:dyDescent="0.25">
      <c r="A2050" s="1" t="str">
        <f>HYPERLINK("http://www.rosaceae.org/Prunus/Prunus_persica/p.persica_gdr_reftransV1_0027365","p.persica_gdr_reftransV1_0027365")</f>
        <v>p.persica_gdr_reftransV1_0027365</v>
      </c>
      <c r="B2050" s="3">
        <v>2970</v>
      </c>
      <c r="C2050" s="1" t="str">
        <f>HYPERLINK("http://www.uniprot.org/uniprot/S2542_XENLA","S2542_XENLA")</f>
        <v>S2542_XENLA</v>
      </c>
      <c r="D2050" t="s">
        <v>2001</v>
      </c>
      <c r="E2050" s="3" t="s">
        <v>475</v>
      </c>
      <c r="F2050" s="4">
        <v>8.0400000000000002E-19</v>
      </c>
      <c r="G2050" s="3">
        <v>229</v>
      </c>
      <c r="H2050" s="3">
        <v>36</v>
      </c>
      <c r="I2050" s="3">
        <v>168</v>
      </c>
      <c r="J2050" s="3">
        <v>1221</v>
      </c>
      <c r="K2050" s="3">
        <v>1724</v>
      </c>
      <c r="L2050" s="3">
        <v>82</v>
      </c>
      <c r="M2050" s="3">
        <v>217</v>
      </c>
    </row>
    <row r="2051" spans="1:13" x14ac:dyDescent="0.25">
      <c r="A2051" s="1" t="str">
        <f>HYPERLINK("http://www.rosaceae.org/Prunus/Prunus_persica/p.persica_gdr_reftransV1_0027415","p.persica_gdr_reftransV1_0027415")</f>
        <v>p.persica_gdr_reftransV1_0027415</v>
      </c>
      <c r="B2051" s="3">
        <v>2730</v>
      </c>
      <c r="C2051" s="1" t="str">
        <f>HYPERLINK("http://www.uniprot.org/uniprot/H12_ARATH","H12_ARATH")</f>
        <v>H12_ARATH</v>
      </c>
      <c r="D2051" t="s">
        <v>2002</v>
      </c>
      <c r="E2051" s="3" t="s">
        <v>3</v>
      </c>
      <c r="F2051" s="4">
        <v>1.01E-23</v>
      </c>
      <c r="G2051" s="3">
        <v>266</v>
      </c>
      <c r="H2051" s="3">
        <v>74</v>
      </c>
      <c r="I2051" s="3">
        <v>76</v>
      </c>
      <c r="J2051" s="3">
        <v>228</v>
      </c>
      <c r="K2051" s="3">
        <v>455</v>
      </c>
      <c r="L2051" s="3">
        <v>68</v>
      </c>
      <c r="M2051" s="3">
        <v>142</v>
      </c>
    </row>
    <row r="2052" spans="1:13" x14ac:dyDescent="0.25">
      <c r="A2052" s="1" t="str">
        <f>HYPERLINK("http://www.rosaceae.org/Prunus/Prunus_persica/p.persica_gdr_reftransV1_0027515","p.persica_gdr_reftransV1_0027515")</f>
        <v>p.persica_gdr_reftransV1_0027515</v>
      </c>
      <c r="B2052" s="3">
        <v>1782</v>
      </c>
      <c r="C2052" s="1" t="str">
        <f>HYPERLINK("http://www.uniprot.org/uniprot/PPF1_PEA","PPF1_PEA")</f>
        <v>PPF1_PEA</v>
      </c>
      <c r="D2052" t="s">
        <v>2003</v>
      </c>
      <c r="E2052" s="3" t="s">
        <v>60</v>
      </c>
      <c r="F2052" s="4">
        <v>0</v>
      </c>
      <c r="G2052" s="3">
        <v>1438</v>
      </c>
      <c r="H2052" s="3">
        <v>74</v>
      </c>
      <c r="I2052" s="3">
        <v>433</v>
      </c>
      <c r="J2052" s="3">
        <v>276</v>
      </c>
      <c r="K2052" s="3">
        <v>1574</v>
      </c>
      <c r="L2052" s="3">
        <v>1</v>
      </c>
      <c r="M2052" s="3">
        <v>424</v>
      </c>
    </row>
    <row r="2053" spans="1:13" x14ac:dyDescent="0.25">
      <c r="A2053" s="1" t="str">
        <f>HYPERLINK("http://www.rosaceae.org/Prunus/Prunus_persica/p.persica_gdr_reftransV1_0027565","p.persica_gdr_reftransV1_0027565")</f>
        <v>p.persica_gdr_reftransV1_0027565</v>
      </c>
      <c r="B2053" s="3">
        <v>873</v>
      </c>
      <c r="C2053" s="1" t="str">
        <f>HYPERLINK("http://www.uniprot.org/uniprot/RRAA3_ARATH","RRAA3_ARATH")</f>
        <v>RRAA3_ARATH</v>
      </c>
      <c r="D2053" t="s">
        <v>2004</v>
      </c>
      <c r="E2053" s="3" t="s">
        <v>3</v>
      </c>
      <c r="F2053" s="4">
        <v>1.5299999999999999E-84</v>
      </c>
      <c r="G2053" s="3">
        <v>658</v>
      </c>
      <c r="H2053" s="3">
        <v>79</v>
      </c>
      <c r="I2053" s="3">
        <v>156</v>
      </c>
      <c r="J2053" s="3">
        <v>163</v>
      </c>
      <c r="K2053" s="3">
        <v>630</v>
      </c>
      <c r="L2053" s="3">
        <v>1</v>
      </c>
      <c r="M2053" s="3">
        <v>156</v>
      </c>
    </row>
    <row r="2054" spans="1:13" x14ac:dyDescent="0.25">
      <c r="A2054" s="1" t="str">
        <f>HYPERLINK("http://www.rosaceae.org/Prunus/Prunus_persica/p.persica_gdr_reftransV1_0028465","p.persica_gdr_reftransV1_0028465")</f>
        <v>p.persica_gdr_reftransV1_0028465</v>
      </c>
      <c r="B2054" s="3">
        <v>3248</v>
      </c>
      <c r="C2054" s="1" t="str">
        <f>HYPERLINK("http://www.uniprot.org/uniprot/WRK19_ARATH","WRK19_ARATH")</f>
        <v>WRK19_ARATH</v>
      </c>
      <c r="D2054" t="s">
        <v>1314</v>
      </c>
      <c r="E2054" s="3" t="s">
        <v>3</v>
      </c>
      <c r="F2054" s="4">
        <v>1.31E-61</v>
      </c>
      <c r="G2054" s="3">
        <v>344</v>
      </c>
      <c r="H2054" s="3">
        <v>45</v>
      </c>
      <c r="I2054" s="3">
        <v>205</v>
      </c>
      <c r="J2054" s="3">
        <v>2092</v>
      </c>
      <c r="K2054" s="3">
        <v>2706</v>
      </c>
      <c r="L2054" s="3">
        <v>1257</v>
      </c>
      <c r="M2054" s="3">
        <v>1458</v>
      </c>
    </row>
    <row r="2055" spans="1:13" x14ac:dyDescent="0.25">
      <c r="A2055" s="1" t="str">
        <f>HYPERLINK("http://www.rosaceae.org/Prunus/Prunus_persica/p.persica_gdr_reftransV1_0028515","p.persica_gdr_reftransV1_0028515")</f>
        <v>p.persica_gdr_reftransV1_0028515</v>
      </c>
      <c r="B2055" s="3">
        <v>2590</v>
      </c>
      <c r="C2055" s="1" t="str">
        <f>HYPERLINK("http://www.uniprot.org/uniprot/TYW1_ARATH","TYW1_ARATH")</f>
        <v>TYW1_ARATH</v>
      </c>
      <c r="D2055" t="s">
        <v>2005</v>
      </c>
      <c r="E2055" s="3" t="s">
        <v>3</v>
      </c>
      <c r="F2055" s="4">
        <v>0</v>
      </c>
      <c r="G2055" s="3">
        <v>2325</v>
      </c>
      <c r="H2055" s="3">
        <v>76</v>
      </c>
      <c r="I2055" s="3">
        <v>593</v>
      </c>
      <c r="J2055" s="3">
        <v>354</v>
      </c>
      <c r="K2055" s="3">
        <v>2111</v>
      </c>
      <c r="L2055" s="3">
        <v>49</v>
      </c>
      <c r="M2055" s="3">
        <v>638</v>
      </c>
    </row>
    <row r="2056" spans="1:13" x14ac:dyDescent="0.25">
      <c r="A2056" s="1" t="str">
        <f>HYPERLINK("http://www.rosaceae.org/Prunus/Prunus_persica/p.persica_gdr_reftransV1_0028715","p.persica_gdr_reftransV1_0028715")</f>
        <v>p.persica_gdr_reftransV1_0028715</v>
      </c>
      <c r="B2056" s="3">
        <v>3418</v>
      </c>
      <c r="C2056" s="1" t="str">
        <f>HYPERLINK("http://www.uniprot.org/uniprot/PP425_ARATH","PP425_ARATH")</f>
        <v>PP425_ARATH</v>
      </c>
      <c r="D2056" t="s">
        <v>2006</v>
      </c>
      <c r="E2056" s="3" t="s">
        <v>3</v>
      </c>
      <c r="F2056" s="4">
        <v>5.5100000000000003E-161</v>
      </c>
      <c r="G2056" s="3">
        <v>1286</v>
      </c>
      <c r="H2056" s="3">
        <v>46</v>
      </c>
      <c r="I2056" s="3">
        <v>538</v>
      </c>
      <c r="J2056" s="3">
        <v>1795</v>
      </c>
      <c r="K2056" s="3">
        <v>3408</v>
      </c>
      <c r="L2056" s="3">
        <v>126</v>
      </c>
      <c r="M2056" s="3">
        <v>646</v>
      </c>
    </row>
    <row r="2057" spans="1:13" x14ac:dyDescent="0.25">
      <c r="A2057" s="1" t="str">
        <f>HYPERLINK("http://www.rosaceae.org/Prunus/Prunus_persica/p.persica_gdr_reftransV1_0028765","p.persica_gdr_reftransV1_0028765")</f>
        <v>p.persica_gdr_reftransV1_0028765</v>
      </c>
      <c r="B2057" s="3">
        <v>3465</v>
      </c>
      <c r="C2057" s="1" t="str">
        <f>HYPERLINK("http://www.uniprot.org/uniprot/LFS_ALLCE","LFS_ALLCE")</f>
        <v>LFS_ALLCE</v>
      </c>
      <c r="D2057" t="s">
        <v>2007</v>
      </c>
      <c r="E2057" s="3" t="s">
        <v>2008</v>
      </c>
      <c r="F2057" s="4">
        <v>8.4599999999999997E-18</v>
      </c>
      <c r="G2057" s="3">
        <v>216</v>
      </c>
      <c r="H2057" s="3">
        <v>35</v>
      </c>
      <c r="I2057" s="3">
        <v>153</v>
      </c>
      <c r="J2057" s="3">
        <v>2848</v>
      </c>
      <c r="K2057" s="3">
        <v>3300</v>
      </c>
      <c r="L2057" s="3">
        <v>20</v>
      </c>
      <c r="M2057" s="3">
        <v>165</v>
      </c>
    </row>
    <row r="2058" spans="1:13" x14ac:dyDescent="0.25">
      <c r="A2058" s="1" t="str">
        <f>HYPERLINK("http://www.rosaceae.org/Prunus/Prunus_persica/p.persica_gdr_reftransV1_0029165","p.persica_gdr_reftransV1_0029165")</f>
        <v>p.persica_gdr_reftransV1_0029165</v>
      </c>
      <c r="B2058" s="3">
        <v>1503</v>
      </c>
      <c r="C2058" s="1" t="str">
        <f>HYPERLINK("http://www.uniprot.org/uniprot/RNH2B_XENLA","RNH2B_XENLA")</f>
        <v>RNH2B_XENLA</v>
      </c>
      <c r="D2058" t="s">
        <v>2009</v>
      </c>
      <c r="E2058" s="3" t="s">
        <v>475</v>
      </c>
      <c r="F2058" s="4">
        <v>1.68E-17</v>
      </c>
      <c r="G2058" s="3">
        <v>213</v>
      </c>
      <c r="H2058" s="3">
        <v>33</v>
      </c>
      <c r="I2058" s="3">
        <v>173</v>
      </c>
      <c r="J2058" s="3">
        <v>124</v>
      </c>
      <c r="K2058" s="3">
        <v>615</v>
      </c>
      <c r="L2058" s="3">
        <v>11</v>
      </c>
      <c r="M2058" s="3">
        <v>178</v>
      </c>
    </row>
    <row r="2059" spans="1:13" x14ac:dyDescent="0.25">
      <c r="A2059" s="1" t="str">
        <f>HYPERLINK("http://www.rosaceae.org/Prunus/Prunus_persica/p.persica_gdr_reftransV1_0029265","p.persica_gdr_reftransV1_0029265")</f>
        <v>p.persica_gdr_reftransV1_0029265</v>
      </c>
      <c r="B2059" s="3">
        <v>1550</v>
      </c>
      <c r="C2059" s="1" t="str">
        <f>HYPERLINK("http://www.uniprot.org/uniprot/XTH33_ARATH","XTH33_ARATH")</f>
        <v>XTH33_ARATH</v>
      </c>
      <c r="D2059" t="s">
        <v>2010</v>
      </c>
      <c r="E2059" s="3" t="s">
        <v>3</v>
      </c>
      <c r="F2059" s="4">
        <v>2.0700000000000001E-98</v>
      </c>
      <c r="G2059" s="3">
        <v>685</v>
      </c>
      <c r="H2059" s="3">
        <v>57</v>
      </c>
      <c r="I2059" s="3">
        <v>231</v>
      </c>
      <c r="J2059" s="3">
        <v>163</v>
      </c>
      <c r="K2059" s="3">
        <v>834</v>
      </c>
      <c r="L2059" s="3">
        <v>106</v>
      </c>
      <c r="M2059" s="3">
        <v>309</v>
      </c>
    </row>
    <row r="2060" spans="1:13" x14ac:dyDescent="0.25">
      <c r="A2060" s="1" t="str">
        <f>HYPERLINK("http://www.rosaceae.org/Prunus/Prunus_persica/p.persica_gdr_reftransV1_0029465","p.persica_gdr_reftransV1_0029465")</f>
        <v>p.persica_gdr_reftransV1_0029465</v>
      </c>
      <c r="B2060" s="3">
        <v>988</v>
      </c>
      <c r="C2060" s="1" t="str">
        <f>HYPERLINK("http://www.uniprot.org/uniprot/ZAT9_ARATH","ZAT9_ARATH")</f>
        <v>ZAT9_ARATH</v>
      </c>
      <c r="D2060" t="s">
        <v>2011</v>
      </c>
      <c r="E2060" s="3" t="s">
        <v>3</v>
      </c>
      <c r="F2060" s="4">
        <v>1.69E-31</v>
      </c>
      <c r="G2060" s="3">
        <v>312</v>
      </c>
      <c r="H2060" s="3">
        <v>40</v>
      </c>
      <c r="I2060" s="3">
        <v>186</v>
      </c>
      <c r="J2060" s="3">
        <v>60</v>
      </c>
      <c r="K2060" s="3">
        <v>566</v>
      </c>
      <c r="L2060" s="3">
        <v>108</v>
      </c>
      <c r="M2060" s="3">
        <v>286</v>
      </c>
    </row>
    <row r="2061" spans="1:13" x14ac:dyDescent="0.25">
      <c r="A2061" s="1" t="str">
        <f>HYPERLINK("http://www.rosaceae.org/Prunus/Prunus_persica/p.persica_gdr_reftransV1_0029515","p.persica_gdr_reftransV1_0029515")</f>
        <v>p.persica_gdr_reftransV1_0029515</v>
      </c>
      <c r="B2061" s="3">
        <v>2208</v>
      </c>
      <c r="C2061" s="1" t="str">
        <f>HYPERLINK("http://www.uniprot.org/uniprot/DCAF4_HUMAN","DCAF4_HUMAN")</f>
        <v>DCAF4_HUMAN</v>
      </c>
      <c r="D2061" t="s">
        <v>2012</v>
      </c>
      <c r="E2061" s="3" t="s">
        <v>28</v>
      </c>
      <c r="F2061" s="4">
        <v>4.31E-12</v>
      </c>
      <c r="G2061" s="3">
        <v>177</v>
      </c>
      <c r="H2061" s="3">
        <v>30</v>
      </c>
      <c r="I2061" s="3">
        <v>172</v>
      </c>
      <c r="J2061" s="3">
        <v>1071</v>
      </c>
      <c r="K2061" s="3">
        <v>1586</v>
      </c>
      <c r="L2061" s="3">
        <v>323</v>
      </c>
      <c r="M2061" s="3">
        <v>454</v>
      </c>
    </row>
    <row r="2062" spans="1:13" x14ac:dyDescent="0.25">
      <c r="A2062" s="1" t="str">
        <f>HYPERLINK("http://www.rosaceae.org/Prunus/Prunus_persica/p.persica_gdr_reftransV1_0030165","p.persica_gdr_reftransV1_0030165")</f>
        <v>p.persica_gdr_reftransV1_0030165</v>
      </c>
      <c r="B2062" s="3">
        <v>1636</v>
      </c>
      <c r="C2062" s="1" t="str">
        <f>HYPERLINK("http://www.uniprot.org/uniprot/6HN3M_PSEFL","6HN3M_PSEFL")</f>
        <v>6HN3M_PSEFL</v>
      </c>
      <c r="D2062" t="s">
        <v>699</v>
      </c>
      <c r="E2062" s="3" t="s">
        <v>700</v>
      </c>
      <c r="F2062" s="4">
        <v>5.8999999999999996E-15</v>
      </c>
      <c r="G2062" s="3">
        <v>197</v>
      </c>
      <c r="H2062" s="3">
        <v>28</v>
      </c>
      <c r="I2062" s="3">
        <v>262</v>
      </c>
      <c r="J2062" s="3">
        <v>358</v>
      </c>
      <c r="K2062" s="3">
        <v>1140</v>
      </c>
      <c r="L2062" s="3">
        <v>107</v>
      </c>
      <c r="M2062" s="3">
        <v>346</v>
      </c>
    </row>
    <row r="2063" spans="1:13" x14ac:dyDescent="0.25">
      <c r="A2063" s="1" t="str">
        <f>HYPERLINK("http://www.rosaceae.org/Prunus/Prunus_persica/p.persica_gdr_reftransV1_0030715","p.persica_gdr_reftransV1_0030715")</f>
        <v>p.persica_gdr_reftransV1_0030715</v>
      </c>
      <c r="B2063" s="3">
        <v>2183</v>
      </c>
      <c r="C2063" s="1" t="str">
        <f>HYPERLINK("http://www.uniprot.org/uniprot/CDS2_ARATH","CDS2_ARATH")</f>
        <v>CDS2_ARATH</v>
      </c>
      <c r="D2063" t="s">
        <v>2013</v>
      </c>
      <c r="E2063" s="3" t="s">
        <v>3</v>
      </c>
      <c r="F2063" s="4">
        <v>0</v>
      </c>
      <c r="G2063" s="3">
        <v>1630</v>
      </c>
      <c r="H2063" s="3">
        <v>81</v>
      </c>
      <c r="I2063" s="3">
        <v>371</v>
      </c>
      <c r="J2063" s="3">
        <v>265</v>
      </c>
      <c r="K2063" s="3">
        <v>1377</v>
      </c>
      <c r="L2063" s="3">
        <v>1</v>
      </c>
      <c r="M2063" s="3">
        <v>368</v>
      </c>
    </row>
    <row r="2064" spans="1:13" x14ac:dyDescent="0.25">
      <c r="A2064" s="1" t="str">
        <f>HYPERLINK("http://www.rosaceae.org/Prunus/Prunus_persica/p.persica_gdr_reftransV1_0030765","p.persica_gdr_reftransV1_0030765")</f>
        <v>p.persica_gdr_reftransV1_0030765</v>
      </c>
      <c r="B2064" s="3">
        <v>701</v>
      </c>
      <c r="C2064" s="1" t="str">
        <f>HYPERLINK("http://www.uniprot.org/uniprot/FNTB_ARATH","FNTB_ARATH")</f>
        <v>FNTB_ARATH</v>
      </c>
      <c r="D2064" t="s">
        <v>2014</v>
      </c>
      <c r="E2064" s="3" t="s">
        <v>3</v>
      </c>
      <c r="F2064" s="4">
        <v>5.0199999999999998E-59</v>
      </c>
      <c r="G2064" s="3">
        <v>507</v>
      </c>
      <c r="H2064" s="3">
        <v>61</v>
      </c>
      <c r="I2064" s="3">
        <v>178</v>
      </c>
      <c r="J2064" s="3">
        <v>2</v>
      </c>
      <c r="K2064" s="3">
        <v>535</v>
      </c>
      <c r="L2064" s="3">
        <v>42</v>
      </c>
      <c r="M2064" s="3">
        <v>219</v>
      </c>
    </row>
    <row r="2065" spans="1:13" x14ac:dyDescent="0.25">
      <c r="A2065" s="1" t="str">
        <f>HYPERLINK("http://www.rosaceae.org/Prunus/Prunus_persica/p.persica_gdr_reftransV1_0031215","p.persica_gdr_reftransV1_0031215")</f>
        <v>p.persica_gdr_reftransV1_0031215</v>
      </c>
      <c r="B2065" s="3">
        <v>2141</v>
      </c>
      <c r="C2065" s="1" t="str">
        <f>HYPERLINK("http://www.uniprot.org/uniprot/THO4C_ARATH","THO4C_ARATH")</f>
        <v>THO4C_ARATH</v>
      </c>
      <c r="D2065" t="s">
        <v>2015</v>
      </c>
      <c r="E2065" s="3" t="s">
        <v>3</v>
      </c>
      <c r="F2065" s="4">
        <v>1.7700000000000001E-57</v>
      </c>
      <c r="G2065" s="3">
        <v>514</v>
      </c>
      <c r="H2065" s="3">
        <v>64</v>
      </c>
      <c r="I2065" s="3">
        <v>145</v>
      </c>
      <c r="J2065" s="3">
        <v>808</v>
      </c>
      <c r="K2065" s="3">
        <v>1233</v>
      </c>
      <c r="L2065" s="3">
        <v>66</v>
      </c>
      <c r="M2065" s="3">
        <v>208</v>
      </c>
    </row>
    <row r="2066" spans="1:13" x14ac:dyDescent="0.25">
      <c r="A2066" s="1" t="str">
        <f>HYPERLINK("http://www.rosaceae.org/Prunus/Prunus_persica/p.persica_gdr_reftransV1_0031565","p.persica_gdr_reftransV1_0031565")</f>
        <v>p.persica_gdr_reftransV1_0031565</v>
      </c>
      <c r="B2066" s="3">
        <v>1603</v>
      </c>
      <c r="C2066" s="1" t="str">
        <f>HYPERLINK("http://www.uniprot.org/uniprot/ASIL2_ARATH","ASIL2_ARATH")</f>
        <v>ASIL2_ARATH</v>
      </c>
      <c r="D2066" t="s">
        <v>1243</v>
      </c>
      <c r="E2066" s="3" t="s">
        <v>3</v>
      </c>
      <c r="F2066" s="4">
        <v>1.65E-13</v>
      </c>
      <c r="G2066" s="3">
        <v>186</v>
      </c>
      <c r="H2066" s="3">
        <v>37</v>
      </c>
      <c r="I2066" s="3">
        <v>93</v>
      </c>
      <c r="J2066" s="3">
        <v>263</v>
      </c>
      <c r="K2066" s="3">
        <v>541</v>
      </c>
      <c r="L2066" s="3">
        <v>83</v>
      </c>
      <c r="M2066" s="3">
        <v>172</v>
      </c>
    </row>
    <row r="2067" spans="1:13" x14ac:dyDescent="0.25">
      <c r="A2067" s="1" t="str">
        <f>HYPERLINK("http://www.rosaceae.org/Prunus/Prunus_persica/p.persica_gdr_reftransV1_0031615","p.persica_gdr_reftransV1_0031615")</f>
        <v>p.persica_gdr_reftransV1_0031615</v>
      </c>
      <c r="B2067" s="3">
        <v>2843</v>
      </c>
      <c r="C2067" s="1" t="str">
        <f>HYPERLINK("http://www.uniprot.org/uniprot/DPH6_DANRE","DPH6_DANRE")</f>
        <v>DPH6_DANRE</v>
      </c>
      <c r="D2067" t="s">
        <v>2016</v>
      </c>
      <c r="E2067" s="3" t="s">
        <v>704</v>
      </c>
      <c r="F2067" s="4">
        <v>2.53E-93</v>
      </c>
      <c r="G2067" s="3">
        <v>773</v>
      </c>
      <c r="H2067" s="3">
        <v>58</v>
      </c>
      <c r="I2067" s="3">
        <v>257</v>
      </c>
      <c r="J2067" s="3">
        <v>1700</v>
      </c>
      <c r="K2067" s="3">
        <v>2467</v>
      </c>
      <c r="L2067" s="3">
        <v>1</v>
      </c>
      <c r="M2067" s="3">
        <v>255</v>
      </c>
    </row>
    <row r="2068" spans="1:13" x14ac:dyDescent="0.25">
      <c r="A2068" s="1" t="str">
        <f>HYPERLINK("http://www.rosaceae.org/Prunus/Prunus_persica/p.persica_gdr_reftransV1_0031715","p.persica_gdr_reftransV1_0031715")</f>
        <v>p.persica_gdr_reftransV1_0031715</v>
      </c>
      <c r="B2068" s="3">
        <v>2256</v>
      </c>
      <c r="C2068" s="1" t="str">
        <f>HYPERLINK("http://www.uniprot.org/uniprot/MBR1_ARATH","MBR1_ARATH")</f>
        <v>MBR1_ARATH</v>
      </c>
      <c r="D2068" t="s">
        <v>2017</v>
      </c>
      <c r="E2068" s="3" t="s">
        <v>3</v>
      </c>
      <c r="F2068" s="4">
        <v>8.1899999999999994E-33</v>
      </c>
      <c r="G2068" s="3">
        <v>350</v>
      </c>
      <c r="H2068" s="3">
        <v>54</v>
      </c>
      <c r="I2068" s="3">
        <v>116</v>
      </c>
      <c r="J2068" s="3">
        <v>1489</v>
      </c>
      <c r="K2068" s="3">
        <v>1833</v>
      </c>
      <c r="L2068" s="3">
        <v>594</v>
      </c>
      <c r="M2068" s="3">
        <v>703</v>
      </c>
    </row>
    <row r="2069" spans="1:13" x14ac:dyDescent="0.25">
      <c r="A2069" s="1" t="str">
        <f>HYPERLINK("http://www.rosaceae.org/Prunus/Prunus_persica/p.persica_gdr_reftransV1_0031865","p.persica_gdr_reftransV1_0031865")</f>
        <v>p.persica_gdr_reftransV1_0031865</v>
      </c>
      <c r="B2069" s="3">
        <v>1898</v>
      </c>
      <c r="C2069" s="1" t="str">
        <f>HYPERLINK("http://www.uniprot.org/uniprot/ACR4L_ARATH","ACR4L_ARATH")</f>
        <v>ACR4L_ARATH</v>
      </c>
      <c r="D2069" t="s">
        <v>2018</v>
      </c>
      <c r="E2069" s="3" t="s">
        <v>3</v>
      </c>
      <c r="F2069" s="4">
        <v>2.3699999999999999E-49</v>
      </c>
      <c r="G2069" s="3">
        <v>478</v>
      </c>
      <c r="H2069" s="3">
        <v>41</v>
      </c>
      <c r="I2069" s="3">
        <v>290</v>
      </c>
      <c r="J2069" s="3">
        <v>517</v>
      </c>
      <c r="K2069" s="3">
        <v>1341</v>
      </c>
      <c r="L2069" s="3">
        <v>497</v>
      </c>
      <c r="M2069" s="3">
        <v>785</v>
      </c>
    </row>
    <row r="2070" spans="1:13" x14ac:dyDescent="0.25">
      <c r="A2070" s="1" t="str">
        <f>HYPERLINK("http://www.rosaceae.org/Prunus/Prunus_persica/p.persica_gdr_reftransV1_0032115","p.persica_gdr_reftransV1_0032115")</f>
        <v>p.persica_gdr_reftransV1_0032115</v>
      </c>
      <c r="B2070" s="3">
        <v>3344</v>
      </c>
      <c r="C2070" s="1" t="str">
        <f>HYPERLINK("http://www.uniprot.org/uniprot/PP143_ARATH","PP143_ARATH")</f>
        <v>PP143_ARATH</v>
      </c>
      <c r="D2070" t="s">
        <v>1475</v>
      </c>
      <c r="E2070" s="3" t="s">
        <v>3</v>
      </c>
      <c r="F2070" s="4">
        <v>0</v>
      </c>
      <c r="G2070" s="3">
        <v>2027</v>
      </c>
      <c r="H2070" s="3">
        <v>61</v>
      </c>
      <c r="I2070" s="3">
        <v>611</v>
      </c>
      <c r="J2070" s="3">
        <v>1514</v>
      </c>
      <c r="K2070" s="3">
        <v>3343</v>
      </c>
      <c r="L2070" s="3">
        <v>153</v>
      </c>
      <c r="M2070" s="3">
        <v>760</v>
      </c>
    </row>
    <row r="2071" spans="1:13" x14ac:dyDescent="0.25">
      <c r="A2071" s="1" t="str">
        <f>HYPERLINK("http://www.rosaceae.org/Prunus/Prunus_persica/p.persica_gdr_reftransV1_0032215","p.persica_gdr_reftransV1_0032215")</f>
        <v>p.persica_gdr_reftransV1_0032215</v>
      </c>
      <c r="B2071" s="3">
        <v>3817</v>
      </c>
      <c r="C2071" s="1" t="str">
        <f>HYPERLINK("http://www.uniprot.org/uniprot/MFD_SYNY3","MFD_SYNY3")</f>
        <v>MFD_SYNY3</v>
      </c>
      <c r="D2071" t="s">
        <v>2019</v>
      </c>
      <c r="E2071" s="3" t="s">
        <v>527</v>
      </c>
      <c r="F2071" s="4">
        <v>5.46E-172</v>
      </c>
      <c r="G2071" s="3">
        <v>1416</v>
      </c>
      <c r="H2071" s="3">
        <v>47</v>
      </c>
      <c r="I2071" s="3">
        <v>647</v>
      </c>
      <c r="J2071" s="3">
        <v>1246</v>
      </c>
      <c r="K2071" s="3">
        <v>3174</v>
      </c>
      <c r="L2071" s="3">
        <v>513</v>
      </c>
      <c r="M2071" s="3">
        <v>1145</v>
      </c>
    </row>
    <row r="2072" spans="1:13" x14ac:dyDescent="0.25">
      <c r="A2072" s="1" t="str">
        <f>HYPERLINK("http://www.rosaceae.org/Prunus/Prunus_persica/p.persica_gdr_reftransV1_0032265","p.persica_gdr_reftransV1_0032265")</f>
        <v>p.persica_gdr_reftransV1_0032265</v>
      </c>
      <c r="B2072" s="3">
        <v>1827</v>
      </c>
      <c r="C2072" s="1" t="str">
        <f>HYPERLINK("http://www.uniprot.org/uniprot/ING1_ARATH","ING1_ARATH")</f>
        <v>ING1_ARATH</v>
      </c>
      <c r="D2072" t="s">
        <v>367</v>
      </c>
      <c r="E2072" s="3" t="s">
        <v>3</v>
      </c>
      <c r="F2072" s="4">
        <v>1.5E-34</v>
      </c>
      <c r="G2072" s="3">
        <v>339</v>
      </c>
      <c r="H2072" s="3">
        <v>59</v>
      </c>
      <c r="I2072" s="3">
        <v>129</v>
      </c>
      <c r="J2072" s="3">
        <v>1320</v>
      </c>
      <c r="K2072" s="3">
        <v>1691</v>
      </c>
      <c r="L2072" s="3">
        <v>106</v>
      </c>
      <c r="M2072" s="3">
        <v>234</v>
      </c>
    </row>
    <row r="2073" spans="1:13" x14ac:dyDescent="0.25">
      <c r="A2073" s="1" t="str">
        <f>HYPERLINK("http://www.rosaceae.org/Prunus/Prunus_persica/p.persica_gdr_reftransV1_0032365","p.persica_gdr_reftransV1_0032365")</f>
        <v>p.persica_gdr_reftransV1_0032365</v>
      </c>
      <c r="B2073" s="3">
        <v>1950</v>
      </c>
      <c r="C2073" s="1" t="str">
        <f>HYPERLINK("http://www.uniprot.org/uniprot/KELP_ARATH","KELP_ARATH")</f>
        <v>KELP_ARATH</v>
      </c>
      <c r="D2073" t="s">
        <v>998</v>
      </c>
      <c r="E2073" s="3" t="s">
        <v>3</v>
      </c>
      <c r="F2073" s="4">
        <v>7.7600000000000002E-44</v>
      </c>
      <c r="G2073" s="3">
        <v>402</v>
      </c>
      <c r="H2073" s="3">
        <v>52</v>
      </c>
      <c r="I2073" s="3">
        <v>158</v>
      </c>
      <c r="J2073" s="3">
        <v>1378</v>
      </c>
      <c r="K2073" s="3">
        <v>1836</v>
      </c>
      <c r="L2073" s="3">
        <v>13</v>
      </c>
      <c r="M2073" s="3">
        <v>165</v>
      </c>
    </row>
    <row r="2074" spans="1:13" x14ac:dyDescent="0.25">
      <c r="A2074" s="1" t="str">
        <f>HYPERLINK("http://www.rosaceae.org/Prunus/Prunus_persica/p.persica_gdr_reftransV1_0032515","p.persica_gdr_reftransV1_0032515")</f>
        <v>p.persica_gdr_reftransV1_0032515</v>
      </c>
      <c r="B2074" s="3">
        <v>858</v>
      </c>
      <c r="C2074" s="1" t="str">
        <f>HYPERLINK("http://www.uniprot.org/uniprot/S35D2_PONAB","S35D2_PONAB")</f>
        <v>S35D2_PONAB</v>
      </c>
      <c r="D2074" t="s">
        <v>2020</v>
      </c>
      <c r="E2074" s="3" t="s">
        <v>176</v>
      </c>
      <c r="F2074" s="4">
        <v>6.96E-9</v>
      </c>
      <c r="G2074" s="3">
        <v>143</v>
      </c>
      <c r="H2074" s="3">
        <v>31</v>
      </c>
      <c r="I2074" s="3">
        <v>108</v>
      </c>
      <c r="J2074" s="3">
        <v>532</v>
      </c>
      <c r="K2074" s="3">
        <v>855</v>
      </c>
      <c r="L2074" s="3">
        <v>52</v>
      </c>
      <c r="M2074" s="3">
        <v>147</v>
      </c>
    </row>
    <row r="2075" spans="1:13" x14ac:dyDescent="0.25">
      <c r="A2075" s="1" t="str">
        <f>HYPERLINK("http://www.rosaceae.org/Prunus/Prunus_persica/p.persica_gdr_reftransV1_0032565","p.persica_gdr_reftransV1_0032565")</f>
        <v>p.persica_gdr_reftransV1_0032565</v>
      </c>
      <c r="B2075" s="3">
        <v>2352</v>
      </c>
      <c r="C2075" s="1" t="str">
        <f>HYPERLINK("http://www.uniprot.org/uniprot/STR4_ARATH","STR4_ARATH")</f>
        <v>STR4_ARATH</v>
      </c>
      <c r="D2075" t="s">
        <v>2021</v>
      </c>
      <c r="E2075" s="3" t="s">
        <v>3</v>
      </c>
      <c r="F2075" s="4">
        <v>3.8500000000000002E-99</v>
      </c>
      <c r="G2075" s="3">
        <v>824</v>
      </c>
      <c r="H2075" s="3">
        <v>57</v>
      </c>
      <c r="I2075" s="3">
        <v>311</v>
      </c>
      <c r="J2075" s="3">
        <v>1282</v>
      </c>
      <c r="K2075" s="3">
        <v>2205</v>
      </c>
      <c r="L2075" s="3">
        <v>1</v>
      </c>
      <c r="M2075" s="3">
        <v>271</v>
      </c>
    </row>
    <row r="2076" spans="1:13" x14ac:dyDescent="0.25">
      <c r="A2076" s="1" t="str">
        <f>HYPERLINK("http://www.rosaceae.org/Prunus/Prunus_persica/p.persica_gdr_reftransV1_0033215","p.persica_gdr_reftransV1_0033215")</f>
        <v>p.persica_gdr_reftransV1_0033215</v>
      </c>
      <c r="B2076" s="3">
        <v>1113</v>
      </c>
      <c r="C2076" s="1" t="str">
        <f>HYPERLINK("http://www.uniprot.org/uniprot/SPL14_ORYSJ","SPL14_ORYSJ")</f>
        <v>SPL14_ORYSJ</v>
      </c>
      <c r="D2076" t="s">
        <v>2022</v>
      </c>
      <c r="E2076" s="3" t="s">
        <v>38</v>
      </c>
      <c r="F2076" s="4">
        <v>1.9099999999999998E-9</v>
      </c>
      <c r="G2076" s="3">
        <v>150</v>
      </c>
      <c r="H2076" s="3">
        <v>29</v>
      </c>
      <c r="I2076" s="3">
        <v>246</v>
      </c>
      <c r="J2076" s="3">
        <v>224</v>
      </c>
      <c r="K2076" s="3">
        <v>868</v>
      </c>
      <c r="L2076" s="3">
        <v>189</v>
      </c>
      <c r="M2076" s="3">
        <v>417</v>
      </c>
    </row>
    <row r="2077" spans="1:13" x14ac:dyDescent="0.25">
      <c r="A2077" s="1" t="str">
        <f>HYPERLINK("http://www.rosaceae.org/Prunus/Prunus_persica/p.persica_gdr_reftransV1_0033315","p.persica_gdr_reftransV1_0033315")</f>
        <v>p.persica_gdr_reftransV1_0033315</v>
      </c>
      <c r="B2077" s="3">
        <v>4836</v>
      </c>
      <c r="C2077" s="1" t="str">
        <f>HYPERLINK("http://www.uniprot.org/uniprot/LHW_ARATH","LHW_ARATH")</f>
        <v>LHW_ARATH</v>
      </c>
      <c r="D2077" t="s">
        <v>2023</v>
      </c>
      <c r="E2077" s="3" t="s">
        <v>3</v>
      </c>
      <c r="F2077" s="4">
        <v>3.5200000000000003E-46</v>
      </c>
      <c r="G2077" s="3">
        <v>463</v>
      </c>
      <c r="H2077" s="3">
        <v>47</v>
      </c>
      <c r="I2077" s="3">
        <v>189</v>
      </c>
      <c r="J2077" s="3">
        <v>2308</v>
      </c>
      <c r="K2077" s="3">
        <v>2874</v>
      </c>
      <c r="L2077" s="3">
        <v>442</v>
      </c>
      <c r="M2077" s="3">
        <v>621</v>
      </c>
    </row>
    <row r="2078" spans="1:13" x14ac:dyDescent="0.25">
      <c r="A2078" s="1" t="str">
        <f>HYPERLINK("http://www.rosaceae.org/Prunus/Prunus_persica/p.persica_gdr_reftransV1_0033415","p.persica_gdr_reftransV1_0033415")</f>
        <v>p.persica_gdr_reftransV1_0033415</v>
      </c>
      <c r="B2078" s="3">
        <v>3061</v>
      </c>
      <c r="C2078" s="1" t="str">
        <f>HYPERLINK("http://www.uniprot.org/uniprot/ANM16_ARATH","ANM16_ARATH")</f>
        <v>ANM16_ARATH</v>
      </c>
      <c r="D2078" t="s">
        <v>2024</v>
      </c>
      <c r="E2078" s="3" t="s">
        <v>3</v>
      </c>
      <c r="F2078" s="4">
        <v>0</v>
      </c>
      <c r="G2078" s="3">
        <v>1597</v>
      </c>
      <c r="H2078" s="3">
        <v>63</v>
      </c>
      <c r="I2078" s="3">
        <v>501</v>
      </c>
      <c r="J2078" s="3">
        <v>1361</v>
      </c>
      <c r="K2078" s="3">
        <v>2857</v>
      </c>
      <c r="L2078" s="3">
        <v>44</v>
      </c>
      <c r="M2078" s="3">
        <v>537</v>
      </c>
    </row>
    <row r="2079" spans="1:13" x14ac:dyDescent="0.25">
      <c r="A2079" s="1" t="str">
        <f>HYPERLINK("http://www.rosaceae.org/Prunus/Prunus_persica/p.persica_gdr_reftransV1_0033565","p.persica_gdr_reftransV1_0033565")</f>
        <v>p.persica_gdr_reftransV1_0033565</v>
      </c>
      <c r="B2079" s="3">
        <v>4578</v>
      </c>
      <c r="C2079" s="1" t="str">
        <f>HYPERLINK("http://www.uniprot.org/uniprot/Y5390_ARATH","Y5390_ARATH")</f>
        <v>Y5390_ARATH</v>
      </c>
      <c r="D2079" t="s">
        <v>2025</v>
      </c>
      <c r="E2079" s="3" t="s">
        <v>3</v>
      </c>
      <c r="F2079" s="4">
        <v>2.4099999999999998E-162</v>
      </c>
      <c r="G2079" s="3">
        <v>672</v>
      </c>
      <c r="H2079" s="3">
        <v>60</v>
      </c>
      <c r="I2079" s="3">
        <v>288</v>
      </c>
      <c r="J2079" s="3">
        <v>3609</v>
      </c>
      <c r="K2079" s="3">
        <v>4433</v>
      </c>
      <c r="L2079" s="3">
        <v>1</v>
      </c>
      <c r="M2079" s="3">
        <v>281</v>
      </c>
    </row>
    <row r="2080" spans="1:13" x14ac:dyDescent="0.25">
      <c r="A2080" s="1" t="str">
        <f>HYPERLINK("http://www.rosaceae.org/Prunus/Prunus_persica/p.persica_gdr_reftransV1_0033665","p.persica_gdr_reftransV1_0033665")</f>
        <v>p.persica_gdr_reftransV1_0033665</v>
      </c>
      <c r="B2080" s="3">
        <v>3168</v>
      </c>
      <c r="C2080" s="1" t="str">
        <f>HYPERLINK("http://www.uniprot.org/uniprot/TPS9_ARATH","TPS9_ARATH")</f>
        <v>TPS9_ARATH</v>
      </c>
      <c r="D2080" t="s">
        <v>2026</v>
      </c>
      <c r="E2080" s="3" t="s">
        <v>3</v>
      </c>
      <c r="F2080" s="4">
        <v>0</v>
      </c>
      <c r="G2080" s="3">
        <v>3050</v>
      </c>
      <c r="H2080" s="3">
        <v>63</v>
      </c>
      <c r="I2080" s="3">
        <v>869</v>
      </c>
      <c r="J2080" s="3">
        <v>233</v>
      </c>
      <c r="K2080" s="3">
        <v>2809</v>
      </c>
      <c r="L2080" s="3">
        <v>1</v>
      </c>
      <c r="M2080" s="3">
        <v>867</v>
      </c>
    </row>
    <row r="2081" spans="1:13" x14ac:dyDescent="0.25">
      <c r="A2081" s="1" t="str">
        <f>HYPERLINK("http://www.rosaceae.org/Prunus/Prunus_persica/p.persica_gdr_reftransV1_0033765","p.persica_gdr_reftransV1_0033765")</f>
        <v>p.persica_gdr_reftransV1_0033765</v>
      </c>
      <c r="B2081" s="3">
        <v>1573</v>
      </c>
      <c r="C2081" s="1" t="str">
        <f>HYPERLINK("http://www.uniprot.org/uniprot/PPD4_ARATH","PPD4_ARATH")</f>
        <v>PPD4_ARATH</v>
      </c>
      <c r="D2081" t="s">
        <v>2027</v>
      </c>
      <c r="E2081" s="3" t="s">
        <v>3</v>
      </c>
      <c r="F2081" s="4">
        <v>3.1700000000000002E-120</v>
      </c>
      <c r="G2081" s="3">
        <v>926</v>
      </c>
      <c r="H2081" s="3">
        <v>80</v>
      </c>
      <c r="I2081" s="3">
        <v>220</v>
      </c>
      <c r="J2081" s="3">
        <v>328</v>
      </c>
      <c r="K2081" s="3">
        <v>987</v>
      </c>
      <c r="L2081" s="3">
        <v>38</v>
      </c>
      <c r="M2081" s="3">
        <v>256</v>
      </c>
    </row>
    <row r="2082" spans="1:13" x14ac:dyDescent="0.25">
      <c r="A2082" s="1" t="str">
        <f>HYPERLINK("http://www.rosaceae.org/Prunus/Prunus_persica/p.persica_gdr_reftransV1_0033965","p.persica_gdr_reftransV1_0033965")</f>
        <v>p.persica_gdr_reftransV1_0033965</v>
      </c>
      <c r="B2082" s="3">
        <v>2221</v>
      </c>
      <c r="C2082" s="1" t="str">
        <f>HYPERLINK("http://www.uniprot.org/uniprot/CLC1_ARATH","CLC1_ARATH")</f>
        <v>CLC1_ARATH</v>
      </c>
      <c r="D2082" t="s">
        <v>2028</v>
      </c>
      <c r="E2082" s="3" t="s">
        <v>3</v>
      </c>
      <c r="F2082" s="4">
        <v>1.29E-55</v>
      </c>
      <c r="G2082" s="3">
        <v>505</v>
      </c>
      <c r="H2082" s="3">
        <v>64</v>
      </c>
      <c r="I2082" s="3">
        <v>195</v>
      </c>
      <c r="J2082" s="3">
        <v>510</v>
      </c>
      <c r="K2082" s="3">
        <v>1094</v>
      </c>
      <c r="L2082" s="3">
        <v>51</v>
      </c>
      <c r="M2082" s="3">
        <v>239</v>
      </c>
    </row>
    <row r="2083" spans="1:13" x14ac:dyDescent="0.25">
      <c r="A2083" s="1" t="str">
        <f>HYPERLINK("http://www.rosaceae.org/Prunus/Prunus_persica/p.persica_gdr_reftransV1_0034065","p.persica_gdr_reftransV1_0034065")</f>
        <v>p.persica_gdr_reftransV1_0034065</v>
      </c>
      <c r="B2083" s="3">
        <v>4577</v>
      </c>
      <c r="C2083" s="1" t="str">
        <f>HYPERLINK("http://www.uniprot.org/uniprot/CESA5_ORYSJ","CESA5_ORYSJ")</f>
        <v>CESA5_ORYSJ</v>
      </c>
      <c r="D2083" t="s">
        <v>2029</v>
      </c>
      <c r="E2083" s="3" t="s">
        <v>38</v>
      </c>
      <c r="F2083" s="4">
        <v>0</v>
      </c>
      <c r="G2083" s="3">
        <v>3354</v>
      </c>
      <c r="H2083" s="3">
        <v>86</v>
      </c>
      <c r="I2083" s="3">
        <v>751</v>
      </c>
      <c r="J2083" s="3">
        <v>1640</v>
      </c>
      <c r="K2083" s="3">
        <v>3889</v>
      </c>
      <c r="L2083" s="3">
        <v>343</v>
      </c>
      <c r="M2083" s="3">
        <v>1092</v>
      </c>
    </row>
    <row r="2084" spans="1:13" x14ac:dyDescent="0.25">
      <c r="A2084" s="1" t="str">
        <f>HYPERLINK("http://www.rosaceae.org/Prunus/Prunus_persica/p.persica_gdr_reftransV1_0034165","p.persica_gdr_reftransV1_0034165")</f>
        <v>p.persica_gdr_reftransV1_0034165</v>
      </c>
      <c r="B2084" s="3">
        <v>1467</v>
      </c>
      <c r="C2084" s="1" t="str">
        <f>HYPERLINK("http://www.uniprot.org/uniprot/KC1D_ARATH","KC1D_ARATH")</f>
        <v>KC1D_ARATH</v>
      </c>
      <c r="D2084" t="s">
        <v>109</v>
      </c>
      <c r="E2084" s="3" t="s">
        <v>3</v>
      </c>
      <c r="F2084" s="4">
        <v>2.39E-52</v>
      </c>
      <c r="G2084" s="3">
        <v>479</v>
      </c>
      <c r="H2084" s="3">
        <v>55</v>
      </c>
      <c r="I2084" s="3">
        <v>177</v>
      </c>
      <c r="J2084" s="3">
        <v>938</v>
      </c>
      <c r="K2084" s="3">
        <v>1465</v>
      </c>
      <c r="L2084" s="3">
        <v>196</v>
      </c>
      <c r="M2084" s="3">
        <v>366</v>
      </c>
    </row>
    <row r="2085" spans="1:13" x14ac:dyDescent="0.25">
      <c r="A2085" s="1" t="str">
        <f>HYPERLINK("http://www.rosaceae.org/Prunus/Prunus_persica/p.persica_gdr_reftransV1_0034215","p.persica_gdr_reftransV1_0034215")</f>
        <v>p.persica_gdr_reftransV1_0034215</v>
      </c>
      <c r="B2085" s="3">
        <v>2308</v>
      </c>
      <c r="C2085" s="1" t="str">
        <f>HYPERLINK("http://www.uniprot.org/uniprot/B2_DAUCA","B2_DAUCA")</f>
        <v>B2_DAUCA</v>
      </c>
      <c r="D2085" t="s">
        <v>1441</v>
      </c>
      <c r="E2085" s="3" t="s">
        <v>32</v>
      </c>
      <c r="F2085" s="4">
        <v>4.9600000000000001E-13</v>
      </c>
      <c r="G2085" s="3">
        <v>178</v>
      </c>
      <c r="H2085" s="3">
        <v>36</v>
      </c>
      <c r="I2085" s="3">
        <v>138</v>
      </c>
      <c r="J2085" s="3">
        <v>1542</v>
      </c>
      <c r="K2085" s="3">
        <v>1934</v>
      </c>
      <c r="L2085" s="3">
        <v>72</v>
      </c>
      <c r="M2085" s="3">
        <v>207</v>
      </c>
    </row>
    <row r="2086" spans="1:13" x14ac:dyDescent="0.25">
      <c r="A2086" s="1" t="str">
        <f>HYPERLINK("http://www.rosaceae.org/Prunus/Prunus_persica/p.persica_gdr_reftransV1_0034365","p.persica_gdr_reftransV1_0034365")</f>
        <v>p.persica_gdr_reftransV1_0034365</v>
      </c>
      <c r="B2086" s="3">
        <v>1764</v>
      </c>
      <c r="C2086" s="1" t="str">
        <f>HYPERLINK("http://www.uniprot.org/uniprot/VAMPL_ARATH","VAMPL_ARATH")</f>
        <v>VAMPL_ARATH</v>
      </c>
      <c r="D2086" t="s">
        <v>113</v>
      </c>
      <c r="E2086" s="3" t="s">
        <v>3</v>
      </c>
      <c r="F2086" s="4">
        <v>1.5100000000000002E-67</v>
      </c>
      <c r="G2086" s="3">
        <v>576</v>
      </c>
      <c r="H2086" s="3">
        <v>50</v>
      </c>
      <c r="I2086" s="3">
        <v>282</v>
      </c>
      <c r="J2086" s="3">
        <v>455</v>
      </c>
      <c r="K2086" s="3">
        <v>1288</v>
      </c>
      <c r="L2086" s="3">
        <v>1</v>
      </c>
      <c r="M2086" s="3">
        <v>254</v>
      </c>
    </row>
    <row r="2087" spans="1:13" x14ac:dyDescent="0.25">
      <c r="A2087" s="1" t="str">
        <f>HYPERLINK("http://www.rosaceae.org/Prunus/Prunus_persica/p.persica_gdr_reftransV1_0034715","p.persica_gdr_reftransV1_0034715")</f>
        <v>p.persica_gdr_reftransV1_0034715</v>
      </c>
      <c r="B2087" s="3">
        <v>2935</v>
      </c>
      <c r="C2087" s="1" t="str">
        <f>HYPERLINK("http://www.uniprot.org/uniprot/CNX1_ARATH","CNX1_ARATH")</f>
        <v>CNX1_ARATH</v>
      </c>
      <c r="D2087" t="s">
        <v>2030</v>
      </c>
      <c r="E2087" s="3" t="s">
        <v>3</v>
      </c>
      <c r="F2087" s="4">
        <v>0</v>
      </c>
      <c r="G2087" s="3">
        <v>1593</v>
      </c>
      <c r="H2087" s="3">
        <v>69</v>
      </c>
      <c r="I2087" s="3">
        <v>448</v>
      </c>
      <c r="J2087" s="3">
        <v>945</v>
      </c>
      <c r="K2087" s="3">
        <v>2288</v>
      </c>
      <c r="L2087" s="3">
        <v>153</v>
      </c>
      <c r="M2087" s="3">
        <v>595</v>
      </c>
    </row>
    <row r="2088" spans="1:13" x14ac:dyDescent="0.25">
      <c r="A2088" s="1" t="str">
        <f>HYPERLINK("http://www.rosaceae.org/Prunus/Prunus_persica/p.persica_gdr_reftransV1_0034815","p.persica_gdr_reftransV1_0034815")</f>
        <v>p.persica_gdr_reftransV1_0034815</v>
      </c>
      <c r="B2088" s="3">
        <v>2842</v>
      </c>
      <c r="C2088" s="1" t="str">
        <f>HYPERLINK("http://www.uniprot.org/uniprot/AB2D_ARATH","AB2D_ARATH")</f>
        <v>AB2D_ARATH</v>
      </c>
      <c r="D2088" t="s">
        <v>2031</v>
      </c>
      <c r="E2088" s="3" t="s">
        <v>3</v>
      </c>
      <c r="F2088" s="4">
        <v>0</v>
      </c>
      <c r="G2088" s="3">
        <v>1986</v>
      </c>
      <c r="H2088" s="3">
        <v>68</v>
      </c>
      <c r="I2088" s="3">
        <v>606</v>
      </c>
      <c r="J2088" s="3">
        <v>752</v>
      </c>
      <c r="K2088" s="3">
        <v>2566</v>
      </c>
      <c r="L2088" s="3">
        <v>118</v>
      </c>
      <c r="M2088" s="3">
        <v>688</v>
      </c>
    </row>
    <row r="2089" spans="1:13" x14ac:dyDescent="0.25">
      <c r="A2089" s="1" t="str">
        <f>HYPERLINK("http://www.rosaceae.org/Prunus/Prunus_persica/p.persica_gdr_reftransV1_0035015","p.persica_gdr_reftransV1_0035015")</f>
        <v>p.persica_gdr_reftransV1_0035015</v>
      </c>
      <c r="B2089" s="3">
        <v>1024</v>
      </c>
      <c r="C2089" s="1" t="str">
        <f>HYPERLINK("http://www.uniprot.org/uniprot/YL728_MIMIV","YL728_MIMIV")</f>
        <v>YL728_MIMIV</v>
      </c>
      <c r="D2089" t="s">
        <v>2032</v>
      </c>
      <c r="E2089" s="3" t="s">
        <v>2033</v>
      </c>
      <c r="F2089" s="4">
        <v>3.4700000000000002E-20</v>
      </c>
      <c r="G2089" s="3">
        <v>235</v>
      </c>
      <c r="H2089" s="3">
        <v>31</v>
      </c>
      <c r="I2089" s="3">
        <v>234</v>
      </c>
      <c r="J2089" s="3">
        <v>330</v>
      </c>
      <c r="K2089" s="3">
        <v>1001</v>
      </c>
      <c r="L2089" s="3">
        <v>260</v>
      </c>
      <c r="M2089" s="3">
        <v>475</v>
      </c>
    </row>
    <row r="2090" spans="1:13" x14ac:dyDescent="0.25">
      <c r="A2090" s="1" t="str">
        <f>HYPERLINK("http://www.rosaceae.org/Prunus/Prunus_persica/p.persica_gdr_reftransV1_0035215","p.persica_gdr_reftransV1_0035215")</f>
        <v>p.persica_gdr_reftransV1_0035215</v>
      </c>
      <c r="B2090" s="3">
        <v>2116</v>
      </c>
      <c r="C2090" s="1" t="str">
        <f>HYPERLINK("http://www.uniprot.org/uniprot/SUCD_METS5","SUCD_METS5")</f>
        <v>SUCD_METS5</v>
      </c>
      <c r="D2090" t="s">
        <v>2034</v>
      </c>
      <c r="E2090" s="3" t="s">
        <v>2035</v>
      </c>
      <c r="F2090" s="4">
        <v>7.9299999999999996E-42</v>
      </c>
      <c r="G2090" s="3">
        <v>404</v>
      </c>
      <c r="H2090" s="3">
        <v>40</v>
      </c>
      <c r="I2090" s="3">
        <v>267</v>
      </c>
      <c r="J2090" s="3">
        <v>959</v>
      </c>
      <c r="K2090" s="3">
        <v>1759</v>
      </c>
      <c r="L2090" s="3">
        <v>98</v>
      </c>
      <c r="M2090" s="3">
        <v>359</v>
      </c>
    </row>
    <row r="2091" spans="1:13" x14ac:dyDescent="0.25">
      <c r="A2091" s="1" t="str">
        <f>HYPERLINK("http://www.rosaceae.org/Prunus/Prunus_persica/p.persica_gdr_reftransV1_0035415","p.persica_gdr_reftransV1_0035415")</f>
        <v>p.persica_gdr_reftransV1_0035415</v>
      </c>
      <c r="B2091" s="3">
        <v>347</v>
      </c>
      <c r="C2091" s="1" t="str">
        <f>HYPERLINK("http://www.uniprot.org/uniprot/GLR36_ARATH","GLR36_ARATH")</f>
        <v>GLR36_ARATH</v>
      </c>
      <c r="D2091" t="s">
        <v>1470</v>
      </c>
      <c r="E2091" s="3" t="s">
        <v>3</v>
      </c>
      <c r="F2091" s="4">
        <v>2.2900000000000001E-38</v>
      </c>
      <c r="G2091" s="3">
        <v>357</v>
      </c>
      <c r="H2091" s="3">
        <v>73</v>
      </c>
      <c r="I2091" s="3">
        <v>113</v>
      </c>
      <c r="J2091" s="3">
        <v>1</v>
      </c>
      <c r="K2091" s="3">
        <v>339</v>
      </c>
      <c r="L2091" s="3">
        <v>628</v>
      </c>
      <c r="M2091" s="3">
        <v>740</v>
      </c>
    </row>
    <row r="2092" spans="1:13" x14ac:dyDescent="0.25">
      <c r="A2092" s="1" t="str">
        <f>HYPERLINK("http://www.rosaceae.org/Prunus/Prunus_persica/p.persica_gdr_reftransV1_0035465","p.persica_gdr_reftransV1_0035465")</f>
        <v>p.persica_gdr_reftransV1_0035465</v>
      </c>
      <c r="B2092" s="3">
        <v>3282</v>
      </c>
      <c r="C2092" s="1" t="str">
        <f>HYPERLINK("http://www.uniprot.org/uniprot/DER_PARL1","DER_PARL1")</f>
        <v>DER_PARL1</v>
      </c>
      <c r="D2092" t="s">
        <v>2036</v>
      </c>
      <c r="E2092" s="3" t="s">
        <v>2037</v>
      </c>
      <c r="F2092" s="4">
        <v>6.7500000000000005E-64</v>
      </c>
      <c r="G2092" s="3">
        <v>584</v>
      </c>
      <c r="H2092" s="3">
        <v>41</v>
      </c>
      <c r="I2092" s="3">
        <v>365</v>
      </c>
      <c r="J2092" s="3">
        <v>998</v>
      </c>
      <c r="K2092" s="3">
        <v>2068</v>
      </c>
      <c r="L2092" s="3">
        <v>5</v>
      </c>
      <c r="M2092" s="3">
        <v>347</v>
      </c>
    </row>
    <row r="2093" spans="1:13" x14ac:dyDescent="0.25">
      <c r="A2093" s="1" t="str">
        <f>HYPERLINK("http://www.rosaceae.org/Prunus/Prunus_persica/p.persica_gdr_reftransV1_0035565","p.persica_gdr_reftransV1_0035565")</f>
        <v>p.persica_gdr_reftransV1_0035565</v>
      </c>
      <c r="B2093" s="3">
        <v>1020</v>
      </c>
      <c r="C2093" s="1" t="str">
        <f>HYPERLINK("http://www.uniprot.org/uniprot/PTI6_SOLLC","PTI6_SOLLC")</f>
        <v>PTI6_SOLLC</v>
      </c>
      <c r="D2093" t="s">
        <v>2038</v>
      </c>
      <c r="E2093" s="3" t="s">
        <v>64</v>
      </c>
      <c r="F2093" s="4">
        <v>8.2799999999999999E-50</v>
      </c>
      <c r="G2093" s="3">
        <v>437</v>
      </c>
      <c r="H2093" s="3">
        <v>56</v>
      </c>
      <c r="I2093" s="3">
        <v>173</v>
      </c>
      <c r="J2093" s="3">
        <v>110</v>
      </c>
      <c r="K2093" s="3">
        <v>613</v>
      </c>
      <c r="L2093" s="3">
        <v>75</v>
      </c>
      <c r="M2093" s="3">
        <v>243</v>
      </c>
    </row>
    <row r="2094" spans="1:13" x14ac:dyDescent="0.25">
      <c r="A2094" s="1" t="str">
        <f>HYPERLINK("http://www.rosaceae.org/Prunus/Prunus_persica/p.persica_gdr_reftransV1_0036215","p.persica_gdr_reftransV1_0036215")</f>
        <v>p.persica_gdr_reftransV1_0036215</v>
      </c>
      <c r="B2094" s="3">
        <v>4937</v>
      </c>
      <c r="C2094" s="1" t="str">
        <f>HYPERLINK("http://www.uniprot.org/uniprot/SYMPK_HUMAN","SYMPK_HUMAN")</f>
        <v>SYMPK_HUMAN</v>
      </c>
      <c r="D2094" t="s">
        <v>2039</v>
      </c>
      <c r="E2094" s="3" t="s">
        <v>28</v>
      </c>
      <c r="F2094" s="4">
        <v>2.3499999999999999E-64</v>
      </c>
      <c r="G2094" s="3">
        <v>625</v>
      </c>
      <c r="H2094" s="3">
        <v>32</v>
      </c>
      <c r="I2094" s="3">
        <v>512</v>
      </c>
      <c r="J2094" s="3">
        <v>719</v>
      </c>
      <c r="K2094" s="3">
        <v>2218</v>
      </c>
      <c r="L2094" s="3">
        <v>642</v>
      </c>
      <c r="M2094" s="3">
        <v>1098</v>
      </c>
    </row>
    <row r="2095" spans="1:13" x14ac:dyDescent="0.25">
      <c r="A2095" s="1" t="str">
        <f>HYPERLINK("http://www.rosaceae.org/Prunus/Prunus_persica/p.persica_gdr_reftransV1_0036365","p.persica_gdr_reftransV1_0036365")</f>
        <v>p.persica_gdr_reftransV1_0036365</v>
      </c>
      <c r="B2095" s="3">
        <v>1912</v>
      </c>
      <c r="C2095" s="1" t="str">
        <f>HYPERLINK("http://www.uniprot.org/uniprot/CPL2_ARATH","CPL2_ARATH")</f>
        <v>CPL2_ARATH</v>
      </c>
      <c r="D2095" t="s">
        <v>1184</v>
      </c>
      <c r="E2095" s="3" t="s">
        <v>3</v>
      </c>
      <c r="F2095" s="4">
        <v>3.5699999999999999E-40</v>
      </c>
      <c r="G2095" s="3">
        <v>405</v>
      </c>
      <c r="H2095" s="3">
        <v>49</v>
      </c>
      <c r="I2095" s="3">
        <v>182</v>
      </c>
      <c r="J2095" s="3">
        <v>1302</v>
      </c>
      <c r="K2095" s="3">
        <v>1847</v>
      </c>
      <c r="L2095" s="3">
        <v>597</v>
      </c>
      <c r="M2095" s="3">
        <v>770</v>
      </c>
    </row>
    <row r="2096" spans="1:13" x14ac:dyDescent="0.25">
      <c r="A2096" s="1" t="str">
        <f>HYPERLINK("http://www.rosaceae.org/Prunus/Prunus_persica/p.persica_gdr_reftransV1_0037115","p.persica_gdr_reftransV1_0037115")</f>
        <v>p.persica_gdr_reftransV1_0037115</v>
      </c>
      <c r="B2096" s="3">
        <v>1056</v>
      </c>
      <c r="C2096" s="1" t="str">
        <f>HYPERLINK("http://www.uniprot.org/uniprot/HS25P_ARATH","HS25P_ARATH")</f>
        <v>HS25P_ARATH</v>
      </c>
      <c r="D2096" t="s">
        <v>2040</v>
      </c>
      <c r="E2096" s="3" t="s">
        <v>3</v>
      </c>
      <c r="F2096" s="4">
        <v>1.6100000000000001E-38</v>
      </c>
      <c r="G2096" s="3">
        <v>359</v>
      </c>
      <c r="H2096" s="3">
        <v>44</v>
      </c>
      <c r="I2096" s="3">
        <v>164</v>
      </c>
      <c r="J2096" s="3">
        <v>454</v>
      </c>
      <c r="K2096" s="3">
        <v>945</v>
      </c>
      <c r="L2096" s="3">
        <v>82</v>
      </c>
      <c r="M2096" s="3">
        <v>227</v>
      </c>
    </row>
    <row r="2097" spans="1:13" x14ac:dyDescent="0.25">
      <c r="A2097" s="1" t="str">
        <f>HYPERLINK("http://www.rosaceae.org/Prunus/Prunus_persica/p.persica_gdr_reftransV1_0037665","p.persica_gdr_reftransV1_0037665")</f>
        <v>p.persica_gdr_reftransV1_0037665</v>
      </c>
      <c r="B2097" s="3">
        <v>2113</v>
      </c>
      <c r="C2097" s="1" t="str">
        <f>HYPERLINK("http://www.uniprot.org/uniprot/EPC1_HUMAN","EPC1_HUMAN")</f>
        <v>EPC1_HUMAN</v>
      </c>
      <c r="D2097" t="s">
        <v>2041</v>
      </c>
      <c r="E2097" s="3" t="s">
        <v>28</v>
      </c>
      <c r="F2097" s="4">
        <v>1.32E-11</v>
      </c>
      <c r="G2097" s="3">
        <v>175</v>
      </c>
      <c r="H2097" s="3">
        <v>29</v>
      </c>
      <c r="I2097" s="3">
        <v>204</v>
      </c>
      <c r="J2097" s="3">
        <v>710</v>
      </c>
      <c r="K2097" s="3">
        <v>1297</v>
      </c>
      <c r="L2097" s="3">
        <v>114</v>
      </c>
      <c r="M2097" s="3">
        <v>288</v>
      </c>
    </row>
    <row r="2098" spans="1:13" x14ac:dyDescent="0.25">
      <c r="A2098" s="1" t="str">
        <f>HYPERLINK("http://www.rosaceae.org/Prunus/Prunus_persica/p.persica_gdr_reftransV1_0037715","p.persica_gdr_reftransV1_0037715")</f>
        <v>p.persica_gdr_reftransV1_0037715</v>
      </c>
      <c r="B2098" s="3">
        <v>2884</v>
      </c>
      <c r="C2098" s="1" t="str">
        <f>HYPERLINK("http://www.uniprot.org/uniprot/KIN13_ARATH","KIN13_ARATH")</f>
        <v>KIN13_ARATH</v>
      </c>
      <c r="D2098" t="s">
        <v>465</v>
      </c>
      <c r="E2098" s="3" t="s">
        <v>3</v>
      </c>
      <c r="F2098" s="4">
        <v>7.7799999999999995E-173</v>
      </c>
      <c r="G2098" s="3">
        <v>1366</v>
      </c>
      <c r="H2098" s="3">
        <v>60</v>
      </c>
      <c r="I2098" s="3">
        <v>521</v>
      </c>
      <c r="J2098" s="3">
        <v>1063</v>
      </c>
      <c r="K2098" s="3">
        <v>2547</v>
      </c>
      <c r="L2098" s="3">
        <v>32</v>
      </c>
      <c r="M2098" s="3">
        <v>545</v>
      </c>
    </row>
    <row r="2099" spans="1:13" x14ac:dyDescent="0.25">
      <c r="A2099" s="1" t="str">
        <f>HYPERLINK("http://www.rosaceae.org/Prunus/Prunus_persica/p.persica_gdr_reftransV1_0038115","p.persica_gdr_reftransV1_0038115")</f>
        <v>p.persica_gdr_reftransV1_0038115</v>
      </c>
      <c r="B2099" s="3">
        <v>1166</v>
      </c>
      <c r="C2099" s="1" t="str">
        <f>HYPERLINK("http://www.uniprot.org/uniprot/CNGC1_ARATH","CNGC1_ARATH")</f>
        <v>CNGC1_ARATH</v>
      </c>
      <c r="D2099" t="s">
        <v>241</v>
      </c>
      <c r="E2099" s="3" t="s">
        <v>3</v>
      </c>
      <c r="F2099" s="4">
        <v>7.5600000000000002E-59</v>
      </c>
      <c r="G2099" s="3">
        <v>520</v>
      </c>
      <c r="H2099" s="3">
        <v>37</v>
      </c>
      <c r="I2099" s="3">
        <v>309</v>
      </c>
      <c r="J2099" s="3">
        <v>153</v>
      </c>
      <c r="K2099" s="3">
        <v>1073</v>
      </c>
      <c r="L2099" s="3">
        <v>306</v>
      </c>
      <c r="M2099" s="3">
        <v>596</v>
      </c>
    </row>
    <row r="2100" spans="1:13" x14ac:dyDescent="0.25">
      <c r="A2100" s="1" t="str">
        <f>HYPERLINK("http://www.rosaceae.org/Prunus/Prunus_persica/p.persica_gdr_reftransV1_0038515","p.persica_gdr_reftransV1_0038515")</f>
        <v>p.persica_gdr_reftransV1_0038515</v>
      </c>
      <c r="B2100" s="3">
        <v>1692</v>
      </c>
      <c r="C2100" s="1" t="str">
        <f>HYPERLINK("http://www.uniprot.org/uniprot/RGA3_SOLBU","RGA3_SOLBU")</f>
        <v>RGA3_SOLBU</v>
      </c>
      <c r="D2100" t="s">
        <v>1884</v>
      </c>
      <c r="E2100" s="3" t="s">
        <v>560</v>
      </c>
      <c r="F2100" s="4">
        <v>2.96E-100</v>
      </c>
      <c r="G2100" s="3">
        <v>850</v>
      </c>
      <c r="H2100" s="3">
        <v>38</v>
      </c>
      <c r="I2100" s="3">
        <v>567</v>
      </c>
      <c r="J2100" s="3">
        <v>3</v>
      </c>
      <c r="K2100" s="3">
        <v>1679</v>
      </c>
      <c r="L2100" s="3">
        <v>205</v>
      </c>
      <c r="M2100" s="3">
        <v>718</v>
      </c>
    </row>
    <row r="2101" spans="1:13" x14ac:dyDescent="0.25">
      <c r="A2101" s="1" t="str">
        <f>HYPERLINK("http://www.rosaceae.org/Prunus/Prunus_persica/p.persica_gdr_reftransV1_0038665","p.persica_gdr_reftransV1_0038665")</f>
        <v>p.persica_gdr_reftransV1_0038665</v>
      </c>
      <c r="B2101" s="3">
        <v>2511</v>
      </c>
      <c r="C2101" s="1" t="str">
        <f>HYPERLINK("http://www.uniprot.org/uniprot/Y249_METTH","Y249_METTH")</f>
        <v>Y249_METTH</v>
      </c>
      <c r="D2101" t="s">
        <v>2042</v>
      </c>
      <c r="E2101" s="3" t="s">
        <v>910</v>
      </c>
      <c r="F2101" s="4">
        <v>1.2E-16</v>
      </c>
      <c r="G2101" s="3">
        <v>207</v>
      </c>
      <c r="H2101" s="3">
        <v>32</v>
      </c>
      <c r="I2101" s="3">
        <v>174</v>
      </c>
      <c r="J2101" s="3">
        <v>1851</v>
      </c>
      <c r="K2101" s="3">
        <v>2363</v>
      </c>
      <c r="L2101" s="3">
        <v>30</v>
      </c>
      <c r="M2101" s="3">
        <v>197</v>
      </c>
    </row>
    <row r="2102" spans="1:13" x14ac:dyDescent="0.25">
      <c r="A2102" s="1" t="str">
        <f>HYPERLINK("http://www.rosaceae.org/Prunus/Prunus_persica/p.persica_gdr_reftransV1_0038715","p.persica_gdr_reftransV1_0038715")</f>
        <v>p.persica_gdr_reftransV1_0038715</v>
      </c>
      <c r="B2102" s="3">
        <v>3392</v>
      </c>
      <c r="C2102" s="1" t="str">
        <f>HYPERLINK("http://www.uniprot.org/uniprot/MAOX_PHAVU","MAOX_PHAVU")</f>
        <v>MAOX_PHAVU</v>
      </c>
      <c r="D2102" t="s">
        <v>2043</v>
      </c>
      <c r="E2102" s="3" t="s">
        <v>2044</v>
      </c>
      <c r="F2102" s="4">
        <v>0</v>
      </c>
      <c r="G2102" s="3">
        <v>1437</v>
      </c>
      <c r="H2102" s="3">
        <v>87</v>
      </c>
      <c r="I2102" s="3">
        <v>320</v>
      </c>
      <c r="J2102" s="3">
        <v>3</v>
      </c>
      <c r="K2102" s="3">
        <v>962</v>
      </c>
      <c r="L2102" s="3">
        <v>270</v>
      </c>
      <c r="M2102" s="3">
        <v>589</v>
      </c>
    </row>
    <row r="2103" spans="1:13" x14ac:dyDescent="0.25">
      <c r="A2103" s="1" t="str">
        <f>HYPERLINK("http://www.rosaceae.org/Prunus/Prunus_persica/p.persica_gdr_reftransV1_0039315","p.persica_gdr_reftransV1_0039315")</f>
        <v>p.persica_gdr_reftransV1_0039315</v>
      </c>
      <c r="B2103" s="3">
        <v>2500</v>
      </c>
      <c r="C2103" s="1" t="str">
        <f>HYPERLINK("http://www.uniprot.org/uniprot/ERG1_PANGI","ERG1_PANGI")</f>
        <v>ERG1_PANGI</v>
      </c>
      <c r="D2103" t="s">
        <v>1476</v>
      </c>
      <c r="E2103" s="3" t="s">
        <v>1477</v>
      </c>
      <c r="F2103" s="4">
        <v>0</v>
      </c>
      <c r="G2103" s="3">
        <v>2015</v>
      </c>
      <c r="H2103" s="3">
        <v>80</v>
      </c>
      <c r="I2103" s="3">
        <v>495</v>
      </c>
      <c r="J2103" s="3">
        <v>414</v>
      </c>
      <c r="K2103" s="3">
        <v>1898</v>
      </c>
      <c r="L2103" s="3">
        <v>46</v>
      </c>
      <c r="M2103" s="3">
        <v>538</v>
      </c>
    </row>
    <row r="2104" spans="1:13" x14ac:dyDescent="0.25">
      <c r="A2104" s="1" t="str">
        <f>HYPERLINK("http://www.rosaceae.org/Prunus/Prunus_persica/p.persica_gdr_reftransV1_0039365","p.persica_gdr_reftransV1_0039365")</f>
        <v>p.persica_gdr_reftransV1_0039365</v>
      </c>
      <c r="B2104" s="3">
        <v>1909</v>
      </c>
      <c r="C2104" s="1" t="str">
        <f>HYPERLINK("http://www.uniprot.org/uniprot/OSGP2_ARATH","OSGP2_ARATH")</f>
        <v>OSGP2_ARATH</v>
      </c>
      <c r="D2104" t="s">
        <v>2045</v>
      </c>
      <c r="E2104" s="3" t="s">
        <v>3</v>
      </c>
      <c r="F2104" s="4">
        <v>0</v>
      </c>
      <c r="G2104" s="3">
        <v>1621</v>
      </c>
      <c r="H2104" s="3">
        <v>76</v>
      </c>
      <c r="I2104" s="3">
        <v>417</v>
      </c>
      <c r="J2104" s="3">
        <v>240</v>
      </c>
      <c r="K2104" s="3">
        <v>1490</v>
      </c>
      <c r="L2104" s="3">
        <v>76</v>
      </c>
      <c r="M2104" s="3">
        <v>469</v>
      </c>
    </row>
    <row r="2105" spans="1:13" x14ac:dyDescent="0.25">
      <c r="A2105" s="1" t="str">
        <f>HYPERLINK("http://www.rosaceae.org/Prunus/Prunus_persica/p.persica_gdr_reftransV1_0039415","p.persica_gdr_reftransV1_0039415")</f>
        <v>p.persica_gdr_reftransV1_0039415</v>
      </c>
      <c r="B2105" s="3">
        <v>1051</v>
      </c>
      <c r="C2105" s="1" t="str">
        <f>HYPERLINK("http://www.uniprot.org/uniprot/BCB1_ARATH","BCB1_ARATH")</f>
        <v>BCB1_ARATH</v>
      </c>
      <c r="D2105" t="s">
        <v>2046</v>
      </c>
      <c r="E2105" s="3" t="s">
        <v>3</v>
      </c>
      <c r="F2105" s="4">
        <v>2.32E-18</v>
      </c>
      <c r="G2105" s="3">
        <v>210</v>
      </c>
      <c r="H2105" s="3">
        <v>44</v>
      </c>
      <c r="I2105" s="3">
        <v>103</v>
      </c>
      <c r="J2105" s="3">
        <v>220</v>
      </c>
      <c r="K2105" s="3">
        <v>525</v>
      </c>
      <c r="L2105" s="3">
        <v>23</v>
      </c>
      <c r="M2105" s="3">
        <v>123</v>
      </c>
    </row>
    <row r="2106" spans="1:13" x14ac:dyDescent="0.25">
      <c r="A2106" s="1" t="str">
        <f>HYPERLINK("http://www.rosaceae.org/Prunus/Prunus_persica/p.persica_gdr_reftransV1_0039465","p.persica_gdr_reftransV1_0039465")</f>
        <v>p.persica_gdr_reftransV1_0039465</v>
      </c>
      <c r="B2106" s="3">
        <v>4188</v>
      </c>
      <c r="C2106" s="1" t="str">
        <f>HYPERLINK("http://www.uniprot.org/uniprot/ACA12_ARATH","ACA12_ARATH")</f>
        <v>ACA12_ARATH</v>
      </c>
      <c r="D2106" t="s">
        <v>22</v>
      </c>
      <c r="E2106" s="3" t="s">
        <v>3</v>
      </c>
      <c r="F2106" s="4">
        <v>0</v>
      </c>
      <c r="G2106" s="3">
        <v>3465</v>
      </c>
      <c r="H2106" s="3">
        <v>69</v>
      </c>
      <c r="I2106" s="3">
        <v>1042</v>
      </c>
      <c r="J2106" s="3">
        <v>483</v>
      </c>
      <c r="K2106" s="3">
        <v>3602</v>
      </c>
      <c r="L2106" s="3">
        <v>6</v>
      </c>
      <c r="M2106" s="3">
        <v>1023</v>
      </c>
    </row>
    <row r="2107" spans="1:13" x14ac:dyDescent="0.25">
      <c r="A2107" s="1" t="str">
        <f>HYPERLINK("http://www.rosaceae.org/Prunus/Prunus_persica/p.persica_gdr_reftransV1_0039615","p.persica_gdr_reftransV1_0039615")</f>
        <v>p.persica_gdr_reftransV1_0039615</v>
      </c>
      <c r="B2107" s="3">
        <v>3507</v>
      </c>
      <c r="C2107" s="1" t="str">
        <f>HYPERLINK("http://www.uniprot.org/uniprot/PDC1_ARATH","PDC1_ARATH")</f>
        <v>PDC1_ARATH</v>
      </c>
      <c r="D2107" t="s">
        <v>2047</v>
      </c>
      <c r="E2107" s="3" t="s">
        <v>3</v>
      </c>
      <c r="F2107" s="4">
        <v>0</v>
      </c>
      <c r="G2107" s="3">
        <v>2203</v>
      </c>
      <c r="H2107" s="3">
        <v>85</v>
      </c>
      <c r="I2107" s="3">
        <v>489</v>
      </c>
      <c r="J2107" s="3">
        <v>525</v>
      </c>
      <c r="K2107" s="3">
        <v>1985</v>
      </c>
      <c r="L2107" s="3">
        <v>1</v>
      </c>
      <c r="M2107" s="3">
        <v>489</v>
      </c>
    </row>
    <row r="2108" spans="1:13" x14ac:dyDescent="0.25">
      <c r="A2108" s="1" t="str">
        <f>HYPERLINK("http://www.rosaceae.org/Prunus/Prunus_persica/p.persica_gdr_reftransV1_0040065","p.persica_gdr_reftransV1_0040065")</f>
        <v>p.persica_gdr_reftransV1_0040065</v>
      </c>
      <c r="B2108" s="3">
        <v>2199</v>
      </c>
      <c r="C2108" s="1" t="str">
        <f>HYPERLINK("http://www.uniprot.org/uniprot/LKHA4_ARATH","LKHA4_ARATH")</f>
        <v>LKHA4_ARATH</v>
      </c>
      <c r="D2108" t="s">
        <v>2048</v>
      </c>
      <c r="E2108" s="3" t="s">
        <v>3</v>
      </c>
      <c r="F2108" s="4">
        <v>0</v>
      </c>
      <c r="G2108" s="3">
        <v>2370</v>
      </c>
      <c r="H2108" s="3">
        <v>73</v>
      </c>
      <c r="I2108" s="3">
        <v>618</v>
      </c>
      <c r="J2108" s="3">
        <v>192</v>
      </c>
      <c r="K2108" s="3">
        <v>2030</v>
      </c>
      <c r="L2108" s="3">
        <v>1</v>
      </c>
      <c r="M2108" s="3">
        <v>616</v>
      </c>
    </row>
    <row r="2109" spans="1:13" x14ac:dyDescent="0.25">
      <c r="A2109" s="1" t="str">
        <f>HYPERLINK("http://www.rosaceae.org/Prunus/Prunus_persica/p.persica_gdr_reftransV1_0040765","p.persica_gdr_reftransV1_0040765")</f>
        <v>p.persica_gdr_reftransV1_0040765</v>
      </c>
      <c r="B2109" s="3">
        <v>2690</v>
      </c>
      <c r="C2109" s="1" t="str">
        <f>HYPERLINK("http://www.uniprot.org/uniprot/TMM53_DANRE","TMM53_DANRE")</f>
        <v>TMM53_DANRE</v>
      </c>
      <c r="D2109" t="s">
        <v>2049</v>
      </c>
      <c r="E2109" s="3" t="s">
        <v>704</v>
      </c>
      <c r="F2109" s="4">
        <v>2.7599999999999998E-10</v>
      </c>
      <c r="G2109" s="3">
        <v>159</v>
      </c>
      <c r="H2109" s="3">
        <v>35</v>
      </c>
      <c r="I2109" s="3">
        <v>113</v>
      </c>
      <c r="J2109" s="3">
        <v>1020</v>
      </c>
      <c r="K2109" s="3">
        <v>1352</v>
      </c>
      <c r="L2109" s="3">
        <v>29</v>
      </c>
      <c r="M2109" s="3">
        <v>139</v>
      </c>
    </row>
    <row r="2110" spans="1:13" x14ac:dyDescent="0.25">
      <c r="A2110" s="1" t="str">
        <f>HYPERLINK("http://www.rosaceae.org/Prunus/Prunus_persica/p.persica_gdr_reftransV1_0040865","p.persica_gdr_reftransV1_0040865")</f>
        <v>p.persica_gdr_reftransV1_0040865</v>
      </c>
      <c r="B2110" s="3">
        <v>2076</v>
      </c>
      <c r="C2110" s="1" t="str">
        <f>HYPERLINK("http://www.uniprot.org/uniprot/TBP1_ORYSJ","TBP1_ORYSJ")</f>
        <v>TBP1_ORYSJ</v>
      </c>
      <c r="D2110" t="s">
        <v>695</v>
      </c>
      <c r="E2110" s="3" t="s">
        <v>38</v>
      </c>
      <c r="F2110" s="4">
        <v>1.5800000000000001E-7</v>
      </c>
      <c r="G2110" s="3">
        <v>140</v>
      </c>
      <c r="H2110" s="3">
        <v>35</v>
      </c>
      <c r="I2110" s="3">
        <v>98</v>
      </c>
      <c r="J2110" s="3">
        <v>1091</v>
      </c>
      <c r="K2110" s="3">
        <v>1384</v>
      </c>
      <c r="L2110" s="3">
        <v>520</v>
      </c>
      <c r="M2110" s="3">
        <v>607</v>
      </c>
    </row>
    <row r="2111" spans="1:13" x14ac:dyDescent="0.25">
      <c r="A2111" s="1" t="str">
        <f>HYPERLINK("http://www.rosaceae.org/Prunus/Prunus_persica/p.persica_gdr_reftransV1_0041315","p.persica_gdr_reftransV1_0041315")</f>
        <v>p.persica_gdr_reftransV1_0041315</v>
      </c>
      <c r="B2111" s="3">
        <v>1574</v>
      </c>
      <c r="C2111" s="1" t="str">
        <f>HYPERLINK("http://www.uniprot.org/uniprot/NUP54_ARATH","NUP54_ARATH")</f>
        <v>NUP54_ARATH</v>
      </c>
      <c r="D2111" t="s">
        <v>2050</v>
      </c>
      <c r="E2111" s="3" t="s">
        <v>3</v>
      </c>
      <c r="F2111" s="4">
        <v>1.81E-125</v>
      </c>
      <c r="G2111" s="3">
        <v>972</v>
      </c>
      <c r="H2111" s="3">
        <v>79</v>
      </c>
      <c r="I2111" s="3">
        <v>256</v>
      </c>
      <c r="J2111" s="3">
        <v>261</v>
      </c>
      <c r="K2111" s="3">
        <v>1028</v>
      </c>
      <c r="L2111" s="3">
        <v>107</v>
      </c>
      <c r="M2111" s="3">
        <v>362</v>
      </c>
    </row>
    <row r="2112" spans="1:13" x14ac:dyDescent="0.25">
      <c r="A2112" s="1" t="str">
        <f>HYPERLINK("http://www.rosaceae.org/Prunus/Prunus_persica/p.persica_gdr_reftransV1_0041415","p.persica_gdr_reftransV1_0041415")</f>
        <v>p.persica_gdr_reftransV1_0041415</v>
      </c>
      <c r="B2112" s="3">
        <v>2431</v>
      </c>
      <c r="C2112" s="1" t="str">
        <f>HYPERLINK("http://www.uniprot.org/uniprot/ZDH15_ARATH","ZDH15_ARATH")</f>
        <v>ZDH15_ARATH</v>
      </c>
      <c r="D2112" t="s">
        <v>2051</v>
      </c>
      <c r="E2112" s="3" t="s">
        <v>3</v>
      </c>
      <c r="F2112" s="4">
        <v>1.0000000000000001E-63</v>
      </c>
      <c r="G2112" s="3">
        <v>444</v>
      </c>
      <c r="H2112" s="3">
        <v>60</v>
      </c>
      <c r="I2112" s="3">
        <v>171</v>
      </c>
      <c r="J2112" s="3">
        <v>1385</v>
      </c>
      <c r="K2112" s="3">
        <v>1891</v>
      </c>
      <c r="L2112" s="3">
        <v>1</v>
      </c>
      <c r="M2112" s="3">
        <v>154</v>
      </c>
    </row>
    <row r="2113" spans="1:13" x14ac:dyDescent="0.25">
      <c r="A2113" s="1" t="str">
        <f>HYPERLINK("http://www.rosaceae.org/Prunus/Prunus_persica/p.persica_gdr_reftransV1_0041465","p.persica_gdr_reftransV1_0041465")</f>
        <v>p.persica_gdr_reftransV1_0041465</v>
      </c>
      <c r="B2113" s="3">
        <v>2854</v>
      </c>
      <c r="C2113" s="1" t="str">
        <f>HYPERLINK("http://www.uniprot.org/uniprot/MCCA_ARATH","MCCA_ARATH")</f>
        <v>MCCA_ARATH</v>
      </c>
      <c r="D2113" t="s">
        <v>2052</v>
      </c>
      <c r="E2113" s="3" t="s">
        <v>3</v>
      </c>
      <c r="F2113" s="4">
        <v>2.3E-96</v>
      </c>
      <c r="G2113" s="3">
        <v>835</v>
      </c>
      <c r="H2113" s="3">
        <v>84</v>
      </c>
      <c r="I2113" s="3">
        <v>187</v>
      </c>
      <c r="J2113" s="3">
        <v>380</v>
      </c>
      <c r="K2113" s="3">
        <v>937</v>
      </c>
      <c r="L2113" s="3">
        <v>120</v>
      </c>
      <c r="M2113" s="3">
        <v>306</v>
      </c>
    </row>
    <row r="2114" spans="1:13" x14ac:dyDescent="0.25">
      <c r="A2114" s="1" t="str">
        <f>HYPERLINK("http://www.rosaceae.org/Prunus/Prunus_persica/p.persica_gdr_reftransV1_0041515","p.persica_gdr_reftransV1_0041515")</f>
        <v>p.persica_gdr_reftransV1_0041515</v>
      </c>
      <c r="B2114" s="3">
        <v>2045</v>
      </c>
      <c r="C2114" s="1" t="str">
        <f>HYPERLINK("http://www.uniprot.org/uniprot/HHP4_ARATH","HHP4_ARATH")</f>
        <v>HHP4_ARATH</v>
      </c>
      <c r="D2114" t="s">
        <v>2053</v>
      </c>
      <c r="E2114" s="3" t="s">
        <v>3</v>
      </c>
      <c r="F2114" s="4">
        <v>0</v>
      </c>
      <c r="G2114" s="3">
        <v>1416</v>
      </c>
      <c r="H2114" s="3">
        <v>66</v>
      </c>
      <c r="I2114" s="3">
        <v>413</v>
      </c>
      <c r="J2114" s="3">
        <v>624</v>
      </c>
      <c r="K2114" s="3">
        <v>1859</v>
      </c>
      <c r="L2114" s="3">
        <v>1</v>
      </c>
      <c r="M2114" s="3">
        <v>385</v>
      </c>
    </row>
    <row r="2115" spans="1:13" x14ac:dyDescent="0.25">
      <c r="A2115" s="1" t="str">
        <f>HYPERLINK("http://www.rosaceae.org/Prunus/Prunus_persica/p.persica_gdr_reftransV1_0041565","p.persica_gdr_reftransV1_0041565")</f>
        <v>p.persica_gdr_reftransV1_0041565</v>
      </c>
      <c r="B2115" s="3">
        <v>1130</v>
      </c>
      <c r="C2115" s="1" t="str">
        <f>HYPERLINK("http://www.uniprot.org/uniprot/N6MT2_HUMAN","N6MT2_HUMAN")</f>
        <v>N6MT2_HUMAN</v>
      </c>
      <c r="D2115" t="s">
        <v>2054</v>
      </c>
      <c r="E2115" s="3" t="s">
        <v>28</v>
      </c>
      <c r="F2115" s="4">
        <v>7.5100000000000003E-54</v>
      </c>
      <c r="G2115" s="3">
        <v>464</v>
      </c>
      <c r="H2115" s="3">
        <v>46</v>
      </c>
      <c r="I2115" s="3">
        <v>213</v>
      </c>
      <c r="J2115" s="3">
        <v>126</v>
      </c>
      <c r="K2115" s="3">
        <v>758</v>
      </c>
      <c r="L2115" s="3">
        <v>10</v>
      </c>
      <c r="M2115" s="3">
        <v>210</v>
      </c>
    </row>
    <row r="2116" spans="1:13" x14ac:dyDescent="0.25">
      <c r="A2116" s="1" t="str">
        <f>HYPERLINK("http://www.rosaceae.org/Prunus/Prunus_persica/p.persica_gdr_reftransV1_0041865","p.persica_gdr_reftransV1_0041865")</f>
        <v>p.persica_gdr_reftransV1_0041865</v>
      </c>
      <c r="B2116" s="3">
        <v>3110</v>
      </c>
      <c r="C2116" s="1" t="str">
        <f>HYPERLINK("http://www.uniprot.org/uniprot/NAC60_ARATH","NAC60_ARATH")</f>
        <v>NAC60_ARATH</v>
      </c>
      <c r="D2116" t="s">
        <v>2055</v>
      </c>
      <c r="E2116" s="3" t="s">
        <v>3</v>
      </c>
      <c r="F2116" s="4">
        <v>1.32E-53</v>
      </c>
      <c r="G2116" s="3">
        <v>497</v>
      </c>
      <c r="H2116" s="3">
        <v>50</v>
      </c>
      <c r="I2116" s="3">
        <v>207</v>
      </c>
      <c r="J2116" s="3">
        <v>1711</v>
      </c>
      <c r="K2116" s="3">
        <v>2325</v>
      </c>
      <c r="L2116" s="3">
        <v>62</v>
      </c>
      <c r="M2116" s="3">
        <v>249</v>
      </c>
    </row>
    <row r="2117" spans="1:13" x14ac:dyDescent="0.25">
      <c r="A2117" s="1" t="str">
        <f>HYPERLINK("http://www.rosaceae.org/Prunus/Prunus_persica/p.persica_gdr_reftransV1_0041965","p.persica_gdr_reftransV1_0041965")</f>
        <v>p.persica_gdr_reftransV1_0041965</v>
      </c>
      <c r="B2117" s="3">
        <v>2443</v>
      </c>
      <c r="C2117" s="1" t="str">
        <f>HYPERLINK("http://www.uniprot.org/uniprot/TBB1_AVESA","TBB1_AVESA")</f>
        <v>TBB1_AVESA</v>
      </c>
      <c r="D2117" t="s">
        <v>2056</v>
      </c>
      <c r="E2117" s="3" t="s">
        <v>2057</v>
      </c>
      <c r="F2117" s="4">
        <v>5.6200000000000003E-145</v>
      </c>
      <c r="G2117" s="3">
        <v>1129</v>
      </c>
      <c r="H2117" s="3">
        <v>99</v>
      </c>
      <c r="I2117" s="3">
        <v>210</v>
      </c>
      <c r="J2117" s="3">
        <v>386</v>
      </c>
      <c r="K2117" s="3">
        <v>1015</v>
      </c>
      <c r="L2117" s="3">
        <v>159</v>
      </c>
      <c r="M2117" s="3">
        <v>368</v>
      </c>
    </row>
    <row r="2118" spans="1:13" x14ac:dyDescent="0.25">
      <c r="A2118" s="1" t="str">
        <f>HYPERLINK("http://www.rosaceae.org/Prunus/Prunus_persica/p.persica_gdr_reftransV1_0042315","p.persica_gdr_reftransV1_0042315")</f>
        <v>p.persica_gdr_reftransV1_0042315</v>
      </c>
      <c r="B2118" s="3">
        <v>1724</v>
      </c>
      <c r="C2118" s="1" t="str">
        <f>HYPERLINK("http://www.uniprot.org/uniprot/AHK2_ARATH","AHK2_ARATH")</f>
        <v>AHK2_ARATH</v>
      </c>
      <c r="D2118" t="s">
        <v>982</v>
      </c>
      <c r="E2118" s="3" t="s">
        <v>3</v>
      </c>
      <c r="F2118" s="4">
        <v>7.2900000000000001E-20</v>
      </c>
      <c r="G2118" s="3">
        <v>242</v>
      </c>
      <c r="H2118" s="3">
        <v>67</v>
      </c>
      <c r="I2118" s="3">
        <v>67</v>
      </c>
      <c r="J2118" s="3">
        <v>1523</v>
      </c>
      <c r="K2118" s="3">
        <v>1723</v>
      </c>
      <c r="L2118" s="3">
        <v>227</v>
      </c>
      <c r="M2118" s="3">
        <v>293</v>
      </c>
    </row>
    <row r="2119" spans="1:13" x14ac:dyDescent="0.25">
      <c r="A2119" s="1" t="str">
        <f>HYPERLINK("http://www.rosaceae.org/Prunus/Prunus_persica/p.persica_gdr_reftransV1_0042415","p.persica_gdr_reftransV1_0042415")</f>
        <v>p.persica_gdr_reftransV1_0042415</v>
      </c>
      <c r="B2119" s="3">
        <v>1664</v>
      </c>
      <c r="C2119" s="1" t="str">
        <f>HYPERLINK("http://www.uniprot.org/uniprot/CCU41_ARATH","CCU41_ARATH")</f>
        <v>CCU41_ARATH</v>
      </c>
      <c r="D2119" t="s">
        <v>1523</v>
      </c>
      <c r="E2119" s="3" t="s">
        <v>3</v>
      </c>
      <c r="F2119" s="4">
        <v>1.49E-55</v>
      </c>
      <c r="G2119" s="3">
        <v>486</v>
      </c>
      <c r="H2119" s="3">
        <v>78</v>
      </c>
      <c r="I2119" s="3">
        <v>114</v>
      </c>
      <c r="J2119" s="3">
        <v>1244</v>
      </c>
      <c r="K2119" s="3">
        <v>1576</v>
      </c>
      <c r="L2119" s="3">
        <v>1</v>
      </c>
      <c r="M2119" s="3">
        <v>114</v>
      </c>
    </row>
    <row r="2120" spans="1:13" x14ac:dyDescent="0.25">
      <c r="A2120" s="1" t="str">
        <f>HYPERLINK("http://www.rosaceae.org/Prunus/Prunus_persica/p.persica_gdr_reftransV1_0042715","p.persica_gdr_reftransV1_0042715")</f>
        <v>p.persica_gdr_reftransV1_0042715</v>
      </c>
      <c r="B2120" s="3">
        <v>1161</v>
      </c>
      <c r="C2120" s="1" t="str">
        <f>HYPERLINK("http://www.uniprot.org/uniprot/RS8_ORYSJ","RS8_ORYSJ")</f>
        <v>RS8_ORYSJ</v>
      </c>
      <c r="D2120" t="s">
        <v>2058</v>
      </c>
      <c r="E2120" s="3" t="s">
        <v>38</v>
      </c>
      <c r="F2120" s="4">
        <v>5.7400000000000006E-110</v>
      </c>
      <c r="G2120" s="3">
        <v>841</v>
      </c>
      <c r="H2120" s="3">
        <v>83</v>
      </c>
      <c r="I2120" s="3">
        <v>225</v>
      </c>
      <c r="J2120" s="3">
        <v>236</v>
      </c>
      <c r="K2120" s="3">
        <v>910</v>
      </c>
      <c r="L2120" s="3">
        <v>1</v>
      </c>
      <c r="M2120" s="3">
        <v>220</v>
      </c>
    </row>
    <row r="2121" spans="1:13" x14ac:dyDescent="0.25">
      <c r="A2121" s="1" t="str">
        <f>HYPERLINK("http://www.rosaceae.org/Prunus/Prunus_persica/p.persica_gdr_reftransV1_0043015","p.persica_gdr_reftransV1_0043015")</f>
        <v>p.persica_gdr_reftransV1_0043015</v>
      </c>
      <c r="B2121" s="3">
        <v>2615</v>
      </c>
      <c r="C2121" s="1" t="str">
        <f>HYPERLINK("http://www.uniprot.org/uniprot/Y1574_AZOSB","Y1574_AZOSB")</f>
        <v>Y1574_AZOSB</v>
      </c>
      <c r="D2121" t="s">
        <v>2059</v>
      </c>
      <c r="E2121" s="3" t="s">
        <v>239</v>
      </c>
      <c r="F2121" s="4">
        <v>7.5999999999999996E-166</v>
      </c>
      <c r="G2121" s="3">
        <v>1286</v>
      </c>
      <c r="H2121" s="3">
        <v>50</v>
      </c>
      <c r="I2121" s="3">
        <v>553</v>
      </c>
      <c r="J2121" s="3">
        <v>626</v>
      </c>
      <c r="K2121" s="3">
        <v>2251</v>
      </c>
      <c r="L2121" s="3">
        <v>1</v>
      </c>
      <c r="M2121" s="3">
        <v>519</v>
      </c>
    </row>
    <row r="2122" spans="1:13" x14ac:dyDescent="0.25">
      <c r="A2122" s="1" t="str">
        <f>HYPERLINK("http://www.rosaceae.org/Prunus/Prunus_persica/p.persica_gdr_reftransV1_0043065","p.persica_gdr_reftransV1_0043065")</f>
        <v>p.persica_gdr_reftransV1_0043065</v>
      </c>
      <c r="B2122" s="3">
        <v>388</v>
      </c>
      <c r="C2122" s="1" t="str">
        <f>HYPERLINK("http://www.uniprot.org/uniprot/LUPS_BETPL","LUPS_BETPL")</f>
        <v>LUPS_BETPL</v>
      </c>
      <c r="D2122" t="s">
        <v>2060</v>
      </c>
      <c r="E2122" s="3" t="s">
        <v>2061</v>
      </c>
      <c r="F2122" s="4">
        <v>1.05E-62</v>
      </c>
      <c r="G2122" s="3">
        <v>532</v>
      </c>
      <c r="H2122" s="3">
        <v>75</v>
      </c>
      <c r="I2122" s="3">
        <v>128</v>
      </c>
      <c r="J2122" s="3">
        <v>3</v>
      </c>
      <c r="K2122" s="3">
        <v>386</v>
      </c>
      <c r="L2122" s="3">
        <v>233</v>
      </c>
      <c r="M2122" s="3">
        <v>360</v>
      </c>
    </row>
    <row r="2123" spans="1:13" x14ac:dyDescent="0.25">
      <c r="A2123" s="1" t="str">
        <f>HYPERLINK("http://www.rosaceae.org/Prunus/Prunus_persica/p.persica_gdr_reftransV1_0043115","p.persica_gdr_reftransV1_0043115")</f>
        <v>p.persica_gdr_reftransV1_0043115</v>
      </c>
      <c r="B2123" s="3">
        <v>387</v>
      </c>
      <c r="C2123" s="1" t="str">
        <f>HYPERLINK("http://www.uniprot.org/uniprot/PME28_ARATH","PME28_ARATH")</f>
        <v>PME28_ARATH</v>
      </c>
      <c r="D2123" t="s">
        <v>2062</v>
      </c>
      <c r="E2123" s="3" t="s">
        <v>3</v>
      </c>
      <c r="F2123" s="4">
        <v>1.53E-49</v>
      </c>
      <c r="G2123" s="3">
        <v>436</v>
      </c>
      <c r="H2123" s="3">
        <v>66</v>
      </c>
      <c r="I2123" s="3">
        <v>125</v>
      </c>
      <c r="J2123" s="3">
        <v>6</v>
      </c>
      <c r="K2123" s="3">
        <v>380</v>
      </c>
      <c r="L2123" s="3">
        <v>249</v>
      </c>
      <c r="M2123" s="3">
        <v>373</v>
      </c>
    </row>
    <row r="2124" spans="1:13" x14ac:dyDescent="0.25">
      <c r="A2124" s="1" t="str">
        <f>HYPERLINK("http://www.rosaceae.org/Prunus/Prunus_persica/p.persica_gdr_reftransV1_0043165","p.persica_gdr_reftransV1_0043165")</f>
        <v>p.persica_gdr_reftransV1_0043165</v>
      </c>
      <c r="B2124" s="3">
        <v>932</v>
      </c>
      <c r="C2124" s="1" t="str">
        <f>HYPERLINK("http://www.uniprot.org/uniprot/MYB4_ARATH","MYB4_ARATH")</f>
        <v>MYB4_ARATH</v>
      </c>
      <c r="D2124" t="s">
        <v>2063</v>
      </c>
      <c r="E2124" s="3" t="s">
        <v>3</v>
      </c>
      <c r="F2124" s="4">
        <v>3.2600000000000001E-51</v>
      </c>
      <c r="G2124" s="3">
        <v>447</v>
      </c>
      <c r="H2124" s="3">
        <v>55</v>
      </c>
      <c r="I2124" s="3">
        <v>162</v>
      </c>
      <c r="J2124" s="3">
        <v>409</v>
      </c>
      <c r="K2124" s="3">
        <v>873</v>
      </c>
      <c r="L2124" s="3">
        <v>1</v>
      </c>
      <c r="M2124" s="3">
        <v>162</v>
      </c>
    </row>
    <row r="2125" spans="1:13" x14ac:dyDescent="0.25">
      <c r="A2125" s="1" t="str">
        <f>HYPERLINK("http://www.rosaceae.org/Prunus/Prunus_persica/p.persica_gdr_reftransV1_0043215","p.persica_gdr_reftransV1_0043215")</f>
        <v>p.persica_gdr_reftransV1_0043215</v>
      </c>
      <c r="B2125" s="3">
        <v>1529</v>
      </c>
      <c r="C2125" s="1" t="str">
        <f>HYPERLINK("http://www.uniprot.org/uniprot/BIPS1_SORAU","BIPS1_SORAU")</f>
        <v>BIPS1_SORAU</v>
      </c>
      <c r="D2125" t="s">
        <v>2064</v>
      </c>
      <c r="E2125" s="3" t="s">
        <v>2065</v>
      </c>
      <c r="F2125" s="4">
        <v>0</v>
      </c>
      <c r="G2125" s="3">
        <v>1512</v>
      </c>
      <c r="H2125" s="3">
        <v>73</v>
      </c>
      <c r="I2125" s="3">
        <v>376</v>
      </c>
      <c r="J2125" s="3">
        <v>127</v>
      </c>
      <c r="K2125" s="3">
        <v>1254</v>
      </c>
      <c r="L2125" s="3">
        <v>14</v>
      </c>
      <c r="M2125" s="3">
        <v>388</v>
      </c>
    </row>
    <row r="2126" spans="1:13" x14ac:dyDescent="0.25">
      <c r="A2126" s="1" t="str">
        <f>HYPERLINK("http://www.rosaceae.org/Prunus/Prunus_persica/p.persica_gdr_reftransV1_0043265","p.persica_gdr_reftransV1_0043265")</f>
        <v>p.persica_gdr_reftransV1_0043265</v>
      </c>
      <c r="B2126" s="3">
        <v>2596</v>
      </c>
      <c r="C2126" s="1" t="str">
        <f>HYPERLINK("http://www.uniprot.org/uniprot/Y2237_DICDI","Y2237_DICDI")</f>
        <v>Y2237_DICDI</v>
      </c>
      <c r="D2126" t="s">
        <v>2066</v>
      </c>
      <c r="E2126" s="3" t="s">
        <v>9</v>
      </c>
      <c r="F2126" s="4">
        <v>8.1700000000000004E-18</v>
      </c>
      <c r="G2126" s="3">
        <v>228</v>
      </c>
      <c r="H2126" s="3">
        <v>34</v>
      </c>
      <c r="I2126" s="3">
        <v>140</v>
      </c>
      <c r="J2126" s="3">
        <v>2042</v>
      </c>
      <c r="K2126" s="3">
        <v>2461</v>
      </c>
      <c r="L2126" s="3">
        <v>1</v>
      </c>
      <c r="M2126" s="3">
        <v>138</v>
      </c>
    </row>
    <row r="2127" spans="1:13" x14ac:dyDescent="0.25">
      <c r="A2127" s="1" t="str">
        <f>HYPERLINK("http://www.rosaceae.org/Prunus/Prunus_persica/p.persica_gdr_reftransV1_0043515","p.persica_gdr_reftransV1_0043515")</f>
        <v>p.persica_gdr_reftransV1_0043515</v>
      </c>
      <c r="B2127" s="3">
        <v>320</v>
      </c>
      <c r="C2127" s="1" t="str">
        <f>HYPERLINK("http://www.uniprot.org/uniprot/KAT1_ARATH","KAT1_ARATH")</f>
        <v>KAT1_ARATH</v>
      </c>
      <c r="D2127" t="s">
        <v>212</v>
      </c>
      <c r="E2127" s="3" t="s">
        <v>3</v>
      </c>
      <c r="F2127" s="4">
        <v>5.1700000000000003E-58</v>
      </c>
      <c r="G2127" s="3">
        <v>494</v>
      </c>
      <c r="H2127" s="3">
        <v>85</v>
      </c>
      <c r="I2127" s="3">
        <v>106</v>
      </c>
      <c r="J2127" s="3">
        <v>2</v>
      </c>
      <c r="K2127" s="3">
        <v>319</v>
      </c>
      <c r="L2127" s="3">
        <v>275</v>
      </c>
      <c r="M2127" s="3">
        <v>380</v>
      </c>
    </row>
    <row r="2128" spans="1:13" x14ac:dyDescent="0.25">
      <c r="A2128" s="1" t="str">
        <f>HYPERLINK("http://www.rosaceae.org/Prunus/Prunus_persica/p.persica_gdr_reftransV1_0043565","p.persica_gdr_reftransV1_0043565")</f>
        <v>p.persica_gdr_reftransV1_0043565</v>
      </c>
      <c r="B2128" s="3">
        <v>978</v>
      </c>
      <c r="C2128" s="1" t="str">
        <f>HYPERLINK("http://www.uniprot.org/uniprot/PTALR_ARATH","PTALR_ARATH")</f>
        <v>PTALR_ARATH</v>
      </c>
      <c r="D2128" t="s">
        <v>2067</v>
      </c>
      <c r="E2128" s="3" t="s">
        <v>3</v>
      </c>
      <c r="F2128" s="4">
        <v>9.2200000000000007E-115</v>
      </c>
      <c r="G2128" s="3">
        <v>869</v>
      </c>
      <c r="H2128" s="3">
        <v>69</v>
      </c>
      <c r="I2128" s="3">
        <v>240</v>
      </c>
      <c r="J2128" s="3">
        <v>106</v>
      </c>
      <c r="K2128" s="3">
        <v>822</v>
      </c>
      <c r="L2128" s="3">
        <v>9</v>
      </c>
      <c r="M2128" s="3">
        <v>242</v>
      </c>
    </row>
    <row r="2129" spans="1:13" x14ac:dyDescent="0.25">
      <c r="A2129" s="1" t="str">
        <f>HYPERLINK("http://www.rosaceae.org/Prunus/Prunus_persica/p.persica_gdr_reftransV1_0043665","p.persica_gdr_reftransV1_0043665")</f>
        <v>p.persica_gdr_reftransV1_0043665</v>
      </c>
      <c r="B2129" s="3">
        <v>1550</v>
      </c>
      <c r="C2129" s="1" t="str">
        <f>HYPERLINK("http://www.uniprot.org/uniprot/TT12_ARATH","TT12_ARATH")</f>
        <v>TT12_ARATH</v>
      </c>
      <c r="D2129" t="s">
        <v>353</v>
      </c>
      <c r="E2129" s="3" t="s">
        <v>3</v>
      </c>
      <c r="F2129" s="4">
        <v>5.0900000000000002E-102</v>
      </c>
      <c r="G2129" s="3">
        <v>826</v>
      </c>
      <c r="H2129" s="3">
        <v>40</v>
      </c>
      <c r="I2129" s="3">
        <v>446</v>
      </c>
      <c r="J2129" s="3">
        <v>2</v>
      </c>
      <c r="K2129" s="3">
        <v>1333</v>
      </c>
      <c r="L2129" s="3">
        <v>60</v>
      </c>
      <c r="M2129" s="3">
        <v>505</v>
      </c>
    </row>
    <row r="2130" spans="1:13" x14ac:dyDescent="0.25">
      <c r="A2130" s="1" t="str">
        <f>HYPERLINK("http://www.rosaceae.org/Prunus/Prunus_persica/p.persica_gdr_reftransV1_0043815","p.persica_gdr_reftransV1_0043815")</f>
        <v>p.persica_gdr_reftransV1_0043815</v>
      </c>
      <c r="B2130" s="3">
        <v>1677</v>
      </c>
      <c r="C2130" s="1" t="str">
        <f>HYPERLINK("http://www.uniprot.org/uniprot/CCD31_ARATH","CCD31_ARATH")</f>
        <v>CCD31_ARATH</v>
      </c>
      <c r="D2130" t="s">
        <v>2068</v>
      </c>
      <c r="E2130" s="3" t="s">
        <v>3</v>
      </c>
      <c r="F2130" s="4">
        <v>2.7100000000000001E-90</v>
      </c>
      <c r="G2130" s="3">
        <v>739</v>
      </c>
      <c r="H2130" s="3">
        <v>52</v>
      </c>
      <c r="I2130" s="3">
        <v>285</v>
      </c>
      <c r="J2130" s="3">
        <v>599</v>
      </c>
      <c r="K2130" s="3">
        <v>1453</v>
      </c>
      <c r="L2130" s="3">
        <v>17</v>
      </c>
      <c r="M2130" s="3">
        <v>282</v>
      </c>
    </row>
    <row r="2131" spans="1:13" x14ac:dyDescent="0.25">
      <c r="A2131" s="1" t="str">
        <f>HYPERLINK("http://www.rosaceae.org/Prunus/Prunus_persica/p.persica_gdr_reftransV1_0043865","p.persica_gdr_reftransV1_0043865")</f>
        <v>p.persica_gdr_reftransV1_0043865</v>
      </c>
      <c r="B2131" s="3">
        <v>810</v>
      </c>
      <c r="C2131" s="1" t="str">
        <f>HYPERLINK("http://www.uniprot.org/uniprot/KAT2_ARATH","KAT2_ARATH")</f>
        <v>KAT2_ARATH</v>
      </c>
      <c r="D2131" t="s">
        <v>1485</v>
      </c>
      <c r="E2131" s="3" t="s">
        <v>3</v>
      </c>
      <c r="F2131" s="4">
        <v>4.95E-20</v>
      </c>
      <c r="G2131" s="3">
        <v>232</v>
      </c>
      <c r="H2131" s="3">
        <v>55</v>
      </c>
      <c r="I2131" s="3">
        <v>91</v>
      </c>
      <c r="J2131" s="3">
        <v>538</v>
      </c>
      <c r="K2131" s="3">
        <v>810</v>
      </c>
      <c r="L2131" s="3">
        <v>422</v>
      </c>
      <c r="M2131" s="3">
        <v>512</v>
      </c>
    </row>
    <row r="2132" spans="1:13" x14ac:dyDescent="0.25">
      <c r="A2132" s="1" t="str">
        <f>HYPERLINK("http://www.rosaceae.org/Prunus/Prunus_persica/p.persica_gdr_reftransV1_0043915","p.persica_gdr_reftransV1_0043915")</f>
        <v>p.persica_gdr_reftransV1_0043915</v>
      </c>
      <c r="B2132" s="3">
        <v>1737</v>
      </c>
      <c r="C2132" s="1" t="str">
        <f>HYPERLINK("http://www.uniprot.org/uniprot/ADNT1_ARATH","ADNT1_ARATH")</f>
        <v>ADNT1_ARATH</v>
      </c>
      <c r="D2132" t="s">
        <v>786</v>
      </c>
      <c r="E2132" s="3" t="s">
        <v>3</v>
      </c>
      <c r="F2132" s="4">
        <v>0</v>
      </c>
      <c r="G2132" s="3">
        <v>1441</v>
      </c>
      <c r="H2132" s="3">
        <v>84</v>
      </c>
      <c r="I2132" s="3">
        <v>356</v>
      </c>
      <c r="J2132" s="3">
        <v>373</v>
      </c>
      <c r="K2132" s="3">
        <v>1437</v>
      </c>
      <c r="L2132" s="3">
        <v>1</v>
      </c>
      <c r="M2132" s="3">
        <v>352</v>
      </c>
    </row>
    <row r="2133" spans="1:13" x14ac:dyDescent="0.25">
      <c r="A2133" s="1" t="str">
        <f>HYPERLINK("http://www.rosaceae.org/Prunus/Prunus_persica/p.persica_gdr_reftransV1_0043965","p.persica_gdr_reftransV1_0043965")</f>
        <v>p.persica_gdr_reftransV1_0043965</v>
      </c>
      <c r="B2133" s="3">
        <v>1085</v>
      </c>
      <c r="C2133" s="1" t="str">
        <f>HYPERLINK("http://www.uniprot.org/uniprot/MLP28_ARATH","MLP28_ARATH")</f>
        <v>MLP28_ARATH</v>
      </c>
      <c r="D2133" t="s">
        <v>2069</v>
      </c>
      <c r="E2133" s="3" t="s">
        <v>3</v>
      </c>
      <c r="F2133" s="4">
        <v>2.2299999999999999E-59</v>
      </c>
      <c r="G2133" s="3">
        <v>511</v>
      </c>
      <c r="H2133" s="3">
        <v>61</v>
      </c>
      <c r="I2133" s="3">
        <v>154</v>
      </c>
      <c r="J2133" s="3">
        <v>323</v>
      </c>
      <c r="K2133" s="3">
        <v>784</v>
      </c>
      <c r="L2133" s="3">
        <v>20</v>
      </c>
      <c r="M2133" s="3">
        <v>173</v>
      </c>
    </row>
    <row r="2134" spans="1:13" x14ac:dyDescent="0.25">
      <c r="A2134" s="1" t="str">
        <f>HYPERLINK("http://www.rosaceae.org/Prunus/Prunus_persica/p.persica_gdr_reftransV1_0044015","p.persica_gdr_reftransV1_0044015")</f>
        <v>p.persica_gdr_reftransV1_0044015</v>
      </c>
      <c r="B2134" s="3">
        <v>1336</v>
      </c>
      <c r="C2134" s="1" t="str">
        <f>HYPERLINK("http://www.uniprot.org/uniprot/ERL1_ARATH","ERL1_ARATH")</f>
        <v>ERL1_ARATH</v>
      </c>
      <c r="D2134" t="s">
        <v>344</v>
      </c>
      <c r="E2134" s="3" t="s">
        <v>3</v>
      </c>
      <c r="F2134" s="4">
        <v>0</v>
      </c>
      <c r="G2134" s="3">
        <v>1753</v>
      </c>
      <c r="H2134" s="3">
        <v>83</v>
      </c>
      <c r="I2134" s="3">
        <v>445</v>
      </c>
      <c r="J2134" s="3">
        <v>1</v>
      </c>
      <c r="K2134" s="3">
        <v>1335</v>
      </c>
      <c r="L2134" s="3">
        <v>30</v>
      </c>
      <c r="M2134" s="3">
        <v>474</v>
      </c>
    </row>
    <row r="2135" spans="1:13" x14ac:dyDescent="0.25">
      <c r="A2135" s="1" t="str">
        <f>HYPERLINK("http://www.rosaceae.org/Prunus/Prunus_persica/p.persica_gdr_reftransV1_0044065","p.persica_gdr_reftransV1_0044065")</f>
        <v>p.persica_gdr_reftransV1_0044065</v>
      </c>
      <c r="B2135" s="3">
        <v>324</v>
      </c>
      <c r="C2135" s="1" t="str">
        <f>HYPERLINK("http://www.uniprot.org/uniprot/MYBC_MAIZE","MYBC_MAIZE")</f>
        <v>MYBC_MAIZE</v>
      </c>
      <c r="D2135" t="s">
        <v>2070</v>
      </c>
      <c r="E2135" s="3" t="s">
        <v>72</v>
      </c>
      <c r="F2135" s="4">
        <v>2.37E-46</v>
      </c>
      <c r="G2135" s="3">
        <v>394</v>
      </c>
      <c r="H2135" s="3">
        <v>72</v>
      </c>
      <c r="I2135" s="3">
        <v>97</v>
      </c>
      <c r="J2135" s="3">
        <v>1</v>
      </c>
      <c r="K2135" s="3">
        <v>291</v>
      </c>
      <c r="L2135" s="3">
        <v>1</v>
      </c>
      <c r="M2135" s="3">
        <v>97</v>
      </c>
    </row>
    <row r="2136" spans="1:13" x14ac:dyDescent="0.25">
      <c r="A2136" s="1" t="str">
        <f>HYPERLINK("http://www.rosaceae.org/Prunus/Prunus_persica/p.persica_gdr_reftransV1_0044115","p.persica_gdr_reftransV1_0044115")</f>
        <v>p.persica_gdr_reftransV1_0044115</v>
      </c>
      <c r="B2136" s="3">
        <v>1409</v>
      </c>
      <c r="C2136" s="1" t="str">
        <f>HYPERLINK("http://www.uniprot.org/uniprot/CSE_ARATH","CSE_ARATH")</f>
        <v>CSE_ARATH</v>
      </c>
      <c r="D2136" t="s">
        <v>584</v>
      </c>
      <c r="E2136" s="3" t="s">
        <v>3</v>
      </c>
      <c r="F2136" s="4">
        <v>3.2299999999999998E-57</v>
      </c>
      <c r="G2136" s="3">
        <v>504</v>
      </c>
      <c r="H2136" s="3">
        <v>38</v>
      </c>
      <c r="I2136" s="3">
        <v>291</v>
      </c>
      <c r="J2136" s="3">
        <v>446</v>
      </c>
      <c r="K2136" s="3">
        <v>1258</v>
      </c>
      <c r="L2136" s="3">
        <v>32</v>
      </c>
      <c r="M2136" s="3">
        <v>322</v>
      </c>
    </row>
    <row r="2137" spans="1:13" x14ac:dyDescent="0.25">
      <c r="A2137" s="1" t="str">
        <f>HYPERLINK("http://www.rosaceae.org/Prunus/Prunus_persica/p.persica_gdr_reftransV1_0044215","p.persica_gdr_reftransV1_0044215")</f>
        <v>p.persica_gdr_reftransV1_0044215</v>
      </c>
      <c r="B2137" s="3">
        <v>1551</v>
      </c>
      <c r="C2137" s="1" t="str">
        <f>HYPERLINK("http://www.uniprot.org/uniprot/IP5P7_ARATH","IP5P7_ARATH")</f>
        <v>IP5P7_ARATH</v>
      </c>
      <c r="D2137" t="s">
        <v>2071</v>
      </c>
      <c r="E2137" s="3" t="s">
        <v>3</v>
      </c>
      <c r="F2137" s="4">
        <v>4.5999999999999998E-174</v>
      </c>
      <c r="G2137" s="3">
        <v>1315</v>
      </c>
      <c r="H2137" s="3">
        <v>82</v>
      </c>
      <c r="I2137" s="3">
        <v>321</v>
      </c>
      <c r="J2137" s="3">
        <v>2</v>
      </c>
      <c r="K2137" s="3">
        <v>964</v>
      </c>
      <c r="L2137" s="3">
        <v>274</v>
      </c>
      <c r="M2137" s="3">
        <v>594</v>
      </c>
    </row>
    <row r="2138" spans="1:13" x14ac:dyDescent="0.25">
      <c r="A2138" s="1" t="str">
        <f>HYPERLINK("http://www.rosaceae.org/Prunus/Prunus_persica/p.persica_gdr_reftransV1_0044265","p.persica_gdr_reftransV1_0044265")</f>
        <v>p.persica_gdr_reftransV1_0044265</v>
      </c>
      <c r="B2138" s="3">
        <v>1449</v>
      </c>
      <c r="C2138" s="1" t="str">
        <f>HYPERLINK("http://www.uniprot.org/uniprot/LYPA2_HUMAN","LYPA2_HUMAN")</f>
        <v>LYPA2_HUMAN</v>
      </c>
      <c r="D2138" t="s">
        <v>765</v>
      </c>
      <c r="E2138" s="3" t="s">
        <v>28</v>
      </c>
      <c r="F2138" s="4">
        <v>7.0700000000000003E-33</v>
      </c>
      <c r="G2138" s="3">
        <v>324</v>
      </c>
      <c r="H2138" s="3">
        <v>36</v>
      </c>
      <c r="I2138" s="3">
        <v>221</v>
      </c>
      <c r="J2138" s="3">
        <v>384</v>
      </c>
      <c r="K2138" s="3">
        <v>1028</v>
      </c>
      <c r="L2138" s="3">
        <v>22</v>
      </c>
      <c r="M2138" s="3">
        <v>224</v>
      </c>
    </row>
    <row r="2139" spans="1:13" x14ac:dyDescent="0.25">
      <c r="A2139" s="1" t="str">
        <f>HYPERLINK("http://www.rosaceae.org/Prunus/Prunus_persica/p.persica_gdr_reftransV1_0044315","p.persica_gdr_reftransV1_0044315")</f>
        <v>p.persica_gdr_reftransV1_0044315</v>
      </c>
      <c r="B2139" s="3">
        <v>1881</v>
      </c>
      <c r="C2139" s="1" t="str">
        <f>HYPERLINK("http://www.uniprot.org/uniprot/GPAT3_ARATH","GPAT3_ARATH")</f>
        <v>GPAT3_ARATH</v>
      </c>
      <c r="D2139" t="s">
        <v>2072</v>
      </c>
      <c r="E2139" s="3" t="s">
        <v>3</v>
      </c>
      <c r="F2139" s="4">
        <v>7.3799999999999998E-173</v>
      </c>
      <c r="G2139" s="3">
        <v>1311</v>
      </c>
      <c r="H2139" s="3">
        <v>54</v>
      </c>
      <c r="I2139" s="3">
        <v>507</v>
      </c>
      <c r="J2139" s="3">
        <v>87</v>
      </c>
      <c r="K2139" s="3">
        <v>1592</v>
      </c>
      <c r="L2139" s="3">
        <v>22</v>
      </c>
      <c r="M2139" s="3">
        <v>518</v>
      </c>
    </row>
    <row r="2140" spans="1:13" x14ac:dyDescent="0.25">
      <c r="A2140" s="1" t="str">
        <f>HYPERLINK("http://www.rosaceae.org/Prunus/Prunus_persica/p.persica_gdr_reftransV1_0044415","p.persica_gdr_reftransV1_0044415")</f>
        <v>p.persica_gdr_reftransV1_0044415</v>
      </c>
      <c r="B2140" s="3">
        <v>622</v>
      </c>
      <c r="C2140" s="1" t="str">
        <f>HYPERLINK("http://www.uniprot.org/uniprot/Y1341_ORYSJ","Y1341_ORYSJ")</f>
        <v>Y1341_ORYSJ</v>
      </c>
      <c r="D2140" t="s">
        <v>2073</v>
      </c>
      <c r="E2140" s="3" t="s">
        <v>38</v>
      </c>
      <c r="F2140" s="4">
        <v>4.2399999999999998E-50</v>
      </c>
      <c r="G2140" s="3">
        <v>443</v>
      </c>
      <c r="H2140" s="3">
        <v>42</v>
      </c>
      <c r="I2140" s="3">
        <v>212</v>
      </c>
      <c r="J2140" s="3">
        <v>3</v>
      </c>
      <c r="K2140" s="3">
        <v>617</v>
      </c>
      <c r="L2140" s="3">
        <v>209</v>
      </c>
      <c r="M2140" s="3">
        <v>420</v>
      </c>
    </row>
    <row r="2141" spans="1:13" x14ac:dyDescent="0.25">
      <c r="A2141" s="1" t="str">
        <f>HYPERLINK("http://www.rosaceae.org/Prunus/Prunus_persica/p.persica_gdr_reftransV1_0044465","p.persica_gdr_reftransV1_0044465")</f>
        <v>p.persica_gdr_reftransV1_0044465</v>
      </c>
      <c r="B2141" s="3">
        <v>709</v>
      </c>
      <c r="C2141" s="1" t="str">
        <f>HYPERLINK("http://www.uniprot.org/uniprot/RIPA_LUFAE","RIPA_LUFAE")</f>
        <v>RIPA_LUFAE</v>
      </c>
      <c r="D2141" t="s">
        <v>2074</v>
      </c>
      <c r="E2141" s="3" t="s">
        <v>2075</v>
      </c>
      <c r="F2141" s="4">
        <v>2.19E-13</v>
      </c>
      <c r="G2141" s="3">
        <v>172</v>
      </c>
      <c r="H2141" s="3">
        <v>41</v>
      </c>
      <c r="I2141" s="3">
        <v>103</v>
      </c>
      <c r="J2141" s="3">
        <v>360</v>
      </c>
      <c r="K2141" s="3">
        <v>668</v>
      </c>
      <c r="L2141" s="3">
        <v>140</v>
      </c>
      <c r="M2141" s="3">
        <v>238</v>
      </c>
    </row>
    <row r="2142" spans="1:13" x14ac:dyDescent="0.25">
      <c r="A2142" s="1" t="str">
        <f>HYPERLINK("http://www.rosaceae.org/Prunus/Prunus_persica/p.persica_gdr_reftransV1_0044515","p.persica_gdr_reftransV1_0044515")</f>
        <v>p.persica_gdr_reftransV1_0044515</v>
      </c>
      <c r="B2142" s="3">
        <v>1686</v>
      </c>
      <c r="C2142" s="1" t="str">
        <f>HYPERLINK("http://www.uniprot.org/uniprot/HEM21_ARATH","HEM21_ARATH")</f>
        <v>HEM21_ARATH</v>
      </c>
      <c r="D2142" t="s">
        <v>2076</v>
      </c>
      <c r="E2142" s="3" t="s">
        <v>3</v>
      </c>
      <c r="F2142" s="4">
        <v>0</v>
      </c>
      <c r="G2142" s="3">
        <v>1604</v>
      </c>
      <c r="H2142" s="3">
        <v>83</v>
      </c>
      <c r="I2142" s="3">
        <v>415</v>
      </c>
      <c r="J2142" s="3">
        <v>218</v>
      </c>
      <c r="K2142" s="3">
        <v>1450</v>
      </c>
      <c r="L2142" s="3">
        <v>17</v>
      </c>
      <c r="M2142" s="3">
        <v>430</v>
      </c>
    </row>
    <row r="2143" spans="1:13" x14ac:dyDescent="0.25">
      <c r="A2143" s="1" t="str">
        <f>HYPERLINK("http://www.rosaceae.org/Prunus/Prunus_persica/p.persica_gdr_reftransV1_0044565","p.persica_gdr_reftransV1_0044565")</f>
        <v>p.persica_gdr_reftransV1_0044565</v>
      </c>
      <c r="B2143" s="3">
        <v>2639</v>
      </c>
      <c r="C2143" s="1" t="str">
        <f>HYPERLINK("http://www.uniprot.org/uniprot/MA653_ARATH","MA653_ARATH")</f>
        <v>MA653_ARATH</v>
      </c>
      <c r="D2143" t="s">
        <v>2077</v>
      </c>
      <c r="E2143" s="3" t="s">
        <v>3</v>
      </c>
      <c r="F2143" s="4">
        <v>0</v>
      </c>
      <c r="G2143" s="3">
        <v>1953</v>
      </c>
      <c r="H2143" s="3">
        <v>63</v>
      </c>
      <c r="I2143" s="3">
        <v>707</v>
      </c>
      <c r="J2143" s="3">
        <v>307</v>
      </c>
      <c r="K2143" s="3">
        <v>2322</v>
      </c>
      <c r="L2143" s="3">
        <v>1</v>
      </c>
      <c r="M2143" s="3">
        <v>676</v>
      </c>
    </row>
    <row r="2144" spans="1:13" x14ac:dyDescent="0.25">
      <c r="A2144" s="1" t="str">
        <f>HYPERLINK("http://www.rosaceae.org/Prunus/Prunus_persica/p.persica_gdr_reftransV1_0044665","p.persica_gdr_reftransV1_0044665")</f>
        <v>p.persica_gdr_reftransV1_0044665</v>
      </c>
      <c r="B2144" s="3">
        <v>2352</v>
      </c>
      <c r="C2144" s="1" t="str">
        <f>HYPERLINK("http://www.uniprot.org/uniprot/MD37E_ARATH","MD37E_ARATH")</f>
        <v>MD37E_ARATH</v>
      </c>
      <c r="D2144" t="s">
        <v>1479</v>
      </c>
      <c r="E2144" s="3" t="s">
        <v>3</v>
      </c>
      <c r="F2144" s="4">
        <v>0</v>
      </c>
      <c r="G2144" s="3">
        <v>3093</v>
      </c>
      <c r="H2144" s="3">
        <v>92</v>
      </c>
      <c r="I2144" s="3">
        <v>661</v>
      </c>
      <c r="J2144" s="3">
        <v>95</v>
      </c>
      <c r="K2144" s="3">
        <v>2077</v>
      </c>
      <c r="L2144" s="3">
        <v>1</v>
      </c>
      <c r="M2144" s="3">
        <v>651</v>
      </c>
    </row>
    <row r="2145" spans="1:13" x14ac:dyDescent="0.25">
      <c r="A2145" s="1" t="str">
        <f>HYPERLINK("http://www.rosaceae.org/Prunus/Prunus_persica/p.persica_gdr_reftransV1_0044715","p.persica_gdr_reftransV1_0044715")</f>
        <v>p.persica_gdr_reftransV1_0044715</v>
      </c>
      <c r="B2145" s="3">
        <v>467</v>
      </c>
      <c r="C2145" s="1" t="str">
        <f>HYPERLINK("http://www.uniprot.org/uniprot/PP344_ARATH","PP344_ARATH")</f>
        <v>PP344_ARATH</v>
      </c>
      <c r="D2145" t="s">
        <v>2078</v>
      </c>
      <c r="E2145" s="3" t="s">
        <v>3</v>
      </c>
      <c r="F2145" s="4">
        <v>2.51E-76</v>
      </c>
      <c r="G2145" s="3">
        <v>639</v>
      </c>
      <c r="H2145" s="3">
        <v>76</v>
      </c>
      <c r="I2145" s="3">
        <v>153</v>
      </c>
      <c r="J2145" s="3">
        <v>2</v>
      </c>
      <c r="K2145" s="3">
        <v>460</v>
      </c>
      <c r="L2145" s="3">
        <v>198</v>
      </c>
      <c r="M2145" s="3">
        <v>350</v>
      </c>
    </row>
    <row r="2146" spans="1:13" x14ac:dyDescent="0.25">
      <c r="A2146" s="1" t="str">
        <f>HYPERLINK("http://www.rosaceae.org/Prunus/Prunus_persica/p.persica_gdr_reftransV1_0044865","p.persica_gdr_reftransV1_0044865")</f>
        <v>p.persica_gdr_reftransV1_0044865</v>
      </c>
      <c r="B2146" s="3">
        <v>500</v>
      </c>
      <c r="C2146" s="1" t="str">
        <f>HYPERLINK("http://www.uniprot.org/uniprot/PSAO_ARATH","PSAO_ARATH")</f>
        <v>PSAO_ARATH</v>
      </c>
      <c r="D2146" t="s">
        <v>2079</v>
      </c>
      <c r="E2146" s="3" t="s">
        <v>3</v>
      </c>
      <c r="F2146" s="4">
        <v>2.6700000000000002E-53</v>
      </c>
      <c r="G2146" s="3">
        <v>435</v>
      </c>
      <c r="H2146" s="3">
        <v>82</v>
      </c>
      <c r="I2146" s="3">
        <v>104</v>
      </c>
      <c r="J2146" s="3">
        <v>190</v>
      </c>
      <c r="K2146" s="3">
        <v>498</v>
      </c>
      <c r="L2146" s="3">
        <v>28</v>
      </c>
      <c r="M2146" s="3">
        <v>130</v>
      </c>
    </row>
    <row r="2147" spans="1:13" x14ac:dyDescent="0.25">
      <c r="A2147" s="1" t="str">
        <f>HYPERLINK("http://www.rosaceae.org/Prunus/Prunus_persica/p.persica_gdr_reftransV1_0044915","p.persica_gdr_reftransV1_0044915")</f>
        <v>p.persica_gdr_reftransV1_0044915</v>
      </c>
      <c r="B2147" s="3">
        <v>1109</v>
      </c>
      <c r="C2147" s="1" t="str">
        <f>HYPERLINK("http://www.uniprot.org/uniprot/ANM7_ORYSI","ANM7_ORYSI")</f>
        <v>ANM7_ORYSI</v>
      </c>
      <c r="D2147" t="s">
        <v>2080</v>
      </c>
      <c r="E2147" s="3" t="s">
        <v>38</v>
      </c>
      <c r="F2147" s="4">
        <v>1.5300000000000001E-116</v>
      </c>
      <c r="G2147" s="3">
        <v>926</v>
      </c>
      <c r="H2147" s="3">
        <v>56</v>
      </c>
      <c r="I2147" s="3">
        <v>280</v>
      </c>
      <c r="J2147" s="3">
        <v>260</v>
      </c>
      <c r="K2147" s="3">
        <v>1099</v>
      </c>
      <c r="L2147" s="3">
        <v>437</v>
      </c>
      <c r="M2147" s="3">
        <v>710</v>
      </c>
    </row>
    <row r="2148" spans="1:13" x14ac:dyDescent="0.25">
      <c r="A2148" s="1" t="str">
        <f>HYPERLINK("http://www.rosaceae.org/Prunus/Prunus_persica/p.persica_gdr_reftransV1_0044965","p.persica_gdr_reftransV1_0044965")</f>
        <v>p.persica_gdr_reftransV1_0044965</v>
      </c>
      <c r="B2148" s="3">
        <v>347</v>
      </c>
      <c r="C2148" s="1" t="str">
        <f>HYPERLINK("http://www.uniprot.org/uniprot/PLY11_ARATH","PLY11_ARATH")</f>
        <v>PLY11_ARATH</v>
      </c>
      <c r="D2148" t="s">
        <v>2081</v>
      </c>
      <c r="E2148" s="3" t="s">
        <v>3</v>
      </c>
      <c r="F2148" s="4">
        <v>5.5100000000000002E-42</v>
      </c>
      <c r="G2148" s="3">
        <v>373</v>
      </c>
      <c r="H2148" s="3">
        <v>87</v>
      </c>
      <c r="I2148" s="3">
        <v>106</v>
      </c>
      <c r="J2148" s="3">
        <v>29</v>
      </c>
      <c r="K2148" s="3">
        <v>346</v>
      </c>
      <c r="L2148" s="3">
        <v>307</v>
      </c>
      <c r="M2148" s="3">
        <v>412</v>
      </c>
    </row>
    <row r="2149" spans="1:13" x14ac:dyDescent="0.25">
      <c r="A2149" s="1" t="str">
        <f>HYPERLINK("http://www.rosaceae.org/Prunus/Prunus_persica/p.persica_gdr_reftransV1_0045015","p.persica_gdr_reftransV1_0045015")</f>
        <v>p.persica_gdr_reftransV1_0045015</v>
      </c>
      <c r="B2149" s="3">
        <v>1235</v>
      </c>
      <c r="C2149" s="1" t="str">
        <f>HYPERLINK("http://www.uniprot.org/uniprot/ATL65_ARATH","ATL65_ARATH")</f>
        <v>ATL65_ARATH</v>
      </c>
      <c r="D2149" t="s">
        <v>2082</v>
      </c>
      <c r="E2149" s="3" t="s">
        <v>3</v>
      </c>
      <c r="F2149" s="4">
        <v>3.6899999999999996E-18</v>
      </c>
      <c r="G2149" s="3">
        <v>220</v>
      </c>
      <c r="H2149" s="3">
        <v>57</v>
      </c>
      <c r="I2149" s="3">
        <v>142</v>
      </c>
      <c r="J2149" s="3">
        <v>140</v>
      </c>
      <c r="K2149" s="3">
        <v>550</v>
      </c>
      <c r="L2149" s="3">
        <v>278</v>
      </c>
      <c r="M2149" s="3">
        <v>404</v>
      </c>
    </row>
    <row r="2150" spans="1:13" x14ac:dyDescent="0.25">
      <c r="A2150" s="1" t="str">
        <f>HYPERLINK("http://www.rosaceae.org/Prunus/Prunus_persica/p.persica_gdr_reftransV1_0045065","p.persica_gdr_reftransV1_0045065")</f>
        <v>p.persica_gdr_reftransV1_0045065</v>
      </c>
      <c r="B2150" s="3">
        <v>1391</v>
      </c>
      <c r="C2150" s="1" t="str">
        <f>HYPERLINK("http://www.uniprot.org/uniprot/BCAT7_ARATH","BCAT7_ARATH")</f>
        <v>BCAT7_ARATH</v>
      </c>
      <c r="D2150" t="s">
        <v>1858</v>
      </c>
      <c r="E2150" s="3" t="s">
        <v>3</v>
      </c>
      <c r="F2150" s="4">
        <v>7.4299999999999995E-160</v>
      </c>
      <c r="G2150" s="3">
        <v>1194</v>
      </c>
      <c r="H2150" s="3">
        <v>62</v>
      </c>
      <c r="I2150" s="3">
        <v>349</v>
      </c>
      <c r="J2150" s="3">
        <v>181</v>
      </c>
      <c r="K2150" s="3">
        <v>1227</v>
      </c>
      <c r="L2150" s="3">
        <v>8</v>
      </c>
      <c r="M2150" s="3">
        <v>355</v>
      </c>
    </row>
    <row r="2151" spans="1:13" x14ac:dyDescent="0.25">
      <c r="A2151" s="1" t="str">
        <f>HYPERLINK("http://www.rosaceae.org/Prunus/Prunus_persica/p.persica_gdr_reftransV1_0045115","p.persica_gdr_reftransV1_0045115")</f>
        <v>p.persica_gdr_reftransV1_0045115</v>
      </c>
      <c r="B2151" s="3">
        <v>1755</v>
      </c>
      <c r="C2151" s="1" t="str">
        <f>HYPERLINK("http://www.uniprot.org/uniprot/RNP1_ARATH","RNP1_ARATH")</f>
        <v>RNP1_ARATH</v>
      </c>
      <c r="D2151" t="s">
        <v>2083</v>
      </c>
      <c r="E2151" s="3" t="s">
        <v>3</v>
      </c>
      <c r="F2151" s="4">
        <v>6.8099999999999997E-53</v>
      </c>
      <c r="G2151" s="3">
        <v>486</v>
      </c>
      <c r="H2151" s="3">
        <v>50</v>
      </c>
      <c r="I2151" s="3">
        <v>188</v>
      </c>
      <c r="J2151" s="3">
        <v>264</v>
      </c>
      <c r="K2151" s="3">
        <v>782</v>
      </c>
      <c r="L2151" s="3">
        <v>2</v>
      </c>
      <c r="M2151" s="3">
        <v>188</v>
      </c>
    </row>
    <row r="2152" spans="1:13" x14ac:dyDescent="0.25">
      <c r="A2152" s="1" t="str">
        <f>HYPERLINK("http://www.rosaceae.org/Prunus/Prunus_persica/p.persica_gdr_reftransV1_0045165","p.persica_gdr_reftransV1_0045165")</f>
        <v>p.persica_gdr_reftransV1_0045165</v>
      </c>
      <c r="B2152" s="3">
        <v>1602</v>
      </c>
      <c r="C2152" s="1" t="str">
        <f>HYPERLINK("http://www.uniprot.org/uniprot/Y2010_ARATH","Y2010_ARATH")</f>
        <v>Y2010_ARATH</v>
      </c>
      <c r="D2152" t="s">
        <v>2084</v>
      </c>
      <c r="E2152" s="3" t="s">
        <v>3</v>
      </c>
      <c r="F2152" s="4">
        <v>7.4899999999999998E-132</v>
      </c>
      <c r="G2152" s="3">
        <v>1015</v>
      </c>
      <c r="H2152" s="3">
        <v>62</v>
      </c>
      <c r="I2152" s="3">
        <v>327</v>
      </c>
      <c r="J2152" s="3">
        <v>101</v>
      </c>
      <c r="K2152" s="3">
        <v>1081</v>
      </c>
      <c r="L2152" s="3">
        <v>13</v>
      </c>
      <c r="M2152" s="3">
        <v>338</v>
      </c>
    </row>
    <row r="2153" spans="1:13" x14ac:dyDescent="0.25">
      <c r="A2153" s="1" t="str">
        <f>HYPERLINK("http://www.rosaceae.org/Prunus/Prunus_persica/p.persica_gdr_reftransV1_0045215","p.persica_gdr_reftransV1_0045215")</f>
        <v>p.persica_gdr_reftransV1_0045215</v>
      </c>
      <c r="B2153" s="3">
        <v>317</v>
      </c>
      <c r="C2153" s="1" t="str">
        <f>HYPERLINK("http://www.uniprot.org/uniprot/SKI15_ARATH","SKI15_ARATH")</f>
        <v>SKI15_ARATH</v>
      </c>
      <c r="D2153" t="s">
        <v>2085</v>
      </c>
      <c r="E2153" s="3" t="s">
        <v>3</v>
      </c>
      <c r="F2153" s="4">
        <v>1.15E-29</v>
      </c>
      <c r="G2153" s="3">
        <v>283</v>
      </c>
      <c r="H2153" s="3">
        <v>72</v>
      </c>
      <c r="I2153" s="3">
        <v>76</v>
      </c>
      <c r="J2153" s="3">
        <v>2</v>
      </c>
      <c r="K2153" s="3">
        <v>229</v>
      </c>
      <c r="L2153" s="3">
        <v>301</v>
      </c>
      <c r="M2153" s="3">
        <v>373</v>
      </c>
    </row>
    <row r="2154" spans="1:13" x14ac:dyDescent="0.25">
      <c r="A2154" s="1" t="str">
        <f>HYPERLINK("http://www.rosaceae.org/Prunus/Prunus_persica/p.persica_gdr_reftransV1_0045315","p.persica_gdr_reftransV1_0045315")</f>
        <v>p.persica_gdr_reftransV1_0045315</v>
      </c>
      <c r="B2154" s="3">
        <v>1611</v>
      </c>
      <c r="C2154" s="1" t="str">
        <f>HYPERLINK("http://www.uniprot.org/uniprot/AVT1_YEAST","AVT1_YEAST")</f>
        <v>AVT1_YEAST</v>
      </c>
      <c r="D2154" t="s">
        <v>80</v>
      </c>
      <c r="E2154" s="3" t="s">
        <v>34</v>
      </c>
      <c r="F2154" s="4">
        <v>2.5600000000000001E-23</v>
      </c>
      <c r="G2154" s="3">
        <v>268</v>
      </c>
      <c r="H2154" s="3">
        <v>31</v>
      </c>
      <c r="I2154" s="3">
        <v>297</v>
      </c>
      <c r="J2154" s="3">
        <v>390</v>
      </c>
      <c r="K2154" s="3">
        <v>1256</v>
      </c>
      <c r="L2154" s="3">
        <v>212</v>
      </c>
      <c r="M2154" s="3">
        <v>501</v>
      </c>
    </row>
    <row r="2155" spans="1:13" x14ac:dyDescent="0.25">
      <c r="A2155" s="1" t="str">
        <f>HYPERLINK("http://www.rosaceae.org/Prunus/Prunus_persica/p.persica_gdr_reftransV1_0045365","p.persica_gdr_reftransV1_0045365")</f>
        <v>p.persica_gdr_reftransV1_0045365</v>
      </c>
      <c r="B2155" s="3">
        <v>2460</v>
      </c>
      <c r="C2155" s="1" t="str">
        <f>HYPERLINK("http://www.uniprot.org/uniprot/KEA4_ARATH","KEA4_ARATH")</f>
        <v>KEA4_ARATH</v>
      </c>
      <c r="D2155" t="s">
        <v>2086</v>
      </c>
      <c r="E2155" s="3" t="s">
        <v>3</v>
      </c>
      <c r="F2155" s="4">
        <v>0</v>
      </c>
      <c r="G2155" s="3">
        <v>1966</v>
      </c>
      <c r="H2155" s="3">
        <v>81</v>
      </c>
      <c r="I2155" s="3">
        <v>531</v>
      </c>
      <c r="J2155" s="3">
        <v>479</v>
      </c>
      <c r="K2155" s="3">
        <v>2068</v>
      </c>
      <c r="L2155" s="3">
        <v>66</v>
      </c>
      <c r="M2155" s="3">
        <v>592</v>
      </c>
    </row>
    <row r="2156" spans="1:13" x14ac:dyDescent="0.25">
      <c r="A2156" s="1" t="str">
        <f>HYPERLINK("http://www.rosaceae.org/Prunus/Prunus_persica/p.persica_gdr_reftransV1_0045415","p.persica_gdr_reftransV1_0045415")</f>
        <v>p.persica_gdr_reftransV1_0045415</v>
      </c>
      <c r="B2156" s="3">
        <v>462</v>
      </c>
      <c r="C2156" s="1" t="str">
        <f>HYPERLINK("http://www.uniprot.org/uniprot/U7E12_ARATH","U7E12_ARATH")</f>
        <v>U7E12_ARATH</v>
      </c>
      <c r="D2156" t="s">
        <v>2087</v>
      </c>
      <c r="E2156" s="3" t="s">
        <v>3</v>
      </c>
      <c r="F2156" s="4">
        <v>9.6000000000000007E-43</v>
      </c>
      <c r="G2156" s="3">
        <v>384</v>
      </c>
      <c r="H2156" s="3">
        <v>61</v>
      </c>
      <c r="I2156" s="3">
        <v>114</v>
      </c>
      <c r="J2156" s="3">
        <v>119</v>
      </c>
      <c r="K2156" s="3">
        <v>460</v>
      </c>
      <c r="L2156" s="3">
        <v>345</v>
      </c>
      <c r="M2156" s="3">
        <v>458</v>
      </c>
    </row>
    <row r="2157" spans="1:13" x14ac:dyDescent="0.25">
      <c r="A2157" s="1" t="str">
        <f>HYPERLINK("http://www.rosaceae.org/Prunus/Prunus_persica/p.persica_gdr_reftransV1_0045515","p.persica_gdr_reftransV1_0045515")</f>
        <v>p.persica_gdr_reftransV1_0045515</v>
      </c>
      <c r="B2157" s="3">
        <v>3605</v>
      </c>
      <c r="C2157" s="1" t="str">
        <f>HYPERLINK("http://www.uniprot.org/uniprot/CINV2_ARATH","CINV2_ARATH")</f>
        <v>CINV2_ARATH</v>
      </c>
      <c r="D2157" t="s">
        <v>2088</v>
      </c>
      <c r="E2157" s="3" t="s">
        <v>3</v>
      </c>
      <c r="F2157" s="4">
        <v>0</v>
      </c>
      <c r="G2157" s="3">
        <v>2602</v>
      </c>
      <c r="H2157" s="3">
        <v>86</v>
      </c>
      <c r="I2157" s="3">
        <v>551</v>
      </c>
      <c r="J2157" s="3">
        <v>1581</v>
      </c>
      <c r="K2157" s="3">
        <v>3227</v>
      </c>
      <c r="L2157" s="3">
        <v>11</v>
      </c>
      <c r="M2157" s="3">
        <v>558</v>
      </c>
    </row>
    <row r="2158" spans="1:13" x14ac:dyDescent="0.25">
      <c r="A2158" s="1" t="str">
        <f>HYPERLINK("http://www.rosaceae.org/Prunus/Prunus_persica/p.persica_gdr_reftransV1_0045565","p.persica_gdr_reftransV1_0045565")</f>
        <v>p.persica_gdr_reftransV1_0045565</v>
      </c>
      <c r="B2158" s="3">
        <v>1742</v>
      </c>
      <c r="C2158" s="1" t="str">
        <f>HYPERLINK("http://www.uniprot.org/uniprot/PMA10_ARATH","PMA10_ARATH")</f>
        <v>PMA10_ARATH</v>
      </c>
      <c r="D2158" t="s">
        <v>2089</v>
      </c>
      <c r="E2158" s="3" t="s">
        <v>3</v>
      </c>
      <c r="F2158" s="4">
        <v>0</v>
      </c>
      <c r="G2158" s="3">
        <v>1583</v>
      </c>
      <c r="H2158" s="3">
        <v>78</v>
      </c>
      <c r="I2158" s="3">
        <v>427</v>
      </c>
      <c r="J2158" s="3">
        <v>461</v>
      </c>
      <c r="K2158" s="3">
        <v>1741</v>
      </c>
      <c r="L2158" s="3">
        <v>526</v>
      </c>
      <c r="M2158" s="3">
        <v>947</v>
      </c>
    </row>
    <row r="2159" spans="1:13" x14ac:dyDescent="0.25">
      <c r="A2159" s="1" t="str">
        <f>HYPERLINK("http://www.rosaceae.org/Prunus/Prunus_persica/p.persica_gdr_reftransV1_0045615","p.persica_gdr_reftransV1_0045615")</f>
        <v>p.persica_gdr_reftransV1_0045615</v>
      </c>
      <c r="B2159" s="3">
        <v>2177</v>
      </c>
      <c r="C2159" s="1" t="str">
        <f>HYPERLINK("http://www.uniprot.org/uniprot/PESC_CHLRE","PESC_CHLRE")</f>
        <v>PESC_CHLRE</v>
      </c>
      <c r="D2159" t="s">
        <v>2090</v>
      </c>
      <c r="E2159" s="3" t="s">
        <v>2091</v>
      </c>
      <c r="F2159" s="4">
        <v>8.3000000000000002E-129</v>
      </c>
      <c r="G2159" s="3">
        <v>1039</v>
      </c>
      <c r="H2159" s="3">
        <v>48</v>
      </c>
      <c r="I2159" s="3">
        <v>472</v>
      </c>
      <c r="J2159" s="3">
        <v>741</v>
      </c>
      <c r="K2159" s="3">
        <v>2069</v>
      </c>
      <c r="L2159" s="3">
        <v>13</v>
      </c>
      <c r="M2159" s="3">
        <v>481</v>
      </c>
    </row>
    <row r="2160" spans="1:13" x14ac:dyDescent="0.25">
      <c r="A2160" s="1" t="str">
        <f>HYPERLINK("http://www.rosaceae.org/Prunus/Prunus_persica/p.persica_gdr_reftransV1_0045715","p.persica_gdr_reftransV1_0045715")</f>
        <v>p.persica_gdr_reftransV1_0045715</v>
      </c>
      <c r="B2160" s="3">
        <v>1473</v>
      </c>
      <c r="C2160" s="1" t="str">
        <f>HYPERLINK("http://www.uniprot.org/uniprot/idD15_ARATH","idD15_ARATH")</f>
        <v>idD15_ARATH</v>
      </c>
      <c r="D2160" t="s">
        <v>2092</v>
      </c>
      <c r="E2160" s="3" t="s">
        <v>3</v>
      </c>
      <c r="F2160" s="4">
        <v>6.4600000000000001E-70</v>
      </c>
      <c r="G2160" s="3">
        <v>601</v>
      </c>
      <c r="H2160" s="3">
        <v>46</v>
      </c>
      <c r="I2160" s="3">
        <v>336</v>
      </c>
      <c r="J2160" s="3">
        <v>230</v>
      </c>
      <c r="K2160" s="3">
        <v>1213</v>
      </c>
      <c r="L2160" s="3">
        <v>147</v>
      </c>
      <c r="M2160" s="3">
        <v>440</v>
      </c>
    </row>
    <row r="2161" spans="1:13" x14ac:dyDescent="0.25">
      <c r="A2161" s="1" t="str">
        <f>HYPERLINK("http://www.rosaceae.org/Prunus/Prunus_persica/p.persica_gdr_reftransV1_0045765","p.persica_gdr_reftransV1_0045765")</f>
        <v>p.persica_gdr_reftransV1_0045765</v>
      </c>
      <c r="B2161" s="3">
        <v>1127</v>
      </c>
      <c r="C2161" s="1" t="str">
        <f>HYPERLINK("http://www.uniprot.org/uniprot/GRF6_ORYSJ","GRF6_ORYSJ")</f>
        <v>GRF6_ORYSJ</v>
      </c>
      <c r="D2161" t="s">
        <v>2093</v>
      </c>
      <c r="E2161" s="3" t="s">
        <v>38</v>
      </c>
      <c r="F2161" s="4">
        <v>4.4699999999999998E-37</v>
      </c>
      <c r="G2161" s="3">
        <v>365</v>
      </c>
      <c r="H2161" s="3">
        <v>42</v>
      </c>
      <c r="I2161" s="3">
        <v>289</v>
      </c>
      <c r="J2161" s="3">
        <v>126</v>
      </c>
      <c r="K2161" s="3">
        <v>959</v>
      </c>
      <c r="L2161" s="3">
        <v>307</v>
      </c>
      <c r="M2161" s="3">
        <v>577</v>
      </c>
    </row>
    <row r="2162" spans="1:13" x14ac:dyDescent="0.25">
      <c r="A2162" s="1" t="str">
        <f>HYPERLINK("http://www.rosaceae.org/Prunus/Prunus_persica/p.persica_gdr_reftransV1_0045815","p.persica_gdr_reftransV1_0045815")</f>
        <v>p.persica_gdr_reftransV1_0045815</v>
      </c>
      <c r="B2162" s="3">
        <v>1473</v>
      </c>
      <c r="C2162" s="1" t="str">
        <f>HYPERLINK("http://www.uniprot.org/uniprot/OCP3_ARATH","OCP3_ARATH")</f>
        <v>OCP3_ARATH</v>
      </c>
      <c r="D2162" t="s">
        <v>2094</v>
      </c>
      <c r="E2162" s="3" t="s">
        <v>3</v>
      </c>
      <c r="F2162" s="4">
        <v>1.88E-59</v>
      </c>
      <c r="G2162" s="3">
        <v>522</v>
      </c>
      <c r="H2162" s="3">
        <v>61</v>
      </c>
      <c r="I2162" s="3">
        <v>175</v>
      </c>
      <c r="J2162" s="3">
        <v>247</v>
      </c>
      <c r="K2162" s="3">
        <v>771</v>
      </c>
      <c r="L2162" s="3">
        <v>183</v>
      </c>
      <c r="M2162" s="3">
        <v>353</v>
      </c>
    </row>
    <row r="2163" spans="1:13" x14ac:dyDescent="0.25">
      <c r="A2163" s="1" t="str">
        <f>HYPERLINK("http://www.rosaceae.org/Prunus/Prunus_persica/p.persica_gdr_reftransV1_0045865","p.persica_gdr_reftransV1_0045865")</f>
        <v>p.persica_gdr_reftransV1_0045865</v>
      </c>
      <c r="B2163" s="3">
        <v>1303</v>
      </c>
      <c r="C2163" s="1" t="str">
        <f>HYPERLINK("http://www.uniprot.org/uniprot/TIC32_ARATH","TIC32_ARATH")</f>
        <v>TIC32_ARATH</v>
      </c>
      <c r="D2163" t="s">
        <v>2095</v>
      </c>
      <c r="E2163" s="3" t="s">
        <v>3</v>
      </c>
      <c r="F2163" s="4">
        <v>1.29E-151</v>
      </c>
      <c r="G2163" s="3">
        <v>1132</v>
      </c>
      <c r="H2163" s="3">
        <v>74</v>
      </c>
      <c r="I2163" s="3">
        <v>314</v>
      </c>
      <c r="J2163" s="3">
        <v>133</v>
      </c>
      <c r="K2163" s="3">
        <v>1071</v>
      </c>
      <c r="L2163" s="3">
        <v>1</v>
      </c>
      <c r="M2163" s="3">
        <v>314</v>
      </c>
    </row>
    <row r="2164" spans="1:13" x14ac:dyDescent="0.25">
      <c r="A2164" s="1" t="str">
        <f>HYPERLINK("http://www.rosaceae.org/Prunus/Prunus_persica/p.persica_gdr_reftransV1_0045965","p.persica_gdr_reftransV1_0045965")</f>
        <v>p.persica_gdr_reftransV1_0045965</v>
      </c>
      <c r="B2164" s="3">
        <v>2221</v>
      </c>
      <c r="C2164" s="1" t="str">
        <f>HYPERLINK("http://www.uniprot.org/uniprot/DDB2_ARATH","DDB2_ARATH")</f>
        <v>DDB2_ARATH</v>
      </c>
      <c r="D2164" t="s">
        <v>2096</v>
      </c>
      <c r="E2164" s="3" t="s">
        <v>3</v>
      </c>
      <c r="F2164" s="4">
        <v>0</v>
      </c>
      <c r="G2164" s="3">
        <v>1965</v>
      </c>
      <c r="H2164" s="3">
        <v>77</v>
      </c>
      <c r="I2164" s="3">
        <v>452</v>
      </c>
      <c r="J2164" s="3">
        <v>587</v>
      </c>
      <c r="K2164" s="3">
        <v>1939</v>
      </c>
      <c r="L2164" s="3">
        <v>61</v>
      </c>
      <c r="M2164" s="3">
        <v>512</v>
      </c>
    </row>
    <row r="2165" spans="1:13" x14ac:dyDescent="0.25">
      <c r="A2165" s="1" t="str">
        <f>HYPERLINK("http://www.rosaceae.org/Prunus/Prunus_persica/p.persica_gdr_reftransV1_0046115","p.persica_gdr_reftransV1_0046115")</f>
        <v>p.persica_gdr_reftransV1_0046115</v>
      </c>
      <c r="B2165" s="3">
        <v>2436</v>
      </c>
      <c r="C2165" s="1" t="str">
        <f>HYPERLINK("http://www.uniprot.org/uniprot/NCLN_DANRE","NCLN_DANRE")</f>
        <v>NCLN_DANRE</v>
      </c>
      <c r="D2165" t="s">
        <v>2097</v>
      </c>
      <c r="E2165" s="3" t="s">
        <v>704</v>
      </c>
      <c r="F2165" s="4">
        <v>1.22E-55</v>
      </c>
      <c r="G2165" s="3">
        <v>523</v>
      </c>
      <c r="H2165" s="3">
        <v>33</v>
      </c>
      <c r="I2165" s="3">
        <v>528</v>
      </c>
      <c r="J2165" s="3">
        <v>684</v>
      </c>
      <c r="K2165" s="3">
        <v>2153</v>
      </c>
      <c r="L2165" s="3">
        <v>33</v>
      </c>
      <c r="M2165" s="3">
        <v>533</v>
      </c>
    </row>
    <row r="2166" spans="1:13" x14ac:dyDescent="0.25">
      <c r="A2166" s="1" t="str">
        <f>HYPERLINK("http://www.rosaceae.org/Prunus/Prunus_persica/p.persica_gdr_reftransV1_0046165","p.persica_gdr_reftransV1_0046165")</f>
        <v>p.persica_gdr_reftransV1_0046165</v>
      </c>
      <c r="B2166" s="3">
        <v>585</v>
      </c>
      <c r="C2166" s="1" t="str">
        <f>HYPERLINK("http://www.uniprot.org/uniprot/PFD6_MOUSE","PFD6_MOUSE")</f>
        <v>PFD6_MOUSE</v>
      </c>
      <c r="D2166" t="s">
        <v>1711</v>
      </c>
      <c r="E2166" s="3" t="s">
        <v>157</v>
      </c>
      <c r="F2166" s="4">
        <v>1.01E-26</v>
      </c>
      <c r="G2166" s="3">
        <v>259</v>
      </c>
      <c r="H2166" s="3">
        <v>46</v>
      </c>
      <c r="I2166" s="3">
        <v>121</v>
      </c>
      <c r="J2166" s="3">
        <v>116</v>
      </c>
      <c r="K2166" s="3">
        <v>478</v>
      </c>
      <c r="L2166" s="3">
        <v>5</v>
      </c>
      <c r="M2166" s="3">
        <v>125</v>
      </c>
    </row>
    <row r="2167" spans="1:13" x14ac:dyDescent="0.25">
      <c r="A2167" s="1" t="str">
        <f>HYPERLINK("http://www.rosaceae.org/Prunus/Prunus_persica/p.persica_gdr_reftransV1_0046265","p.persica_gdr_reftransV1_0046265")</f>
        <v>p.persica_gdr_reftransV1_0046265</v>
      </c>
      <c r="B2167" s="3">
        <v>1320</v>
      </c>
      <c r="C2167" s="1" t="str">
        <f>HYPERLINK("http://www.uniprot.org/uniprot/BH030_ARATH","BH030_ARATH")</f>
        <v>BH030_ARATH</v>
      </c>
      <c r="D2167" t="s">
        <v>2098</v>
      </c>
      <c r="E2167" s="3" t="s">
        <v>3</v>
      </c>
      <c r="F2167" s="4">
        <v>1.9800000000000001E-87</v>
      </c>
      <c r="G2167" s="3">
        <v>709</v>
      </c>
      <c r="H2167" s="3">
        <v>70</v>
      </c>
      <c r="I2167" s="3">
        <v>266</v>
      </c>
      <c r="J2167" s="3">
        <v>54</v>
      </c>
      <c r="K2167" s="3">
        <v>812</v>
      </c>
      <c r="L2167" s="3">
        <v>99</v>
      </c>
      <c r="M2167" s="3">
        <v>349</v>
      </c>
    </row>
    <row r="2168" spans="1:13" x14ac:dyDescent="0.25">
      <c r="A2168" s="1" t="str">
        <f>HYPERLINK("http://www.rosaceae.org/Prunus/Prunus_persica/p.persica_gdr_reftransV1_0046315","p.persica_gdr_reftransV1_0046315")</f>
        <v>p.persica_gdr_reftransV1_0046315</v>
      </c>
      <c r="B2168" s="3">
        <v>1066</v>
      </c>
      <c r="C2168" s="1" t="str">
        <f>HYPERLINK("http://www.uniprot.org/uniprot/CP19D_ARATH","CP19D_ARATH")</f>
        <v>CP19D_ARATH</v>
      </c>
      <c r="D2168" t="s">
        <v>2099</v>
      </c>
      <c r="E2168" s="3" t="s">
        <v>3</v>
      </c>
      <c r="F2168" s="4">
        <v>4.81E-79</v>
      </c>
      <c r="G2168" s="3">
        <v>631</v>
      </c>
      <c r="H2168" s="3">
        <v>83</v>
      </c>
      <c r="I2168" s="3">
        <v>159</v>
      </c>
      <c r="J2168" s="3">
        <v>103</v>
      </c>
      <c r="K2168" s="3">
        <v>579</v>
      </c>
      <c r="L2168" s="3">
        <v>1</v>
      </c>
      <c r="M2168" s="3">
        <v>156</v>
      </c>
    </row>
    <row r="2169" spans="1:13" x14ac:dyDescent="0.25">
      <c r="A2169" s="1" t="str">
        <f>HYPERLINK("http://www.rosaceae.org/Prunus/Prunus_persica/p.persica_gdr_reftransV1_0046365","p.persica_gdr_reftransV1_0046365")</f>
        <v>p.persica_gdr_reftransV1_0046365</v>
      </c>
      <c r="B2169" s="3">
        <v>2071</v>
      </c>
      <c r="C2169" s="1" t="str">
        <f>HYPERLINK("http://www.uniprot.org/uniprot/FBX6_ARATH","FBX6_ARATH")</f>
        <v>FBX6_ARATH</v>
      </c>
      <c r="D2169" t="s">
        <v>2100</v>
      </c>
      <c r="E2169" s="3" t="s">
        <v>3</v>
      </c>
      <c r="F2169" s="4">
        <v>0</v>
      </c>
      <c r="G2169" s="3">
        <v>1623</v>
      </c>
      <c r="H2169" s="3">
        <v>66</v>
      </c>
      <c r="I2169" s="3">
        <v>479</v>
      </c>
      <c r="J2169" s="3">
        <v>216</v>
      </c>
      <c r="K2169" s="3">
        <v>1643</v>
      </c>
      <c r="L2169" s="3">
        <v>3</v>
      </c>
      <c r="M2169" s="3">
        <v>467</v>
      </c>
    </row>
    <row r="2170" spans="1:13" x14ac:dyDescent="0.25">
      <c r="A2170" s="1" t="str">
        <f>HYPERLINK("http://www.rosaceae.org/Prunus/Prunus_persica/p.persica_gdr_reftransV1_0046415","p.persica_gdr_reftransV1_0046415")</f>
        <v>p.persica_gdr_reftransV1_0046415</v>
      </c>
      <c r="B2170" s="3">
        <v>3651</v>
      </c>
      <c r="C2170" s="1" t="str">
        <f>HYPERLINK("http://www.uniprot.org/uniprot/LRP1A_ARATH","LRP1A_ARATH")</f>
        <v>LRP1A_ARATH</v>
      </c>
      <c r="D2170" t="s">
        <v>2101</v>
      </c>
      <c r="E2170" s="3" t="s">
        <v>3</v>
      </c>
      <c r="F2170" s="4">
        <v>1.9299999999999999E-169</v>
      </c>
      <c r="G2170" s="3">
        <v>1365</v>
      </c>
      <c r="H2170" s="3">
        <v>52</v>
      </c>
      <c r="I2170" s="3">
        <v>725</v>
      </c>
      <c r="J2170" s="3">
        <v>501</v>
      </c>
      <c r="K2170" s="3">
        <v>2672</v>
      </c>
      <c r="L2170" s="3">
        <v>183</v>
      </c>
      <c r="M2170" s="3">
        <v>821</v>
      </c>
    </row>
    <row r="2171" spans="1:13" x14ac:dyDescent="0.25">
      <c r="A2171" s="1" t="str">
        <f>HYPERLINK("http://www.rosaceae.org/Prunus/Prunus_persica/p.persica_gdr_reftransV1_0046515","p.persica_gdr_reftransV1_0046515")</f>
        <v>p.persica_gdr_reftransV1_0046515</v>
      </c>
      <c r="B2171" s="3">
        <v>1616</v>
      </c>
      <c r="C2171" s="1" t="str">
        <f>HYPERLINK("http://www.uniprot.org/uniprot/PLP9_ARATH","PLP9_ARATH")</f>
        <v>PLP9_ARATH</v>
      </c>
      <c r="D2171" t="s">
        <v>2102</v>
      </c>
      <c r="E2171" s="3" t="s">
        <v>3</v>
      </c>
      <c r="F2171" s="4">
        <v>0</v>
      </c>
      <c r="G2171" s="3">
        <v>1523</v>
      </c>
      <c r="H2171" s="3">
        <v>75</v>
      </c>
      <c r="I2171" s="3">
        <v>391</v>
      </c>
      <c r="J2171" s="3">
        <v>202</v>
      </c>
      <c r="K2171" s="3">
        <v>1350</v>
      </c>
      <c r="L2171" s="3">
        <v>2</v>
      </c>
      <c r="M2171" s="3">
        <v>384</v>
      </c>
    </row>
    <row r="2172" spans="1:13" x14ac:dyDescent="0.25">
      <c r="A2172" s="1" t="str">
        <f>HYPERLINK("http://www.rosaceae.org/Prunus/Prunus_persica/p.persica_gdr_reftransV1_0046565","p.persica_gdr_reftransV1_0046565")</f>
        <v>p.persica_gdr_reftransV1_0046565</v>
      </c>
      <c r="B2172" s="3">
        <v>1071</v>
      </c>
      <c r="C2172" s="1" t="str">
        <f>HYPERLINK("http://www.uniprot.org/uniprot/ADS3_ARATH","ADS3_ARATH")</f>
        <v>ADS3_ARATH</v>
      </c>
      <c r="D2172" t="s">
        <v>2103</v>
      </c>
      <c r="E2172" s="3" t="s">
        <v>3</v>
      </c>
      <c r="F2172" s="4">
        <v>1.7499999999999999E-123</v>
      </c>
      <c r="G2172" s="3">
        <v>942</v>
      </c>
      <c r="H2172" s="3">
        <v>63</v>
      </c>
      <c r="I2172" s="3">
        <v>265</v>
      </c>
      <c r="J2172" s="3">
        <v>46</v>
      </c>
      <c r="K2172" s="3">
        <v>837</v>
      </c>
      <c r="L2172" s="3">
        <v>105</v>
      </c>
      <c r="M2172" s="3">
        <v>367</v>
      </c>
    </row>
    <row r="2173" spans="1:13" x14ac:dyDescent="0.25">
      <c r="A2173" s="1" t="str">
        <f>HYPERLINK("http://www.rosaceae.org/Prunus/Prunus_persica/p.persica_gdr_reftransV1_0046615","p.persica_gdr_reftransV1_0046615")</f>
        <v>p.persica_gdr_reftransV1_0046615</v>
      </c>
      <c r="B2173" s="3">
        <v>2044</v>
      </c>
      <c r="C2173" s="1" t="str">
        <f>HYPERLINK("http://www.uniprot.org/uniprot/SRPK1_HUMAN","SRPK1_HUMAN")</f>
        <v>SRPK1_HUMAN</v>
      </c>
      <c r="D2173" t="s">
        <v>2104</v>
      </c>
      <c r="E2173" s="3" t="s">
        <v>28</v>
      </c>
      <c r="F2173" s="4">
        <v>3.8199999999999999E-66</v>
      </c>
      <c r="G2173" s="3">
        <v>600</v>
      </c>
      <c r="H2173" s="3">
        <v>59</v>
      </c>
      <c r="I2173" s="3">
        <v>168</v>
      </c>
      <c r="J2173" s="3">
        <v>465</v>
      </c>
      <c r="K2173" s="3">
        <v>968</v>
      </c>
      <c r="L2173" s="3">
        <v>488</v>
      </c>
      <c r="M2173" s="3">
        <v>655</v>
      </c>
    </row>
    <row r="2174" spans="1:13" x14ac:dyDescent="0.25">
      <c r="A2174" s="1" t="str">
        <f>HYPERLINK("http://www.rosaceae.org/Prunus/Prunus_persica/p.persica_gdr_reftransV1_0046765","p.persica_gdr_reftransV1_0046765")</f>
        <v>p.persica_gdr_reftransV1_0046765</v>
      </c>
      <c r="B2174" s="3">
        <v>1430</v>
      </c>
      <c r="C2174" s="1" t="str">
        <f>HYPERLINK("http://www.uniprot.org/uniprot/FATB_GOSHI","FATB_GOSHI")</f>
        <v>FATB_GOSHI</v>
      </c>
      <c r="D2174" t="s">
        <v>2105</v>
      </c>
      <c r="E2174" s="3" t="s">
        <v>816</v>
      </c>
      <c r="F2174" s="4">
        <v>3.76E-100</v>
      </c>
      <c r="G2174" s="3">
        <v>802</v>
      </c>
      <c r="H2174" s="3">
        <v>50</v>
      </c>
      <c r="I2174" s="3">
        <v>298</v>
      </c>
      <c r="J2174" s="3">
        <v>297</v>
      </c>
      <c r="K2174" s="3">
        <v>1187</v>
      </c>
      <c r="L2174" s="3">
        <v>100</v>
      </c>
      <c r="M2174" s="3">
        <v>396</v>
      </c>
    </row>
    <row r="2175" spans="1:13" x14ac:dyDescent="0.25">
      <c r="A2175" s="1" t="str">
        <f>HYPERLINK("http://www.rosaceae.org/Prunus/Prunus_persica/p.persica_gdr_reftransV1_0046865","p.persica_gdr_reftransV1_0046865")</f>
        <v>p.persica_gdr_reftransV1_0046865</v>
      </c>
      <c r="B2175" s="3">
        <v>2375</v>
      </c>
      <c r="C2175" s="1" t="str">
        <f>HYPERLINK("http://www.uniprot.org/uniprot/PTA10_ARATH","PTA10_ARATH")</f>
        <v>PTA10_ARATH</v>
      </c>
      <c r="D2175" t="s">
        <v>2106</v>
      </c>
      <c r="E2175" s="3" t="s">
        <v>3</v>
      </c>
      <c r="F2175" s="4">
        <v>0</v>
      </c>
      <c r="G2175" s="3">
        <v>2190</v>
      </c>
      <c r="H2175" s="3">
        <v>72</v>
      </c>
      <c r="I2175" s="3">
        <v>621</v>
      </c>
      <c r="J2175" s="3">
        <v>483</v>
      </c>
      <c r="K2175" s="3">
        <v>2324</v>
      </c>
      <c r="L2175" s="3">
        <v>1</v>
      </c>
      <c r="M2175" s="3">
        <v>615</v>
      </c>
    </row>
    <row r="2176" spans="1:13" x14ac:dyDescent="0.25">
      <c r="A2176" s="1" t="str">
        <f>HYPERLINK("http://www.rosaceae.org/Prunus/Prunus_persica/p.persica_gdr_reftransV1_0046915","p.persica_gdr_reftransV1_0046915")</f>
        <v>p.persica_gdr_reftransV1_0046915</v>
      </c>
      <c r="B2176" s="3">
        <v>748</v>
      </c>
      <c r="C2176" s="1" t="str">
        <f>HYPERLINK("http://www.uniprot.org/uniprot/GRS15_ARATH","GRS15_ARATH")</f>
        <v>GRS15_ARATH</v>
      </c>
      <c r="D2176" t="s">
        <v>2107</v>
      </c>
      <c r="E2176" s="3" t="s">
        <v>3</v>
      </c>
      <c r="F2176" s="4">
        <v>1.5999999999999999E-80</v>
      </c>
      <c r="G2176" s="3">
        <v>627</v>
      </c>
      <c r="H2176" s="3">
        <v>70</v>
      </c>
      <c r="I2176" s="3">
        <v>169</v>
      </c>
      <c r="J2176" s="3">
        <v>90</v>
      </c>
      <c r="K2176" s="3">
        <v>590</v>
      </c>
      <c r="L2176" s="3">
        <v>1</v>
      </c>
      <c r="M2176" s="3">
        <v>169</v>
      </c>
    </row>
    <row r="2177" spans="1:13" x14ac:dyDescent="0.25">
      <c r="A2177" s="1" t="str">
        <f>HYPERLINK("http://www.rosaceae.org/Prunus/Prunus_persica/p.persica_gdr_reftransV1_0046965","p.persica_gdr_reftransV1_0046965")</f>
        <v>p.persica_gdr_reftransV1_0046965</v>
      </c>
      <c r="B2177" s="3">
        <v>599</v>
      </c>
      <c r="C2177" s="1" t="str">
        <f>HYPERLINK("http://www.uniprot.org/uniprot/VAB_ARATH","VAB_ARATH")</f>
        <v>VAB_ARATH</v>
      </c>
      <c r="D2177" t="s">
        <v>2108</v>
      </c>
      <c r="E2177" s="3" t="s">
        <v>3</v>
      </c>
      <c r="F2177" s="4">
        <v>8.0200000000000003E-46</v>
      </c>
      <c r="G2177" s="3">
        <v>412</v>
      </c>
      <c r="H2177" s="3">
        <v>58</v>
      </c>
      <c r="I2177" s="3">
        <v>166</v>
      </c>
      <c r="J2177" s="3">
        <v>13</v>
      </c>
      <c r="K2177" s="3">
        <v>483</v>
      </c>
      <c r="L2177" s="3">
        <v>28</v>
      </c>
      <c r="M2177" s="3">
        <v>172</v>
      </c>
    </row>
    <row r="2178" spans="1:13" x14ac:dyDescent="0.25">
      <c r="A2178" s="1" t="str">
        <f>HYPERLINK("http://www.rosaceae.org/Prunus/Prunus_persica/p.persica_gdr_reftransV1_0047015","p.persica_gdr_reftransV1_0047015")</f>
        <v>p.persica_gdr_reftransV1_0047015</v>
      </c>
      <c r="B2178" s="3">
        <v>2072</v>
      </c>
      <c r="C2178" s="1" t="str">
        <f>HYPERLINK("http://www.uniprot.org/uniprot/C77A3_SOYBN","C77A3_SOYBN")</f>
        <v>C77A3_SOYBN</v>
      </c>
      <c r="D2178" t="s">
        <v>2109</v>
      </c>
      <c r="E2178" s="3" t="s">
        <v>307</v>
      </c>
      <c r="F2178" s="4">
        <v>4.6000000000000002E-137</v>
      </c>
      <c r="G2178" s="3">
        <v>1077</v>
      </c>
      <c r="H2178" s="3">
        <v>46</v>
      </c>
      <c r="I2178" s="3">
        <v>468</v>
      </c>
      <c r="J2178" s="3">
        <v>285</v>
      </c>
      <c r="K2178" s="3">
        <v>1685</v>
      </c>
      <c r="L2178" s="3">
        <v>51</v>
      </c>
      <c r="M2178" s="3">
        <v>511</v>
      </c>
    </row>
    <row r="2179" spans="1:13" x14ac:dyDescent="0.25">
      <c r="A2179" s="1" t="str">
        <f>HYPERLINK("http://www.rosaceae.org/Prunus/Prunus_persica/p.persica_gdr_reftransV1_0047065","p.persica_gdr_reftransV1_0047065")</f>
        <v>p.persica_gdr_reftransV1_0047065</v>
      </c>
      <c r="B2179" s="3">
        <v>1814</v>
      </c>
      <c r="C2179" s="1" t="str">
        <f>HYPERLINK("http://www.uniprot.org/uniprot/ATXR2_ARATH","ATXR2_ARATH")</f>
        <v>ATXR2_ARATH</v>
      </c>
      <c r="D2179" t="s">
        <v>2110</v>
      </c>
      <c r="E2179" s="3" t="s">
        <v>3</v>
      </c>
      <c r="F2179" s="4">
        <v>0</v>
      </c>
      <c r="G2179" s="3">
        <v>1453</v>
      </c>
      <c r="H2179" s="3">
        <v>64</v>
      </c>
      <c r="I2179" s="3">
        <v>445</v>
      </c>
      <c r="J2179" s="3">
        <v>109</v>
      </c>
      <c r="K2179" s="3">
        <v>1434</v>
      </c>
      <c r="L2179" s="3">
        <v>1</v>
      </c>
      <c r="M2179" s="3">
        <v>436</v>
      </c>
    </row>
    <row r="2180" spans="1:13" x14ac:dyDescent="0.25">
      <c r="A2180" s="1" t="str">
        <f>HYPERLINK("http://www.rosaceae.org/Prunus/Prunus_persica/p.persica_gdr_reftransV1_0047215","p.persica_gdr_reftransV1_0047215")</f>
        <v>p.persica_gdr_reftransV1_0047215</v>
      </c>
      <c r="B2180" s="3">
        <v>1545</v>
      </c>
      <c r="C2180" s="1" t="str">
        <f>HYPERLINK("http://www.uniprot.org/uniprot/WRKY6_ARATH","WRKY6_ARATH")</f>
        <v>WRKY6_ARATH</v>
      </c>
      <c r="D2180" t="s">
        <v>1904</v>
      </c>
      <c r="E2180" s="3" t="s">
        <v>3</v>
      </c>
      <c r="F2180" s="4">
        <v>9.81E-116</v>
      </c>
      <c r="G2180" s="3">
        <v>922</v>
      </c>
      <c r="H2180" s="3">
        <v>52</v>
      </c>
      <c r="I2180" s="3">
        <v>491</v>
      </c>
      <c r="J2180" s="3">
        <v>81</v>
      </c>
      <c r="K2180" s="3">
        <v>1499</v>
      </c>
      <c r="L2180" s="3">
        <v>1</v>
      </c>
      <c r="M2180" s="3">
        <v>425</v>
      </c>
    </row>
    <row r="2181" spans="1:13" x14ac:dyDescent="0.25">
      <c r="A2181" s="1" t="str">
        <f>HYPERLINK("http://www.rosaceae.org/Prunus/Prunus_persica/p.persica_gdr_reftransV1_0047265","p.persica_gdr_reftransV1_0047265")</f>
        <v>p.persica_gdr_reftransV1_0047265</v>
      </c>
      <c r="B2181" s="3">
        <v>1614</v>
      </c>
      <c r="C2181" s="1" t="str">
        <f>HYPERLINK("http://www.uniprot.org/uniprot/WDR4_DANRE","WDR4_DANRE")</f>
        <v>WDR4_DANRE</v>
      </c>
      <c r="D2181" t="s">
        <v>2111</v>
      </c>
      <c r="E2181" s="3" t="s">
        <v>704</v>
      </c>
      <c r="F2181" s="4">
        <v>5.8199999999999997E-24</v>
      </c>
      <c r="G2181" s="3">
        <v>268</v>
      </c>
      <c r="H2181" s="3">
        <v>35</v>
      </c>
      <c r="I2181" s="3">
        <v>246</v>
      </c>
      <c r="J2181" s="3">
        <v>238</v>
      </c>
      <c r="K2181" s="3">
        <v>966</v>
      </c>
      <c r="L2181" s="3">
        <v>54</v>
      </c>
      <c r="M2181" s="3">
        <v>280</v>
      </c>
    </row>
    <row r="2182" spans="1:13" x14ac:dyDescent="0.25">
      <c r="A2182" s="1" t="str">
        <f>HYPERLINK("http://www.rosaceae.org/Prunus/Prunus_persica/p.persica_gdr_reftransV1_0047365","p.persica_gdr_reftransV1_0047365")</f>
        <v>p.persica_gdr_reftransV1_0047365</v>
      </c>
      <c r="B2182" s="3">
        <v>1121</v>
      </c>
      <c r="C2182" s="1" t="str">
        <f>HYPERLINK("http://www.uniprot.org/uniprot/UPP_TOBAC","UPP_TOBAC")</f>
        <v>UPP_TOBAC</v>
      </c>
      <c r="D2182" t="s">
        <v>2112</v>
      </c>
      <c r="E2182" s="3" t="s">
        <v>200</v>
      </c>
      <c r="F2182" s="4">
        <v>2.07E-97</v>
      </c>
      <c r="G2182" s="3">
        <v>539</v>
      </c>
      <c r="H2182" s="3">
        <v>83</v>
      </c>
      <c r="I2182" s="3">
        <v>118</v>
      </c>
      <c r="J2182" s="3">
        <v>512</v>
      </c>
      <c r="K2182" s="3">
        <v>865</v>
      </c>
      <c r="L2182" s="3">
        <v>1</v>
      </c>
      <c r="M2182" s="3">
        <v>118</v>
      </c>
    </row>
    <row r="2183" spans="1:13" x14ac:dyDescent="0.25">
      <c r="A2183" s="1" t="str">
        <f>HYPERLINK("http://www.rosaceae.org/Prunus/Prunus_persica/p.persica_gdr_reftransV1_0047465","p.persica_gdr_reftransV1_0047465")</f>
        <v>p.persica_gdr_reftransV1_0047465</v>
      </c>
      <c r="B2183" s="3">
        <v>1144</v>
      </c>
      <c r="C2183" s="1" t="str">
        <f>HYPERLINK("http://www.uniprot.org/uniprot/TIP21_ARATH","TIP21_ARATH")</f>
        <v>TIP21_ARATH</v>
      </c>
      <c r="D2183" t="s">
        <v>2113</v>
      </c>
      <c r="E2183" s="3" t="s">
        <v>3</v>
      </c>
      <c r="F2183" s="4">
        <v>3.1800000000000001E-121</v>
      </c>
      <c r="G2183" s="3">
        <v>918</v>
      </c>
      <c r="H2183" s="3">
        <v>83</v>
      </c>
      <c r="I2183" s="3">
        <v>241</v>
      </c>
      <c r="J2183" s="3">
        <v>101</v>
      </c>
      <c r="K2183" s="3">
        <v>820</v>
      </c>
      <c r="L2183" s="3">
        <v>7</v>
      </c>
      <c r="M2183" s="3">
        <v>247</v>
      </c>
    </row>
    <row r="2184" spans="1:13" x14ac:dyDescent="0.25">
      <c r="A2184" s="1" t="str">
        <f>HYPERLINK("http://www.rosaceae.org/Prunus/Prunus_persica/p.persica_gdr_reftransV1_0047515","p.persica_gdr_reftransV1_0047515")</f>
        <v>p.persica_gdr_reftransV1_0047515</v>
      </c>
      <c r="B2184" s="3">
        <v>1288</v>
      </c>
      <c r="C2184" s="1" t="str">
        <f>HYPERLINK("http://www.uniprot.org/uniprot/GDL64_ARATH","GDL64_ARATH")</f>
        <v>GDL64_ARATH</v>
      </c>
      <c r="D2184" t="s">
        <v>2114</v>
      </c>
      <c r="E2184" s="3" t="s">
        <v>3</v>
      </c>
      <c r="F2184" s="4">
        <v>3.5999999999999998E-121</v>
      </c>
      <c r="G2184" s="3">
        <v>934</v>
      </c>
      <c r="H2184" s="3">
        <v>52</v>
      </c>
      <c r="I2184" s="3">
        <v>352</v>
      </c>
      <c r="J2184" s="3">
        <v>185</v>
      </c>
      <c r="K2184" s="3">
        <v>1225</v>
      </c>
      <c r="L2184" s="3">
        <v>12</v>
      </c>
      <c r="M2184" s="3">
        <v>361</v>
      </c>
    </row>
    <row r="2185" spans="1:13" x14ac:dyDescent="0.25">
      <c r="A2185" s="1" t="str">
        <f>HYPERLINK("http://www.rosaceae.org/Prunus/Prunus_persica/p.persica_gdr_reftransV1_0047565","p.persica_gdr_reftransV1_0047565")</f>
        <v>p.persica_gdr_reftransV1_0047565</v>
      </c>
      <c r="B2185" s="3">
        <v>2114</v>
      </c>
      <c r="C2185" s="1" t="str">
        <f>HYPERLINK("http://www.uniprot.org/uniprot/LAC12_ARATH","LAC12_ARATH")</f>
        <v>LAC12_ARATH</v>
      </c>
      <c r="D2185" t="s">
        <v>2115</v>
      </c>
      <c r="E2185" s="3" t="s">
        <v>3</v>
      </c>
      <c r="F2185" s="4">
        <v>0</v>
      </c>
      <c r="G2185" s="3">
        <v>2281</v>
      </c>
      <c r="H2185" s="3">
        <v>77</v>
      </c>
      <c r="I2185" s="3">
        <v>570</v>
      </c>
      <c r="J2185" s="3">
        <v>287</v>
      </c>
      <c r="K2185" s="3">
        <v>1993</v>
      </c>
      <c r="L2185" s="3">
        <v>8</v>
      </c>
      <c r="M2185" s="3">
        <v>565</v>
      </c>
    </row>
    <row r="2186" spans="1:13" x14ac:dyDescent="0.25">
      <c r="A2186" s="1" t="str">
        <f>HYPERLINK("http://www.rosaceae.org/Prunus/Prunus_persica/p.persica_gdr_reftransV1_0047615","p.persica_gdr_reftransV1_0047615")</f>
        <v>p.persica_gdr_reftransV1_0047615</v>
      </c>
      <c r="B2186" s="3">
        <v>2519</v>
      </c>
      <c r="C2186" s="1" t="str">
        <f>HYPERLINK("http://www.uniprot.org/uniprot/Y2027_ARATH","Y2027_ARATH")</f>
        <v>Y2027_ARATH</v>
      </c>
      <c r="D2186" t="s">
        <v>2116</v>
      </c>
      <c r="E2186" s="3" t="s">
        <v>3</v>
      </c>
      <c r="F2186" s="4">
        <v>5.7500000000000002E-147</v>
      </c>
      <c r="G2186" s="3">
        <v>1154</v>
      </c>
      <c r="H2186" s="3">
        <v>62</v>
      </c>
      <c r="I2186" s="3">
        <v>353</v>
      </c>
      <c r="J2186" s="3">
        <v>1166</v>
      </c>
      <c r="K2186" s="3">
        <v>2221</v>
      </c>
      <c r="L2186" s="3">
        <v>137</v>
      </c>
      <c r="M2186" s="3">
        <v>487</v>
      </c>
    </row>
    <row r="2187" spans="1:13" x14ac:dyDescent="0.25">
      <c r="A2187" s="1" t="str">
        <f>HYPERLINK("http://www.rosaceae.org/Prunus/Prunus_persica/p.persica_gdr_reftransV1_0047665","p.persica_gdr_reftransV1_0047665")</f>
        <v>p.persica_gdr_reftransV1_0047665</v>
      </c>
      <c r="B2187" s="3">
        <v>1371</v>
      </c>
      <c r="C2187" s="1" t="str">
        <f>HYPERLINK("http://www.uniprot.org/uniprot/NUDT9_ARATH","NUDT9_ARATH")</f>
        <v>NUDT9_ARATH</v>
      </c>
      <c r="D2187" t="s">
        <v>2117</v>
      </c>
      <c r="E2187" s="3" t="s">
        <v>3</v>
      </c>
      <c r="F2187" s="4">
        <v>3.0199999999999998E-100</v>
      </c>
      <c r="G2187" s="3">
        <v>792</v>
      </c>
      <c r="H2187" s="3">
        <v>63</v>
      </c>
      <c r="I2187" s="3">
        <v>231</v>
      </c>
      <c r="J2187" s="3">
        <v>369</v>
      </c>
      <c r="K2187" s="3">
        <v>1055</v>
      </c>
      <c r="L2187" s="3">
        <v>73</v>
      </c>
      <c r="M2187" s="3">
        <v>303</v>
      </c>
    </row>
    <row r="2188" spans="1:13" x14ac:dyDescent="0.25">
      <c r="A2188" s="1" t="str">
        <f>HYPERLINK("http://www.rosaceae.org/Prunus/Prunus_persica/p.persica_gdr_reftransV1_0047965","p.persica_gdr_reftransV1_0047965")</f>
        <v>p.persica_gdr_reftransV1_0047965</v>
      </c>
      <c r="B2188" s="3">
        <v>359</v>
      </c>
      <c r="C2188" s="1" t="str">
        <f>HYPERLINK("http://www.uniprot.org/uniprot/AGO16_ORYSJ","AGO16_ORYSJ")</f>
        <v>AGO16_ORYSJ</v>
      </c>
      <c r="D2188" t="s">
        <v>1124</v>
      </c>
      <c r="E2188" s="3" t="s">
        <v>38</v>
      </c>
      <c r="F2188" s="4">
        <v>7.1000000000000004E-34</v>
      </c>
      <c r="G2188" s="3">
        <v>324</v>
      </c>
      <c r="H2188" s="3">
        <v>54</v>
      </c>
      <c r="I2188" s="3">
        <v>126</v>
      </c>
      <c r="J2188" s="3">
        <v>2</v>
      </c>
      <c r="K2188" s="3">
        <v>358</v>
      </c>
      <c r="L2188" s="3">
        <v>52</v>
      </c>
      <c r="M2188" s="3">
        <v>177</v>
      </c>
    </row>
    <row r="2189" spans="1:13" x14ac:dyDescent="0.25">
      <c r="A2189" s="1" t="str">
        <f>HYPERLINK("http://www.rosaceae.org/Prunus/Prunus_persica/p.persica_gdr_reftransV1_0048065","p.persica_gdr_reftransV1_0048065")</f>
        <v>p.persica_gdr_reftransV1_0048065</v>
      </c>
      <c r="B2189" s="3">
        <v>2907</v>
      </c>
      <c r="C2189" s="1" t="str">
        <f>HYPERLINK("http://www.uniprot.org/uniprot/SYT5_ARATH","SYT5_ARATH")</f>
        <v>SYT5_ARATH</v>
      </c>
      <c r="D2189" t="s">
        <v>2118</v>
      </c>
      <c r="E2189" s="3" t="s">
        <v>3</v>
      </c>
      <c r="F2189" s="4">
        <v>1.3899999999999999E-13</v>
      </c>
      <c r="G2189" s="3">
        <v>192</v>
      </c>
      <c r="H2189" s="3">
        <v>25</v>
      </c>
      <c r="I2189" s="3">
        <v>366</v>
      </c>
      <c r="J2189" s="3">
        <v>1070</v>
      </c>
      <c r="K2189" s="3">
        <v>2098</v>
      </c>
      <c r="L2189" s="3">
        <v>217</v>
      </c>
      <c r="M2189" s="3">
        <v>550</v>
      </c>
    </row>
    <row r="2190" spans="1:13" x14ac:dyDescent="0.25">
      <c r="A2190" s="1" t="str">
        <f>HYPERLINK("http://www.rosaceae.org/Prunus/Prunus_persica/p.persica_gdr_reftransV1_0048115","p.persica_gdr_reftransV1_0048115")</f>
        <v>p.persica_gdr_reftransV1_0048115</v>
      </c>
      <c r="B2190" s="3">
        <v>1265</v>
      </c>
      <c r="C2190" s="1" t="str">
        <f>HYPERLINK("http://www.uniprot.org/uniprot/TIP32_ARATH","TIP32_ARATH")</f>
        <v>TIP32_ARATH</v>
      </c>
      <c r="D2190" t="s">
        <v>2119</v>
      </c>
      <c r="E2190" s="3" t="s">
        <v>3</v>
      </c>
      <c r="F2190" s="4">
        <v>2.37E-126</v>
      </c>
      <c r="G2190" s="3">
        <v>958</v>
      </c>
      <c r="H2190" s="3">
        <v>75</v>
      </c>
      <c r="I2190" s="3">
        <v>266</v>
      </c>
      <c r="J2190" s="3">
        <v>230</v>
      </c>
      <c r="K2190" s="3">
        <v>1003</v>
      </c>
      <c r="L2190" s="3">
        <v>2</v>
      </c>
      <c r="M2190" s="3">
        <v>267</v>
      </c>
    </row>
    <row r="2191" spans="1:13" x14ac:dyDescent="0.25">
      <c r="A2191" s="1" t="str">
        <f>HYPERLINK("http://www.rosaceae.org/Prunus/Prunus_persica/p.persica_gdr_reftransV1_0048165","p.persica_gdr_reftransV1_0048165")</f>
        <v>p.persica_gdr_reftransV1_0048165</v>
      </c>
      <c r="B2191" s="3">
        <v>457</v>
      </c>
      <c r="C2191" s="1" t="str">
        <f>HYPERLINK("http://www.uniprot.org/uniprot/ATR_ARATH","ATR_ARATH")</f>
        <v>ATR_ARATH</v>
      </c>
      <c r="D2191" t="s">
        <v>761</v>
      </c>
      <c r="E2191" s="3" t="s">
        <v>3</v>
      </c>
      <c r="F2191" s="4">
        <v>3.4499999999999997E-52</v>
      </c>
      <c r="G2191" s="3">
        <v>468</v>
      </c>
      <c r="H2191" s="3">
        <v>60</v>
      </c>
      <c r="I2191" s="3">
        <v>151</v>
      </c>
      <c r="J2191" s="3">
        <v>5</v>
      </c>
      <c r="K2191" s="3">
        <v>457</v>
      </c>
      <c r="L2191" s="3">
        <v>211</v>
      </c>
      <c r="M2191" s="3">
        <v>360</v>
      </c>
    </row>
    <row r="2192" spans="1:13" x14ac:dyDescent="0.25">
      <c r="A2192" s="1" t="str">
        <f>HYPERLINK("http://www.rosaceae.org/Prunus/Prunus_persica/p.persica_gdr_reftransV1_0048215","p.persica_gdr_reftransV1_0048215")</f>
        <v>p.persica_gdr_reftransV1_0048215</v>
      </c>
      <c r="B2192" s="3">
        <v>1445</v>
      </c>
      <c r="C2192" s="1" t="str">
        <f>HYPERLINK("http://www.uniprot.org/uniprot/SYNC2_ARATH","SYNC2_ARATH")</f>
        <v>SYNC2_ARATH</v>
      </c>
      <c r="D2192" t="s">
        <v>2120</v>
      </c>
      <c r="E2192" s="3" t="s">
        <v>3</v>
      </c>
      <c r="F2192" s="4">
        <v>1.5000000000000001E-147</v>
      </c>
      <c r="G2192" s="3">
        <v>1139</v>
      </c>
      <c r="H2192" s="3">
        <v>50</v>
      </c>
      <c r="I2192" s="3">
        <v>456</v>
      </c>
      <c r="J2192" s="3">
        <v>111</v>
      </c>
      <c r="K2192" s="3">
        <v>1442</v>
      </c>
      <c r="L2192" s="3">
        <v>21</v>
      </c>
      <c r="M2192" s="3">
        <v>473</v>
      </c>
    </row>
    <row r="2193" spans="1:13" x14ac:dyDescent="0.25">
      <c r="A2193" s="1" t="str">
        <f>HYPERLINK("http://www.rosaceae.org/Prunus/Prunus_persica/p.persica_gdr_reftransV1_0048265","p.persica_gdr_reftransV1_0048265")</f>
        <v>p.persica_gdr_reftransV1_0048265</v>
      </c>
      <c r="B2193" s="3">
        <v>767</v>
      </c>
      <c r="C2193" s="1" t="str">
        <f>HYPERLINK("http://www.uniprot.org/uniprot/ADF2_PETHY","ADF2_PETHY")</f>
        <v>ADF2_PETHY</v>
      </c>
      <c r="D2193" t="s">
        <v>2121</v>
      </c>
      <c r="E2193" s="3" t="s">
        <v>509</v>
      </c>
      <c r="F2193" s="4">
        <v>1.7399999999999999E-85</v>
      </c>
      <c r="G2193" s="3">
        <v>658</v>
      </c>
      <c r="H2193" s="3">
        <v>88</v>
      </c>
      <c r="I2193" s="3">
        <v>138</v>
      </c>
      <c r="J2193" s="3">
        <v>127</v>
      </c>
      <c r="K2193" s="3">
        <v>540</v>
      </c>
      <c r="L2193" s="3">
        <v>1</v>
      </c>
      <c r="M2193" s="3">
        <v>138</v>
      </c>
    </row>
    <row r="2194" spans="1:13" x14ac:dyDescent="0.25">
      <c r="A2194" s="1" t="str">
        <f>HYPERLINK("http://www.rosaceae.org/Prunus/Prunus_persica/p.persica_gdr_reftransV1_0048315","p.persica_gdr_reftransV1_0048315")</f>
        <v>p.persica_gdr_reftransV1_0048315</v>
      </c>
      <c r="B2194" s="3">
        <v>480</v>
      </c>
      <c r="C2194" s="1" t="str">
        <f>HYPERLINK("http://www.uniprot.org/uniprot/PP151_ARATH","PP151_ARATH")</f>
        <v>PP151_ARATH</v>
      </c>
      <c r="D2194" t="s">
        <v>1204</v>
      </c>
      <c r="E2194" s="3" t="s">
        <v>3</v>
      </c>
      <c r="F2194" s="4">
        <v>1.68E-24</v>
      </c>
      <c r="G2194" s="3">
        <v>258</v>
      </c>
      <c r="H2194" s="3">
        <v>34</v>
      </c>
      <c r="I2194" s="3">
        <v>149</v>
      </c>
      <c r="J2194" s="3">
        <v>1</v>
      </c>
      <c r="K2194" s="3">
        <v>444</v>
      </c>
      <c r="L2194" s="3">
        <v>164</v>
      </c>
      <c r="M2194" s="3">
        <v>312</v>
      </c>
    </row>
    <row r="2195" spans="1:13" x14ac:dyDescent="0.25">
      <c r="A2195" s="1" t="str">
        <f>HYPERLINK("http://www.rosaceae.org/Prunus/Prunus_persica/p.persica_gdr_reftransV1_0048365","p.persica_gdr_reftransV1_0048365")</f>
        <v>p.persica_gdr_reftransV1_0048365</v>
      </c>
      <c r="B2195" s="3">
        <v>543</v>
      </c>
      <c r="C2195" s="1" t="str">
        <f>HYPERLINK("http://www.uniprot.org/uniprot/Y3236_ARATH","Y3236_ARATH")</f>
        <v>Y3236_ARATH</v>
      </c>
      <c r="D2195" t="s">
        <v>1074</v>
      </c>
      <c r="E2195" s="3" t="s">
        <v>3</v>
      </c>
      <c r="F2195" s="4">
        <v>4.34E-10</v>
      </c>
      <c r="G2195" s="3">
        <v>148</v>
      </c>
      <c r="H2195" s="3">
        <v>33</v>
      </c>
      <c r="I2195" s="3">
        <v>120</v>
      </c>
      <c r="J2195" s="3">
        <v>185</v>
      </c>
      <c r="K2195" s="3">
        <v>541</v>
      </c>
      <c r="L2195" s="3">
        <v>428</v>
      </c>
      <c r="M2195" s="3">
        <v>543</v>
      </c>
    </row>
    <row r="2196" spans="1:13" x14ac:dyDescent="0.25">
      <c r="A2196" s="1" t="str">
        <f>HYPERLINK("http://www.rosaceae.org/Prunus/Prunus_persica/p.persica_gdr_reftransV1_0048465","p.persica_gdr_reftransV1_0048465")</f>
        <v>p.persica_gdr_reftransV1_0048465</v>
      </c>
      <c r="B2196" s="3">
        <v>1210</v>
      </c>
      <c r="C2196" s="1" t="str">
        <f>HYPERLINK("http://www.uniprot.org/uniprot/RAN3_ARATH","RAN3_ARATH")</f>
        <v>RAN3_ARATH</v>
      </c>
      <c r="D2196" t="s">
        <v>520</v>
      </c>
      <c r="E2196" s="3" t="s">
        <v>3</v>
      </c>
      <c r="F2196" s="4">
        <v>1.1400000000000001E-149</v>
      </c>
      <c r="G2196" s="3">
        <v>1105</v>
      </c>
      <c r="H2196" s="3">
        <v>99</v>
      </c>
      <c r="I2196" s="3">
        <v>221</v>
      </c>
      <c r="J2196" s="3">
        <v>117</v>
      </c>
      <c r="K2196" s="3">
        <v>779</v>
      </c>
      <c r="L2196" s="3">
        <v>1</v>
      </c>
      <c r="M2196" s="3">
        <v>221</v>
      </c>
    </row>
    <row r="2197" spans="1:13" x14ac:dyDescent="0.25">
      <c r="A2197" s="1" t="str">
        <f>HYPERLINK("http://www.rosaceae.org/Prunus/Prunus_persica/p.persica_gdr_reftransV1_0048515","p.persica_gdr_reftransV1_0048515")</f>
        <v>p.persica_gdr_reftransV1_0048515</v>
      </c>
      <c r="B2197" s="3">
        <v>1256</v>
      </c>
      <c r="C2197" s="1" t="str">
        <f>HYPERLINK("http://www.uniprot.org/uniprot/AHL17_ARATH","AHL17_ARATH")</f>
        <v>AHL17_ARATH</v>
      </c>
      <c r="D2197" t="s">
        <v>2122</v>
      </c>
      <c r="E2197" s="3" t="s">
        <v>3</v>
      </c>
      <c r="F2197" s="4">
        <v>4.2600000000000002E-86</v>
      </c>
      <c r="G2197" s="3">
        <v>690</v>
      </c>
      <c r="H2197" s="3">
        <v>67</v>
      </c>
      <c r="I2197" s="3">
        <v>224</v>
      </c>
      <c r="J2197" s="3">
        <v>76</v>
      </c>
      <c r="K2197" s="3">
        <v>723</v>
      </c>
      <c r="L2197" s="3">
        <v>50</v>
      </c>
      <c r="M2197" s="3">
        <v>271</v>
      </c>
    </row>
    <row r="2198" spans="1:13" x14ac:dyDescent="0.25">
      <c r="A2198" s="1" t="str">
        <f>HYPERLINK("http://www.rosaceae.org/Prunus/Prunus_persica/p.persica_gdr_reftransV1_0048615","p.persica_gdr_reftransV1_0048615")</f>
        <v>p.persica_gdr_reftransV1_0048615</v>
      </c>
      <c r="B2198" s="3">
        <v>1819</v>
      </c>
      <c r="C2198" s="1" t="str">
        <f>HYPERLINK("http://www.uniprot.org/uniprot/ACR6_ARATH","ACR6_ARATH")</f>
        <v>ACR6_ARATH</v>
      </c>
      <c r="D2198" t="s">
        <v>2123</v>
      </c>
      <c r="E2198" s="3" t="s">
        <v>3</v>
      </c>
      <c r="F2198" s="4">
        <v>0</v>
      </c>
      <c r="G2198" s="3">
        <v>1544</v>
      </c>
      <c r="H2198" s="3">
        <v>69</v>
      </c>
      <c r="I2198" s="3">
        <v>441</v>
      </c>
      <c r="J2198" s="3">
        <v>197</v>
      </c>
      <c r="K2198" s="3">
        <v>1486</v>
      </c>
      <c r="L2198" s="3">
        <v>3</v>
      </c>
      <c r="M2198" s="3">
        <v>433</v>
      </c>
    </row>
    <row r="2199" spans="1:13" x14ac:dyDescent="0.25">
      <c r="A2199" s="1" t="str">
        <f>HYPERLINK("http://www.rosaceae.org/Prunus/Prunus_persica/p.persica_gdr_reftransV1_0048715","p.persica_gdr_reftransV1_0048715")</f>
        <v>p.persica_gdr_reftransV1_0048715</v>
      </c>
      <c r="B2199" s="3">
        <v>1045</v>
      </c>
      <c r="C2199" s="1" t="str">
        <f>HYPERLINK("http://www.uniprot.org/uniprot/BH035_ARATH","BH035_ARATH")</f>
        <v>BH035_ARATH</v>
      </c>
      <c r="D2199" t="s">
        <v>2124</v>
      </c>
      <c r="E2199" s="3" t="s">
        <v>3</v>
      </c>
      <c r="F2199" s="4">
        <v>8.3899999999999997E-82</v>
      </c>
      <c r="G2199" s="3">
        <v>653</v>
      </c>
      <c r="H2199" s="3">
        <v>64</v>
      </c>
      <c r="I2199" s="3">
        <v>244</v>
      </c>
      <c r="J2199" s="3">
        <v>178</v>
      </c>
      <c r="K2199" s="3">
        <v>894</v>
      </c>
      <c r="L2199" s="3">
        <v>1</v>
      </c>
      <c r="M2199" s="3">
        <v>240</v>
      </c>
    </row>
    <row r="2200" spans="1:13" x14ac:dyDescent="0.25">
      <c r="A2200" s="1" t="str">
        <f>HYPERLINK("http://www.rosaceae.org/Prunus/Prunus_persica/p.persica_gdr_reftransV1_0048765","p.persica_gdr_reftransV1_0048765")</f>
        <v>p.persica_gdr_reftransV1_0048765</v>
      </c>
      <c r="B2200" s="3">
        <v>1764</v>
      </c>
      <c r="C2200" s="1" t="str">
        <f>HYPERLINK("http://www.uniprot.org/uniprot/MDL2_PRUDU","MDL2_PRUDU")</f>
        <v>MDL2_PRUDU</v>
      </c>
      <c r="D2200" t="s">
        <v>2125</v>
      </c>
      <c r="E2200" s="3" t="s">
        <v>418</v>
      </c>
      <c r="F2200" s="4">
        <v>0</v>
      </c>
      <c r="G2200" s="3">
        <v>1756</v>
      </c>
      <c r="H2200" s="3">
        <v>60</v>
      </c>
      <c r="I2200" s="3">
        <v>546</v>
      </c>
      <c r="J2200" s="3">
        <v>73</v>
      </c>
      <c r="K2200" s="3">
        <v>1707</v>
      </c>
      <c r="L2200" s="3">
        <v>1</v>
      </c>
      <c r="M2200" s="3">
        <v>544</v>
      </c>
    </row>
    <row r="2201" spans="1:13" x14ac:dyDescent="0.25">
      <c r="A2201" s="1" t="str">
        <f>HYPERLINK("http://www.rosaceae.org/Prunus/Prunus_persica/p.persica_gdr_reftransV1_0048815","p.persica_gdr_reftransV1_0048815")</f>
        <v>p.persica_gdr_reftransV1_0048815</v>
      </c>
      <c r="B2201" s="3">
        <v>3089</v>
      </c>
      <c r="C2201" s="1" t="str">
        <f>HYPERLINK("http://www.uniprot.org/uniprot/AMO1_ARTS1","AMO1_ARTS1")</f>
        <v>AMO1_ARTS1</v>
      </c>
      <c r="D2201" t="s">
        <v>1843</v>
      </c>
      <c r="E2201" s="3" t="s">
        <v>1844</v>
      </c>
      <c r="F2201" s="4">
        <v>1.5699999999999999E-158</v>
      </c>
      <c r="G2201" s="3">
        <v>1262</v>
      </c>
      <c r="H2201" s="3">
        <v>41</v>
      </c>
      <c r="I2201" s="3">
        <v>676</v>
      </c>
      <c r="J2201" s="3">
        <v>446</v>
      </c>
      <c r="K2201" s="3">
        <v>2458</v>
      </c>
      <c r="L2201" s="3">
        <v>14</v>
      </c>
      <c r="M2201" s="3">
        <v>632</v>
      </c>
    </row>
    <row r="2202" spans="1:13" x14ac:dyDescent="0.25">
      <c r="A2202" s="1" t="str">
        <f>HYPERLINK("http://www.rosaceae.org/Prunus/Prunus_persica/p.persica_gdr_reftransV1_0048865","p.persica_gdr_reftransV1_0048865")</f>
        <v>p.persica_gdr_reftransV1_0048865</v>
      </c>
      <c r="B2202" s="3">
        <v>2086</v>
      </c>
      <c r="C2202" s="1" t="str">
        <f>HYPERLINK("http://www.uniprot.org/uniprot/CSN5A_ARATH","CSN5A_ARATH")</f>
        <v>CSN5A_ARATH</v>
      </c>
      <c r="D2202" t="s">
        <v>2126</v>
      </c>
      <c r="E2202" s="3" t="s">
        <v>3</v>
      </c>
      <c r="F2202" s="4">
        <v>0</v>
      </c>
      <c r="G2202" s="3">
        <v>1522</v>
      </c>
      <c r="H2202" s="3">
        <v>82</v>
      </c>
      <c r="I2202" s="3">
        <v>363</v>
      </c>
      <c r="J2202" s="3">
        <v>80</v>
      </c>
      <c r="K2202" s="3">
        <v>1165</v>
      </c>
      <c r="L2202" s="3">
        <v>6</v>
      </c>
      <c r="M2202" s="3">
        <v>356</v>
      </c>
    </row>
    <row r="2203" spans="1:13" x14ac:dyDescent="0.25">
      <c r="A2203" s="1" t="str">
        <f>HYPERLINK("http://www.rosaceae.org/Prunus/Prunus_persica/p.persica_gdr_reftransV1_0048915","p.persica_gdr_reftransV1_0048915")</f>
        <v>p.persica_gdr_reftransV1_0048915</v>
      </c>
      <c r="B2203" s="3">
        <v>4404</v>
      </c>
      <c r="C2203" s="1" t="str">
        <f>HYPERLINK("http://www.uniprot.org/uniprot/NPC1_HUMAN","NPC1_HUMAN")</f>
        <v>NPC1_HUMAN</v>
      </c>
      <c r="D2203" t="s">
        <v>2127</v>
      </c>
      <c r="E2203" s="3" t="s">
        <v>28</v>
      </c>
      <c r="F2203" s="4">
        <v>5.5200000000000003E-134</v>
      </c>
      <c r="G2203" s="3">
        <v>1164</v>
      </c>
      <c r="H2203" s="3">
        <v>35</v>
      </c>
      <c r="I2203" s="3">
        <v>976</v>
      </c>
      <c r="J2203" s="3">
        <v>1347</v>
      </c>
      <c r="K2203" s="3">
        <v>4118</v>
      </c>
      <c r="L2203" s="3">
        <v>25</v>
      </c>
      <c r="M2203" s="3">
        <v>958</v>
      </c>
    </row>
    <row r="2204" spans="1:13" x14ac:dyDescent="0.25">
      <c r="A2204" s="1" t="str">
        <f>HYPERLINK("http://www.rosaceae.org/Prunus/Prunus_persica/p.persica_gdr_reftransV1_0049015","p.persica_gdr_reftransV1_0049015")</f>
        <v>p.persica_gdr_reftransV1_0049015</v>
      </c>
      <c r="B2204" s="3">
        <v>2100</v>
      </c>
      <c r="C2204" s="1" t="str">
        <f>HYPERLINK("http://www.uniprot.org/uniprot/AAMP_BOVIN","AAMP_BOVIN")</f>
        <v>AAMP_BOVIN</v>
      </c>
      <c r="D2204" t="s">
        <v>2128</v>
      </c>
      <c r="E2204" s="3" t="s">
        <v>184</v>
      </c>
      <c r="F2204" s="4">
        <v>7.07E-63</v>
      </c>
      <c r="G2204" s="3">
        <v>564</v>
      </c>
      <c r="H2204" s="3">
        <v>36</v>
      </c>
      <c r="I2204" s="3">
        <v>344</v>
      </c>
      <c r="J2204" s="3">
        <v>176</v>
      </c>
      <c r="K2204" s="3">
        <v>1162</v>
      </c>
      <c r="L2204" s="3">
        <v>87</v>
      </c>
      <c r="M2204" s="3">
        <v>427</v>
      </c>
    </row>
    <row r="2205" spans="1:13" x14ac:dyDescent="0.25">
      <c r="A2205" s="1" t="str">
        <f>HYPERLINK("http://www.rosaceae.org/Prunus/Prunus_persica/p.persica_gdr_reftransV1_0049065","p.persica_gdr_reftransV1_0049065")</f>
        <v>p.persica_gdr_reftransV1_0049065</v>
      </c>
      <c r="B2205" s="3">
        <v>1203</v>
      </c>
      <c r="C2205" s="1" t="str">
        <f>HYPERLINK("http://www.uniprot.org/uniprot/E134_MAIZE","E134_MAIZE")</f>
        <v>E134_MAIZE</v>
      </c>
      <c r="D2205" t="s">
        <v>849</v>
      </c>
      <c r="E2205" s="3" t="s">
        <v>72</v>
      </c>
      <c r="F2205" s="4">
        <v>2.1200000000000001E-42</v>
      </c>
      <c r="G2205" s="3">
        <v>394</v>
      </c>
      <c r="H2205" s="3">
        <v>45</v>
      </c>
      <c r="I2205" s="3">
        <v>198</v>
      </c>
      <c r="J2205" s="3">
        <v>520</v>
      </c>
      <c r="K2205" s="3">
        <v>1095</v>
      </c>
      <c r="L2205" s="3">
        <v>28</v>
      </c>
      <c r="M2205" s="3">
        <v>219</v>
      </c>
    </row>
    <row r="2206" spans="1:13" x14ac:dyDescent="0.25">
      <c r="A2206" s="1" t="str">
        <f>HYPERLINK("http://www.rosaceae.org/Prunus/Prunus_persica/p.persica_gdr_reftransV1_0049165","p.persica_gdr_reftransV1_0049165")</f>
        <v>p.persica_gdr_reftransV1_0049165</v>
      </c>
      <c r="B2206" s="3">
        <v>1318</v>
      </c>
      <c r="C2206" s="1" t="str">
        <f>HYPERLINK("http://www.uniprot.org/uniprot/ROMT_VITVI","ROMT_VITVI")</f>
        <v>ROMT_VITVI</v>
      </c>
      <c r="D2206" t="s">
        <v>2129</v>
      </c>
      <c r="E2206" s="3" t="s">
        <v>362</v>
      </c>
      <c r="F2206" s="4">
        <v>5.0199999999999997E-173</v>
      </c>
      <c r="G2206" s="3">
        <v>1277</v>
      </c>
      <c r="H2206" s="3">
        <v>66</v>
      </c>
      <c r="I2206" s="3">
        <v>349</v>
      </c>
      <c r="J2206" s="3">
        <v>69</v>
      </c>
      <c r="K2206" s="3">
        <v>1109</v>
      </c>
      <c r="L2206" s="3">
        <v>9</v>
      </c>
      <c r="M2206" s="3">
        <v>357</v>
      </c>
    </row>
    <row r="2207" spans="1:13" x14ac:dyDescent="0.25">
      <c r="A2207" s="1" t="str">
        <f>HYPERLINK("http://www.rosaceae.org/Prunus/Prunus_persica/p.persica_gdr_reftransV1_0000016","p.persica_gdr_reftransV1_0000016")</f>
        <v>p.persica_gdr_reftransV1_0000016</v>
      </c>
      <c r="B2207" s="3">
        <v>362</v>
      </c>
      <c r="C2207" s="1" t="str">
        <f>HYPERLINK("http://www.uniprot.org/uniprot/PUB50_ARATH","PUB50_ARATH")</f>
        <v>PUB50_ARATH</v>
      </c>
      <c r="D2207" t="s">
        <v>2130</v>
      </c>
      <c r="E2207" s="3" t="s">
        <v>3</v>
      </c>
      <c r="F2207" s="4">
        <v>1.7700000000000001E-24</v>
      </c>
      <c r="G2207" s="3">
        <v>254</v>
      </c>
      <c r="H2207" s="3">
        <v>57</v>
      </c>
      <c r="I2207" s="3">
        <v>83</v>
      </c>
      <c r="J2207" s="3">
        <v>126</v>
      </c>
      <c r="K2207" s="3">
        <v>362</v>
      </c>
      <c r="L2207" s="3">
        <v>8</v>
      </c>
      <c r="M2207" s="3">
        <v>88</v>
      </c>
    </row>
    <row r="2208" spans="1:13" x14ac:dyDescent="0.25">
      <c r="A2208" s="1" t="str">
        <f>HYPERLINK("http://www.rosaceae.org/Prunus/Prunus_persica/p.persica_gdr_reftransV1_0000066","p.persica_gdr_reftransV1_0000066")</f>
        <v>p.persica_gdr_reftransV1_0000066</v>
      </c>
      <c r="B2208" s="3">
        <v>1705</v>
      </c>
      <c r="C2208" s="1" t="str">
        <f>HYPERLINK("http://www.uniprot.org/uniprot/RK2_CITSI","RK2_CITSI")</f>
        <v>RK2_CITSI</v>
      </c>
      <c r="D2208" t="s">
        <v>2131</v>
      </c>
      <c r="E2208" s="3" t="s">
        <v>1276</v>
      </c>
      <c r="F2208" s="4">
        <v>2.5700000000000001E-80</v>
      </c>
      <c r="G2208" s="3">
        <v>663</v>
      </c>
      <c r="H2208" s="3">
        <v>98</v>
      </c>
      <c r="I2208" s="3">
        <v>131</v>
      </c>
      <c r="J2208" s="3">
        <v>1197</v>
      </c>
      <c r="K2208" s="3">
        <v>1583</v>
      </c>
      <c r="L2208" s="3">
        <v>1</v>
      </c>
      <c r="M2208" s="3">
        <v>131</v>
      </c>
    </row>
    <row r="2209" spans="1:13" x14ac:dyDescent="0.25">
      <c r="A2209" s="1" t="str">
        <f>HYPERLINK("http://www.rosaceae.org/Prunus/Prunus_persica/p.persica_gdr_reftransV1_0000116","p.persica_gdr_reftransV1_0000116")</f>
        <v>p.persica_gdr_reftransV1_0000116</v>
      </c>
      <c r="B2209" s="3">
        <v>1339</v>
      </c>
      <c r="C2209" s="1" t="str">
        <f>HYPERLINK("http://www.uniprot.org/uniprot/ERG24_ARATH","ERG24_ARATH")</f>
        <v>ERG24_ARATH</v>
      </c>
      <c r="D2209" t="s">
        <v>2132</v>
      </c>
      <c r="E2209" s="3" t="s">
        <v>3</v>
      </c>
      <c r="F2209" s="4">
        <v>3.65E-153</v>
      </c>
      <c r="G2209" s="3">
        <v>1148</v>
      </c>
      <c r="H2209" s="3">
        <v>85</v>
      </c>
      <c r="I2209" s="3">
        <v>290</v>
      </c>
      <c r="J2209" s="3">
        <v>256</v>
      </c>
      <c r="K2209" s="3">
        <v>1125</v>
      </c>
      <c r="L2209" s="3">
        <v>80</v>
      </c>
      <c r="M2209" s="3">
        <v>369</v>
      </c>
    </row>
    <row r="2210" spans="1:13" x14ac:dyDescent="0.25">
      <c r="A2210" s="1" t="str">
        <f>HYPERLINK("http://www.rosaceae.org/Prunus/Prunus_persica/p.persica_gdr_reftransV1_0000216","p.persica_gdr_reftransV1_0000216")</f>
        <v>p.persica_gdr_reftransV1_0000216</v>
      </c>
      <c r="B2210" s="3">
        <v>754</v>
      </c>
      <c r="C2210" s="1" t="str">
        <f>HYPERLINK("http://www.uniprot.org/uniprot/PTR15_ARATH","PTR15_ARATH")</f>
        <v>PTR15_ARATH</v>
      </c>
      <c r="D2210" t="s">
        <v>2133</v>
      </c>
      <c r="E2210" s="3" t="s">
        <v>3</v>
      </c>
      <c r="F2210" s="4">
        <v>8.0200000000000003E-121</v>
      </c>
      <c r="G2210" s="3">
        <v>933</v>
      </c>
      <c r="H2210" s="3">
        <v>72</v>
      </c>
      <c r="I2210" s="3">
        <v>250</v>
      </c>
      <c r="J2210" s="3">
        <v>3</v>
      </c>
      <c r="K2210" s="3">
        <v>752</v>
      </c>
      <c r="L2210" s="3">
        <v>255</v>
      </c>
      <c r="M2210" s="3">
        <v>493</v>
      </c>
    </row>
    <row r="2211" spans="1:13" x14ac:dyDescent="0.25">
      <c r="A2211" s="1" t="str">
        <f>HYPERLINK("http://www.rosaceae.org/Prunus/Prunus_persica/p.persica_gdr_reftransV1_0000266","p.persica_gdr_reftransV1_0000266")</f>
        <v>p.persica_gdr_reftransV1_0000266</v>
      </c>
      <c r="B2211" s="3">
        <v>4368</v>
      </c>
      <c r="C2211" s="1" t="str">
        <f>HYPERLINK("http://www.uniprot.org/uniprot/DPOE1_ARATH","DPOE1_ARATH")</f>
        <v>DPOE1_ARATH</v>
      </c>
      <c r="D2211" t="s">
        <v>1246</v>
      </c>
      <c r="E2211" s="3" t="s">
        <v>3</v>
      </c>
      <c r="F2211" s="4">
        <v>0</v>
      </c>
      <c r="G2211" s="3">
        <v>4068</v>
      </c>
      <c r="H2211" s="3">
        <v>61</v>
      </c>
      <c r="I2211" s="3">
        <v>1305</v>
      </c>
      <c r="J2211" s="3">
        <v>3</v>
      </c>
      <c r="K2211" s="3">
        <v>3902</v>
      </c>
      <c r="L2211" s="3">
        <v>911</v>
      </c>
      <c r="M2211" s="3">
        <v>2156</v>
      </c>
    </row>
    <row r="2212" spans="1:13" x14ac:dyDescent="0.25">
      <c r="A2212" s="1" t="str">
        <f>HYPERLINK("http://www.rosaceae.org/Prunus/Prunus_persica/p.persica_gdr_reftransV1_0000316","p.persica_gdr_reftransV1_0000316")</f>
        <v>p.persica_gdr_reftransV1_0000316</v>
      </c>
      <c r="B2212" s="3">
        <v>2373</v>
      </c>
      <c r="C2212" s="1" t="str">
        <f>HYPERLINK("http://www.uniprot.org/uniprot/LUH_ARATH","LUH_ARATH")</f>
        <v>LUH_ARATH</v>
      </c>
      <c r="D2212" t="s">
        <v>2134</v>
      </c>
      <c r="E2212" s="3" t="s">
        <v>3</v>
      </c>
      <c r="F2212" s="4">
        <v>0</v>
      </c>
      <c r="G2212" s="3">
        <v>1650</v>
      </c>
      <c r="H2212" s="3">
        <v>61</v>
      </c>
      <c r="I2212" s="3">
        <v>590</v>
      </c>
      <c r="J2212" s="3">
        <v>427</v>
      </c>
      <c r="K2212" s="3">
        <v>2157</v>
      </c>
      <c r="L2212" s="3">
        <v>201</v>
      </c>
      <c r="M2212" s="3">
        <v>787</v>
      </c>
    </row>
    <row r="2213" spans="1:13" x14ac:dyDescent="0.25">
      <c r="A2213" s="1" t="str">
        <f>HYPERLINK("http://www.rosaceae.org/Prunus/Prunus_persica/p.persica_gdr_reftransV1_0000366","p.persica_gdr_reftransV1_0000366")</f>
        <v>p.persica_gdr_reftransV1_0000366</v>
      </c>
      <c r="B2213" s="3">
        <v>3146</v>
      </c>
      <c r="C2213" s="1" t="str">
        <f>HYPERLINK("http://www.uniprot.org/uniprot/CSCLA_ARATH","CSCLA_ARATH")</f>
        <v>CSCLA_ARATH</v>
      </c>
      <c r="D2213" t="s">
        <v>2135</v>
      </c>
      <c r="E2213" s="3" t="s">
        <v>3</v>
      </c>
      <c r="F2213" s="4">
        <v>0</v>
      </c>
      <c r="G2213" s="3">
        <v>2270</v>
      </c>
      <c r="H2213" s="3">
        <v>64</v>
      </c>
      <c r="I2213" s="3">
        <v>720</v>
      </c>
      <c r="J2213" s="3">
        <v>385</v>
      </c>
      <c r="K2213" s="3">
        <v>2529</v>
      </c>
      <c r="L2213" s="3">
        <v>1</v>
      </c>
      <c r="M2213" s="3">
        <v>720</v>
      </c>
    </row>
    <row r="2214" spans="1:13" x14ac:dyDescent="0.25">
      <c r="A2214" s="1" t="str">
        <f>HYPERLINK("http://www.rosaceae.org/Prunus/Prunus_persica/p.persica_gdr_reftransV1_0000416","p.persica_gdr_reftransV1_0000416")</f>
        <v>p.persica_gdr_reftransV1_0000416</v>
      </c>
      <c r="B2214" s="3">
        <v>2970</v>
      </c>
      <c r="C2214" s="1" t="str">
        <f>HYPERLINK("http://www.uniprot.org/uniprot/TTL1_ARATH","TTL1_ARATH")</f>
        <v>TTL1_ARATH</v>
      </c>
      <c r="D2214" t="s">
        <v>2136</v>
      </c>
      <c r="E2214" s="3" t="s">
        <v>3</v>
      </c>
      <c r="F2214" s="4">
        <v>0</v>
      </c>
      <c r="G2214" s="3">
        <v>1861</v>
      </c>
      <c r="H2214" s="3">
        <v>68</v>
      </c>
      <c r="I2214" s="3">
        <v>564</v>
      </c>
      <c r="J2214" s="3">
        <v>875</v>
      </c>
      <c r="K2214" s="3">
        <v>2518</v>
      </c>
      <c r="L2214" s="3">
        <v>136</v>
      </c>
      <c r="M2214" s="3">
        <v>698</v>
      </c>
    </row>
    <row r="2215" spans="1:13" x14ac:dyDescent="0.25">
      <c r="A2215" s="1" t="str">
        <f>HYPERLINK("http://www.rosaceae.org/Prunus/Prunus_persica/p.persica_gdr_reftransV1_0000516","p.persica_gdr_reftransV1_0000516")</f>
        <v>p.persica_gdr_reftransV1_0000516</v>
      </c>
      <c r="B2215" s="3">
        <v>2964</v>
      </c>
      <c r="C2215" s="1" t="str">
        <f>HYPERLINK("http://www.uniprot.org/uniprot/NEK6_ARATH","NEK6_ARATH")</f>
        <v>NEK6_ARATH</v>
      </c>
      <c r="D2215" t="s">
        <v>2137</v>
      </c>
      <c r="E2215" s="3" t="s">
        <v>3</v>
      </c>
      <c r="F2215" s="4">
        <v>3.8300000000000003E-161</v>
      </c>
      <c r="G2215" s="3">
        <v>1254</v>
      </c>
      <c r="H2215" s="3">
        <v>78</v>
      </c>
      <c r="I2215" s="3">
        <v>275</v>
      </c>
      <c r="J2215" s="3">
        <v>1954</v>
      </c>
      <c r="K2215" s="3">
        <v>2778</v>
      </c>
      <c r="L2215" s="3">
        <v>1</v>
      </c>
      <c r="M2215" s="3">
        <v>274</v>
      </c>
    </row>
    <row r="2216" spans="1:13" x14ac:dyDescent="0.25">
      <c r="A2216" s="1" t="str">
        <f>HYPERLINK("http://www.rosaceae.org/Prunus/Prunus_persica/p.persica_gdr_reftransV1_0000566","p.persica_gdr_reftransV1_0000566")</f>
        <v>p.persica_gdr_reftransV1_0000566</v>
      </c>
      <c r="B2216" s="3">
        <v>791</v>
      </c>
      <c r="C2216" s="1" t="str">
        <f>HYPERLINK("http://www.uniprot.org/uniprot/UAF30_SCHPO","UAF30_SCHPO")</f>
        <v>UAF30_SCHPO</v>
      </c>
      <c r="D2216" t="s">
        <v>2138</v>
      </c>
      <c r="E2216" s="3" t="s">
        <v>464</v>
      </c>
      <c r="F2216" s="4">
        <v>4.2399999999999999E-20</v>
      </c>
      <c r="G2216" s="3">
        <v>223</v>
      </c>
      <c r="H2216" s="3">
        <v>50</v>
      </c>
      <c r="I2216" s="3">
        <v>72</v>
      </c>
      <c r="J2216" s="3">
        <v>134</v>
      </c>
      <c r="K2216" s="3">
        <v>349</v>
      </c>
      <c r="L2216" s="3">
        <v>117</v>
      </c>
      <c r="M2216" s="3">
        <v>188</v>
      </c>
    </row>
    <row r="2217" spans="1:13" x14ac:dyDescent="0.25">
      <c r="A2217" s="1" t="str">
        <f>HYPERLINK("http://www.rosaceae.org/Prunus/Prunus_persica/p.persica_gdr_reftransV1_0000616","p.persica_gdr_reftransV1_0000616")</f>
        <v>p.persica_gdr_reftransV1_0000616</v>
      </c>
      <c r="B2217" s="3">
        <v>551</v>
      </c>
      <c r="C2217" s="1" t="str">
        <f>HYPERLINK("http://www.uniprot.org/uniprot/CAP13_ARATH","CAP13_ARATH")</f>
        <v>CAP13_ARATH</v>
      </c>
      <c r="D2217" t="s">
        <v>2139</v>
      </c>
      <c r="E2217" s="3" t="s">
        <v>3</v>
      </c>
      <c r="F2217" s="4">
        <v>1.7799999999999999E-33</v>
      </c>
      <c r="G2217" s="3">
        <v>319</v>
      </c>
      <c r="H2217" s="3">
        <v>48</v>
      </c>
      <c r="I2217" s="3">
        <v>138</v>
      </c>
      <c r="J2217" s="3">
        <v>79</v>
      </c>
      <c r="K2217" s="3">
        <v>492</v>
      </c>
      <c r="L2217" s="3">
        <v>167</v>
      </c>
      <c r="M2217" s="3">
        <v>289</v>
      </c>
    </row>
    <row r="2218" spans="1:13" x14ac:dyDescent="0.25">
      <c r="A2218" s="1" t="str">
        <f>HYPERLINK("http://www.rosaceae.org/Prunus/Prunus_persica/p.persica_gdr_reftransV1_0000766","p.persica_gdr_reftransV1_0000766")</f>
        <v>p.persica_gdr_reftransV1_0000766</v>
      </c>
      <c r="B2218" s="3">
        <v>1072</v>
      </c>
      <c r="C2218" s="1" t="str">
        <f>HYPERLINK("http://www.uniprot.org/uniprot/RS33_ARATH","RS33_ARATH")</f>
        <v>RS33_ARATH</v>
      </c>
      <c r="D2218" t="s">
        <v>2140</v>
      </c>
      <c r="E2218" s="3" t="s">
        <v>3</v>
      </c>
      <c r="F2218" s="4">
        <v>7.4699999999999993E-142</v>
      </c>
      <c r="G2218" s="3">
        <v>1052</v>
      </c>
      <c r="H2218" s="3">
        <v>92</v>
      </c>
      <c r="I2218" s="3">
        <v>213</v>
      </c>
      <c r="J2218" s="3">
        <v>153</v>
      </c>
      <c r="K2218" s="3">
        <v>791</v>
      </c>
      <c r="L2218" s="3">
        <v>7</v>
      </c>
      <c r="M2218" s="3">
        <v>219</v>
      </c>
    </row>
    <row r="2219" spans="1:13" x14ac:dyDescent="0.25">
      <c r="A2219" s="1" t="str">
        <f>HYPERLINK("http://www.rosaceae.org/Prunus/Prunus_persica/p.persica_gdr_reftransV1_0000816","p.persica_gdr_reftransV1_0000816")</f>
        <v>p.persica_gdr_reftransV1_0000816</v>
      </c>
      <c r="B2219" s="3">
        <v>495</v>
      </c>
      <c r="C2219" s="1" t="str">
        <f>HYPERLINK("http://www.uniprot.org/uniprot/ERL2_ARATH","ERL2_ARATH")</f>
        <v>ERL2_ARATH</v>
      </c>
      <c r="D2219" t="s">
        <v>2141</v>
      </c>
      <c r="E2219" s="3" t="s">
        <v>3</v>
      </c>
      <c r="F2219" s="4">
        <v>3.5800000000000002E-38</v>
      </c>
      <c r="G2219" s="3">
        <v>361</v>
      </c>
      <c r="H2219" s="3">
        <v>85</v>
      </c>
      <c r="I2219" s="3">
        <v>91</v>
      </c>
      <c r="J2219" s="3">
        <v>221</v>
      </c>
      <c r="K2219" s="3">
        <v>493</v>
      </c>
      <c r="L2219" s="3">
        <v>29</v>
      </c>
      <c r="M2219" s="3">
        <v>119</v>
      </c>
    </row>
    <row r="2220" spans="1:13" x14ac:dyDescent="0.25">
      <c r="A2220" s="1" t="str">
        <f>HYPERLINK("http://www.rosaceae.org/Prunus/Prunus_persica/p.persica_gdr_reftransV1_0000866","p.persica_gdr_reftransV1_0000866")</f>
        <v>p.persica_gdr_reftransV1_0000866</v>
      </c>
      <c r="B2220" s="3">
        <v>1173</v>
      </c>
      <c r="C2220" s="1" t="str">
        <f>HYPERLINK("http://www.uniprot.org/uniprot/IFRH_LUPAL","IFRH_LUPAL")</f>
        <v>IFRH_LUPAL</v>
      </c>
      <c r="D2220" t="s">
        <v>2142</v>
      </c>
      <c r="E2220" s="3" t="s">
        <v>2143</v>
      </c>
      <c r="F2220" s="4">
        <v>0</v>
      </c>
      <c r="G2220" s="3">
        <v>1331</v>
      </c>
      <c r="H2220" s="3">
        <v>78</v>
      </c>
      <c r="I2220" s="3">
        <v>311</v>
      </c>
      <c r="J2220" s="3">
        <v>223</v>
      </c>
      <c r="K2220" s="3">
        <v>1155</v>
      </c>
      <c r="L2220" s="3">
        <v>1</v>
      </c>
      <c r="M2220" s="3">
        <v>311</v>
      </c>
    </row>
    <row r="2221" spans="1:13" x14ac:dyDescent="0.25">
      <c r="A2221" s="1" t="str">
        <f>HYPERLINK("http://www.rosaceae.org/Prunus/Prunus_persica/p.persica_gdr_reftransV1_0000916","p.persica_gdr_reftransV1_0000916")</f>
        <v>p.persica_gdr_reftransV1_0000916</v>
      </c>
      <c r="B2221" s="3">
        <v>409</v>
      </c>
      <c r="C2221" s="1" t="str">
        <f>HYPERLINK("http://www.uniprot.org/uniprot/SCP6_ARATH","SCP6_ARATH")</f>
        <v>SCP6_ARATH</v>
      </c>
      <c r="D2221" t="s">
        <v>2144</v>
      </c>
      <c r="E2221" s="3" t="s">
        <v>3</v>
      </c>
      <c r="F2221" s="4">
        <v>6.2800000000000003E-40</v>
      </c>
      <c r="G2221" s="3">
        <v>362</v>
      </c>
      <c r="H2221" s="3">
        <v>56</v>
      </c>
      <c r="I2221" s="3">
        <v>121</v>
      </c>
      <c r="J2221" s="3">
        <v>41</v>
      </c>
      <c r="K2221" s="3">
        <v>403</v>
      </c>
      <c r="L2221" s="3">
        <v>170</v>
      </c>
      <c r="M2221" s="3">
        <v>290</v>
      </c>
    </row>
    <row r="2222" spans="1:13" x14ac:dyDescent="0.25">
      <c r="A2222" s="1" t="str">
        <f>HYPERLINK("http://www.rosaceae.org/Prunus/Prunus_persica/p.persica_gdr_reftransV1_0000966","p.persica_gdr_reftransV1_0000966")</f>
        <v>p.persica_gdr_reftransV1_0000966</v>
      </c>
      <c r="B2222" s="3">
        <v>2175</v>
      </c>
      <c r="C2222" s="1" t="str">
        <f>HYPERLINK("http://www.uniprot.org/uniprot/PPO_MALDO","PPO_MALDO")</f>
        <v>PPO_MALDO</v>
      </c>
      <c r="D2222" t="s">
        <v>2145</v>
      </c>
      <c r="E2222" s="3" t="s">
        <v>540</v>
      </c>
      <c r="F2222" s="4">
        <v>0</v>
      </c>
      <c r="G2222" s="3">
        <v>1545</v>
      </c>
      <c r="H2222" s="3">
        <v>55</v>
      </c>
      <c r="I2222" s="3">
        <v>563</v>
      </c>
      <c r="J2222" s="3">
        <v>280</v>
      </c>
      <c r="K2222" s="3">
        <v>1917</v>
      </c>
      <c r="L2222" s="3">
        <v>38</v>
      </c>
      <c r="M2222" s="3">
        <v>591</v>
      </c>
    </row>
    <row r="2223" spans="1:13" x14ac:dyDescent="0.25">
      <c r="A2223" s="1" t="str">
        <f>HYPERLINK("http://www.rosaceae.org/Prunus/Prunus_persica/p.persica_gdr_reftransV1_0001016","p.persica_gdr_reftransV1_0001016")</f>
        <v>p.persica_gdr_reftransV1_0001016</v>
      </c>
      <c r="B2223" s="3">
        <v>453</v>
      </c>
      <c r="C2223" s="1" t="str">
        <f>HYPERLINK("http://www.uniprot.org/uniprot/MTDH_FRAAN","MTDH_FRAAN")</f>
        <v>MTDH_FRAAN</v>
      </c>
      <c r="D2223" t="s">
        <v>54</v>
      </c>
      <c r="E2223" s="3" t="s">
        <v>15</v>
      </c>
      <c r="F2223" s="4">
        <v>6.3100000000000001E-44</v>
      </c>
      <c r="G2223" s="3">
        <v>387</v>
      </c>
      <c r="H2223" s="3">
        <v>57</v>
      </c>
      <c r="I2223" s="3">
        <v>150</v>
      </c>
      <c r="J2223" s="3">
        <v>3</v>
      </c>
      <c r="K2223" s="3">
        <v>452</v>
      </c>
      <c r="L2223" s="3">
        <v>208</v>
      </c>
      <c r="M2223" s="3">
        <v>316</v>
      </c>
    </row>
    <row r="2224" spans="1:13" x14ac:dyDescent="0.25">
      <c r="A2224" s="1" t="str">
        <f>HYPERLINK("http://www.rosaceae.org/Prunus/Prunus_persica/p.persica_gdr_reftransV1_0001116","p.persica_gdr_reftransV1_0001116")</f>
        <v>p.persica_gdr_reftransV1_0001116</v>
      </c>
      <c r="B2224" s="3">
        <v>1731</v>
      </c>
      <c r="C2224" s="1" t="str">
        <f>HYPERLINK("http://www.uniprot.org/uniprot/COLX_ARATH","COLX_ARATH")</f>
        <v>COLX_ARATH</v>
      </c>
      <c r="D2224" t="s">
        <v>2146</v>
      </c>
      <c r="E2224" s="3" t="s">
        <v>3</v>
      </c>
      <c r="F2224" s="4">
        <v>4.7199999999999998E-60</v>
      </c>
      <c r="G2224" s="3">
        <v>532</v>
      </c>
      <c r="H2224" s="3">
        <v>34</v>
      </c>
      <c r="I2224" s="3">
        <v>459</v>
      </c>
      <c r="J2224" s="3">
        <v>120</v>
      </c>
      <c r="K2224" s="3">
        <v>1484</v>
      </c>
      <c r="L2224" s="3">
        <v>7</v>
      </c>
      <c r="M2224" s="3">
        <v>355</v>
      </c>
    </row>
    <row r="2225" spans="1:13" x14ac:dyDescent="0.25">
      <c r="A2225" s="1" t="str">
        <f>HYPERLINK("http://www.rosaceae.org/Prunus/Prunus_persica/p.persica_gdr_reftransV1_0001166","p.persica_gdr_reftransV1_0001166")</f>
        <v>p.persica_gdr_reftransV1_0001166</v>
      </c>
      <c r="B2225" s="3">
        <v>3287</v>
      </c>
      <c r="C2225" s="1" t="str">
        <f>HYPERLINK("http://www.uniprot.org/uniprot/CESA7_ARATH","CESA7_ARATH")</f>
        <v>CESA7_ARATH</v>
      </c>
      <c r="D2225" t="s">
        <v>2147</v>
      </c>
      <c r="E2225" s="3" t="s">
        <v>3</v>
      </c>
      <c r="F2225" s="4">
        <v>0</v>
      </c>
      <c r="G2225" s="3">
        <v>4138</v>
      </c>
      <c r="H2225" s="3">
        <v>83</v>
      </c>
      <c r="I2225" s="3">
        <v>998</v>
      </c>
      <c r="J2225" s="3">
        <v>292</v>
      </c>
      <c r="K2225" s="3">
        <v>3285</v>
      </c>
      <c r="L2225" s="3">
        <v>72</v>
      </c>
      <c r="M2225" s="3">
        <v>1026</v>
      </c>
    </row>
    <row r="2226" spans="1:13" x14ac:dyDescent="0.25">
      <c r="A2226" s="1" t="str">
        <f>HYPERLINK("http://www.rosaceae.org/Prunus/Prunus_persica/p.persica_gdr_reftransV1_0001266","p.persica_gdr_reftransV1_0001266")</f>
        <v>p.persica_gdr_reftransV1_0001266</v>
      </c>
      <c r="B2226" s="3">
        <v>2422</v>
      </c>
      <c r="C2226" s="1" t="str">
        <f>HYPERLINK("http://www.uniprot.org/uniprot/PTR49_ARATH","PTR49_ARATH")</f>
        <v>PTR49_ARATH</v>
      </c>
      <c r="D2226" t="s">
        <v>2148</v>
      </c>
      <c r="E2226" s="3" t="s">
        <v>3</v>
      </c>
      <c r="F2226" s="4">
        <v>0</v>
      </c>
      <c r="G2226" s="3">
        <v>2478</v>
      </c>
      <c r="H2226" s="3">
        <v>80</v>
      </c>
      <c r="I2226" s="3">
        <v>615</v>
      </c>
      <c r="J2226" s="3">
        <v>306</v>
      </c>
      <c r="K2226" s="3">
        <v>2150</v>
      </c>
      <c r="L2226" s="3">
        <v>1</v>
      </c>
      <c r="M2226" s="3">
        <v>611</v>
      </c>
    </row>
    <row r="2227" spans="1:13" x14ac:dyDescent="0.25">
      <c r="A2227" s="1" t="str">
        <f>HYPERLINK("http://www.rosaceae.org/Prunus/Prunus_persica/p.persica_gdr_reftransV1_0001416","p.persica_gdr_reftransV1_0001416")</f>
        <v>p.persica_gdr_reftransV1_0001416</v>
      </c>
      <c r="B2227" s="3">
        <v>815</v>
      </c>
      <c r="C2227" s="1" t="str">
        <f>HYPERLINK("http://www.uniprot.org/uniprot/Y1815_ARATH","Y1815_ARATH")</f>
        <v>Y1815_ARATH</v>
      </c>
      <c r="D2227" t="s">
        <v>2149</v>
      </c>
      <c r="E2227" s="3" t="s">
        <v>3</v>
      </c>
      <c r="F2227" s="4">
        <v>7.2799999999999995E-29</v>
      </c>
      <c r="G2227" s="3">
        <v>279</v>
      </c>
      <c r="H2227" s="3">
        <v>76</v>
      </c>
      <c r="I2227" s="3">
        <v>74</v>
      </c>
      <c r="J2227" s="3">
        <v>313</v>
      </c>
      <c r="K2227" s="3">
        <v>531</v>
      </c>
      <c r="L2227" s="3">
        <v>50</v>
      </c>
      <c r="M2227" s="3">
        <v>123</v>
      </c>
    </row>
    <row r="2228" spans="1:13" x14ac:dyDescent="0.25">
      <c r="A2228" s="1" t="str">
        <f>HYPERLINK("http://www.rosaceae.org/Prunus/Prunus_persica/p.persica_gdr_reftransV1_0001466","p.persica_gdr_reftransV1_0001466")</f>
        <v>p.persica_gdr_reftransV1_0001466</v>
      </c>
      <c r="B2228" s="3">
        <v>3193</v>
      </c>
      <c r="C2228" s="1" t="str">
        <f>HYPERLINK("http://www.uniprot.org/uniprot/SPA3_ARATH","SPA3_ARATH")</f>
        <v>SPA3_ARATH</v>
      </c>
      <c r="D2228" t="s">
        <v>2150</v>
      </c>
      <c r="E2228" s="3" t="s">
        <v>3</v>
      </c>
      <c r="F2228" s="4">
        <v>0</v>
      </c>
      <c r="G2228" s="3">
        <v>1995</v>
      </c>
      <c r="H2228" s="3">
        <v>61</v>
      </c>
      <c r="I2228" s="3">
        <v>718</v>
      </c>
      <c r="J2228" s="3">
        <v>861</v>
      </c>
      <c r="K2228" s="3">
        <v>2981</v>
      </c>
      <c r="L2228" s="3">
        <v>1</v>
      </c>
      <c r="M2228" s="3">
        <v>660</v>
      </c>
    </row>
    <row r="2229" spans="1:13" x14ac:dyDescent="0.25">
      <c r="A2229" s="1" t="str">
        <f>HYPERLINK("http://www.rosaceae.org/Prunus/Prunus_persica/p.persica_gdr_reftransV1_0001566","p.persica_gdr_reftransV1_0001566")</f>
        <v>p.persica_gdr_reftransV1_0001566</v>
      </c>
      <c r="B2229" s="3">
        <v>1944</v>
      </c>
      <c r="C2229" s="1" t="str">
        <f>HYPERLINK("http://www.uniprot.org/uniprot/SUC4_ARATH","SUC4_ARATH")</f>
        <v>SUC4_ARATH</v>
      </c>
      <c r="D2229" t="s">
        <v>2151</v>
      </c>
      <c r="E2229" s="3" t="s">
        <v>3</v>
      </c>
      <c r="F2229" s="4">
        <v>8.9900000000000005E-179</v>
      </c>
      <c r="G2229" s="3">
        <v>1351</v>
      </c>
      <c r="H2229" s="3">
        <v>70</v>
      </c>
      <c r="I2229" s="3">
        <v>408</v>
      </c>
      <c r="J2229" s="3">
        <v>720</v>
      </c>
      <c r="K2229" s="3">
        <v>1943</v>
      </c>
      <c r="L2229" s="3">
        <v>105</v>
      </c>
      <c r="M2229" s="3">
        <v>506</v>
      </c>
    </row>
    <row r="2230" spans="1:13" x14ac:dyDescent="0.25">
      <c r="A2230" s="1" t="str">
        <f>HYPERLINK("http://www.rosaceae.org/Prunus/Prunus_persica/p.persica_gdr_reftransV1_0001616","p.persica_gdr_reftransV1_0001616")</f>
        <v>p.persica_gdr_reftransV1_0001616</v>
      </c>
      <c r="B2230" s="3">
        <v>1424</v>
      </c>
      <c r="C2230" s="1" t="str">
        <f>HYPERLINK("http://www.uniprot.org/uniprot/LEAD8_DAUCA","LEAD8_DAUCA")</f>
        <v>LEAD8_DAUCA</v>
      </c>
      <c r="D2230" t="s">
        <v>2152</v>
      </c>
      <c r="E2230" s="3" t="s">
        <v>32</v>
      </c>
      <c r="F2230" s="4">
        <v>3.29E-10</v>
      </c>
      <c r="G2230" s="3">
        <v>159</v>
      </c>
      <c r="H2230" s="3">
        <v>46</v>
      </c>
      <c r="I2230" s="3">
        <v>97</v>
      </c>
      <c r="J2230" s="3">
        <v>369</v>
      </c>
      <c r="K2230" s="3">
        <v>644</v>
      </c>
      <c r="L2230" s="3">
        <v>442</v>
      </c>
      <c r="M2230" s="3">
        <v>538</v>
      </c>
    </row>
    <row r="2231" spans="1:13" x14ac:dyDescent="0.25">
      <c r="A2231" s="1" t="str">
        <f>HYPERLINK("http://www.rosaceae.org/Prunus/Prunus_persica/p.persica_gdr_reftransV1_0001666","p.persica_gdr_reftransV1_0001666")</f>
        <v>p.persica_gdr_reftransV1_0001666</v>
      </c>
      <c r="B2231" s="3">
        <v>391</v>
      </c>
      <c r="C2231" s="1" t="str">
        <f>HYPERLINK("http://www.uniprot.org/uniprot/GLR36_ARATH","GLR36_ARATH")</f>
        <v>GLR36_ARATH</v>
      </c>
      <c r="D2231" t="s">
        <v>1470</v>
      </c>
      <c r="E2231" s="3" t="s">
        <v>3</v>
      </c>
      <c r="F2231" s="4">
        <v>2.9799999999999998E-50</v>
      </c>
      <c r="G2231" s="3">
        <v>445</v>
      </c>
      <c r="H2231" s="3">
        <v>61</v>
      </c>
      <c r="I2231" s="3">
        <v>130</v>
      </c>
      <c r="J2231" s="3">
        <v>1</v>
      </c>
      <c r="K2231" s="3">
        <v>390</v>
      </c>
      <c r="L2231" s="3">
        <v>62</v>
      </c>
      <c r="M2231" s="3">
        <v>190</v>
      </c>
    </row>
    <row r="2232" spans="1:13" x14ac:dyDescent="0.25">
      <c r="A2232" s="1" t="str">
        <f>HYPERLINK("http://www.rosaceae.org/Prunus/Prunus_persica/p.persica_gdr_reftransV1_0001866","p.persica_gdr_reftransV1_0001866")</f>
        <v>p.persica_gdr_reftransV1_0001866</v>
      </c>
      <c r="B2232" s="3">
        <v>377</v>
      </c>
      <c r="C2232" s="1" t="str">
        <f>HYPERLINK("http://www.uniprot.org/uniprot/PTR42_ARATH","PTR42_ARATH")</f>
        <v>PTR42_ARATH</v>
      </c>
      <c r="D2232" t="s">
        <v>2153</v>
      </c>
      <c r="E2232" s="3" t="s">
        <v>3</v>
      </c>
      <c r="F2232" s="4">
        <v>2.5099999999999999E-42</v>
      </c>
      <c r="G2232" s="3">
        <v>381</v>
      </c>
      <c r="H2232" s="3">
        <v>59</v>
      </c>
      <c r="I2232" s="3">
        <v>108</v>
      </c>
      <c r="J2232" s="3">
        <v>5</v>
      </c>
      <c r="K2232" s="3">
        <v>328</v>
      </c>
      <c r="L2232" s="3">
        <v>438</v>
      </c>
      <c r="M2232" s="3">
        <v>545</v>
      </c>
    </row>
    <row r="2233" spans="1:13" x14ac:dyDescent="0.25">
      <c r="A2233" s="1" t="str">
        <f>HYPERLINK("http://www.rosaceae.org/Prunus/Prunus_persica/p.persica_gdr_reftransV1_0001916","p.persica_gdr_reftransV1_0001916")</f>
        <v>p.persica_gdr_reftransV1_0001916</v>
      </c>
      <c r="B2233" s="3">
        <v>2544</v>
      </c>
      <c r="C2233" s="1" t="str">
        <f>HYPERLINK("http://www.uniprot.org/uniprot/UVR8_ARATH","UVR8_ARATH")</f>
        <v>UVR8_ARATH</v>
      </c>
      <c r="D2233" t="s">
        <v>2154</v>
      </c>
      <c r="E2233" s="3" t="s">
        <v>3</v>
      </c>
      <c r="F2233" s="4">
        <v>1.0800000000000001E-33</v>
      </c>
      <c r="G2233" s="3">
        <v>350</v>
      </c>
      <c r="H2233" s="3">
        <v>40</v>
      </c>
      <c r="I2233" s="3">
        <v>188</v>
      </c>
      <c r="J2233" s="3">
        <v>1214</v>
      </c>
      <c r="K2233" s="3">
        <v>1771</v>
      </c>
      <c r="L2233" s="3">
        <v>53</v>
      </c>
      <c r="M2233" s="3">
        <v>237</v>
      </c>
    </row>
    <row r="2234" spans="1:13" x14ac:dyDescent="0.25">
      <c r="A2234" s="1" t="str">
        <f>HYPERLINK("http://www.rosaceae.org/Prunus/Prunus_persica/p.persica_gdr_reftransV1_0001966","p.persica_gdr_reftransV1_0001966")</f>
        <v>p.persica_gdr_reftransV1_0001966</v>
      </c>
      <c r="B2234" s="3">
        <v>890</v>
      </c>
      <c r="C2234" s="1" t="str">
        <f>HYPERLINK("http://www.uniprot.org/uniprot/AKRC9_ARATH","AKRC9_ARATH")</f>
        <v>AKRC9_ARATH</v>
      </c>
      <c r="D2234" t="s">
        <v>2155</v>
      </c>
      <c r="E2234" s="3" t="s">
        <v>3</v>
      </c>
      <c r="F2234" s="4">
        <v>2.55E-142</v>
      </c>
      <c r="G2234" s="3">
        <v>1055</v>
      </c>
      <c r="H2234" s="3">
        <v>79</v>
      </c>
      <c r="I2234" s="3">
        <v>242</v>
      </c>
      <c r="J2234" s="3">
        <v>3</v>
      </c>
      <c r="K2234" s="3">
        <v>728</v>
      </c>
      <c r="L2234" s="3">
        <v>74</v>
      </c>
      <c r="M2234" s="3">
        <v>315</v>
      </c>
    </row>
    <row r="2235" spans="1:13" x14ac:dyDescent="0.25">
      <c r="A2235" s="1" t="str">
        <f>HYPERLINK("http://www.rosaceae.org/Prunus/Prunus_persica/p.persica_gdr_reftransV1_0002016","p.persica_gdr_reftransV1_0002016")</f>
        <v>p.persica_gdr_reftransV1_0002016</v>
      </c>
      <c r="B2235" s="3">
        <v>658</v>
      </c>
      <c r="C2235" s="1" t="str">
        <f>HYPERLINK("http://www.uniprot.org/uniprot/XTH22_ARATH","XTH22_ARATH")</f>
        <v>XTH22_ARATH</v>
      </c>
      <c r="D2235" t="s">
        <v>2156</v>
      </c>
      <c r="E2235" s="3" t="s">
        <v>3</v>
      </c>
      <c r="F2235" s="4">
        <v>3.59E-75</v>
      </c>
      <c r="G2235" s="3">
        <v>599</v>
      </c>
      <c r="H2235" s="3">
        <v>68</v>
      </c>
      <c r="I2235" s="3">
        <v>160</v>
      </c>
      <c r="J2235" s="3">
        <v>178</v>
      </c>
      <c r="K2235" s="3">
        <v>657</v>
      </c>
      <c r="L2235" s="3">
        <v>125</v>
      </c>
      <c r="M2235" s="3">
        <v>281</v>
      </c>
    </row>
    <row r="2236" spans="1:13" x14ac:dyDescent="0.25">
      <c r="A2236" s="1" t="str">
        <f>HYPERLINK("http://www.rosaceae.org/Prunus/Prunus_persica/p.persica_gdr_reftransV1_0002066","p.persica_gdr_reftransV1_0002066")</f>
        <v>p.persica_gdr_reftransV1_0002066</v>
      </c>
      <c r="B2236" s="3">
        <v>459</v>
      </c>
      <c r="C2236" s="1" t="str">
        <f>HYPERLINK("http://www.uniprot.org/uniprot/PLT6_ARATH","PLT6_ARATH")</f>
        <v>PLT6_ARATH</v>
      </c>
      <c r="D2236" t="s">
        <v>772</v>
      </c>
      <c r="E2236" s="3" t="s">
        <v>3</v>
      </c>
      <c r="F2236" s="4">
        <v>3.5500000000000002E-34</v>
      </c>
      <c r="G2236" s="3">
        <v>323</v>
      </c>
      <c r="H2236" s="3">
        <v>76</v>
      </c>
      <c r="I2236" s="3">
        <v>80</v>
      </c>
      <c r="J2236" s="3">
        <v>1</v>
      </c>
      <c r="K2236" s="3">
        <v>240</v>
      </c>
      <c r="L2236" s="3">
        <v>6</v>
      </c>
      <c r="M2236" s="3">
        <v>85</v>
      </c>
    </row>
    <row r="2237" spans="1:13" x14ac:dyDescent="0.25">
      <c r="A2237" s="1" t="str">
        <f>HYPERLINK("http://www.rosaceae.org/Prunus/Prunus_persica/p.persica_gdr_reftransV1_0002116","p.persica_gdr_reftransV1_0002116")</f>
        <v>p.persica_gdr_reftransV1_0002116</v>
      </c>
      <c r="B2237" s="3">
        <v>379</v>
      </c>
      <c r="C2237" s="1" t="str">
        <f>HYPERLINK("http://www.uniprot.org/uniprot/NUDT1_ARATH","NUDT1_ARATH")</f>
        <v>NUDT1_ARATH</v>
      </c>
      <c r="D2237" t="s">
        <v>1177</v>
      </c>
      <c r="E2237" s="3" t="s">
        <v>3</v>
      </c>
      <c r="F2237" s="4">
        <v>9.0400000000000005E-39</v>
      </c>
      <c r="G2237" s="3">
        <v>335</v>
      </c>
      <c r="H2237" s="3">
        <v>61</v>
      </c>
      <c r="I2237" s="3">
        <v>109</v>
      </c>
      <c r="J2237" s="3">
        <v>51</v>
      </c>
      <c r="K2237" s="3">
        <v>377</v>
      </c>
      <c r="L2237" s="3">
        <v>36</v>
      </c>
      <c r="M2237" s="3">
        <v>141</v>
      </c>
    </row>
    <row r="2238" spans="1:13" x14ac:dyDescent="0.25">
      <c r="A2238" s="1" t="str">
        <f>HYPERLINK("http://www.rosaceae.org/Prunus/Prunus_persica/p.persica_gdr_reftransV1_0002166","p.persica_gdr_reftransV1_0002166")</f>
        <v>p.persica_gdr_reftransV1_0002166</v>
      </c>
      <c r="B2238" s="3">
        <v>3169</v>
      </c>
      <c r="C2238" s="1" t="str">
        <f>HYPERLINK("http://www.uniprot.org/uniprot/SYT3_ARATH","SYT3_ARATH")</f>
        <v>SYT3_ARATH</v>
      </c>
      <c r="D2238" t="s">
        <v>570</v>
      </c>
      <c r="E2238" s="3" t="s">
        <v>3</v>
      </c>
      <c r="F2238" s="4">
        <v>3.1599999999999999E-12</v>
      </c>
      <c r="G2238" s="3">
        <v>181</v>
      </c>
      <c r="H2238" s="3">
        <v>24</v>
      </c>
      <c r="I2238" s="3">
        <v>291</v>
      </c>
      <c r="J2238" s="3">
        <v>1192</v>
      </c>
      <c r="K2238" s="3">
        <v>2049</v>
      </c>
      <c r="L2238" s="3">
        <v>69</v>
      </c>
      <c r="M2238" s="3">
        <v>333</v>
      </c>
    </row>
    <row r="2239" spans="1:13" x14ac:dyDescent="0.25">
      <c r="A2239" s="1" t="str">
        <f>HYPERLINK("http://www.rosaceae.org/Prunus/Prunus_persica/p.persica_gdr_reftransV1_0002216","p.persica_gdr_reftransV1_0002216")</f>
        <v>p.persica_gdr_reftransV1_0002216</v>
      </c>
      <c r="B2239" s="3">
        <v>495</v>
      </c>
      <c r="C2239" s="1" t="str">
        <f>HYPERLINK("http://www.uniprot.org/uniprot/PLY15_ARATH","PLY15_ARATH")</f>
        <v>PLY15_ARATH</v>
      </c>
      <c r="D2239" t="s">
        <v>2157</v>
      </c>
      <c r="E2239" s="3" t="s">
        <v>3</v>
      </c>
      <c r="F2239" s="4">
        <v>2.7900000000000002E-110</v>
      </c>
      <c r="G2239" s="3">
        <v>842</v>
      </c>
      <c r="H2239" s="3">
        <v>91</v>
      </c>
      <c r="I2239" s="3">
        <v>165</v>
      </c>
      <c r="J2239" s="3">
        <v>1</v>
      </c>
      <c r="K2239" s="3">
        <v>495</v>
      </c>
      <c r="L2239" s="3">
        <v>201</v>
      </c>
      <c r="M2239" s="3">
        <v>365</v>
      </c>
    </row>
    <row r="2240" spans="1:13" x14ac:dyDescent="0.25">
      <c r="A2240" s="1" t="str">
        <f>HYPERLINK("http://www.rosaceae.org/Prunus/Prunus_persica/p.persica_gdr_reftransV1_0002316","p.persica_gdr_reftransV1_0002316")</f>
        <v>p.persica_gdr_reftransV1_0002316</v>
      </c>
      <c r="B2240" s="3">
        <v>925</v>
      </c>
      <c r="C2240" s="1" t="str">
        <f>HYPERLINK("http://www.uniprot.org/uniprot/C71AQ_ARATH","C71AQ_ARATH")</f>
        <v>C71AQ_ARATH</v>
      </c>
      <c r="D2240" t="s">
        <v>2158</v>
      </c>
      <c r="E2240" s="3" t="s">
        <v>3</v>
      </c>
      <c r="F2240" s="4">
        <v>1.0600000000000001E-80</v>
      </c>
      <c r="G2240" s="3">
        <v>662</v>
      </c>
      <c r="H2240" s="3">
        <v>55</v>
      </c>
      <c r="I2240" s="3">
        <v>245</v>
      </c>
      <c r="J2240" s="3">
        <v>5</v>
      </c>
      <c r="K2240" s="3">
        <v>739</v>
      </c>
      <c r="L2240" s="3">
        <v>40</v>
      </c>
      <c r="M2240" s="3">
        <v>267</v>
      </c>
    </row>
    <row r="2241" spans="1:13" x14ac:dyDescent="0.25">
      <c r="A2241" s="1" t="str">
        <f>HYPERLINK("http://www.rosaceae.org/Prunus/Prunus_persica/p.persica_gdr_reftransV1_0002416","p.persica_gdr_reftransV1_0002416")</f>
        <v>p.persica_gdr_reftransV1_0002416</v>
      </c>
      <c r="B2241" s="3">
        <v>357</v>
      </c>
      <c r="C2241" s="1" t="str">
        <f>HYPERLINK("http://www.uniprot.org/uniprot/CISY_NEUCR","CISY_NEUCR")</f>
        <v>CISY_NEUCR</v>
      </c>
      <c r="D2241" t="s">
        <v>2159</v>
      </c>
      <c r="E2241" s="3" t="s">
        <v>435</v>
      </c>
      <c r="F2241" s="4">
        <v>1.2799999999999999E-73</v>
      </c>
      <c r="G2241" s="3">
        <v>592</v>
      </c>
      <c r="H2241" s="3">
        <v>90</v>
      </c>
      <c r="I2241" s="3">
        <v>118</v>
      </c>
      <c r="J2241" s="3">
        <v>2</v>
      </c>
      <c r="K2241" s="3">
        <v>355</v>
      </c>
      <c r="L2241" s="3">
        <v>151</v>
      </c>
      <c r="M2241" s="3">
        <v>268</v>
      </c>
    </row>
    <row r="2242" spans="1:13" x14ac:dyDescent="0.25">
      <c r="A2242" s="1" t="str">
        <f>HYPERLINK("http://www.rosaceae.org/Prunus/Prunus_persica/p.persica_gdr_reftransV1_0002466","p.persica_gdr_reftransV1_0002466")</f>
        <v>p.persica_gdr_reftransV1_0002466</v>
      </c>
      <c r="B2242" s="3">
        <v>646</v>
      </c>
      <c r="C2242" s="1" t="str">
        <f>HYPERLINK("http://www.uniprot.org/uniprot/YIZG_SCHPO","YIZG_SCHPO")</f>
        <v>YIZG_SCHPO</v>
      </c>
      <c r="D2242" t="s">
        <v>2160</v>
      </c>
      <c r="E2242" s="3" t="s">
        <v>464</v>
      </c>
      <c r="F2242" s="4">
        <v>1.2E-34</v>
      </c>
      <c r="G2242" s="3">
        <v>333</v>
      </c>
      <c r="H2242" s="3">
        <v>42</v>
      </c>
      <c r="I2242" s="3">
        <v>193</v>
      </c>
      <c r="J2242" s="3">
        <v>42</v>
      </c>
      <c r="K2242" s="3">
        <v>617</v>
      </c>
      <c r="L2242" s="3">
        <v>46</v>
      </c>
      <c r="M2242" s="3">
        <v>238</v>
      </c>
    </row>
    <row r="2243" spans="1:13" x14ac:dyDescent="0.25">
      <c r="A2243" s="1" t="str">
        <f>HYPERLINK("http://www.rosaceae.org/Prunus/Prunus_persica/p.persica_gdr_reftransV1_0002516","p.persica_gdr_reftransV1_0002516")</f>
        <v>p.persica_gdr_reftransV1_0002516</v>
      </c>
      <c r="B2243" s="3">
        <v>1860</v>
      </c>
      <c r="C2243" s="1" t="str">
        <f>HYPERLINK("http://www.uniprot.org/uniprot/INV1_DAUCA","INV1_DAUCA")</f>
        <v>INV1_DAUCA</v>
      </c>
      <c r="D2243" t="s">
        <v>1092</v>
      </c>
      <c r="E2243" s="3" t="s">
        <v>32</v>
      </c>
      <c r="F2243" s="4">
        <v>0</v>
      </c>
      <c r="G2243" s="3">
        <v>2168</v>
      </c>
      <c r="H2243" s="3">
        <v>70</v>
      </c>
      <c r="I2243" s="3">
        <v>579</v>
      </c>
      <c r="J2243" s="3">
        <v>28</v>
      </c>
      <c r="K2243" s="3">
        <v>1749</v>
      </c>
      <c r="L2243" s="3">
        <v>18</v>
      </c>
      <c r="M2243" s="3">
        <v>592</v>
      </c>
    </row>
    <row r="2244" spans="1:13" x14ac:dyDescent="0.25">
      <c r="A2244" s="1" t="str">
        <f>HYPERLINK("http://www.rosaceae.org/Prunus/Prunus_persica/p.persica_gdr_reftransV1_0002666","p.persica_gdr_reftransV1_0002666")</f>
        <v>p.persica_gdr_reftransV1_0002666</v>
      </c>
      <c r="B2244" s="3">
        <v>662</v>
      </c>
      <c r="C2244" s="1" t="str">
        <f>HYPERLINK("http://www.uniprot.org/uniprot/SLSG6_BRAOL","SLSG6_BRAOL")</f>
        <v>SLSG6_BRAOL</v>
      </c>
      <c r="D2244" t="s">
        <v>2161</v>
      </c>
      <c r="E2244" s="3" t="s">
        <v>1308</v>
      </c>
      <c r="F2244" s="4">
        <v>2.8300000000000001E-53</v>
      </c>
      <c r="G2244" s="3">
        <v>463</v>
      </c>
      <c r="H2244" s="3">
        <v>46</v>
      </c>
      <c r="I2244" s="3">
        <v>218</v>
      </c>
      <c r="J2244" s="3">
        <v>17</v>
      </c>
      <c r="K2244" s="3">
        <v>661</v>
      </c>
      <c r="L2244" s="3">
        <v>58</v>
      </c>
      <c r="M2244" s="3">
        <v>270</v>
      </c>
    </row>
    <row r="2245" spans="1:13" x14ac:dyDescent="0.25">
      <c r="A2245" s="1" t="str">
        <f>HYPERLINK("http://www.rosaceae.org/Prunus/Prunus_persica/p.persica_gdr_reftransV1_0002716","p.persica_gdr_reftransV1_0002716")</f>
        <v>p.persica_gdr_reftransV1_0002716</v>
      </c>
      <c r="B2245" s="3">
        <v>1281</v>
      </c>
      <c r="C2245" s="1" t="str">
        <f>HYPERLINK("http://www.uniprot.org/uniprot/RMA1_CAPAN","RMA1_CAPAN")</f>
        <v>RMA1_CAPAN</v>
      </c>
      <c r="D2245" t="s">
        <v>587</v>
      </c>
      <c r="E2245" s="3" t="s">
        <v>588</v>
      </c>
      <c r="F2245" s="4">
        <v>6.7800000000000003E-71</v>
      </c>
      <c r="G2245" s="3">
        <v>587</v>
      </c>
      <c r="H2245" s="3">
        <v>54</v>
      </c>
      <c r="I2245" s="3">
        <v>251</v>
      </c>
      <c r="J2245" s="3">
        <v>198</v>
      </c>
      <c r="K2245" s="3">
        <v>938</v>
      </c>
      <c r="L2245" s="3">
        <v>5</v>
      </c>
      <c r="M2245" s="3">
        <v>237</v>
      </c>
    </row>
    <row r="2246" spans="1:13" x14ac:dyDescent="0.25">
      <c r="A2246" s="1" t="str">
        <f>HYPERLINK("http://www.rosaceae.org/Prunus/Prunus_persica/p.persica_gdr_reftransV1_0002816","p.persica_gdr_reftransV1_0002816")</f>
        <v>p.persica_gdr_reftransV1_0002816</v>
      </c>
      <c r="B2246" s="3">
        <v>304</v>
      </c>
      <c r="C2246" s="1" t="str">
        <f>HYPERLINK("http://www.uniprot.org/uniprot/PLYB_EMENI","PLYB_EMENI")</f>
        <v>PLYB_EMENI</v>
      </c>
      <c r="D2246" t="s">
        <v>2162</v>
      </c>
      <c r="E2246" s="3" t="s">
        <v>205</v>
      </c>
      <c r="F2246" s="4">
        <v>8.9100000000000007E-43</v>
      </c>
      <c r="G2246" s="3">
        <v>372</v>
      </c>
      <c r="H2246" s="3">
        <v>70</v>
      </c>
      <c r="I2246" s="3">
        <v>101</v>
      </c>
      <c r="J2246" s="3">
        <v>3</v>
      </c>
      <c r="K2246" s="3">
        <v>302</v>
      </c>
      <c r="L2246" s="3">
        <v>216</v>
      </c>
      <c r="M2246" s="3">
        <v>316</v>
      </c>
    </row>
    <row r="2247" spans="1:13" x14ac:dyDescent="0.25">
      <c r="A2247" s="1" t="str">
        <f>HYPERLINK("http://www.rosaceae.org/Prunus/Prunus_persica/p.persica_gdr_reftransV1_0003016","p.persica_gdr_reftransV1_0003016")</f>
        <v>p.persica_gdr_reftransV1_0003016</v>
      </c>
      <c r="B2247" s="3">
        <v>2517</v>
      </c>
      <c r="C2247" s="1" t="str">
        <f>HYPERLINK("http://www.uniprot.org/uniprot/CPSF3_ARATH","CPSF3_ARATH")</f>
        <v>CPSF3_ARATH</v>
      </c>
      <c r="D2247" t="s">
        <v>2163</v>
      </c>
      <c r="E2247" s="3" t="s">
        <v>3</v>
      </c>
      <c r="F2247" s="4">
        <v>0</v>
      </c>
      <c r="G2247" s="3">
        <v>2141</v>
      </c>
      <c r="H2247" s="3">
        <v>81</v>
      </c>
      <c r="I2247" s="3">
        <v>479</v>
      </c>
      <c r="J2247" s="3">
        <v>293</v>
      </c>
      <c r="K2247" s="3">
        <v>1723</v>
      </c>
      <c r="L2247" s="3">
        <v>6</v>
      </c>
      <c r="M2247" s="3">
        <v>484</v>
      </c>
    </row>
    <row r="2248" spans="1:13" x14ac:dyDescent="0.25">
      <c r="A2248" s="1" t="str">
        <f>HYPERLINK("http://www.rosaceae.org/Prunus/Prunus_persica/p.persica_gdr_reftransV1_0003066","p.persica_gdr_reftransV1_0003066")</f>
        <v>p.persica_gdr_reftransV1_0003066</v>
      </c>
      <c r="B2248" s="3">
        <v>517</v>
      </c>
      <c r="C2248" s="1" t="str">
        <f>HYPERLINK("http://www.uniprot.org/uniprot/PP168_ARATH","PP168_ARATH")</f>
        <v>PP168_ARATH</v>
      </c>
      <c r="D2248" t="s">
        <v>2164</v>
      </c>
      <c r="E2248" s="3" t="s">
        <v>3</v>
      </c>
      <c r="F2248" s="4">
        <v>7.9300000000000001E-53</v>
      </c>
      <c r="G2248" s="3">
        <v>466</v>
      </c>
      <c r="H2248" s="3">
        <v>48</v>
      </c>
      <c r="I2248" s="3">
        <v>172</v>
      </c>
      <c r="J2248" s="3">
        <v>1</v>
      </c>
      <c r="K2248" s="3">
        <v>516</v>
      </c>
      <c r="L2248" s="3">
        <v>571</v>
      </c>
      <c r="M2248" s="3">
        <v>742</v>
      </c>
    </row>
    <row r="2249" spans="1:13" x14ac:dyDescent="0.25">
      <c r="A2249" s="1" t="str">
        <f>HYPERLINK("http://www.rosaceae.org/Prunus/Prunus_persica/p.persica_gdr_reftransV1_0003116","p.persica_gdr_reftransV1_0003116")</f>
        <v>p.persica_gdr_reftransV1_0003116</v>
      </c>
      <c r="B2249" s="3">
        <v>395</v>
      </c>
      <c r="C2249" s="1" t="str">
        <f>HYPERLINK("http://www.uniprot.org/uniprot/PTR2_SCHPO","PTR2_SCHPO")</f>
        <v>PTR2_SCHPO</v>
      </c>
      <c r="D2249" t="s">
        <v>2165</v>
      </c>
      <c r="E2249" s="3" t="s">
        <v>464</v>
      </c>
      <c r="F2249" s="4">
        <v>4.1199999999999997E-21</v>
      </c>
      <c r="G2249" s="3">
        <v>229</v>
      </c>
      <c r="H2249" s="3">
        <v>45</v>
      </c>
      <c r="I2249" s="3">
        <v>105</v>
      </c>
      <c r="J2249" s="3">
        <v>2</v>
      </c>
      <c r="K2249" s="3">
        <v>316</v>
      </c>
      <c r="L2249" s="3">
        <v>482</v>
      </c>
      <c r="M2249" s="3">
        <v>586</v>
      </c>
    </row>
    <row r="2250" spans="1:13" x14ac:dyDescent="0.25">
      <c r="A2250" s="1" t="str">
        <f>HYPERLINK("http://www.rosaceae.org/Prunus/Prunus_persica/p.persica_gdr_reftransV1_0003266","p.persica_gdr_reftransV1_0003266")</f>
        <v>p.persica_gdr_reftransV1_0003266</v>
      </c>
      <c r="B2250" s="3">
        <v>1876</v>
      </c>
      <c r="C2250" s="1" t="str">
        <f>HYPERLINK("http://www.uniprot.org/uniprot/PP1_ORYSJ","PP1_ORYSJ")</f>
        <v>PP1_ORYSJ</v>
      </c>
      <c r="D2250" t="s">
        <v>2166</v>
      </c>
      <c r="E2250" s="3" t="s">
        <v>38</v>
      </c>
      <c r="F2250" s="4">
        <v>0</v>
      </c>
      <c r="G2250" s="3">
        <v>1409</v>
      </c>
      <c r="H2250" s="3">
        <v>86</v>
      </c>
      <c r="I2250" s="3">
        <v>302</v>
      </c>
      <c r="J2250" s="3">
        <v>460</v>
      </c>
      <c r="K2250" s="3">
        <v>1362</v>
      </c>
      <c r="L2250" s="3">
        <v>15</v>
      </c>
      <c r="M2250" s="3">
        <v>316</v>
      </c>
    </row>
    <row r="2251" spans="1:13" x14ac:dyDescent="0.25">
      <c r="A2251" s="1" t="str">
        <f>HYPERLINK("http://www.rosaceae.org/Prunus/Prunus_persica/p.persica_gdr_reftransV1_0003316","p.persica_gdr_reftransV1_0003316")</f>
        <v>p.persica_gdr_reftransV1_0003316</v>
      </c>
      <c r="B2251" s="3">
        <v>1235</v>
      </c>
      <c r="C2251" s="1" t="str">
        <f>HYPERLINK("http://www.uniprot.org/uniprot/GIS2_ARATH","GIS2_ARATH")</f>
        <v>GIS2_ARATH</v>
      </c>
      <c r="D2251" t="s">
        <v>2167</v>
      </c>
      <c r="E2251" s="3" t="s">
        <v>3</v>
      </c>
      <c r="F2251" s="4">
        <v>1.9700000000000001E-14</v>
      </c>
      <c r="G2251" s="3">
        <v>184</v>
      </c>
      <c r="H2251" s="3">
        <v>38</v>
      </c>
      <c r="I2251" s="3">
        <v>105</v>
      </c>
      <c r="J2251" s="3">
        <v>173</v>
      </c>
      <c r="K2251" s="3">
        <v>487</v>
      </c>
      <c r="L2251" s="3">
        <v>16</v>
      </c>
      <c r="M2251" s="3">
        <v>96</v>
      </c>
    </row>
    <row r="2252" spans="1:13" x14ac:dyDescent="0.25">
      <c r="A2252" s="1" t="str">
        <f>HYPERLINK("http://www.rosaceae.org/Prunus/Prunus_persica/p.persica_gdr_reftransV1_0003366","p.persica_gdr_reftransV1_0003366")</f>
        <v>p.persica_gdr_reftransV1_0003366</v>
      </c>
      <c r="B2252" s="3">
        <v>1383</v>
      </c>
      <c r="C2252" s="1" t="str">
        <f>HYPERLINK("http://www.uniprot.org/uniprot/YODA_ARATH","YODA_ARATH")</f>
        <v>YODA_ARATH</v>
      </c>
      <c r="D2252" t="s">
        <v>2168</v>
      </c>
      <c r="E2252" s="3" t="s">
        <v>3</v>
      </c>
      <c r="F2252" s="4">
        <v>2.33E-30</v>
      </c>
      <c r="G2252" s="3">
        <v>323</v>
      </c>
      <c r="H2252" s="3">
        <v>47</v>
      </c>
      <c r="I2252" s="3">
        <v>245</v>
      </c>
      <c r="J2252" s="3">
        <v>675</v>
      </c>
      <c r="K2252" s="3">
        <v>1382</v>
      </c>
      <c r="L2252" s="3">
        <v>641</v>
      </c>
      <c r="M2252" s="3">
        <v>869</v>
      </c>
    </row>
    <row r="2253" spans="1:13" x14ac:dyDescent="0.25">
      <c r="A2253" s="1" t="str">
        <f>HYPERLINK("http://www.rosaceae.org/Prunus/Prunus_persica/p.persica_gdr_reftransV1_0003416","p.persica_gdr_reftransV1_0003416")</f>
        <v>p.persica_gdr_reftransV1_0003416</v>
      </c>
      <c r="B2253" s="3">
        <v>1787</v>
      </c>
      <c r="C2253" s="1" t="str">
        <f>HYPERLINK("http://www.uniprot.org/uniprot/GLYT3_ARATH","GLYT3_ARATH")</f>
        <v>GLYT3_ARATH</v>
      </c>
      <c r="D2253" t="s">
        <v>2169</v>
      </c>
      <c r="E2253" s="3" t="s">
        <v>3</v>
      </c>
      <c r="F2253" s="4">
        <v>2.0500000000000001E-156</v>
      </c>
      <c r="G2253" s="3">
        <v>1198</v>
      </c>
      <c r="H2253" s="3">
        <v>57</v>
      </c>
      <c r="I2253" s="3">
        <v>386</v>
      </c>
      <c r="J2253" s="3">
        <v>118</v>
      </c>
      <c r="K2253" s="3">
        <v>1272</v>
      </c>
      <c r="L2253" s="3">
        <v>137</v>
      </c>
      <c r="M2253" s="3">
        <v>518</v>
      </c>
    </row>
    <row r="2254" spans="1:13" x14ac:dyDescent="0.25">
      <c r="A2254" s="1" t="str">
        <f>HYPERLINK("http://www.rosaceae.org/Prunus/Prunus_persica/p.persica_gdr_reftransV1_0003466","p.persica_gdr_reftransV1_0003466")</f>
        <v>p.persica_gdr_reftransV1_0003466</v>
      </c>
      <c r="B2254" s="3">
        <v>412</v>
      </c>
      <c r="C2254" s="1" t="str">
        <f>HYPERLINK("http://www.uniprot.org/uniprot/SGGP_ARATH","SGGP_ARATH")</f>
        <v>SGGP_ARATH</v>
      </c>
      <c r="D2254" t="s">
        <v>2170</v>
      </c>
      <c r="E2254" s="3" t="s">
        <v>3</v>
      </c>
      <c r="F2254" s="4">
        <v>6.3799999999999996E-17</v>
      </c>
      <c r="G2254" s="3">
        <v>191</v>
      </c>
      <c r="H2254" s="3">
        <v>68</v>
      </c>
      <c r="I2254" s="3">
        <v>50</v>
      </c>
      <c r="J2254" s="3">
        <v>258</v>
      </c>
      <c r="K2254" s="3">
        <v>407</v>
      </c>
      <c r="L2254" s="3">
        <v>5</v>
      </c>
      <c r="M2254" s="3">
        <v>54</v>
      </c>
    </row>
    <row r="2255" spans="1:13" x14ac:dyDescent="0.25">
      <c r="A2255" s="1" t="str">
        <f>HYPERLINK("http://www.rosaceae.org/Prunus/Prunus_persica/p.persica_gdr_reftransV1_0003516","p.persica_gdr_reftransV1_0003516")</f>
        <v>p.persica_gdr_reftransV1_0003516</v>
      </c>
      <c r="B2255" s="3">
        <v>2263</v>
      </c>
      <c r="C2255" s="1" t="str">
        <f>HYPERLINK("http://www.uniprot.org/uniprot/Y1357_ARATH","Y1357_ARATH")</f>
        <v>Y1357_ARATH</v>
      </c>
      <c r="D2255" t="s">
        <v>296</v>
      </c>
      <c r="E2255" s="3" t="s">
        <v>3</v>
      </c>
      <c r="F2255" s="4">
        <v>0</v>
      </c>
      <c r="G2255" s="3">
        <v>2508</v>
      </c>
      <c r="H2255" s="3">
        <v>68</v>
      </c>
      <c r="I2255" s="3">
        <v>708</v>
      </c>
      <c r="J2255" s="3">
        <v>151</v>
      </c>
      <c r="K2255" s="3">
        <v>2262</v>
      </c>
      <c r="L2255" s="3">
        <v>114</v>
      </c>
      <c r="M2255" s="3">
        <v>815</v>
      </c>
    </row>
    <row r="2256" spans="1:13" x14ac:dyDescent="0.25">
      <c r="A2256" s="1" t="str">
        <f>HYPERLINK("http://www.rosaceae.org/Prunus/Prunus_persica/p.persica_gdr_reftransV1_0003566","p.persica_gdr_reftransV1_0003566")</f>
        <v>p.persica_gdr_reftransV1_0003566</v>
      </c>
      <c r="B2256" s="3">
        <v>2189</v>
      </c>
      <c r="C2256" s="1" t="str">
        <f>HYPERLINK("http://www.uniprot.org/uniprot/WAKLD_ARATH","WAKLD_ARATH")</f>
        <v>WAKLD_ARATH</v>
      </c>
      <c r="D2256" t="s">
        <v>1211</v>
      </c>
      <c r="E2256" s="3" t="s">
        <v>3</v>
      </c>
      <c r="F2256" s="4">
        <v>5.3600000000000001E-132</v>
      </c>
      <c r="G2256" s="3">
        <v>1068</v>
      </c>
      <c r="H2256" s="3">
        <v>56</v>
      </c>
      <c r="I2256" s="3">
        <v>349</v>
      </c>
      <c r="J2256" s="3">
        <v>898</v>
      </c>
      <c r="K2256" s="3">
        <v>1938</v>
      </c>
      <c r="L2256" s="3">
        <v>353</v>
      </c>
      <c r="M2256" s="3">
        <v>700</v>
      </c>
    </row>
    <row r="2257" spans="1:13" x14ac:dyDescent="0.25">
      <c r="A2257" s="1" t="str">
        <f>HYPERLINK("http://www.rosaceae.org/Prunus/Prunus_persica/p.persica_gdr_reftransV1_0003716","p.persica_gdr_reftransV1_0003716")</f>
        <v>p.persica_gdr_reftransV1_0003716</v>
      </c>
      <c r="B2257" s="3">
        <v>1208</v>
      </c>
      <c r="C2257" s="1" t="str">
        <f>HYPERLINK("http://www.uniprot.org/uniprot/C93A1_SOYBN","C93A1_SOYBN")</f>
        <v>C93A1_SOYBN</v>
      </c>
      <c r="D2257" t="s">
        <v>2171</v>
      </c>
      <c r="E2257" s="3" t="s">
        <v>307</v>
      </c>
      <c r="F2257" s="4">
        <v>2.1600000000000002E-105</v>
      </c>
      <c r="G2257" s="3">
        <v>838</v>
      </c>
      <c r="H2257" s="3">
        <v>42</v>
      </c>
      <c r="I2257" s="3">
        <v>389</v>
      </c>
      <c r="J2257" s="3">
        <v>3</v>
      </c>
      <c r="K2257" s="3">
        <v>1148</v>
      </c>
      <c r="L2257" s="3">
        <v>126</v>
      </c>
      <c r="M2257" s="3">
        <v>509</v>
      </c>
    </row>
    <row r="2258" spans="1:13" x14ac:dyDescent="0.25">
      <c r="A2258" s="1" t="str">
        <f>HYPERLINK("http://www.rosaceae.org/Prunus/Prunus_persica/p.persica_gdr_reftransV1_0003766","p.persica_gdr_reftransV1_0003766")</f>
        <v>p.persica_gdr_reftransV1_0003766</v>
      </c>
      <c r="B2258" s="3">
        <v>297</v>
      </c>
      <c r="C2258" s="1" t="str">
        <f>HYPERLINK("http://www.uniprot.org/uniprot/S28A3_HUMAN","S28A3_HUMAN")</f>
        <v>S28A3_HUMAN</v>
      </c>
      <c r="D2258" t="s">
        <v>2172</v>
      </c>
      <c r="E2258" s="3" t="s">
        <v>28</v>
      </c>
      <c r="F2258" s="4">
        <v>5.4800000000000001E-12</v>
      </c>
      <c r="G2258" s="3">
        <v>158</v>
      </c>
      <c r="H2258" s="3">
        <v>36</v>
      </c>
      <c r="I2258" s="3">
        <v>112</v>
      </c>
      <c r="J2258" s="3">
        <v>1</v>
      </c>
      <c r="K2258" s="3">
        <v>297</v>
      </c>
      <c r="L2258" s="3">
        <v>461</v>
      </c>
      <c r="M2258" s="3">
        <v>569</v>
      </c>
    </row>
    <row r="2259" spans="1:13" x14ac:dyDescent="0.25">
      <c r="A2259" s="1" t="str">
        <f>HYPERLINK("http://www.rosaceae.org/Prunus/Prunus_persica/p.persica_gdr_reftransV1_0003816","p.persica_gdr_reftransV1_0003816")</f>
        <v>p.persica_gdr_reftransV1_0003816</v>
      </c>
      <c r="B2259" s="3">
        <v>3683</v>
      </c>
      <c r="C2259" s="1" t="str">
        <f>HYPERLINK("http://www.uniprot.org/uniprot/ACOC_CUCMA","ACOC_CUCMA")</f>
        <v>ACOC_CUCMA</v>
      </c>
      <c r="D2259" t="s">
        <v>2173</v>
      </c>
      <c r="E2259" s="3" t="s">
        <v>1511</v>
      </c>
      <c r="F2259" s="4">
        <v>0</v>
      </c>
      <c r="G2259" s="3">
        <v>4382</v>
      </c>
      <c r="H2259" s="3">
        <v>91</v>
      </c>
      <c r="I2259" s="3">
        <v>898</v>
      </c>
      <c r="J2259" s="3">
        <v>436</v>
      </c>
      <c r="K2259" s="3">
        <v>3129</v>
      </c>
      <c r="L2259" s="3">
        <v>1</v>
      </c>
      <c r="M2259" s="3">
        <v>898</v>
      </c>
    </row>
    <row r="2260" spans="1:13" x14ac:dyDescent="0.25">
      <c r="A2260" s="1" t="str">
        <f>HYPERLINK("http://www.rosaceae.org/Prunus/Prunus_persica/p.persica_gdr_reftransV1_0003866","p.persica_gdr_reftransV1_0003866")</f>
        <v>p.persica_gdr_reftransV1_0003866</v>
      </c>
      <c r="B2260" s="3">
        <v>858</v>
      </c>
      <c r="C2260" s="1" t="str">
        <f>HYPERLINK("http://www.uniprot.org/uniprot/BSP_BOSSE","BSP_BOSSE")</f>
        <v>BSP_BOSSE</v>
      </c>
      <c r="D2260" t="s">
        <v>2174</v>
      </c>
      <c r="E2260" s="3" t="s">
        <v>2175</v>
      </c>
      <c r="F2260" s="4">
        <v>4.0300000000000004E-12</v>
      </c>
      <c r="G2260" s="3">
        <v>155</v>
      </c>
      <c r="H2260" s="3">
        <v>55</v>
      </c>
      <c r="I2260" s="3">
        <v>60</v>
      </c>
      <c r="J2260" s="3">
        <v>536</v>
      </c>
      <c r="K2260" s="3">
        <v>715</v>
      </c>
      <c r="L2260" s="3">
        <v>17</v>
      </c>
      <c r="M2260" s="3">
        <v>60</v>
      </c>
    </row>
    <row r="2261" spans="1:13" x14ac:dyDescent="0.25">
      <c r="A2261" s="1" t="str">
        <f>HYPERLINK("http://www.rosaceae.org/Prunus/Prunus_persica/p.persica_gdr_reftransV1_0004216","p.persica_gdr_reftransV1_0004216")</f>
        <v>p.persica_gdr_reftransV1_0004216</v>
      </c>
      <c r="B2261" s="3">
        <v>3759</v>
      </c>
      <c r="C2261" s="1" t="str">
        <f>HYPERLINK("http://www.uniprot.org/uniprot/RT03_PETHY","RT03_PETHY")</f>
        <v>RT03_PETHY</v>
      </c>
      <c r="D2261" t="s">
        <v>2176</v>
      </c>
      <c r="E2261" s="3" t="s">
        <v>509</v>
      </c>
      <c r="F2261" s="4">
        <v>0</v>
      </c>
      <c r="G2261" s="3">
        <v>2306</v>
      </c>
      <c r="H2261" s="3">
        <v>91</v>
      </c>
      <c r="I2261" s="3">
        <v>554</v>
      </c>
      <c r="J2261" s="3">
        <v>776</v>
      </c>
      <c r="K2261" s="3">
        <v>2437</v>
      </c>
      <c r="L2261" s="3">
        <v>1</v>
      </c>
      <c r="M2261" s="3">
        <v>553</v>
      </c>
    </row>
    <row r="2262" spans="1:13" x14ac:dyDescent="0.25">
      <c r="A2262" s="1" t="str">
        <f>HYPERLINK("http://www.rosaceae.org/Prunus/Prunus_persica/p.persica_gdr_reftransV1_0004316","p.persica_gdr_reftransV1_0004316")</f>
        <v>p.persica_gdr_reftransV1_0004316</v>
      </c>
      <c r="B2262" s="3">
        <v>948</v>
      </c>
      <c r="C2262" s="1" t="str">
        <f>HYPERLINK("http://www.uniprot.org/uniprot/GUN17_ARATH","GUN17_ARATH")</f>
        <v>GUN17_ARATH</v>
      </c>
      <c r="D2262" t="s">
        <v>2177</v>
      </c>
      <c r="E2262" s="3" t="s">
        <v>3</v>
      </c>
      <c r="F2262" s="4">
        <v>3.51E-90</v>
      </c>
      <c r="G2262" s="3">
        <v>728</v>
      </c>
      <c r="H2262" s="3">
        <v>79</v>
      </c>
      <c r="I2262" s="3">
        <v>160</v>
      </c>
      <c r="J2262" s="3">
        <v>356</v>
      </c>
      <c r="K2262" s="3">
        <v>835</v>
      </c>
      <c r="L2262" s="3">
        <v>357</v>
      </c>
      <c r="M2262" s="3">
        <v>516</v>
      </c>
    </row>
    <row r="2263" spans="1:13" x14ac:dyDescent="0.25">
      <c r="A2263" s="1" t="str">
        <f>HYPERLINK("http://www.rosaceae.org/Prunus/Prunus_persica/p.persica_gdr_reftransV1_0004366","p.persica_gdr_reftransV1_0004366")</f>
        <v>p.persica_gdr_reftransV1_0004366</v>
      </c>
      <c r="B2263" s="3">
        <v>1698</v>
      </c>
      <c r="C2263" s="1" t="str">
        <f>HYPERLINK("http://www.uniprot.org/uniprot/TON2_ARATH","TON2_ARATH")</f>
        <v>TON2_ARATH</v>
      </c>
      <c r="D2263" t="s">
        <v>1640</v>
      </c>
      <c r="E2263" s="3" t="s">
        <v>3</v>
      </c>
      <c r="F2263" s="4">
        <v>0</v>
      </c>
      <c r="G2263" s="3">
        <v>1782</v>
      </c>
      <c r="H2263" s="3">
        <v>89</v>
      </c>
      <c r="I2263" s="3">
        <v>391</v>
      </c>
      <c r="J2263" s="3">
        <v>261</v>
      </c>
      <c r="K2263" s="3">
        <v>1433</v>
      </c>
      <c r="L2263" s="3">
        <v>79</v>
      </c>
      <c r="M2263" s="3">
        <v>469</v>
      </c>
    </row>
    <row r="2264" spans="1:13" x14ac:dyDescent="0.25">
      <c r="A2264" s="1" t="str">
        <f>HYPERLINK("http://www.rosaceae.org/Prunus/Prunus_persica/p.persica_gdr_reftransV1_0004416","p.persica_gdr_reftransV1_0004416")</f>
        <v>p.persica_gdr_reftransV1_0004416</v>
      </c>
      <c r="B2264" s="3">
        <v>1151</v>
      </c>
      <c r="C2264" s="1" t="str">
        <f>HYPERLINK("http://www.uniprot.org/uniprot/LEA34_GOSHI","LEA34_GOSHI")</f>
        <v>LEA34_GOSHI</v>
      </c>
      <c r="D2264" t="s">
        <v>1159</v>
      </c>
      <c r="E2264" s="3" t="s">
        <v>816</v>
      </c>
      <c r="F2264" s="4">
        <v>1.89E-81</v>
      </c>
      <c r="G2264" s="3">
        <v>655</v>
      </c>
      <c r="H2264" s="3">
        <v>60</v>
      </c>
      <c r="I2264" s="3">
        <v>263</v>
      </c>
      <c r="J2264" s="3">
        <v>64</v>
      </c>
      <c r="K2264" s="3">
        <v>831</v>
      </c>
      <c r="L2264" s="3">
        <v>1</v>
      </c>
      <c r="M2264" s="3">
        <v>261</v>
      </c>
    </row>
    <row r="2265" spans="1:13" x14ac:dyDescent="0.25">
      <c r="A2265" s="1" t="str">
        <f>HYPERLINK("http://www.rosaceae.org/Prunus/Prunus_persica/p.persica_gdr_reftransV1_0004666","p.persica_gdr_reftransV1_0004666")</f>
        <v>p.persica_gdr_reftransV1_0004666</v>
      </c>
      <c r="B2265" s="3">
        <v>3031</v>
      </c>
      <c r="C2265" s="1" t="str">
        <f>HYPERLINK("http://www.uniprot.org/uniprot/SIZ1_ARATH","SIZ1_ARATH")</f>
        <v>SIZ1_ARATH</v>
      </c>
      <c r="D2265" t="s">
        <v>2178</v>
      </c>
      <c r="E2265" s="3" t="s">
        <v>3</v>
      </c>
      <c r="F2265" s="4">
        <v>0</v>
      </c>
      <c r="G2265" s="3">
        <v>1839</v>
      </c>
      <c r="H2265" s="3">
        <v>47</v>
      </c>
      <c r="I2265" s="3">
        <v>874</v>
      </c>
      <c r="J2265" s="3">
        <v>427</v>
      </c>
      <c r="K2265" s="3">
        <v>2862</v>
      </c>
      <c r="L2265" s="3">
        <v>1</v>
      </c>
      <c r="M2265" s="3">
        <v>859</v>
      </c>
    </row>
    <row r="2266" spans="1:13" x14ac:dyDescent="0.25">
      <c r="A2266" s="1" t="str">
        <f>HYPERLINK("http://www.rosaceae.org/Prunus/Prunus_persica/p.persica_gdr_reftransV1_0004716","p.persica_gdr_reftransV1_0004716")</f>
        <v>p.persica_gdr_reftransV1_0004716</v>
      </c>
      <c r="B2266" s="3">
        <v>1341</v>
      </c>
      <c r="C2266" s="1" t="str">
        <f>HYPERLINK("http://www.uniprot.org/uniprot/THIK2_ARATH","THIK2_ARATH")</f>
        <v>THIK2_ARATH</v>
      </c>
      <c r="D2266" t="s">
        <v>2179</v>
      </c>
      <c r="E2266" s="3" t="s">
        <v>3</v>
      </c>
      <c r="F2266" s="4">
        <v>5.7300000000000005E-138</v>
      </c>
      <c r="G2266" s="3">
        <v>945</v>
      </c>
      <c r="H2266" s="3">
        <v>81</v>
      </c>
      <c r="I2266" s="3">
        <v>218</v>
      </c>
      <c r="J2266" s="3">
        <v>286</v>
      </c>
      <c r="K2266" s="3">
        <v>939</v>
      </c>
      <c r="L2266" s="3">
        <v>245</v>
      </c>
      <c r="M2266" s="3">
        <v>462</v>
      </c>
    </row>
    <row r="2267" spans="1:13" x14ac:dyDescent="0.25">
      <c r="A2267" s="1" t="str">
        <f>HYPERLINK("http://www.rosaceae.org/Prunus/Prunus_persica/p.persica_gdr_reftransV1_0004766","p.persica_gdr_reftransV1_0004766")</f>
        <v>p.persica_gdr_reftransV1_0004766</v>
      </c>
      <c r="B2267" s="3">
        <v>2287</v>
      </c>
      <c r="C2267" s="1" t="str">
        <f>HYPERLINK("http://www.uniprot.org/uniprot/UBP22_ARATH","UBP22_ARATH")</f>
        <v>UBP22_ARATH</v>
      </c>
      <c r="D2267" t="s">
        <v>654</v>
      </c>
      <c r="E2267" s="3" t="s">
        <v>3</v>
      </c>
      <c r="F2267" s="4">
        <v>2.3500000000000001E-157</v>
      </c>
      <c r="G2267" s="3">
        <v>1224</v>
      </c>
      <c r="H2267" s="3">
        <v>47</v>
      </c>
      <c r="I2267" s="3">
        <v>581</v>
      </c>
      <c r="J2267" s="3">
        <v>414</v>
      </c>
      <c r="K2267" s="3">
        <v>2135</v>
      </c>
      <c r="L2267" s="3">
        <v>11</v>
      </c>
      <c r="M2267" s="3">
        <v>540</v>
      </c>
    </row>
    <row r="2268" spans="1:13" x14ac:dyDescent="0.25">
      <c r="A2268" s="1" t="str">
        <f>HYPERLINK("http://www.rosaceae.org/Prunus/Prunus_persica/p.persica_gdr_reftransV1_0004816","p.persica_gdr_reftransV1_0004816")</f>
        <v>p.persica_gdr_reftransV1_0004816</v>
      </c>
      <c r="B2268" s="3">
        <v>356</v>
      </c>
      <c r="C2268" s="1" t="str">
        <f>HYPERLINK("http://www.uniprot.org/uniprot/PLDA1_CYNCA","PLDA1_CYNCA")</f>
        <v>PLDA1_CYNCA</v>
      </c>
      <c r="D2268" t="s">
        <v>2180</v>
      </c>
      <c r="E2268" s="3" t="s">
        <v>2181</v>
      </c>
      <c r="F2268" s="4">
        <v>1.3399999999999999E-52</v>
      </c>
      <c r="G2268" s="3">
        <v>458</v>
      </c>
      <c r="H2268" s="3">
        <v>71</v>
      </c>
      <c r="I2268" s="3">
        <v>115</v>
      </c>
      <c r="J2268" s="3">
        <v>2</v>
      </c>
      <c r="K2268" s="3">
        <v>346</v>
      </c>
      <c r="L2268" s="3">
        <v>420</v>
      </c>
      <c r="M2268" s="3">
        <v>534</v>
      </c>
    </row>
    <row r="2269" spans="1:13" x14ac:dyDescent="0.25">
      <c r="A2269" s="1" t="str">
        <f>HYPERLINK("http://www.rosaceae.org/Prunus/Prunus_persica/p.persica_gdr_reftransV1_0004866","p.persica_gdr_reftransV1_0004866")</f>
        <v>p.persica_gdr_reftransV1_0004866</v>
      </c>
      <c r="B2269" s="3">
        <v>2850</v>
      </c>
      <c r="C2269" s="1" t="str">
        <f>HYPERLINK("http://www.uniprot.org/uniprot/VAD1_ARATH","VAD1_ARATH")</f>
        <v>VAD1_ARATH</v>
      </c>
      <c r="D2269" t="s">
        <v>251</v>
      </c>
      <c r="E2269" s="3" t="s">
        <v>3</v>
      </c>
      <c r="F2269" s="4">
        <v>1.3199999999999999E-98</v>
      </c>
      <c r="G2269" s="3">
        <v>841</v>
      </c>
      <c r="H2269" s="3">
        <v>55</v>
      </c>
      <c r="I2269" s="3">
        <v>322</v>
      </c>
      <c r="J2269" s="3">
        <v>1585</v>
      </c>
      <c r="K2269" s="3">
        <v>2517</v>
      </c>
      <c r="L2269" s="3">
        <v>60</v>
      </c>
      <c r="M2269" s="3">
        <v>358</v>
      </c>
    </row>
    <row r="2270" spans="1:13" x14ac:dyDescent="0.25">
      <c r="A2270" s="1" t="str">
        <f>HYPERLINK("http://www.rosaceae.org/Prunus/Prunus_persica/p.persica_gdr_reftransV1_0004966","p.persica_gdr_reftransV1_0004966")</f>
        <v>p.persica_gdr_reftransV1_0004966</v>
      </c>
      <c r="B2270" s="3">
        <v>914</v>
      </c>
      <c r="C2270" s="1" t="str">
        <f>HYPERLINK("http://www.uniprot.org/uniprot/FN3KR_ORYSJ","FN3KR_ORYSJ")</f>
        <v>FN3KR_ORYSJ</v>
      </c>
      <c r="D2270" t="s">
        <v>2182</v>
      </c>
      <c r="E2270" s="3" t="s">
        <v>38</v>
      </c>
      <c r="F2270" s="4">
        <v>2.28E-86</v>
      </c>
      <c r="G2270" s="3">
        <v>687</v>
      </c>
      <c r="H2270" s="3">
        <v>76</v>
      </c>
      <c r="I2270" s="3">
        <v>181</v>
      </c>
      <c r="J2270" s="3">
        <v>255</v>
      </c>
      <c r="K2270" s="3">
        <v>794</v>
      </c>
      <c r="L2270" s="3">
        <v>162</v>
      </c>
      <c r="M2270" s="3">
        <v>342</v>
      </c>
    </row>
    <row r="2271" spans="1:13" x14ac:dyDescent="0.25">
      <c r="A2271" s="1" t="str">
        <f>HYPERLINK("http://www.rosaceae.org/Prunus/Prunus_persica/p.persica_gdr_reftransV1_0005166","p.persica_gdr_reftransV1_0005166")</f>
        <v>p.persica_gdr_reftransV1_0005166</v>
      </c>
      <c r="B2271" s="3">
        <v>1672</v>
      </c>
      <c r="C2271" s="1" t="str">
        <f>HYPERLINK("http://www.uniprot.org/uniprot/NAP1A_ORYSJ","NAP1A_ORYSJ")</f>
        <v>NAP1A_ORYSJ</v>
      </c>
      <c r="D2271" t="s">
        <v>2183</v>
      </c>
      <c r="E2271" s="3" t="s">
        <v>38</v>
      </c>
      <c r="F2271" s="4">
        <v>1.2600000000000001E-135</v>
      </c>
      <c r="G2271" s="3">
        <v>1043</v>
      </c>
      <c r="H2271" s="3">
        <v>81</v>
      </c>
      <c r="I2271" s="3">
        <v>278</v>
      </c>
      <c r="J2271" s="3">
        <v>582</v>
      </c>
      <c r="K2271" s="3">
        <v>1412</v>
      </c>
      <c r="L2271" s="3">
        <v>33</v>
      </c>
      <c r="M2271" s="3">
        <v>309</v>
      </c>
    </row>
    <row r="2272" spans="1:13" x14ac:dyDescent="0.25">
      <c r="A2272" s="1" t="str">
        <f>HYPERLINK("http://www.rosaceae.org/Prunus/Prunus_persica/p.persica_gdr_reftransV1_0005216","p.persica_gdr_reftransV1_0005216")</f>
        <v>p.persica_gdr_reftransV1_0005216</v>
      </c>
      <c r="B2272" s="3">
        <v>2468</v>
      </c>
      <c r="C2272" s="1" t="str">
        <f>HYPERLINK("http://www.uniprot.org/uniprot/Y1491_ARATH","Y1491_ARATH")</f>
        <v>Y1491_ARATH</v>
      </c>
      <c r="D2272" t="s">
        <v>310</v>
      </c>
      <c r="E2272" s="3" t="s">
        <v>3</v>
      </c>
      <c r="F2272" s="4">
        <v>3.2199999999999998E-64</v>
      </c>
      <c r="G2272" s="3">
        <v>584</v>
      </c>
      <c r="H2272" s="3">
        <v>32</v>
      </c>
      <c r="I2272" s="3">
        <v>437</v>
      </c>
      <c r="J2272" s="3">
        <v>583</v>
      </c>
      <c r="K2272" s="3">
        <v>1866</v>
      </c>
      <c r="L2272" s="3">
        <v>55</v>
      </c>
      <c r="M2272" s="3">
        <v>475</v>
      </c>
    </row>
    <row r="2273" spans="1:13" x14ac:dyDescent="0.25">
      <c r="A2273" s="1" t="str">
        <f>HYPERLINK("http://www.rosaceae.org/Prunus/Prunus_persica/p.persica_gdr_reftransV1_0005316","p.persica_gdr_reftransV1_0005316")</f>
        <v>p.persica_gdr_reftransV1_0005316</v>
      </c>
      <c r="B2273" s="3">
        <v>310</v>
      </c>
      <c r="C2273" s="1" t="str">
        <f>HYPERLINK("http://www.uniprot.org/uniprot/PP343_ARATH","PP343_ARATH")</f>
        <v>PP343_ARATH</v>
      </c>
      <c r="D2273" t="s">
        <v>2184</v>
      </c>
      <c r="E2273" s="3" t="s">
        <v>3</v>
      </c>
      <c r="F2273" s="4">
        <v>3.11E-29</v>
      </c>
      <c r="G2273" s="3">
        <v>285</v>
      </c>
      <c r="H2273" s="3">
        <v>57</v>
      </c>
      <c r="I2273" s="3">
        <v>91</v>
      </c>
      <c r="J2273" s="3">
        <v>3</v>
      </c>
      <c r="K2273" s="3">
        <v>275</v>
      </c>
      <c r="L2273" s="3">
        <v>81</v>
      </c>
      <c r="M2273" s="3">
        <v>171</v>
      </c>
    </row>
    <row r="2274" spans="1:13" x14ac:dyDescent="0.25">
      <c r="A2274" s="1" t="str">
        <f>HYPERLINK("http://www.rosaceae.org/Prunus/Prunus_persica/p.persica_gdr_reftransV1_0005566","p.persica_gdr_reftransV1_0005566")</f>
        <v>p.persica_gdr_reftransV1_0005566</v>
      </c>
      <c r="B2274" s="3">
        <v>510</v>
      </c>
      <c r="C2274" s="1" t="str">
        <f>HYPERLINK("http://www.uniprot.org/uniprot/TRNHF_ARATH","TRNHF_ARATH")</f>
        <v>TRNHF_ARATH</v>
      </c>
      <c r="D2274" t="s">
        <v>2185</v>
      </c>
      <c r="E2274" s="3" t="s">
        <v>3</v>
      </c>
      <c r="F2274" s="4">
        <v>3.3099999999999998E-67</v>
      </c>
      <c r="G2274" s="3">
        <v>539</v>
      </c>
      <c r="H2274" s="3">
        <v>67</v>
      </c>
      <c r="I2274" s="3">
        <v>156</v>
      </c>
      <c r="J2274" s="3">
        <v>38</v>
      </c>
      <c r="K2274" s="3">
        <v>505</v>
      </c>
      <c r="L2274" s="3">
        <v>106</v>
      </c>
      <c r="M2274" s="3">
        <v>260</v>
      </c>
    </row>
    <row r="2275" spans="1:13" x14ac:dyDescent="0.25">
      <c r="A2275" s="1" t="str">
        <f>HYPERLINK("http://www.rosaceae.org/Prunus/Prunus_persica/p.persica_gdr_reftransV1_0005616","p.persica_gdr_reftransV1_0005616")</f>
        <v>p.persica_gdr_reftransV1_0005616</v>
      </c>
      <c r="B2275" s="3">
        <v>697</v>
      </c>
      <c r="C2275" s="1" t="str">
        <f>HYPERLINK("http://www.uniprot.org/uniprot/PER10_ARATH","PER10_ARATH")</f>
        <v>PER10_ARATH</v>
      </c>
      <c r="D2275" t="s">
        <v>2186</v>
      </c>
      <c r="E2275" s="3" t="s">
        <v>3</v>
      </c>
      <c r="F2275" s="4">
        <v>2.7799999999999998E-92</v>
      </c>
      <c r="G2275" s="3">
        <v>720</v>
      </c>
      <c r="H2275" s="3">
        <v>66</v>
      </c>
      <c r="I2275" s="3">
        <v>208</v>
      </c>
      <c r="J2275" s="3">
        <v>81</v>
      </c>
      <c r="K2275" s="3">
        <v>695</v>
      </c>
      <c r="L2275" s="3">
        <v>140</v>
      </c>
      <c r="M2275" s="3">
        <v>347</v>
      </c>
    </row>
    <row r="2276" spans="1:13" x14ac:dyDescent="0.25">
      <c r="A2276" s="1" t="str">
        <f>HYPERLINK("http://www.rosaceae.org/Prunus/Prunus_persica/p.persica_gdr_reftransV1_0005716","p.persica_gdr_reftransV1_0005716")</f>
        <v>p.persica_gdr_reftransV1_0005716</v>
      </c>
      <c r="B2276" s="3">
        <v>1726</v>
      </c>
      <c r="C2276" s="1" t="str">
        <f>HYPERLINK("http://www.uniprot.org/uniprot/RPM1_ARATH","RPM1_ARATH")</f>
        <v>RPM1_ARATH</v>
      </c>
      <c r="D2276" t="s">
        <v>453</v>
      </c>
      <c r="E2276" s="3" t="s">
        <v>3</v>
      </c>
      <c r="F2276" s="4">
        <v>4.2500000000000003E-36</v>
      </c>
      <c r="G2276" s="3">
        <v>373</v>
      </c>
      <c r="H2276" s="3">
        <v>31</v>
      </c>
      <c r="I2276" s="3">
        <v>396</v>
      </c>
      <c r="J2276" s="3">
        <v>542</v>
      </c>
      <c r="K2276" s="3">
        <v>1711</v>
      </c>
      <c r="L2276" s="3">
        <v>471</v>
      </c>
      <c r="M2276" s="3">
        <v>855</v>
      </c>
    </row>
    <row r="2277" spans="1:13" x14ac:dyDescent="0.25">
      <c r="A2277" s="1" t="str">
        <f>HYPERLINK("http://www.rosaceae.org/Prunus/Prunus_persica/p.persica_gdr_reftransV1_0005766","p.persica_gdr_reftransV1_0005766")</f>
        <v>p.persica_gdr_reftransV1_0005766</v>
      </c>
      <c r="B2277" s="3">
        <v>1000</v>
      </c>
      <c r="C2277" s="1" t="str">
        <f>HYPERLINK("http://www.uniprot.org/uniprot/TLP_ACTDE","TLP_ACTDE")</f>
        <v>TLP_ACTDE</v>
      </c>
      <c r="D2277" t="s">
        <v>2187</v>
      </c>
      <c r="E2277" s="3" t="s">
        <v>2188</v>
      </c>
      <c r="F2277" s="4">
        <v>1.88E-116</v>
      </c>
      <c r="G2277" s="3">
        <v>879</v>
      </c>
      <c r="H2277" s="3">
        <v>72</v>
      </c>
      <c r="I2277" s="3">
        <v>226</v>
      </c>
      <c r="J2277" s="3">
        <v>57</v>
      </c>
      <c r="K2277" s="3">
        <v>734</v>
      </c>
      <c r="L2277" s="3">
        <v>1</v>
      </c>
      <c r="M2277" s="3">
        <v>225</v>
      </c>
    </row>
    <row r="2278" spans="1:13" x14ac:dyDescent="0.25">
      <c r="A2278" s="1" t="str">
        <f>HYPERLINK("http://www.rosaceae.org/Prunus/Prunus_persica/p.persica_gdr_reftransV1_0006016","p.persica_gdr_reftransV1_0006016")</f>
        <v>p.persica_gdr_reftransV1_0006016</v>
      </c>
      <c r="B2278" s="3">
        <v>605</v>
      </c>
      <c r="C2278" s="1" t="str">
        <f>HYPERLINK("http://www.uniprot.org/uniprot/C78A5_ARATH","C78A5_ARATH")</f>
        <v>C78A5_ARATH</v>
      </c>
      <c r="D2278" t="s">
        <v>656</v>
      </c>
      <c r="E2278" s="3" t="s">
        <v>3</v>
      </c>
      <c r="F2278" s="4">
        <v>1.1500000000000001E-64</v>
      </c>
      <c r="G2278" s="3">
        <v>544</v>
      </c>
      <c r="H2278" s="3">
        <v>71</v>
      </c>
      <c r="I2278" s="3">
        <v>145</v>
      </c>
      <c r="J2278" s="3">
        <v>1</v>
      </c>
      <c r="K2278" s="3">
        <v>435</v>
      </c>
      <c r="L2278" s="3">
        <v>374</v>
      </c>
      <c r="M2278" s="3">
        <v>514</v>
      </c>
    </row>
    <row r="2279" spans="1:13" x14ac:dyDescent="0.25">
      <c r="A2279" s="1" t="str">
        <f>HYPERLINK("http://www.rosaceae.org/Prunus/Prunus_persica/p.persica_gdr_reftransV1_0006066","p.persica_gdr_reftransV1_0006066")</f>
        <v>p.persica_gdr_reftransV1_0006066</v>
      </c>
      <c r="B2279" s="3">
        <v>757</v>
      </c>
      <c r="C2279" s="1" t="str">
        <f>HYPERLINK("http://www.uniprot.org/uniprot/RHA2B_ARATH","RHA2B_ARATH")</f>
        <v>RHA2B_ARATH</v>
      </c>
      <c r="D2279" t="s">
        <v>1583</v>
      </c>
      <c r="E2279" s="3" t="s">
        <v>3</v>
      </c>
      <c r="F2279" s="4">
        <v>2.99E-10</v>
      </c>
      <c r="G2279" s="3">
        <v>145</v>
      </c>
      <c r="H2279" s="3">
        <v>39</v>
      </c>
      <c r="I2279" s="3">
        <v>74</v>
      </c>
      <c r="J2279" s="3">
        <v>355</v>
      </c>
      <c r="K2279" s="3">
        <v>576</v>
      </c>
      <c r="L2279" s="3">
        <v>74</v>
      </c>
      <c r="M2279" s="3">
        <v>140</v>
      </c>
    </row>
    <row r="2280" spans="1:13" x14ac:dyDescent="0.25">
      <c r="A2280" s="1" t="str">
        <f>HYPERLINK("http://www.rosaceae.org/Prunus/Prunus_persica/p.persica_gdr_reftransV1_0006266","p.persica_gdr_reftransV1_0006266")</f>
        <v>p.persica_gdr_reftransV1_0006266</v>
      </c>
      <c r="B2280" s="3">
        <v>521</v>
      </c>
      <c r="C2280" s="1" t="str">
        <f>HYPERLINK("http://www.uniprot.org/uniprot/THNL2_ARATH","THNL2_ARATH")</f>
        <v>THNL2_ARATH</v>
      </c>
      <c r="D2280" t="s">
        <v>2189</v>
      </c>
      <c r="E2280" s="3" t="s">
        <v>3</v>
      </c>
      <c r="F2280" s="4">
        <v>1.2300000000000001E-15</v>
      </c>
      <c r="G2280" s="3">
        <v>180</v>
      </c>
      <c r="H2280" s="3">
        <v>39</v>
      </c>
      <c r="I2280" s="3">
        <v>113</v>
      </c>
      <c r="J2280" s="3">
        <v>91</v>
      </c>
      <c r="K2280" s="3">
        <v>411</v>
      </c>
      <c r="L2280" s="3">
        <v>1</v>
      </c>
      <c r="M2280" s="3">
        <v>112</v>
      </c>
    </row>
    <row r="2281" spans="1:13" x14ac:dyDescent="0.25">
      <c r="A2281" s="1" t="str">
        <f>HYPERLINK("http://www.rosaceae.org/Prunus/Prunus_persica/p.persica_gdr_reftransV1_0006466","p.persica_gdr_reftransV1_0006466")</f>
        <v>p.persica_gdr_reftransV1_0006466</v>
      </c>
      <c r="B2281" s="3">
        <v>1111</v>
      </c>
      <c r="C2281" s="1" t="str">
        <f>HYPERLINK("http://www.uniprot.org/uniprot/SDR1_ARATH","SDR1_ARATH")</f>
        <v>SDR1_ARATH</v>
      </c>
      <c r="D2281" t="s">
        <v>763</v>
      </c>
      <c r="E2281" s="3" t="s">
        <v>3</v>
      </c>
      <c r="F2281" s="4">
        <v>4.0999999999999999E-100</v>
      </c>
      <c r="G2281" s="3">
        <v>781</v>
      </c>
      <c r="H2281" s="3">
        <v>58</v>
      </c>
      <c r="I2281" s="3">
        <v>278</v>
      </c>
      <c r="J2281" s="3">
        <v>6</v>
      </c>
      <c r="K2281" s="3">
        <v>830</v>
      </c>
      <c r="L2281" s="3">
        <v>23</v>
      </c>
      <c r="M2281" s="3">
        <v>296</v>
      </c>
    </row>
    <row r="2282" spans="1:13" x14ac:dyDescent="0.25">
      <c r="A2282" s="1" t="str">
        <f>HYPERLINK("http://www.rosaceae.org/Prunus/Prunus_persica/p.persica_gdr_reftransV1_0006666","p.persica_gdr_reftransV1_0006666")</f>
        <v>p.persica_gdr_reftransV1_0006666</v>
      </c>
      <c r="B2282" s="3">
        <v>575</v>
      </c>
      <c r="C2282" s="1" t="str">
        <f>HYPERLINK("http://www.uniprot.org/uniprot/RP8L3_ARATH","RP8L3_ARATH")</f>
        <v>RP8L3_ARATH</v>
      </c>
      <c r="D2282" t="s">
        <v>2190</v>
      </c>
      <c r="E2282" s="3" t="s">
        <v>3</v>
      </c>
      <c r="F2282" s="4">
        <v>7.8399999999999996E-11</v>
      </c>
      <c r="G2282" s="3">
        <v>155</v>
      </c>
      <c r="H2282" s="3">
        <v>29</v>
      </c>
      <c r="I2282" s="3">
        <v>129</v>
      </c>
      <c r="J2282" s="3">
        <v>124</v>
      </c>
      <c r="K2282" s="3">
        <v>510</v>
      </c>
      <c r="L2282" s="3">
        <v>1</v>
      </c>
      <c r="M2282" s="3">
        <v>122</v>
      </c>
    </row>
    <row r="2283" spans="1:13" x14ac:dyDescent="0.25">
      <c r="A2283" s="1" t="str">
        <f>HYPERLINK("http://www.rosaceae.org/Prunus/Prunus_persica/p.persica_gdr_reftransV1_0006716","p.persica_gdr_reftransV1_0006716")</f>
        <v>p.persica_gdr_reftransV1_0006716</v>
      </c>
      <c r="B2283" s="3">
        <v>1671</v>
      </c>
      <c r="C2283" s="1" t="str">
        <f>HYPERLINK("http://www.uniprot.org/uniprot/Y4849_ARATH","Y4849_ARATH")</f>
        <v>Y4849_ARATH</v>
      </c>
      <c r="D2283" t="s">
        <v>2191</v>
      </c>
      <c r="E2283" s="3" t="s">
        <v>3</v>
      </c>
      <c r="F2283" s="4">
        <v>1.9599999999999999E-15</v>
      </c>
      <c r="G2283" s="3">
        <v>205</v>
      </c>
      <c r="H2283" s="3">
        <v>44</v>
      </c>
      <c r="I2283" s="3">
        <v>239</v>
      </c>
      <c r="J2283" s="3">
        <v>457</v>
      </c>
      <c r="K2283" s="3">
        <v>1158</v>
      </c>
      <c r="L2283" s="3">
        <v>524</v>
      </c>
      <c r="M2283" s="3">
        <v>753</v>
      </c>
    </row>
    <row r="2284" spans="1:13" x14ac:dyDescent="0.25">
      <c r="A2284" s="1" t="str">
        <f>HYPERLINK("http://www.rosaceae.org/Prunus/Prunus_persica/p.persica_gdr_reftransV1_0006816","p.persica_gdr_reftransV1_0006816")</f>
        <v>p.persica_gdr_reftransV1_0006816</v>
      </c>
      <c r="B2284" s="3">
        <v>2307</v>
      </c>
      <c r="C2284" s="1" t="str">
        <f>HYPERLINK("http://www.uniprot.org/uniprot/RPM1_ARATH","RPM1_ARATH")</f>
        <v>RPM1_ARATH</v>
      </c>
      <c r="D2284" t="s">
        <v>453</v>
      </c>
      <c r="E2284" s="3" t="s">
        <v>3</v>
      </c>
      <c r="F2284" s="4">
        <v>8.4799999999999992E-99</v>
      </c>
      <c r="G2284" s="3">
        <v>853</v>
      </c>
      <c r="H2284" s="3">
        <v>35</v>
      </c>
      <c r="I2284" s="3">
        <v>650</v>
      </c>
      <c r="J2284" s="3">
        <v>32</v>
      </c>
      <c r="K2284" s="3">
        <v>1951</v>
      </c>
      <c r="L2284" s="3">
        <v>274</v>
      </c>
      <c r="M2284" s="3">
        <v>909</v>
      </c>
    </row>
    <row r="2285" spans="1:13" x14ac:dyDescent="0.25">
      <c r="A2285" s="1" t="str">
        <f>HYPERLINK("http://www.rosaceae.org/Prunus/Prunus_persica/p.persica_gdr_reftransV1_0006866","p.persica_gdr_reftransV1_0006866")</f>
        <v>p.persica_gdr_reftransV1_0006866</v>
      </c>
      <c r="B2285" s="3">
        <v>851</v>
      </c>
      <c r="C2285" s="1" t="str">
        <f>HYPERLINK("http://www.uniprot.org/uniprot/Y5393_ARATH","Y5393_ARATH")</f>
        <v>Y5393_ARATH</v>
      </c>
      <c r="D2285" t="s">
        <v>2192</v>
      </c>
      <c r="E2285" s="3" t="s">
        <v>3</v>
      </c>
      <c r="F2285" s="4">
        <v>1.2199999999999999E-63</v>
      </c>
      <c r="G2285" s="3">
        <v>557</v>
      </c>
      <c r="H2285" s="3">
        <v>54</v>
      </c>
      <c r="I2285" s="3">
        <v>204</v>
      </c>
      <c r="J2285" s="3">
        <v>255</v>
      </c>
      <c r="K2285" s="3">
        <v>851</v>
      </c>
      <c r="L2285" s="3">
        <v>595</v>
      </c>
      <c r="M2285" s="3">
        <v>795</v>
      </c>
    </row>
    <row r="2286" spans="1:13" x14ac:dyDescent="0.25">
      <c r="A2286" s="1" t="str">
        <f>HYPERLINK("http://www.rosaceae.org/Prunus/Prunus_persica/p.persica_gdr_reftransV1_0006966","p.persica_gdr_reftransV1_0006966")</f>
        <v>p.persica_gdr_reftransV1_0006966</v>
      </c>
      <c r="B2286" s="3">
        <v>3598</v>
      </c>
      <c r="C2286" s="1" t="str">
        <f>HYPERLINK("http://www.uniprot.org/uniprot/GLYT6_ARATH","GLYT6_ARATH")</f>
        <v>GLYT6_ARATH</v>
      </c>
      <c r="D2286" t="s">
        <v>2193</v>
      </c>
      <c r="E2286" s="3" t="s">
        <v>3</v>
      </c>
      <c r="F2286" s="4">
        <v>5.8700000000000003E-49</v>
      </c>
      <c r="G2286" s="3">
        <v>474</v>
      </c>
      <c r="H2286" s="3">
        <v>58</v>
      </c>
      <c r="I2286" s="3">
        <v>162</v>
      </c>
      <c r="J2286" s="3">
        <v>2566</v>
      </c>
      <c r="K2286" s="3">
        <v>3048</v>
      </c>
      <c r="L2286" s="3">
        <v>101</v>
      </c>
      <c r="M2286" s="3">
        <v>258</v>
      </c>
    </row>
    <row r="2287" spans="1:13" x14ac:dyDescent="0.25">
      <c r="A2287" s="1" t="str">
        <f>HYPERLINK("http://www.rosaceae.org/Prunus/Prunus_persica/p.persica_gdr_reftransV1_0007066","p.persica_gdr_reftransV1_0007066")</f>
        <v>p.persica_gdr_reftransV1_0007066</v>
      </c>
      <c r="B2287" s="3">
        <v>758</v>
      </c>
      <c r="C2287" s="1" t="str">
        <f>HYPERLINK("http://www.uniprot.org/uniprot/LAML_ARATH","LAML_ARATH")</f>
        <v>LAML_ARATH</v>
      </c>
      <c r="D2287" t="s">
        <v>1944</v>
      </c>
      <c r="E2287" s="3" t="s">
        <v>3</v>
      </c>
      <c r="F2287" s="4">
        <v>1.4799999999999999E-23</v>
      </c>
      <c r="G2287" s="3">
        <v>244</v>
      </c>
      <c r="H2287" s="3">
        <v>43</v>
      </c>
      <c r="I2287" s="3">
        <v>115</v>
      </c>
      <c r="J2287" s="3">
        <v>296</v>
      </c>
      <c r="K2287" s="3">
        <v>625</v>
      </c>
      <c r="L2287" s="3">
        <v>6</v>
      </c>
      <c r="M2287" s="3">
        <v>120</v>
      </c>
    </row>
    <row r="2288" spans="1:13" x14ac:dyDescent="0.25">
      <c r="A2288" s="1" t="str">
        <f>HYPERLINK("http://www.rosaceae.org/Prunus/Prunus_persica/p.persica_gdr_reftransV1_0007166","p.persica_gdr_reftransV1_0007166")</f>
        <v>p.persica_gdr_reftransV1_0007166</v>
      </c>
      <c r="B2288" s="3">
        <v>1200</v>
      </c>
      <c r="C2288" s="1" t="str">
        <f>HYPERLINK("http://www.uniprot.org/uniprot/ITPK1_ARATH","ITPK1_ARATH")</f>
        <v>ITPK1_ARATH</v>
      </c>
      <c r="D2288" t="s">
        <v>2194</v>
      </c>
      <c r="E2288" s="3" t="s">
        <v>3</v>
      </c>
      <c r="F2288" s="4">
        <v>1.02E-97</v>
      </c>
      <c r="G2288" s="3">
        <v>770</v>
      </c>
      <c r="H2288" s="3">
        <v>46</v>
      </c>
      <c r="I2288" s="3">
        <v>338</v>
      </c>
      <c r="J2288" s="3">
        <v>107</v>
      </c>
      <c r="K2288" s="3">
        <v>1117</v>
      </c>
      <c r="L2288" s="3">
        <v>7</v>
      </c>
      <c r="M2288" s="3">
        <v>318</v>
      </c>
    </row>
    <row r="2289" spans="1:13" x14ac:dyDescent="0.25">
      <c r="A2289" s="1" t="str">
        <f>HYPERLINK("http://www.rosaceae.org/Prunus/Prunus_persica/p.persica_gdr_reftransV1_0007216","p.persica_gdr_reftransV1_0007216")</f>
        <v>p.persica_gdr_reftransV1_0007216</v>
      </c>
      <c r="B2289" s="3">
        <v>705</v>
      </c>
      <c r="C2289" s="1" t="str">
        <f>HYPERLINK("http://www.uniprot.org/uniprot/WRK50_ARATH","WRK50_ARATH")</f>
        <v>WRK50_ARATH</v>
      </c>
      <c r="D2289" t="s">
        <v>2195</v>
      </c>
      <c r="E2289" s="3" t="s">
        <v>3</v>
      </c>
      <c r="F2289" s="4">
        <v>2.2000000000000001E-46</v>
      </c>
      <c r="G2289" s="3">
        <v>399</v>
      </c>
      <c r="H2289" s="3">
        <v>52</v>
      </c>
      <c r="I2289" s="3">
        <v>157</v>
      </c>
      <c r="J2289" s="3">
        <v>208</v>
      </c>
      <c r="K2289" s="3">
        <v>636</v>
      </c>
      <c r="L2289" s="3">
        <v>17</v>
      </c>
      <c r="M2289" s="3">
        <v>172</v>
      </c>
    </row>
    <row r="2290" spans="1:13" x14ac:dyDescent="0.25">
      <c r="A2290" s="1" t="str">
        <f>HYPERLINK("http://www.rosaceae.org/Prunus/Prunus_persica/p.persica_gdr_reftransV1_0007266","p.persica_gdr_reftransV1_0007266")</f>
        <v>p.persica_gdr_reftransV1_0007266</v>
      </c>
      <c r="B2290" s="3">
        <v>6297</v>
      </c>
      <c r="C2290" s="1" t="str">
        <f>HYPERLINK("http://www.uniprot.org/uniprot/SYD_ARATH","SYD_ARATH")</f>
        <v>SYD_ARATH</v>
      </c>
      <c r="D2290" t="s">
        <v>2196</v>
      </c>
      <c r="E2290" s="3" t="s">
        <v>3</v>
      </c>
      <c r="F2290" s="4">
        <v>0</v>
      </c>
      <c r="G2290" s="3">
        <v>3616</v>
      </c>
      <c r="H2290" s="3">
        <v>81</v>
      </c>
      <c r="I2290" s="3">
        <v>952</v>
      </c>
      <c r="J2290" s="3">
        <v>2408</v>
      </c>
      <c r="K2290" s="3">
        <v>5263</v>
      </c>
      <c r="L2290" s="3">
        <v>456</v>
      </c>
      <c r="M2290" s="3">
        <v>1405</v>
      </c>
    </row>
    <row r="2291" spans="1:13" x14ac:dyDescent="0.25">
      <c r="A2291" s="1" t="str">
        <f>HYPERLINK("http://www.rosaceae.org/Prunus/Prunus_persica/p.persica_gdr_reftransV1_0007316","p.persica_gdr_reftransV1_0007316")</f>
        <v>p.persica_gdr_reftransV1_0007316</v>
      </c>
      <c r="B2291" s="3">
        <v>2373</v>
      </c>
      <c r="C2291" s="1" t="str">
        <f>HYPERLINK("http://www.uniprot.org/uniprot/RPC3_DICDI","RPC3_DICDI")</f>
        <v>RPC3_DICDI</v>
      </c>
      <c r="D2291" t="s">
        <v>2197</v>
      </c>
      <c r="E2291" s="3" t="s">
        <v>9</v>
      </c>
      <c r="F2291" s="4">
        <v>8.4999999999999995E-18</v>
      </c>
      <c r="G2291" s="3">
        <v>226</v>
      </c>
      <c r="H2291" s="3">
        <v>33</v>
      </c>
      <c r="I2291" s="3">
        <v>189</v>
      </c>
      <c r="J2291" s="3">
        <v>127</v>
      </c>
      <c r="K2291" s="3">
        <v>630</v>
      </c>
      <c r="L2291" s="3">
        <v>2</v>
      </c>
      <c r="M2291" s="3">
        <v>190</v>
      </c>
    </row>
    <row r="2292" spans="1:13" x14ac:dyDescent="0.25">
      <c r="A2292" s="1" t="str">
        <f>HYPERLINK("http://www.rosaceae.org/Prunus/Prunus_persica/p.persica_gdr_reftransV1_0007366","p.persica_gdr_reftransV1_0007366")</f>
        <v>p.persica_gdr_reftransV1_0007366</v>
      </c>
      <c r="B2292" s="3">
        <v>4763</v>
      </c>
      <c r="C2292" s="1" t="str">
        <f>HYPERLINK("http://www.uniprot.org/uniprot/Y3295_ARATH","Y3295_ARATH")</f>
        <v>Y3295_ARATH</v>
      </c>
      <c r="D2292" t="s">
        <v>2198</v>
      </c>
      <c r="E2292" s="3" t="s">
        <v>3</v>
      </c>
      <c r="F2292" s="4">
        <v>1.9999999999999999E-177</v>
      </c>
      <c r="G2292" s="3">
        <v>1417</v>
      </c>
      <c r="H2292" s="3">
        <v>81</v>
      </c>
      <c r="I2292" s="3">
        <v>347</v>
      </c>
      <c r="J2292" s="3">
        <v>201</v>
      </c>
      <c r="K2292" s="3">
        <v>1232</v>
      </c>
      <c r="L2292" s="3">
        <v>14</v>
      </c>
      <c r="M2292" s="3">
        <v>359</v>
      </c>
    </row>
    <row r="2293" spans="1:13" x14ac:dyDescent="0.25">
      <c r="A2293" s="1" t="str">
        <f>HYPERLINK("http://www.rosaceae.org/Prunus/Prunus_persica/p.persica_gdr_reftransV1_0007516","p.persica_gdr_reftransV1_0007516")</f>
        <v>p.persica_gdr_reftransV1_0007516</v>
      </c>
      <c r="B2293" s="3">
        <v>2017</v>
      </c>
      <c r="C2293" s="1" t="str">
        <f>HYPERLINK("http://www.uniprot.org/uniprot/TIG_ARATH","TIG_ARATH")</f>
        <v>TIG_ARATH</v>
      </c>
      <c r="D2293" t="s">
        <v>2199</v>
      </c>
      <c r="E2293" s="3" t="s">
        <v>3</v>
      </c>
      <c r="F2293" s="4">
        <v>0</v>
      </c>
      <c r="G2293" s="3">
        <v>1707</v>
      </c>
      <c r="H2293" s="3">
        <v>68</v>
      </c>
      <c r="I2293" s="3">
        <v>460</v>
      </c>
      <c r="J2293" s="3">
        <v>278</v>
      </c>
      <c r="K2293" s="3">
        <v>1657</v>
      </c>
      <c r="L2293" s="3">
        <v>88</v>
      </c>
      <c r="M2293" s="3">
        <v>547</v>
      </c>
    </row>
    <row r="2294" spans="1:13" x14ac:dyDescent="0.25">
      <c r="A2294" s="1" t="str">
        <f>HYPERLINK("http://www.rosaceae.org/Prunus/Prunus_persica/p.persica_gdr_reftransV1_0007716","p.persica_gdr_reftransV1_0007716")</f>
        <v>p.persica_gdr_reftransV1_0007716</v>
      </c>
      <c r="B2294" s="3">
        <v>2940</v>
      </c>
      <c r="C2294" s="1" t="str">
        <f>HYPERLINK("http://www.uniprot.org/uniprot/HEAT6_MOUSE","HEAT6_MOUSE")</f>
        <v>HEAT6_MOUSE</v>
      </c>
      <c r="D2294" t="s">
        <v>2200</v>
      </c>
      <c r="E2294" s="3" t="s">
        <v>157</v>
      </c>
      <c r="F2294" s="4">
        <v>6E-10</v>
      </c>
      <c r="G2294" s="3">
        <v>163</v>
      </c>
      <c r="H2294" s="3">
        <v>28</v>
      </c>
      <c r="I2294" s="3">
        <v>173</v>
      </c>
      <c r="J2294" s="3">
        <v>2278</v>
      </c>
      <c r="K2294" s="3">
        <v>2787</v>
      </c>
      <c r="L2294" s="3">
        <v>771</v>
      </c>
      <c r="M2294" s="3">
        <v>938</v>
      </c>
    </row>
    <row r="2295" spans="1:13" x14ac:dyDescent="0.25">
      <c r="A2295" s="1" t="str">
        <f>HYPERLINK("http://www.rosaceae.org/Prunus/Prunus_persica/p.persica_gdr_reftransV1_0007916","p.persica_gdr_reftransV1_0007916")</f>
        <v>p.persica_gdr_reftransV1_0007916</v>
      </c>
      <c r="B2295" s="3">
        <v>687</v>
      </c>
      <c r="C2295" s="1" t="str">
        <f>HYPERLINK("http://www.uniprot.org/uniprot/YL728_MIMIV","YL728_MIMIV")</f>
        <v>YL728_MIMIV</v>
      </c>
      <c r="D2295" t="s">
        <v>2032</v>
      </c>
      <c r="E2295" s="3" t="s">
        <v>2033</v>
      </c>
      <c r="F2295" s="4">
        <v>6.0300000000000003E-18</v>
      </c>
      <c r="G2295" s="3">
        <v>212</v>
      </c>
      <c r="H2295" s="3">
        <v>38</v>
      </c>
      <c r="I2295" s="3">
        <v>133</v>
      </c>
      <c r="J2295" s="3">
        <v>294</v>
      </c>
      <c r="K2295" s="3">
        <v>686</v>
      </c>
      <c r="L2295" s="3">
        <v>366</v>
      </c>
      <c r="M2295" s="3">
        <v>493</v>
      </c>
    </row>
    <row r="2296" spans="1:13" x14ac:dyDescent="0.25">
      <c r="A2296" s="1" t="str">
        <f>HYPERLINK("http://www.rosaceae.org/Prunus/Prunus_persica/p.persica_gdr_reftransV1_0007966","p.persica_gdr_reftransV1_0007966")</f>
        <v>p.persica_gdr_reftransV1_0007966</v>
      </c>
      <c r="B2296" s="3">
        <v>1570</v>
      </c>
      <c r="C2296" s="1" t="str">
        <f>HYPERLINK("http://www.uniprot.org/uniprot/RING1_GOSHI","RING1_GOSHI")</f>
        <v>RING1_GOSHI</v>
      </c>
      <c r="D2296" t="s">
        <v>2201</v>
      </c>
      <c r="E2296" s="3" t="s">
        <v>816</v>
      </c>
      <c r="F2296" s="4">
        <v>9.3600000000000002E-35</v>
      </c>
      <c r="G2296" s="3">
        <v>346</v>
      </c>
      <c r="H2296" s="3">
        <v>34</v>
      </c>
      <c r="I2296" s="3">
        <v>276</v>
      </c>
      <c r="J2296" s="3">
        <v>621</v>
      </c>
      <c r="K2296" s="3">
        <v>1322</v>
      </c>
      <c r="L2296" s="3">
        <v>23</v>
      </c>
      <c r="M2296" s="3">
        <v>293</v>
      </c>
    </row>
    <row r="2297" spans="1:13" x14ac:dyDescent="0.25">
      <c r="A2297" s="1" t="str">
        <f>HYPERLINK("http://www.rosaceae.org/Prunus/Prunus_persica/p.persica_gdr_reftransV1_0008016","p.persica_gdr_reftransV1_0008016")</f>
        <v>p.persica_gdr_reftransV1_0008016</v>
      </c>
      <c r="B2297" s="3">
        <v>1125</v>
      </c>
      <c r="C2297" s="1" t="str">
        <f>HYPERLINK("http://www.uniprot.org/uniprot/CYP40_ARATH","CYP40_ARATH")</f>
        <v>CYP40_ARATH</v>
      </c>
      <c r="D2297" t="s">
        <v>2202</v>
      </c>
      <c r="E2297" s="3" t="s">
        <v>3</v>
      </c>
      <c r="F2297" s="4">
        <v>3.3200000000000001E-101</v>
      </c>
      <c r="G2297" s="3">
        <v>795</v>
      </c>
      <c r="H2297" s="3">
        <v>73</v>
      </c>
      <c r="I2297" s="3">
        <v>242</v>
      </c>
      <c r="J2297" s="3">
        <v>399</v>
      </c>
      <c r="K2297" s="3">
        <v>1124</v>
      </c>
      <c r="L2297" s="3">
        <v>119</v>
      </c>
      <c r="M2297" s="3">
        <v>360</v>
      </c>
    </row>
    <row r="2298" spans="1:13" x14ac:dyDescent="0.25">
      <c r="A2298" s="1" t="str">
        <f>HYPERLINK("http://www.rosaceae.org/Prunus/Prunus_persica/p.persica_gdr_reftransV1_0008066","p.persica_gdr_reftransV1_0008066")</f>
        <v>p.persica_gdr_reftransV1_0008066</v>
      </c>
      <c r="B2298" s="3">
        <v>377</v>
      </c>
      <c r="C2298" s="1" t="str">
        <f>HYPERLINK("http://www.uniprot.org/uniprot/I4OMT_LOTJA","I4OMT_LOTJA")</f>
        <v>I4OMT_LOTJA</v>
      </c>
      <c r="D2298" t="s">
        <v>2203</v>
      </c>
      <c r="E2298" s="3" t="s">
        <v>880</v>
      </c>
      <c r="F2298" s="4">
        <v>6.8099999999999996E-31</v>
      </c>
      <c r="G2298" s="3">
        <v>294</v>
      </c>
      <c r="H2298" s="3">
        <v>55</v>
      </c>
      <c r="I2298" s="3">
        <v>100</v>
      </c>
      <c r="J2298" s="3">
        <v>5</v>
      </c>
      <c r="K2298" s="3">
        <v>304</v>
      </c>
      <c r="L2298" s="3">
        <v>7</v>
      </c>
      <c r="M2298" s="3">
        <v>106</v>
      </c>
    </row>
    <row r="2299" spans="1:13" x14ac:dyDescent="0.25">
      <c r="A2299" s="1" t="str">
        <f>HYPERLINK("http://www.rosaceae.org/Prunus/Prunus_persica/p.persica_gdr_reftransV1_0008166","p.persica_gdr_reftransV1_0008166")</f>
        <v>p.persica_gdr_reftransV1_0008166</v>
      </c>
      <c r="B2299" s="3">
        <v>1849</v>
      </c>
      <c r="C2299" s="1" t="str">
        <f>HYPERLINK("http://www.uniprot.org/uniprot/NUF2_DANRE","NUF2_DANRE")</f>
        <v>NUF2_DANRE</v>
      </c>
      <c r="D2299" t="s">
        <v>2204</v>
      </c>
      <c r="E2299" s="3" t="s">
        <v>704</v>
      </c>
      <c r="F2299" s="4">
        <v>3.8899999999999998E-12</v>
      </c>
      <c r="G2299" s="3">
        <v>176</v>
      </c>
      <c r="H2299" s="3">
        <v>26</v>
      </c>
      <c r="I2299" s="3">
        <v>456</v>
      </c>
      <c r="J2299" s="3">
        <v>113</v>
      </c>
      <c r="K2299" s="3">
        <v>1420</v>
      </c>
      <c r="L2299" s="3">
        <v>1</v>
      </c>
      <c r="M2299" s="3">
        <v>407</v>
      </c>
    </row>
    <row r="2300" spans="1:13" x14ac:dyDescent="0.25">
      <c r="A2300" s="1" t="str">
        <f>HYPERLINK("http://www.rosaceae.org/Prunus/Prunus_persica/p.persica_gdr_reftransV1_0008216","p.persica_gdr_reftransV1_0008216")</f>
        <v>p.persica_gdr_reftransV1_0008216</v>
      </c>
      <c r="B2300" s="3">
        <v>1806</v>
      </c>
      <c r="C2300" s="1" t="str">
        <f>HYPERLINK("http://www.uniprot.org/uniprot/ODP25_ARATH","ODP25_ARATH")</f>
        <v>ODP25_ARATH</v>
      </c>
      <c r="D2300" t="s">
        <v>1495</v>
      </c>
      <c r="E2300" s="3" t="s">
        <v>3</v>
      </c>
      <c r="F2300" s="4">
        <v>8.3900000000000006E-157</v>
      </c>
      <c r="G2300" s="3">
        <v>1197</v>
      </c>
      <c r="H2300" s="3">
        <v>85</v>
      </c>
      <c r="I2300" s="3">
        <v>290</v>
      </c>
      <c r="J2300" s="3">
        <v>349</v>
      </c>
      <c r="K2300" s="3">
        <v>1218</v>
      </c>
      <c r="L2300" s="3">
        <v>178</v>
      </c>
      <c r="M2300" s="3">
        <v>465</v>
      </c>
    </row>
    <row r="2301" spans="1:13" x14ac:dyDescent="0.25">
      <c r="A2301" s="1" t="str">
        <f>HYPERLINK("http://www.rosaceae.org/Prunus/Prunus_persica/p.persica_gdr_reftransV1_0008266","p.persica_gdr_reftransV1_0008266")</f>
        <v>p.persica_gdr_reftransV1_0008266</v>
      </c>
      <c r="B2301" s="3">
        <v>1852</v>
      </c>
      <c r="C2301" s="1" t="str">
        <f>HYPERLINK("http://www.uniprot.org/uniprot/BASS2_ARATH","BASS2_ARATH")</f>
        <v>BASS2_ARATH</v>
      </c>
      <c r="D2301" t="s">
        <v>2205</v>
      </c>
      <c r="E2301" s="3" t="s">
        <v>3</v>
      </c>
      <c r="F2301" s="4">
        <v>0</v>
      </c>
      <c r="G2301" s="3">
        <v>1422</v>
      </c>
      <c r="H2301" s="3">
        <v>80</v>
      </c>
      <c r="I2301" s="3">
        <v>404</v>
      </c>
      <c r="J2301" s="3">
        <v>330</v>
      </c>
      <c r="K2301" s="3">
        <v>1520</v>
      </c>
      <c r="L2301" s="3">
        <v>1</v>
      </c>
      <c r="M2301" s="3">
        <v>400</v>
      </c>
    </row>
    <row r="2302" spans="1:13" x14ac:dyDescent="0.25">
      <c r="A2302" s="1" t="str">
        <f>HYPERLINK("http://www.rosaceae.org/Prunus/Prunus_persica/p.persica_gdr_reftransV1_0008366","p.persica_gdr_reftransV1_0008366")</f>
        <v>p.persica_gdr_reftransV1_0008366</v>
      </c>
      <c r="B2302" s="3">
        <v>1618</v>
      </c>
      <c r="C2302" s="1" t="str">
        <f>HYPERLINK("http://www.uniprot.org/uniprot/DOF46_ARATH","DOF46_ARATH")</f>
        <v>DOF46_ARATH</v>
      </c>
      <c r="D2302" t="s">
        <v>2206</v>
      </c>
      <c r="E2302" s="3" t="s">
        <v>3</v>
      </c>
      <c r="F2302" s="4">
        <v>4.7700000000000001E-42</v>
      </c>
      <c r="G2302" s="3">
        <v>401</v>
      </c>
      <c r="H2302" s="3">
        <v>40</v>
      </c>
      <c r="I2302" s="3">
        <v>316</v>
      </c>
      <c r="J2302" s="3">
        <v>753</v>
      </c>
      <c r="K2302" s="3">
        <v>1616</v>
      </c>
      <c r="L2302" s="3">
        <v>42</v>
      </c>
      <c r="M2302" s="3">
        <v>341</v>
      </c>
    </row>
    <row r="2303" spans="1:13" x14ac:dyDescent="0.25">
      <c r="A2303" s="1" t="str">
        <f>HYPERLINK("http://www.rosaceae.org/Prunus/Prunus_persica/p.persica_gdr_reftransV1_0008416","p.persica_gdr_reftransV1_0008416")</f>
        <v>p.persica_gdr_reftransV1_0008416</v>
      </c>
      <c r="B2303" s="3">
        <v>1142</v>
      </c>
      <c r="C2303" s="1" t="str">
        <f>HYPERLINK("http://www.uniprot.org/uniprot/SIP11_ORYSJ","SIP11_ORYSJ")</f>
        <v>SIP11_ORYSJ</v>
      </c>
      <c r="D2303" t="s">
        <v>2207</v>
      </c>
      <c r="E2303" s="3" t="s">
        <v>38</v>
      </c>
      <c r="F2303" s="4">
        <v>1.5600000000000001E-69</v>
      </c>
      <c r="G2303" s="3">
        <v>573</v>
      </c>
      <c r="H2303" s="3">
        <v>57</v>
      </c>
      <c r="I2303" s="3">
        <v>216</v>
      </c>
      <c r="J2303" s="3">
        <v>272</v>
      </c>
      <c r="K2303" s="3">
        <v>913</v>
      </c>
      <c r="L2303" s="3">
        <v>16</v>
      </c>
      <c r="M2303" s="3">
        <v>231</v>
      </c>
    </row>
    <row r="2304" spans="1:13" x14ac:dyDescent="0.25">
      <c r="A2304" s="1" t="str">
        <f>HYPERLINK("http://www.rosaceae.org/Prunus/Prunus_persica/p.persica_gdr_reftransV1_0008466","p.persica_gdr_reftransV1_0008466")</f>
        <v>p.persica_gdr_reftransV1_0008466</v>
      </c>
      <c r="B2304" s="3">
        <v>847</v>
      </c>
      <c r="C2304" s="1" t="str">
        <f>HYPERLINK("http://www.uniprot.org/uniprot/FRS10_ARATH","FRS10_ARATH")</f>
        <v>FRS10_ARATH</v>
      </c>
      <c r="D2304" t="s">
        <v>2208</v>
      </c>
      <c r="E2304" s="3" t="s">
        <v>3</v>
      </c>
      <c r="F2304" s="4">
        <v>1.49E-34</v>
      </c>
      <c r="G2304" s="3">
        <v>342</v>
      </c>
      <c r="H2304" s="3">
        <v>54</v>
      </c>
      <c r="I2304" s="3">
        <v>113</v>
      </c>
      <c r="J2304" s="3">
        <v>499</v>
      </c>
      <c r="K2304" s="3">
        <v>837</v>
      </c>
      <c r="L2304" s="3">
        <v>1</v>
      </c>
      <c r="M2304" s="3">
        <v>113</v>
      </c>
    </row>
    <row r="2305" spans="1:13" x14ac:dyDescent="0.25">
      <c r="A2305" s="1" t="str">
        <f>HYPERLINK("http://www.rosaceae.org/Prunus/Prunus_persica/p.persica_gdr_reftransV1_0008516","p.persica_gdr_reftransV1_0008516")</f>
        <v>p.persica_gdr_reftransV1_0008516</v>
      </c>
      <c r="B2305" s="3">
        <v>1733</v>
      </c>
      <c r="C2305" s="1" t="str">
        <f>HYPERLINK("http://www.uniprot.org/uniprot/PP333_ARATH","PP333_ARATH")</f>
        <v>PP333_ARATH</v>
      </c>
      <c r="D2305" t="s">
        <v>2209</v>
      </c>
      <c r="E2305" s="3" t="s">
        <v>3</v>
      </c>
      <c r="F2305" s="4">
        <v>2.9700000000000001E-133</v>
      </c>
      <c r="G2305" s="3">
        <v>1070</v>
      </c>
      <c r="H2305" s="3">
        <v>66</v>
      </c>
      <c r="I2305" s="3">
        <v>292</v>
      </c>
      <c r="J2305" s="3">
        <v>860</v>
      </c>
      <c r="K2305" s="3">
        <v>1732</v>
      </c>
      <c r="L2305" s="3">
        <v>546</v>
      </c>
      <c r="M2305" s="3">
        <v>837</v>
      </c>
    </row>
    <row r="2306" spans="1:13" x14ac:dyDescent="0.25">
      <c r="A2306" s="1" t="str">
        <f>HYPERLINK("http://www.rosaceae.org/Prunus/Prunus_persica/p.persica_gdr_reftransV1_0008616","p.persica_gdr_reftransV1_0008616")</f>
        <v>p.persica_gdr_reftransV1_0008616</v>
      </c>
      <c r="B2306" s="3">
        <v>787</v>
      </c>
      <c r="C2306" s="1" t="str">
        <f>HYPERLINK("http://www.uniprot.org/uniprot/RM41A_XENLA","RM41A_XENLA")</f>
        <v>RM41A_XENLA</v>
      </c>
      <c r="D2306" t="s">
        <v>2210</v>
      </c>
      <c r="E2306" s="3" t="s">
        <v>475</v>
      </c>
      <c r="F2306" s="4">
        <v>9.1499999999999994E-11</v>
      </c>
      <c r="G2306" s="3">
        <v>149</v>
      </c>
      <c r="H2306" s="3">
        <v>45</v>
      </c>
      <c r="I2306" s="3">
        <v>74</v>
      </c>
      <c r="J2306" s="3">
        <v>171</v>
      </c>
      <c r="K2306" s="3">
        <v>392</v>
      </c>
      <c r="L2306" s="3">
        <v>1</v>
      </c>
      <c r="M2306" s="3">
        <v>73</v>
      </c>
    </row>
    <row r="2307" spans="1:13" x14ac:dyDescent="0.25">
      <c r="A2307" s="1" t="str">
        <f>HYPERLINK("http://www.rosaceae.org/Prunus/Prunus_persica/p.persica_gdr_reftransV1_0008666","p.persica_gdr_reftransV1_0008666")</f>
        <v>p.persica_gdr_reftransV1_0008666</v>
      </c>
      <c r="B2307" s="3">
        <v>354</v>
      </c>
      <c r="C2307" s="1" t="str">
        <f>HYPERLINK("http://www.uniprot.org/uniprot/PP313_ARATH","PP313_ARATH")</f>
        <v>PP313_ARATH</v>
      </c>
      <c r="D2307" t="s">
        <v>2211</v>
      </c>
      <c r="E2307" s="3" t="s">
        <v>3</v>
      </c>
      <c r="F2307" s="4">
        <v>1.01E-17</v>
      </c>
      <c r="G2307" s="3">
        <v>202</v>
      </c>
      <c r="H2307" s="3">
        <v>46</v>
      </c>
      <c r="I2307" s="3">
        <v>85</v>
      </c>
      <c r="J2307" s="3">
        <v>96</v>
      </c>
      <c r="K2307" s="3">
        <v>350</v>
      </c>
      <c r="L2307" s="3">
        <v>31</v>
      </c>
      <c r="M2307" s="3">
        <v>115</v>
      </c>
    </row>
    <row r="2308" spans="1:13" x14ac:dyDescent="0.25">
      <c r="A2308" s="1" t="str">
        <f>HYPERLINK("http://www.rosaceae.org/Prunus/Prunus_persica/p.persica_gdr_reftransV1_0008716","p.persica_gdr_reftransV1_0008716")</f>
        <v>p.persica_gdr_reftransV1_0008716</v>
      </c>
      <c r="B2308" s="3">
        <v>1486</v>
      </c>
      <c r="C2308" s="1" t="str">
        <f>HYPERLINK("http://www.uniprot.org/uniprot/GAOX3_ARATH","GAOX3_ARATH")</f>
        <v>GAOX3_ARATH</v>
      </c>
      <c r="D2308" t="s">
        <v>2212</v>
      </c>
      <c r="E2308" s="3" t="s">
        <v>3</v>
      </c>
      <c r="F2308" s="4">
        <v>4.9200000000000004E-127</v>
      </c>
      <c r="G2308" s="3">
        <v>980</v>
      </c>
      <c r="H2308" s="3">
        <v>51</v>
      </c>
      <c r="I2308" s="3">
        <v>377</v>
      </c>
      <c r="J2308" s="3">
        <v>307</v>
      </c>
      <c r="K2308" s="3">
        <v>1416</v>
      </c>
      <c r="L2308" s="3">
        <v>1</v>
      </c>
      <c r="M2308" s="3">
        <v>374</v>
      </c>
    </row>
    <row r="2309" spans="1:13" x14ac:dyDescent="0.25">
      <c r="A2309" s="1" t="str">
        <f>HYPERLINK("http://www.rosaceae.org/Prunus/Prunus_persica/p.persica_gdr_reftransV1_0008816","p.persica_gdr_reftransV1_0008816")</f>
        <v>p.persica_gdr_reftransV1_0008816</v>
      </c>
      <c r="B2309" s="3">
        <v>1740</v>
      </c>
      <c r="C2309" s="1" t="str">
        <f>HYPERLINK("http://www.uniprot.org/uniprot/ATPG_TOBAC","ATPG_TOBAC")</f>
        <v>ATPG_TOBAC</v>
      </c>
      <c r="D2309" t="s">
        <v>1807</v>
      </c>
      <c r="E2309" s="3" t="s">
        <v>200</v>
      </c>
      <c r="F2309" s="4">
        <v>1.69E-167</v>
      </c>
      <c r="G2309" s="3">
        <v>1257</v>
      </c>
      <c r="H2309" s="3">
        <v>74</v>
      </c>
      <c r="I2309" s="3">
        <v>338</v>
      </c>
      <c r="J2309" s="3">
        <v>263</v>
      </c>
      <c r="K2309" s="3">
        <v>1276</v>
      </c>
      <c r="L2309" s="3">
        <v>39</v>
      </c>
      <c r="M2309" s="3">
        <v>376</v>
      </c>
    </row>
    <row r="2310" spans="1:13" x14ac:dyDescent="0.25">
      <c r="A2310" s="1" t="str">
        <f>HYPERLINK("http://www.rosaceae.org/Prunus/Prunus_persica/p.persica_gdr_reftransV1_0008866","p.persica_gdr_reftransV1_0008866")</f>
        <v>p.persica_gdr_reftransV1_0008866</v>
      </c>
      <c r="B2310" s="3">
        <v>2550</v>
      </c>
      <c r="C2310" s="1" t="str">
        <f>HYPERLINK("http://www.uniprot.org/uniprot/PMTA_ARATH","PMTA_ARATH")</f>
        <v>PMTA_ARATH</v>
      </c>
      <c r="D2310" t="s">
        <v>2213</v>
      </c>
      <c r="E2310" s="3" t="s">
        <v>3</v>
      </c>
      <c r="F2310" s="4">
        <v>0</v>
      </c>
      <c r="G2310" s="3">
        <v>1784</v>
      </c>
      <c r="H2310" s="3">
        <v>63</v>
      </c>
      <c r="I2310" s="3">
        <v>528</v>
      </c>
      <c r="J2310" s="3">
        <v>201</v>
      </c>
      <c r="K2310" s="3">
        <v>1784</v>
      </c>
      <c r="L2310" s="3">
        <v>3</v>
      </c>
      <c r="M2310" s="3">
        <v>524</v>
      </c>
    </row>
    <row r="2311" spans="1:13" x14ac:dyDescent="0.25">
      <c r="A2311" s="1" t="str">
        <f>HYPERLINK("http://www.rosaceae.org/Prunus/Prunus_persica/p.persica_gdr_reftransV1_0008966","p.persica_gdr_reftransV1_0008966")</f>
        <v>p.persica_gdr_reftransV1_0008966</v>
      </c>
      <c r="B2311" s="3">
        <v>2844</v>
      </c>
      <c r="C2311" s="1" t="str">
        <f>HYPERLINK("http://www.uniprot.org/uniprot/YPQ1_YEAST","YPQ1_YEAST")</f>
        <v>YPQ1_YEAST</v>
      </c>
      <c r="D2311" t="s">
        <v>2214</v>
      </c>
      <c r="E2311" s="3" t="s">
        <v>34</v>
      </c>
      <c r="F2311" s="4">
        <v>3.8799999999999999E-16</v>
      </c>
      <c r="G2311" s="3">
        <v>207</v>
      </c>
      <c r="H2311" s="3">
        <v>42</v>
      </c>
      <c r="I2311" s="3">
        <v>93</v>
      </c>
      <c r="J2311" s="3">
        <v>2031</v>
      </c>
      <c r="K2311" s="3">
        <v>2309</v>
      </c>
      <c r="L2311" s="3">
        <v>211</v>
      </c>
      <c r="M2311" s="3">
        <v>303</v>
      </c>
    </row>
    <row r="2312" spans="1:13" x14ac:dyDescent="0.25">
      <c r="A2312" s="1" t="str">
        <f>HYPERLINK("http://www.rosaceae.org/Prunus/Prunus_persica/p.persica_gdr_reftransV1_0009116","p.persica_gdr_reftransV1_0009116")</f>
        <v>p.persica_gdr_reftransV1_0009116</v>
      </c>
      <c r="B2312" s="3">
        <v>473</v>
      </c>
      <c r="C2312" s="1" t="str">
        <f>HYPERLINK("http://www.uniprot.org/uniprot/PP104_ARATH","PP104_ARATH")</f>
        <v>PP104_ARATH</v>
      </c>
      <c r="D2312" t="s">
        <v>2215</v>
      </c>
      <c r="E2312" s="3" t="s">
        <v>3</v>
      </c>
      <c r="F2312" s="4">
        <v>1.8500000000000001E-39</v>
      </c>
      <c r="G2312" s="3">
        <v>363</v>
      </c>
      <c r="H2312" s="3">
        <v>50</v>
      </c>
      <c r="I2312" s="3">
        <v>153</v>
      </c>
      <c r="J2312" s="3">
        <v>5</v>
      </c>
      <c r="K2312" s="3">
        <v>463</v>
      </c>
      <c r="L2312" s="3">
        <v>171</v>
      </c>
      <c r="M2312" s="3">
        <v>323</v>
      </c>
    </row>
    <row r="2313" spans="1:13" x14ac:dyDescent="0.25">
      <c r="A2313" s="1" t="str">
        <f>HYPERLINK("http://www.rosaceae.org/Prunus/Prunus_persica/p.persica_gdr_reftransV1_0009166","p.persica_gdr_reftransV1_0009166")</f>
        <v>p.persica_gdr_reftransV1_0009166</v>
      </c>
      <c r="B2313" s="3">
        <v>3031</v>
      </c>
      <c r="C2313" s="1" t="str">
        <f>HYPERLINK("http://www.uniprot.org/uniprot/YQKD_BACSU","YQKD_BACSU")</f>
        <v>YQKD_BACSU</v>
      </c>
      <c r="D2313" t="s">
        <v>2216</v>
      </c>
      <c r="E2313" s="3" t="s">
        <v>1630</v>
      </c>
      <c r="F2313" s="4">
        <v>8.2400000000000004E-12</v>
      </c>
      <c r="G2313" s="3">
        <v>172</v>
      </c>
      <c r="H2313" s="3">
        <v>29</v>
      </c>
      <c r="I2313" s="3">
        <v>235</v>
      </c>
      <c r="J2313" s="3">
        <v>1634</v>
      </c>
      <c r="K2313" s="3">
        <v>2308</v>
      </c>
      <c r="L2313" s="3">
        <v>62</v>
      </c>
      <c r="M2313" s="3">
        <v>281</v>
      </c>
    </row>
    <row r="2314" spans="1:13" x14ac:dyDescent="0.25">
      <c r="A2314" s="1" t="str">
        <f>HYPERLINK("http://www.rosaceae.org/Prunus/Prunus_persica/p.persica_gdr_reftransV1_0009216","p.persica_gdr_reftransV1_0009216")</f>
        <v>p.persica_gdr_reftransV1_0009216</v>
      </c>
      <c r="B2314" s="3">
        <v>1555</v>
      </c>
      <c r="C2314" s="1" t="str">
        <f>HYPERLINK("http://www.uniprot.org/uniprot/RPM1_ARATH","RPM1_ARATH")</f>
        <v>RPM1_ARATH</v>
      </c>
      <c r="D2314" t="s">
        <v>453</v>
      </c>
      <c r="E2314" s="3" t="s">
        <v>3</v>
      </c>
      <c r="F2314" s="4">
        <v>2.1400000000000001E-102</v>
      </c>
      <c r="G2314" s="3">
        <v>858</v>
      </c>
      <c r="H2314" s="3">
        <v>45</v>
      </c>
      <c r="I2314" s="3">
        <v>436</v>
      </c>
      <c r="J2314" s="3">
        <v>3</v>
      </c>
      <c r="K2314" s="3">
        <v>1274</v>
      </c>
      <c r="L2314" s="3">
        <v>6</v>
      </c>
      <c r="M2314" s="3">
        <v>435</v>
      </c>
    </row>
    <row r="2315" spans="1:13" x14ac:dyDescent="0.25">
      <c r="A2315" s="1" t="str">
        <f>HYPERLINK("http://www.rosaceae.org/Prunus/Prunus_persica/p.persica_gdr_reftransV1_0009266","p.persica_gdr_reftransV1_0009266")</f>
        <v>p.persica_gdr_reftransV1_0009266</v>
      </c>
      <c r="B2315" s="3">
        <v>3709</v>
      </c>
      <c r="C2315" s="1" t="str">
        <f>HYPERLINK("http://www.uniprot.org/uniprot/FRO7_ARATH","FRO7_ARATH")</f>
        <v>FRO7_ARATH</v>
      </c>
      <c r="D2315" t="s">
        <v>2217</v>
      </c>
      <c r="E2315" s="3" t="s">
        <v>3</v>
      </c>
      <c r="F2315" s="4">
        <v>0</v>
      </c>
      <c r="G2315" s="3">
        <v>2034</v>
      </c>
      <c r="H2315" s="3">
        <v>61</v>
      </c>
      <c r="I2315" s="3">
        <v>660</v>
      </c>
      <c r="J2315" s="3">
        <v>632</v>
      </c>
      <c r="K2315" s="3">
        <v>2569</v>
      </c>
      <c r="L2315" s="3">
        <v>32</v>
      </c>
      <c r="M2315" s="3">
        <v>691</v>
      </c>
    </row>
    <row r="2316" spans="1:13" x14ac:dyDescent="0.25">
      <c r="A2316" s="1" t="str">
        <f>HYPERLINK("http://www.rosaceae.org/Prunus/Prunus_persica/p.persica_gdr_reftransV1_0009316","p.persica_gdr_reftransV1_0009316")</f>
        <v>p.persica_gdr_reftransV1_0009316</v>
      </c>
      <c r="B2316" s="3">
        <v>703</v>
      </c>
      <c r="C2316" s="1" t="str">
        <f>HYPERLINK("http://www.uniprot.org/uniprot/PP136_ARATH","PP136_ARATH")</f>
        <v>PP136_ARATH</v>
      </c>
      <c r="D2316" t="s">
        <v>2218</v>
      </c>
      <c r="E2316" s="3" t="s">
        <v>3</v>
      </c>
      <c r="F2316" s="4">
        <v>2.2400000000000002E-53</v>
      </c>
      <c r="G2316" s="3">
        <v>466</v>
      </c>
      <c r="H2316" s="3">
        <v>57</v>
      </c>
      <c r="I2316" s="3">
        <v>155</v>
      </c>
      <c r="J2316" s="3">
        <v>1</v>
      </c>
      <c r="K2316" s="3">
        <v>450</v>
      </c>
      <c r="L2316" s="3">
        <v>15</v>
      </c>
      <c r="M2316" s="3">
        <v>169</v>
      </c>
    </row>
    <row r="2317" spans="1:13" x14ac:dyDescent="0.25">
      <c r="A2317" s="1" t="str">
        <f>HYPERLINK("http://www.rosaceae.org/Prunus/Prunus_persica/p.persica_gdr_reftransV1_0009416","p.persica_gdr_reftransV1_0009416")</f>
        <v>p.persica_gdr_reftransV1_0009416</v>
      </c>
      <c r="B2317" s="3">
        <v>2241</v>
      </c>
      <c r="C2317" s="1" t="str">
        <f>HYPERLINK("http://www.uniprot.org/uniprot/PME12_ARATH","PME12_ARATH")</f>
        <v>PME12_ARATH</v>
      </c>
      <c r="D2317" t="s">
        <v>2219</v>
      </c>
      <c r="E2317" s="3" t="s">
        <v>3</v>
      </c>
      <c r="F2317" s="4">
        <v>0</v>
      </c>
      <c r="G2317" s="3">
        <v>1831</v>
      </c>
      <c r="H2317" s="3">
        <v>70</v>
      </c>
      <c r="I2317" s="3">
        <v>519</v>
      </c>
      <c r="J2317" s="3">
        <v>307</v>
      </c>
      <c r="K2317" s="3">
        <v>1827</v>
      </c>
      <c r="L2317" s="3">
        <v>29</v>
      </c>
      <c r="M2317" s="3">
        <v>547</v>
      </c>
    </row>
    <row r="2318" spans="1:13" x14ac:dyDescent="0.25">
      <c r="A2318" s="1" t="str">
        <f>HYPERLINK("http://www.rosaceae.org/Prunus/Prunus_persica/p.persica_gdr_reftransV1_0009766","p.persica_gdr_reftransV1_0009766")</f>
        <v>p.persica_gdr_reftransV1_0009766</v>
      </c>
      <c r="B2318" s="3">
        <v>1618</v>
      </c>
      <c r="C2318" s="1" t="str">
        <f>HYPERLINK("http://www.uniprot.org/uniprot/ACCH1_ARATH","ACCH1_ARATH")</f>
        <v>ACCH1_ARATH</v>
      </c>
      <c r="D2318" t="s">
        <v>1325</v>
      </c>
      <c r="E2318" s="3" t="s">
        <v>3</v>
      </c>
      <c r="F2318" s="4">
        <v>3.5900000000000001E-131</v>
      </c>
      <c r="G2318" s="3">
        <v>1011</v>
      </c>
      <c r="H2318" s="3">
        <v>54</v>
      </c>
      <c r="I2318" s="3">
        <v>355</v>
      </c>
      <c r="J2318" s="3">
        <v>185</v>
      </c>
      <c r="K2318" s="3">
        <v>1243</v>
      </c>
      <c r="L2318" s="3">
        <v>12</v>
      </c>
      <c r="M2318" s="3">
        <v>365</v>
      </c>
    </row>
    <row r="2319" spans="1:13" x14ac:dyDescent="0.25">
      <c r="A2319" s="1" t="str">
        <f>HYPERLINK("http://www.rosaceae.org/Prunus/Prunus_persica/p.persica_gdr_reftransV1_0009816","p.persica_gdr_reftransV1_0009816")</f>
        <v>p.persica_gdr_reftransV1_0009816</v>
      </c>
      <c r="B2319" s="3">
        <v>1455</v>
      </c>
      <c r="C2319" s="1" t="str">
        <f>HYPERLINK("http://www.uniprot.org/uniprot/GEK1_ARATH","GEK1_ARATH")</f>
        <v>GEK1_ARATH</v>
      </c>
      <c r="D2319" t="s">
        <v>2220</v>
      </c>
      <c r="E2319" s="3" t="s">
        <v>3</v>
      </c>
      <c r="F2319" s="4">
        <v>7.0999999999999995E-123</v>
      </c>
      <c r="G2319" s="3">
        <v>715</v>
      </c>
      <c r="H2319" s="3">
        <v>75</v>
      </c>
      <c r="I2319" s="3">
        <v>183</v>
      </c>
      <c r="J2319" s="3">
        <v>257</v>
      </c>
      <c r="K2319" s="3">
        <v>805</v>
      </c>
      <c r="L2319" s="3">
        <v>1</v>
      </c>
      <c r="M2319" s="3">
        <v>181</v>
      </c>
    </row>
    <row r="2320" spans="1:13" x14ac:dyDescent="0.25">
      <c r="A2320" s="1" t="str">
        <f>HYPERLINK("http://www.rosaceae.org/Prunus/Prunus_persica/p.persica_gdr_reftransV1_0009866","p.persica_gdr_reftransV1_0009866")</f>
        <v>p.persica_gdr_reftransV1_0009866</v>
      </c>
      <c r="B2320" s="3">
        <v>559</v>
      </c>
      <c r="C2320" s="1" t="str">
        <f>HYPERLINK("http://www.uniprot.org/uniprot/Y2267_ARATH","Y2267_ARATH")</f>
        <v>Y2267_ARATH</v>
      </c>
      <c r="D2320" t="s">
        <v>2221</v>
      </c>
      <c r="E2320" s="3" t="s">
        <v>3</v>
      </c>
      <c r="F2320" s="4">
        <v>5.0100000000000002E-22</v>
      </c>
      <c r="G2320" s="3">
        <v>241</v>
      </c>
      <c r="H2320" s="3">
        <v>49</v>
      </c>
      <c r="I2320" s="3">
        <v>112</v>
      </c>
      <c r="J2320" s="3">
        <v>15</v>
      </c>
      <c r="K2320" s="3">
        <v>335</v>
      </c>
      <c r="L2320" s="3">
        <v>521</v>
      </c>
      <c r="M2320" s="3">
        <v>630</v>
      </c>
    </row>
    <row r="2321" spans="1:13" x14ac:dyDescent="0.25">
      <c r="A2321" s="1" t="str">
        <f>HYPERLINK("http://www.rosaceae.org/Prunus/Prunus_persica/p.persica_gdr_reftransV1_0009916","p.persica_gdr_reftransV1_0009916")</f>
        <v>p.persica_gdr_reftransV1_0009916</v>
      </c>
      <c r="B2321" s="3">
        <v>2607</v>
      </c>
      <c r="C2321" s="1" t="str">
        <f>HYPERLINK("http://www.uniprot.org/uniprot/ASPG1_ARATH","ASPG1_ARATH")</f>
        <v>ASPG1_ARATH</v>
      </c>
      <c r="D2321" t="s">
        <v>1238</v>
      </c>
      <c r="E2321" s="3" t="s">
        <v>3</v>
      </c>
      <c r="F2321" s="4">
        <v>2.5600000000000001E-179</v>
      </c>
      <c r="G2321" s="3">
        <v>1374</v>
      </c>
      <c r="H2321" s="3">
        <v>62</v>
      </c>
      <c r="I2321" s="3">
        <v>496</v>
      </c>
      <c r="J2321" s="3">
        <v>665</v>
      </c>
      <c r="K2321" s="3">
        <v>2119</v>
      </c>
      <c r="L2321" s="3">
        <v>6</v>
      </c>
      <c r="M2321" s="3">
        <v>498</v>
      </c>
    </row>
    <row r="2322" spans="1:13" x14ac:dyDescent="0.25">
      <c r="A2322" s="1" t="str">
        <f>HYPERLINK("http://www.rosaceae.org/Prunus/Prunus_persica/p.persica_gdr_reftransV1_0009966","p.persica_gdr_reftransV1_0009966")</f>
        <v>p.persica_gdr_reftransV1_0009966</v>
      </c>
      <c r="B2322" s="3">
        <v>1772</v>
      </c>
      <c r="C2322" s="1" t="str">
        <f>HYPERLINK("http://www.uniprot.org/uniprot/Y5382_ARATH","Y5382_ARATH")</f>
        <v>Y5382_ARATH</v>
      </c>
      <c r="D2322" t="s">
        <v>2222</v>
      </c>
      <c r="E2322" s="3" t="s">
        <v>3</v>
      </c>
      <c r="F2322" s="4">
        <v>1.5400000000000001E-56</v>
      </c>
      <c r="G2322" s="3">
        <v>494</v>
      </c>
      <c r="H2322" s="3">
        <v>54</v>
      </c>
      <c r="I2322" s="3">
        <v>198</v>
      </c>
      <c r="J2322" s="3">
        <v>69</v>
      </c>
      <c r="K2322" s="3">
        <v>662</v>
      </c>
      <c r="L2322" s="3">
        <v>1</v>
      </c>
      <c r="M2322" s="3">
        <v>194</v>
      </c>
    </row>
    <row r="2323" spans="1:13" x14ac:dyDescent="0.25">
      <c r="A2323" s="1" t="str">
        <f>HYPERLINK("http://www.rosaceae.org/Prunus/Prunus_persica/p.persica_gdr_reftransV1_0010316","p.persica_gdr_reftransV1_0010316")</f>
        <v>p.persica_gdr_reftransV1_0010316</v>
      </c>
      <c r="B2323" s="3">
        <v>2028</v>
      </c>
      <c r="C2323" s="1" t="str">
        <f>HYPERLINK("http://www.uniprot.org/uniprot/LAC7_ARATH","LAC7_ARATH")</f>
        <v>LAC7_ARATH</v>
      </c>
      <c r="D2323" t="s">
        <v>2223</v>
      </c>
      <c r="E2323" s="3" t="s">
        <v>3</v>
      </c>
      <c r="F2323" s="4">
        <v>0</v>
      </c>
      <c r="G2323" s="3">
        <v>1843</v>
      </c>
      <c r="H2323" s="3">
        <v>64</v>
      </c>
      <c r="I2323" s="3">
        <v>531</v>
      </c>
      <c r="J2323" s="3">
        <v>176</v>
      </c>
      <c r="K2323" s="3">
        <v>1747</v>
      </c>
      <c r="L2323" s="3">
        <v>25</v>
      </c>
      <c r="M2323" s="3">
        <v>550</v>
      </c>
    </row>
    <row r="2324" spans="1:13" x14ac:dyDescent="0.25">
      <c r="A2324" s="1" t="str">
        <f>HYPERLINK("http://www.rosaceae.org/Prunus/Prunus_persica/p.persica_gdr_reftransV1_0010366","p.persica_gdr_reftransV1_0010366")</f>
        <v>p.persica_gdr_reftransV1_0010366</v>
      </c>
      <c r="B2324" s="3">
        <v>1897</v>
      </c>
      <c r="C2324" s="1" t="str">
        <f>HYPERLINK("http://www.uniprot.org/uniprot/CDL1_ARATH","CDL1_ARATH")</f>
        <v>CDL1_ARATH</v>
      </c>
      <c r="D2324" t="s">
        <v>801</v>
      </c>
      <c r="E2324" s="3" t="s">
        <v>3</v>
      </c>
      <c r="F2324" s="4">
        <v>9.8499999999999995E-100</v>
      </c>
      <c r="G2324" s="3">
        <v>809</v>
      </c>
      <c r="H2324" s="3">
        <v>51</v>
      </c>
      <c r="I2324" s="3">
        <v>312</v>
      </c>
      <c r="J2324" s="3">
        <v>516</v>
      </c>
      <c r="K2324" s="3">
        <v>1445</v>
      </c>
      <c r="L2324" s="3">
        <v>58</v>
      </c>
      <c r="M2324" s="3">
        <v>369</v>
      </c>
    </row>
    <row r="2325" spans="1:13" x14ac:dyDescent="0.25">
      <c r="A2325" s="1" t="str">
        <f>HYPERLINK("http://www.rosaceae.org/Prunus/Prunus_persica/p.persica_gdr_reftransV1_0010416","p.persica_gdr_reftransV1_0010416")</f>
        <v>p.persica_gdr_reftransV1_0010416</v>
      </c>
      <c r="B2325" s="3">
        <v>620</v>
      </c>
      <c r="C2325" s="1" t="str">
        <f>HYPERLINK("http://www.uniprot.org/uniprot/AKRCA_ARATH","AKRCA_ARATH")</f>
        <v>AKRCA_ARATH</v>
      </c>
      <c r="D2325" t="s">
        <v>681</v>
      </c>
      <c r="E2325" s="3" t="s">
        <v>3</v>
      </c>
      <c r="F2325" s="4">
        <v>1.6400000000000001E-90</v>
      </c>
      <c r="G2325" s="3">
        <v>702</v>
      </c>
      <c r="H2325" s="3">
        <v>76</v>
      </c>
      <c r="I2325" s="3">
        <v>193</v>
      </c>
      <c r="J2325" s="3">
        <v>41</v>
      </c>
      <c r="K2325" s="3">
        <v>619</v>
      </c>
      <c r="L2325" s="3">
        <v>1</v>
      </c>
      <c r="M2325" s="3">
        <v>193</v>
      </c>
    </row>
    <row r="2326" spans="1:13" x14ac:dyDescent="0.25">
      <c r="A2326" s="1" t="str">
        <f>HYPERLINK("http://www.rosaceae.org/Prunus/Prunus_persica/p.persica_gdr_reftransV1_0010516","p.persica_gdr_reftransV1_0010516")</f>
        <v>p.persica_gdr_reftransV1_0010516</v>
      </c>
      <c r="B2326" s="3">
        <v>3517</v>
      </c>
      <c r="C2326" s="1" t="str">
        <f>HYPERLINK("http://www.uniprot.org/uniprot/PAH1_ARATH","PAH1_ARATH")</f>
        <v>PAH1_ARATH</v>
      </c>
      <c r="D2326" t="s">
        <v>2224</v>
      </c>
      <c r="E2326" s="3" t="s">
        <v>3</v>
      </c>
      <c r="F2326" s="4">
        <v>0</v>
      </c>
      <c r="G2326" s="3">
        <v>2255</v>
      </c>
      <c r="H2326" s="3">
        <v>53</v>
      </c>
      <c r="I2326" s="3">
        <v>1001</v>
      </c>
      <c r="J2326" s="3">
        <v>375</v>
      </c>
      <c r="K2326" s="3">
        <v>3245</v>
      </c>
      <c r="L2326" s="3">
        <v>1</v>
      </c>
      <c r="M2326" s="3">
        <v>904</v>
      </c>
    </row>
    <row r="2327" spans="1:13" x14ac:dyDescent="0.25">
      <c r="A2327" s="1" t="str">
        <f>HYPERLINK("http://www.rosaceae.org/Prunus/Prunus_persica/p.persica_gdr_reftransV1_0010666","p.persica_gdr_reftransV1_0010666")</f>
        <v>p.persica_gdr_reftransV1_0010666</v>
      </c>
      <c r="B2327" s="3">
        <v>589</v>
      </c>
      <c r="C2327" s="1" t="str">
        <f>HYPERLINK("http://www.uniprot.org/uniprot/NEN4_ARATH","NEN4_ARATH")</f>
        <v>NEN4_ARATH</v>
      </c>
      <c r="D2327" t="s">
        <v>2225</v>
      </c>
      <c r="E2327" s="3" t="s">
        <v>3</v>
      </c>
      <c r="F2327" s="4">
        <v>5.0700000000000002E-22</v>
      </c>
      <c r="G2327" s="3">
        <v>234</v>
      </c>
      <c r="H2327" s="3">
        <v>51</v>
      </c>
      <c r="I2327" s="3">
        <v>107</v>
      </c>
      <c r="J2327" s="3">
        <v>269</v>
      </c>
      <c r="K2327" s="3">
        <v>589</v>
      </c>
      <c r="L2327" s="3">
        <v>167</v>
      </c>
      <c r="M2327" s="3">
        <v>255</v>
      </c>
    </row>
    <row r="2328" spans="1:13" x14ac:dyDescent="0.25">
      <c r="A2328" s="1" t="str">
        <f>HYPERLINK("http://www.rosaceae.org/Prunus/Prunus_persica/p.persica_gdr_reftransV1_0010716","p.persica_gdr_reftransV1_0010716")</f>
        <v>p.persica_gdr_reftransV1_0010716</v>
      </c>
      <c r="B2328" s="3">
        <v>766</v>
      </c>
      <c r="C2328" s="1" t="str">
        <f>HYPERLINK("http://www.uniprot.org/uniprot/UBC10_ARATH","UBC10_ARATH")</f>
        <v>UBC10_ARATH</v>
      </c>
      <c r="D2328" t="s">
        <v>2226</v>
      </c>
      <c r="E2328" s="3" t="s">
        <v>3</v>
      </c>
      <c r="F2328" s="4">
        <v>4.9199999999999996E-103</v>
      </c>
      <c r="G2328" s="3">
        <v>775</v>
      </c>
      <c r="H2328" s="3">
        <v>98</v>
      </c>
      <c r="I2328" s="3">
        <v>147</v>
      </c>
      <c r="J2328" s="3">
        <v>114</v>
      </c>
      <c r="K2328" s="3">
        <v>554</v>
      </c>
      <c r="L2328" s="3">
        <v>1</v>
      </c>
      <c r="M2328" s="3">
        <v>147</v>
      </c>
    </row>
    <row r="2329" spans="1:13" x14ac:dyDescent="0.25">
      <c r="A2329" s="1" t="str">
        <f>HYPERLINK("http://www.rosaceae.org/Prunus/Prunus_persica/p.persica_gdr_reftransV1_0010816","p.persica_gdr_reftransV1_0010816")</f>
        <v>p.persica_gdr_reftransV1_0010816</v>
      </c>
      <c r="B2329" s="3">
        <v>3729</v>
      </c>
      <c r="C2329" s="1" t="str">
        <f>HYPERLINK("http://www.uniprot.org/uniprot/EBF1_ARATH","EBF1_ARATH")</f>
        <v>EBF1_ARATH</v>
      </c>
      <c r="D2329" t="s">
        <v>1332</v>
      </c>
      <c r="E2329" s="3" t="s">
        <v>3</v>
      </c>
      <c r="F2329" s="4">
        <v>0</v>
      </c>
      <c r="G2329" s="3">
        <v>2016</v>
      </c>
      <c r="H2329" s="3">
        <v>62</v>
      </c>
      <c r="I2329" s="3">
        <v>641</v>
      </c>
      <c r="J2329" s="3">
        <v>858</v>
      </c>
      <c r="K2329" s="3">
        <v>2777</v>
      </c>
      <c r="L2329" s="3">
        <v>7</v>
      </c>
      <c r="M2329" s="3">
        <v>628</v>
      </c>
    </row>
    <row r="2330" spans="1:13" x14ac:dyDescent="0.25">
      <c r="A2330" s="1" t="str">
        <f>HYPERLINK("http://www.rosaceae.org/Prunus/Prunus_persica/p.persica_gdr_reftransV1_0010966","p.persica_gdr_reftransV1_0010966")</f>
        <v>p.persica_gdr_reftransV1_0010966</v>
      </c>
      <c r="B2330" s="3">
        <v>1711</v>
      </c>
      <c r="C2330" s="1" t="str">
        <f>HYPERLINK("http://www.uniprot.org/uniprot/LRX4_ARATH","LRX4_ARATH")</f>
        <v>LRX4_ARATH</v>
      </c>
      <c r="D2330" t="s">
        <v>1969</v>
      </c>
      <c r="E2330" s="3" t="s">
        <v>3</v>
      </c>
      <c r="F2330" s="4">
        <v>0</v>
      </c>
      <c r="G2330" s="3">
        <v>1592</v>
      </c>
      <c r="H2330" s="3">
        <v>79</v>
      </c>
      <c r="I2330" s="3">
        <v>376</v>
      </c>
      <c r="J2330" s="3">
        <v>475</v>
      </c>
      <c r="K2330" s="3">
        <v>1599</v>
      </c>
      <c r="L2330" s="3">
        <v>21</v>
      </c>
      <c r="M2330" s="3">
        <v>396</v>
      </c>
    </row>
    <row r="2331" spans="1:13" x14ac:dyDescent="0.25">
      <c r="A2331" s="1" t="str">
        <f>HYPERLINK("http://www.rosaceae.org/Prunus/Prunus_persica/p.persica_gdr_reftransV1_0011066","p.persica_gdr_reftransV1_0011066")</f>
        <v>p.persica_gdr_reftransV1_0011066</v>
      </c>
      <c r="B2331" s="3">
        <v>2807</v>
      </c>
      <c r="C2331" s="1" t="str">
        <f>HYPERLINK("http://www.uniprot.org/uniprot/WRKY2_ARATH","WRKY2_ARATH")</f>
        <v>WRKY2_ARATH</v>
      </c>
      <c r="D2331" t="s">
        <v>2227</v>
      </c>
      <c r="E2331" s="3" t="s">
        <v>3</v>
      </c>
      <c r="F2331" s="4">
        <v>1.0999999999999999E-95</v>
      </c>
      <c r="G2331" s="3">
        <v>826</v>
      </c>
      <c r="H2331" s="3">
        <v>43</v>
      </c>
      <c r="I2331" s="3">
        <v>528</v>
      </c>
      <c r="J2331" s="3">
        <v>819</v>
      </c>
      <c r="K2331" s="3">
        <v>2336</v>
      </c>
      <c r="L2331" s="3">
        <v>75</v>
      </c>
      <c r="M2331" s="3">
        <v>549</v>
      </c>
    </row>
    <row r="2332" spans="1:13" x14ac:dyDescent="0.25">
      <c r="A2332" s="1" t="str">
        <f>HYPERLINK("http://www.rosaceae.org/Prunus/Prunus_persica/p.persica_gdr_reftransV1_0011366","p.persica_gdr_reftransV1_0011366")</f>
        <v>p.persica_gdr_reftransV1_0011366</v>
      </c>
      <c r="B2332" s="3">
        <v>1863</v>
      </c>
      <c r="C2332" s="1" t="str">
        <f>HYPERLINK("http://www.uniprot.org/uniprot/MBD10_ARATH","MBD10_ARATH")</f>
        <v>MBD10_ARATH</v>
      </c>
      <c r="D2332" t="s">
        <v>2228</v>
      </c>
      <c r="E2332" s="3" t="s">
        <v>3</v>
      </c>
      <c r="F2332" s="4">
        <v>2.6999999999999998E-32</v>
      </c>
      <c r="G2332" s="3">
        <v>332</v>
      </c>
      <c r="H2332" s="3">
        <v>67</v>
      </c>
      <c r="I2332" s="3">
        <v>87</v>
      </c>
      <c r="J2332" s="3">
        <v>1060</v>
      </c>
      <c r="K2332" s="3">
        <v>1317</v>
      </c>
      <c r="L2332" s="3">
        <v>15</v>
      </c>
      <c r="M2332" s="3">
        <v>96</v>
      </c>
    </row>
    <row r="2333" spans="1:13" x14ac:dyDescent="0.25">
      <c r="A2333" s="1" t="str">
        <f>HYPERLINK("http://www.rosaceae.org/Prunus/Prunus_persica/p.persica_gdr_reftransV1_0011466","p.persica_gdr_reftransV1_0011466")</f>
        <v>p.persica_gdr_reftransV1_0011466</v>
      </c>
      <c r="B2333" s="3">
        <v>4899</v>
      </c>
      <c r="C2333" s="1" t="str">
        <f>HYPERLINK("http://www.uniprot.org/uniprot/PP399_ARATH","PP399_ARATH")</f>
        <v>PP399_ARATH</v>
      </c>
      <c r="D2333" t="s">
        <v>2229</v>
      </c>
      <c r="E2333" s="3" t="s">
        <v>3</v>
      </c>
      <c r="F2333" s="4">
        <v>0</v>
      </c>
      <c r="G2333" s="3">
        <v>2314</v>
      </c>
      <c r="H2333" s="3">
        <v>63</v>
      </c>
      <c r="I2333" s="3">
        <v>712</v>
      </c>
      <c r="J2333" s="3">
        <v>2775</v>
      </c>
      <c r="K2333" s="3">
        <v>4898</v>
      </c>
      <c r="L2333" s="3">
        <v>44</v>
      </c>
      <c r="M2333" s="3">
        <v>753</v>
      </c>
    </row>
    <row r="2334" spans="1:13" x14ac:dyDescent="0.25">
      <c r="A2334" s="1" t="str">
        <f>HYPERLINK("http://www.rosaceae.org/Prunus/Prunus_persica/p.persica_gdr_reftransV1_0011516","p.persica_gdr_reftransV1_0011516")</f>
        <v>p.persica_gdr_reftransV1_0011516</v>
      </c>
      <c r="B2334" s="3">
        <v>2105</v>
      </c>
      <c r="C2334" s="1" t="str">
        <f>HYPERLINK("http://www.uniprot.org/uniprot/RH1_ARATH","RH1_ARATH")</f>
        <v>RH1_ARATH</v>
      </c>
      <c r="D2334" t="s">
        <v>2230</v>
      </c>
      <c r="E2334" s="3" t="s">
        <v>3</v>
      </c>
      <c r="F2334" s="4">
        <v>0</v>
      </c>
      <c r="G2334" s="3">
        <v>1792</v>
      </c>
      <c r="H2334" s="3">
        <v>64</v>
      </c>
      <c r="I2334" s="3">
        <v>542</v>
      </c>
      <c r="J2334" s="3">
        <v>308</v>
      </c>
      <c r="K2334" s="3">
        <v>1930</v>
      </c>
      <c r="L2334" s="3">
        <v>5</v>
      </c>
      <c r="M2334" s="3">
        <v>505</v>
      </c>
    </row>
    <row r="2335" spans="1:13" x14ac:dyDescent="0.25">
      <c r="A2335" s="1" t="str">
        <f>HYPERLINK("http://www.rosaceae.org/Prunus/Prunus_persica/p.persica_gdr_reftransV1_0011566","p.persica_gdr_reftransV1_0011566")</f>
        <v>p.persica_gdr_reftransV1_0011566</v>
      </c>
      <c r="B2335" s="3">
        <v>2179</v>
      </c>
      <c r="C2335" s="1" t="str">
        <f>HYPERLINK("http://www.uniprot.org/uniprot/PP125_ARATH","PP125_ARATH")</f>
        <v>PP125_ARATH</v>
      </c>
      <c r="D2335" t="s">
        <v>2231</v>
      </c>
      <c r="E2335" s="3" t="s">
        <v>3</v>
      </c>
      <c r="F2335" s="4">
        <v>0</v>
      </c>
      <c r="G2335" s="3">
        <v>1736</v>
      </c>
      <c r="H2335" s="3">
        <v>67</v>
      </c>
      <c r="I2335" s="3">
        <v>477</v>
      </c>
      <c r="J2335" s="3">
        <v>704</v>
      </c>
      <c r="K2335" s="3">
        <v>2098</v>
      </c>
      <c r="L2335" s="3">
        <v>7</v>
      </c>
      <c r="M2335" s="3">
        <v>482</v>
      </c>
    </row>
    <row r="2336" spans="1:13" x14ac:dyDescent="0.25">
      <c r="A2336" s="1" t="str">
        <f>HYPERLINK("http://www.rosaceae.org/Prunus/Prunus_persica/p.persica_gdr_reftransV1_0011616","p.persica_gdr_reftransV1_0011616")</f>
        <v>p.persica_gdr_reftransV1_0011616</v>
      </c>
      <c r="B2336" s="3">
        <v>1369</v>
      </c>
      <c r="C2336" s="1" t="str">
        <f>HYPERLINK("http://www.uniprot.org/uniprot/CC130_BOVIN","CC130_BOVIN")</f>
        <v>CC130_BOVIN</v>
      </c>
      <c r="D2336" t="s">
        <v>2232</v>
      </c>
      <c r="E2336" s="3" t="s">
        <v>184</v>
      </c>
      <c r="F2336" s="4">
        <v>1.0699999999999999E-65</v>
      </c>
      <c r="G2336" s="3">
        <v>566</v>
      </c>
      <c r="H2336" s="3">
        <v>49</v>
      </c>
      <c r="I2336" s="3">
        <v>251</v>
      </c>
      <c r="J2336" s="3">
        <v>178</v>
      </c>
      <c r="K2336" s="3">
        <v>906</v>
      </c>
      <c r="L2336" s="3">
        <v>8</v>
      </c>
      <c r="M2336" s="3">
        <v>257</v>
      </c>
    </row>
    <row r="2337" spans="1:13" x14ac:dyDescent="0.25">
      <c r="A2337" s="1" t="str">
        <f>HYPERLINK("http://www.rosaceae.org/Prunus/Prunus_persica/p.persica_gdr_reftransV1_0011716","p.persica_gdr_reftransV1_0011716")</f>
        <v>p.persica_gdr_reftransV1_0011716</v>
      </c>
      <c r="B2337" s="3">
        <v>665</v>
      </c>
      <c r="C2337" s="1" t="str">
        <f>HYPERLINK("http://www.uniprot.org/uniprot/Y1141_ARATH","Y1141_ARATH")</f>
        <v>Y1141_ARATH</v>
      </c>
      <c r="D2337" t="s">
        <v>2233</v>
      </c>
      <c r="E2337" s="3" t="s">
        <v>3</v>
      </c>
      <c r="F2337" s="4">
        <v>1.4E-48</v>
      </c>
      <c r="G2337" s="3">
        <v>442</v>
      </c>
      <c r="H2337" s="3">
        <v>56</v>
      </c>
      <c r="I2337" s="3">
        <v>142</v>
      </c>
      <c r="J2337" s="3">
        <v>13</v>
      </c>
      <c r="K2337" s="3">
        <v>429</v>
      </c>
      <c r="L2337" s="3">
        <v>208</v>
      </c>
      <c r="M2337" s="3">
        <v>349</v>
      </c>
    </row>
    <row r="2338" spans="1:13" x14ac:dyDescent="0.25">
      <c r="A2338" s="1" t="str">
        <f>HYPERLINK("http://www.rosaceae.org/Prunus/Prunus_persica/p.persica_gdr_reftransV1_0011766","p.persica_gdr_reftransV1_0011766")</f>
        <v>p.persica_gdr_reftransV1_0011766</v>
      </c>
      <c r="B2338" s="3">
        <v>1745</v>
      </c>
      <c r="C2338" s="1" t="str">
        <f>HYPERLINK("http://www.uniprot.org/uniprot/GDT12_ARATH","GDT12_ARATH")</f>
        <v>GDT12_ARATH</v>
      </c>
      <c r="D2338" t="s">
        <v>2234</v>
      </c>
      <c r="E2338" s="3" t="s">
        <v>3</v>
      </c>
      <c r="F2338" s="4">
        <v>1.19E-134</v>
      </c>
      <c r="G2338" s="3">
        <v>1037</v>
      </c>
      <c r="H2338" s="3">
        <v>68</v>
      </c>
      <c r="I2338" s="3">
        <v>319</v>
      </c>
      <c r="J2338" s="3">
        <v>497</v>
      </c>
      <c r="K2338" s="3">
        <v>1441</v>
      </c>
      <c r="L2338" s="3">
        <v>23</v>
      </c>
      <c r="M2338" s="3">
        <v>337</v>
      </c>
    </row>
    <row r="2339" spans="1:13" x14ac:dyDescent="0.25">
      <c r="A2339" s="1" t="str">
        <f>HYPERLINK("http://www.rosaceae.org/Prunus/Prunus_persica/p.persica_gdr_reftransV1_0011816","p.persica_gdr_reftransV1_0011816")</f>
        <v>p.persica_gdr_reftransV1_0011816</v>
      </c>
      <c r="B2339" s="3">
        <v>1950</v>
      </c>
      <c r="C2339" s="1" t="str">
        <f>HYPERLINK("http://www.uniprot.org/uniprot/PUB9_ARATH","PUB9_ARATH")</f>
        <v>PUB9_ARATH</v>
      </c>
      <c r="D2339" t="s">
        <v>2235</v>
      </c>
      <c r="E2339" s="3" t="s">
        <v>3</v>
      </c>
      <c r="F2339" s="4">
        <v>7.3400000000000002E-169</v>
      </c>
      <c r="G2339" s="3">
        <v>1281</v>
      </c>
      <c r="H2339" s="3">
        <v>57</v>
      </c>
      <c r="I2339" s="3">
        <v>469</v>
      </c>
      <c r="J2339" s="3">
        <v>368</v>
      </c>
      <c r="K2339" s="3">
        <v>1759</v>
      </c>
      <c r="L2339" s="3">
        <v>1</v>
      </c>
      <c r="M2339" s="3">
        <v>460</v>
      </c>
    </row>
    <row r="2340" spans="1:13" x14ac:dyDescent="0.25">
      <c r="A2340" s="1" t="str">
        <f>HYPERLINK("http://www.rosaceae.org/Prunus/Prunus_persica/p.persica_gdr_reftransV1_0012016","p.persica_gdr_reftransV1_0012016")</f>
        <v>p.persica_gdr_reftransV1_0012016</v>
      </c>
      <c r="B2340" s="3">
        <v>652</v>
      </c>
      <c r="C2340" s="1" t="str">
        <f>HYPERLINK("http://www.uniprot.org/uniprot/CALS8_ARATH","CALS8_ARATH")</f>
        <v>CALS8_ARATH</v>
      </c>
      <c r="D2340" t="s">
        <v>2236</v>
      </c>
      <c r="E2340" s="3" t="s">
        <v>3</v>
      </c>
      <c r="F2340" s="4">
        <v>5.1899999999999997E-97</v>
      </c>
      <c r="G2340" s="3">
        <v>808</v>
      </c>
      <c r="H2340" s="3">
        <v>71</v>
      </c>
      <c r="I2340" s="3">
        <v>218</v>
      </c>
      <c r="J2340" s="3">
        <v>1</v>
      </c>
      <c r="K2340" s="3">
        <v>651</v>
      </c>
      <c r="L2340" s="3">
        <v>37</v>
      </c>
      <c r="M2340" s="3">
        <v>248</v>
      </c>
    </row>
    <row r="2341" spans="1:13" x14ac:dyDescent="0.25">
      <c r="A2341" s="1" t="str">
        <f>HYPERLINK("http://www.rosaceae.org/Prunus/Prunus_persica/p.persica_gdr_reftransV1_0012066","p.persica_gdr_reftransV1_0012066")</f>
        <v>p.persica_gdr_reftransV1_0012066</v>
      </c>
      <c r="B2341" s="3">
        <v>4368</v>
      </c>
      <c r="C2341" s="1" t="str">
        <f>HYPERLINK("http://www.uniprot.org/uniprot/QKY_ARATH","QKY_ARATH")</f>
        <v>QKY_ARATH</v>
      </c>
      <c r="D2341" t="s">
        <v>707</v>
      </c>
      <c r="E2341" s="3" t="s">
        <v>3</v>
      </c>
      <c r="F2341" s="4">
        <v>0</v>
      </c>
      <c r="G2341" s="3">
        <v>2160</v>
      </c>
      <c r="H2341" s="3">
        <v>54</v>
      </c>
      <c r="I2341" s="3">
        <v>759</v>
      </c>
      <c r="J2341" s="3">
        <v>1374</v>
      </c>
      <c r="K2341" s="3">
        <v>3575</v>
      </c>
      <c r="L2341" s="3">
        <v>328</v>
      </c>
      <c r="M2341" s="3">
        <v>1069</v>
      </c>
    </row>
    <row r="2342" spans="1:13" x14ac:dyDescent="0.25">
      <c r="A2342" s="1" t="str">
        <f>HYPERLINK("http://www.rosaceae.org/Prunus/Prunus_persica/p.persica_gdr_reftransV1_0012116","p.persica_gdr_reftransV1_0012116")</f>
        <v>p.persica_gdr_reftransV1_0012116</v>
      </c>
      <c r="B2342" s="3">
        <v>5055</v>
      </c>
      <c r="C2342" s="1" t="str">
        <f>HYPERLINK("http://www.uniprot.org/uniprot/AB9C_ARATH","AB9C_ARATH")</f>
        <v>AB9C_ARATH</v>
      </c>
      <c r="D2342" t="s">
        <v>2237</v>
      </c>
      <c r="E2342" s="3" t="s">
        <v>3</v>
      </c>
      <c r="F2342" s="4">
        <v>0</v>
      </c>
      <c r="G2342" s="3">
        <v>5211</v>
      </c>
      <c r="H2342" s="3">
        <v>67</v>
      </c>
      <c r="I2342" s="3">
        <v>1491</v>
      </c>
      <c r="J2342" s="3">
        <v>480</v>
      </c>
      <c r="K2342" s="3">
        <v>4931</v>
      </c>
      <c r="L2342" s="3">
        <v>18</v>
      </c>
      <c r="M2342" s="3">
        <v>1498</v>
      </c>
    </row>
    <row r="2343" spans="1:13" x14ac:dyDescent="0.25">
      <c r="A2343" s="1" t="str">
        <f>HYPERLINK("http://www.rosaceae.org/Prunus/Prunus_persica/p.persica_gdr_reftransV1_0012216","p.persica_gdr_reftransV1_0012216")</f>
        <v>p.persica_gdr_reftransV1_0012216</v>
      </c>
      <c r="B2343" s="3">
        <v>1949</v>
      </c>
      <c r="C2343" s="1" t="str">
        <f>HYPERLINK("http://www.uniprot.org/uniprot/NOA1_ARATH","NOA1_ARATH")</f>
        <v>NOA1_ARATH</v>
      </c>
      <c r="D2343" t="s">
        <v>2238</v>
      </c>
      <c r="E2343" s="3" t="s">
        <v>3</v>
      </c>
      <c r="F2343" s="4">
        <v>0</v>
      </c>
      <c r="G2343" s="3">
        <v>1881</v>
      </c>
      <c r="H2343" s="3">
        <v>71</v>
      </c>
      <c r="I2343" s="3">
        <v>512</v>
      </c>
      <c r="J2343" s="3">
        <v>228</v>
      </c>
      <c r="K2343" s="3">
        <v>1745</v>
      </c>
      <c r="L2343" s="3">
        <v>52</v>
      </c>
      <c r="M2343" s="3">
        <v>561</v>
      </c>
    </row>
    <row r="2344" spans="1:13" x14ac:dyDescent="0.25">
      <c r="A2344" s="1" t="str">
        <f>HYPERLINK("http://www.rosaceae.org/Prunus/Prunus_persica/p.persica_gdr_reftransV1_0012366","p.persica_gdr_reftransV1_0012366")</f>
        <v>p.persica_gdr_reftransV1_0012366</v>
      </c>
      <c r="B2344" s="3">
        <v>739</v>
      </c>
      <c r="C2344" s="1" t="str">
        <f>HYPERLINK("http://www.uniprot.org/uniprot/PHL1_ARATH","PHL1_ARATH")</f>
        <v>PHL1_ARATH</v>
      </c>
      <c r="D2344" t="s">
        <v>2239</v>
      </c>
      <c r="E2344" s="3" t="s">
        <v>3</v>
      </c>
      <c r="F2344" s="4">
        <v>1.38E-27</v>
      </c>
      <c r="G2344" s="3">
        <v>282</v>
      </c>
      <c r="H2344" s="3">
        <v>59</v>
      </c>
      <c r="I2344" s="3">
        <v>96</v>
      </c>
      <c r="J2344" s="3">
        <v>457</v>
      </c>
      <c r="K2344" s="3">
        <v>732</v>
      </c>
      <c r="L2344" s="3">
        <v>270</v>
      </c>
      <c r="M2344" s="3">
        <v>365</v>
      </c>
    </row>
    <row r="2345" spans="1:13" x14ac:dyDescent="0.25">
      <c r="A2345" s="1" t="str">
        <f>HYPERLINK("http://www.rosaceae.org/Prunus/Prunus_persica/p.persica_gdr_reftransV1_0012466","p.persica_gdr_reftransV1_0012466")</f>
        <v>p.persica_gdr_reftransV1_0012466</v>
      </c>
      <c r="B2345" s="3">
        <v>618</v>
      </c>
      <c r="C2345" s="1" t="str">
        <f>HYPERLINK("http://www.uniprot.org/uniprot/MYOB4_ARATH","MYOB4_ARATH")</f>
        <v>MYOB4_ARATH</v>
      </c>
      <c r="D2345" t="s">
        <v>1642</v>
      </c>
      <c r="E2345" s="3" t="s">
        <v>3</v>
      </c>
      <c r="F2345" s="4">
        <v>2.3899999999999999E-13</v>
      </c>
      <c r="G2345" s="3">
        <v>176</v>
      </c>
      <c r="H2345" s="3">
        <v>46</v>
      </c>
      <c r="I2345" s="3">
        <v>99</v>
      </c>
      <c r="J2345" s="3">
        <v>317</v>
      </c>
      <c r="K2345" s="3">
        <v>607</v>
      </c>
      <c r="L2345" s="3">
        <v>9</v>
      </c>
      <c r="M2345" s="3">
        <v>101</v>
      </c>
    </row>
    <row r="2346" spans="1:13" x14ac:dyDescent="0.25">
      <c r="A2346" s="1" t="str">
        <f>HYPERLINK("http://www.rosaceae.org/Prunus/Prunus_persica/p.persica_gdr_reftransV1_0012616","p.persica_gdr_reftransV1_0012616")</f>
        <v>p.persica_gdr_reftransV1_0012616</v>
      </c>
      <c r="B2346" s="3">
        <v>2010</v>
      </c>
      <c r="C2346" s="1" t="str">
        <f>HYPERLINK("http://www.uniprot.org/uniprot/PP385_ARATH","PP385_ARATH")</f>
        <v>PP385_ARATH</v>
      </c>
      <c r="D2346" t="s">
        <v>2240</v>
      </c>
      <c r="E2346" s="3" t="s">
        <v>3</v>
      </c>
      <c r="F2346" s="4">
        <v>0</v>
      </c>
      <c r="G2346" s="3">
        <v>1793</v>
      </c>
      <c r="H2346" s="3">
        <v>60</v>
      </c>
      <c r="I2346" s="3">
        <v>543</v>
      </c>
      <c r="J2346" s="3">
        <v>43</v>
      </c>
      <c r="K2346" s="3">
        <v>1656</v>
      </c>
      <c r="L2346" s="3">
        <v>1</v>
      </c>
      <c r="M2346" s="3">
        <v>541</v>
      </c>
    </row>
    <row r="2347" spans="1:13" x14ac:dyDescent="0.25">
      <c r="A2347" s="1" t="str">
        <f>HYPERLINK("http://www.rosaceae.org/Prunus/Prunus_persica/p.persica_gdr_reftransV1_0012666","p.persica_gdr_reftransV1_0012666")</f>
        <v>p.persica_gdr_reftransV1_0012666</v>
      </c>
      <c r="B2347" s="3">
        <v>3166</v>
      </c>
      <c r="C2347" s="1" t="str">
        <f>HYPERLINK("http://www.uniprot.org/uniprot/DNA2_XENLA","DNA2_XENLA")</f>
        <v>DNA2_XENLA</v>
      </c>
      <c r="D2347" t="s">
        <v>2241</v>
      </c>
      <c r="E2347" s="3" t="s">
        <v>475</v>
      </c>
      <c r="F2347" s="4">
        <v>5.7800000000000001E-142</v>
      </c>
      <c r="G2347" s="3">
        <v>1182</v>
      </c>
      <c r="H2347" s="3">
        <v>34</v>
      </c>
      <c r="I2347" s="3">
        <v>883</v>
      </c>
      <c r="J2347" s="3">
        <v>645</v>
      </c>
      <c r="K2347" s="3">
        <v>3164</v>
      </c>
      <c r="L2347" s="3">
        <v>133</v>
      </c>
      <c r="M2347" s="3">
        <v>973</v>
      </c>
    </row>
    <row r="2348" spans="1:13" x14ac:dyDescent="0.25">
      <c r="A2348" s="1" t="str">
        <f>HYPERLINK("http://www.rosaceae.org/Prunus/Prunus_persica/p.persica_gdr_reftransV1_0012716","p.persica_gdr_reftransV1_0012716")</f>
        <v>p.persica_gdr_reftransV1_0012716</v>
      </c>
      <c r="B2348" s="3">
        <v>1523</v>
      </c>
      <c r="C2348" s="1" t="str">
        <f>HYPERLINK("http://www.uniprot.org/uniprot/SKIP4_ARATH","SKIP4_ARATH")</f>
        <v>SKIP4_ARATH</v>
      </c>
      <c r="D2348" t="s">
        <v>2242</v>
      </c>
      <c r="E2348" s="3" t="s">
        <v>3</v>
      </c>
      <c r="F2348" s="4">
        <v>7.2100000000000003E-130</v>
      </c>
      <c r="G2348" s="3">
        <v>998</v>
      </c>
      <c r="H2348" s="3">
        <v>56</v>
      </c>
      <c r="I2348" s="3">
        <v>351</v>
      </c>
      <c r="J2348" s="3">
        <v>209</v>
      </c>
      <c r="K2348" s="3">
        <v>1249</v>
      </c>
      <c r="L2348" s="3">
        <v>13</v>
      </c>
      <c r="M2348" s="3">
        <v>358</v>
      </c>
    </row>
    <row r="2349" spans="1:13" x14ac:dyDescent="0.25">
      <c r="A2349" s="1" t="str">
        <f>HYPERLINK("http://www.rosaceae.org/Prunus/Prunus_persica/p.persica_gdr_reftransV1_0012766","p.persica_gdr_reftransV1_0012766")</f>
        <v>p.persica_gdr_reftransV1_0012766</v>
      </c>
      <c r="B2349" s="3">
        <v>2949</v>
      </c>
      <c r="C2349" s="1" t="str">
        <f>HYPERLINK("http://www.uniprot.org/uniprot/PXC2_ARATH","PXC2_ARATH")</f>
        <v>PXC2_ARATH</v>
      </c>
      <c r="D2349" t="s">
        <v>230</v>
      </c>
      <c r="E2349" s="3" t="s">
        <v>3</v>
      </c>
      <c r="F2349" s="4">
        <v>4.76E-47</v>
      </c>
      <c r="G2349" s="3">
        <v>472</v>
      </c>
      <c r="H2349" s="3">
        <v>32</v>
      </c>
      <c r="I2349" s="3">
        <v>575</v>
      </c>
      <c r="J2349" s="3">
        <v>1206</v>
      </c>
      <c r="K2349" s="3">
        <v>2876</v>
      </c>
      <c r="L2349" s="3">
        <v>27</v>
      </c>
      <c r="M2349" s="3">
        <v>567</v>
      </c>
    </row>
    <row r="2350" spans="1:13" x14ac:dyDescent="0.25">
      <c r="A2350" s="1" t="str">
        <f>HYPERLINK("http://www.rosaceae.org/Prunus/Prunus_persica/p.persica_gdr_reftransV1_0012866","p.persica_gdr_reftransV1_0012866")</f>
        <v>p.persica_gdr_reftransV1_0012866</v>
      </c>
      <c r="B2350" s="3">
        <v>1375</v>
      </c>
      <c r="C2350" s="1" t="str">
        <f>HYPERLINK("http://www.uniprot.org/uniprot/TM205_XENLA","TM205_XENLA")</f>
        <v>TM205_XENLA</v>
      </c>
      <c r="D2350" t="s">
        <v>2243</v>
      </c>
      <c r="E2350" s="3" t="s">
        <v>475</v>
      </c>
      <c r="F2350" s="4">
        <v>6.1199999999999999E-26</v>
      </c>
      <c r="G2350" s="3">
        <v>269</v>
      </c>
      <c r="H2350" s="3">
        <v>36</v>
      </c>
      <c r="I2350" s="3">
        <v>154</v>
      </c>
      <c r="J2350" s="3">
        <v>494</v>
      </c>
      <c r="K2350" s="3">
        <v>943</v>
      </c>
      <c r="L2350" s="3">
        <v>11</v>
      </c>
      <c r="M2350" s="3">
        <v>164</v>
      </c>
    </row>
    <row r="2351" spans="1:13" x14ac:dyDescent="0.25">
      <c r="A2351" s="1" t="str">
        <f>HYPERLINK("http://www.rosaceae.org/Prunus/Prunus_persica/p.persica_gdr_reftransV1_0013016","p.persica_gdr_reftransV1_0013016")</f>
        <v>p.persica_gdr_reftransV1_0013016</v>
      </c>
      <c r="B2351" s="3">
        <v>603</v>
      </c>
      <c r="C2351" s="1" t="str">
        <f>HYPERLINK("http://www.uniprot.org/uniprot/ALL12_OLEEU","ALL12_OLEEU")</f>
        <v>ALL12_OLEEU</v>
      </c>
      <c r="D2351" t="s">
        <v>2244</v>
      </c>
      <c r="E2351" s="3" t="s">
        <v>2245</v>
      </c>
      <c r="F2351" s="4">
        <v>9.5299999999999997E-70</v>
      </c>
      <c r="G2351" s="3">
        <v>563</v>
      </c>
      <c r="H2351" s="3">
        <v>81</v>
      </c>
      <c r="I2351" s="3">
        <v>128</v>
      </c>
      <c r="J2351" s="3">
        <v>220</v>
      </c>
      <c r="K2351" s="3">
        <v>603</v>
      </c>
      <c r="L2351" s="3">
        <v>181</v>
      </c>
      <c r="M2351" s="3">
        <v>308</v>
      </c>
    </row>
    <row r="2352" spans="1:13" x14ac:dyDescent="0.25">
      <c r="A2352" s="1" t="str">
        <f>HYPERLINK("http://www.rosaceae.org/Prunus/Prunus_persica/p.persica_gdr_reftransV1_0013066","p.persica_gdr_reftransV1_0013066")</f>
        <v>p.persica_gdr_reftransV1_0013066</v>
      </c>
      <c r="B2352" s="3">
        <v>1147</v>
      </c>
      <c r="C2352" s="1" t="str">
        <f>HYPERLINK("http://www.uniprot.org/uniprot/RL72_ARATH","RL72_ARATH")</f>
        <v>RL72_ARATH</v>
      </c>
      <c r="D2352" t="s">
        <v>2246</v>
      </c>
      <c r="E2352" s="3" t="s">
        <v>3</v>
      </c>
      <c r="F2352" s="4">
        <v>7.3299999999999996E-138</v>
      </c>
      <c r="G2352" s="3">
        <v>1027</v>
      </c>
      <c r="H2352" s="3">
        <v>92</v>
      </c>
      <c r="I2352" s="3">
        <v>240</v>
      </c>
      <c r="J2352" s="3">
        <v>350</v>
      </c>
      <c r="K2352" s="3">
        <v>1069</v>
      </c>
      <c r="L2352" s="3">
        <v>3</v>
      </c>
      <c r="M2352" s="3">
        <v>242</v>
      </c>
    </row>
    <row r="2353" spans="1:13" x14ac:dyDescent="0.25">
      <c r="A2353" s="1" t="str">
        <f>HYPERLINK("http://www.rosaceae.org/Prunus/Prunus_persica/p.persica_gdr_reftransV1_0013666","p.persica_gdr_reftransV1_0013666")</f>
        <v>p.persica_gdr_reftransV1_0013666</v>
      </c>
      <c r="B2353" s="3">
        <v>1527</v>
      </c>
      <c r="C2353" s="1" t="str">
        <f>HYPERLINK("http://www.uniprot.org/uniprot/MAN6_ARATH","MAN6_ARATH")</f>
        <v>MAN6_ARATH</v>
      </c>
      <c r="D2353" t="s">
        <v>2247</v>
      </c>
      <c r="E2353" s="3" t="s">
        <v>3</v>
      </c>
      <c r="F2353" s="4">
        <v>0</v>
      </c>
      <c r="G2353" s="3">
        <v>1648</v>
      </c>
      <c r="H2353" s="3">
        <v>73</v>
      </c>
      <c r="I2353" s="3">
        <v>399</v>
      </c>
      <c r="J2353" s="3">
        <v>154</v>
      </c>
      <c r="K2353" s="3">
        <v>1350</v>
      </c>
      <c r="L2353" s="3">
        <v>37</v>
      </c>
      <c r="M2353" s="3">
        <v>435</v>
      </c>
    </row>
    <row r="2354" spans="1:13" x14ac:dyDescent="0.25">
      <c r="A2354" s="1" t="str">
        <f>HYPERLINK("http://www.rosaceae.org/Prunus/Prunus_persica/p.persica_gdr_reftransV1_0013716","p.persica_gdr_reftransV1_0013716")</f>
        <v>p.persica_gdr_reftransV1_0013716</v>
      </c>
      <c r="B2354" s="3">
        <v>3296</v>
      </c>
      <c r="C2354" s="1" t="str">
        <f>HYPERLINK("http://www.uniprot.org/uniprot/PPR89_ARATH","PPR89_ARATH")</f>
        <v>PPR89_ARATH</v>
      </c>
      <c r="D2354" t="s">
        <v>2248</v>
      </c>
      <c r="E2354" s="3" t="s">
        <v>3</v>
      </c>
      <c r="F2354" s="4">
        <v>8.7700000000000004E-65</v>
      </c>
      <c r="G2354" s="3">
        <v>566</v>
      </c>
      <c r="H2354" s="3">
        <v>74</v>
      </c>
      <c r="I2354" s="3">
        <v>141</v>
      </c>
      <c r="J2354" s="3">
        <v>604</v>
      </c>
      <c r="K2354" s="3">
        <v>1026</v>
      </c>
      <c r="L2354" s="3">
        <v>54</v>
      </c>
      <c r="M2354" s="3">
        <v>194</v>
      </c>
    </row>
    <row r="2355" spans="1:13" x14ac:dyDescent="0.25">
      <c r="A2355" s="1" t="str">
        <f>HYPERLINK("http://www.rosaceae.org/Prunus/Prunus_persica/p.persica_gdr_reftransV1_0014366","p.persica_gdr_reftransV1_0014366")</f>
        <v>p.persica_gdr_reftransV1_0014366</v>
      </c>
      <c r="B2355" s="3">
        <v>1600</v>
      </c>
      <c r="C2355" s="1" t="str">
        <f>HYPERLINK("http://www.uniprot.org/uniprot/DIOX2_PAPSO","DIOX2_PAPSO")</f>
        <v>DIOX2_PAPSO</v>
      </c>
      <c r="D2355" t="s">
        <v>2249</v>
      </c>
      <c r="E2355" s="3" t="s">
        <v>2250</v>
      </c>
      <c r="F2355" s="4">
        <v>5.9699999999999995E-63</v>
      </c>
      <c r="G2355" s="3">
        <v>550</v>
      </c>
      <c r="H2355" s="3">
        <v>38</v>
      </c>
      <c r="I2355" s="3">
        <v>322</v>
      </c>
      <c r="J2355" s="3">
        <v>455</v>
      </c>
      <c r="K2355" s="3">
        <v>1393</v>
      </c>
      <c r="L2355" s="3">
        <v>46</v>
      </c>
      <c r="M2355" s="3">
        <v>364</v>
      </c>
    </row>
    <row r="2356" spans="1:13" x14ac:dyDescent="0.25">
      <c r="A2356" s="1" t="str">
        <f>HYPERLINK("http://www.rosaceae.org/Prunus/Prunus_persica/p.persica_gdr_reftransV1_0014466","p.persica_gdr_reftransV1_0014466")</f>
        <v>p.persica_gdr_reftransV1_0014466</v>
      </c>
      <c r="B2356" s="3">
        <v>1198</v>
      </c>
      <c r="C2356" s="1" t="str">
        <f>HYPERLINK("http://www.uniprot.org/uniprot/CPP1_ARATH","CPP1_ARATH")</f>
        <v>CPP1_ARATH</v>
      </c>
      <c r="D2356" t="s">
        <v>2251</v>
      </c>
      <c r="E2356" s="3" t="s">
        <v>3</v>
      </c>
      <c r="F2356" s="4">
        <v>1.83E-115</v>
      </c>
      <c r="G2356" s="3">
        <v>882</v>
      </c>
      <c r="H2356" s="3">
        <v>80</v>
      </c>
      <c r="I2356" s="3">
        <v>215</v>
      </c>
      <c r="J2356" s="3">
        <v>273</v>
      </c>
      <c r="K2356" s="3">
        <v>917</v>
      </c>
      <c r="L2356" s="3">
        <v>44</v>
      </c>
      <c r="M2356" s="3">
        <v>258</v>
      </c>
    </row>
    <row r="2357" spans="1:13" x14ac:dyDescent="0.25">
      <c r="A2357" s="1" t="str">
        <f>HYPERLINK("http://www.rosaceae.org/Prunus/Prunus_persica/p.persica_gdr_reftransV1_0014716","p.persica_gdr_reftransV1_0014716")</f>
        <v>p.persica_gdr_reftransV1_0014716</v>
      </c>
      <c r="B2357" s="3">
        <v>1904</v>
      </c>
      <c r="C2357" s="1" t="str">
        <f>HYPERLINK("http://www.uniprot.org/uniprot/PHSL_VICFA","PHSL_VICFA")</f>
        <v>PHSL_VICFA</v>
      </c>
      <c r="D2357" t="s">
        <v>2252</v>
      </c>
      <c r="E2357" s="3" t="s">
        <v>2253</v>
      </c>
      <c r="F2357" s="4">
        <v>0</v>
      </c>
      <c r="G2357" s="3">
        <v>2059</v>
      </c>
      <c r="H2357" s="3">
        <v>83</v>
      </c>
      <c r="I2357" s="3">
        <v>478</v>
      </c>
      <c r="J2357" s="3">
        <v>304</v>
      </c>
      <c r="K2357" s="3">
        <v>1731</v>
      </c>
      <c r="L2357" s="3">
        <v>39</v>
      </c>
      <c r="M2357" s="3">
        <v>516</v>
      </c>
    </row>
    <row r="2358" spans="1:13" x14ac:dyDescent="0.25">
      <c r="A2358" s="1" t="str">
        <f>HYPERLINK("http://www.rosaceae.org/Prunus/Prunus_persica/p.persica_gdr_reftransV1_0014816","p.persica_gdr_reftransV1_0014816")</f>
        <v>p.persica_gdr_reftransV1_0014816</v>
      </c>
      <c r="B2358" s="3">
        <v>5028</v>
      </c>
      <c r="C2358" s="1" t="str">
        <f>HYPERLINK("http://www.uniprot.org/uniprot/C3H19_ARATH","C3H19_ARATH")</f>
        <v>C3H19_ARATH</v>
      </c>
      <c r="D2358" t="s">
        <v>2254</v>
      </c>
      <c r="E2358" s="3" t="s">
        <v>3</v>
      </c>
      <c r="F2358" s="4">
        <v>0</v>
      </c>
      <c r="G2358" s="3">
        <v>1867</v>
      </c>
      <c r="H2358" s="3">
        <v>50</v>
      </c>
      <c r="I2358" s="3">
        <v>821</v>
      </c>
      <c r="J2358" s="3">
        <v>654</v>
      </c>
      <c r="K2358" s="3">
        <v>2951</v>
      </c>
      <c r="L2358" s="3">
        <v>579</v>
      </c>
      <c r="M2358" s="3">
        <v>1379</v>
      </c>
    </row>
    <row r="2359" spans="1:13" x14ac:dyDescent="0.25">
      <c r="A2359" s="1" t="str">
        <f>HYPERLINK("http://www.rosaceae.org/Prunus/Prunus_persica/p.persica_gdr_reftransV1_0014966","p.persica_gdr_reftransV1_0014966")</f>
        <v>p.persica_gdr_reftransV1_0014966</v>
      </c>
      <c r="B2359" s="3">
        <v>8589</v>
      </c>
      <c r="C2359" s="1" t="str">
        <f>HYPERLINK("http://www.uniprot.org/uniprot/PIEZO_ARATH","PIEZO_ARATH")</f>
        <v>PIEZO_ARATH</v>
      </c>
      <c r="D2359" t="s">
        <v>2255</v>
      </c>
      <c r="E2359" s="3" t="s">
        <v>3</v>
      </c>
      <c r="F2359" s="4">
        <v>0</v>
      </c>
      <c r="G2359" s="3">
        <v>8412</v>
      </c>
      <c r="H2359" s="3">
        <v>72</v>
      </c>
      <c r="I2359" s="3">
        <v>2390</v>
      </c>
      <c r="J2359" s="3">
        <v>1435</v>
      </c>
      <c r="K2359" s="3">
        <v>8589</v>
      </c>
      <c r="L2359" s="3">
        <v>101</v>
      </c>
      <c r="M2359" s="3">
        <v>2459</v>
      </c>
    </row>
    <row r="2360" spans="1:13" x14ac:dyDescent="0.25">
      <c r="A2360" s="1" t="str">
        <f>HYPERLINK("http://www.rosaceae.org/Prunus/Prunus_persica/p.persica_gdr_reftransV1_0015166","p.persica_gdr_reftransV1_0015166")</f>
        <v>p.persica_gdr_reftransV1_0015166</v>
      </c>
      <c r="B2360" s="3">
        <v>2644</v>
      </c>
      <c r="C2360" s="1" t="str">
        <f>HYPERLINK("http://www.uniprot.org/uniprot/PP323_ARATH","PP323_ARATH")</f>
        <v>PP323_ARATH</v>
      </c>
      <c r="D2360" t="s">
        <v>2256</v>
      </c>
      <c r="E2360" s="3" t="s">
        <v>3</v>
      </c>
      <c r="F2360" s="4">
        <v>0</v>
      </c>
      <c r="G2360" s="3">
        <v>1909</v>
      </c>
      <c r="H2360" s="3">
        <v>56</v>
      </c>
      <c r="I2360" s="3">
        <v>628</v>
      </c>
      <c r="J2360" s="3">
        <v>117</v>
      </c>
      <c r="K2360" s="3">
        <v>1997</v>
      </c>
      <c r="L2360" s="3">
        <v>11</v>
      </c>
      <c r="M2360" s="3">
        <v>638</v>
      </c>
    </row>
    <row r="2361" spans="1:13" x14ac:dyDescent="0.25">
      <c r="A2361" s="1" t="str">
        <f>HYPERLINK("http://www.rosaceae.org/Prunus/Prunus_persica/p.persica_gdr_reftransV1_0015266","p.persica_gdr_reftransV1_0015266")</f>
        <v>p.persica_gdr_reftransV1_0015266</v>
      </c>
      <c r="B2361" s="3">
        <v>793</v>
      </c>
      <c r="C2361" s="1" t="str">
        <f>HYPERLINK("http://www.uniprot.org/uniprot/ENL2_ARATH","ENL2_ARATH")</f>
        <v>ENL2_ARATH</v>
      </c>
      <c r="D2361" t="s">
        <v>1508</v>
      </c>
      <c r="E2361" s="3" t="s">
        <v>3</v>
      </c>
      <c r="F2361" s="4">
        <v>1.7999999999999999E-23</v>
      </c>
      <c r="G2361" s="3">
        <v>251</v>
      </c>
      <c r="H2361" s="3">
        <v>65</v>
      </c>
      <c r="I2361" s="3">
        <v>69</v>
      </c>
      <c r="J2361" s="3">
        <v>371</v>
      </c>
      <c r="K2361" s="3">
        <v>577</v>
      </c>
      <c r="L2361" s="3">
        <v>64</v>
      </c>
      <c r="M2361" s="3">
        <v>132</v>
      </c>
    </row>
    <row r="2362" spans="1:13" x14ac:dyDescent="0.25">
      <c r="A2362" s="1" t="str">
        <f>HYPERLINK("http://www.rosaceae.org/Prunus/Prunus_persica/p.persica_gdr_reftransV1_0015316","p.persica_gdr_reftransV1_0015316")</f>
        <v>p.persica_gdr_reftransV1_0015316</v>
      </c>
      <c r="B2362" s="3">
        <v>1902</v>
      </c>
      <c r="C2362" s="1" t="str">
        <f>HYPERLINK("http://www.uniprot.org/uniprot/ZDH13_ARATH","ZDH13_ARATH")</f>
        <v>ZDH13_ARATH</v>
      </c>
      <c r="D2362" t="s">
        <v>2257</v>
      </c>
      <c r="E2362" s="3" t="s">
        <v>3</v>
      </c>
      <c r="F2362" s="4">
        <v>6.2199999999999997E-166</v>
      </c>
      <c r="G2362" s="3">
        <v>1261</v>
      </c>
      <c r="H2362" s="3">
        <v>67</v>
      </c>
      <c r="I2362" s="3">
        <v>359</v>
      </c>
      <c r="J2362" s="3">
        <v>699</v>
      </c>
      <c r="K2362" s="3">
        <v>1733</v>
      </c>
      <c r="L2362" s="3">
        <v>5</v>
      </c>
      <c r="M2362" s="3">
        <v>363</v>
      </c>
    </row>
    <row r="2363" spans="1:13" x14ac:dyDescent="0.25">
      <c r="A2363" s="1" t="str">
        <f>HYPERLINK("http://www.rosaceae.org/Prunus/Prunus_persica/p.persica_gdr_reftransV1_0015416","p.persica_gdr_reftransV1_0015416")</f>
        <v>p.persica_gdr_reftransV1_0015416</v>
      </c>
      <c r="B2363" s="3">
        <v>703</v>
      </c>
      <c r="C2363" s="1" t="str">
        <f>HYPERLINK("http://www.uniprot.org/uniprot/PUM2_ARATH","PUM2_ARATH")</f>
        <v>PUM2_ARATH</v>
      </c>
      <c r="D2363" t="s">
        <v>2258</v>
      </c>
      <c r="E2363" s="3" t="s">
        <v>3</v>
      </c>
      <c r="F2363" s="4">
        <v>4.4699999999999997E-16</v>
      </c>
      <c r="G2363" s="3">
        <v>200</v>
      </c>
      <c r="H2363" s="3">
        <v>63</v>
      </c>
      <c r="I2363" s="3">
        <v>127</v>
      </c>
      <c r="J2363" s="3">
        <v>210</v>
      </c>
      <c r="K2363" s="3">
        <v>587</v>
      </c>
      <c r="L2363" s="3">
        <v>95</v>
      </c>
      <c r="M2363" s="3">
        <v>214</v>
      </c>
    </row>
    <row r="2364" spans="1:13" x14ac:dyDescent="0.25">
      <c r="A2364" s="1" t="str">
        <f>HYPERLINK("http://www.rosaceae.org/Prunus/Prunus_persica/p.persica_gdr_reftransV1_0015666","p.persica_gdr_reftransV1_0015666")</f>
        <v>p.persica_gdr_reftransV1_0015666</v>
      </c>
      <c r="B2364" s="3">
        <v>4071</v>
      </c>
      <c r="C2364" s="1" t="str">
        <f>HYPERLINK("http://www.uniprot.org/uniprot/CBSX5_ARATH","CBSX5_ARATH")</f>
        <v>CBSX5_ARATH</v>
      </c>
      <c r="D2364" t="s">
        <v>2259</v>
      </c>
      <c r="E2364" s="3" t="s">
        <v>3</v>
      </c>
      <c r="F2364" s="4">
        <v>2.7899999999999999E-81</v>
      </c>
      <c r="G2364" s="3">
        <v>710</v>
      </c>
      <c r="H2364" s="3">
        <v>43</v>
      </c>
      <c r="I2364" s="3">
        <v>400</v>
      </c>
      <c r="J2364" s="3">
        <v>121</v>
      </c>
      <c r="K2364" s="3">
        <v>1281</v>
      </c>
      <c r="L2364" s="3">
        <v>1</v>
      </c>
      <c r="M2364" s="3">
        <v>389</v>
      </c>
    </row>
    <row r="2365" spans="1:13" x14ac:dyDescent="0.25">
      <c r="A2365" s="1" t="str">
        <f>HYPERLINK("http://www.rosaceae.org/Prunus/Prunus_persica/p.persica_gdr_reftransV1_0015766","p.persica_gdr_reftransV1_0015766")</f>
        <v>p.persica_gdr_reftransV1_0015766</v>
      </c>
      <c r="B2365" s="3">
        <v>789</v>
      </c>
      <c r="C2365" s="1" t="str">
        <f>HYPERLINK("http://www.uniprot.org/uniprot/ARG2_VIGRR","ARG2_VIGRR")</f>
        <v>ARG2_VIGRR</v>
      </c>
      <c r="D2365" t="s">
        <v>2260</v>
      </c>
      <c r="E2365" s="3" t="s">
        <v>2261</v>
      </c>
      <c r="F2365" s="4">
        <v>1.04E-19</v>
      </c>
      <c r="G2365" s="3">
        <v>212</v>
      </c>
      <c r="H2365" s="3">
        <v>53</v>
      </c>
      <c r="I2365" s="3">
        <v>100</v>
      </c>
      <c r="J2365" s="3">
        <v>210</v>
      </c>
      <c r="K2365" s="3">
        <v>509</v>
      </c>
      <c r="L2365" s="3">
        <v>1</v>
      </c>
      <c r="M2365" s="3">
        <v>95</v>
      </c>
    </row>
    <row r="2366" spans="1:13" x14ac:dyDescent="0.25">
      <c r="A2366" s="1" t="str">
        <f>HYPERLINK("http://www.rosaceae.org/Prunus/Prunus_persica/p.persica_gdr_reftransV1_0016016","p.persica_gdr_reftransV1_0016016")</f>
        <v>p.persica_gdr_reftransV1_0016016</v>
      </c>
      <c r="B2366" s="3">
        <v>2492</v>
      </c>
      <c r="C2366" s="1" t="str">
        <f>HYPERLINK("http://www.uniprot.org/uniprot/CIPKN_ARATH","CIPKN_ARATH")</f>
        <v>CIPKN_ARATH</v>
      </c>
      <c r="D2366" t="s">
        <v>2262</v>
      </c>
      <c r="E2366" s="3" t="s">
        <v>3</v>
      </c>
      <c r="F2366" s="4">
        <v>0</v>
      </c>
      <c r="G2366" s="3">
        <v>1973</v>
      </c>
      <c r="H2366" s="3">
        <v>84</v>
      </c>
      <c r="I2366" s="3">
        <v>437</v>
      </c>
      <c r="J2366" s="3">
        <v>640</v>
      </c>
      <c r="K2366" s="3">
        <v>1950</v>
      </c>
      <c r="L2366" s="3">
        <v>28</v>
      </c>
      <c r="M2366" s="3">
        <v>464</v>
      </c>
    </row>
    <row r="2367" spans="1:13" x14ac:dyDescent="0.25">
      <c r="A2367" s="1" t="str">
        <f>HYPERLINK("http://www.rosaceae.org/Prunus/Prunus_persica/p.persica_gdr_reftransV1_0016066","p.persica_gdr_reftransV1_0016066")</f>
        <v>p.persica_gdr_reftransV1_0016066</v>
      </c>
      <c r="B2367" s="3">
        <v>2403</v>
      </c>
      <c r="C2367" s="1" t="str">
        <f>HYPERLINK("http://www.uniprot.org/uniprot/SLY1_ARATH","SLY1_ARATH")</f>
        <v>SLY1_ARATH</v>
      </c>
      <c r="D2367" t="s">
        <v>2263</v>
      </c>
      <c r="E2367" s="3" t="s">
        <v>3</v>
      </c>
      <c r="F2367" s="4">
        <v>0</v>
      </c>
      <c r="G2367" s="3">
        <v>2533</v>
      </c>
      <c r="H2367" s="3">
        <v>79</v>
      </c>
      <c r="I2367" s="3">
        <v>624</v>
      </c>
      <c r="J2367" s="3">
        <v>143</v>
      </c>
      <c r="K2367" s="3">
        <v>2002</v>
      </c>
      <c r="L2367" s="3">
        <v>1</v>
      </c>
      <c r="M2367" s="3">
        <v>621</v>
      </c>
    </row>
    <row r="2368" spans="1:13" x14ac:dyDescent="0.25">
      <c r="A2368" s="1" t="str">
        <f>HYPERLINK("http://www.rosaceae.org/Prunus/Prunus_persica/p.persica_gdr_reftransV1_0016366","p.persica_gdr_reftransV1_0016366")</f>
        <v>p.persica_gdr_reftransV1_0016366</v>
      </c>
      <c r="B2368" s="3">
        <v>4223</v>
      </c>
      <c r="C2368" s="1" t="str">
        <f>HYPERLINK("http://www.uniprot.org/uniprot/GH35_ORYSJ","GH35_ORYSJ")</f>
        <v>GH35_ORYSJ</v>
      </c>
      <c r="D2368" t="s">
        <v>2264</v>
      </c>
      <c r="E2368" s="3" t="s">
        <v>38</v>
      </c>
      <c r="F2368" s="4">
        <v>0</v>
      </c>
      <c r="G2368" s="3">
        <v>1478</v>
      </c>
      <c r="H2368" s="3">
        <v>69</v>
      </c>
      <c r="I2368" s="3">
        <v>395</v>
      </c>
      <c r="J2368" s="3">
        <v>2121</v>
      </c>
      <c r="K2368" s="3">
        <v>3287</v>
      </c>
      <c r="L2368" s="3">
        <v>7</v>
      </c>
      <c r="M2368" s="3">
        <v>401</v>
      </c>
    </row>
    <row r="2369" spans="1:13" x14ac:dyDescent="0.25">
      <c r="A2369" s="1" t="str">
        <f>HYPERLINK("http://www.rosaceae.org/Prunus/Prunus_persica/p.persica_gdr_reftransV1_0016416","p.persica_gdr_reftransV1_0016416")</f>
        <v>p.persica_gdr_reftransV1_0016416</v>
      </c>
      <c r="B2369" s="3">
        <v>571</v>
      </c>
      <c r="C2369" s="1" t="str">
        <f>HYPERLINK("http://www.uniprot.org/uniprot/RBOHC_SOLTU","RBOHC_SOLTU")</f>
        <v>RBOHC_SOLTU</v>
      </c>
      <c r="D2369" t="s">
        <v>2265</v>
      </c>
      <c r="E2369" s="3" t="s">
        <v>11</v>
      </c>
      <c r="F2369" s="4">
        <v>4.0800000000000004E-43</v>
      </c>
      <c r="G2369" s="3">
        <v>400</v>
      </c>
      <c r="H2369" s="3">
        <v>60</v>
      </c>
      <c r="I2369" s="3">
        <v>156</v>
      </c>
      <c r="J2369" s="3">
        <v>2</v>
      </c>
      <c r="K2369" s="3">
        <v>466</v>
      </c>
      <c r="L2369" s="3">
        <v>16</v>
      </c>
      <c r="M2369" s="3">
        <v>164</v>
      </c>
    </row>
    <row r="2370" spans="1:13" x14ac:dyDescent="0.25">
      <c r="A2370" s="1" t="str">
        <f>HYPERLINK("http://www.rosaceae.org/Prunus/Prunus_persica/p.persica_gdr_reftransV1_0016566","p.persica_gdr_reftransV1_0016566")</f>
        <v>p.persica_gdr_reftransV1_0016566</v>
      </c>
      <c r="B2370" s="3">
        <v>643</v>
      </c>
      <c r="C2370" s="1" t="str">
        <f>HYPERLINK("http://www.uniprot.org/uniprot/MEN8_SILLA","MEN8_SILLA")</f>
        <v>MEN8_SILLA</v>
      </c>
      <c r="D2370" t="s">
        <v>2266</v>
      </c>
      <c r="E2370" s="3" t="s">
        <v>2267</v>
      </c>
      <c r="F2370" s="4">
        <v>2.0399999999999999E-17</v>
      </c>
      <c r="G2370" s="3">
        <v>193</v>
      </c>
      <c r="H2370" s="3">
        <v>65</v>
      </c>
      <c r="I2370" s="3">
        <v>52</v>
      </c>
      <c r="J2370" s="3">
        <v>225</v>
      </c>
      <c r="K2370" s="3">
        <v>380</v>
      </c>
      <c r="L2370" s="3">
        <v>45</v>
      </c>
      <c r="M2370" s="3">
        <v>96</v>
      </c>
    </row>
    <row r="2371" spans="1:13" x14ac:dyDescent="0.25">
      <c r="A2371" s="1" t="str">
        <f>HYPERLINK("http://www.rosaceae.org/Prunus/Prunus_persica/p.persica_gdr_reftransV1_0016616","p.persica_gdr_reftransV1_0016616")</f>
        <v>p.persica_gdr_reftransV1_0016616</v>
      </c>
      <c r="B2371" s="3">
        <v>3141</v>
      </c>
      <c r="C2371" s="1" t="str">
        <f>HYPERLINK("http://www.uniprot.org/uniprot/POT11_ARATH","POT11_ARATH")</f>
        <v>POT11_ARATH</v>
      </c>
      <c r="D2371" t="s">
        <v>2268</v>
      </c>
      <c r="E2371" s="3" t="s">
        <v>3</v>
      </c>
      <c r="F2371" s="4">
        <v>0</v>
      </c>
      <c r="G2371" s="3">
        <v>2971</v>
      </c>
      <c r="H2371" s="3">
        <v>80</v>
      </c>
      <c r="I2371" s="3">
        <v>802</v>
      </c>
      <c r="J2371" s="3">
        <v>572</v>
      </c>
      <c r="K2371" s="3">
        <v>2953</v>
      </c>
      <c r="L2371" s="3">
        <v>1</v>
      </c>
      <c r="M2371" s="3">
        <v>792</v>
      </c>
    </row>
    <row r="2372" spans="1:13" x14ac:dyDescent="0.25">
      <c r="A2372" s="1" t="str">
        <f>HYPERLINK("http://www.rosaceae.org/Prunus/Prunus_persica/p.persica_gdr_reftransV1_0016766","p.persica_gdr_reftransV1_0016766")</f>
        <v>p.persica_gdr_reftransV1_0016766</v>
      </c>
      <c r="B2372" s="3">
        <v>4534</v>
      </c>
      <c r="C2372" s="1" t="str">
        <f>HYPERLINK("http://www.uniprot.org/uniprot/DHX36_MOUSE","DHX36_MOUSE")</f>
        <v>DHX36_MOUSE</v>
      </c>
      <c r="D2372" t="s">
        <v>2269</v>
      </c>
      <c r="E2372" s="3" t="s">
        <v>157</v>
      </c>
      <c r="F2372" s="4">
        <v>3.6199999999999998E-175</v>
      </c>
      <c r="G2372" s="3">
        <v>1438</v>
      </c>
      <c r="H2372" s="3">
        <v>43</v>
      </c>
      <c r="I2372" s="3">
        <v>780</v>
      </c>
      <c r="J2372" s="3">
        <v>1084</v>
      </c>
      <c r="K2372" s="3">
        <v>3372</v>
      </c>
      <c r="L2372" s="3">
        <v>182</v>
      </c>
      <c r="M2372" s="3">
        <v>957</v>
      </c>
    </row>
    <row r="2373" spans="1:13" x14ac:dyDescent="0.25">
      <c r="A2373" s="1" t="str">
        <f>HYPERLINK("http://www.rosaceae.org/Prunus/Prunus_persica/p.persica_gdr_reftransV1_0016866","p.persica_gdr_reftransV1_0016866")</f>
        <v>p.persica_gdr_reftransV1_0016866</v>
      </c>
      <c r="B2373" s="3">
        <v>2759</v>
      </c>
      <c r="C2373" s="1" t="str">
        <f>HYPERLINK("http://www.uniprot.org/uniprot/CER3_ARATH","CER3_ARATH")</f>
        <v>CER3_ARATH</v>
      </c>
      <c r="D2373" t="s">
        <v>2270</v>
      </c>
      <c r="E2373" s="3" t="s">
        <v>3</v>
      </c>
      <c r="F2373" s="4">
        <v>0</v>
      </c>
      <c r="G2373" s="3">
        <v>2168</v>
      </c>
      <c r="H2373" s="3">
        <v>68</v>
      </c>
      <c r="I2373" s="3">
        <v>580</v>
      </c>
      <c r="J2373" s="3">
        <v>728</v>
      </c>
      <c r="K2373" s="3">
        <v>2452</v>
      </c>
      <c r="L2373" s="3">
        <v>1</v>
      </c>
      <c r="M2373" s="3">
        <v>578</v>
      </c>
    </row>
    <row r="2374" spans="1:13" x14ac:dyDescent="0.25">
      <c r="A2374" s="1" t="str">
        <f>HYPERLINK("http://www.rosaceae.org/Prunus/Prunus_persica/p.persica_gdr_reftransV1_0016916","p.persica_gdr_reftransV1_0016916")</f>
        <v>p.persica_gdr_reftransV1_0016916</v>
      </c>
      <c r="B2374" s="3">
        <v>831</v>
      </c>
      <c r="C2374" s="1" t="str">
        <f>HYPERLINK("http://www.uniprot.org/uniprot/KRP7_ARATH","KRP7_ARATH")</f>
        <v>KRP7_ARATH</v>
      </c>
      <c r="D2374" t="s">
        <v>2271</v>
      </c>
      <c r="E2374" s="3" t="s">
        <v>3</v>
      </c>
      <c r="F2374" s="4">
        <v>1.21E-19</v>
      </c>
      <c r="G2374" s="3">
        <v>218</v>
      </c>
      <c r="H2374" s="3">
        <v>44</v>
      </c>
      <c r="I2374" s="3">
        <v>114</v>
      </c>
      <c r="J2374" s="3">
        <v>424</v>
      </c>
      <c r="K2374" s="3">
        <v>756</v>
      </c>
      <c r="L2374" s="3">
        <v>83</v>
      </c>
      <c r="M2374" s="3">
        <v>195</v>
      </c>
    </row>
    <row r="2375" spans="1:13" x14ac:dyDescent="0.25">
      <c r="A2375" s="1" t="str">
        <f>HYPERLINK("http://www.rosaceae.org/Prunus/Prunus_persica/p.persica_gdr_reftransV1_0016966","p.persica_gdr_reftransV1_0016966")</f>
        <v>p.persica_gdr_reftransV1_0016966</v>
      </c>
      <c r="B2375" s="3">
        <v>1839</v>
      </c>
      <c r="C2375" s="1" t="str">
        <f>HYPERLINK("http://www.uniprot.org/uniprot/SKL2_ARATH","SKL2_ARATH")</f>
        <v>SKL2_ARATH</v>
      </c>
      <c r="D2375" t="s">
        <v>2272</v>
      </c>
      <c r="E2375" s="3" t="s">
        <v>3</v>
      </c>
      <c r="F2375" s="4">
        <v>2.2099999999999999E-143</v>
      </c>
      <c r="G2375" s="3">
        <v>1101</v>
      </c>
      <c r="H2375" s="3">
        <v>70</v>
      </c>
      <c r="I2375" s="3">
        <v>331</v>
      </c>
      <c r="J2375" s="3">
        <v>535</v>
      </c>
      <c r="K2375" s="3">
        <v>1524</v>
      </c>
      <c r="L2375" s="3">
        <v>58</v>
      </c>
      <c r="M2375" s="3">
        <v>384</v>
      </c>
    </row>
    <row r="2376" spans="1:13" x14ac:dyDescent="0.25">
      <c r="A2376" s="1" t="str">
        <f>HYPERLINK("http://www.rosaceae.org/Prunus/Prunus_persica/p.persica_gdr_reftransV1_0017016","p.persica_gdr_reftransV1_0017016")</f>
        <v>p.persica_gdr_reftransV1_0017016</v>
      </c>
      <c r="B2376" s="3">
        <v>1930</v>
      </c>
      <c r="C2376" s="1" t="str">
        <f>HYPERLINK("http://www.uniprot.org/uniprot/STP13_ARATH","STP13_ARATH")</f>
        <v>STP13_ARATH</v>
      </c>
      <c r="D2376" t="s">
        <v>2273</v>
      </c>
      <c r="E2376" s="3" t="s">
        <v>3</v>
      </c>
      <c r="F2376" s="4">
        <v>0</v>
      </c>
      <c r="G2376" s="3">
        <v>2179</v>
      </c>
      <c r="H2376" s="3">
        <v>84</v>
      </c>
      <c r="I2376" s="3">
        <v>516</v>
      </c>
      <c r="J2376" s="3">
        <v>140</v>
      </c>
      <c r="K2376" s="3">
        <v>1684</v>
      </c>
      <c r="L2376" s="3">
        <v>14</v>
      </c>
      <c r="M2376" s="3">
        <v>526</v>
      </c>
    </row>
    <row r="2377" spans="1:13" x14ac:dyDescent="0.25">
      <c r="A2377" s="1" t="str">
        <f>HYPERLINK("http://www.rosaceae.org/Prunus/Prunus_persica/p.persica_gdr_reftransV1_0017066","p.persica_gdr_reftransV1_0017066")</f>
        <v>p.persica_gdr_reftransV1_0017066</v>
      </c>
      <c r="B2377" s="3">
        <v>1895</v>
      </c>
      <c r="C2377" s="1" t="str">
        <f>HYPERLINK("http://www.uniprot.org/uniprot/SPLA_DICDI","SPLA_DICDI")</f>
        <v>SPLA_DICDI</v>
      </c>
      <c r="D2377" t="s">
        <v>2274</v>
      </c>
      <c r="E2377" s="3" t="s">
        <v>9</v>
      </c>
      <c r="F2377" s="4">
        <v>6.0500000000000001E-46</v>
      </c>
      <c r="G2377" s="3">
        <v>458</v>
      </c>
      <c r="H2377" s="3">
        <v>40</v>
      </c>
      <c r="I2377" s="3">
        <v>281</v>
      </c>
      <c r="J2377" s="3">
        <v>504</v>
      </c>
      <c r="K2377" s="3">
        <v>1295</v>
      </c>
      <c r="L2377" s="3">
        <v>2105</v>
      </c>
      <c r="M2377" s="3">
        <v>2378</v>
      </c>
    </row>
    <row r="2378" spans="1:13" x14ac:dyDescent="0.25">
      <c r="A2378" s="1" t="str">
        <f>HYPERLINK("http://www.rosaceae.org/Prunus/Prunus_persica/p.persica_gdr_reftransV1_0017316","p.persica_gdr_reftransV1_0017316")</f>
        <v>p.persica_gdr_reftransV1_0017316</v>
      </c>
      <c r="B2378" s="3">
        <v>2699</v>
      </c>
      <c r="C2378" s="1" t="str">
        <f>HYPERLINK("http://www.uniprot.org/uniprot/GRS14_ARATH","GRS14_ARATH")</f>
        <v>GRS14_ARATH</v>
      </c>
      <c r="D2378" t="s">
        <v>2275</v>
      </c>
      <c r="E2378" s="3" t="s">
        <v>3</v>
      </c>
      <c r="F2378" s="4">
        <v>2.9200000000000002E-45</v>
      </c>
      <c r="G2378" s="3">
        <v>419</v>
      </c>
      <c r="H2378" s="3">
        <v>82</v>
      </c>
      <c r="I2378" s="3">
        <v>92</v>
      </c>
      <c r="J2378" s="3">
        <v>1098</v>
      </c>
      <c r="K2378" s="3">
        <v>1373</v>
      </c>
      <c r="L2378" s="3">
        <v>64</v>
      </c>
      <c r="M2378" s="3">
        <v>155</v>
      </c>
    </row>
    <row r="2379" spans="1:13" x14ac:dyDescent="0.25">
      <c r="A2379" s="1" t="str">
        <f>HYPERLINK("http://www.rosaceae.org/Prunus/Prunus_persica/p.persica_gdr_reftransV1_0017466","p.persica_gdr_reftransV1_0017466")</f>
        <v>p.persica_gdr_reftransV1_0017466</v>
      </c>
      <c r="B2379" s="3">
        <v>4837</v>
      </c>
      <c r="C2379" s="1" t="str">
        <f>HYPERLINK("http://www.uniprot.org/uniprot/GUN9_ARATH","GUN9_ARATH")</f>
        <v>GUN9_ARATH</v>
      </c>
      <c r="D2379" t="s">
        <v>2276</v>
      </c>
      <c r="E2379" s="3" t="s">
        <v>3</v>
      </c>
      <c r="F2379" s="4">
        <v>0</v>
      </c>
      <c r="G2379" s="3">
        <v>1929</v>
      </c>
      <c r="H2379" s="3">
        <v>78</v>
      </c>
      <c r="I2379" s="3">
        <v>464</v>
      </c>
      <c r="J2379" s="3">
        <v>3420</v>
      </c>
      <c r="K2379" s="3">
        <v>4811</v>
      </c>
      <c r="L2379" s="3">
        <v>21</v>
      </c>
      <c r="M2379" s="3">
        <v>481</v>
      </c>
    </row>
    <row r="2380" spans="1:13" x14ac:dyDescent="0.25">
      <c r="A2380" s="1" t="str">
        <f>HYPERLINK("http://www.rosaceae.org/Prunus/Prunus_persica/p.persica_gdr_reftransV1_0017516","p.persica_gdr_reftransV1_0017516")</f>
        <v>p.persica_gdr_reftransV1_0017516</v>
      </c>
      <c r="B2380" s="3">
        <v>2419</v>
      </c>
      <c r="C2380" s="1" t="str">
        <f>HYPERLINK("http://www.uniprot.org/uniprot/SYM1_GIBZE","SYM1_GIBZE")</f>
        <v>SYM1_GIBZE</v>
      </c>
      <c r="D2380" t="s">
        <v>2277</v>
      </c>
      <c r="E2380" s="3" t="s">
        <v>2278</v>
      </c>
      <c r="F2380" s="4">
        <v>1.0099999999999999E-11</v>
      </c>
      <c r="G2380" s="3">
        <v>167</v>
      </c>
      <c r="H2380" s="3">
        <v>34</v>
      </c>
      <c r="I2380" s="3">
        <v>106</v>
      </c>
      <c r="J2380" s="3">
        <v>1748</v>
      </c>
      <c r="K2380" s="3">
        <v>2065</v>
      </c>
      <c r="L2380" s="3">
        <v>73</v>
      </c>
      <c r="M2380" s="3">
        <v>175</v>
      </c>
    </row>
    <row r="2381" spans="1:13" x14ac:dyDescent="0.25">
      <c r="A2381" s="1" t="str">
        <f>HYPERLINK("http://www.rosaceae.org/Prunus/Prunus_persica/p.persica_gdr_reftransV1_0017616","p.persica_gdr_reftransV1_0017616")</f>
        <v>p.persica_gdr_reftransV1_0017616</v>
      </c>
      <c r="B2381" s="3">
        <v>1855</v>
      </c>
      <c r="C2381" s="1" t="str">
        <f>HYPERLINK("http://www.uniprot.org/uniprot/F16P1_BRANA","F16P1_BRANA")</f>
        <v>F16P1_BRANA</v>
      </c>
      <c r="D2381" t="s">
        <v>2279</v>
      </c>
      <c r="E2381" s="3" t="s">
        <v>776</v>
      </c>
      <c r="F2381" s="4">
        <v>0</v>
      </c>
      <c r="G2381" s="3">
        <v>1605</v>
      </c>
      <c r="H2381" s="3">
        <v>85</v>
      </c>
      <c r="I2381" s="3">
        <v>369</v>
      </c>
      <c r="J2381" s="3">
        <v>515</v>
      </c>
      <c r="K2381" s="3">
        <v>1603</v>
      </c>
      <c r="L2381" s="3">
        <v>43</v>
      </c>
      <c r="M2381" s="3">
        <v>411</v>
      </c>
    </row>
    <row r="2382" spans="1:13" x14ac:dyDescent="0.25">
      <c r="A2382" s="1" t="str">
        <f>HYPERLINK("http://www.rosaceae.org/Prunus/Prunus_persica/p.persica_gdr_reftransV1_0017816","p.persica_gdr_reftransV1_0017816")</f>
        <v>p.persica_gdr_reftransV1_0017816</v>
      </c>
      <c r="B2382" s="3">
        <v>1085</v>
      </c>
      <c r="C2382" s="1" t="str">
        <f>HYPERLINK("http://www.uniprot.org/uniprot/RGA3_SOLBU","RGA3_SOLBU")</f>
        <v>RGA3_SOLBU</v>
      </c>
      <c r="D2382" t="s">
        <v>1884</v>
      </c>
      <c r="E2382" s="3" t="s">
        <v>560</v>
      </c>
      <c r="F2382" s="4">
        <v>3.9000000000000002E-63</v>
      </c>
      <c r="G2382" s="3">
        <v>564</v>
      </c>
      <c r="H2382" s="3">
        <v>37</v>
      </c>
      <c r="I2382" s="3">
        <v>357</v>
      </c>
      <c r="J2382" s="3">
        <v>2</v>
      </c>
      <c r="K2382" s="3">
        <v>1054</v>
      </c>
      <c r="L2382" s="3">
        <v>114</v>
      </c>
      <c r="M2382" s="3">
        <v>461</v>
      </c>
    </row>
    <row r="2383" spans="1:13" x14ac:dyDescent="0.25">
      <c r="A2383" s="1" t="str">
        <f>HYPERLINK("http://www.rosaceae.org/Prunus/Prunus_persica/p.persica_gdr_reftransV1_0018016","p.persica_gdr_reftransV1_0018016")</f>
        <v>p.persica_gdr_reftransV1_0018016</v>
      </c>
      <c r="B2383" s="3">
        <v>1714</v>
      </c>
      <c r="C2383" s="1" t="str">
        <f>HYPERLINK("http://www.uniprot.org/uniprot/CRTSO_DAUCA","CRTSO_DAUCA")</f>
        <v>CRTSO_DAUCA</v>
      </c>
      <c r="D2383" t="s">
        <v>1262</v>
      </c>
      <c r="E2383" s="3" t="s">
        <v>32</v>
      </c>
      <c r="F2383" s="4">
        <v>2.8000000000000002E-159</v>
      </c>
      <c r="G2383" s="3">
        <v>1224</v>
      </c>
      <c r="H2383" s="3">
        <v>83</v>
      </c>
      <c r="I2383" s="3">
        <v>302</v>
      </c>
      <c r="J2383" s="3">
        <v>659</v>
      </c>
      <c r="K2383" s="3">
        <v>1555</v>
      </c>
      <c r="L2383" s="3">
        <v>68</v>
      </c>
      <c r="M2383" s="3">
        <v>367</v>
      </c>
    </row>
    <row r="2384" spans="1:13" x14ac:dyDescent="0.25">
      <c r="A2384" s="1" t="str">
        <f>HYPERLINK("http://www.rosaceae.org/Prunus/Prunus_persica/p.persica_gdr_reftransV1_0018516","p.persica_gdr_reftransV1_0018516")</f>
        <v>p.persica_gdr_reftransV1_0018516</v>
      </c>
      <c r="B2384" s="3">
        <v>1564</v>
      </c>
      <c r="C2384" s="1" t="str">
        <f>HYPERLINK("http://www.uniprot.org/uniprot/DOF54_ARATH","DOF54_ARATH")</f>
        <v>DOF54_ARATH</v>
      </c>
      <c r="D2384" t="s">
        <v>2280</v>
      </c>
      <c r="E2384" s="3" t="s">
        <v>3</v>
      </c>
      <c r="F2384" s="4">
        <v>3.4099999999999999E-50</v>
      </c>
      <c r="G2384" s="3">
        <v>456</v>
      </c>
      <c r="H2384" s="3">
        <v>42</v>
      </c>
      <c r="I2384" s="3">
        <v>313</v>
      </c>
      <c r="J2384" s="3">
        <v>276</v>
      </c>
      <c r="K2384" s="3">
        <v>1190</v>
      </c>
      <c r="L2384" s="3">
        <v>34</v>
      </c>
      <c r="M2384" s="3">
        <v>307</v>
      </c>
    </row>
    <row r="2385" spans="1:13" x14ac:dyDescent="0.25">
      <c r="A2385" s="1" t="str">
        <f>HYPERLINK("http://www.rosaceae.org/Prunus/Prunus_persica/p.persica_gdr_reftransV1_0018916","p.persica_gdr_reftransV1_0018916")</f>
        <v>p.persica_gdr_reftransV1_0018916</v>
      </c>
      <c r="B2385" s="3">
        <v>354</v>
      </c>
      <c r="C2385" s="1" t="str">
        <f>HYPERLINK("http://www.uniprot.org/uniprot/PLRX1_ARATH","PLRX1_ARATH")</f>
        <v>PLRX1_ARATH</v>
      </c>
      <c r="D2385" t="s">
        <v>2281</v>
      </c>
      <c r="E2385" s="3" t="s">
        <v>3</v>
      </c>
      <c r="F2385" s="4">
        <v>4.04E-26</v>
      </c>
      <c r="G2385" s="3">
        <v>267</v>
      </c>
      <c r="H2385" s="3">
        <v>63</v>
      </c>
      <c r="I2385" s="3">
        <v>75</v>
      </c>
      <c r="J2385" s="3">
        <v>1</v>
      </c>
      <c r="K2385" s="3">
        <v>225</v>
      </c>
      <c r="L2385" s="3">
        <v>320</v>
      </c>
      <c r="M2385" s="3">
        <v>394</v>
      </c>
    </row>
    <row r="2386" spans="1:13" x14ac:dyDescent="0.25">
      <c r="A2386" s="1" t="str">
        <f>HYPERLINK("http://www.rosaceae.org/Prunus/Prunus_persica/p.persica_gdr_reftransV1_0019066","p.persica_gdr_reftransV1_0019066")</f>
        <v>p.persica_gdr_reftransV1_0019066</v>
      </c>
      <c r="B2386" s="3">
        <v>1210</v>
      </c>
      <c r="C2386" s="1" t="str">
        <f>HYPERLINK("http://www.uniprot.org/uniprot/NACA2_ARATH","NACA2_ARATH")</f>
        <v>NACA2_ARATH</v>
      </c>
      <c r="D2386" t="s">
        <v>2282</v>
      </c>
      <c r="E2386" s="3" t="s">
        <v>3</v>
      </c>
      <c r="F2386" s="4">
        <v>2.14E-52</v>
      </c>
      <c r="G2386" s="3">
        <v>457</v>
      </c>
      <c r="H2386" s="3">
        <v>82</v>
      </c>
      <c r="I2386" s="3">
        <v>139</v>
      </c>
      <c r="J2386" s="3">
        <v>565</v>
      </c>
      <c r="K2386" s="3">
        <v>981</v>
      </c>
      <c r="L2386" s="3">
        <v>79</v>
      </c>
      <c r="M2386" s="3">
        <v>217</v>
      </c>
    </row>
    <row r="2387" spans="1:13" x14ac:dyDescent="0.25">
      <c r="A2387" s="1" t="str">
        <f>HYPERLINK("http://www.rosaceae.org/Prunus/Prunus_persica/p.persica_gdr_reftransV1_0019316","p.persica_gdr_reftransV1_0019316")</f>
        <v>p.persica_gdr_reftransV1_0019316</v>
      </c>
      <c r="B2387" s="3">
        <v>788</v>
      </c>
      <c r="C2387" s="1" t="str">
        <f>HYPERLINK("http://www.uniprot.org/uniprot/DIR2_ARATH","DIR2_ARATH")</f>
        <v>DIR2_ARATH</v>
      </c>
      <c r="D2387" t="s">
        <v>2283</v>
      </c>
      <c r="E2387" s="3" t="s">
        <v>3</v>
      </c>
      <c r="F2387" s="4">
        <v>2.8900000000000001E-25</v>
      </c>
      <c r="G2387" s="3">
        <v>257</v>
      </c>
      <c r="H2387" s="3">
        <v>41</v>
      </c>
      <c r="I2387" s="3">
        <v>128</v>
      </c>
      <c r="J2387" s="3">
        <v>253</v>
      </c>
      <c r="K2387" s="3">
        <v>636</v>
      </c>
      <c r="L2387" s="3">
        <v>41</v>
      </c>
      <c r="M2387" s="3">
        <v>168</v>
      </c>
    </row>
    <row r="2388" spans="1:13" x14ac:dyDescent="0.25">
      <c r="A2388" s="1" t="str">
        <f>HYPERLINK("http://www.rosaceae.org/Prunus/Prunus_persica/p.persica_gdr_reftransV1_0019416","p.persica_gdr_reftransV1_0019416")</f>
        <v>p.persica_gdr_reftransV1_0019416</v>
      </c>
      <c r="B2388" s="3">
        <v>876</v>
      </c>
      <c r="C2388" s="1" t="str">
        <f>HYPERLINK("http://www.uniprot.org/uniprot/PP218_ARATH","PP218_ARATH")</f>
        <v>PP218_ARATH</v>
      </c>
      <c r="D2388" t="s">
        <v>2284</v>
      </c>
      <c r="E2388" s="3" t="s">
        <v>3</v>
      </c>
      <c r="F2388" s="4">
        <v>6.5800000000000002E-31</v>
      </c>
      <c r="G2388" s="3">
        <v>318</v>
      </c>
      <c r="H2388" s="3">
        <v>36</v>
      </c>
      <c r="I2388" s="3">
        <v>174</v>
      </c>
      <c r="J2388" s="3">
        <v>19</v>
      </c>
      <c r="K2388" s="3">
        <v>540</v>
      </c>
      <c r="L2388" s="3">
        <v>705</v>
      </c>
      <c r="M2388" s="3">
        <v>878</v>
      </c>
    </row>
    <row r="2389" spans="1:13" x14ac:dyDescent="0.25">
      <c r="A2389" s="1" t="str">
        <f>HYPERLINK("http://www.rosaceae.org/Prunus/Prunus_persica/p.persica_gdr_reftransV1_0019516","p.persica_gdr_reftransV1_0019516")</f>
        <v>p.persica_gdr_reftransV1_0019516</v>
      </c>
      <c r="B2389" s="3">
        <v>622</v>
      </c>
      <c r="C2389" s="1" t="str">
        <f>HYPERLINK("http://www.uniprot.org/uniprot/KATAM_ORYSJ","KATAM_ORYSJ")</f>
        <v>KATAM_ORYSJ</v>
      </c>
      <c r="D2389" t="s">
        <v>1088</v>
      </c>
      <c r="E2389" s="3" t="s">
        <v>38</v>
      </c>
      <c r="F2389" s="4">
        <v>6.3299999999999998E-23</v>
      </c>
      <c r="G2389" s="3">
        <v>249</v>
      </c>
      <c r="H2389" s="3">
        <v>41</v>
      </c>
      <c r="I2389" s="3">
        <v>114</v>
      </c>
      <c r="J2389" s="3">
        <v>279</v>
      </c>
      <c r="K2389" s="3">
        <v>620</v>
      </c>
      <c r="L2389" s="3">
        <v>102</v>
      </c>
      <c r="M2389" s="3">
        <v>210</v>
      </c>
    </row>
    <row r="2390" spans="1:13" x14ac:dyDescent="0.25">
      <c r="A2390" s="1" t="str">
        <f>HYPERLINK("http://www.rosaceae.org/Prunus/Prunus_persica/p.persica_gdr_reftransV1_0019866","p.persica_gdr_reftransV1_0019866")</f>
        <v>p.persica_gdr_reftransV1_0019866</v>
      </c>
      <c r="B2390" s="3">
        <v>2500</v>
      </c>
      <c r="C2390" s="1" t="str">
        <f>HYPERLINK("http://www.uniprot.org/uniprot/QRT3_ARATH","QRT3_ARATH")</f>
        <v>QRT3_ARATH</v>
      </c>
      <c r="D2390" t="s">
        <v>2285</v>
      </c>
      <c r="E2390" s="3" t="s">
        <v>3</v>
      </c>
      <c r="F2390" s="4">
        <v>0</v>
      </c>
      <c r="G2390" s="3">
        <v>1529</v>
      </c>
      <c r="H2390" s="3">
        <v>66</v>
      </c>
      <c r="I2390" s="3">
        <v>469</v>
      </c>
      <c r="J2390" s="3">
        <v>297</v>
      </c>
      <c r="K2390" s="3">
        <v>1697</v>
      </c>
      <c r="L2390" s="3">
        <v>41</v>
      </c>
      <c r="M2390" s="3">
        <v>481</v>
      </c>
    </row>
    <row r="2391" spans="1:13" x14ac:dyDescent="0.25">
      <c r="A2391" s="1" t="str">
        <f>HYPERLINK("http://www.rosaceae.org/Prunus/Prunus_persica/p.persica_gdr_reftransV1_0020066","p.persica_gdr_reftransV1_0020066")</f>
        <v>p.persica_gdr_reftransV1_0020066</v>
      </c>
      <c r="B2391" s="3">
        <v>1625</v>
      </c>
      <c r="C2391" s="1" t="str">
        <f>HYPERLINK("http://www.uniprot.org/uniprot/CXE13_ARATH","CXE13_ARATH")</f>
        <v>CXE13_ARATH</v>
      </c>
      <c r="D2391" t="s">
        <v>2286</v>
      </c>
      <c r="E2391" s="3" t="s">
        <v>3</v>
      </c>
      <c r="F2391" s="4">
        <v>2.5E-93</v>
      </c>
      <c r="G2391" s="3">
        <v>754</v>
      </c>
      <c r="H2391" s="3">
        <v>49</v>
      </c>
      <c r="I2391" s="3">
        <v>326</v>
      </c>
      <c r="J2391" s="3">
        <v>351</v>
      </c>
      <c r="K2391" s="3">
        <v>1289</v>
      </c>
      <c r="L2391" s="3">
        <v>3</v>
      </c>
      <c r="M2391" s="3">
        <v>328</v>
      </c>
    </row>
    <row r="2392" spans="1:13" x14ac:dyDescent="0.25">
      <c r="A2392" s="1" t="str">
        <f>HYPERLINK("http://www.rosaceae.org/Prunus/Prunus_persica/p.persica_gdr_reftransV1_0020216","p.persica_gdr_reftransV1_0020216")</f>
        <v>p.persica_gdr_reftransV1_0020216</v>
      </c>
      <c r="B2392" s="3">
        <v>3004</v>
      </c>
      <c r="C2392" s="1" t="str">
        <f>HYPERLINK("http://www.uniprot.org/uniprot/CAMK1_ARATH","CAMK1_ARATH")</f>
        <v>CAMK1_ARATH</v>
      </c>
      <c r="D2392" t="s">
        <v>2287</v>
      </c>
      <c r="E2392" s="3" t="s">
        <v>3</v>
      </c>
      <c r="F2392" s="4">
        <v>0</v>
      </c>
      <c r="G2392" s="3">
        <v>2421</v>
      </c>
      <c r="H2392" s="3">
        <v>85</v>
      </c>
      <c r="I2392" s="3">
        <v>514</v>
      </c>
      <c r="J2392" s="3">
        <v>495</v>
      </c>
      <c r="K2392" s="3">
        <v>2033</v>
      </c>
      <c r="L2392" s="3">
        <v>63</v>
      </c>
      <c r="M2392" s="3">
        <v>576</v>
      </c>
    </row>
    <row r="2393" spans="1:13" x14ac:dyDescent="0.25">
      <c r="A2393" s="1" t="str">
        <f>HYPERLINK("http://www.rosaceae.org/Prunus/Prunus_persica/p.persica_gdr_reftransV1_0020316","p.persica_gdr_reftransV1_0020316")</f>
        <v>p.persica_gdr_reftransV1_0020316</v>
      </c>
      <c r="B2393" s="3">
        <v>1332</v>
      </c>
      <c r="C2393" s="1" t="str">
        <f>HYPERLINK("http://www.uniprot.org/uniprot/RAE1A_ARATH","RAE1A_ARATH")</f>
        <v>RAE1A_ARATH</v>
      </c>
      <c r="D2393" t="s">
        <v>2288</v>
      </c>
      <c r="E2393" s="3" t="s">
        <v>3</v>
      </c>
      <c r="F2393" s="4">
        <v>3.99E-82</v>
      </c>
      <c r="G2393" s="3">
        <v>526</v>
      </c>
      <c r="H2393" s="3">
        <v>98</v>
      </c>
      <c r="I2393" s="3">
        <v>124</v>
      </c>
      <c r="J2393" s="3">
        <v>703</v>
      </c>
      <c r="K2393" s="3">
        <v>1074</v>
      </c>
      <c r="L2393" s="3">
        <v>15</v>
      </c>
      <c r="M2393" s="3">
        <v>138</v>
      </c>
    </row>
    <row r="2394" spans="1:13" x14ac:dyDescent="0.25">
      <c r="A2394" s="1" t="str">
        <f>HYPERLINK("http://www.rosaceae.org/Prunus/Prunus_persica/p.persica_gdr_reftransV1_0020516","p.persica_gdr_reftransV1_0020516")</f>
        <v>p.persica_gdr_reftransV1_0020516</v>
      </c>
      <c r="B2394" s="3">
        <v>1516</v>
      </c>
      <c r="C2394" s="1" t="str">
        <f>HYPERLINK("http://www.uniprot.org/uniprot/RFC2_ORYSJ","RFC2_ORYSJ")</f>
        <v>RFC2_ORYSJ</v>
      </c>
      <c r="D2394" t="s">
        <v>2289</v>
      </c>
      <c r="E2394" s="3" t="s">
        <v>38</v>
      </c>
      <c r="F2394" s="4">
        <v>0</v>
      </c>
      <c r="G2394" s="3">
        <v>1507</v>
      </c>
      <c r="H2394" s="3">
        <v>82</v>
      </c>
      <c r="I2394" s="3">
        <v>336</v>
      </c>
      <c r="J2394" s="3">
        <v>85</v>
      </c>
      <c r="K2394" s="3">
        <v>1092</v>
      </c>
      <c r="L2394" s="3">
        <v>1</v>
      </c>
      <c r="M2394" s="3">
        <v>335</v>
      </c>
    </row>
    <row r="2395" spans="1:13" x14ac:dyDescent="0.25">
      <c r="A2395" s="1" t="str">
        <f>HYPERLINK("http://www.rosaceae.org/Prunus/Prunus_persica/p.persica_gdr_reftransV1_0020566","p.persica_gdr_reftransV1_0020566")</f>
        <v>p.persica_gdr_reftransV1_0020566</v>
      </c>
      <c r="B2395" s="3">
        <v>1630</v>
      </c>
      <c r="C2395" s="1" t="str">
        <f>HYPERLINK("http://www.uniprot.org/uniprot/NRX3_ARATH","NRX3_ARATH")</f>
        <v>NRX3_ARATH</v>
      </c>
      <c r="D2395" t="s">
        <v>2290</v>
      </c>
      <c r="E2395" s="3" t="s">
        <v>3</v>
      </c>
      <c r="F2395" s="4">
        <v>1.89E-176</v>
      </c>
      <c r="G2395" s="3">
        <v>1314</v>
      </c>
      <c r="H2395" s="3">
        <v>65</v>
      </c>
      <c r="I2395" s="3">
        <v>353</v>
      </c>
      <c r="J2395" s="3">
        <v>161</v>
      </c>
      <c r="K2395" s="3">
        <v>1219</v>
      </c>
      <c r="L2395" s="3">
        <v>34</v>
      </c>
      <c r="M2395" s="3">
        <v>386</v>
      </c>
    </row>
    <row r="2396" spans="1:13" x14ac:dyDescent="0.25">
      <c r="A2396" s="1" t="str">
        <f>HYPERLINK("http://www.rosaceae.org/Prunus/Prunus_persica/p.persica_gdr_reftransV1_0020616","p.persica_gdr_reftransV1_0020616")</f>
        <v>p.persica_gdr_reftransV1_0020616</v>
      </c>
      <c r="B2396" s="3">
        <v>1618</v>
      </c>
      <c r="C2396" s="1" t="str">
        <f>HYPERLINK("http://www.uniprot.org/uniprot/TM56B_XENLA","TM56B_XENLA")</f>
        <v>TM56B_XENLA</v>
      </c>
      <c r="D2396" t="s">
        <v>2291</v>
      </c>
      <c r="E2396" s="3" t="s">
        <v>475</v>
      </c>
      <c r="F2396" s="4">
        <v>5.2499999999999997E-14</v>
      </c>
      <c r="G2396" s="3">
        <v>185</v>
      </c>
      <c r="H2396" s="3">
        <v>31</v>
      </c>
      <c r="I2396" s="3">
        <v>157</v>
      </c>
      <c r="J2396" s="3">
        <v>473</v>
      </c>
      <c r="K2396" s="3">
        <v>931</v>
      </c>
      <c r="L2396" s="3">
        <v>41</v>
      </c>
      <c r="M2396" s="3">
        <v>189</v>
      </c>
    </row>
    <row r="2397" spans="1:13" x14ac:dyDescent="0.25">
      <c r="A2397" s="1" t="str">
        <f>HYPERLINK("http://www.rosaceae.org/Prunus/Prunus_persica/p.persica_gdr_reftransV1_0020716","p.persica_gdr_reftransV1_0020716")</f>
        <v>p.persica_gdr_reftransV1_0020716</v>
      </c>
      <c r="B2397" s="3">
        <v>883</v>
      </c>
      <c r="C2397" s="1" t="str">
        <f>HYPERLINK("http://www.uniprot.org/uniprot/SUFE1_ARATH","SUFE1_ARATH")</f>
        <v>SUFE1_ARATH</v>
      </c>
      <c r="D2397" t="s">
        <v>2292</v>
      </c>
      <c r="E2397" s="3" t="s">
        <v>3</v>
      </c>
      <c r="F2397" s="4">
        <v>2.1299999999999999E-33</v>
      </c>
      <c r="G2397" s="3">
        <v>327</v>
      </c>
      <c r="H2397" s="3">
        <v>66</v>
      </c>
      <c r="I2397" s="3">
        <v>93</v>
      </c>
      <c r="J2397" s="3">
        <v>108</v>
      </c>
      <c r="K2397" s="3">
        <v>386</v>
      </c>
      <c r="L2397" s="3">
        <v>280</v>
      </c>
      <c r="M2397" s="3">
        <v>371</v>
      </c>
    </row>
    <row r="2398" spans="1:13" x14ac:dyDescent="0.25">
      <c r="A2398" s="1" t="str">
        <f>HYPERLINK("http://www.rosaceae.org/Prunus/Prunus_persica/p.persica_gdr_reftransV1_0020866","p.persica_gdr_reftransV1_0020866")</f>
        <v>p.persica_gdr_reftransV1_0020866</v>
      </c>
      <c r="B2398" s="3">
        <v>2161</v>
      </c>
      <c r="C2398" s="1" t="str">
        <f>HYPERLINK("http://www.uniprot.org/uniprot/Y2424_ARATH","Y2424_ARATH")</f>
        <v>Y2424_ARATH</v>
      </c>
      <c r="D2398" t="s">
        <v>2293</v>
      </c>
      <c r="E2398" s="3" t="s">
        <v>3</v>
      </c>
      <c r="F2398" s="4">
        <v>0</v>
      </c>
      <c r="G2398" s="3">
        <v>1934</v>
      </c>
      <c r="H2398" s="3">
        <v>83</v>
      </c>
      <c r="I2398" s="3">
        <v>441</v>
      </c>
      <c r="J2398" s="3">
        <v>317</v>
      </c>
      <c r="K2398" s="3">
        <v>1639</v>
      </c>
      <c r="L2398" s="3">
        <v>1</v>
      </c>
      <c r="M2398" s="3">
        <v>441</v>
      </c>
    </row>
    <row r="2399" spans="1:13" x14ac:dyDescent="0.25">
      <c r="A2399" s="1" t="str">
        <f>HYPERLINK("http://www.rosaceae.org/Prunus/Prunus_persica/p.persica_gdr_reftransV1_0021166","p.persica_gdr_reftransV1_0021166")</f>
        <v>p.persica_gdr_reftransV1_0021166</v>
      </c>
      <c r="B2399" s="3">
        <v>1627</v>
      </c>
      <c r="C2399" s="1" t="str">
        <f>HYPERLINK("http://www.uniprot.org/uniprot/CHI4_ORYSJ","CHI4_ORYSJ")</f>
        <v>CHI4_ORYSJ</v>
      </c>
      <c r="D2399" t="s">
        <v>2294</v>
      </c>
      <c r="E2399" s="3" t="s">
        <v>38</v>
      </c>
      <c r="F2399" s="4">
        <v>3.7599999999999997E-45</v>
      </c>
      <c r="G2399" s="3">
        <v>419</v>
      </c>
      <c r="H2399" s="3">
        <v>56</v>
      </c>
      <c r="I2399" s="3">
        <v>134</v>
      </c>
      <c r="J2399" s="3">
        <v>840</v>
      </c>
      <c r="K2399" s="3">
        <v>1238</v>
      </c>
      <c r="L2399" s="3">
        <v>152</v>
      </c>
      <c r="M2399" s="3">
        <v>285</v>
      </c>
    </row>
    <row r="2400" spans="1:13" x14ac:dyDescent="0.25">
      <c r="A2400" s="1" t="str">
        <f>HYPERLINK("http://www.rosaceae.org/Prunus/Prunus_persica/p.persica_gdr_reftransV1_0021216","p.persica_gdr_reftransV1_0021216")</f>
        <v>p.persica_gdr_reftransV1_0021216</v>
      </c>
      <c r="B2400" s="3">
        <v>2591</v>
      </c>
      <c r="C2400" s="1" t="str">
        <f>HYPERLINK("http://www.uniprot.org/uniprot/LRKS1_ARATH","LRKS1_ARATH")</f>
        <v>LRKS1_ARATH</v>
      </c>
      <c r="D2400" t="s">
        <v>2295</v>
      </c>
      <c r="E2400" s="3" t="s">
        <v>3</v>
      </c>
      <c r="F2400" s="4">
        <v>0</v>
      </c>
      <c r="G2400" s="3">
        <v>1984</v>
      </c>
      <c r="H2400" s="3">
        <v>69</v>
      </c>
      <c r="I2400" s="3">
        <v>611</v>
      </c>
      <c r="J2400" s="3">
        <v>308</v>
      </c>
      <c r="K2400" s="3">
        <v>2128</v>
      </c>
      <c r="L2400" s="3">
        <v>25</v>
      </c>
      <c r="M2400" s="3">
        <v>632</v>
      </c>
    </row>
    <row r="2401" spans="1:13" x14ac:dyDescent="0.25">
      <c r="A2401" s="1" t="str">
        <f>HYPERLINK("http://www.rosaceae.org/Prunus/Prunus_persica/p.persica_gdr_reftransV1_0021316","p.persica_gdr_reftransV1_0021316")</f>
        <v>p.persica_gdr_reftransV1_0021316</v>
      </c>
      <c r="B2401" s="3">
        <v>2199</v>
      </c>
      <c r="C2401" s="1" t="str">
        <f>HYPERLINK("http://www.uniprot.org/uniprot/CDI_ARATH","CDI_ARATH")</f>
        <v>CDI_ARATH</v>
      </c>
      <c r="D2401" t="s">
        <v>2296</v>
      </c>
      <c r="E2401" s="3" t="s">
        <v>3</v>
      </c>
      <c r="F2401" s="4">
        <v>1.25E-147</v>
      </c>
      <c r="G2401" s="3">
        <v>1127</v>
      </c>
      <c r="H2401" s="3">
        <v>83</v>
      </c>
      <c r="I2401" s="3">
        <v>242</v>
      </c>
      <c r="J2401" s="3">
        <v>1039</v>
      </c>
      <c r="K2401" s="3">
        <v>1761</v>
      </c>
      <c r="L2401" s="3">
        <v>1</v>
      </c>
      <c r="M2401" s="3">
        <v>242</v>
      </c>
    </row>
    <row r="2402" spans="1:13" x14ac:dyDescent="0.25">
      <c r="A2402" s="1" t="str">
        <f>HYPERLINK("http://www.rosaceae.org/Prunus/Prunus_persica/p.persica_gdr_reftransV1_0021416","p.persica_gdr_reftransV1_0021416")</f>
        <v>p.persica_gdr_reftransV1_0021416</v>
      </c>
      <c r="B2402" s="3">
        <v>5401</v>
      </c>
      <c r="C2402" s="1" t="str">
        <f>HYPERLINK("http://www.uniprot.org/uniprot/VP13C_DICDI","VP13C_DICDI")</f>
        <v>VP13C_DICDI</v>
      </c>
      <c r="D2402" t="s">
        <v>2297</v>
      </c>
      <c r="E2402" s="3" t="s">
        <v>9</v>
      </c>
      <c r="F2402" s="4">
        <v>1.9999999999999999E-7</v>
      </c>
      <c r="G2402" s="3">
        <v>145</v>
      </c>
      <c r="H2402" s="3">
        <v>23</v>
      </c>
      <c r="I2402" s="3">
        <v>320</v>
      </c>
      <c r="J2402" s="3">
        <v>770</v>
      </c>
      <c r="K2402" s="3">
        <v>1510</v>
      </c>
      <c r="L2402" s="3">
        <v>3361</v>
      </c>
      <c r="M2402" s="3">
        <v>3672</v>
      </c>
    </row>
    <row r="2403" spans="1:13" x14ac:dyDescent="0.25">
      <c r="A2403" s="1" t="str">
        <f>HYPERLINK("http://www.rosaceae.org/Prunus/Prunus_persica/p.persica_gdr_reftransV1_0021616","p.persica_gdr_reftransV1_0021616")</f>
        <v>p.persica_gdr_reftransV1_0021616</v>
      </c>
      <c r="B2403" s="3">
        <v>3631</v>
      </c>
      <c r="C2403" s="1" t="str">
        <f>HYPERLINK("http://www.uniprot.org/uniprot/SIGA_ARATH","SIGA_ARATH")</f>
        <v>SIGA_ARATH</v>
      </c>
      <c r="D2403" t="s">
        <v>2298</v>
      </c>
      <c r="E2403" s="3" t="s">
        <v>3</v>
      </c>
      <c r="F2403" s="4">
        <v>8.3200000000000001E-134</v>
      </c>
      <c r="G2403" s="3">
        <v>1091</v>
      </c>
      <c r="H2403" s="3">
        <v>89</v>
      </c>
      <c r="I2403" s="3">
        <v>245</v>
      </c>
      <c r="J2403" s="3">
        <v>800</v>
      </c>
      <c r="K2403" s="3">
        <v>1534</v>
      </c>
      <c r="L2403" s="3">
        <v>223</v>
      </c>
      <c r="M2403" s="3">
        <v>467</v>
      </c>
    </row>
    <row r="2404" spans="1:13" x14ac:dyDescent="0.25">
      <c r="A2404" s="1" t="str">
        <f>HYPERLINK("http://www.rosaceae.org/Prunus/Prunus_persica/p.persica_gdr_reftransV1_0021666","p.persica_gdr_reftransV1_0021666")</f>
        <v>p.persica_gdr_reftransV1_0021666</v>
      </c>
      <c r="B2404" s="3">
        <v>1500</v>
      </c>
      <c r="C2404" s="1" t="str">
        <f>HYPERLINK("http://www.uniprot.org/uniprot/PLP2_ARATH","PLP2_ARATH")</f>
        <v>PLP2_ARATH</v>
      </c>
      <c r="D2404" t="s">
        <v>2299</v>
      </c>
      <c r="E2404" s="3" t="s">
        <v>3</v>
      </c>
      <c r="F2404" s="4">
        <v>6.9499999999999999E-153</v>
      </c>
      <c r="G2404" s="3">
        <v>904</v>
      </c>
      <c r="H2404" s="3">
        <v>67</v>
      </c>
      <c r="I2404" s="3">
        <v>263</v>
      </c>
      <c r="J2404" s="3">
        <v>252</v>
      </c>
      <c r="K2404" s="3">
        <v>1040</v>
      </c>
      <c r="L2404" s="3">
        <v>142</v>
      </c>
      <c r="M2404" s="3">
        <v>404</v>
      </c>
    </row>
    <row r="2405" spans="1:13" x14ac:dyDescent="0.25">
      <c r="A2405" s="1" t="str">
        <f>HYPERLINK("http://www.rosaceae.org/Prunus/Prunus_persica/p.persica_gdr_reftransV1_0021766","p.persica_gdr_reftransV1_0021766")</f>
        <v>p.persica_gdr_reftransV1_0021766</v>
      </c>
      <c r="B2405" s="3">
        <v>1490</v>
      </c>
      <c r="C2405" s="1" t="str">
        <f>HYPERLINK("http://www.uniprot.org/uniprot/LVR_LEIAQ","LVR_LEIAQ")</f>
        <v>LVR_LEIAQ</v>
      </c>
      <c r="D2405" t="s">
        <v>2300</v>
      </c>
      <c r="E2405" s="3" t="s">
        <v>2301</v>
      </c>
      <c r="F2405" s="4">
        <v>2.2099999999999999E-13</v>
      </c>
      <c r="G2405" s="3">
        <v>180</v>
      </c>
      <c r="H2405" s="3">
        <v>28</v>
      </c>
      <c r="I2405" s="3">
        <v>260</v>
      </c>
      <c r="J2405" s="3">
        <v>376</v>
      </c>
      <c r="K2405" s="3">
        <v>1122</v>
      </c>
      <c r="L2405" s="3">
        <v>16</v>
      </c>
      <c r="M2405" s="3">
        <v>264</v>
      </c>
    </row>
    <row r="2406" spans="1:13" x14ac:dyDescent="0.25">
      <c r="A2406" s="1" t="str">
        <f>HYPERLINK("http://www.rosaceae.org/Prunus/Prunus_persica/p.persica_gdr_reftransV1_0021816","p.persica_gdr_reftransV1_0021816")</f>
        <v>p.persica_gdr_reftransV1_0021816</v>
      </c>
      <c r="B2406" s="3">
        <v>2537</v>
      </c>
      <c r="C2406" s="1" t="str">
        <f>HYPERLINK("http://www.uniprot.org/uniprot/N4BP2_HUMAN","N4BP2_HUMAN")</f>
        <v>N4BP2_HUMAN</v>
      </c>
      <c r="D2406" t="s">
        <v>2302</v>
      </c>
      <c r="E2406" s="3" t="s">
        <v>28</v>
      </c>
      <c r="F2406" s="4">
        <v>1.0399999999999999E-9</v>
      </c>
      <c r="G2406" s="3">
        <v>161</v>
      </c>
      <c r="H2406" s="3">
        <v>29</v>
      </c>
      <c r="I2406" s="3">
        <v>156</v>
      </c>
      <c r="J2406" s="3">
        <v>435</v>
      </c>
      <c r="K2406" s="3">
        <v>875</v>
      </c>
      <c r="L2406" s="3">
        <v>1618</v>
      </c>
      <c r="M2406" s="3">
        <v>1769</v>
      </c>
    </row>
    <row r="2407" spans="1:13" x14ac:dyDescent="0.25">
      <c r="A2407" s="1" t="str">
        <f>HYPERLINK("http://www.rosaceae.org/Prunus/Prunus_persica/p.persica_gdr_reftransV1_0022016","p.persica_gdr_reftransV1_0022016")</f>
        <v>p.persica_gdr_reftransV1_0022016</v>
      </c>
      <c r="B2407" s="3">
        <v>1235</v>
      </c>
      <c r="C2407" s="1" t="str">
        <f>HYPERLINK("http://www.uniprot.org/uniprot/PP184_ARATH","PP184_ARATH")</f>
        <v>PP184_ARATH</v>
      </c>
      <c r="D2407" t="s">
        <v>2303</v>
      </c>
      <c r="E2407" s="3" t="s">
        <v>3</v>
      </c>
      <c r="F2407" s="4">
        <v>5.4600000000000003E-66</v>
      </c>
      <c r="G2407" s="3">
        <v>579</v>
      </c>
      <c r="H2407" s="3">
        <v>56</v>
      </c>
      <c r="I2407" s="3">
        <v>194</v>
      </c>
      <c r="J2407" s="3">
        <v>3</v>
      </c>
      <c r="K2407" s="3">
        <v>581</v>
      </c>
      <c r="L2407" s="3">
        <v>404</v>
      </c>
      <c r="M2407" s="3">
        <v>592</v>
      </c>
    </row>
    <row r="2408" spans="1:13" x14ac:dyDescent="0.25">
      <c r="A2408" s="1" t="str">
        <f>HYPERLINK("http://www.rosaceae.org/Prunus/Prunus_persica/p.persica_gdr_reftransV1_0022116","p.persica_gdr_reftransV1_0022116")</f>
        <v>p.persica_gdr_reftransV1_0022116</v>
      </c>
      <c r="B2408" s="3">
        <v>556</v>
      </c>
      <c r="C2408" s="1" t="str">
        <f>HYPERLINK("http://www.uniprot.org/uniprot/PTL_ARATH","PTL_ARATH")</f>
        <v>PTL_ARATH</v>
      </c>
      <c r="D2408" t="s">
        <v>2304</v>
      </c>
      <c r="E2408" s="3" t="s">
        <v>3</v>
      </c>
      <c r="F2408" s="4">
        <v>5.9699999999999996E-7</v>
      </c>
      <c r="G2408" s="3">
        <v>123</v>
      </c>
      <c r="H2408" s="3">
        <v>41</v>
      </c>
      <c r="I2408" s="3">
        <v>102</v>
      </c>
      <c r="J2408" s="3">
        <v>110</v>
      </c>
      <c r="K2408" s="3">
        <v>376</v>
      </c>
      <c r="L2408" s="3">
        <v>492</v>
      </c>
      <c r="M2408" s="3">
        <v>587</v>
      </c>
    </row>
    <row r="2409" spans="1:13" x14ac:dyDescent="0.25">
      <c r="A2409" s="1" t="str">
        <f>HYPERLINK("http://www.rosaceae.org/Prunus/Prunus_persica/p.persica_gdr_reftransV1_0022166","p.persica_gdr_reftransV1_0022166")</f>
        <v>p.persica_gdr_reftransV1_0022166</v>
      </c>
      <c r="B2409" s="3">
        <v>2123</v>
      </c>
      <c r="C2409" s="1" t="str">
        <f>HYPERLINK("http://www.uniprot.org/uniprot/AMT11_ARATH","AMT11_ARATH")</f>
        <v>AMT11_ARATH</v>
      </c>
      <c r="D2409" t="s">
        <v>2305</v>
      </c>
      <c r="E2409" s="3" t="s">
        <v>3</v>
      </c>
      <c r="F2409" s="4">
        <v>0</v>
      </c>
      <c r="G2409" s="3">
        <v>1779</v>
      </c>
      <c r="H2409" s="3">
        <v>81</v>
      </c>
      <c r="I2409" s="3">
        <v>505</v>
      </c>
      <c r="J2409" s="3">
        <v>292</v>
      </c>
      <c r="K2409" s="3">
        <v>1785</v>
      </c>
      <c r="L2409" s="3">
        <v>1</v>
      </c>
      <c r="M2409" s="3">
        <v>501</v>
      </c>
    </row>
    <row r="2410" spans="1:13" x14ac:dyDescent="0.25">
      <c r="A2410" s="1" t="str">
        <f>HYPERLINK("http://www.rosaceae.org/Prunus/Prunus_persica/p.persica_gdr_reftransV1_0022316","p.persica_gdr_reftransV1_0022316")</f>
        <v>p.persica_gdr_reftransV1_0022316</v>
      </c>
      <c r="B2410" s="3">
        <v>1747</v>
      </c>
      <c r="C2410" s="1" t="str">
        <f>HYPERLINK("http://www.uniprot.org/uniprot/AGD8_ARATH","AGD8_ARATH")</f>
        <v>AGD8_ARATH</v>
      </c>
      <c r="D2410" t="s">
        <v>2306</v>
      </c>
      <c r="E2410" s="3" t="s">
        <v>3</v>
      </c>
      <c r="F2410" s="4">
        <v>9.4199999999999993E-162</v>
      </c>
      <c r="G2410" s="3">
        <v>1222</v>
      </c>
      <c r="H2410" s="3">
        <v>67</v>
      </c>
      <c r="I2410" s="3">
        <v>408</v>
      </c>
      <c r="J2410" s="3">
        <v>201</v>
      </c>
      <c r="K2410" s="3">
        <v>1403</v>
      </c>
      <c r="L2410" s="3">
        <v>9</v>
      </c>
      <c r="M2410" s="3">
        <v>413</v>
      </c>
    </row>
    <row r="2411" spans="1:13" x14ac:dyDescent="0.25">
      <c r="A2411" s="1" t="str">
        <f>HYPERLINK("http://www.rosaceae.org/Prunus/Prunus_persica/p.persica_gdr_reftransV1_0022416","p.persica_gdr_reftransV1_0022416")</f>
        <v>p.persica_gdr_reftransV1_0022416</v>
      </c>
      <c r="B2411" s="3">
        <v>978</v>
      </c>
      <c r="C2411" s="1" t="str">
        <f>HYPERLINK("http://www.uniprot.org/uniprot/RBK2_ARATH","RBK2_ARATH")</f>
        <v>RBK2_ARATH</v>
      </c>
      <c r="D2411" t="s">
        <v>1395</v>
      </c>
      <c r="E2411" s="3" t="s">
        <v>3</v>
      </c>
      <c r="F2411" s="4">
        <v>6.4400000000000006E-104</v>
      </c>
      <c r="G2411" s="3">
        <v>817</v>
      </c>
      <c r="H2411" s="3">
        <v>57</v>
      </c>
      <c r="I2411" s="3">
        <v>267</v>
      </c>
      <c r="J2411" s="3">
        <v>43</v>
      </c>
      <c r="K2411" s="3">
        <v>840</v>
      </c>
      <c r="L2411" s="3">
        <v>69</v>
      </c>
      <c r="M2411" s="3">
        <v>325</v>
      </c>
    </row>
    <row r="2412" spans="1:13" x14ac:dyDescent="0.25">
      <c r="A2412" s="1" t="str">
        <f>HYPERLINK("http://www.rosaceae.org/Prunus/Prunus_persica/p.persica_gdr_reftransV1_0022516","p.persica_gdr_reftransV1_0022516")</f>
        <v>p.persica_gdr_reftransV1_0022516</v>
      </c>
      <c r="B2412" s="3">
        <v>2162</v>
      </c>
      <c r="C2412" s="1" t="str">
        <f>HYPERLINK("http://www.uniprot.org/uniprot/CCT14_ORYSJ","CCT14_ORYSJ")</f>
        <v>CCT14_ORYSJ</v>
      </c>
      <c r="D2412" t="s">
        <v>1641</v>
      </c>
      <c r="E2412" s="3" t="s">
        <v>38</v>
      </c>
      <c r="F2412" s="4">
        <v>2.1100000000000001E-64</v>
      </c>
      <c r="G2412" s="3">
        <v>583</v>
      </c>
      <c r="H2412" s="3">
        <v>59</v>
      </c>
      <c r="I2412" s="3">
        <v>179</v>
      </c>
      <c r="J2412" s="3">
        <v>932</v>
      </c>
      <c r="K2412" s="3">
        <v>1465</v>
      </c>
      <c r="L2412" s="3">
        <v>81</v>
      </c>
      <c r="M2412" s="3">
        <v>259</v>
      </c>
    </row>
    <row r="2413" spans="1:13" x14ac:dyDescent="0.25">
      <c r="A2413" s="1" t="str">
        <f>HYPERLINK("http://www.rosaceae.org/Prunus/Prunus_persica/p.persica_gdr_reftransV1_0022766","p.persica_gdr_reftransV1_0022766")</f>
        <v>p.persica_gdr_reftransV1_0022766</v>
      </c>
      <c r="B2413" s="3">
        <v>1642</v>
      </c>
      <c r="C2413" s="1" t="str">
        <f>HYPERLINK("http://www.uniprot.org/uniprot/CIA2_ARATH","CIA2_ARATH")</f>
        <v>CIA2_ARATH</v>
      </c>
      <c r="D2413" t="s">
        <v>2307</v>
      </c>
      <c r="E2413" s="3" t="s">
        <v>3</v>
      </c>
      <c r="F2413" s="4">
        <v>1.16E-17</v>
      </c>
      <c r="G2413" s="3">
        <v>220</v>
      </c>
      <c r="H2413" s="3">
        <v>48</v>
      </c>
      <c r="I2413" s="3">
        <v>120</v>
      </c>
      <c r="J2413" s="3">
        <v>224</v>
      </c>
      <c r="K2413" s="3">
        <v>574</v>
      </c>
      <c r="L2413" s="3">
        <v>332</v>
      </c>
      <c r="M2413" s="3">
        <v>425</v>
      </c>
    </row>
    <row r="2414" spans="1:13" x14ac:dyDescent="0.25">
      <c r="A2414" s="1" t="str">
        <f>HYPERLINK("http://www.rosaceae.org/Prunus/Prunus_persica/p.persica_gdr_reftransV1_0023066","p.persica_gdr_reftransV1_0023066")</f>
        <v>p.persica_gdr_reftransV1_0023066</v>
      </c>
      <c r="B2414" s="3">
        <v>3464</v>
      </c>
      <c r="C2414" s="1" t="str">
        <f>HYPERLINK("http://www.uniprot.org/uniprot/WDR44_BOVIN","WDR44_BOVIN")</f>
        <v>WDR44_BOVIN</v>
      </c>
      <c r="D2414" t="s">
        <v>1269</v>
      </c>
      <c r="E2414" s="3" t="s">
        <v>184</v>
      </c>
      <c r="F2414" s="4">
        <v>1.0900000000000001E-45</v>
      </c>
      <c r="G2414" s="3">
        <v>341</v>
      </c>
      <c r="H2414" s="3">
        <v>34</v>
      </c>
      <c r="I2414" s="3">
        <v>240</v>
      </c>
      <c r="J2414" s="3">
        <v>1809</v>
      </c>
      <c r="K2414" s="3">
        <v>2489</v>
      </c>
      <c r="L2414" s="3">
        <v>480</v>
      </c>
      <c r="M2414" s="3">
        <v>704</v>
      </c>
    </row>
    <row r="2415" spans="1:13" x14ac:dyDescent="0.25">
      <c r="A2415" s="1" t="str">
        <f>HYPERLINK("http://www.rosaceae.org/Prunus/Prunus_persica/p.persica_gdr_reftransV1_0023216","p.persica_gdr_reftransV1_0023216")</f>
        <v>p.persica_gdr_reftransV1_0023216</v>
      </c>
      <c r="B2415" s="3">
        <v>2064</v>
      </c>
      <c r="C2415" s="1" t="str">
        <f>HYPERLINK("http://www.uniprot.org/uniprot/UBXN1_XENTR","UBXN1_XENTR")</f>
        <v>UBXN1_XENTR</v>
      </c>
      <c r="D2415" t="s">
        <v>2308</v>
      </c>
      <c r="E2415" s="3" t="s">
        <v>173</v>
      </c>
      <c r="F2415" s="4">
        <v>1.26E-8</v>
      </c>
      <c r="G2415" s="3">
        <v>145</v>
      </c>
      <c r="H2415" s="3">
        <v>58</v>
      </c>
      <c r="I2415" s="3">
        <v>50</v>
      </c>
      <c r="J2415" s="3">
        <v>469</v>
      </c>
      <c r="K2415" s="3">
        <v>618</v>
      </c>
      <c r="L2415" s="3">
        <v>7</v>
      </c>
      <c r="M2415" s="3">
        <v>55</v>
      </c>
    </row>
    <row r="2416" spans="1:13" x14ac:dyDescent="0.25">
      <c r="A2416" s="1" t="str">
        <f>HYPERLINK("http://www.rosaceae.org/Prunus/Prunus_persica/p.persica_gdr_reftransV1_0023466","p.persica_gdr_reftransV1_0023466")</f>
        <v>p.persica_gdr_reftransV1_0023466</v>
      </c>
      <c r="B2416" s="3">
        <v>3831</v>
      </c>
      <c r="C2416" s="1" t="str">
        <f>HYPERLINK("http://www.uniprot.org/uniprot/CUL1_ARATH","CUL1_ARATH")</f>
        <v>CUL1_ARATH</v>
      </c>
      <c r="D2416" t="s">
        <v>2309</v>
      </c>
      <c r="E2416" s="3" t="s">
        <v>3</v>
      </c>
      <c r="F2416" s="4">
        <v>0</v>
      </c>
      <c r="G2416" s="3">
        <v>1974</v>
      </c>
      <c r="H2416" s="3">
        <v>87</v>
      </c>
      <c r="I2416" s="3">
        <v>413</v>
      </c>
      <c r="J2416" s="3">
        <v>1998</v>
      </c>
      <c r="K2416" s="3">
        <v>3236</v>
      </c>
      <c r="L2416" s="3">
        <v>326</v>
      </c>
      <c r="M2416" s="3">
        <v>738</v>
      </c>
    </row>
    <row r="2417" spans="1:13" x14ac:dyDescent="0.25">
      <c r="A2417" s="1" t="str">
        <f>HYPERLINK("http://www.rosaceae.org/Prunus/Prunus_persica/p.persica_gdr_reftransV1_0023966","p.persica_gdr_reftransV1_0023966")</f>
        <v>p.persica_gdr_reftransV1_0023966</v>
      </c>
      <c r="B2417" s="3">
        <v>2629</v>
      </c>
      <c r="C2417" s="1" t="str">
        <f>HYPERLINK("http://www.uniprot.org/uniprot/PMS1_ARATH","PMS1_ARATH")</f>
        <v>PMS1_ARATH</v>
      </c>
      <c r="D2417" t="s">
        <v>1789</v>
      </c>
      <c r="E2417" s="3" t="s">
        <v>3</v>
      </c>
      <c r="F2417" s="4">
        <v>0</v>
      </c>
      <c r="G2417" s="3">
        <v>1717</v>
      </c>
      <c r="H2417" s="3">
        <v>53</v>
      </c>
      <c r="I2417" s="3">
        <v>796</v>
      </c>
      <c r="J2417" s="3">
        <v>296</v>
      </c>
      <c r="K2417" s="3">
        <v>2629</v>
      </c>
      <c r="L2417" s="3">
        <v>17</v>
      </c>
      <c r="M2417" s="3">
        <v>714</v>
      </c>
    </row>
    <row r="2418" spans="1:13" x14ac:dyDescent="0.25">
      <c r="A2418" s="1" t="str">
        <f>HYPERLINK("http://www.rosaceae.org/Prunus/Prunus_persica/p.persica_gdr_reftransV1_0024166","p.persica_gdr_reftransV1_0024166")</f>
        <v>p.persica_gdr_reftransV1_0024166</v>
      </c>
      <c r="B2418" s="3">
        <v>2604</v>
      </c>
      <c r="C2418" s="1" t="str">
        <f>HYPERLINK("http://www.uniprot.org/uniprot/FDL1_ARATH","FDL1_ARATH")</f>
        <v>FDL1_ARATH</v>
      </c>
      <c r="D2418" t="s">
        <v>275</v>
      </c>
      <c r="E2418" s="3" t="s">
        <v>3</v>
      </c>
      <c r="F2418" s="4">
        <v>4.5099999999999998E-139</v>
      </c>
      <c r="G2418" s="3">
        <v>988</v>
      </c>
      <c r="H2418" s="3">
        <v>73</v>
      </c>
      <c r="I2418" s="3">
        <v>270</v>
      </c>
      <c r="J2418" s="3">
        <v>907</v>
      </c>
      <c r="K2418" s="3">
        <v>1716</v>
      </c>
      <c r="L2418" s="3">
        <v>6</v>
      </c>
      <c r="M2418" s="3">
        <v>273</v>
      </c>
    </row>
    <row r="2419" spans="1:13" x14ac:dyDescent="0.25">
      <c r="A2419" s="1" t="str">
        <f>HYPERLINK("http://www.rosaceae.org/Prunus/Prunus_persica/p.persica_gdr_reftransV1_0024216","p.persica_gdr_reftransV1_0024216")</f>
        <v>p.persica_gdr_reftransV1_0024216</v>
      </c>
      <c r="B2419" s="3">
        <v>841</v>
      </c>
      <c r="C2419" s="1" t="str">
        <f>HYPERLINK("http://www.uniprot.org/uniprot/PAE12_ARATH","PAE12_ARATH")</f>
        <v>PAE12_ARATH</v>
      </c>
      <c r="D2419" t="s">
        <v>2310</v>
      </c>
      <c r="E2419" s="3" t="s">
        <v>3</v>
      </c>
      <c r="F2419" s="4">
        <v>1.24E-67</v>
      </c>
      <c r="G2419" s="3">
        <v>565</v>
      </c>
      <c r="H2419" s="3">
        <v>65</v>
      </c>
      <c r="I2419" s="3">
        <v>156</v>
      </c>
      <c r="J2419" s="3">
        <v>3</v>
      </c>
      <c r="K2419" s="3">
        <v>467</v>
      </c>
      <c r="L2419" s="3">
        <v>226</v>
      </c>
      <c r="M2419" s="3">
        <v>381</v>
      </c>
    </row>
    <row r="2420" spans="1:13" x14ac:dyDescent="0.25">
      <c r="A2420" s="1" t="str">
        <f>HYPERLINK("http://www.rosaceae.org/Prunus/Prunus_persica/p.persica_gdr_reftransV1_0024716","p.persica_gdr_reftransV1_0024716")</f>
        <v>p.persica_gdr_reftransV1_0024716</v>
      </c>
      <c r="B2420" s="3">
        <v>1863</v>
      </c>
      <c r="C2420" s="1" t="str">
        <f>HYPERLINK("http://www.uniprot.org/uniprot/SCP48_ARATH","SCP48_ARATH")</f>
        <v>SCP48_ARATH</v>
      </c>
      <c r="D2420" t="s">
        <v>2311</v>
      </c>
      <c r="E2420" s="3" t="s">
        <v>3</v>
      </c>
      <c r="F2420" s="4">
        <v>0</v>
      </c>
      <c r="G2420" s="3">
        <v>1833</v>
      </c>
      <c r="H2420" s="3">
        <v>69</v>
      </c>
      <c r="I2420" s="3">
        <v>475</v>
      </c>
      <c r="J2420" s="3">
        <v>360</v>
      </c>
      <c r="K2420" s="3">
        <v>1757</v>
      </c>
      <c r="L2420" s="3">
        <v>32</v>
      </c>
      <c r="M2420" s="3">
        <v>501</v>
      </c>
    </row>
    <row r="2421" spans="1:13" x14ac:dyDescent="0.25">
      <c r="A2421" s="1" t="str">
        <f>HYPERLINK("http://www.rosaceae.org/Prunus/Prunus_persica/p.persica_gdr_reftransV1_0024866","p.persica_gdr_reftransV1_0024866")</f>
        <v>p.persica_gdr_reftransV1_0024866</v>
      </c>
      <c r="B2421" s="3">
        <v>2202</v>
      </c>
      <c r="C2421" s="1" t="str">
        <f>HYPERLINK("http://www.uniprot.org/uniprot/idI2_CAMAC","idI2_CAMAC")</f>
        <v>idI2_CAMAC</v>
      </c>
      <c r="D2421" t="s">
        <v>2312</v>
      </c>
      <c r="E2421" s="3" t="s">
        <v>2313</v>
      </c>
      <c r="F2421" s="4">
        <v>7.2300000000000002E-139</v>
      </c>
      <c r="G2421" s="3">
        <v>1073</v>
      </c>
      <c r="H2421" s="3">
        <v>91</v>
      </c>
      <c r="I2421" s="3">
        <v>213</v>
      </c>
      <c r="J2421" s="3">
        <v>1324</v>
      </c>
      <c r="K2421" s="3">
        <v>1962</v>
      </c>
      <c r="L2421" s="3">
        <v>97</v>
      </c>
      <c r="M2421" s="3">
        <v>309</v>
      </c>
    </row>
    <row r="2422" spans="1:13" x14ac:dyDescent="0.25">
      <c r="A2422" s="1" t="str">
        <f>HYPERLINK("http://www.rosaceae.org/Prunus/Prunus_persica/p.persica_gdr_reftransV1_0025316","p.persica_gdr_reftransV1_0025316")</f>
        <v>p.persica_gdr_reftransV1_0025316</v>
      </c>
      <c r="B2422" s="3">
        <v>1839</v>
      </c>
      <c r="C2422" s="1" t="str">
        <f>HYPERLINK("http://www.uniprot.org/uniprot/CSTR1_ARATH","CSTR1_ARATH")</f>
        <v>CSTR1_ARATH</v>
      </c>
      <c r="D2422" t="s">
        <v>2314</v>
      </c>
      <c r="E2422" s="3" t="s">
        <v>3</v>
      </c>
      <c r="F2422" s="4">
        <v>0</v>
      </c>
      <c r="G2422" s="3">
        <v>1417</v>
      </c>
      <c r="H2422" s="3">
        <v>80</v>
      </c>
      <c r="I2422" s="3">
        <v>332</v>
      </c>
      <c r="J2422" s="3">
        <v>265</v>
      </c>
      <c r="K2422" s="3">
        <v>1254</v>
      </c>
      <c r="L2422" s="3">
        <v>6</v>
      </c>
      <c r="M2422" s="3">
        <v>337</v>
      </c>
    </row>
    <row r="2423" spans="1:13" x14ac:dyDescent="0.25">
      <c r="A2423" s="1" t="str">
        <f>HYPERLINK("http://www.rosaceae.org/Prunus/Prunus_persica/p.persica_gdr_reftransV1_0025466","p.persica_gdr_reftransV1_0025466")</f>
        <v>p.persica_gdr_reftransV1_0025466</v>
      </c>
      <c r="B2423" s="3">
        <v>3189</v>
      </c>
      <c r="C2423" s="1" t="str">
        <f>HYPERLINK("http://www.uniprot.org/uniprot/ZDH22_ARATH","ZDH22_ARATH")</f>
        <v>ZDH22_ARATH</v>
      </c>
      <c r="D2423" t="s">
        <v>2315</v>
      </c>
      <c r="E2423" s="3" t="s">
        <v>3</v>
      </c>
      <c r="F2423" s="4">
        <v>1.8099999999999999E-139</v>
      </c>
      <c r="G2423" s="3">
        <v>921</v>
      </c>
      <c r="H2423" s="3">
        <v>76</v>
      </c>
      <c r="I2423" s="3">
        <v>237</v>
      </c>
      <c r="J2423" s="3">
        <v>1276</v>
      </c>
      <c r="K2423" s="3">
        <v>1986</v>
      </c>
      <c r="L2423" s="3">
        <v>252</v>
      </c>
      <c r="M2423" s="3">
        <v>488</v>
      </c>
    </row>
    <row r="2424" spans="1:13" x14ac:dyDescent="0.25">
      <c r="A2424" s="1" t="str">
        <f>HYPERLINK("http://www.rosaceae.org/Prunus/Prunus_persica/p.persica_gdr_reftransV1_0025966","p.persica_gdr_reftransV1_0025966")</f>
        <v>p.persica_gdr_reftransV1_0025966</v>
      </c>
      <c r="B2424" s="3">
        <v>1638</v>
      </c>
      <c r="C2424" s="1" t="str">
        <f>HYPERLINK("http://www.uniprot.org/uniprot/PGL1A_ARATH","PGL1A_ARATH")</f>
        <v>PGL1A_ARATH</v>
      </c>
      <c r="D2424" t="s">
        <v>2316</v>
      </c>
      <c r="E2424" s="3" t="s">
        <v>3</v>
      </c>
      <c r="F2424" s="4">
        <v>7.5199999999999998E-141</v>
      </c>
      <c r="G2424" s="3">
        <v>1071</v>
      </c>
      <c r="H2424" s="3">
        <v>71</v>
      </c>
      <c r="I2424" s="3">
        <v>326</v>
      </c>
      <c r="J2424" s="3">
        <v>403</v>
      </c>
      <c r="K2424" s="3">
        <v>1365</v>
      </c>
      <c r="L2424" s="3">
        <v>1</v>
      </c>
      <c r="M2424" s="3">
        <v>324</v>
      </c>
    </row>
    <row r="2425" spans="1:13" x14ac:dyDescent="0.25">
      <c r="A2425" s="1" t="str">
        <f>HYPERLINK("http://www.rosaceae.org/Prunus/Prunus_persica/p.persica_gdr_reftransV1_0026366","p.persica_gdr_reftransV1_0026366")</f>
        <v>p.persica_gdr_reftransV1_0026366</v>
      </c>
      <c r="B2425" s="3">
        <v>2224</v>
      </c>
      <c r="C2425" s="1" t="str">
        <f>HYPERLINK("http://www.uniprot.org/uniprot/SR34_ARATH","SR34_ARATH")</f>
        <v>SR34_ARATH</v>
      </c>
      <c r="D2425" t="s">
        <v>2317</v>
      </c>
      <c r="E2425" s="3" t="s">
        <v>3</v>
      </c>
      <c r="F2425" s="4">
        <v>1.12E-25</v>
      </c>
      <c r="G2425" s="3">
        <v>281</v>
      </c>
      <c r="H2425" s="3">
        <v>77</v>
      </c>
      <c r="I2425" s="3">
        <v>65</v>
      </c>
      <c r="J2425" s="3">
        <v>1</v>
      </c>
      <c r="K2425" s="3">
        <v>195</v>
      </c>
      <c r="L2425" s="3">
        <v>132</v>
      </c>
      <c r="M2425" s="3">
        <v>196</v>
      </c>
    </row>
    <row r="2426" spans="1:13" x14ac:dyDescent="0.25">
      <c r="A2426" s="1" t="str">
        <f>HYPERLINK("http://www.rosaceae.org/Prunus/Prunus_persica/p.persica_gdr_reftransV1_0026416","p.persica_gdr_reftransV1_0026416")</f>
        <v>p.persica_gdr_reftransV1_0026416</v>
      </c>
      <c r="B2426" s="3">
        <v>1362</v>
      </c>
      <c r="C2426" s="1" t="str">
        <f>HYPERLINK("http://www.uniprot.org/uniprot/RBFA_ARATH","RBFA_ARATH")</f>
        <v>RBFA_ARATH</v>
      </c>
      <c r="D2426" t="s">
        <v>2318</v>
      </c>
      <c r="E2426" s="3" t="s">
        <v>3</v>
      </c>
      <c r="F2426" s="4">
        <v>3.0500000000000002E-75</v>
      </c>
      <c r="G2426" s="3">
        <v>615</v>
      </c>
      <c r="H2426" s="3">
        <v>88</v>
      </c>
      <c r="I2426" s="3">
        <v>134</v>
      </c>
      <c r="J2426" s="3">
        <v>620</v>
      </c>
      <c r="K2426" s="3">
        <v>1021</v>
      </c>
      <c r="L2426" s="3">
        <v>50</v>
      </c>
      <c r="M2426" s="3">
        <v>183</v>
      </c>
    </row>
    <row r="2427" spans="1:13" x14ac:dyDescent="0.25">
      <c r="A2427" s="1" t="str">
        <f>HYPERLINK("http://www.rosaceae.org/Prunus/Prunus_persica/p.persica_gdr_reftransV1_0026466","p.persica_gdr_reftransV1_0026466")</f>
        <v>p.persica_gdr_reftransV1_0026466</v>
      </c>
      <c r="B2427" s="3">
        <v>1442</v>
      </c>
      <c r="C2427" s="1" t="str">
        <f>HYPERLINK("http://www.uniprot.org/uniprot/NIP61_ARATH","NIP61_ARATH")</f>
        <v>NIP61_ARATH</v>
      </c>
      <c r="D2427" t="s">
        <v>2319</v>
      </c>
      <c r="E2427" s="3" t="s">
        <v>3</v>
      </c>
      <c r="F2427" s="4">
        <v>1.37E-20</v>
      </c>
      <c r="G2427" s="3">
        <v>237</v>
      </c>
      <c r="H2427" s="3">
        <v>75</v>
      </c>
      <c r="I2427" s="3">
        <v>64</v>
      </c>
      <c r="J2427" s="3">
        <v>773</v>
      </c>
      <c r="K2427" s="3">
        <v>964</v>
      </c>
      <c r="L2427" s="3">
        <v>239</v>
      </c>
      <c r="M2427" s="3">
        <v>302</v>
      </c>
    </row>
    <row r="2428" spans="1:13" x14ac:dyDescent="0.25">
      <c r="A2428" s="1" t="str">
        <f>HYPERLINK("http://www.rosaceae.org/Prunus/Prunus_persica/p.persica_gdr_reftransV1_0026516","p.persica_gdr_reftransV1_0026516")</f>
        <v>p.persica_gdr_reftransV1_0026516</v>
      </c>
      <c r="B2428" s="3">
        <v>3073</v>
      </c>
      <c r="C2428" s="1" t="str">
        <f>HYPERLINK("http://www.uniprot.org/uniprot/BCS1_SCHPO","BCS1_SCHPO")</f>
        <v>BCS1_SCHPO</v>
      </c>
      <c r="D2428" t="s">
        <v>779</v>
      </c>
      <c r="E2428" s="3" t="s">
        <v>464</v>
      </c>
      <c r="F2428" s="4">
        <v>2.2900000000000001E-21</v>
      </c>
      <c r="G2428" s="3">
        <v>253</v>
      </c>
      <c r="H2428" s="3">
        <v>40</v>
      </c>
      <c r="I2428" s="3">
        <v>145</v>
      </c>
      <c r="J2428" s="3">
        <v>2641</v>
      </c>
      <c r="K2428" s="3">
        <v>3072</v>
      </c>
      <c r="L2428" s="3">
        <v>246</v>
      </c>
      <c r="M2428" s="3">
        <v>385</v>
      </c>
    </row>
    <row r="2429" spans="1:13" x14ac:dyDescent="0.25">
      <c r="A2429" s="1" t="str">
        <f>HYPERLINK("http://www.rosaceae.org/Prunus/Prunus_persica/p.persica_gdr_reftransV1_0026566","p.persica_gdr_reftransV1_0026566")</f>
        <v>p.persica_gdr_reftransV1_0026566</v>
      </c>
      <c r="B2429" s="3">
        <v>1885</v>
      </c>
      <c r="C2429" s="1" t="str">
        <f>HYPERLINK("http://www.uniprot.org/uniprot/MET13_BOVIN","MET13_BOVIN")</f>
        <v>MET13_BOVIN</v>
      </c>
      <c r="D2429" t="s">
        <v>2320</v>
      </c>
      <c r="E2429" s="3" t="s">
        <v>184</v>
      </c>
      <c r="F2429" s="4">
        <v>1.3300000000000001E-24</v>
      </c>
      <c r="G2429" s="3">
        <v>281</v>
      </c>
      <c r="H2429" s="3">
        <v>38</v>
      </c>
      <c r="I2429" s="3">
        <v>156</v>
      </c>
      <c r="J2429" s="3">
        <v>1259</v>
      </c>
      <c r="K2429" s="3">
        <v>1714</v>
      </c>
      <c r="L2429" s="3">
        <v>7</v>
      </c>
      <c r="M2429" s="3">
        <v>161</v>
      </c>
    </row>
    <row r="2430" spans="1:13" x14ac:dyDescent="0.25">
      <c r="A2430" s="1" t="str">
        <f>HYPERLINK("http://www.rosaceae.org/Prunus/Prunus_persica/p.persica_gdr_reftransV1_0026666","p.persica_gdr_reftransV1_0026666")</f>
        <v>p.persica_gdr_reftransV1_0026666</v>
      </c>
      <c r="B2430" s="3">
        <v>3467</v>
      </c>
      <c r="C2430" s="1" t="str">
        <f>HYPERLINK("http://www.uniprot.org/uniprot/PAO1_ARATH","PAO1_ARATH")</f>
        <v>PAO1_ARATH</v>
      </c>
      <c r="D2430" t="s">
        <v>2321</v>
      </c>
      <c r="E2430" s="3" t="s">
        <v>3</v>
      </c>
      <c r="F2430" s="4">
        <v>7.7700000000000004E-100</v>
      </c>
      <c r="G2430" s="3">
        <v>848</v>
      </c>
      <c r="H2430" s="3">
        <v>75</v>
      </c>
      <c r="I2430" s="3">
        <v>206</v>
      </c>
      <c r="J2430" s="3">
        <v>545</v>
      </c>
      <c r="K2430" s="3">
        <v>1162</v>
      </c>
      <c r="L2430" s="3">
        <v>260</v>
      </c>
      <c r="M2430" s="3">
        <v>454</v>
      </c>
    </row>
    <row r="2431" spans="1:13" x14ac:dyDescent="0.25">
      <c r="A2431" s="1" t="str">
        <f>HYPERLINK("http://www.rosaceae.org/Prunus/Prunus_persica/p.persica_gdr_reftransV1_0026716","p.persica_gdr_reftransV1_0026716")</f>
        <v>p.persica_gdr_reftransV1_0026716</v>
      </c>
      <c r="B2431" s="3">
        <v>1862</v>
      </c>
      <c r="C2431" s="1" t="str">
        <f>HYPERLINK("http://www.uniprot.org/uniprot/SYWC_ARATH","SYWC_ARATH")</f>
        <v>SYWC_ARATH</v>
      </c>
      <c r="D2431" t="s">
        <v>1112</v>
      </c>
      <c r="E2431" s="3" t="s">
        <v>3</v>
      </c>
      <c r="F2431" s="4">
        <v>3.81E-48</v>
      </c>
      <c r="G2431" s="3">
        <v>452</v>
      </c>
      <c r="H2431" s="3">
        <v>85</v>
      </c>
      <c r="I2431" s="3">
        <v>100</v>
      </c>
      <c r="J2431" s="3">
        <v>497</v>
      </c>
      <c r="K2431" s="3">
        <v>796</v>
      </c>
      <c r="L2431" s="3">
        <v>302</v>
      </c>
      <c r="M2431" s="3">
        <v>401</v>
      </c>
    </row>
    <row r="2432" spans="1:13" x14ac:dyDescent="0.25">
      <c r="A2432" s="1" t="str">
        <f>HYPERLINK("http://www.rosaceae.org/Prunus/Prunus_persica/p.persica_gdr_reftransV1_0026816","p.persica_gdr_reftransV1_0026816")</f>
        <v>p.persica_gdr_reftransV1_0026816</v>
      </c>
      <c r="B2432" s="3">
        <v>656</v>
      </c>
      <c r="C2432" s="1" t="str">
        <f>HYPERLINK("http://www.uniprot.org/uniprot/VAP22_ARATH","VAP22_ARATH")</f>
        <v>VAP22_ARATH</v>
      </c>
      <c r="D2432" t="s">
        <v>1104</v>
      </c>
      <c r="E2432" s="3" t="s">
        <v>3</v>
      </c>
      <c r="F2432" s="4">
        <v>7.8400000000000003E-20</v>
      </c>
      <c r="G2432" s="3">
        <v>222</v>
      </c>
      <c r="H2432" s="3">
        <v>50</v>
      </c>
      <c r="I2432" s="3">
        <v>84</v>
      </c>
      <c r="J2432" s="3">
        <v>290</v>
      </c>
      <c r="K2432" s="3">
        <v>541</v>
      </c>
      <c r="L2432" s="3">
        <v>301</v>
      </c>
      <c r="M2432" s="3">
        <v>384</v>
      </c>
    </row>
    <row r="2433" spans="1:13" x14ac:dyDescent="0.25">
      <c r="A2433" s="1" t="str">
        <f>HYPERLINK("http://www.rosaceae.org/Prunus/Prunus_persica/p.persica_gdr_reftransV1_0026866","p.persica_gdr_reftransV1_0026866")</f>
        <v>p.persica_gdr_reftransV1_0026866</v>
      </c>
      <c r="B2433" s="3">
        <v>3367</v>
      </c>
      <c r="C2433" s="1" t="str">
        <f>HYPERLINK("http://www.uniprot.org/uniprot/R13L1_ARATH","R13L1_ARATH")</f>
        <v>R13L1_ARATH</v>
      </c>
      <c r="D2433" t="s">
        <v>100</v>
      </c>
      <c r="E2433" s="3" t="s">
        <v>3</v>
      </c>
      <c r="F2433" s="4">
        <v>7.3400000000000003E-47</v>
      </c>
      <c r="G2433" s="3">
        <v>474</v>
      </c>
      <c r="H2433" s="3">
        <v>37</v>
      </c>
      <c r="I2433" s="3">
        <v>369</v>
      </c>
      <c r="J2433" s="3">
        <v>2318</v>
      </c>
      <c r="K2433" s="3">
        <v>3367</v>
      </c>
      <c r="L2433" s="3">
        <v>652</v>
      </c>
      <c r="M2433" s="3">
        <v>1010</v>
      </c>
    </row>
    <row r="2434" spans="1:13" x14ac:dyDescent="0.25">
      <c r="A2434" s="1" t="str">
        <f>HYPERLINK("http://www.rosaceae.org/Prunus/Prunus_persica/p.persica_gdr_reftransV1_0027066","p.persica_gdr_reftransV1_0027066")</f>
        <v>p.persica_gdr_reftransV1_0027066</v>
      </c>
      <c r="B2434" s="3">
        <v>1373</v>
      </c>
      <c r="C2434" s="1" t="str">
        <f>HYPERLINK("http://www.uniprot.org/uniprot/ATL5_ARATH","ATL5_ARATH")</f>
        <v>ATL5_ARATH</v>
      </c>
      <c r="D2434" t="s">
        <v>2322</v>
      </c>
      <c r="E2434" s="3" t="s">
        <v>3</v>
      </c>
      <c r="F2434" s="4">
        <v>1.08E-40</v>
      </c>
      <c r="G2434" s="3">
        <v>382</v>
      </c>
      <c r="H2434" s="3">
        <v>51</v>
      </c>
      <c r="I2434" s="3">
        <v>160</v>
      </c>
      <c r="J2434" s="3">
        <v>307</v>
      </c>
      <c r="K2434" s="3">
        <v>783</v>
      </c>
      <c r="L2434" s="3">
        <v>12</v>
      </c>
      <c r="M2434" s="3">
        <v>164</v>
      </c>
    </row>
    <row r="2435" spans="1:13" x14ac:dyDescent="0.25">
      <c r="A2435" s="1" t="str">
        <f>HYPERLINK("http://www.rosaceae.org/Prunus/Prunus_persica/p.persica_gdr_reftransV1_0027216","p.persica_gdr_reftransV1_0027216")</f>
        <v>p.persica_gdr_reftransV1_0027216</v>
      </c>
      <c r="B2435" s="3">
        <v>2210</v>
      </c>
      <c r="C2435" s="1" t="str">
        <f>HYPERLINK("http://www.uniprot.org/uniprot/PME3_PHAVU","PME3_PHAVU")</f>
        <v>PME3_PHAVU</v>
      </c>
      <c r="D2435" t="s">
        <v>2323</v>
      </c>
      <c r="E2435" s="3" t="s">
        <v>2044</v>
      </c>
      <c r="F2435" s="4">
        <v>0</v>
      </c>
      <c r="G2435" s="3">
        <v>1974</v>
      </c>
      <c r="H2435" s="3">
        <v>65</v>
      </c>
      <c r="I2435" s="3">
        <v>589</v>
      </c>
      <c r="J2435" s="3">
        <v>129</v>
      </c>
      <c r="K2435" s="3">
        <v>1877</v>
      </c>
      <c r="L2435" s="3">
        <v>1</v>
      </c>
      <c r="M2435" s="3">
        <v>578</v>
      </c>
    </row>
    <row r="2436" spans="1:13" x14ac:dyDescent="0.25">
      <c r="A2436" s="1" t="str">
        <f>HYPERLINK("http://www.rosaceae.org/Prunus/Prunus_persica/p.persica_gdr_reftransV1_0027316","p.persica_gdr_reftransV1_0027316")</f>
        <v>p.persica_gdr_reftransV1_0027316</v>
      </c>
      <c r="B2436" s="3">
        <v>3488</v>
      </c>
      <c r="C2436" s="1" t="str">
        <f>HYPERLINK("http://www.uniprot.org/uniprot/REN1_ARATH","REN1_ARATH")</f>
        <v>REN1_ARATH</v>
      </c>
      <c r="D2436" t="s">
        <v>2324</v>
      </c>
      <c r="E2436" s="3" t="s">
        <v>3</v>
      </c>
      <c r="F2436" s="4">
        <v>0</v>
      </c>
      <c r="G2436" s="3">
        <v>1446</v>
      </c>
      <c r="H2436" s="3">
        <v>82</v>
      </c>
      <c r="I2436" s="3">
        <v>373</v>
      </c>
      <c r="J2436" s="3">
        <v>2052</v>
      </c>
      <c r="K2436" s="3">
        <v>3167</v>
      </c>
      <c r="L2436" s="3">
        <v>55</v>
      </c>
      <c r="M2436" s="3">
        <v>422</v>
      </c>
    </row>
    <row r="2437" spans="1:13" x14ac:dyDescent="0.25">
      <c r="A2437" s="1" t="str">
        <f>HYPERLINK("http://www.rosaceae.org/Prunus/Prunus_persica/p.persica_gdr_reftransV1_0027666","p.persica_gdr_reftransV1_0027666")</f>
        <v>p.persica_gdr_reftransV1_0027666</v>
      </c>
      <c r="B2437" s="3">
        <v>2411</v>
      </c>
      <c r="C2437" s="1" t="str">
        <f>HYPERLINK("http://www.uniprot.org/uniprot/WVD2_ARATH","WVD2_ARATH")</f>
        <v>WVD2_ARATH</v>
      </c>
      <c r="D2437" t="s">
        <v>2325</v>
      </c>
      <c r="E2437" s="3" t="s">
        <v>3</v>
      </c>
      <c r="F2437" s="4">
        <v>3.9699999999999997E-23</v>
      </c>
      <c r="G2437" s="3">
        <v>256</v>
      </c>
      <c r="H2437" s="3">
        <v>54</v>
      </c>
      <c r="I2437" s="3">
        <v>111</v>
      </c>
      <c r="J2437" s="3">
        <v>819</v>
      </c>
      <c r="K2437" s="3">
        <v>1136</v>
      </c>
      <c r="L2437" s="3">
        <v>89</v>
      </c>
      <c r="M2437" s="3">
        <v>199</v>
      </c>
    </row>
    <row r="2438" spans="1:13" x14ac:dyDescent="0.25">
      <c r="A2438" s="1" t="str">
        <f>HYPERLINK("http://www.rosaceae.org/Prunus/Prunus_persica/p.persica_gdr_reftransV1_0027966","p.persica_gdr_reftransV1_0027966")</f>
        <v>p.persica_gdr_reftransV1_0027966</v>
      </c>
      <c r="B2438" s="3">
        <v>4734</v>
      </c>
      <c r="C2438" s="1" t="str">
        <f>HYPERLINK("http://www.uniprot.org/uniprot/DHX16_HUMAN","DHX16_HUMAN")</f>
        <v>DHX16_HUMAN</v>
      </c>
      <c r="D2438" t="s">
        <v>2326</v>
      </c>
      <c r="E2438" s="3" t="s">
        <v>28</v>
      </c>
      <c r="F2438" s="4">
        <v>0</v>
      </c>
      <c r="G2438" s="3">
        <v>2664</v>
      </c>
      <c r="H2438" s="3">
        <v>62</v>
      </c>
      <c r="I2438" s="3">
        <v>834</v>
      </c>
      <c r="J2438" s="3">
        <v>911</v>
      </c>
      <c r="K2438" s="3">
        <v>3388</v>
      </c>
      <c r="L2438" s="3">
        <v>225</v>
      </c>
      <c r="M2438" s="3">
        <v>1039</v>
      </c>
    </row>
    <row r="2439" spans="1:13" x14ac:dyDescent="0.25">
      <c r="A2439" s="1" t="str">
        <f>HYPERLINK("http://www.rosaceae.org/Prunus/Prunus_persica/p.persica_gdr_reftransV1_0028116","p.persica_gdr_reftransV1_0028116")</f>
        <v>p.persica_gdr_reftransV1_0028116</v>
      </c>
      <c r="B2439" s="3">
        <v>2159</v>
      </c>
      <c r="C2439" s="1" t="str">
        <f>HYPERLINK("http://www.uniprot.org/uniprot/C3H48_ARATH","C3H48_ARATH")</f>
        <v>C3H48_ARATH</v>
      </c>
      <c r="D2439" t="s">
        <v>1976</v>
      </c>
      <c r="E2439" s="3" t="s">
        <v>3</v>
      </c>
      <c r="F2439" s="4">
        <v>0</v>
      </c>
      <c r="G2439" s="3">
        <v>1629</v>
      </c>
      <c r="H2439" s="3">
        <v>67</v>
      </c>
      <c r="I2439" s="3">
        <v>464</v>
      </c>
      <c r="J2439" s="3">
        <v>237</v>
      </c>
      <c r="K2439" s="3">
        <v>1619</v>
      </c>
      <c r="L2439" s="3">
        <v>1</v>
      </c>
      <c r="M2439" s="3">
        <v>427</v>
      </c>
    </row>
    <row r="2440" spans="1:13" x14ac:dyDescent="0.25">
      <c r="A2440" s="1" t="str">
        <f>HYPERLINK("http://www.rosaceae.org/Prunus/Prunus_persica/p.persica_gdr_reftransV1_0028166","p.persica_gdr_reftransV1_0028166")</f>
        <v>p.persica_gdr_reftransV1_0028166</v>
      </c>
      <c r="B2440" s="3">
        <v>2181</v>
      </c>
      <c r="C2440" s="1" t="str">
        <f>HYPERLINK("http://www.uniprot.org/uniprot/DADD_METS3","DADD_METS3")</f>
        <v>DADD_METS3</v>
      </c>
      <c r="D2440" t="s">
        <v>2327</v>
      </c>
      <c r="E2440" s="3" t="s">
        <v>2328</v>
      </c>
      <c r="F2440" s="4">
        <v>3.9300000000000002E-49</v>
      </c>
      <c r="G2440" s="3">
        <v>464</v>
      </c>
      <c r="H2440" s="3">
        <v>37</v>
      </c>
      <c r="I2440" s="3">
        <v>281</v>
      </c>
      <c r="J2440" s="3">
        <v>1041</v>
      </c>
      <c r="K2440" s="3">
        <v>1877</v>
      </c>
      <c r="L2440" s="3">
        <v>158</v>
      </c>
      <c r="M2440" s="3">
        <v>430</v>
      </c>
    </row>
    <row r="2441" spans="1:13" x14ac:dyDescent="0.25">
      <c r="A2441" s="1" t="str">
        <f>HYPERLINK("http://www.rosaceae.org/Prunus/Prunus_persica/p.persica_gdr_reftransV1_0028566","p.persica_gdr_reftransV1_0028566")</f>
        <v>p.persica_gdr_reftransV1_0028566</v>
      </c>
      <c r="B2441" s="3">
        <v>1646</v>
      </c>
      <c r="C2441" s="1" t="str">
        <f>HYPERLINK("http://www.uniprot.org/uniprot/Y3475_ARATH","Y3475_ARATH")</f>
        <v>Y3475_ARATH</v>
      </c>
      <c r="D2441" t="s">
        <v>827</v>
      </c>
      <c r="E2441" s="3" t="s">
        <v>3</v>
      </c>
      <c r="F2441" s="4">
        <v>1.76E-105</v>
      </c>
      <c r="G2441" s="3">
        <v>521</v>
      </c>
      <c r="H2441" s="3">
        <v>41</v>
      </c>
      <c r="I2441" s="3">
        <v>293</v>
      </c>
      <c r="J2441" s="3">
        <v>1</v>
      </c>
      <c r="K2441" s="3">
        <v>834</v>
      </c>
      <c r="L2441" s="3">
        <v>486</v>
      </c>
      <c r="M2441" s="3">
        <v>776</v>
      </c>
    </row>
    <row r="2442" spans="1:13" x14ac:dyDescent="0.25">
      <c r="A2442" s="1" t="str">
        <f>HYPERLINK("http://www.rosaceae.org/Prunus/Prunus_persica/p.persica_gdr_reftransV1_0028916","p.persica_gdr_reftransV1_0028916")</f>
        <v>p.persica_gdr_reftransV1_0028916</v>
      </c>
      <c r="B2442" s="3">
        <v>2330</v>
      </c>
      <c r="C2442" s="1" t="str">
        <f>HYPERLINK("http://www.uniprot.org/uniprot/VPE_CITSI","VPE_CITSI")</f>
        <v>VPE_CITSI</v>
      </c>
      <c r="D2442" t="s">
        <v>2329</v>
      </c>
      <c r="E2442" s="3" t="s">
        <v>1276</v>
      </c>
      <c r="F2442" s="4">
        <v>0</v>
      </c>
      <c r="G2442" s="3">
        <v>1492</v>
      </c>
      <c r="H2442" s="3">
        <v>84</v>
      </c>
      <c r="I2442" s="3">
        <v>345</v>
      </c>
      <c r="J2442" s="3">
        <v>139</v>
      </c>
      <c r="K2442" s="3">
        <v>1170</v>
      </c>
      <c r="L2442" s="3">
        <v>22</v>
      </c>
      <c r="M2442" s="3">
        <v>365</v>
      </c>
    </row>
    <row r="2443" spans="1:13" x14ac:dyDescent="0.25">
      <c r="A2443" s="1" t="str">
        <f>HYPERLINK("http://www.rosaceae.org/Prunus/Prunus_persica/p.persica_gdr_reftransV1_0029066","p.persica_gdr_reftransV1_0029066")</f>
        <v>p.persica_gdr_reftransV1_0029066</v>
      </c>
      <c r="B2443" s="3">
        <v>2648</v>
      </c>
      <c r="C2443" s="1" t="str">
        <f>HYPERLINK("http://www.uniprot.org/uniprot/TIC62_PEA","TIC62_PEA")</f>
        <v>TIC62_PEA</v>
      </c>
      <c r="D2443" t="s">
        <v>2330</v>
      </c>
      <c r="E2443" s="3" t="s">
        <v>60</v>
      </c>
      <c r="F2443" s="4">
        <v>2.98E-9</v>
      </c>
      <c r="G2443" s="3">
        <v>155</v>
      </c>
      <c r="H2443" s="3">
        <v>34</v>
      </c>
      <c r="I2443" s="3">
        <v>133</v>
      </c>
      <c r="J2443" s="3">
        <v>1649</v>
      </c>
      <c r="K2443" s="3">
        <v>2017</v>
      </c>
      <c r="L2443" s="3">
        <v>85</v>
      </c>
      <c r="M2443" s="3">
        <v>216</v>
      </c>
    </row>
    <row r="2444" spans="1:13" x14ac:dyDescent="0.25">
      <c r="A2444" s="1" t="str">
        <f>HYPERLINK("http://www.rosaceae.org/Prunus/Prunus_persica/p.persica_gdr_reftransV1_0029516","p.persica_gdr_reftransV1_0029516")</f>
        <v>p.persica_gdr_reftransV1_0029516</v>
      </c>
      <c r="B2444" s="3">
        <v>1670</v>
      </c>
      <c r="C2444" s="1" t="str">
        <f>HYPERLINK("http://www.uniprot.org/uniprot/DCYD1_ORYSJ","DCYD1_ORYSJ")</f>
        <v>DCYD1_ORYSJ</v>
      </c>
      <c r="D2444" t="s">
        <v>2331</v>
      </c>
      <c r="E2444" s="3" t="s">
        <v>38</v>
      </c>
      <c r="F2444" s="4">
        <v>0</v>
      </c>
      <c r="G2444" s="3">
        <v>1429</v>
      </c>
      <c r="H2444" s="3">
        <v>77</v>
      </c>
      <c r="I2444" s="3">
        <v>371</v>
      </c>
      <c r="J2444" s="3">
        <v>273</v>
      </c>
      <c r="K2444" s="3">
        <v>1385</v>
      </c>
      <c r="L2444" s="3">
        <v>57</v>
      </c>
      <c r="M2444" s="3">
        <v>426</v>
      </c>
    </row>
    <row r="2445" spans="1:13" x14ac:dyDescent="0.25">
      <c r="A2445" s="1" t="str">
        <f>HYPERLINK("http://www.rosaceae.org/Prunus/Prunus_persica/p.persica_gdr_reftransV1_0029866","p.persica_gdr_reftransV1_0029866")</f>
        <v>p.persica_gdr_reftransV1_0029866</v>
      </c>
      <c r="B2445" s="3">
        <v>1926</v>
      </c>
      <c r="C2445" s="1" t="str">
        <f>HYPERLINK("http://www.uniprot.org/uniprot/COL5_ARATH","COL5_ARATH")</f>
        <v>COL5_ARATH</v>
      </c>
      <c r="D2445" t="s">
        <v>2332</v>
      </c>
      <c r="E2445" s="3" t="s">
        <v>3</v>
      </c>
      <c r="F2445" s="4">
        <v>1.3399999999999999E-94</v>
      </c>
      <c r="G2445" s="3">
        <v>773</v>
      </c>
      <c r="H2445" s="3">
        <v>52</v>
      </c>
      <c r="I2445" s="3">
        <v>383</v>
      </c>
      <c r="J2445" s="3">
        <v>596</v>
      </c>
      <c r="K2445" s="3">
        <v>1732</v>
      </c>
      <c r="L2445" s="3">
        <v>12</v>
      </c>
      <c r="M2445" s="3">
        <v>355</v>
      </c>
    </row>
    <row r="2446" spans="1:13" x14ac:dyDescent="0.25">
      <c r="A2446" s="1" t="str">
        <f>HYPERLINK("http://www.rosaceae.org/Prunus/Prunus_persica/p.persica_gdr_reftransV1_0030016","p.persica_gdr_reftransV1_0030016")</f>
        <v>p.persica_gdr_reftransV1_0030016</v>
      </c>
      <c r="B2446" s="3">
        <v>1621</v>
      </c>
      <c r="C2446" s="1" t="str">
        <f>HYPERLINK("http://www.uniprot.org/uniprot/CAF1G_ARATH","CAF1G_ARATH")</f>
        <v>CAF1G_ARATH</v>
      </c>
      <c r="D2446" t="s">
        <v>2333</v>
      </c>
      <c r="E2446" s="3" t="s">
        <v>3</v>
      </c>
      <c r="F2446" s="4">
        <v>5.6700000000000002E-137</v>
      </c>
      <c r="G2446" s="3">
        <v>1040</v>
      </c>
      <c r="H2446" s="3">
        <v>73</v>
      </c>
      <c r="I2446" s="3">
        <v>272</v>
      </c>
      <c r="J2446" s="3">
        <v>240</v>
      </c>
      <c r="K2446" s="3">
        <v>1052</v>
      </c>
      <c r="L2446" s="3">
        <v>1</v>
      </c>
      <c r="M2446" s="3">
        <v>272</v>
      </c>
    </row>
    <row r="2447" spans="1:13" x14ac:dyDescent="0.25">
      <c r="A2447" s="1" t="str">
        <f>HYPERLINK("http://www.rosaceae.org/Prunus/Prunus_persica/p.persica_gdr_reftransV1_0030266","p.persica_gdr_reftransV1_0030266")</f>
        <v>p.persica_gdr_reftransV1_0030266</v>
      </c>
      <c r="B2447" s="3">
        <v>1520</v>
      </c>
      <c r="C2447" s="1" t="str">
        <f>HYPERLINK("http://www.uniprot.org/uniprot/TRPT1_DANRE","TRPT1_DANRE")</f>
        <v>TRPT1_DANRE</v>
      </c>
      <c r="D2447" t="s">
        <v>2334</v>
      </c>
      <c r="E2447" s="3" t="s">
        <v>704</v>
      </c>
      <c r="F2447" s="4">
        <v>1.9000000000000001E-23</v>
      </c>
      <c r="G2447" s="3">
        <v>255</v>
      </c>
      <c r="H2447" s="3">
        <v>41</v>
      </c>
      <c r="I2447" s="3">
        <v>147</v>
      </c>
      <c r="J2447" s="3">
        <v>342</v>
      </c>
      <c r="K2447" s="3">
        <v>773</v>
      </c>
      <c r="L2447" s="3">
        <v>25</v>
      </c>
      <c r="M2447" s="3">
        <v>163</v>
      </c>
    </row>
    <row r="2448" spans="1:13" x14ac:dyDescent="0.25">
      <c r="A2448" s="1" t="str">
        <f>HYPERLINK("http://www.rosaceae.org/Prunus/Prunus_persica/p.persica_gdr_reftransV1_0030616","p.persica_gdr_reftransV1_0030616")</f>
        <v>p.persica_gdr_reftransV1_0030616</v>
      </c>
      <c r="B2448" s="3">
        <v>3198</v>
      </c>
      <c r="C2448" s="1" t="str">
        <f>HYPERLINK("http://www.uniprot.org/uniprot/DEG15_ARATH","DEG15_ARATH")</f>
        <v>DEG15_ARATH</v>
      </c>
      <c r="D2448" t="s">
        <v>2335</v>
      </c>
      <c r="E2448" s="3" t="s">
        <v>3</v>
      </c>
      <c r="F2448" s="4">
        <v>9.0400000000000001E-151</v>
      </c>
      <c r="G2448" s="3">
        <v>1217</v>
      </c>
      <c r="H2448" s="3">
        <v>55</v>
      </c>
      <c r="I2448" s="3">
        <v>462</v>
      </c>
      <c r="J2448" s="3">
        <v>898</v>
      </c>
      <c r="K2448" s="3">
        <v>2277</v>
      </c>
      <c r="L2448" s="3">
        <v>194</v>
      </c>
      <c r="M2448" s="3">
        <v>627</v>
      </c>
    </row>
    <row r="2449" spans="1:13" x14ac:dyDescent="0.25">
      <c r="A2449" s="1" t="str">
        <f>HYPERLINK("http://www.rosaceae.org/Prunus/Prunus_persica/p.persica_gdr_reftransV1_0030766","p.persica_gdr_reftransV1_0030766")</f>
        <v>p.persica_gdr_reftransV1_0030766</v>
      </c>
      <c r="B2449" s="3">
        <v>2056</v>
      </c>
      <c r="C2449" s="1" t="str">
        <f>HYPERLINK("http://www.uniprot.org/uniprot/PP351_ARATH","PP351_ARATH")</f>
        <v>PP351_ARATH</v>
      </c>
      <c r="D2449" t="s">
        <v>2336</v>
      </c>
      <c r="E2449" s="3" t="s">
        <v>3</v>
      </c>
      <c r="F2449" s="4">
        <v>0</v>
      </c>
      <c r="G2449" s="3">
        <v>1460</v>
      </c>
      <c r="H2449" s="3">
        <v>62</v>
      </c>
      <c r="I2449" s="3">
        <v>431</v>
      </c>
      <c r="J2449" s="3">
        <v>105</v>
      </c>
      <c r="K2449" s="3">
        <v>1397</v>
      </c>
      <c r="L2449" s="3">
        <v>4</v>
      </c>
      <c r="M2449" s="3">
        <v>433</v>
      </c>
    </row>
    <row r="2450" spans="1:13" x14ac:dyDescent="0.25">
      <c r="A2450" s="1" t="str">
        <f>HYPERLINK("http://www.rosaceae.org/Prunus/Prunus_persica/p.persica_gdr_reftransV1_0031166","p.persica_gdr_reftransV1_0031166")</f>
        <v>p.persica_gdr_reftransV1_0031166</v>
      </c>
      <c r="B2450" s="3">
        <v>1835</v>
      </c>
      <c r="C2450" s="1" t="str">
        <f>HYPERLINK("http://www.uniprot.org/uniprot/AGD11_ARATH","AGD11_ARATH")</f>
        <v>AGD11_ARATH</v>
      </c>
      <c r="D2450" t="s">
        <v>2337</v>
      </c>
      <c r="E2450" s="3" t="s">
        <v>3</v>
      </c>
      <c r="F2450" s="4">
        <v>1.2E-170</v>
      </c>
      <c r="G2450" s="3">
        <v>1282</v>
      </c>
      <c r="H2450" s="3">
        <v>67</v>
      </c>
      <c r="I2450" s="3">
        <v>394</v>
      </c>
      <c r="J2450" s="3">
        <v>312</v>
      </c>
      <c r="K2450" s="3">
        <v>1484</v>
      </c>
      <c r="L2450" s="3">
        <v>1</v>
      </c>
      <c r="M2450" s="3">
        <v>385</v>
      </c>
    </row>
    <row r="2451" spans="1:13" x14ac:dyDescent="0.25">
      <c r="A2451" s="1" t="str">
        <f>HYPERLINK("http://www.rosaceae.org/Prunus/Prunus_persica/p.persica_gdr_reftransV1_0031566","p.persica_gdr_reftransV1_0031566")</f>
        <v>p.persica_gdr_reftransV1_0031566</v>
      </c>
      <c r="B2451" s="3">
        <v>1287</v>
      </c>
      <c r="C2451" s="1" t="str">
        <f>HYPERLINK("http://www.uniprot.org/uniprot/PSB6_ARATH","PSB6_ARATH")</f>
        <v>PSB6_ARATH</v>
      </c>
      <c r="D2451" t="s">
        <v>2338</v>
      </c>
      <c r="E2451" s="3" t="s">
        <v>3</v>
      </c>
      <c r="F2451" s="4">
        <v>4.86E-84</v>
      </c>
      <c r="G2451" s="3">
        <v>673</v>
      </c>
      <c r="H2451" s="3">
        <v>89</v>
      </c>
      <c r="I2451" s="3">
        <v>140</v>
      </c>
      <c r="J2451" s="3">
        <v>750</v>
      </c>
      <c r="K2451" s="3">
        <v>1169</v>
      </c>
      <c r="L2451" s="3">
        <v>2</v>
      </c>
      <c r="M2451" s="3">
        <v>141</v>
      </c>
    </row>
    <row r="2452" spans="1:13" x14ac:dyDescent="0.25">
      <c r="A2452" s="1" t="str">
        <f>HYPERLINK("http://www.rosaceae.org/Prunus/Prunus_persica/p.persica_gdr_reftransV1_0031716","p.persica_gdr_reftransV1_0031716")</f>
        <v>p.persica_gdr_reftransV1_0031716</v>
      </c>
      <c r="B2452" s="3">
        <v>2356</v>
      </c>
      <c r="C2452" s="1" t="str">
        <f>HYPERLINK("http://www.uniprot.org/uniprot/TTC7B_HUMAN","TTC7B_HUMAN")</f>
        <v>TTC7B_HUMAN</v>
      </c>
      <c r="D2452" t="s">
        <v>2339</v>
      </c>
      <c r="E2452" s="3" t="s">
        <v>28</v>
      </c>
      <c r="F2452" s="4">
        <v>1.8899999999999999E-16</v>
      </c>
      <c r="G2452" s="3">
        <v>216</v>
      </c>
      <c r="H2452" s="3">
        <v>26</v>
      </c>
      <c r="I2452" s="3">
        <v>479</v>
      </c>
      <c r="J2452" s="3">
        <v>396</v>
      </c>
      <c r="K2452" s="3">
        <v>1655</v>
      </c>
      <c r="L2452" s="3">
        <v>369</v>
      </c>
      <c r="M2452" s="3">
        <v>839</v>
      </c>
    </row>
    <row r="2453" spans="1:13" x14ac:dyDescent="0.25">
      <c r="A2453" s="1" t="str">
        <f>HYPERLINK("http://www.rosaceae.org/Prunus/Prunus_persica/p.persica_gdr_reftransV1_0031816","p.persica_gdr_reftransV1_0031816")</f>
        <v>p.persica_gdr_reftransV1_0031816</v>
      </c>
      <c r="B2453" s="3">
        <v>1427</v>
      </c>
      <c r="C2453" s="1" t="str">
        <f>HYPERLINK("http://www.uniprot.org/uniprot/E13L_TOBAC","E13L_TOBAC")</f>
        <v>E13L_TOBAC</v>
      </c>
      <c r="D2453" t="s">
        <v>2340</v>
      </c>
      <c r="E2453" s="3" t="s">
        <v>200</v>
      </c>
      <c r="F2453" s="4">
        <v>9.1800000000000002E-126</v>
      </c>
      <c r="G2453" s="3">
        <v>968</v>
      </c>
      <c r="H2453" s="3">
        <v>55</v>
      </c>
      <c r="I2453" s="3">
        <v>321</v>
      </c>
      <c r="J2453" s="3">
        <v>220</v>
      </c>
      <c r="K2453" s="3">
        <v>1176</v>
      </c>
      <c r="L2453" s="3">
        <v>25</v>
      </c>
      <c r="M2453" s="3">
        <v>342</v>
      </c>
    </row>
    <row r="2454" spans="1:13" x14ac:dyDescent="0.25">
      <c r="A2454" s="1" t="str">
        <f>HYPERLINK("http://www.rosaceae.org/Prunus/Prunus_persica/p.persica_gdr_reftransV1_0032666","p.persica_gdr_reftransV1_0032666")</f>
        <v>p.persica_gdr_reftransV1_0032666</v>
      </c>
      <c r="B2454" s="3">
        <v>3955</v>
      </c>
      <c r="C2454" s="1" t="str">
        <f>HYPERLINK("http://www.uniprot.org/uniprot/AVT6_YEAST","AVT6_YEAST")</f>
        <v>AVT6_YEAST</v>
      </c>
      <c r="D2454" t="s">
        <v>2341</v>
      </c>
      <c r="E2454" s="3" t="s">
        <v>34</v>
      </c>
      <c r="F2454" s="4">
        <v>5.0599999999999998E-12</v>
      </c>
      <c r="G2454" s="3">
        <v>179</v>
      </c>
      <c r="H2454" s="3">
        <v>30</v>
      </c>
      <c r="I2454" s="3">
        <v>226</v>
      </c>
      <c r="J2454" s="3">
        <v>1746</v>
      </c>
      <c r="K2454" s="3">
        <v>2399</v>
      </c>
      <c r="L2454" s="3">
        <v>3</v>
      </c>
      <c r="M2454" s="3">
        <v>211</v>
      </c>
    </row>
    <row r="2455" spans="1:13" x14ac:dyDescent="0.25">
      <c r="A2455" s="1" t="str">
        <f>HYPERLINK("http://www.rosaceae.org/Prunus/Prunus_persica/p.persica_gdr_reftransV1_0032716","p.persica_gdr_reftransV1_0032716")</f>
        <v>p.persica_gdr_reftransV1_0032716</v>
      </c>
      <c r="B2455" s="3">
        <v>2706</v>
      </c>
      <c r="C2455" s="1" t="str">
        <f>HYPERLINK("http://www.uniprot.org/uniprot/SYTM1_ARATH","SYTM1_ARATH")</f>
        <v>SYTM1_ARATH</v>
      </c>
      <c r="D2455" t="s">
        <v>2342</v>
      </c>
      <c r="E2455" s="3" t="s">
        <v>3</v>
      </c>
      <c r="F2455" s="4">
        <v>0</v>
      </c>
      <c r="G2455" s="3">
        <v>2763</v>
      </c>
      <c r="H2455" s="3">
        <v>75</v>
      </c>
      <c r="I2455" s="3">
        <v>678</v>
      </c>
      <c r="J2455" s="3">
        <v>213</v>
      </c>
      <c r="K2455" s="3">
        <v>2246</v>
      </c>
      <c r="L2455" s="3">
        <v>33</v>
      </c>
      <c r="M2455" s="3">
        <v>708</v>
      </c>
    </row>
    <row r="2456" spans="1:13" x14ac:dyDescent="0.25">
      <c r="A2456" s="1" t="str">
        <f>HYPERLINK("http://www.rosaceae.org/Prunus/Prunus_persica/p.persica_gdr_reftransV1_0032866","p.persica_gdr_reftransV1_0032866")</f>
        <v>p.persica_gdr_reftransV1_0032866</v>
      </c>
      <c r="B2456" s="3">
        <v>1305</v>
      </c>
      <c r="C2456" s="1" t="str">
        <f>HYPERLINK("http://www.uniprot.org/uniprot/EF106_ARATH","EF106_ARATH")</f>
        <v>EF106_ARATH</v>
      </c>
      <c r="D2456" t="s">
        <v>2343</v>
      </c>
      <c r="E2456" s="3" t="s">
        <v>3</v>
      </c>
      <c r="F2456" s="4">
        <v>1.1399999999999999E-38</v>
      </c>
      <c r="G2456" s="3">
        <v>362</v>
      </c>
      <c r="H2456" s="3">
        <v>40</v>
      </c>
      <c r="I2456" s="3">
        <v>208</v>
      </c>
      <c r="J2456" s="3">
        <v>344</v>
      </c>
      <c r="K2456" s="3">
        <v>958</v>
      </c>
      <c r="L2456" s="3">
        <v>5</v>
      </c>
      <c r="M2456" s="3">
        <v>186</v>
      </c>
    </row>
    <row r="2457" spans="1:13" x14ac:dyDescent="0.25">
      <c r="A2457" s="1" t="str">
        <f>HYPERLINK("http://www.rosaceae.org/Prunus/Prunus_persica/p.persica_gdr_reftransV1_0033216","p.persica_gdr_reftransV1_0033216")</f>
        <v>p.persica_gdr_reftransV1_0033216</v>
      </c>
      <c r="B2457" s="3">
        <v>1539</v>
      </c>
      <c r="C2457" s="1" t="str">
        <f>HYPERLINK("http://www.uniprot.org/uniprot/ALKB8_MACFA","ALKB8_MACFA")</f>
        <v>ALKB8_MACFA</v>
      </c>
      <c r="D2457" t="s">
        <v>2344</v>
      </c>
      <c r="E2457" s="3" t="s">
        <v>674</v>
      </c>
      <c r="F2457" s="4">
        <v>3.6799999999999998E-11</v>
      </c>
      <c r="G2457" s="3">
        <v>168</v>
      </c>
      <c r="H2457" s="3">
        <v>45</v>
      </c>
      <c r="I2457" s="3">
        <v>89</v>
      </c>
      <c r="J2457" s="3">
        <v>537</v>
      </c>
      <c r="K2457" s="3">
        <v>800</v>
      </c>
      <c r="L2457" s="3">
        <v>222</v>
      </c>
      <c r="M2457" s="3">
        <v>295</v>
      </c>
    </row>
    <row r="2458" spans="1:13" x14ac:dyDescent="0.25">
      <c r="A2458" s="1" t="str">
        <f>HYPERLINK("http://www.rosaceae.org/Prunus/Prunus_persica/p.persica_gdr_reftransV1_0033366","p.persica_gdr_reftransV1_0033366")</f>
        <v>p.persica_gdr_reftransV1_0033366</v>
      </c>
      <c r="B2458" s="3">
        <v>2676</v>
      </c>
      <c r="C2458" s="1" t="str">
        <f>HYPERLINK("http://www.uniprot.org/uniprot/SAP8_ORYSJ","SAP8_ORYSJ")</f>
        <v>SAP8_ORYSJ</v>
      </c>
      <c r="D2458" t="s">
        <v>2345</v>
      </c>
      <c r="E2458" s="3" t="s">
        <v>38</v>
      </c>
      <c r="F2458" s="4">
        <v>8.6399999999999997E-58</v>
      </c>
      <c r="G2458" s="3">
        <v>508</v>
      </c>
      <c r="H2458" s="3">
        <v>65</v>
      </c>
      <c r="I2458" s="3">
        <v>169</v>
      </c>
      <c r="J2458" s="3">
        <v>421</v>
      </c>
      <c r="K2458" s="3">
        <v>927</v>
      </c>
      <c r="L2458" s="3">
        <v>3</v>
      </c>
      <c r="M2458" s="3">
        <v>171</v>
      </c>
    </row>
    <row r="2459" spans="1:13" x14ac:dyDescent="0.25">
      <c r="A2459" s="1" t="str">
        <f>HYPERLINK("http://www.rosaceae.org/Prunus/Prunus_persica/p.persica_gdr_reftransV1_0033616","p.persica_gdr_reftransV1_0033616")</f>
        <v>p.persica_gdr_reftransV1_0033616</v>
      </c>
      <c r="B2459" s="3">
        <v>2241</v>
      </c>
      <c r="C2459" s="1" t="str">
        <f>HYPERLINK("http://www.uniprot.org/uniprot/OE64M_ARATH","OE64M_ARATH")</f>
        <v>OE64M_ARATH</v>
      </c>
      <c r="D2459" t="s">
        <v>2346</v>
      </c>
      <c r="E2459" s="3" t="s">
        <v>3</v>
      </c>
      <c r="F2459" s="4">
        <v>0</v>
      </c>
      <c r="G2459" s="3">
        <v>1903</v>
      </c>
      <c r="H2459" s="3">
        <v>65</v>
      </c>
      <c r="I2459" s="3">
        <v>604</v>
      </c>
      <c r="J2459" s="3">
        <v>337</v>
      </c>
      <c r="K2459" s="3">
        <v>2133</v>
      </c>
      <c r="L2459" s="3">
        <v>5</v>
      </c>
      <c r="M2459" s="3">
        <v>601</v>
      </c>
    </row>
    <row r="2460" spans="1:13" x14ac:dyDescent="0.25">
      <c r="A2460" s="1" t="str">
        <f>HYPERLINK("http://www.rosaceae.org/Prunus/Prunus_persica/p.persica_gdr_reftransV1_0033916","p.persica_gdr_reftransV1_0033916")</f>
        <v>p.persica_gdr_reftransV1_0033916</v>
      </c>
      <c r="B2460" s="3">
        <v>2702</v>
      </c>
      <c r="C2460" s="1" t="str">
        <f>HYPERLINK("http://www.uniprot.org/uniprot/GTE3_ARATH","GTE3_ARATH")</f>
        <v>GTE3_ARATH</v>
      </c>
      <c r="D2460" t="s">
        <v>2347</v>
      </c>
      <c r="E2460" s="3" t="s">
        <v>3</v>
      </c>
      <c r="F2460" s="4">
        <v>7.4E-64</v>
      </c>
      <c r="G2460" s="3">
        <v>579</v>
      </c>
      <c r="H2460" s="3">
        <v>39</v>
      </c>
      <c r="I2460" s="3">
        <v>371</v>
      </c>
      <c r="J2460" s="3">
        <v>489</v>
      </c>
      <c r="K2460" s="3">
        <v>1580</v>
      </c>
      <c r="L2460" s="3">
        <v>46</v>
      </c>
      <c r="M2460" s="3">
        <v>381</v>
      </c>
    </row>
    <row r="2461" spans="1:13" x14ac:dyDescent="0.25">
      <c r="A2461" s="1" t="str">
        <f>HYPERLINK("http://www.rosaceae.org/Prunus/Prunus_persica/p.persica_gdr_reftransV1_0034016","p.persica_gdr_reftransV1_0034016")</f>
        <v>p.persica_gdr_reftransV1_0034016</v>
      </c>
      <c r="B2461" s="3">
        <v>1268</v>
      </c>
      <c r="C2461" s="1" t="str">
        <f>HYPERLINK("http://www.uniprot.org/uniprot/APR3_ARATH","APR3_ARATH")</f>
        <v>APR3_ARATH</v>
      </c>
      <c r="D2461" t="s">
        <v>2348</v>
      </c>
      <c r="E2461" s="3" t="s">
        <v>3</v>
      </c>
      <c r="F2461" s="4">
        <v>2.6200000000000002E-16</v>
      </c>
      <c r="G2461" s="3">
        <v>207</v>
      </c>
      <c r="H2461" s="3">
        <v>54</v>
      </c>
      <c r="I2461" s="3">
        <v>99</v>
      </c>
      <c r="J2461" s="3">
        <v>832</v>
      </c>
      <c r="K2461" s="3">
        <v>1128</v>
      </c>
      <c r="L2461" s="3">
        <v>24</v>
      </c>
      <c r="M2461" s="3">
        <v>116</v>
      </c>
    </row>
    <row r="2462" spans="1:13" x14ac:dyDescent="0.25">
      <c r="A2462" s="1" t="str">
        <f>HYPERLINK("http://www.rosaceae.org/Prunus/Prunus_persica/p.persica_gdr_reftransV1_0034466","p.persica_gdr_reftransV1_0034466")</f>
        <v>p.persica_gdr_reftransV1_0034466</v>
      </c>
      <c r="B2462" s="3">
        <v>990</v>
      </c>
      <c r="C2462" s="1" t="str">
        <f>HYPERLINK("http://www.uniprot.org/uniprot/ZMAT2_MOUSE","ZMAT2_MOUSE")</f>
        <v>ZMAT2_MOUSE</v>
      </c>
      <c r="D2462" t="s">
        <v>2349</v>
      </c>
      <c r="E2462" s="3" t="s">
        <v>157</v>
      </c>
      <c r="F2462" s="4">
        <v>2.5500000000000001E-38</v>
      </c>
      <c r="G2462" s="3">
        <v>354</v>
      </c>
      <c r="H2462" s="3">
        <v>51</v>
      </c>
      <c r="I2462" s="3">
        <v>150</v>
      </c>
      <c r="J2462" s="3">
        <v>392</v>
      </c>
      <c r="K2462" s="3">
        <v>829</v>
      </c>
      <c r="L2462" s="3">
        <v>3</v>
      </c>
      <c r="M2462" s="3">
        <v>146</v>
      </c>
    </row>
    <row r="2463" spans="1:13" x14ac:dyDescent="0.25">
      <c r="A2463" s="1" t="str">
        <f>HYPERLINK("http://www.rosaceae.org/Prunus/Prunus_persica/p.persica_gdr_reftransV1_0034616","p.persica_gdr_reftransV1_0034616")</f>
        <v>p.persica_gdr_reftransV1_0034616</v>
      </c>
      <c r="B2463" s="3">
        <v>882</v>
      </c>
      <c r="C2463" s="1" t="str">
        <f>HYPERLINK("http://www.uniprot.org/uniprot/R27A3_ARATH","R27A3_ARATH")</f>
        <v>R27A3_ARATH</v>
      </c>
      <c r="D2463" t="s">
        <v>2350</v>
      </c>
      <c r="E2463" s="3" t="s">
        <v>3</v>
      </c>
      <c r="F2463" s="4">
        <v>3.4099999999999998E-86</v>
      </c>
      <c r="G2463" s="3">
        <v>667</v>
      </c>
      <c r="H2463" s="3">
        <v>88</v>
      </c>
      <c r="I2463" s="3">
        <v>147</v>
      </c>
      <c r="J2463" s="3">
        <v>333</v>
      </c>
      <c r="K2463" s="3">
        <v>773</v>
      </c>
      <c r="L2463" s="3">
        <v>1</v>
      </c>
      <c r="M2463" s="3">
        <v>146</v>
      </c>
    </row>
    <row r="2464" spans="1:13" x14ac:dyDescent="0.25">
      <c r="A2464" s="1" t="str">
        <f>HYPERLINK("http://www.rosaceae.org/Prunus/Prunus_persica/p.persica_gdr_reftransV1_0034766","p.persica_gdr_reftransV1_0034766")</f>
        <v>p.persica_gdr_reftransV1_0034766</v>
      </c>
      <c r="B2464" s="3">
        <v>4271</v>
      </c>
      <c r="C2464" s="1" t="str">
        <f>HYPERLINK("http://www.uniprot.org/uniprot/UBA2A_ARATH","UBA2A_ARATH")</f>
        <v>UBA2A_ARATH</v>
      </c>
      <c r="D2464" t="s">
        <v>2351</v>
      </c>
      <c r="E2464" s="3" t="s">
        <v>3</v>
      </c>
      <c r="F2464" s="4">
        <v>1.3899999999999999E-115</v>
      </c>
      <c r="G2464" s="3">
        <v>970</v>
      </c>
      <c r="H2464" s="3">
        <v>74</v>
      </c>
      <c r="I2464" s="3">
        <v>257</v>
      </c>
      <c r="J2464" s="3">
        <v>476</v>
      </c>
      <c r="K2464" s="3">
        <v>1237</v>
      </c>
      <c r="L2464" s="3">
        <v>98</v>
      </c>
      <c r="M2464" s="3">
        <v>349</v>
      </c>
    </row>
    <row r="2465" spans="1:13" x14ac:dyDescent="0.25">
      <c r="A2465" s="1" t="str">
        <f>HYPERLINK("http://www.rosaceae.org/Prunus/Prunus_persica/p.persica_gdr_reftransV1_0034866","p.persica_gdr_reftransV1_0034866")</f>
        <v>p.persica_gdr_reftransV1_0034866</v>
      </c>
      <c r="B2465" s="3">
        <v>3321</v>
      </c>
      <c r="C2465" s="1" t="str">
        <f>HYPERLINK("http://www.uniprot.org/uniprot/PDAT2_ARATH","PDAT2_ARATH")</f>
        <v>PDAT2_ARATH</v>
      </c>
      <c r="D2465" t="s">
        <v>2352</v>
      </c>
      <c r="E2465" s="3" t="s">
        <v>3</v>
      </c>
      <c r="F2465" s="4">
        <v>0</v>
      </c>
      <c r="G2465" s="3">
        <v>2404</v>
      </c>
      <c r="H2465" s="3">
        <v>72</v>
      </c>
      <c r="I2465" s="3">
        <v>627</v>
      </c>
      <c r="J2465" s="3">
        <v>403</v>
      </c>
      <c r="K2465" s="3">
        <v>2271</v>
      </c>
      <c r="L2465" s="3">
        <v>41</v>
      </c>
      <c r="M2465" s="3">
        <v>665</v>
      </c>
    </row>
    <row r="2466" spans="1:13" x14ac:dyDescent="0.25">
      <c r="A2466" s="1" t="str">
        <f>HYPERLINK("http://www.rosaceae.org/Prunus/Prunus_persica/p.persica_gdr_reftransV1_0034916","p.persica_gdr_reftransV1_0034916")</f>
        <v>p.persica_gdr_reftransV1_0034916</v>
      </c>
      <c r="B2466" s="3">
        <v>4086</v>
      </c>
      <c r="C2466" s="1" t="str">
        <f>HYPERLINK("http://www.uniprot.org/uniprot/HFA4B_ORYSJ","HFA4B_ORYSJ")</f>
        <v>HFA4B_ORYSJ</v>
      </c>
      <c r="D2466" t="s">
        <v>2353</v>
      </c>
      <c r="E2466" s="3" t="s">
        <v>38</v>
      </c>
      <c r="F2466" s="4">
        <v>1.52E-50</v>
      </c>
      <c r="G2466" s="3">
        <v>485</v>
      </c>
      <c r="H2466" s="3">
        <v>35</v>
      </c>
      <c r="I2466" s="3">
        <v>378</v>
      </c>
      <c r="J2466" s="3">
        <v>2551</v>
      </c>
      <c r="K2466" s="3">
        <v>3657</v>
      </c>
      <c r="L2466" s="3">
        <v>65</v>
      </c>
      <c r="M2466" s="3">
        <v>435</v>
      </c>
    </row>
    <row r="2467" spans="1:13" x14ac:dyDescent="0.25">
      <c r="A2467" s="1" t="str">
        <f>HYPERLINK("http://www.rosaceae.org/Prunus/Prunus_persica/p.persica_gdr_reftransV1_0035016","p.persica_gdr_reftransV1_0035016")</f>
        <v>p.persica_gdr_reftransV1_0035016</v>
      </c>
      <c r="B2467" s="3">
        <v>2753</v>
      </c>
      <c r="C2467" s="1" t="str">
        <f>HYPERLINK("http://www.uniprot.org/uniprot/MAD16_ORYSJ","MAD16_ORYSJ")</f>
        <v>MAD16_ORYSJ</v>
      </c>
      <c r="D2467" t="s">
        <v>2354</v>
      </c>
      <c r="E2467" s="3" t="s">
        <v>38</v>
      </c>
      <c r="F2467" s="4">
        <v>1.8200000000000001E-13</v>
      </c>
      <c r="G2467" s="3">
        <v>183</v>
      </c>
      <c r="H2467" s="3">
        <v>54</v>
      </c>
      <c r="I2467" s="3">
        <v>68</v>
      </c>
      <c r="J2467" s="3">
        <v>483</v>
      </c>
      <c r="K2467" s="3">
        <v>683</v>
      </c>
      <c r="L2467" s="3">
        <v>1</v>
      </c>
      <c r="M2467" s="3">
        <v>62</v>
      </c>
    </row>
    <row r="2468" spans="1:13" x14ac:dyDescent="0.25">
      <c r="A2468" s="1" t="str">
        <f>HYPERLINK("http://www.rosaceae.org/Prunus/Prunus_persica/p.persica_gdr_reftransV1_0035066","p.persica_gdr_reftransV1_0035066")</f>
        <v>p.persica_gdr_reftransV1_0035066</v>
      </c>
      <c r="B2468" s="3">
        <v>5372</v>
      </c>
      <c r="C2468" s="1" t="str">
        <f>HYPERLINK("http://www.uniprot.org/uniprot/YGSA_SCHPO","YGSA_SCHPO")</f>
        <v>YGSA_SCHPO</v>
      </c>
      <c r="D2468" t="s">
        <v>2355</v>
      </c>
      <c r="E2468" s="3" t="s">
        <v>464</v>
      </c>
      <c r="F2468" s="4">
        <v>1.82E-83</v>
      </c>
      <c r="G2468" s="3">
        <v>791</v>
      </c>
      <c r="H2468" s="3">
        <v>31</v>
      </c>
      <c r="I2468" s="3">
        <v>829</v>
      </c>
      <c r="J2468" s="3">
        <v>1373</v>
      </c>
      <c r="K2468" s="3">
        <v>3802</v>
      </c>
      <c r="L2468" s="3">
        <v>1079</v>
      </c>
      <c r="M2468" s="3">
        <v>1780</v>
      </c>
    </row>
    <row r="2469" spans="1:13" x14ac:dyDescent="0.25">
      <c r="A2469" s="1" t="str">
        <f>HYPERLINK("http://www.rosaceae.org/Prunus/Prunus_persica/p.persica_gdr_reftransV1_0035166","p.persica_gdr_reftransV1_0035166")</f>
        <v>p.persica_gdr_reftransV1_0035166</v>
      </c>
      <c r="B2469" s="3">
        <v>3214</v>
      </c>
      <c r="C2469" s="1" t="str">
        <f>HYPERLINK("http://www.uniprot.org/uniprot/PP124_ARATH","PP124_ARATH")</f>
        <v>PP124_ARATH</v>
      </c>
      <c r="D2469" t="s">
        <v>2356</v>
      </c>
      <c r="E2469" s="3" t="s">
        <v>3</v>
      </c>
      <c r="F2469" s="4">
        <v>0</v>
      </c>
      <c r="G2469" s="3">
        <v>3352</v>
      </c>
      <c r="H2469" s="3">
        <v>74</v>
      </c>
      <c r="I2469" s="3">
        <v>856</v>
      </c>
      <c r="J2469" s="3">
        <v>498</v>
      </c>
      <c r="K2469" s="3">
        <v>3047</v>
      </c>
      <c r="L2469" s="3">
        <v>11</v>
      </c>
      <c r="M2469" s="3">
        <v>862</v>
      </c>
    </row>
    <row r="2470" spans="1:13" x14ac:dyDescent="0.25">
      <c r="A2470" s="1" t="str">
        <f>HYPERLINK("http://www.rosaceae.org/Prunus/Prunus_persica/p.persica_gdr_reftransV1_0035266","p.persica_gdr_reftransV1_0035266")</f>
        <v>p.persica_gdr_reftransV1_0035266</v>
      </c>
      <c r="B2470" s="3">
        <v>2893</v>
      </c>
      <c r="C2470" s="1" t="str">
        <f>HYPERLINK("http://www.uniprot.org/uniprot/SYQ_LUPLU","SYQ_LUPLU")</f>
        <v>SYQ_LUPLU</v>
      </c>
      <c r="D2470" t="s">
        <v>2357</v>
      </c>
      <c r="E2470" s="3" t="s">
        <v>2358</v>
      </c>
      <c r="F2470" s="4">
        <v>0</v>
      </c>
      <c r="G2470" s="3">
        <v>2625</v>
      </c>
      <c r="H2470" s="3">
        <v>81</v>
      </c>
      <c r="I2470" s="3">
        <v>593</v>
      </c>
      <c r="J2470" s="3">
        <v>237</v>
      </c>
      <c r="K2470" s="3">
        <v>2015</v>
      </c>
      <c r="L2470" s="3">
        <v>1</v>
      </c>
      <c r="M2470" s="3">
        <v>592</v>
      </c>
    </row>
    <row r="2471" spans="1:13" x14ac:dyDescent="0.25">
      <c r="A2471" s="1" t="str">
        <f>HYPERLINK("http://www.rosaceae.org/Prunus/Prunus_persica/p.persica_gdr_reftransV1_0035816","p.persica_gdr_reftransV1_0035816")</f>
        <v>p.persica_gdr_reftransV1_0035816</v>
      </c>
      <c r="B2471" s="3">
        <v>2615</v>
      </c>
      <c r="C2471" s="1" t="str">
        <f>HYPERLINK("http://www.uniprot.org/uniprot/NIK1_ARATH","NIK1_ARATH")</f>
        <v>NIK1_ARATH</v>
      </c>
      <c r="D2471" t="s">
        <v>2359</v>
      </c>
      <c r="E2471" s="3" t="s">
        <v>3</v>
      </c>
      <c r="F2471" s="4">
        <v>0</v>
      </c>
      <c r="G2471" s="3">
        <v>2388</v>
      </c>
      <c r="H2471" s="3">
        <v>73</v>
      </c>
      <c r="I2471" s="3">
        <v>623</v>
      </c>
      <c r="J2471" s="3">
        <v>398</v>
      </c>
      <c r="K2471" s="3">
        <v>2245</v>
      </c>
      <c r="L2471" s="3">
        <v>16</v>
      </c>
      <c r="M2471" s="3">
        <v>638</v>
      </c>
    </row>
    <row r="2472" spans="1:13" x14ac:dyDescent="0.25">
      <c r="A2472" s="1" t="str">
        <f>HYPERLINK("http://www.rosaceae.org/Prunus/Prunus_persica/p.persica_gdr_reftransV1_0035966","p.persica_gdr_reftransV1_0035966")</f>
        <v>p.persica_gdr_reftransV1_0035966</v>
      </c>
      <c r="B2472" s="3">
        <v>1680</v>
      </c>
      <c r="C2472" s="1" t="str">
        <f>HYPERLINK("http://www.uniprot.org/uniprot/PAP7_ARATH","PAP7_ARATH")</f>
        <v>PAP7_ARATH</v>
      </c>
      <c r="D2472" t="s">
        <v>746</v>
      </c>
      <c r="E2472" s="3" t="s">
        <v>3</v>
      </c>
      <c r="F2472" s="4">
        <v>9.5000000000000006E-40</v>
      </c>
      <c r="G2472" s="3">
        <v>379</v>
      </c>
      <c r="H2472" s="3">
        <v>48</v>
      </c>
      <c r="I2472" s="3">
        <v>181</v>
      </c>
      <c r="J2472" s="3">
        <v>228</v>
      </c>
      <c r="K2472" s="3">
        <v>728</v>
      </c>
      <c r="L2472" s="3">
        <v>1</v>
      </c>
      <c r="M2472" s="3">
        <v>175</v>
      </c>
    </row>
    <row r="2473" spans="1:13" x14ac:dyDescent="0.25">
      <c r="A2473" s="1" t="str">
        <f>HYPERLINK("http://www.rosaceae.org/Prunus/Prunus_persica/p.persica_gdr_reftransV1_0036166","p.persica_gdr_reftransV1_0036166")</f>
        <v>p.persica_gdr_reftransV1_0036166</v>
      </c>
      <c r="B2473" s="3">
        <v>3217</v>
      </c>
      <c r="C2473" s="1" t="str">
        <f>HYPERLINK("http://www.uniprot.org/uniprot/JMJ25_ARATH","JMJ25_ARATH")</f>
        <v>JMJ25_ARATH</v>
      </c>
      <c r="D2473" t="s">
        <v>1512</v>
      </c>
      <c r="E2473" s="3" t="s">
        <v>3</v>
      </c>
      <c r="F2473" s="4">
        <v>4.3900000000000001E-131</v>
      </c>
      <c r="G2473" s="3">
        <v>1106</v>
      </c>
      <c r="H2473" s="3">
        <v>47</v>
      </c>
      <c r="I2473" s="3">
        <v>516</v>
      </c>
      <c r="J2473" s="3">
        <v>884</v>
      </c>
      <c r="K2473" s="3">
        <v>2419</v>
      </c>
      <c r="L2473" s="3">
        <v>408</v>
      </c>
      <c r="M2473" s="3">
        <v>875</v>
      </c>
    </row>
    <row r="2474" spans="1:13" x14ac:dyDescent="0.25">
      <c r="A2474" s="1" t="str">
        <f>HYPERLINK("http://www.rosaceae.org/Prunus/Prunus_persica/p.persica_gdr_reftransV1_0036616","p.persica_gdr_reftransV1_0036616")</f>
        <v>p.persica_gdr_reftransV1_0036616</v>
      </c>
      <c r="B2474" s="3">
        <v>2266</v>
      </c>
      <c r="C2474" s="1" t="str">
        <f>HYPERLINK("http://www.uniprot.org/uniprot/PARG1_ARATH","PARG1_ARATH")</f>
        <v>PARG1_ARATH</v>
      </c>
      <c r="D2474" t="s">
        <v>2360</v>
      </c>
      <c r="E2474" s="3" t="s">
        <v>3</v>
      </c>
      <c r="F2474" s="4">
        <v>3.8400000000000002E-113</v>
      </c>
      <c r="G2474" s="3">
        <v>790</v>
      </c>
      <c r="H2474" s="3">
        <v>60</v>
      </c>
      <c r="I2474" s="3">
        <v>262</v>
      </c>
      <c r="J2474" s="3">
        <v>177</v>
      </c>
      <c r="K2474" s="3">
        <v>956</v>
      </c>
      <c r="L2474" s="3">
        <v>273</v>
      </c>
      <c r="M2474" s="3">
        <v>533</v>
      </c>
    </row>
    <row r="2475" spans="1:13" x14ac:dyDescent="0.25">
      <c r="A2475" s="1" t="str">
        <f>HYPERLINK("http://www.rosaceae.org/Prunus/Prunus_persica/p.persica_gdr_reftransV1_0036966","p.persica_gdr_reftransV1_0036966")</f>
        <v>p.persica_gdr_reftransV1_0036966</v>
      </c>
      <c r="B2475" s="3">
        <v>2134</v>
      </c>
      <c r="C2475" s="1" t="str">
        <f>HYPERLINK("http://www.uniprot.org/uniprot/SCL3_ARATH","SCL3_ARATH")</f>
        <v>SCL3_ARATH</v>
      </c>
      <c r="D2475" t="s">
        <v>2361</v>
      </c>
      <c r="E2475" s="3" t="s">
        <v>3</v>
      </c>
      <c r="F2475" s="4">
        <v>0</v>
      </c>
      <c r="G2475" s="3">
        <v>1508</v>
      </c>
      <c r="H2475" s="3">
        <v>63</v>
      </c>
      <c r="I2475" s="3">
        <v>480</v>
      </c>
      <c r="J2475" s="3">
        <v>467</v>
      </c>
      <c r="K2475" s="3">
        <v>1843</v>
      </c>
      <c r="L2475" s="3">
        <v>4</v>
      </c>
      <c r="M2475" s="3">
        <v>482</v>
      </c>
    </row>
    <row r="2476" spans="1:13" x14ac:dyDescent="0.25">
      <c r="A2476" s="1" t="str">
        <f>HYPERLINK("http://www.rosaceae.org/Prunus/Prunus_persica/p.persica_gdr_reftransV1_0037166","p.persica_gdr_reftransV1_0037166")</f>
        <v>p.persica_gdr_reftransV1_0037166</v>
      </c>
      <c r="B2476" s="3">
        <v>3764</v>
      </c>
      <c r="C2476" s="1" t="str">
        <f>HYPERLINK("http://www.uniprot.org/uniprot/Y1342_ARATH","Y1342_ARATH")</f>
        <v>Y1342_ARATH</v>
      </c>
      <c r="D2476" t="s">
        <v>2362</v>
      </c>
      <c r="E2476" s="3" t="s">
        <v>3</v>
      </c>
      <c r="F2476" s="4">
        <v>2.1700000000000001E-60</v>
      </c>
      <c r="G2476" s="3">
        <v>575</v>
      </c>
      <c r="H2476" s="3">
        <v>46</v>
      </c>
      <c r="I2476" s="3">
        <v>258</v>
      </c>
      <c r="J2476" s="3">
        <v>2615</v>
      </c>
      <c r="K2476" s="3">
        <v>3343</v>
      </c>
      <c r="L2476" s="3">
        <v>440</v>
      </c>
      <c r="M2476" s="3">
        <v>691</v>
      </c>
    </row>
    <row r="2477" spans="1:13" x14ac:dyDescent="0.25">
      <c r="A2477" s="1" t="str">
        <f>HYPERLINK("http://www.rosaceae.org/Prunus/Prunus_persica/p.persica_gdr_reftransV1_0037516","p.persica_gdr_reftransV1_0037516")</f>
        <v>p.persica_gdr_reftransV1_0037516</v>
      </c>
      <c r="B2477" s="3">
        <v>1417</v>
      </c>
      <c r="C2477" s="1" t="str">
        <f>HYPERLINK("http://www.uniprot.org/uniprot/TAF7_ARATH","TAF7_ARATH")</f>
        <v>TAF7_ARATH</v>
      </c>
      <c r="D2477" t="s">
        <v>2363</v>
      </c>
      <c r="E2477" s="3" t="s">
        <v>3</v>
      </c>
      <c r="F2477" s="4">
        <v>8.6600000000000004E-73</v>
      </c>
      <c r="G2477" s="3">
        <v>602</v>
      </c>
      <c r="H2477" s="3">
        <v>69</v>
      </c>
      <c r="I2477" s="3">
        <v>168</v>
      </c>
      <c r="J2477" s="3">
        <v>735</v>
      </c>
      <c r="K2477" s="3">
        <v>1217</v>
      </c>
      <c r="L2477" s="3">
        <v>1</v>
      </c>
      <c r="M2477" s="3">
        <v>168</v>
      </c>
    </row>
    <row r="2478" spans="1:13" x14ac:dyDescent="0.25">
      <c r="A2478" s="1" t="str">
        <f>HYPERLINK("http://www.rosaceae.org/Prunus/Prunus_persica/p.persica_gdr_reftransV1_0037616","p.persica_gdr_reftransV1_0037616")</f>
        <v>p.persica_gdr_reftransV1_0037616</v>
      </c>
      <c r="B2478" s="3">
        <v>970</v>
      </c>
      <c r="C2478" s="1" t="str">
        <f>HYPERLINK("http://www.uniprot.org/uniprot/C724B_ORYSJ","C724B_ORYSJ")</f>
        <v>C724B_ORYSJ</v>
      </c>
      <c r="D2478" t="s">
        <v>2364</v>
      </c>
      <c r="E2478" s="3" t="s">
        <v>38</v>
      </c>
      <c r="F2478" s="4">
        <v>1.3100000000000001E-148</v>
      </c>
      <c r="G2478" s="3">
        <v>1115</v>
      </c>
      <c r="H2478" s="3">
        <v>67</v>
      </c>
      <c r="I2478" s="3">
        <v>308</v>
      </c>
      <c r="J2478" s="3">
        <v>43</v>
      </c>
      <c r="K2478" s="3">
        <v>966</v>
      </c>
      <c r="L2478" s="3">
        <v>177</v>
      </c>
      <c r="M2478" s="3">
        <v>474</v>
      </c>
    </row>
    <row r="2479" spans="1:13" x14ac:dyDescent="0.25">
      <c r="A2479" s="1" t="str">
        <f>HYPERLINK("http://www.rosaceae.org/Prunus/Prunus_persica/p.persica_gdr_reftransV1_0037716","p.persica_gdr_reftransV1_0037716")</f>
        <v>p.persica_gdr_reftransV1_0037716</v>
      </c>
      <c r="B2479" s="3">
        <v>1534</v>
      </c>
      <c r="C2479" s="1" t="str">
        <f>HYPERLINK("http://www.uniprot.org/uniprot/COB22_ARATH","COB22_ARATH")</f>
        <v>COB22_ARATH</v>
      </c>
      <c r="D2479" t="s">
        <v>2365</v>
      </c>
      <c r="E2479" s="3" t="s">
        <v>3</v>
      </c>
      <c r="F2479" s="4">
        <v>3.5000000000000002E-157</v>
      </c>
      <c r="G2479" s="3">
        <v>1230</v>
      </c>
      <c r="H2479" s="3">
        <v>76</v>
      </c>
      <c r="I2479" s="3">
        <v>285</v>
      </c>
      <c r="J2479" s="3">
        <v>615</v>
      </c>
      <c r="K2479" s="3">
        <v>1469</v>
      </c>
      <c r="L2479" s="3">
        <v>1</v>
      </c>
      <c r="M2479" s="3">
        <v>285</v>
      </c>
    </row>
    <row r="2480" spans="1:13" x14ac:dyDescent="0.25">
      <c r="A2480" s="1" t="str">
        <f>HYPERLINK("http://www.rosaceae.org/Prunus/Prunus_persica/p.persica_gdr_reftransV1_0038166","p.persica_gdr_reftransV1_0038166")</f>
        <v>p.persica_gdr_reftransV1_0038166</v>
      </c>
      <c r="B2480" s="3">
        <v>451</v>
      </c>
      <c r="C2480" s="1" t="str">
        <f>HYPERLINK("http://www.uniprot.org/uniprot/PP251_ARATH","PP251_ARATH")</f>
        <v>PP251_ARATH</v>
      </c>
      <c r="D2480" t="s">
        <v>1144</v>
      </c>
      <c r="E2480" s="3" t="s">
        <v>3</v>
      </c>
      <c r="F2480" s="4">
        <v>4.3800000000000001E-33</v>
      </c>
      <c r="G2480" s="3">
        <v>320</v>
      </c>
      <c r="H2480" s="3">
        <v>40</v>
      </c>
      <c r="I2480" s="3">
        <v>149</v>
      </c>
      <c r="J2480" s="3">
        <v>3</v>
      </c>
      <c r="K2480" s="3">
        <v>449</v>
      </c>
      <c r="L2480" s="3">
        <v>263</v>
      </c>
      <c r="M2480" s="3">
        <v>411</v>
      </c>
    </row>
    <row r="2481" spans="1:13" x14ac:dyDescent="0.25">
      <c r="A2481" s="1" t="str">
        <f>HYPERLINK("http://www.rosaceae.org/Prunus/Prunus_persica/p.persica_gdr_reftransV1_0038266","p.persica_gdr_reftransV1_0038266")</f>
        <v>p.persica_gdr_reftransV1_0038266</v>
      </c>
      <c r="B2481" s="3">
        <v>3195</v>
      </c>
      <c r="C2481" s="1" t="str">
        <f>HYPERLINK("http://www.uniprot.org/uniprot/PGLR_VITVI","PGLR_VITVI")</f>
        <v>PGLR_VITVI</v>
      </c>
      <c r="D2481" t="s">
        <v>2366</v>
      </c>
      <c r="E2481" s="3" t="s">
        <v>362</v>
      </c>
      <c r="F2481" s="4">
        <v>2.6100000000000001E-69</v>
      </c>
      <c r="G2481" s="3">
        <v>624</v>
      </c>
      <c r="H2481" s="3">
        <v>52</v>
      </c>
      <c r="I2481" s="3">
        <v>230</v>
      </c>
      <c r="J2481" s="3">
        <v>199</v>
      </c>
      <c r="K2481" s="3">
        <v>861</v>
      </c>
      <c r="L2481" s="3">
        <v>39</v>
      </c>
      <c r="M2481" s="3">
        <v>268</v>
      </c>
    </row>
    <row r="2482" spans="1:13" x14ac:dyDescent="0.25">
      <c r="A2482" s="1" t="str">
        <f>HYPERLINK("http://www.rosaceae.org/Prunus/Prunus_persica/p.persica_gdr_reftransV1_0038616","p.persica_gdr_reftransV1_0038616")</f>
        <v>p.persica_gdr_reftransV1_0038616</v>
      </c>
      <c r="B2482" s="3">
        <v>2800</v>
      </c>
      <c r="C2482" s="1" t="str">
        <f>HYPERLINK("http://www.uniprot.org/uniprot/DUS1_ARATH","DUS1_ARATH")</f>
        <v>DUS1_ARATH</v>
      </c>
      <c r="D2482" t="s">
        <v>2367</v>
      </c>
      <c r="E2482" s="3" t="s">
        <v>3</v>
      </c>
      <c r="F2482" s="4">
        <v>2.1200000000000002E-22</v>
      </c>
      <c r="G2482" s="3">
        <v>252</v>
      </c>
      <c r="H2482" s="3">
        <v>52</v>
      </c>
      <c r="I2482" s="3">
        <v>82</v>
      </c>
      <c r="J2482" s="3">
        <v>147</v>
      </c>
      <c r="K2482" s="3">
        <v>392</v>
      </c>
      <c r="L2482" s="3">
        <v>20</v>
      </c>
      <c r="M2482" s="3">
        <v>101</v>
      </c>
    </row>
    <row r="2483" spans="1:13" x14ac:dyDescent="0.25">
      <c r="A2483" s="1" t="str">
        <f>HYPERLINK("http://www.rosaceae.org/Prunus/Prunus_persica/p.persica_gdr_reftransV1_0038716","p.persica_gdr_reftransV1_0038716")</f>
        <v>p.persica_gdr_reftransV1_0038716</v>
      </c>
      <c r="B2483" s="3">
        <v>1609</v>
      </c>
      <c r="C2483" s="1" t="str">
        <f>HYPERLINK("http://www.uniprot.org/uniprot/SBP3_ARATH","SBP3_ARATH")</f>
        <v>SBP3_ARATH</v>
      </c>
      <c r="D2483" t="s">
        <v>2368</v>
      </c>
      <c r="E2483" s="3" t="s">
        <v>3</v>
      </c>
      <c r="F2483" s="4">
        <v>2.0400000000000002E-49</v>
      </c>
      <c r="G2483" s="3">
        <v>433</v>
      </c>
      <c r="H2483" s="3">
        <v>80</v>
      </c>
      <c r="I2483" s="3">
        <v>100</v>
      </c>
      <c r="J2483" s="3">
        <v>1202</v>
      </c>
      <c r="K2483" s="3">
        <v>1501</v>
      </c>
      <c r="L2483" s="3">
        <v>1</v>
      </c>
      <c r="M2483" s="3">
        <v>100</v>
      </c>
    </row>
    <row r="2484" spans="1:13" x14ac:dyDescent="0.25">
      <c r="A2484" s="1" t="str">
        <f>HYPERLINK("http://www.rosaceae.org/Prunus/Prunus_persica/p.persica_gdr_reftransV1_0039266","p.persica_gdr_reftransV1_0039266")</f>
        <v>p.persica_gdr_reftransV1_0039266</v>
      </c>
      <c r="B2484" s="3">
        <v>801</v>
      </c>
      <c r="C2484" s="1" t="str">
        <f>HYPERLINK("http://www.uniprot.org/uniprot/JMJ25_ARATH","JMJ25_ARATH")</f>
        <v>JMJ25_ARATH</v>
      </c>
      <c r="D2484" t="s">
        <v>1512</v>
      </c>
      <c r="E2484" s="3" t="s">
        <v>3</v>
      </c>
      <c r="F2484" s="4">
        <v>2.23E-64</v>
      </c>
      <c r="G2484" s="3">
        <v>564</v>
      </c>
      <c r="H2484" s="3">
        <v>72</v>
      </c>
      <c r="I2484" s="3">
        <v>151</v>
      </c>
      <c r="J2484" s="3">
        <v>248</v>
      </c>
      <c r="K2484" s="3">
        <v>700</v>
      </c>
      <c r="L2484" s="3">
        <v>742</v>
      </c>
      <c r="M2484" s="3">
        <v>892</v>
      </c>
    </row>
    <row r="2485" spans="1:13" x14ac:dyDescent="0.25">
      <c r="A2485" s="1" t="str">
        <f>HYPERLINK("http://www.rosaceae.org/Prunus/Prunus_persica/p.persica_gdr_reftransV1_0039466","p.persica_gdr_reftransV1_0039466")</f>
        <v>p.persica_gdr_reftransV1_0039466</v>
      </c>
      <c r="B2485" s="3">
        <v>1933</v>
      </c>
      <c r="C2485" s="1" t="str">
        <f>HYPERLINK("http://www.uniprot.org/uniprot/P2C78_ORYSJ","P2C78_ORYSJ")</f>
        <v>P2C78_ORYSJ</v>
      </c>
      <c r="D2485" t="s">
        <v>2369</v>
      </c>
      <c r="E2485" s="3" t="s">
        <v>38</v>
      </c>
      <c r="F2485" s="4">
        <v>1.69E-167</v>
      </c>
      <c r="G2485" s="3">
        <v>1264</v>
      </c>
      <c r="H2485" s="3">
        <v>70</v>
      </c>
      <c r="I2485" s="3">
        <v>349</v>
      </c>
      <c r="J2485" s="3">
        <v>338</v>
      </c>
      <c r="K2485" s="3">
        <v>1384</v>
      </c>
      <c r="L2485" s="3">
        <v>29</v>
      </c>
      <c r="M2485" s="3">
        <v>377</v>
      </c>
    </row>
    <row r="2486" spans="1:13" x14ac:dyDescent="0.25">
      <c r="A2486" s="1" t="str">
        <f>HYPERLINK("http://www.rosaceae.org/Prunus/Prunus_persica/p.persica_gdr_reftransV1_0039566","p.persica_gdr_reftransV1_0039566")</f>
        <v>p.persica_gdr_reftransV1_0039566</v>
      </c>
      <c r="B2486" s="3">
        <v>1706</v>
      </c>
      <c r="C2486" s="1" t="str">
        <f>HYPERLINK("http://www.uniprot.org/uniprot/UNE12_ARATH","UNE12_ARATH")</f>
        <v>UNE12_ARATH</v>
      </c>
      <c r="D2486" t="s">
        <v>2370</v>
      </c>
      <c r="E2486" s="3" t="s">
        <v>3</v>
      </c>
      <c r="F2486" s="4">
        <v>6.1799999999999997E-104</v>
      </c>
      <c r="G2486" s="3">
        <v>826</v>
      </c>
      <c r="H2486" s="3">
        <v>71</v>
      </c>
      <c r="I2486" s="3">
        <v>309</v>
      </c>
      <c r="J2486" s="3">
        <v>632</v>
      </c>
      <c r="K2486" s="3">
        <v>1519</v>
      </c>
      <c r="L2486" s="3">
        <v>3</v>
      </c>
      <c r="M2486" s="3">
        <v>309</v>
      </c>
    </row>
    <row r="2487" spans="1:13" x14ac:dyDescent="0.25">
      <c r="A2487" s="1" t="str">
        <f>HYPERLINK("http://www.rosaceae.org/Prunus/Prunus_persica/p.persica_gdr_reftransV1_0039966","p.persica_gdr_reftransV1_0039966")</f>
        <v>p.persica_gdr_reftransV1_0039966</v>
      </c>
      <c r="B2487" s="3">
        <v>385</v>
      </c>
      <c r="C2487" s="1" t="str">
        <f>HYPERLINK("http://www.uniprot.org/uniprot/TMVRN_NICGU","TMVRN_NICGU")</f>
        <v>TMVRN_NICGU</v>
      </c>
      <c r="D2487" t="s">
        <v>151</v>
      </c>
      <c r="E2487" s="3" t="s">
        <v>152</v>
      </c>
      <c r="F2487" s="4">
        <v>6.9099999999999997E-25</v>
      </c>
      <c r="G2487" s="3">
        <v>259</v>
      </c>
      <c r="H2487" s="3">
        <v>66</v>
      </c>
      <c r="I2487" s="3">
        <v>74</v>
      </c>
      <c r="J2487" s="3">
        <v>163</v>
      </c>
      <c r="K2487" s="3">
        <v>384</v>
      </c>
      <c r="L2487" s="3">
        <v>18</v>
      </c>
      <c r="M2487" s="3">
        <v>91</v>
      </c>
    </row>
    <row r="2488" spans="1:13" x14ac:dyDescent="0.25">
      <c r="A2488" s="1" t="str">
        <f>HYPERLINK("http://www.rosaceae.org/Prunus/Prunus_persica/p.persica_gdr_reftransV1_0040066","p.persica_gdr_reftransV1_0040066")</f>
        <v>p.persica_gdr_reftransV1_0040066</v>
      </c>
      <c r="B2488" s="3">
        <v>6691</v>
      </c>
      <c r="C2488" s="1" t="str">
        <f>HYPERLINK("http://www.uniprot.org/uniprot/PQQL_ECOLI","PQQL_ECOLI")</f>
        <v>PQQL_ECOLI</v>
      </c>
      <c r="D2488" t="s">
        <v>2371</v>
      </c>
      <c r="E2488" s="3" t="s">
        <v>2372</v>
      </c>
      <c r="F2488" s="4">
        <v>3.9700000000000002E-26</v>
      </c>
      <c r="G2488" s="3">
        <v>304</v>
      </c>
      <c r="H2488" s="3">
        <v>32</v>
      </c>
      <c r="I2488" s="3">
        <v>215</v>
      </c>
      <c r="J2488" s="3">
        <v>2818</v>
      </c>
      <c r="K2488" s="3">
        <v>3432</v>
      </c>
      <c r="L2488" s="3">
        <v>24</v>
      </c>
      <c r="M2488" s="3">
        <v>234</v>
      </c>
    </row>
    <row r="2489" spans="1:13" x14ac:dyDescent="0.25">
      <c r="A2489" s="1" t="str">
        <f>HYPERLINK("http://www.rosaceae.org/Prunus/Prunus_persica/p.persica_gdr_reftransV1_0040116","p.persica_gdr_reftransV1_0040116")</f>
        <v>p.persica_gdr_reftransV1_0040116</v>
      </c>
      <c r="B2489" s="3">
        <v>2947</v>
      </c>
      <c r="C2489" s="1" t="str">
        <f>HYPERLINK("http://www.uniprot.org/uniprot/Y3078_ARATH","Y3078_ARATH")</f>
        <v>Y3078_ARATH</v>
      </c>
      <c r="D2489" t="s">
        <v>2373</v>
      </c>
      <c r="E2489" s="3" t="s">
        <v>3</v>
      </c>
      <c r="F2489" s="4">
        <v>0</v>
      </c>
      <c r="G2489" s="3">
        <v>1677</v>
      </c>
      <c r="H2489" s="3">
        <v>67</v>
      </c>
      <c r="I2489" s="3">
        <v>527</v>
      </c>
      <c r="J2489" s="3">
        <v>497</v>
      </c>
      <c r="K2489" s="3">
        <v>2074</v>
      </c>
      <c r="L2489" s="3">
        <v>1</v>
      </c>
      <c r="M2489" s="3">
        <v>507</v>
      </c>
    </row>
    <row r="2490" spans="1:13" x14ac:dyDescent="0.25">
      <c r="A2490" s="1" t="str">
        <f>HYPERLINK("http://www.rosaceae.org/Prunus/Prunus_persica/p.persica_gdr_reftransV1_0040416","p.persica_gdr_reftransV1_0040416")</f>
        <v>p.persica_gdr_reftransV1_0040416</v>
      </c>
      <c r="B2490" s="3">
        <v>5369</v>
      </c>
      <c r="C2490" s="1" t="str">
        <f>HYPERLINK("http://www.uniprot.org/uniprot/DME_ARATH","DME_ARATH")</f>
        <v>DME_ARATH</v>
      </c>
      <c r="D2490" t="s">
        <v>26</v>
      </c>
      <c r="E2490" s="3" t="s">
        <v>3</v>
      </c>
      <c r="F2490" s="4">
        <v>2.6299999999999998E-178</v>
      </c>
      <c r="G2490" s="3">
        <v>1538</v>
      </c>
      <c r="H2490" s="3">
        <v>47</v>
      </c>
      <c r="I2490" s="3">
        <v>793</v>
      </c>
      <c r="J2490" s="3">
        <v>3024</v>
      </c>
      <c r="K2490" s="3">
        <v>5369</v>
      </c>
      <c r="L2490" s="3">
        <v>891</v>
      </c>
      <c r="M2490" s="3">
        <v>1656</v>
      </c>
    </row>
    <row r="2491" spans="1:13" x14ac:dyDescent="0.25">
      <c r="A2491" s="1" t="str">
        <f>HYPERLINK("http://www.rosaceae.org/Prunus/Prunus_persica/p.persica_gdr_reftransV1_0040466","p.persica_gdr_reftransV1_0040466")</f>
        <v>p.persica_gdr_reftransV1_0040466</v>
      </c>
      <c r="B2491" s="3">
        <v>2361</v>
      </c>
      <c r="C2491" s="1" t="str">
        <f>HYPERLINK("http://www.uniprot.org/uniprot/PPO_MALDO","PPO_MALDO")</f>
        <v>PPO_MALDO</v>
      </c>
      <c r="D2491" t="s">
        <v>2145</v>
      </c>
      <c r="E2491" s="3" t="s">
        <v>540</v>
      </c>
      <c r="F2491" s="4">
        <v>2.7199999999999999E-21</v>
      </c>
      <c r="G2491" s="3">
        <v>255</v>
      </c>
      <c r="H2491" s="3">
        <v>56</v>
      </c>
      <c r="I2491" s="3">
        <v>146</v>
      </c>
      <c r="J2491" s="3">
        <v>1680</v>
      </c>
      <c r="K2491" s="3">
        <v>2105</v>
      </c>
      <c r="L2491" s="3">
        <v>449</v>
      </c>
      <c r="M2491" s="3">
        <v>591</v>
      </c>
    </row>
    <row r="2492" spans="1:13" x14ac:dyDescent="0.25">
      <c r="A2492" s="1" t="str">
        <f>HYPERLINK("http://www.rosaceae.org/Prunus/Prunus_persica/p.persica_gdr_reftransV1_0040516","p.persica_gdr_reftransV1_0040516")</f>
        <v>p.persica_gdr_reftransV1_0040516</v>
      </c>
      <c r="B2492" s="3">
        <v>2636</v>
      </c>
      <c r="C2492" s="1" t="str">
        <f>HYPERLINK("http://www.uniprot.org/uniprot/Y1491_ARATH","Y1491_ARATH")</f>
        <v>Y1491_ARATH</v>
      </c>
      <c r="D2492" t="s">
        <v>310</v>
      </c>
      <c r="E2492" s="3" t="s">
        <v>3</v>
      </c>
      <c r="F2492" s="4">
        <v>1.4400000000000001E-25</v>
      </c>
      <c r="G2492" s="3">
        <v>288</v>
      </c>
      <c r="H2492" s="3">
        <v>30</v>
      </c>
      <c r="I2492" s="3">
        <v>301</v>
      </c>
      <c r="J2492" s="3">
        <v>305</v>
      </c>
      <c r="K2492" s="3">
        <v>1183</v>
      </c>
      <c r="L2492" s="3">
        <v>223</v>
      </c>
      <c r="M2492" s="3">
        <v>477</v>
      </c>
    </row>
    <row r="2493" spans="1:13" x14ac:dyDescent="0.25">
      <c r="A2493" s="1" t="str">
        <f>HYPERLINK("http://www.rosaceae.org/Prunus/Prunus_persica/p.persica_gdr_reftransV1_0040566","p.persica_gdr_reftransV1_0040566")</f>
        <v>p.persica_gdr_reftransV1_0040566</v>
      </c>
      <c r="B2493" s="3">
        <v>1006</v>
      </c>
      <c r="C2493" s="1" t="str">
        <f>HYPERLINK("http://www.uniprot.org/uniprot/IAA31_ARATH","IAA31_ARATH")</f>
        <v>IAA31_ARATH</v>
      </c>
      <c r="D2493" t="s">
        <v>2374</v>
      </c>
      <c r="E2493" s="3" t="s">
        <v>3</v>
      </c>
      <c r="F2493" s="4">
        <v>5.6199999999999997E-39</v>
      </c>
      <c r="G2493" s="3">
        <v>355</v>
      </c>
      <c r="H2493" s="3">
        <v>55</v>
      </c>
      <c r="I2493" s="3">
        <v>123</v>
      </c>
      <c r="J2493" s="3">
        <v>291</v>
      </c>
      <c r="K2493" s="3">
        <v>644</v>
      </c>
      <c r="L2493" s="3">
        <v>39</v>
      </c>
      <c r="M2493" s="3">
        <v>157</v>
      </c>
    </row>
    <row r="2494" spans="1:13" x14ac:dyDescent="0.25">
      <c r="A2494" s="1" t="str">
        <f>HYPERLINK("http://www.rosaceae.org/Prunus/Prunus_persica/p.persica_gdr_reftransV1_0040616","p.persica_gdr_reftransV1_0040616")</f>
        <v>p.persica_gdr_reftransV1_0040616</v>
      </c>
      <c r="B2494" s="3">
        <v>2841</v>
      </c>
      <c r="C2494" s="1" t="str">
        <f>HYPERLINK("http://www.uniprot.org/uniprot/TB22B_HUMAN","TB22B_HUMAN")</f>
        <v>TB22B_HUMAN</v>
      </c>
      <c r="D2494" t="s">
        <v>2375</v>
      </c>
      <c r="E2494" s="3" t="s">
        <v>28</v>
      </c>
      <c r="F2494" s="4">
        <v>5.0699999999999998E-69</v>
      </c>
      <c r="G2494" s="3">
        <v>622</v>
      </c>
      <c r="H2494" s="3">
        <v>53</v>
      </c>
      <c r="I2494" s="3">
        <v>221</v>
      </c>
      <c r="J2494" s="3">
        <v>1679</v>
      </c>
      <c r="K2494" s="3">
        <v>2341</v>
      </c>
      <c r="L2494" s="3">
        <v>182</v>
      </c>
      <c r="M2494" s="3">
        <v>399</v>
      </c>
    </row>
    <row r="2495" spans="1:13" x14ac:dyDescent="0.25">
      <c r="A2495" s="1" t="str">
        <f>HYPERLINK("http://www.rosaceae.org/Prunus/Prunus_persica/p.persica_gdr_reftransV1_0040916","p.persica_gdr_reftransV1_0040916")</f>
        <v>p.persica_gdr_reftransV1_0040916</v>
      </c>
      <c r="B2495" s="3">
        <v>1330</v>
      </c>
      <c r="C2495" s="1" t="str">
        <f>HYPERLINK("http://www.uniprot.org/uniprot/GRF5_ORYSJ","GRF5_ORYSJ")</f>
        <v>GRF5_ORYSJ</v>
      </c>
      <c r="D2495" t="s">
        <v>2376</v>
      </c>
      <c r="E2495" s="3" t="s">
        <v>38</v>
      </c>
      <c r="F2495" s="4">
        <v>1.6999999999999999E-82</v>
      </c>
      <c r="G2495" s="3">
        <v>675</v>
      </c>
      <c r="H2495" s="3">
        <v>47</v>
      </c>
      <c r="I2495" s="3">
        <v>325</v>
      </c>
      <c r="J2495" s="3">
        <v>450</v>
      </c>
      <c r="K2495" s="3">
        <v>1313</v>
      </c>
      <c r="L2495" s="3">
        <v>25</v>
      </c>
      <c r="M2495" s="3">
        <v>344</v>
      </c>
    </row>
    <row r="2496" spans="1:13" x14ac:dyDescent="0.25">
      <c r="A2496" s="1" t="str">
        <f>HYPERLINK("http://www.rosaceae.org/Prunus/Prunus_persica/p.persica_gdr_reftransV1_0041166","p.persica_gdr_reftransV1_0041166")</f>
        <v>p.persica_gdr_reftransV1_0041166</v>
      </c>
      <c r="B2496" s="3">
        <v>2591</v>
      </c>
      <c r="C2496" s="1" t="str">
        <f>HYPERLINK("http://www.uniprot.org/uniprot/SNP33_ARATH","SNP33_ARATH")</f>
        <v>SNP33_ARATH</v>
      </c>
      <c r="D2496" t="s">
        <v>2377</v>
      </c>
      <c r="E2496" s="3" t="s">
        <v>3</v>
      </c>
      <c r="F2496" s="4">
        <v>2.2699999999999999E-47</v>
      </c>
      <c r="G2496" s="3">
        <v>444</v>
      </c>
      <c r="H2496" s="3">
        <v>71</v>
      </c>
      <c r="I2496" s="3">
        <v>143</v>
      </c>
      <c r="J2496" s="3">
        <v>28</v>
      </c>
      <c r="K2496" s="3">
        <v>453</v>
      </c>
      <c r="L2496" s="3">
        <v>158</v>
      </c>
      <c r="M2496" s="3">
        <v>300</v>
      </c>
    </row>
    <row r="2497" spans="1:13" x14ac:dyDescent="0.25">
      <c r="A2497" s="1" t="str">
        <f>HYPERLINK("http://www.rosaceae.org/Prunus/Prunus_persica/p.persica_gdr_reftransV1_0041316","p.persica_gdr_reftransV1_0041316")</f>
        <v>p.persica_gdr_reftransV1_0041316</v>
      </c>
      <c r="B2497" s="3">
        <v>1852</v>
      </c>
      <c r="C2497" s="1" t="str">
        <f>HYPERLINK("http://www.uniprot.org/uniprot/SERK1_ARATH","SERK1_ARATH")</f>
        <v>SERK1_ARATH</v>
      </c>
      <c r="D2497" t="s">
        <v>1676</v>
      </c>
      <c r="E2497" s="3" t="s">
        <v>3</v>
      </c>
      <c r="F2497" s="4">
        <v>0</v>
      </c>
      <c r="G2497" s="3">
        <v>1860</v>
      </c>
      <c r="H2497" s="3">
        <v>88</v>
      </c>
      <c r="I2497" s="3">
        <v>466</v>
      </c>
      <c r="J2497" s="3">
        <v>3</v>
      </c>
      <c r="K2497" s="3">
        <v>1397</v>
      </c>
      <c r="L2497" s="3">
        <v>1</v>
      </c>
      <c r="M2497" s="3">
        <v>464</v>
      </c>
    </row>
    <row r="2498" spans="1:13" x14ac:dyDescent="0.25">
      <c r="A2498" s="1" t="str">
        <f>HYPERLINK("http://www.rosaceae.org/Prunus/Prunus_persica/p.persica_gdr_reftransV1_0041566","p.persica_gdr_reftransV1_0041566")</f>
        <v>p.persica_gdr_reftransV1_0041566</v>
      </c>
      <c r="B2498" s="3">
        <v>3978</v>
      </c>
      <c r="C2498" s="1" t="str">
        <f>HYPERLINK("http://www.uniprot.org/uniprot/PUM1_ARATH","PUM1_ARATH")</f>
        <v>PUM1_ARATH</v>
      </c>
      <c r="D2498" t="s">
        <v>2378</v>
      </c>
      <c r="E2498" s="3" t="s">
        <v>3</v>
      </c>
      <c r="F2498" s="4">
        <v>0</v>
      </c>
      <c r="G2498" s="3">
        <v>2034</v>
      </c>
      <c r="H2498" s="3">
        <v>54</v>
      </c>
      <c r="I2498" s="3">
        <v>835</v>
      </c>
      <c r="J2498" s="3">
        <v>1410</v>
      </c>
      <c r="K2498" s="3">
        <v>3893</v>
      </c>
      <c r="L2498" s="3">
        <v>153</v>
      </c>
      <c r="M2498" s="3">
        <v>895</v>
      </c>
    </row>
    <row r="2499" spans="1:13" x14ac:dyDescent="0.25">
      <c r="A2499" s="1" t="str">
        <f>HYPERLINK("http://www.rosaceae.org/Prunus/Prunus_persica/p.persica_gdr_reftransV1_0041616","p.persica_gdr_reftransV1_0041616")</f>
        <v>p.persica_gdr_reftransV1_0041616</v>
      </c>
      <c r="B2499" s="3">
        <v>11630</v>
      </c>
      <c r="C2499" s="1" t="str">
        <f>HYPERLINK("http://www.uniprot.org/uniprot/UPL2_ARATH","UPL2_ARATH")</f>
        <v>UPL2_ARATH</v>
      </c>
      <c r="D2499" t="s">
        <v>2379</v>
      </c>
      <c r="E2499" s="3" t="s">
        <v>3</v>
      </c>
      <c r="F2499" s="4">
        <v>0</v>
      </c>
      <c r="G2499" s="3">
        <v>3043</v>
      </c>
      <c r="H2499" s="3">
        <v>36</v>
      </c>
      <c r="I2499" s="3">
        <v>2120</v>
      </c>
      <c r="J2499" s="3">
        <v>5159</v>
      </c>
      <c r="K2499" s="3">
        <v>11320</v>
      </c>
      <c r="L2499" s="3">
        <v>9</v>
      </c>
      <c r="M2499" s="3">
        <v>2041</v>
      </c>
    </row>
    <row r="2500" spans="1:13" x14ac:dyDescent="0.25">
      <c r="A2500" s="1" t="str">
        <f>HYPERLINK("http://www.rosaceae.org/Prunus/Prunus_persica/p.persica_gdr_reftransV1_0041666","p.persica_gdr_reftransV1_0041666")</f>
        <v>p.persica_gdr_reftransV1_0041666</v>
      </c>
      <c r="B2500" s="3">
        <v>2125</v>
      </c>
      <c r="C2500" s="1" t="str">
        <f>HYPERLINK("http://www.uniprot.org/uniprot/Y3028_ARATH","Y3028_ARATH")</f>
        <v>Y3028_ARATH</v>
      </c>
      <c r="D2500" t="s">
        <v>919</v>
      </c>
      <c r="E2500" s="3" t="s">
        <v>3</v>
      </c>
      <c r="F2500" s="4">
        <v>8.9699999999999997E-61</v>
      </c>
      <c r="G2500" s="3">
        <v>550</v>
      </c>
      <c r="H2500" s="3">
        <v>31</v>
      </c>
      <c r="I2500" s="3">
        <v>498</v>
      </c>
      <c r="J2500" s="3">
        <v>525</v>
      </c>
      <c r="K2500" s="3">
        <v>1979</v>
      </c>
      <c r="L2500" s="3">
        <v>1</v>
      </c>
      <c r="M2500" s="3">
        <v>440</v>
      </c>
    </row>
    <row r="2501" spans="1:13" x14ac:dyDescent="0.25">
      <c r="A2501" s="1" t="str">
        <f>HYPERLINK("http://www.rosaceae.org/Prunus/Prunus_persica/p.persica_gdr_reftransV1_0041716","p.persica_gdr_reftransV1_0041716")</f>
        <v>p.persica_gdr_reftransV1_0041716</v>
      </c>
      <c r="B2501" s="3">
        <v>927</v>
      </c>
      <c r="C2501" s="1" t="str">
        <f>HYPERLINK("http://www.uniprot.org/uniprot/RPC10_MOUSE","RPC10_MOUSE")</f>
        <v>RPC10_MOUSE</v>
      </c>
      <c r="D2501" t="s">
        <v>2380</v>
      </c>
      <c r="E2501" s="3" t="s">
        <v>157</v>
      </c>
      <c r="F2501" s="4">
        <v>2.7300000000000002E-7</v>
      </c>
      <c r="G2501" s="3">
        <v>124</v>
      </c>
      <c r="H2501" s="3">
        <v>55</v>
      </c>
      <c r="I2501" s="3">
        <v>42</v>
      </c>
      <c r="J2501" s="3">
        <v>566</v>
      </c>
      <c r="K2501" s="3">
        <v>691</v>
      </c>
      <c r="L2501" s="3">
        <v>67</v>
      </c>
      <c r="M2501" s="3">
        <v>108</v>
      </c>
    </row>
    <row r="2502" spans="1:13" x14ac:dyDescent="0.25">
      <c r="A2502" s="1" t="str">
        <f>HYPERLINK("http://www.rosaceae.org/Prunus/Prunus_persica/p.persica_gdr_reftransV1_0042016","p.persica_gdr_reftransV1_0042016")</f>
        <v>p.persica_gdr_reftransV1_0042016</v>
      </c>
      <c r="B2502" s="3">
        <v>3259</v>
      </c>
      <c r="C2502" s="1" t="str">
        <f>HYPERLINK("http://www.uniprot.org/uniprot/NRT27_ARATH","NRT27_ARATH")</f>
        <v>NRT27_ARATH</v>
      </c>
      <c r="D2502" t="s">
        <v>2381</v>
      </c>
      <c r="E2502" s="3" t="s">
        <v>3</v>
      </c>
      <c r="F2502" s="4">
        <v>4.7599999999999997E-151</v>
      </c>
      <c r="G2502" s="3">
        <v>1200</v>
      </c>
      <c r="H2502" s="3">
        <v>64</v>
      </c>
      <c r="I2502" s="3">
        <v>445</v>
      </c>
      <c r="J2502" s="3">
        <v>434</v>
      </c>
      <c r="K2502" s="3">
        <v>1726</v>
      </c>
      <c r="L2502" s="3">
        <v>17</v>
      </c>
      <c r="M2502" s="3">
        <v>460</v>
      </c>
    </row>
    <row r="2503" spans="1:13" x14ac:dyDescent="0.25">
      <c r="A2503" s="1" t="str">
        <f>HYPERLINK("http://www.rosaceae.org/Prunus/Prunus_persica/p.persica_gdr_reftransV1_0042466","p.persica_gdr_reftransV1_0042466")</f>
        <v>p.persica_gdr_reftransV1_0042466</v>
      </c>
      <c r="B2503" s="3">
        <v>3132</v>
      </c>
      <c r="C2503" s="1" t="str">
        <f>HYPERLINK("http://www.uniprot.org/uniprot/Y3037_ARATH","Y3037_ARATH")</f>
        <v>Y3037_ARATH</v>
      </c>
      <c r="D2503" t="s">
        <v>566</v>
      </c>
      <c r="E2503" s="3" t="s">
        <v>3</v>
      </c>
      <c r="F2503" s="4">
        <v>0</v>
      </c>
      <c r="G2503" s="3">
        <v>2173</v>
      </c>
      <c r="H2503" s="3">
        <v>65</v>
      </c>
      <c r="I2503" s="3">
        <v>721</v>
      </c>
      <c r="J2503" s="3">
        <v>466</v>
      </c>
      <c r="K2503" s="3">
        <v>2622</v>
      </c>
      <c r="L2503" s="3">
        <v>43</v>
      </c>
      <c r="M2503" s="3">
        <v>758</v>
      </c>
    </row>
    <row r="2504" spans="1:13" x14ac:dyDescent="0.25">
      <c r="A2504" s="1" t="str">
        <f>HYPERLINK("http://www.rosaceae.org/Prunus/Prunus_persica/p.persica_gdr_reftransV1_0042516","p.persica_gdr_reftransV1_0042516")</f>
        <v>p.persica_gdr_reftransV1_0042516</v>
      </c>
      <c r="B2504" s="3">
        <v>1721</v>
      </c>
      <c r="C2504" s="1" t="str">
        <f>HYPERLINK("http://www.uniprot.org/uniprot/PGML4_ARATH","PGML4_ARATH")</f>
        <v>PGML4_ARATH</v>
      </c>
      <c r="D2504" t="s">
        <v>2382</v>
      </c>
      <c r="E2504" s="3" t="s">
        <v>3</v>
      </c>
      <c r="F2504" s="4">
        <v>4.5100000000000002E-51</v>
      </c>
      <c r="G2504" s="3">
        <v>458</v>
      </c>
      <c r="H2504" s="3">
        <v>67</v>
      </c>
      <c r="I2504" s="3">
        <v>130</v>
      </c>
      <c r="J2504" s="3">
        <v>226</v>
      </c>
      <c r="K2504" s="3">
        <v>615</v>
      </c>
      <c r="L2504" s="3">
        <v>4</v>
      </c>
      <c r="M2504" s="3">
        <v>131</v>
      </c>
    </row>
    <row r="2505" spans="1:13" x14ac:dyDescent="0.25">
      <c r="A2505" s="1" t="str">
        <f>HYPERLINK("http://www.rosaceae.org/Prunus/Prunus_persica/p.persica_gdr_reftransV1_0042716","p.persica_gdr_reftransV1_0042716")</f>
        <v>p.persica_gdr_reftransV1_0042716</v>
      </c>
      <c r="B2505" s="3">
        <v>800</v>
      </c>
      <c r="C2505" s="1" t="str">
        <f>HYPERLINK("http://www.uniprot.org/uniprot/RGA3_SOLBU","RGA3_SOLBU")</f>
        <v>RGA3_SOLBU</v>
      </c>
      <c r="D2505" t="s">
        <v>1884</v>
      </c>
      <c r="E2505" s="3" t="s">
        <v>560</v>
      </c>
      <c r="F2505" s="4">
        <v>8.5999999999999994E-37</v>
      </c>
      <c r="G2505" s="3">
        <v>361</v>
      </c>
      <c r="H2505" s="3">
        <v>42</v>
      </c>
      <c r="I2505" s="3">
        <v>210</v>
      </c>
      <c r="J2505" s="3">
        <v>143</v>
      </c>
      <c r="K2505" s="3">
        <v>772</v>
      </c>
      <c r="L2505" s="3">
        <v>527</v>
      </c>
      <c r="M2505" s="3">
        <v>730</v>
      </c>
    </row>
    <row r="2506" spans="1:13" x14ac:dyDescent="0.25">
      <c r="A2506" s="1" t="str">
        <f>HYPERLINK("http://www.rosaceae.org/Prunus/Prunus_persica/p.persica_gdr_reftransV1_0043066","p.persica_gdr_reftransV1_0043066")</f>
        <v>p.persica_gdr_reftransV1_0043066</v>
      </c>
      <c r="B2506" s="3">
        <v>810</v>
      </c>
      <c r="C2506" s="1" t="str">
        <f>HYPERLINK("http://www.uniprot.org/uniprot/LUPS_BETPL","LUPS_BETPL")</f>
        <v>LUPS_BETPL</v>
      </c>
      <c r="D2506" t="s">
        <v>2060</v>
      </c>
      <c r="E2506" s="3" t="s">
        <v>2061</v>
      </c>
      <c r="F2506" s="4">
        <v>1.02E-106</v>
      </c>
      <c r="G2506" s="3">
        <v>852</v>
      </c>
      <c r="H2506" s="3">
        <v>71</v>
      </c>
      <c r="I2506" s="3">
        <v>243</v>
      </c>
      <c r="J2506" s="3">
        <v>1</v>
      </c>
      <c r="K2506" s="3">
        <v>729</v>
      </c>
      <c r="L2506" s="3">
        <v>1</v>
      </c>
      <c r="M2506" s="3">
        <v>243</v>
      </c>
    </row>
    <row r="2507" spans="1:13" x14ac:dyDescent="0.25">
      <c r="A2507" s="1" t="str">
        <f>HYPERLINK("http://www.rosaceae.org/Prunus/Prunus_persica/p.persica_gdr_reftransV1_0043216","p.persica_gdr_reftransV1_0043216")</f>
        <v>p.persica_gdr_reftransV1_0043216</v>
      </c>
      <c r="B2507" s="3">
        <v>1787</v>
      </c>
      <c r="C2507" s="1" t="str">
        <f>HYPERLINK("http://www.uniprot.org/uniprot/APRL4_ARATH","APRL4_ARATH")</f>
        <v>APRL4_ARATH</v>
      </c>
      <c r="D2507" t="s">
        <v>2383</v>
      </c>
      <c r="E2507" s="3" t="s">
        <v>3</v>
      </c>
      <c r="F2507" s="4">
        <v>4.7399999999999996E-109</v>
      </c>
      <c r="G2507" s="3">
        <v>862</v>
      </c>
      <c r="H2507" s="3">
        <v>59</v>
      </c>
      <c r="I2507" s="3">
        <v>301</v>
      </c>
      <c r="J2507" s="3">
        <v>430</v>
      </c>
      <c r="K2507" s="3">
        <v>1308</v>
      </c>
      <c r="L2507" s="3">
        <v>11</v>
      </c>
      <c r="M2507" s="3">
        <v>298</v>
      </c>
    </row>
    <row r="2508" spans="1:13" x14ac:dyDescent="0.25">
      <c r="A2508" s="1" t="str">
        <f>HYPERLINK("http://www.rosaceae.org/Prunus/Prunus_persica/p.persica_gdr_reftransV1_0043266","p.persica_gdr_reftransV1_0043266")</f>
        <v>p.persica_gdr_reftransV1_0043266</v>
      </c>
      <c r="B2508" s="3">
        <v>2034</v>
      </c>
      <c r="C2508" s="1" t="str">
        <f>HYPERLINK("http://www.uniprot.org/uniprot/CHERP_MOUSE","CHERP_MOUSE")</f>
        <v>CHERP_MOUSE</v>
      </c>
      <c r="D2508" t="s">
        <v>2384</v>
      </c>
      <c r="E2508" s="3" t="s">
        <v>157</v>
      </c>
      <c r="F2508" s="4">
        <v>8.4499999999999998E-10</v>
      </c>
      <c r="G2508" s="3">
        <v>159</v>
      </c>
      <c r="H2508" s="3">
        <v>50</v>
      </c>
      <c r="I2508" s="3">
        <v>54</v>
      </c>
      <c r="J2508" s="3">
        <v>1802</v>
      </c>
      <c r="K2508" s="3">
        <v>1963</v>
      </c>
      <c r="L2508" s="3">
        <v>11</v>
      </c>
      <c r="M2508" s="3">
        <v>64</v>
      </c>
    </row>
    <row r="2509" spans="1:13" x14ac:dyDescent="0.25">
      <c r="A2509" s="1" t="str">
        <f>HYPERLINK("http://www.rosaceae.org/Prunus/Prunus_persica/p.persica_gdr_reftransV1_0043316","p.persica_gdr_reftransV1_0043316")</f>
        <v>p.persica_gdr_reftransV1_0043316</v>
      </c>
      <c r="B2509" s="3">
        <v>1926</v>
      </c>
      <c r="C2509" s="1" t="str">
        <f>HYPERLINK("http://www.uniprot.org/uniprot/Y4102_ARATH","Y4102_ARATH")</f>
        <v>Y4102_ARATH</v>
      </c>
      <c r="D2509" t="s">
        <v>2385</v>
      </c>
      <c r="E2509" s="3" t="s">
        <v>3</v>
      </c>
      <c r="F2509" s="4">
        <v>1.2900000000000001E-13</v>
      </c>
      <c r="G2509" s="3">
        <v>192</v>
      </c>
      <c r="H2509" s="3">
        <v>28</v>
      </c>
      <c r="I2509" s="3">
        <v>202</v>
      </c>
      <c r="J2509" s="3">
        <v>311</v>
      </c>
      <c r="K2509" s="3">
        <v>904</v>
      </c>
      <c r="L2509" s="3">
        <v>1561</v>
      </c>
      <c r="M2509" s="3">
        <v>1747</v>
      </c>
    </row>
    <row r="2510" spans="1:13" x14ac:dyDescent="0.25">
      <c r="A2510" s="1" t="str">
        <f>HYPERLINK("http://www.rosaceae.org/Prunus/Prunus_persica/p.persica_gdr_reftransV1_0043466","p.persica_gdr_reftransV1_0043466")</f>
        <v>p.persica_gdr_reftransV1_0043466</v>
      </c>
      <c r="B2510" s="3">
        <v>1243</v>
      </c>
      <c r="C2510" s="1" t="str">
        <f>HYPERLINK("http://www.uniprot.org/uniprot/ROMT_VITVI","ROMT_VITVI")</f>
        <v>ROMT_VITVI</v>
      </c>
      <c r="D2510" t="s">
        <v>2129</v>
      </c>
      <c r="E2510" s="3" t="s">
        <v>362</v>
      </c>
      <c r="F2510" s="4">
        <v>5.6200000000000003E-169</v>
      </c>
      <c r="G2510" s="3">
        <v>1248</v>
      </c>
      <c r="H2510" s="3">
        <v>64</v>
      </c>
      <c r="I2510" s="3">
        <v>349</v>
      </c>
      <c r="J2510" s="3">
        <v>156</v>
      </c>
      <c r="K2510" s="3">
        <v>1199</v>
      </c>
      <c r="L2510" s="3">
        <v>9</v>
      </c>
      <c r="M2510" s="3">
        <v>357</v>
      </c>
    </row>
    <row r="2511" spans="1:13" x14ac:dyDescent="0.25">
      <c r="A2511" s="1" t="str">
        <f>HYPERLINK("http://www.rosaceae.org/Prunus/Prunus_persica/p.persica_gdr_reftransV1_0043516","p.persica_gdr_reftransV1_0043516")</f>
        <v>p.persica_gdr_reftransV1_0043516</v>
      </c>
      <c r="B2511" s="3">
        <v>1770</v>
      </c>
      <c r="C2511" s="1" t="str">
        <f>HYPERLINK("http://www.uniprot.org/uniprot/DML_EUBBA","DML_EUBBA")</f>
        <v>DML_EUBBA</v>
      </c>
      <c r="D2511" t="s">
        <v>2386</v>
      </c>
      <c r="E2511" s="3" t="s">
        <v>2387</v>
      </c>
      <c r="F2511" s="4">
        <v>1.5899999999999999E-58</v>
      </c>
      <c r="G2511" s="3">
        <v>516</v>
      </c>
      <c r="H2511" s="3">
        <v>41</v>
      </c>
      <c r="I2511" s="3">
        <v>291</v>
      </c>
      <c r="J2511" s="3">
        <v>330</v>
      </c>
      <c r="K2511" s="3">
        <v>1190</v>
      </c>
      <c r="L2511" s="3">
        <v>2</v>
      </c>
      <c r="M2511" s="3">
        <v>286</v>
      </c>
    </row>
    <row r="2512" spans="1:13" x14ac:dyDescent="0.25">
      <c r="A2512" s="1" t="str">
        <f>HYPERLINK("http://www.rosaceae.org/Prunus/Prunus_persica/p.persica_gdr_reftransV1_0043566","p.persica_gdr_reftransV1_0043566")</f>
        <v>p.persica_gdr_reftransV1_0043566</v>
      </c>
      <c r="B2512" s="3">
        <v>951</v>
      </c>
      <c r="C2512" s="1" t="str">
        <f>HYPERLINK("http://www.uniprot.org/uniprot/VSP55_ARATH","VSP55_ARATH")</f>
        <v>VSP55_ARATH</v>
      </c>
      <c r="D2512" t="s">
        <v>2388</v>
      </c>
      <c r="E2512" s="3" t="s">
        <v>3</v>
      </c>
      <c r="F2512" s="4">
        <v>1.4600000000000001E-51</v>
      </c>
      <c r="G2512" s="3">
        <v>438</v>
      </c>
      <c r="H2512" s="3">
        <v>71</v>
      </c>
      <c r="I2512" s="3">
        <v>136</v>
      </c>
      <c r="J2512" s="3">
        <v>257</v>
      </c>
      <c r="K2512" s="3">
        <v>658</v>
      </c>
      <c r="L2512" s="3">
        <v>1</v>
      </c>
      <c r="M2512" s="3">
        <v>136</v>
      </c>
    </row>
    <row r="2513" spans="1:13" x14ac:dyDescent="0.25">
      <c r="A2513" s="1" t="str">
        <f>HYPERLINK("http://www.rosaceae.org/Prunus/Prunus_persica/p.persica_gdr_reftransV1_0043616","p.persica_gdr_reftransV1_0043616")</f>
        <v>p.persica_gdr_reftransV1_0043616</v>
      </c>
      <c r="B2513" s="3">
        <v>3623</v>
      </c>
      <c r="C2513" s="1" t="str">
        <f>HYPERLINK("http://www.uniprot.org/uniprot/ODO1_DICDI","ODO1_DICDI")</f>
        <v>ODO1_DICDI</v>
      </c>
      <c r="D2513" t="s">
        <v>2389</v>
      </c>
      <c r="E2513" s="3" t="s">
        <v>9</v>
      </c>
      <c r="F2513" s="4">
        <v>0</v>
      </c>
      <c r="G2513" s="3">
        <v>2754</v>
      </c>
      <c r="H2513" s="3">
        <v>53</v>
      </c>
      <c r="I2513" s="3">
        <v>975</v>
      </c>
      <c r="J2513" s="3">
        <v>361</v>
      </c>
      <c r="K2513" s="3">
        <v>3204</v>
      </c>
      <c r="L2513" s="3">
        <v>35</v>
      </c>
      <c r="M2513" s="3">
        <v>994</v>
      </c>
    </row>
    <row r="2514" spans="1:13" x14ac:dyDescent="0.25">
      <c r="A2514" s="1" t="str">
        <f>HYPERLINK("http://www.rosaceae.org/Prunus/Prunus_persica/p.persica_gdr_reftransV1_0043666","p.persica_gdr_reftransV1_0043666")</f>
        <v>p.persica_gdr_reftransV1_0043666</v>
      </c>
      <c r="B2514" s="3">
        <v>1029</v>
      </c>
      <c r="C2514" s="1" t="str">
        <f>HYPERLINK("http://www.uniprot.org/uniprot/YB95_ARATH","YB95_ARATH")</f>
        <v>YB95_ARATH</v>
      </c>
      <c r="D2514" t="s">
        <v>1722</v>
      </c>
      <c r="E2514" s="3" t="s">
        <v>3</v>
      </c>
      <c r="F2514" s="4">
        <v>6.2399999999999997E-13</v>
      </c>
      <c r="G2514" s="3">
        <v>173</v>
      </c>
      <c r="H2514" s="3">
        <v>28</v>
      </c>
      <c r="I2514" s="3">
        <v>218</v>
      </c>
      <c r="J2514" s="3">
        <v>168</v>
      </c>
      <c r="K2514" s="3">
        <v>761</v>
      </c>
      <c r="L2514" s="3">
        <v>43</v>
      </c>
      <c r="M2514" s="3">
        <v>250</v>
      </c>
    </row>
    <row r="2515" spans="1:13" x14ac:dyDescent="0.25">
      <c r="A2515" s="1" t="str">
        <f>HYPERLINK("http://www.rosaceae.org/Prunus/Prunus_persica/p.persica_gdr_reftransV1_0043716","p.persica_gdr_reftransV1_0043716")</f>
        <v>p.persica_gdr_reftransV1_0043716</v>
      </c>
      <c r="B2515" s="3">
        <v>1434</v>
      </c>
      <c r="C2515" s="1" t="str">
        <f>HYPERLINK("http://www.uniprot.org/uniprot/P4H7_ARATH","P4H7_ARATH")</f>
        <v>P4H7_ARATH</v>
      </c>
      <c r="D2515" t="s">
        <v>2390</v>
      </c>
      <c r="E2515" s="3" t="s">
        <v>3</v>
      </c>
      <c r="F2515" s="4">
        <v>1.8499999999999999E-160</v>
      </c>
      <c r="G2515" s="3">
        <v>1194</v>
      </c>
      <c r="H2515" s="3">
        <v>68</v>
      </c>
      <c r="I2515" s="3">
        <v>319</v>
      </c>
      <c r="J2515" s="3">
        <v>262</v>
      </c>
      <c r="K2515" s="3">
        <v>1218</v>
      </c>
      <c r="L2515" s="3">
        <v>1</v>
      </c>
      <c r="M2515" s="3">
        <v>316</v>
      </c>
    </row>
    <row r="2516" spans="1:13" x14ac:dyDescent="0.25">
      <c r="A2516" s="1" t="str">
        <f>HYPERLINK("http://www.rosaceae.org/Prunus/Prunus_persica/p.persica_gdr_reftransV1_0043766","p.persica_gdr_reftransV1_0043766")</f>
        <v>p.persica_gdr_reftransV1_0043766</v>
      </c>
      <c r="B2516" s="3">
        <v>1116</v>
      </c>
      <c r="C2516" s="1" t="str">
        <f>HYPERLINK("http://www.uniprot.org/uniprot/EMC4_DANRE","EMC4_DANRE")</f>
        <v>EMC4_DANRE</v>
      </c>
      <c r="D2516" t="s">
        <v>2391</v>
      </c>
      <c r="E2516" s="3" t="s">
        <v>704</v>
      </c>
      <c r="F2516" s="4">
        <v>2.3799999999999999E-23</v>
      </c>
      <c r="G2516" s="3">
        <v>248</v>
      </c>
      <c r="H2516" s="3">
        <v>35</v>
      </c>
      <c r="I2516" s="3">
        <v>171</v>
      </c>
      <c r="J2516" s="3">
        <v>437</v>
      </c>
      <c r="K2516" s="3">
        <v>931</v>
      </c>
      <c r="L2516" s="3">
        <v>24</v>
      </c>
      <c r="M2516" s="3">
        <v>187</v>
      </c>
    </row>
    <row r="2517" spans="1:13" x14ac:dyDescent="0.25">
      <c r="A2517" s="1" t="str">
        <f>HYPERLINK("http://www.rosaceae.org/Prunus/Prunus_persica/p.persica_gdr_reftransV1_0043816","p.persica_gdr_reftransV1_0043816")</f>
        <v>p.persica_gdr_reftransV1_0043816</v>
      </c>
      <c r="B2517" s="3">
        <v>841</v>
      </c>
      <c r="C2517" s="1" t="str">
        <f>HYPERLINK("http://www.uniprot.org/uniprot/REXO4_SCHPO","REXO4_SCHPO")</f>
        <v>REXO4_SCHPO</v>
      </c>
      <c r="D2517" t="s">
        <v>2392</v>
      </c>
      <c r="E2517" s="3" t="s">
        <v>464</v>
      </c>
      <c r="F2517" s="4">
        <v>1.3899999999999999E-14</v>
      </c>
      <c r="G2517" s="3">
        <v>182</v>
      </c>
      <c r="H2517" s="3">
        <v>41</v>
      </c>
      <c r="I2517" s="3">
        <v>101</v>
      </c>
      <c r="J2517" s="3">
        <v>2</v>
      </c>
      <c r="K2517" s="3">
        <v>301</v>
      </c>
      <c r="L2517" s="3">
        <v>148</v>
      </c>
      <c r="M2517" s="3">
        <v>245</v>
      </c>
    </row>
    <row r="2518" spans="1:13" x14ac:dyDescent="0.25">
      <c r="A2518" s="1" t="str">
        <f>HYPERLINK("http://www.rosaceae.org/Prunus/Prunus_persica/p.persica_gdr_reftransV1_0043866","p.persica_gdr_reftransV1_0043866")</f>
        <v>p.persica_gdr_reftransV1_0043866</v>
      </c>
      <c r="B2518" s="3">
        <v>351</v>
      </c>
      <c r="C2518" s="1" t="str">
        <f>HYPERLINK("http://www.uniprot.org/uniprot/ATXR4_ARATH","ATXR4_ARATH")</f>
        <v>ATXR4_ARATH</v>
      </c>
      <c r="D2518" t="s">
        <v>2393</v>
      </c>
      <c r="E2518" s="3" t="s">
        <v>3</v>
      </c>
      <c r="F2518" s="4">
        <v>2.25E-39</v>
      </c>
      <c r="G2518" s="3">
        <v>351</v>
      </c>
      <c r="H2518" s="3">
        <v>62</v>
      </c>
      <c r="I2518" s="3">
        <v>100</v>
      </c>
      <c r="J2518" s="3">
        <v>2</v>
      </c>
      <c r="K2518" s="3">
        <v>301</v>
      </c>
      <c r="L2518" s="3">
        <v>127</v>
      </c>
      <c r="M2518" s="3">
        <v>226</v>
      </c>
    </row>
    <row r="2519" spans="1:13" x14ac:dyDescent="0.25">
      <c r="A2519" s="1" t="str">
        <f>HYPERLINK("http://www.rosaceae.org/Prunus/Prunus_persica/p.persica_gdr_reftransV1_0043916","p.persica_gdr_reftransV1_0043916")</f>
        <v>p.persica_gdr_reftransV1_0043916</v>
      </c>
      <c r="B2519" s="3">
        <v>1718</v>
      </c>
      <c r="C2519" s="1" t="str">
        <f>HYPERLINK("http://www.uniprot.org/uniprot/SGTB_RAT","SGTB_RAT")</f>
        <v>SGTB_RAT</v>
      </c>
      <c r="D2519" t="s">
        <v>2394</v>
      </c>
      <c r="E2519" s="3" t="s">
        <v>161</v>
      </c>
      <c r="F2519" s="4">
        <v>4.0799999999999999E-28</v>
      </c>
      <c r="G2519" s="3">
        <v>296</v>
      </c>
      <c r="H2519" s="3">
        <v>49</v>
      </c>
      <c r="I2519" s="3">
        <v>119</v>
      </c>
      <c r="J2519" s="3">
        <v>620</v>
      </c>
      <c r="K2519" s="3">
        <v>976</v>
      </c>
      <c r="L2519" s="3">
        <v>85</v>
      </c>
      <c r="M2519" s="3">
        <v>202</v>
      </c>
    </row>
    <row r="2520" spans="1:13" x14ac:dyDescent="0.25">
      <c r="A2520" s="1" t="str">
        <f>HYPERLINK("http://www.rosaceae.org/Prunus/Prunus_persica/p.persica_gdr_reftransV1_0044016","p.persica_gdr_reftransV1_0044016")</f>
        <v>p.persica_gdr_reftransV1_0044016</v>
      </c>
      <c r="B2520" s="3">
        <v>5211</v>
      </c>
      <c r="C2520" s="1" t="str">
        <f>HYPERLINK("http://www.uniprot.org/uniprot/BIG5_ARATH","BIG5_ARATH")</f>
        <v>BIG5_ARATH</v>
      </c>
      <c r="D2520" t="s">
        <v>2395</v>
      </c>
      <c r="E2520" s="3" t="s">
        <v>3</v>
      </c>
      <c r="F2520" s="4">
        <v>0</v>
      </c>
      <c r="G2520" s="3">
        <v>6444</v>
      </c>
      <c r="H2520" s="3">
        <v>77</v>
      </c>
      <c r="I2520" s="3">
        <v>1623</v>
      </c>
      <c r="J2520" s="3">
        <v>379</v>
      </c>
      <c r="K2520" s="3">
        <v>5211</v>
      </c>
      <c r="L2520" s="3">
        <v>143</v>
      </c>
      <c r="M2520" s="3">
        <v>1734</v>
      </c>
    </row>
    <row r="2521" spans="1:13" x14ac:dyDescent="0.25">
      <c r="A2521" s="1" t="str">
        <f>HYPERLINK("http://www.rosaceae.org/Prunus/Prunus_persica/p.persica_gdr_reftransV1_0044066","p.persica_gdr_reftransV1_0044066")</f>
        <v>p.persica_gdr_reftransV1_0044066</v>
      </c>
      <c r="B2521" s="3">
        <v>1494</v>
      </c>
      <c r="C2521" s="1" t="str">
        <f>HYPERLINK("http://www.uniprot.org/uniprot/OCS1_MAIZE","OCS1_MAIZE")</f>
        <v>OCS1_MAIZE</v>
      </c>
      <c r="D2521" t="s">
        <v>2396</v>
      </c>
      <c r="E2521" s="3" t="s">
        <v>72</v>
      </c>
      <c r="F2521" s="4">
        <v>5.0800000000000001E-17</v>
      </c>
      <c r="G2521" s="3">
        <v>203</v>
      </c>
      <c r="H2521" s="3">
        <v>38</v>
      </c>
      <c r="I2521" s="3">
        <v>136</v>
      </c>
      <c r="J2521" s="3">
        <v>727</v>
      </c>
      <c r="K2521" s="3">
        <v>1131</v>
      </c>
      <c r="L2521" s="3">
        <v>26</v>
      </c>
      <c r="M2521" s="3">
        <v>150</v>
      </c>
    </row>
    <row r="2522" spans="1:13" x14ac:dyDescent="0.25">
      <c r="A2522" s="1" t="str">
        <f>HYPERLINK("http://www.rosaceae.org/Prunus/Prunus_persica/p.persica_gdr_reftransV1_0044116","p.persica_gdr_reftransV1_0044116")</f>
        <v>p.persica_gdr_reftransV1_0044116</v>
      </c>
      <c r="B2522" s="3">
        <v>871</v>
      </c>
      <c r="C2522" s="1" t="str">
        <f>HYPERLINK("http://www.uniprot.org/uniprot/AX15A_SOYBN","AX15A_SOYBN")</f>
        <v>AX15A_SOYBN</v>
      </c>
      <c r="D2522" t="s">
        <v>2397</v>
      </c>
      <c r="E2522" s="3" t="s">
        <v>307</v>
      </c>
      <c r="F2522" s="4">
        <v>3.2000000000000002E-21</v>
      </c>
      <c r="G2522" s="3">
        <v>222</v>
      </c>
      <c r="H2522" s="3">
        <v>61</v>
      </c>
      <c r="I2522" s="3">
        <v>67</v>
      </c>
      <c r="J2522" s="3">
        <v>391</v>
      </c>
      <c r="K2522" s="3">
        <v>588</v>
      </c>
      <c r="L2522" s="3">
        <v>16</v>
      </c>
      <c r="M2522" s="3">
        <v>82</v>
      </c>
    </row>
    <row r="2523" spans="1:13" x14ac:dyDescent="0.25">
      <c r="A2523" s="1" t="str">
        <f>HYPERLINK("http://www.rosaceae.org/Prunus/Prunus_persica/p.persica_gdr_reftransV1_0044166","p.persica_gdr_reftransV1_0044166")</f>
        <v>p.persica_gdr_reftransV1_0044166</v>
      </c>
      <c r="B2523" s="3">
        <v>1041</v>
      </c>
      <c r="C2523" s="1" t="str">
        <f>HYPERLINK("http://www.uniprot.org/uniprot/PROSC_MOUSE","PROSC_MOUSE")</f>
        <v>PROSC_MOUSE</v>
      </c>
      <c r="D2523" t="s">
        <v>2398</v>
      </c>
      <c r="E2523" s="3" t="s">
        <v>157</v>
      </c>
      <c r="F2523" s="4">
        <v>1.0799999999999999E-68</v>
      </c>
      <c r="G2523" s="3">
        <v>567</v>
      </c>
      <c r="H2523" s="3">
        <v>52</v>
      </c>
      <c r="I2523" s="3">
        <v>238</v>
      </c>
      <c r="J2523" s="3">
        <v>244</v>
      </c>
      <c r="K2523" s="3">
        <v>921</v>
      </c>
      <c r="L2523" s="3">
        <v>17</v>
      </c>
      <c r="M2523" s="3">
        <v>252</v>
      </c>
    </row>
    <row r="2524" spans="1:13" x14ac:dyDescent="0.25">
      <c r="A2524" s="1" t="str">
        <f>HYPERLINK("http://www.rosaceae.org/Prunus/Prunus_persica/p.persica_gdr_reftransV1_0044216","p.persica_gdr_reftransV1_0044216")</f>
        <v>p.persica_gdr_reftransV1_0044216</v>
      </c>
      <c r="B2524" s="3">
        <v>1414</v>
      </c>
      <c r="C2524" s="1" t="str">
        <f>HYPERLINK("http://www.uniprot.org/uniprot/Y2242_ARATH","Y2242_ARATH")</f>
        <v>Y2242_ARATH</v>
      </c>
      <c r="D2524" t="s">
        <v>2399</v>
      </c>
      <c r="E2524" s="3" t="s">
        <v>3</v>
      </c>
      <c r="F2524" s="4">
        <v>0</v>
      </c>
      <c r="G2524" s="3">
        <v>1613</v>
      </c>
      <c r="H2524" s="3">
        <v>82</v>
      </c>
      <c r="I2524" s="3">
        <v>374</v>
      </c>
      <c r="J2524" s="3">
        <v>61</v>
      </c>
      <c r="K2524" s="3">
        <v>1182</v>
      </c>
      <c r="L2524" s="3">
        <v>480</v>
      </c>
      <c r="M2524" s="3">
        <v>853</v>
      </c>
    </row>
    <row r="2525" spans="1:13" x14ac:dyDescent="0.25">
      <c r="A2525" s="1" t="str">
        <f>HYPERLINK("http://www.rosaceae.org/Prunus/Prunus_persica/p.persica_gdr_reftransV1_0044316","p.persica_gdr_reftransV1_0044316")</f>
        <v>p.persica_gdr_reftransV1_0044316</v>
      </c>
      <c r="B2525" s="3">
        <v>2072</v>
      </c>
      <c r="C2525" s="1" t="str">
        <f>HYPERLINK("http://www.uniprot.org/uniprot/EHD2_ARATH","EHD2_ARATH")</f>
        <v>EHD2_ARATH</v>
      </c>
      <c r="D2525" t="s">
        <v>2400</v>
      </c>
      <c r="E2525" s="3" t="s">
        <v>3</v>
      </c>
      <c r="F2525" s="4">
        <v>0</v>
      </c>
      <c r="G2525" s="3">
        <v>2309</v>
      </c>
      <c r="H2525" s="3">
        <v>78</v>
      </c>
      <c r="I2525" s="3">
        <v>539</v>
      </c>
      <c r="J2525" s="3">
        <v>294</v>
      </c>
      <c r="K2525" s="3">
        <v>1895</v>
      </c>
      <c r="L2525" s="3">
        <v>9</v>
      </c>
      <c r="M2525" s="3">
        <v>545</v>
      </c>
    </row>
    <row r="2526" spans="1:13" x14ac:dyDescent="0.25">
      <c r="A2526" s="1" t="str">
        <f>HYPERLINK("http://www.rosaceae.org/Prunus/Prunus_persica/p.persica_gdr_reftransV1_0044416","p.persica_gdr_reftransV1_0044416")</f>
        <v>p.persica_gdr_reftransV1_0044416</v>
      </c>
      <c r="B2526" s="3">
        <v>1603</v>
      </c>
      <c r="C2526" s="1" t="str">
        <f>HYPERLINK("http://www.uniprot.org/uniprot/Y3720_ARATH","Y3720_ARATH")</f>
        <v>Y3720_ARATH</v>
      </c>
      <c r="D2526" t="s">
        <v>104</v>
      </c>
      <c r="E2526" s="3" t="s">
        <v>3</v>
      </c>
      <c r="F2526" s="4">
        <v>2.1800000000000001E-43</v>
      </c>
      <c r="G2526" s="3">
        <v>418</v>
      </c>
      <c r="H2526" s="3">
        <v>30</v>
      </c>
      <c r="I2526" s="3">
        <v>430</v>
      </c>
      <c r="J2526" s="3">
        <v>197</v>
      </c>
      <c r="K2526" s="3">
        <v>1405</v>
      </c>
      <c r="L2526" s="3">
        <v>46</v>
      </c>
      <c r="M2526" s="3">
        <v>463</v>
      </c>
    </row>
    <row r="2527" spans="1:13" x14ac:dyDescent="0.25">
      <c r="A2527" s="1" t="str">
        <f>HYPERLINK("http://www.rosaceae.org/Prunus/Prunus_persica/p.persica_gdr_reftransV1_0044466","p.persica_gdr_reftransV1_0044466")</f>
        <v>p.persica_gdr_reftransV1_0044466</v>
      </c>
      <c r="B2527" s="3">
        <v>298</v>
      </c>
      <c r="C2527" s="1" t="str">
        <f>HYPERLINK("http://www.uniprot.org/uniprot/PP321_ARATH","PP321_ARATH")</f>
        <v>PP321_ARATH</v>
      </c>
      <c r="D2527" t="s">
        <v>444</v>
      </c>
      <c r="E2527" s="3" t="s">
        <v>3</v>
      </c>
      <c r="F2527" s="4">
        <v>3.7499999999999998E-14</v>
      </c>
      <c r="G2527" s="3">
        <v>174</v>
      </c>
      <c r="H2527" s="3">
        <v>40</v>
      </c>
      <c r="I2527" s="3">
        <v>83</v>
      </c>
      <c r="J2527" s="3">
        <v>1</v>
      </c>
      <c r="K2527" s="3">
        <v>246</v>
      </c>
      <c r="L2527" s="3">
        <v>39</v>
      </c>
      <c r="M2527" s="3">
        <v>121</v>
      </c>
    </row>
    <row r="2528" spans="1:13" x14ac:dyDescent="0.25">
      <c r="A2528" s="1" t="str">
        <f>HYPERLINK("http://www.rosaceae.org/Prunus/Prunus_persica/p.persica_gdr_reftransV1_0044516","p.persica_gdr_reftransV1_0044516")</f>
        <v>p.persica_gdr_reftransV1_0044516</v>
      </c>
      <c r="B2528" s="3">
        <v>881</v>
      </c>
      <c r="C2528" s="1" t="str">
        <f>HYPERLINK("http://www.uniprot.org/uniprot/HASP_DROME","HASP_DROME")</f>
        <v>HASP_DROME</v>
      </c>
      <c r="D2528" t="s">
        <v>2401</v>
      </c>
      <c r="E2528" s="3" t="s">
        <v>5</v>
      </c>
      <c r="F2528" s="4">
        <v>3.8599999999999999E-31</v>
      </c>
      <c r="G2528" s="3">
        <v>315</v>
      </c>
      <c r="H2528" s="3">
        <v>39</v>
      </c>
      <c r="I2528" s="3">
        <v>179</v>
      </c>
      <c r="J2528" s="3">
        <v>16</v>
      </c>
      <c r="K2528" s="3">
        <v>552</v>
      </c>
      <c r="L2528" s="3">
        <v>333</v>
      </c>
      <c r="M2528" s="3">
        <v>510</v>
      </c>
    </row>
    <row r="2529" spans="1:13" x14ac:dyDescent="0.25">
      <c r="A2529" s="1" t="str">
        <f>HYPERLINK("http://www.rosaceae.org/Prunus/Prunus_persica/p.persica_gdr_reftransV1_0044566","p.persica_gdr_reftransV1_0044566")</f>
        <v>p.persica_gdr_reftransV1_0044566</v>
      </c>
      <c r="B2529" s="3">
        <v>1106</v>
      </c>
      <c r="C2529" s="1" t="str">
        <f>HYPERLINK("http://www.uniprot.org/uniprot/CH10_SYNP6","CH10_SYNP6")</f>
        <v>CH10_SYNP6</v>
      </c>
      <c r="D2529" t="s">
        <v>2402</v>
      </c>
      <c r="E2529" s="3" t="s">
        <v>2403</v>
      </c>
      <c r="F2529" s="4">
        <v>1.31E-9</v>
      </c>
      <c r="G2529" s="3">
        <v>143</v>
      </c>
      <c r="H2529" s="3">
        <v>37</v>
      </c>
      <c r="I2529" s="3">
        <v>97</v>
      </c>
      <c r="J2529" s="3">
        <v>488</v>
      </c>
      <c r="K2529" s="3">
        <v>751</v>
      </c>
      <c r="L2529" s="3">
        <v>9</v>
      </c>
      <c r="M2529" s="3">
        <v>102</v>
      </c>
    </row>
    <row r="2530" spans="1:13" x14ac:dyDescent="0.25">
      <c r="A2530" s="1" t="str">
        <f>HYPERLINK("http://www.rosaceae.org/Prunus/Prunus_persica/p.persica_gdr_reftransV1_0044616","p.persica_gdr_reftransV1_0044616")</f>
        <v>p.persica_gdr_reftransV1_0044616</v>
      </c>
      <c r="B2530" s="3">
        <v>466</v>
      </c>
      <c r="C2530" s="1" t="str">
        <f>HYPERLINK("http://www.uniprot.org/uniprot/TSS_ARATH","TSS_ARATH")</f>
        <v>TSS_ARATH</v>
      </c>
      <c r="D2530" t="s">
        <v>2404</v>
      </c>
      <c r="E2530" s="3" t="s">
        <v>3</v>
      </c>
      <c r="F2530" s="4">
        <v>3.3200000000000002E-33</v>
      </c>
      <c r="G2530" s="3">
        <v>325</v>
      </c>
      <c r="H2530" s="3">
        <v>64</v>
      </c>
      <c r="I2530" s="3">
        <v>115</v>
      </c>
      <c r="J2530" s="3">
        <v>121</v>
      </c>
      <c r="K2530" s="3">
        <v>462</v>
      </c>
      <c r="L2530" s="3">
        <v>1</v>
      </c>
      <c r="M2530" s="3">
        <v>114</v>
      </c>
    </row>
    <row r="2531" spans="1:13" x14ac:dyDescent="0.25">
      <c r="A2531" s="1" t="str">
        <f>HYPERLINK("http://www.rosaceae.org/Prunus/Prunus_persica/p.persica_gdr_reftransV1_0044716","p.persica_gdr_reftransV1_0044716")</f>
        <v>p.persica_gdr_reftransV1_0044716</v>
      </c>
      <c r="B2531" s="3">
        <v>1250</v>
      </c>
      <c r="C2531" s="1" t="str">
        <f>HYPERLINK("http://www.uniprot.org/uniprot/IQD31_ARATH","IQD31_ARATH")</f>
        <v>IQD31_ARATH</v>
      </c>
      <c r="D2531" t="s">
        <v>2405</v>
      </c>
      <c r="E2531" s="3" t="s">
        <v>3</v>
      </c>
      <c r="F2531" s="4">
        <v>2.3800000000000001E-11</v>
      </c>
      <c r="G2531" s="3">
        <v>168</v>
      </c>
      <c r="H2531" s="3">
        <v>40</v>
      </c>
      <c r="I2531" s="3">
        <v>120</v>
      </c>
      <c r="J2531" s="3">
        <v>468</v>
      </c>
      <c r="K2531" s="3">
        <v>818</v>
      </c>
      <c r="L2531" s="3">
        <v>447</v>
      </c>
      <c r="M2531" s="3">
        <v>561</v>
      </c>
    </row>
    <row r="2532" spans="1:13" x14ac:dyDescent="0.25">
      <c r="A2532" s="1" t="str">
        <f>HYPERLINK("http://www.rosaceae.org/Prunus/Prunus_persica/p.persica_gdr_reftransV1_0044766","p.persica_gdr_reftransV1_0044766")</f>
        <v>p.persica_gdr_reftransV1_0044766</v>
      </c>
      <c r="B2532" s="3">
        <v>1206</v>
      </c>
      <c r="C2532" s="1" t="str">
        <f>HYPERLINK("http://www.uniprot.org/uniprot/IGS1_PETHY","IGS1_PETHY")</f>
        <v>IGS1_PETHY</v>
      </c>
      <c r="D2532" t="s">
        <v>508</v>
      </c>
      <c r="E2532" s="3" t="s">
        <v>509</v>
      </c>
      <c r="F2532" s="4">
        <v>2.2399999999999999E-165</v>
      </c>
      <c r="G2532" s="3">
        <v>1219</v>
      </c>
      <c r="H2532" s="3">
        <v>71</v>
      </c>
      <c r="I2532" s="3">
        <v>319</v>
      </c>
      <c r="J2532" s="3">
        <v>55</v>
      </c>
      <c r="K2532" s="3">
        <v>1008</v>
      </c>
      <c r="L2532" s="3">
        <v>1</v>
      </c>
      <c r="M2532" s="3">
        <v>318</v>
      </c>
    </row>
    <row r="2533" spans="1:13" x14ac:dyDescent="0.25">
      <c r="A2533" s="1" t="str">
        <f>HYPERLINK("http://www.rosaceae.org/Prunus/Prunus_persica/p.persica_gdr_reftransV1_0044816","p.persica_gdr_reftransV1_0044816")</f>
        <v>p.persica_gdr_reftransV1_0044816</v>
      </c>
      <c r="B2533" s="3">
        <v>518</v>
      </c>
      <c r="C2533" s="1" t="str">
        <f>HYPERLINK("http://www.uniprot.org/uniprot/C7D55_HYOMU","C7D55_HYOMU")</f>
        <v>C7D55_HYOMU</v>
      </c>
      <c r="D2533" t="s">
        <v>2406</v>
      </c>
      <c r="E2533" s="3" t="s">
        <v>2407</v>
      </c>
      <c r="F2533" s="4">
        <v>1.7099999999999999E-44</v>
      </c>
      <c r="G2533" s="3">
        <v>400</v>
      </c>
      <c r="H2533" s="3">
        <v>60</v>
      </c>
      <c r="I2533" s="3">
        <v>111</v>
      </c>
      <c r="J2533" s="3">
        <v>184</v>
      </c>
      <c r="K2533" s="3">
        <v>516</v>
      </c>
      <c r="L2533" s="3">
        <v>390</v>
      </c>
      <c r="M2533" s="3">
        <v>500</v>
      </c>
    </row>
    <row r="2534" spans="1:13" x14ac:dyDescent="0.25">
      <c r="A2534" s="1" t="str">
        <f>HYPERLINK("http://www.rosaceae.org/Prunus/Prunus_persica/p.persica_gdr_reftransV1_0044866","p.persica_gdr_reftransV1_0044866")</f>
        <v>p.persica_gdr_reftransV1_0044866</v>
      </c>
      <c r="B2534" s="3">
        <v>1805</v>
      </c>
      <c r="C2534" s="1" t="str">
        <f>HYPERLINK("http://www.uniprot.org/uniprot/RBCMT_TOBAC","RBCMT_TOBAC")</f>
        <v>RBCMT_TOBAC</v>
      </c>
      <c r="D2534" t="s">
        <v>2408</v>
      </c>
      <c r="E2534" s="3" t="s">
        <v>200</v>
      </c>
      <c r="F2534" s="4">
        <v>6.6800000000000004E-25</v>
      </c>
      <c r="G2534" s="3">
        <v>279</v>
      </c>
      <c r="H2534" s="3">
        <v>28</v>
      </c>
      <c r="I2534" s="3">
        <v>407</v>
      </c>
      <c r="J2534" s="3">
        <v>375</v>
      </c>
      <c r="K2534" s="3">
        <v>1553</v>
      </c>
      <c r="L2534" s="3">
        <v>62</v>
      </c>
      <c r="M2534" s="3">
        <v>448</v>
      </c>
    </row>
    <row r="2535" spans="1:13" x14ac:dyDescent="0.25">
      <c r="A2535" s="1" t="str">
        <f>HYPERLINK("http://www.rosaceae.org/Prunus/Prunus_persica/p.persica_gdr_reftransV1_0044916","p.persica_gdr_reftransV1_0044916")</f>
        <v>p.persica_gdr_reftransV1_0044916</v>
      </c>
      <c r="B2535" s="3">
        <v>1342</v>
      </c>
      <c r="C2535" s="1" t="str">
        <f>HYPERLINK("http://www.uniprot.org/uniprot/CNGC1_ARATH","CNGC1_ARATH")</f>
        <v>CNGC1_ARATH</v>
      </c>
      <c r="D2535" t="s">
        <v>241</v>
      </c>
      <c r="E2535" s="3" t="s">
        <v>3</v>
      </c>
      <c r="F2535" s="4">
        <v>1.11E-65</v>
      </c>
      <c r="G2535" s="3">
        <v>584</v>
      </c>
      <c r="H2535" s="3">
        <v>48</v>
      </c>
      <c r="I2535" s="3">
        <v>356</v>
      </c>
      <c r="J2535" s="3">
        <v>2</v>
      </c>
      <c r="K2535" s="3">
        <v>1054</v>
      </c>
      <c r="L2535" s="3">
        <v>43</v>
      </c>
      <c r="M2535" s="3">
        <v>393</v>
      </c>
    </row>
    <row r="2536" spans="1:13" x14ac:dyDescent="0.25">
      <c r="A2536" s="1" t="str">
        <f>HYPERLINK("http://www.rosaceae.org/Prunus/Prunus_persica/p.persica_gdr_reftransV1_0044966","p.persica_gdr_reftransV1_0044966")</f>
        <v>p.persica_gdr_reftransV1_0044966</v>
      </c>
      <c r="B2536" s="3">
        <v>1389</v>
      </c>
      <c r="C2536" s="1" t="str">
        <f>HYPERLINK("http://www.uniprot.org/uniprot/SRG1_ARATH","SRG1_ARATH")</f>
        <v>SRG1_ARATH</v>
      </c>
      <c r="D2536" t="s">
        <v>25</v>
      </c>
      <c r="E2536" s="3" t="s">
        <v>3</v>
      </c>
      <c r="F2536" s="4">
        <v>2.5800000000000002E-101</v>
      </c>
      <c r="G2536" s="3">
        <v>804</v>
      </c>
      <c r="H2536" s="3">
        <v>45</v>
      </c>
      <c r="I2536" s="3">
        <v>345</v>
      </c>
      <c r="J2536" s="3">
        <v>122</v>
      </c>
      <c r="K2536" s="3">
        <v>1147</v>
      </c>
      <c r="L2536" s="3">
        <v>17</v>
      </c>
      <c r="M2536" s="3">
        <v>358</v>
      </c>
    </row>
    <row r="2537" spans="1:13" x14ac:dyDescent="0.25">
      <c r="A2537" s="1" t="str">
        <f>HYPERLINK("http://www.rosaceae.org/Prunus/Prunus_persica/p.persica_gdr_reftransV1_0045066","p.persica_gdr_reftransV1_0045066")</f>
        <v>p.persica_gdr_reftransV1_0045066</v>
      </c>
      <c r="B2537" s="3">
        <v>794</v>
      </c>
      <c r="C2537" s="1" t="str">
        <f>HYPERLINK("http://www.uniprot.org/uniprot/SD22_ARATH","SD22_ARATH")</f>
        <v>SD22_ARATH</v>
      </c>
      <c r="D2537" t="s">
        <v>905</v>
      </c>
      <c r="E2537" s="3" t="s">
        <v>3</v>
      </c>
      <c r="F2537" s="4">
        <v>5.9600000000000002E-77</v>
      </c>
      <c r="G2537" s="3">
        <v>494</v>
      </c>
      <c r="H2537" s="3">
        <v>91</v>
      </c>
      <c r="I2537" s="3">
        <v>95</v>
      </c>
      <c r="J2537" s="3">
        <v>510</v>
      </c>
      <c r="K2537" s="3">
        <v>794</v>
      </c>
      <c r="L2537" s="3">
        <v>567</v>
      </c>
      <c r="M2537" s="3">
        <v>661</v>
      </c>
    </row>
    <row r="2538" spans="1:13" x14ac:dyDescent="0.25">
      <c r="A2538" s="1" t="str">
        <f>HYPERLINK("http://www.rosaceae.org/Prunus/Prunus_persica/p.persica_gdr_reftransV1_0045116","p.persica_gdr_reftransV1_0045116")</f>
        <v>p.persica_gdr_reftransV1_0045116</v>
      </c>
      <c r="B2538" s="3">
        <v>1755</v>
      </c>
      <c r="C2538" s="1" t="str">
        <f>HYPERLINK("http://www.uniprot.org/uniprot/AMYB_SOYBN","AMYB_SOYBN")</f>
        <v>AMYB_SOYBN</v>
      </c>
      <c r="D2538" t="s">
        <v>2409</v>
      </c>
      <c r="E2538" s="3" t="s">
        <v>307</v>
      </c>
      <c r="F2538" s="4">
        <v>0</v>
      </c>
      <c r="G2538" s="3">
        <v>2092</v>
      </c>
      <c r="H2538" s="3">
        <v>79</v>
      </c>
      <c r="I2538" s="3">
        <v>494</v>
      </c>
      <c r="J2538" s="3">
        <v>214</v>
      </c>
      <c r="K2538" s="3">
        <v>1695</v>
      </c>
      <c r="L2538" s="3">
        <v>3</v>
      </c>
      <c r="M2538" s="3">
        <v>496</v>
      </c>
    </row>
    <row r="2539" spans="1:13" x14ac:dyDescent="0.25">
      <c r="A2539" s="1" t="str">
        <f>HYPERLINK("http://www.rosaceae.org/Prunus/Prunus_persica/p.persica_gdr_reftransV1_0045166","p.persica_gdr_reftransV1_0045166")</f>
        <v>p.persica_gdr_reftransV1_0045166</v>
      </c>
      <c r="B2539" s="3">
        <v>2046</v>
      </c>
      <c r="C2539" s="1" t="str">
        <f>HYPERLINK("http://www.uniprot.org/uniprot/CCA21_ARATH","CCA21_ARATH")</f>
        <v>CCA21_ARATH</v>
      </c>
      <c r="D2539" t="s">
        <v>2410</v>
      </c>
      <c r="E2539" s="3" t="s">
        <v>3</v>
      </c>
      <c r="F2539" s="4">
        <v>9.53E-156</v>
      </c>
      <c r="G2539" s="3">
        <v>1195</v>
      </c>
      <c r="H2539" s="3">
        <v>55</v>
      </c>
      <c r="I2539" s="3">
        <v>497</v>
      </c>
      <c r="J2539" s="3">
        <v>410</v>
      </c>
      <c r="K2539" s="3">
        <v>1900</v>
      </c>
      <c r="L2539" s="3">
        <v>2</v>
      </c>
      <c r="M2539" s="3">
        <v>437</v>
      </c>
    </row>
    <row r="2540" spans="1:13" x14ac:dyDescent="0.25">
      <c r="A2540" s="1" t="str">
        <f>HYPERLINK("http://www.rosaceae.org/Prunus/Prunus_persica/p.persica_gdr_reftransV1_0045216","p.persica_gdr_reftransV1_0045216")</f>
        <v>p.persica_gdr_reftransV1_0045216</v>
      </c>
      <c r="B2540" s="3">
        <v>1651</v>
      </c>
      <c r="C2540" s="1" t="str">
        <f>HYPERLINK("http://www.uniprot.org/uniprot/AKR1_SOYBN","AKR1_SOYBN")</f>
        <v>AKR1_SOYBN</v>
      </c>
      <c r="D2540" t="s">
        <v>796</v>
      </c>
      <c r="E2540" s="3" t="s">
        <v>307</v>
      </c>
      <c r="F2540" s="4">
        <v>6.0700000000000003E-180</v>
      </c>
      <c r="G2540" s="3">
        <v>1333</v>
      </c>
      <c r="H2540" s="3">
        <v>77</v>
      </c>
      <c r="I2540" s="3">
        <v>337</v>
      </c>
      <c r="J2540" s="3">
        <v>115</v>
      </c>
      <c r="K2540" s="3">
        <v>1125</v>
      </c>
      <c r="L2540" s="3">
        <v>5</v>
      </c>
      <c r="M2540" s="3">
        <v>340</v>
      </c>
    </row>
    <row r="2541" spans="1:13" x14ac:dyDescent="0.25">
      <c r="A2541" s="1" t="str">
        <f>HYPERLINK("http://www.rosaceae.org/Prunus/Prunus_persica/p.persica_gdr_reftransV1_0045266","p.persica_gdr_reftransV1_0045266")</f>
        <v>p.persica_gdr_reftransV1_0045266</v>
      </c>
      <c r="B2541" s="3">
        <v>636</v>
      </c>
      <c r="C2541" s="1" t="str">
        <f>HYPERLINK("http://www.uniprot.org/uniprot/POP3_ARATH","POP3_ARATH")</f>
        <v>POP3_ARATH</v>
      </c>
      <c r="D2541" t="s">
        <v>2411</v>
      </c>
      <c r="E2541" s="3" t="s">
        <v>3</v>
      </c>
      <c r="F2541" s="4">
        <v>6.1799999999999996E-51</v>
      </c>
      <c r="G2541" s="3">
        <v>422</v>
      </c>
      <c r="H2541" s="3">
        <v>74</v>
      </c>
      <c r="I2541" s="3">
        <v>106</v>
      </c>
      <c r="J2541" s="3">
        <v>71</v>
      </c>
      <c r="K2541" s="3">
        <v>388</v>
      </c>
      <c r="L2541" s="3">
        <v>4</v>
      </c>
      <c r="M2541" s="3">
        <v>109</v>
      </c>
    </row>
    <row r="2542" spans="1:13" x14ac:dyDescent="0.25">
      <c r="A2542" s="1" t="str">
        <f>HYPERLINK("http://www.rosaceae.org/Prunus/Prunus_persica/p.persica_gdr_reftransV1_0045316","p.persica_gdr_reftransV1_0045316")</f>
        <v>p.persica_gdr_reftransV1_0045316</v>
      </c>
      <c r="B2542" s="3">
        <v>411</v>
      </c>
      <c r="C2542" s="1" t="str">
        <f>HYPERLINK("http://www.uniprot.org/uniprot/HLS1L_ARATH","HLS1L_ARATH")</f>
        <v>HLS1L_ARATH</v>
      </c>
      <c r="D2542" t="s">
        <v>2412</v>
      </c>
      <c r="E2542" s="3" t="s">
        <v>3</v>
      </c>
      <c r="F2542" s="4">
        <v>2.3900000000000001E-61</v>
      </c>
      <c r="G2542" s="3">
        <v>508</v>
      </c>
      <c r="H2542" s="3">
        <v>69</v>
      </c>
      <c r="I2542" s="3">
        <v>139</v>
      </c>
      <c r="J2542" s="3">
        <v>3</v>
      </c>
      <c r="K2542" s="3">
        <v>410</v>
      </c>
      <c r="L2542" s="3">
        <v>125</v>
      </c>
      <c r="M2542" s="3">
        <v>263</v>
      </c>
    </row>
    <row r="2543" spans="1:13" x14ac:dyDescent="0.25">
      <c r="A2543" s="1" t="str">
        <f>HYPERLINK("http://www.rosaceae.org/Prunus/Prunus_persica/p.persica_gdr_reftransV1_0045466","p.persica_gdr_reftransV1_0045466")</f>
        <v>p.persica_gdr_reftransV1_0045466</v>
      </c>
      <c r="B2543" s="3">
        <v>2452</v>
      </c>
      <c r="C2543" s="1" t="str">
        <f>HYPERLINK("http://www.uniprot.org/uniprot/CDPK4_SOLTU","CDPK4_SOLTU")</f>
        <v>CDPK4_SOLTU</v>
      </c>
      <c r="D2543" t="s">
        <v>2413</v>
      </c>
      <c r="E2543" s="3" t="s">
        <v>11</v>
      </c>
      <c r="F2543" s="4">
        <v>0</v>
      </c>
      <c r="G2543" s="3">
        <v>2475</v>
      </c>
      <c r="H2543" s="3">
        <v>82</v>
      </c>
      <c r="I2543" s="3">
        <v>577</v>
      </c>
      <c r="J2543" s="3">
        <v>391</v>
      </c>
      <c r="K2543" s="3">
        <v>2106</v>
      </c>
      <c r="L2543" s="3">
        <v>1</v>
      </c>
      <c r="M2543" s="3">
        <v>556</v>
      </c>
    </row>
    <row r="2544" spans="1:13" x14ac:dyDescent="0.25">
      <c r="A2544" s="1" t="str">
        <f>HYPERLINK("http://www.rosaceae.org/Prunus/Prunus_persica/p.persica_gdr_reftransV1_0045516","p.persica_gdr_reftransV1_0045516")</f>
        <v>p.persica_gdr_reftransV1_0045516</v>
      </c>
      <c r="B2544" s="3">
        <v>1860</v>
      </c>
      <c r="C2544" s="1" t="str">
        <f>HYPERLINK("http://www.uniprot.org/uniprot/METC_ARATH","METC_ARATH")</f>
        <v>METC_ARATH</v>
      </c>
      <c r="D2544" t="s">
        <v>2414</v>
      </c>
      <c r="E2544" s="3" t="s">
        <v>3</v>
      </c>
      <c r="F2544" s="4">
        <v>0</v>
      </c>
      <c r="G2544" s="3">
        <v>1819</v>
      </c>
      <c r="H2544" s="3">
        <v>74</v>
      </c>
      <c r="I2544" s="3">
        <v>456</v>
      </c>
      <c r="J2544" s="3">
        <v>180</v>
      </c>
      <c r="K2544" s="3">
        <v>1514</v>
      </c>
      <c r="L2544" s="3">
        <v>10</v>
      </c>
      <c r="M2544" s="3">
        <v>464</v>
      </c>
    </row>
    <row r="2545" spans="1:13" x14ac:dyDescent="0.25">
      <c r="A2545" s="1" t="str">
        <f>HYPERLINK("http://www.rosaceae.org/Prunus/Prunus_persica/p.persica_gdr_reftransV1_0045616","p.persica_gdr_reftransV1_0045616")</f>
        <v>p.persica_gdr_reftransV1_0045616</v>
      </c>
      <c r="B2545" s="3">
        <v>2163</v>
      </c>
      <c r="C2545" s="1" t="str">
        <f>HYPERLINK("http://www.uniprot.org/uniprot/GLYM_SOLTU","GLYM_SOLTU")</f>
        <v>GLYM_SOLTU</v>
      </c>
      <c r="D2545" t="s">
        <v>2415</v>
      </c>
      <c r="E2545" s="3" t="s">
        <v>11</v>
      </c>
      <c r="F2545" s="4">
        <v>0</v>
      </c>
      <c r="G2545" s="3">
        <v>2402</v>
      </c>
      <c r="H2545" s="3">
        <v>91</v>
      </c>
      <c r="I2545" s="3">
        <v>505</v>
      </c>
      <c r="J2545" s="3">
        <v>427</v>
      </c>
      <c r="K2545" s="3">
        <v>1935</v>
      </c>
      <c r="L2545" s="3">
        <v>15</v>
      </c>
      <c r="M2545" s="3">
        <v>518</v>
      </c>
    </row>
    <row r="2546" spans="1:13" x14ac:dyDescent="0.25">
      <c r="A2546" s="1" t="str">
        <f>HYPERLINK("http://www.rosaceae.org/Prunus/Prunus_persica/p.persica_gdr_reftransV1_0045716","p.persica_gdr_reftransV1_0045716")</f>
        <v>p.persica_gdr_reftransV1_0045716</v>
      </c>
      <c r="B2546" s="3">
        <v>871</v>
      </c>
      <c r="C2546" s="1" t="str">
        <f>HYPERLINK("http://www.uniprot.org/uniprot/JAG_ARATH","JAG_ARATH")</f>
        <v>JAG_ARATH</v>
      </c>
      <c r="D2546" t="s">
        <v>2416</v>
      </c>
      <c r="E2546" s="3" t="s">
        <v>3</v>
      </c>
      <c r="F2546" s="4">
        <v>9.299999999999999E-44</v>
      </c>
      <c r="G2546" s="3">
        <v>392</v>
      </c>
      <c r="H2546" s="3">
        <v>46</v>
      </c>
      <c r="I2546" s="3">
        <v>237</v>
      </c>
      <c r="J2546" s="3">
        <v>148</v>
      </c>
      <c r="K2546" s="3">
        <v>852</v>
      </c>
      <c r="L2546" s="3">
        <v>4</v>
      </c>
      <c r="M2546" s="3">
        <v>204</v>
      </c>
    </row>
    <row r="2547" spans="1:13" x14ac:dyDescent="0.25">
      <c r="A2547" s="1" t="str">
        <f>HYPERLINK("http://www.rosaceae.org/Prunus/Prunus_persica/p.persica_gdr_reftransV1_0045766","p.persica_gdr_reftransV1_0045766")</f>
        <v>p.persica_gdr_reftransV1_0045766</v>
      </c>
      <c r="B2547" s="3">
        <v>1081</v>
      </c>
      <c r="C2547" s="1" t="str">
        <f>HYPERLINK("http://www.uniprot.org/uniprot/TET19_ARATH","TET19_ARATH")</f>
        <v>TET19_ARATH</v>
      </c>
      <c r="D2547" t="s">
        <v>2417</v>
      </c>
      <c r="E2547" s="3" t="s">
        <v>3</v>
      </c>
      <c r="F2547" s="4">
        <v>4.2800000000000002E-60</v>
      </c>
      <c r="G2547" s="3">
        <v>506</v>
      </c>
      <c r="H2547" s="3">
        <v>47</v>
      </c>
      <c r="I2547" s="3">
        <v>201</v>
      </c>
      <c r="J2547" s="3">
        <v>290</v>
      </c>
      <c r="K2547" s="3">
        <v>892</v>
      </c>
      <c r="L2547" s="3">
        <v>1</v>
      </c>
      <c r="M2547" s="3">
        <v>198</v>
      </c>
    </row>
    <row r="2548" spans="1:13" x14ac:dyDescent="0.25">
      <c r="A2548" s="1" t="str">
        <f>HYPERLINK("http://www.rosaceae.org/Prunus/Prunus_persica/p.persica_gdr_reftransV1_0045816","p.persica_gdr_reftransV1_0045816")</f>
        <v>p.persica_gdr_reftransV1_0045816</v>
      </c>
      <c r="B2548" s="3">
        <v>1589</v>
      </c>
      <c r="C2548" s="1" t="str">
        <f>HYPERLINK("http://www.uniprot.org/uniprot/ISY1_DICDI","ISY1_DICDI")</f>
        <v>ISY1_DICDI</v>
      </c>
      <c r="D2548" t="s">
        <v>2418</v>
      </c>
      <c r="E2548" s="3" t="s">
        <v>9</v>
      </c>
      <c r="F2548" s="4">
        <v>1.3100000000000001E-59</v>
      </c>
      <c r="G2548" s="3">
        <v>521</v>
      </c>
      <c r="H2548" s="3">
        <v>54</v>
      </c>
      <c r="I2548" s="3">
        <v>203</v>
      </c>
      <c r="J2548" s="3">
        <v>604</v>
      </c>
      <c r="K2548" s="3">
        <v>1203</v>
      </c>
      <c r="L2548" s="3">
        <v>1</v>
      </c>
      <c r="M2548" s="3">
        <v>196</v>
      </c>
    </row>
    <row r="2549" spans="1:13" x14ac:dyDescent="0.25">
      <c r="A2549" s="1" t="str">
        <f>HYPERLINK("http://www.rosaceae.org/Prunus/Prunus_persica/p.persica_gdr_reftransV1_0045866","p.persica_gdr_reftransV1_0045866")</f>
        <v>p.persica_gdr_reftransV1_0045866</v>
      </c>
      <c r="B2549" s="3">
        <v>1695</v>
      </c>
      <c r="C2549" s="1" t="str">
        <f>HYPERLINK("http://www.uniprot.org/uniprot/SR30_ARATH","SR30_ARATH")</f>
        <v>SR30_ARATH</v>
      </c>
      <c r="D2549" t="s">
        <v>1506</v>
      </c>
      <c r="E2549" s="3" t="s">
        <v>3</v>
      </c>
      <c r="F2549" s="4">
        <v>1.8800000000000001E-80</v>
      </c>
      <c r="G2549" s="3">
        <v>663</v>
      </c>
      <c r="H2549" s="3">
        <v>77</v>
      </c>
      <c r="I2549" s="3">
        <v>186</v>
      </c>
      <c r="J2549" s="3">
        <v>1067</v>
      </c>
      <c r="K2549" s="3">
        <v>1624</v>
      </c>
      <c r="L2549" s="3">
        <v>1</v>
      </c>
      <c r="M2549" s="3">
        <v>184</v>
      </c>
    </row>
    <row r="2550" spans="1:13" x14ac:dyDescent="0.25">
      <c r="A2550" s="1" t="str">
        <f>HYPERLINK("http://www.rosaceae.org/Prunus/Prunus_persica/p.persica_gdr_reftransV1_0045916","p.persica_gdr_reftransV1_0045916")</f>
        <v>p.persica_gdr_reftransV1_0045916</v>
      </c>
      <c r="B2550" s="3">
        <v>2211</v>
      </c>
      <c r="C2550" s="1" t="str">
        <f>HYPERLINK("http://www.uniprot.org/uniprot/CSLA2_ARATH","CSLA2_ARATH")</f>
        <v>CSLA2_ARATH</v>
      </c>
      <c r="D2550" t="s">
        <v>2419</v>
      </c>
      <c r="E2550" s="3" t="s">
        <v>3</v>
      </c>
      <c r="F2550" s="4">
        <v>0</v>
      </c>
      <c r="G2550" s="3">
        <v>2330</v>
      </c>
      <c r="H2550" s="3">
        <v>81</v>
      </c>
      <c r="I2550" s="3">
        <v>535</v>
      </c>
      <c r="J2550" s="3">
        <v>365</v>
      </c>
      <c r="K2550" s="3">
        <v>1969</v>
      </c>
      <c r="L2550" s="3">
        <v>1</v>
      </c>
      <c r="M2550" s="3">
        <v>530</v>
      </c>
    </row>
    <row r="2551" spans="1:13" x14ac:dyDescent="0.25">
      <c r="A2551" s="1" t="str">
        <f>HYPERLINK("http://www.rosaceae.org/Prunus/Prunus_persica/p.persica_gdr_reftransV1_0046116","p.persica_gdr_reftransV1_0046116")</f>
        <v>p.persica_gdr_reftransV1_0046116</v>
      </c>
      <c r="B2551" s="3">
        <v>1840</v>
      </c>
      <c r="C2551" s="1" t="str">
        <f>HYPERLINK("http://www.uniprot.org/uniprot/RNG1L_ARATH","RNG1L_ARATH")</f>
        <v>RNG1L_ARATH</v>
      </c>
      <c r="D2551" t="s">
        <v>189</v>
      </c>
      <c r="E2551" s="3" t="s">
        <v>3</v>
      </c>
      <c r="F2551" s="4">
        <v>3.2300000000000002E-81</v>
      </c>
      <c r="G2551" s="3">
        <v>678</v>
      </c>
      <c r="H2551" s="3">
        <v>56</v>
      </c>
      <c r="I2551" s="3">
        <v>259</v>
      </c>
      <c r="J2551" s="3">
        <v>272</v>
      </c>
      <c r="K2551" s="3">
        <v>1030</v>
      </c>
      <c r="L2551" s="3">
        <v>19</v>
      </c>
      <c r="M2551" s="3">
        <v>270</v>
      </c>
    </row>
    <row r="2552" spans="1:13" x14ac:dyDescent="0.25">
      <c r="A2552" s="1" t="str">
        <f>HYPERLINK("http://www.rosaceae.org/Prunus/Prunus_persica/p.persica_gdr_reftransV1_0046166","p.persica_gdr_reftransV1_0046166")</f>
        <v>p.persica_gdr_reftransV1_0046166</v>
      </c>
      <c r="B2552" s="3">
        <v>1794</v>
      </c>
      <c r="C2552" s="1" t="str">
        <f>HYPERLINK("http://www.uniprot.org/uniprot/PDI23_ORYSJ","PDI23_ORYSJ")</f>
        <v>PDI23_ORYSJ</v>
      </c>
      <c r="D2552" t="s">
        <v>2420</v>
      </c>
      <c r="E2552" s="3" t="s">
        <v>38</v>
      </c>
      <c r="F2552" s="4">
        <v>0</v>
      </c>
      <c r="G2552" s="3">
        <v>1786</v>
      </c>
      <c r="H2552" s="3">
        <v>79</v>
      </c>
      <c r="I2552" s="3">
        <v>425</v>
      </c>
      <c r="J2552" s="3">
        <v>200</v>
      </c>
      <c r="K2552" s="3">
        <v>1450</v>
      </c>
      <c r="L2552" s="3">
        <v>19</v>
      </c>
      <c r="M2552" s="3">
        <v>441</v>
      </c>
    </row>
    <row r="2553" spans="1:13" x14ac:dyDescent="0.25">
      <c r="A2553" s="1" t="str">
        <f>HYPERLINK("http://www.rosaceae.org/Prunus/Prunus_persica/p.persica_gdr_reftransV1_0046266","p.persica_gdr_reftransV1_0046266")</f>
        <v>p.persica_gdr_reftransV1_0046266</v>
      </c>
      <c r="B2553" s="3">
        <v>572</v>
      </c>
      <c r="C2553" s="1" t="str">
        <f>HYPERLINK("http://www.uniprot.org/uniprot/TCTP_FRAAN","TCTP_FRAAN")</f>
        <v>TCTP_FRAAN</v>
      </c>
      <c r="D2553" t="s">
        <v>2421</v>
      </c>
      <c r="E2553" s="3" t="s">
        <v>15</v>
      </c>
      <c r="F2553" s="4">
        <v>5.6500000000000002E-80</v>
      </c>
      <c r="G2553" s="3">
        <v>617</v>
      </c>
      <c r="H2553" s="3">
        <v>89</v>
      </c>
      <c r="I2553" s="3">
        <v>141</v>
      </c>
      <c r="J2553" s="3">
        <v>6</v>
      </c>
      <c r="K2553" s="3">
        <v>422</v>
      </c>
      <c r="L2553" s="3">
        <v>1</v>
      </c>
      <c r="M2553" s="3">
        <v>141</v>
      </c>
    </row>
    <row r="2554" spans="1:13" x14ac:dyDescent="0.25">
      <c r="A2554" s="1" t="str">
        <f>HYPERLINK("http://www.rosaceae.org/Prunus/Prunus_persica/p.persica_gdr_reftransV1_0046316","p.persica_gdr_reftransV1_0046316")</f>
        <v>p.persica_gdr_reftransV1_0046316</v>
      </c>
      <c r="B2554" s="3">
        <v>1492</v>
      </c>
      <c r="C2554" s="1" t="str">
        <f>HYPERLINK("http://www.uniprot.org/uniprot/LOX15_SOLTU","LOX15_SOLTU")</f>
        <v>LOX15_SOLTU</v>
      </c>
      <c r="D2554" t="s">
        <v>2422</v>
      </c>
      <c r="E2554" s="3" t="s">
        <v>11</v>
      </c>
      <c r="F2554" s="4">
        <v>0</v>
      </c>
      <c r="G2554" s="3">
        <v>1893</v>
      </c>
      <c r="H2554" s="3">
        <v>78</v>
      </c>
      <c r="I2554" s="3">
        <v>428</v>
      </c>
      <c r="J2554" s="3">
        <v>2</v>
      </c>
      <c r="K2554" s="3">
        <v>1285</v>
      </c>
      <c r="L2554" s="3">
        <v>431</v>
      </c>
      <c r="M2554" s="3">
        <v>858</v>
      </c>
    </row>
    <row r="2555" spans="1:13" x14ac:dyDescent="0.25">
      <c r="A2555" s="1" t="str">
        <f>HYPERLINK("http://www.rosaceae.org/Prunus/Prunus_persica/p.persica_gdr_reftransV1_0046366","p.persica_gdr_reftransV1_0046366")</f>
        <v>p.persica_gdr_reftransV1_0046366</v>
      </c>
      <c r="B2555" s="3">
        <v>1217</v>
      </c>
      <c r="C2555" s="1" t="str">
        <f>HYPERLINK("http://www.uniprot.org/uniprot/Y5158_ARATH","Y5158_ARATH")</f>
        <v>Y5158_ARATH</v>
      </c>
      <c r="D2555" t="s">
        <v>2423</v>
      </c>
      <c r="E2555" s="3" t="s">
        <v>3</v>
      </c>
      <c r="F2555" s="4">
        <v>3.39E-117</v>
      </c>
      <c r="G2555" s="3">
        <v>916</v>
      </c>
      <c r="H2555" s="3">
        <v>77</v>
      </c>
      <c r="I2555" s="3">
        <v>243</v>
      </c>
      <c r="J2555" s="3">
        <v>3</v>
      </c>
      <c r="K2555" s="3">
        <v>719</v>
      </c>
      <c r="L2555" s="3">
        <v>256</v>
      </c>
      <c r="M2555" s="3">
        <v>488</v>
      </c>
    </row>
    <row r="2556" spans="1:13" x14ac:dyDescent="0.25">
      <c r="A2556" s="1" t="str">
        <f>HYPERLINK("http://www.rosaceae.org/Prunus/Prunus_persica/p.persica_gdr_reftransV1_0046466","p.persica_gdr_reftransV1_0046466")</f>
        <v>p.persica_gdr_reftransV1_0046466</v>
      </c>
      <c r="B2556" s="3">
        <v>410</v>
      </c>
      <c r="C2556" s="1" t="str">
        <f>HYPERLINK("http://www.uniprot.org/uniprot/PLY18_SOLLC","PLY18_SOLLC")</f>
        <v>PLY18_SOLLC</v>
      </c>
      <c r="D2556" t="s">
        <v>88</v>
      </c>
      <c r="E2556" s="3" t="s">
        <v>64</v>
      </c>
      <c r="F2556" s="4">
        <v>4.1899999999999998E-76</v>
      </c>
      <c r="G2556" s="3">
        <v>606</v>
      </c>
      <c r="H2556" s="3">
        <v>90</v>
      </c>
      <c r="I2556" s="3">
        <v>136</v>
      </c>
      <c r="J2556" s="3">
        <v>3</v>
      </c>
      <c r="K2556" s="3">
        <v>410</v>
      </c>
      <c r="L2556" s="3">
        <v>129</v>
      </c>
      <c r="M2556" s="3">
        <v>264</v>
      </c>
    </row>
    <row r="2557" spans="1:13" x14ac:dyDescent="0.25">
      <c r="A2557" s="1" t="str">
        <f>HYPERLINK("http://www.rosaceae.org/Prunus/Prunus_persica/p.persica_gdr_reftransV1_0046516","p.persica_gdr_reftransV1_0046516")</f>
        <v>p.persica_gdr_reftransV1_0046516</v>
      </c>
      <c r="B2557" s="3">
        <v>822</v>
      </c>
      <c r="C2557" s="1" t="str">
        <f>HYPERLINK("http://www.uniprot.org/uniprot/CAR4_ARATH","CAR4_ARATH")</f>
        <v>CAR4_ARATH</v>
      </c>
      <c r="D2557" t="s">
        <v>2424</v>
      </c>
      <c r="E2557" s="3" t="s">
        <v>3</v>
      </c>
      <c r="F2557" s="4">
        <v>9.7600000000000007E-72</v>
      </c>
      <c r="G2557" s="3">
        <v>572</v>
      </c>
      <c r="H2557" s="3">
        <v>70</v>
      </c>
      <c r="I2557" s="3">
        <v>164</v>
      </c>
      <c r="J2557" s="3">
        <v>149</v>
      </c>
      <c r="K2557" s="3">
        <v>640</v>
      </c>
      <c r="L2557" s="3">
        <v>13</v>
      </c>
      <c r="M2557" s="3">
        <v>176</v>
      </c>
    </row>
    <row r="2558" spans="1:13" x14ac:dyDescent="0.25">
      <c r="A2558" s="1" t="str">
        <f>HYPERLINK("http://www.rosaceae.org/Prunus/Prunus_persica/p.persica_gdr_reftransV1_0046616","p.persica_gdr_reftransV1_0046616")</f>
        <v>p.persica_gdr_reftransV1_0046616</v>
      </c>
      <c r="B2558" s="3">
        <v>860</v>
      </c>
      <c r="C2558" s="1" t="str">
        <f>HYPERLINK("http://www.uniprot.org/uniprot/MTDH_FRAAN","MTDH_FRAAN")</f>
        <v>MTDH_FRAAN</v>
      </c>
      <c r="D2558" t="s">
        <v>54</v>
      </c>
      <c r="E2558" s="3" t="s">
        <v>15</v>
      </c>
      <c r="F2558" s="4">
        <v>1.8899999999999999E-125</v>
      </c>
      <c r="G2558" s="3">
        <v>947</v>
      </c>
      <c r="H2558" s="3">
        <v>92</v>
      </c>
      <c r="I2558" s="3">
        <v>216</v>
      </c>
      <c r="J2558" s="3">
        <v>206</v>
      </c>
      <c r="K2558" s="3">
        <v>853</v>
      </c>
      <c r="L2558" s="3">
        <v>144</v>
      </c>
      <c r="M2558" s="3">
        <v>359</v>
      </c>
    </row>
    <row r="2559" spans="1:13" x14ac:dyDescent="0.25">
      <c r="A2559" s="1" t="str">
        <f>HYPERLINK("http://www.rosaceae.org/Prunus/Prunus_persica/p.persica_gdr_reftransV1_0046666","p.persica_gdr_reftransV1_0046666")</f>
        <v>p.persica_gdr_reftransV1_0046666</v>
      </c>
      <c r="B2559" s="3">
        <v>820</v>
      </c>
      <c r="C2559" s="1" t="str">
        <f>HYPERLINK("http://www.uniprot.org/uniprot/BBD2_ORYSJ","BBD2_ORYSJ")</f>
        <v>BBD2_ORYSJ</v>
      </c>
      <c r="D2559" t="s">
        <v>2425</v>
      </c>
      <c r="E2559" s="3" t="s">
        <v>38</v>
      </c>
      <c r="F2559" s="4">
        <v>3.24E-17</v>
      </c>
      <c r="G2559" s="3">
        <v>204</v>
      </c>
      <c r="H2559" s="3">
        <v>36</v>
      </c>
      <c r="I2559" s="3">
        <v>174</v>
      </c>
      <c r="J2559" s="3">
        <v>370</v>
      </c>
      <c r="K2559" s="3">
        <v>819</v>
      </c>
      <c r="L2559" s="3">
        <v>147</v>
      </c>
      <c r="M2559" s="3">
        <v>318</v>
      </c>
    </row>
    <row r="2560" spans="1:13" x14ac:dyDescent="0.25">
      <c r="A2560" s="1" t="str">
        <f>HYPERLINK("http://www.rosaceae.org/Prunus/Prunus_persica/p.persica_gdr_reftransV1_0046716","p.persica_gdr_reftransV1_0046716")</f>
        <v>p.persica_gdr_reftransV1_0046716</v>
      </c>
      <c r="B2560" s="3">
        <v>1001</v>
      </c>
      <c r="C2560" s="1" t="str">
        <f>HYPERLINK("http://www.uniprot.org/uniprot/CRS2B_ARATH","CRS2B_ARATH")</f>
        <v>CRS2B_ARATH</v>
      </c>
      <c r="D2560" t="s">
        <v>2426</v>
      </c>
      <c r="E2560" s="3" t="s">
        <v>3</v>
      </c>
      <c r="F2560" s="4">
        <v>1.8E-115</v>
      </c>
      <c r="G2560" s="3">
        <v>874</v>
      </c>
      <c r="H2560" s="3">
        <v>75</v>
      </c>
      <c r="I2560" s="3">
        <v>214</v>
      </c>
      <c r="J2560" s="3">
        <v>222</v>
      </c>
      <c r="K2560" s="3">
        <v>863</v>
      </c>
      <c r="L2560" s="3">
        <v>28</v>
      </c>
      <c r="M2560" s="3">
        <v>240</v>
      </c>
    </row>
    <row r="2561" spans="1:13" x14ac:dyDescent="0.25">
      <c r="A2561" s="1" t="str">
        <f>HYPERLINK("http://www.rosaceae.org/Prunus/Prunus_persica/p.persica_gdr_reftransV1_0046816","p.persica_gdr_reftransV1_0046816")</f>
        <v>p.persica_gdr_reftransV1_0046816</v>
      </c>
      <c r="B2561" s="3">
        <v>1104</v>
      </c>
      <c r="C2561" s="1" t="str">
        <f>HYPERLINK("http://www.uniprot.org/uniprot/TLP_ACTDE","TLP_ACTDE")</f>
        <v>TLP_ACTDE</v>
      </c>
      <c r="D2561" t="s">
        <v>2187</v>
      </c>
      <c r="E2561" s="3" t="s">
        <v>2188</v>
      </c>
      <c r="F2561" s="4">
        <v>1.7700000000000001E-120</v>
      </c>
      <c r="G2561" s="3">
        <v>909</v>
      </c>
      <c r="H2561" s="3">
        <v>74</v>
      </c>
      <c r="I2561" s="3">
        <v>225</v>
      </c>
      <c r="J2561" s="3">
        <v>403</v>
      </c>
      <c r="K2561" s="3">
        <v>1077</v>
      </c>
      <c r="L2561" s="3">
        <v>1</v>
      </c>
      <c r="M2561" s="3">
        <v>225</v>
      </c>
    </row>
    <row r="2562" spans="1:13" x14ac:dyDescent="0.25">
      <c r="A2562" s="1" t="str">
        <f>HYPERLINK("http://www.rosaceae.org/Prunus/Prunus_persica/p.persica_gdr_reftransV1_0046866","p.persica_gdr_reftransV1_0046866")</f>
        <v>p.persica_gdr_reftransV1_0046866</v>
      </c>
      <c r="B2562" s="3">
        <v>1975</v>
      </c>
      <c r="C2562" s="1" t="str">
        <f>HYPERLINK("http://www.uniprot.org/uniprot/RD21A_ARATH","RD21A_ARATH")</f>
        <v>RD21A_ARATH</v>
      </c>
      <c r="D2562" t="s">
        <v>1160</v>
      </c>
      <c r="E2562" s="3" t="s">
        <v>3</v>
      </c>
      <c r="F2562" s="4">
        <v>2.7899999999999999E-121</v>
      </c>
      <c r="G2562" s="3">
        <v>964</v>
      </c>
      <c r="H2562" s="3">
        <v>47</v>
      </c>
      <c r="I2562" s="3">
        <v>443</v>
      </c>
      <c r="J2562" s="3">
        <v>485</v>
      </c>
      <c r="K2562" s="3">
        <v>1801</v>
      </c>
      <c r="L2562" s="3">
        <v>42</v>
      </c>
      <c r="M2562" s="3">
        <v>450</v>
      </c>
    </row>
    <row r="2563" spans="1:13" x14ac:dyDescent="0.25">
      <c r="A2563" s="1" t="str">
        <f>HYPERLINK("http://www.rosaceae.org/Prunus/Prunus_persica/p.persica_gdr_reftransV1_0047066","p.persica_gdr_reftransV1_0047066")</f>
        <v>p.persica_gdr_reftransV1_0047066</v>
      </c>
      <c r="B2563" s="3">
        <v>404</v>
      </c>
      <c r="C2563" s="1" t="str">
        <f>HYPERLINK("http://www.uniprot.org/uniprot/U87A1_ARATH","U87A1_ARATH")</f>
        <v>U87A1_ARATH</v>
      </c>
      <c r="D2563" t="s">
        <v>2427</v>
      </c>
      <c r="E2563" s="3" t="s">
        <v>3</v>
      </c>
      <c r="F2563" s="4">
        <v>8.71E-23</v>
      </c>
      <c r="G2563" s="3">
        <v>238</v>
      </c>
      <c r="H2563" s="3">
        <v>45</v>
      </c>
      <c r="I2563" s="3">
        <v>115</v>
      </c>
      <c r="J2563" s="3">
        <v>61</v>
      </c>
      <c r="K2563" s="3">
        <v>402</v>
      </c>
      <c r="L2563" s="3">
        <v>118</v>
      </c>
      <c r="M2563" s="3">
        <v>231</v>
      </c>
    </row>
    <row r="2564" spans="1:13" x14ac:dyDescent="0.25">
      <c r="A2564" s="1" t="str">
        <f>HYPERLINK("http://www.rosaceae.org/Prunus/Prunus_persica/p.persica_gdr_reftransV1_0047116","p.persica_gdr_reftransV1_0047116")</f>
        <v>p.persica_gdr_reftransV1_0047116</v>
      </c>
      <c r="B2564" s="3">
        <v>2534</v>
      </c>
      <c r="C2564" s="1" t="str">
        <f>HYPERLINK("http://www.uniprot.org/uniprot/GPAT8_ARATH","GPAT8_ARATH")</f>
        <v>GPAT8_ARATH</v>
      </c>
      <c r="D2564" t="s">
        <v>2428</v>
      </c>
      <c r="E2564" s="3" t="s">
        <v>3</v>
      </c>
      <c r="F2564" s="4">
        <v>0</v>
      </c>
      <c r="G2564" s="3">
        <v>1859</v>
      </c>
      <c r="H2564" s="3">
        <v>80</v>
      </c>
      <c r="I2564" s="3">
        <v>494</v>
      </c>
      <c r="J2564" s="3">
        <v>85</v>
      </c>
      <c r="K2564" s="3">
        <v>1563</v>
      </c>
      <c r="L2564" s="3">
        <v>10</v>
      </c>
      <c r="M2564" s="3">
        <v>500</v>
      </c>
    </row>
    <row r="2565" spans="1:13" x14ac:dyDescent="0.25">
      <c r="A2565" s="1" t="str">
        <f>HYPERLINK("http://www.rosaceae.org/Prunus/Prunus_persica/p.persica_gdr_reftransV1_0047216","p.persica_gdr_reftransV1_0047216")</f>
        <v>p.persica_gdr_reftransV1_0047216</v>
      </c>
      <c r="B2565" s="3">
        <v>1499</v>
      </c>
      <c r="C2565" s="1" t="str">
        <f>HYPERLINK("http://www.uniprot.org/uniprot/TRL11_ARATH","TRL11_ARATH")</f>
        <v>TRL11_ARATH</v>
      </c>
      <c r="D2565" t="s">
        <v>593</v>
      </c>
      <c r="E2565" s="3" t="s">
        <v>3</v>
      </c>
      <c r="F2565" s="4">
        <v>5.86E-99</v>
      </c>
      <c r="G2565" s="3">
        <v>783</v>
      </c>
      <c r="H2565" s="3">
        <v>60</v>
      </c>
      <c r="I2565" s="3">
        <v>297</v>
      </c>
      <c r="J2565" s="3">
        <v>135</v>
      </c>
      <c r="K2565" s="3">
        <v>1016</v>
      </c>
      <c r="L2565" s="3">
        <v>1</v>
      </c>
      <c r="M2565" s="3">
        <v>275</v>
      </c>
    </row>
    <row r="2566" spans="1:13" x14ac:dyDescent="0.25">
      <c r="A2566" s="1" t="str">
        <f>HYPERLINK("http://www.rosaceae.org/Prunus/Prunus_persica/p.persica_gdr_reftransV1_0047266","p.persica_gdr_reftransV1_0047266")</f>
        <v>p.persica_gdr_reftransV1_0047266</v>
      </c>
      <c r="B2566" s="3">
        <v>1162</v>
      </c>
      <c r="C2566" s="1" t="str">
        <f>HYPERLINK("http://www.uniprot.org/uniprot/TRPA1_ARATH","TRPA1_ARATH")</f>
        <v>TRPA1_ARATH</v>
      </c>
      <c r="D2566" t="s">
        <v>174</v>
      </c>
      <c r="E2566" s="3" t="s">
        <v>3</v>
      </c>
      <c r="F2566" s="4">
        <v>8.7400000000000001E-139</v>
      </c>
      <c r="G2566" s="3">
        <v>1037</v>
      </c>
      <c r="H2566" s="3">
        <v>72</v>
      </c>
      <c r="I2566" s="3">
        <v>260</v>
      </c>
      <c r="J2566" s="3">
        <v>190</v>
      </c>
      <c r="K2566" s="3">
        <v>969</v>
      </c>
      <c r="L2566" s="3">
        <v>14</v>
      </c>
      <c r="M2566" s="3">
        <v>273</v>
      </c>
    </row>
    <row r="2567" spans="1:13" x14ac:dyDescent="0.25">
      <c r="A2567" s="1" t="str">
        <f>HYPERLINK("http://www.rosaceae.org/Prunus/Prunus_persica/p.persica_gdr_reftransV1_0047316","p.persica_gdr_reftransV1_0047316")</f>
        <v>p.persica_gdr_reftransV1_0047316</v>
      </c>
      <c r="B2567" s="3">
        <v>1527</v>
      </c>
      <c r="C2567" s="1" t="str">
        <f>HYPERLINK("http://www.uniprot.org/uniprot/WSD1_ARATH","WSD1_ARATH")</f>
        <v>WSD1_ARATH</v>
      </c>
      <c r="D2567" t="s">
        <v>84</v>
      </c>
      <c r="E2567" s="3" t="s">
        <v>3</v>
      </c>
      <c r="F2567" s="4">
        <v>3.1599999999999998E-33</v>
      </c>
      <c r="G2567" s="3">
        <v>339</v>
      </c>
      <c r="H2567" s="3">
        <v>26</v>
      </c>
      <c r="I2567" s="3">
        <v>466</v>
      </c>
      <c r="J2567" s="3">
        <v>24</v>
      </c>
      <c r="K2567" s="3">
        <v>1355</v>
      </c>
      <c r="L2567" s="3">
        <v>16</v>
      </c>
      <c r="M2567" s="3">
        <v>467</v>
      </c>
    </row>
    <row r="2568" spans="1:13" x14ac:dyDescent="0.25">
      <c r="A2568" s="1" t="str">
        <f>HYPERLINK("http://www.rosaceae.org/Prunus/Prunus_persica/p.persica_gdr_reftransV1_0047366","p.persica_gdr_reftransV1_0047366")</f>
        <v>p.persica_gdr_reftransV1_0047366</v>
      </c>
      <c r="B2568" s="3">
        <v>693</v>
      </c>
      <c r="C2568" s="1" t="str">
        <f>HYPERLINK("http://www.uniprot.org/uniprot/YLS9_ARATH","YLS9_ARATH")</f>
        <v>YLS9_ARATH</v>
      </c>
      <c r="D2568" t="s">
        <v>607</v>
      </c>
      <c r="E2568" s="3" t="s">
        <v>3</v>
      </c>
      <c r="F2568" s="4">
        <v>5.7700000000000003E-15</v>
      </c>
      <c r="G2568" s="3">
        <v>182</v>
      </c>
      <c r="H2568" s="3">
        <v>29</v>
      </c>
      <c r="I2568" s="3">
        <v>143</v>
      </c>
      <c r="J2568" s="3">
        <v>78</v>
      </c>
      <c r="K2568" s="3">
        <v>497</v>
      </c>
      <c r="L2568" s="3">
        <v>60</v>
      </c>
      <c r="M2568" s="3">
        <v>200</v>
      </c>
    </row>
    <row r="2569" spans="1:13" x14ac:dyDescent="0.25">
      <c r="A2569" s="1" t="str">
        <f>HYPERLINK("http://www.rosaceae.org/Prunus/Prunus_persica/p.persica_gdr_reftransV1_0047416","p.persica_gdr_reftransV1_0047416")</f>
        <v>p.persica_gdr_reftransV1_0047416</v>
      </c>
      <c r="B2569" s="3">
        <v>1134</v>
      </c>
      <c r="C2569" s="1" t="str">
        <f>HYPERLINK("http://www.uniprot.org/uniprot/THO4A_ARATH","THO4A_ARATH")</f>
        <v>THO4A_ARATH</v>
      </c>
      <c r="D2569" t="s">
        <v>2429</v>
      </c>
      <c r="E2569" s="3" t="s">
        <v>3</v>
      </c>
      <c r="F2569" s="4">
        <v>5.5699999999999997E-43</v>
      </c>
      <c r="G2569" s="3">
        <v>393</v>
      </c>
      <c r="H2569" s="3">
        <v>45</v>
      </c>
      <c r="I2569" s="3">
        <v>254</v>
      </c>
      <c r="J2569" s="3">
        <v>310</v>
      </c>
      <c r="K2569" s="3">
        <v>1047</v>
      </c>
      <c r="L2569" s="3">
        <v>1</v>
      </c>
      <c r="M2569" s="3">
        <v>242</v>
      </c>
    </row>
    <row r="2570" spans="1:13" x14ac:dyDescent="0.25">
      <c r="A2570" s="1" t="str">
        <f>HYPERLINK("http://www.rosaceae.org/Prunus/Prunus_persica/p.persica_gdr_reftransV1_0047466","p.persica_gdr_reftransV1_0047466")</f>
        <v>p.persica_gdr_reftransV1_0047466</v>
      </c>
      <c r="B2570" s="3">
        <v>1183</v>
      </c>
      <c r="C2570" s="1" t="str">
        <f>HYPERLINK("http://www.uniprot.org/uniprot/RLA1_MAIZE","RLA1_MAIZE")</f>
        <v>RLA1_MAIZE</v>
      </c>
      <c r="D2570" t="s">
        <v>2430</v>
      </c>
      <c r="E2570" s="3" t="s">
        <v>72</v>
      </c>
      <c r="F2570" s="4">
        <v>6.0000000000000002E-26</v>
      </c>
      <c r="G2570" s="3">
        <v>261</v>
      </c>
      <c r="H2570" s="3">
        <v>75</v>
      </c>
      <c r="I2570" s="3">
        <v>109</v>
      </c>
      <c r="J2570" s="3">
        <v>213</v>
      </c>
      <c r="K2570" s="3">
        <v>539</v>
      </c>
      <c r="L2570" s="3">
        <v>1</v>
      </c>
      <c r="M2570" s="3">
        <v>109</v>
      </c>
    </row>
    <row r="2571" spans="1:13" x14ac:dyDescent="0.25">
      <c r="A2571" s="1" t="str">
        <f>HYPERLINK("http://www.rosaceae.org/Prunus/Prunus_persica/p.persica_gdr_reftransV1_0047516","p.persica_gdr_reftransV1_0047516")</f>
        <v>p.persica_gdr_reftransV1_0047516</v>
      </c>
      <c r="B2571" s="3">
        <v>1065</v>
      </c>
      <c r="C2571" s="1" t="str">
        <f>HYPERLINK("http://www.uniprot.org/uniprot/RL131_ARATH","RL131_ARATH")</f>
        <v>RL131_ARATH</v>
      </c>
      <c r="D2571" t="s">
        <v>2431</v>
      </c>
      <c r="E2571" s="3" t="s">
        <v>3</v>
      </c>
      <c r="F2571" s="4">
        <v>6.3399999999999998E-106</v>
      </c>
      <c r="G2571" s="3">
        <v>810</v>
      </c>
      <c r="H2571" s="3">
        <v>83</v>
      </c>
      <c r="I2571" s="3">
        <v>191</v>
      </c>
      <c r="J2571" s="3">
        <v>401</v>
      </c>
      <c r="K2571" s="3">
        <v>973</v>
      </c>
      <c r="L2571" s="3">
        <v>1</v>
      </c>
      <c r="M2571" s="3">
        <v>191</v>
      </c>
    </row>
    <row r="2572" spans="1:13" x14ac:dyDescent="0.25">
      <c r="A2572" s="1" t="str">
        <f>HYPERLINK("http://www.rosaceae.org/Prunus/Prunus_persica/p.persica_gdr_reftransV1_0047616","p.persica_gdr_reftransV1_0047616")</f>
        <v>p.persica_gdr_reftransV1_0047616</v>
      </c>
      <c r="B2572" s="3">
        <v>1890</v>
      </c>
      <c r="C2572" s="1" t="str">
        <f>HYPERLINK("http://www.uniprot.org/uniprot/PABN1_ARATH","PABN1_ARATH")</f>
        <v>PABN1_ARATH</v>
      </c>
      <c r="D2572" t="s">
        <v>2432</v>
      </c>
      <c r="E2572" s="3" t="s">
        <v>3</v>
      </c>
      <c r="F2572" s="4">
        <v>2.2600000000000001E-76</v>
      </c>
      <c r="G2572" s="3">
        <v>636</v>
      </c>
      <c r="H2572" s="3">
        <v>86</v>
      </c>
      <c r="I2572" s="3">
        <v>139</v>
      </c>
      <c r="J2572" s="3">
        <v>188</v>
      </c>
      <c r="K2572" s="3">
        <v>604</v>
      </c>
      <c r="L2572" s="3">
        <v>50</v>
      </c>
      <c r="M2572" s="3">
        <v>187</v>
      </c>
    </row>
    <row r="2573" spans="1:13" x14ac:dyDescent="0.25">
      <c r="A2573" s="1" t="str">
        <f>HYPERLINK("http://www.rosaceae.org/Prunus/Prunus_persica/p.persica_gdr_reftransV1_0047666","p.persica_gdr_reftransV1_0047666")</f>
        <v>p.persica_gdr_reftransV1_0047666</v>
      </c>
      <c r="B2573" s="3">
        <v>1027</v>
      </c>
      <c r="C2573" s="1" t="str">
        <f>HYPERLINK("http://www.uniprot.org/uniprot/SNR27_MOUSE","SNR27_MOUSE")</f>
        <v>SNR27_MOUSE</v>
      </c>
      <c r="D2573" t="s">
        <v>2433</v>
      </c>
      <c r="E2573" s="3" t="s">
        <v>157</v>
      </c>
      <c r="F2573" s="4">
        <v>6.6399999999999999E-8</v>
      </c>
      <c r="G2573" s="3">
        <v>131</v>
      </c>
      <c r="H2573" s="3">
        <v>58</v>
      </c>
      <c r="I2573" s="3">
        <v>50</v>
      </c>
      <c r="J2573" s="3">
        <v>516</v>
      </c>
      <c r="K2573" s="3">
        <v>662</v>
      </c>
      <c r="L2573" s="3">
        <v>103</v>
      </c>
      <c r="M2573" s="3">
        <v>151</v>
      </c>
    </row>
    <row r="2574" spans="1:13" x14ac:dyDescent="0.25">
      <c r="A2574" s="1" t="str">
        <f>HYPERLINK("http://www.rosaceae.org/Prunus/Prunus_persica/p.persica_gdr_reftransV1_0047716","p.persica_gdr_reftransV1_0047716")</f>
        <v>p.persica_gdr_reftransV1_0047716</v>
      </c>
      <c r="B2574" s="3">
        <v>2063</v>
      </c>
      <c r="C2574" s="1" t="str">
        <f>HYPERLINK("http://www.uniprot.org/uniprot/NUCL2_ORYSJ","NUCL2_ORYSJ")</f>
        <v>NUCL2_ORYSJ</v>
      </c>
      <c r="D2574" t="s">
        <v>2434</v>
      </c>
      <c r="E2574" s="3" t="s">
        <v>38</v>
      </c>
      <c r="F2574" s="4">
        <v>6.6500000000000001E-71</v>
      </c>
      <c r="G2574" s="3">
        <v>638</v>
      </c>
      <c r="H2574" s="3">
        <v>59</v>
      </c>
      <c r="I2574" s="3">
        <v>224</v>
      </c>
      <c r="J2574" s="3">
        <v>121</v>
      </c>
      <c r="K2574" s="3">
        <v>777</v>
      </c>
      <c r="L2574" s="3">
        <v>408</v>
      </c>
      <c r="M2574" s="3">
        <v>631</v>
      </c>
    </row>
    <row r="2575" spans="1:13" x14ac:dyDescent="0.25">
      <c r="A2575" s="1" t="str">
        <f>HYPERLINK("http://www.rosaceae.org/Prunus/Prunus_persica/p.persica_gdr_reftransV1_0047816","p.persica_gdr_reftransV1_0047816")</f>
        <v>p.persica_gdr_reftransV1_0047816</v>
      </c>
      <c r="B2575" s="3">
        <v>1480</v>
      </c>
      <c r="C2575" s="1" t="str">
        <f>HYPERLINK("http://www.uniprot.org/uniprot/ASOL_BRANA","ASOL_BRANA")</f>
        <v>ASOL_BRANA</v>
      </c>
      <c r="D2575" t="s">
        <v>1327</v>
      </c>
      <c r="E2575" s="3" t="s">
        <v>776</v>
      </c>
      <c r="F2575" s="4">
        <v>0</v>
      </c>
      <c r="G2575" s="3">
        <v>1894</v>
      </c>
      <c r="H2575" s="3">
        <v>75</v>
      </c>
      <c r="I2575" s="3">
        <v>446</v>
      </c>
      <c r="J2575" s="3">
        <v>6</v>
      </c>
      <c r="K2575" s="3">
        <v>1343</v>
      </c>
      <c r="L2575" s="3">
        <v>110</v>
      </c>
      <c r="M2575" s="3">
        <v>555</v>
      </c>
    </row>
    <row r="2576" spans="1:13" x14ac:dyDescent="0.25">
      <c r="A2576" s="1" t="str">
        <f>HYPERLINK("http://www.rosaceae.org/Prunus/Prunus_persica/p.persica_gdr_reftransV1_0048016","p.persica_gdr_reftransV1_0048016")</f>
        <v>p.persica_gdr_reftransV1_0048016</v>
      </c>
      <c r="B2576" s="3">
        <v>1980</v>
      </c>
      <c r="C2576" s="1" t="str">
        <f>HYPERLINK("http://www.uniprot.org/uniprot/HST_ARATH","HST_ARATH")</f>
        <v>HST_ARATH</v>
      </c>
      <c r="D2576" t="s">
        <v>2435</v>
      </c>
      <c r="E2576" s="3" t="s">
        <v>3</v>
      </c>
      <c r="F2576" s="4">
        <v>0</v>
      </c>
      <c r="G2576" s="3">
        <v>1790</v>
      </c>
      <c r="H2576" s="3">
        <v>76</v>
      </c>
      <c r="I2576" s="3">
        <v>436</v>
      </c>
      <c r="J2576" s="3">
        <v>249</v>
      </c>
      <c r="K2576" s="3">
        <v>1550</v>
      </c>
      <c r="L2576" s="3">
        <v>1</v>
      </c>
      <c r="M2576" s="3">
        <v>433</v>
      </c>
    </row>
    <row r="2577" spans="1:13" x14ac:dyDescent="0.25">
      <c r="A2577" s="1" t="str">
        <f>HYPERLINK("http://www.rosaceae.org/Prunus/Prunus_persica/p.persica_gdr_reftransV1_0048166","p.persica_gdr_reftransV1_0048166")</f>
        <v>p.persica_gdr_reftransV1_0048166</v>
      </c>
      <c r="B2577" s="3">
        <v>1281</v>
      </c>
      <c r="C2577" s="1" t="str">
        <f>HYPERLINK("http://www.uniprot.org/uniprot/WRK41_ARATH","WRK41_ARATH")</f>
        <v>WRK41_ARATH</v>
      </c>
      <c r="D2577" t="s">
        <v>2436</v>
      </c>
      <c r="E2577" s="3" t="s">
        <v>3</v>
      </c>
      <c r="F2577" s="4">
        <v>1.1600000000000001E-43</v>
      </c>
      <c r="G2577" s="3">
        <v>405</v>
      </c>
      <c r="H2577" s="3">
        <v>47</v>
      </c>
      <c r="I2577" s="3">
        <v>211</v>
      </c>
      <c r="J2577" s="3">
        <v>627</v>
      </c>
      <c r="K2577" s="3">
        <v>1211</v>
      </c>
      <c r="L2577" s="3">
        <v>3</v>
      </c>
      <c r="M2577" s="3">
        <v>203</v>
      </c>
    </row>
    <row r="2578" spans="1:13" x14ac:dyDescent="0.25">
      <c r="A2578" s="1" t="str">
        <f>HYPERLINK("http://www.rosaceae.org/Prunus/Prunus_persica/p.persica_gdr_reftransV1_0048216","p.persica_gdr_reftransV1_0048216")</f>
        <v>p.persica_gdr_reftransV1_0048216</v>
      </c>
      <c r="B2578" s="3">
        <v>3124</v>
      </c>
      <c r="C2578" s="1" t="str">
        <f>HYPERLINK("http://www.uniprot.org/uniprot/EDR2L_ARATH","EDR2L_ARATH")</f>
        <v>EDR2L_ARATH</v>
      </c>
      <c r="D2578" t="s">
        <v>115</v>
      </c>
      <c r="E2578" s="3" t="s">
        <v>3</v>
      </c>
      <c r="F2578" s="4">
        <v>5.1099999999999999E-79</v>
      </c>
      <c r="G2578" s="3">
        <v>713</v>
      </c>
      <c r="H2578" s="3">
        <v>29</v>
      </c>
      <c r="I2578" s="3">
        <v>744</v>
      </c>
      <c r="J2578" s="3">
        <v>447</v>
      </c>
      <c r="K2578" s="3">
        <v>2594</v>
      </c>
      <c r="L2578" s="3">
        <v>6</v>
      </c>
      <c r="M2578" s="3">
        <v>712</v>
      </c>
    </row>
    <row r="2579" spans="1:13" x14ac:dyDescent="0.25">
      <c r="A2579" s="1" t="str">
        <f>HYPERLINK("http://www.rosaceae.org/Prunus/Prunus_persica/p.persica_gdr_reftransV1_0048316","p.persica_gdr_reftransV1_0048316")</f>
        <v>p.persica_gdr_reftransV1_0048316</v>
      </c>
      <c r="B2579" s="3">
        <v>1660</v>
      </c>
      <c r="C2579" s="1" t="str">
        <f>HYPERLINK("http://www.uniprot.org/uniprot/SAT3_ARATH","SAT3_ARATH")</f>
        <v>SAT3_ARATH</v>
      </c>
      <c r="D2579" t="s">
        <v>2437</v>
      </c>
      <c r="E2579" s="3" t="s">
        <v>3</v>
      </c>
      <c r="F2579" s="4">
        <v>3.5400000000000002E-151</v>
      </c>
      <c r="G2579" s="3">
        <v>1147</v>
      </c>
      <c r="H2579" s="3">
        <v>67</v>
      </c>
      <c r="I2579" s="3">
        <v>344</v>
      </c>
      <c r="J2579" s="3">
        <v>358</v>
      </c>
      <c r="K2579" s="3">
        <v>1389</v>
      </c>
      <c r="L2579" s="3">
        <v>56</v>
      </c>
      <c r="M2579" s="3">
        <v>391</v>
      </c>
    </row>
    <row r="2580" spans="1:13" x14ac:dyDescent="0.25">
      <c r="A2580" s="1" t="str">
        <f>HYPERLINK("http://www.rosaceae.org/Prunus/Prunus_persica/p.persica_gdr_reftransV1_0048416","p.persica_gdr_reftransV1_0048416")</f>
        <v>p.persica_gdr_reftransV1_0048416</v>
      </c>
      <c r="B2580" s="3">
        <v>1232</v>
      </c>
      <c r="C2580" s="1" t="str">
        <f>HYPERLINK("http://www.uniprot.org/uniprot/SCP18_ARATH","SCP18_ARATH")</f>
        <v>SCP18_ARATH</v>
      </c>
      <c r="D2580" t="s">
        <v>2438</v>
      </c>
      <c r="E2580" s="3" t="s">
        <v>3</v>
      </c>
      <c r="F2580" s="4">
        <v>1.09E-125</v>
      </c>
      <c r="G2580" s="3">
        <v>971</v>
      </c>
      <c r="H2580" s="3">
        <v>49</v>
      </c>
      <c r="I2580" s="3">
        <v>382</v>
      </c>
      <c r="J2580" s="3">
        <v>3</v>
      </c>
      <c r="K2580" s="3">
        <v>1133</v>
      </c>
      <c r="L2580" s="3">
        <v>21</v>
      </c>
      <c r="M2580" s="3">
        <v>395</v>
      </c>
    </row>
    <row r="2581" spans="1:13" x14ac:dyDescent="0.25">
      <c r="A2581" s="1" t="str">
        <f>HYPERLINK("http://www.rosaceae.org/Prunus/Prunus_persica/p.persica_gdr_reftransV1_0048466","p.persica_gdr_reftransV1_0048466")</f>
        <v>p.persica_gdr_reftransV1_0048466</v>
      </c>
      <c r="B2581" s="3">
        <v>843</v>
      </c>
      <c r="C2581" s="1" t="str">
        <f>HYPERLINK("http://www.uniprot.org/uniprot/SILD_FORIN","SILD_FORIN")</f>
        <v>SILD_FORIN</v>
      </c>
      <c r="D2581" t="s">
        <v>2439</v>
      </c>
      <c r="E2581" s="3" t="s">
        <v>2440</v>
      </c>
      <c r="F2581" s="4">
        <v>6.2899999999999998E-81</v>
      </c>
      <c r="G2581" s="3">
        <v>643</v>
      </c>
      <c r="H2581" s="3">
        <v>52</v>
      </c>
      <c r="I2581" s="3">
        <v>252</v>
      </c>
      <c r="J2581" s="3">
        <v>92</v>
      </c>
      <c r="K2581" s="3">
        <v>841</v>
      </c>
      <c r="L2581" s="3">
        <v>14</v>
      </c>
      <c r="M2581" s="3">
        <v>260</v>
      </c>
    </row>
    <row r="2582" spans="1:13" x14ac:dyDescent="0.25">
      <c r="A2582" s="1" t="str">
        <f>HYPERLINK("http://www.rosaceae.org/Prunus/Prunus_persica/p.persica_gdr_reftransV1_0048516","p.persica_gdr_reftransV1_0048516")</f>
        <v>p.persica_gdr_reftransV1_0048516</v>
      </c>
      <c r="B2582" s="3">
        <v>446</v>
      </c>
      <c r="C2582" s="1" t="str">
        <f>HYPERLINK("http://www.uniprot.org/uniprot/YCF2_MORIN","YCF2_MORIN")</f>
        <v>YCF2_MORIN</v>
      </c>
      <c r="D2582" t="s">
        <v>531</v>
      </c>
      <c r="E2582" s="3" t="s">
        <v>69</v>
      </c>
      <c r="F2582" s="4">
        <v>3.1999999999999999E-80</v>
      </c>
      <c r="G2582" s="3">
        <v>676</v>
      </c>
      <c r="H2582" s="3">
        <v>99</v>
      </c>
      <c r="I2582" s="3">
        <v>128</v>
      </c>
      <c r="J2582" s="3">
        <v>61</v>
      </c>
      <c r="K2582" s="3">
        <v>444</v>
      </c>
      <c r="L2582" s="3">
        <v>675</v>
      </c>
      <c r="M2582" s="3">
        <v>802</v>
      </c>
    </row>
    <row r="2583" spans="1:13" x14ac:dyDescent="0.25">
      <c r="A2583" s="1" t="str">
        <f>HYPERLINK("http://www.rosaceae.org/Prunus/Prunus_persica/p.persica_gdr_reftransV1_0048566","p.persica_gdr_reftransV1_0048566")</f>
        <v>p.persica_gdr_reftransV1_0048566</v>
      </c>
      <c r="B2583" s="3">
        <v>5295</v>
      </c>
      <c r="C2583" s="1" t="str">
        <f>HYPERLINK("http://www.uniprot.org/uniprot/BAZ2B_CHICK","BAZ2B_CHICK")</f>
        <v>BAZ2B_CHICK</v>
      </c>
      <c r="D2583" t="s">
        <v>2441</v>
      </c>
      <c r="E2583" s="3" t="s">
        <v>1278</v>
      </c>
      <c r="F2583" s="4">
        <v>5.3900000000000005E-7</v>
      </c>
      <c r="G2583" s="3">
        <v>141</v>
      </c>
      <c r="H2583" s="3">
        <v>25</v>
      </c>
      <c r="I2583" s="3">
        <v>258</v>
      </c>
      <c r="J2583" s="3">
        <v>807</v>
      </c>
      <c r="K2583" s="3">
        <v>1493</v>
      </c>
      <c r="L2583" s="3">
        <v>1700</v>
      </c>
      <c r="M2583" s="3">
        <v>1942</v>
      </c>
    </row>
    <row r="2584" spans="1:13" x14ac:dyDescent="0.25">
      <c r="A2584" s="1" t="str">
        <f>HYPERLINK("http://www.rosaceae.org/Prunus/Prunus_persica/p.persica_gdr_reftransV1_0048766","p.persica_gdr_reftransV1_0048766")</f>
        <v>p.persica_gdr_reftransV1_0048766</v>
      </c>
      <c r="B2584" s="3">
        <v>1210</v>
      </c>
      <c r="C2584" s="1" t="str">
        <f>HYPERLINK("http://www.uniprot.org/uniprot/UGT52_DICDI","UGT52_DICDI")</f>
        <v>UGT52_DICDI</v>
      </c>
      <c r="D2584" t="s">
        <v>2442</v>
      </c>
      <c r="E2584" s="3" t="s">
        <v>9</v>
      </c>
      <c r="F2584" s="4">
        <v>7.5900000000000005E-9</v>
      </c>
      <c r="G2584" s="3">
        <v>148</v>
      </c>
      <c r="H2584" s="3">
        <v>25</v>
      </c>
      <c r="I2584" s="3">
        <v>261</v>
      </c>
      <c r="J2584" s="3">
        <v>239</v>
      </c>
      <c r="K2584" s="3">
        <v>1018</v>
      </c>
      <c r="L2584" s="3">
        <v>1381</v>
      </c>
      <c r="M2584" s="3">
        <v>1605</v>
      </c>
    </row>
    <row r="2585" spans="1:13" x14ac:dyDescent="0.25">
      <c r="A2585" s="1" t="str">
        <f>HYPERLINK("http://www.rosaceae.org/Prunus/Prunus_persica/p.persica_gdr_reftransV1_0048816","p.persica_gdr_reftransV1_0048816")</f>
        <v>p.persica_gdr_reftransV1_0048816</v>
      </c>
      <c r="B2585" s="3">
        <v>3156</v>
      </c>
      <c r="C2585" s="1" t="str">
        <f>HYPERLINK("http://www.uniprot.org/uniprot/TPS10_ARATH","TPS10_ARATH")</f>
        <v>TPS10_ARATH</v>
      </c>
      <c r="D2585" t="s">
        <v>2443</v>
      </c>
      <c r="E2585" s="3" t="s">
        <v>3</v>
      </c>
      <c r="F2585" s="4">
        <v>0</v>
      </c>
      <c r="G2585" s="3">
        <v>3491</v>
      </c>
      <c r="H2585" s="3">
        <v>76</v>
      </c>
      <c r="I2585" s="3">
        <v>860</v>
      </c>
      <c r="J2585" s="3">
        <v>318</v>
      </c>
      <c r="K2585" s="3">
        <v>2897</v>
      </c>
      <c r="L2585" s="3">
        <v>1</v>
      </c>
      <c r="M2585" s="3">
        <v>860</v>
      </c>
    </row>
    <row r="2586" spans="1:13" x14ac:dyDescent="0.25">
      <c r="A2586" s="1" t="str">
        <f>HYPERLINK("http://www.rosaceae.org/Prunus/Prunus_persica/p.persica_gdr_reftransV1_0048866","p.persica_gdr_reftransV1_0048866")</f>
        <v>p.persica_gdr_reftransV1_0048866</v>
      </c>
      <c r="B2586" s="3">
        <v>1590</v>
      </c>
      <c r="C2586" s="1" t="str">
        <f>HYPERLINK("http://www.uniprot.org/uniprot/AGO7_ARATH","AGO7_ARATH")</f>
        <v>AGO7_ARATH</v>
      </c>
      <c r="D2586" t="s">
        <v>2444</v>
      </c>
      <c r="E2586" s="3" t="s">
        <v>3</v>
      </c>
      <c r="F2586" s="4">
        <v>0</v>
      </c>
      <c r="G2586" s="3">
        <v>1837</v>
      </c>
      <c r="H2586" s="3">
        <v>68</v>
      </c>
      <c r="I2586" s="3">
        <v>495</v>
      </c>
      <c r="J2586" s="3">
        <v>1</v>
      </c>
      <c r="K2586" s="3">
        <v>1485</v>
      </c>
      <c r="L2586" s="3">
        <v>147</v>
      </c>
      <c r="M2586" s="3">
        <v>623</v>
      </c>
    </row>
    <row r="2587" spans="1:13" x14ac:dyDescent="0.25">
      <c r="A2587" s="1" t="str">
        <f>HYPERLINK("http://www.rosaceae.org/Prunus/Prunus_persica/p.persica_gdr_reftransV1_0048916","p.persica_gdr_reftransV1_0048916")</f>
        <v>p.persica_gdr_reftransV1_0048916</v>
      </c>
      <c r="B2587" s="3">
        <v>2014</v>
      </c>
      <c r="C2587" s="1" t="str">
        <f>HYPERLINK("http://www.uniprot.org/uniprot/NOP5B_ARATH","NOP5B_ARATH")</f>
        <v>NOP5B_ARATH</v>
      </c>
      <c r="D2587" t="s">
        <v>2445</v>
      </c>
      <c r="E2587" s="3" t="s">
        <v>3</v>
      </c>
      <c r="F2587" s="4">
        <v>0</v>
      </c>
      <c r="G2587" s="3">
        <v>1896</v>
      </c>
      <c r="H2587" s="3">
        <v>82</v>
      </c>
      <c r="I2587" s="3">
        <v>447</v>
      </c>
      <c r="J2587" s="3">
        <v>543</v>
      </c>
      <c r="K2587" s="3">
        <v>1883</v>
      </c>
      <c r="L2587" s="3">
        <v>2</v>
      </c>
      <c r="M2587" s="3">
        <v>448</v>
      </c>
    </row>
    <row r="2588" spans="1:13" x14ac:dyDescent="0.25">
      <c r="A2588" s="1" t="str">
        <f>HYPERLINK("http://www.rosaceae.org/Prunus/Prunus_persica/p.persica_gdr_reftransV1_0048966","p.persica_gdr_reftransV1_0048966")</f>
        <v>p.persica_gdr_reftransV1_0048966</v>
      </c>
      <c r="B2588" s="3">
        <v>383</v>
      </c>
      <c r="C2588" s="1" t="str">
        <f>HYPERLINK("http://www.uniprot.org/uniprot/PR1_MEDTR","PR1_MEDTR")</f>
        <v>PR1_MEDTR</v>
      </c>
      <c r="D2588" t="s">
        <v>2446</v>
      </c>
      <c r="E2588" s="3" t="s">
        <v>91</v>
      </c>
      <c r="F2588" s="4">
        <v>1.8099999999999999E-53</v>
      </c>
      <c r="G2588" s="3">
        <v>435</v>
      </c>
      <c r="H2588" s="3">
        <v>70</v>
      </c>
      <c r="I2588" s="3">
        <v>108</v>
      </c>
      <c r="J2588" s="3">
        <v>60</v>
      </c>
      <c r="K2588" s="3">
        <v>383</v>
      </c>
      <c r="L2588" s="3">
        <v>36</v>
      </c>
      <c r="M2588" s="3">
        <v>143</v>
      </c>
    </row>
    <row r="2589" spans="1:13" x14ac:dyDescent="0.25">
      <c r="A2589" s="1" t="str">
        <f>HYPERLINK("http://www.rosaceae.org/Prunus/Prunus_persica/p.persica_gdr_reftransV1_0049066","p.persica_gdr_reftransV1_0049066")</f>
        <v>p.persica_gdr_reftransV1_0049066</v>
      </c>
      <c r="B2589" s="3">
        <v>330</v>
      </c>
      <c r="C2589" s="1" t="str">
        <f>HYPERLINK("http://www.uniprot.org/uniprot/ANS1A_HUMAN","ANS1A_HUMAN")</f>
        <v>ANS1A_HUMAN</v>
      </c>
      <c r="D2589" t="s">
        <v>2447</v>
      </c>
      <c r="E2589" s="3" t="s">
        <v>28</v>
      </c>
      <c r="F2589" s="4">
        <v>2.5399999999999999E-9</v>
      </c>
      <c r="G2589" s="3">
        <v>139</v>
      </c>
      <c r="H2589" s="3">
        <v>34</v>
      </c>
      <c r="I2589" s="3">
        <v>87</v>
      </c>
      <c r="J2589" s="3">
        <v>5</v>
      </c>
      <c r="K2589" s="3">
        <v>265</v>
      </c>
      <c r="L2589" s="3">
        <v>151</v>
      </c>
      <c r="M2589" s="3">
        <v>234</v>
      </c>
    </row>
    <row r="2590" spans="1:13" x14ac:dyDescent="0.25">
      <c r="A2590" s="1" t="str">
        <f>HYPERLINK("http://www.rosaceae.org/Prunus/Prunus_persica/p.persica_gdr_reftransV1_0049166","p.persica_gdr_reftransV1_0049166")</f>
        <v>p.persica_gdr_reftransV1_0049166</v>
      </c>
      <c r="B2590" s="3">
        <v>745</v>
      </c>
      <c r="C2590" s="1" t="str">
        <f>HYPERLINK("http://www.uniprot.org/uniprot/SCP18_ARATH","SCP18_ARATH")</f>
        <v>SCP18_ARATH</v>
      </c>
      <c r="D2590" t="s">
        <v>2438</v>
      </c>
      <c r="E2590" s="3" t="s">
        <v>3</v>
      </c>
      <c r="F2590" s="4">
        <v>1.4799999999999999E-71</v>
      </c>
      <c r="G2590" s="3">
        <v>592</v>
      </c>
      <c r="H2590" s="3">
        <v>56</v>
      </c>
      <c r="I2590" s="3">
        <v>194</v>
      </c>
      <c r="J2590" s="3">
        <v>160</v>
      </c>
      <c r="K2590" s="3">
        <v>741</v>
      </c>
      <c r="L2590" s="3">
        <v>25</v>
      </c>
      <c r="M2590" s="3">
        <v>218</v>
      </c>
    </row>
    <row r="2591" spans="1:13" x14ac:dyDescent="0.25">
      <c r="A2591" s="1" t="str">
        <f>HYPERLINK("http://www.rosaceae.org/Prunus/Prunus_persica/p.persica_gdr_reftransV1_0000017","p.persica_gdr_reftransV1_0000017")</f>
        <v>p.persica_gdr_reftransV1_0000017</v>
      </c>
      <c r="B2591" s="3">
        <v>2392</v>
      </c>
      <c r="C2591" s="1" t="str">
        <f>HYPERLINK("http://www.uniprot.org/uniprot/RH50_ARATH","RH50_ARATH")</f>
        <v>RH50_ARATH</v>
      </c>
      <c r="D2591" t="s">
        <v>2448</v>
      </c>
      <c r="E2591" s="3" t="s">
        <v>3</v>
      </c>
      <c r="F2591" s="4">
        <v>0</v>
      </c>
      <c r="G2591" s="3">
        <v>1653</v>
      </c>
      <c r="H2591" s="3">
        <v>68</v>
      </c>
      <c r="I2591" s="3">
        <v>481</v>
      </c>
      <c r="J2591" s="3">
        <v>737</v>
      </c>
      <c r="K2591" s="3">
        <v>2170</v>
      </c>
      <c r="L2591" s="3">
        <v>300</v>
      </c>
      <c r="M2591" s="3">
        <v>779</v>
      </c>
    </row>
    <row r="2592" spans="1:13" x14ac:dyDescent="0.25">
      <c r="A2592" s="1" t="str">
        <f>HYPERLINK("http://www.rosaceae.org/Prunus/Prunus_persica/p.persica_gdr_reftransV1_0000067","p.persica_gdr_reftransV1_0000067")</f>
        <v>p.persica_gdr_reftransV1_0000067</v>
      </c>
      <c r="B2592" s="3">
        <v>1123</v>
      </c>
      <c r="C2592" s="1" t="str">
        <f>HYPERLINK("http://www.uniprot.org/uniprot/SAP8_ORYSJ","SAP8_ORYSJ")</f>
        <v>SAP8_ORYSJ</v>
      </c>
      <c r="D2592" t="s">
        <v>2345</v>
      </c>
      <c r="E2592" s="3" t="s">
        <v>38</v>
      </c>
      <c r="F2592" s="4">
        <v>8.0500000000000001E-72</v>
      </c>
      <c r="G2592" s="3">
        <v>581</v>
      </c>
      <c r="H2592" s="3">
        <v>67</v>
      </c>
      <c r="I2592" s="3">
        <v>174</v>
      </c>
      <c r="J2592" s="3">
        <v>143</v>
      </c>
      <c r="K2592" s="3">
        <v>661</v>
      </c>
      <c r="L2592" s="3">
        <v>1</v>
      </c>
      <c r="M2592" s="3">
        <v>171</v>
      </c>
    </row>
    <row r="2593" spans="1:13" x14ac:dyDescent="0.25">
      <c r="A2593" s="1" t="str">
        <f>HYPERLINK("http://www.rosaceae.org/Prunus/Prunus_persica/p.persica_gdr_reftransV1_0000117","p.persica_gdr_reftransV1_0000117")</f>
        <v>p.persica_gdr_reftransV1_0000117</v>
      </c>
      <c r="B2593" s="3">
        <v>403</v>
      </c>
      <c r="C2593" s="1" t="str">
        <f>HYPERLINK("http://www.uniprot.org/uniprot/Y1571_ARATH","Y1571_ARATH")</f>
        <v>Y1571_ARATH</v>
      </c>
      <c r="D2593" t="s">
        <v>2449</v>
      </c>
      <c r="E2593" s="3" t="s">
        <v>3</v>
      </c>
      <c r="F2593" s="4">
        <v>6.98E-30</v>
      </c>
      <c r="G2593" s="3">
        <v>297</v>
      </c>
      <c r="H2593" s="3">
        <v>48</v>
      </c>
      <c r="I2593" s="3">
        <v>133</v>
      </c>
      <c r="J2593" s="3">
        <v>3</v>
      </c>
      <c r="K2593" s="3">
        <v>401</v>
      </c>
      <c r="L2593" s="3">
        <v>36</v>
      </c>
      <c r="M2593" s="3">
        <v>160</v>
      </c>
    </row>
    <row r="2594" spans="1:13" x14ac:dyDescent="0.25">
      <c r="A2594" s="1" t="str">
        <f>HYPERLINK("http://www.rosaceae.org/Prunus/Prunus_persica/p.persica_gdr_reftransV1_0000167","p.persica_gdr_reftransV1_0000167")</f>
        <v>p.persica_gdr_reftransV1_0000167</v>
      </c>
      <c r="B2594" s="3">
        <v>1104</v>
      </c>
      <c r="C2594" s="1" t="str">
        <f>HYPERLINK("http://www.uniprot.org/uniprot/ERD15_ARATH","ERD15_ARATH")</f>
        <v>ERD15_ARATH</v>
      </c>
      <c r="D2594" t="s">
        <v>2450</v>
      </c>
      <c r="E2594" s="3" t="s">
        <v>3</v>
      </c>
      <c r="F2594" s="4">
        <v>1.36E-27</v>
      </c>
      <c r="G2594" s="3">
        <v>277</v>
      </c>
      <c r="H2594" s="3">
        <v>73</v>
      </c>
      <c r="I2594" s="3">
        <v>81</v>
      </c>
      <c r="J2594" s="3">
        <v>778</v>
      </c>
      <c r="K2594" s="3">
        <v>996</v>
      </c>
      <c r="L2594" s="3">
        <v>1</v>
      </c>
      <c r="M2594" s="3">
        <v>80</v>
      </c>
    </row>
    <row r="2595" spans="1:13" x14ac:dyDescent="0.25">
      <c r="A2595" s="1" t="str">
        <f>HYPERLINK("http://www.rosaceae.org/Prunus/Prunus_persica/p.persica_gdr_reftransV1_0000217","p.persica_gdr_reftransV1_0000217")</f>
        <v>p.persica_gdr_reftransV1_0000217</v>
      </c>
      <c r="B2595" s="3">
        <v>616</v>
      </c>
      <c r="C2595" s="1" t="str">
        <f>HYPERLINK("http://www.uniprot.org/uniprot/AUX28_SOYBN","AUX28_SOYBN")</f>
        <v>AUX28_SOYBN</v>
      </c>
      <c r="D2595" t="s">
        <v>2451</v>
      </c>
      <c r="E2595" s="3" t="s">
        <v>307</v>
      </c>
      <c r="F2595" s="4">
        <v>3.0700000000000001E-30</v>
      </c>
      <c r="G2595" s="3">
        <v>292</v>
      </c>
      <c r="H2595" s="3">
        <v>61</v>
      </c>
      <c r="I2595" s="3">
        <v>151</v>
      </c>
      <c r="J2595" s="3">
        <v>170</v>
      </c>
      <c r="K2595" s="3">
        <v>616</v>
      </c>
      <c r="L2595" s="3">
        <v>1</v>
      </c>
      <c r="M2595" s="3">
        <v>137</v>
      </c>
    </row>
    <row r="2596" spans="1:13" x14ac:dyDescent="0.25">
      <c r="A2596" s="1" t="str">
        <f>HYPERLINK("http://www.rosaceae.org/Prunus/Prunus_persica/p.persica_gdr_reftransV1_0000267","p.persica_gdr_reftransV1_0000267")</f>
        <v>p.persica_gdr_reftransV1_0000267</v>
      </c>
      <c r="B2596" s="3">
        <v>734</v>
      </c>
      <c r="C2596" s="1" t="str">
        <f>HYPERLINK("http://www.uniprot.org/uniprot/SUT33_ARATH","SUT33_ARATH")</f>
        <v>SUT33_ARATH</v>
      </c>
      <c r="D2596" t="s">
        <v>2452</v>
      </c>
      <c r="E2596" s="3" t="s">
        <v>3</v>
      </c>
      <c r="F2596" s="4">
        <v>1.09E-107</v>
      </c>
      <c r="G2596" s="3">
        <v>847</v>
      </c>
      <c r="H2596" s="3">
        <v>79</v>
      </c>
      <c r="I2596" s="3">
        <v>203</v>
      </c>
      <c r="J2596" s="3">
        <v>125</v>
      </c>
      <c r="K2596" s="3">
        <v>733</v>
      </c>
      <c r="L2596" s="3">
        <v>1</v>
      </c>
      <c r="M2596" s="3">
        <v>203</v>
      </c>
    </row>
    <row r="2597" spans="1:13" x14ac:dyDescent="0.25">
      <c r="A2597" s="1" t="str">
        <f>HYPERLINK("http://www.rosaceae.org/Prunus/Prunus_persica/p.persica_gdr_reftransV1_0000317","p.persica_gdr_reftransV1_0000317")</f>
        <v>p.persica_gdr_reftransV1_0000317</v>
      </c>
      <c r="B2597" s="3">
        <v>917</v>
      </c>
      <c r="C2597" s="1" t="str">
        <f>HYPERLINK("http://www.uniprot.org/uniprot/MYOB4_ARATH","MYOB4_ARATH")</f>
        <v>MYOB4_ARATH</v>
      </c>
      <c r="D2597" t="s">
        <v>1642</v>
      </c>
      <c r="E2597" s="3" t="s">
        <v>3</v>
      </c>
      <c r="F2597" s="4">
        <v>6.2999999999999996E-25</v>
      </c>
      <c r="G2597" s="3">
        <v>272</v>
      </c>
      <c r="H2597" s="3">
        <v>40</v>
      </c>
      <c r="I2597" s="3">
        <v>245</v>
      </c>
      <c r="J2597" s="3">
        <v>220</v>
      </c>
      <c r="K2597" s="3">
        <v>888</v>
      </c>
      <c r="L2597" s="3">
        <v>9</v>
      </c>
      <c r="M2597" s="3">
        <v>226</v>
      </c>
    </row>
    <row r="2598" spans="1:13" x14ac:dyDescent="0.25">
      <c r="A2598" s="1" t="str">
        <f>HYPERLINK("http://www.rosaceae.org/Prunus/Prunus_persica/p.persica_gdr_reftransV1_0000367","p.persica_gdr_reftransV1_0000367")</f>
        <v>p.persica_gdr_reftransV1_0000367</v>
      </c>
      <c r="B2598" s="3">
        <v>418</v>
      </c>
      <c r="C2598" s="1" t="str">
        <f>HYPERLINK("http://www.uniprot.org/uniprot/AB44G_ORYSJ","AB44G_ORYSJ")</f>
        <v>AB44G_ORYSJ</v>
      </c>
      <c r="D2598" t="s">
        <v>2453</v>
      </c>
      <c r="E2598" s="3" t="s">
        <v>38</v>
      </c>
      <c r="F2598" s="4">
        <v>4.9399999999999998E-77</v>
      </c>
      <c r="G2598" s="3">
        <v>648</v>
      </c>
      <c r="H2598" s="3">
        <v>86</v>
      </c>
      <c r="I2598" s="3">
        <v>139</v>
      </c>
      <c r="J2598" s="3">
        <v>1</v>
      </c>
      <c r="K2598" s="3">
        <v>417</v>
      </c>
      <c r="L2598" s="3">
        <v>897</v>
      </c>
      <c r="M2598" s="3">
        <v>1035</v>
      </c>
    </row>
    <row r="2599" spans="1:13" x14ac:dyDescent="0.25">
      <c r="A2599" s="1" t="str">
        <f>HYPERLINK("http://www.rosaceae.org/Prunus/Prunus_persica/p.persica_gdr_reftransV1_0000417","p.persica_gdr_reftransV1_0000417")</f>
        <v>p.persica_gdr_reftransV1_0000417</v>
      </c>
      <c r="B2599" s="3">
        <v>3178</v>
      </c>
      <c r="C2599" s="1" t="str">
        <f>HYPERLINK("http://www.uniprot.org/uniprot/PLDD1_ARATH","PLDD1_ARATH")</f>
        <v>PLDD1_ARATH</v>
      </c>
      <c r="D2599" t="s">
        <v>2454</v>
      </c>
      <c r="E2599" s="3" t="s">
        <v>3</v>
      </c>
      <c r="F2599" s="4">
        <v>3.6500000000000003E-175</v>
      </c>
      <c r="G2599" s="3">
        <v>1396</v>
      </c>
      <c r="H2599" s="3">
        <v>67</v>
      </c>
      <c r="I2599" s="3">
        <v>407</v>
      </c>
      <c r="J2599" s="3">
        <v>1</v>
      </c>
      <c r="K2599" s="3">
        <v>1152</v>
      </c>
      <c r="L2599" s="3">
        <v>152</v>
      </c>
      <c r="M2599" s="3">
        <v>556</v>
      </c>
    </row>
    <row r="2600" spans="1:13" x14ac:dyDescent="0.25">
      <c r="A2600" s="1" t="str">
        <f>HYPERLINK("http://www.rosaceae.org/Prunus/Prunus_persica/p.persica_gdr_reftransV1_0000667","p.persica_gdr_reftransV1_0000667")</f>
        <v>p.persica_gdr_reftransV1_0000667</v>
      </c>
      <c r="B2600" s="3">
        <v>779</v>
      </c>
      <c r="C2600" s="1" t="str">
        <f>HYPERLINK("http://www.uniprot.org/uniprot/CSLG3_ARATH","CSLG3_ARATH")</f>
        <v>CSLG3_ARATH</v>
      </c>
      <c r="D2600" t="s">
        <v>2455</v>
      </c>
      <c r="E2600" s="3" t="s">
        <v>3</v>
      </c>
      <c r="F2600" s="4">
        <v>4.6999999999999999E-31</v>
      </c>
      <c r="G2600" s="3">
        <v>316</v>
      </c>
      <c r="H2600" s="3">
        <v>41</v>
      </c>
      <c r="I2600" s="3">
        <v>165</v>
      </c>
      <c r="J2600" s="3">
        <v>84</v>
      </c>
      <c r="K2600" s="3">
        <v>575</v>
      </c>
      <c r="L2600" s="3">
        <v>33</v>
      </c>
      <c r="M2600" s="3">
        <v>190</v>
      </c>
    </row>
    <row r="2601" spans="1:13" x14ac:dyDescent="0.25">
      <c r="A2601" s="1" t="str">
        <f>HYPERLINK("http://www.rosaceae.org/Prunus/Prunus_persica/p.persica_gdr_reftransV1_0000817","p.persica_gdr_reftransV1_0000817")</f>
        <v>p.persica_gdr_reftransV1_0000817</v>
      </c>
      <c r="B2601" s="3">
        <v>2822</v>
      </c>
      <c r="C2601" s="1" t="str">
        <f>HYPERLINK("http://www.uniprot.org/uniprot/MPK10_ORYSJ","MPK10_ORYSJ")</f>
        <v>MPK10_ORYSJ</v>
      </c>
      <c r="D2601" t="s">
        <v>2456</v>
      </c>
      <c r="E2601" s="3" t="s">
        <v>38</v>
      </c>
      <c r="F2601" s="4">
        <v>0</v>
      </c>
      <c r="G2601" s="3">
        <v>2265</v>
      </c>
      <c r="H2601" s="3">
        <v>75</v>
      </c>
      <c r="I2601" s="3">
        <v>620</v>
      </c>
      <c r="J2601" s="3">
        <v>379</v>
      </c>
      <c r="K2601" s="3">
        <v>2232</v>
      </c>
      <c r="L2601" s="3">
        <v>1</v>
      </c>
      <c r="M2601" s="3">
        <v>611</v>
      </c>
    </row>
    <row r="2602" spans="1:13" x14ac:dyDescent="0.25">
      <c r="A2602" s="1" t="str">
        <f>HYPERLINK("http://www.rosaceae.org/Prunus/Prunus_persica/p.persica_gdr_reftransV1_0000967","p.persica_gdr_reftransV1_0000967")</f>
        <v>p.persica_gdr_reftransV1_0000967</v>
      </c>
      <c r="B2602" s="3">
        <v>1698</v>
      </c>
      <c r="C2602" s="1" t="str">
        <f>HYPERLINK("http://www.uniprot.org/uniprot/FTSH4_ARATH","FTSH4_ARATH")</f>
        <v>FTSH4_ARATH</v>
      </c>
      <c r="D2602" t="s">
        <v>2457</v>
      </c>
      <c r="E2602" s="3" t="s">
        <v>3</v>
      </c>
      <c r="F2602" s="4">
        <v>1.01E-34</v>
      </c>
      <c r="G2602" s="3">
        <v>359</v>
      </c>
      <c r="H2602" s="3">
        <v>83</v>
      </c>
      <c r="I2602" s="3">
        <v>83</v>
      </c>
      <c r="J2602" s="3">
        <v>946</v>
      </c>
      <c r="K2602" s="3">
        <v>1194</v>
      </c>
      <c r="L2602" s="3">
        <v>573</v>
      </c>
      <c r="M2602" s="3">
        <v>655</v>
      </c>
    </row>
    <row r="2603" spans="1:13" x14ac:dyDescent="0.25">
      <c r="A2603" s="1" t="str">
        <f>HYPERLINK("http://www.rosaceae.org/Prunus/Prunus_persica/p.persica_gdr_reftransV1_0001017","p.persica_gdr_reftransV1_0001017")</f>
        <v>p.persica_gdr_reftransV1_0001017</v>
      </c>
      <c r="B2603" s="3">
        <v>1073</v>
      </c>
      <c r="C2603" s="1" t="str">
        <f>HYPERLINK("http://www.uniprot.org/uniprot/ERF17_ARATH","ERF17_ARATH")</f>
        <v>ERF17_ARATH</v>
      </c>
      <c r="D2603" t="s">
        <v>2458</v>
      </c>
      <c r="E2603" s="3" t="s">
        <v>3</v>
      </c>
      <c r="F2603" s="4">
        <v>9.3100000000000002E-55</v>
      </c>
      <c r="G2603" s="3">
        <v>466</v>
      </c>
      <c r="H2603" s="3">
        <v>53</v>
      </c>
      <c r="I2603" s="3">
        <v>200</v>
      </c>
      <c r="J2603" s="3">
        <v>319</v>
      </c>
      <c r="K2603" s="3">
        <v>912</v>
      </c>
      <c r="L2603" s="3">
        <v>11</v>
      </c>
      <c r="M2603" s="3">
        <v>185</v>
      </c>
    </row>
    <row r="2604" spans="1:13" x14ac:dyDescent="0.25">
      <c r="A2604" s="1" t="str">
        <f>HYPERLINK("http://www.rosaceae.org/Prunus/Prunus_persica/p.persica_gdr_reftransV1_0001067","p.persica_gdr_reftransV1_0001067")</f>
        <v>p.persica_gdr_reftransV1_0001067</v>
      </c>
      <c r="B2604" s="3">
        <v>3250</v>
      </c>
      <c r="C2604" s="1" t="str">
        <f>HYPERLINK("http://www.uniprot.org/uniprot/GSO1_ARATH","GSO1_ARATH")</f>
        <v>GSO1_ARATH</v>
      </c>
      <c r="D2604" t="s">
        <v>848</v>
      </c>
      <c r="E2604" s="3" t="s">
        <v>3</v>
      </c>
      <c r="F2604" s="4">
        <v>1.3399999999999999E-82</v>
      </c>
      <c r="G2604" s="3">
        <v>761</v>
      </c>
      <c r="H2604" s="3">
        <v>32</v>
      </c>
      <c r="I2604" s="3">
        <v>895</v>
      </c>
      <c r="J2604" s="3">
        <v>592</v>
      </c>
      <c r="K2604" s="3">
        <v>3069</v>
      </c>
      <c r="L2604" s="3">
        <v>28</v>
      </c>
      <c r="M2604" s="3">
        <v>857</v>
      </c>
    </row>
    <row r="2605" spans="1:13" x14ac:dyDescent="0.25">
      <c r="A2605" s="1" t="str">
        <f>HYPERLINK("http://www.rosaceae.org/Prunus/Prunus_persica/p.persica_gdr_reftransV1_0001167","p.persica_gdr_reftransV1_0001167")</f>
        <v>p.persica_gdr_reftransV1_0001167</v>
      </c>
      <c r="B2605" s="3">
        <v>4805</v>
      </c>
      <c r="C2605" s="1" t="str">
        <f>HYPERLINK("http://www.uniprot.org/uniprot/KEG_ARATH","KEG_ARATH")</f>
        <v>KEG_ARATH</v>
      </c>
      <c r="D2605" t="s">
        <v>2459</v>
      </c>
      <c r="E2605" s="3" t="s">
        <v>3</v>
      </c>
      <c r="F2605" s="4">
        <v>0</v>
      </c>
      <c r="G2605" s="3">
        <v>6146</v>
      </c>
      <c r="H2605" s="3">
        <v>78</v>
      </c>
      <c r="I2605" s="3">
        <v>1464</v>
      </c>
      <c r="J2605" s="3">
        <v>2</v>
      </c>
      <c r="K2605" s="3">
        <v>4393</v>
      </c>
      <c r="L2605" s="3">
        <v>164</v>
      </c>
      <c r="M2605" s="3">
        <v>1624</v>
      </c>
    </row>
    <row r="2606" spans="1:13" x14ac:dyDescent="0.25">
      <c r="A2606" s="1" t="str">
        <f>HYPERLINK("http://www.rosaceae.org/Prunus/Prunus_persica/p.persica_gdr_reftransV1_0001267","p.persica_gdr_reftransV1_0001267")</f>
        <v>p.persica_gdr_reftransV1_0001267</v>
      </c>
      <c r="B2606" s="3">
        <v>1921</v>
      </c>
      <c r="C2606" s="1" t="str">
        <f>HYPERLINK("http://www.uniprot.org/uniprot/PTR38_ARATH","PTR38_ARATH")</f>
        <v>PTR38_ARATH</v>
      </c>
      <c r="D2606" t="s">
        <v>2460</v>
      </c>
      <c r="E2606" s="3" t="s">
        <v>3</v>
      </c>
      <c r="F2606" s="4">
        <v>0</v>
      </c>
      <c r="G2606" s="3">
        <v>1454</v>
      </c>
      <c r="H2606" s="3">
        <v>55</v>
      </c>
      <c r="I2606" s="3">
        <v>551</v>
      </c>
      <c r="J2606" s="3">
        <v>60</v>
      </c>
      <c r="K2606" s="3">
        <v>1679</v>
      </c>
      <c r="L2606" s="3">
        <v>4</v>
      </c>
      <c r="M2606" s="3">
        <v>547</v>
      </c>
    </row>
    <row r="2607" spans="1:13" x14ac:dyDescent="0.25">
      <c r="A2607" s="1" t="str">
        <f>HYPERLINK("http://www.rosaceae.org/Prunus/Prunus_persica/p.persica_gdr_reftransV1_0001467","p.persica_gdr_reftransV1_0001467")</f>
        <v>p.persica_gdr_reftransV1_0001467</v>
      </c>
      <c r="B2607" s="3">
        <v>1164</v>
      </c>
      <c r="C2607" s="1" t="str">
        <f>HYPERLINK("http://www.uniprot.org/uniprot/PHT17_ARATH","PHT17_ARATH")</f>
        <v>PHT17_ARATH</v>
      </c>
      <c r="D2607" t="s">
        <v>2461</v>
      </c>
      <c r="E2607" s="3" t="s">
        <v>3</v>
      </c>
      <c r="F2607" s="4">
        <v>0</v>
      </c>
      <c r="G2607" s="3">
        <v>1389</v>
      </c>
      <c r="H2607" s="3">
        <v>86</v>
      </c>
      <c r="I2607" s="3">
        <v>317</v>
      </c>
      <c r="J2607" s="3">
        <v>213</v>
      </c>
      <c r="K2607" s="3">
        <v>1163</v>
      </c>
      <c r="L2607" s="3">
        <v>1</v>
      </c>
      <c r="M2607" s="3">
        <v>317</v>
      </c>
    </row>
    <row r="2608" spans="1:13" x14ac:dyDescent="0.25">
      <c r="A2608" s="1" t="str">
        <f>HYPERLINK("http://www.rosaceae.org/Prunus/Prunus_persica/p.persica_gdr_reftransV1_0001517","p.persica_gdr_reftransV1_0001517")</f>
        <v>p.persica_gdr_reftransV1_0001517</v>
      </c>
      <c r="B2608" s="3">
        <v>737</v>
      </c>
      <c r="C2608" s="1" t="str">
        <f>HYPERLINK("http://www.uniprot.org/uniprot/KAD6_ARATH","KAD6_ARATH")</f>
        <v>KAD6_ARATH</v>
      </c>
      <c r="D2608" t="s">
        <v>2462</v>
      </c>
      <c r="E2608" s="3" t="s">
        <v>3</v>
      </c>
      <c r="F2608" s="4">
        <v>2.0900000000000001E-72</v>
      </c>
      <c r="G2608" s="3">
        <v>574</v>
      </c>
      <c r="H2608" s="3">
        <v>68</v>
      </c>
      <c r="I2608" s="3">
        <v>168</v>
      </c>
      <c r="J2608" s="3">
        <v>33</v>
      </c>
      <c r="K2608" s="3">
        <v>536</v>
      </c>
      <c r="L2608" s="3">
        <v>11</v>
      </c>
      <c r="M2608" s="3">
        <v>178</v>
      </c>
    </row>
    <row r="2609" spans="1:13" x14ac:dyDescent="0.25">
      <c r="A2609" s="1" t="str">
        <f>HYPERLINK("http://www.rosaceae.org/Prunus/Prunus_persica/p.persica_gdr_reftransV1_0001567","p.persica_gdr_reftransV1_0001567")</f>
        <v>p.persica_gdr_reftransV1_0001567</v>
      </c>
      <c r="B2609" s="3">
        <v>818</v>
      </c>
      <c r="C2609" s="1" t="str">
        <f>HYPERLINK("http://www.uniprot.org/uniprot/YLX5_SCHPO","YLX5_SCHPO")</f>
        <v>YLX5_SCHPO</v>
      </c>
      <c r="D2609" t="s">
        <v>2463</v>
      </c>
      <c r="E2609" s="3" t="s">
        <v>464</v>
      </c>
      <c r="F2609" s="4">
        <v>2.16E-76</v>
      </c>
      <c r="G2609" s="3">
        <v>630</v>
      </c>
      <c r="H2609" s="3">
        <v>48</v>
      </c>
      <c r="I2609" s="3">
        <v>271</v>
      </c>
      <c r="J2609" s="3">
        <v>5</v>
      </c>
      <c r="K2609" s="3">
        <v>817</v>
      </c>
      <c r="L2609" s="3">
        <v>209</v>
      </c>
      <c r="M2609" s="3">
        <v>476</v>
      </c>
    </row>
    <row r="2610" spans="1:13" x14ac:dyDescent="0.25">
      <c r="A2610" s="1" t="str">
        <f>HYPERLINK("http://www.rosaceae.org/Prunus/Prunus_persica/p.persica_gdr_reftransV1_0001617","p.persica_gdr_reftransV1_0001617")</f>
        <v>p.persica_gdr_reftransV1_0001617</v>
      </c>
      <c r="B2610" s="3">
        <v>372</v>
      </c>
      <c r="C2610" s="1" t="str">
        <f>HYPERLINK("http://www.uniprot.org/uniprot/CNG10_ARATH","CNG10_ARATH")</f>
        <v>CNG10_ARATH</v>
      </c>
      <c r="D2610" t="s">
        <v>2464</v>
      </c>
      <c r="E2610" s="3" t="s">
        <v>3</v>
      </c>
      <c r="F2610" s="4">
        <v>4.3699999999999999E-14</v>
      </c>
      <c r="G2610" s="3">
        <v>176</v>
      </c>
      <c r="H2610" s="3">
        <v>32</v>
      </c>
      <c r="I2610" s="3">
        <v>119</v>
      </c>
      <c r="J2610" s="3">
        <v>7</v>
      </c>
      <c r="K2610" s="3">
        <v>351</v>
      </c>
      <c r="L2610" s="3">
        <v>413</v>
      </c>
      <c r="M2610" s="3">
        <v>523</v>
      </c>
    </row>
    <row r="2611" spans="1:13" x14ac:dyDescent="0.25">
      <c r="A2611" s="1" t="str">
        <f>HYPERLINK("http://www.rosaceae.org/Prunus/Prunus_persica/p.persica_gdr_reftransV1_0001817","p.persica_gdr_reftransV1_0001817")</f>
        <v>p.persica_gdr_reftransV1_0001817</v>
      </c>
      <c r="B2611" s="3">
        <v>1711</v>
      </c>
      <c r="C2611" s="1" t="str">
        <f>HYPERLINK("http://www.uniprot.org/uniprot/CSCL8_ARATH","CSCL8_ARATH")</f>
        <v>CSCL8_ARATH</v>
      </c>
      <c r="D2611" t="s">
        <v>2465</v>
      </c>
      <c r="E2611" s="3" t="s">
        <v>3</v>
      </c>
      <c r="F2611" s="4">
        <v>0</v>
      </c>
      <c r="G2611" s="3">
        <v>1818</v>
      </c>
      <c r="H2611" s="3">
        <v>64</v>
      </c>
      <c r="I2611" s="3">
        <v>553</v>
      </c>
      <c r="J2611" s="3">
        <v>2</v>
      </c>
      <c r="K2611" s="3">
        <v>1654</v>
      </c>
      <c r="L2611" s="3">
        <v>169</v>
      </c>
      <c r="M2611" s="3">
        <v>711</v>
      </c>
    </row>
    <row r="2612" spans="1:13" x14ac:dyDescent="0.25">
      <c r="A2612" s="1" t="str">
        <f>HYPERLINK("http://www.rosaceae.org/Prunus/Prunus_persica/p.persica_gdr_reftransV1_0001967","p.persica_gdr_reftransV1_0001967")</f>
        <v>p.persica_gdr_reftransV1_0001967</v>
      </c>
      <c r="B2612" s="3">
        <v>4420</v>
      </c>
      <c r="C2612" s="1" t="str">
        <f>HYPERLINK("http://www.uniprot.org/uniprot/FTSH_TOBAC","FTSH_TOBAC")</f>
        <v>FTSH_TOBAC</v>
      </c>
      <c r="D2612" t="s">
        <v>2466</v>
      </c>
      <c r="E2612" s="3" t="s">
        <v>200</v>
      </c>
      <c r="F2612" s="4">
        <v>0</v>
      </c>
      <c r="G2612" s="3">
        <v>2814</v>
      </c>
      <c r="H2612" s="3">
        <v>83</v>
      </c>
      <c r="I2612" s="3">
        <v>715</v>
      </c>
      <c r="J2612" s="3">
        <v>1990</v>
      </c>
      <c r="K2612" s="3">
        <v>4131</v>
      </c>
      <c r="L2612" s="3">
        <v>3</v>
      </c>
      <c r="M2612" s="3">
        <v>707</v>
      </c>
    </row>
    <row r="2613" spans="1:13" x14ac:dyDescent="0.25">
      <c r="A2613" s="1" t="str">
        <f>HYPERLINK("http://www.rosaceae.org/Prunus/Prunus_persica/p.persica_gdr_reftransV1_0002067","p.persica_gdr_reftransV1_0002067")</f>
        <v>p.persica_gdr_reftransV1_0002067</v>
      </c>
      <c r="B2613" s="3">
        <v>1016</v>
      </c>
      <c r="C2613" s="1" t="str">
        <f>HYPERLINK("http://www.uniprot.org/uniprot/ACCO5_ARATH","ACCO5_ARATH")</f>
        <v>ACCO5_ARATH</v>
      </c>
      <c r="D2613" t="s">
        <v>2467</v>
      </c>
      <c r="E2613" s="3" t="s">
        <v>3</v>
      </c>
      <c r="F2613" s="4">
        <v>4.6200000000000002E-155</v>
      </c>
      <c r="G2613" s="3">
        <v>1143</v>
      </c>
      <c r="H2613" s="3">
        <v>71</v>
      </c>
      <c r="I2613" s="3">
        <v>313</v>
      </c>
      <c r="J2613" s="3">
        <v>27</v>
      </c>
      <c r="K2613" s="3">
        <v>929</v>
      </c>
      <c r="L2613" s="3">
        <v>1</v>
      </c>
      <c r="M2613" s="3">
        <v>307</v>
      </c>
    </row>
    <row r="2614" spans="1:13" x14ac:dyDescent="0.25">
      <c r="A2614" s="1" t="str">
        <f>HYPERLINK("http://www.rosaceae.org/Prunus/Prunus_persica/p.persica_gdr_reftransV1_0002117","p.persica_gdr_reftransV1_0002117")</f>
        <v>p.persica_gdr_reftransV1_0002117</v>
      </c>
      <c r="B2614" s="3">
        <v>866</v>
      </c>
      <c r="C2614" s="1" t="str">
        <f>HYPERLINK("http://www.uniprot.org/uniprot/MAVI_CUCPE","MAVI_CUCPE")</f>
        <v>MAVI_CUCPE</v>
      </c>
      <c r="D2614" t="s">
        <v>2468</v>
      </c>
      <c r="E2614" s="3" t="s">
        <v>2469</v>
      </c>
      <c r="F2614" s="4">
        <v>1.6099999999999999E-35</v>
      </c>
      <c r="G2614" s="3">
        <v>324</v>
      </c>
      <c r="H2614" s="3">
        <v>55</v>
      </c>
      <c r="I2614" s="3">
        <v>101</v>
      </c>
      <c r="J2614" s="3">
        <v>228</v>
      </c>
      <c r="K2614" s="3">
        <v>530</v>
      </c>
      <c r="L2614" s="3">
        <v>1</v>
      </c>
      <c r="M2614" s="3">
        <v>101</v>
      </c>
    </row>
    <row r="2615" spans="1:13" x14ac:dyDescent="0.25">
      <c r="A2615" s="1" t="str">
        <f>HYPERLINK("http://www.rosaceae.org/Prunus/Prunus_persica/p.persica_gdr_reftransV1_0002217","p.persica_gdr_reftransV1_0002217")</f>
        <v>p.persica_gdr_reftransV1_0002217</v>
      </c>
      <c r="B2615" s="3">
        <v>456</v>
      </c>
      <c r="C2615" s="1" t="str">
        <f>HYPERLINK("http://www.uniprot.org/uniprot/RPOB_BUXMI","RPOB_BUXMI")</f>
        <v>RPOB_BUXMI</v>
      </c>
      <c r="D2615" t="s">
        <v>2470</v>
      </c>
      <c r="E2615" s="3" t="s">
        <v>2471</v>
      </c>
      <c r="F2615" s="4">
        <v>5.4400000000000001E-98</v>
      </c>
      <c r="G2615" s="3">
        <v>794</v>
      </c>
      <c r="H2615" s="3">
        <v>97</v>
      </c>
      <c r="I2615" s="3">
        <v>152</v>
      </c>
      <c r="J2615" s="3">
        <v>1</v>
      </c>
      <c r="K2615" s="3">
        <v>456</v>
      </c>
      <c r="L2615" s="3">
        <v>346</v>
      </c>
      <c r="M2615" s="3">
        <v>497</v>
      </c>
    </row>
    <row r="2616" spans="1:13" x14ac:dyDescent="0.25">
      <c r="A2616" s="1" t="str">
        <f>HYPERLINK("http://www.rosaceae.org/Prunus/Prunus_persica/p.persica_gdr_reftransV1_0002317","p.persica_gdr_reftransV1_0002317")</f>
        <v>p.persica_gdr_reftransV1_0002317</v>
      </c>
      <c r="B2616" s="3">
        <v>6859</v>
      </c>
      <c r="C2616" s="1" t="str">
        <f>HYPERLINK("http://www.uniprot.org/uniprot/PPX2_ARATH","PPX2_ARATH")</f>
        <v>PPX2_ARATH</v>
      </c>
      <c r="D2616" t="s">
        <v>2472</v>
      </c>
      <c r="E2616" s="3" t="s">
        <v>3</v>
      </c>
      <c r="F2616" s="4">
        <v>0</v>
      </c>
      <c r="G2616" s="3">
        <v>1588</v>
      </c>
      <c r="H2616" s="3">
        <v>96</v>
      </c>
      <c r="I2616" s="3">
        <v>305</v>
      </c>
      <c r="J2616" s="3">
        <v>4166</v>
      </c>
      <c r="K2616" s="3">
        <v>5080</v>
      </c>
      <c r="L2616" s="3">
        <v>1</v>
      </c>
      <c r="M2616" s="3">
        <v>305</v>
      </c>
    </row>
    <row r="2617" spans="1:13" x14ac:dyDescent="0.25">
      <c r="A2617" s="1" t="str">
        <f>HYPERLINK("http://www.rosaceae.org/Prunus/Prunus_persica/p.persica_gdr_reftransV1_0002367","p.persica_gdr_reftransV1_0002367")</f>
        <v>p.persica_gdr_reftransV1_0002367</v>
      </c>
      <c r="B2617" s="3">
        <v>1017</v>
      </c>
      <c r="C2617" s="1" t="str">
        <f>HYPERLINK("http://www.uniprot.org/uniprot/UBC10_ARATH","UBC10_ARATH")</f>
        <v>UBC10_ARATH</v>
      </c>
      <c r="D2617" t="s">
        <v>2226</v>
      </c>
      <c r="E2617" s="3" t="s">
        <v>3</v>
      </c>
      <c r="F2617" s="4">
        <v>1.0399999999999999E-101</v>
      </c>
      <c r="G2617" s="3">
        <v>774</v>
      </c>
      <c r="H2617" s="3">
        <v>97</v>
      </c>
      <c r="I2617" s="3">
        <v>148</v>
      </c>
      <c r="J2617" s="3">
        <v>222</v>
      </c>
      <c r="K2617" s="3">
        <v>665</v>
      </c>
      <c r="L2617" s="3">
        <v>1</v>
      </c>
      <c r="M2617" s="3">
        <v>148</v>
      </c>
    </row>
    <row r="2618" spans="1:13" x14ac:dyDescent="0.25">
      <c r="A2618" s="1" t="str">
        <f>HYPERLINK("http://www.rosaceae.org/Prunus/Prunus_persica/p.persica_gdr_reftransV1_0002417","p.persica_gdr_reftransV1_0002417")</f>
        <v>p.persica_gdr_reftransV1_0002417</v>
      </c>
      <c r="B2618" s="3">
        <v>1707</v>
      </c>
      <c r="C2618" s="1" t="str">
        <f>HYPERLINK("http://www.uniprot.org/uniprot/RSC5_DICDI","RSC5_DICDI")</f>
        <v>RSC5_DICDI</v>
      </c>
      <c r="D2618" t="s">
        <v>2473</v>
      </c>
      <c r="E2618" s="3" t="s">
        <v>9</v>
      </c>
      <c r="F2618" s="4">
        <v>2.3400000000000001E-36</v>
      </c>
      <c r="G2618" s="3">
        <v>360</v>
      </c>
      <c r="H2618" s="3">
        <v>33</v>
      </c>
      <c r="I2618" s="3">
        <v>241</v>
      </c>
      <c r="J2618" s="3">
        <v>487</v>
      </c>
      <c r="K2618" s="3">
        <v>1185</v>
      </c>
      <c r="L2618" s="3">
        <v>46</v>
      </c>
      <c r="M2618" s="3">
        <v>286</v>
      </c>
    </row>
    <row r="2619" spans="1:13" x14ac:dyDescent="0.25">
      <c r="A2619" s="1" t="str">
        <f>HYPERLINK("http://www.rosaceae.org/Prunus/Prunus_persica/p.persica_gdr_reftransV1_0002467","p.persica_gdr_reftransV1_0002467")</f>
        <v>p.persica_gdr_reftransV1_0002467</v>
      </c>
      <c r="B2619" s="3">
        <v>1296</v>
      </c>
      <c r="C2619" s="1" t="str">
        <f>HYPERLINK("http://www.uniprot.org/uniprot/NPK1_TOBAC","NPK1_TOBAC")</f>
        <v>NPK1_TOBAC</v>
      </c>
      <c r="D2619" t="s">
        <v>2474</v>
      </c>
      <c r="E2619" s="3" t="s">
        <v>200</v>
      </c>
      <c r="F2619" s="4">
        <v>1.18E-51</v>
      </c>
      <c r="G2619" s="3">
        <v>480</v>
      </c>
      <c r="H2619" s="3">
        <v>42</v>
      </c>
      <c r="I2619" s="3">
        <v>249</v>
      </c>
      <c r="J2619" s="3">
        <v>530</v>
      </c>
      <c r="K2619" s="3">
        <v>1240</v>
      </c>
      <c r="L2619" s="3">
        <v>103</v>
      </c>
      <c r="M2619" s="3">
        <v>342</v>
      </c>
    </row>
    <row r="2620" spans="1:13" x14ac:dyDescent="0.25">
      <c r="A2620" s="1" t="str">
        <f>HYPERLINK("http://www.rosaceae.org/Prunus/Prunus_persica/p.persica_gdr_reftransV1_0002517","p.persica_gdr_reftransV1_0002517")</f>
        <v>p.persica_gdr_reftransV1_0002517</v>
      </c>
      <c r="B2620" s="3">
        <v>6277</v>
      </c>
      <c r="C2620" s="1" t="str">
        <f>HYPERLINK("http://www.uniprot.org/uniprot/CALSA_ARATH","CALSA_ARATH")</f>
        <v>CALSA_ARATH</v>
      </c>
      <c r="D2620" t="s">
        <v>2475</v>
      </c>
      <c r="E2620" s="3" t="s">
        <v>3</v>
      </c>
      <c r="F2620" s="4">
        <v>0</v>
      </c>
      <c r="G2620" s="3">
        <v>7959</v>
      </c>
      <c r="H2620" s="3">
        <v>80</v>
      </c>
      <c r="I2620" s="3">
        <v>1906</v>
      </c>
      <c r="J2620" s="3">
        <v>379</v>
      </c>
      <c r="K2620" s="3">
        <v>6072</v>
      </c>
      <c r="L2620" s="3">
        <v>1</v>
      </c>
      <c r="M2620" s="3">
        <v>1904</v>
      </c>
    </row>
    <row r="2621" spans="1:13" x14ac:dyDescent="0.25">
      <c r="A2621" s="1" t="str">
        <f>HYPERLINK("http://www.rosaceae.org/Prunus/Prunus_persica/p.persica_gdr_reftransV1_0002617","p.persica_gdr_reftransV1_0002617")</f>
        <v>p.persica_gdr_reftransV1_0002617</v>
      </c>
      <c r="B2621" s="3">
        <v>1801</v>
      </c>
      <c r="C2621" s="1" t="str">
        <f>HYPERLINK("http://www.uniprot.org/uniprot/PDK_ARATH","PDK_ARATH")</f>
        <v>PDK_ARATH</v>
      </c>
      <c r="D2621" t="s">
        <v>2476</v>
      </c>
      <c r="E2621" s="3" t="s">
        <v>3</v>
      </c>
      <c r="F2621" s="4">
        <v>2.6800000000000002E-177</v>
      </c>
      <c r="G2621" s="3">
        <v>1021</v>
      </c>
      <c r="H2621" s="3">
        <v>72</v>
      </c>
      <c r="I2621" s="3">
        <v>264</v>
      </c>
      <c r="J2621" s="3">
        <v>679</v>
      </c>
      <c r="K2621" s="3">
        <v>1470</v>
      </c>
      <c r="L2621" s="3">
        <v>1</v>
      </c>
      <c r="M2621" s="3">
        <v>228</v>
      </c>
    </row>
    <row r="2622" spans="1:13" x14ac:dyDescent="0.25">
      <c r="A2622" s="1" t="str">
        <f>HYPERLINK("http://www.rosaceae.org/Prunus/Prunus_persica/p.persica_gdr_reftransV1_0002717","p.persica_gdr_reftransV1_0002717")</f>
        <v>p.persica_gdr_reftransV1_0002717</v>
      </c>
      <c r="B2622" s="3">
        <v>474</v>
      </c>
      <c r="C2622" s="1" t="str">
        <f>HYPERLINK("http://www.uniprot.org/uniprot/CCG6_NEUCR","CCG6_NEUCR")</f>
        <v>CCG6_NEUCR</v>
      </c>
      <c r="D2622" t="s">
        <v>2477</v>
      </c>
      <c r="E2622" s="3" t="s">
        <v>435</v>
      </c>
      <c r="F2622" s="4">
        <v>1.4000000000000001E-10</v>
      </c>
      <c r="G2622" s="3">
        <v>143</v>
      </c>
      <c r="H2622" s="3">
        <v>80</v>
      </c>
      <c r="I2622" s="3">
        <v>46</v>
      </c>
      <c r="J2622" s="3">
        <v>233</v>
      </c>
      <c r="K2622" s="3">
        <v>370</v>
      </c>
      <c r="L2622" s="3">
        <v>35</v>
      </c>
      <c r="M2622" s="3">
        <v>80</v>
      </c>
    </row>
    <row r="2623" spans="1:13" x14ac:dyDescent="0.25">
      <c r="A2623" s="1" t="str">
        <f>HYPERLINK("http://www.rosaceae.org/Prunus/Prunus_persica/p.persica_gdr_reftransV1_0002767","p.persica_gdr_reftransV1_0002767")</f>
        <v>p.persica_gdr_reftransV1_0002767</v>
      </c>
      <c r="B2623" s="3">
        <v>1537</v>
      </c>
      <c r="C2623" s="1" t="str">
        <f>HYPERLINK("http://www.uniprot.org/uniprot/AFC3_ARATH","AFC3_ARATH")</f>
        <v>AFC3_ARATH</v>
      </c>
      <c r="D2623" t="s">
        <v>2478</v>
      </c>
      <c r="E2623" s="3" t="s">
        <v>3</v>
      </c>
      <c r="F2623" s="4">
        <v>2.09E-117</v>
      </c>
      <c r="G2623" s="3">
        <v>794</v>
      </c>
      <c r="H2623" s="3">
        <v>82</v>
      </c>
      <c r="I2623" s="3">
        <v>176</v>
      </c>
      <c r="J2623" s="3">
        <v>1010</v>
      </c>
      <c r="K2623" s="3">
        <v>1537</v>
      </c>
      <c r="L2623" s="3">
        <v>132</v>
      </c>
      <c r="M2623" s="3">
        <v>307</v>
      </c>
    </row>
    <row r="2624" spans="1:13" x14ac:dyDescent="0.25">
      <c r="A2624" s="1" t="str">
        <f>HYPERLINK("http://www.rosaceae.org/Prunus/Prunus_persica/p.persica_gdr_reftransV1_0002867","p.persica_gdr_reftransV1_0002867")</f>
        <v>p.persica_gdr_reftransV1_0002867</v>
      </c>
      <c r="B2624" s="3">
        <v>386</v>
      </c>
      <c r="C2624" s="1" t="str">
        <f>HYPERLINK("http://www.uniprot.org/uniprot/RS3A_NECH7","RS3A_NECH7")</f>
        <v>RS3A_NECH7</v>
      </c>
      <c r="D2624" t="s">
        <v>2479</v>
      </c>
      <c r="E2624" s="3" t="s">
        <v>2480</v>
      </c>
      <c r="F2624" s="4">
        <v>1.33E-87</v>
      </c>
      <c r="G2624" s="3">
        <v>669</v>
      </c>
      <c r="H2624" s="3">
        <v>98</v>
      </c>
      <c r="I2624" s="3">
        <v>128</v>
      </c>
      <c r="J2624" s="3">
        <v>2</v>
      </c>
      <c r="K2624" s="3">
        <v>385</v>
      </c>
      <c r="L2624" s="3">
        <v>116</v>
      </c>
      <c r="M2624" s="3">
        <v>243</v>
      </c>
    </row>
    <row r="2625" spans="1:13" x14ac:dyDescent="0.25">
      <c r="A2625" s="1" t="str">
        <f>HYPERLINK("http://www.rosaceae.org/Prunus/Prunus_persica/p.persica_gdr_reftransV1_0002917","p.persica_gdr_reftransV1_0002917")</f>
        <v>p.persica_gdr_reftransV1_0002917</v>
      </c>
      <c r="B2625" s="3">
        <v>509</v>
      </c>
      <c r="C2625" s="1" t="str">
        <f>HYPERLINK("http://www.uniprot.org/uniprot/Y3623_ARATH","Y3623_ARATH")</f>
        <v>Y3623_ARATH</v>
      </c>
      <c r="D2625" t="s">
        <v>2481</v>
      </c>
      <c r="E2625" s="3" t="s">
        <v>3</v>
      </c>
      <c r="F2625" s="4">
        <v>2.51E-47</v>
      </c>
      <c r="G2625" s="3">
        <v>407</v>
      </c>
      <c r="H2625" s="3">
        <v>51</v>
      </c>
      <c r="I2625" s="3">
        <v>186</v>
      </c>
      <c r="J2625" s="3">
        <v>9</v>
      </c>
      <c r="K2625" s="3">
        <v>509</v>
      </c>
      <c r="L2625" s="3">
        <v>28</v>
      </c>
      <c r="M2625" s="3">
        <v>213</v>
      </c>
    </row>
    <row r="2626" spans="1:13" x14ac:dyDescent="0.25">
      <c r="A2626" s="1" t="str">
        <f>HYPERLINK("http://www.rosaceae.org/Prunus/Prunus_persica/p.persica_gdr_reftransV1_0003067","p.persica_gdr_reftransV1_0003067")</f>
        <v>p.persica_gdr_reftransV1_0003067</v>
      </c>
      <c r="B2626" s="3">
        <v>2445</v>
      </c>
      <c r="C2626" s="1" t="str">
        <f>HYPERLINK("http://www.uniprot.org/uniprot/BXL2_ARATH","BXL2_ARATH")</f>
        <v>BXL2_ARATH</v>
      </c>
      <c r="D2626" t="s">
        <v>2482</v>
      </c>
      <c r="E2626" s="3" t="s">
        <v>3</v>
      </c>
      <c r="F2626" s="4">
        <v>0</v>
      </c>
      <c r="G2626" s="3">
        <v>2882</v>
      </c>
      <c r="H2626" s="3">
        <v>71</v>
      </c>
      <c r="I2626" s="3">
        <v>776</v>
      </c>
      <c r="J2626" s="3">
        <v>28</v>
      </c>
      <c r="K2626" s="3">
        <v>2355</v>
      </c>
      <c r="L2626" s="3">
        <v>11</v>
      </c>
      <c r="M2626" s="3">
        <v>763</v>
      </c>
    </row>
    <row r="2627" spans="1:13" x14ac:dyDescent="0.25">
      <c r="A2627" s="1" t="str">
        <f>HYPERLINK("http://www.rosaceae.org/Prunus/Prunus_persica/p.persica_gdr_reftransV1_0003267","p.persica_gdr_reftransV1_0003267")</f>
        <v>p.persica_gdr_reftransV1_0003267</v>
      </c>
      <c r="B2627" s="3">
        <v>1400</v>
      </c>
      <c r="C2627" s="1" t="str">
        <f>HYPERLINK("http://www.uniprot.org/uniprot/PP247_ARATH","PP247_ARATH")</f>
        <v>PP247_ARATH</v>
      </c>
      <c r="D2627" t="s">
        <v>2483</v>
      </c>
      <c r="E2627" s="3" t="s">
        <v>3</v>
      </c>
      <c r="F2627" s="4">
        <v>3.4200000000000001E-127</v>
      </c>
      <c r="G2627" s="3">
        <v>1000</v>
      </c>
      <c r="H2627" s="3">
        <v>44</v>
      </c>
      <c r="I2627" s="3">
        <v>455</v>
      </c>
      <c r="J2627" s="3">
        <v>136</v>
      </c>
      <c r="K2627" s="3">
        <v>1398</v>
      </c>
      <c r="L2627" s="3">
        <v>51</v>
      </c>
      <c r="M2627" s="3">
        <v>505</v>
      </c>
    </row>
    <row r="2628" spans="1:13" x14ac:dyDescent="0.25">
      <c r="A2628" s="1" t="str">
        <f>HYPERLINK("http://www.rosaceae.org/Prunus/Prunus_persica/p.persica_gdr_reftransV1_0003517","p.persica_gdr_reftransV1_0003517")</f>
        <v>p.persica_gdr_reftransV1_0003517</v>
      </c>
      <c r="B2628" s="3">
        <v>661</v>
      </c>
      <c r="C2628" s="1" t="str">
        <f>HYPERLINK("http://www.uniprot.org/uniprot/ADH1_NEUCR","ADH1_NEUCR")</f>
        <v>ADH1_NEUCR</v>
      </c>
      <c r="D2628" t="s">
        <v>2484</v>
      </c>
      <c r="E2628" s="3" t="s">
        <v>435</v>
      </c>
      <c r="F2628" s="4">
        <v>5.8299999999999999E-86</v>
      </c>
      <c r="G2628" s="3">
        <v>677</v>
      </c>
      <c r="H2628" s="3">
        <v>76</v>
      </c>
      <c r="I2628" s="3">
        <v>180</v>
      </c>
      <c r="J2628" s="3">
        <v>1</v>
      </c>
      <c r="K2628" s="3">
        <v>540</v>
      </c>
      <c r="L2628" s="3">
        <v>5</v>
      </c>
      <c r="M2628" s="3">
        <v>184</v>
      </c>
    </row>
    <row r="2629" spans="1:13" x14ac:dyDescent="0.25">
      <c r="A2629" s="1" t="str">
        <f>HYPERLINK("http://www.rosaceae.org/Prunus/Prunus_persica/p.persica_gdr_reftransV1_0003567","p.persica_gdr_reftransV1_0003567")</f>
        <v>p.persica_gdr_reftransV1_0003567</v>
      </c>
      <c r="B2629" s="3">
        <v>1057</v>
      </c>
      <c r="C2629" s="1" t="str">
        <f>HYPERLINK("http://www.uniprot.org/uniprot/RL6_MESCR","RL6_MESCR")</f>
        <v>RL6_MESCR</v>
      </c>
      <c r="D2629" t="s">
        <v>2485</v>
      </c>
      <c r="E2629" s="3" t="s">
        <v>2486</v>
      </c>
      <c r="F2629" s="4">
        <v>2.0099999999999999E-116</v>
      </c>
      <c r="G2629" s="3">
        <v>882</v>
      </c>
      <c r="H2629" s="3">
        <v>81</v>
      </c>
      <c r="I2629" s="3">
        <v>232</v>
      </c>
      <c r="J2629" s="3">
        <v>290</v>
      </c>
      <c r="K2629" s="3">
        <v>985</v>
      </c>
      <c r="L2629" s="3">
        <v>3</v>
      </c>
      <c r="M2629" s="3">
        <v>234</v>
      </c>
    </row>
    <row r="2630" spans="1:13" x14ac:dyDescent="0.25">
      <c r="A2630" s="1" t="str">
        <f>HYPERLINK("http://www.rosaceae.org/Prunus/Prunus_persica/p.persica_gdr_reftransV1_0003617","p.persica_gdr_reftransV1_0003617")</f>
        <v>p.persica_gdr_reftransV1_0003617</v>
      </c>
      <c r="B2630" s="3">
        <v>433</v>
      </c>
      <c r="C2630" s="1" t="str">
        <f>HYPERLINK("http://www.uniprot.org/uniprot/NPC3_ARATH","NPC3_ARATH")</f>
        <v>NPC3_ARATH</v>
      </c>
      <c r="D2630" t="s">
        <v>2487</v>
      </c>
      <c r="E2630" s="3" t="s">
        <v>3</v>
      </c>
      <c r="F2630" s="4">
        <v>7.6000000000000002E-44</v>
      </c>
      <c r="G2630" s="3">
        <v>393</v>
      </c>
      <c r="H2630" s="3">
        <v>52</v>
      </c>
      <c r="I2630" s="3">
        <v>145</v>
      </c>
      <c r="J2630" s="3">
        <v>11</v>
      </c>
      <c r="K2630" s="3">
        <v>433</v>
      </c>
      <c r="L2630" s="3">
        <v>379</v>
      </c>
      <c r="M2630" s="3">
        <v>523</v>
      </c>
    </row>
    <row r="2631" spans="1:13" x14ac:dyDescent="0.25">
      <c r="A2631" s="1" t="str">
        <f>HYPERLINK("http://www.rosaceae.org/Prunus/Prunus_persica/p.persica_gdr_reftransV1_0003767","p.persica_gdr_reftransV1_0003767")</f>
        <v>p.persica_gdr_reftransV1_0003767</v>
      </c>
      <c r="B2631" s="3">
        <v>1552</v>
      </c>
      <c r="C2631" s="1" t="str">
        <f>HYPERLINK("http://www.uniprot.org/uniprot/AB17I_ARATH","AB17I_ARATH")</f>
        <v>AB17I_ARATH</v>
      </c>
      <c r="D2631" t="s">
        <v>2488</v>
      </c>
      <c r="E2631" s="3" t="s">
        <v>3</v>
      </c>
      <c r="F2631" s="4">
        <v>1.4499999999999999E-99</v>
      </c>
      <c r="G2631" s="3">
        <v>788</v>
      </c>
      <c r="H2631" s="3">
        <v>69</v>
      </c>
      <c r="I2631" s="3">
        <v>260</v>
      </c>
      <c r="J2631" s="3">
        <v>569</v>
      </c>
      <c r="K2631" s="3">
        <v>1348</v>
      </c>
      <c r="L2631" s="3">
        <v>7</v>
      </c>
      <c r="M2631" s="3">
        <v>263</v>
      </c>
    </row>
    <row r="2632" spans="1:13" x14ac:dyDescent="0.25">
      <c r="A2632" s="1" t="str">
        <f>HYPERLINK("http://www.rosaceae.org/Prunus/Prunus_persica/p.persica_gdr_reftransV1_0003817","p.persica_gdr_reftransV1_0003817")</f>
        <v>p.persica_gdr_reftransV1_0003817</v>
      </c>
      <c r="B2632" s="3">
        <v>1293</v>
      </c>
      <c r="C2632" s="1" t="str">
        <f>HYPERLINK("http://www.uniprot.org/uniprot/SDR1_ARATH","SDR1_ARATH")</f>
        <v>SDR1_ARATH</v>
      </c>
      <c r="D2632" t="s">
        <v>763</v>
      </c>
      <c r="E2632" s="3" t="s">
        <v>3</v>
      </c>
      <c r="F2632" s="4">
        <v>1.2399999999999999E-90</v>
      </c>
      <c r="G2632" s="3">
        <v>724</v>
      </c>
      <c r="H2632" s="3">
        <v>48</v>
      </c>
      <c r="I2632" s="3">
        <v>332</v>
      </c>
      <c r="J2632" s="3">
        <v>176</v>
      </c>
      <c r="K2632" s="3">
        <v>1156</v>
      </c>
      <c r="L2632" s="3">
        <v>5</v>
      </c>
      <c r="M2632" s="3">
        <v>296</v>
      </c>
    </row>
    <row r="2633" spans="1:13" x14ac:dyDescent="0.25">
      <c r="A2633" s="1" t="str">
        <f>HYPERLINK("http://www.rosaceae.org/Prunus/Prunus_persica/p.persica_gdr_reftransV1_0003867","p.persica_gdr_reftransV1_0003867")</f>
        <v>p.persica_gdr_reftransV1_0003867</v>
      </c>
      <c r="B2633" s="3">
        <v>628</v>
      </c>
      <c r="C2633" s="1" t="str">
        <f>HYPERLINK("http://www.uniprot.org/uniprot/SINA1_ARATH","SINA1_ARATH")</f>
        <v>SINA1_ARATH</v>
      </c>
      <c r="D2633" t="s">
        <v>2489</v>
      </c>
      <c r="E2633" s="3" t="s">
        <v>3</v>
      </c>
      <c r="F2633" s="4">
        <v>8.6999999999999998E-41</v>
      </c>
      <c r="G2633" s="3">
        <v>369</v>
      </c>
      <c r="H2633" s="3">
        <v>72</v>
      </c>
      <c r="I2633" s="3">
        <v>97</v>
      </c>
      <c r="J2633" s="3">
        <v>338</v>
      </c>
      <c r="K2633" s="3">
        <v>628</v>
      </c>
      <c r="L2633" s="3">
        <v>20</v>
      </c>
      <c r="M2633" s="3">
        <v>114</v>
      </c>
    </row>
    <row r="2634" spans="1:13" x14ac:dyDescent="0.25">
      <c r="A2634" s="1" t="str">
        <f>HYPERLINK("http://www.rosaceae.org/Prunus/Prunus_persica/p.persica_gdr_reftransV1_0003917","p.persica_gdr_reftransV1_0003917")</f>
        <v>p.persica_gdr_reftransV1_0003917</v>
      </c>
      <c r="B2634" s="3">
        <v>4270</v>
      </c>
      <c r="C2634" s="1" t="str">
        <f>HYPERLINK("http://www.uniprot.org/uniprot/SKI2_ARATH","SKI2_ARATH")</f>
        <v>SKI2_ARATH</v>
      </c>
      <c r="D2634" t="s">
        <v>2490</v>
      </c>
      <c r="E2634" s="3" t="s">
        <v>3</v>
      </c>
      <c r="F2634" s="4">
        <v>0</v>
      </c>
      <c r="G2634" s="3">
        <v>3720</v>
      </c>
      <c r="H2634" s="3">
        <v>69</v>
      </c>
      <c r="I2634" s="3">
        <v>1064</v>
      </c>
      <c r="J2634" s="3">
        <v>6</v>
      </c>
      <c r="K2634" s="3">
        <v>3158</v>
      </c>
      <c r="L2634" s="3">
        <v>32</v>
      </c>
      <c r="M2634" s="3">
        <v>1083</v>
      </c>
    </row>
    <row r="2635" spans="1:13" x14ac:dyDescent="0.25">
      <c r="A2635" s="1" t="str">
        <f>HYPERLINK("http://www.rosaceae.org/Prunus/Prunus_persica/p.persica_gdr_reftransV1_0003967","p.persica_gdr_reftransV1_0003967")</f>
        <v>p.persica_gdr_reftransV1_0003967</v>
      </c>
      <c r="B2635" s="3">
        <v>513</v>
      </c>
      <c r="C2635" s="1" t="str">
        <f>HYPERLINK("http://www.uniprot.org/uniprot/ORTH2_ARATH","ORTH2_ARATH")</f>
        <v>ORTH2_ARATH</v>
      </c>
      <c r="D2635" t="s">
        <v>2491</v>
      </c>
      <c r="E2635" s="3" t="s">
        <v>3</v>
      </c>
      <c r="F2635" s="4">
        <v>1.4699999999999999E-34</v>
      </c>
      <c r="G2635" s="3">
        <v>331</v>
      </c>
      <c r="H2635" s="3">
        <v>45</v>
      </c>
      <c r="I2635" s="3">
        <v>157</v>
      </c>
      <c r="J2635" s="3">
        <v>1</v>
      </c>
      <c r="K2635" s="3">
        <v>471</v>
      </c>
      <c r="L2635" s="3">
        <v>478</v>
      </c>
      <c r="M2635" s="3">
        <v>631</v>
      </c>
    </row>
    <row r="2636" spans="1:13" x14ac:dyDescent="0.25">
      <c r="A2636" s="1" t="str">
        <f>HYPERLINK("http://www.rosaceae.org/Prunus/Prunus_persica/p.persica_gdr_reftransV1_0004017","p.persica_gdr_reftransV1_0004017")</f>
        <v>p.persica_gdr_reftransV1_0004017</v>
      </c>
      <c r="B2636" s="3">
        <v>905</v>
      </c>
      <c r="C2636" s="1" t="str">
        <f>HYPERLINK("http://www.uniprot.org/uniprot/LSH10_ARATH","LSH10_ARATH")</f>
        <v>LSH10_ARATH</v>
      </c>
      <c r="D2636" t="s">
        <v>1128</v>
      </c>
      <c r="E2636" s="3" t="s">
        <v>3</v>
      </c>
      <c r="F2636" s="4">
        <v>1.6999999999999999E-83</v>
      </c>
      <c r="G2636" s="3">
        <v>653</v>
      </c>
      <c r="H2636" s="3">
        <v>92</v>
      </c>
      <c r="I2636" s="3">
        <v>131</v>
      </c>
      <c r="J2636" s="3">
        <v>374</v>
      </c>
      <c r="K2636" s="3">
        <v>766</v>
      </c>
      <c r="L2636" s="3">
        <v>18</v>
      </c>
      <c r="M2636" s="3">
        <v>148</v>
      </c>
    </row>
    <row r="2637" spans="1:13" x14ac:dyDescent="0.25">
      <c r="A2637" s="1" t="str">
        <f>HYPERLINK("http://www.rosaceae.org/Prunus/Prunus_persica/p.persica_gdr_reftransV1_0004117","p.persica_gdr_reftransV1_0004117")</f>
        <v>p.persica_gdr_reftransV1_0004117</v>
      </c>
      <c r="B2637" s="3">
        <v>701</v>
      </c>
      <c r="C2637" s="1" t="str">
        <f>HYPERLINK("http://www.uniprot.org/uniprot/PAN_ARATH","PAN_ARATH")</f>
        <v>PAN_ARATH</v>
      </c>
      <c r="D2637" t="s">
        <v>2492</v>
      </c>
      <c r="E2637" s="3" t="s">
        <v>3</v>
      </c>
      <c r="F2637" s="4">
        <v>3.6E-12</v>
      </c>
      <c r="G2637" s="3">
        <v>166</v>
      </c>
      <c r="H2637" s="3">
        <v>76</v>
      </c>
      <c r="I2637" s="3">
        <v>42</v>
      </c>
      <c r="J2637" s="3">
        <v>3</v>
      </c>
      <c r="K2637" s="3">
        <v>128</v>
      </c>
      <c r="L2637" s="3">
        <v>152</v>
      </c>
      <c r="M2637" s="3">
        <v>193</v>
      </c>
    </row>
    <row r="2638" spans="1:13" x14ac:dyDescent="0.25">
      <c r="A2638" s="1" t="str">
        <f>HYPERLINK("http://www.rosaceae.org/Prunus/Prunus_persica/p.persica_gdr_reftransV1_0004317","p.persica_gdr_reftransV1_0004317")</f>
        <v>p.persica_gdr_reftransV1_0004317</v>
      </c>
      <c r="B2638" s="3">
        <v>1246</v>
      </c>
      <c r="C2638" s="1" t="str">
        <f>HYPERLINK("http://www.uniprot.org/uniprot/GPN3_USTMA","GPN3_USTMA")</f>
        <v>GPN3_USTMA</v>
      </c>
      <c r="D2638" t="s">
        <v>2493</v>
      </c>
      <c r="E2638" s="3" t="s">
        <v>833</v>
      </c>
      <c r="F2638" s="4">
        <v>1.6999999999999999E-77</v>
      </c>
      <c r="G2638" s="3">
        <v>633</v>
      </c>
      <c r="H2638" s="3">
        <v>50</v>
      </c>
      <c r="I2638" s="3">
        <v>282</v>
      </c>
      <c r="J2638" s="3">
        <v>230</v>
      </c>
      <c r="K2638" s="3">
        <v>1036</v>
      </c>
      <c r="L2638" s="3">
        <v>1</v>
      </c>
      <c r="M2638" s="3">
        <v>276</v>
      </c>
    </row>
    <row r="2639" spans="1:13" x14ac:dyDescent="0.25">
      <c r="A2639" s="1" t="str">
        <f>HYPERLINK("http://www.rosaceae.org/Prunus/Prunus_persica/p.persica_gdr_reftransV1_0004417","p.persica_gdr_reftransV1_0004417")</f>
        <v>p.persica_gdr_reftransV1_0004417</v>
      </c>
      <c r="B2639" s="3">
        <v>301</v>
      </c>
      <c r="C2639" s="1" t="str">
        <f>HYPERLINK("http://www.uniprot.org/uniprot/BGLT_TRIRP","BGLT_TRIRP")</f>
        <v>BGLT_TRIRP</v>
      </c>
      <c r="D2639" t="s">
        <v>2494</v>
      </c>
      <c r="E2639" s="3" t="s">
        <v>733</v>
      </c>
      <c r="F2639" s="4">
        <v>2.2999999999999999E-35</v>
      </c>
      <c r="G2639" s="3">
        <v>325</v>
      </c>
      <c r="H2639" s="3">
        <v>70</v>
      </c>
      <c r="I2639" s="3">
        <v>100</v>
      </c>
      <c r="J2639" s="3">
        <v>2</v>
      </c>
      <c r="K2639" s="3">
        <v>301</v>
      </c>
      <c r="L2639" s="3">
        <v>169</v>
      </c>
      <c r="M2639" s="3">
        <v>268</v>
      </c>
    </row>
    <row r="2640" spans="1:13" x14ac:dyDescent="0.25">
      <c r="A2640" s="1" t="str">
        <f>HYPERLINK("http://www.rosaceae.org/Prunus/Prunus_persica/p.persica_gdr_reftransV1_0004667","p.persica_gdr_reftransV1_0004667")</f>
        <v>p.persica_gdr_reftransV1_0004667</v>
      </c>
      <c r="B2640" s="3">
        <v>2487</v>
      </c>
      <c r="C2640" s="1" t="str">
        <f>HYPERLINK("http://www.uniprot.org/uniprot/SIEL_ARATH","SIEL_ARATH")</f>
        <v>SIEL_ARATH</v>
      </c>
      <c r="D2640" t="s">
        <v>2495</v>
      </c>
      <c r="E2640" s="3" t="s">
        <v>3</v>
      </c>
      <c r="F2640" s="4">
        <v>2.1599999999999998E-154</v>
      </c>
      <c r="G2640" s="3">
        <v>1152</v>
      </c>
      <c r="H2640" s="3">
        <v>40</v>
      </c>
      <c r="I2640" s="3">
        <v>709</v>
      </c>
      <c r="J2640" s="3">
        <v>20</v>
      </c>
      <c r="K2640" s="3">
        <v>2134</v>
      </c>
      <c r="L2640" s="3">
        <v>252</v>
      </c>
      <c r="M2640" s="3">
        <v>933</v>
      </c>
    </row>
    <row r="2641" spans="1:13" x14ac:dyDescent="0.25">
      <c r="A2641" s="1" t="str">
        <f>HYPERLINK("http://www.rosaceae.org/Prunus/Prunus_persica/p.persica_gdr_reftransV1_0004767","p.persica_gdr_reftransV1_0004767")</f>
        <v>p.persica_gdr_reftransV1_0004767</v>
      </c>
      <c r="B2641" s="3">
        <v>1167</v>
      </c>
      <c r="C2641" s="1" t="str">
        <f>HYPERLINK("http://www.uniprot.org/uniprot/OPA3_SCHPO","OPA3_SCHPO")</f>
        <v>OPA3_SCHPO</v>
      </c>
      <c r="D2641" t="s">
        <v>2496</v>
      </c>
      <c r="E2641" s="3" t="s">
        <v>464</v>
      </c>
      <c r="F2641" s="4">
        <v>1.25E-17</v>
      </c>
      <c r="G2641" s="3">
        <v>208</v>
      </c>
      <c r="H2641" s="3">
        <v>43</v>
      </c>
      <c r="I2641" s="3">
        <v>115</v>
      </c>
      <c r="J2641" s="3">
        <v>581</v>
      </c>
      <c r="K2641" s="3">
        <v>916</v>
      </c>
      <c r="L2641" s="3">
        <v>5</v>
      </c>
      <c r="M2641" s="3">
        <v>114</v>
      </c>
    </row>
    <row r="2642" spans="1:13" x14ac:dyDescent="0.25">
      <c r="A2642" s="1" t="str">
        <f>HYPERLINK("http://www.rosaceae.org/Prunus/Prunus_persica/p.persica_gdr_reftransV1_0004817","p.persica_gdr_reftransV1_0004817")</f>
        <v>p.persica_gdr_reftransV1_0004817</v>
      </c>
      <c r="B2642" s="3">
        <v>566</v>
      </c>
      <c r="C2642" s="1" t="str">
        <f>HYPERLINK("http://www.uniprot.org/uniprot/APO3_ARATH","APO3_ARATH")</f>
        <v>APO3_ARATH</v>
      </c>
      <c r="D2642" t="s">
        <v>2497</v>
      </c>
      <c r="E2642" s="3" t="s">
        <v>3</v>
      </c>
      <c r="F2642" s="4">
        <v>2.0200000000000001E-47</v>
      </c>
      <c r="G2642" s="3">
        <v>418</v>
      </c>
      <c r="H2642" s="3">
        <v>71</v>
      </c>
      <c r="I2642" s="3">
        <v>110</v>
      </c>
      <c r="J2642" s="3">
        <v>3</v>
      </c>
      <c r="K2642" s="3">
        <v>332</v>
      </c>
      <c r="L2642" s="3">
        <v>35</v>
      </c>
      <c r="M2642" s="3">
        <v>144</v>
      </c>
    </row>
    <row r="2643" spans="1:13" x14ac:dyDescent="0.25">
      <c r="A2643" s="1" t="str">
        <f>HYPERLINK("http://www.rosaceae.org/Prunus/Prunus_persica/p.persica_gdr_reftransV1_0004867","p.persica_gdr_reftransV1_0004867")</f>
        <v>p.persica_gdr_reftransV1_0004867</v>
      </c>
      <c r="B2643" s="3">
        <v>2235</v>
      </c>
      <c r="C2643" s="1" t="str">
        <f>HYPERLINK("http://www.uniprot.org/uniprot/DCA13_CHICK","DCA13_CHICK")</f>
        <v>DCA13_CHICK</v>
      </c>
      <c r="D2643" t="s">
        <v>2498</v>
      </c>
      <c r="E2643" s="3" t="s">
        <v>1278</v>
      </c>
      <c r="F2643" s="4">
        <v>2.4699999999999998E-150</v>
      </c>
      <c r="G2643" s="3">
        <v>1164</v>
      </c>
      <c r="H2643" s="3">
        <v>46</v>
      </c>
      <c r="I2643" s="3">
        <v>450</v>
      </c>
      <c r="J2643" s="3">
        <v>473</v>
      </c>
      <c r="K2643" s="3">
        <v>1822</v>
      </c>
      <c r="L2643" s="3">
        <v>1</v>
      </c>
      <c r="M2643" s="3">
        <v>443</v>
      </c>
    </row>
    <row r="2644" spans="1:13" x14ac:dyDescent="0.25">
      <c r="A2644" s="1" t="str">
        <f>HYPERLINK("http://www.rosaceae.org/Prunus/Prunus_persica/p.persica_gdr_reftransV1_0005067","p.persica_gdr_reftransV1_0005067")</f>
        <v>p.persica_gdr_reftransV1_0005067</v>
      </c>
      <c r="B2644" s="3">
        <v>3231</v>
      </c>
      <c r="C2644" s="1" t="str">
        <f>HYPERLINK("http://www.uniprot.org/uniprot/ATAD1_RAT","ATAD1_RAT")</f>
        <v>ATAD1_RAT</v>
      </c>
      <c r="D2644" t="s">
        <v>2499</v>
      </c>
      <c r="E2644" s="3" t="s">
        <v>161</v>
      </c>
      <c r="F2644" s="4">
        <v>2.1899999999999999E-68</v>
      </c>
      <c r="G2644" s="3">
        <v>607</v>
      </c>
      <c r="H2644" s="3">
        <v>46</v>
      </c>
      <c r="I2644" s="3">
        <v>256</v>
      </c>
      <c r="J2644" s="3">
        <v>760</v>
      </c>
      <c r="K2644" s="3">
        <v>1515</v>
      </c>
      <c r="L2644" s="3">
        <v>53</v>
      </c>
      <c r="M2644" s="3">
        <v>307</v>
      </c>
    </row>
    <row r="2645" spans="1:13" x14ac:dyDescent="0.25">
      <c r="A2645" s="1" t="str">
        <f>HYPERLINK("http://www.rosaceae.org/Prunus/Prunus_persica/p.persica_gdr_reftransV1_0005117","p.persica_gdr_reftransV1_0005117")</f>
        <v>p.persica_gdr_reftransV1_0005117</v>
      </c>
      <c r="B2645" s="3">
        <v>3915</v>
      </c>
      <c r="C2645" s="1" t="str">
        <f>HYPERLINK("http://www.uniprot.org/uniprot/ATM_ARATH","ATM_ARATH")</f>
        <v>ATM_ARATH</v>
      </c>
      <c r="D2645" t="s">
        <v>2500</v>
      </c>
      <c r="E2645" s="3" t="s">
        <v>3</v>
      </c>
      <c r="F2645" s="4">
        <v>2.7399999999999999E-30</v>
      </c>
      <c r="G2645" s="3">
        <v>339</v>
      </c>
      <c r="H2645" s="3">
        <v>35</v>
      </c>
      <c r="I2645" s="3">
        <v>255</v>
      </c>
      <c r="J2645" s="3">
        <v>2359</v>
      </c>
      <c r="K2645" s="3">
        <v>3096</v>
      </c>
      <c r="L2645" s="3">
        <v>55</v>
      </c>
      <c r="M2645" s="3">
        <v>279</v>
      </c>
    </row>
    <row r="2646" spans="1:13" x14ac:dyDescent="0.25">
      <c r="A2646" s="1" t="str">
        <f>HYPERLINK("http://www.rosaceae.org/Prunus/Prunus_persica/p.persica_gdr_reftransV1_0005217","p.persica_gdr_reftransV1_0005217")</f>
        <v>p.persica_gdr_reftransV1_0005217</v>
      </c>
      <c r="B2646" s="3">
        <v>1029</v>
      </c>
      <c r="C2646" s="1" t="str">
        <f>HYPERLINK("http://www.uniprot.org/uniprot/RBM42_RAT","RBM42_RAT")</f>
        <v>RBM42_RAT</v>
      </c>
      <c r="D2646" t="s">
        <v>2501</v>
      </c>
      <c r="E2646" s="3" t="s">
        <v>161</v>
      </c>
      <c r="F2646" s="4">
        <v>4.6899999999999998E-44</v>
      </c>
      <c r="G2646" s="3">
        <v>412</v>
      </c>
      <c r="H2646" s="3">
        <v>63</v>
      </c>
      <c r="I2646" s="3">
        <v>118</v>
      </c>
      <c r="J2646" s="3">
        <v>362</v>
      </c>
      <c r="K2646" s="3">
        <v>715</v>
      </c>
      <c r="L2646" s="3">
        <v>355</v>
      </c>
      <c r="M2646" s="3">
        <v>456</v>
      </c>
    </row>
    <row r="2647" spans="1:13" x14ac:dyDescent="0.25">
      <c r="A2647" s="1" t="str">
        <f>HYPERLINK("http://www.rosaceae.org/Prunus/Prunus_persica/p.persica_gdr_reftransV1_0005317","p.persica_gdr_reftransV1_0005317")</f>
        <v>p.persica_gdr_reftransV1_0005317</v>
      </c>
      <c r="B2647" s="3">
        <v>395</v>
      </c>
      <c r="C2647" s="1" t="str">
        <f>HYPERLINK("http://www.uniprot.org/uniprot/PBS1_ARATH","PBS1_ARATH")</f>
        <v>PBS1_ARATH</v>
      </c>
      <c r="D2647" t="s">
        <v>2502</v>
      </c>
      <c r="E2647" s="3" t="s">
        <v>3</v>
      </c>
      <c r="F2647" s="4">
        <v>8.2499999999999999E-62</v>
      </c>
      <c r="G2647" s="3">
        <v>513</v>
      </c>
      <c r="H2647" s="3">
        <v>73</v>
      </c>
      <c r="I2647" s="3">
        <v>132</v>
      </c>
      <c r="J2647" s="3">
        <v>2</v>
      </c>
      <c r="K2647" s="3">
        <v>394</v>
      </c>
      <c r="L2647" s="3">
        <v>190</v>
      </c>
      <c r="M2647" s="3">
        <v>321</v>
      </c>
    </row>
    <row r="2648" spans="1:13" x14ac:dyDescent="0.25">
      <c r="A2648" s="1" t="str">
        <f>HYPERLINK("http://www.rosaceae.org/Prunus/Prunus_persica/p.persica_gdr_reftransV1_0005417","p.persica_gdr_reftransV1_0005417")</f>
        <v>p.persica_gdr_reftransV1_0005417</v>
      </c>
      <c r="B2648" s="3">
        <v>1031</v>
      </c>
      <c r="C2648" s="1" t="str">
        <f>HYPERLINK("http://www.uniprot.org/uniprot/PTR53_ARATH","PTR53_ARATH")</f>
        <v>PTR53_ARATH</v>
      </c>
      <c r="D2648" t="s">
        <v>2503</v>
      </c>
      <c r="E2648" s="3" t="s">
        <v>3</v>
      </c>
      <c r="F2648" s="4">
        <v>4.8300000000000002E-135</v>
      </c>
      <c r="G2648" s="3">
        <v>1039</v>
      </c>
      <c r="H2648" s="3">
        <v>60</v>
      </c>
      <c r="I2648" s="3">
        <v>310</v>
      </c>
      <c r="J2648" s="3">
        <v>106</v>
      </c>
      <c r="K2648" s="3">
        <v>1026</v>
      </c>
      <c r="L2648" s="3">
        <v>288</v>
      </c>
      <c r="M2648" s="3">
        <v>597</v>
      </c>
    </row>
    <row r="2649" spans="1:13" x14ac:dyDescent="0.25">
      <c r="A2649" s="1" t="str">
        <f>HYPERLINK("http://www.rosaceae.org/Prunus/Prunus_persica/p.persica_gdr_reftransV1_0005567","p.persica_gdr_reftransV1_0005567")</f>
        <v>p.persica_gdr_reftransV1_0005567</v>
      </c>
      <c r="B2649" s="3">
        <v>709</v>
      </c>
      <c r="C2649" s="1" t="str">
        <f>HYPERLINK("http://www.uniprot.org/uniprot/AB19A_PRUPE","AB19A_PRUPE")</f>
        <v>AB19A_PRUPE</v>
      </c>
      <c r="D2649" t="s">
        <v>2504</v>
      </c>
      <c r="E2649" s="3" t="s">
        <v>784</v>
      </c>
      <c r="F2649" s="4">
        <v>7.17E-89</v>
      </c>
      <c r="G2649" s="3">
        <v>685</v>
      </c>
      <c r="H2649" s="3">
        <v>76</v>
      </c>
      <c r="I2649" s="3">
        <v>182</v>
      </c>
      <c r="J2649" s="3">
        <v>89</v>
      </c>
      <c r="K2649" s="3">
        <v>634</v>
      </c>
      <c r="L2649" s="3">
        <v>17</v>
      </c>
      <c r="M2649" s="3">
        <v>198</v>
      </c>
    </row>
    <row r="2650" spans="1:13" x14ac:dyDescent="0.25">
      <c r="A2650" s="1" t="str">
        <f>HYPERLINK("http://www.rosaceae.org/Prunus/Prunus_persica/p.persica_gdr_reftransV1_0005667","p.persica_gdr_reftransV1_0005667")</f>
        <v>p.persica_gdr_reftransV1_0005667</v>
      </c>
      <c r="B2650" s="3">
        <v>855</v>
      </c>
      <c r="C2650" s="1" t="str">
        <f>HYPERLINK("http://www.uniprot.org/uniprot/SHN2_ARATH","SHN2_ARATH")</f>
        <v>SHN2_ARATH</v>
      </c>
      <c r="D2650" t="s">
        <v>2505</v>
      </c>
      <c r="E2650" s="3" t="s">
        <v>3</v>
      </c>
      <c r="F2650" s="4">
        <v>3.9699999999999999E-60</v>
      </c>
      <c r="G2650" s="3">
        <v>497</v>
      </c>
      <c r="H2650" s="3">
        <v>61</v>
      </c>
      <c r="I2650" s="3">
        <v>206</v>
      </c>
      <c r="J2650" s="3">
        <v>1</v>
      </c>
      <c r="K2650" s="3">
        <v>618</v>
      </c>
      <c r="L2650" s="3">
        <v>2</v>
      </c>
      <c r="M2650" s="3">
        <v>189</v>
      </c>
    </row>
    <row r="2651" spans="1:13" x14ac:dyDescent="0.25">
      <c r="A2651" s="1" t="str">
        <f>HYPERLINK("http://www.rosaceae.org/Prunus/Prunus_persica/p.persica_gdr_reftransV1_0005717","p.persica_gdr_reftransV1_0005717")</f>
        <v>p.persica_gdr_reftransV1_0005717</v>
      </c>
      <c r="B2651" s="3">
        <v>462</v>
      </c>
      <c r="C2651" s="1" t="str">
        <f>HYPERLINK("http://www.uniprot.org/uniprot/U91A1_ARATH","U91A1_ARATH")</f>
        <v>U91A1_ARATH</v>
      </c>
      <c r="D2651" t="s">
        <v>2506</v>
      </c>
      <c r="E2651" s="3" t="s">
        <v>3</v>
      </c>
      <c r="F2651" s="4">
        <v>3.0499999999999999E-53</v>
      </c>
      <c r="G2651" s="3">
        <v>458</v>
      </c>
      <c r="H2651" s="3">
        <v>61</v>
      </c>
      <c r="I2651" s="3">
        <v>152</v>
      </c>
      <c r="J2651" s="3">
        <v>4</v>
      </c>
      <c r="K2651" s="3">
        <v>459</v>
      </c>
      <c r="L2651" s="3">
        <v>8</v>
      </c>
      <c r="M2651" s="3">
        <v>159</v>
      </c>
    </row>
    <row r="2652" spans="1:13" x14ac:dyDescent="0.25">
      <c r="A2652" s="1" t="str">
        <f>HYPERLINK("http://www.rosaceae.org/Prunus/Prunus_persica/p.persica_gdr_reftransV1_0005767","p.persica_gdr_reftransV1_0005767")</f>
        <v>p.persica_gdr_reftransV1_0005767</v>
      </c>
      <c r="B2652" s="3">
        <v>1488</v>
      </c>
      <c r="C2652" s="1" t="str">
        <f>HYPERLINK("http://www.uniprot.org/uniprot/SSL5_ARATH","SSL5_ARATH")</f>
        <v>SSL5_ARATH</v>
      </c>
      <c r="D2652" t="s">
        <v>2507</v>
      </c>
      <c r="E2652" s="3" t="s">
        <v>3</v>
      </c>
      <c r="F2652" s="4">
        <v>1.73E-142</v>
      </c>
      <c r="G2652" s="3">
        <v>1082</v>
      </c>
      <c r="H2652" s="3">
        <v>57</v>
      </c>
      <c r="I2652" s="3">
        <v>363</v>
      </c>
      <c r="J2652" s="3">
        <v>238</v>
      </c>
      <c r="K2652" s="3">
        <v>1320</v>
      </c>
      <c r="L2652" s="3">
        <v>9</v>
      </c>
      <c r="M2652" s="3">
        <v>367</v>
      </c>
    </row>
    <row r="2653" spans="1:13" x14ac:dyDescent="0.25">
      <c r="A2653" s="1" t="str">
        <f>HYPERLINK("http://www.rosaceae.org/Prunus/Prunus_persica/p.persica_gdr_reftransV1_0006017","p.persica_gdr_reftransV1_0006017")</f>
        <v>p.persica_gdr_reftransV1_0006017</v>
      </c>
      <c r="B2653" s="3">
        <v>716</v>
      </c>
      <c r="C2653" s="1" t="str">
        <f>HYPERLINK("http://www.uniprot.org/uniprot/WRK16_ARATH","WRK16_ARATH")</f>
        <v>WRK16_ARATH</v>
      </c>
      <c r="D2653" t="s">
        <v>2508</v>
      </c>
      <c r="E2653" s="3" t="s">
        <v>3</v>
      </c>
      <c r="F2653" s="4">
        <v>3.9399999999999997E-49</v>
      </c>
      <c r="G2653" s="3">
        <v>453</v>
      </c>
      <c r="H2653" s="3">
        <v>40</v>
      </c>
      <c r="I2653" s="3">
        <v>252</v>
      </c>
      <c r="J2653" s="3">
        <v>6</v>
      </c>
      <c r="K2653" s="3">
        <v>689</v>
      </c>
      <c r="L2653" s="3">
        <v>379</v>
      </c>
      <c r="M2653" s="3">
        <v>628</v>
      </c>
    </row>
    <row r="2654" spans="1:13" x14ac:dyDescent="0.25">
      <c r="A2654" s="1" t="str">
        <f>HYPERLINK("http://www.rosaceae.org/Prunus/Prunus_persica/p.persica_gdr_reftransV1_0006067","p.persica_gdr_reftransV1_0006067")</f>
        <v>p.persica_gdr_reftransV1_0006067</v>
      </c>
      <c r="B2654" s="3">
        <v>1022</v>
      </c>
      <c r="C2654" s="1" t="str">
        <f>HYPERLINK("http://www.uniprot.org/uniprot/D14_ARATH","D14_ARATH")</f>
        <v>D14_ARATH</v>
      </c>
      <c r="D2654" t="s">
        <v>2509</v>
      </c>
      <c r="E2654" s="3" t="s">
        <v>3</v>
      </c>
      <c r="F2654" s="4">
        <v>6.0899999999999996E-78</v>
      </c>
      <c r="G2654" s="3">
        <v>628</v>
      </c>
      <c r="H2654" s="3">
        <v>46</v>
      </c>
      <c r="I2654" s="3">
        <v>261</v>
      </c>
      <c r="J2654" s="3">
        <v>204</v>
      </c>
      <c r="K2654" s="3">
        <v>986</v>
      </c>
      <c r="L2654" s="3">
        <v>6</v>
      </c>
      <c r="M2654" s="3">
        <v>265</v>
      </c>
    </row>
    <row r="2655" spans="1:13" x14ac:dyDescent="0.25">
      <c r="A2655" s="1" t="str">
        <f>HYPERLINK("http://www.rosaceae.org/Prunus/Prunus_persica/p.persica_gdr_reftransV1_0006517","p.persica_gdr_reftransV1_0006517")</f>
        <v>p.persica_gdr_reftransV1_0006517</v>
      </c>
      <c r="B2655" s="3">
        <v>564</v>
      </c>
      <c r="C2655" s="1" t="str">
        <f>HYPERLINK("http://www.uniprot.org/uniprot/ZWIP2_ARATH","ZWIP2_ARATH")</f>
        <v>ZWIP2_ARATH</v>
      </c>
      <c r="D2655" t="s">
        <v>2510</v>
      </c>
      <c r="E2655" s="3" t="s">
        <v>3</v>
      </c>
      <c r="F2655" s="4">
        <v>2.2899999999999999E-14</v>
      </c>
      <c r="G2655" s="3">
        <v>180</v>
      </c>
      <c r="H2655" s="3">
        <v>43</v>
      </c>
      <c r="I2655" s="3">
        <v>103</v>
      </c>
      <c r="J2655" s="3">
        <v>340</v>
      </c>
      <c r="K2655" s="3">
        <v>564</v>
      </c>
      <c r="L2655" s="3">
        <v>122</v>
      </c>
      <c r="M2655" s="3">
        <v>224</v>
      </c>
    </row>
    <row r="2656" spans="1:13" x14ac:dyDescent="0.25">
      <c r="A2656" s="1" t="str">
        <f>HYPERLINK("http://www.rosaceae.org/Prunus/Prunus_persica/p.persica_gdr_reftransV1_0006667","p.persica_gdr_reftransV1_0006667")</f>
        <v>p.persica_gdr_reftransV1_0006667</v>
      </c>
      <c r="B2656" s="3">
        <v>718</v>
      </c>
      <c r="C2656" s="1" t="str">
        <f>HYPERLINK("http://www.uniprot.org/uniprot/PP185_ARATH","PP185_ARATH")</f>
        <v>PP185_ARATH</v>
      </c>
      <c r="D2656" t="s">
        <v>1574</v>
      </c>
      <c r="E2656" s="3" t="s">
        <v>3</v>
      </c>
      <c r="F2656" s="4">
        <v>1.57E-51</v>
      </c>
      <c r="G2656" s="3">
        <v>461</v>
      </c>
      <c r="H2656" s="3">
        <v>40</v>
      </c>
      <c r="I2656" s="3">
        <v>242</v>
      </c>
      <c r="J2656" s="3">
        <v>1</v>
      </c>
      <c r="K2656" s="3">
        <v>717</v>
      </c>
      <c r="L2656" s="3">
        <v>211</v>
      </c>
      <c r="M2656" s="3">
        <v>452</v>
      </c>
    </row>
    <row r="2657" spans="1:13" x14ac:dyDescent="0.25">
      <c r="A2657" s="1" t="str">
        <f>HYPERLINK("http://www.rosaceae.org/Prunus/Prunus_persica/p.persica_gdr_reftransV1_0006717","p.persica_gdr_reftransV1_0006717")</f>
        <v>p.persica_gdr_reftransV1_0006717</v>
      </c>
      <c r="B2657" s="3">
        <v>535</v>
      </c>
      <c r="C2657" s="1" t="str">
        <f>HYPERLINK("http://www.uniprot.org/uniprot/YL728_MIMIV","YL728_MIMIV")</f>
        <v>YL728_MIMIV</v>
      </c>
      <c r="D2657" t="s">
        <v>2032</v>
      </c>
      <c r="E2657" s="3" t="s">
        <v>2033</v>
      </c>
      <c r="F2657" s="4">
        <v>3.0999999999999999E-23</v>
      </c>
      <c r="G2657" s="3">
        <v>249</v>
      </c>
      <c r="H2657" s="3">
        <v>39</v>
      </c>
      <c r="I2657" s="3">
        <v>126</v>
      </c>
      <c r="J2657" s="3">
        <v>163</v>
      </c>
      <c r="K2657" s="3">
        <v>534</v>
      </c>
      <c r="L2657" s="3">
        <v>366</v>
      </c>
      <c r="M2657" s="3">
        <v>489</v>
      </c>
    </row>
    <row r="2658" spans="1:13" x14ac:dyDescent="0.25">
      <c r="A2658" s="1" t="str">
        <f>HYPERLINK("http://www.rosaceae.org/Prunus/Prunus_persica/p.persica_gdr_reftransV1_0006817","p.persica_gdr_reftransV1_0006817")</f>
        <v>p.persica_gdr_reftransV1_0006817</v>
      </c>
      <c r="B2658" s="3">
        <v>446</v>
      </c>
      <c r="C2658" s="1" t="str">
        <f>HYPERLINK("http://www.uniprot.org/uniprot/BGA16_ARATH","BGA16_ARATH")</f>
        <v>BGA16_ARATH</v>
      </c>
      <c r="D2658" t="s">
        <v>2511</v>
      </c>
      <c r="E2658" s="3" t="s">
        <v>3</v>
      </c>
      <c r="F2658" s="4">
        <v>1.48E-18</v>
      </c>
      <c r="G2658" s="3">
        <v>213</v>
      </c>
      <c r="H2658" s="3">
        <v>67</v>
      </c>
      <c r="I2658" s="3">
        <v>58</v>
      </c>
      <c r="J2658" s="3">
        <v>273</v>
      </c>
      <c r="K2658" s="3">
        <v>446</v>
      </c>
      <c r="L2658" s="3">
        <v>7</v>
      </c>
      <c r="M2658" s="3">
        <v>64</v>
      </c>
    </row>
    <row r="2659" spans="1:13" x14ac:dyDescent="0.25">
      <c r="A2659" s="1" t="str">
        <f>HYPERLINK("http://www.rosaceae.org/Prunus/Prunus_persica/p.persica_gdr_reftransV1_0006867","p.persica_gdr_reftransV1_0006867")</f>
        <v>p.persica_gdr_reftransV1_0006867</v>
      </c>
      <c r="B2659" s="3">
        <v>1457</v>
      </c>
      <c r="C2659" s="1" t="str">
        <f>HYPERLINK("http://www.uniprot.org/uniprot/EXOL2_ARATH","EXOL2_ARATH")</f>
        <v>EXOL2_ARATH</v>
      </c>
      <c r="D2659" t="s">
        <v>2512</v>
      </c>
      <c r="E2659" s="3" t="s">
        <v>3</v>
      </c>
      <c r="F2659" s="4">
        <v>1.3299999999999999E-130</v>
      </c>
      <c r="G2659" s="3">
        <v>996</v>
      </c>
      <c r="H2659" s="3">
        <v>61</v>
      </c>
      <c r="I2659" s="3">
        <v>315</v>
      </c>
      <c r="J2659" s="3">
        <v>242</v>
      </c>
      <c r="K2659" s="3">
        <v>1168</v>
      </c>
      <c r="L2659" s="3">
        <v>1</v>
      </c>
      <c r="M2659" s="3">
        <v>305</v>
      </c>
    </row>
    <row r="2660" spans="1:13" x14ac:dyDescent="0.25">
      <c r="A2660" s="1" t="str">
        <f>HYPERLINK("http://www.rosaceae.org/Prunus/Prunus_persica/p.persica_gdr_reftransV1_0007067","p.persica_gdr_reftransV1_0007067")</f>
        <v>p.persica_gdr_reftransV1_0007067</v>
      </c>
      <c r="B2660" s="3">
        <v>1093</v>
      </c>
      <c r="C2660" s="1" t="str">
        <f>HYPERLINK("http://www.uniprot.org/uniprot/PP146_ARATH","PP146_ARATH")</f>
        <v>PP146_ARATH</v>
      </c>
      <c r="D2660" t="s">
        <v>2513</v>
      </c>
      <c r="E2660" s="3" t="s">
        <v>3</v>
      </c>
      <c r="F2660" s="4">
        <v>3.0299999999999998E-165</v>
      </c>
      <c r="G2660" s="3">
        <v>1249</v>
      </c>
      <c r="H2660" s="3">
        <v>63</v>
      </c>
      <c r="I2660" s="3">
        <v>365</v>
      </c>
      <c r="J2660" s="3">
        <v>1</v>
      </c>
      <c r="K2660" s="3">
        <v>1092</v>
      </c>
      <c r="L2660" s="3">
        <v>288</v>
      </c>
      <c r="M2660" s="3">
        <v>652</v>
      </c>
    </row>
    <row r="2661" spans="1:13" x14ac:dyDescent="0.25">
      <c r="A2661" s="1" t="str">
        <f>HYPERLINK("http://www.rosaceae.org/Prunus/Prunus_persica/p.persica_gdr_reftransV1_0007117","p.persica_gdr_reftransV1_0007117")</f>
        <v>p.persica_gdr_reftransV1_0007117</v>
      </c>
      <c r="B2661" s="3">
        <v>1227</v>
      </c>
      <c r="C2661" s="1" t="str">
        <f>HYPERLINK("http://www.uniprot.org/uniprot/TM45A_HUMAN","TM45A_HUMAN")</f>
        <v>TM45A_HUMAN</v>
      </c>
      <c r="D2661" t="s">
        <v>2514</v>
      </c>
      <c r="E2661" s="3" t="s">
        <v>28</v>
      </c>
      <c r="F2661" s="4">
        <v>7.3799999999999996E-7</v>
      </c>
      <c r="G2661" s="3">
        <v>128</v>
      </c>
      <c r="H2661" s="3">
        <v>25</v>
      </c>
      <c r="I2661" s="3">
        <v>225</v>
      </c>
      <c r="J2661" s="3">
        <v>452</v>
      </c>
      <c r="K2661" s="3">
        <v>1120</v>
      </c>
      <c r="L2661" s="3">
        <v>1</v>
      </c>
      <c r="M2661" s="3">
        <v>224</v>
      </c>
    </row>
    <row r="2662" spans="1:13" x14ac:dyDescent="0.25">
      <c r="A2662" s="1" t="str">
        <f>HYPERLINK("http://www.rosaceae.org/Prunus/Prunus_persica/p.persica_gdr_reftransV1_0007167","p.persica_gdr_reftransV1_0007167")</f>
        <v>p.persica_gdr_reftransV1_0007167</v>
      </c>
      <c r="B2662" s="3">
        <v>1645</v>
      </c>
      <c r="C2662" s="1" t="str">
        <f>HYPERLINK("http://www.uniprot.org/uniprot/CBWD1_HUMAN","CBWD1_HUMAN")</f>
        <v>CBWD1_HUMAN</v>
      </c>
      <c r="D2662" t="s">
        <v>2515</v>
      </c>
      <c r="E2662" s="3" t="s">
        <v>28</v>
      </c>
      <c r="F2662" s="4">
        <v>6.6199999999999996E-67</v>
      </c>
      <c r="G2662" s="3">
        <v>581</v>
      </c>
      <c r="H2662" s="3">
        <v>37</v>
      </c>
      <c r="I2662" s="3">
        <v>369</v>
      </c>
      <c r="J2662" s="3">
        <v>390</v>
      </c>
      <c r="K2662" s="3">
        <v>1436</v>
      </c>
      <c r="L2662" s="3">
        <v>41</v>
      </c>
      <c r="M2662" s="3">
        <v>373</v>
      </c>
    </row>
    <row r="2663" spans="1:13" x14ac:dyDescent="0.25">
      <c r="A2663" s="1" t="str">
        <f>HYPERLINK("http://www.rosaceae.org/Prunus/Prunus_persica/p.persica_gdr_reftransV1_0007217","p.persica_gdr_reftransV1_0007217")</f>
        <v>p.persica_gdr_reftransV1_0007217</v>
      </c>
      <c r="B2663" s="3">
        <v>786</v>
      </c>
      <c r="C2663" s="1" t="str">
        <f>HYPERLINK("http://www.uniprot.org/uniprot/PSKR2_ARATH","PSKR2_ARATH")</f>
        <v>PSKR2_ARATH</v>
      </c>
      <c r="D2663" t="s">
        <v>127</v>
      </c>
      <c r="E2663" s="3" t="s">
        <v>3</v>
      </c>
      <c r="F2663" s="4">
        <v>1.44E-38</v>
      </c>
      <c r="G2663" s="3">
        <v>374</v>
      </c>
      <c r="H2663" s="3">
        <v>65</v>
      </c>
      <c r="I2663" s="3">
        <v>107</v>
      </c>
      <c r="J2663" s="3">
        <v>3</v>
      </c>
      <c r="K2663" s="3">
        <v>323</v>
      </c>
      <c r="L2663" s="3">
        <v>929</v>
      </c>
      <c r="M2663" s="3">
        <v>1035</v>
      </c>
    </row>
    <row r="2664" spans="1:13" x14ac:dyDescent="0.25">
      <c r="A2664" s="1" t="str">
        <f>HYPERLINK("http://www.rosaceae.org/Prunus/Prunus_persica/p.persica_gdr_reftransV1_0007267","p.persica_gdr_reftransV1_0007267")</f>
        <v>p.persica_gdr_reftransV1_0007267</v>
      </c>
      <c r="B2664" s="3">
        <v>3975</v>
      </c>
      <c r="C2664" s="1" t="str">
        <f>HYPERLINK("http://www.uniprot.org/uniprot/DCL4_ARATH","DCL4_ARATH")</f>
        <v>DCL4_ARATH</v>
      </c>
      <c r="D2664" t="s">
        <v>2516</v>
      </c>
      <c r="E2664" s="3" t="s">
        <v>3</v>
      </c>
      <c r="F2664" s="4">
        <v>0</v>
      </c>
      <c r="G2664" s="3">
        <v>2173</v>
      </c>
      <c r="H2664" s="3">
        <v>58</v>
      </c>
      <c r="I2664" s="3">
        <v>733</v>
      </c>
      <c r="J2664" s="3">
        <v>1790</v>
      </c>
      <c r="K2664" s="3">
        <v>3973</v>
      </c>
      <c r="L2664" s="3">
        <v>595</v>
      </c>
      <c r="M2664" s="3">
        <v>1327</v>
      </c>
    </row>
    <row r="2665" spans="1:13" x14ac:dyDescent="0.25">
      <c r="A2665" s="1" t="str">
        <f>HYPERLINK("http://www.rosaceae.org/Prunus/Prunus_persica/p.persica_gdr_reftransV1_0007567","p.persica_gdr_reftransV1_0007567")</f>
        <v>p.persica_gdr_reftransV1_0007567</v>
      </c>
      <c r="B2665" s="3">
        <v>2247</v>
      </c>
      <c r="C2665" s="1" t="str">
        <f>HYPERLINK("http://www.uniprot.org/uniprot/Y3210_ARATH","Y3210_ARATH")</f>
        <v>Y3210_ARATH</v>
      </c>
      <c r="D2665" t="s">
        <v>2517</v>
      </c>
      <c r="E2665" s="3" t="s">
        <v>3</v>
      </c>
      <c r="F2665" s="4">
        <v>3.91E-141</v>
      </c>
      <c r="G2665" s="3">
        <v>1109</v>
      </c>
      <c r="H2665" s="3">
        <v>49</v>
      </c>
      <c r="I2665" s="3">
        <v>525</v>
      </c>
      <c r="J2665" s="3">
        <v>302</v>
      </c>
      <c r="K2665" s="3">
        <v>1867</v>
      </c>
      <c r="L2665" s="3">
        <v>22</v>
      </c>
      <c r="M2665" s="3">
        <v>506</v>
      </c>
    </row>
    <row r="2666" spans="1:13" x14ac:dyDescent="0.25">
      <c r="A2666" s="1" t="str">
        <f>HYPERLINK("http://www.rosaceae.org/Prunus/Prunus_persica/p.persica_gdr_reftransV1_0007617","p.persica_gdr_reftransV1_0007617")</f>
        <v>p.persica_gdr_reftransV1_0007617</v>
      </c>
      <c r="B2666" s="3">
        <v>1726</v>
      </c>
      <c r="C2666" s="1" t="str">
        <f>HYPERLINK("http://www.uniprot.org/uniprot/PORA_CUCSA","PORA_CUCSA")</f>
        <v>PORA_CUCSA</v>
      </c>
      <c r="D2666" t="s">
        <v>2518</v>
      </c>
      <c r="E2666" s="3" t="s">
        <v>1149</v>
      </c>
      <c r="F2666" s="4">
        <v>0</v>
      </c>
      <c r="G2666" s="3">
        <v>1593</v>
      </c>
      <c r="H2666" s="3">
        <v>83</v>
      </c>
      <c r="I2666" s="3">
        <v>383</v>
      </c>
      <c r="J2666" s="3">
        <v>275</v>
      </c>
      <c r="K2666" s="3">
        <v>1411</v>
      </c>
      <c r="L2666" s="3">
        <v>16</v>
      </c>
      <c r="M2666" s="3">
        <v>397</v>
      </c>
    </row>
    <row r="2667" spans="1:13" x14ac:dyDescent="0.25">
      <c r="A2667" s="1" t="str">
        <f>HYPERLINK("http://www.rosaceae.org/Prunus/Prunus_persica/p.persica_gdr_reftransV1_0007717","p.persica_gdr_reftransV1_0007717")</f>
        <v>p.persica_gdr_reftransV1_0007717</v>
      </c>
      <c r="B2667" s="3">
        <v>4406</v>
      </c>
      <c r="C2667" s="1" t="str">
        <f>HYPERLINK("http://www.uniprot.org/uniprot/POLX_TOBAC","POLX_TOBAC")</f>
        <v>POLX_TOBAC</v>
      </c>
      <c r="D2667" t="s">
        <v>1253</v>
      </c>
      <c r="E2667" s="3" t="s">
        <v>200</v>
      </c>
      <c r="F2667" s="4">
        <v>2.8000000000000001E-68</v>
      </c>
      <c r="G2667" s="3">
        <v>357</v>
      </c>
      <c r="H2667" s="3">
        <v>50</v>
      </c>
      <c r="I2667" s="3">
        <v>142</v>
      </c>
      <c r="J2667" s="3">
        <v>871</v>
      </c>
      <c r="K2667" s="3">
        <v>1296</v>
      </c>
      <c r="L2667" s="3">
        <v>846</v>
      </c>
      <c r="M2667" s="3">
        <v>987</v>
      </c>
    </row>
    <row r="2668" spans="1:13" x14ac:dyDescent="0.25">
      <c r="A2668" s="1" t="str">
        <f>HYPERLINK("http://www.rosaceae.org/Prunus/Prunus_persica/p.persica_gdr_reftransV1_0007867","p.persica_gdr_reftransV1_0007867")</f>
        <v>p.persica_gdr_reftransV1_0007867</v>
      </c>
      <c r="B2668" s="3">
        <v>4186</v>
      </c>
      <c r="C2668" s="1" t="str">
        <f>HYPERLINK("http://www.uniprot.org/uniprot/PWD_ARATH","PWD_ARATH")</f>
        <v>PWD_ARATH</v>
      </c>
      <c r="D2668" t="s">
        <v>2519</v>
      </c>
      <c r="E2668" s="3" t="s">
        <v>3</v>
      </c>
      <c r="F2668" s="4">
        <v>0</v>
      </c>
      <c r="G2668" s="3">
        <v>3918</v>
      </c>
      <c r="H2668" s="3">
        <v>66</v>
      </c>
      <c r="I2668" s="3">
        <v>1182</v>
      </c>
      <c r="J2668" s="3">
        <v>310</v>
      </c>
      <c r="K2668" s="3">
        <v>3759</v>
      </c>
      <c r="L2668" s="3">
        <v>32</v>
      </c>
      <c r="M2668" s="3">
        <v>1196</v>
      </c>
    </row>
    <row r="2669" spans="1:13" x14ac:dyDescent="0.25">
      <c r="A2669" s="1" t="str">
        <f>HYPERLINK("http://www.rosaceae.org/Prunus/Prunus_persica/p.persica_gdr_reftransV1_0007967","p.persica_gdr_reftransV1_0007967")</f>
        <v>p.persica_gdr_reftransV1_0007967</v>
      </c>
      <c r="B2669" s="3">
        <v>922</v>
      </c>
      <c r="C2669" s="1" t="str">
        <f>HYPERLINK("http://www.uniprot.org/uniprot/PSD7B_ARATH","PSD7B_ARATH")</f>
        <v>PSD7B_ARATH</v>
      </c>
      <c r="D2669" t="s">
        <v>2520</v>
      </c>
      <c r="E2669" s="3" t="s">
        <v>3</v>
      </c>
      <c r="F2669" s="4">
        <v>3.33E-113</v>
      </c>
      <c r="G2669" s="3">
        <v>863</v>
      </c>
      <c r="H2669" s="3">
        <v>89</v>
      </c>
      <c r="I2669" s="3">
        <v>180</v>
      </c>
      <c r="J2669" s="3">
        <v>240</v>
      </c>
      <c r="K2669" s="3">
        <v>779</v>
      </c>
      <c r="L2669" s="3">
        <v>1</v>
      </c>
      <c r="M2669" s="3">
        <v>180</v>
      </c>
    </row>
    <row r="2670" spans="1:13" x14ac:dyDescent="0.25">
      <c r="A2670" s="1" t="str">
        <f>HYPERLINK("http://www.rosaceae.org/Prunus/Prunus_persica/p.persica_gdr_reftransV1_0008217","p.persica_gdr_reftransV1_0008217")</f>
        <v>p.persica_gdr_reftransV1_0008217</v>
      </c>
      <c r="B2670" s="3">
        <v>595</v>
      </c>
      <c r="C2670" s="1" t="str">
        <f>HYPERLINK("http://www.uniprot.org/uniprot/WTR29_ARATH","WTR29_ARATH")</f>
        <v>WTR29_ARATH</v>
      </c>
      <c r="D2670" t="s">
        <v>2521</v>
      </c>
      <c r="E2670" s="3" t="s">
        <v>3</v>
      </c>
      <c r="F2670" s="4">
        <v>1.4899999999999999E-42</v>
      </c>
      <c r="G2670" s="3">
        <v>383</v>
      </c>
      <c r="H2670" s="3">
        <v>62</v>
      </c>
      <c r="I2670" s="3">
        <v>121</v>
      </c>
      <c r="J2670" s="3">
        <v>5</v>
      </c>
      <c r="K2670" s="3">
        <v>364</v>
      </c>
      <c r="L2670" s="3">
        <v>1</v>
      </c>
      <c r="M2670" s="3">
        <v>121</v>
      </c>
    </row>
    <row r="2671" spans="1:13" x14ac:dyDescent="0.25">
      <c r="A2671" s="1" t="str">
        <f>HYPERLINK("http://www.rosaceae.org/Prunus/Prunus_persica/p.persica_gdr_reftransV1_0008267","p.persica_gdr_reftransV1_0008267")</f>
        <v>p.persica_gdr_reftransV1_0008267</v>
      </c>
      <c r="B2671" s="3">
        <v>1716</v>
      </c>
      <c r="C2671" s="1" t="str">
        <f>HYPERLINK("http://www.uniprot.org/uniprot/FHYRK_ARATH","FHYRK_ARATH")</f>
        <v>FHYRK_ARATH</v>
      </c>
      <c r="D2671" t="s">
        <v>842</v>
      </c>
      <c r="E2671" s="3" t="s">
        <v>3</v>
      </c>
      <c r="F2671" s="4">
        <v>7.4899999999999998E-79</v>
      </c>
      <c r="G2671" s="3">
        <v>663</v>
      </c>
      <c r="H2671" s="3">
        <v>41</v>
      </c>
      <c r="I2671" s="3">
        <v>358</v>
      </c>
      <c r="J2671" s="3">
        <v>188</v>
      </c>
      <c r="K2671" s="3">
        <v>1222</v>
      </c>
      <c r="L2671" s="3">
        <v>14</v>
      </c>
      <c r="M2671" s="3">
        <v>369</v>
      </c>
    </row>
    <row r="2672" spans="1:13" x14ac:dyDescent="0.25">
      <c r="A2672" s="1" t="str">
        <f>HYPERLINK("http://www.rosaceae.org/Prunus/Prunus_persica/p.persica_gdr_reftransV1_0008367","p.persica_gdr_reftransV1_0008367")</f>
        <v>p.persica_gdr_reftransV1_0008367</v>
      </c>
      <c r="B2672" s="3">
        <v>2070</v>
      </c>
      <c r="C2672" s="1" t="str">
        <f>HYPERLINK("http://www.uniprot.org/uniprot/LACE1_MOUSE","LACE1_MOUSE")</f>
        <v>LACE1_MOUSE</v>
      </c>
      <c r="D2672" t="s">
        <v>2522</v>
      </c>
      <c r="E2672" s="3" t="s">
        <v>157</v>
      </c>
      <c r="F2672" s="4">
        <v>9.0599999999999999E-66</v>
      </c>
      <c r="G2672" s="3">
        <v>587</v>
      </c>
      <c r="H2672" s="3">
        <v>35</v>
      </c>
      <c r="I2672" s="3">
        <v>409</v>
      </c>
      <c r="J2672" s="3">
        <v>577</v>
      </c>
      <c r="K2672" s="3">
        <v>1800</v>
      </c>
      <c r="L2672" s="3">
        <v>129</v>
      </c>
      <c r="M2672" s="3">
        <v>478</v>
      </c>
    </row>
    <row r="2673" spans="1:13" x14ac:dyDescent="0.25">
      <c r="A2673" s="1" t="str">
        <f>HYPERLINK("http://www.rosaceae.org/Prunus/Prunus_persica/p.persica_gdr_reftransV1_0008467","p.persica_gdr_reftransV1_0008467")</f>
        <v>p.persica_gdr_reftransV1_0008467</v>
      </c>
      <c r="B2673" s="3">
        <v>716</v>
      </c>
      <c r="C2673" s="1" t="str">
        <f>HYPERLINK("http://www.uniprot.org/uniprot/UGT2_GARJA","UGT2_GARJA")</f>
        <v>UGT2_GARJA</v>
      </c>
      <c r="D2673" t="s">
        <v>927</v>
      </c>
      <c r="E2673" s="3" t="s">
        <v>624</v>
      </c>
      <c r="F2673" s="4">
        <v>1.05E-92</v>
      </c>
      <c r="G2673" s="3">
        <v>734</v>
      </c>
      <c r="H2673" s="3">
        <v>56</v>
      </c>
      <c r="I2673" s="3">
        <v>240</v>
      </c>
      <c r="J2673" s="3">
        <v>11</v>
      </c>
      <c r="K2673" s="3">
        <v>715</v>
      </c>
      <c r="L2673" s="3">
        <v>182</v>
      </c>
      <c r="M2673" s="3">
        <v>417</v>
      </c>
    </row>
    <row r="2674" spans="1:13" x14ac:dyDescent="0.25">
      <c r="A2674" s="1" t="str">
        <f>HYPERLINK("http://www.rosaceae.org/Prunus/Prunus_persica/p.persica_gdr_reftransV1_0008667","p.persica_gdr_reftransV1_0008667")</f>
        <v>p.persica_gdr_reftransV1_0008667</v>
      </c>
      <c r="B2674" s="3">
        <v>2049</v>
      </c>
      <c r="C2674" s="1" t="str">
        <f>HYPERLINK("http://www.uniprot.org/uniprot/AAE12_ARATH","AAE12_ARATH")</f>
        <v>AAE12_ARATH</v>
      </c>
      <c r="D2674" t="s">
        <v>2523</v>
      </c>
      <c r="E2674" s="3" t="s">
        <v>3</v>
      </c>
      <c r="F2674" s="4">
        <v>0</v>
      </c>
      <c r="G2674" s="3">
        <v>1826</v>
      </c>
      <c r="H2674" s="3">
        <v>63</v>
      </c>
      <c r="I2674" s="3">
        <v>561</v>
      </c>
      <c r="J2674" s="3">
        <v>119</v>
      </c>
      <c r="K2674" s="3">
        <v>1762</v>
      </c>
      <c r="L2674" s="3">
        <v>1</v>
      </c>
      <c r="M2674" s="3">
        <v>559</v>
      </c>
    </row>
    <row r="2675" spans="1:13" x14ac:dyDescent="0.25">
      <c r="A2675" s="1" t="str">
        <f>HYPERLINK("http://www.rosaceae.org/Prunus/Prunus_persica/p.persica_gdr_reftransV1_0008867","p.persica_gdr_reftransV1_0008867")</f>
        <v>p.persica_gdr_reftransV1_0008867</v>
      </c>
      <c r="B2675" s="3">
        <v>984</v>
      </c>
      <c r="C2675" s="1" t="str">
        <f>HYPERLINK("http://www.uniprot.org/uniprot/RBG6_ARATH","RBG6_ARATH")</f>
        <v>RBG6_ARATH</v>
      </c>
      <c r="D2675" t="s">
        <v>2524</v>
      </c>
      <c r="E2675" s="3" t="s">
        <v>3</v>
      </c>
      <c r="F2675" s="4">
        <v>8.1699999999999995E-21</v>
      </c>
      <c r="G2675" s="3">
        <v>225</v>
      </c>
      <c r="H2675" s="3">
        <v>53</v>
      </c>
      <c r="I2675" s="3">
        <v>91</v>
      </c>
      <c r="J2675" s="3">
        <v>449</v>
      </c>
      <c r="K2675" s="3">
        <v>721</v>
      </c>
      <c r="L2675" s="3">
        <v>19</v>
      </c>
      <c r="M2675" s="3">
        <v>109</v>
      </c>
    </row>
    <row r="2676" spans="1:13" x14ac:dyDescent="0.25">
      <c r="A2676" s="1" t="str">
        <f>HYPERLINK("http://www.rosaceae.org/Prunus/Prunus_persica/p.persica_gdr_reftransV1_0008967","p.persica_gdr_reftransV1_0008967")</f>
        <v>p.persica_gdr_reftransV1_0008967</v>
      </c>
      <c r="B2676" s="3">
        <v>1403</v>
      </c>
      <c r="C2676" s="1" t="str">
        <f>HYPERLINK("http://www.uniprot.org/uniprot/ISPD_MENPI","ISPD_MENPI")</f>
        <v>ISPD_MENPI</v>
      </c>
      <c r="D2676" t="s">
        <v>2525</v>
      </c>
      <c r="E2676" s="3" t="s">
        <v>2526</v>
      </c>
      <c r="F2676" s="4">
        <v>2.4599999999999998E-84</v>
      </c>
      <c r="G2676" s="3">
        <v>682</v>
      </c>
      <c r="H2676" s="3">
        <v>57</v>
      </c>
      <c r="I2676" s="3">
        <v>256</v>
      </c>
      <c r="J2676" s="3">
        <v>588</v>
      </c>
      <c r="K2676" s="3">
        <v>1355</v>
      </c>
      <c r="L2676" s="3">
        <v>5</v>
      </c>
      <c r="M2676" s="3">
        <v>255</v>
      </c>
    </row>
    <row r="2677" spans="1:13" x14ac:dyDescent="0.25">
      <c r="A2677" s="1" t="str">
        <f>HYPERLINK("http://www.rosaceae.org/Prunus/Prunus_persica/p.persica_gdr_reftransV1_0009017","p.persica_gdr_reftransV1_0009017")</f>
        <v>p.persica_gdr_reftransV1_0009017</v>
      </c>
      <c r="B2677" s="3">
        <v>3886</v>
      </c>
      <c r="C2677" s="1" t="str">
        <f>HYPERLINK("http://www.uniprot.org/uniprot/BHLHM_PEA","BHLHM_PEA")</f>
        <v>BHLHM_PEA</v>
      </c>
      <c r="D2677" t="s">
        <v>2527</v>
      </c>
      <c r="E2677" s="3" t="s">
        <v>60</v>
      </c>
      <c r="F2677" s="4">
        <v>1.4899999999999999E-138</v>
      </c>
      <c r="G2677" s="3">
        <v>1114</v>
      </c>
      <c r="H2677" s="3">
        <v>65</v>
      </c>
      <c r="I2677" s="3">
        <v>371</v>
      </c>
      <c r="J2677" s="3">
        <v>2135</v>
      </c>
      <c r="K2677" s="3">
        <v>3247</v>
      </c>
      <c r="L2677" s="3">
        <v>11</v>
      </c>
      <c r="M2677" s="3">
        <v>357</v>
      </c>
    </row>
    <row r="2678" spans="1:13" x14ac:dyDescent="0.25">
      <c r="A2678" s="1" t="str">
        <f>HYPERLINK("http://www.rosaceae.org/Prunus/Prunus_persica/p.persica_gdr_reftransV1_0009067","p.persica_gdr_reftransV1_0009067")</f>
        <v>p.persica_gdr_reftransV1_0009067</v>
      </c>
      <c r="B2678" s="3">
        <v>490</v>
      </c>
      <c r="C2678" s="1" t="str">
        <f>HYPERLINK("http://www.uniprot.org/uniprot/ADT3_ARATH","ADT3_ARATH")</f>
        <v>ADT3_ARATH</v>
      </c>
      <c r="D2678" t="s">
        <v>2528</v>
      </c>
      <c r="E2678" s="3" t="s">
        <v>3</v>
      </c>
      <c r="F2678" s="4">
        <v>2.5899999999999999E-38</v>
      </c>
      <c r="G2678" s="3">
        <v>351</v>
      </c>
      <c r="H2678" s="3">
        <v>64</v>
      </c>
      <c r="I2678" s="3">
        <v>117</v>
      </c>
      <c r="J2678" s="3">
        <v>3</v>
      </c>
      <c r="K2678" s="3">
        <v>341</v>
      </c>
      <c r="L2678" s="3">
        <v>2</v>
      </c>
      <c r="M2678" s="3">
        <v>116</v>
      </c>
    </row>
    <row r="2679" spans="1:13" x14ac:dyDescent="0.25">
      <c r="A2679" s="1" t="str">
        <f>HYPERLINK("http://www.rosaceae.org/Prunus/Prunus_persica/p.persica_gdr_reftransV1_0009117","p.persica_gdr_reftransV1_0009117")</f>
        <v>p.persica_gdr_reftransV1_0009117</v>
      </c>
      <c r="B2679" s="3">
        <v>1149</v>
      </c>
      <c r="C2679" s="1" t="str">
        <f>HYPERLINK("http://www.uniprot.org/uniprot/UCRI2_TOBAC","UCRI2_TOBAC")</f>
        <v>UCRI2_TOBAC</v>
      </c>
      <c r="D2679" t="s">
        <v>730</v>
      </c>
      <c r="E2679" s="3" t="s">
        <v>200</v>
      </c>
      <c r="F2679" s="4">
        <v>4.9700000000000001E-145</v>
      </c>
      <c r="G2679" s="3">
        <v>1078</v>
      </c>
      <c r="H2679" s="3">
        <v>75</v>
      </c>
      <c r="I2679" s="3">
        <v>279</v>
      </c>
      <c r="J2679" s="3">
        <v>224</v>
      </c>
      <c r="K2679" s="3">
        <v>1051</v>
      </c>
      <c r="L2679" s="3">
        <v>1</v>
      </c>
      <c r="M2679" s="3">
        <v>272</v>
      </c>
    </row>
    <row r="2680" spans="1:13" x14ac:dyDescent="0.25">
      <c r="A2680" s="1" t="str">
        <f>HYPERLINK("http://www.rosaceae.org/Prunus/Prunus_persica/p.persica_gdr_reftransV1_0009217","p.persica_gdr_reftransV1_0009217")</f>
        <v>p.persica_gdr_reftransV1_0009217</v>
      </c>
      <c r="B2680" s="3">
        <v>741</v>
      </c>
      <c r="C2680" s="1" t="str">
        <f>HYPERLINK("http://www.uniprot.org/uniprot/FB44_ARATH","FB44_ARATH")</f>
        <v>FB44_ARATH</v>
      </c>
      <c r="D2680" t="s">
        <v>2529</v>
      </c>
      <c r="E2680" s="3" t="s">
        <v>3</v>
      </c>
      <c r="F2680" s="4">
        <v>1.8799999999999999E-7</v>
      </c>
      <c r="G2680" s="3">
        <v>130</v>
      </c>
      <c r="H2680" s="3">
        <v>25</v>
      </c>
      <c r="I2680" s="3">
        <v>179</v>
      </c>
      <c r="J2680" s="3">
        <v>123</v>
      </c>
      <c r="K2680" s="3">
        <v>647</v>
      </c>
      <c r="L2680" s="3">
        <v>33</v>
      </c>
      <c r="M2680" s="3">
        <v>176</v>
      </c>
    </row>
    <row r="2681" spans="1:13" x14ac:dyDescent="0.25">
      <c r="A2681" s="1" t="str">
        <f>HYPERLINK("http://www.rosaceae.org/Prunus/Prunus_persica/p.persica_gdr_reftransV1_0009367","p.persica_gdr_reftransV1_0009367")</f>
        <v>p.persica_gdr_reftransV1_0009367</v>
      </c>
      <c r="B2681" s="3">
        <v>1786</v>
      </c>
      <c r="C2681" s="1" t="str">
        <f>HYPERLINK("http://www.uniprot.org/uniprot/EP1G_DAUCA","EP1G_DAUCA")</f>
        <v>EP1G_DAUCA</v>
      </c>
      <c r="D2681" t="s">
        <v>31</v>
      </c>
      <c r="E2681" s="3" t="s">
        <v>32</v>
      </c>
      <c r="F2681" s="4">
        <v>5.3399999999999998E-149</v>
      </c>
      <c r="G2681" s="3">
        <v>1137</v>
      </c>
      <c r="H2681" s="3">
        <v>60</v>
      </c>
      <c r="I2681" s="3">
        <v>387</v>
      </c>
      <c r="J2681" s="3">
        <v>370</v>
      </c>
      <c r="K2681" s="3">
        <v>1488</v>
      </c>
      <c r="L2681" s="3">
        <v>5</v>
      </c>
      <c r="M2681" s="3">
        <v>385</v>
      </c>
    </row>
    <row r="2682" spans="1:13" x14ac:dyDescent="0.25">
      <c r="A2682" s="1" t="str">
        <f>HYPERLINK("http://www.rosaceae.org/Prunus/Prunus_persica/p.persica_gdr_reftransV1_0009517","p.persica_gdr_reftransV1_0009517")</f>
        <v>p.persica_gdr_reftransV1_0009517</v>
      </c>
      <c r="B2682" s="3">
        <v>4073</v>
      </c>
      <c r="C2682" s="1" t="str">
        <f>HYPERLINK("http://www.uniprot.org/uniprot/CRWN1_ARATH","CRWN1_ARATH")</f>
        <v>CRWN1_ARATH</v>
      </c>
      <c r="D2682" t="s">
        <v>2530</v>
      </c>
      <c r="E2682" s="3" t="s">
        <v>3</v>
      </c>
      <c r="F2682" s="4">
        <v>0</v>
      </c>
      <c r="G2682" s="3">
        <v>1731</v>
      </c>
      <c r="H2682" s="3">
        <v>42</v>
      </c>
      <c r="I2682" s="3">
        <v>1136</v>
      </c>
      <c r="J2682" s="3">
        <v>392</v>
      </c>
      <c r="K2682" s="3">
        <v>3733</v>
      </c>
      <c r="L2682" s="3">
        <v>48</v>
      </c>
      <c r="M2682" s="3">
        <v>1132</v>
      </c>
    </row>
    <row r="2683" spans="1:13" x14ac:dyDescent="0.25">
      <c r="A2683" s="1" t="str">
        <f>HYPERLINK("http://www.rosaceae.org/Prunus/Prunus_persica/p.persica_gdr_reftransV1_0009717","p.persica_gdr_reftransV1_0009717")</f>
        <v>p.persica_gdr_reftransV1_0009717</v>
      </c>
      <c r="B2683" s="3">
        <v>2242</v>
      </c>
      <c r="C2683" s="1" t="str">
        <f>HYPERLINK("http://www.uniprot.org/uniprot/TBL11_ARATH","TBL11_ARATH")</f>
        <v>TBL11_ARATH</v>
      </c>
      <c r="D2683" t="s">
        <v>2531</v>
      </c>
      <c r="E2683" s="3" t="s">
        <v>3</v>
      </c>
      <c r="F2683" s="4">
        <v>1.33E-179</v>
      </c>
      <c r="G2683" s="3">
        <v>1362</v>
      </c>
      <c r="H2683" s="3">
        <v>57</v>
      </c>
      <c r="I2683" s="3">
        <v>459</v>
      </c>
      <c r="J2683" s="3">
        <v>565</v>
      </c>
      <c r="K2683" s="3">
        <v>1914</v>
      </c>
      <c r="L2683" s="3">
        <v>2</v>
      </c>
      <c r="M2683" s="3">
        <v>458</v>
      </c>
    </row>
    <row r="2684" spans="1:13" x14ac:dyDescent="0.25">
      <c r="A2684" s="1" t="str">
        <f>HYPERLINK("http://www.rosaceae.org/Prunus/Prunus_persica/p.persica_gdr_reftransV1_0009767","p.persica_gdr_reftransV1_0009767")</f>
        <v>p.persica_gdr_reftransV1_0009767</v>
      </c>
      <c r="B2684" s="3">
        <v>1143</v>
      </c>
      <c r="C2684" s="1" t="str">
        <f>HYPERLINK("http://www.uniprot.org/uniprot/PDR2_NICPL","PDR2_NICPL")</f>
        <v>PDR2_NICPL</v>
      </c>
      <c r="D2684" t="s">
        <v>2532</v>
      </c>
      <c r="E2684" s="3" t="s">
        <v>1450</v>
      </c>
      <c r="F2684" s="4">
        <v>7.21E-163</v>
      </c>
      <c r="G2684" s="3">
        <v>1288</v>
      </c>
      <c r="H2684" s="3">
        <v>70</v>
      </c>
      <c r="I2684" s="3">
        <v>380</v>
      </c>
      <c r="J2684" s="3">
        <v>3</v>
      </c>
      <c r="K2684" s="3">
        <v>1142</v>
      </c>
      <c r="L2684" s="3">
        <v>514</v>
      </c>
      <c r="M2684" s="3">
        <v>889</v>
      </c>
    </row>
    <row r="2685" spans="1:13" x14ac:dyDescent="0.25">
      <c r="A2685" s="1" t="str">
        <f>HYPERLINK("http://www.rosaceae.org/Prunus/Prunus_persica/p.persica_gdr_reftransV1_0009967","p.persica_gdr_reftransV1_0009967")</f>
        <v>p.persica_gdr_reftransV1_0009967</v>
      </c>
      <c r="B2685" s="3">
        <v>3609</v>
      </c>
      <c r="C2685" s="1" t="str">
        <f>HYPERLINK("http://www.uniprot.org/uniprot/UBP8_ARATH","UBP8_ARATH")</f>
        <v>UBP8_ARATH</v>
      </c>
      <c r="D2685" t="s">
        <v>2533</v>
      </c>
      <c r="E2685" s="3" t="s">
        <v>3</v>
      </c>
      <c r="F2685" s="4">
        <v>0</v>
      </c>
      <c r="G2685" s="3">
        <v>2774</v>
      </c>
      <c r="H2685" s="3">
        <v>63</v>
      </c>
      <c r="I2685" s="3">
        <v>884</v>
      </c>
      <c r="J2685" s="3">
        <v>308</v>
      </c>
      <c r="K2685" s="3">
        <v>2938</v>
      </c>
      <c r="L2685" s="3">
        <v>1</v>
      </c>
      <c r="M2685" s="3">
        <v>871</v>
      </c>
    </row>
    <row r="2686" spans="1:13" x14ac:dyDescent="0.25">
      <c r="A2686" s="1" t="str">
        <f>HYPERLINK("http://www.rosaceae.org/Prunus/Prunus_persica/p.persica_gdr_reftransV1_0010067","p.persica_gdr_reftransV1_0010067")</f>
        <v>p.persica_gdr_reftransV1_0010067</v>
      </c>
      <c r="B2686" s="3">
        <v>1798</v>
      </c>
      <c r="C2686" s="1" t="str">
        <f>HYPERLINK("http://www.uniprot.org/uniprot/TRP3_ARATH","TRP3_ARATH")</f>
        <v>TRP3_ARATH</v>
      </c>
      <c r="D2686" t="s">
        <v>713</v>
      </c>
      <c r="E2686" s="3" t="s">
        <v>3</v>
      </c>
      <c r="F2686" s="4">
        <v>1.12E-92</v>
      </c>
      <c r="G2686" s="3">
        <v>778</v>
      </c>
      <c r="H2686" s="3">
        <v>59</v>
      </c>
      <c r="I2686" s="3">
        <v>305</v>
      </c>
      <c r="J2686" s="3">
        <v>421</v>
      </c>
      <c r="K2686" s="3">
        <v>1335</v>
      </c>
      <c r="L2686" s="3">
        <v>323</v>
      </c>
      <c r="M2686" s="3">
        <v>589</v>
      </c>
    </row>
    <row r="2687" spans="1:13" x14ac:dyDescent="0.25">
      <c r="A2687" s="1" t="str">
        <f>HYPERLINK("http://www.rosaceae.org/Prunus/Prunus_persica/p.persica_gdr_reftransV1_0010117","p.persica_gdr_reftransV1_0010117")</f>
        <v>p.persica_gdr_reftransV1_0010117</v>
      </c>
      <c r="B2687" s="3">
        <v>1046</v>
      </c>
      <c r="C2687" s="1" t="str">
        <f>HYPERLINK("http://www.uniprot.org/uniprot/NAC29_ARATH","NAC29_ARATH")</f>
        <v>NAC29_ARATH</v>
      </c>
      <c r="D2687" t="s">
        <v>2534</v>
      </c>
      <c r="E2687" s="3" t="s">
        <v>3</v>
      </c>
      <c r="F2687" s="4">
        <v>1.9799999999999999E-24</v>
      </c>
      <c r="G2687" s="3">
        <v>260</v>
      </c>
      <c r="H2687" s="3">
        <v>35</v>
      </c>
      <c r="I2687" s="3">
        <v>159</v>
      </c>
      <c r="J2687" s="3">
        <v>218</v>
      </c>
      <c r="K2687" s="3">
        <v>694</v>
      </c>
      <c r="L2687" s="3">
        <v>12</v>
      </c>
      <c r="M2687" s="3">
        <v>161</v>
      </c>
    </row>
    <row r="2688" spans="1:13" x14ac:dyDescent="0.25">
      <c r="A2688" s="1" t="str">
        <f>HYPERLINK("http://www.rosaceae.org/Prunus/Prunus_persica/p.persica_gdr_reftransV1_0010217","p.persica_gdr_reftransV1_0010217")</f>
        <v>p.persica_gdr_reftransV1_0010217</v>
      </c>
      <c r="B2688" s="3">
        <v>1568</v>
      </c>
      <c r="C2688" s="1" t="str">
        <f>HYPERLINK("http://www.uniprot.org/uniprot/ATL7_ARATH","ATL7_ARATH")</f>
        <v>ATL7_ARATH</v>
      </c>
      <c r="D2688" t="s">
        <v>1289</v>
      </c>
      <c r="E2688" s="3" t="s">
        <v>3</v>
      </c>
      <c r="F2688" s="4">
        <v>5.4499999999999998E-15</v>
      </c>
      <c r="G2688" s="3">
        <v>192</v>
      </c>
      <c r="H2688" s="3">
        <v>47</v>
      </c>
      <c r="I2688" s="3">
        <v>77</v>
      </c>
      <c r="J2688" s="3">
        <v>872</v>
      </c>
      <c r="K2688" s="3">
        <v>1096</v>
      </c>
      <c r="L2688" s="3">
        <v>110</v>
      </c>
      <c r="M2688" s="3">
        <v>186</v>
      </c>
    </row>
    <row r="2689" spans="1:13" x14ac:dyDescent="0.25">
      <c r="A2689" s="1" t="str">
        <f>HYPERLINK("http://www.rosaceae.org/Prunus/Prunus_persica/p.persica_gdr_reftransV1_0010267","p.persica_gdr_reftransV1_0010267")</f>
        <v>p.persica_gdr_reftransV1_0010267</v>
      </c>
      <c r="B2689" s="3">
        <v>2016</v>
      </c>
      <c r="C2689" s="1" t="str">
        <f>HYPERLINK("http://www.uniprot.org/uniprot/DYT1_ARATH","DYT1_ARATH")</f>
        <v>DYT1_ARATH</v>
      </c>
      <c r="D2689" t="s">
        <v>2535</v>
      </c>
      <c r="E2689" s="3" t="s">
        <v>3</v>
      </c>
      <c r="F2689" s="4">
        <v>4.0100000000000001E-14</v>
      </c>
      <c r="G2689" s="3">
        <v>148</v>
      </c>
      <c r="H2689" s="3">
        <v>46</v>
      </c>
      <c r="I2689" s="3">
        <v>63</v>
      </c>
      <c r="J2689" s="3">
        <v>520</v>
      </c>
      <c r="K2689" s="3">
        <v>708</v>
      </c>
      <c r="L2689" s="3">
        <v>126</v>
      </c>
      <c r="M2689" s="3">
        <v>188</v>
      </c>
    </row>
    <row r="2690" spans="1:13" x14ac:dyDescent="0.25">
      <c r="A2690" s="1" t="str">
        <f>HYPERLINK("http://www.rosaceae.org/Prunus/Prunus_persica/p.persica_gdr_reftransV1_0010317","p.persica_gdr_reftransV1_0010317")</f>
        <v>p.persica_gdr_reftransV1_0010317</v>
      </c>
      <c r="B2690" s="3">
        <v>3301</v>
      </c>
      <c r="C2690" s="1" t="str">
        <f>HYPERLINK("http://www.uniprot.org/uniprot/PUB6_ARATH","PUB6_ARATH")</f>
        <v>PUB6_ARATH</v>
      </c>
      <c r="D2690" t="s">
        <v>2536</v>
      </c>
      <c r="E2690" s="3" t="s">
        <v>3</v>
      </c>
      <c r="F2690" s="4">
        <v>0</v>
      </c>
      <c r="G2690" s="3">
        <v>2720</v>
      </c>
      <c r="H2690" s="3">
        <v>68</v>
      </c>
      <c r="I2690" s="3">
        <v>784</v>
      </c>
      <c r="J2690" s="3">
        <v>426</v>
      </c>
      <c r="K2690" s="3">
        <v>2750</v>
      </c>
      <c r="L2690" s="3">
        <v>1</v>
      </c>
      <c r="M2690" s="3">
        <v>771</v>
      </c>
    </row>
    <row r="2691" spans="1:13" x14ac:dyDescent="0.25">
      <c r="A2691" s="1" t="str">
        <f>HYPERLINK("http://www.rosaceae.org/Prunus/Prunus_persica/p.persica_gdr_reftransV1_0010417","p.persica_gdr_reftransV1_0010417")</f>
        <v>p.persica_gdr_reftransV1_0010417</v>
      </c>
      <c r="B2691" s="3">
        <v>1064</v>
      </c>
      <c r="C2691" s="1" t="str">
        <f>HYPERLINK("http://www.uniprot.org/uniprot/PR1B1_ARATH","PR1B1_ARATH")</f>
        <v>PR1B1_ARATH</v>
      </c>
      <c r="D2691" t="s">
        <v>2537</v>
      </c>
      <c r="E2691" s="3" t="s">
        <v>3</v>
      </c>
      <c r="F2691" s="4">
        <v>1.8799999999999999E-53</v>
      </c>
      <c r="G2691" s="3">
        <v>460</v>
      </c>
      <c r="H2691" s="3">
        <v>72</v>
      </c>
      <c r="I2691" s="3">
        <v>197</v>
      </c>
      <c r="J2691" s="3">
        <v>358</v>
      </c>
      <c r="K2691" s="3">
        <v>948</v>
      </c>
      <c r="L2691" s="3">
        <v>1</v>
      </c>
      <c r="M2691" s="3">
        <v>194</v>
      </c>
    </row>
    <row r="2692" spans="1:13" x14ac:dyDescent="0.25">
      <c r="A2692" s="1" t="str">
        <f>HYPERLINK("http://www.rosaceae.org/Prunus/Prunus_persica/p.persica_gdr_reftransV1_0010567","p.persica_gdr_reftransV1_0010567")</f>
        <v>p.persica_gdr_reftransV1_0010567</v>
      </c>
      <c r="B2692" s="3">
        <v>562</v>
      </c>
      <c r="C2692" s="1" t="str">
        <f>HYPERLINK("http://www.uniprot.org/uniprot/CRK42_ARATH","CRK42_ARATH")</f>
        <v>CRK42_ARATH</v>
      </c>
      <c r="D2692" t="s">
        <v>875</v>
      </c>
      <c r="E2692" s="3" t="s">
        <v>3</v>
      </c>
      <c r="F2692" s="4">
        <v>6.2799999999999997E-22</v>
      </c>
      <c r="G2692" s="3">
        <v>241</v>
      </c>
      <c r="H2692" s="3">
        <v>53</v>
      </c>
      <c r="I2692" s="3">
        <v>93</v>
      </c>
      <c r="J2692" s="3">
        <v>1</v>
      </c>
      <c r="K2692" s="3">
        <v>276</v>
      </c>
      <c r="L2692" s="3">
        <v>31</v>
      </c>
      <c r="M2692" s="3">
        <v>123</v>
      </c>
    </row>
    <row r="2693" spans="1:13" x14ac:dyDescent="0.25">
      <c r="A2693" s="1" t="str">
        <f>HYPERLINK("http://www.rosaceae.org/Prunus/Prunus_persica/p.persica_gdr_reftransV1_0010667","p.persica_gdr_reftransV1_0010667")</f>
        <v>p.persica_gdr_reftransV1_0010667</v>
      </c>
      <c r="B2693" s="3">
        <v>3173</v>
      </c>
      <c r="C2693" s="1" t="str">
        <f>HYPERLINK("http://www.uniprot.org/uniprot/PUB17_ARATH","PUB17_ARATH")</f>
        <v>PUB17_ARATH</v>
      </c>
      <c r="D2693" t="s">
        <v>2538</v>
      </c>
      <c r="E2693" s="3" t="s">
        <v>3</v>
      </c>
      <c r="F2693" s="4">
        <v>0</v>
      </c>
      <c r="G2693" s="3">
        <v>2215</v>
      </c>
      <c r="H2693" s="3">
        <v>72</v>
      </c>
      <c r="I2693" s="3">
        <v>735</v>
      </c>
      <c r="J2693" s="3">
        <v>485</v>
      </c>
      <c r="K2693" s="3">
        <v>2632</v>
      </c>
      <c r="L2693" s="3">
        <v>1</v>
      </c>
      <c r="M2693" s="3">
        <v>729</v>
      </c>
    </row>
    <row r="2694" spans="1:13" x14ac:dyDescent="0.25">
      <c r="A2694" s="1" t="str">
        <f>HYPERLINK("http://www.rosaceae.org/Prunus/Prunus_persica/p.persica_gdr_reftransV1_0010717","p.persica_gdr_reftransV1_0010717")</f>
        <v>p.persica_gdr_reftransV1_0010717</v>
      </c>
      <c r="B2694" s="3">
        <v>791</v>
      </c>
      <c r="C2694" s="1" t="str">
        <f>HYPERLINK("http://www.uniprot.org/uniprot/KIC_ARATH","KIC_ARATH")</f>
        <v>KIC_ARATH</v>
      </c>
      <c r="D2694" t="s">
        <v>2539</v>
      </c>
      <c r="E2694" s="3" t="s">
        <v>3</v>
      </c>
      <c r="F2694" s="4">
        <v>2.0700000000000001E-54</v>
      </c>
      <c r="G2694" s="3">
        <v>452</v>
      </c>
      <c r="H2694" s="3">
        <v>72</v>
      </c>
      <c r="I2694" s="3">
        <v>124</v>
      </c>
      <c r="J2694" s="3">
        <v>76</v>
      </c>
      <c r="K2694" s="3">
        <v>447</v>
      </c>
      <c r="L2694" s="3">
        <v>5</v>
      </c>
      <c r="M2694" s="3">
        <v>125</v>
      </c>
    </row>
    <row r="2695" spans="1:13" x14ac:dyDescent="0.25">
      <c r="A2695" s="1" t="str">
        <f>HYPERLINK("http://www.rosaceae.org/Prunus/Prunus_persica/p.persica_gdr_reftransV1_0010767","p.persica_gdr_reftransV1_0010767")</f>
        <v>p.persica_gdr_reftransV1_0010767</v>
      </c>
      <c r="B2695" s="3">
        <v>1861</v>
      </c>
      <c r="C2695" s="1" t="str">
        <f>HYPERLINK("http://www.uniprot.org/uniprot/DCP1_ARATH","DCP1_ARATH")</f>
        <v>DCP1_ARATH</v>
      </c>
      <c r="D2695" t="s">
        <v>2540</v>
      </c>
      <c r="E2695" s="3" t="s">
        <v>3</v>
      </c>
      <c r="F2695" s="4">
        <v>3.88E-38</v>
      </c>
      <c r="G2695" s="3">
        <v>375</v>
      </c>
      <c r="H2695" s="3">
        <v>83</v>
      </c>
      <c r="I2695" s="3">
        <v>83</v>
      </c>
      <c r="J2695" s="3">
        <v>84</v>
      </c>
      <c r="K2695" s="3">
        <v>332</v>
      </c>
      <c r="L2695" s="3">
        <v>1</v>
      </c>
      <c r="M2695" s="3">
        <v>83</v>
      </c>
    </row>
    <row r="2696" spans="1:13" x14ac:dyDescent="0.25">
      <c r="A2696" s="1" t="str">
        <f>HYPERLINK("http://www.rosaceae.org/Prunus/Prunus_persica/p.persica_gdr_reftransV1_0010817","p.persica_gdr_reftransV1_0010817")</f>
        <v>p.persica_gdr_reftransV1_0010817</v>
      </c>
      <c r="B2696" s="3">
        <v>1172</v>
      </c>
      <c r="C2696" s="1" t="str">
        <f>HYPERLINK("http://www.uniprot.org/uniprot/CCU11_ARATH","CCU11_ARATH")</f>
        <v>CCU11_ARATH</v>
      </c>
      <c r="D2696" t="s">
        <v>2541</v>
      </c>
      <c r="E2696" s="3" t="s">
        <v>3</v>
      </c>
      <c r="F2696" s="4">
        <v>3.3599999999999998E-72</v>
      </c>
      <c r="G2696" s="3">
        <v>589</v>
      </c>
      <c r="H2696" s="3">
        <v>72</v>
      </c>
      <c r="I2696" s="3">
        <v>181</v>
      </c>
      <c r="J2696" s="3">
        <v>302</v>
      </c>
      <c r="K2696" s="3">
        <v>844</v>
      </c>
      <c r="L2696" s="3">
        <v>21</v>
      </c>
      <c r="M2696" s="3">
        <v>190</v>
      </c>
    </row>
    <row r="2697" spans="1:13" x14ac:dyDescent="0.25">
      <c r="A2697" s="1" t="str">
        <f>HYPERLINK("http://www.rosaceae.org/Prunus/Prunus_persica/p.persica_gdr_reftransV1_0010917","p.persica_gdr_reftransV1_0010917")</f>
        <v>p.persica_gdr_reftransV1_0010917</v>
      </c>
      <c r="B2697" s="3">
        <v>2931</v>
      </c>
      <c r="C2697" s="1" t="str">
        <f>HYPERLINK("http://www.uniprot.org/uniprot/MCM4_ORYSJ","MCM4_ORYSJ")</f>
        <v>MCM4_ORYSJ</v>
      </c>
      <c r="D2697" t="s">
        <v>2542</v>
      </c>
      <c r="E2697" s="3" t="s">
        <v>38</v>
      </c>
      <c r="F2697" s="4">
        <v>0</v>
      </c>
      <c r="G2697" s="3">
        <v>3014</v>
      </c>
      <c r="H2697" s="3">
        <v>76</v>
      </c>
      <c r="I2697" s="3">
        <v>781</v>
      </c>
      <c r="J2697" s="3">
        <v>323</v>
      </c>
      <c r="K2697" s="3">
        <v>2614</v>
      </c>
      <c r="L2697" s="3">
        <v>88</v>
      </c>
      <c r="M2697" s="3">
        <v>862</v>
      </c>
    </row>
    <row r="2698" spans="1:13" x14ac:dyDescent="0.25">
      <c r="A2698" s="1" t="str">
        <f>HYPERLINK("http://www.rosaceae.org/Prunus/Prunus_persica/p.persica_gdr_reftransV1_0011017","p.persica_gdr_reftransV1_0011017")</f>
        <v>p.persica_gdr_reftransV1_0011017</v>
      </c>
      <c r="B2698" s="3">
        <v>1370</v>
      </c>
      <c r="C2698" s="1" t="str">
        <f>HYPERLINK("http://www.uniprot.org/uniprot/WBC30_ARATH","WBC30_ARATH")</f>
        <v>WBC30_ARATH</v>
      </c>
      <c r="D2698" t="s">
        <v>2543</v>
      </c>
      <c r="E2698" s="3" t="s">
        <v>3</v>
      </c>
      <c r="F2698" s="4">
        <v>3.41E-153</v>
      </c>
      <c r="G2698" s="3">
        <v>1208</v>
      </c>
      <c r="H2698" s="3">
        <v>68</v>
      </c>
      <c r="I2698" s="3">
        <v>357</v>
      </c>
      <c r="J2698" s="3">
        <v>1</v>
      </c>
      <c r="K2698" s="3">
        <v>1071</v>
      </c>
      <c r="L2698" s="3">
        <v>726</v>
      </c>
      <c r="M2698" s="3">
        <v>1082</v>
      </c>
    </row>
    <row r="2699" spans="1:13" x14ac:dyDescent="0.25">
      <c r="A2699" s="1" t="str">
        <f>HYPERLINK("http://www.rosaceae.org/Prunus/Prunus_persica/p.persica_gdr_reftransV1_0011067","p.persica_gdr_reftransV1_0011067")</f>
        <v>p.persica_gdr_reftransV1_0011067</v>
      </c>
      <c r="B2699" s="3">
        <v>805</v>
      </c>
      <c r="C2699" s="1" t="str">
        <f>HYPERLINK("http://www.uniprot.org/uniprot/PPR48_ARATH","PPR48_ARATH")</f>
        <v>PPR48_ARATH</v>
      </c>
      <c r="D2699" t="s">
        <v>2544</v>
      </c>
      <c r="E2699" s="3" t="s">
        <v>3</v>
      </c>
      <c r="F2699" s="4">
        <v>1.8499999999999999E-51</v>
      </c>
      <c r="G2699" s="3">
        <v>470</v>
      </c>
      <c r="H2699" s="3">
        <v>52</v>
      </c>
      <c r="I2699" s="3">
        <v>161</v>
      </c>
      <c r="J2699" s="3">
        <v>331</v>
      </c>
      <c r="K2699" s="3">
        <v>804</v>
      </c>
      <c r="L2699" s="3">
        <v>45</v>
      </c>
      <c r="M2699" s="3">
        <v>205</v>
      </c>
    </row>
    <row r="2700" spans="1:13" x14ac:dyDescent="0.25">
      <c r="A2700" s="1" t="str">
        <f>HYPERLINK("http://www.rosaceae.org/Prunus/Prunus_persica/p.persica_gdr_reftransV1_0011267","p.persica_gdr_reftransV1_0011267")</f>
        <v>p.persica_gdr_reftransV1_0011267</v>
      </c>
      <c r="B2700" s="3">
        <v>435</v>
      </c>
      <c r="C2700" s="1" t="str">
        <f>HYPERLINK("http://www.uniprot.org/uniprot/TAR4_ARATH","TAR4_ARATH")</f>
        <v>TAR4_ARATH</v>
      </c>
      <c r="D2700" t="s">
        <v>2545</v>
      </c>
      <c r="E2700" s="3" t="s">
        <v>3</v>
      </c>
      <c r="F2700" s="4">
        <v>1.6399999999999999E-37</v>
      </c>
      <c r="G2700" s="3">
        <v>346</v>
      </c>
      <c r="H2700" s="3">
        <v>56</v>
      </c>
      <c r="I2700" s="3">
        <v>118</v>
      </c>
      <c r="J2700" s="3">
        <v>8</v>
      </c>
      <c r="K2700" s="3">
        <v>352</v>
      </c>
      <c r="L2700" s="3">
        <v>11</v>
      </c>
      <c r="M2700" s="3">
        <v>128</v>
      </c>
    </row>
    <row r="2701" spans="1:13" x14ac:dyDescent="0.25">
      <c r="A2701" s="1" t="str">
        <f>HYPERLINK("http://www.rosaceae.org/Prunus/Prunus_persica/p.persica_gdr_reftransV1_0011317","p.persica_gdr_reftransV1_0011317")</f>
        <v>p.persica_gdr_reftransV1_0011317</v>
      </c>
      <c r="B2701" s="3">
        <v>2729</v>
      </c>
      <c r="C2701" s="1" t="str">
        <f>HYPERLINK("http://www.uniprot.org/uniprot/BCS1_SCHPO","BCS1_SCHPO")</f>
        <v>BCS1_SCHPO</v>
      </c>
      <c r="D2701" t="s">
        <v>779</v>
      </c>
      <c r="E2701" s="3" t="s">
        <v>464</v>
      </c>
      <c r="F2701" s="4">
        <v>1.7099999999999999E-31</v>
      </c>
      <c r="G2701" s="3">
        <v>334</v>
      </c>
      <c r="H2701" s="3">
        <v>37</v>
      </c>
      <c r="I2701" s="3">
        <v>210</v>
      </c>
      <c r="J2701" s="3">
        <v>692</v>
      </c>
      <c r="K2701" s="3">
        <v>1309</v>
      </c>
      <c r="L2701" s="3">
        <v>187</v>
      </c>
      <c r="M2701" s="3">
        <v>385</v>
      </c>
    </row>
    <row r="2702" spans="1:13" x14ac:dyDescent="0.25">
      <c r="A2702" s="1" t="str">
        <f>HYPERLINK("http://www.rosaceae.org/Prunus/Prunus_persica/p.persica_gdr_reftransV1_0011367","p.persica_gdr_reftransV1_0011367")</f>
        <v>p.persica_gdr_reftransV1_0011367</v>
      </c>
      <c r="B2702" s="3">
        <v>1338</v>
      </c>
      <c r="C2702" s="1" t="str">
        <f>HYPERLINK("http://www.uniprot.org/uniprot/HY6H_HYONI","HY6H_HYONI")</f>
        <v>HY6H_HYONI</v>
      </c>
      <c r="D2702" t="s">
        <v>2546</v>
      </c>
      <c r="E2702" s="3" t="s">
        <v>2547</v>
      </c>
      <c r="F2702" s="4">
        <v>1.85E-68</v>
      </c>
      <c r="G2702" s="3">
        <v>580</v>
      </c>
      <c r="H2702" s="3">
        <v>39</v>
      </c>
      <c r="I2702" s="3">
        <v>318</v>
      </c>
      <c r="J2702" s="3">
        <v>325</v>
      </c>
      <c r="K2702" s="3">
        <v>1242</v>
      </c>
      <c r="L2702" s="3">
        <v>13</v>
      </c>
      <c r="M2702" s="3">
        <v>322</v>
      </c>
    </row>
    <row r="2703" spans="1:13" x14ac:dyDescent="0.25">
      <c r="A2703" s="1" t="str">
        <f>HYPERLINK("http://www.rosaceae.org/Prunus/Prunus_persica/p.persica_gdr_reftransV1_0011517","p.persica_gdr_reftransV1_0011517")</f>
        <v>p.persica_gdr_reftransV1_0011517</v>
      </c>
      <c r="B2703" s="3">
        <v>7850</v>
      </c>
      <c r="C2703" s="1" t="str">
        <f>HYPERLINK("http://www.uniprot.org/uniprot/NU4M_ARATH","NU4M_ARATH")</f>
        <v>NU4M_ARATH</v>
      </c>
      <c r="D2703" t="s">
        <v>2548</v>
      </c>
      <c r="E2703" s="3" t="s">
        <v>3</v>
      </c>
      <c r="F2703" s="4">
        <v>1.4799999999999999E-85</v>
      </c>
      <c r="G2703" s="3">
        <v>760</v>
      </c>
      <c r="H2703" s="3">
        <v>98</v>
      </c>
      <c r="I2703" s="3">
        <v>153</v>
      </c>
      <c r="J2703" s="3">
        <v>5561</v>
      </c>
      <c r="K2703" s="3">
        <v>6019</v>
      </c>
      <c r="L2703" s="3">
        <v>1</v>
      </c>
      <c r="M2703" s="3">
        <v>153</v>
      </c>
    </row>
    <row r="2704" spans="1:13" x14ac:dyDescent="0.25">
      <c r="A2704" s="1" t="str">
        <f>HYPERLINK("http://www.rosaceae.org/Prunus/Prunus_persica/p.persica_gdr_reftransV1_0011717","p.persica_gdr_reftransV1_0011717")</f>
        <v>p.persica_gdr_reftransV1_0011717</v>
      </c>
      <c r="B2704" s="3">
        <v>993</v>
      </c>
      <c r="C2704" s="1" t="str">
        <f>HYPERLINK("http://www.uniprot.org/uniprot/AB6G_ARATH","AB6G_ARATH")</f>
        <v>AB6G_ARATH</v>
      </c>
      <c r="D2704" t="s">
        <v>2549</v>
      </c>
      <c r="E2704" s="3" t="s">
        <v>3</v>
      </c>
      <c r="F2704" s="4">
        <v>8.4500000000000004E-137</v>
      </c>
      <c r="G2704" s="3">
        <v>1059</v>
      </c>
      <c r="H2704" s="3">
        <v>86</v>
      </c>
      <c r="I2704" s="3">
        <v>227</v>
      </c>
      <c r="J2704" s="3">
        <v>312</v>
      </c>
      <c r="K2704" s="3">
        <v>992</v>
      </c>
      <c r="L2704" s="3">
        <v>501</v>
      </c>
      <c r="M2704" s="3">
        <v>727</v>
      </c>
    </row>
    <row r="2705" spans="1:13" x14ac:dyDescent="0.25">
      <c r="A2705" s="1" t="str">
        <f>HYPERLINK("http://www.rosaceae.org/Prunus/Prunus_persica/p.persica_gdr_reftransV1_0011967","p.persica_gdr_reftransV1_0011967")</f>
        <v>p.persica_gdr_reftransV1_0011967</v>
      </c>
      <c r="B2705" s="3">
        <v>2485</v>
      </c>
      <c r="C2705" s="1" t="str">
        <f>HYPERLINK("http://www.uniprot.org/uniprot/FIGL1_HUMAN","FIGL1_HUMAN")</f>
        <v>FIGL1_HUMAN</v>
      </c>
      <c r="D2705" t="s">
        <v>2550</v>
      </c>
      <c r="E2705" s="3" t="s">
        <v>28</v>
      </c>
      <c r="F2705" s="4">
        <v>2.0799999999999998E-59</v>
      </c>
      <c r="G2705" s="3">
        <v>557</v>
      </c>
      <c r="H2705" s="3">
        <v>48</v>
      </c>
      <c r="I2705" s="3">
        <v>298</v>
      </c>
      <c r="J2705" s="3">
        <v>786</v>
      </c>
      <c r="K2705" s="3">
        <v>1655</v>
      </c>
      <c r="L2705" s="3">
        <v>269</v>
      </c>
      <c r="M2705" s="3">
        <v>536</v>
      </c>
    </row>
    <row r="2706" spans="1:13" x14ac:dyDescent="0.25">
      <c r="A2706" s="1" t="str">
        <f>HYPERLINK("http://www.rosaceae.org/Prunus/Prunus_persica/p.persica_gdr_reftransV1_0012067","p.persica_gdr_reftransV1_0012067")</f>
        <v>p.persica_gdr_reftransV1_0012067</v>
      </c>
      <c r="B2706" s="3">
        <v>1829</v>
      </c>
      <c r="C2706" s="1" t="str">
        <f>HYPERLINK("http://www.uniprot.org/uniprot/PUB16_ARATH","PUB16_ARATH")</f>
        <v>PUB16_ARATH</v>
      </c>
      <c r="D2706" t="s">
        <v>2551</v>
      </c>
      <c r="E2706" s="3" t="s">
        <v>3</v>
      </c>
      <c r="F2706" s="4">
        <v>0</v>
      </c>
      <c r="G2706" s="3">
        <v>1522</v>
      </c>
      <c r="H2706" s="3">
        <v>63</v>
      </c>
      <c r="I2706" s="3">
        <v>500</v>
      </c>
      <c r="J2706" s="3">
        <v>3</v>
      </c>
      <c r="K2706" s="3">
        <v>1502</v>
      </c>
      <c r="L2706" s="3">
        <v>165</v>
      </c>
      <c r="M2706" s="3">
        <v>649</v>
      </c>
    </row>
    <row r="2707" spans="1:13" x14ac:dyDescent="0.25">
      <c r="A2707" s="1" t="str">
        <f>HYPERLINK("http://www.rosaceae.org/Prunus/Prunus_persica/p.persica_gdr_reftransV1_0012317","p.persica_gdr_reftransV1_0012317")</f>
        <v>p.persica_gdr_reftransV1_0012317</v>
      </c>
      <c r="B2707" s="3">
        <v>1998</v>
      </c>
      <c r="C2707" s="1" t="str">
        <f>HYPERLINK("http://www.uniprot.org/uniprot/Y933_HAEIN","Y933_HAEIN")</f>
        <v>Y933_HAEIN</v>
      </c>
      <c r="D2707" t="s">
        <v>2552</v>
      </c>
      <c r="E2707" s="3" t="s">
        <v>2553</v>
      </c>
      <c r="F2707" s="4">
        <v>2.6599999999999998E-21</v>
      </c>
      <c r="G2707" s="3">
        <v>249</v>
      </c>
      <c r="H2707" s="3">
        <v>33</v>
      </c>
      <c r="I2707" s="3">
        <v>239</v>
      </c>
      <c r="J2707" s="3">
        <v>585</v>
      </c>
      <c r="K2707" s="3">
        <v>1295</v>
      </c>
      <c r="L2707" s="3">
        <v>178</v>
      </c>
      <c r="M2707" s="3">
        <v>394</v>
      </c>
    </row>
    <row r="2708" spans="1:13" x14ac:dyDescent="0.25">
      <c r="A2708" s="1" t="str">
        <f>HYPERLINK("http://www.rosaceae.org/Prunus/Prunus_persica/p.persica_gdr_reftransV1_0012467","p.persica_gdr_reftransV1_0012467")</f>
        <v>p.persica_gdr_reftransV1_0012467</v>
      </c>
      <c r="B2708" s="3">
        <v>3119</v>
      </c>
      <c r="C2708" s="1" t="str">
        <f>HYPERLINK("http://www.uniprot.org/uniprot/HSP7Q_ARATH","HSP7Q_ARATH")</f>
        <v>HSP7Q_ARATH</v>
      </c>
      <c r="D2708" t="s">
        <v>2554</v>
      </c>
      <c r="E2708" s="3" t="s">
        <v>3</v>
      </c>
      <c r="F2708" s="4">
        <v>0</v>
      </c>
      <c r="G2708" s="3">
        <v>2523</v>
      </c>
      <c r="H2708" s="3">
        <v>61</v>
      </c>
      <c r="I2708" s="3">
        <v>760</v>
      </c>
      <c r="J2708" s="3">
        <v>271</v>
      </c>
      <c r="K2708" s="3">
        <v>2547</v>
      </c>
      <c r="L2708" s="3">
        <v>1</v>
      </c>
      <c r="M2708" s="3">
        <v>741</v>
      </c>
    </row>
    <row r="2709" spans="1:13" x14ac:dyDescent="0.25">
      <c r="A2709" s="1" t="str">
        <f>HYPERLINK("http://www.rosaceae.org/Prunus/Prunus_persica/p.persica_gdr_reftransV1_0012517","p.persica_gdr_reftransV1_0012517")</f>
        <v>p.persica_gdr_reftransV1_0012517</v>
      </c>
      <c r="B2709" s="3">
        <v>3342</v>
      </c>
      <c r="C2709" s="1" t="str">
        <f>HYPERLINK("http://www.uniprot.org/uniprot/Y1745_ARATH","Y1745_ARATH")</f>
        <v>Y1745_ARATH</v>
      </c>
      <c r="D2709" t="s">
        <v>2555</v>
      </c>
      <c r="E2709" s="3" t="s">
        <v>3</v>
      </c>
      <c r="F2709" s="4">
        <v>1.9200000000000001E-104</v>
      </c>
      <c r="G2709" s="3">
        <v>890</v>
      </c>
      <c r="H2709" s="3">
        <v>48</v>
      </c>
      <c r="I2709" s="3">
        <v>522</v>
      </c>
      <c r="J2709" s="3">
        <v>660</v>
      </c>
      <c r="K2709" s="3">
        <v>2183</v>
      </c>
      <c r="L2709" s="3">
        <v>1</v>
      </c>
      <c r="M2709" s="3">
        <v>480</v>
      </c>
    </row>
    <row r="2710" spans="1:13" x14ac:dyDescent="0.25">
      <c r="A2710" s="1" t="str">
        <f>HYPERLINK("http://www.rosaceae.org/Prunus/Prunus_persica/p.persica_gdr_reftransV1_0012817","p.persica_gdr_reftransV1_0012817")</f>
        <v>p.persica_gdr_reftransV1_0012817</v>
      </c>
      <c r="B2710" s="3">
        <v>3440</v>
      </c>
      <c r="C2710" s="1" t="str">
        <f>HYPERLINK("http://www.uniprot.org/uniprot/IYO_ARATH","IYO_ARATH")</f>
        <v>IYO_ARATH</v>
      </c>
      <c r="D2710" t="s">
        <v>1346</v>
      </c>
      <c r="E2710" s="3" t="s">
        <v>3</v>
      </c>
      <c r="F2710" s="4">
        <v>0</v>
      </c>
      <c r="G2710" s="3">
        <v>2497</v>
      </c>
      <c r="H2710" s="3">
        <v>50</v>
      </c>
      <c r="I2710" s="3">
        <v>1110</v>
      </c>
      <c r="J2710" s="3">
        <v>5</v>
      </c>
      <c r="K2710" s="3">
        <v>3322</v>
      </c>
      <c r="L2710" s="3">
        <v>402</v>
      </c>
      <c r="M2710" s="3">
        <v>1448</v>
      </c>
    </row>
    <row r="2711" spans="1:13" x14ac:dyDescent="0.25">
      <c r="A2711" s="1" t="str">
        <f>HYPERLINK("http://www.rosaceae.org/Prunus/Prunus_persica/p.persica_gdr_reftransV1_0012867","p.persica_gdr_reftransV1_0012867")</f>
        <v>p.persica_gdr_reftransV1_0012867</v>
      </c>
      <c r="B2711" s="3">
        <v>2605</v>
      </c>
      <c r="C2711" s="1" t="str">
        <f>HYPERLINK("http://www.uniprot.org/uniprot/PP150_ARATH","PP150_ARATH")</f>
        <v>PP150_ARATH</v>
      </c>
      <c r="D2711" t="s">
        <v>2556</v>
      </c>
      <c r="E2711" s="3" t="s">
        <v>3</v>
      </c>
      <c r="F2711" s="4">
        <v>0</v>
      </c>
      <c r="G2711" s="3">
        <v>1681</v>
      </c>
      <c r="H2711" s="3">
        <v>68</v>
      </c>
      <c r="I2711" s="3">
        <v>477</v>
      </c>
      <c r="J2711" s="3">
        <v>452</v>
      </c>
      <c r="K2711" s="3">
        <v>1879</v>
      </c>
      <c r="L2711" s="3">
        <v>38</v>
      </c>
      <c r="M2711" s="3">
        <v>509</v>
      </c>
    </row>
    <row r="2712" spans="1:13" x14ac:dyDescent="0.25">
      <c r="A2712" s="1" t="str">
        <f>HYPERLINK("http://www.rosaceae.org/Prunus/Prunus_persica/p.persica_gdr_reftransV1_0013067","p.persica_gdr_reftransV1_0013067")</f>
        <v>p.persica_gdr_reftransV1_0013067</v>
      </c>
      <c r="B2712" s="3">
        <v>651</v>
      </c>
      <c r="C2712" s="1" t="str">
        <f>HYPERLINK("http://www.uniprot.org/uniprot/MCM8_ARATH","MCM8_ARATH")</f>
        <v>MCM8_ARATH</v>
      </c>
      <c r="D2712" t="s">
        <v>2557</v>
      </c>
      <c r="E2712" s="3" t="s">
        <v>3</v>
      </c>
      <c r="F2712" s="4">
        <v>3.2300000000000001E-127</v>
      </c>
      <c r="G2712" s="3">
        <v>987</v>
      </c>
      <c r="H2712" s="3">
        <v>89</v>
      </c>
      <c r="I2712" s="3">
        <v>206</v>
      </c>
      <c r="J2712" s="3">
        <v>1</v>
      </c>
      <c r="K2712" s="3">
        <v>618</v>
      </c>
      <c r="L2712" s="3">
        <v>328</v>
      </c>
      <c r="M2712" s="3">
        <v>533</v>
      </c>
    </row>
    <row r="2713" spans="1:13" x14ac:dyDescent="0.25">
      <c r="A2713" s="1" t="str">
        <f>HYPERLINK("http://www.rosaceae.org/Prunus/Prunus_persica/p.persica_gdr_reftransV1_0013467","p.persica_gdr_reftransV1_0013467")</f>
        <v>p.persica_gdr_reftransV1_0013467</v>
      </c>
      <c r="B2713" s="3">
        <v>5038</v>
      </c>
      <c r="C2713" s="1" t="str">
        <f>HYPERLINK("http://www.uniprot.org/uniprot/MYBO_DICDI","MYBO_DICDI")</f>
        <v>MYBO_DICDI</v>
      </c>
      <c r="D2713" t="s">
        <v>2558</v>
      </c>
      <c r="E2713" s="3" t="s">
        <v>9</v>
      </c>
      <c r="F2713" s="4">
        <v>7.0500000000000003E-7</v>
      </c>
      <c r="G2713" s="3">
        <v>140</v>
      </c>
      <c r="H2713" s="3">
        <v>27</v>
      </c>
      <c r="I2713" s="3">
        <v>143</v>
      </c>
      <c r="J2713" s="3">
        <v>2137</v>
      </c>
      <c r="K2713" s="3">
        <v>2562</v>
      </c>
      <c r="L2713" s="3">
        <v>901</v>
      </c>
      <c r="M2713" s="3">
        <v>1031</v>
      </c>
    </row>
    <row r="2714" spans="1:13" x14ac:dyDescent="0.25">
      <c r="A2714" s="1" t="str">
        <f>HYPERLINK("http://www.rosaceae.org/Prunus/Prunus_persica/p.persica_gdr_reftransV1_0013617","p.persica_gdr_reftransV1_0013617")</f>
        <v>p.persica_gdr_reftransV1_0013617</v>
      </c>
      <c r="B2714" s="3">
        <v>1743</v>
      </c>
      <c r="C2714" s="1" t="str">
        <f>HYPERLINK("http://www.uniprot.org/uniprot/SAMH1_DICDI","SAMH1_DICDI")</f>
        <v>SAMH1_DICDI</v>
      </c>
      <c r="D2714" t="s">
        <v>2559</v>
      </c>
      <c r="E2714" s="3" t="s">
        <v>9</v>
      </c>
      <c r="F2714" s="4">
        <v>5.1E-102</v>
      </c>
      <c r="G2714" s="3">
        <v>832</v>
      </c>
      <c r="H2714" s="3">
        <v>41</v>
      </c>
      <c r="I2714" s="3">
        <v>437</v>
      </c>
      <c r="J2714" s="3">
        <v>147</v>
      </c>
      <c r="K2714" s="3">
        <v>1454</v>
      </c>
      <c r="L2714" s="3">
        <v>69</v>
      </c>
      <c r="M2714" s="3">
        <v>488</v>
      </c>
    </row>
    <row r="2715" spans="1:13" x14ac:dyDescent="0.25">
      <c r="A2715" s="1" t="str">
        <f>HYPERLINK("http://www.rosaceae.org/Prunus/Prunus_persica/p.persica_gdr_reftransV1_0013667","p.persica_gdr_reftransV1_0013667")</f>
        <v>p.persica_gdr_reftransV1_0013667</v>
      </c>
      <c r="B2715" s="3">
        <v>1243</v>
      </c>
      <c r="C2715" s="1" t="str">
        <f>HYPERLINK("http://www.uniprot.org/uniprot/RAE1A_ARATH","RAE1A_ARATH")</f>
        <v>RAE1A_ARATH</v>
      </c>
      <c r="D2715" t="s">
        <v>2288</v>
      </c>
      <c r="E2715" s="3" t="s">
        <v>3</v>
      </c>
      <c r="F2715" s="4">
        <v>8.4199999999999999E-106</v>
      </c>
      <c r="G2715" s="3">
        <v>816</v>
      </c>
      <c r="H2715" s="3">
        <v>89</v>
      </c>
      <c r="I2715" s="3">
        <v>206</v>
      </c>
      <c r="J2715" s="3">
        <v>382</v>
      </c>
      <c r="K2715" s="3">
        <v>996</v>
      </c>
      <c r="L2715" s="3">
        <v>11</v>
      </c>
      <c r="M2715" s="3">
        <v>215</v>
      </c>
    </row>
    <row r="2716" spans="1:13" x14ac:dyDescent="0.25">
      <c r="A2716" s="1" t="str">
        <f>HYPERLINK("http://www.rosaceae.org/Prunus/Prunus_persica/p.persica_gdr_reftransV1_0013767","p.persica_gdr_reftransV1_0013767")</f>
        <v>p.persica_gdr_reftransV1_0013767</v>
      </c>
      <c r="B2716" s="3">
        <v>1210</v>
      </c>
      <c r="C2716" s="1" t="str">
        <f>HYPERLINK("http://www.uniprot.org/uniprot/KCO6_ARATH","KCO6_ARATH")</f>
        <v>KCO6_ARATH</v>
      </c>
      <c r="D2716" t="s">
        <v>185</v>
      </c>
      <c r="E2716" s="3" t="s">
        <v>3</v>
      </c>
      <c r="F2716" s="4">
        <v>3.92E-13</v>
      </c>
      <c r="G2716" s="3">
        <v>181</v>
      </c>
      <c r="H2716" s="3">
        <v>31</v>
      </c>
      <c r="I2716" s="3">
        <v>160</v>
      </c>
      <c r="J2716" s="3">
        <v>578</v>
      </c>
      <c r="K2716" s="3">
        <v>1030</v>
      </c>
      <c r="L2716" s="3">
        <v>197</v>
      </c>
      <c r="M2716" s="3">
        <v>356</v>
      </c>
    </row>
    <row r="2717" spans="1:13" x14ac:dyDescent="0.25">
      <c r="A2717" s="1" t="str">
        <f>HYPERLINK("http://www.rosaceae.org/Prunus/Prunus_persica/p.persica_gdr_reftransV1_0013967","p.persica_gdr_reftransV1_0013967")</f>
        <v>p.persica_gdr_reftransV1_0013967</v>
      </c>
      <c r="B2717" s="3">
        <v>906</v>
      </c>
      <c r="C2717" s="1" t="str">
        <f>HYPERLINK("http://www.uniprot.org/uniprot/SCGT_TOBAC","SCGT_TOBAC")</f>
        <v>SCGT_TOBAC</v>
      </c>
      <c r="D2717" t="s">
        <v>2560</v>
      </c>
      <c r="E2717" s="3" t="s">
        <v>200</v>
      </c>
      <c r="F2717" s="4">
        <v>8.3699999999999995E-91</v>
      </c>
      <c r="G2717" s="3">
        <v>728</v>
      </c>
      <c r="H2717" s="3">
        <v>63</v>
      </c>
      <c r="I2717" s="3">
        <v>210</v>
      </c>
      <c r="J2717" s="3">
        <v>2</v>
      </c>
      <c r="K2717" s="3">
        <v>631</v>
      </c>
      <c r="L2717" s="3">
        <v>266</v>
      </c>
      <c r="M2717" s="3">
        <v>471</v>
      </c>
    </row>
    <row r="2718" spans="1:13" x14ac:dyDescent="0.25">
      <c r="A2718" s="1" t="str">
        <f>HYPERLINK("http://www.rosaceae.org/Prunus/Prunus_persica/p.persica_gdr_reftransV1_0014217","p.persica_gdr_reftransV1_0014217")</f>
        <v>p.persica_gdr_reftransV1_0014217</v>
      </c>
      <c r="B2718" s="3">
        <v>1448</v>
      </c>
      <c r="C2718" s="1" t="str">
        <f>HYPERLINK("http://www.uniprot.org/uniprot/PPR53_ARATH","PPR53_ARATH")</f>
        <v>PPR53_ARATH</v>
      </c>
      <c r="D2718" t="s">
        <v>1197</v>
      </c>
      <c r="E2718" s="3" t="s">
        <v>3</v>
      </c>
      <c r="F2718" s="4">
        <v>5.6700000000000002E-136</v>
      </c>
      <c r="G2718" s="3">
        <v>1072</v>
      </c>
      <c r="H2718" s="3">
        <v>69</v>
      </c>
      <c r="I2718" s="3">
        <v>281</v>
      </c>
      <c r="J2718" s="3">
        <v>7</v>
      </c>
      <c r="K2718" s="3">
        <v>849</v>
      </c>
      <c r="L2718" s="3">
        <v>480</v>
      </c>
      <c r="M2718" s="3">
        <v>760</v>
      </c>
    </row>
    <row r="2719" spans="1:13" x14ac:dyDescent="0.25">
      <c r="A2719" s="1" t="str">
        <f>HYPERLINK("http://www.rosaceae.org/Prunus/Prunus_persica/p.persica_gdr_reftransV1_0014267","p.persica_gdr_reftransV1_0014267")</f>
        <v>p.persica_gdr_reftransV1_0014267</v>
      </c>
      <c r="B2719" s="3">
        <v>4336</v>
      </c>
      <c r="C2719" s="1" t="str">
        <f>HYPERLINK("http://www.uniprot.org/uniprot/ALA4_ARATH","ALA4_ARATH")</f>
        <v>ALA4_ARATH</v>
      </c>
      <c r="D2719" t="s">
        <v>2561</v>
      </c>
      <c r="E2719" s="3" t="s">
        <v>3</v>
      </c>
      <c r="F2719" s="4">
        <v>0</v>
      </c>
      <c r="G2719" s="3">
        <v>4918</v>
      </c>
      <c r="H2719" s="3">
        <v>75</v>
      </c>
      <c r="I2719" s="3">
        <v>1228</v>
      </c>
      <c r="J2719" s="3">
        <v>293</v>
      </c>
      <c r="K2719" s="3">
        <v>3973</v>
      </c>
      <c r="L2719" s="3">
        <v>1</v>
      </c>
      <c r="M2719" s="3">
        <v>1203</v>
      </c>
    </row>
    <row r="2720" spans="1:13" x14ac:dyDescent="0.25">
      <c r="A2720" s="1" t="str">
        <f>HYPERLINK("http://www.rosaceae.org/Prunus/Prunus_persica/p.persica_gdr_reftransV1_0014467","p.persica_gdr_reftransV1_0014467")</f>
        <v>p.persica_gdr_reftransV1_0014467</v>
      </c>
      <c r="B2720" s="3">
        <v>3431</v>
      </c>
      <c r="C2720" s="1" t="str">
        <f>HYPERLINK("http://www.uniprot.org/uniprot/FABI_ARATH","FABI_ARATH")</f>
        <v>FABI_ARATH</v>
      </c>
      <c r="D2720" t="s">
        <v>2562</v>
      </c>
      <c r="E2720" s="3" t="s">
        <v>3</v>
      </c>
      <c r="F2720" s="4">
        <v>0</v>
      </c>
      <c r="G2720" s="3">
        <v>1411</v>
      </c>
      <c r="H2720" s="3">
        <v>76</v>
      </c>
      <c r="I2720" s="3">
        <v>387</v>
      </c>
      <c r="J2720" s="3">
        <v>2065</v>
      </c>
      <c r="K2720" s="3">
        <v>3222</v>
      </c>
      <c r="L2720" s="3">
        <v>1</v>
      </c>
      <c r="M2720" s="3">
        <v>387</v>
      </c>
    </row>
    <row r="2721" spans="1:13" x14ac:dyDescent="0.25">
      <c r="A2721" s="1" t="str">
        <f>HYPERLINK("http://www.rosaceae.org/Prunus/Prunus_persica/p.persica_gdr_reftransV1_0014517","p.persica_gdr_reftransV1_0014517")</f>
        <v>p.persica_gdr_reftransV1_0014517</v>
      </c>
      <c r="B2721" s="3">
        <v>1809</v>
      </c>
      <c r="C2721" s="1" t="str">
        <f>HYPERLINK("http://www.uniprot.org/uniprot/TADA2_ORYSJ","TADA2_ORYSJ")</f>
        <v>TADA2_ORYSJ</v>
      </c>
      <c r="D2721" t="s">
        <v>2563</v>
      </c>
      <c r="E2721" s="3" t="s">
        <v>38</v>
      </c>
      <c r="F2721" s="4">
        <v>0</v>
      </c>
      <c r="G2721" s="3">
        <v>1477</v>
      </c>
      <c r="H2721" s="3">
        <v>55</v>
      </c>
      <c r="I2721" s="3">
        <v>551</v>
      </c>
      <c r="J2721" s="3">
        <v>169</v>
      </c>
      <c r="K2721" s="3">
        <v>1776</v>
      </c>
      <c r="L2721" s="3">
        <v>50</v>
      </c>
      <c r="M2721" s="3">
        <v>557</v>
      </c>
    </row>
    <row r="2722" spans="1:13" x14ac:dyDescent="0.25">
      <c r="A2722" s="1" t="str">
        <f>HYPERLINK("http://www.rosaceae.org/Prunus/Prunus_persica/p.persica_gdr_reftransV1_0014617","p.persica_gdr_reftransV1_0014617")</f>
        <v>p.persica_gdr_reftransV1_0014617</v>
      </c>
      <c r="B2722" s="3">
        <v>3907</v>
      </c>
      <c r="C2722" s="1" t="str">
        <f>HYPERLINK("http://www.uniprot.org/uniprot/STP7_ARATH","STP7_ARATH")</f>
        <v>STP7_ARATH</v>
      </c>
      <c r="D2722" t="s">
        <v>2564</v>
      </c>
      <c r="E2722" s="3" t="s">
        <v>3</v>
      </c>
      <c r="F2722" s="4">
        <v>0</v>
      </c>
      <c r="G2722" s="3">
        <v>1908</v>
      </c>
      <c r="H2722" s="3">
        <v>80</v>
      </c>
      <c r="I2722" s="3">
        <v>506</v>
      </c>
      <c r="J2722" s="3">
        <v>2090</v>
      </c>
      <c r="K2722" s="3">
        <v>3607</v>
      </c>
      <c r="L2722" s="3">
        <v>1</v>
      </c>
      <c r="M2722" s="3">
        <v>506</v>
      </c>
    </row>
    <row r="2723" spans="1:13" x14ac:dyDescent="0.25">
      <c r="A2723" s="1" t="str">
        <f>HYPERLINK("http://www.rosaceae.org/Prunus/Prunus_persica/p.persica_gdr_reftransV1_0014767","p.persica_gdr_reftransV1_0014767")</f>
        <v>p.persica_gdr_reftransV1_0014767</v>
      </c>
      <c r="B2723" s="3">
        <v>938</v>
      </c>
      <c r="C2723" s="1" t="str">
        <f>HYPERLINK("http://www.uniprot.org/uniprot/LSM4_TOBAC","LSM4_TOBAC")</f>
        <v>LSM4_TOBAC</v>
      </c>
      <c r="D2723" t="s">
        <v>2565</v>
      </c>
      <c r="E2723" s="3" t="s">
        <v>200</v>
      </c>
      <c r="F2723" s="4">
        <v>2.2100000000000001E-57</v>
      </c>
      <c r="G2723" s="3">
        <v>477</v>
      </c>
      <c r="H2723" s="3">
        <v>97</v>
      </c>
      <c r="I2723" s="3">
        <v>88</v>
      </c>
      <c r="J2723" s="3">
        <v>211</v>
      </c>
      <c r="K2723" s="3">
        <v>474</v>
      </c>
      <c r="L2723" s="3">
        <v>1</v>
      </c>
      <c r="M2723" s="3">
        <v>88</v>
      </c>
    </row>
    <row r="2724" spans="1:13" x14ac:dyDescent="0.25">
      <c r="A2724" s="1" t="str">
        <f>HYPERLINK("http://www.rosaceae.org/Prunus/Prunus_persica/p.persica_gdr_reftransV1_0014967","p.persica_gdr_reftransV1_0014967")</f>
        <v>p.persica_gdr_reftransV1_0014967</v>
      </c>
      <c r="B2724" s="3">
        <v>2282</v>
      </c>
      <c r="C2724" s="1" t="str">
        <f>HYPERLINK("http://www.uniprot.org/uniprot/PP261_ARATH","PP261_ARATH")</f>
        <v>PP261_ARATH</v>
      </c>
      <c r="D2724" t="s">
        <v>2566</v>
      </c>
      <c r="E2724" s="3" t="s">
        <v>3</v>
      </c>
      <c r="F2724" s="4">
        <v>0</v>
      </c>
      <c r="G2724" s="3">
        <v>2054</v>
      </c>
      <c r="H2724" s="3">
        <v>65</v>
      </c>
      <c r="I2724" s="3">
        <v>570</v>
      </c>
      <c r="J2724" s="3">
        <v>430</v>
      </c>
      <c r="K2724" s="3">
        <v>2133</v>
      </c>
      <c r="L2724" s="3">
        <v>18</v>
      </c>
      <c r="M2724" s="3">
        <v>587</v>
      </c>
    </row>
    <row r="2725" spans="1:13" x14ac:dyDescent="0.25">
      <c r="A2725" s="1" t="str">
        <f>HYPERLINK("http://www.rosaceae.org/Prunus/Prunus_persica/p.persica_gdr_reftransV1_0015067","p.persica_gdr_reftransV1_0015067")</f>
        <v>p.persica_gdr_reftransV1_0015067</v>
      </c>
      <c r="B2725" s="3">
        <v>1627</v>
      </c>
      <c r="C2725" s="1" t="str">
        <f>HYPERLINK("http://www.uniprot.org/uniprot/CRSP_ARATH","CRSP_ARATH")</f>
        <v>CRSP_ARATH</v>
      </c>
      <c r="D2725" t="s">
        <v>1526</v>
      </c>
      <c r="E2725" s="3" t="s">
        <v>3</v>
      </c>
      <c r="F2725" s="4">
        <v>3.33E-86</v>
      </c>
      <c r="G2725" s="3">
        <v>739</v>
      </c>
      <c r="H2725" s="3">
        <v>42</v>
      </c>
      <c r="I2725" s="3">
        <v>379</v>
      </c>
      <c r="J2725" s="3">
        <v>40</v>
      </c>
      <c r="K2725" s="3">
        <v>1164</v>
      </c>
      <c r="L2725" s="3">
        <v>388</v>
      </c>
      <c r="M2725" s="3">
        <v>764</v>
      </c>
    </row>
    <row r="2726" spans="1:13" x14ac:dyDescent="0.25">
      <c r="A2726" s="1" t="str">
        <f>HYPERLINK("http://www.rosaceae.org/Prunus/Prunus_persica/p.persica_gdr_reftransV1_0015167","p.persica_gdr_reftransV1_0015167")</f>
        <v>p.persica_gdr_reftransV1_0015167</v>
      </c>
      <c r="B2726" s="3">
        <v>4039</v>
      </c>
      <c r="C2726" s="1" t="str">
        <f>HYPERLINK("http://www.uniprot.org/uniprot/NEMF_MOUSE","NEMF_MOUSE")</f>
        <v>NEMF_MOUSE</v>
      </c>
      <c r="D2726" t="s">
        <v>2567</v>
      </c>
      <c r="E2726" s="3" t="s">
        <v>157</v>
      </c>
      <c r="F2726" s="4">
        <v>5.22E-161</v>
      </c>
      <c r="G2726" s="3">
        <v>1335</v>
      </c>
      <c r="H2726" s="3">
        <v>42</v>
      </c>
      <c r="I2726" s="3">
        <v>737</v>
      </c>
      <c r="J2726" s="3">
        <v>1825</v>
      </c>
      <c r="K2726" s="3">
        <v>3933</v>
      </c>
      <c r="L2726" s="3">
        <v>1</v>
      </c>
      <c r="M2726" s="3">
        <v>676</v>
      </c>
    </row>
    <row r="2727" spans="1:13" x14ac:dyDescent="0.25">
      <c r="A2727" s="1" t="str">
        <f>HYPERLINK("http://www.rosaceae.org/Prunus/Prunus_persica/p.persica_gdr_reftransV1_0015217","p.persica_gdr_reftransV1_0015217")</f>
        <v>p.persica_gdr_reftransV1_0015217</v>
      </c>
      <c r="B2727" s="3">
        <v>4044</v>
      </c>
      <c r="C2727" s="1" t="str">
        <f>HYPERLINK("http://www.uniprot.org/uniprot/DPE2_ARATH","DPE2_ARATH")</f>
        <v>DPE2_ARATH</v>
      </c>
      <c r="D2727" t="s">
        <v>2568</v>
      </c>
      <c r="E2727" s="3" t="s">
        <v>3</v>
      </c>
      <c r="F2727" s="4">
        <v>0</v>
      </c>
      <c r="G2727" s="3">
        <v>2281</v>
      </c>
      <c r="H2727" s="3">
        <v>79</v>
      </c>
      <c r="I2727" s="3">
        <v>518</v>
      </c>
      <c r="J2727" s="3">
        <v>1649</v>
      </c>
      <c r="K2727" s="3">
        <v>3160</v>
      </c>
      <c r="L2727" s="3">
        <v>414</v>
      </c>
      <c r="M2727" s="3">
        <v>931</v>
      </c>
    </row>
    <row r="2728" spans="1:13" x14ac:dyDescent="0.25">
      <c r="A2728" s="1" t="str">
        <f>HYPERLINK("http://www.rosaceae.org/Prunus/Prunus_persica/p.persica_gdr_reftransV1_0015267","p.persica_gdr_reftransV1_0015267")</f>
        <v>p.persica_gdr_reftransV1_0015267</v>
      </c>
      <c r="B2728" s="3">
        <v>1053</v>
      </c>
      <c r="C2728" s="1" t="str">
        <f>HYPERLINK("http://www.uniprot.org/uniprot/LOGL1_ORYSJ","LOGL1_ORYSJ")</f>
        <v>LOGL1_ORYSJ</v>
      </c>
      <c r="D2728" t="s">
        <v>2569</v>
      </c>
      <c r="E2728" s="3" t="s">
        <v>38</v>
      </c>
      <c r="F2728" s="4">
        <v>5.07E-91</v>
      </c>
      <c r="G2728" s="3">
        <v>712</v>
      </c>
      <c r="H2728" s="3">
        <v>73</v>
      </c>
      <c r="I2728" s="3">
        <v>198</v>
      </c>
      <c r="J2728" s="3">
        <v>144</v>
      </c>
      <c r="K2728" s="3">
        <v>737</v>
      </c>
      <c r="L2728" s="3">
        <v>16</v>
      </c>
      <c r="M2728" s="3">
        <v>213</v>
      </c>
    </row>
    <row r="2729" spans="1:13" x14ac:dyDescent="0.25">
      <c r="A2729" s="1" t="str">
        <f>HYPERLINK("http://www.rosaceae.org/Prunus/Prunus_persica/p.persica_gdr_reftransV1_0015417","p.persica_gdr_reftransV1_0015417")</f>
        <v>p.persica_gdr_reftransV1_0015417</v>
      </c>
      <c r="B2729" s="3">
        <v>1169</v>
      </c>
      <c r="C2729" s="1" t="str">
        <f>HYPERLINK("http://www.uniprot.org/uniprot/FBK50_ARATH","FBK50_ARATH")</f>
        <v>FBK50_ARATH</v>
      </c>
      <c r="D2729" t="s">
        <v>13</v>
      </c>
      <c r="E2729" s="3" t="s">
        <v>3</v>
      </c>
      <c r="F2729" s="4">
        <v>1.4E-19</v>
      </c>
      <c r="G2729" s="3">
        <v>230</v>
      </c>
      <c r="H2729" s="3">
        <v>27</v>
      </c>
      <c r="I2729" s="3">
        <v>278</v>
      </c>
      <c r="J2729" s="3">
        <v>100</v>
      </c>
      <c r="K2729" s="3">
        <v>891</v>
      </c>
      <c r="L2729" s="3">
        <v>163</v>
      </c>
      <c r="M2729" s="3">
        <v>419</v>
      </c>
    </row>
    <row r="2730" spans="1:13" x14ac:dyDescent="0.25">
      <c r="A2730" s="1" t="str">
        <f>HYPERLINK("http://www.rosaceae.org/Prunus/Prunus_persica/p.persica_gdr_reftransV1_0015667","p.persica_gdr_reftransV1_0015667")</f>
        <v>p.persica_gdr_reftransV1_0015667</v>
      </c>
      <c r="B2730" s="3">
        <v>1439</v>
      </c>
      <c r="C2730" s="1" t="str">
        <f>HYPERLINK("http://www.uniprot.org/uniprot/POK1_ARATH","POK1_ARATH")</f>
        <v>POK1_ARATH</v>
      </c>
      <c r="D2730" t="s">
        <v>2570</v>
      </c>
      <c r="E2730" s="3" t="s">
        <v>3</v>
      </c>
      <c r="F2730" s="4">
        <v>2.33E-124</v>
      </c>
      <c r="G2730" s="3">
        <v>1040</v>
      </c>
      <c r="H2730" s="3">
        <v>51</v>
      </c>
      <c r="I2730" s="3">
        <v>481</v>
      </c>
      <c r="J2730" s="3">
        <v>1</v>
      </c>
      <c r="K2730" s="3">
        <v>1437</v>
      </c>
      <c r="L2730" s="3">
        <v>422</v>
      </c>
      <c r="M2730" s="3">
        <v>846</v>
      </c>
    </row>
    <row r="2731" spans="1:13" x14ac:dyDescent="0.25">
      <c r="A2731" s="1" t="str">
        <f>HYPERLINK("http://www.rosaceae.org/Prunus/Prunus_persica/p.persica_gdr_reftransV1_0016117","p.persica_gdr_reftransV1_0016117")</f>
        <v>p.persica_gdr_reftransV1_0016117</v>
      </c>
      <c r="B2731" s="3">
        <v>5028</v>
      </c>
      <c r="C2731" s="1" t="str">
        <f>HYPERLINK("http://www.uniprot.org/uniprot/SMC4_ARATH","SMC4_ARATH")</f>
        <v>SMC4_ARATH</v>
      </c>
      <c r="D2731" t="s">
        <v>2571</v>
      </c>
      <c r="E2731" s="3" t="s">
        <v>3</v>
      </c>
      <c r="F2731" s="4">
        <v>0</v>
      </c>
      <c r="G2731" s="3">
        <v>4646</v>
      </c>
      <c r="H2731" s="3">
        <v>75</v>
      </c>
      <c r="I2731" s="3">
        <v>1238</v>
      </c>
      <c r="J2731" s="3">
        <v>1275</v>
      </c>
      <c r="K2731" s="3">
        <v>4985</v>
      </c>
      <c r="L2731" s="3">
        <v>3</v>
      </c>
      <c r="M2731" s="3">
        <v>1237</v>
      </c>
    </row>
    <row r="2732" spans="1:13" x14ac:dyDescent="0.25">
      <c r="A2732" s="1" t="str">
        <f>HYPERLINK("http://www.rosaceae.org/Prunus/Prunus_persica/p.persica_gdr_reftransV1_0016317","p.persica_gdr_reftransV1_0016317")</f>
        <v>p.persica_gdr_reftransV1_0016317</v>
      </c>
      <c r="B2732" s="3">
        <v>940</v>
      </c>
      <c r="C2732" s="1" t="str">
        <f>HYPERLINK("http://www.uniprot.org/uniprot/TMVRN_NICGU","TMVRN_NICGU")</f>
        <v>TMVRN_NICGU</v>
      </c>
      <c r="D2732" t="s">
        <v>151</v>
      </c>
      <c r="E2732" s="3" t="s">
        <v>152</v>
      </c>
      <c r="F2732" s="4">
        <v>2.4500000000000001E-63</v>
      </c>
      <c r="G2732" s="3">
        <v>564</v>
      </c>
      <c r="H2732" s="3">
        <v>50</v>
      </c>
      <c r="I2732" s="3">
        <v>222</v>
      </c>
      <c r="J2732" s="3">
        <v>280</v>
      </c>
      <c r="K2732" s="3">
        <v>939</v>
      </c>
      <c r="L2732" s="3">
        <v>9</v>
      </c>
      <c r="M2732" s="3">
        <v>230</v>
      </c>
    </row>
    <row r="2733" spans="1:13" x14ac:dyDescent="0.25">
      <c r="A2733" s="1" t="str">
        <f>HYPERLINK("http://www.rosaceae.org/Prunus/Prunus_persica/p.persica_gdr_reftransV1_0016517","p.persica_gdr_reftransV1_0016517")</f>
        <v>p.persica_gdr_reftransV1_0016517</v>
      </c>
      <c r="B2733" s="3">
        <v>2072</v>
      </c>
      <c r="C2733" s="1" t="str">
        <f>HYPERLINK("http://www.uniprot.org/uniprot/CNIF1_ARATH","CNIF1_ARATH")</f>
        <v>CNIF1_ARATH</v>
      </c>
      <c r="D2733" t="s">
        <v>2572</v>
      </c>
      <c r="E2733" s="3" t="s">
        <v>3</v>
      </c>
      <c r="F2733" s="4">
        <v>1.7899999999999999E-158</v>
      </c>
      <c r="G2733" s="3">
        <v>1216</v>
      </c>
      <c r="H2733" s="3">
        <v>83</v>
      </c>
      <c r="I2733" s="3">
        <v>269</v>
      </c>
      <c r="J2733" s="3">
        <v>355</v>
      </c>
      <c r="K2733" s="3">
        <v>1161</v>
      </c>
      <c r="L2733" s="3">
        <v>54</v>
      </c>
      <c r="M2733" s="3">
        <v>322</v>
      </c>
    </row>
    <row r="2734" spans="1:13" x14ac:dyDescent="0.25">
      <c r="A2734" s="1" t="str">
        <f>HYPERLINK("http://www.rosaceae.org/Prunus/Prunus_persica/p.persica_gdr_reftransV1_0016567","p.persica_gdr_reftransV1_0016567")</f>
        <v>p.persica_gdr_reftransV1_0016567</v>
      </c>
      <c r="B2734" s="3">
        <v>1588</v>
      </c>
      <c r="C2734" s="1" t="str">
        <f>HYPERLINK("http://www.uniprot.org/uniprot/TKPR1_ARATH","TKPR1_ARATH")</f>
        <v>TKPR1_ARATH</v>
      </c>
      <c r="D2734" t="s">
        <v>221</v>
      </c>
      <c r="E2734" s="3" t="s">
        <v>3</v>
      </c>
      <c r="F2734" s="4">
        <v>1.2E-67</v>
      </c>
      <c r="G2734" s="3">
        <v>579</v>
      </c>
      <c r="H2734" s="3">
        <v>50</v>
      </c>
      <c r="I2734" s="3">
        <v>222</v>
      </c>
      <c r="J2734" s="3">
        <v>886</v>
      </c>
      <c r="K2734" s="3">
        <v>1551</v>
      </c>
      <c r="L2734" s="3">
        <v>1</v>
      </c>
      <c r="M2734" s="3">
        <v>221</v>
      </c>
    </row>
    <row r="2735" spans="1:13" x14ac:dyDescent="0.25">
      <c r="A2735" s="1" t="str">
        <f>HYPERLINK("http://www.rosaceae.org/Prunus/Prunus_persica/p.persica_gdr_reftransV1_0016867","p.persica_gdr_reftransV1_0016867")</f>
        <v>p.persica_gdr_reftransV1_0016867</v>
      </c>
      <c r="B2735" s="3">
        <v>2718</v>
      </c>
      <c r="C2735" s="1" t="str">
        <f>HYPERLINK("http://www.uniprot.org/uniprot/MAPT_ARATH","MAPT_ARATH")</f>
        <v>MAPT_ARATH</v>
      </c>
      <c r="D2735" t="s">
        <v>2573</v>
      </c>
      <c r="E2735" s="3" t="s">
        <v>3</v>
      </c>
      <c r="F2735" s="4">
        <v>2.0999999999999999E-48</v>
      </c>
      <c r="G2735" s="3">
        <v>479</v>
      </c>
      <c r="H2735" s="3">
        <v>29</v>
      </c>
      <c r="I2735" s="3">
        <v>551</v>
      </c>
      <c r="J2735" s="3">
        <v>358</v>
      </c>
      <c r="K2735" s="3">
        <v>1929</v>
      </c>
      <c r="L2735" s="3">
        <v>42</v>
      </c>
      <c r="M2735" s="3">
        <v>570</v>
      </c>
    </row>
    <row r="2736" spans="1:13" x14ac:dyDescent="0.25">
      <c r="A2736" s="1" t="str">
        <f>HYPERLINK("http://www.rosaceae.org/Prunus/Prunus_persica/p.persica_gdr_reftransV1_0016917","p.persica_gdr_reftransV1_0016917")</f>
        <v>p.persica_gdr_reftransV1_0016917</v>
      </c>
      <c r="B2736" s="3">
        <v>1115</v>
      </c>
      <c r="C2736" s="1" t="str">
        <f>HYPERLINK("http://www.uniprot.org/uniprot/IPO5_HUMAN","IPO5_HUMAN")</f>
        <v>IPO5_HUMAN</v>
      </c>
      <c r="D2736" t="s">
        <v>2574</v>
      </c>
      <c r="E2736" s="3" t="s">
        <v>28</v>
      </c>
      <c r="F2736" s="4">
        <v>5.4799999999999998E-17</v>
      </c>
      <c r="G2736" s="3">
        <v>212</v>
      </c>
      <c r="H2736" s="3">
        <v>31</v>
      </c>
      <c r="I2736" s="3">
        <v>296</v>
      </c>
      <c r="J2736" s="3">
        <v>32</v>
      </c>
      <c r="K2736" s="3">
        <v>907</v>
      </c>
      <c r="L2736" s="3">
        <v>11</v>
      </c>
      <c r="M2736" s="3">
        <v>296</v>
      </c>
    </row>
    <row r="2737" spans="1:13" x14ac:dyDescent="0.25">
      <c r="A2737" s="1" t="str">
        <f>HYPERLINK("http://www.rosaceae.org/Prunus/Prunus_persica/p.persica_gdr_reftransV1_0017067","p.persica_gdr_reftransV1_0017067")</f>
        <v>p.persica_gdr_reftransV1_0017067</v>
      </c>
      <c r="B2737" s="3">
        <v>1976</v>
      </c>
      <c r="C2737" s="1" t="str">
        <f>HYPERLINK("http://www.uniprot.org/uniprot/DGC14_MOUSE","DGC14_MOUSE")</f>
        <v>DGC14_MOUSE</v>
      </c>
      <c r="D2737" t="s">
        <v>2575</v>
      </c>
      <c r="E2737" s="3" t="s">
        <v>157</v>
      </c>
      <c r="F2737" s="4">
        <v>2.0699999999999998E-34</v>
      </c>
      <c r="G2737" s="3">
        <v>353</v>
      </c>
      <c r="H2737" s="3">
        <v>29</v>
      </c>
      <c r="I2737" s="3">
        <v>447</v>
      </c>
      <c r="J2737" s="3">
        <v>346</v>
      </c>
      <c r="K2737" s="3">
        <v>1641</v>
      </c>
      <c r="L2737" s="3">
        <v>40</v>
      </c>
      <c r="M2737" s="3">
        <v>437</v>
      </c>
    </row>
    <row r="2738" spans="1:13" x14ac:dyDescent="0.25">
      <c r="A2738" s="1" t="str">
        <f>HYPERLINK("http://www.rosaceae.org/Prunus/Prunus_persica/p.persica_gdr_reftransV1_0017117","p.persica_gdr_reftransV1_0017117")</f>
        <v>p.persica_gdr_reftransV1_0017117</v>
      </c>
      <c r="B2738" s="3">
        <v>2285</v>
      </c>
      <c r="C2738" s="1" t="str">
        <f>HYPERLINK("http://www.uniprot.org/uniprot/GPI8_DROME","GPI8_DROME")</f>
        <v>GPI8_DROME</v>
      </c>
      <c r="D2738" t="s">
        <v>2576</v>
      </c>
      <c r="E2738" s="3" t="s">
        <v>5</v>
      </c>
      <c r="F2738" s="4">
        <v>1.4300000000000001E-64</v>
      </c>
      <c r="G2738" s="3">
        <v>572</v>
      </c>
      <c r="H2738" s="3">
        <v>71</v>
      </c>
      <c r="I2738" s="3">
        <v>141</v>
      </c>
      <c r="J2738" s="3">
        <v>763</v>
      </c>
      <c r="K2738" s="3">
        <v>1185</v>
      </c>
      <c r="L2738" s="3">
        <v>56</v>
      </c>
      <c r="M2738" s="3">
        <v>196</v>
      </c>
    </row>
    <row r="2739" spans="1:13" x14ac:dyDescent="0.25">
      <c r="A2739" s="1" t="str">
        <f>HYPERLINK("http://www.rosaceae.org/Prunus/Prunus_persica/p.persica_gdr_reftransV1_0017167","p.persica_gdr_reftransV1_0017167")</f>
        <v>p.persica_gdr_reftransV1_0017167</v>
      </c>
      <c r="B2739" s="3">
        <v>3273</v>
      </c>
      <c r="C2739" s="1" t="str">
        <f>HYPERLINK("http://www.uniprot.org/uniprot/MSHA_XYLCX","MSHA_XYLCX")</f>
        <v>MSHA_XYLCX</v>
      </c>
      <c r="D2739" t="s">
        <v>2577</v>
      </c>
      <c r="E2739" s="3" t="s">
        <v>2578</v>
      </c>
      <c r="F2739" s="4">
        <v>3.6899999999999999E-13</v>
      </c>
      <c r="G2739" s="3">
        <v>187</v>
      </c>
      <c r="H2739" s="3">
        <v>26</v>
      </c>
      <c r="I2739" s="3">
        <v>347</v>
      </c>
      <c r="J2739" s="3">
        <v>1431</v>
      </c>
      <c r="K2739" s="3">
        <v>2378</v>
      </c>
      <c r="L2739" s="3">
        <v>22</v>
      </c>
      <c r="M2739" s="3">
        <v>345</v>
      </c>
    </row>
    <row r="2740" spans="1:13" x14ac:dyDescent="0.25">
      <c r="A2740" s="1" t="str">
        <f>HYPERLINK("http://www.rosaceae.org/Prunus/Prunus_persica/p.persica_gdr_reftransV1_0017467","p.persica_gdr_reftransV1_0017467")</f>
        <v>p.persica_gdr_reftransV1_0017467</v>
      </c>
      <c r="B2740" s="3">
        <v>2282</v>
      </c>
      <c r="C2740" s="1" t="str">
        <f>HYPERLINK("http://www.uniprot.org/uniprot/POLX_TOBAC","POLX_TOBAC")</f>
        <v>POLX_TOBAC</v>
      </c>
      <c r="D2740" t="s">
        <v>1253</v>
      </c>
      <c r="E2740" s="3" t="s">
        <v>200</v>
      </c>
      <c r="F2740" s="4">
        <v>5.0200000000000004E-91</v>
      </c>
      <c r="G2740" s="3">
        <v>484</v>
      </c>
      <c r="H2740" s="3">
        <v>46</v>
      </c>
      <c r="I2740" s="3">
        <v>235</v>
      </c>
      <c r="J2740" s="3">
        <v>1123</v>
      </c>
      <c r="K2740" s="3">
        <v>1815</v>
      </c>
      <c r="L2740" s="3">
        <v>805</v>
      </c>
      <c r="M2740" s="3">
        <v>1039</v>
      </c>
    </row>
    <row r="2741" spans="1:13" x14ac:dyDescent="0.25">
      <c r="A2741" s="1" t="str">
        <f>HYPERLINK("http://www.rosaceae.org/Prunus/Prunus_persica/p.persica_gdr_reftransV1_0017717","p.persica_gdr_reftransV1_0017717")</f>
        <v>p.persica_gdr_reftransV1_0017717</v>
      </c>
      <c r="B2741" s="3">
        <v>1286</v>
      </c>
      <c r="C2741" s="1" t="str">
        <f>HYPERLINK("http://www.uniprot.org/uniprot/BH030_ARATH","BH030_ARATH")</f>
        <v>BH030_ARATH</v>
      </c>
      <c r="D2741" t="s">
        <v>2098</v>
      </c>
      <c r="E2741" s="3" t="s">
        <v>3</v>
      </c>
      <c r="F2741" s="4">
        <v>7.4799999999999998E-88</v>
      </c>
      <c r="G2741" s="3">
        <v>711</v>
      </c>
      <c r="H2741" s="3">
        <v>70</v>
      </c>
      <c r="I2741" s="3">
        <v>266</v>
      </c>
      <c r="J2741" s="3">
        <v>226</v>
      </c>
      <c r="K2741" s="3">
        <v>984</v>
      </c>
      <c r="L2741" s="3">
        <v>99</v>
      </c>
      <c r="M2741" s="3">
        <v>349</v>
      </c>
    </row>
    <row r="2742" spans="1:13" x14ac:dyDescent="0.25">
      <c r="A2742" s="1" t="str">
        <f>HYPERLINK("http://www.rosaceae.org/Prunus/Prunus_persica/p.persica_gdr_reftransV1_0017817","p.persica_gdr_reftransV1_0017817")</f>
        <v>p.persica_gdr_reftransV1_0017817</v>
      </c>
      <c r="B2742" s="3">
        <v>1781</v>
      </c>
      <c r="C2742" s="1" t="str">
        <f>HYPERLINK("http://www.uniprot.org/uniprot/OCT2_ARATH","OCT2_ARATH")</f>
        <v>OCT2_ARATH</v>
      </c>
      <c r="D2742" t="s">
        <v>2579</v>
      </c>
      <c r="E2742" s="3" t="s">
        <v>3</v>
      </c>
      <c r="F2742" s="4">
        <v>1.56E-165</v>
      </c>
      <c r="G2742" s="3">
        <v>1260</v>
      </c>
      <c r="H2742" s="3">
        <v>51</v>
      </c>
      <c r="I2742" s="3">
        <v>500</v>
      </c>
      <c r="J2742" s="3">
        <v>241</v>
      </c>
      <c r="K2742" s="3">
        <v>1719</v>
      </c>
      <c r="L2742" s="3">
        <v>19</v>
      </c>
      <c r="M2742" s="3">
        <v>515</v>
      </c>
    </row>
    <row r="2743" spans="1:13" x14ac:dyDescent="0.25">
      <c r="A2743" s="1" t="str">
        <f>HYPERLINK("http://www.rosaceae.org/Prunus/Prunus_persica/p.persica_gdr_reftransV1_0017867","p.persica_gdr_reftransV1_0017867")</f>
        <v>p.persica_gdr_reftransV1_0017867</v>
      </c>
      <c r="B2743" s="3">
        <v>3308</v>
      </c>
      <c r="C2743" s="1" t="str">
        <f>HYPERLINK("http://www.uniprot.org/uniprot/SART3_DANRE","SART3_DANRE")</f>
        <v>SART3_DANRE</v>
      </c>
      <c r="D2743" t="s">
        <v>2580</v>
      </c>
      <c r="E2743" s="3" t="s">
        <v>704</v>
      </c>
      <c r="F2743" s="4">
        <v>7.9200000000000003E-88</v>
      </c>
      <c r="G2743" s="3">
        <v>793</v>
      </c>
      <c r="H2743" s="3">
        <v>31</v>
      </c>
      <c r="I2743" s="3">
        <v>735</v>
      </c>
      <c r="J2743" s="3">
        <v>868</v>
      </c>
      <c r="K2743" s="3">
        <v>2913</v>
      </c>
      <c r="L2743" s="3">
        <v>59</v>
      </c>
      <c r="M2743" s="3">
        <v>762</v>
      </c>
    </row>
    <row r="2744" spans="1:13" x14ac:dyDescent="0.25">
      <c r="A2744" s="1" t="str">
        <f>HYPERLINK("http://www.rosaceae.org/Prunus/Prunus_persica/p.persica_gdr_reftransV1_0017967","p.persica_gdr_reftransV1_0017967")</f>
        <v>p.persica_gdr_reftransV1_0017967</v>
      </c>
      <c r="B2744" s="3">
        <v>1331</v>
      </c>
      <c r="C2744" s="1" t="str">
        <f>HYPERLINK("http://www.uniprot.org/uniprot/NEP1_MOUSE","NEP1_MOUSE")</f>
        <v>NEP1_MOUSE</v>
      </c>
      <c r="D2744" t="s">
        <v>2581</v>
      </c>
      <c r="E2744" s="3" t="s">
        <v>157</v>
      </c>
      <c r="F2744" s="4">
        <v>3.2099999999999999E-66</v>
      </c>
      <c r="G2744" s="3">
        <v>556</v>
      </c>
      <c r="H2744" s="3">
        <v>53</v>
      </c>
      <c r="I2744" s="3">
        <v>202</v>
      </c>
      <c r="J2744" s="3">
        <v>331</v>
      </c>
      <c r="K2744" s="3">
        <v>936</v>
      </c>
      <c r="L2744" s="3">
        <v>44</v>
      </c>
      <c r="M2744" s="3">
        <v>241</v>
      </c>
    </row>
    <row r="2745" spans="1:13" x14ac:dyDescent="0.25">
      <c r="A2745" s="1" t="str">
        <f>HYPERLINK("http://www.rosaceae.org/Prunus/Prunus_persica/p.persica_gdr_reftransV1_0018017","p.persica_gdr_reftransV1_0018017")</f>
        <v>p.persica_gdr_reftransV1_0018017</v>
      </c>
      <c r="B2745" s="3">
        <v>2177</v>
      </c>
      <c r="C2745" s="1" t="str">
        <f>HYPERLINK("http://www.uniprot.org/uniprot/RH17_ARATH","RH17_ARATH")</f>
        <v>RH17_ARATH</v>
      </c>
      <c r="D2745" t="s">
        <v>2582</v>
      </c>
      <c r="E2745" s="3" t="s">
        <v>3</v>
      </c>
      <c r="F2745" s="4">
        <v>0</v>
      </c>
      <c r="G2745" s="3">
        <v>2034</v>
      </c>
      <c r="H2745" s="3">
        <v>67</v>
      </c>
      <c r="I2745" s="3">
        <v>586</v>
      </c>
      <c r="J2745" s="3">
        <v>410</v>
      </c>
      <c r="K2745" s="3">
        <v>2149</v>
      </c>
      <c r="L2745" s="3">
        <v>2</v>
      </c>
      <c r="M2745" s="3">
        <v>585</v>
      </c>
    </row>
    <row r="2746" spans="1:13" x14ac:dyDescent="0.25">
      <c r="A2746" s="1" t="str">
        <f>HYPERLINK("http://www.rosaceae.org/Prunus/Prunus_persica/p.persica_gdr_reftransV1_0018567","p.persica_gdr_reftransV1_0018567")</f>
        <v>p.persica_gdr_reftransV1_0018567</v>
      </c>
      <c r="B2746" s="3">
        <v>1283</v>
      </c>
      <c r="C2746" s="1" t="str">
        <f>HYPERLINK("http://www.uniprot.org/uniprot/KC1D_ARATH","KC1D_ARATH")</f>
        <v>KC1D_ARATH</v>
      </c>
      <c r="D2746" t="s">
        <v>109</v>
      </c>
      <c r="E2746" s="3" t="s">
        <v>3</v>
      </c>
      <c r="F2746" s="4">
        <v>3.4100000000000001E-73</v>
      </c>
      <c r="G2746" s="3">
        <v>619</v>
      </c>
      <c r="H2746" s="3">
        <v>68</v>
      </c>
      <c r="I2746" s="3">
        <v>178</v>
      </c>
      <c r="J2746" s="3">
        <v>778</v>
      </c>
      <c r="K2746" s="3">
        <v>1281</v>
      </c>
      <c r="L2746" s="3">
        <v>173</v>
      </c>
      <c r="M2746" s="3">
        <v>350</v>
      </c>
    </row>
    <row r="2747" spans="1:13" x14ac:dyDescent="0.25">
      <c r="A2747" s="1" t="str">
        <f>HYPERLINK("http://www.rosaceae.org/Prunus/Prunus_persica/p.persica_gdr_reftransV1_0018617","p.persica_gdr_reftransV1_0018617")</f>
        <v>p.persica_gdr_reftransV1_0018617</v>
      </c>
      <c r="B2747" s="3">
        <v>1937</v>
      </c>
      <c r="C2747" s="1" t="str">
        <f>HYPERLINK("http://www.uniprot.org/uniprot/EXOS6_DANRE","EXOS6_DANRE")</f>
        <v>EXOS6_DANRE</v>
      </c>
      <c r="D2747" t="s">
        <v>2583</v>
      </c>
      <c r="E2747" s="3" t="s">
        <v>704</v>
      </c>
      <c r="F2747" s="4">
        <v>2.3899999999999999E-22</v>
      </c>
      <c r="G2747" s="3">
        <v>252</v>
      </c>
      <c r="H2747" s="3">
        <v>38</v>
      </c>
      <c r="I2747" s="3">
        <v>168</v>
      </c>
      <c r="J2747" s="3">
        <v>1321</v>
      </c>
      <c r="K2747" s="3">
        <v>1812</v>
      </c>
      <c r="L2747" s="3">
        <v>26</v>
      </c>
      <c r="M2747" s="3">
        <v>180</v>
      </c>
    </row>
    <row r="2748" spans="1:13" x14ac:dyDescent="0.25">
      <c r="A2748" s="1" t="str">
        <f>HYPERLINK("http://www.rosaceae.org/Prunus/Prunus_persica/p.persica_gdr_reftransV1_0018967","p.persica_gdr_reftransV1_0018967")</f>
        <v>p.persica_gdr_reftransV1_0018967</v>
      </c>
      <c r="B2748" s="3">
        <v>1317</v>
      </c>
      <c r="C2748" s="1" t="str">
        <f>HYPERLINK("http://www.uniprot.org/uniprot/MD10B_ARATH","MD10B_ARATH")</f>
        <v>MD10B_ARATH</v>
      </c>
      <c r="D2748" t="s">
        <v>2584</v>
      </c>
      <c r="E2748" s="3" t="s">
        <v>3</v>
      </c>
      <c r="F2748" s="4">
        <v>3.3700000000000001E-80</v>
      </c>
      <c r="G2748" s="3">
        <v>644</v>
      </c>
      <c r="H2748" s="3">
        <v>72</v>
      </c>
      <c r="I2748" s="3">
        <v>168</v>
      </c>
      <c r="J2748" s="3">
        <v>656</v>
      </c>
      <c r="K2748" s="3">
        <v>1153</v>
      </c>
      <c r="L2748" s="3">
        <v>1</v>
      </c>
      <c r="M2748" s="3">
        <v>168</v>
      </c>
    </row>
    <row r="2749" spans="1:13" x14ac:dyDescent="0.25">
      <c r="A2749" s="1" t="str">
        <f>HYPERLINK("http://www.rosaceae.org/Prunus/Prunus_persica/p.persica_gdr_reftransV1_0019217","p.persica_gdr_reftransV1_0019217")</f>
        <v>p.persica_gdr_reftransV1_0019217</v>
      </c>
      <c r="B2749" s="3">
        <v>1377</v>
      </c>
      <c r="C2749" s="1" t="str">
        <f>HYPERLINK("http://www.uniprot.org/uniprot/AAPC_CENCI","AAPC_CENCI")</f>
        <v>AAPC_CENCI</v>
      </c>
      <c r="D2749" t="s">
        <v>2585</v>
      </c>
      <c r="E2749" s="3" t="s">
        <v>2586</v>
      </c>
      <c r="F2749" s="4">
        <v>3.3699999999999998E-139</v>
      </c>
      <c r="G2749" s="3">
        <v>1053</v>
      </c>
      <c r="H2749" s="3">
        <v>67</v>
      </c>
      <c r="I2749" s="3">
        <v>293</v>
      </c>
      <c r="J2749" s="3">
        <v>382</v>
      </c>
      <c r="K2749" s="3">
        <v>1251</v>
      </c>
      <c r="L2749" s="3">
        <v>24</v>
      </c>
      <c r="M2749" s="3">
        <v>315</v>
      </c>
    </row>
    <row r="2750" spans="1:13" x14ac:dyDescent="0.25">
      <c r="A2750" s="1" t="str">
        <f>HYPERLINK("http://www.rosaceae.org/Prunus/Prunus_persica/p.persica_gdr_reftransV1_0019317","p.persica_gdr_reftransV1_0019317")</f>
        <v>p.persica_gdr_reftransV1_0019317</v>
      </c>
      <c r="B2750" s="3">
        <v>2751</v>
      </c>
      <c r="C2750" s="1" t="str">
        <f>HYPERLINK("http://www.uniprot.org/uniprot/MAD1_ARATH","MAD1_ARATH")</f>
        <v>MAD1_ARATH</v>
      </c>
      <c r="D2750" t="s">
        <v>2587</v>
      </c>
      <c r="E2750" s="3" t="s">
        <v>3</v>
      </c>
      <c r="F2750" s="4">
        <v>0</v>
      </c>
      <c r="G2750" s="3">
        <v>2171</v>
      </c>
      <c r="H2750" s="3">
        <v>67</v>
      </c>
      <c r="I2750" s="3">
        <v>725</v>
      </c>
      <c r="J2750" s="3">
        <v>212</v>
      </c>
      <c r="K2750" s="3">
        <v>2359</v>
      </c>
      <c r="L2750" s="3">
        <v>1</v>
      </c>
      <c r="M2750" s="3">
        <v>725</v>
      </c>
    </row>
    <row r="2751" spans="1:13" x14ac:dyDescent="0.25">
      <c r="A2751" s="1" t="str">
        <f>HYPERLINK("http://www.rosaceae.org/Prunus/Prunus_persica/p.persica_gdr_reftransV1_0019417","p.persica_gdr_reftransV1_0019417")</f>
        <v>p.persica_gdr_reftransV1_0019417</v>
      </c>
      <c r="B2751" s="3">
        <v>2473</v>
      </c>
      <c r="C2751" s="1" t="str">
        <f>HYPERLINK("http://www.uniprot.org/uniprot/ILVD_ARATH","ILVD_ARATH")</f>
        <v>ILVD_ARATH</v>
      </c>
      <c r="D2751" t="s">
        <v>2588</v>
      </c>
      <c r="E2751" s="3" t="s">
        <v>3</v>
      </c>
      <c r="F2751" s="4">
        <v>0</v>
      </c>
      <c r="G2751" s="3">
        <v>2535</v>
      </c>
      <c r="H2751" s="3">
        <v>82</v>
      </c>
      <c r="I2751" s="3">
        <v>614</v>
      </c>
      <c r="J2751" s="3">
        <v>485</v>
      </c>
      <c r="K2751" s="3">
        <v>2293</v>
      </c>
      <c r="L2751" s="3">
        <v>3</v>
      </c>
      <c r="M2751" s="3">
        <v>608</v>
      </c>
    </row>
    <row r="2752" spans="1:13" x14ac:dyDescent="0.25">
      <c r="A2752" s="1" t="str">
        <f>HYPERLINK("http://www.rosaceae.org/Prunus/Prunus_persica/p.persica_gdr_reftransV1_0019867","p.persica_gdr_reftransV1_0019867")</f>
        <v>p.persica_gdr_reftransV1_0019867</v>
      </c>
      <c r="B2752" s="3">
        <v>856</v>
      </c>
      <c r="C2752" s="1" t="str">
        <f>HYPERLINK("http://www.uniprot.org/uniprot/PBP1_ARATH","PBP1_ARATH")</f>
        <v>PBP1_ARATH</v>
      </c>
      <c r="D2752" t="s">
        <v>1929</v>
      </c>
      <c r="E2752" s="3" t="s">
        <v>3</v>
      </c>
      <c r="F2752" s="4">
        <v>4.3400000000000001E-34</v>
      </c>
      <c r="G2752" s="3">
        <v>316</v>
      </c>
      <c r="H2752" s="3">
        <v>62</v>
      </c>
      <c r="I2752" s="3">
        <v>117</v>
      </c>
      <c r="J2752" s="3">
        <v>209</v>
      </c>
      <c r="K2752" s="3">
        <v>556</v>
      </c>
      <c r="L2752" s="3">
        <v>8</v>
      </c>
      <c r="M2752" s="3">
        <v>124</v>
      </c>
    </row>
    <row r="2753" spans="1:13" x14ac:dyDescent="0.25">
      <c r="A2753" s="1" t="str">
        <f>HYPERLINK("http://www.rosaceae.org/Prunus/Prunus_persica/p.persica_gdr_reftransV1_0020067","p.persica_gdr_reftransV1_0020067")</f>
        <v>p.persica_gdr_reftransV1_0020067</v>
      </c>
      <c r="B2753" s="3">
        <v>2006</v>
      </c>
      <c r="C2753" s="1" t="str">
        <f>HYPERLINK("http://www.uniprot.org/uniprot/CHIT2_TULBA","CHIT2_TULBA")</f>
        <v>CHIT2_TULBA</v>
      </c>
      <c r="D2753" t="s">
        <v>2589</v>
      </c>
      <c r="E2753" s="3" t="s">
        <v>2590</v>
      </c>
      <c r="F2753" s="4">
        <v>2.2999999999999999E-125</v>
      </c>
      <c r="G2753" s="3">
        <v>974</v>
      </c>
      <c r="H2753" s="3">
        <v>68</v>
      </c>
      <c r="I2753" s="3">
        <v>274</v>
      </c>
      <c r="J2753" s="3">
        <v>663</v>
      </c>
      <c r="K2753" s="3">
        <v>1472</v>
      </c>
      <c r="L2753" s="3">
        <v>2</v>
      </c>
      <c r="M2753" s="3">
        <v>275</v>
      </c>
    </row>
    <row r="2754" spans="1:13" x14ac:dyDescent="0.25">
      <c r="A2754" s="1" t="str">
        <f>HYPERLINK("http://www.rosaceae.org/Prunus/Prunus_persica/p.persica_gdr_reftransV1_0020167","p.persica_gdr_reftransV1_0020167")</f>
        <v>p.persica_gdr_reftransV1_0020167</v>
      </c>
      <c r="B2754" s="3">
        <v>2430</v>
      </c>
      <c r="C2754" s="1" t="str">
        <f>HYPERLINK("http://www.uniprot.org/uniprot/Y2048_ARATH","Y2048_ARATH")</f>
        <v>Y2048_ARATH</v>
      </c>
      <c r="D2754" t="s">
        <v>2591</v>
      </c>
      <c r="E2754" s="3" t="s">
        <v>3</v>
      </c>
      <c r="F2754" s="4">
        <v>2.14E-121</v>
      </c>
      <c r="G2754" s="3">
        <v>982</v>
      </c>
      <c r="H2754" s="3">
        <v>48</v>
      </c>
      <c r="I2754" s="3">
        <v>579</v>
      </c>
      <c r="J2754" s="3">
        <v>237</v>
      </c>
      <c r="K2754" s="3">
        <v>1949</v>
      </c>
      <c r="L2754" s="3">
        <v>13</v>
      </c>
      <c r="M2754" s="3">
        <v>504</v>
      </c>
    </row>
    <row r="2755" spans="1:13" x14ac:dyDescent="0.25">
      <c r="A2755" s="1" t="str">
        <f>HYPERLINK("http://www.rosaceae.org/Prunus/Prunus_persica/p.persica_gdr_reftransV1_0020267","p.persica_gdr_reftransV1_0020267")</f>
        <v>p.persica_gdr_reftransV1_0020267</v>
      </c>
      <c r="B2755" s="3">
        <v>3420</v>
      </c>
      <c r="C2755" s="1" t="str">
        <f>HYPERLINK("http://www.uniprot.org/uniprot/BRE1B_ARATH","BRE1B_ARATH")</f>
        <v>BRE1B_ARATH</v>
      </c>
      <c r="D2755" t="s">
        <v>2592</v>
      </c>
      <c r="E2755" s="3" t="s">
        <v>3</v>
      </c>
      <c r="F2755" s="4">
        <v>0</v>
      </c>
      <c r="G2755" s="3">
        <v>2394</v>
      </c>
      <c r="H2755" s="3">
        <v>59</v>
      </c>
      <c r="I2755" s="3">
        <v>858</v>
      </c>
      <c r="J2755" s="3">
        <v>424</v>
      </c>
      <c r="K2755" s="3">
        <v>2991</v>
      </c>
      <c r="L2755" s="3">
        <v>42</v>
      </c>
      <c r="M2755" s="3">
        <v>896</v>
      </c>
    </row>
    <row r="2756" spans="1:13" x14ac:dyDescent="0.25">
      <c r="A2756" s="1" t="str">
        <f>HYPERLINK("http://www.rosaceae.org/Prunus/Prunus_persica/p.persica_gdr_reftransV1_0020467","p.persica_gdr_reftransV1_0020467")</f>
        <v>p.persica_gdr_reftransV1_0020467</v>
      </c>
      <c r="B2756" s="3">
        <v>2239</v>
      </c>
      <c r="C2756" s="1" t="str">
        <f>HYPERLINK("http://www.uniprot.org/uniprot/PHL1_ARATH","PHL1_ARATH")</f>
        <v>PHL1_ARATH</v>
      </c>
      <c r="D2756" t="s">
        <v>2239</v>
      </c>
      <c r="E2756" s="3" t="s">
        <v>3</v>
      </c>
      <c r="F2756" s="4">
        <v>2.5800000000000001E-61</v>
      </c>
      <c r="G2756" s="3">
        <v>553</v>
      </c>
      <c r="H2756" s="3">
        <v>76</v>
      </c>
      <c r="I2756" s="3">
        <v>144</v>
      </c>
      <c r="J2756" s="3">
        <v>1267</v>
      </c>
      <c r="K2756" s="3">
        <v>1689</v>
      </c>
      <c r="L2756" s="3">
        <v>233</v>
      </c>
      <c r="M2756" s="3">
        <v>374</v>
      </c>
    </row>
    <row r="2757" spans="1:13" x14ac:dyDescent="0.25">
      <c r="A2757" s="1" t="str">
        <f>HYPERLINK("http://www.rosaceae.org/Prunus/Prunus_persica/p.persica_gdr_reftransV1_0020767","p.persica_gdr_reftransV1_0020767")</f>
        <v>p.persica_gdr_reftransV1_0020767</v>
      </c>
      <c r="B2757" s="3">
        <v>850</v>
      </c>
      <c r="C2757" s="1" t="str">
        <f>HYPERLINK("http://www.uniprot.org/uniprot/ERF34_ARATH","ERF34_ARATH")</f>
        <v>ERF34_ARATH</v>
      </c>
      <c r="D2757" t="s">
        <v>2593</v>
      </c>
      <c r="E2757" s="3" t="s">
        <v>3</v>
      </c>
      <c r="F2757" s="4">
        <v>4.5499999999999998E-54</v>
      </c>
      <c r="G2757" s="3">
        <v>465</v>
      </c>
      <c r="H2757" s="3">
        <v>57</v>
      </c>
      <c r="I2757" s="3">
        <v>197</v>
      </c>
      <c r="J2757" s="3">
        <v>109</v>
      </c>
      <c r="K2757" s="3">
        <v>669</v>
      </c>
      <c r="L2757" s="3">
        <v>96</v>
      </c>
      <c r="M2757" s="3">
        <v>292</v>
      </c>
    </row>
    <row r="2758" spans="1:13" x14ac:dyDescent="0.25">
      <c r="A2758" s="1" t="str">
        <f>HYPERLINK("http://www.rosaceae.org/Prunus/Prunus_persica/p.persica_gdr_reftransV1_0020967","p.persica_gdr_reftransV1_0020967")</f>
        <v>p.persica_gdr_reftransV1_0020967</v>
      </c>
      <c r="B2758" s="3">
        <v>1068</v>
      </c>
      <c r="C2758" s="1" t="str">
        <f>HYPERLINK("http://www.uniprot.org/uniprot/ARMC7_MOUSE","ARMC7_MOUSE")</f>
        <v>ARMC7_MOUSE</v>
      </c>
      <c r="D2758" t="s">
        <v>2594</v>
      </c>
      <c r="E2758" s="3" t="s">
        <v>157</v>
      </c>
      <c r="F2758" s="4">
        <v>5.1799999999999996E-28</v>
      </c>
      <c r="G2758" s="3">
        <v>282</v>
      </c>
      <c r="H2758" s="3">
        <v>58</v>
      </c>
      <c r="I2758" s="3">
        <v>85</v>
      </c>
      <c r="J2758" s="3">
        <v>2</v>
      </c>
      <c r="K2758" s="3">
        <v>256</v>
      </c>
      <c r="L2758" s="3">
        <v>31</v>
      </c>
      <c r="M2758" s="3">
        <v>115</v>
      </c>
    </row>
    <row r="2759" spans="1:13" x14ac:dyDescent="0.25">
      <c r="A2759" s="1" t="str">
        <f>HYPERLINK("http://www.rosaceae.org/Prunus/Prunus_persica/p.persica_gdr_reftransV1_0021117","p.persica_gdr_reftransV1_0021117")</f>
        <v>p.persica_gdr_reftransV1_0021117</v>
      </c>
      <c r="B2759" s="3">
        <v>797</v>
      </c>
      <c r="C2759" s="1" t="str">
        <f>HYPERLINK("http://www.uniprot.org/uniprot/OTU_ARATH","OTU_ARATH")</f>
        <v>OTU_ARATH</v>
      </c>
      <c r="D2759" t="s">
        <v>2595</v>
      </c>
      <c r="E2759" s="3" t="s">
        <v>3</v>
      </c>
      <c r="F2759" s="4">
        <v>1.6299999999999999E-7</v>
      </c>
      <c r="G2759" s="3">
        <v>131</v>
      </c>
      <c r="H2759" s="3">
        <v>33</v>
      </c>
      <c r="I2759" s="3">
        <v>97</v>
      </c>
      <c r="J2759" s="3">
        <v>240</v>
      </c>
      <c r="K2759" s="3">
        <v>524</v>
      </c>
      <c r="L2759" s="3">
        <v>168</v>
      </c>
      <c r="M2759" s="3">
        <v>255</v>
      </c>
    </row>
    <row r="2760" spans="1:13" x14ac:dyDescent="0.25">
      <c r="A2760" s="1" t="str">
        <f>HYPERLINK("http://www.rosaceae.org/Prunus/Prunus_persica/p.persica_gdr_reftransV1_0021367","p.persica_gdr_reftransV1_0021367")</f>
        <v>p.persica_gdr_reftransV1_0021367</v>
      </c>
      <c r="B2760" s="3">
        <v>2063</v>
      </c>
      <c r="C2760" s="1" t="str">
        <f>HYPERLINK("http://www.uniprot.org/uniprot/PDI_DATGL","PDI_DATGL")</f>
        <v>PDI_DATGL</v>
      </c>
      <c r="D2760" t="s">
        <v>2596</v>
      </c>
      <c r="E2760" s="3" t="s">
        <v>2597</v>
      </c>
      <c r="F2760" s="4">
        <v>0</v>
      </c>
      <c r="G2760" s="3">
        <v>1821</v>
      </c>
      <c r="H2760" s="3">
        <v>79</v>
      </c>
      <c r="I2760" s="3">
        <v>478</v>
      </c>
      <c r="J2760" s="3">
        <v>493</v>
      </c>
      <c r="K2760" s="3">
        <v>1923</v>
      </c>
      <c r="L2760" s="3">
        <v>24</v>
      </c>
      <c r="M2760" s="3">
        <v>500</v>
      </c>
    </row>
    <row r="2761" spans="1:13" x14ac:dyDescent="0.25">
      <c r="A2761" s="1" t="str">
        <f>HYPERLINK("http://www.rosaceae.org/Prunus/Prunus_persica/p.persica_gdr_reftransV1_0021467","p.persica_gdr_reftransV1_0021467")</f>
        <v>p.persica_gdr_reftransV1_0021467</v>
      </c>
      <c r="B2761" s="3">
        <v>1274</v>
      </c>
      <c r="C2761" s="1" t="str">
        <f>HYPERLINK("http://www.uniprot.org/uniprot/FAD4_ARATH","FAD4_ARATH")</f>
        <v>FAD4_ARATH</v>
      </c>
      <c r="D2761" t="s">
        <v>2598</v>
      </c>
      <c r="E2761" s="3" t="s">
        <v>3</v>
      </c>
      <c r="F2761" s="4">
        <v>1.5699999999999999E-110</v>
      </c>
      <c r="G2761" s="3">
        <v>858</v>
      </c>
      <c r="H2761" s="3">
        <v>71</v>
      </c>
      <c r="I2761" s="3">
        <v>213</v>
      </c>
      <c r="J2761" s="3">
        <v>378</v>
      </c>
      <c r="K2761" s="3">
        <v>1016</v>
      </c>
      <c r="L2761" s="3">
        <v>88</v>
      </c>
      <c r="M2761" s="3">
        <v>300</v>
      </c>
    </row>
    <row r="2762" spans="1:13" x14ac:dyDescent="0.25">
      <c r="A2762" s="1" t="str">
        <f>HYPERLINK("http://www.rosaceae.org/Prunus/Prunus_persica/p.persica_gdr_reftransV1_0021567","p.persica_gdr_reftransV1_0021567")</f>
        <v>p.persica_gdr_reftransV1_0021567</v>
      </c>
      <c r="B2762" s="3">
        <v>1039</v>
      </c>
      <c r="C2762" s="1" t="str">
        <f>HYPERLINK("http://www.uniprot.org/uniprot/AOC4_ARATH","AOC4_ARATH")</f>
        <v>AOC4_ARATH</v>
      </c>
      <c r="D2762" t="s">
        <v>2599</v>
      </c>
      <c r="E2762" s="3" t="s">
        <v>3</v>
      </c>
      <c r="F2762" s="4">
        <v>2.5300000000000001E-77</v>
      </c>
      <c r="G2762" s="3">
        <v>623</v>
      </c>
      <c r="H2762" s="3">
        <v>70</v>
      </c>
      <c r="I2762" s="3">
        <v>188</v>
      </c>
      <c r="J2762" s="3">
        <v>256</v>
      </c>
      <c r="K2762" s="3">
        <v>801</v>
      </c>
      <c r="L2762" s="3">
        <v>68</v>
      </c>
      <c r="M2762" s="3">
        <v>254</v>
      </c>
    </row>
    <row r="2763" spans="1:13" x14ac:dyDescent="0.25">
      <c r="A2763" s="1" t="str">
        <f>HYPERLINK("http://www.rosaceae.org/Prunus/Prunus_persica/p.persica_gdr_reftransV1_0022117","p.persica_gdr_reftransV1_0022117")</f>
        <v>p.persica_gdr_reftransV1_0022117</v>
      </c>
      <c r="B2763" s="3">
        <v>8949</v>
      </c>
      <c r="C2763" s="1" t="str">
        <f>HYPERLINK("http://www.uniprot.org/uniprot/TAF1_ARATH","TAF1_ARATH")</f>
        <v>TAF1_ARATH</v>
      </c>
      <c r="D2763" t="s">
        <v>2600</v>
      </c>
      <c r="E2763" s="3" t="s">
        <v>3</v>
      </c>
      <c r="F2763" s="4">
        <v>0</v>
      </c>
      <c r="G2763" s="3">
        <v>3705</v>
      </c>
      <c r="H2763" s="3">
        <v>52</v>
      </c>
      <c r="I2763" s="3">
        <v>1666</v>
      </c>
      <c r="J2763" s="3">
        <v>2054</v>
      </c>
      <c r="K2763" s="3">
        <v>6874</v>
      </c>
      <c r="L2763" s="3">
        <v>30</v>
      </c>
      <c r="M2763" s="3">
        <v>1664</v>
      </c>
    </row>
    <row r="2764" spans="1:13" x14ac:dyDescent="0.25">
      <c r="A2764" s="1" t="str">
        <f>HYPERLINK("http://www.rosaceae.org/Prunus/Prunus_persica/p.persica_gdr_reftransV1_0022167","p.persica_gdr_reftransV1_0022167")</f>
        <v>p.persica_gdr_reftransV1_0022167</v>
      </c>
      <c r="B2764" s="3">
        <v>2048</v>
      </c>
      <c r="C2764" s="1" t="str">
        <f>HYPERLINK("http://www.uniprot.org/uniprot/SCKL2_ARATH","SCKL2_ARATH")</f>
        <v>SCKL2_ARATH</v>
      </c>
      <c r="D2764" t="s">
        <v>2601</v>
      </c>
      <c r="E2764" s="3" t="s">
        <v>3</v>
      </c>
      <c r="F2764" s="4">
        <v>0</v>
      </c>
      <c r="G2764" s="3">
        <v>1603</v>
      </c>
      <c r="H2764" s="3">
        <v>76</v>
      </c>
      <c r="I2764" s="3">
        <v>381</v>
      </c>
      <c r="J2764" s="3">
        <v>657</v>
      </c>
      <c r="K2764" s="3">
        <v>1772</v>
      </c>
      <c r="L2764" s="3">
        <v>198</v>
      </c>
      <c r="M2764" s="3">
        <v>578</v>
      </c>
    </row>
    <row r="2765" spans="1:13" x14ac:dyDescent="0.25">
      <c r="A2765" s="1" t="str">
        <f>HYPERLINK("http://www.rosaceae.org/Prunus/Prunus_persica/p.persica_gdr_reftransV1_0022317","p.persica_gdr_reftransV1_0022317")</f>
        <v>p.persica_gdr_reftransV1_0022317</v>
      </c>
      <c r="B2765" s="3">
        <v>2603</v>
      </c>
      <c r="C2765" s="1" t="str">
        <f>HYPERLINK("http://www.uniprot.org/uniprot/SNF12_ARATH","SNF12_ARATH")</f>
        <v>SNF12_ARATH</v>
      </c>
      <c r="D2765" t="s">
        <v>2602</v>
      </c>
      <c r="E2765" s="3" t="s">
        <v>3</v>
      </c>
      <c r="F2765" s="4">
        <v>0</v>
      </c>
      <c r="G2765" s="3">
        <v>1817</v>
      </c>
      <c r="H2765" s="3">
        <v>82</v>
      </c>
      <c r="I2765" s="3">
        <v>424</v>
      </c>
      <c r="J2765" s="3">
        <v>401</v>
      </c>
      <c r="K2765" s="3">
        <v>1669</v>
      </c>
      <c r="L2765" s="3">
        <v>88</v>
      </c>
      <c r="M2765" s="3">
        <v>511</v>
      </c>
    </row>
    <row r="2766" spans="1:13" x14ac:dyDescent="0.25">
      <c r="A2766" s="1" t="str">
        <f>HYPERLINK("http://www.rosaceae.org/Prunus/Prunus_persica/p.persica_gdr_reftransV1_0022367","p.persica_gdr_reftransV1_0022367")</f>
        <v>p.persica_gdr_reftransV1_0022367</v>
      </c>
      <c r="B2766" s="3">
        <v>2186</v>
      </c>
      <c r="C2766" s="1" t="str">
        <f>HYPERLINK("http://www.uniprot.org/uniprot/SYRM_ARATH","SYRM_ARATH")</f>
        <v>SYRM_ARATH</v>
      </c>
      <c r="D2766" t="s">
        <v>2603</v>
      </c>
      <c r="E2766" s="3" t="s">
        <v>3</v>
      </c>
      <c r="F2766" s="4">
        <v>0</v>
      </c>
      <c r="G2766" s="3">
        <v>2539</v>
      </c>
      <c r="H2766" s="3">
        <v>79</v>
      </c>
      <c r="I2766" s="3">
        <v>591</v>
      </c>
      <c r="J2766" s="3">
        <v>150</v>
      </c>
      <c r="K2766" s="3">
        <v>1919</v>
      </c>
      <c r="L2766" s="3">
        <v>53</v>
      </c>
      <c r="M2766" s="3">
        <v>642</v>
      </c>
    </row>
    <row r="2767" spans="1:13" x14ac:dyDescent="0.25">
      <c r="A2767" s="1" t="str">
        <f>HYPERLINK("http://www.rosaceae.org/Prunus/Prunus_persica/p.persica_gdr_reftransV1_0022417","p.persica_gdr_reftransV1_0022417")</f>
        <v>p.persica_gdr_reftransV1_0022417</v>
      </c>
      <c r="B2767" s="3">
        <v>2236</v>
      </c>
      <c r="C2767" s="1" t="str">
        <f>HYPERLINK("http://www.uniprot.org/uniprot/Y1154_ARATH","Y1154_ARATH")</f>
        <v>Y1154_ARATH</v>
      </c>
      <c r="D2767" t="s">
        <v>2604</v>
      </c>
      <c r="E2767" s="3" t="s">
        <v>3</v>
      </c>
      <c r="F2767" s="4">
        <v>6.9400000000000001E-121</v>
      </c>
      <c r="G2767" s="3">
        <v>969</v>
      </c>
      <c r="H2767" s="3">
        <v>74</v>
      </c>
      <c r="I2767" s="3">
        <v>256</v>
      </c>
      <c r="J2767" s="3">
        <v>316</v>
      </c>
      <c r="K2767" s="3">
        <v>1083</v>
      </c>
      <c r="L2767" s="3">
        <v>222</v>
      </c>
      <c r="M2767" s="3">
        <v>472</v>
      </c>
    </row>
    <row r="2768" spans="1:13" x14ac:dyDescent="0.25">
      <c r="A2768" s="1" t="str">
        <f>HYPERLINK("http://www.rosaceae.org/Prunus/Prunus_persica/p.persica_gdr_reftransV1_0022617","p.persica_gdr_reftransV1_0022617")</f>
        <v>p.persica_gdr_reftransV1_0022617</v>
      </c>
      <c r="B2768" s="3">
        <v>1151</v>
      </c>
      <c r="C2768" s="1" t="str">
        <f>HYPERLINK("http://www.uniprot.org/uniprot/MCFJ_DICDI","MCFJ_DICDI")</f>
        <v>MCFJ_DICDI</v>
      </c>
      <c r="D2768" t="s">
        <v>2605</v>
      </c>
      <c r="E2768" s="3" t="s">
        <v>9</v>
      </c>
      <c r="F2768" s="4">
        <v>6.9499999999999998E-10</v>
      </c>
      <c r="G2768" s="3">
        <v>153</v>
      </c>
      <c r="H2768" s="3">
        <v>28</v>
      </c>
      <c r="I2768" s="3">
        <v>163</v>
      </c>
      <c r="J2768" s="3">
        <v>14</v>
      </c>
      <c r="K2768" s="3">
        <v>466</v>
      </c>
      <c r="L2768" s="3">
        <v>8</v>
      </c>
      <c r="M2768" s="3">
        <v>165</v>
      </c>
    </row>
    <row r="2769" spans="1:13" x14ac:dyDescent="0.25">
      <c r="A2769" s="1" t="str">
        <f>HYPERLINK("http://www.rosaceae.org/Prunus/Prunus_persica/p.persica_gdr_reftransV1_0022817","p.persica_gdr_reftransV1_0022817")</f>
        <v>p.persica_gdr_reftransV1_0022817</v>
      </c>
      <c r="B2769" s="3">
        <v>1490</v>
      </c>
      <c r="C2769" s="1" t="str">
        <f>HYPERLINK("http://www.uniprot.org/uniprot/BH047_ARATH","BH047_ARATH")</f>
        <v>BH047_ARATH</v>
      </c>
      <c r="D2769" t="s">
        <v>2606</v>
      </c>
      <c r="E2769" s="3" t="s">
        <v>3</v>
      </c>
      <c r="F2769" s="4">
        <v>3.4199999999999998E-21</v>
      </c>
      <c r="G2769" s="3">
        <v>239</v>
      </c>
      <c r="H2769" s="3">
        <v>66</v>
      </c>
      <c r="I2769" s="3">
        <v>105</v>
      </c>
      <c r="J2769" s="3">
        <v>878</v>
      </c>
      <c r="K2769" s="3">
        <v>1192</v>
      </c>
      <c r="L2769" s="3">
        <v>1</v>
      </c>
      <c r="M2769" s="3">
        <v>98</v>
      </c>
    </row>
    <row r="2770" spans="1:13" x14ac:dyDescent="0.25">
      <c r="A2770" s="1" t="str">
        <f>HYPERLINK("http://www.rosaceae.org/Prunus/Prunus_persica/p.persica_gdr_reftransV1_0022967","p.persica_gdr_reftransV1_0022967")</f>
        <v>p.persica_gdr_reftransV1_0022967</v>
      </c>
      <c r="B2770" s="3">
        <v>2076</v>
      </c>
      <c r="C2770" s="1" t="str">
        <f>HYPERLINK("http://www.uniprot.org/uniprot/XB33_ARATH","XB33_ARATH")</f>
        <v>XB33_ARATH</v>
      </c>
      <c r="D2770" t="s">
        <v>2607</v>
      </c>
      <c r="E2770" s="3" t="s">
        <v>3</v>
      </c>
      <c r="F2770" s="4">
        <v>0</v>
      </c>
      <c r="G2770" s="3">
        <v>2024</v>
      </c>
      <c r="H2770" s="3">
        <v>75</v>
      </c>
      <c r="I2770" s="3">
        <v>520</v>
      </c>
      <c r="J2770" s="3">
        <v>418</v>
      </c>
      <c r="K2770" s="3">
        <v>1953</v>
      </c>
      <c r="L2770" s="3">
        <v>1</v>
      </c>
      <c r="M2770" s="3">
        <v>513</v>
      </c>
    </row>
    <row r="2771" spans="1:13" x14ac:dyDescent="0.25">
      <c r="A2771" s="1" t="str">
        <f>HYPERLINK("http://www.rosaceae.org/Prunus/Prunus_persica/p.persica_gdr_reftransV1_0023017","p.persica_gdr_reftransV1_0023017")</f>
        <v>p.persica_gdr_reftransV1_0023017</v>
      </c>
      <c r="B2771" s="3">
        <v>1149</v>
      </c>
      <c r="C2771" s="1" t="str">
        <f>HYPERLINK("http://www.uniprot.org/uniprot/C3H3_ORYSJ","C3H3_ORYSJ")</f>
        <v>C3H3_ORYSJ</v>
      </c>
      <c r="D2771" t="s">
        <v>2608</v>
      </c>
      <c r="E2771" s="3" t="s">
        <v>38</v>
      </c>
      <c r="F2771" s="4">
        <v>1.6000000000000001E-8</v>
      </c>
      <c r="G2771" s="3">
        <v>137</v>
      </c>
      <c r="H2771" s="3">
        <v>51</v>
      </c>
      <c r="I2771" s="3">
        <v>75</v>
      </c>
      <c r="J2771" s="3">
        <v>85</v>
      </c>
      <c r="K2771" s="3">
        <v>276</v>
      </c>
      <c r="L2771" s="3">
        <v>1</v>
      </c>
      <c r="M2771" s="3">
        <v>75</v>
      </c>
    </row>
    <row r="2772" spans="1:13" x14ac:dyDescent="0.25">
      <c r="A2772" s="1" t="str">
        <f>HYPERLINK("http://www.rosaceae.org/Prunus/Prunus_persica/p.persica_gdr_reftransV1_0023117","p.persica_gdr_reftransV1_0023117")</f>
        <v>p.persica_gdr_reftransV1_0023117</v>
      </c>
      <c r="B2772" s="3">
        <v>5008</v>
      </c>
      <c r="C2772" s="1" t="str">
        <f>HYPERLINK("http://www.uniprot.org/uniprot/PT106_ARATH","PT106_ARATH")</f>
        <v>PT106_ARATH</v>
      </c>
      <c r="D2772" t="s">
        <v>2609</v>
      </c>
      <c r="E2772" s="3" t="s">
        <v>3</v>
      </c>
      <c r="F2772" s="4">
        <v>1.5599999999999999E-79</v>
      </c>
      <c r="G2772" s="3">
        <v>703</v>
      </c>
      <c r="H2772" s="3">
        <v>67</v>
      </c>
      <c r="I2772" s="3">
        <v>251</v>
      </c>
      <c r="J2772" s="3">
        <v>3143</v>
      </c>
      <c r="K2772" s="3">
        <v>3874</v>
      </c>
      <c r="L2772" s="3">
        <v>3</v>
      </c>
      <c r="M2772" s="3">
        <v>249</v>
      </c>
    </row>
    <row r="2773" spans="1:13" x14ac:dyDescent="0.25">
      <c r="A2773" s="1" t="str">
        <f>HYPERLINK("http://www.rosaceae.org/Prunus/Prunus_persica/p.persica_gdr_reftransV1_0023317","p.persica_gdr_reftransV1_0023317")</f>
        <v>p.persica_gdr_reftransV1_0023317</v>
      </c>
      <c r="B2773" s="3">
        <v>1057</v>
      </c>
      <c r="C2773" s="1" t="str">
        <f>HYPERLINK("http://www.uniprot.org/uniprot/XYLT1_RAT","XYLT1_RAT")</f>
        <v>XYLT1_RAT</v>
      </c>
      <c r="D2773" t="s">
        <v>2610</v>
      </c>
      <c r="E2773" s="3" t="s">
        <v>161</v>
      </c>
      <c r="F2773" s="4">
        <v>7.0500000000000001E-12</v>
      </c>
      <c r="G2773" s="3">
        <v>134</v>
      </c>
      <c r="H2773" s="3">
        <v>25</v>
      </c>
      <c r="I2773" s="3">
        <v>212</v>
      </c>
      <c r="J2773" s="3">
        <v>411</v>
      </c>
      <c r="K2773" s="3">
        <v>995</v>
      </c>
      <c r="L2773" s="3">
        <v>295</v>
      </c>
      <c r="M2773" s="3">
        <v>491</v>
      </c>
    </row>
    <row r="2774" spans="1:13" x14ac:dyDescent="0.25">
      <c r="A2774" s="1" t="str">
        <f>HYPERLINK("http://www.rosaceae.org/Prunus/Prunus_persica/p.persica_gdr_reftransV1_0023567","p.persica_gdr_reftransV1_0023567")</f>
        <v>p.persica_gdr_reftransV1_0023567</v>
      </c>
      <c r="B2774" s="3">
        <v>4627</v>
      </c>
      <c r="C2774" s="1" t="str">
        <f>HYPERLINK("http://www.uniprot.org/uniprot/DDB1_SOLLC","DDB1_SOLLC")</f>
        <v>DDB1_SOLLC</v>
      </c>
      <c r="D2774" t="s">
        <v>2611</v>
      </c>
      <c r="E2774" s="3" t="s">
        <v>64</v>
      </c>
      <c r="F2774" s="4">
        <v>7.7699999999999995E-18</v>
      </c>
      <c r="G2774" s="3">
        <v>232</v>
      </c>
      <c r="H2774" s="3">
        <v>33</v>
      </c>
      <c r="I2774" s="3">
        <v>199</v>
      </c>
      <c r="J2774" s="3">
        <v>2643</v>
      </c>
      <c r="K2774" s="3">
        <v>3218</v>
      </c>
      <c r="L2774" s="3">
        <v>291</v>
      </c>
      <c r="M2774" s="3">
        <v>484</v>
      </c>
    </row>
    <row r="2775" spans="1:13" x14ac:dyDescent="0.25">
      <c r="A2775" s="1" t="str">
        <f>HYPERLINK("http://www.rosaceae.org/Prunus/Prunus_persica/p.persica_gdr_reftransV1_0023917","p.persica_gdr_reftransV1_0023917")</f>
        <v>p.persica_gdr_reftransV1_0023917</v>
      </c>
      <c r="B2775" s="3">
        <v>2582</v>
      </c>
      <c r="C2775" s="1" t="str">
        <f>HYPERLINK("http://www.uniprot.org/uniprot/ARI2_ARATH","ARI2_ARATH")</f>
        <v>ARI2_ARATH</v>
      </c>
      <c r="D2775" t="s">
        <v>1388</v>
      </c>
      <c r="E2775" s="3" t="s">
        <v>3</v>
      </c>
      <c r="F2775" s="4">
        <v>0</v>
      </c>
      <c r="G2775" s="3">
        <v>1793</v>
      </c>
      <c r="H2775" s="3">
        <v>64</v>
      </c>
      <c r="I2775" s="3">
        <v>517</v>
      </c>
      <c r="J2775" s="3">
        <v>356</v>
      </c>
      <c r="K2775" s="3">
        <v>1885</v>
      </c>
      <c r="L2775" s="3">
        <v>16</v>
      </c>
      <c r="M2775" s="3">
        <v>531</v>
      </c>
    </row>
    <row r="2776" spans="1:13" x14ac:dyDescent="0.25">
      <c r="A2776" s="1" t="str">
        <f>HYPERLINK("http://www.rosaceae.org/Prunus/Prunus_persica/p.persica_gdr_reftransV1_0023967","p.persica_gdr_reftransV1_0023967")</f>
        <v>p.persica_gdr_reftransV1_0023967</v>
      </c>
      <c r="B2776" s="3">
        <v>1902</v>
      </c>
      <c r="C2776" s="1" t="str">
        <f>HYPERLINK("http://www.uniprot.org/uniprot/HARB1_DANRE","HARB1_DANRE")</f>
        <v>HARB1_DANRE</v>
      </c>
      <c r="D2776" t="s">
        <v>1233</v>
      </c>
      <c r="E2776" s="3" t="s">
        <v>704</v>
      </c>
      <c r="F2776" s="4">
        <v>1.51E-26</v>
      </c>
      <c r="G2776" s="3">
        <v>288</v>
      </c>
      <c r="H2776" s="3">
        <v>26</v>
      </c>
      <c r="I2776" s="3">
        <v>307</v>
      </c>
      <c r="J2776" s="3">
        <v>545</v>
      </c>
      <c r="K2776" s="3">
        <v>1423</v>
      </c>
      <c r="L2776" s="3">
        <v>20</v>
      </c>
      <c r="M2776" s="3">
        <v>304</v>
      </c>
    </row>
    <row r="2777" spans="1:13" x14ac:dyDescent="0.25">
      <c r="A2777" s="1" t="str">
        <f>HYPERLINK("http://www.rosaceae.org/Prunus/Prunus_persica/p.persica_gdr_reftransV1_0024817","p.persica_gdr_reftransV1_0024817")</f>
        <v>p.persica_gdr_reftransV1_0024817</v>
      </c>
      <c r="B2777" s="3">
        <v>2372</v>
      </c>
      <c r="C2777" s="1" t="str">
        <f>HYPERLINK("http://www.uniprot.org/uniprot/P2C42_ARATH","P2C42_ARATH")</f>
        <v>P2C42_ARATH</v>
      </c>
      <c r="D2777" t="s">
        <v>2612</v>
      </c>
      <c r="E2777" s="3" t="s">
        <v>3</v>
      </c>
      <c r="F2777" s="4">
        <v>6.4899999999999999E-143</v>
      </c>
      <c r="G2777" s="3">
        <v>1113</v>
      </c>
      <c r="H2777" s="3">
        <v>76</v>
      </c>
      <c r="I2777" s="3">
        <v>278</v>
      </c>
      <c r="J2777" s="3">
        <v>1132</v>
      </c>
      <c r="K2777" s="3">
        <v>1956</v>
      </c>
      <c r="L2777" s="3">
        <v>108</v>
      </c>
      <c r="M2777" s="3">
        <v>384</v>
      </c>
    </row>
    <row r="2778" spans="1:13" x14ac:dyDescent="0.25">
      <c r="A2778" s="1" t="str">
        <f>HYPERLINK("http://www.rosaceae.org/Prunus/Prunus_persica/p.persica_gdr_reftransV1_0025317","p.persica_gdr_reftransV1_0025317")</f>
        <v>p.persica_gdr_reftransV1_0025317</v>
      </c>
      <c r="B2778" s="3">
        <v>1103</v>
      </c>
      <c r="C2778" s="1" t="str">
        <f>HYPERLINK("http://www.uniprot.org/uniprot/PPSP2_ARATH","PPSP2_ARATH")</f>
        <v>PPSP2_ARATH</v>
      </c>
      <c r="D2778" t="s">
        <v>906</v>
      </c>
      <c r="E2778" s="3" t="s">
        <v>3</v>
      </c>
      <c r="F2778" s="4">
        <v>1.8899999999999998E-108</v>
      </c>
      <c r="G2778" s="3">
        <v>835</v>
      </c>
      <c r="H2778" s="3">
        <v>53</v>
      </c>
      <c r="I2778" s="3">
        <v>277</v>
      </c>
      <c r="J2778" s="3">
        <v>215</v>
      </c>
      <c r="K2778" s="3">
        <v>1045</v>
      </c>
      <c r="L2778" s="3">
        <v>7</v>
      </c>
      <c r="M2778" s="3">
        <v>275</v>
      </c>
    </row>
    <row r="2779" spans="1:13" x14ac:dyDescent="0.25">
      <c r="A2779" s="1" t="str">
        <f>HYPERLINK("http://www.rosaceae.org/Prunus/Prunus_persica/p.persica_gdr_reftransV1_0025567","p.persica_gdr_reftransV1_0025567")</f>
        <v>p.persica_gdr_reftransV1_0025567</v>
      </c>
      <c r="B2779" s="3">
        <v>3609</v>
      </c>
      <c r="C2779" s="1" t="str">
        <f>HYPERLINK("http://www.uniprot.org/uniprot/SND1_BOVIN","SND1_BOVIN")</f>
        <v>SND1_BOVIN</v>
      </c>
      <c r="D2779" t="s">
        <v>2613</v>
      </c>
      <c r="E2779" s="3" t="s">
        <v>184</v>
      </c>
      <c r="F2779" s="4">
        <v>2.71E-131</v>
      </c>
      <c r="G2779" s="3">
        <v>1108</v>
      </c>
      <c r="H2779" s="3">
        <v>33</v>
      </c>
      <c r="I2779" s="3">
        <v>1007</v>
      </c>
      <c r="J2779" s="3">
        <v>267</v>
      </c>
      <c r="K2779" s="3">
        <v>3176</v>
      </c>
      <c r="L2779" s="3">
        <v>21</v>
      </c>
      <c r="M2779" s="3">
        <v>904</v>
      </c>
    </row>
    <row r="2780" spans="1:13" x14ac:dyDescent="0.25">
      <c r="A2780" s="1" t="str">
        <f>HYPERLINK("http://www.rosaceae.org/Prunus/Prunus_persica/p.persica_gdr_reftransV1_0025867","p.persica_gdr_reftransV1_0025867")</f>
        <v>p.persica_gdr_reftransV1_0025867</v>
      </c>
      <c r="B2780" s="3">
        <v>1336</v>
      </c>
      <c r="C2780" s="1" t="str">
        <f>HYPERLINK("http://www.uniprot.org/uniprot/CDA7L_HUMAN","CDA7L_HUMAN")</f>
        <v>CDA7L_HUMAN</v>
      </c>
      <c r="D2780" t="s">
        <v>2614</v>
      </c>
      <c r="E2780" s="3" t="s">
        <v>28</v>
      </c>
      <c r="F2780" s="4">
        <v>6.1199999999999999E-22</v>
      </c>
      <c r="G2780" s="3">
        <v>251</v>
      </c>
      <c r="H2780" s="3">
        <v>50</v>
      </c>
      <c r="I2780" s="3">
        <v>98</v>
      </c>
      <c r="J2780" s="3">
        <v>465</v>
      </c>
      <c r="K2780" s="3">
        <v>752</v>
      </c>
      <c r="L2780" s="3">
        <v>346</v>
      </c>
      <c r="M2780" s="3">
        <v>443</v>
      </c>
    </row>
    <row r="2781" spans="1:13" x14ac:dyDescent="0.25">
      <c r="A2781" s="1" t="str">
        <f>HYPERLINK("http://www.rosaceae.org/Prunus/Prunus_persica/p.persica_gdr_reftransV1_0026267","p.persica_gdr_reftransV1_0026267")</f>
        <v>p.persica_gdr_reftransV1_0026267</v>
      </c>
      <c r="B2781" s="3">
        <v>1332</v>
      </c>
      <c r="C2781" s="1" t="str">
        <f>HYPERLINK("http://www.uniprot.org/uniprot/OPA3_SCHPO","OPA3_SCHPO")</f>
        <v>OPA3_SCHPO</v>
      </c>
      <c r="D2781" t="s">
        <v>2496</v>
      </c>
      <c r="E2781" s="3" t="s">
        <v>464</v>
      </c>
      <c r="F2781" s="4">
        <v>2.3200000000000001E-11</v>
      </c>
      <c r="G2781" s="3">
        <v>162</v>
      </c>
      <c r="H2781" s="3">
        <v>38</v>
      </c>
      <c r="I2781" s="3">
        <v>91</v>
      </c>
      <c r="J2781" s="3">
        <v>663</v>
      </c>
      <c r="K2781" s="3">
        <v>929</v>
      </c>
      <c r="L2781" s="3">
        <v>17</v>
      </c>
      <c r="M2781" s="3">
        <v>107</v>
      </c>
    </row>
    <row r="2782" spans="1:13" x14ac:dyDescent="0.25">
      <c r="A2782" s="1" t="str">
        <f>HYPERLINK("http://www.rosaceae.org/Prunus/Prunus_persica/p.persica_gdr_reftransV1_0026317","p.persica_gdr_reftransV1_0026317")</f>
        <v>p.persica_gdr_reftransV1_0026317</v>
      </c>
      <c r="B2782" s="3">
        <v>1804</v>
      </c>
      <c r="C2782" s="1" t="str">
        <f>HYPERLINK("http://www.uniprot.org/uniprot/PSBO_TOBAC","PSBO_TOBAC")</f>
        <v>PSBO_TOBAC</v>
      </c>
      <c r="D2782" t="s">
        <v>2615</v>
      </c>
      <c r="E2782" s="3" t="s">
        <v>200</v>
      </c>
      <c r="F2782" s="4">
        <v>1.14E-164</v>
      </c>
      <c r="G2782" s="3">
        <v>1236</v>
      </c>
      <c r="H2782" s="3">
        <v>88</v>
      </c>
      <c r="I2782" s="3">
        <v>262</v>
      </c>
      <c r="J2782" s="3">
        <v>812</v>
      </c>
      <c r="K2782" s="3">
        <v>1597</v>
      </c>
      <c r="L2782" s="3">
        <v>71</v>
      </c>
      <c r="M2782" s="3">
        <v>332</v>
      </c>
    </row>
    <row r="2783" spans="1:13" x14ac:dyDescent="0.25">
      <c r="A2783" s="1" t="str">
        <f>HYPERLINK("http://www.rosaceae.org/Prunus/Prunus_persica/p.persica_gdr_reftransV1_0026817","p.persica_gdr_reftransV1_0026817")</f>
        <v>p.persica_gdr_reftransV1_0026817</v>
      </c>
      <c r="B2783" s="3">
        <v>1784</v>
      </c>
      <c r="C2783" s="1" t="str">
        <f>HYPERLINK("http://www.uniprot.org/uniprot/RPD1_ARATH","RPD1_ARATH")</f>
        <v>RPD1_ARATH</v>
      </c>
      <c r="D2783" t="s">
        <v>1883</v>
      </c>
      <c r="E2783" s="3" t="s">
        <v>3</v>
      </c>
      <c r="F2783" s="4">
        <v>3.1899999999999999E-21</v>
      </c>
      <c r="G2783" s="3">
        <v>247</v>
      </c>
      <c r="H2783" s="3">
        <v>27</v>
      </c>
      <c r="I2783" s="3">
        <v>423</v>
      </c>
      <c r="J2783" s="3">
        <v>137</v>
      </c>
      <c r="K2783" s="3">
        <v>1321</v>
      </c>
      <c r="L2783" s="3">
        <v>16</v>
      </c>
      <c r="M2783" s="3">
        <v>409</v>
      </c>
    </row>
    <row r="2784" spans="1:13" x14ac:dyDescent="0.25">
      <c r="A2784" s="1" t="str">
        <f>HYPERLINK("http://www.rosaceae.org/Prunus/Prunus_persica/p.persica_gdr_reftransV1_0027067","p.persica_gdr_reftransV1_0027067")</f>
        <v>p.persica_gdr_reftransV1_0027067</v>
      </c>
      <c r="B2784" s="3">
        <v>1914</v>
      </c>
      <c r="C2784" s="1" t="str">
        <f>HYPERLINK("http://www.uniprot.org/uniprot/MY1R1_SOLTU","MY1R1_SOLTU")</f>
        <v>MY1R1_SOLTU</v>
      </c>
      <c r="D2784" t="s">
        <v>2616</v>
      </c>
      <c r="E2784" s="3" t="s">
        <v>11</v>
      </c>
      <c r="F2784" s="4">
        <v>7.3299999999999998E-49</v>
      </c>
      <c r="G2784" s="3">
        <v>450</v>
      </c>
      <c r="H2784" s="3">
        <v>76</v>
      </c>
      <c r="I2784" s="3">
        <v>148</v>
      </c>
      <c r="J2784" s="3">
        <v>1329</v>
      </c>
      <c r="K2784" s="3">
        <v>1763</v>
      </c>
      <c r="L2784" s="3">
        <v>22</v>
      </c>
      <c r="M2784" s="3">
        <v>166</v>
      </c>
    </row>
    <row r="2785" spans="1:13" x14ac:dyDescent="0.25">
      <c r="A2785" s="1" t="str">
        <f>HYPERLINK("http://www.rosaceae.org/Prunus/Prunus_persica/p.persica_gdr_reftransV1_0027217","p.persica_gdr_reftransV1_0027217")</f>
        <v>p.persica_gdr_reftransV1_0027217</v>
      </c>
      <c r="B2785" s="3">
        <v>1836</v>
      </c>
      <c r="C2785" s="1" t="str">
        <f>HYPERLINK("http://www.uniprot.org/uniprot/BLH9_ARATH","BLH9_ARATH")</f>
        <v>BLH9_ARATH</v>
      </c>
      <c r="D2785" t="s">
        <v>2617</v>
      </c>
      <c r="E2785" s="3" t="s">
        <v>3</v>
      </c>
      <c r="F2785" s="4">
        <v>2.49E-88</v>
      </c>
      <c r="G2785" s="3">
        <v>746</v>
      </c>
      <c r="H2785" s="3">
        <v>61</v>
      </c>
      <c r="I2785" s="3">
        <v>288</v>
      </c>
      <c r="J2785" s="3">
        <v>904</v>
      </c>
      <c r="K2785" s="3">
        <v>1725</v>
      </c>
      <c r="L2785" s="3">
        <v>146</v>
      </c>
      <c r="M2785" s="3">
        <v>419</v>
      </c>
    </row>
    <row r="2786" spans="1:13" x14ac:dyDescent="0.25">
      <c r="A2786" s="1" t="str">
        <f>HYPERLINK("http://www.rosaceae.org/Prunus/Prunus_persica/p.persica_gdr_reftransV1_0027317","p.persica_gdr_reftransV1_0027317")</f>
        <v>p.persica_gdr_reftransV1_0027317</v>
      </c>
      <c r="B2786" s="3">
        <v>2090</v>
      </c>
      <c r="C2786" s="1" t="str">
        <f>HYPERLINK("http://www.uniprot.org/uniprot/TCPB_ARATH","TCPB_ARATH")</f>
        <v>TCPB_ARATH</v>
      </c>
      <c r="D2786" t="s">
        <v>2618</v>
      </c>
      <c r="E2786" s="3" t="s">
        <v>3</v>
      </c>
      <c r="F2786" s="4">
        <v>0</v>
      </c>
      <c r="G2786" s="3">
        <v>2481</v>
      </c>
      <c r="H2786" s="3">
        <v>90</v>
      </c>
      <c r="I2786" s="3">
        <v>527</v>
      </c>
      <c r="J2786" s="3">
        <v>291</v>
      </c>
      <c r="K2786" s="3">
        <v>1871</v>
      </c>
      <c r="L2786" s="3">
        <v>1</v>
      </c>
      <c r="M2786" s="3">
        <v>527</v>
      </c>
    </row>
    <row r="2787" spans="1:13" x14ac:dyDescent="0.25">
      <c r="A2787" s="1" t="str">
        <f>HYPERLINK("http://www.rosaceae.org/Prunus/Prunus_persica/p.persica_gdr_reftransV1_0027467","p.persica_gdr_reftransV1_0027467")</f>
        <v>p.persica_gdr_reftransV1_0027467</v>
      </c>
      <c r="B2787" s="3">
        <v>1439</v>
      </c>
      <c r="C2787" s="1" t="str">
        <f>HYPERLINK("http://www.uniprot.org/uniprot/NUDT9_ARATH","NUDT9_ARATH")</f>
        <v>NUDT9_ARATH</v>
      </c>
      <c r="D2787" t="s">
        <v>2117</v>
      </c>
      <c r="E2787" s="3" t="s">
        <v>3</v>
      </c>
      <c r="F2787" s="4">
        <v>2.5299999999999998E-117</v>
      </c>
      <c r="G2787" s="3">
        <v>908</v>
      </c>
      <c r="H2787" s="3">
        <v>59</v>
      </c>
      <c r="I2787" s="3">
        <v>311</v>
      </c>
      <c r="J2787" s="3">
        <v>441</v>
      </c>
      <c r="K2787" s="3">
        <v>1367</v>
      </c>
      <c r="L2787" s="3">
        <v>7</v>
      </c>
      <c r="M2787" s="3">
        <v>303</v>
      </c>
    </row>
    <row r="2788" spans="1:13" x14ac:dyDescent="0.25">
      <c r="A2788" s="1" t="str">
        <f>HYPERLINK("http://www.rosaceae.org/Prunus/Prunus_persica/p.persica_gdr_reftransV1_0027667","p.persica_gdr_reftransV1_0027667")</f>
        <v>p.persica_gdr_reftransV1_0027667</v>
      </c>
      <c r="B2788" s="3">
        <v>2333</v>
      </c>
      <c r="C2788" s="1" t="str">
        <f>HYPERLINK("http://www.uniprot.org/uniprot/FRS5_ARATH","FRS5_ARATH")</f>
        <v>FRS5_ARATH</v>
      </c>
      <c r="D2788" t="s">
        <v>908</v>
      </c>
      <c r="E2788" s="3" t="s">
        <v>3</v>
      </c>
      <c r="F2788" s="4">
        <v>5.1500000000000003E-84</v>
      </c>
      <c r="G2788" s="3">
        <v>741</v>
      </c>
      <c r="H2788" s="3">
        <v>31</v>
      </c>
      <c r="I2788" s="3">
        <v>471</v>
      </c>
      <c r="J2788" s="3">
        <v>874</v>
      </c>
      <c r="K2788" s="3">
        <v>2283</v>
      </c>
      <c r="L2788" s="3">
        <v>165</v>
      </c>
      <c r="M2788" s="3">
        <v>634</v>
      </c>
    </row>
    <row r="2789" spans="1:13" x14ac:dyDescent="0.25">
      <c r="A2789" s="1" t="str">
        <f>HYPERLINK("http://www.rosaceae.org/Prunus/Prunus_persica/p.persica_gdr_reftransV1_0027717","p.persica_gdr_reftransV1_0027717")</f>
        <v>p.persica_gdr_reftransV1_0027717</v>
      </c>
      <c r="B2789" s="3">
        <v>2643</v>
      </c>
      <c r="C2789" s="1" t="str">
        <f>HYPERLINK("http://www.uniprot.org/uniprot/PP396_ARATH","PP396_ARATH")</f>
        <v>PP396_ARATH</v>
      </c>
      <c r="D2789" t="s">
        <v>2619</v>
      </c>
      <c r="E2789" s="3" t="s">
        <v>3</v>
      </c>
      <c r="F2789" s="4">
        <v>0</v>
      </c>
      <c r="G2789" s="3">
        <v>1532</v>
      </c>
      <c r="H2789" s="3">
        <v>51</v>
      </c>
      <c r="I2789" s="3">
        <v>595</v>
      </c>
      <c r="J2789" s="3">
        <v>1</v>
      </c>
      <c r="K2789" s="3">
        <v>1767</v>
      </c>
      <c r="L2789" s="3">
        <v>1</v>
      </c>
      <c r="M2789" s="3">
        <v>576</v>
      </c>
    </row>
    <row r="2790" spans="1:13" x14ac:dyDescent="0.25">
      <c r="A2790" s="1" t="str">
        <f>HYPERLINK("http://www.rosaceae.org/Prunus/Prunus_persica/p.persica_gdr_reftransV1_0027967","p.persica_gdr_reftransV1_0027967")</f>
        <v>p.persica_gdr_reftransV1_0027967</v>
      </c>
      <c r="B2790" s="3">
        <v>1034</v>
      </c>
      <c r="C2790" s="1" t="str">
        <f>HYPERLINK("http://www.uniprot.org/uniprot/KNAT6_ARATH","KNAT6_ARATH")</f>
        <v>KNAT6_ARATH</v>
      </c>
      <c r="D2790" t="s">
        <v>2620</v>
      </c>
      <c r="E2790" s="3" t="s">
        <v>3</v>
      </c>
      <c r="F2790" s="4">
        <v>1.5000000000000001E-87</v>
      </c>
      <c r="G2790" s="3">
        <v>698</v>
      </c>
      <c r="H2790" s="3">
        <v>60</v>
      </c>
      <c r="I2790" s="3">
        <v>247</v>
      </c>
      <c r="J2790" s="3">
        <v>126</v>
      </c>
      <c r="K2790" s="3">
        <v>845</v>
      </c>
      <c r="L2790" s="3">
        <v>85</v>
      </c>
      <c r="M2790" s="3">
        <v>327</v>
      </c>
    </row>
    <row r="2791" spans="1:13" x14ac:dyDescent="0.25">
      <c r="A2791" s="1" t="str">
        <f>HYPERLINK("http://www.rosaceae.org/Prunus/Prunus_persica/p.persica_gdr_reftransV1_0028317","p.persica_gdr_reftransV1_0028317")</f>
        <v>p.persica_gdr_reftransV1_0028317</v>
      </c>
      <c r="B2791" s="3">
        <v>4256</v>
      </c>
      <c r="C2791" s="1" t="str">
        <f>HYPERLINK("http://www.uniprot.org/uniprot/DHX36_MOUSE","DHX36_MOUSE")</f>
        <v>DHX36_MOUSE</v>
      </c>
      <c r="D2791" t="s">
        <v>2269</v>
      </c>
      <c r="E2791" s="3" t="s">
        <v>157</v>
      </c>
      <c r="F2791" s="4">
        <v>1.5600000000000001E-178</v>
      </c>
      <c r="G2791" s="3">
        <v>1456</v>
      </c>
      <c r="H2791" s="3">
        <v>41</v>
      </c>
      <c r="I2791" s="3">
        <v>838</v>
      </c>
      <c r="J2791" s="3">
        <v>634</v>
      </c>
      <c r="K2791" s="3">
        <v>3084</v>
      </c>
      <c r="L2791" s="3">
        <v>141</v>
      </c>
      <c r="M2791" s="3">
        <v>957</v>
      </c>
    </row>
    <row r="2792" spans="1:13" x14ac:dyDescent="0.25">
      <c r="A2792" s="1" t="str">
        <f>HYPERLINK("http://www.rosaceae.org/Prunus/Prunus_persica/p.persica_gdr_reftransV1_0028367","p.persica_gdr_reftransV1_0028367")</f>
        <v>p.persica_gdr_reftransV1_0028367</v>
      </c>
      <c r="B2792" s="3">
        <v>1667</v>
      </c>
      <c r="C2792" s="1" t="str">
        <f>HYPERLINK("http://www.uniprot.org/uniprot/IBR5_ARATH","IBR5_ARATH")</f>
        <v>IBR5_ARATH</v>
      </c>
      <c r="D2792" t="s">
        <v>2621</v>
      </c>
      <c r="E2792" s="3" t="s">
        <v>3</v>
      </c>
      <c r="F2792" s="4">
        <v>5.5499999999999997E-108</v>
      </c>
      <c r="G2792" s="3">
        <v>847</v>
      </c>
      <c r="H2792" s="3">
        <v>66</v>
      </c>
      <c r="I2792" s="3">
        <v>256</v>
      </c>
      <c r="J2792" s="3">
        <v>536</v>
      </c>
      <c r="K2792" s="3">
        <v>1294</v>
      </c>
      <c r="L2792" s="3">
        <v>1</v>
      </c>
      <c r="M2792" s="3">
        <v>250</v>
      </c>
    </row>
    <row r="2793" spans="1:13" x14ac:dyDescent="0.25">
      <c r="A2793" s="1" t="str">
        <f>HYPERLINK("http://www.rosaceae.org/Prunus/Prunus_persica/p.persica_gdr_reftransV1_0028517","p.persica_gdr_reftransV1_0028517")</f>
        <v>p.persica_gdr_reftransV1_0028517</v>
      </c>
      <c r="B2793" s="3">
        <v>1857</v>
      </c>
      <c r="C2793" s="1" t="str">
        <f>HYPERLINK("http://www.uniprot.org/uniprot/NAC56_ARATH","NAC56_ARATH")</f>
        <v>NAC56_ARATH</v>
      </c>
      <c r="D2793" t="s">
        <v>2622</v>
      </c>
      <c r="E2793" s="3" t="s">
        <v>3</v>
      </c>
      <c r="F2793" s="4">
        <v>8.9899999999999998E-115</v>
      </c>
      <c r="G2793" s="3">
        <v>908</v>
      </c>
      <c r="H2793" s="3">
        <v>54</v>
      </c>
      <c r="I2793" s="3">
        <v>388</v>
      </c>
      <c r="J2793" s="3">
        <v>576</v>
      </c>
      <c r="K2793" s="3">
        <v>1649</v>
      </c>
      <c r="L2793" s="3">
        <v>1</v>
      </c>
      <c r="M2793" s="3">
        <v>363</v>
      </c>
    </row>
    <row r="2794" spans="1:13" x14ac:dyDescent="0.25">
      <c r="A2794" s="1" t="str">
        <f>HYPERLINK("http://www.rosaceae.org/Prunus/Prunus_persica/p.persica_gdr_reftransV1_0028617","p.persica_gdr_reftransV1_0028617")</f>
        <v>p.persica_gdr_reftransV1_0028617</v>
      </c>
      <c r="B2794" s="3">
        <v>756</v>
      </c>
      <c r="C2794" s="1" t="str">
        <f>HYPERLINK("http://www.uniprot.org/uniprot/FKB12_VICFA","FKB12_VICFA")</f>
        <v>FKB12_VICFA</v>
      </c>
      <c r="D2794" t="s">
        <v>2623</v>
      </c>
      <c r="E2794" s="3" t="s">
        <v>2253</v>
      </c>
      <c r="F2794" s="4">
        <v>4.43E-58</v>
      </c>
      <c r="G2794" s="3">
        <v>473</v>
      </c>
      <c r="H2794" s="3">
        <v>73</v>
      </c>
      <c r="I2794" s="3">
        <v>125</v>
      </c>
      <c r="J2794" s="3">
        <v>141</v>
      </c>
      <c r="K2794" s="3">
        <v>515</v>
      </c>
      <c r="L2794" s="3">
        <v>1</v>
      </c>
      <c r="M2794" s="3">
        <v>112</v>
      </c>
    </row>
    <row r="2795" spans="1:13" x14ac:dyDescent="0.25">
      <c r="A2795" s="1" t="str">
        <f>HYPERLINK("http://www.rosaceae.org/Prunus/Prunus_persica/p.persica_gdr_reftransV1_0028667","p.persica_gdr_reftransV1_0028667")</f>
        <v>p.persica_gdr_reftransV1_0028667</v>
      </c>
      <c r="B2795" s="3">
        <v>3234</v>
      </c>
      <c r="C2795" s="1" t="str">
        <f>HYPERLINK("http://www.uniprot.org/uniprot/NYC1_ORYSJ","NYC1_ORYSJ")</f>
        <v>NYC1_ORYSJ</v>
      </c>
      <c r="D2795" t="s">
        <v>2624</v>
      </c>
      <c r="E2795" s="3" t="s">
        <v>38</v>
      </c>
      <c r="F2795" s="4">
        <v>6.7500000000000003E-72</v>
      </c>
      <c r="G2795" s="3">
        <v>645</v>
      </c>
      <c r="H2795" s="3">
        <v>73</v>
      </c>
      <c r="I2795" s="3">
        <v>161</v>
      </c>
      <c r="J2795" s="3">
        <v>989</v>
      </c>
      <c r="K2795" s="3">
        <v>1468</v>
      </c>
      <c r="L2795" s="3">
        <v>108</v>
      </c>
      <c r="M2795" s="3">
        <v>268</v>
      </c>
    </row>
    <row r="2796" spans="1:13" x14ac:dyDescent="0.25">
      <c r="A2796" s="1" t="str">
        <f>HYPERLINK("http://www.rosaceae.org/Prunus/Prunus_persica/p.persica_gdr_reftransV1_0029017","p.persica_gdr_reftransV1_0029017")</f>
        <v>p.persica_gdr_reftransV1_0029017</v>
      </c>
      <c r="B2796" s="3">
        <v>6572</v>
      </c>
      <c r="C2796" s="1" t="str">
        <f>HYPERLINK("http://www.uniprot.org/uniprot/PAPD7_MOUSE","PAPD7_MOUSE")</f>
        <v>PAPD7_MOUSE</v>
      </c>
      <c r="D2796" t="s">
        <v>2625</v>
      </c>
      <c r="E2796" s="3" t="s">
        <v>157</v>
      </c>
      <c r="F2796" s="4">
        <v>6.8600000000000004E-23</v>
      </c>
      <c r="G2796" s="3">
        <v>272</v>
      </c>
      <c r="H2796" s="3">
        <v>33</v>
      </c>
      <c r="I2796" s="3">
        <v>198</v>
      </c>
      <c r="J2796" s="3">
        <v>4252</v>
      </c>
      <c r="K2796" s="3">
        <v>4821</v>
      </c>
      <c r="L2796" s="3">
        <v>78</v>
      </c>
      <c r="M2796" s="3">
        <v>268</v>
      </c>
    </row>
    <row r="2797" spans="1:13" x14ac:dyDescent="0.25">
      <c r="A2797" s="1" t="str">
        <f>HYPERLINK("http://www.rosaceae.org/Prunus/Prunus_persica/p.persica_gdr_reftransV1_0029117","p.persica_gdr_reftransV1_0029117")</f>
        <v>p.persica_gdr_reftransV1_0029117</v>
      </c>
      <c r="B2797" s="3">
        <v>1184</v>
      </c>
      <c r="C2797" s="1" t="str">
        <f>HYPERLINK("http://www.uniprot.org/uniprot/CCMFC_ARATH","CCMFC_ARATH")</f>
        <v>CCMFC_ARATH</v>
      </c>
      <c r="D2797" t="s">
        <v>2626</v>
      </c>
      <c r="E2797" s="3" t="s">
        <v>3</v>
      </c>
      <c r="F2797" s="4">
        <v>1.13E-109</v>
      </c>
      <c r="G2797" s="3">
        <v>861</v>
      </c>
      <c r="H2797" s="3">
        <v>78</v>
      </c>
      <c r="I2797" s="3">
        <v>232</v>
      </c>
      <c r="J2797" s="3">
        <v>430</v>
      </c>
      <c r="K2797" s="3">
        <v>1125</v>
      </c>
      <c r="L2797" s="3">
        <v>211</v>
      </c>
      <c r="M2797" s="3">
        <v>442</v>
      </c>
    </row>
    <row r="2798" spans="1:13" x14ac:dyDescent="0.25">
      <c r="A2798" s="1" t="str">
        <f>HYPERLINK("http://www.rosaceae.org/Prunus/Prunus_persica/p.persica_gdr_reftransV1_0030017","p.persica_gdr_reftransV1_0030017")</f>
        <v>p.persica_gdr_reftransV1_0030017</v>
      </c>
      <c r="B2798" s="3">
        <v>1461</v>
      </c>
      <c r="C2798" s="1" t="str">
        <f>HYPERLINK("http://www.uniprot.org/uniprot/REXO4_MOUSE","REXO4_MOUSE")</f>
        <v>REXO4_MOUSE</v>
      </c>
      <c r="D2798" t="s">
        <v>2627</v>
      </c>
      <c r="E2798" s="3" t="s">
        <v>157</v>
      </c>
      <c r="F2798" s="4">
        <v>2.04E-27</v>
      </c>
      <c r="G2798" s="3">
        <v>293</v>
      </c>
      <c r="H2798" s="3">
        <v>34</v>
      </c>
      <c r="I2798" s="3">
        <v>187</v>
      </c>
      <c r="J2798" s="3">
        <v>503</v>
      </c>
      <c r="K2798" s="3">
        <v>1060</v>
      </c>
      <c r="L2798" s="3">
        <v>221</v>
      </c>
      <c r="M2798" s="3">
        <v>404</v>
      </c>
    </row>
    <row r="2799" spans="1:13" x14ac:dyDescent="0.25">
      <c r="A2799" s="1" t="str">
        <f>HYPERLINK("http://www.rosaceae.org/Prunus/Prunus_persica/p.persica_gdr_reftransV1_0030167","p.persica_gdr_reftransV1_0030167")</f>
        <v>p.persica_gdr_reftransV1_0030167</v>
      </c>
      <c r="B2799" s="3">
        <v>893</v>
      </c>
      <c r="C2799" s="1" t="str">
        <f>HYPERLINK("http://www.uniprot.org/uniprot/ZFP2_ARATH","ZFP2_ARATH")</f>
        <v>ZFP2_ARATH</v>
      </c>
      <c r="D2799" t="s">
        <v>2628</v>
      </c>
      <c r="E2799" s="3" t="s">
        <v>3</v>
      </c>
      <c r="F2799" s="4">
        <v>3.3000000000000003E-30</v>
      </c>
      <c r="G2799" s="3">
        <v>292</v>
      </c>
      <c r="H2799" s="3">
        <v>53</v>
      </c>
      <c r="I2799" s="3">
        <v>169</v>
      </c>
      <c r="J2799" s="3">
        <v>396</v>
      </c>
      <c r="K2799" s="3">
        <v>860</v>
      </c>
      <c r="L2799" s="3">
        <v>1</v>
      </c>
      <c r="M2799" s="3">
        <v>150</v>
      </c>
    </row>
    <row r="2800" spans="1:13" x14ac:dyDescent="0.25">
      <c r="A2800" s="1" t="str">
        <f>HYPERLINK("http://www.rosaceae.org/Prunus/Prunus_persica/p.persica_gdr_reftransV1_0030267","p.persica_gdr_reftransV1_0030267")</f>
        <v>p.persica_gdr_reftransV1_0030267</v>
      </c>
      <c r="B2800" s="3">
        <v>1717</v>
      </c>
      <c r="C2800" s="1" t="str">
        <f>HYPERLINK("http://www.uniprot.org/uniprot/ACCD_CARPA","ACCD_CARPA")</f>
        <v>ACCD_CARPA</v>
      </c>
      <c r="D2800" t="s">
        <v>2629</v>
      </c>
      <c r="E2800" s="3" t="s">
        <v>2630</v>
      </c>
      <c r="F2800" s="4">
        <v>0</v>
      </c>
      <c r="G2800" s="3">
        <v>1933</v>
      </c>
      <c r="H2800" s="3">
        <v>82</v>
      </c>
      <c r="I2800" s="3">
        <v>499</v>
      </c>
      <c r="J2800" s="3">
        <v>111</v>
      </c>
      <c r="K2800" s="3">
        <v>1592</v>
      </c>
      <c r="L2800" s="3">
        <v>1</v>
      </c>
      <c r="M2800" s="3">
        <v>497</v>
      </c>
    </row>
    <row r="2801" spans="1:13" x14ac:dyDescent="0.25">
      <c r="A2801" s="1" t="str">
        <f>HYPERLINK("http://www.rosaceae.org/Prunus/Prunus_persica/p.persica_gdr_reftransV1_0030317","p.persica_gdr_reftransV1_0030317")</f>
        <v>p.persica_gdr_reftransV1_0030317</v>
      </c>
      <c r="B2801" s="3">
        <v>1977</v>
      </c>
      <c r="C2801" s="1" t="str">
        <f>HYPERLINK("http://www.uniprot.org/uniprot/PP166_ARATH","PP166_ARATH")</f>
        <v>PP166_ARATH</v>
      </c>
      <c r="D2801" t="s">
        <v>2631</v>
      </c>
      <c r="E2801" s="3" t="s">
        <v>3</v>
      </c>
      <c r="F2801" s="4">
        <v>9.3399999999999998E-31</v>
      </c>
      <c r="G2801" s="3">
        <v>326</v>
      </c>
      <c r="H2801" s="3">
        <v>46</v>
      </c>
      <c r="I2801" s="3">
        <v>143</v>
      </c>
      <c r="J2801" s="3">
        <v>1551</v>
      </c>
      <c r="K2801" s="3">
        <v>1976</v>
      </c>
      <c r="L2801" s="3">
        <v>317</v>
      </c>
      <c r="M2801" s="3">
        <v>458</v>
      </c>
    </row>
    <row r="2802" spans="1:13" x14ac:dyDescent="0.25">
      <c r="A2802" s="1" t="str">
        <f>HYPERLINK("http://www.rosaceae.org/Prunus/Prunus_persica/p.persica_gdr_reftransV1_0030667","p.persica_gdr_reftransV1_0030667")</f>
        <v>p.persica_gdr_reftransV1_0030667</v>
      </c>
      <c r="B2802" s="3">
        <v>2351</v>
      </c>
      <c r="C2802" s="1" t="str">
        <f>HYPERLINK("http://www.uniprot.org/uniprot/DIAP1_DROME","DIAP1_DROME")</f>
        <v>DIAP1_DROME</v>
      </c>
      <c r="D2802" t="s">
        <v>2632</v>
      </c>
      <c r="E2802" s="3" t="s">
        <v>5</v>
      </c>
      <c r="F2802" s="4">
        <v>4.6400000000000003E-7</v>
      </c>
      <c r="G2802" s="3">
        <v>136</v>
      </c>
      <c r="H2802" s="3">
        <v>37</v>
      </c>
      <c r="I2802" s="3">
        <v>67</v>
      </c>
      <c r="J2802" s="3">
        <v>922</v>
      </c>
      <c r="K2802" s="3">
        <v>1122</v>
      </c>
      <c r="L2802" s="3">
        <v>375</v>
      </c>
      <c r="M2802" s="3">
        <v>436</v>
      </c>
    </row>
    <row r="2803" spans="1:13" x14ac:dyDescent="0.25">
      <c r="A2803" s="1" t="str">
        <f>HYPERLINK("http://www.rosaceae.org/Prunus/Prunus_persica/p.persica_gdr_reftransV1_0030717","p.persica_gdr_reftransV1_0030717")</f>
        <v>p.persica_gdr_reftransV1_0030717</v>
      </c>
      <c r="B2803" s="3">
        <v>1498</v>
      </c>
      <c r="C2803" s="1" t="str">
        <f>HYPERLINK("http://www.uniprot.org/uniprot/1MMP_ARATH","1MMP_ARATH")</f>
        <v>1MMP_ARATH</v>
      </c>
      <c r="D2803" t="s">
        <v>2633</v>
      </c>
      <c r="E2803" s="3" t="s">
        <v>3</v>
      </c>
      <c r="F2803" s="4">
        <v>3.7099999999999998E-117</v>
      </c>
      <c r="G2803" s="3">
        <v>913</v>
      </c>
      <c r="H2803" s="3">
        <v>57</v>
      </c>
      <c r="I2803" s="3">
        <v>318</v>
      </c>
      <c r="J2803" s="3">
        <v>300</v>
      </c>
      <c r="K2803" s="3">
        <v>1211</v>
      </c>
      <c r="L2803" s="3">
        <v>21</v>
      </c>
      <c r="M2803" s="3">
        <v>335</v>
      </c>
    </row>
    <row r="2804" spans="1:13" x14ac:dyDescent="0.25">
      <c r="A2804" s="1" t="str">
        <f>HYPERLINK("http://www.rosaceae.org/Prunus/Prunus_persica/p.persica_gdr_reftransV1_0030917","p.persica_gdr_reftransV1_0030917")</f>
        <v>p.persica_gdr_reftransV1_0030917</v>
      </c>
      <c r="B2804" s="3">
        <v>3150</v>
      </c>
      <c r="C2804" s="1" t="str">
        <f>HYPERLINK("http://www.uniprot.org/uniprot/SAC31_SCHPO","SAC31_SCHPO")</f>
        <v>SAC31_SCHPO</v>
      </c>
      <c r="D2804" t="s">
        <v>2634</v>
      </c>
      <c r="E2804" s="3" t="s">
        <v>464</v>
      </c>
      <c r="F2804" s="4">
        <v>4.2399999999999999E-28</v>
      </c>
      <c r="G2804" s="3">
        <v>316</v>
      </c>
      <c r="H2804" s="3">
        <v>36</v>
      </c>
      <c r="I2804" s="3">
        <v>239</v>
      </c>
      <c r="J2804" s="3">
        <v>443</v>
      </c>
      <c r="K2804" s="3">
        <v>1126</v>
      </c>
      <c r="L2804" s="3">
        <v>51</v>
      </c>
      <c r="M2804" s="3">
        <v>284</v>
      </c>
    </row>
    <row r="2805" spans="1:13" x14ac:dyDescent="0.25">
      <c r="A2805" s="1" t="str">
        <f>HYPERLINK("http://www.rosaceae.org/Prunus/Prunus_persica/p.persica_gdr_reftransV1_0031217","p.persica_gdr_reftransV1_0031217")</f>
        <v>p.persica_gdr_reftransV1_0031217</v>
      </c>
      <c r="B2805" s="3">
        <v>548</v>
      </c>
      <c r="C2805" s="1" t="str">
        <f>HYPERLINK("http://www.uniprot.org/uniprot/CLV1_ARATH","CLV1_ARATH")</f>
        <v>CLV1_ARATH</v>
      </c>
      <c r="D2805" t="s">
        <v>2635</v>
      </c>
      <c r="E2805" s="3" t="s">
        <v>3</v>
      </c>
      <c r="F2805" s="4">
        <v>1.9299999999999999E-48</v>
      </c>
      <c r="G2805" s="3">
        <v>439</v>
      </c>
      <c r="H2805" s="3">
        <v>65</v>
      </c>
      <c r="I2805" s="3">
        <v>130</v>
      </c>
      <c r="J2805" s="3">
        <v>1</v>
      </c>
      <c r="K2805" s="3">
        <v>390</v>
      </c>
      <c r="L2805" s="3">
        <v>848</v>
      </c>
      <c r="M2805" s="3">
        <v>973</v>
      </c>
    </row>
    <row r="2806" spans="1:13" x14ac:dyDescent="0.25">
      <c r="A2806" s="1" t="str">
        <f>HYPERLINK("http://www.rosaceae.org/Prunus/Prunus_persica/p.persica_gdr_reftransV1_0031417","p.persica_gdr_reftransV1_0031417")</f>
        <v>p.persica_gdr_reftransV1_0031417</v>
      </c>
      <c r="B2806" s="3">
        <v>4142</v>
      </c>
      <c r="C2806" s="1" t="str">
        <f>HYPERLINK("http://www.uniprot.org/uniprot/TIM_HUMAN","TIM_HUMAN")</f>
        <v>TIM_HUMAN</v>
      </c>
      <c r="D2806" t="s">
        <v>2636</v>
      </c>
      <c r="E2806" s="3" t="s">
        <v>28</v>
      </c>
      <c r="F2806" s="4">
        <v>2.0499999999999999E-12</v>
      </c>
      <c r="G2806" s="3">
        <v>186</v>
      </c>
      <c r="H2806" s="3">
        <v>25</v>
      </c>
      <c r="I2806" s="3">
        <v>559</v>
      </c>
      <c r="J2806" s="3">
        <v>2396</v>
      </c>
      <c r="K2806" s="3">
        <v>4024</v>
      </c>
      <c r="L2806" s="3">
        <v>10</v>
      </c>
      <c r="M2806" s="3">
        <v>516</v>
      </c>
    </row>
    <row r="2807" spans="1:13" x14ac:dyDescent="0.25">
      <c r="A2807" s="1" t="str">
        <f>HYPERLINK("http://www.rosaceae.org/Prunus/Prunus_persica/p.persica_gdr_reftransV1_0031467","p.persica_gdr_reftransV1_0031467")</f>
        <v>p.persica_gdr_reftransV1_0031467</v>
      </c>
      <c r="B2807" s="3">
        <v>2536</v>
      </c>
      <c r="C2807" s="1" t="str">
        <f>HYPERLINK("http://www.uniprot.org/uniprot/VAL2_ARATH","VAL2_ARATH")</f>
        <v>VAL2_ARATH</v>
      </c>
      <c r="D2807" t="s">
        <v>2637</v>
      </c>
      <c r="E2807" s="3" t="s">
        <v>3</v>
      </c>
      <c r="F2807" s="4">
        <v>3.8299999999999998E-30</v>
      </c>
      <c r="G2807" s="3">
        <v>330</v>
      </c>
      <c r="H2807" s="3">
        <v>55</v>
      </c>
      <c r="I2807" s="3">
        <v>119</v>
      </c>
      <c r="J2807" s="3">
        <v>1154</v>
      </c>
      <c r="K2807" s="3">
        <v>1510</v>
      </c>
      <c r="L2807" s="3">
        <v>276</v>
      </c>
      <c r="M2807" s="3">
        <v>392</v>
      </c>
    </row>
    <row r="2808" spans="1:13" x14ac:dyDescent="0.25">
      <c r="A2808" s="1" t="str">
        <f>HYPERLINK("http://www.rosaceae.org/Prunus/Prunus_persica/p.persica_gdr_reftransV1_0031617","p.persica_gdr_reftransV1_0031617")</f>
        <v>p.persica_gdr_reftransV1_0031617</v>
      </c>
      <c r="B2808" s="3">
        <v>1892</v>
      </c>
      <c r="C2808" s="1" t="str">
        <f>HYPERLINK("http://www.uniprot.org/uniprot/GDL6_ARATH","GDL6_ARATH")</f>
        <v>GDL6_ARATH</v>
      </c>
      <c r="D2808" t="s">
        <v>2638</v>
      </c>
      <c r="E2808" s="3" t="s">
        <v>3</v>
      </c>
      <c r="F2808" s="4">
        <v>1.6900000000000001E-90</v>
      </c>
      <c r="G2808" s="3">
        <v>547</v>
      </c>
      <c r="H2808" s="3">
        <v>60</v>
      </c>
      <c r="I2808" s="3">
        <v>190</v>
      </c>
      <c r="J2808" s="3">
        <v>416</v>
      </c>
      <c r="K2808" s="3">
        <v>976</v>
      </c>
      <c r="L2808" s="3">
        <v>29</v>
      </c>
      <c r="M2808" s="3">
        <v>213</v>
      </c>
    </row>
    <row r="2809" spans="1:13" x14ac:dyDescent="0.25">
      <c r="A2809" s="1" t="str">
        <f>HYPERLINK("http://www.rosaceae.org/Prunus/Prunus_persica/p.persica_gdr_reftransV1_0032517","p.persica_gdr_reftransV1_0032517")</f>
        <v>p.persica_gdr_reftransV1_0032517</v>
      </c>
      <c r="B2809" s="3">
        <v>1948</v>
      </c>
      <c r="C2809" s="1" t="str">
        <f>HYPERLINK("http://www.uniprot.org/uniprot/VATL4_ARATH","VATL4_ARATH")</f>
        <v>VATL4_ARATH</v>
      </c>
      <c r="D2809" t="s">
        <v>2639</v>
      </c>
      <c r="E2809" s="3" t="s">
        <v>3</v>
      </c>
      <c r="F2809" s="4">
        <v>3.2399999999999998E-47</v>
      </c>
      <c r="G2809" s="3">
        <v>427</v>
      </c>
      <c r="H2809" s="3">
        <v>99</v>
      </c>
      <c r="I2809" s="3">
        <v>123</v>
      </c>
      <c r="J2809" s="3">
        <v>188</v>
      </c>
      <c r="K2809" s="3">
        <v>556</v>
      </c>
      <c r="L2809" s="3">
        <v>1</v>
      </c>
      <c r="M2809" s="3">
        <v>123</v>
      </c>
    </row>
    <row r="2810" spans="1:13" x14ac:dyDescent="0.25">
      <c r="A2810" s="1" t="str">
        <f>HYPERLINK("http://www.rosaceae.org/Prunus/Prunus_persica/p.persica_gdr_reftransV1_0032867","p.persica_gdr_reftransV1_0032867")</f>
        <v>p.persica_gdr_reftransV1_0032867</v>
      </c>
      <c r="B2810" s="3">
        <v>3692</v>
      </c>
      <c r="C2810" s="1" t="str">
        <f>HYPERLINK("http://www.uniprot.org/uniprot/Y5343_ARATH","Y5343_ARATH")</f>
        <v>Y5343_ARATH</v>
      </c>
      <c r="D2810" t="s">
        <v>1988</v>
      </c>
      <c r="E2810" s="3" t="s">
        <v>3</v>
      </c>
      <c r="F2810" s="4">
        <v>0</v>
      </c>
      <c r="G2810" s="3">
        <v>3283</v>
      </c>
      <c r="H2810" s="3">
        <v>64</v>
      </c>
      <c r="I2810" s="3">
        <v>1042</v>
      </c>
      <c r="J2810" s="3">
        <v>279</v>
      </c>
      <c r="K2810" s="3">
        <v>3332</v>
      </c>
      <c r="L2810" s="3">
        <v>1</v>
      </c>
      <c r="M2810" s="3">
        <v>1038</v>
      </c>
    </row>
    <row r="2811" spans="1:13" x14ac:dyDescent="0.25">
      <c r="A2811" s="1" t="str">
        <f>HYPERLINK("http://www.rosaceae.org/Prunus/Prunus_persica/p.persica_gdr_reftransV1_0032917","p.persica_gdr_reftransV1_0032917")</f>
        <v>p.persica_gdr_reftransV1_0032917</v>
      </c>
      <c r="B2811" s="3">
        <v>461</v>
      </c>
      <c r="C2811" s="1" t="str">
        <f>HYPERLINK("http://www.uniprot.org/uniprot/CALS5_ARATH","CALS5_ARATH")</f>
        <v>CALS5_ARATH</v>
      </c>
      <c r="D2811" t="s">
        <v>932</v>
      </c>
      <c r="E2811" s="3" t="s">
        <v>3</v>
      </c>
      <c r="F2811" s="4">
        <v>3.6999999999999997E-88</v>
      </c>
      <c r="G2811" s="3">
        <v>734</v>
      </c>
      <c r="H2811" s="3">
        <v>85</v>
      </c>
      <c r="I2811" s="3">
        <v>153</v>
      </c>
      <c r="J2811" s="3">
        <v>3</v>
      </c>
      <c r="K2811" s="3">
        <v>461</v>
      </c>
      <c r="L2811" s="3">
        <v>763</v>
      </c>
      <c r="M2811" s="3">
        <v>915</v>
      </c>
    </row>
    <row r="2812" spans="1:13" x14ac:dyDescent="0.25">
      <c r="A2812" s="1" t="str">
        <f>HYPERLINK("http://www.rosaceae.org/Prunus/Prunus_persica/p.persica_gdr_reftransV1_0032967","p.persica_gdr_reftransV1_0032967")</f>
        <v>p.persica_gdr_reftransV1_0032967</v>
      </c>
      <c r="B2812" s="3">
        <v>2826</v>
      </c>
      <c r="C2812" s="1" t="str">
        <f>HYPERLINK("http://www.uniprot.org/uniprot/PYRD2_RAT","PYRD2_RAT")</f>
        <v>PYRD2_RAT</v>
      </c>
      <c r="D2812" t="s">
        <v>2640</v>
      </c>
      <c r="E2812" s="3" t="s">
        <v>161</v>
      </c>
      <c r="F2812" s="4">
        <v>4.5499999999999998E-147</v>
      </c>
      <c r="G2812" s="3">
        <v>782</v>
      </c>
      <c r="H2812" s="3">
        <v>52</v>
      </c>
      <c r="I2812" s="3">
        <v>322</v>
      </c>
      <c r="J2812" s="3">
        <v>1782</v>
      </c>
      <c r="K2812" s="3">
        <v>2723</v>
      </c>
      <c r="L2812" s="3">
        <v>34</v>
      </c>
      <c r="M2812" s="3">
        <v>348</v>
      </c>
    </row>
    <row r="2813" spans="1:13" x14ac:dyDescent="0.25">
      <c r="A2813" s="1" t="str">
        <f>HYPERLINK("http://www.rosaceae.org/Prunus/Prunus_persica/p.persica_gdr_reftransV1_0033167","p.persica_gdr_reftransV1_0033167")</f>
        <v>p.persica_gdr_reftransV1_0033167</v>
      </c>
      <c r="B2813" s="3">
        <v>3553</v>
      </c>
      <c r="C2813" s="1" t="str">
        <f>HYPERLINK("http://www.uniprot.org/uniprot/PERK8_ARATH","PERK8_ARATH")</f>
        <v>PERK8_ARATH</v>
      </c>
      <c r="D2813" t="s">
        <v>2641</v>
      </c>
      <c r="E2813" s="3" t="s">
        <v>3</v>
      </c>
      <c r="F2813" s="4">
        <v>6.6399999999999994E-151</v>
      </c>
      <c r="G2813" s="3">
        <v>1223</v>
      </c>
      <c r="H2813" s="3">
        <v>75</v>
      </c>
      <c r="I2813" s="3">
        <v>309</v>
      </c>
      <c r="J2813" s="3">
        <v>1024</v>
      </c>
      <c r="K2813" s="3">
        <v>1935</v>
      </c>
      <c r="L2813" s="3">
        <v>247</v>
      </c>
      <c r="M2813" s="3">
        <v>555</v>
      </c>
    </row>
    <row r="2814" spans="1:13" x14ac:dyDescent="0.25">
      <c r="A2814" s="1" t="str">
        <f>HYPERLINK("http://www.rosaceae.org/Prunus/Prunus_persica/p.persica_gdr_reftransV1_0033217","p.persica_gdr_reftransV1_0033217")</f>
        <v>p.persica_gdr_reftransV1_0033217</v>
      </c>
      <c r="B2814" s="3">
        <v>1392</v>
      </c>
      <c r="C2814" s="1" t="str">
        <f>HYPERLINK("http://www.uniprot.org/uniprot/TPC_HUMAN","TPC_HUMAN")</f>
        <v>TPC_HUMAN</v>
      </c>
      <c r="D2814" t="s">
        <v>2642</v>
      </c>
      <c r="E2814" s="3" t="s">
        <v>28</v>
      </c>
      <c r="F2814" s="4">
        <v>1.37E-63</v>
      </c>
      <c r="G2814" s="3">
        <v>546</v>
      </c>
      <c r="H2814" s="3">
        <v>39</v>
      </c>
      <c r="I2814" s="3">
        <v>324</v>
      </c>
      <c r="J2814" s="3">
        <v>199</v>
      </c>
      <c r="K2814" s="3">
        <v>1158</v>
      </c>
      <c r="L2814" s="3">
        <v>10</v>
      </c>
      <c r="M2814" s="3">
        <v>308</v>
      </c>
    </row>
    <row r="2815" spans="1:13" x14ac:dyDescent="0.25">
      <c r="A2815" s="1" t="str">
        <f>HYPERLINK("http://www.rosaceae.org/Prunus/Prunus_persica/p.persica_gdr_reftransV1_0033767","p.persica_gdr_reftransV1_0033767")</f>
        <v>p.persica_gdr_reftransV1_0033767</v>
      </c>
      <c r="B2815" s="3">
        <v>1819</v>
      </c>
      <c r="C2815" s="1" t="str">
        <f>HYPERLINK("http://www.uniprot.org/uniprot/SIR4_ARATH","SIR4_ARATH")</f>
        <v>SIR4_ARATH</v>
      </c>
      <c r="D2815" t="s">
        <v>2643</v>
      </c>
      <c r="E2815" s="3" t="s">
        <v>3</v>
      </c>
      <c r="F2815" s="4">
        <v>1.9599999999999999E-101</v>
      </c>
      <c r="G2815" s="3">
        <v>818</v>
      </c>
      <c r="H2815" s="3">
        <v>83</v>
      </c>
      <c r="I2815" s="3">
        <v>201</v>
      </c>
      <c r="J2815" s="3">
        <v>748</v>
      </c>
      <c r="K2815" s="3">
        <v>1350</v>
      </c>
      <c r="L2815" s="3">
        <v>84</v>
      </c>
      <c r="M2815" s="3">
        <v>283</v>
      </c>
    </row>
    <row r="2816" spans="1:13" x14ac:dyDescent="0.25">
      <c r="A2816" s="1" t="str">
        <f>HYPERLINK("http://www.rosaceae.org/Prunus/Prunus_persica/p.persica_gdr_reftransV1_0034167","p.persica_gdr_reftransV1_0034167")</f>
        <v>p.persica_gdr_reftransV1_0034167</v>
      </c>
      <c r="B2816" s="3">
        <v>1835</v>
      </c>
      <c r="C2816" s="1" t="str">
        <f>HYPERLINK("http://www.uniprot.org/uniprot/ARid5_ARATH","ARid5_ARATH")</f>
        <v>ARid5_ARATH</v>
      </c>
      <c r="D2816" t="s">
        <v>2644</v>
      </c>
      <c r="E2816" s="3" t="s">
        <v>3</v>
      </c>
      <c r="F2816" s="4">
        <v>1.01E-152</v>
      </c>
      <c r="G2816" s="3">
        <v>1167</v>
      </c>
      <c r="H2816" s="3">
        <v>74</v>
      </c>
      <c r="I2816" s="3">
        <v>310</v>
      </c>
      <c r="J2816" s="3">
        <v>684</v>
      </c>
      <c r="K2816" s="3">
        <v>1613</v>
      </c>
      <c r="L2816" s="3">
        <v>129</v>
      </c>
      <c r="M2816" s="3">
        <v>434</v>
      </c>
    </row>
    <row r="2817" spans="1:13" x14ac:dyDescent="0.25">
      <c r="A2817" s="1" t="str">
        <f>HYPERLINK("http://www.rosaceae.org/Prunus/Prunus_persica/p.persica_gdr_reftransV1_0034217","p.persica_gdr_reftransV1_0034217")</f>
        <v>p.persica_gdr_reftransV1_0034217</v>
      </c>
      <c r="B2817" s="3">
        <v>2368</v>
      </c>
      <c r="C2817" s="1" t="str">
        <f>HYPERLINK("http://www.uniprot.org/uniprot/DCA13_MOUSE","DCA13_MOUSE")</f>
        <v>DCA13_MOUSE</v>
      </c>
      <c r="D2817" t="s">
        <v>2645</v>
      </c>
      <c r="E2817" s="3" t="s">
        <v>157</v>
      </c>
      <c r="F2817" s="4">
        <v>1.8E-109</v>
      </c>
      <c r="G2817" s="3">
        <v>893</v>
      </c>
      <c r="H2817" s="3">
        <v>46</v>
      </c>
      <c r="I2817" s="3">
        <v>353</v>
      </c>
      <c r="J2817" s="3">
        <v>820</v>
      </c>
      <c r="K2817" s="3">
        <v>1878</v>
      </c>
      <c r="L2817" s="3">
        <v>98</v>
      </c>
      <c r="M2817" s="3">
        <v>443</v>
      </c>
    </row>
    <row r="2818" spans="1:13" x14ac:dyDescent="0.25">
      <c r="A2818" s="1" t="str">
        <f>HYPERLINK("http://www.rosaceae.org/Prunus/Prunus_persica/p.persica_gdr_reftransV1_0034367","p.persica_gdr_reftransV1_0034367")</f>
        <v>p.persica_gdr_reftransV1_0034367</v>
      </c>
      <c r="B2818" s="3">
        <v>3358</v>
      </c>
      <c r="C2818" s="1" t="str">
        <f>HYPERLINK("http://www.uniprot.org/uniprot/MANA_CANEN","MANA_CANEN")</f>
        <v>MANA_CANEN</v>
      </c>
      <c r="D2818" t="s">
        <v>614</v>
      </c>
      <c r="E2818" s="3" t="s">
        <v>615</v>
      </c>
      <c r="F2818" s="4">
        <v>0</v>
      </c>
      <c r="G2818" s="3">
        <v>3876</v>
      </c>
      <c r="H2818" s="3">
        <v>71</v>
      </c>
      <c r="I2818" s="3">
        <v>987</v>
      </c>
      <c r="J2818" s="3">
        <v>187</v>
      </c>
      <c r="K2818" s="3">
        <v>3138</v>
      </c>
      <c r="L2818" s="3">
        <v>1</v>
      </c>
      <c r="M2818" s="3">
        <v>981</v>
      </c>
    </row>
    <row r="2819" spans="1:13" x14ac:dyDescent="0.25">
      <c r="A2819" s="1" t="str">
        <f>HYPERLINK("http://www.rosaceae.org/Prunus/Prunus_persica/p.persica_gdr_reftransV1_0034517","p.persica_gdr_reftransV1_0034517")</f>
        <v>p.persica_gdr_reftransV1_0034517</v>
      </c>
      <c r="B2819" s="3">
        <v>3329</v>
      </c>
      <c r="C2819" s="1" t="str">
        <f>HYPERLINK("http://www.uniprot.org/uniprot/EDR2L_ARATH","EDR2L_ARATH")</f>
        <v>EDR2L_ARATH</v>
      </c>
      <c r="D2819" t="s">
        <v>115</v>
      </c>
      <c r="E2819" s="3" t="s">
        <v>3</v>
      </c>
      <c r="F2819" s="4">
        <v>2.1900000000000001E-70</v>
      </c>
      <c r="G2819" s="3">
        <v>648</v>
      </c>
      <c r="H2819" s="3">
        <v>28</v>
      </c>
      <c r="I2819" s="3">
        <v>672</v>
      </c>
      <c r="J2819" s="3">
        <v>50</v>
      </c>
      <c r="K2819" s="3">
        <v>1978</v>
      </c>
      <c r="L2819" s="3">
        <v>2</v>
      </c>
      <c r="M2819" s="3">
        <v>653</v>
      </c>
    </row>
    <row r="2820" spans="1:13" x14ac:dyDescent="0.25">
      <c r="A2820" s="1" t="str">
        <f>HYPERLINK("http://www.rosaceae.org/Prunus/Prunus_persica/p.persica_gdr_reftransV1_0034667","p.persica_gdr_reftransV1_0034667")</f>
        <v>p.persica_gdr_reftransV1_0034667</v>
      </c>
      <c r="B2820" s="3">
        <v>4432</v>
      </c>
      <c r="C2820" s="1" t="str">
        <f>HYPERLINK("http://www.uniprot.org/uniprot/TR120_ARATH","TR120_ARATH")</f>
        <v>TR120_ARATH</v>
      </c>
      <c r="D2820" t="s">
        <v>2646</v>
      </c>
      <c r="E2820" s="3" t="s">
        <v>3</v>
      </c>
      <c r="F2820" s="4">
        <v>0</v>
      </c>
      <c r="G2820" s="3">
        <v>3636</v>
      </c>
      <c r="H2820" s="3">
        <v>74</v>
      </c>
      <c r="I2820" s="3">
        <v>991</v>
      </c>
      <c r="J2820" s="3">
        <v>1020</v>
      </c>
      <c r="K2820" s="3">
        <v>3983</v>
      </c>
      <c r="L2820" s="3">
        <v>213</v>
      </c>
      <c r="M2820" s="3">
        <v>1185</v>
      </c>
    </row>
    <row r="2821" spans="1:13" x14ac:dyDescent="0.25">
      <c r="A2821" s="1" t="str">
        <f>HYPERLINK("http://www.rosaceae.org/Prunus/Prunus_persica/p.persica_gdr_reftransV1_0034967","p.persica_gdr_reftransV1_0034967")</f>
        <v>p.persica_gdr_reftransV1_0034967</v>
      </c>
      <c r="B2821" s="3">
        <v>3105</v>
      </c>
      <c r="C2821" s="1" t="str">
        <f>HYPERLINK("http://www.uniprot.org/uniprot/TBC8B_MOUSE","TBC8B_MOUSE")</f>
        <v>TBC8B_MOUSE</v>
      </c>
      <c r="D2821" t="s">
        <v>2647</v>
      </c>
      <c r="E2821" s="3" t="s">
        <v>157</v>
      </c>
      <c r="F2821" s="4">
        <v>3.3200000000000002E-40</v>
      </c>
      <c r="G2821" s="3">
        <v>418</v>
      </c>
      <c r="H2821" s="3">
        <v>37</v>
      </c>
      <c r="I2821" s="3">
        <v>262</v>
      </c>
      <c r="J2821" s="3">
        <v>1414</v>
      </c>
      <c r="K2821" s="3">
        <v>2190</v>
      </c>
      <c r="L2821" s="3">
        <v>472</v>
      </c>
      <c r="M2821" s="3">
        <v>705</v>
      </c>
    </row>
    <row r="2822" spans="1:13" x14ac:dyDescent="0.25">
      <c r="A2822" s="1" t="str">
        <f>HYPERLINK("http://www.rosaceae.org/Prunus/Prunus_persica/p.persica_gdr_reftransV1_0035417","p.persica_gdr_reftransV1_0035417")</f>
        <v>p.persica_gdr_reftransV1_0035417</v>
      </c>
      <c r="B2822" s="3">
        <v>2008</v>
      </c>
      <c r="C2822" s="1" t="str">
        <f>HYPERLINK("http://www.uniprot.org/uniprot/Y5262_ARATH","Y5262_ARATH")</f>
        <v>Y5262_ARATH</v>
      </c>
      <c r="D2822" t="s">
        <v>399</v>
      </c>
      <c r="E2822" s="3" t="s">
        <v>3</v>
      </c>
      <c r="F2822" s="4">
        <v>0</v>
      </c>
      <c r="G2822" s="3">
        <v>1607</v>
      </c>
      <c r="H2822" s="3">
        <v>65</v>
      </c>
      <c r="I2822" s="3">
        <v>494</v>
      </c>
      <c r="J2822" s="3">
        <v>125</v>
      </c>
      <c r="K2822" s="3">
        <v>1591</v>
      </c>
      <c r="L2822" s="3">
        <v>5</v>
      </c>
      <c r="M2822" s="3">
        <v>498</v>
      </c>
    </row>
    <row r="2823" spans="1:13" x14ac:dyDescent="0.25">
      <c r="A2823" s="1" t="str">
        <f>HYPERLINK("http://www.rosaceae.org/Prunus/Prunus_persica/p.persica_gdr_reftransV1_0035817","p.persica_gdr_reftransV1_0035817")</f>
        <v>p.persica_gdr_reftransV1_0035817</v>
      </c>
      <c r="B2823" s="3">
        <v>5210</v>
      </c>
      <c r="C2823" s="1" t="str">
        <f>HYPERLINK("http://www.uniprot.org/uniprot/PP390_ARATH","PP390_ARATH")</f>
        <v>PP390_ARATH</v>
      </c>
      <c r="D2823" t="s">
        <v>2648</v>
      </c>
      <c r="E2823" s="3" t="s">
        <v>3</v>
      </c>
      <c r="F2823" s="4">
        <v>0</v>
      </c>
      <c r="G2823" s="3">
        <v>2799</v>
      </c>
      <c r="H2823" s="3">
        <v>63</v>
      </c>
      <c r="I2823" s="3">
        <v>833</v>
      </c>
      <c r="J2823" s="3">
        <v>2550</v>
      </c>
      <c r="K2823" s="3">
        <v>5039</v>
      </c>
      <c r="L2823" s="3">
        <v>21</v>
      </c>
      <c r="M2823" s="3">
        <v>850</v>
      </c>
    </row>
    <row r="2824" spans="1:13" x14ac:dyDescent="0.25">
      <c r="A2824" s="1" t="str">
        <f>HYPERLINK("http://www.rosaceae.org/Prunus/Prunus_persica/p.persica_gdr_reftransV1_0036017","p.persica_gdr_reftransV1_0036017")</f>
        <v>p.persica_gdr_reftransV1_0036017</v>
      </c>
      <c r="B2824" s="3">
        <v>1108</v>
      </c>
      <c r="C2824" s="1" t="str">
        <f>HYPERLINK("http://www.uniprot.org/uniprot/CCT14_ORYSJ","CCT14_ORYSJ")</f>
        <v>CCT14_ORYSJ</v>
      </c>
      <c r="D2824" t="s">
        <v>1641</v>
      </c>
      <c r="E2824" s="3" t="s">
        <v>38</v>
      </c>
      <c r="F2824" s="4">
        <v>1.46E-159</v>
      </c>
      <c r="G2824" s="3">
        <v>1199</v>
      </c>
      <c r="H2824" s="3">
        <v>78</v>
      </c>
      <c r="I2824" s="3">
        <v>292</v>
      </c>
      <c r="J2824" s="3">
        <v>245</v>
      </c>
      <c r="K2824" s="3">
        <v>1108</v>
      </c>
      <c r="L2824" s="3">
        <v>3</v>
      </c>
      <c r="M2824" s="3">
        <v>267</v>
      </c>
    </row>
    <row r="2825" spans="1:13" x14ac:dyDescent="0.25">
      <c r="A2825" s="1" t="str">
        <f>HYPERLINK("http://www.rosaceae.org/Prunus/Prunus_persica/p.persica_gdr_reftransV1_0036067","p.persica_gdr_reftransV1_0036067")</f>
        <v>p.persica_gdr_reftransV1_0036067</v>
      </c>
      <c r="B2825" s="3">
        <v>2623</v>
      </c>
      <c r="C2825" s="1" t="str">
        <f>HYPERLINK("http://www.uniprot.org/uniprot/PGP2_ARATH","PGP2_ARATH")</f>
        <v>PGP2_ARATH</v>
      </c>
      <c r="D2825" t="s">
        <v>2649</v>
      </c>
      <c r="E2825" s="3" t="s">
        <v>3</v>
      </c>
      <c r="F2825" s="4">
        <v>1.3099999999999999E-67</v>
      </c>
      <c r="G2825" s="3">
        <v>396</v>
      </c>
      <c r="H2825" s="3">
        <v>72</v>
      </c>
      <c r="I2825" s="3">
        <v>100</v>
      </c>
      <c r="J2825" s="3">
        <v>1306</v>
      </c>
      <c r="K2825" s="3">
        <v>1605</v>
      </c>
      <c r="L2825" s="3">
        <v>200</v>
      </c>
      <c r="M2825" s="3">
        <v>299</v>
      </c>
    </row>
    <row r="2826" spans="1:13" x14ac:dyDescent="0.25">
      <c r="A2826" s="1" t="str">
        <f>HYPERLINK("http://www.rosaceae.org/Prunus/Prunus_persica/p.persica_gdr_reftransV1_0036217","p.persica_gdr_reftransV1_0036217")</f>
        <v>p.persica_gdr_reftransV1_0036217</v>
      </c>
      <c r="B2826" s="3">
        <v>2045</v>
      </c>
      <c r="C2826" s="1" t="str">
        <f>HYPERLINK("http://www.uniprot.org/uniprot/PP191_ARATH","PP191_ARATH")</f>
        <v>PP191_ARATH</v>
      </c>
      <c r="D2826" t="s">
        <v>2650</v>
      </c>
      <c r="E2826" s="3" t="s">
        <v>3</v>
      </c>
      <c r="F2826" s="4">
        <v>0</v>
      </c>
      <c r="G2826" s="3">
        <v>1560</v>
      </c>
      <c r="H2826" s="3">
        <v>62</v>
      </c>
      <c r="I2826" s="3">
        <v>470</v>
      </c>
      <c r="J2826" s="3">
        <v>629</v>
      </c>
      <c r="K2826" s="3">
        <v>2038</v>
      </c>
      <c r="L2826" s="3">
        <v>186</v>
      </c>
      <c r="M2826" s="3">
        <v>655</v>
      </c>
    </row>
    <row r="2827" spans="1:13" x14ac:dyDescent="0.25">
      <c r="A2827" s="1" t="str">
        <f>HYPERLINK("http://www.rosaceae.org/Prunus/Prunus_persica/p.persica_gdr_reftransV1_0036467","p.persica_gdr_reftransV1_0036467")</f>
        <v>p.persica_gdr_reftransV1_0036467</v>
      </c>
      <c r="B2827" s="3">
        <v>3047</v>
      </c>
      <c r="C2827" s="1" t="str">
        <f>HYPERLINK("http://www.uniprot.org/uniprot/NFXL2_ARATH","NFXL2_ARATH")</f>
        <v>NFXL2_ARATH</v>
      </c>
      <c r="D2827" t="s">
        <v>2651</v>
      </c>
      <c r="E2827" s="3" t="s">
        <v>3</v>
      </c>
      <c r="F2827" s="4">
        <v>0</v>
      </c>
      <c r="G2827" s="3">
        <v>2633</v>
      </c>
      <c r="H2827" s="3">
        <v>67</v>
      </c>
      <c r="I2827" s="3">
        <v>845</v>
      </c>
      <c r="J2827" s="3">
        <v>148</v>
      </c>
      <c r="K2827" s="3">
        <v>2676</v>
      </c>
      <c r="L2827" s="3">
        <v>44</v>
      </c>
      <c r="M2827" s="3">
        <v>883</v>
      </c>
    </row>
    <row r="2828" spans="1:13" x14ac:dyDescent="0.25">
      <c r="A2828" s="1" t="str">
        <f>HYPERLINK("http://www.rosaceae.org/Prunus/Prunus_persica/p.persica_gdr_reftransV1_0036567","p.persica_gdr_reftransV1_0036567")</f>
        <v>p.persica_gdr_reftransV1_0036567</v>
      </c>
      <c r="B2828" s="3">
        <v>4461</v>
      </c>
      <c r="C2828" s="1" t="str">
        <f>HYPERLINK("http://www.uniprot.org/uniprot/ETOL1_ARATH","ETOL1_ARATH")</f>
        <v>ETOL1_ARATH</v>
      </c>
      <c r="D2828" t="s">
        <v>2652</v>
      </c>
      <c r="E2828" s="3" t="s">
        <v>3</v>
      </c>
      <c r="F2828" s="4">
        <v>0</v>
      </c>
      <c r="G2828" s="3">
        <v>2532</v>
      </c>
      <c r="H2828" s="3">
        <v>70</v>
      </c>
      <c r="I2828" s="3">
        <v>714</v>
      </c>
      <c r="J2828" s="3">
        <v>1002</v>
      </c>
      <c r="K2828" s="3">
        <v>3137</v>
      </c>
      <c r="L2828" s="3">
        <v>1</v>
      </c>
      <c r="M2828" s="3">
        <v>712</v>
      </c>
    </row>
    <row r="2829" spans="1:13" x14ac:dyDescent="0.25">
      <c r="A2829" s="1" t="str">
        <f>HYPERLINK("http://www.rosaceae.org/Prunus/Prunus_persica/p.persica_gdr_reftransV1_0036767","p.persica_gdr_reftransV1_0036767")</f>
        <v>p.persica_gdr_reftransV1_0036767</v>
      </c>
      <c r="B2829" s="3">
        <v>1854</v>
      </c>
      <c r="C2829" s="1" t="str">
        <f>HYPERLINK("http://www.uniprot.org/uniprot/HT1_ARATH","HT1_ARATH")</f>
        <v>HT1_ARATH</v>
      </c>
      <c r="D2829" t="s">
        <v>1169</v>
      </c>
      <c r="E2829" s="3" t="s">
        <v>3</v>
      </c>
      <c r="F2829" s="4">
        <v>7.8000000000000005E-15</v>
      </c>
      <c r="G2829" s="3">
        <v>197</v>
      </c>
      <c r="H2829" s="3">
        <v>31</v>
      </c>
      <c r="I2829" s="3">
        <v>150</v>
      </c>
      <c r="J2829" s="3">
        <v>1408</v>
      </c>
      <c r="K2829" s="3">
        <v>1851</v>
      </c>
      <c r="L2829" s="3">
        <v>76</v>
      </c>
      <c r="M2829" s="3">
        <v>200</v>
      </c>
    </row>
    <row r="2830" spans="1:13" x14ac:dyDescent="0.25">
      <c r="A2830" s="1" t="str">
        <f>HYPERLINK("http://www.rosaceae.org/Prunus/Prunus_persica/p.persica_gdr_reftransV1_0037067","p.persica_gdr_reftransV1_0037067")</f>
        <v>p.persica_gdr_reftransV1_0037067</v>
      </c>
      <c r="B2830" s="3">
        <v>1798</v>
      </c>
      <c r="C2830" s="1" t="str">
        <f>HYPERLINK("http://www.uniprot.org/uniprot/AP2_ARATH","AP2_ARATH")</f>
        <v>AP2_ARATH</v>
      </c>
      <c r="D2830" t="s">
        <v>2653</v>
      </c>
      <c r="E2830" s="3" t="s">
        <v>3</v>
      </c>
      <c r="F2830" s="4">
        <v>1.86E-103</v>
      </c>
      <c r="G2830" s="3">
        <v>836</v>
      </c>
      <c r="H2830" s="3">
        <v>76</v>
      </c>
      <c r="I2830" s="3">
        <v>249</v>
      </c>
      <c r="J2830" s="3">
        <v>676</v>
      </c>
      <c r="K2830" s="3">
        <v>1404</v>
      </c>
      <c r="L2830" s="3">
        <v>56</v>
      </c>
      <c r="M2830" s="3">
        <v>287</v>
      </c>
    </row>
    <row r="2831" spans="1:13" x14ac:dyDescent="0.25">
      <c r="A2831" s="1" t="str">
        <f>HYPERLINK("http://www.rosaceae.org/Prunus/Prunus_persica/p.persica_gdr_reftransV1_0037117","p.persica_gdr_reftransV1_0037117")</f>
        <v>p.persica_gdr_reftransV1_0037117</v>
      </c>
      <c r="B2831" s="3">
        <v>1718</v>
      </c>
      <c r="C2831" s="1" t="str">
        <f>HYPERLINK("http://www.uniprot.org/uniprot/MT21D_MOUSE","MT21D_MOUSE")</f>
        <v>MT21D_MOUSE</v>
      </c>
      <c r="D2831" t="s">
        <v>2654</v>
      </c>
      <c r="E2831" s="3" t="s">
        <v>157</v>
      </c>
      <c r="F2831" s="4">
        <v>2.1999999999999999E-10</v>
      </c>
      <c r="G2831" s="3">
        <v>156</v>
      </c>
      <c r="H2831" s="3">
        <v>36</v>
      </c>
      <c r="I2831" s="3">
        <v>111</v>
      </c>
      <c r="J2831" s="3">
        <v>555</v>
      </c>
      <c r="K2831" s="3">
        <v>872</v>
      </c>
      <c r="L2831" s="3">
        <v>117</v>
      </c>
      <c r="M2831" s="3">
        <v>224</v>
      </c>
    </row>
    <row r="2832" spans="1:13" x14ac:dyDescent="0.25">
      <c r="A2832" s="1" t="str">
        <f>HYPERLINK("http://www.rosaceae.org/Prunus/Prunus_persica/p.persica_gdr_reftransV1_0037267","p.persica_gdr_reftransV1_0037267")</f>
        <v>p.persica_gdr_reftransV1_0037267</v>
      </c>
      <c r="B2832" s="3">
        <v>3374</v>
      </c>
      <c r="C2832" s="1" t="str">
        <f>HYPERLINK("http://www.uniprot.org/uniprot/ASPL1_ARATH","ASPL1_ARATH")</f>
        <v>ASPL1_ARATH</v>
      </c>
      <c r="D2832" t="s">
        <v>996</v>
      </c>
      <c r="E2832" s="3" t="s">
        <v>3</v>
      </c>
      <c r="F2832" s="4">
        <v>4.3999999999999999E-43</v>
      </c>
      <c r="G2832" s="3">
        <v>431</v>
      </c>
      <c r="H2832" s="3">
        <v>38</v>
      </c>
      <c r="I2832" s="3">
        <v>258</v>
      </c>
      <c r="J2832" s="3">
        <v>1587</v>
      </c>
      <c r="K2832" s="3">
        <v>2333</v>
      </c>
      <c r="L2832" s="3">
        <v>147</v>
      </c>
      <c r="M2832" s="3">
        <v>403</v>
      </c>
    </row>
    <row r="2833" spans="1:13" x14ac:dyDescent="0.25">
      <c r="A2833" s="1" t="str">
        <f>HYPERLINK("http://www.rosaceae.org/Prunus/Prunus_persica/p.persica_gdr_reftransV1_0037317","p.persica_gdr_reftransV1_0037317")</f>
        <v>p.persica_gdr_reftransV1_0037317</v>
      </c>
      <c r="B2833" s="3">
        <v>1040</v>
      </c>
      <c r="C2833" s="1" t="str">
        <f>HYPERLINK("http://www.uniprot.org/uniprot/LOR15_ARATH","LOR15_ARATH")</f>
        <v>LOR15_ARATH</v>
      </c>
      <c r="D2833" t="s">
        <v>2655</v>
      </c>
      <c r="E2833" s="3" t="s">
        <v>3</v>
      </c>
      <c r="F2833" s="4">
        <v>6.7599999999999998E-79</v>
      </c>
      <c r="G2833" s="3">
        <v>630</v>
      </c>
      <c r="H2833" s="3">
        <v>58</v>
      </c>
      <c r="I2833" s="3">
        <v>202</v>
      </c>
      <c r="J2833" s="3">
        <v>75</v>
      </c>
      <c r="K2833" s="3">
        <v>653</v>
      </c>
      <c r="L2833" s="3">
        <v>10</v>
      </c>
      <c r="M2833" s="3">
        <v>211</v>
      </c>
    </row>
    <row r="2834" spans="1:13" x14ac:dyDescent="0.25">
      <c r="A2834" s="1" t="str">
        <f>HYPERLINK("http://www.rosaceae.org/Prunus/Prunus_persica/p.persica_gdr_reftransV1_0037517","p.persica_gdr_reftransV1_0037517")</f>
        <v>p.persica_gdr_reftransV1_0037517</v>
      </c>
      <c r="B2834" s="3">
        <v>1846</v>
      </c>
      <c r="C2834" s="1" t="str">
        <f>HYPERLINK("http://www.uniprot.org/uniprot/G3BP_SCHPO","G3BP_SCHPO")</f>
        <v>G3BP_SCHPO</v>
      </c>
      <c r="D2834" t="s">
        <v>2656</v>
      </c>
      <c r="E2834" s="3" t="s">
        <v>464</v>
      </c>
      <c r="F2834" s="4">
        <v>1.1499999999999999E-22</v>
      </c>
      <c r="G2834" s="3">
        <v>260</v>
      </c>
      <c r="H2834" s="3">
        <v>37</v>
      </c>
      <c r="I2834" s="3">
        <v>164</v>
      </c>
      <c r="J2834" s="3">
        <v>1119</v>
      </c>
      <c r="K2834" s="3">
        <v>1607</v>
      </c>
      <c r="L2834" s="3">
        <v>16</v>
      </c>
      <c r="M2834" s="3">
        <v>169</v>
      </c>
    </row>
    <row r="2835" spans="1:13" x14ac:dyDescent="0.25">
      <c r="A2835" s="1" t="str">
        <f>HYPERLINK("http://www.rosaceae.org/Prunus/Prunus_persica/p.persica_gdr_reftransV1_0038467","p.persica_gdr_reftransV1_0038467")</f>
        <v>p.persica_gdr_reftransV1_0038467</v>
      </c>
      <c r="B2835" s="3">
        <v>2344</v>
      </c>
      <c r="C2835" s="1" t="str">
        <f>HYPERLINK("http://www.uniprot.org/uniprot/PLCD6_ARATH","PLCD6_ARATH")</f>
        <v>PLCD6_ARATH</v>
      </c>
      <c r="D2835" t="s">
        <v>2657</v>
      </c>
      <c r="E2835" s="3" t="s">
        <v>3</v>
      </c>
      <c r="F2835" s="4">
        <v>0</v>
      </c>
      <c r="G2835" s="3">
        <v>1695</v>
      </c>
      <c r="H2835" s="3">
        <v>57</v>
      </c>
      <c r="I2835" s="3">
        <v>616</v>
      </c>
      <c r="J2835" s="3">
        <v>334</v>
      </c>
      <c r="K2835" s="3">
        <v>2058</v>
      </c>
      <c r="L2835" s="3">
        <v>3</v>
      </c>
      <c r="M2835" s="3">
        <v>612</v>
      </c>
    </row>
    <row r="2836" spans="1:13" x14ac:dyDescent="0.25">
      <c r="A2836" s="1" t="str">
        <f>HYPERLINK("http://www.rosaceae.org/Prunus/Prunus_persica/p.persica_gdr_reftransV1_0038667","p.persica_gdr_reftransV1_0038667")</f>
        <v>p.persica_gdr_reftransV1_0038667</v>
      </c>
      <c r="B2836" s="3">
        <v>1194</v>
      </c>
      <c r="C2836" s="1" t="str">
        <f>HYPERLINK("http://www.uniprot.org/uniprot/ARIA_ARATH","ARIA_ARATH")</f>
        <v>ARIA_ARATH</v>
      </c>
      <c r="D2836" t="s">
        <v>2658</v>
      </c>
      <c r="E2836" s="3" t="s">
        <v>3</v>
      </c>
      <c r="F2836" s="4">
        <v>4.5900000000000003E-133</v>
      </c>
      <c r="G2836" s="3">
        <v>1040</v>
      </c>
      <c r="H2836" s="3">
        <v>71</v>
      </c>
      <c r="I2836" s="3">
        <v>283</v>
      </c>
      <c r="J2836" s="3">
        <v>345</v>
      </c>
      <c r="K2836" s="3">
        <v>1193</v>
      </c>
      <c r="L2836" s="3">
        <v>417</v>
      </c>
      <c r="M2836" s="3">
        <v>699</v>
      </c>
    </row>
    <row r="2837" spans="1:13" x14ac:dyDescent="0.25">
      <c r="A2837" s="1" t="str">
        <f>HYPERLINK("http://www.rosaceae.org/Prunus/Prunus_persica/p.persica_gdr_reftransV1_0039067","p.persica_gdr_reftransV1_0039067")</f>
        <v>p.persica_gdr_reftransV1_0039067</v>
      </c>
      <c r="B2837" s="3">
        <v>4427</v>
      </c>
      <c r="C2837" s="1" t="str">
        <f>HYPERLINK("http://www.uniprot.org/uniprot/AB3G_ARATH","AB3G_ARATH")</f>
        <v>AB3G_ARATH</v>
      </c>
      <c r="D2837" t="s">
        <v>2659</v>
      </c>
      <c r="E2837" s="3" t="s">
        <v>3</v>
      </c>
      <c r="F2837" s="4">
        <v>3.9200000000000003E-160</v>
      </c>
      <c r="G2837" s="3">
        <v>1309</v>
      </c>
      <c r="H2837" s="3">
        <v>84</v>
      </c>
      <c r="I2837" s="3">
        <v>316</v>
      </c>
      <c r="J2837" s="3">
        <v>314</v>
      </c>
      <c r="K2837" s="3">
        <v>1237</v>
      </c>
      <c r="L2837" s="3">
        <v>30</v>
      </c>
      <c r="M2837" s="3">
        <v>345</v>
      </c>
    </row>
    <row r="2838" spans="1:13" x14ac:dyDescent="0.25">
      <c r="A2838" s="1" t="str">
        <f>HYPERLINK("http://www.rosaceae.org/Prunus/Prunus_persica/p.persica_gdr_reftransV1_0039367","p.persica_gdr_reftransV1_0039367")</f>
        <v>p.persica_gdr_reftransV1_0039367</v>
      </c>
      <c r="B2838" s="3">
        <v>2053</v>
      </c>
      <c r="C2838" s="1" t="str">
        <f>HYPERLINK("http://www.uniprot.org/uniprot/Y3126_ARATH","Y3126_ARATH")</f>
        <v>Y3126_ARATH</v>
      </c>
      <c r="D2838" t="s">
        <v>2660</v>
      </c>
      <c r="E2838" s="3" t="s">
        <v>3</v>
      </c>
      <c r="F2838" s="4">
        <v>2.6099999999999999E-9</v>
      </c>
      <c r="G2838" s="3">
        <v>148</v>
      </c>
      <c r="H2838" s="3">
        <v>38</v>
      </c>
      <c r="I2838" s="3">
        <v>84</v>
      </c>
      <c r="J2838" s="3">
        <v>1482</v>
      </c>
      <c r="K2838" s="3">
        <v>1730</v>
      </c>
      <c r="L2838" s="3">
        <v>129</v>
      </c>
      <c r="M2838" s="3">
        <v>212</v>
      </c>
    </row>
    <row r="2839" spans="1:13" x14ac:dyDescent="0.25">
      <c r="A2839" s="1" t="str">
        <f>HYPERLINK("http://www.rosaceae.org/Prunus/Prunus_persica/p.persica_gdr_reftransV1_0039717","p.persica_gdr_reftransV1_0039717")</f>
        <v>p.persica_gdr_reftransV1_0039717</v>
      </c>
      <c r="B2839" s="3">
        <v>1273</v>
      </c>
      <c r="C2839" s="1" t="str">
        <f>HYPERLINK("http://www.uniprot.org/uniprot/FPPS1_LUPAL","FPPS1_LUPAL")</f>
        <v>FPPS1_LUPAL</v>
      </c>
      <c r="D2839" t="s">
        <v>2661</v>
      </c>
      <c r="E2839" s="3" t="s">
        <v>2143</v>
      </c>
      <c r="F2839" s="4">
        <v>6.1700000000000003E-133</v>
      </c>
      <c r="G2839" s="3">
        <v>1009</v>
      </c>
      <c r="H2839" s="3">
        <v>85</v>
      </c>
      <c r="I2839" s="3">
        <v>211</v>
      </c>
      <c r="J2839" s="3">
        <v>640</v>
      </c>
      <c r="K2839" s="3">
        <v>1272</v>
      </c>
      <c r="L2839" s="3">
        <v>37</v>
      </c>
      <c r="M2839" s="3">
        <v>247</v>
      </c>
    </row>
    <row r="2840" spans="1:13" x14ac:dyDescent="0.25">
      <c r="A2840" s="1" t="str">
        <f>HYPERLINK("http://www.rosaceae.org/Prunus/Prunus_persica/p.persica_gdr_reftransV1_0039817","p.persica_gdr_reftransV1_0039817")</f>
        <v>p.persica_gdr_reftransV1_0039817</v>
      </c>
      <c r="B2840" s="3">
        <v>3337</v>
      </c>
      <c r="C2840" s="1" t="str">
        <f>HYPERLINK("http://www.uniprot.org/uniprot/DPP8_MOUSE","DPP8_MOUSE")</f>
        <v>DPP8_MOUSE</v>
      </c>
      <c r="D2840" t="s">
        <v>2662</v>
      </c>
      <c r="E2840" s="3" t="s">
        <v>157</v>
      </c>
      <c r="F2840" s="4">
        <v>9.1000000000000002E-70</v>
      </c>
      <c r="G2840" s="3">
        <v>652</v>
      </c>
      <c r="H2840" s="3">
        <v>34</v>
      </c>
      <c r="I2840" s="3">
        <v>640</v>
      </c>
      <c r="J2840" s="3">
        <v>1442</v>
      </c>
      <c r="K2840" s="3">
        <v>3109</v>
      </c>
      <c r="L2840" s="3">
        <v>265</v>
      </c>
      <c r="M2840" s="3">
        <v>882</v>
      </c>
    </row>
    <row r="2841" spans="1:13" x14ac:dyDescent="0.25">
      <c r="A2841" s="1" t="str">
        <f>HYPERLINK("http://www.rosaceae.org/Prunus/Prunus_persica/p.persica_gdr_reftransV1_0039867","p.persica_gdr_reftransV1_0039867")</f>
        <v>p.persica_gdr_reftransV1_0039867</v>
      </c>
      <c r="B2841" s="3">
        <v>3251</v>
      </c>
      <c r="C2841" s="1" t="str">
        <f>HYPERLINK("http://www.uniprot.org/uniprot/APC5_ARATH","APC5_ARATH")</f>
        <v>APC5_ARATH</v>
      </c>
      <c r="D2841" t="s">
        <v>2663</v>
      </c>
      <c r="E2841" s="3" t="s">
        <v>3</v>
      </c>
      <c r="F2841" s="4">
        <v>0</v>
      </c>
      <c r="G2841" s="3">
        <v>2942</v>
      </c>
      <c r="H2841" s="3">
        <v>68</v>
      </c>
      <c r="I2841" s="3">
        <v>921</v>
      </c>
      <c r="J2841" s="3">
        <v>227</v>
      </c>
      <c r="K2841" s="3">
        <v>2980</v>
      </c>
      <c r="L2841" s="3">
        <v>1</v>
      </c>
      <c r="M2841" s="3">
        <v>916</v>
      </c>
    </row>
    <row r="2842" spans="1:13" x14ac:dyDescent="0.25">
      <c r="A2842" s="1" t="str">
        <f>HYPERLINK("http://www.rosaceae.org/Prunus/Prunus_persica/p.persica_gdr_reftransV1_0039917","p.persica_gdr_reftransV1_0039917")</f>
        <v>p.persica_gdr_reftransV1_0039917</v>
      </c>
      <c r="B2842" s="3">
        <v>2093</v>
      </c>
      <c r="C2842" s="1" t="str">
        <f>HYPERLINK("http://www.uniprot.org/uniprot/PUB8_ARATH","PUB8_ARATH")</f>
        <v>PUB8_ARATH</v>
      </c>
      <c r="D2842" t="s">
        <v>2664</v>
      </c>
      <c r="E2842" s="3" t="s">
        <v>3</v>
      </c>
      <c r="F2842" s="4">
        <v>1.6100000000000001E-141</v>
      </c>
      <c r="G2842" s="3">
        <v>1095</v>
      </c>
      <c r="H2842" s="3">
        <v>61</v>
      </c>
      <c r="I2842" s="3">
        <v>375</v>
      </c>
      <c r="J2842" s="3">
        <v>831</v>
      </c>
      <c r="K2842" s="3">
        <v>1955</v>
      </c>
      <c r="L2842" s="3">
        <v>1</v>
      </c>
      <c r="M2842" s="3">
        <v>369</v>
      </c>
    </row>
    <row r="2843" spans="1:13" x14ac:dyDescent="0.25">
      <c r="A2843" s="1" t="str">
        <f>HYPERLINK("http://www.rosaceae.org/Prunus/Prunus_persica/p.persica_gdr_reftransV1_0040817","p.persica_gdr_reftransV1_0040817")</f>
        <v>p.persica_gdr_reftransV1_0040817</v>
      </c>
      <c r="B2843" s="3">
        <v>3310</v>
      </c>
      <c r="C2843" s="1" t="str">
        <f>HYPERLINK("http://www.uniprot.org/uniprot/CDKF4_ORYSJ","CDKF4_ORYSJ")</f>
        <v>CDKF4_ORYSJ</v>
      </c>
      <c r="D2843" t="s">
        <v>2665</v>
      </c>
      <c r="E2843" s="3" t="s">
        <v>38</v>
      </c>
      <c r="F2843" s="4">
        <v>1.07E-169</v>
      </c>
      <c r="G2843" s="3">
        <v>1324</v>
      </c>
      <c r="H2843" s="3">
        <v>72</v>
      </c>
      <c r="I2843" s="3">
        <v>334</v>
      </c>
      <c r="J2843" s="3">
        <v>1038</v>
      </c>
      <c r="K2843" s="3">
        <v>2033</v>
      </c>
      <c r="L2843" s="3">
        <v>1</v>
      </c>
      <c r="M2843" s="3">
        <v>334</v>
      </c>
    </row>
    <row r="2844" spans="1:13" x14ac:dyDescent="0.25">
      <c r="A2844" s="1" t="str">
        <f>HYPERLINK("http://www.rosaceae.org/Prunus/Prunus_persica/p.persica_gdr_reftransV1_0040867","p.persica_gdr_reftransV1_0040867")</f>
        <v>p.persica_gdr_reftransV1_0040867</v>
      </c>
      <c r="B2844" s="3">
        <v>2138</v>
      </c>
      <c r="C2844" s="1" t="str">
        <f>HYPERLINK("http://www.uniprot.org/uniprot/PSB1_PETHY","PSB1_PETHY")</f>
        <v>PSB1_PETHY</v>
      </c>
      <c r="D2844" t="s">
        <v>2666</v>
      </c>
      <c r="E2844" s="3" t="s">
        <v>509</v>
      </c>
      <c r="F2844" s="4">
        <v>9.5499999999999996E-105</v>
      </c>
      <c r="G2844" s="3">
        <v>834</v>
      </c>
      <c r="H2844" s="3">
        <v>91</v>
      </c>
      <c r="I2844" s="3">
        <v>171</v>
      </c>
      <c r="J2844" s="3">
        <v>348</v>
      </c>
      <c r="K2844" s="3">
        <v>860</v>
      </c>
      <c r="L2844" s="3">
        <v>53</v>
      </c>
      <c r="M2844" s="3">
        <v>223</v>
      </c>
    </row>
    <row r="2845" spans="1:13" x14ac:dyDescent="0.25">
      <c r="A2845" s="1" t="str">
        <f>HYPERLINK("http://www.rosaceae.org/Prunus/Prunus_persica/p.persica_gdr_reftransV1_0041317","p.persica_gdr_reftransV1_0041317")</f>
        <v>p.persica_gdr_reftransV1_0041317</v>
      </c>
      <c r="B2845" s="3">
        <v>899</v>
      </c>
      <c r="C2845" s="1" t="str">
        <f>HYPERLINK("http://www.uniprot.org/uniprot/PSBZ_CUCSA","PSBZ_CUCSA")</f>
        <v>PSBZ_CUCSA</v>
      </c>
      <c r="D2845" t="s">
        <v>2667</v>
      </c>
      <c r="E2845" s="3" t="s">
        <v>1149</v>
      </c>
      <c r="F2845" s="4">
        <v>2.6700000000000002E-22</v>
      </c>
      <c r="G2845" s="3">
        <v>229</v>
      </c>
      <c r="H2845" s="3">
        <v>95</v>
      </c>
      <c r="I2845" s="3">
        <v>62</v>
      </c>
      <c r="J2845" s="3">
        <v>577</v>
      </c>
      <c r="K2845" s="3">
        <v>762</v>
      </c>
      <c r="L2845" s="3">
        <v>1</v>
      </c>
      <c r="M2845" s="3">
        <v>62</v>
      </c>
    </row>
    <row r="2846" spans="1:13" x14ac:dyDescent="0.25">
      <c r="A2846" s="1" t="str">
        <f>HYPERLINK("http://www.rosaceae.org/Prunus/Prunus_persica/p.persica_gdr_reftransV1_0041417","p.persica_gdr_reftransV1_0041417")</f>
        <v>p.persica_gdr_reftransV1_0041417</v>
      </c>
      <c r="B2846" s="3">
        <v>1364</v>
      </c>
      <c r="C2846" s="1" t="str">
        <f>HYPERLINK("http://www.uniprot.org/uniprot/COP10_ARATH","COP10_ARATH")</f>
        <v>COP10_ARATH</v>
      </c>
      <c r="D2846" t="s">
        <v>2668</v>
      </c>
      <c r="E2846" s="3" t="s">
        <v>3</v>
      </c>
      <c r="F2846" s="4">
        <v>3.7599999999999999E-61</v>
      </c>
      <c r="G2846" s="3">
        <v>517</v>
      </c>
      <c r="H2846" s="3">
        <v>80</v>
      </c>
      <c r="I2846" s="3">
        <v>113</v>
      </c>
      <c r="J2846" s="3">
        <v>175</v>
      </c>
      <c r="K2846" s="3">
        <v>513</v>
      </c>
      <c r="L2846" s="3">
        <v>38</v>
      </c>
      <c r="M2846" s="3">
        <v>150</v>
      </c>
    </row>
    <row r="2847" spans="1:13" x14ac:dyDescent="0.25">
      <c r="A2847" s="1" t="str">
        <f>HYPERLINK("http://www.rosaceae.org/Prunus/Prunus_persica/p.persica_gdr_reftransV1_0041567","p.persica_gdr_reftransV1_0041567")</f>
        <v>p.persica_gdr_reftransV1_0041567</v>
      </c>
      <c r="B2847" s="3">
        <v>1143</v>
      </c>
      <c r="C2847" s="1" t="str">
        <f>HYPERLINK("http://www.uniprot.org/uniprot/Y2559_ARATH","Y2559_ARATH")</f>
        <v>Y2559_ARATH</v>
      </c>
      <c r="D2847" t="s">
        <v>2669</v>
      </c>
      <c r="E2847" s="3" t="s">
        <v>3</v>
      </c>
      <c r="F2847" s="4">
        <v>1.5400000000000001E-64</v>
      </c>
      <c r="G2847" s="3">
        <v>569</v>
      </c>
      <c r="H2847" s="3">
        <v>55</v>
      </c>
      <c r="I2847" s="3">
        <v>249</v>
      </c>
      <c r="J2847" s="3">
        <v>131</v>
      </c>
      <c r="K2847" s="3">
        <v>838</v>
      </c>
      <c r="L2847" s="3">
        <v>437</v>
      </c>
      <c r="M2847" s="3">
        <v>683</v>
      </c>
    </row>
    <row r="2848" spans="1:13" x14ac:dyDescent="0.25">
      <c r="A2848" s="1" t="str">
        <f>HYPERLINK("http://www.rosaceae.org/Prunus/Prunus_persica/p.persica_gdr_reftransV1_0041617","p.persica_gdr_reftransV1_0041617")</f>
        <v>p.persica_gdr_reftransV1_0041617</v>
      </c>
      <c r="B2848" s="3">
        <v>1870</v>
      </c>
      <c r="C2848" s="1" t="str">
        <f>HYPERLINK("http://www.uniprot.org/uniprot/CDF3_ARATH","CDF3_ARATH")</f>
        <v>CDF3_ARATH</v>
      </c>
      <c r="D2848" t="s">
        <v>2670</v>
      </c>
      <c r="E2848" s="3" t="s">
        <v>3</v>
      </c>
      <c r="F2848" s="4">
        <v>5.9499999999999996E-106</v>
      </c>
      <c r="G2848" s="3">
        <v>857</v>
      </c>
      <c r="H2848" s="3">
        <v>46</v>
      </c>
      <c r="I2848" s="3">
        <v>494</v>
      </c>
      <c r="J2848" s="3">
        <v>392</v>
      </c>
      <c r="K2848" s="3">
        <v>1783</v>
      </c>
      <c r="L2848" s="3">
        <v>2</v>
      </c>
      <c r="M2848" s="3">
        <v>446</v>
      </c>
    </row>
    <row r="2849" spans="1:13" x14ac:dyDescent="0.25">
      <c r="A2849" s="1" t="str">
        <f>HYPERLINK("http://www.rosaceae.org/Prunus/Prunus_persica/p.persica_gdr_reftransV1_0041667","p.persica_gdr_reftransV1_0041667")</f>
        <v>p.persica_gdr_reftransV1_0041667</v>
      </c>
      <c r="B2849" s="3">
        <v>1129</v>
      </c>
      <c r="C2849" s="1" t="str">
        <f>HYPERLINK("http://www.uniprot.org/uniprot/D27_ARATH","D27_ARATH")</f>
        <v>D27_ARATH</v>
      </c>
      <c r="D2849" t="s">
        <v>2671</v>
      </c>
      <c r="E2849" s="3" t="s">
        <v>3</v>
      </c>
      <c r="F2849" s="4">
        <v>5.0900000000000003E-34</v>
      </c>
      <c r="G2849" s="3">
        <v>331</v>
      </c>
      <c r="H2849" s="3">
        <v>36</v>
      </c>
      <c r="I2849" s="3">
        <v>202</v>
      </c>
      <c r="J2849" s="3">
        <v>398</v>
      </c>
      <c r="K2849" s="3">
        <v>976</v>
      </c>
      <c r="L2849" s="3">
        <v>61</v>
      </c>
      <c r="M2849" s="3">
        <v>254</v>
      </c>
    </row>
    <row r="2850" spans="1:13" x14ac:dyDescent="0.25">
      <c r="A2850" s="1" t="str">
        <f>HYPERLINK("http://www.rosaceae.org/Prunus/Prunus_persica/p.persica_gdr_reftransV1_0042017","p.persica_gdr_reftransV1_0042017")</f>
        <v>p.persica_gdr_reftransV1_0042017</v>
      </c>
      <c r="B2850" s="3">
        <v>937</v>
      </c>
      <c r="C2850" s="1" t="str">
        <f>HYPERLINK("http://www.uniprot.org/uniprot/PNSB3_ARATH","PNSB3_ARATH")</f>
        <v>PNSB3_ARATH</v>
      </c>
      <c r="D2850" t="s">
        <v>2672</v>
      </c>
      <c r="E2850" s="3" t="s">
        <v>3</v>
      </c>
      <c r="F2850" s="4">
        <v>1.8699999999999999E-26</v>
      </c>
      <c r="G2850" s="3">
        <v>270</v>
      </c>
      <c r="H2850" s="3">
        <v>53</v>
      </c>
      <c r="I2850" s="3">
        <v>120</v>
      </c>
      <c r="J2850" s="3">
        <v>117</v>
      </c>
      <c r="K2850" s="3">
        <v>449</v>
      </c>
      <c r="L2850" s="3">
        <v>1</v>
      </c>
      <c r="M2850" s="3">
        <v>113</v>
      </c>
    </row>
    <row r="2851" spans="1:13" x14ac:dyDescent="0.25">
      <c r="A2851" s="1" t="str">
        <f>HYPERLINK("http://www.rosaceae.org/Prunus/Prunus_persica/p.persica_gdr_reftransV1_0042117","p.persica_gdr_reftransV1_0042117")</f>
        <v>p.persica_gdr_reftransV1_0042117</v>
      </c>
      <c r="B2851" s="3">
        <v>2639</v>
      </c>
      <c r="C2851" s="1" t="str">
        <f>HYPERLINK("http://www.uniprot.org/uniprot/P4H9_ARATH","P4H9_ARATH")</f>
        <v>P4H9_ARATH</v>
      </c>
      <c r="D2851" t="s">
        <v>2673</v>
      </c>
      <c r="E2851" s="3" t="s">
        <v>3</v>
      </c>
      <c r="F2851" s="4">
        <v>1.41E-26</v>
      </c>
      <c r="G2851" s="3">
        <v>289</v>
      </c>
      <c r="H2851" s="3">
        <v>54</v>
      </c>
      <c r="I2851" s="3">
        <v>134</v>
      </c>
      <c r="J2851" s="3">
        <v>173</v>
      </c>
      <c r="K2851" s="3">
        <v>571</v>
      </c>
      <c r="L2851" s="3">
        <v>1</v>
      </c>
      <c r="M2851" s="3">
        <v>131</v>
      </c>
    </row>
    <row r="2852" spans="1:13" x14ac:dyDescent="0.25">
      <c r="A2852" s="1" t="str">
        <f>HYPERLINK("http://www.rosaceae.org/Prunus/Prunus_persica/p.persica_gdr_reftransV1_0042217","p.persica_gdr_reftransV1_0042217")</f>
        <v>p.persica_gdr_reftransV1_0042217</v>
      </c>
      <c r="B2852" s="3">
        <v>3525</v>
      </c>
      <c r="C2852" s="1" t="str">
        <f>HYPERLINK("http://www.uniprot.org/uniprot/CSLG3_ARATH","CSLG3_ARATH")</f>
        <v>CSLG3_ARATH</v>
      </c>
      <c r="D2852" t="s">
        <v>2455</v>
      </c>
      <c r="E2852" s="3" t="s">
        <v>3</v>
      </c>
      <c r="F2852" s="4">
        <v>1.64E-153</v>
      </c>
      <c r="G2852" s="3">
        <v>1247</v>
      </c>
      <c r="H2852" s="3">
        <v>63</v>
      </c>
      <c r="I2852" s="3">
        <v>358</v>
      </c>
      <c r="J2852" s="3">
        <v>1272</v>
      </c>
      <c r="K2852" s="3">
        <v>2342</v>
      </c>
      <c r="L2852" s="3">
        <v>214</v>
      </c>
      <c r="M2852" s="3">
        <v>571</v>
      </c>
    </row>
    <row r="2853" spans="1:13" x14ac:dyDescent="0.25">
      <c r="A2853" s="1" t="str">
        <f>HYPERLINK("http://www.rosaceae.org/Prunus/Prunus_persica/p.persica_gdr_reftransV1_0042517","p.persica_gdr_reftransV1_0042517")</f>
        <v>p.persica_gdr_reftransV1_0042517</v>
      </c>
      <c r="B2853" s="3">
        <v>898</v>
      </c>
      <c r="C2853" s="1" t="str">
        <f>HYPERLINK("http://www.uniprot.org/uniprot/MUB3_ORYSJ","MUB3_ORYSJ")</f>
        <v>MUB3_ORYSJ</v>
      </c>
      <c r="D2853" t="s">
        <v>594</v>
      </c>
      <c r="E2853" s="3" t="s">
        <v>38</v>
      </c>
      <c r="F2853" s="4">
        <v>4.9799999999999999E-30</v>
      </c>
      <c r="G2853" s="3">
        <v>288</v>
      </c>
      <c r="H2853" s="3">
        <v>50</v>
      </c>
      <c r="I2853" s="3">
        <v>111</v>
      </c>
      <c r="J2853" s="3">
        <v>496</v>
      </c>
      <c r="K2853" s="3">
        <v>828</v>
      </c>
      <c r="L2853" s="3">
        <v>3</v>
      </c>
      <c r="M2853" s="3">
        <v>112</v>
      </c>
    </row>
    <row r="2854" spans="1:13" x14ac:dyDescent="0.25">
      <c r="A2854" s="1" t="str">
        <f>HYPERLINK("http://www.rosaceae.org/Prunus/Prunus_persica/p.persica_gdr_reftransV1_0042667","p.persica_gdr_reftransV1_0042667")</f>
        <v>p.persica_gdr_reftransV1_0042667</v>
      </c>
      <c r="B2854" s="3">
        <v>2660</v>
      </c>
      <c r="C2854" s="1" t="str">
        <f>HYPERLINK("http://www.uniprot.org/uniprot/Y2242_ARATH","Y2242_ARATH")</f>
        <v>Y2242_ARATH</v>
      </c>
      <c r="D2854" t="s">
        <v>2399</v>
      </c>
      <c r="E2854" s="3" t="s">
        <v>3</v>
      </c>
      <c r="F2854" s="4">
        <v>1.4999999999999999E-46</v>
      </c>
      <c r="G2854" s="3">
        <v>464</v>
      </c>
      <c r="H2854" s="3">
        <v>34</v>
      </c>
      <c r="I2854" s="3">
        <v>419</v>
      </c>
      <c r="J2854" s="3">
        <v>345</v>
      </c>
      <c r="K2854" s="3">
        <v>1523</v>
      </c>
      <c r="L2854" s="3">
        <v>233</v>
      </c>
      <c r="M2854" s="3">
        <v>612</v>
      </c>
    </row>
    <row r="2855" spans="1:13" x14ac:dyDescent="0.25">
      <c r="A2855" s="1" t="str">
        <f>HYPERLINK("http://www.rosaceae.org/Prunus/Prunus_persica/p.persica_gdr_reftransV1_0042817","p.persica_gdr_reftransV1_0042817")</f>
        <v>p.persica_gdr_reftransV1_0042817</v>
      </c>
      <c r="B2855" s="3">
        <v>1341</v>
      </c>
      <c r="C2855" s="1" t="str">
        <f>HYPERLINK("http://www.uniprot.org/uniprot/NU98A_ARATH","NU98A_ARATH")</f>
        <v>NU98A_ARATH</v>
      </c>
      <c r="D2855" t="s">
        <v>2674</v>
      </c>
      <c r="E2855" s="3" t="s">
        <v>3</v>
      </c>
      <c r="F2855" s="4">
        <v>1.4499999999999999E-10</v>
      </c>
      <c r="G2855" s="3">
        <v>163</v>
      </c>
      <c r="H2855" s="3">
        <v>47</v>
      </c>
      <c r="I2855" s="3">
        <v>86</v>
      </c>
      <c r="J2855" s="3">
        <v>1120</v>
      </c>
      <c r="K2855" s="3">
        <v>1341</v>
      </c>
      <c r="L2855" s="3">
        <v>375</v>
      </c>
      <c r="M2855" s="3">
        <v>460</v>
      </c>
    </row>
    <row r="2856" spans="1:13" x14ac:dyDescent="0.25">
      <c r="A2856" s="1" t="str">
        <f>HYPERLINK("http://www.rosaceae.org/Prunus/Prunus_persica/p.persica_gdr_reftransV1_0043017","p.persica_gdr_reftransV1_0043017")</f>
        <v>p.persica_gdr_reftransV1_0043017</v>
      </c>
      <c r="B2856" s="3">
        <v>1220</v>
      </c>
      <c r="C2856" s="1" t="str">
        <f>HYPERLINK("http://www.uniprot.org/uniprot/IFRH_LUPAL","IFRH_LUPAL")</f>
        <v>IFRH_LUPAL</v>
      </c>
      <c r="D2856" t="s">
        <v>2142</v>
      </c>
      <c r="E2856" s="3" t="s">
        <v>2143</v>
      </c>
      <c r="F2856" s="4">
        <v>6.02E-58</v>
      </c>
      <c r="G2856" s="3">
        <v>503</v>
      </c>
      <c r="H2856" s="3">
        <v>75</v>
      </c>
      <c r="I2856" s="3">
        <v>119</v>
      </c>
      <c r="J2856" s="3">
        <v>722</v>
      </c>
      <c r="K2856" s="3">
        <v>1078</v>
      </c>
      <c r="L2856" s="3">
        <v>194</v>
      </c>
      <c r="M2856" s="3">
        <v>312</v>
      </c>
    </row>
    <row r="2857" spans="1:13" x14ac:dyDescent="0.25">
      <c r="A2857" s="1" t="str">
        <f>HYPERLINK("http://www.rosaceae.org/Prunus/Prunus_persica/p.persica_gdr_reftransV1_0043067","p.persica_gdr_reftransV1_0043067")</f>
        <v>p.persica_gdr_reftransV1_0043067</v>
      </c>
      <c r="B2857" s="3">
        <v>374</v>
      </c>
      <c r="C2857" s="1" t="str">
        <f>HYPERLINK("http://www.uniprot.org/uniprot/PCS3_LOTJA","PCS3_LOTJA")</f>
        <v>PCS3_LOTJA</v>
      </c>
      <c r="D2857" t="s">
        <v>2675</v>
      </c>
      <c r="E2857" s="3" t="s">
        <v>880</v>
      </c>
      <c r="F2857" s="4">
        <v>4.0799999999999997E-60</v>
      </c>
      <c r="G2857" s="3">
        <v>502</v>
      </c>
      <c r="H2857" s="3">
        <v>71</v>
      </c>
      <c r="I2857" s="3">
        <v>123</v>
      </c>
      <c r="J2857" s="3">
        <v>4</v>
      </c>
      <c r="K2857" s="3">
        <v>372</v>
      </c>
      <c r="L2857" s="3">
        <v>206</v>
      </c>
      <c r="M2857" s="3">
        <v>328</v>
      </c>
    </row>
    <row r="2858" spans="1:13" x14ac:dyDescent="0.25">
      <c r="A2858" s="1" t="str">
        <f>HYPERLINK("http://www.rosaceae.org/Prunus/Prunus_persica/p.persica_gdr_reftransV1_0043167","p.persica_gdr_reftransV1_0043167")</f>
        <v>p.persica_gdr_reftransV1_0043167</v>
      </c>
      <c r="B2858" s="3">
        <v>1139</v>
      </c>
      <c r="C2858" s="1" t="str">
        <f>HYPERLINK("http://www.uniprot.org/uniprot/YB95_ARATH","YB95_ARATH")</f>
        <v>YB95_ARATH</v>
      </c>
      <c r="D2858" t="s">
        <v>1722</v>
      </c>
      <c r="E2858" s="3" t="s">
        <v>3</v>
      </c>
      <c r="F2858" s="4">
        <v>1.9800000000000001E-65</v>
      </c>
      <c r="G2858" s="3">
        <v>546</v>
      </c>
      <c r="H2858" s="3">
        <v>51</v>
      </c>
      <c r="I2858" s="3">
        <v>236</v>
      </c>
      <c r="J2858" s="3">
        <v>234</v>
      </c>
      <c r="K2858" s="3">
        <v>908</v>
      </c>
      <c r="L2858" s="3">
        <v>17</v>
      </c>
      <c r="M2858" s="3">
        <v>248</v>
      </c>
    </row>
    <row r="2859" spans="1:13" x14ac:dyDescent="0.25">
      <c r="A2859" s="1" t="str">
        <f>HYPERLINK("http://www.rosaceae.org/Prunus/Prunus_persica/p.persica_gdr_reftransV1_0043217","p.persica_gdr_reftransV1_0043217")</f>
        <v>p.persica_gdr_reftransV1_0043217</v>
      </c>
      <c r="B2859" s="3">
        <v>2049</v>
      </c>
      <c r="C2859" s="1" t="str">
        <f>HYPERLINK("http://www.uniprot.org/uniprot/ODP24_ARATH","ODP24_ARATH")</f>
        <v>ODP24_ARATH</v>
      </c>
      <c r="D2859" t="s">
        <v>2676</v>
      </c>
      <c r="E2859" s="3" t="s">
        <v>3</v>
      </c>
      <c r="F2859" s="4">
        <v>3.12E-156</v>
      </c>
      <c r="G2859" s="3">
        <v>1202</v>
      </c>
      <c r="H2859" s="3">
        <v>82</v>
      </c>
      <c r="I2859" s="3">
        <v>301</v>
      </c>
      <c r="J2859" s="3">
        <v>415</v>
      </c>
      <c r="K2859" s="3">
        <v>1317</v>
      </c>
      <c r="L2859" s="3">
        <v>183</v>
      </c>
      <c r="M2859" s="3">
        <v>480</v>
      </c>
    </row>
    <row r="2860" spans="1:13" x14ac:dyDescent="0.25">
      <c r="A2860" s="1" t="str">
        <f>HYPERLINK("http://www.rosaceae.org/Prunus/Prunus_persica/p.persica_gdr_reftransV1_0043417","p.persica_gdr_reftransV1_0043417")</f>
        <v>p.persica_gdr_reftransV1_0043417</v>
      </c>
      <c r="B2860" s="3">
        <v>850</v>
      </c>
      <c r="C2860" s="1" t="str">
        <f>HYPERLINK("http://www.uniprot.org/uniprot/RM47_MOUSE","RM47_MOUSE")</f>
        <v>RM47_MOUSE</v>
      </c>
      <c r="D2860" t="s">
        <v>2677</v>
      </c>
      <c r="E2860" s="3" t="s">
        <v>157</v>
      </c>
      <c r="F2860" s="4">
        <v>9.5200000000000009E-16</v>
      </c>
      <c r="G2860" s="3">
        <v>191</v>
      </c>
      <c r="H2860" s="3">
        <v>49</v>
      </c>
      <c r="I2860" s="3">
        <v>93</v>
      </c>
      <c r="J2860" s="3">
        <v>216</v>
      </c>
      <c r="K2860" s="3">
        <v>494</v>
      </c>
      <c r="L2860" s="3">
        <v>60</v>
      </c>
      <c r="M2860" s="3">
        <v>151</v>
      </c>
    </row>
    <row r="2861" spans="1:13" x14ac:dyDescent="0.25">
      <c r="A2861" s="1" t="str">
        <f>HYPERLINK("http://www.rosaceae.org/Prunus/Prunus_persica/p.persica_gdr_reftransV1_0043467","p.persica_gdr_reftransV1_0043467")</f>
        <v>p.persica_gdr_reftransV1_0043467</v>
      </c>
      <c r="B2861" s="3">
        <v>537</v>
      </c>
      <c r="C2861" s="1" t="str">
        <f>HYPERLINK("http://www.uniprot.org/uniprot/AB2A_ARATH","AB2A_ARATH")</f>
        <v>AB2A_ARATH</v>
      </c>
      <c r="D2861" t="s">
        <v>2678</v>
      </c>
      <c r="E2861" s="3" t="s">
        <v>3</v>
      </c>
      <c r="F2861" s="4">
        <v>2.6100000000000001E-32</v>
      </c>
      <c r="G2861" s="3">
        <v>319</v>
      </c>
      <c r="H2861" s="3">
        <v>71</v>
      </c>
      <c r="I2861" s="3">
        <v>85</v>
      </c>
      <c r="J2861" s="3">
        <v>281</v>
      </c>
      <c r="K2861" s="3">
        <v>535</v>
      </c>
      <c r="L2861" s="3">
        <v>832</v>
      </c>
      <c r="M2861" s="3">
        <v>916</v>
      </c>
    </row>
    <row r="2862" spans="1:13" x14ac:dyDescent="0.25">
      <c r="A2862" s="1" t="str">
        <f>HYPERLINK("http://www.rosaceae.org/Prunus/Prunus_persica/p.persica_gdr_reftransV1_0043617","p.persica_gdr_reftransV1_0043617")</f>
        <v>p.persica_gdr_reftransV1_0043617</v>
      </c>
      <c r="B2862" s="3">
        <v>874</v>
      </c>
      <c r="C2862" s="1" t="str">
        <f>HYPERLINK("http://www.uniprot.org/uniprot/BCP_PEA","BCP_PEA")</f>
        <v>BCP_PEA</v>
      </c>
      <c r="D2862" t="s">
        <v>2679</v>
      </c>
      <c r="E2862" s="3" t="s">
        <v>60</v>
      </c>
      <c r="F2862" s="4">
        <v>2.45E-19</v>
      </c>
      <c r="G2862" s="3">
        <v>216</v>
      </c>
      <c r="H2862" s="3">
        <v>42</v>
      </c>
      <c r="I2862" s="3">
        <v>115</v>
      </c>
      <c r="J2862" s="3">
        <v>84</v>
      </c>
      <c r="K2862" s="3">
        <v>419</v>
      </c>
      <c r="L2862" s="3">
        <v>7</v>
      </c>
      <c r="M2862" s="3">
        <v>120</v>
      </c>
    </row>
    <row r="2863" spans="1:13" x14ac:dyDescent="0.25">
      <c r="A2863" s="1" t="str">
        <f>HYPERLINK("http://www.rosaceae.org/Prunus/Prunus_persica/p.persica_gdr_reftransV1_0043667","p.persica_gdr_reftransV1_0043667")</f>
        <v>p.persica_gdr_reftransV1_0043667</v>
      </c>
      <c r="B2863" s="3">
        <v>1092</v>
      </c>
      <c r="C2863" s="1" t="str">
        <f>HYPERLINK("http://www.uniprot.org/uniprot/HARB1_DANRE","HARB1_DANRE")</f>
        <v>HARB1_DANRE</v>
      </c>
      <c r="D2863" t="s">
        <v>1233</v>
      </c>
      <c r="E2863" s="3" t="s">
        <v>704</v>
      </c>
      <c r="F2863" s="4">
        <v>9.2900000000000002E-7</v>
      </c>
      <c r="G2863" s="3">
        <v>128</v>
      </c>
      <c r="H2863" s="3">
        <v>24</v>
      </c>
      <c r="I2863" s="3">
        <v>151</v>
      </c>
      <c r="J2863" s="3">
        <v>81</v>
      </c>
      <c r="K2863" s="3">
        <v>527</v>
      </c>
      <c r="L2863" s="3">
        <v>173</v>
      </c>
      <c r="M2863" s="3">
        <v>305</v>
      </c>
    </row>
    <row r="2864" spans="1:13" x14ac:dyDescent="0.25">
      <c r="A2864" s="1" t="str">
        <f>HYPERLINK("http://www.rosaceae.org/Prunus/Prunus_persica/p.persica_gdr_reftransV1_0043767","p.persica_gdr_reftransV1_0043767")</f>
        <v>p.persica_gdr_reftransV1_0043767</v>
      </c>
      <c r="B2864" s="3">
        <v>1739</v>
      </c>
      <c r="C2864" s="1" t="str">
        <f>HYPERLINK("http://www.uniprot.org/uniprot/MYB44_ARATH","MYB44_ARATH")</f>
        <v>MYB44_ARATH</v>
      </c>
      <c r="D2864" t="s">
        <v>1249</v>
      </c>
      <c r="E2864" s="3" t="s">
        <v>3</v>
      </c>
      <c r="F2864" s="4">
        <v>7.8100000000000005E-34</v>
      </c>
      <c r="G2864" s="3">
        <v>338</v>
      </c>
      <c r="H2864" s="3">
        <v>56</v>
      </c>
      <c r="I2864" s="3">
        <v>101</v>
      </c>
      <c r="J2864" s="3">
        <v>557</v>
      </c>
      <c r="K2864" s="3">
        <v>859</v>
      </c>
      <c r="L2864" s="3">
        <v>6</v>
      </c>
      <c r="M2864" s="3">
        <v>106</v>
      </c>
    </row>
    <row r="2865" spans="1:13" x14ac:dyDescent="0.25">
      <c r="A2865" s="1" t="str">
        <f>HYPERLINK("http://www.rosaceae.org/Prunus/Prunus_persica/p.persica_gdr_reftransV1_0043817","p.persica_gdr_reftransV1_0043817")</f>
        <v>p.persica_gdr_reftransV1_0043817</v>
      </c>
      <c r="B2865" s="3">
        <v>503</v>
      </c>
      <c r="C2865" s="1" t="str">
        <f>HYPERLINK("http://www.uniprot.org/uniprot/SCP40_ARATH","SCP40_ARATH")</f>
        <v>SCP40_ARATH</v>
      </c>
      <c r="D2865" t="s">
        <v>2680</v>
      </c>
      <c r="E2865" s="3" t="s">
        <v>3</v>
      </c>
      <c r="F2865" s="4">
        <v>9.9400000000000004E-76</v>
      </c>
      <c r="G2865" s="3">
        <v>614</v>
      </c>
      <c r="H2865" s="3">
        <v>75</v>
      </c>
      <c r="I2865" s="3">
        <v>163</v>
      </c>
      <c r="J2865" s="3">
        <v>15</v>
      </c>
      <c r="K2865" s="3">
        <v>503</v>
      </c>
      <c r="L2865" s="3">
        <v>99</v>
      </c>
      <c r="M2865" s="3">
        <v>257</v>
      </c>
    </row>
    <row r="2866" spans="1:13" x14ac:dyDescent="0.25">
      <c r="A2866" s="1" t="str">
        <f>HYPERLINK("http://www.rosaceae.org/Prunus/Prunus_persica/p.persica_gdr_reftransV1_0043867","p.persica_gdr_reftransV1_0043867")</f>
        <v>p.persica_gdr_reftransV1_0043867</v>
      </c>
      <c r="B2866" s="3">
        <v>2128</v>
      </c>
      <c r="C2866" s="1" t="str">
        <f>HYPERLINK("http://www.uniprot.org/uniprot/C14C2_ORYSJ","C14C2_ORYSJ")</f>
        <v>C14C2_ORYSJ</v>
      </c>
      <c r="D2866" t="s">
        <v>1022</v>
      </c>
      <c r="E2866" s="3" t="s">
        <v>38</v>
      </c>
      <c r="F2866" s="4">
        <v>0</v>
      </c>
      <c r="G2866" s="3">
        <v>1414</v>
      </c>
      <c r="H2866" s="3">
        <v>51</v>
      </c>
      <c r="I2866" s="3">
        <v>522</v>
      </c>
      <c r="J2866" s="3">
        <v>127</v>
      </c>
      <c r="K2866" s="3">
        <v>1671</v>
      </c>
      <c r="L2866" s="3">
        <v>1</v>
      </c>
      <c r="M2866" s="3">
        <v>522</v>
      </c>
    </row>
    <row r="2867" spans="1:13" x14ac:dyDescent="0.25">
      <c r="A2867" s="1" t="str">
        <f>HYPERLINK("http://www.rosaceae.org/Prunus/Prunus_persica/p.persica_gdr_reftransV1_0043917","p.persica_gdr_reftransV1_0043917")</f>
        <v>p.persica_gdr_reftransV1_0043917</v>
      </c>
      <c r="B2867" s="3">
        <v>392</v>
      </c>
      <c r="C2867" s="1" t="str">
        <f>HYPERLINK("http://www.uniprot.org/uniprot/YUC4_ARATH","YUC4_ARATH")</f>
        <v>YUC4_ARATH</v>
      </c>
      <c r="D2867" t="s">
        <v>2681</v>
      </c>
      <c r="E2867" s="3" t="s">
        <v>3</v>
      </c>
      <c r="F2867" s="4">
        <v>2.0999999999999999E-60</v>
      </c>
      <c r="G2867" s="3">
        <v>500</v>
      </c>
      <c r="H2867" s="3">
        <v>69</v>
      </c>
      <c r="I2867" s="3">
        <v>132</v>
      </c>
      <c r="J2867" s="3">
        <v>2</v>
      </c>
      <c r="K2867" s="3">
        <v>391</v>
      </c>
      <c r="L2867" s="3">
        <v>56</v>
      </c>
      <c r="M2867" s="3">
        <v>187</v>
      </c>
    </row>
    <row r="2868" spans="1:13" x14ac:dyDescent="0.25">
      <c r="A2868" s="1" t="str">
        <f>HYPERLINK("http://www.rosaceae.org/Prunus/Prunus_persica/p.persica_gdr_reftransV1_0044117","p.persica_gdr_reftransV1_0044117")</f>
        <v>p.persica_gdr_reftransV1_0044117</v>
      </c>
      <c r="B2868" s="3">
        <v>1166</v>
      </c>
      <c r="C2868" s="1" t="str">
        <f>HYPERLINK("http://www.uniprot.org/uniprot/VP321_ARATH","VP321_ARATH")</f>
        <v>VP321_ARATH</v>
      </c>
      <c r="D2868" t="s">
        <v>2682</v>
      </c>
      <c r="E2868" s="3" t="s">
        <v>3</v>
      </c>
      <c r="F2868" s="4">
        <v>6.2000000000000004E-78</v>
      </c>
      <c r="G2868" s="3">
        <v>627</v>
      </c>
      <c r="H2868" s="3">
        <v>90</v>
      </c>
      <c r="I2868" s="3">
        <v>149</v>
      </c>
      <c r="J2868" s="3">
        <v>496</v>
      </c>
      <c r="K2868" s="3">
        <v>939</v>
      </c>
      <c r="L2868" s="3">
        <v>1</v>
      </c>
      <c r="M2868" s="3">
        <v>149</v>
      </c>
    </row>
    <row r="2869" spans="1:13" x14ac:dyDescent="0.25">
      <c r="A2869" s="1" t="str">
        <f>HYPERLINK("http://www.rosaceae.org/Prunus/Prunus_persica/p.persica_gdr_reftransV1_0044167","p.persica_gdr_reftransV1_0044167")</f>
        <v>p.persica_gdr_reftransV1_0044167</v>
      </c>
      <c r="B2869" s="3">
        <v>2474</v>
      </c>
      <c r="C2869" s="1" t="str">
        <f>HYPERLINK("http://www.uniprot.org/uniprot/RHM1_ARATH","RHM1_ARATH")</f>
        <v>RHM1_ARATH</v>
      </c>
      <c r="D2869" t="s">
        <v>2683</v>
      </c>
      <c r="E2869" s="3" t="s">
        <v>3</v>
      </c>
      <c r="F2869" s="4">
        <v>0</v>
      </c>
      <c r="G2869" s="3">
        <v>3128</v>
      </c>
      <c r="H2869" s="3">
        <v>85</v>
      </c>
      <c r="I2869" s="3">
        <v>670</v>
      </c>
      <c r="J2869" s="3">
        <v>318</v>
      </c>
      <c r="K2869" s="3">
        <v>2327</v>
      </c>
      <c r="L2869" s="3">
        <v>2</v>
      </c>
      <c r="M2869" s="3">
        <v>669</v>
      </c>
    </row>
    <row r="2870" spans="1:13" x14ac:dyDescent="0.25">
      <c r="A2870" s="1" t="str">
        <f>HYPERLINK("http://www.rosaceae.org/Prunus/Prunus_persica/p.persica_gdr_reftransV1_0044367","p.persica_gdr_reftransV1_0044367")</f>
        <v>p.persica_gdr_reftransV1_0044367</v>
      </c>
      <c r="B2870" s="3">
        <v>1039</v>
      </c>
      <c r="C2870" s="1" t="str">
        <f>HYPERLINK("http://www.uniprot.org/uniprot/P24B2_ARATH","P24B2_ARATH")</f>
        <v>P24B2_ARATH</v>
      </c>
      <c r="D2870" t="s">
        <v>2684</v>
      </c>
      <c r="E2870" s="3" t="s">
        <v>3</v>
      </c>
      <c r="F2870" s="4">
        <v>7.0499999999999994E-105</v>
      </c>
      <c r="G2870" s="3">
        <v>802</v>
      </c>
      <c r="H2870" s="3">
        <v>76</v>
      </c>
      <c r="I2870" s="3">
        <v>193</v>
      </c>
      <c r="J2870" s="3">
        <v>211</v>
      </c>
      <c r="K2870" s="3">
        <v>789</v>
      </c>
      <c r="L2870" s="3">
        <v>16</v>
      </c>
      <c r="M2870" s="3">
        <v>208</v>
      </c>
    </row>
    <row r="2871" spans="1:13" x14ac:dyDescent="0.25">
      <c r="A2871" s="1" t="str">
        <f>HYPERLINK("http://www.rosaceae.org/Prunus/Prunus_persica/p.persica_gdr_reftransV1_0044417","p.persica_gdr_reftransV1_0044417")</f>
        <v>p.persica_gdr_reftransV1_0044417</v>
      </c>
      <c r="B2871" s="3">
        <v>1011</v>
      </c>
      <c r="C2871" s="1" t="str">
        <f>HYPERLINK("http://www.uniprot.org/uniprot/CAMT3_ARATH","CAMT3_ARATH")</f>
        <v>CAMT3_ARATH</v>
      </c>
      <c r="D2871" t="s">
        <v>2685</v>
      </c>
      <c r="E2871" s="3" t="s">
        <v>3</v>
      </c>
      <c r="F2871" s="4">
        <v>7.9400000000000002E-108</v>
      </c>
      <c r="G2871" s="3">
        <v>823</v>
      </c>
      <c r="H2871" s="3">
        <v>68</v>
      </c>
      <c r="I2871" s="3">
        <v>223</v>
      </c>
      <c r="J2871" s="3">
        <v>157</v>
      </c>
      <c r="K2871" s="3">
        <v>825</v>
      </c>
      <c r="L2871" s="3">
        <v>9</v>
      </c>
      <c r="M2871" s="3">
        <v>231</v>
      </c>
    </row>
    <row r="2872" spans="1:13" x14ac:dyDescent="0.25">
      <c r="A2872" s="1" t="str">
        <f>HYPERLINK("http://www.rosaceae.org/Prunus/Prunus_persica/p.persica_gdr_reftransV1_0044467","p.persica_gdr_reftransV1_0044467")</f>
        <v>p.persica_gdr_reftransV1_0044467</v>
      </c>
      <c r="B2872" s="3">
        <v>821</v>
      </c>
      <c r="C2872" s="1" t="str">
        <f>HYPERLINK("http://www.uniprot.org/uniprot/PRF1_SOLLC","PRF1_SOLLC")</f>
        <v>PRF1_SOLLC</v>
      </c>
      <c r="D2872" t="s">
        <v>2686</v>
      </c>
      <c r="E2872" s="3" t="s">
        <v>64</v>
      </c>
      <c r="F2872" s="4">
        <v>1.2000000000000001E-19</v>
      </c>
      <c r="G2872" s="3">
        <v>223</v>
      </c>
      <c r="H2872" s="3">
        <v>62</v>
      </c>
      <c r="I2872" s="3">
        <v>87</v>
      </c>
      <c r="J2872" s="3">
        <v>259</v>
      </c>
      <c r="K2872" s="3">
        <v>516</v>
      </c>
      <c r="L2872" s="3">
        <v>257</v>
      </c>
      <c r="M2872" s="3">
        <v>343</v>
      </c>
    </row>
    <row r="2873" spans="1:13" x14ac:dyDescent="0.25">
      <c r="A2873" s="1" t="str">
        <f>HYPERLINK("http://www.rosaceae.org/Prunus/Prunus_persica/p.persica_gdr_reftransV1_0044567","p.persica_gdr_reftransV1_0044567")</f>
        <v>p.persica_gdr_reftransV1_0044567</v>
      </c>
      <c r="B2873" s="3">
        <v>2301</v>
      </c>
      <c r="C2873" s="1" t="str">
        <f>HYPERLINK("http://www.uniprot.org/uniprot/SYNC1_ARATH","SYNC1_ARATH")</f>
        <v>SYNC1_ARATH</v>
      </c>
      <c r="D2873" t="s">
        <v>2687</v>
      </c>
      <c r="E2873" s="3" t="s">
        <v>3</v>
      </c>
      <c r="F2873" s="4">
        <v>0</v>
      </c>
      <c r="G2873" s="3">
        <v>2277</v>
      </c>
      <c r="H2873" s="3">
        <v>75</v>
      </c>
      <c r="I2873" s="3">
        <v>550</v>
      </c>
      <c r="J2873" s="3">
        <v>327</v>
      </c>
      <c r="K2873" s="3">
        <v>1970</v>
      </c>
      <c r="L2873" s="3">
        <v>23</v>
      </c>
      <c r="M2873" s="3">
        <v>572</v>
      </c>
    </row>
    <row r="2874" spans="1:13" x14ac:dyDescent="0.25">
      <c r="A2874" s="1" t="str">
        <f>HYPERLINK("http://www.rosaceae.org/Prunus/Prunus_persica/p.persica_gdr_reftransV1_0044617","p.persica_gdr_reftransV1_0044617")</f>
        <v>p.persica_gdr_reftransV1_0044617</v>
      </c>
      <c r="B2874" s="3">
        <v>2316</v>
      </c>
      <c r="C2874" s="1" t="str">
        <f>HYPERLINK("http://www.uniprot.org/uniprot/GTE12_ARATH","GTE12_ARATH")</f>
        <v>GTE12_ARATH</v>
      </c>
      <c r="D2874" t="s">
        <v>2688</v>
      </c>
      <c r="E2874" s="3" t="s">
        <v>3</v>
      </c>
      <c r="F2874" s="4">
        <v>5.6700000000000004E-38</v>
      </c>
      <c r="G2874" s="3">
        <v>384</v>
      </c>
      <c r="H2874" s="3">
        <v>56</v>
      </c>
      <c r="I2874" s="3">
        <v>123</v>
      </c>
      <c r="J2874" s="3">
        <v>1417</v>
      </c>
      <c r="K2874" s="3">
        <v>1782</v>
      </c>
      <c r="L2874" s="3">
        <v>45</v>
      </c>
      <c r="M2874" s="3">
        <v>167</v>
      </c>
    </row>
    <row r="2875" spans="1:13" x14ac:dyDescent="0.25">
      <c r="A2875" s="1" t="str">
        <f>HYPERLINK("http://www.rosaceae.org/Prunus/Prunus_persica/p.persica_gdr_reftransV1_0044717","p.persica_gdr_reftransV1_0044717")</f>
        <v>p.persica_gdr_reftransV1_0044717</v>
      </c>
      <c r="B2875" s="3">
        <v>1362</v>
      </c>
      <c r="C2875" s="1" t="str">
        <f>HYPERLINK("http://www.uniprot.org/uniprot/NUDT4_ARATH","NUDT4_ARATH")</f>
        <v>NUDT4_ARATH</v>
      </c>
      <c r="D2875" t="s">
        <v>2689</v>
      </c>
      <c r="E2875" s="3" t="s">
        <v>3</v>
      </c>
      <c r="F2875" s="4">
        <v>7.2300000000000006E-61</v>
      </c>
      <c r="G2875" s="3">
        <v>517</v>
      </c>
      <c r="H2875" s="3">
        <v>50</v>
      </c>
      <c r="I2875" s="3">
        <v>223</v>
      </c>
      <c r="J2875" s="3">
        <v>270</v>
      </c>
      <c r="K2875" s="3">
        <v>926</v>
      </c>
      <c r="L2875" s="3">
        <v>5</v>
      </c>
      <c r="M2875" s="3">
        <v>194</v>
      </c>
    </row>
    <row r="2876" spans="1:13" x14ac:dyDescent="0.25">
      <c r="A2876" s="1" t="str">
        <f>HYPERLINK("http://www.rosaceae.org/Prunus/Prunus_persica/p.persica_gdr_reftransV1_0044767","p.persica_gdr_reftransV1_0044767")</f>
        <v>p.persica_gdr_reftransV1_0044767</v>
      </c>
      <c r="B2876" s="3">
        <v>2935</v>
      </c>
      <c r="C2876" s="1" t="str">
        <f>HYPERLINK("http://www.uniprot.org/uniprot/TOP3A_ARATH","TOP3A_ARATH")</f>
        <v>TOP3A_ARATH</v>
      </c>
      <c r="D2876" t="s">
        <v>2690</v>
      </c>
      <c r="E2876" s="3" t="s">
        <v>3</v>
      </c>
      <c r="F2876" s="4">
        <v>0</v>
      </c>
      <c r="G2876" s="3">
        <v>3446</v>
      </c>
      <c r="H2876" s="3">
        <v>72</v>
      </c>
      <c r="I2876" s="3">
        <v>900</v>
      </c>
      <c r="J2876" s="3">
        <v>247</v>
      </c>
      <c r="K2876" s="3">
        <v>2934</v>
      </c>
      <c r="L2876" s="3">
        <v>20</v>
      </c>
      <c r="M2876" s="3">
        <v>918</v>
      </c>
    </row>
    <row r="2877" spans="1:13" x14ac:dyDescent="0.25">
      <c r="A2877" s="1" t="str">
        <f>HYPERLINK("http://www.rosaceae.org/Prunus/Prunus_persica/p.persica_gdr_reftransV1_0044817","p.persica_gdr_reftransV1_0044817")</f>
        <v>p.persica_gdr_reftransV1_0044817</v>
      </c>
      <c r="B2877" s="3">
        <v>1804</v>
      </c>
      <c r="C2877" s="1" t="str">
        <f>HYPERLINK("http://www.uniprot.org/uniprot/AMP23_MACIN","AMP23_MACIN")</f>
        <v>AMP23_MACIN</v>
      </c>
      <c r="D2877" t="s">
        <v>2691</v>
      </c>
      <c r="E2877" s="3" t="s">
        <v>883</v>
      </c>
      <c r="F2877" s="4">
        <v>7.5100000000000004E-39</v>
      </c>
      <c r="G2877" s="3">
        <v>390</v>
      </c>
      <c r="H2877" s="3">
        <v>26</v>
      </c>
      <c r="I2877" s="3">
        <v>420</v>
      </c>
      <c r="J2877" s="3">
        <v>344</v>
      </c>
      <c r="K2877" s="3">
        <v>1531</v>
      </c>
      <c r="L2877" s="3">
        <v>246</v>
      </c>
      <c r="M2877" s="3">
        <v>615</v>
      </c>
    </row>
    <row r="2878" spans="1:13" x14ac:dyDescent="0.25">
      <c r="A2878" s="1" t="str">
        <f>HYPERLINK("http://www.rosaceae.org/Prunus/Prunus_persica/p.persica_gdr_reftransV1_0044867","p.persica_gdr_reftransV1_0044867")</f>
        <v>p.persica_gdr_reftransV1_0044867</v>
      </c>
      <c r="B2878" s="3">
        <v>1718</v>
      </c>
      <c r="C2878" s="1" t="str">
        <f>HYPERLINK("http://www.uniprot.org/uniprot/MUTYH_ARATH","MUTYH_ARATH")</f>
        <v>MUTYH_ARATH</v>
      </c>
      <c r="D2878" t="s">
        <v>2692</v>
      </c>
      <c r="E2878" s="3" t="s">
        <v>3</v>
      </c>
      <c r="F2878" s="4">
        <v>5.2099999999999997E-157</v>
      </c>
      <c r="G2878" s="3">
        <v>1210</v>
      </c>
      <c r="H2878" s="3">
        <v>62</v>
      </c>
      <c r="I2878" s="3">
        <v>417</v>
      </c>
      <c r="J2878" s="3">
        <v>310</v>
      </c>
      <c r="K2878" s="3">
        <v>1491</v>
      </c>
      <c r="L2878" s="3">
        <v>118</v>
      </c>
      <c r="M2878" s="3">
        <v>529</v>
      </c>
    </row>
    <row r="2879" spans="1:13" x14ac:dyDescent="0.25">
      <c r="A2879" s="1" t="str">
        <f>HYPERLINK("http://www.rosaceae.org/Prunus/Prunus_persica/p.persica_gdr_reftransV1_0045017","p.persica_gdr_reftransV1_0045017")</f>
        <v>p.persica_gdr_reftransV1_0045017</v>
      </c>
      <c r="B2879" s="3">
        <v>361</v>
      </c>
      <c r="C2879" s="1" t="str">
        <f>HYPERLINK("http://www.uniprot.org/uniprot/QKY_ARATH","QKY_ARATH")</f>
        <v>QKY_ARATH</v>
      </c>
      <c r="D2879" t="s">
        <v>707</v>
      </c>
      <c r="E2879" s="3" t="s">
        <v>3</v>
      </c>
      <c r="F2879" s="4">
        <v>1.08E-37</v>
      </c>
      <c r="G2879" s="3">
        <v>353</v>
      </c>
      <c r="H2879" s="3">
        <v>59</v>
      </c>
      <c r="I2879" s="3">
        <v>114</v>
      </c>
      <c r="J2879" s="3">
        <v>1</v>
      </c>
      <c r="K2879" s="3">
        <v>330</v>
      </c>
      <c r="L2879" s="3">
        <v>36</v>
      </c>
      <c r="M2879" s="3">
        <v>149</v>
      </c>
    </row>
    <row r="2880" spans="1:13" x14ac:dyDescent="0.25">
      <c r="A2880" s="1" t="str">
        <f>HYPERLINK("http://www.rosaceae.org/Prunus/Prunus_persica/p.persica_gdr_reftransV1_0045067","p.persica_gdr_reftransV1_0045067")</f>
        <v>p.persica_gdr_reftransV1_0045067</v>
      </c>
      <c r="B2880" s="3">
        <v>716</v>
      </c>
      <c r="C2880" s="1" t="str">
        <f>HYPERLINK("http://www.uniprot.org/uniprot/YIPL6_ARATH","YIPL6_ARATH")</f>
        <v>YIPL6_ARATH</v>
      </c>
      <c r="D2880" t="s">
        <v>2693</v>
      </c>
      <c r="E2880" s="3" t="s">
        <v>3</v>
      </c>
      <c r="F2880" s="4">
        <v>1.3300000000000001E-62</v>
      </c>
      <c r="G2880" s="3">
        <v>501</v>
      </c>
      <c r="H2880" s="3">
        <v>87</v>
      </c>
      <c r="I2880" s="3">
        <v>106</v>
      </c>
      <c r="J2880" s="3">
        <v>163</v>
      </c>
      <c r="K2880" s="3">
        <v>480</v>
      </c>
      <c r="L2880" s="3">
        <v>1</v>
      </c>
      <c r="M2880" s="3">
        <v>106</v>
      </c>
    </row>
    <row r="2881" spans="1:13" x14ac:dyDescent="0.25">
      <c r="A2881" s="1" t="str">
        <f>HYPERLINK("http://www.rosaceae.org/Prunus/Prunus_persica/p.persica_gdr_reftransV1_0045117","p.persica_gdr_reftransV1_0045117")</f>
        <v>p.persica_gdr_reftransV1_0045117</v>
      </c>
      <c r="B2881" s="3">
        <v>2260</v>
      </c>
      <c r="C2881" s="1" t="str">
        <f>HYPERLINK("http://www.uniprot.org/uniprot/PAL1_PRUAV","PAL1_PRUAV")</f>
        <v>PAL1_PRUAV</v>
      </c>
      <c r="D2881" t="s">
        <v>2694</v>
      </c>
      <c r="E2881" s="3" t="s">
        <v>1404</v>
      </c>
      <c r="F2881" s="4">
        <v>0</v>
      </c>
      <c r="G2881" s="3">
        <v>3317</v>
      </c>
      <c r="H2881" s="3">
        <v>99</v>
      </c>
      <c r="I2881" s="3">
        <v>648</v>
      </c>
      <c r="J2881" s="3">
        <v>316</v>
      </c>
      <c r="K2881" s="3">
        <v>2259</v>
      </c>
      <c r="L2881" s="3">
        <v>70</v>
      </c>
      <c r="M2881" s="3">
        <v>717</v>
      </c>
    </row>
    <row r="2882" spans="1:13" x14ac:dyDescent="0.25">
      <c r="A2882" s="1" t="str">
        <f>HYPERLINK("http://www.rosaceae.org/Prunus/Prunus_persica/p.persica_gdr_reftransV1_0045167","p.persica_gdr_reftransV1_0045167")</f>
        <v>p.persica_gdr_reftransV1_0045167</v>
      </c>
      <c r="B2882" s="3">
        <v>983</v>
      </c>
      <c r="C2882" s="1" t="str">
        <f>HYPERLINK("http://www.uniprot.org/uniprot/EF100_ARATH","EF100_ARATH")</f>
        <v>EF100_ARATH</v>
      </c>
      <c r="D2882" t="s">
        <v>2695</v>
      </c>
      <c r="E2882" s="3" t="s">
        <v>3</v>
      </c>
      <c r="F2882" s="4">
        <v>6.4299999999999999E-63</v>
      </c>
      <c r="G2882" s="3">
        <v>526</v>
      </c>
      <c r="H2882" s="3">
        <v>60</v>
      </c>
      <c r="I2882" s="3">
        <v>229</v>
      </c>
      <c r="J2882" s="3">
        <v>319</v>
      </c>
      <c r="K2882" s="3">
        <v>975</v>
      </c>
      <c r="L2882" s="3">
        <v>7</v>
      </c>
      <c r="M2882" s="3">
        <v>218</v>
      </c>
    </row>
    <row r="2883" spans="1:13" x14ac:dyDescent="0.25">
      <c r="A2883" s="1" t="str">
        <f>HYPERLINK("http://www.rosaceae.org/Prunus/Prunus_persica/p.persica_gdr_reftransV1_0045217","p.persica_gdr_reftransV1_0045217")</f>
        <v>p.persica_gdr_reftransV1_0045217</v>
      </c>
      <c r="B2883" s="3">
        <v>465</v>
      </c>
      <c r="C2883" s="1" t="str">
        <f>HYPERLINK("http://www.uniprot.org/uniprot/PPR57_ARATH","PPR57_ARATH")</f>
        <v>PPR57_ARATH</v>
      </c>
      <c r="D2883" t="s">
        <v>1612</v>
      </c>
      <c r="E2883" s="3" t="s">
        <v>3</v>
      </c>
      <c r="F2883" s="4">
        <v>2.6900000000000001E-42</v>
      </c>
      <c r="G2883" s="3">
        <v>388</v>
      </c>
      <c r="H2883" s="3">
        <v>48</v>
      </c>
      <c r="I2883" s="3">
        <v>147</v>
      </c>
      <c r="J2883" s="3">
        <v>2</v>
      </c>
      <c r="K2883" s="3">
        <v>442</v>
      </c>
      <c r="L2883" s="3">
        <v>398</v>
      </c>
      <c r="M2883" s="3">
        <v>544</v>
      </c>
    </row>
    <row r="2884" spans="1:13" x14ac:dyDescent="0.25">
      <c r="A2884" s="1" t="str">
        <f>HYPERLINK("http://www.rosaceae.org/Prunus/Prunus_persica/p.persica_gdr_reftransV1_0045267","p.persica_gdr_reftransV1_0045267")</f>
        <v>p.persica_gdr_reftransV1_0045267</v>
      </c>
      <c r="B2884" s="3">
        <v>2067</v>
      </c>
      <c r="C2884" s="1" t="str">
        <f>HYPERLINK("http://www.uniprot.org/uniprot/Y5262_ARATH","Y5262_ARATH")</f>
        <v>Y5262_ARATH</v>
      </c>
      <c r="D2884" t="s">
        <v>399</v>
      </c>
      <c r="E2884" s="3" t="s">
        <v>3</v>
      </c>
      <c r="F2884" s="4">
        <v>1.0600000000000001E-8</v>
      </c>
      <c r="G2884" s="3">
        <v>149</v>
      </c>
      <c r="H2884" s="3">
        <v>23</v>
      </c>
      <c r="I2884" s="3">
        <v>449</v>
      </c>
      <c r="J2884" s="3">
        <v>457</v>
      </c>
      <c r="K2884" s="3">
        <v>1701</v>
      </c>
      <c r="L2884" s="3">
        <v>5</v>
      </c>
      <c r="M2884" s="3">
        <v>409</v>
      </c>
    </row>
    <row r="2885" spans="1:13" x14ac:dyDescent="0.25">
      <c r="A2885" s="1" t="str">
        <f>HYPERLINK("http://www.rosaceae.org/Prunus/Prunus_persica/p.persica_gdr_reftransV1_0045317","p.persica_gdr_reftransV1_0045317")</f>
        <v>p.persica_gdr_reftransV1_0045317</v>
      </c>
      <c r="B2885" s="3">
        <v>1044</v>
      </c>
      <c r="C2885" s="1" t="str">
        <f>HYPERLINK("http://www.uniprot.org/uniprot/AAP3_ARATH","AAP3_ARATH")</f>
        <v>AAP3_ARATH</v>
      </c>
      <c r="D2885" t="s">
        <v>1759</v>
      </c>
      <c r="E2885" s="3" t="s">
        <v>3</v>
      </c>
      <c r="F2885" s="4">
        <v>7.1700000000000003E-119</v>
      </c>
      <c r="G2885" s="3">
        <v>920</v>
      </c>
      <c r="H2885" s="3">
        <v>70</v>
      </c>
      <c r="I2885" s="3">
        <v>243</v>
      </c>
      <c r="J2885" s="3">
        <v>2</v>
      </c>
      <c r="K2885" s="3">
        <v>730</v>
      </c>
      <c r="L2885" s="3">
        <v>234</v>
      </c>
      <c r="M2885" s="3">
        <v>476</v>
      </c>
    </row>
    <row r="2886" spans="1:13" x14ac:dyDescent="0.25">
      <c r="A2886" s="1" t="str">
        <f>HYPERLINK("http://www.rosaceae.org/Prunus/Prunus_persica/p.persica_gdr_reftransV1_0045367","p.persica_gdr_reftransV1_0045367")</f>
        <v>p.persica_gdr_reftransV1_0045367</v>
      </c>
      <c r="B2886" s="3">
        <v>2065</v>
      </c>
      <c r="C2886" s="1" t="str">
        <f>HYPERLINK("http://www.uniprot.org/uniprot/KCS1_ARATH","KCS1_ARATH")</f>
        <v>KCS1_ARATH</v>
      </c>
      <c r="D2886" t="s">
        <v>2696</v>
      </c>
      <c r="E2886" s="3" t="s">
        <v>3</v>
      </c>
      <c r="F2886" s="4">
        <v>0</v>
      </c>
      <c r="G2886" s="3">
        <v>2161</v>
      </c>
      <c r="H2886" s="3">
        <v>76</v>
      </c>
      <c r="I2886" s="3">
        <v>525</v>
      </c>
      <c r="J2886" s="3">
        <v>301</v>
      </c>
      <c r="K2886" s="3">
        <v>1875</v>
      </c>
      <c r="L2886" s="3">
        <v>5</v>
      </c>
      <c r="M2886" s="3">
        <v>526</v>
      </c>
    </row>
    <row r="2887" spans="1:13" x14ac:dyDescent="0.25">
      <c r="A2887" s="1" t="str">
        <f>HYPERLINK("http://www.rosaceae.org/Prunus/Prunus_persica/p.persica_gdr_reftransV1_0045417","p.persica_gdr_reftransV1_0045417")</f>
        <v>p.persica_gdr_reftransV1_0045417</v>
      </c>
      <c r="B2887" s="3">
        <v>1657</v>
      </c>
      <c r="C2887" s="1" t="str">
        <f>HYPERLINK("http://www.uniprot.org/uniprot/UGT7_CATRO","UGT7_CATRO")</f>
        <v>UGT7_CATRO</v>
      </c>
      <c r="D2887" t="s">
        <v>2697</v>
      </c>
      <c r="E2887" s="3" t="s">
        <v>457</v>
      </c>
      <c r="F2887" s="4">
        <v>5.4500000000000003E-152</v>
      </c>
      <c r="G2887" s="3">
        <v>1159</v>
      </c>
      <c r="H2887" s="3">
        <v>52</v>
      </c>
      <c r="I2887" s="3">
        <v>446</v>
      </c>
      <c r="J2887" s="3">
        <v>214</v>
      </c>
      <c r="K2887" s="3">
        <v>1536</v>
      </c>
      <c r="L2887" s="3">
        <v>10</v>
      </c>
      <c r="M2887" s="3">
        <v>453</v>
      </c>
    </row>
    <row r="2888" spans="1:13" x14ac:dyDescent="0.25">
      <c r="A2888" s="1" t="str">
        <f>HYPERLINK("http://www.rosaceae.org/Prunus/Prunus_persica/p.persica_gdr_reftransV1_0045467","p.persica_gdr_reftransV1_0045467")</f>
        <v>p.persica_gdr_reftransV1_0045467</v>
      </c>
      <c r="B2888" s="3">
        <v>1108</v>
      </c>
      <c r="C2888" s="1" t="str">
        <f>HYPERLINK("http://www.uniprot.org/uniprot/RAC3_ARATH","RAC3_ARATH")</f>
        <v>RAC3_ARATH</v>
      </c>
      <c r="D2888" t="s">
        <v>2698</v>
      </c>
      <c r="E2888" s="3" t="s">
        <v>3</v>
      </c>
      <c r="F2888" s="4">
        <v>1.5E-124</v>
      </c>
      <c r="G2888" s="3">
        <v>933</v>
      </c>
      <c r="H2888" s="3">
        <v>92</v>
      </c>
      <c r="I2888" s="3">
        <v>198</v>
      </c>
      <c r="J2888" s="3">
        <v>378</v>
      </c>
      <c r="K2888" s="3">
        <v>971</v>
      </c>
      <c r="L2888" s="3">
        <v>1</v>
      </c>
      <c r="M2888" s="3">
        <v>198</v>
      </c>
    </row>
    <row r="2889" spans="1:13" x14ac:dyDescent="0.25">
      <c r="A2889" s="1" t="str">
        <f>HYPERLINK("http://www.rosaceae.org/Prunus/Prunus_persica/p.persica_gdr_reftransV1_0045517","p.persica_gdr_reftransV1_0045517")</f>
        <v>p.persica_gdr_reftransV1_0045517</v>
      </c>
      <c r="B2889" s="3">
        <v>3326</v>
      </c>
      <c r="C2889" s="1" t="str">
        <f>HYPERLINK("http://www.uniprot.org/uniprot/COB22_ARATH","COB22_ARATH")</f>
        <v>COB22_ARATH</v>
      </c>
      <c r="D2889" t="s">
        <v>2365</v>
      </c>
      <c r="E2889" s="3" t="s">
        <v>3</v>
      </c>
      <c r="F2889" s="4">
        <v>0</v>
      </c>
      <c r="G2889" s="3">
        <v>4243</v>
      </c>
      <c r="H2889" s="3">
        <v>87</v>
      </c>
      <c r="I2889" s="3">
        <v>916</v>
      </c>
      <c r="J2889" s="3">
        <v>453</v>
      </c>
      <c r="K2889" s="3">
        <v>3194</v>
      </c>
      <c r="L2889" s="3">
        <v>1</v>
      </c>
      <c r="M2889" s="3">
        <v>916</v>
      </c>
    </row>
    <row r="2890" spans="1:13" x14ac:dyDescent="0.25">
      <c r="A2890" s="1" t="str">
        <f>HYPERLINK("http://www.rosaceae.org/Prunus/Prunus_persica/p.persica_gdr_reftransV1_0045567","p.persica_gdr_reftransV1_0045567")</f>
        <v>p.persica_gdr_reftransV1_0045567</v>
      </c>
      <c r="B2890" s="3">
        <v>1503</v>
      </c>
      <c r="C2890" s="1" t="str">
        <f>HYPERLINK("http://www.uniprot.org/uniprot/PLP6_ARATH","PLP6_ARATH")</f>
        <v>PLP6_ARATH</v>
      </c>
      <c r="D2890" t="s">
        <v>2699</v>
      </c>
      <c r="E2890" s="3" t="s">
        <v>3</v>
      </c>
      <c r="F2890" s="4">
        <v>2.09E-97</v>
      </c>
      <c r="G2890" s="3">
        <v>793</v>
      </c>
      <c r="H2890" s="3">
        <v>51</v>
      </c>
      <c r="I2890" s="3">
        <v>362</v>
      </c>
      <c r="J2890" s="3">
        <v>175</v>
      </c>
      <c r="K2890" s="3">
        <v>1194</v>
      </c>
      <c r="L2890" s="3">
        <v>126</v>
      </c>
      <c r="M2890" s="3">
        <v>480</v>
      </c>
    </row>
    <row r="2891" spans="1:13" x14ac:dyDescent="0.25">
      <c r="A2891" s="1" t="str">
        <f>HYPERLINK("http://www.rosaceae.org/Prunus/Prunus_persica/p.persica_gdr_reftransV1_0045617","p.persica_gdr_reftransV1_0045617")</f>
        <v>p.persica_gdr_reftransV1_0045617</v>
      </c>
      <c r="B2891" s="3">
        <v>2805</v>
      </c>
      <c r="C2891" s="1" t="str">
        <f>HYPERLINK("http://www.uniprot.org/uniprot/FB248_ARATH","FB248_ARATH")</f>
        <v>FB248_ARATH</v>
      </c>
      <c r="D2891" t="s">
        <v>2700</v>
      </c>
      <c r="E2891" s="3" t="s">
        <v>3</v>
      </c>
      <c r="F2891" s="4">
        <v>2.0400000000000001E-96</v>
      </c>
      <c r="G2891" s="3">
        <v>800</v>
      </c>
      <c r="H2891" s="3">
        <v>55</v>
      </c>
      <c r="I2891" s="3">
        <v>321</v>
      </c>
      <c r="J2891" s="3">
        <v>354</v>
      </c>
      <c r="K2891" s="3">
        <v>1145</v>
      </c>
      <c r="L2891" s="3">
        <v>1</v>
      </c>
      <c r="M2891" s="3">
        <v>320</v>
      </c>
    </row>
    <row r="2892" spans="1:13" x14ac:dyDescent="0.25">
      <c r="A2892" s="1" t="str">
        <f>HYPERLINK("http://www.rosaceae.org/Prunus/Prunus_persica/p.persica_gdr_reftransV1_0045867","p.persica_gdr_reftransV1_0045867")</f>
        <v>p.persica_gdr_reftransV1_0045867</v>
      </c>
      <c r="B2892" s="3">
        <v>1450</v>
      </c>
      <c r="C2892" s="1" t="str">
        <f>HYPERLINK("http://www.uniprot.org/uniprot/GLNA_VIGAC","GLNA_VIGAC")</f>
        <v>GLNA_VIGAC</v>
      </c>
      <c r="D2892" t="s">
        <v>2701</v>
      </c>
      <c r="E2892" s="3" t="s">
        <v>2702</v>
      </c>
      <c r="F2892" s="4">
        <v>0</v>
      </c>
      <c r="G2892" s="3">
        <v>1657</v>
      </c>
      <c r="H2892" s="3">
        <v>90</v>
      </c>
      <c r="I2892" s="3">
        <v>340</v>
      </c>
      <c r="J2892" s="3">
        <v>148</v>
      </c>
      <c r="K2892" s="3">
        <v>1167</v>
      </c>
      <c r="L2892" s="3">
        <v>16</v>
      </c>
      <c r="M2892" s="3">
        <v>355</v>
      </c>
    </row>
    <row r="2893" spans="1:13" x14ac:dyDescent="0.25">
      <c r="A2893" s="1" t="str">
        <f>HYPERLINK("http://www.rosaceae.org/Prunus/Prunus_persica/p.persica_gdr_reftransV1_0045917","p.persica_gdr_reftransV1_0045917")</f>
        <v>p.persica_gdr_reftransV1_0045917</v>
      </c>
      <c r="B2893" s="3">
        <v>968</v>
      </c>
      <c r="C2893" s="1" t="str">
        <f>HYPERLINK("http://www.uniprot.org/uniprot/1433D_SOYBN","1433D_SOYBN")</f>
        <v>1433D_SOYBN</v>
      </c>
      <c r="D2893" t="s">
        <v>2703</v>
      </c>
      <c r="E2893" s="3" t="s">
        <v>307</v>
      </c>
      <c r="F2893" s="4">
        <v>8.9300000000000006E-121</v>
      </c>
      <c r="G2893" s="3">
        <v>910</v>
      </c>
      <c r="H2893" s="3">
        <v>84</v>
      </c>
      <c r="I2893" s="3">
        <v>203</v>
      </c>
      <c r="J2893" s="3">
        <v>3</v>
      </c>
      <c r="K2893" s="3">
        <v>608</v>
      </c>
      <c r="L2893" s="3">
        <v>60</v>
      </c>
      <c r="M2893" s="3">
        <v>261</v>
      </c>
    </row>
    <row r="2894" spans="1:13" x14ac:dyDescent="0.25">
      <c r="A2894" s="1" t="str">
        <f>HYPERLINK("http://www.rosaceae.org/Prunus/Prunus_persica/p.persica_gdr_reftransV1_0045967","p.persica_gdr_reftransV1_0045967")</f>
        <v>p.persica_gdr_reftransV1_0045967</v>
      </c>
      <c r="B2894" s="3">
        <v>2404</v>
      </c>
      <c r="C2894" s="1" t="str">
        <f>HYPERLINK("http://www.uniprot.org/uniprot/CKB22_ARATH","CKB22_ARATH")</f>
        <v>CKB22_ARATH</v>
      </c>
      <c r="D2894" t="s">
        <v>2704</v>
      </c>
      <c r="E2894" s="3" t="s">
        <v>3</v>
      </c>
      <c r="F2894" s="4">
        <v>0</v>
      </c>
      <c r="G2894" s="3">
        <v>1441</v>
      </c>
      <c r="H2894" s="3">
        <v>87</v>
      </c>
      <c r="I2894" s="3">
        <v>307</v>
      </c>
      <c r="J2894" s="3">
        <v>846</v>
      </c>
      <c r="K2894" s="3">
        <v>1763</v>
      </c>
      <c r="L2894" s="3">
        <v>9</v>
      </c>
      <c r="M2894" s="3">
        <v>315</v>
      </c>
    </row>
    <row r="2895" spans="1:13" x14ac:dyDescent="0.25">
      <c r="A2895" s="1" t="str">
        <f>HYPERLINK("http://www.rosaceae.org/Prunus/Prunus_persica/p.persica_gdr_reftransV1_0046017","p.persica_gdr_reftransV1_0046017")</f>
        <v>p.persica_gdr_reftransV1_0046017</v>
      </c>
      <c r="B2895" s="3">
        <v>1127</v>
      </c>
      <c r="C2895" s="1" t="str">
        <f>HYPERLINK("http://www.uniprot.org/uniprot/RP45C_ARATH","RP45C_ARATH")</f>
        <v>RP45C_ARATH</v>
      </c>
      <c r="D2895" t="s">
        <v>956</v>
      </c>
      <c r="E2895" s="3" t="s">
        <v>3</v>
      </c>
      <c r="F2895" s="4">
        <v>2.3600000000000001E-53</v>
      </c>
      <c r="G2895" s="3">
        <v>396</v>
      </c>
      <c r="H2895" s="3">
        <v>75</v>
      </c>
      <c r="I2895" s="3">
        <v>129</v>
      </c>
      <c r="J2895" s="3">
        <v>225</v>
      </c>
      <c r="K2895" s="3">
        <v>611</v>
      </c>
      <c r="L2895" s="3">
        <v>261</v>
      </c>
      <c r="M2895" s="3">
        <v>389</v>
      </c>
    </row>
    <row r="2896" spans="1:13" x14ac:dyDescent="0.25">
      <c r="A2896" s="1" t="str">
        <f>HYPERLINK("http://www.rosaceae.org/Prunus/Prunus_persica/p.persica_gdr_reftransV1_0046067","p.persica_gdr_reftransV1_0046067")</f>
        <v>p.persica_gdr_reftransV1_0046067</v>
      </c>
      <c r="B2896" s="3">
        <v>1675</v>
      </c>
      <c r="C2896" s="1" t="str">
        <f>HYPERLINK("http://www.uniprot.org/uniprot/ARFS_ARATH","ARFS_ARATH")</f>
        <v>ARFS_ARATH</v>
      </c>
      <c r="D2896" t="s">
        <v>2705</v>
      </c>
      <c r="E2896" s="3" t="s">
        <v>3</v>
      </c>
      <c r="F2896" s="4">
        <v>9.9200000000000002E-143</v>
      </c>
      <c r="G2896" s="3">
        <v>1148</v>
      </c>
      <c r="H2896" s="3">
        <v>61</v>
      </c>
      <c r="I2896" s="3">
        <v>392</v>
      </c>
      <c r="J2896" s="3">
        <v>370</v>
      </c>
      <c r="K2896" s="3">
        <v>1488</v>
      </c>
      <c r="L2896" s="3">
        <v>701</v>
      </c>
      <c r="M2896" s="3">
        <v>1086</v>
      </c>
    </row>
    <row r="2897" spans="1:13" x14ac:dyDescent="0.25">
      <c r="A2897" s="1" t="str">
        <f>HYPERLINK("http://www.rosaceae.org/Prunus/Prunus_persica/p.persica_gdr_reftransV1_0046117","p.persica_gdr_reftransV1_0046117")</f>
        <v>p.persica_gdr_reftransV1_0046117</v>
      </c>
      <c r="B2897" s="3">
        <v>386</v>
      </c>
      <c r="C2897" s="1" t="str">
        <f>HYPERLINK("http://www.uniprot.org/uniprot/PDR1_TOBAC","PDR1_TOBAC")</f>
        <v>PDR1_TOBAC</v>
      </c>
      <c r="D2897" t="s">
        <v>498</v>
      </c>
      <c r="E2897" s="3" t="s">
        <v>200</v>
      </c>
      <c r="F2897" s="4">
        <v>2.8399999999999998E-54</v>
      </c>
      <c r="G2897" s="3">
        <v>478</v>
      </c>
      <c r="H2897" s="3">
        <v>75</v>
      </c>
      <c r="I2897" s="3">
        <v>128</v>
      </c>
      <c r="J2897" s="3">
        <v>3</v>
      </c>
      <c r="K2897" s="3">
        <v>386</v>
      </c>
      <c r="L2897" s="3">
        <v>1236</v>
      </c>
      <c r="M2897" s="3">
        <v>1363</v>
      </c>
    </row>
    <row r="2898" spans="1:13" x14ac:dyDescent="0.25">
      <c r="A2898" s="1" t="str">
        <f>HYPERLINK("http://www.rosaceae.org/Prunus/Prunus_persica/p.persica_gdr_reftransV1_0046267","p.persica_gdr_reftransV1_0046267")</f>
        <v>p.persica_gdr_reftransV1_0046267</v>
      </c>
      <c r="B2898" s="3">
        <v>685</v>
      </c>
      <c r="C2898" s="1" t="str">
        <f>HYPERLINK("http://www.uniprot.org/uniprot/Y8948_DICDI","Y8948_DICDI")</f>
        <v>Y8948_DICDI</v>
      </c>
      <c r="D2898" t="s">
        <v>2706</v>
      </c>
      <c r="E2898" s="3" t="s">
        <v>9</v>
      </c>
      <c r="F2898" s="4">
        <v>4.8699999999999998E-20</v>
      </c>
      <c r="G2898" s="3">
        <v>221</v>
      </c>
      <c r="H2898" s="3">
        <v>30</v>
      </c>
      <c r="I2898" s="3">
        <v>207</v>
      </c>
      <c r="J2898" s="3">
        <v>65</v>
      </c>
      <c r="K2898" s="3">
        <v>670</v>
      </c>
      <c r="L2898" s="3">
        <v>15</v>
      </c>
      <c r="M2898" s="3">
        <v>207</v>
      </c>
    </row>
    <row r="2899" spans="1:13" x14ac:dyDescent="0.25">
      <c r="A2899" s="1" t="str">
        <f>HYPERLINK("http://www.rosaceae.org/Prunus/Prunus_persica/p.persica_gdr_reftransV1_0046317","p.persica_gdr_reftransV1_0046317")</f>
        <v>p.persica_gdr_reftransV1_0046317</v>
      </c>
      <c r="B2899" s="3">
        <v>922</v>
      </c>
      <c r="C2899" s="1" t="str">
        <f>HYPERLINK("http://www.uniprot.org/uniprot/Y5258_ARATH","Y5258_ARATH")</f>
        <v>Y5258_ARATH</v>
      </c>
      <c r="D2899" t="s">
        <v>2707</v>
      </c>
      <c r="E2899" s="3" t="s">
        <v>3</v>
      </c>
      <c r="F2899" s="4">
        <v>1.67E-41</v>
      </c>
      <c r="G2899" s="3">
        <v>367</v>
      </c>
      <c r="H2899" s="3">
        <v>69</v>
      </c>
      <c r="I2899" s="3">
        <v>100</v>
      </c>
      <c r="J2899" s="3">
        <v>224</v>
      </c>
      <c r="K2899" s="3">
        <v>523</v>
      </c>
      <c r="L2899" s="3">
        <v>6</v>
      </c>
      <c r="M2899" s="3">
        <v>105</v>
      </c>
    </row>
    <row r="2900" spans="1:13" x14ac:dyDescent="0.25">
      <c r="A2900" s="1" t="str">
        <f>HYPERLINK("http://www.rosaceae.org/Prunus/Prunus_persica/p.persica_gdr_reftransV1_0046367","p.persica_gdr_reftransV1_0046367")</f>
        <v>p.persica_gdr_reftransV1_0046367</v>
      </c>
      <c r="B2900" s="3">
        <v>2471</v>
      </c>
      <c r="C2900" s="1" t="str">
        <f>HYPERLINK("http://www.uniprot.org/uniprot/BGH3B_BACO1","BGH3B_BACO1")</f>
        <v>BGH3B_BACO1</v>
      </c>
      <c r="D2900" t="s">
        <v>355</v>
      </c>
      <c r="E2900" s="3" t="s">
        <v>356</v>
      </c>
      <c r="F2900" s="4">
        <v>1.29E-81</v>
      </c>
      <c r="G2900" s="3">
        <v>727</v>
      </c>
      <c r="H2900" s="3">
        <v>31</v>
      </c>
      <c r="I2900" s="3">
        <v>650</v>
      </c>
      <c r="J2900" s="3">
        <v>504</v>
      </c>
      <c r="K2900" s="3">
        <v>2285</v>
      </c>
      <c r="L2900" s="3">
        <v>35</v>
      </c>
      <c r="M2900" s="3">
        <v>663</v>
      </c>
    </row>
    <row r="2901" spans="1:13" x14ac:dyDescent="0.25">
      <c r="A2901" s="1" t="str">
        <f>HYPERLINK("http://www.rosaceae.org/Prunus/Prunus_persica/p.persica_gdr_reftransV1_0046467","p.persica_gdr_reftransV1_0046467")</f>
        <v>p.persica_gdr_reftransV1_0046467</v>
      </c>
      <c r="B2901" s="3">
        <v>2504</v>
      </c>
      <c r="C2901" s="1" t="str">
        <f>HYPERLINK("http://www.uniprot.org/uniprot/ESF1_RAT","ESF1_RAT")</f>
        <v>ESF1_RAT</v>
      </c>
      <c r="D2901" t="s">
        <v>2708</v>
      </c>
      <c r="E2901" s="3" t="s">
        <v>161</v>
      </c>
      <c r="F2901" s="4">
        <v>3.4E-46</v>
      </c>
      <c r="G2901" s="3">
        <v>460</v>
      </c>
      <c r="H2901" s="3">
        <v>45</v>
      </c>
      <c r="I2901" s="3">
        <v>221</v>
      </c>
      <c r="J2901" s="3">
        <v>1308</v>
      </c>
      <c r="K2901" s="3">
        <v>1946</v>
      </c>
      <c r="L2901" s="3">
        <v>319</v>
      </c>
      <c r="M2901" s="3">
        <v>533</v>
      </c>
    </row>
    <row r="2902" spans="1:13" x14ac:dyDescent="0.25">
      <c r="A2902" s="1" t="str">
        <f>HYPERLINK("http://www.rosaceae.org/Prunus/Prunus_persica/p.persica_gdr_reftransV1_0046517","p.persica_gdr_reftransV1_0046517")</f>
        <v>p.persica_gdr_reftransV1_0046517</v>
      </c>
      <c r="B2902" s="3">
        <v>1007</v>
      </c>
      <c r="C2902" s="1" t="str">
        <f>HYPERLINK("http://www.uniprot.org/uniprot/CNGC1_ARATH","CNGC1_ARATH")</f>
        <v>CNGC1_ARATH</v>
      </c>
      <c r="D2902" t="s">
        <v>241</v>
      </c>
      <c r="E2902" s="3" t="s">
        <v>3</v>
      </c>
      <c r="F2902" s="4">
        <v>1.2099999999999999E-65</v>
      </c>
      <c r="G2902" s="3">
        <v>574</v>
      </c>
      <c r="H2902" s="3">
        <v>44</v>
      </c>
      <c r="I2902" s="3">
        <v>286</v>
      </c>
      <c r="J2902" s="3">
        <v>1</v>
      </c>
      <c r="K2902" s="3">
        <v>846</v>
      </c>
      <c r="L2902" s="3">
        <v>91</v>
      </c>
      <c r="M2902" s="3">
        <v>373</v>
      </c>
    </row>
    <row r="2903" spans="1:13" x14ac:dyDescent="0.25">
      <c r="A2903" s="1" t="str">
        <f>HYPERLINK("http://www.rosaceae.org/Prunus/Prunus_persica/p.persica_gdr_reftransV1_0046567","p.persica_gdr_reftransV1_0046567")</f>
        <v>p.persica_gdr_reftransV1_0046567</v>
      </c>
      <c r="B2903" s="3">
        <v>3418</v>
      </c>
      <c r="C2903" s="1" t="str">
        <f>HYPERLINK("http://www.uniprot.org/uniprot/ARFD_ARATH","ARFD_ARATH")</f>
        <v>ARFD_ARATH</v>
      </c>
      <c r="D2903" t="s">
        <v>552</v>
      </c>
      <c r="E2903" s="3" t="s">
        <v>3</v>
      </c>
      <c r="F2903" s="4">
        <v>9.7200000000000001E-152</v>
      </c>
      <c r="G2903" s="3">
        <v>1235</v>
      </c>
      <c r="H2903" s="3">
        <v>78</v>
      </c>
      <c r="I2903" s="3">
        <v>299</v>
      </c>
      <c r="J2903" s="3">
        <v>1827</v>
      </c>
      <c r="K2903" s="3">
        <v>2720</v>
      </c>
      <c r="L2903" s="3">
        <v>62</v>
      </c>
      <c r="M2903" s="3">
        <v>359</v>
      </c>
    </row>
    <row r="2904" spans="1:13" x14ac:dyDescent="0.25">
      <c r="A2904" s="1" t="str">
        <f>HYPERLINK("http://www.rosaceae.org/Prunus/Prunus_persica/p.persica_gdr_reftransV1_0046617","p.persica_gdr_reftransV1_0046617")</f>
        <v>p.persica_gdr_reftransV1_0046617</v>
      </c>
      <c r="B2904" s="3">
        <v>1068</v>
      </c>
      <c r="C2904" s="1" t="str">
        <f>HYPERLINK("http://www.uniprot.org/uniprot/FRI3_SOYBN","FRI3_SOYBN")</f>
        <v>FRI3_SOYBN</v>
      </c>
      <c r="D2904" t="s">
        <v>1689</v>
      </c>
      <c r="E2904" s="3" t="s">
        <v>307</v>
      </c>
      <c r="F2904" s="4">
        <v>3.34E-100</v>
      </c>
      <c r="G2904" s="3">
        <v>777</v>
      </c>
      <c r="H2904" s="3">
        <v>79</v>
      </c>
      <c r="I2904" s="3">
        <v>211</v>
      </c>
      <c r="J2904" s="3">
        <v>205</v>
      </c>
      <c r="K2904" s="3">
        <v>837</v>
      </c>
      <c r="L2904" s="3">
        <v>41</v>
      </c>
      <c r="M2904" s="3">
        <v>251</v>
      </c>
    </row>
    <row r="2905" spans="1:13" x14ac:dyDescent="0.25">
      <c r="A2905" s="1" t="str">
        <f>HYPERLINK("http://www.rosaceae.org/Prunus/Prunus_persica/p.persica_gdr_reftransV1_0046667","p.persica_gdr_reftransV1_0046667")</f>
        <v>p.persica_gdr_reftransV1_0046667</v>
      </c>
      <c r="B2905" s="3">
        <v>2242</v>
      </c>
      <c r="C2905" s="1" t="str">
        <f>HYPERLINK("http://www.uniprot.org/uniprot/MGAT2_PIG","MGAT2_PIG")</f>
        <v>MGAT2_PIG</v>
      </c>
      <c r="D2905" t="s">
        <v>2709</v>
      </c>
      <c r="E2905" s="3" t="s">
        <v>1126</v>
      </c>
      <c r="F2905" s="4">
        <v>3.3200000000000002E-58</v>
      </c>
      <c r="G2905" s="3">
        <v>533</v>
      </c>
      <c r="H2905" s="3">
        <v>34</v>
      </c>
      <c r="I2905" s="3">
        <v>352</v>
      </c>
      <c r="J2905" s="3">
        <v>162</v>
      </c>
      <c r="K2905" s="3">
        <v>1166</v>
      </c>
      <c r="L2905" s="3">
        <v>105</v>
      </c>
      <c r="M2905" s="3">
        <v>445</v>
      </c>
    </row>
    <row r="2906" spans="1:13" x14ac:dyDescent="0.25">
      <c r="A2906" s="1" t="str">
        <f>HYPERLINK("http://www.rosaceae.org/Prunus/Prunus_persica/p.persica_gdr_reftransV1_0046717","p.persica_gdr_reftransV1_0046717")</f>
        <v>p.persica_gdr_reftransV1_0046717</v>
      </c>
      <c r="B2906" s="3">
        <v>1508</v>
      </c>
      <c r="C2906" s="1" t="str">
        <f>HYPERLINK("http://www.uniprot.org/uniprot/YM94_YEAST","YM94_YEAST")</f>
        <v>YM94_YEAST</v>
      </c>
      <c r="D2906" t="s">
        <v>2710</v>
      </c>
      <c r="E2906" s="3" t="s">
        <v>34</v>
      </c>
      <c r="F2906" s="4">
        <v>1.2200000000000001E-12</v>
      </c>
      <c r="G2906" s="3">
        <v>177</v>
      </c>
      <c r="H2906" s="3">
        <v>26</v>
      </c>
      <c r="I2906" s="3">
        <v>364</v>
      </c>
      <c r="J2906" s="3">
        <v>159</v>
      </c>
      <c r="K2906" s="3">
        <v>1217</v>
      </c>
      <c r="L2906" s="3">
        <v>5</v>
      </c>
      <c r="M2906" s="3">
        <v>348</v>
      </c>
    </row>
    <row r="2907" spans="1:13" x14ac:dyDescent="0.25">
      <c r="A2907" s="1" t="str">
        <f>HYPERLINK("http://www.rosaceae.org/Prunus/Prunus_persica/p.persica_gdr_reftransV1_0046767","p.persica_gdr_reftransV1_0046767")</f>
        <v>p.persica_gdr_reftransV1_0046767</v>
      </c>
      <c r="B2907" s="3">
        <v>1733</v>
      </c>
      <c r="C2907" s="1" t="str">
        <f>HYPERLINK("http://www.uniprot.org/uniprot/TT12_ARATH","TT12_ARATH")</f>
        <v>TT12_ARATH</v>
      </c>
      <c r="D2907" t="s">
        <v>353</v>
      </c>
      <c r="E2907" s="3" t="s">
        <v>3</v>
      </c>
      <c r="F2907" s="4">
        <v>1.0199999999999999E-73</v>
      </c>
      <c r="G2907" s="3">
        <v>638</v>
      </c>
      <c r="H2907" s="3">
        <v>41</v>
      </c>
      <c r="I2907" s="3">
        <v>395</v>
      </c>
      <c r="J2907" s="3">
        <v>41</v>
      </c>
      <c r="K2907" s="3">
        <v>1222</v>
      </c>
      <c r="L2907" s="3">
        <v>109</v>
      </c>
      <c r="M2907" s="3">
        <v>503</v>
      </c>
    </row>
    <row r="2908" spans="1:13" x14ac:dyDescent="0.25">
      <c r="A2908" s="1" t="str">
        <f>HYPERLINK("http://www.rosaceae.org/Prunus/Prunus_persica/p.persica_gdr_reftransV1_0046867","p.persica_gdr_reftransV1_0046867")</f>
        <v>p.persica_gdr_reftransV1_0046867</v>
      </c>
      <c r="B2908" s="3">
        <v>1309</v>
      </c>
      <c r="C2908" s="1" t="str">
        <f>HYPERLINK("http://www.uniprot.org/uniprot/HDHD3_XENLA","HDHD3_XENLA")</f>
        <v>HDHD3_XENLA</v>
      </c>
      <c r="D2908" t="s">
        <v>2711</v>
      </c>
      <c r="E2908" s="3" t="s">
        <v>475</v>
      </c>
      <c r="F2908" s="4">
        <v>1.7800000000000001E-16</v>
      </c>
      <c r="G2908" s="3">
        <v>202</v>
      </c>
      <c r="H2908" s="3">
        <v>33</v>
      </c>
      <c r="I2908" s="3">
        <v>203</v>
      </c>
      <c r="J2908" s="3">
        <v>406</v>
      </c>
      <c r="K2908" s="3">
        <v>972</v>
      </c>
      <c r="L2908" s="3">
        <v>9</v>
      </c>
      <c r="M2908" s="3">
        <v>206</v>
      </c>
    </row>
    <row r="2909" spans="1:13" x14ac:dyDescent="0.25">
      <c r="A2909" s="1" t="str">
        <f>HYPERLINK("http://www.rosaceae.org/Prunus/Prunus_persica/p.persica_gdr_reftransV1_0046917","p.persica_gdr_reftransV1_0046917")</f>
        <v>p.persica_gdr_reftransV1_0046917</v>
      </c>
      <c r="B2909" s="3">
        <v>1746</v>
      </c>
      <c r="C2909" s="1" t="str">
        <f>HYPERLINK("http://www.uniprot.org/uniprot/PUR4_ARATH","PUR4_ARATH")</f>
        <v>PUR4_ARATH</v>
      </c>
      <c r="D2909" t="s">
        <v>2712</v>
      </c>
      <c r="E2909" s="3" t="s">
        <v>3</v>
      </c>
      <c r="F2909" s="4">
        <v>0</v>
      </c>
      <c r="G2909" s="3">
        <v>2498</v>
      </c>
      <c r="H2909" s="3">
        <v>82</v>
      </c>
      <c r="I2909" s="3">
        <v>569</v>
      </c>
      <c r="J2909" s="3">
        <v>6</v>
      </c>
      <c r="K2909" s="3">
        <v>1709</v>
      </c>
      <c r="L2909" s="3">
        <v>680</v>
      </c>
      <c r="M2909" s="3">
        <v>1248</v>
      </c>
    </row>
    <row r="2910" spans="1:13" x14ac:dyDescent="0.25">
      <c r="A2910" s="1" t="str">
        <f>HYPERLINK("http://www.rosaceae.org/Prunus/Prunus_persica/p.persica_gdr_reftransV1_0047217","p.persica_gdr_reftransV1_0047217")</f>
        <v>p.persica_gdr_reftransV1_0047217</v>
      </c>
      <c r="B2910" s="3">
        <v>604</v>
      </c>
      <c r="C2910" s="1" t="str">
        <f>HYPERLINK("http://www.uniprot.org/uniprot/FANCL_HUMAN","FANCL_HUMAN")</f>
        <v>FANCL_HUMAN</v>
      </c>
      <c r="D2910" t="s">
        <v>2713</v>
      </c>
      <c r="E2910" s="3" t="s">
        <v>28</v>
      </c>
      <c r="F2910" s="4">
        <v>5.3199999999999997E-21</v>
      </c>
      <c r="G2910" s="3">
        <v>229</v>
      </c>
      <c r="H2910" s="3">
        <v>27</v>
      </c>
      <c r="I2910" s="3">
        <v>197</v>
      </c>
      <c r="J2910" s="3">
        <v>5</v>
      </c>
      <c r="K2910" s="3">
        <v>595</v>
      </c>
      <c r="L2910" s="3">
        <v>121</v>
      </c>
      <c r="M2910" s="3">
        <v>289</v>
      </c>
    </row>
    <row r="2911" spans="1:13" x14ac:dyDescent="0.25">
      <c r="A2911" s="1" t="str">
        <f>HYPERLINK("http://www.rosaceae.org/Prunus/Prunus_persica/p.persica_gdr_reftransV1_0047317","p.persica_gdr_reftransV1_0047317")</f>
        <v>p.persica_gdr_reftransV1_0047317</v>
      </c>
      <c r="B2911" s="3">
        <v>1975</v>
      </c>
      <c r="C2911" s="1" t="str">
        <f>HYPERLINK("http://www.uniprot.org/uniprot/CH60C_ARATH","CH60C_ARATH")</f>
        <v>CH60C_ARATH</v>
      </c>
      <c r="D2911" t="s">
        <v>2714</v>
      </c>
      <c r="E2911" s="3" t="s">
        <v>3</v>
      </c>
      <c r="F2911" s="4">
        <v>0</v>
      </c>
      <c r="G2911" s="3">
        <v>2419</v>
      </c>
      <c r="H2911" s="3">
        <v>82</v>
      </c>
      <c r="I2911" s="3">
        <v>572</v>
      </c>
      <c r="J2911" s="3">
        <v>201</v>
      </c>
      <c r="K2911" s="3">
        <v>1916</v>
      </c>
      <c r="L2911" s="3">
        <v>1</v>
      </c>
      <c r="M2911" s="3">
        <v>571</v>
      </c>
    </row>
    <row r="2912" spans="1:13" x14ac:dyDescent="0.25">
      <c r="A2912" s="1" t="str">
        <f>HYPERLINK("http://www.rosaceae.org/Prunus/Prunus_persica/p.persica_gdr_reftransV1_0047367","p.persica_gdr_reftransV1_0047367")</f>
        <v>p.persica_gdr_reftransV1_0047367</v>
      </c>
      <c r="B2912" s="3">
        <v>469</v>
      </c>
      <c r="C2912" s="1" t="str">
        <f>HYPERLINK("http://www.uniprot.org/uniprot/Y4361_ARATH","Y4361_ARATH")</f>
        <v>Y4361_ARATH</v>
      </c>
      <c r="D2912" t="s">
        <v>2715</v>
      </c>
      <c r="E2912" s="3" t="s">
        <v>3</v>
      </c>
      <c r="F2912" s="4">
        <v>3.1700000000000001E-54</v>
      </c>
      <c r="G2912" s="3">
        <v>480</v>
      </c>
      <c r="H2912" s="3">
        <v>68</v>
      </c>
      <c r="I2912" s="3">
        <v>148</v>
      </c>
      <c r="J2912" s="3">
        <v>36</v>
      </c>
      <c r="K2912" s="3">
        <v>467</v>
      </c>
      <c r="L2912" s="3">
        <v>773</v>
      </c>
      <c r="M2912" s="3">
        <v>919</v>
      </c>
    </row>
    <row r="2913" spans="1:13" x14ac:dyDescent="0.25">
      <c r="A2913" s="1" t="str">
        <f>HYPERLINK("http://www.rosaceae.org/Prunus/Prunus_persica/p.persica_gdr_reftransV1_0047417","p.persica_gdr_reftransV1_0047417")</f>
        <v>p.persica_gdr_reftransV1_0047417</v>
      </c>
      <c r="B2913" s="3">
        <v>927</v>
      </c>
      <c r="C2913" s="1" t="str">
        <f>HYPERLINK("http://www.uniprot.org/uniprot/ECAP_SOLLC","ECAP_SOLLC")</f>
        <v>ECAP_SOLLC</v>
      </c>
      <c r="D2913" t="s">
        <v>2716</v>
      </c>
      <c r="E2913" s="3" t="s">
        <v>64</v>
      </c>
      <c r="F2913" s="4">
        <v>2.8899999999999998E-44</v>
      </c>
      <c r="G2913" s="3">
        <v>421</v>
      </c>
      <c r="H2913" s="3">
        <v>86</v>
      </c>
      <c r="I2913" s="3">
        <v>127</v>
      </c>
      <c r="J2913" s="3">
        <v>3</v>
      </c>
      <c r="K2913" s="3">
        <v>383</v>
      </c>
      <c r="L2913" s="3">
        <v>39</v>
      </c>
      <c r="M2913" s="3">
        <v>165</v>
      </c>
    </row>
    <row r="2914" spans="1:13" x14ac:dyDescent="0.25">
      <c r="A2914" s="1" t="str">
        <f>HYPERLINK("http://www.rosaceae.org/Prunus/Prunus_persica/p.persica_gdr_reftransV1_0047467","p.persica_gdr_reftransV1_0047467")</f>
        <v>p.persica_gdr_reftransV1_0047467</v>
      </c>
      <c r="B2914" s="3">
        <v>2239</v>
      </c>
      <c r="C2914" s="1" t="str">
        <f>HYPERLINK("http://www.uniprot.org/uniprot/SNF4_ARATH","SNF4_ARATH")</f>
        <v>SNF4_ARATH</v>
      </c>
      <c r="D2914" t="s">
        <v>2717</v>
      </c>
      <c r="E2914" s="3" t="s">
        <v>3</v>
      </c>
      <c r="F2914" s="4">
        <v>0</v>
      </c>
      <c r="G2914" s="3">
        <v>1726</v>
      </c>
      <c r="H2914" s="3">
        <v>70</v>
      </c>
      <c r="I2914" s="3">
        <v>486</v>
      </c>
      <c r="J2914" s="3">
        <v>469</v>
      </c>
      <c r="K2914" s="3">
        <v>1923</v>
      </c>
      <c r="L2914" s="3">
        <v>1</v>
      </c>
      <c r="M2914" s="3">
        <v>480</v>
      </c>
    </row>
    <row r="2915" spans="1:13" x14ac:dyDescent="0.25">
      <c r="A2915" s="1" t="str">
        <f>HYPERLINK("http://www.rosaceae.org/Prunus/Prunus_persica/p.persica_gdr_reftransV1_0047567","p.persica_gdr_reftransV1_0047567")</f>
        <v>p.persica_gdr_reftransV1_0047567</v>
      </c>
      <c r="B2915" s="3">
        <v>1172</v>
      </c>
      <c r="C2915" s="1" t="str">
        <f>HYPERLINK("http://www.uniprot.org/uniprot/JOIN_SOLLC","JOIN_SOLLC")</f>
        <v>JOIN_SOLLC</v>
      </c>
      <c r="D2915" t="s">
        <v>2718</v>
      </c>
      <c r="E2915" s="3" t="s">
        <v>64</v>
      </c>
      <c r="F2915" s="4">
        <v>2.2100000000000002E-68</v>
      </c>
      <c r="G2915" s="3">
        <v>568</v>
      </c>
      <c r="H2915" s="3">
        <v>50</v>
      </c>
      <c r="I2915" s="3">
        <v>250</v>
      </c>
      <c r="J2915" s="3">
        <v>358</v>
      </c>
      <c r="K2915" s="3">
        <v>1011</v>
      </c>
      <c r="L2915" s="3">
        <v>1</v>
      </c>
      <c r="M2915" s="3">
        <v>239</v>
      </c>
    </row>
    <row r="2916" spans="1:13" x14ac:dyDescent="0.25">
      <c r="A2916" s="1" t="str">
        <f>HYPERLINK("http://www.rosaceae.org/Prunus/Prunus_persica/p.persica_gdr_reftransV1_0047617","p.persica_gdr_reftransV1_0047617")</f>
        <v>p.persica_gdr_reftransV1_0047617</v>
      </c>
      <c r="B2916" s="3">
        <v>1792</v>
      </c>
      <c r="C2916" s="1" t="str">
        <f>HYPERLINK("http://www.uniprot.org/uniprot/SERIC_NEMVE","SERIC_NEMVE")</f>
        <v>SERIC_NEMVE</v>
      </c>
      <c r="D2916" t="s">
        <v>2719</v>
      </c>
      <c r="E2916" s="3" t="s">
        <v>1392</v>
      </c>
      <c r="F2916" s="4">
        <v>9.8099999999999994E-18</v>
      </c>
      <c r="G2916" s="3">
        <v>221</v>
      </c>
      <c r="H2916" s="3">
        <v>26</v>
      </c>
      <c r="I2916" s="3">
        <v>258</v>
      </c>
      <c r="J2916" s="3">
        <v>458</v>
      </c>
      <c r="K2916" s="3">
        <v>1084</v>
      </c>
      <c r="L2916" s="3">
        <v>198</v>
      </c>
      <c r="M2916" s="3">
        <v>454</v>
      </c>
    </row>
    <row r="2917" spans="1:13" x14ac:dyDescent="0.25">
      <c r="A2917" s="1" t="str">
        <f>HYPERLINK("http://www.rosaceae.org/Prunus/Prunus_persica/p.persica_gdr_reftransV1_0047667","p.persica_gdr_reftransV1_0047667")</f>
        <v>p.persica_gdr_reftransV1_0047667</v>
      </c>
      <c r="B2917" s="3">
        <v>1474</v>
      </c>
      <c r="C2917" s="1" t="str">
        <f>HYPERLINK("http://www.uniprot.org/uniprot/FRI3_SOYBN","FRI3_SOYBN")</f>
        <v>FRI3_SOYBN</v>
      </c>
      <c r="D2917" t="s">
        <v>1689</v>
      </c>
      <c r="E2917" s="3" t="s">
        <v>307</v>
      </c>
      <c r="F2917" s="4">
        <v>5.6500000000000005E-88</v>
      </c>
      <c r="G2917" s="3">
        <v>707</v>
      </c>
      <c r="H2917" s="3">
        <v>76</v>
      </c>
      <c r="I2917" s="3">
        <v>221</v>
      </c>
      <c r="J2917" s="3">
        <v>485</v>
      </c>
      <c r="K2917" s="3">
        <v>1144</v>
      </c>
      <c r="L2917" s="3">
        <v>31</v>
      </c>
      <c r="M2917" s="3">
        <v>251</v>
      </c>
    </row>
    <row r="2918" spans="1:13" x14ac:dyDescent="0.25">
      <c r="A2918" s="1" t="str">
        <f>HYPERLINK("http://www.rosaceae.org/Prunus/Prunus_persica/p.persica_gdr_reftransV1_0047717","p.persica_gdr_reftransV1_0047717")</f>
        <v>p.persica_gdr_reftransV1_0047717</v>
      </c>
      <c r="B2918" s="3">
        <v>1368</v>
      </c>
      <c r="C2918" s="1" t="str">
        <f>HYPERLINK("http://www.uniprot.org/uniprot/AXR4_ARATH","AXR4_ARATH")</f>
        <v>AXR4_ARATH</v>
      </c>
      <c r="D2918" t="s">
        <v>2720</v>
      </c>
      <c r="E2918" s="3" t="s">
        <v>3</v>
      </c>
      <c r="F2918" s="4">
        <v>7.0200000000000001E-40</v>
      </c>
      <c r="G2918" s="3">
        <v>388</v>
      </c>
      <c r="H2918" s="3">
        <v>58</v>
      </c>
      <c r="I2918" s="3">
        <v>165</v>
      </c>
      <c r="J2918" s="3">
        <v>18</v>
      </c>
      <c r="K2918" s="3">
        <v>509</v>
      </c>
      <c r="L2918" s="3">
        <v>1</v>
      </c>
      <c r="M2918" s="3">
        <v>159</v>
      </c>
    </row>
    <row r="2919" spans="1:13" x14ac:dyDescent="0.25">
      <c r="A2919" s="1" t="str">
        <f>HYPERLINK("http://www.rosaceae.org/Prunus/Prunus_persica/p.persica_gdr_reftransV1_0047767","p.persica_gdr_reftransV1_0047767")</f>
        <v>p.persica_gdr_reftransV1_0047767</v>
      </c>
      <c r="B2919" s="3">
        <v>1211</v>
      </c>
      <c r="C2919" s="1" t="str">
        <f>HYPERLINK("http://www.uniprot.org/uniprot/PPT1_ARATH","PPT1_ARATH")</f>
        <v>PPT1_ARATH</v>
      </c>
      <c r="D2919" t="s">
        <v>2721</v>
      </c>
      <c r="E2919" s="3" t="s">
        <v>3</v>
      </c>
      <c r="F2919" s="4">
        <v>2.1599999999999999E-131</v>
      </c>
      <c r="G2919" s="3">
        <v>1003</v>
      </c>
      <c r="H2919" s="3">
        <v>64</v>
      </c>
      <c r="I2919" s="3">
        <v>339</v>
      </c>
      <c r="J2919" s="3">
        <v>203</v>
      </c>
      <c r="K2919" s="3">
        <v>1210</v>
      </c>
      <c r="L2919" s="3">
        <v>4</v>
      </c>
      <c r="M2919" s="3">
        <v>333</v>
      </c>
    </row>
    <row r="2920" spans="1:13" x14ac:dyDescent="0.25">
      <c r="A2920" s="1" t="str">
        <f>HYPERLINK("http://www.rosaceae.org/Prunus/Prunus_persica/p.persica_gdr_reftransV1_0047817","p.persica_gdr_reftransV1_0047817")</f>
        <v>p.persica_gdr_reftransV1_0047817</v>
      </c>
      <c r="B2920" s="3">
        <v>1514</v>
      </c>
      <c r="C2920" s="1" t="str">
        <f>HYPERLINK("http://www.uniprot.org/uniprot/SRF3_ARATH","SRF3_ARATH")</f>
        <v>SRF3_ARATH</v>
      </c>
      <c r="D2920" t="s">
        <v>2722</v>
      </c>
      <c r="E2920" s="3" t="s">
        <v>3</v>
      </c>
      <c r="F2920" s="4">
        <v>2.8E-180</v>
      </c>
      <c r="G2920" s="3">
        <v>1372</v>
      </c>
      <c r="H2920" s="3">
        <v>80</v>
      </c>
      <c r="I2920" s="3">
        <v>332</v>
      </c>
      <c r="J2920" s="3">
        <v>486</v>
      </c>
      <c r="K2920" s="3">
        <v>1481</v>
      </c>
      <c r="L2920" s="3">
        <v>443</v>
      </c>
      <c r="M2920" s="3">
        <v>773</v>
      </c>
    </row>
    <row r="2921" spans="1:13" x14ac:dyDescent="0.25">
      <c r="A2921" s="1" t="str">
        <f>HYPERLINK("http://www.rosaceae.org/Prunus/Prunus_persica/p.persica_gdr_reftransV1_0047917","p.persica_gdr_reftransV1_0047917")</f>
        <v>p.persica_gdr_reftransV1_0047917</v>
      </c>
      <c r="B2921" s="3">
        <v>3009</v>
      </c>
      <c r="C2921" s="1" t="str">
        <f>HYPERLINK("http://www.uniprot.org/uniprot/DGK6_ARATH","DGK6_ARATH")</f>
        <v>DGK6_ARATH</v>
      </c>
      <c r="D2921" t="s">
        <v>2723</v>
      </c>
      <c r="E2921" s="3" t="s">
        <v>3</v>
      </c>
      <c r="F2921" s="4">
        <v>4.7499999999999996E-37</v>
      </c>
      <c r="G2921" s="3">
        <v>380</v>
      </c>
      <c r="H2921" s="3">
        <v>31</v>
      </c>
      <c r="I2921" s="3">
        <v>425</v>
      </c>
      <c r="J2921" s="3">
        <v>332</v>
      </c>
      <c r="K2921" s="3">
        <v>1426</v>
      </c>
      <c r="L2921" s="3">
        <v>47</v>
      </c>
      <c r="M2921" s="3">
        <v>443</v>
      </c>
    </row>
    <row r="2922" spans="1:13" x14ac:dyDescent="0.25">
      <c r="A2922" s="1" t="str">
        <f>HYPERLINK("http://www.rosaceae.org/Prunus/Prunus_persica/p.persica_gdr_reftransV1_0047967","p.persica_gdr_reftransV1_0047967")</f>
        <v>p.persica_gdr_reftransV1_0047967</v>
      </c>
      <c r="B2922" s="3">
        <v>2354</v>
      </c>
      <c r="C2922" s="1" t="str">
        <f>HYPERLINK("http://www.uniprot.org/uniprot/B120_ARATH","B120_ARATH")</f>
        <v>B120_ARATH</v>
      </c>
      <c r="D2922" t="s">
        <v>2724</v>
      </c>
      <c r="E2922" s="3" t="s">
        <v>3</v>
      </c>
      <c r="F2922" s="4">
        <v>0</v>
      </c>
      <c r="G2922" s="3">
        <v>2216</v>
      </c>
      <c r="H2922" s="3">
        <v>59</v>
      </c>
      <c r="I2922" s="3">
        <v>743</v>
      </c>
      <c r="J2922" s="3">
        <v>142</v>
      </c>
      <c r="K2922" s="3">
        <v>2331</v>
      </c>
      <c r="L2922" s="3">
        <v>132</v>
      </c>
      <c r="M2922" s="3">
        <v>849</v>
      </c>
    </row>
    <row r="2923" spans="1:13" x14ac:dyDescent="0.25">
      <c r="A2923" s="1" t="str">
        <f>HYPERLINK("http://www.rosaceae.org/Prunus/Prunus_persica/p.persica_gdr_reftransV1_0048017","p.persica_gdr_reftransV1_0048017")</f>
        <v>p.persica_gdr_reftransV1_0048017</v>
      </c>
      <c r="B2923" s="3">
        <v>1298</v>
      </c>
      <c r="C2923" s="1" t="str">
        <f>HYPERLINK("http://www.uniprot.org/uniprot/DFC_ARATH","DFC_ARATH")</f>
        <v>DFC_ARATH</v>
      </c>
      <c r="D2923" t="s">
        <v>2725</v>
      </c>
      <c r="E2923" s="3" t="s">
        <v>3</v>
      </c>
      <c r="F2923" s="4">
        <v>7.5000000000000004E-34</v>
      </c>
      <c r="G2923" s="3">
        <v>324</v>
      </c>
      <c r="H2923" s="3">
        <v>47</v>
      </c>
      <c r="I2923" s="3">
        <v>154</v>
      </c>
      <c r="J2923" s="3">
        <v>598</v>
      </c>
      <c r="K2923" s="3">
        <v>1059</v>
      </c>
      <c r="L2923" s="3">
        <v>4</v>
      </c>
      <c r="M2923" s="3">
        <v>154</v>
      </c>
    </row>
    <row r="2924" spans="1:13" x14ac:dyDescent="0.25">
      <c r="A2924" s="1" t="str">
        <f>HYPERLINK("http://www.rosaceae.org/Prunus/Prunus_persica/p.persica_gdr_reftransV1_0048117","p.persica_gdr_reftransV1_0048117")</f>
        <v>p.persica_gdr_reftransV1_0048117</v>
      </c>
      <c r="B2924" s="3">
        <v>444</v>
      </c>
      <c r="C2924" s="1" t="str">
        <f>HYPERLINK("http://www.uniprot.org/uniprot/PP259_ARATH","PP259_ARATH")</f>
        <v>PP259_ARATH</v>
      </c>
      <c r="D2924" t="s">
        <v>2726</v>
      </c>
      <c r="E2924" s="3" t="s">
        <v>3</v>
      </c>
      <c r="F2924" s="4">
        <v>1.31E-57</v>
      </c>
      <c r="G2924" s="3">
        <v>489</v>
      </c>
      <c r="H2924" s="3">
        <v>60</v>
      </c>
      <c r="I2924" s="3">
        <v>148</v>
      </c>
      <c r="J2924" s="3">
        <v>5</v>
      </c>
      <c r="K2924" s="3">
        <v>442</v>
      </c>
      <c r="L2924" s="3">
        <v>89</v>
      </c>
      <c r="M2924" s="3">
        <v>236</v>
      </c>
    </row>
    <row r="2925" spans="1:13" x14ac:dyDescent="0.25">
      <c r="A2925" s="1" t="str">
        <f>HYPERLINK("http://www.rosaceae.org/Prunus/Prunus_persica/p.persica_gdr_reftransV1_0048167","p.persica_gdr_reftransV1_0048167")</f>
        <v>p.persica_gdr_reftransV1_0048167</v>
      </c>
      <c r="B2925" s="3">
        <v>1784</v>
      </c>
      <c r="C2925" s="1" t="str">
        <f>HYPERLINK("http://www.uniprot.org/uniprot/WEE1_ARATH","WEE1_ARATH")</f>
        <v>WEE1_ARATH</v>
      </c>
      <c r="D2925" t="s">
        <v>2727</v>
      </c>
      <c r="E2925" s="3" t="s">
        <v>3</v>
      </c>
      <c r="F2925" s="4">
        <v>0</v>
      </c>
      <c r="G2925" s="3">
        <v>1458</v>
      </c>
      <c r="H2925" s="3">
        <v>65</v>
      </c>
      <c r="I2925" s="3">
        <v>419</v>
      </c>
      <c r="J2925" s="3">
        <v>270</v>
      </c>
      <c r="K2925" s="3">
        <v>1520</v>
      </c>
      <c r="L2925" s="3">
        <v>81</v>
      </c>
      <c r="M2925" s="3">
        <v>498</v>
      </c>
    </row>
    <row r="2926" spans="1:13" x14ac:dyDescent="0.25">
      <c r="A2926" s="1" t="str">
        <f>HYPERLINK("http://www.rosaceae.org/Prunus/Prunus_persica/p.persica_gdr_reftransV1_0048267","p.persica_gdr_reftransV1_0048267")</f>
        <v>p.persica_gdr_reftransV1_0048267</v>
      </c>
      <c r="B2926" s="3">
        <v>491</v>
      </c>
      <c r="C2926" s="1" t="str">
        <f>HYPERLINK("http://www.uniprot.org/uniprot/PRU1_PRUAR","PRU1_PRUAR")</f>
        <v>PRU1_PRUAR</v>
      </c>
      <c r="D2926" t="s">
        <v>1198</v>
      </c>
      <c r="E2926" s="3" t="s">
        <v>62</v>
      </c>
      <c r="F2926" s="4">
        <v>1.36E-66</v>
      </c>
      <c r="G2926" s="3">
        <v>525</v>
      </c>
      <c r="H2926" s="3">
        <v>75</v>
      </c>
      <c r="I2926" s="3">
        <v>132</v>
      </c>
      <c r="J2926" s="3">
        <v>97</v>
      </c>
      <c r="K2926" s="3">
        <v>489</v>
      </c>
      <c r="L2926" s="3">
        <v>1</v>
      </c>
      <c r="M2926" s="3">
        <v>132</v>
      </c>
    </row>
    <row r="2927" spans="1:13" x14ac:dyDescent="0.25">
      <c r="A2927" s="1" t="str">
        <f>HYPERLINK("http://www.rosaceae.org/Prunus/Prunus_persica/p.persica_gdr_reftransV1_0048317","p.persica_gdr_reftransV1_0048317")</f>
        <v>p.persica_gdr_reftransV1_0048317</v>
      </c>
      <c r="B2927" s="3">
        <v>3218</v>
      </c>
      <c r="C2927" s="1" t="str">
        <f>HYPERLINK("http://www.uniprot.org/uniprot/RAD4_ARATH","RAD4_ARATH")</f>
        <v>RAD4_ARATH</v>
      </c>
      <c r="D2927" t="s">
        <v>1566</v>
      </c>
      <c r="E2927" s="3" t="s">
        <v>3</v>
      </c>
      <c r="F2927" s="4">
        <v>0</v>
      </c>
      <c r="G2927" s="3">
        <v>1921</v>
      </c>
      <c r="H2927" s="3">
        <v>50</v>
      </c>
      <c r="I2927" s="3">
        <v>939</v>
      </c>
      <c r="J2927" s="3">
        <v>137</v>
      </c>
      <c r="K2927" s="3">
        <v>2917</v>
      </c>
      <c r="L2927" s="3">
        <v>1</v>
      </c>
      <c r="M2927" s="3">
        <v>865</v>
      </c>
    </row>
    <row r="2928" spans="1:13" x14ac:dyDescent="0.25">
      <c r="A2928" s="1" t="str">
        <f>HYPERLINK("http://www.rosaceae.org/Prunus/Prunus_persica/p.persica_gdr_reftransV1_0048417","p.persica_gdr_reftransV1_0048417")</f>
        <v>p.persica_gdr_reftransV1_0048417</v>
      </c>
      <c r="B2928" s="3">
        <v>343</v>
      </c>
      <c r="C2928" s="1" t="str">
        <f>HYPERLINK("http://www.uniprot.org/uniprot/DCAM4_ARATH","DCAM4_ARATH")</f>
        <v>DCAM4_ARATH</v>
      </c>
      <c r="D2928" t="s">
        <v>2728</v>
      </c>
      <c r="E2928" s="3" t="s">
        <v>3</v>
      </c>
      <c r="F2928" s="4">
        <v>7.9099999999999994E-40</v>
      </c>
      <c r="G2928" s="3">
        <v>355</v>
      </c>
      <c r="H2928" s="3">
        <v>64</v>
      </c>
      <c r="I2928" s="3">
        <v>116</v>
      </c>
      <c r="J2928" s="3">
        <v>1</v>
      </c>
      <c r="K2928" s="3">
        <v>342</v>
      </c>
      <c r="L2928" s="3">
        <v>131</v>
      </c>
      <c r="M2928" s="3">
        <v>239</v>
      </c>
    </row>
    <row r="2929" spans="1:13" x14ac:dyDescent="0.25">
      <c r="A2929" s="1" t="str">
        <f>HYPERLINK("http://www.rosaceae.org/Prunus/Prunus_persica/p.persica_gdr_reftransV1_0048467","p.persica_gdr_reftransV1_0048467")</f>
        <v>p.persica_gdr_reftransV1_0048467</v>
      </c>
      <c r="B2929" s="3">
        <v>1855</v>
      </c>
      <c r="C2929" s="1" t="str">
        <f>HYPERLINK("http://www.uniprot.org/uniprot/G3PA_PEA","G3PA_PEA")</f>
        <v>G3PA_PEA</v>
      </c>
      <c r="D2929" t="s">
        <v>2729</v>
      </c>
      <c r="E2929" s="3" t="s">
        <v>60</v>
      </c>
      <c r="F2929" s="4">
        <v>0</v>
      </c>
      <c r="G2929" s="3">
        <v>1655</v>
      </c>
      <c r="H2929" s="3">
        <v>88</v>
      </c>
      <c r="I2929" s="3">
        <v>405</v>
      </c>
      <c r="J2929" s="3">
        <v>400</v>
      </c>
      <c r="K2929" s="3">
        <v>1608</v>
      </c>
      <c r="L2929" s="3">
        <v>1</v>
      </c>
      <c r="M2929" s="3">
        <v>405</v>
      </c>
    </row>
    <row r="2930" spans="1:13" x14ac:dyDescent="0.25">
      <c r="A2930" s="1" t="str">
        <f>HYPERLINK("http://www.rosaceae.org/Prunus/Prunus_persica/p.persica_gdr_reftransV1_0048517","p.persica_gdr_reftransV1_0048517")</f>
        <v>p.persica_gdr_reftransV1_0048517</v>
      </c>
      <c r="B2930" s="3">
        <v>1653</v>
      </c>
      <c r="C2930" s="1" t="str">
        <f>HYPERLINK("http://www.uniprot.org/uniprot/ASPG1_ARATH","ASPG1_ARATH")</f>
        <v>ASPG1_ARATH</v>
      </c>
      <c r="D2930" t="s">
        <v>1238</v>
      </c>
      <c r="E2930" s="3" t="s">
        <v>3</v>
      </c>
      <c r="F2930" s="4">
        <v>9.3300000000000008E-62</v>
      </c>
      <c r="G2930" s="3">
        <v>552</v>
      </c>
      <c r="H2930" s="3">
        <v>35</v>
      </c>
      <c r="I2930" s="3">
        <v>430</v>
      </c>
      <c r="J2930" s="3">
        <v>297</v>
      </c>
      <c r="K2930" s="3">
        <v>1508</v>
      </c>
      <c r="L2930" s="3">
        <v>95</v>
      </c>
      <c r="M2930" s="3">
        <v>500</v>
      </c>
    </row>
    <row r="2931" spans="1:13" x14ac:dyDescent="0.25">
      <c r="A2931" s="1" t="str">
        <f>HYPERLINK("http://www.rosaceae.org/Prunus/Prunus_persica/p.persica_gdr_reftransV1_0048567","p.persica_gdr_reftransV1_0048567")</f>
        <v>p.persica_gdr_reftransV1_0048567</v>
      </c>
      <c r="B2931" s="3">
        <v>1421</v>
      </c>
      <c r="C2931" s="1" t="str">
        <f>HYPERLINK("http://www.uniprot.org/uniprot/Y5707_ARATH","Y5707_ARATH")</f>
        <v>Y5707_ARATH</v>
      </c>
      <c r="D2931" t="s">
        <v>2730</v>
      </c>
      <c r="E2931" s="3" t="s">
        <v>3</v>
      </c>
      <c r="F2931" s="4">
        <v>2.2799999999999999E-148</v>
      </c>
      <c r="G2931" s="3">
        <v>1123</v>
      </c>
      <c r="H2931" s="3">
        <v>60</v>
      </c>
      <c r="I2931" s="3">
        <v>363</v>
      </c>
      <c r="J2931" s="3">
        <v>306</v>
      </c>
      <c r="K2931" s="3">
        <v>1376</v>
      </c>
      <c r="L2931" s="3">
        <v>48</v>
      </c>
      <c r="M2931" s="3">
        <v>407</v>
      </c>
    </row>
    <row r="2932" spans="1:13" x14ac:dyDescent="0.25">
      <c r="A2932" s="1" t="str">
        <f>HYPERLINK("http://www.rosaceae.org/Prunus/Prunus_persica/p.persica_gdr_reftransV1_0048617","p.persica_gdr_reftransV1_0048617")</f>
        <v>p.persica_gdr_reftransV1_0048617</v>
      </c>
      <c r="B2932" s="3">
        <v>1412</v>
      </c>
      <c r="C2932" s="1" t="str">
        <f>HYPERLINK("http://www.uniprot.org/uniprot/TF3A_MOUSE","TF3A_MOUSE")</f>
        <v>TF3A_MOUSE</v>
      </c>
      <c r="D2932" t="s">
        <v>2731</v>
      </c>
      <c r="E2932" s="3" t="s">
        <v>157</v>
      </c>
      <c r="F2932" s="4">
        <v>1.8199999999999999E-25</v>
      </c>
      <c r="G2932" s="3">
        <v>275</v>
      </c>
      <c r="H2932" s="3">
        <v>31</v>
      </c>
      <c r="I2932" s="3">
        <v>237</v>
      </c>
      <c r="J2932" s="3">
        <v>419</v>
      </c>
      <c r="K2932" s="3">
        <v>1042</v>
      </c>
      <c r="L2932" s="3">
        <v>65</v>
      </c>
      <c r="M2932" s="3">
        <v>289</v>
      </c>
    </row>
    <row r="2933" spans="1:13" x14ac:dyDescent="0.25">
      <c r="A2933" s="1" t="str">
        <f>HYPERLINK("http://www.rosaceae.org/Prunus/Prunus_persica/p.persica_gdr_reftransV1_0048667","p.persica_gdr_reftransV1_0048667")</f>
        <v>p.persica_gdr_reftransV1_0048667</v>
      </c>
      <c r="B2933" s="3">
        <v>344</v>
      </c>
      <c r="C2933" s="1" t="str">
        <f>HYPERLINK("http://www.uniprot.org/uniprot/TF2B_ORYSJ","TF2B_ORYSJ")</f>
        <v>TF2B_ORYSJ</v>
      </c>
      <c r="D2933" t="s">
        <v>2732</v>
      </c>
      <c r="E2933" s="3" t="s">
        <v>38</v>
      </c>
      <c r="F2933" s="4">
        <v>7.0099999999999997E-55</v>
      </c>
      <c r="G2933" s="3">
        <v>454</v>
      </c>
      <c r="H2933" s="3">
        <v>77</v>
      </c>
      <c r="I2933" s="3">
        <v>116</v>
      </c>
      <c r="J2933" s="3">
        <v>1</v>
      </c>
      <c r="K2933" s="3">
        <v>342</v>
      </c>
      <c r="L2933" s="3">
        <v>163</v>
      </c>
      <c r="M2933" s="3">
        <v>278</v>
      </c>
    </row>
    <row r="2934" spans="1:13" x14ac:dyDescent="0.25">
      <c r="A2934" s="1" t="str">
        <f>HYPERLINK("http://www.rosaceae.org/Prunus/Prunus_persica/p.persica_gdr_reftransV1_0048717","p.persica_gdr_reftransV1_0048717")</f>
        <v>p.persica_gdr_reftransV1_0048717</v>
      </c>
      <c r="B2934" s="3">
        <v>1288</v>
      </c>
      <c r="C2934" s="1" t="str">
        <f>HYPERLINK("http://www.uniprot.org/uniprot/AGL8_SOLTU","AGL8_SOLTU")</f>
        <v>AGL8_SOLTU</v>
      </c>
      <c r="D2934" t="s">
        <v>2733</v>
      </c>
      <c r="E2934" s="3" t="s">
        <v>11</v>
      </c>
      <c r="F2934" s="4">
        <v>4.9399999999999998E-105</v>
      </c>
      <c r="G2934" s="3">
        <v>815</v>
      </c>
      <c r="H2934" s="3">
        <v>68</v>
      </c>
      <c r="I2934" s="3">
        <v>254</v>
      </c>
      <c r="J2934" s="3">
        <v>250</v>
      </c>
      <c r="K2934" s="3">
        <v>1011</v>
      </c>
      <c r="L2934" s="3">
        <v>1</v>
      </c>
      <c r="M2934" s="3">
        <v>249</v>
      </c>
    </row>
    <row r="2935" spans="1:13" x14ac:dyDescent="0.25">
      <c r="A2935" s="1" t="str">
        <f>HYPERLINK("http://www.rosaceae.org/Prunus/Prunus_persica/p.persica_gdr_reftransV1_0048867","p.persica_gdr_reftransV1_0048867")</f>
        <v>p.persica_gdr_reftransV1_0048867</v>
      </c>
      <c r="B2935" s="3">
        <v>1035</v>
      </c>
      <c r="C2935" s="1" t="str">
        <f>HYPERLINK("http://www.uniprot.org/uniprot/LIN1_LOTJA","LIN1_LOTJA")</f>
        <v>LIN1_LOTJA</v>
      </c>
      <c r="D2935" t="s">
        <v>2734</v>
      </c>
      <c r="E2935" s="3" t="s">
        <v>880</v>
      </c>
      <c r="F2935" s="4">
        <v>3.2800000000000001E-131</v>
      </c>
      <c r="G2935" s="3">
        <v>1065</v>
      </c>
      <c r="H2935" s="3">
        <v>69</v>
      </c>
      <c r="I2935" s="3">
        <v>291</v>
      </c>
      <c r="J2935" s="3">
        <v>2</v>
      </c>
      <c r="K2935" s="3">
        <v>874</v>
      </c>
      <c r="L2935" s="3">
        <v>1198</v>
      </c>
      <c r="M2935" s="3">
        <v>1485</v>
      </c>
    </row>
    <row r="2936" spans="1:13" x14ac:dyDescent="0.25">
      <c r="A2936" s="1" t="str">
        <f>HYPERLINK("http://www.rosaceae.org/Prunus/Prunus_persica/p.persica_gdr_reftransV1_0048917","p.persica_gdr_reftransV1_0048917")</f>
        <v>p.persica_gdr_reftransV1_0048917</v>
      </c>
      <c r="B2936" s="3">
        <v>701</v>
      </c>
      <c r="C2936" s="1" t="str">
        <f>HYPERLINK("http://www.uniprot.org/uniprot/TMVRN_NICGU","TMVRN_NICGU")</f>
        <v>TMVRN_NICGU</v>
      </c>
      <c r="D2936" t="s">
        <v>151</v>
      </c>
      <c r="E2936" s="3" t="s">
        <v>152</v>
      </c>
      <c r="F2936" s="4">
        <v>1.0600000000000001E-52</v>
      </c>
      <c r="G2936" s="3">
        <v>477</v>
      </c>
      <c r="H2936" s="3">
        <v>46</v>
      </c>
      <c r="I2936" s="3">
        <v>239</v>
      </c>
      <c r="J2936" s="3">
        <v>4</v>
      </c>
      <c r="K2936" s="3">
        <v>699</v>
      </c>
      <c r="L2936" s="3">
        <v>18</v>
      </c>
      <c r="M2936" s="3">
        <v>254</v>
      </c>
    </row>
    <row r="2937" spans="1:13" x14ac:dyDescent="0.25">
      <c r="A2937" s="1" t="str">
        <f>HYPERLINK("http://www.rosaceae.org/Prunus/Prunus_persica/p.persica_gdr_reftransV1_0048967","p.persica_gdr_reftransV1_0048967")</f>
        <v>p.persica_gdr_reftransV1_0048967</v>
      </c>
      <c r="B2937" s="3">
        <v>3522</v>
      </c>
      <c r="C2937" s="1" t="str">
        <f>HYPERLINK("http://www.uniprot.org/uniprot/GBA2_MOUSE","GBA2_MOUSE")</f>
        <v>GBA2_MOUSE</v>
      </c>
      <c r="D2937" t="s">
        <v>2735</v>
      </c>
      <c r="E2937" s="3" t="s">
        <v>157</v>
      </c>
      <c r="F2937" s="4">
        <v>0</v>
      </c>
      <c r="G2937" s="3">
        <v>1471</v>
      </c>
      <c r="H2937" s="3">
        <v>43</v>
      </c>
      <c r="I2937" s="3">
        <v>865</v>
      </c>
      <c r="J2937" s="3">
        <v>426</v>
      </c>
      <c r="K2937" s="3">
        <v>2966</v>
      </c>
      <c r="L2937" s="3">
        <v>73</v>
      </c>
      <c r="M2937" s="3">
        <v>875</v>
      </c>
    </row>
    <row r="2938" spans="1:13" x14ac:dyDescent="0.25">
      <c r="A2938" s="1" t="str">
        <f>HYPERLINK("http://www.rosaceae.org/Prunus/Prunus_persica/p.persica_gdr_reftransV1_0049017","p.persica_gdr_reftransV1_0049017")</f>
        <v>p.persica_gdr_reftransV1_0049017</v>
      </c>
      <c r="B2938" s="3">
        <v>436</v>
      </c>
      <c r="C2938" s="1" t="str">
        <f>HYPERLINK("http://www.uniprot.org/uniprot/PER9_ARATH","PER9_ARATH")</f>
        <v>PER9_ARATH</v>
      </c>
      <c r="D2938" t="s">
        <v>2736</v>
      </c>
      <c r="E2938" s="3" t="s">
        <v>3</v>
      </c>
      <c r="F2938" s="4">
        <v>1.4600000000000001E-63</v>
      </c>
      <c r="G2938" s="3">
        <v>519</v>
      </c>
      <c r="H2938" s="3">
        <v>80</v>
      </c>
      <c r="I2938" s="3">
        <v>122</v>
      </c>
      <c r="J2938" s="3">
        <v>33</v>
      </c>
      <c r="K2938" s="3">
        <v>398</v>
      </c>
      <c r="L2938" s="3">
        <v>95</v>
      </c>
      <c r="M2938" s="3">
        <v>216</v>
      </c>
    </row>
    <row r="2939" spans="1:13" x14ac:dyDescent="0.25">
      <c r="A2939" s="1" t="str">
        <f>HYPERLINK("http://www.rosaceae.org/Prunus/Prunus_persica/p.persica_gdr_reftransV1_0049067","p.persica_gdr_reftransV1_0049067")</f>
        <v>p.persica_gdr_reftransV1_0049067</v>
      </c>
      <c r="B2939" s="3">
        <v>782</v>
      </c>
      <c r="C2939" s="1" t="str">
        <f>HYPERLINK("http://www.uniprot.org/uniprot/HS157_ARATH","HS157_ARATH")</f>
        <v>HS157_ARATH</v>
      </c>
      <c r="D2939" t="s">
        <v>2737</v>
      </c>
      <c r="E2939" s="3" t="s">
        <v>3</v>
      </c>
      <c r="F2939" s="4">
        <v>8.42E-57</v>
      </c>
      <c r="G2939" s="3">
        <v>468</v>
      </c>
      <c r="H2939" s="3">
        <v>66</v>
      </c>
      <c r="I2939" s="3">
        <v>146</v>
      </c>
      <c r="J2939" s="3">
        <v>114</v>
      </c>
      <c r="K2939" s="3">
        <v>542</v>
      </c>
      <c r="L2939" s="3">
        <v>1</v>
      </c>
      <c r="M2939" s="3">
        <v>137</v>
      </c>
    </row>
    <row r="2940" spans="1:13" x14ac:dyDescent="0.25">
      <c r="A2940" s="1" t="str">
        <f>HYPERLINK("http://www.rosaceae.org/Prunus/Prunus_persica/p.persica_gdr_reftransV1_0000018","p.persica_gdr_reftransV1_0000018")</f>
        <v>p.persica_gdr_reftransV1_0000018</v>
      </c>
      <c r="B2940" s="3">
        <v>1049</v>
      </c>
      <c r="C2940" s="1" t="str">
        <f>HYPERLINK("http://www.uniprot.org/uniprot/KCS21_ARATH","KCS21_ARATH")</f>
        <v>KCS21_ARATH</v>
      </c>
      <c r="D2940" t="s">
        <v>2738</v>
      </c>
      <c r="E2940" s="3" t="s">
        <v>3</v>
      </c>
      <c r="F2940" s="4">
        <v>6.6900000000000003E-147</v>
      </c>
      <c r="G2940" s="3">
        <v>1105</v>
      </c>
      <c r="H2940" s="3">
        <v>64</v>
      </c>
      <c r="I2940" s="3">
        <v>315</v>
      </c>
      <c r="J2940" s="3">
        <v>3</v>
      </c>
      <c r="K2940" s="3">
        <v>941</v>
      </c>
      <c r="L2940" s="3">
        <v>150</v>
      </c>
      <c r="M2940" s="3">
        <v>464</v>
      </c>
    </row>
    <row r="2941" spans="1:13" x14ac:dyDescent="0.25">
      <c r="A2941" s="1" t="str">
        <f>HYPERLINK("http://www.rosaceae.org/Prunus/Prunus_persica/p.persica_gdr_reftransV1_0000068","p.persica_gdr_reftransV1_0000068")</f>
        <v>p.persica_gdr_reftransV1_0000068</v>
      </c>
      <c r="B2941" s="3">
        <v>357</v>
      </c>
      <c r="C2941" s="1" t="str">
        <f>HYPERLINK("http://www.uniprot.org/uniprot/PP180_ARATH","PP180_ARATH")</f>
        <v>PP180_ARATH</v>
      </c>
      <c r="D2941" t="s">
        <v>2739</v>
      </c>
      <c r="E2941" s="3" t="s">
        <v>3</v>
      </c>
      <c r="F2941" s="4">
        <v>2.2899999999999999E-35</v>
      </c>
      <c r="G2941" s="3">
        <v>331</v>
      </c>
      <c r="H2941" s="3">
        <v>53</v>
      </c>
      <c r="I2941" s="3">
        <v>118</v>
      </c>
      <c r="J2941" s="3">
        <v>4</v>
      </c>
      <c r="K2941" s="3">
        <v>357</v>
      </c>
      <c r="L2941" s="3">
        <v>176</v>
      </c>
      <c r="M2941" s="3">
        <v>293</v>
      </c>
    </row>
    <row r="2942" spans="1:13" x14ac:dyDescent="0.25">
      <c r="A2942" s="1" t="str">
        <f>HYPERLINK("http://www.rosaceae.org/Prunus/Prunus_persica/p.persica_gdr_reftransV1_0000218","p.persica_gdr_reftransV1_0000218")</f>
        <v>p.persica_gdr_reftransV1_0000218</v>
      </c>
      <c r="B2942" s="3">
        <v>803</v>
      </c>
      <c r="C2942" s="1" t="str">
        <f>HYPERLINK("http://www.uniprot.org/uniprot/VAP22_ARATH","VAP22_ARATH")</f>
        <v>VAP22_ARATH</v>
      </c>
      <c r="D2942" t="s">
        <v>1104</v>
      </c>
      <c r="E2942" s="3" t="s">
        <v>3</v>
      </c>
      <c r="F2942" s="4">
        <v>2.91E-15</v>
      </c>
      <c r="G2942" s="3">
        <v>191</v>
      </c>
      <c r="H2942" s="3">
        <v>55</v>
      </c>
      <c r="I2942" s="3">
        <v>88</v>
      </c>
      <c r="J2942" s="3">
        <v>341</v>
      </c>
      <c r="K2942" s="3">
        <v>604</v>
      </c>
      <c r="L2942" s="3">
        <v>298</v>
      </c>
      <c r="M2942" s="3">
        <v>384</v>
      </c>
    </row>
    <row r="2943" spans="1:13" x14ac:dyDescent="0.25">
      <c r="A2943" s="1" t="str">
        <f>HYPERLINK("http://www.rosaceae.org/Prunus/Prunus_persica/p.persica_gdr_reftransV1_0000268","p.persica_gdr_reftransV1_0000268")</f>
        <v>p.persica_gdr_reftransV1_0000268</v>
      </c>
      <c r="B2943" s="3">
        <v>1703</v>
      </c>
      <c r="C2943" s="1" t="str">
        <f>HYPERLINK("http://www.uniprot.org/uniprot/MBOA1_ARATH","MBOA1_ARATH")</f>
        <v>MBOA1_ARATH</v>
      </c>
      <c r="D2943" t="s">
        <v>2740</v>
      </c>
      <c r="E2943" s="3" t="s">
        <v>3</v>
      </c>
      <c r="F2943" s="4">
        <v>0</v>
      </c>
      <c r="G2943" s="3">
        <v>1947</v>
      </c>
      <c r="H2943" s="3">
        <v>79</v>
      </c>
      <c r="I2943" s="3">
        <v>463</v>
      </c>
      <c r="J2943" s="3">
        <v>204</v>
      </c>
      <c r="K2943" s="3">
        <v>1592</v>
      </c>
      <c r="L2943" s="3">
        <v>1</v>
      </c>
      <c r="M2943" s="3">
        <v>462</v>
      </c>
    </row>
    <row r="2944" spans="1:13" x14ac:dyDescent="0.25">
      <c r="A2944" s="1" t="str">
        <f>HYPERLINK("http://www.rosaceae.org/Prunus/Prunus_persica/p.persica_gdr_reftransV1_0000318","p.persica_gdr_reftransV1_0000318")</f>
        <v>p.persica_gdr_reftransV1_0000318</v>
      </c>
      <c r="B2944" s="3">
        <v>458</v>
      </c>
      <c r="C2944" s="1" t="str">
        <f>HYPERLINK("http://www.uniprot.org/uniprot/PGLR_VITVI","PGLR_VITVI")</f>
        <v>PGLR_VITVI</v>
      </c>
      <c r="D2944" t="s">
        <v>2366</v>
      </c>
      <c r="E2944" s="3" t="s">
        <v>362</v>
      </c>
      <c r="F2944" s="4">
        <v>2.7900000000000001E-43</v>
      </c>
      <c r="G2944" s="3">
        <v>389</v>
      </c>
      <c r="H2944" s="3">
        <v>76</v>
      </c>
      <c r="I2944" s="3">
        <v>93</v>
      </c>
      <c r="J2944" s="3">
        <v>75</v>
      </c>
      <c r="K2944" s="3">
        <v>353</v>
      </c>
      <c r="L2944" s="3">
        <v>40</v>
      </c>
      <c r="M2944" s="3">
        <v>132</v>
      </c>
    </row>
    <row r="2945" spans="1:13" x14ac:dyDescent="0.25">
      <c r="A2945" s="1" t="str">
        <f>HYPERLINK("http://www.rosaceae.org/Prunus/Prunus_persica/p.persica_gdr_reftransV1_0000368","p.persica_gdr_reftransV1_0000368")</f>
        <v>p.persica_gdr_reftransV1_0000368</v>
      </c>
      <c r="B2945" s="3">
        <v>1737</v>
      </c>
      <c r="C2945" s="1" t="str">
        <f>HYPERLINK("http://www.uniprot.org/uniprot/NADC_ARATH","NADC_ARATH")</f>
        <v>NADC_ARATH</v>
      </c>
      <c r="D2945" t="s">
        <v>2741</v>
      </c>
      <c r="E2945" s="3" t="s">
        <v>3</v>
      </c>
      <c r="F2945" s="4">
        <v>1.13E-169</v>
      </c>
      <c r="G2945" s="3">
        <v>1268</v>
      </c>
      <c r="H2945" s="3">
        <v>72</v>
      </c>
      <c r="I2945" s="3">
        <v>371</v>
      </c>
      <c r="J2945" s="3">
        <v>456</v>
      </c>
      <c r="K2945" s="3">
        <v>1568</v>
      </c>
      <c r="L2945" s="3">
        <v>11</v>
      </c>
      <c r="M2945" s="3">
        <v>348</v>
      </c>
    </row>
    <row r="2946" spans="1:13" x14ac:dyDescent="0.25">
      <c r="A2946" s="1" t="str">
        <f>HYPERLINK("http://www.rosaceae.org/Prunus/Prunus_persica/p.persica_gdr_reftransV1_0000518","p.persica_gdr_reftransV1_0000518")</f>
        <v>p.persica_gdr_reftransV1_0000518</v>
      </c>
      <c r="B2946" s="3">
        <v>590</v>
      </c>
      <c r="C2946" s="1" t="str">
        <f>HYPERLINK("http://www.uniprot.org/uniprot/AFC2_ARATH","AFC2_ARATH")</f>
        <v>AFC2_ARATH</v>
      </c>
      <c r="D2946" t="s">
        <v>2742</v>
      </c>
      <c r="E2946" s="3" t="s">
        <v>3</v>
      </c>
      <c r="F2946" s="4">
        <v>8.7899999999999996E-58</v>
      </c>
      <c r="G2946" s="3">
        <v>491</v>
      </c>
      <c r="H2946" s="3">
        <v>62</v>
      </c>
      <c r="I2946" s="3">
        <v>147</v>
      </c>
      <c r="J2946" s="3">
        <v>151</v>
      </c>
      <c r="K2946" s="3">
        <v>588</v>
      </c>
      <c r="L2946" s="3">
        <v>1</v>
      </c>
      <c r="M2946" s="3">
        <v>147</v>
      </c>
    </row>
    <row r="2947" spans="1:13" x14ac:dyDescent="0.25">
      <c r="A2947" s="1" t="str">
        <f>HYPERLINK("http://www.rosaceae.org/Prunus/Prunus_persica/p.persica_gdr_reftransV1_0000568","p.persica_gdr_reftransV1_0000568")</f>
        <v>p.persica_gdr_reftransV1_0000568</v>
      </c>
      <c r="B2947" s="3">
        <v>1227</v>
      </c>
      <c r="C2947" s="1" t="str">
        <f>HYPERLINK("http://www.uniprot.org/uniprot/MYB5_ARATH","MYB5_ARATH")</f>
        <v>MYB5_ARATH</v>
      </c>
      <c r="D2947" t="s">
        <v>2743</v>
      </c>
      <c r="E2947" s="3" t="s">
        <v>3</v>
      </c>
      <c r="F2947" s="4">
        <v>2.61E-52</v>
      </c>
      <c r="G2947" s="3">
        <v>459</v>
      </c>
      <c r="H2947" s="3">
        <v>91</v>
      </c>
      <c r="I2947" s="3">
        <v>91</v>
      </c>
      <c r="J2947" s="3">
        <v>953</v>
      </c>
      <c r="K2947" s="3">
        <v>1225</v>
      </c>
      <c r="L2947" s="3">
        <v>51</v>
      </c>
      <c r="M2947" s="3">
        <v>141</v>
      </c>
    </row>
    <row r="2948" spans="1:13" x14ac:dyDescent="0.25">
      <c r="A2948" s="1" t="str">
        <f>HYPERLINK("http://www.rosaceae.org/Prunus/Prunus_persica/p.persica_gdr_reftransV1_0000618","p.persica_gdr_reftransV1_0000618")</f>
        <v>p.persica_gdr_reftransV1_0000618</v>
      </c>
      <c r="B2948" s="3">
        <v>1348</v>
      </c>
      <c r="C2948" s="1" t="str">
        <f>HYPERLINK("http://www.uniprot.org/uniprot/Y4919_ARATH","Y4919_ARATH")</f>
        <v>Y4919_ARATH</v>
      </c>
      <c r="D2948" t="s">
        <v>2744</v>
      </c>
      <c r="E2948" s="3" t="s">
        <v>3</v>
      </c>
      <c r="F2948" s="4">
        <v>2.4400000000000001E-158</v>
      </c>
      <c r="G2948" s="3">
        <v>1204</v>
      </c>
      <c r="H2948" s="3">
        <v>74</v>
      </c>
      <c r="I2948" s="3">
        <v>306</v>
      </c>
      <c r="J2948" s="3">
        <v>110</v>
      </c>
      <c r="K2948" s="3">
        <v>1015</v>
      </c>
      <c r="L2948" s="3">
        <v>10</v>
      </c>
      <c r="M2948" s="3">
        <v>309</v>
      </c>
    </row>
    <row r="2949" spans="1:13" x14ac:dyDescent="0.25">
      <c r="A2949" s="1" t="str">
        <f>HYPERLINK("http://www.rosaceae.org/Prunus/Prunus_persica/p.persica_gdr_reftransV1_0000668","p.persica_gdr_reftransV1_0000668")</f>
        <v>p.persica_gdr_reftransV1_0000668</v>
      </c>
      <c r="B2949" s="3">
        <v>1629</v>
      </c>
      <c r="C2949" s="1" t="str">
        <f>HYPERLINK("http://www.uniprot.org/uniprot/TLDC1_MOUSE","TLDC1_MOUSE")</f>
        <v>TLDC1_MOUSE</v>
      </c>
      <c r="D2949" t="s">
        <v>2745</v>
      </c>
      <c r="E2949" s="3" t="s">
        <v>157</v>
      </c>
      <c r="F2949" s="4">
        <v>6.5299999999999999E-25</v>
      </c>
      <c r="G2949" s="3">
        <v>277</v>
      </c>
      <c r="H2949" s="3">
        <v>36</v>
      </c>
      <c r="I2949" s="3">
        <v>171</v>
      </c>
      <c r="J2949" s="3">
        <v>871</v>
      </c>
      <c r="K2949" s="3">
        <v>1374</v>
      </c>
      <c r="L2949" s="3">
        <v>287</v>
      </c>
      <c r="M2949" s="3">
        <v>453</v>
      </c>
    </row>
    <row r="2950" spans="1:13" x14ac:dyDescent="0.25">
      <c r="A2950" s="1" t="str">
        <f>HYPERLINK("http://www.rosaceae.org/Prunus/Prunus_persica/p.persica_gdr_reftransV1_0000718","p.persica_gdr_reftransV1_0000718")</f>
        <v>p.persica_gdr_reftransV1_0000718</v>
      </c>
      <c r="B2950" s="3">
        <v>2186</v>
      </c>
      <c r="C2950" s="1" t="str">
        <f>HYPERLINK("http://www.uniprot.org/uniprot/PATL3_ARATH","PATL3_ARATH")</f>
        <v>PATL3_ARATH</v>
      </c>
      <c r="D2950" t="s">
        <v>2746</v>
      </c>
      <c r="E2950" s="3" t="s">
        <v>3</v>
      </c>
      <c r="F2950" s="4">
        <v>1.01E-122</v>
      </c>
      <c r="G2950" s="3">
        <v>897</v>
      </c>
      <c r="H2950" s="3">
        <v>64</v>
      </c>
      <c r="I2950" s="3">
        <v>255</v>
      </c>
      <c r="J2950" s="3">
        <v>921</v>
      </c>
      <c r="K2950" s="3">
        <v>1676</v>
      </c>
      <c r="L2950" s="3">
        <v>219</v>
      </c>
      <c r="M2950" s="3">
        <v>473</v>
      </c>
    </row>
    <row r="2951" spans="1:13" x14ac:dyDescent="0.25">
      <c r="A2951" s="1" t="str">
        <f>HYPERLINK("http://www.rosaceae.org/Prunus/Prunus_persica/p.persica_gdr_reftransV1_0000918","p.persica_gdr_reftransV1_0000918")</f>
        <v>p.persica_gdr_reftransV1_0000918</v>
      </c>
      <c r="B2951" s="3">
        <v>444</v>
      </c>
      <c r="C2951" s="1" t="str">
        <f>HYPERLINK("http://www.uniprot.org/uniprot/PP271_ARATH","PP271_ARATH")</f>
        <v>PP271_ARATH</v>
      </c>
      <c r="D2951" t="s">
        <v>2747</v>
      </c>
      <c r="E2951" s="3" t="s">
        <v>3</v>
      </c>
      <c r="F2951" s="4">
        <v>2.8199999999999998E-25</v>
      </c>
      <c r="G2951" s="3">
        <v>262</v>
      </c>
      <c r="H2951" s="3">
        <v>39</v>
      </c>
      <c r="I2951" s="3">
        <v>147</v>
      </c>
      <c r="J2951" s="3">
        <v>4</v>
      </c>
      <c r="K2951" s="3">
        <v>444</v>
      </c>
      <c r="L2951" s="3">
        <v>59</v>
      </c>
      <c r="M2951" s="3">
        <v>201</v>
      </c>
    </row>
    <row r="2952" spans="1:13" x14ac:dyDescent="0.25">
      <c r="A2952" s="1" t="str">
        <f>HYPERLINK("http://www.rosaceae.org/Prunus/Prunus_persica/p.persica_gdr_reftransV1_0000968","p.persica_gdr_reftransV1_0000968")</f>
        <v>p.persica_gdr_reftransV1_0000968</v>
      </c>
      <c r="B2952" s="3">
        <v>2001</v>
      </c>
      <c r="C2952" s="1" t="str">
        <f>HYPERLINK("http://www.uniprot.org/uniprot/EIF3M_DICDI","EIF3M_DICDI")</f>
        <v>EIF3M_DICDI</v>
      </c>
      <c r="D2952" t="s">
        <v>2748</v>
      </c>
      <c r="E2952" s="3" t="s">
        <v>9</v>
      </c>
      <c r="F2952" s="4">
        <v>7.1199999999999997E-68</v>
      </c>
      <c r="G2952" s="3">
        <v>595</v>
      </c>
      <c r="H2952" s="3">
        <v>38</v>
      </c>
      <c r="I2952" s="3">
        <v>327</v>
      </c>
      <c r="J2952" s="3">
        <v>286</v>
      </c>
      <c r="K2952" s="3">
        <v>1251</v>
      </c>
      <c r="L2952" s="3">
        <v>66</v>
      </c>
      <c r="M2952" s="3">
        <v>385</v>
      </c>
    </row>
    <row r="2953" spans="1:13" x14ac:dyDescent="0.25">
      <c r="A2953" s="1" t="str">
        <f>HYPERLINK("http://www.rosaceae.org/Prunus/Prunus_persica/p.persica_gdr_reftransV1_0001018","p.persica_gdr_reftransV1_0001018")</f>
        <v>p.persica_gdr_reftransV1_0001018</v>
      </c>
      <c r="B2953" s="3">
        <v>305</v>
      </c>
      <c r="C2953" s="1" t="str">
        <f>HYPERLINK("http://www.uniprot.org/uniprot/PIP12_ARATH","PIP12_ARATH")</f>
        <v>PIP12_ARATH</v>
      </c>
      <c r="D2953" t="s">
        <v>2749</v>
      </c>
      <c r="E2953" s="3" t="s">
        <v>3</v>
      </c>
      <c r="F2953" s="4">
        <v>2.8700000000000001E-59</v>
      </c>
      <c r="G2953" s="3">
        <v>480</v>
      </c>
      <c r="H2953" s="3">
        <v>90</v>
      </c>
      <c r="I2953" s="3">
        <v>101</v>
      </c>
      <c r="J2953" s="3">
        <v>2</v>
      </c>
      <c r="K2953" s="3">
        <v>304</v>
      </c>
      <c r="L2953" s="3">
        <v>19</v>
      </c>
      <c r="M2953" s="3">
        <v>119</v>
      </c>
    </row>
    <row r="2954" spans="1:13" x14ac:dyDescent="0.25">
      <c r="A2954" s="1" t="str">
        <f>HYPERLINK("http://www.rosaceae.org/Prunus/Prunus_persica/p.persica_gdr_reftransV1_0001068","p.persica_gdr_reftransV1_0001068")</f>
        <v>p.persica_gdr_reftransV1_0001068</v>
      </c>
      <c r="B2954" s="3">
        <v>1722</v>
      </c>
      <c r="C2954" s="1" t="str">
        <f>HYPERLINK("http://www.uniprot.org/uniprot/STK16_RAT","STK16_RAT")</f>
        <v>STK16_RAT</v>
      </c>
      <c r="D2954" t="s">
        <v>2750</v>
      </c>
      <c r="E2954" s="3" t="s">
        <v>161</v>
      </c>
      <c r="F2954" s="4">
        <v>5.3100000000000001E-52</v>
      </c>
      <c r="G2954" s="3">
        <v>471</v>
      </c>
      <c r="H2954" s="3">
        <v>34</v>
      </c>
      <c r="I2954" s="3">
        <v>326</v>
      </c>
      <c r="J2954" s="3">
        <v>375</v>
      </c>
      <c r="K2954" s="3">
        <v>1352</v>
      </c>
      <c r="L2954" s="3">
        <v>6</v>
      </c>
      <c r="M2954" s="3">
        <v>293</v>
      </c>
    </row>
    <row r="2955" spans="1:13" x14ac:dyDescent="0.25">
      <c r="A2955" s="1" t="str">
        <f>HYPERLINK("http://www.rosaceae.org/Prunus/Prunus_persica/p.persica_gdr_reftransV1_0001118","p.persica_gdr_reftransV1_0001118")</f>
        <v>p.persica_gdr_reftransV1_0001118</v>
      </c>
      <c r="B2955" s="3">
        <v>2567</v>
      </c>
      <c r="C2955" s="1" t="str">
        <f>HYPERLINK("http://www.uniprot.org/uniprot/RBP47_NICPL","RBP47_NICPL")</f>
        <v>RBP47_NICPL</v>
      </c>
      <c r="D2955" t="s">
        <v>2751</v>
      </c>
      <c r="E2955" s="3" t="s">
        <v>1450</v>
      </c>
      <c r="F2955" s="4">
        <v>4.7999999999999998E-142</v>
      </c>
      <c r="G2955" s="3">
        <v>1116</v>
      </c>
      <c r="H2955" s="3">
        <v>70</v>
      </c>
      <c r="I2955" s="3">
        <v>294</v>
      </c>
      <c r="J2955" s="3">
        <v>993</v>
      </c>
      <c r="K2955" s="3">
        <v>1862</v>
      </c>
      <c r="L2955" s="3">
        <v>79</v>
      </c>
      <c r="M2955" s="3">
        <v>372</v>
      </c>
    </row>
    <row r="2956" spans="1:13" x14ac:dyDescent="0.25">
      <c r="A2956" s="1" t="str">
        <f>HYPERLINK("http://www.rosaceae.org/Prunus/Prunus_persica/p.persica_gdr_reftransV1_0001318","p.persica_gdr_reftransV1_0001318")</f>
        <v>p.persica_gdr_reftransV1_0001318</v>
      </c>
      <c r="B2956" s="3">
        <v>1309</v>
      </c>
      <c r="C2956" s="1" t="str">
        <f>HYPERLINK("http://www.uniprot.org/uniprot/WTR24_ARATH","WTR24_ARATH")</f>
        <v>WTR24_ARATH</v>
      </c>
      <c r="D2956" t="s">
        <v>2752</v>
      </c>
      <c r="E2956" s="3" t="s">
        <v>3</v>
      </c>
      <c r="F2956" s="4">
        <v>8.1499999999999999E-122</v>
      </c>
      <c r="G2956" s="3">
        <v>938</v>
      </c>
      <c r="H2956" s="3">
        <v>50</v>
      </c>
      <c r="I2956" s="3">
        <v>344</v>
      </c>
      <c r="J2956" s="3">
        <v>2</v>
      </c>
      <c r="K2956" s="3">
        <v>1033</v>
      </c>
      <c r="L2956" s="3">
        <v>9</v>
      </c>
      <c r="M2956" s="3">
        <v>339</v>
      </c>
    </row>
    <row r="2957" spans="1:13" x14ac:dyDescent="0.25">
      <c r="A2957" s="1" t="str">
        <f>HYPERLINK("http://www.rosaceae.org/Prunus/Prunus_persica/p.persica_gdr_reftransV1_0001368","p.persica_gdr_reftransV1_0001368")</f>
        <v>p.persica_gdr_reftransV1_0001368</v>
      </c>
      <c r="B2957" s="3">
        <v>2106</v>
      </c>
      <c r="C2957" s="1" t="str">
        <f>HYPERLINK("http://www.uniprot.org/uniprot/LIMYB_ARATH","LIMYB_ARATH")</f>
        <v>LIMYB_ARATH</v>
      </c>
      <c r="D2957" t="s">
        <v>1896</v>
      </c>
      <c r="E2957" s="3" t="s">
        <v>3</v>
      </c>
      <c r="F2957" s="4">
        <v>6.7799999999999997E-31</v>
      </c>
      <c r="G2957" s="3">
        <v>326</v>
      </c>
      <c r="H2957" s="3">
        <v>27</v>
      </c>
      <c r="I2957" s="3">
        <v>339</v>
      </c>
      <c r="J2957" s="3">
        <v>931</v>
      </c>
      <c r="K2957" s="3">
        <v>1896</v>
      </c>
      <c r="L2957" s="3">
        <v>2</v>
      </c>
      <c r="M2957" s="3">
        <v>330</v>
      </c>
    </row>
    <row r="2958" spans="1:13" x14ac:dyDescent="0.25">
      <c r="A2958" s="1" t="str">
        <f>HYPERLINK("http://www.rosaceae.org/Prunus/Prunus_persica/p.persica_gdr_reftransV1_0001418","p.persica_gdr_reftransV1_0001418")</f>
        <v>p.persica_gdr_reftransV1_0001418</v>
      </c>
      <c r="B2958" s="3">
        <v>452</v>
      </c>
      <c r="C2958" s="1" t="str">
        <f>HYPERLINK("http://www.uniprot.org/uniprot/AHL1_ARATH","AHL1_ARATH")</f>
        <v>AHL1_ARATH</v>
      </c>
      <c r="D2958" t="s">
        <v>2753</v>
      </c>
      <c r="E2958" s="3" t="s">
        <v>3</v>
      </c>
      <c r="F2958" s="4">
        <v>1.2199999999999999E-47</v>
      </c>
      <c r="G2958" s="3">
        <v>413</v>
      </c>
      <c r="H2958" s="3">
        <v>68</v>
      </c>
      <c r="I2958" s="3">
        <v>114</v>
      </c>
      <c r="J2958" s="3">
        <v>3</v>
      </c>
      <c r="K2958" s="3">
        <v>344</v>
      </c>
      <c r="L2958" s="3">
        <v>155</v>
      </c>
      <c r="M2958" s="3">
        <v>268</v>
      </c>
    </row>
    <row r="2959" spans="1:13" x14ac:dyDescent="0.25">
      <c r="A2959" s="1" t="str">
        <f>HYPERLINK("http://www.rosaceae.org/Prunus/Prunus_persica/p.persica_gdr_reftransV1_0001468","p.persica_gdr_reftransV1_0001468")</f>
        <v>p.persica_gdr_reftransV1_0001468</v>
      </c>
      <c r="B2959" s="3">
        <v>1136</v>
      </c>
      <c r="C2959" s="1" t="str">
        <f>HYPERLINK("http://www.uniprot.org/uniprot/PV42A_ARATH","PV42A_ARATH")</f>
        <v>PV42A_ARATH</v>
      </c>
      <c r="D2959" t="s">
        <v>2754</v>
      </c>
      <c r="E2959" s="3" t="s">
        <v>3</v>
      </c>
      <c r="F2959" s="4">
        <v>5.3299999999999996E-131</v>
      </c>
      <c r="G2959" s="3">
        <v>992</v>
      </c>
      <c r="H2959" s="3">
        <v>60</v>
      </c>
      <c r="I2959" s="3">
        <v>326</v>
      </c>
      <c r="J2959" s="3">
        <v>166</v>
      </c>
      <c r="K2959" s="3">
        <v>1134</v>
      </c>
      <c r="L2959" s="3">
        <v>52</v>
      </c>
      <c r="M2959" s="3">
        <v>348</v>
      </c>
    </row>
    <row r="2960" spans="1:13" x14ac:dyDescent="0.25">
      <c r="A2960" s="1" t="str">
        <f>HYPERLINK("http://www.rosaceae.org/Prunus/Prunus_persica/p.persica_gdr_reftransV1_0001568","p.persica_gdr_reftransV1_0001568")</f>
        <v>p.persica_gdr_reftransV1_0001568</v>
      </c>
      <c r="B2960" s="3">
        <v>1497</v>
      </c>
      <c r="C2960" s="1" t="str">
        <f>HYPERLINK("http://www.uniprot.org/uniprot/CQ10X_DANRE","CQ10X_DANRE")</f>
        <v>CQ10X_DANRE</v>
      </c>
      <c r="D2960" t="s">
        <v>2755</v>
      </c>
      <c r="E2960" s="3" t="s">
        <v>704</v>
      </c>
      <c r="F2960" s="4">
        <v>1.4500000000000001E-35</v>
      </c>
      <c r="G2960" s="3">
        <v>344</v>
      </c>
      <c r="H2960" s="3">
        <v>42</v>
      </c>
      <c r="I2960" s="3">
        <v>152</v>
      </c>
      <c r="J2960" s="3">
        <v>557</v>
      </c>
      <c r="K2960" s="3">
        <v>1012</v>
      </c>
      <c r="L2960" s="3">
        <v>78</v>
      </c>
      <c r="M2960" s="3">
        <v>222</v>
      </c>
    </row>
    <row r="2961" spans="1:13" x14ac:dyDescent="0.25">
      <c r="A2961" s="1" t="str">
        <f>HYPERLINK("http://www.rosaceae.org/Prunus/Prunus_persica/p.persica_gdr_reftransV1_0001618","p.persica_gdr_reftransV1_0001618")</f>
        <v>p.persica_gdr_reftransV1_0001618</v>
      </c>
      <c r="B2961" s="3">
        <v>1094</v>
      </c>
      <c r="C2961" s="1" t="str">
        <f>HYPERLINK("http://www.uniprot.org/uniprot/GP210_ARATH","GP210_ARATH")</f>
        <v>GP210_ARATH</v>
      </c>
      <c r="D2961" t="s">
        <v>2756</v>
      </c>
      <c r="E2961" s="3" t="s">
        <v>3</v>
      </c>
      <c r="F2961" s="4">
        <v>1.4100000000000001E-147</v>
      </c>
      <c r="G2961" s="3">
        <v>1195</v>
      </c>
      <c r="H2961" s="3">
        <v>63</v>
      </c>
      <c r="I2961" s="3">
        <v>351</v>
      </c>
      <c r="J2961" s="3">
        <v>2</v>
      </c>
      <c r="K2961" s="3">
        <v>1054</v>
      </c>
      <c r="L2961" s="3">
        <v>157</v>
      </c>
      <c r="M2961" s="3">
        <v>507</v>
      </c>
    </row>
    <row r="2962" spans="1:13" x14ac:dyDescent="0.25">
      <c r="A2962" s="1" t="str">
        <f>HYPERLINK("http://www.rosaceae.org/Prunus/Prunus_persica/p.persica_gdr_reftransV1_0001718","p.persica_gdr_reftransV1_0001718")</f>
        <v>p.persica_gdr_reftransV1_0001718</v>
      </c>
      <c r="B2962" s="3">
        <v>1703</v>
      </c>
      <c r="C2962" s="1" t="str">
        <f>HYPERLINK("http://www.uniprot.org/uniprot/FBK50_ARATH","FBK50_ARATH")</f>
        <v>FBK50_ARATH</v>
      </c>
      <c r="D2962" t="s">
        <v>13</v>
      </c>
      <c r="E2962" s="3" t="s">
        <v>3</v>
      </c>
      <c r="F2962" s="4">
        <v>7.3300000000000002E-35</v>
      </c>
      <c r="G2962" s="3">
        <v>352</v>
      </c>
      <c r="H2962" s="3">
        <v>30</v>
      </c>
      <c r="I2962" s="3">
        <v>396</v>
      </c>
      <c r="J2962" s="3">
        <v>426</v>
      </c>
      <c r="K2962" s="3">
        <v>1472</v>
      </c>
      <c r="L2962" s="3">
        <v>47</v>
      </c>
      <c r="M2962" s="3">
        <v>420</v>
      </c>
    </row>
    <row r="2963" spans="1:13" x14ac:dyDescent="0.25">
      <c r="A2963" s="1" t="str">
        <f>HYPERLINK("http://www.rosaceae.org/Prunus/Prunus_persica/p.persica_gdr_reftransV1_0001768","p.persica_gdr_reftransV1_0001768")</f>
        <v>p.persica_gdr_reftransV1_0001768</v>
      </c>
      <c r="B2963" s="3">
        <v>1211</v>
      </c>
      <c r="C2963" s="1" t="str">
        <f>HYPERLINK("http://www.uniprot.org/uniprot/PGLR_ACTDE","PGLR_ACTDE")</f>
        <v>PGLR_ACTDE</v>
      </c>
      <c r="D2963" t="s">
        <v>2757</v>
      </c>
      <c r="E2963" s="3" t="s">
        <v>2188</v>
      </c>
      <c r="F2963" s="4">
        <v>4.71E-160</v>
      </c>
      <c r="G2963" s="3">
        <v>1198</v>
      </c>
      <c r="H2963" s="3">
        <v>69</v>
      </c>
      <c r="I2963" s="3">
        <v>319</v>
      </c>
      <c r="J2963" s="3">
        <v>4</v>
      </c>
      <c r="K2963" s="3">
        <v>960</v>
      </c>
      <c r="L2963" s="3">
        <v>90</v>
      </c>
      <c r="M2963" s="3">
        <v>407</v>
      </c>
    </row>
    <row r="2964" spans="1:13" x14ac:dyDescent="0.25">
      <c r="A2964" s="1" t="str">
        <f>HYPERLINK("http://www.rosaceae.org/Prunus/Prunus_persica/p.persica_gdr_reftransV1_0001818","p.persica_gdr_reftransV1_0001818")</f>
        <v>p.persica_gdr_reftransV1_0001818</v>
      </c>
      <c r="B2964" s="3">
        <v>1965</v>
      </c>
      <c r="C2964" s="1" t="str">
        <f>HYPERLINK("http://www.uniprot.org/uniprot/SCP31_ARATH","SCP31_ARATH")</f>
        <v>SCP31_ARATH</v>
      </c>
      <c r="D2964" t="s">
        <v>2758</v>
      </c>
      <c r="E2964" s="3" t="s">
        <v>3</v>
      </c>
      <c r="F2964" s="4">
        <v>0</v>
      </c>
      <c r="G2964" s="3">
        <v>1762</v>
      </c>
      <c r="H2964" s="3">
        <v>69</v>
      </c>
      <c r="I2964" s="3">
        <v>477</v>
      </c>
      <c r="J2964" s="3">
        <v>96</v>
      </c>
      <c r="K2964" s="3">
        <v>1496</v>
      </c>
      <c r="L2964" s="3">
        <v>16</v>
      </c>
      <c r="M2964" s="3">
        <v>492</v>
      </c>
    </row>
    <row r="2965" spans="1:13" x14ac:dyDescent="0.25">
      <c r="A2965" s="1" t="str">
        <f>HYPERLINK("http://www.rosaceae.org/Prunus/Prunus_persica/p.persica_gdr_reftransV1_0001968","p.persica_gdr_reftransV1_0001968")</f>
        <v>p.persica_gdr_reftransV1_0001968</v>
      </c>
      <c r="B2965" s="3">
        <v>664</v>
      </c>
      <c r="C2965" s="1" t="str">
        <f>HYPERLINK("http://www.uniprot.org/uniprot/13SB_FAGES","13SB_FAGES")</f>
        <v>13SB_FAGES</v>
      </c>
      <c r="D2965" t="s">
        <v>2759</v>
      </c>
      <c r="E2965" s="3" t="s">
        <v>2760</v>
      </c>
      <c r="F2965" s="4">
        <v>1.2000000000000001E-39</v>
      </c>
      <c r="G2965" s="3">
        <v>354</v>
      </c>
      <c r="H2965" s="3">
        <v>60</v>
      </c>
      <c r="I2965" s="3">
        <v>112</v>
      </c>
      <c r="J2965" s="3">
        <v>328</v>
      </c>
      <c r="K2965" s="3">
        <v>663</v>
      </c>
      <c r="L2965" s="3">
        <v>68</v>
      </c>
      <c r="M2965" s="3">
        <v>179</v>
      </c>
    </row>
    <row r="2966" spans="1:13" x14ac:dyDescent="0.25">
      <c r="A2966" s="1" t="str">
        <f>HYPERLINK("http://www.rosaceae.org/Prunus/Prunus_persica/p.persica_gdr_reftransV1_0002068","p.persica_gdr_reftransV1_0002068")</f>
        <v>p.persica_gdr_reftransV1_0002068</v>
      </c>
      <c r="B2966" s="3">
        <v>419</v>
      </c>
      <c r="C2966" s="1" t="str">
        <f>HYPERLINK("http://www.uniprot.org/uniprot/TBL29_ARATH","TBL29_ARATH")</f>
        <v>TBL29_ARATH</v>
      </c>
      <c r="D2966" t="s">
        <v>2761</v>
      </c>
      <c r="E2966" s="3" t="s">
        <v>3</v>
      </c>
      <c r="F2966" s="4">
        <v>1.5400000000000001E-9</v>
      </c>
      <c r="G2966" s="3">
        <v>141</v>
      </c>
      <c r="H2966" s="3">
        <v>40</v>
      </c>
      <c r="I2966" s="3">
        <v>117</v>
      </c>
      <c r="J2966" s="3">
        <v>62</v>
      </c>
      <c r="K2966" s="3">
        <v>406</v>
      </c>
      <c r="L2966" s="3">
        <v>38</v>
      </c>
      <c r="M2966" s="3">
        <v>135</v>
      </c>
    </row>
    <row r="2967" spans="1:13" x14ac:dyDescent="0.25">
      <c r="A2967" s="1" t="str">
        <f>HYPERLINK("http://www.rosaceae.org/Prunus/Prunus_persica/p.persica_gdr_reftransV1_0002168","p.persica_gdr_reftransV1_0002168")</f>
        <v>p.persica_gdr_reftransV1_0002168</v>
      </c>
      <c r="B2967" s="3">
        <v>308</v>
      </c>
      <c r="C2967" s="1" t="str">
        <f>HYPERLINK("http://www.uniprot.org/uniprot/PCKA_EMENI","PCKA_EMENI")</f>
        <v>PCKA_EMENI</v>
      </c>
      <c r="D2967" t="s">
        <v>2762</v>
      </c>
      <c r="E2967" s="3" t="s">
        <v>205</v>
      </c>
      <c r="F2967" s="4">
        <v>4.82E-59</v>
      </c>
      <c r="G2967" s="3">
        <v>498</v>
      </c>
      <c r="H2967" s="3">
        <v>88</v>
      </c>
      <c r="I2967" s="3">
        <v>102</v>
      </c>
      <c r="J2967" s="3">
        <v>2</v>
      </c>
      <c r="K2967" s="3">
        <v>307</v>
      </c>
      <c r="L2967" s="3">
        <v>380</v>
      </c>
      <c r="M2967" s="3">
        <v>481</v>
      </c>
    </row>
    <row r="2968" spans="1:13" x14ac:dyDescent="0.25">
      <c r="A2968" s="1" t="str">
        <f>HYPERLINK("http://www.rosaceae.org/Prunus/Prunus_persica/p.persica_gdr_reftransV1_0002218","p.persica_gdr_reftransV1_0002218")</f>
        <v>p.persica_gdr_reftransV1_0002218</v>
      </c>
      <c r="B2968" s="3">
        <v>533</v>
      </c>
      <c r="C2968" s="1" t="str">
        <f>HYPERLINK("http://www.uniprot.org/uniprot/CALS5_ARATH","CALS5_ARATH")</f>
        <v>CALS5_ARATH</v>
      </c>
      <c r="D2968" t="s">
        <v>932</v>
      </c>
      <c r="E2968" s="3" t="s">
        <v>3</v>
      </c>
      <c r="F2968" s="4">
        <v>9.4099999999999995E-103</v>
      </c>
      <c r="G2968" s="3">
        <v>845</v>
      </c>
      <c r="H2968" s="3">
        <v>86</v>
      </c>
      <c r="I2968" s="3">
        <v>175</v>
      </c>
      <c r="J2968" s="3">
        <v>7</v>
      </c>
      <c r="K2968" s="3">
        <v>531</v>
      </c>
      <c r="L2968" s="3">
        <v>726</v>
      </c>
      <c r="M2968" s="3">
        <v>900</v>
      </c>
    </row>
    <row r="2969" spans="1:13" x14ac:dyDescent="0.25">
      <c r="A2969" s="1" t="str">
        <f>HYPERLINK("http://www.rosaceae.org/Prunus/Prunus_persica/p.persica_gdr_reftransV1_0002418","p.persica_gdr_reftransV1_0002418")</f>
        <v>p.persica_gdr_reftransV1_0002418</v>
      </c>
      <c r="B2969" s="3">
        <v>917</v>
      </c>
      <c r="C2969" s="1" t="str">
        <f>HYPERLINK("http://www.uniprot.org/uniprot/MAT1_XENLA","MAT1_XENLA")</f>
        <v>MAT1_XENLA</v>
      </c>
      <c r="D2969" t="s">
        <v>2763</v>
      </c>
      <c r="E2969" s="3" t="s">
        <v>475</v>
      </c>
      <c r="F2969" s="4">
        <v>7.4699999999999998E-11</v>
      </c>
      <c r="G2969" s="3">
        <v>158</v>
      </c>
      <c r="H2969" s="3">
        <v>47</v>
      </c>
      <c r="I2969" s="3">
        <v>68</v>
      </c>
      <c r="J2969" s="3">
        <v>230</v>
      </c>
      <c r="K2969" s="3">
        <v>409</v>
      </c>
      <c r="L2969" s="3">
        <v>69</v>
      </c>
      <c r="M2969" s="3">
        <v>136</v>
      </c>
    </row>
    <row r="2970" spans="1:13" x14ac:dyDescent="0.25">
      <c r="A2970" s="1" t="str">
        <f>HYPERLINK("http://www.rosaceae.org/Prunus/Prunus_persica/p.persica_gdr_reftransV1_0002468","p.persica_gdr_reftransV1_0002468")</f>
        <v>p.persica_gdr_reftransV1_0002468</v>
      </c>
      <c r="B2970" s="3">
        <v>2439</v>
      </c>
      <c r="C2970" s="1" t="str">
        <f>HYPERLINK("http://www.uniprot.org/uniprot/AAE2_ARATH","AAE2_ARATH")</f>
        <v>AAE2_ARATH</v>
      </c>
      <c r="D2970" t="s">
        <v>2764</v>
      </c>
      <c r="E2970" s="3" t="s">
        <v>3</v>
      </c>
      <c r="F2970" s="4">
        <v>0</v>
      </c>
      <c r="G2970" s="3">
        <v>1930</v>
      </c>
      <c r="H2970" s="3">
        <v>72</v>
      </c>
      <c r="I2970" s="3">
        <v>498</v>
      </c>
      <c r="J2970" s="3">
        <v>2</v>
      </c>
      <c r="K2970" s="3">
        <v>1474</v>
      </c>
      <c r="L2970" s="3">
        <v>106</v>
      </c>
      <c r="M2970" s="3">
        <v>603</v>
      </c>
    </row>
    <row r="2971" spans="1:13" x14ac:dyDescent="0.25">
      <c r="A2971" s="1" t="str">
        <f>HYPERLINK("http://www.rosaceae.org/Prunus/Prunus_persica/p.persica_gdr_reftransV1_0002518","p.persica_gdr_reftransV1_0002518")</f>
        <v>p.persica_gdr_reftransV1_0002518</v>
      </c>
      <c r="B2971" s="3">
        <v>3688</v>
      </c>
      <c r="C2971" s="1" t="str">
        <f>HYPERLINK("http://www.uniprot.org/uniprot/DRL4_ARATH","DRL4_ARATH")</f>
        <v>DRL4_ARATH</v>
      </c>
      <c r="D2971" t="s">
        <v>2765</v>
      </c>
      <c r="E2971" s="3" t="s">
        <v>3</v>
      </c>
      <c r="F2971" s="4">
        <v>0</v>
      </c>
      <c r="G2971" s="3">
        <v>1459</v>
      </c>
      <c r="H2971" s="3">
        <v>37</v>
      </c>
      <c r="I2971" s="3">
        <v>942</v>
      </c>
      <c r="J2971" s="3">
        <v>608</v>
      </c>
      <c r="K2971" s="3">
        <v>3400</v>
      </c>
      <c r="L2971" s="3">
        <v>1</v>
      </c>
      <c r="M2971" s="3">
        <v>854</v>
      </c>
    </row>
    <row r="2972" spans="1:13" x14ac:dyDescent="0.25">
      <c r="A2972" s="1" t="str">
        <f>HYPERLINK("http://www.rosaceae.org/Prunus/Prunus_persica/p.persica_gdr_reftransV1_0002618","p.persica_gdr_reftransV1_0002618")</f>
        <v>p.persica_gdr_reftransV1_0002618</v>
      </c>
      <c r="B2972" s="3">
        <v>663</v>
      </c>
      <c r="C2972" s="1" t="str">
        <f>HYPERLINK("http://www.uniprot.org/uniprot/RBOHA_SOLTU","RBOHA_SOLTU")</f>
        <v>RBOHA_SOLTU</v>
      </c>
      <c r="D2972" t="s">
        <v>2766</v>
      </c>
      <c r="E2972" s="3" t="s">
        <v>11</v>
      </c>
      <c r="F2972" s="4">
        <v>2.6799999999999998E-35</v>
      </c>
      <c r="G2972" s="3">
        <v>346</v>
      </c>
      <c r="H2972" s="3">
        <v>58</v>
      </c>
      <c r="I2972" s="3">
        <v>159</v>
      </c>
      <c r="J2972" s="3">
        <v>7</v>
      </c>
      <c r="K2972" s="3">
        <v>468</v>
      </c>
      <c r="L2972" s="3">
        <v>1</v>
      </c>
      <c r="M2972" s="3">
        <v>159</v>
      </c>
    </row>
    <row r="2973" spans="1:13" x14ac:dyDescent="0.25">
      <c r="A2973" s="1" t="str">
        <f>HYPERLINK("http://www.rosaceae.org/Prunus/Prunus_persica/p.persica_gdr_reftransV1_0002668","p.persica_gdr_reftransV1_0002668")</f>
        <v>p.persica_gdr_reftransV1_0002668</v>
      </c>
      <c r="B2973" s="3">
        <v>2436</v>
      </c>
      <c r="C2973" s="1" t="str">
        <f>HYPERLINK("http://www.uniprot.org/uniprot/PMT2_ARATH","PMT2_ARATH")</f>
        <v>PMT2_ARATH</v>
      </c>
      <c r="D2973" t="s">
        <v>2767</v>
      </c>
      <c r="E2973" s="3" t="s">
        <v>3</v>
      </c>
      <c r="F2973" s="4">
        <v>0</v>
      </c>
      <c r="G2973" s="3">
        <v>2647</v>
      </c>
      <c r="H2973" s="3">
        <v>81</v>
      </c>
      <c r="I2973" s="3">
        <v>618</v>
      </c>
      <c r="J2973" s="3">
        <v>387</v>
      </c>
      <c r="K2973" s="3">
        <v>2234</v>
      </c>
      <c r="L2973" s="3">
        <v>1</v>
      </c>
      <c r="M2973" s="3">
        <v>616</v>
      </c>
    </row>
    <row r="2974" spans="1:13" x14ac:dyDescent="0.25">
      <c r="A2974" s="1" t="str">
        <f>HYPERLINK("http://www.rosaceae.org/Prunus/Prunus_persica/p.persica_gdr_reftransV1_0002918","p.persica_gdr_reftransV1_0002918")</f>
        <v>p.persica_gdr_reftransV1_0002918</v>
      </c>
      <c r="B2974" s="3">
        <v>666</v>
      </c>
      <c r="C2974" s="1" t="str">
        <f>HYPERLINK("http://www.uniprot.org/uniprot/Y273_METTH","Y273_METTH")</f>
        <v>Y273_METTH</v>
      </c>
      <c r="D2974" t="s">
        <v>2768</v>
      </c>
      <c r="E2974" s="3" t="s">
        <v>910</v>
      </c>
      <c r="F2974" s="4">
        <v>5.2299999999999999E-30</v>
      </c>
      <c r="G2974" s="3">
        <v>285</v>
      </c>
      <c r="H2974" s="3">
        <v>44</v>
      </c>
      <c r="I2974" s="3">
        <v>153</v>
      </c>
      <c r="J2974" s="3">
        <v>65</v>
      </c>
      <c r="K2974" s="3">
        <v>523</v>
      </c>
      <c r="L2974" s="3">
        <v>9</v>
      </c>
      <c r="M2974" s="3">
        <v>148</v>
      </c>
    </row>
    <row r="2975" spans="1:13" x14ac:dyDescent="0.25">
      <c r="A2975" s="1" t="str">
        <f>HYPERLINK("http://www.rosaceae.org/Prunus/Prunus_persica/p.persica_gdr_reftransV1_0003018","p.persica_gdr_reftransV1_0003018")</f>
        <v>p.persica_gdr_reftransV1_0003018</v>
      </c>
      <c r="B2975" s="3">
        <v>4098</v>
      </c>
      <c r="C2975" s="1" t="str">
        <f>HYPERLINK("http://www.uniprot.org/uniprot/HSL2_ARATH","HSL2_ARATH")</f>
        <v>HSL2_ARATH</v>
      </c>
      <c r="D2975" t="s">
        <v>634</v>
      </c>
      <c r="E2975" s="3" t="s">
        <v>3</v>
      </c>
      <c r="F2975" s="4">
        <v>0</v>
      </c>
      <c r="G2975" s="3">
        <v>1469</v>
      </c>
      <c r="H2975" s="3">
        <v>40</v>
      </c>
      <c r="I2975" s="3">
        <v>961</v>
      </c>
      <c r="J2975" s="3">
        <v>284</v>
      </c>
      <c r="K2975" s="3">
        <v>3055</v>
      </c>
      <c r="L2975" s="3">
        <v>46</v>
      </c>
      <c r="M2975" s="3">
        <v>986</v>
      </c>
    </row>
    <row r="2976" spans="1:13" x14ac:dyDescent="0.25">
      <c r="A2976" s="1" t="str">
        <f>HYPERLINK("http://www.rosaceae.org/Prunus/Prunus_persica/p.persica_gdr_reftransV1_0003068","p.persica_gdr_reftransV1_0003068")</f>
        <v>p.persica_gdr_reftransV1_0003068</v>
      </c>
      <c r="B2976" s="3">
        <v>523</v>
      </c>
      <c r="C2976" s="1" t="str">
        <f>HYPERLINK("http://www.uniprot.org/uniprot/DOF14_ARATH","DOF14_ARATH")</f>
        <v>DOF14_ARATH</v>
      </c>
      <c r="D2976" t="s">
        <v>2769</v>
      </c>
      <c r="E2976" s="3" t="s">
        <v>3</v>
      </c>
      <c r="F2976" s="4">
        <v>8.5100000000000001E-33</v>
      </c>
      <c r="G2976" s="3">
        <v>311</v>
      </c>
      <c r="H2976" s="3">
        <v>96</v>
      </c>
      <c r="I2976" s="3">
        <v>57</v>
      </c>
      <c r="J2976" s="3">
        <v>277</v>
      </c>
      <c r="K2976" s="3">
        <v>447</v>
      </c>
      <c r="L2976" s="3">
        <v>28</v>
      </c>
      <c r="M2976" s="3">
        <v>84</v>
      </c>
    </row>
    <row r="2977" spans="1:13" x14ac:dyDescent="0.25">
      <c r="A2977" s="1" t="str">
        <f>HYPERLINK("http://www.rosaceae.org/Prunus/Prunus_persica/p.persica_gdr_reftransV1_0003218","p.persica_gdr_reftransV1_0003218")</f>
        <v>p.persica_gdr_reftransV1_0003218</v>
      </c>
      <c r="B2977" s="3">
        <v>3809</v>
      </c>
      <c r="C2977" s="1" t="str">
        <f>HYPERLINK("http://www.uniprot.org/uniprot/AT18G_ARATH","AT18G_ARATH")</f>
        <v>AT18G_ARATH</v>
      </c>
      <c r="D2977" t="s">
        <v>642</v>
      </c>
      <c r="E2977" s="3" t="s">
        <v>3</v>
      </c>
      <c r="F2977" s="4">
        <v>0</v>
      </c>
      <c r="G2977" s="3">
        <v>2353</v>
      </c>
      <c r="H2977" s="3">
        <v>65</v>
      </c>
      <c r="I2977" s="3">
        <v>775</v>
      </c>
      <c r="J2977" s="3">
        <v>382</v>
      </c>
      <c r="K2977" s="3">
        <v>2694</v>
      </c>
      <c r="L2977" s="3">
        <v>2</v>
      </c>
      <c r="M2977" s="3">
        <v>770</v>
      </c>
    </row>
    <row r="2978" spans="1:13" x14ac:dyDescent="0.25">
      <c r="A2978" s="1" t="str">
        <f>HYPERLINK("http://www.rosaceae.org/Prunus/Prunus_persica/p.persica_gdr_reftransV1_0003368","p.persica_gdr_reftransV1_0003368")</f>
        <v>p.persica_gdr_reftransV1_0003368</v>
      </c>
      <c r="B2978" s="3">
        <v>2156</v>
      </c>
      <c r="C2978" s="1" t="str">
        <f>HYPERLINK("http://www.uniprot.org/uniprot/CALX_SOYBN","CALX_SOYBN")</f>
        <v>CALX_SOYBN</v>
      </c>
      <c r="D2978" t="s">
        <v>2770</v>
      </c>
      <c r="E2978" s="3" t="s">
        <v>307</v>
      </c>
      <c r="F2978" s="4">
        <v>0</v>
      </c>
      <c r="G2978" s="3">
        <v>1698</v>
      </c>
      <c r="H2978" s="3">
        <v>77</v>
      </c>
      <c r="I2978" s="3">
        <v>500</v>
      </c>
      <c r="J2978" s="3">
        <v>394</v>
      </c>
      <c r="K2978" s="3">
        <v>1893</v>
      </c>
      <c r="L2978" s="3">
        <v>21</v>
      </c>
      <c r="M2978" s="3">
        <v>517</v>
      </c>
    </row>
    <row r="2979" spans="1:13" x14ac:dyDescent="0.25">
      <c r="A2979" s="1" t="str">
        <f>HYPERLINK("http://www.rosaceae.org/Prunus/Prunus_persica/p.persica_gdr_reftransV1_0003518","p.persica_gdr_reftransV1_0003518")</f>
        <v>p.persica_gdr_reftransV1_0003518</v>
      </c>
      <c r="B2979" s="3">
        <v>2029</v>
      </c>
      <c r="C2979" s="1" t="str">
        <f>HYPERLINK("http://www.uniprot.org/uniprot/PUB4_ARATH","PUB4_ARATH")</f>
        <v>PUB4_ARATH</v>
      </c>
      <c r="D2979" t="s">
        <v>1286</v>
      </c>
      <c r="E2979" s="3" t="s">
        <v>3</v>
      </c>
      <c r="F2979" s="4">
        <v>3.67E-75</v>
      </c>
      <c r="G2979" s="3">
        <v>673</v>
      </c>
      <c r="H2979" s="3">
        <v>48</v>
      </c>
      <c r="I2979" s="3">
        <v>325</v>
      </c>
      <c r="J2979" s="3">
        <v>881</v>
      </c>
      <c r="K2979" s="3">
        <v>1813</v>
      </c>
      <c r="L2979" s="3">
        <v>497</v>
      </c>
      <c r="M2979" s="3">
        <v>820</v>
      </c>
    </row>
    <row r="2980" spans="1:13" x14ac:dyDescent="0.25">
      <c r="A2980" s="1" t="str">
        <f>HYPERLINK("http://www.rosaceae.org/Prunus/Prunus_persica/p.persica_gdr_reftransV1_0003618","p.persica_gdr_reftransV1_0003618")</f>
        <v>p.persica_gdr_reftransV1_0003618</v>
      </c>
      <c r="B2980" s="3">
        <v>1304</v>
      </c>
      <c r="C2980" s="1" t="str">
        <f>HYPERLINK("http://www.uniprot.org/uniprot/PHB3_ARATH","PHB3_ARATH")</f>
        <v>PHB3_ARATH</v>
      </c>
      <c r="D2980" t="s">
        <v>2771</v>
      </c>
      <c r="E2980" s="3" t="s">
        <v>3</v>
      </c>
      <c r="F2980" s="4">
        <v>2.0000000000000001E-156</v>
      </c>
      <c r="G2980" s="3">
        <v>1159</v>
      </c>
      <c r="H2980" s="3">
        <v>87</v>
      </c>
      <c r="I2980" s="3">
        <v>276</v>
      </c>
      <c r="J2980" s="3">
        <v>398</v>
      </c>
      <c r="K2980" s="3">
        <v>1225</v>
      </c>
      <c r="L2980" s="3">
        <v>1</v>
      </c>
      <c r="M2980" s="3">
        <v>276</v>
      </c>
    </row>
    <row r="2981" spans="1:13" x14ac:dyDescent="0.25">
      <c r="A2981" s="1" t="str">
        <f>HYPERLINK("http://www.rosaceae.org/Prunus/Prunus_persica/p.persica_gdr_reftransV1_0003668","p.persica_gdr_reftransV1_0003668")</f>
        <v>p.persica_gdr_reftransV1_0003668</v>
      </c>
      <c r="B2981" s="3">
        <v>4329</v>
      </c>
      <c r="C2981" s="1" t="str">
        <f>HYPERLINK("http://www.uniprot.org/uniprot/ACA10_ARATH","ACA10_ARATH")</f>
        <v>ACA10_ARATH</v>
      </c>
      <c r="D2981" t="s">
        <v>2772</v>
      </c>
      <c r="E2981" s="3" t="s">
        <v>3</v>
      </c>
      <c r="F2981" s="4">
        <v>0</v>
      </c>
      <c r="G2981" s="3">
        <v>4050</v>
      </c>
      <c r="H2981" s="3">
        <v>75</v>
      </c>
      <c r="I2981" s="3">
        <v>1075</v>
      </c>
      <c r="J2981" s="3">
        <v>625</v>
      </c>
      <c r="K2981" s="3">
        <v>3843</v>
      </c>
      <c r="L2981" s="3">
        <v>4</v>
      </c>
      <c r="M2981" s="3">
        <v>1068</v>
      </c>
    </row>
    <row r="2982" spans="1:13" x14ac:dyDescent="0.25">
      <c r="A2982" s="1" t="str">
        <f>HYPERLINK("http://www.rosaceae.org/Prunus/Prunus_persica/p.persica_gdr_reftransV1_0003718","p.persica_gdr_reftransV1_0003718")</f>
        <v>p.persica_gdr_reftransV1_0003718</v>
      </c>
      <c r="B2982" s="3">
        <v>1050</v>
      </c>
      <c r="C2982" s="1" t="str">
        <f>HYPERLINK("http://www.uniprot.org/uniprot/RABC1_ARATH","RABC1_ARATH")</f>
        <v>RABC1_ARATH</v>
      </c>
      <c r="D2982" t="s">
        <v>2773</v>
      </c>
      <c r="E2982" s="3" t="s">
        <v>3</v>
      </c>
      <c r="F2982" s="4">
        <v>4.8200000000000002E-106</v>
      </c>
      <c r="G2982" s="3">
        <v>810</v>
      </c>
      <c r="H2982" s="3">
        <v>84</v>
      </c>
      <c r="I2982" s="3">
        <v>201</v>
      </c>
      <c r="J2982" s="3">
        <v>272</v>
      </c>
      <c r="K2982" s="3">
        <v>874</v>
      </c>
      <c r="L2982" s="3">
        <v>1</v>
      </c>
      <c r="M2982" s="3">
        <v>200</v>
      </c>
    </row>
    <row r="2983" spans="1:13" x14ac:dyDescent="0.25">
      <c r="A2983" s="1" t="str">
        <f>HYPERLINK("http://www.rosaceae.org/Prunus/Prunus_persica/p.persica_gdr_reftransV1_0003768","p.persica_gdr_reftransV1_0003768")</f>
        <v>p.persica_gdr_reftransV1_0003768</v>
      </c>
      <c r="B2983" s="3">
        <v>934</v>
      </c>
      <c r="C2983" s="1" t="str">
        <f>HYPERLINK("http://www.uniprot.org/uniprot/TI10B_ARATH","TI10B_ARATH")</f>
        <v>TI10B_ARATH</v>
      </c>
      <c r="D2983" t="s">
        <v>1271</v>
      </c>
      <c r="E2983" s="3" t="s">
        <v>3</v>
      </c>
      <c r="F2983" s="4">
        <v>2.0899999999999999E-27</v>
      </c>
      <c r="G2983" s="3">
        <v>279</v>
      </c>
      <c r="H2983" s="3">
        <v>34</v>
      </c>
      <c r="I2983" s="3">
        <v>233</v>
      </c>
      <c r="J2983" s="3">
        <v>196</v>
      </c>
      <c r="K2983" s="3">
        <v>759</v>
      </c>
      <c r="L2983" s="3">
        <v>13</v>
      </c>
      <c r="M2983" s="3">
        <v>239</v>
      </c>
    </row>
    <row r="2984" spans="1:13" x14ac:dyDescent="0.25">
      <c r="A2984" s="1" t="str">
        <f>HYPERLINK("http://www.rosaceae.org/Prunus/Prunus_persica/p.persica_gdr_reftransV1_0003868","p.persica_gdr_reftransV1_0003868")</f>
        <v>p.persica_gdr_reftransV1_0003868</v>
      </c>
      <c r="B2984" s="3">
        <v>633</v>
      </c>
      <c r="C2984" s="1" t="str">
        <f>HYPERLINK("http://www.uniprot.org/uniprot/DBR_TOBAC","DBR_TOBAC")</f>
        <v>DBR_TOBAC</v>
      </c>
      <c r="D2984" t="s">
        <v>199</v>
      </c>
      <c r="E2984" s="3" t="s">
        <v>200</v>
      </c>
      <c r="F2984" s="4">
        <v>9.6099999999999996E-64</v>
      </c>
      <c r="G2984" s="3">
        <v>527</v>
      </c>
      <c r="H2984" s="3">
        <v>61</v>
      </c>
      <c r="I2984" s="3">
        <v>179</v>
      </c>
      <c r="J2984" s="3">
        <v>2</v>
      </c>
      <c r="K2984" s="3">
        <v>538</v>
      </c>
      <c r="L2984" s="3">
        <v>5</v>
      </c>
      <c r="M2984" s="3">
        <v>149</v>
      </c>
    </row>
    <row r="2985" spans="1:13" x14ac:dyDescent="0.25">
      <c r="A2985" s="1" t="str">
        <f>HYPERLINK("http://www.rosaceae.org/Prunus/Prunus_persica/p.persica_gdr_reftransV1_0003918","p.persica_gdr_reftransV1_0003918")</f>
        <v>p.persica_gdr_reftransV1_0003918</v>
      </c>
      <c r="B2985" s="3">
        <v>589</v>
      </c>
      <c r="C2985" s="1" t="str">
        <f>HYPERLINK("http://www.uniprot.org/uniprot/NU2M_OENBE","NU2M_OENBE")</f>
        <v>NU2M_OENBE</v>
      </c>
      <c r="D2985" t="s">
        <v>2774</v>
      </c>
      <c r="E2985" s="3" t="s">
        <v>2775</v>
      </c>
      <c r="F2985" s="4">
        <v>4.1099999999999998E-82</v>
      </c>
      <c r="G2985" s="3">
        <v>659</v>
      </c>
      <c r="H2985" s="3">
        <v>99</v>
      </c>
      <c r="I2985" s="3">
        <v>128</v>
      </c>
      <c r="J2985" s="3">
        <v>2</v>
      </c>
      <c r="K2985" s="3">
        <v>385</v>
      </c>
      <c r="L2985" s="3">
        <v>66</v>
      </c>
      <c r="M2985" s="3">
        <v>193</v>
      </c>
    </row>
    <row r="2986" spans="1:13" x14ac:dyDescent="0.25">
      <c r="A2986" s="1" t="str">
        <f>HYPERLINK("http://www.rosaceae.org/Prunus/Prunus_persica/p.persica_gdr_reftransV1_0003968","p.persica_gdr_reftransV1_0003968")</f>
        <v>p.persica_gdr_reftransV1_0003968</v>
      </c>
      <c r="B2986" s="3">
        <v>493</v>
      </c>
      <c r="C2986" s="1" t="str">
        <f>HYPERLINK("http://www.uniprot.org/uniprot/QUTD_EMENI","QUTD_EMENI")</f>
        <v>QUTD_EMENI</v>
      </c>
      <c r="D2986" t="s">
        <v>2776</v>
      </c>
      <c r="E2986" s="3" t="s">
        <v>205</v>
      </c>
      <c r="F2986" s="4">
        <v>6.3299999999999999E-10</v>
      </c>
      <c r="G2986" s="3">
        <v>146</v>
      </c>
      <c r="H2986" s="3">
        <v>45</v>
      </c>
      <c r="I2986" s="3">
        <v>66</v>
      </c>
      <c r="J2986" s="3">
        <v>289</v>
      </c>
      <c r="K2986" s="3">
        <v>486</v>
      </c>
      <c r="L2986" s="3">
        <v>428</v>
      </c>
      <c r="M2986" s="3">
        <v>490</v>
      </c>
    </row>
    <row r="2987" spans="1:13" x14ac:dyDescent="0.25">
      <c r="A2987" s="1" t="str">
        <f>HYPERLINK("http://www.rosaceae.org/Prunus/Prunus_persica/p.persica_gdr_reftransV1_0004018","p.persica_gdr_reftransV1_0004018")</f>
        <v>p.persica_gdr_reftransV1_0004018</v>
      </c>
      <c r="B2987" s="3">
        <v>1394</v>
      </c>
      <c r="C2987" s="1" t="str">
        <f>HYPERLINK("http://www.uniprot.org/uniprot/BCS1B_DICDI","BCS1B_DICDI")</f>
        <v>BCS1B_DICDI</v>
      </c>
      <c r="D2987" t="s">
        <v>2777</v>
      </c>
      <c r="E2987" s="3" t="s">
        <v>9</v>
      </c>
      <c r="F2987" s="4">
        <v>2.3599999999999999E-26</v>
      </c>
      <c r="G2987" s="3">
        <v>285</v>
      </c>
      <c r="H2987" s="3">
        <v>33</v>
      </c>
      <c r="I2987" s="3">
        <v>231</v>
      </c>
      <c r="J2987" s="3">
        <v>730</v>
      </c>
      <c r="K2987" s="3">
        <v>1392</v>
      </c>
      <c r="L2987" s="3">
        <v>170</v>
      </c>
      <c r="M2987" s="3">
        <v>394</v>
      </c>
    </row>
    <row r="2988" spans="1:13" x14ac:dyDescent="0.25">
      <c r="A2988" s="1" t="str">
        <f>HYPERLINK("http://www.rosaceae.org/Prunus/Prunus_persica/p.persica_gdr_reftransV1_0004218","p.persica_gdr_reftransV1_0004218")</f>
        <v>p.persica_gdr_reftransV1_0004218</v>
      </c>
      <c r="B2988" s="3">
        <v>2000</v>
      </c>
      <c r="C2988" s="1" t="str">
        <f>HYPERLINK("http://www.uniprot.org/uniprot/AL3I1_ARATH","AL3I1_ARATH")</f>
        <v>AL3I1_ARATH</v>
      </c>
      <c r="D2988" t="s">
        <v>2778</v>
      </c>
      <c r="E2988" s="3" t="s">
        <v>3</v>
      </c>
      <c r="F2988" s="4">
        <v>4.7800000000000001E-179</v>
      </c>
      <c r="G2988" s="3">
        <v>1359</v>
      </c>
      <c r="H2988" s="3">
        <v>71</v>
      </c>
      <c r="I2988" s="3">
        <v>357</v>
      </c>
      <c r="J2988" s="3">
        <v>181</v>
      </c>
      <c r="K2988" s="3">
        <v>1251</v>
      </c>
      <c r="L2988" s="3">
        <v>192</v>
      </c>
      <c r="M2988" s="3">
        <v>548</v>
      </c>
    </row>
    <row r="2989" spans="1:13" x14ac:dyDescent="0.25">
      <c r="A2989" s="1" t="str">
        <f>HYPERLINK("http://www.rosaceae.org/Prunus/Prunus_persica/p.persica_gdr_reftransV1_0004318","p.persica_gdr_reftransV1_0004318")</f>
        <v>p.persica_gdr_reftransV1_0004318</v>
      </c>
      <c r="B2989" s="3">
        <v>1638</v>
      </c>
      <c r="C2989" s="1" t="str">
        <f>HYPERLINK("http://www.uniprot.org/uniprot/GDL34_ARATH","GDL34_ARATH")</f>
        <v>GDL34_ARATH</v>
      </c>
      <c r="D2989" t="s">
        <v>2779</v>
      </c>
      <c r="E2989" s="3" t="s">
        <v>3</v>
      </c>
      <c r="F2989" s="4">
        <v>1.1599999999999999E-157</v>
      </c>
      <c r="G2989" s="3">
        <v>1186</v>
      </c>
      <c r="H2989" s="3">
        <v>68</v>
      </c>
      <c r="I2989" s="3">
        <v>327</v>
      </c>
      <c r="J2989" s="3">
        <v>523</v>
      </c>
      <c r="K2989" s="3">
        <v>1503</v>
      </c>
      <c r="L2989" s="3">
        <v>23</v>
      </c>
      <c r="M2989" s="3">
        <v>349</v>
      </c>
    </row>
    <row r="2990" spans="1:13" x14ac:dyDescent="0.25">
      <c r="A2990" s="1" t="str">
        <f>HYPERLINK("http://www.rosaceae.org/Prunus/Prunus_persica/p.persica_gdr_reftransV1_0004368","p.persica_gdr_reftransV1_0004368")</f>
        <v>p.persica_gdr_reftransV1_0004368</v>
      </c>
      <c r="B2990" s="3">
        <v>736</v>
      </c>
      <c r="C2990" s="1" t="str">
        <f>HYPERLINK("http://www.uniprot.org/uniprot/ERLL3_ARATH","ERLL3_ARATH")</f>
        <v>ERLL3_ARATH</v>
      </c>
      <c r="D2990" t="s">
        <v>2780</v>
      </c>
      <c r="E2990" s="3" t="s">
        <v>3</v>
      </c>
      <c r="F2990" s="4">
        <v>1.9599999999999999E-21</v>
      </c>
      <c r="G2990" s="3">
        <v>229</v>
      </c>
      <c r="H2990" s="3">
        <v>64</v>
      </c>
      <c r="I2990" s="3">
        <v>85</v>
      </c>
      <c r="J2990" s="3">
        <v>292</v>
      </c>
      <c r="K2990" s="3">
        <v>546</v>
      </c>
      <c r="L2990" s="3">
        <v>93</v>
      </c>
      <c r="M2990" s="3">
        <v>177</v>
      </c>
    </row>
    <row r="2991" spans="1:13" x14ac:dyDescent="0.25">
      <c r="A2991" s="1" t="str">
        <f>HYPERLINK("http://www.rosaceae.org/Prunus/Prunus_persica/p.persica_gdr_reftransV1_0004418","p.persica_gdr_reftransV1_0004418")</f>
        <v>p.persica_gdr_reftransV1_0004418</v>
      </c>
      <c r="B2991" s="3">
        <v>1400</v>
      </c>
      <c r="C2991" s="1" t="str">
        <f>HYPERLINK("http://www.uniprot.org/uniprot/COPE1_ARATH","COPE1_ARATH")</f>
        <v>COPE1_ARATH</v>
      </c>
      <c r="D2991" t="s">
        <v>2781</v>
      </c>
      <c r="E2991" s="3" t="s">
        <v>3</v>
      </c>
      <c r="F2991" s="4">
        <v>1.01E-175</v>
      </c>
      <c r="G2991" s="3">
        <v>1291</v>
      </c>
      <c r="H2991" s="3">
        <v>80</v>
      </c>
      <c r="I2991" s="3">
        <v>291</v>
      </c>
      <c r="J2991" s="3">
        <v>411</v>
      </c>
      <c r="K2991" s="3">
        <v>1283</v>
      </c>
      <c r="L2991" s="3">
        <v>2</v>
      </c>
      <c r="M2991" s="3">
        <v>292</v>
      </c>
    </row>
    <row r="2992" spans="1:13" x14ac:dyDescent="0.25">
      <c r="A2992" s="1" t="str">
        <f>HYPERLINK("http://www.rosaceae.org/Prunus/Prunus_persica/p.persica_gdr_reftransV1_0004568","p.persica_gdr_reftransV1_0004568")</f>
        <v>p.persica_gdr_reftransV1_0004568</v>
      </c>
      <c r="B2992" s="3">
        <v>1254</v>
      </c>
      <c r="C2992" s="1" t="str">
        <f>HYPERLINK("http://www.uniprot.org/uniprot/VPS36_ARATH","VPS36_ARATH")</f>
        <v>VPS36_ARATH</v>
      </c>
      <c r="D2992" t="s">
        <v>2782</v>
      </c>
      <c r="E2992" s="3" t="s">
        <v>3</v>
      </c>
      <c r="F2992" s="4">
        <v>2.69E-32</v>
      </c>
      <c r="G2992" s="3">
        <v>328</v>
      </c>
      <c r="H2992" s="3">
        <v>65</v>
      </c>
      <c r="I2992" s="3">
        <v>88</v>
      </c>
      <c r="J2992" s="3">
        <v>546</v>
      </c>
      <c r="K2992" s="3">
        <v>809</v>
      </c>
      <c r="L2992" s="3">
        <v>348</v>
      </c>
      <c r="M2992" s="3">
        <v>435</v>
      </c>
    </row>
    <row r="2993" spans="1:13" x14ac:dyDescent="0.25">
      <c r="A2993" s="1" t="str">
        <f>HYPERLINK("http://www.rosaceae.org/Prunus/Prunus_persica/p.persica_gdr_reftransV1_0004618","p.persica_gdr_reftransV1_0004618")</f>
        <v>p.persica_gdr_reftransV1_0004618</v>
      </c>
      <c r="B2993" s="3">
        <v>691</v>
      </c>
      <c r="C2993" s="1" t="str">
        <f>HYPERLINK("http://www.uniprot.org/uniprot/MYBF_ARATH","MYBF_ARATH")</f>
        <v>MYBF_ARATH</v>
      </c>
      <c r="D2993" t="s">
        <v>2783</v>
      </c>
      <c r="E2993" s="3" t="s">
        <v>3</v>
      </c>
      <c r="F2993" s="4">
        <v>1.1000000000000001E-11</v>
      </c>
      <c r="G2993" s="3">
        <v>159</v>
      </c>
      <c r="H2993" s="3">
        <v>74</v>
      </c>
      <c r="I2993" s="3">
        <v>39</v>
      </c>
      <c r="J2993" s="3">
        <v>5</v>
      </c>
      <c r="K2993" s="3">
        <v>121</v>
      </c>
      <c r="L2993" s="3">
        <v>39</v>
      </c>
      <c r="M2993" s="3">
        <v>77</v>
      </c>
    </row>
    <row r="2994" spans="1:13" x14ac:dyDescent="0.25">
      <c r="A2994" s="1" t="str">
        <f>HYPERLINK("http://www.rosaceae.org/Prunus/Prunus_persica/p.persica_gdr_reftransV1_0004668","p.persica_gdr_reftransV1_0004668")</f>
        <v>p.persica_gdr_reftransV1_0004668</v>
      </c>
      <c r="B2994" s="3">
        <v>784</v>
      </c>
      <c r="C2994" s="1" t="str">
        <f>HYPERLINK("http://www.uniprot.org/uniprot/COBL4_ARATH","COBL4_ARATH")</f>
        <v>COBL4_ARATH</v>
      </c>
      <c r="D2994" t="s">
        <v>2784</v>
      </c>
      <c r="E2994" s="3" t="s">
        <v>3</v>
      </c>
      <c r="F2994" s="4">
        <v>1.6699999999999999E-83</v>
      </c>
      <c r="G2994" s="3">
        <v>668</v>
      </c>
      <c r="H2994" s="3">
        <v>77</v>
      </c>
      <c r="I2994" s="3">
        <v>157</v>
      </c>
      <c r="J2994" s="3">
        <v>307</v>
      </c>
      <c r="K2994" s="3">
        <v>777</v>
      </c>
      <c r="L2994" s="3">
        <v>40</v>
      </c>
      <c r="M2994" s="3">
        <v>196</v>
      </c>
    </row>
    <row r="2995" spans="1:13" x14ac:dyDescent="0.25">
      <c r="A2995" s="1" t="str">
        <f>HYPERLINK("http://www.rosaceae.org/Prunus/Prunus_persica/p.persica_gdr_reftransV1_0004718","p.persica_gdr_reftransV1_0004718")</f>
        <v>p.persica_gdr_reftransV1_0004718</v>
      </c>
      <c r="B2995" s="3">
        <v>1879</v>
      </c>
      <c r="C2995" s="1" t="str">
        <f>HYPERLINK("http://www.uniprot.org/uniprot/ODB2_ARATH","ODB2_ARATH")</f>
        <v>ODB2_ARATH</v>
      </c>
      <c r="D2995" t="s">
        <v>976</v>
      </c>
      <c r="E2995" s="3" t="s">
        <v>3</v>
      </c>
      <c r="F2995" s="4">
        <v>9.1899999999999996E-120</v>
      </c>
      <c r="G2995" s="3">
        <v>953</v>
      </c>
      <c r="H2995" s="3">
        <v>54</v>
      </c>
      <c r="I2995" s="3">
        <v>382</v>
      </c>
      <c r="J2995" s="3">
        <v>181</v>
      </c>
      <c r="K2995" s="3">
        <v>1317</v>
      </c>
      <c r="L2995" s="3">
        <v>1</v>
      </c>
      <c r="M2995" s="3">
        <v>355</v>
      </c>
    </row>
    <row r="2996" spans="1:13" x14ac:dyDescent="0.25">
      <c r="A2996" s="1" t="str">
        <f>HYPERLINK("http://www.rosaceae.org/Prunus/Prunus_persica/p.persica_gdr_reftransV1_0004868","p.persica_gdr_reftransV1_0004868")</f>
        <v>p.persica_gdr_reftransV1_0004868</v>
      </c>
      <c r="B2996" s="3">
        <v>1205</v>
      </c>
      <c r="C2996" s="1" t="str">
        <f>HYPERLINK("http://www.uniprot.org/uniprot/PP395_ARATH","PP395_ARATH")</f>
        <v>PP395_ARATH</v>
      </c>
      <c r="D2996" t="s">
        <v>2785</v>
      </c>
      <c r="E2996" s="3" t="s">
        <v>3</v>
      </c>
      <c r="F2996" s="4">
        <v>9.2900000000000005E-68</v>
      </c>
      <c r="G2996" s="3">
        <v>599</v>
      </c>
      <c r="H2996" s="3">
        <v>61</v>
      </c>
      <c r="I2996" s="3">
        <v>166</v>
      </c>
      <c r="J2996" s="3">
        <v>1</v>
      </c>
      <c r="K2996" s="3">
        <v>495</v>
      </c>
      <c r="L2996" s="3">
        <v>592</v>
      </c>
      <c r="M2996" s="3">
        <v>757</v>
      </c>
    </row>
    <row r="2997" spans="1:13" x14ac:dyDescent="0.25">
      <c r="A2997" s="1" t="str">
        <f>HYPERLINK("http://www.rosaceae.org/Prunus/Prunus_persica/p.persica_gdr_reftransV1_0004918","p.persica_gdr_reftransV1_0004918")</f>
        <v>p.persica_gdr_reftransV1_0004918</v>
      </c>
      <c r="B2997" s="3">
        <v>3459</v>
      </c>
      <c r="C2997" s="1" t="str">
        <f>HYPERLINK("http://www.uniprot.org/uniprot/UBA2A_ARATH","UBA2A_ARATH")</f>
        <v>UBA2A_ARATH</v>
      </c>
      <c r="D2997" t="s">
        <v>2351</v>
      </c>
      <c r="E2997" s="3" t="s">
        <v>3</v>
      </c>
      <c r="F2997" s="4">
        <v>5.82E-117</v>
      </c>
      <c r="G2997" s="3">
        <v>969</v>
      </c>
      <c r="H2997" s="3">
        <v>74</v>
      </c>
      <c r="I2997" s="3">
        <v>257</v>
      </c>
      <c r="J2997" s="3">
        <v>2206</v>
      </c>
      <c r="K2997" s="3">
        <v>2967</v>
      </c>
      <c r="L2997" s="3">
        <v>98</v>
      </c>
      <c r="M2997" s="3">
        <v>349</v>
      </c>
    </row>
    <row r="2998" spans="1:13" x14ac:dyDescent="0.25">
      <c r="A2998" s="1" t="str">
        <f>HYPERLINK("http://www.rosaceae.org/Prunus/Prunus_persica/p.persica_gdr_reftransV1_0004968","p.persica_gdr_reftransV1_0004968")</f>
        <v>p.persica_gdr_reftransV1_0004968</v>
      </c>
      <c r="B2998" s="3">
        <v>602</v>
      </c>
      <c r="C2998" s="1" t="str">
        <f>HYPERLINK("http://www.uniprot.org/uniprot/NAC25_ARATH","NAC25_ARATH")</f>
        <v>NAC25_ARATH</v>
      </c>
      <c r="D2998" t="s">
        <v>2786</v>
      </c>
      <c r="E2998" s="3" t="s">
        <v>3</v>
      </c>
      <c r="F2998" s="4">
        <v>4.1800000000000001E-7</v>
      </c>
      <c r="G2998" s="3">
        <v>125</v>
      </c>
      <c r="H2998" s="3">
        <v>48</v>
      </c>
      <c r="I2998" s="3">
        <v>73</v>
      </c>
      <c r="J2998" s="3">
        <v>311</v>
      </c>
      <c r="K2998" s="3">
        <v>511</v>
      </c>
      <c r="L2998" s="3">
        <v>262</v>
      </c>
      <c r="M2998" s="3">
        <v>323</v>
      </c>
    </row>
    <row r="2999" spans="1:13" x14ac:dyDescent="0.25">
      <c r="A2999" s="1" t="str">
        <f>HYPERLINK("http://www.rosaceae.org/Prunus/Prunus_persica/p.persica_gdr_reftransV1_0005068","p.persica_gdr_reftransV1_0005068")</f>
        <v>p.persica_gdr_reftransV1_0005068</v>
      </c>
      <c r="B2999" s="3">
        <v>2814</v>
      </c>
      <c r="C2999" s="1" t="str">
        <f>HYPERLINK("http://www.uniprot.org/uniprot/AKRP_ARATH","AKRP_ARATH")</f>
        <v>AKRP_ARATH</v>
      </c>
      <c r="D2999" t="s">
        <v>2787</v>
      </c>
      <c r="E2999" s="3" t="s">
        <v>3</v>
      </c>
      <c r="F2999" s="4">
        <v>1.7799999999999999E-133</v>
      </c>
      <c r="G2999" s="3">
        <v>1065</v>
      </c>
      <c r="H2999" s="3">
        <v>65</v>
      </c>
      <c r="I2999" s="3">
        <v>304</v>
      </c>
      <c r="J2999" s="3">
        <v>320</v>
      </c>
      <c r="K2999" s="3">
        <v>1231</v>
      </c>
      <c r="L2999" s="3">
        <v>111</v>
      </c>
      <c r="M2999" s="3">
        <v>410</v>
      </c>
    </row>
    <row r="3000" spans="1:13" x14ac:dyDescent="0.25">
      <c r="A3000" s="1" t="str">
        <f>HYPERLINK("http://www.rosaceae.org/Prunus/Prunus_persica/p.persica_gdr_reftransV1_0005168","p.persica_gdr_reftransV1_0005168")</f>
        <v>p.persica_gdr_reftransV1_0005168</v>
      </c>
      <c r="B3000" s="3">
        <v>2725</v>
      </c>
      <c r="C3000" s="1" t="str">
        <f>HYPERLINK("http://www.uniprot.org/uniprot/YTHD2_MOUSE","YTHD2_MOUSE")</f>
        <v>YTHD2_MOUSE</v>
      </c>
      <c r="D3000" t="s">
        <v>2788</v>
      </c>
      <c r="E3000" s="3" t="s">
        <v>157</v>
      </c>
      <c r="F3000" s="4">
        <v>4.6499999999999998E-55</v>
      </c>
      <c r="G3000" s="3">
        <v>521</v>
      </c>
      <c r="H3000" s="3">
        <v>54</v>
      </c>
      <c r="I3000" s="3">
        <v>182</v>
      </c>
      <c r="J3000" s="3">
        <v>1285</v>
      </c>
      <c r="K3000" s="3">
        <v>1830</v>
      </c>
      <c r="L3000" s="3">
        <v>398</v>
      </c>
      <c r="M3000" s="3">
        <v>569</v>
      </c>
    </row>
    <row r="3001" spans="1:13" x14ac:dyDescent="0.25">
      <c r="A3001" s="1" t="str">
        <f>HYPERLINK("http://www.rosaceae.org/Prunus/Prunus_persica/p.persica_gdr_reftransV1_0005218","p.persica_gdr_reftransV1_0005218")</f>
        <v>p.persica_gdr_reftransV1_0005218</v>
      </c>
      <c r="B3001" s="3">
        <v>2719</v>
      </c>
      <c r="C3001" s="1" t="str">
        <f>HYPERLINK("http://www.uniprot.org/uniprot/Y6461_DICDI","Y6461_DICDI")</f>
        <v>Y6461_DICDI</v>
      </c>
      <c r="D3001" t="s">
        <v>2789</v>
      </c>
      <c r="E3001" s="3" t="s">
        <v>9</v>
      </c>
      <c r="F3001" s="4">
        <v>4.12E-61</v>
      </c>
      <c r="G3001" s="3">
        <v>577</v>
      </c>
      <c r="H3001" s="3">
        <v>45</v>
      </c>
      <c r="I3001" s="3">
        <v>278</v>
      </c>
      <c r="J3001" s="3">
        <v>296</v>
      </c>
      <c r="K3001" s="3">
        <v>1114</v>
      </c>
      <c r="L3001" s="3">
        <v>41</v>
      </c>
      <c r="M3001" s="3">
        <v>313</v>
      </c>
    </row>
    <row r="3002" spans="1:13" x14ac:dyDescent="0.25">
      <c r="A3002" s="1" t="str">
        <f>HYPERLINK("http://www.rosaceae.org/Prunus/Prunus_persica/p.persica_gdr_reftransV1_0005268","p.persica_gdr_reftransV1_0005268")</f>
        <v>p.persica_gdr_reftransV1_0005268</v>
      </c>
      <c r="B3002" s="3">
        <v>2752</v>
      </c>
      <c r="C3002" s="1" t="str">
        <f>HYPERLINK("http://www.uniprot.org/uniprot/INVA_ARATH","INVA_ARATH")</f>
        <v>INVA_ARATH</v>
      </c>
      <c r="D3002" t="s">
        <v>2790</v>
      </c>
      <c r="E3002" s="3" t="s">
        <v>3</v>
      </c>
      <c r="F3002" s="4">
        <v>0</v>
      </c>
      <c r="G3002" s="3">
        <v>1831</v>
      </c>
      <c r="H3002" s="3">
        <v>70</v>
      </c>
      <c r="I3002" s="3">
        <v>498</v>
      </c>
      <c r="J3002" s="3">
        <v>804</v>
      </c>
      <c r="K3002" s="3">
        <v>2291</v>
      </c>
      <c r="L3002" s="3">
        <v>56</v>
      </c>
      <c r="M3002" s="3">
        <v>513</v>
      </c>
    </row>
    <row r="3003" spans="1:13" x14ac:dyDescent="0.25">
      <c r="A3003" s="1" t="str">
        <f>HYPERLINK("http://www.rosaceae.org/Prunus/Prunus_persica/p.persica_gdr_reftransV1_0005318","p.persica_gdr_reftransV1_0005318")</f>
        <v>p.persica_gdr_reftransV1_0005318</v>
      </c>
      <c r="B3003" s="3">
        <v>2061</v>
      </c>
      <c r="C3003" s="1" t="str">
        <f>HYPERLINK("http://www.uniprot.org/uniprot/TAF6_ARATH","TAF6_ARATH")</f>
        <v>TAF6_ARATH</v>
      </c>
      <c r="D3003" t="s">
        <v>282</v>
      </c>
      <c r="E3003" s="3" t="s">
        <v>3</v>
      </c>
      <c r="F3003" s="4">
        <v>0</v>
      </c>
      <c r="G3003" s="3">
        <v>1626</v>
      </c>
      <c r="H3003" s="3">
        <v>60</v>
      </c>
      <c r="I3003" s="3">
        <v>555</v>
      </c>
      <c r="J3003" s="3">
        <v>221</v>
      </c>
      <c r="K3003" s="3">
        <v>1837</v>
      </c>
      <c r="L3003" s="3">
        <v>1</v>
      </c>
      <c r="M3003" s="3">
        <v>549</v>
      </c>
    </row>
    <row r="3004" spans="1:13" x14ac:dyDescent="0.25">
      <c r="A3004" s="1" t="str">
        <f>HYPERLINK("http://www.rosaceae.org/Prunus/Prunus_persica/p.persica_gdr_reftransV1_0005368","p.persica_gdr_reftransV1_0005368")</f>
        <v>p.persica_gdr_reftransV1_0005368</v>
      </c>
      <c r="B3004" s="3">
        <v>2873</v>
      </c>
      <c r="C3004" s="1" t="str">
        <f>HYPERLINK("http://www.uniprot.org/uniprot/CIPK3_ARATH","CIPK3_ARATH")</f>
        <v>CIPK3_ARATH</v>
      </c>
      <c r="D3004" t="s">
        <v>2791</v>
      </c>
      <c r="E3004" s="3" t="s">
        <v>3</v>
      </c>
      <c r="F3004" s="4">
        <v>1.31E-158</v>
      </c>
      <c r="G3004" s="3">
        <v>1237</v>
      </c>
      <c r="H3004" s="3">
        <v>84</v>
      </c>
      <c r="I3004" s="3">
        <v>257</v>
      </c>
      <c r="J3004" s="3">
        <v>1025</v>
      </c>
      <c r="K3004" s="3">
        <v>1795</v>
      </c>
      <c r="L3004" s="3">
        <v>78</v>
      </c>
      <c r="M3004" s="3">
        <v>334</v>
      </c>
    </row>
    <row r="3005" spans="1:13" x14ac:dyDescent="0.25">
      <c r="A3005" s="1" t="str">
        <f>HYPERLINK("http://www.rosaceae.org/Prunus/Prunus_persica/p.persica_gdr_reftransV1_0005418","p.persica_gdr_reftransV1_0005418")</f>
        <v>p.persica_gdr_reftransV1_0005418</v>
      </c>
      <c r="B3005" s="3">
        <v>563</v>
      </c>
      <c r="C3005" s="1" t="str">
        <f>HYPERLINK("http://www.uniprot.org/uniprot/POLX_TOBAC","POLX_TOBAC")</f>
        <v>POLX_TOBAC</v>
      </c>
      <c r="D3005" t="s">
        <v>1253</v>
      </c>
      <c r="E3005" s="3" t="s">
        <v>200</v>
      </c>
      <c r="F3005" s="4">
        <v>3.9600000000000004E-9</v>
      </c>
      <c r="G3005" s="3">
        <v>142</v>
      </c>
      <c r="H3005" s="3">
        <v>31</v>
      </c>
      <c r="I3005" s="3">
        <v>150</v>
      </c>
      <c r="J3005" s="3">
        <v>152</v>
      </c>
      <c r="K3005" s="3">
        <v>562</v>
      </c>
      <c r="L3005" s="3">
        <v>233</v>
      </c>
      <c r="M3005" s="3">
        <v>382</v>
      </c>
    </row>
    <row r="3006" spans="1:13" x14ac:dyDescent="0.25">
      <c r="A3006" s="1" t="str">
        <f>HYPERLINK("http://www.rosaceae.org/Prunus/Prunus_persica/p.persica_gdr_reftransV1_0005518","p.persica_gdr_reftransV1_0005518")</f>
        <v>p.persica_gdr_reftransV1_0005518</v>
      </c>
      <c r="B3006" s="3">
        <v>2246</v>
      </c>
      <c r="C3006" s="1" t="str">
        <f>HYPERLINK("http://www.uniprot.org/uniprot/WAK2_ARATH","WAK2_ARATH")</f>
        <v>WAK2_ARATH</v>
      </c>
      <c r="D3006" t="s">
        <v>2792</v>
      </c>
      <c r="E3006" s="3" t="s">
        <v>3</v>
      </c>
      <c r="F3006" s="4">
        <v>1.34E-150</v>
      </c>
      <c r="G3006" s="3">
        <v>1193</v>
      </c>
      <c r="H3006" s="3">
        <v>40</v>
      </c>
      <c r="I3006" s="3">
        <v>692</v>
      </c>
      <c r="J3006" s="3">
        <v>30</v>
      </c>
      <c r="K3006" s="3">
        <v>2030</v>
      </c>
      <c r="L3006" s="3">
        <v>29</v>
      </c>
      <c r="M3006" s="3">
        <v>677</v>
      </c>
    </row>
    <row r="3007" spans="1:13" x14ac:dyDescent="0.25">
      <c r="A3007" s="1" t="str">
        <f>HYPERLINK("http://www.rosaceae.org/Prunus/Prunus_persica/p.persica_gdr_reftransV1_0005618","p.persica_gdr_reftransV1_0005618")</f>
        <v>p.persica_gdr_reftransV1_0005618</v>
      </c>
      <c r="B3007" s="3">
        <v>810</v>
      </c>
      <c r="C3007" s="1" t="str">
        <f>HYPERLINK("http://www.uniprot.org/uniprot/Y1235_ORYSJ","Y1235_ORYSJ")</f>
        <v>Y1235_ORYSJ</v>
      </c>
      <c r="D3007" t="s">
        <v>2793</v>
      </c>
      <c r="E3007" s="3" t="s">
        <v>38</v>
      </c>
      <c r="F3007" s="4">
        <v>2.02E-10</v>
      </c>
      <c r="G3007" s="3">
        <v>154</v>
      </c>
      <c r="H3007" s="3">
        <v>34</v>
      </c>
      <c r="I3007" s="3">
        <v>104</v>
      </c>
      <c r="J3007" s="3">
        <v>231</v>
      </c>
      <c r="K3007" s="3">
        <v>521</v>
      </c>
      <c r="L3007" s="3">
        <v>281</v>
      </c>
      <c r="M3007" s="3">
        <v>379</v>
      </c>
    </row>
    <row r="3008" spans="1:13" x14ac:dyDescent="0.25">
      <c r="A3008" s="1" t="str">
        <f>HYPERLINK("http://www.rosaceae.org/Prunus/Prunus_persica/p.persica_gdr_reftransV1_0005668","p.persica_gdr_reftransV1_0005668")</f>
        <v>p.persica_gdr_reftransV1_0005668</v>
      </c>
      <c r="B3008" s="3">
        <v>1176</v>
      </c>
      <c r="C3008" s="1" t="str">
        <f>HYPERLINK("http://www.uniprot.org/uniprot/GDL76_ARATH","GDL76_ARATH")</f>
        <v>GDL76_ARATH</v>
      </c>
      <c r="D3008" t="s">
        <v>2794</v>
      </c>
      <c r="E3008" s="3" t="s">
        <v>3</v>
      </c>
      <c r="F3008" s="4">
        <v>6.4999999999999997E-167</v>
      </c>
      <c r="G3008" s="3">
        <v>1235</v>
      </c>
      <c r="H3008" s="3">
        <v>61</v>
      </c>
      <c r="I3008" s="3">
        <v>353</v>
      </c>
      <c r="J3008" s="3">
        <v>36</v>
      </c>
      <c r="K3008" s="3">
        <v>1088</v>
      </c>
      <c r="L3008" s="3">
        <v>36</v>
      </c>
      <c r="M3008" s="3">
        <v>388</v>
      </c>
    </row>
    <row r="3009" spans="1:13" x14ac:dyDescent="0.25">
      <c r="A3009" s="1" t="str">
        <f>HYPERLINK("http://www.rosaceae.org/Prunus/Prunus_persica/p.persica_gdr_reftransV1_0005718","p.persica_gdr_reftransV1_0005718")</f>
        <v>p.persica_gdr_reftransV1_0005718</v>
      </c>
      <c r="B3009" s="3">
        <v>895</v>
      </c>
      <c r="C3009" s="1" t="str">
        <f>HYPERLINK("http://www.uniprot.org/uniprot/RBK2_ARATH","RBK2_ARATH")</f>
        <v>RBK2_ARATH</v>
      </c>
      <c r="D3009" t="s">
        <v>1395</v>
      </c>
      <c r="E3009" s="3" t="s">
        <v>3</v>
      </c>
      <c r="F3009" s="4">
        <v>6.1299999999999995E-51</v>
      </c>
      <c r="G3009" s="3">
        <v>456</v>
      </c>
      <c r="H3009" s="3">
        <v>58</v>
      </c>
      <c r="I3009" s="3">
        <v>151</v>
      </c>
      <c r="J3009" s="3">
        <v>1</v>
      </c>
      <c r="K3009" s="3">
        <v>453</v>
      </c>
      <c r="L3009" s="3">
        <v>309</v>
      </c>
      <c r="M3009" s="3">
        <v>459</v>
      </c>
    </row>
    <row r="3010" spans="1:13" x14ac:dyDescent="0.25">
      <c r="A3010" s="1" t="str">
        <f>HYPERLINK("http://www.rosaceae.org/Prunus/Prunus_persica/p.persica_gdr_reftransV1_0005768","p.persica_gdr_reftransV1_0005768")</f>
        <v>p.persica_gdr_reftransV1_0005768</v>
      </c>
      <c r="B3010" s="3">
        <v>659</v>
      </c>
      <c r="C3010" s="1" t="str">
        <f>HYPERLINK("http://www.uniprot.org/uniprot/EGC2_ARATH","EGC2_ARATH")</f>
        <v>EGC2_ARATH</v>
      </c>
      <c r="D3010" t="s">
        <v>2795</v>
      </c>
      <c r="E3010" s="3" t="s">
        <v>3</v>
      </c>
      <c r="F3010" s="4">
        <v>9.3600000000000002E-20</v>
      </c>
      <c r="G3010" s="3">
        <v>212</v>
      </c>
      <c r="H3010" s="3">
        <v>44</v>
      </c>
      <c r="I3010" s="3">
        <v>110</v>
      </c>
      <c r="J3010" s="3">
        <v>217</v>
      </c>
      <c r="K3010" s="3">
        <v>537</v>
      </c>
      <c r="L3010" s="3">
        <v>28</v>
      </c>
      <c r="M3010" s="3">
        <v>130</v>
      </c>
    </row>
    <row r="3011" spans="1:13" x14ac:dyDescent="0.25">
      <c r="A3011" s="1" t="str">
        <f>HYPERLINK("http://www.rosaceae.org/Prunus/Prunus_persica/p.persica_gdr_reftransV1_0005818","p.persica_gdr_reftransV1_0005818")</f>
        <v>p.persica_gdr_reftransV1_0005818</v>
      </c>
      <c r="B3011" s="3">
        <v>2113</v>
      </c>
      <c r="C3011" s="1" t="str">
        <f>HYPERLINK("http://www.uniprot.org/uniprot/SVP_ARATH","SVP_ARATH")</f>
        <v>SVP_ARATH</v>
      </c>
      <c r="D3011" t="s">
        <v>2796</v>
      </c>
      <c r="E3011" s="3" t="s">
        <v>3</v>
      </c>
      <c r="F3011" s="4">
        <v>2.6E-51</v>
      </c>
      <c r="G3011" s="3">
        <v>464</v>
      </c>
      <c r="H3011" s="3">
        <v>63</v>
      </c>
      <c r="I3011" s="3">
        <v>147</v>
      </c>
      <c r="J3011" s="3">
        <v>187</v>
      </c>
      <c r="K3011" s="3">
        <v>627</v>
      </c>
      <c r="L3011" s="3">
        <v>1</v>
      </c>
      <c r="M3011" s="3">
        <v>142</v>
      </c>
    </row>
    <row r="3012" spans="1:13" x14ac:dyDescent="0.25">
      <c r="A3012" s="1" t="str">
        <f>HYPERLINK("http://www.rosaceae.org/Prunus/Prunus_persica/p.persica_gdr_reftransV1_0005868","p.persica_gdr_reftransV1_0005868")</f>
        <v>p.persica_gdr_reftransV1_0005868</v>
      </c>
      <c r="B3012" s="3">
        <v>626</v>
      </c>
      <c r="C3012" s="1" t="str">
        <f>HYPERLINK("http://www.uniprot.org/uniprot/SAU20_ARATH","SAU20_ARATH")</f>
        <v>SAU20_ARATH</v>
      </c>
      <c r="D3012" t="s">
        <v>2797</v>
      </c>
      <c r="E3012" s="3" t="s">
        <v>3</v>
      </c>
      <c r="F3012" s="4">
        <v>3.1399999999999999E-24</v>
      </c>
      <c r="G3012" s="3">
        <v>240</v>
      </c>
      <c r="H3012" s="3">
        <v>59</v>
      </c>
      <c r="I3012" s="3">
        <v>75</v>
      </c>
      <c r="J3012" s="3">
        <v>13</v>
      </c>
      <c r="K3012" s="3">
        <v>237</v>
      </c>
      <c r="L3012" s="3">
        <v>6</v>
      </c>
      <c r="M3012" s="3">
        <v>76</v>
      </c>
    </row>
    <row r="3013" spans="1:13" x14ac:dyDescent="0.25">
      <c r="A3013" s="1" t="str">
        <f>HYPERLINK("http://www.rosaceae.org/Prunus/Prunus_persica/p.persica_gdr_reftransV1_0005918","p.persica_gdr_reftransV1_0005918")</f>
        <v>p.persica_gdr_reftransV1_0005918</v>
      </c>
      <c r="B3013" s="3">
        <v>3644</v>
      </c>
      <c r="C3013" s="1" t="str">
        <f>HYPERLINK("http://www.uniprot.org/uniprot/JM706_ORYSJ","JM706_ORYSJ")</f>
        <v>JM706_ORYSJ</v>
      </c>
      <c r="D3013" t="s">
        <v>2798</v>
      </c>
      <c r="E3013" s="3" t="s">
        <v>38</v>
      </c>
      <c r="F3013" s="4">
        <v>0</v>
      </c>
      <c r="G3013" s="3">
        <v>2038</v>
      </c>
      <c r="H3013" s="3">
        <v>52</v>
      </c>
      <c r="I3013" s="3">
        <v>788</v>
      </c>
      <c r="J3013" s="3">
        <v>905</v>
      </c>
      <c r="K3013" s="3">
        <v>3208</v>
      </c>
      <c r="L3013" s="3">
        <v>2</v>
      </c>
      <c r="M3013" s="3">
        <v>732</v>
      </c>
    </row>
    <row r="3014" spans="1:13" x14ac:dyDescent="0.25">
      <c r="A3014" s="1" t="str">
        <f>HYPERLINK("http://www.rosaceae.org/Prunus/Prunus_persica/p.persica_gdr_reftransV1_0006068","p.persica_gdr_reftransV1_0006068")</f>
        <v>p.persica_gdr_reftransV1_0006068</v>
      </c>
      <c r="B3014" s="3">
        <v>827</v>
      </c>
      <c r="C3014" s="1" t="str">
        <f>HYPERLINK("http://www.uniprot.org/uniprot/YAB5_ARATH","YAB5_ARATH")</f>
        <v>YAB5_ARATH</v>
      </c>
      <c r="D3014" t="s">
        <v>2799</v>
      </c>
      <c r="E3014" s="3" t="s">
        <v>3</v>
      </c>
      <c r="F3014" s="4">
        <v>1.3300000000000001E-64</v>
      </c>
      <c r="G3014" s="3">
        <v>524</v>
      </c>
      <c r="H3014" s="3">
        <v>74</v>
      </c>
      <c r="I3014" s="3">
        <v>151</v>
      </c>
      <c r="J3014" s="3">
        <v>76</v>
      </c>
      <c r="K3014" s="3">
        <v>525</v>
      </c>
      <c r="L3014" s="3">
        <v>20</v>
      </c>
      <c r="M3014" s="3">
        <v>163</v>
      </c>
    </row>
    <row r="3015" spans="1:13" x14ac:dyDescent="0.25">
      <c r="A3015" s="1" t="str">
        <f>HYPERLINK("http://www.rosaceae.org/Prunus/Prunus_persica/p.persica_gdr_reftransV1_0006118","p.persica_gdr_reftransV1_0006118")</f>
        <v>p.persica_gdr_reftransV1_0006118</v>
      </c>
      <c r="B3015" s="3">
        <v>1950</v>
      </c>
      <c r="C3015" s="1" t="str">
        <f>HYPERLINK("http://www.uniprot.org/uniprot/PHT19_ARATH","PHT19_ARATH")</f>
        <v>PHT19_ARATH</v>
      </c>
      <c r="D3015" t="s">
        <v>2800</v>
      </c>
      <c r="E3015" s="3" t="s">
        <v>3</v>
      </c>
      <c r="F3015" s="4">
        <v>0</v>
      </c>
      <c r="G3015" s="3">
        <v>1535</v>
      </c>
      <c r="H3015" s="3">
        <v>64</v>
      </c>
      <c r="I3015" s="3">
        <v>521</v>
      </c>
      <c r="J3015" s="3">
        <v>308</v>
      </c>
      <c r="K3015" s="3">
        <v>1813</v>
      </c>
      <c r="L3015" s="3">
        <v>4</v>
      </c>
      <c r="M3015" s="3">
        <v>512</v>
      </c>
    </row>
    <row r="3016" spans="1:13" x14ac:dyDescent="0.25">
      <c r="A3016" s="1" t="str">
        <f>HYPERLINK("http://www.rosaceae.org/Prunus/Prunus_persica/p.persica_gdr_reftransV1_0006418","p.persica_gdr_reftransV1_0006418")</f>
        <v>p.persica_gdr_reftransV1_0006418</v>
      </c>
      <c r="B3016" s="3">
        <v>813</v>
      </c>
      <c r="C3016" s="1" t="str">
        <f>HYPERLINK("http://www.uniprot.org/uniprot/MYB4_ORYSJ","MYB4_ORYSJ")</f>
        <v>MYB4_ORYSJ</v>
      </c>
      <c r="D3016" t="s">
        <v>2801</v>
      </c>
      <c r="E3016" s="3" t="s">
        <v>38</v>
      </c>
      <c r="F3016" s="4">
        <v>2.1299999999999999E-8</v>
      </c>
      <c r="G3016" s="3">
        <v>137</v>
      </c>
      <c r="H3016" s="3">
        <v>53</v>
      </c>
      <c r="I3016" s="3">
        <v>60</v>
      </c>
      <c r="J3016" s="3">
        <v>559</v>
      </c>
      <c r="K3016" s="3">
        <v>735</v>
      </c>
      <c r="L3016" s="3">
        <v>71</v>
      </c>
      <c r="M3016" s="3">
        <v>121</v>
      </c>
    </row>
    <row r="3017" spans="1:13" x14ac:dyDescent="0.25">
      <c r="A3017" s="1" t="str">
        <f>HYPERLINK("http://www.rosaceae.org/Prunus/Prunus_persica/p.persica_gdr_reftransV1_0006468","p.persica_gdr_reftransV1_0006468")</f>
        <v>p.persica_gdr_reftransV1_0006468</v>
      </c>
      <c r="B3017" s="3">
        <v>1395</v>
      </c>
      <c r="C3017" s="1" t="str">
        <f>HYPERLINK("http://www.uniprot.org/uniprot/PER4_VITVI","PER4_VITVI")</f>
        <v>PER4_VITVI</v>
      </c>
      <c r="D3017" t="s">
        <v>1069</v>
      </c>
      <c r="E3017" s="3" t="s">
        <v>362</v>
      </c>
      <c r="F3017" s="4">
        <v>5.6399999999999999E-129</v>
      </c>
      <c r="G3017" s="3">
        <v>985</v>
      </c>
      <c r="H3017" s="3">
        <v>60</v>
      </c>
      <c r="I3017" s="3">
        <v>321</v>
      </c>
      <c r="J3017" s="3">
        <v>363</v>
      </c>
      <c r="K3017" s="3">
        <v>1316</v>
      </c>
      <c r="L3017" s="3">
        <v>1</v>
      </c>
      <c r="M3017" s="3">
        <v>321</v>
      </c>
    </row>
    <row r="3018" spans="1:13" x14ac:dyDescent="0.25">
      <c r="A3018" s="1" t="str">
        <f>HYPERLINK("http://www.rosaceae.org/Prunus/Prunus_persica/p.persica_gdr_reftransV1_0006668","p.persica_gdr_reftransV1_0006668")</f>
        <v>p.persica_gdr_reftransV1_0006668</v>
      </c>
      <c r="B3018" s="3">
        <v>345</v>
      </c>
      <c r="C3018" s="1" t="str">
        <f>HYPERLINK("http://www.uniprot.org/uniprot/TERT_ARATH","TERT_ARATH")</f>
        <v>TERT_ARATH</v>
      </c>
      <c r="D3018" t="s">
        <v>2802</v>
      </c>
      <c r="E3018" s="3" t="s">
        <v>3</v>
      </c>
      <c r="F3018" s="4">
        <v>7.4699999999999995E-12</v>
      </c>
      <c r="G3018" s="3">
        <v>159</v>
      </c>
      <c r="H3018" s="3">
        <v>53</v>
      </c>
      <c r="I3018" s="3">
        <v>73</v>
      </c>
      <c r="J3018" s="3">
        <v>87</v>
      </c>
      <c r="K3018" s="3">
        <v>305</v>
      </c>
      <c r="L3018" s="3">
        <v>771</v>
      </c>
      <c r="M3018" s="3">
        <v>839</v>
      </c>
    </row>
    <row r="3019" spans="1:13" x14ac:dyDescent="0.25">
      <c r="A3019" s="1" t="str">
        <f>HYPERLINK("http://www.rosaceae.org/Prunus/Prunus_persica/p.persica_gdr_reftransV1_0006768","p.persica_gdr_reftransV1_0006768")</f>
        <v>p.persica_gdr_reftransV1_0006768</v>
      </c>
      <c r="B3019" s="3">
        <v>1730</v>
      </c>
      <c r="C3019" s="1" t="str">
        <f>HYPERLINK("http://www.uniprot.org/uniprot/UGT9_GARJA","UGT9_GARJA")</f>
        <v>UGT9_GARJA</v>
      </c>
      <c r="D3019" t="s">
        <v>623</v>
      </c>
      <c r="E3019" s="3" t="s">
        <v>624</v>
      </c>
      <c r="F3019" s="4">
        <v>7.7600000000000005E-139</v>
      </c>
      <c r="G3019" s="3">
        <v>1073</v>
      </c>
      <c r="H3019" s="3">
        <v>50</v>
      </c>
      <c r="I3019" s="3">
        <v>441</v>
      </c>
      <c r="J3019" s="3">
        <v>123</v>
      </c>
      <c r="K3019" s="3">
        <v>1439</v>
      </c>
      <c r="L3019" s="3">
        <v>1</v>
      </c>
      <c r="M3019" s="3">
        <v>437</v>
      </c>
    </row>
    <row r="3020" spans="1:13" x14ac:dyDescent="0.25">
      <c r="A3020" s="1" t="str">
        <f>HYPERLINK("http://www.rosaceae.org/Prunus/Prunus_persica/p.persica_gdr_reftransV1_0007018","p.persica_gdr_reftransV1_0007018")</f>
        <v>p.persica_gdr_reftransV1_0007018</v>
      </c>
      <c r="B3020" s="3">
        <v>761</v>
      </c>
      <c r="C3020" s="1" t="str">
        <f>HYPERLINK("http://www.uniprot.org/uniprot/RIP2_ORYSJ","RIP2_ORYSJ")</f>
        <v>RIP2_ORYSJ</v>
      </c>
      <c r="D3020" t="s">
        <v>2803</v>
      </c>
      <c r="E3020" s="3" t="s">
        <v>38</v>
      </c>
      <c r="F3020" s="4">
        <v>1.4500000000000001E-59</v>
      </c>
      <c r="G3020" s="3">
        <v>490</v>
      </c>
      <c r="H3020" s="3">
        <v>60</v>
      </c>
      <c r="I3020" s="3">
        <v>163</v>
      </c>
      <c r="J3020" s="3">
        <v>155</v>
      </c>
      <c r="K3020" s="3">
        <v>643</v>
      </c>
      <c r="L3020" s="3">
        <v>37</v>
      </c>
      <c r="M3020" s="3">
        <v>192</v>
      </c>
    </row>
    <row r="3021" spans="1:13" x14ac:dyDescent="0.25">
      <c r="A3021" s="1" t="str">
        <f>HYPERLINK("http://www.rosaceae.org/Prunus/Prunus_persica/p.persica_gdr_reftransV1_0007068","p.persica_gdr_reftransV1_0007068")</f>
        <v>p.persica_gdr_reftransV1_0007068</v>
      </c>
      <c r="B3021" s="3">
        <v>708</v>
      </c>
      <c r="C3021" s="1" t="str">
        <f>HYPERLINK("http://www.uniprot.org/uniprot/PCS1_LOTJA","PCS1_LOTJA")</f>
        <v>PCS1_LOTJA</v>
      </c>
      <c r="D3021" t="s">
        <v>2804</v>
      </c>
      <c r="E3021" s="3" t="s">
        <v>880</v>
      </c>
      <c r="F3021" s="4">
        <v>1.49E-36</v>
      </c>
      <c r="G3021" s="3">
        <v>349</v>
      </c>
      <c r="H3021" s="3">
        <v>52</v>
      </c>
      <c r="I3021" s="3">
        <v>153</v>
      </c>
      <c r="J3021" s="3">
        <v>214</v>
      </c>
      <c r="K3021" s="3">
        <v>672</v>
      </c>
      <c r="L3021" s="3">
        <v>333</v>
      </c>
      <c r="M3021" s="3">
        <v>484</v>
      </c>
    </row>
    <row r="3022" spans="1:13" x14ac:dyDescent="0.25">
      <c r="A3022" s="1" t="str">
        <f>HYPERLINK("http://www.rosaceae.org/Prunus/Prunus_persica/p.persica_gdr_reftransV1_0007168","p.persica_gdr_reftransV1_0007168")</f>
        <v>p.persica_gdr_reftransV1_0007168</v>
      </c>
      <c r="B3022" s="3">
        <v>998</v>
      </c>
      <c r="C3022" s="1" t="str">
        <f>HYPERLINK("http://www.uniprot.org/uniprot/WRK51_ARATH","WRK51_ARATH")</f>
        <v>WRK51_ARATH</v>
      </c>
      <c r="D3022" t="s">
        <v>2805</v>
      </c>
      <c r="E3022" s="3" t="s">
        <v>3</v>
      </c>
      <c r="F3022" s="4">
        <v>5.2900000000000003E-45</v>
      </c>
      <c r="G3022" s="3">
        <v>399</v>
      </c>
      <c r="H3022" s="3">
        <v>49</v>
      </c>
      <c r="I3022" s="3">
        <v>190</v>
      </c>
      <c r="J3022" s="3">
        <v>393</v>
      </c>
      <c r="K3022" s="3">
        <v>938</v>
      </c>
      <c r="L3022" s="3">
        <v>1</v>
      </c>
      <c r="M3022" s="3">
        <v>185</v>
      </c>
    </row>
    <row r="3023" spans="1:13" x14ac:dyDescent="0.25">
      <c r="A3023" s="1" t="str">
        <f>HYPERLINK("http://www.rosaceae.org/Prunus/Prunus_persica/p.persica_gdr_reftransV1_0007218","p.persica_gdr_reftransV1_0007218")</f>
        <v>p.persica_gdr_reftransV1_0007218</v>
      </c>
      <c r="B3023" s="3">
        <v>541</v>
      </c>
      <c r="C3023" s="1" t="str">
        <f>HYPERLINK("http://www.uniprot.org/uniprot/GH31_ARATH","GH31_ARATH")</f>
        <v>GH31_ARATH</v>
      </c>
      <c r="D3023" t="s">
        <v>2806</v>
      </c>
      <c r="E3023" s="3" t="s">
        <v>3</v>
      </c>
      <c r="F3023" s="4">
        <v>3.6300000000000001E-53</v>
      </c>
      <c r="G3023" s="3">
        <v>465</v>
      </c>
      <c r="H3023" s="3">
        <v>83</v>
      </c>
      <c r="I3023" s="3">
        <v>106</v>
      </c>
      <c r="J3023" s="3">
        <v>167</v>
      </c>
      <c r="K3023" s="3">
        <v>481</v>
      </c>
      <c r="L3023" s="3">
        <v>1</v>
      </c>
      <c r="M3023" s="3">
        <v>106</v>
      </c>
    </row>
    <row r="3024" spans="1:13" x14ac:dyDescent="0.25">
      <c r="A3024" s="1" t="str">
        <f>HYPERLINK("http://www.rosaceae.org/Prunus/Prunus_persica/p.persica_gdr_reftransV1_0007418","p.persica_gdr_reftransV1_0007418")</f>
        <v>p.persica_gdr_reftransV1_0007418</v>
      </c>
      <c r="B3024" s="3">
        <v>2830</v>
      </c>
      <c r="C3024" s="1" t="str">
        <f>HYPERLINK("http://www.uniprot.org/uniprot/SYTM2_ARATH","SYTM2_ARATH")</f>
        <v>SYTM2_ARATH</v>
      </c>
      <c r="D3024" t="s">
        <v>2807</v>
      </c>
      <c r="E3024" s="3" t="s">
        <v>3</v>
      </c>
      <c r="F3024" s="4">
        <v>0</v>
      </c>
      <c r="G3024" s="3">
        <v>2774</v>
      </c>
      <c r="H3024" s="3">
        <v>80</v>
      </c>
      <c r="I3024" s="3">
        <v>632</v>
      </c>
      <c r="J3024" s="3">
        <v>273</v>
      </c>
      <c r="K3024" s="3">
        <v>2168</v>
      </c>
      <c r="L3024" s="3">
        <v>22</v>
      </c>
      <c r="M3024" s="3">
        <v>640</v>
      </c>
    </row>
    <row r="3025" spans="1:13" x14ac:dyDescent="0.25">
      <c r="A3025" s="1" t="str">
        <f>HYPERLINK("http://www.rosaceae.org/Prunus/Prunus_persica/p.persica_gdr_reftransV1_0007468","p.persica_gdr_reftransV1_0007468")</f>
        <v>p.persica_gdr_reftransV1_0007468</v>
      </c>
      <c r="B3025" s="3">
        <v>529</v>
      </c>
      <c r="C3025" s="1" t="str">
        <f>HYPERLINK("http://www.uniprot.org/uniprot/MNR1_CAPAN","MNR1_CAPAN")</f>
        <v>MNR1_CAPAN</v>
      </c>
      <c r="D3025" t="s">
        <v>2808</v>
      </c>
      <c r="E3025" s="3" t="s">
        <v>588</v>
      </c>
      <c r="F3025" s="4">
        <v>2.2300000000000001E-54</v>
      </c>
      <c r="G3025" s="3">
        <v>458</v>
      </c>
      <c r="H3025" s="3">
        <v>62</v>
      </c>
      <c r="I3025" s="3">
        <v>144</v>
      </c>
      <c r="J3025" s="3">
        <v>98</v>
      </c>
      <c r="K3025" s="3">
        <v>529</v>
      </c>
      <c r="L3025" s="3">
        <v>171</v>
      </c>
      <c r="M3025" s="3">
        <v>314</v>
      </c>
    </row>
    <row r="3026" spans="1:13" x14ac:dyDescent="0.25">
      <c r="A3026" s="1" t="str">
        <f>HYPERLINK("http://www.rosaceae.org/Prunus/Prunus_persica/p.persica_gdr_reftransV1_0007518","p.persica_gdr_reftransV1_0007518")</f>
        <v>p.persica_gdr_reftransV1_0007518</v>
      </c>
      <c r="B3026" s="3">
        <v>3485</v>
      </c>
      <c r="C3026" s="1" t="str">
        <f>HYPERLINK("http://www.uniprot.org/uniprot/PP186_ARATH","PP186_ARATH")</f>
        <v>PP186_ARATH</v>
      </c>
      <c r="D3026" t="s">
        <v>2809</v>
      </c>
      <c r="E3026" s="3" t="s">
        <v>3</v>
      </c>
      <c r="F3026" s="4">
        <v>0</v>
      </c>
      <c r="G3026" s="3">
        <v>2028</v>
      </c>
      <c r="H3026" s="3">
        <v>71</v>
      </c>
      <c r="I3026" s="3">
        <v>508</v>
      </c>
      <c r="J3026" s="3">
        <v>440</v>
      </c>
      <c r="K3026" s="3">
        <v>1960</v>
      </c>
      <c r="L3026" s="3">
        <v>71</v>
      </c>
      <c r="M3026" s="3">
        <v>574</v>
      </c>
    </row>
    <row r="3027" spans="1:13" x14ac:dyDescent="0.25">
      <c r="A3027" s="1" t="str">
        <f>HYPERLINK("http://www.rosaceae.org/Prunus/Prunus_persica/p.persica_gdr_reftransV1_0007668","p.persica_gdr_reftransV1_0007668")</f>
        <v>p.persica_gdr_reftransV1_0007668</v>
      </c>
      <c r="B3027" s="3">
        <v>1998</v>
      </c>
      <c r="C3027" s="1" t="str">
        <f>HYPERLINK("http://www.uniprot.org/uniprot/TTC5_BOVIN","TTC5_BOVIN")</f>
        <v>TTC5_BOVIN</v>
      </c>
      <c r="D3027" t="s">
        <v>2810</v>
      </c>
      <c r="E3027" s="3" t="s">
        <v>184</v>
      </c>
      <c r="F3027" s="4">
        <v>3.6700000000000003E-41</v>
      </c>
      <c r="G3027" s="3">
        <v>305</v>
      </c>
      <c r="H3027" s="3">
        <v>32</v>
      </c>
      <c r="I3027" s="3">
        <v>317</v>
      </c>
      <c r="J3027" s="3">
        <v>655</v>
      </c>
      <c r="K3027" s="3">
        <v>1584</v>
      </c>
      <c r="L3027" s="3">
        <v>135</v>
      </c>
      <c r="M3027" s="3">
        <v>422</v>
      </c>
    </row>
    <row r="3028" spans="1:13" x14ac:dyDescent="0.25">
      <c r="A3028" s="1" t="str">
        <f>HYPERLINK("http://www.rosaceae.org/Prunus/Prunus_persica/p.persica_gdr_reftransV1_0007918","p.persica_gdr_reftransV1_0007918")</f>
        <v>p.persica_gdr_reftransV1_0007918</v>
      </c>
      <c r="B3028" s="3">
        <v>1058</v>
      </c>
      <c r="C3028" s="1" t="str">
        <f>HYPERLINK("http://www.uniprot.org/uniprot/U92A1_ARATH","U92A1_ARATH")</f>
        <v>U92A1_ARATH</v>
      </c>
      <c r="D3028" t="s">
        <v>2811</v>
      </c>
      <c r="E3028" s="3" t="s">
        <v>3</v>
      </c>
      <c r="F3028" s="4">
        <v>1.4100000000000001E-45</v>
      </c>
      <c r="G3028" s="3">
        <v>424</v>
      </c>
      <c r="H3028" s="3">
        <v>37</v>
      </c>
      <c r="I3028" s="3">
        <v>271</v>
      </c>
      <c r="J3028" s="3">
        <v>14</v>
      </c>
      <c r="K3028" s="3">
        <v>769</v>
      </c>
      <c r="L3028" s="3">
        <v>226</v>
      </c>
      <c r="M3028" s="3">
        <v>479</v>
      </c>
    </row>
    <row r="3029" spans="1:13" x14ac:dyDescent="0.25">
      <c r="A3029" s="1" t="str">
        <f>HYPERLINK("http://www.rosaceae.org/Prunus/Prunus_persica/p.persica_gdr_reftransV1_0008018","p.persica_gdr_reftransV1_0008018")</f>
        <v>p.persica_gdr_reftransV1_0008018</v>
      </c>
      <c r="B3029" s="3">
        <v>1158</v>
      </c>
      <c r="C3029" s="1" t="str">
        <f>HYPERLINK("http://www.uniprot.org/uniprot/B3GTE_ARATH","B3GTE_ARATH")</f>
        <v>B3GTE_ARATH</v>
      </c>
      <c r="D3029" t="s">
        <v>2812</v>
      </c>
      <c r="E3029" s="3" t="s">
        <v>3</v>
      </c>
      <c r="F3029" s="4">
        <v>5.3099999999999998E-129</v>
      </c>
      <c r="G3029" s="3">
        <v>979</v>
      </c>
      <c r="H3029" s="3">
        <v>69</v>
      </c>
      <c r="I3029" s="3">
        <v>313</v>
      </c>
      <c r="J3029" s="3">
        <v>232</v>
      </c>
      <c r="K3029" s="3">
        <v>1158</v>
      </c>
      <c r="L3029" s="3">
        <v>1</v>
      </c>
      <c r="M3029" s="3">
        <v>302</v>
      </c>
    </row>
    <row r="3030" spans="1:13" x14ac:dyDescent="0.25">
      <c r="A3030" s="1" t="str">
        <f>HYPERLINK("http://www.rosaceae.org/Prunus/Prunus_persica/p.persica_gdr_reftransV1_0008068","p.persica_gdr_reftransV1_0008068")</f>
        <v>p.persica_gdr_reftransV1_0008068</v>
      </c>
      <c r="B3030" s="3">
        <v>2502</v>
      </c>
      <c r="C3030" s="1" t="str">
        <f>HYPERLINK("http://www.uniprot.org/uniprot/SNX1_ARATH","SNX1_ARATH")</f>
        <v>SNX1_ARATH</v>
      </c>
      <c r="D3030" t="s">
        <v>2813</v>
      </c>
      <c r="E3030" s="3" t="s">
        <v>3</v>
      </c>
      <c r="F3030" s="4">
        <v>1.07E-119</v>
      </c>
      <c r="G3030" s="3">
        <v>961</v>
      </c>
      <c r="H3030" s="3">
        <v>79</v>
      </c>
      <c r="I3030" s="3">
        <v>227</v>
      </c>
      <c r="J3030" s="3">
        <v>1464</v>
      </c>
      <c r="K3030" s="3">
        <v>2144</v>
      </c>
      <c r="L3030" s="3">
        <v>176</v>
      </c>
      <c r="M3030" s="3">
        <v>402</v>
      </c>
    </row>
    <row r="3031" spans="1:13" x14ac:dyDescent="0.25">
      <c r="A3031" s="1" t="str">
        <f>HYPERLINK("http://www.rosaceae.org/Prunus/Prunus_persica/p.persica_gdr_reftransV1_0008118","p.persica_gdr_reftransV1_0008118")</f>
        <v>p.persica_gdr_reftransV1_0008118</v>
      </c>
      <c r="B3031" s="3">
        <v>833</v>
      </c>
      <c r="C3031" s="1" t="str">
        <f>HYPERLINK("http://www.uniprot.org/uniprot/SGO1_MAIZE","SGO1_MAIZE")</f>
        <v>SGO1_MAIZE</v>
      </c>
      <c r="D3031" t="s">
        <v>1466</v>
      </c>
      <c r="E3031" s="3" t="s">
        <v>72</v>
      </c>
      <c r="F3031" s="4">
        <v>6.4500000000000003E-14</v>
      </c>
      <c r="G3031" s="3">
        <v>182</v>
      </c>
      <c r="H3031" s="3">
        <v>51</v>
      </c>
      <c r="I3031" s="3">
        <v>95</v>
      </c>
      <c r="J3031" s="3">
        <v>288</v>
      </c>
      <c r="K3031" s="3">
        <v>572</v>
      </c>
      <c r="L3031" s="3">
        <v>59</v>
      </c>
      <c r="M3031" s="3">
        <v>153</v>
      </c>
    </row>
    <row r="3032" spans="1:13" x14ac:dyDescent="0.25">
      <c r="A3032" s="1" t="str">
        <f>HYPERLINK("http://www.rosaceae.org/Prunus/Prunus_persica/p.persica_gdr_reftransV1_0008218","p.persica_gdr_reftransV1_0008218")</f>
        <v>p.persica_gdr_reftransV1_0008218</v>
      </c>
      <c r="B3032" s="3">
        <v>1001</v>
      </c>
      <c r="C3032" s="1" t="str">
        <f>HYPERLINK("http://www.uniprot.org/uniprot/RM47_MOUSE","RM47_MOUSE")</f>
        <v>RM47_MOUSE</v>
      </c>
      <c r="D3032" t="s">
        <v>2677</v>
      </c>
      <c r="E3032" s="3" t="s">
        <v>157</v>
      </c>
      <c r="F3032" s="4">
        <v>1.71E-15</v>
      </c>
      <c r="G3032" s="3">
        <v>191</v>
      </c>
      <c r="H3032" s="3">
        <v>49</v>
      </c>
      <c r="I3032" s="3">
        <v>93</v>
      </c>
      <c r="J3032" s="3">
        <v>355</v>
      </c>
      <c r="K3032" s="3">
        <v>633</v>
      </c>
      <c r="L3032" s="3">
        <v>60</v>
      </c>
      <c r="M3032" s="3">
        <v>151</v>
      </c>
    </row>
    <row r="3033" spans="1:13" x14ac:dyDescent="0.25">
      <c r="A3033" s="1" t="str">
        <f>HYPERLINK("http://www.rosaceae.org/Prunus/Prunus_persica/p.persica_gdr_reftransV1_0008268","p.persica_gdr_reftransV1_0008268")</f>
        <v>p.persica_gdr_reftransV1_0008268</v>
      </c>
      <c r="B3033" s="3">
        <v>1349</v>
      </c>
      <c r="C3033" s="1" t="str">
        <f>HYPERLINK("http://www.uniprot.org/uniprot/PP215_ARATH","PP215_ARATH")</f>
        <v>PP215_ARATH</v>
      </c>
      <c r="D3033" t="s">
        <v>289</v>
      </c>
      <c r="E3033" s="3" t="s">
        <v>3</v>
      </c>
      <c r="F3033" s="4">
        <v>0</v>
      </c>
      <c r="G3033" s="3">
        <v>1426</v>
      </c>
      <c r="H3033" s="3">
        <v>68</v>
      </c>
      <c r="I3033" s="3">
        <v>380</v>
      </c>
      <c r="J3033" s="3">
        <v>200</v>
      </c>
      <c r="K3033" s="3">
        <v>1339</v>
      </c>
      <c r="L3033" s="3">
        <v>275</v>
      </c>
      <c r="M3033" s="3">
        <v>654</v>
      </c>
    </row>
    <row r="3034" spans="1:13" x14ac:dyDescent="0.25">
      <c r="A3034" s="1" t="str">
        <f>HYPERLINK("http://www.rosaceae.org/Prunus/Prunus_persica/p.persica_gdr_reftransV1_0008368","p.persica_gdr_reftransV1_0008368")</f>
        <v>p.persica_gdr_reftransV1_0008368</v>
      </c>
      <c r="B3034" s="3">
        <v>2290</v>
      </c>
      <c r="C3034" s="1" t="str">
        <f>HYPERLINK("http://www.uniprot.org/uniprot/TBL2_ARATH","TBL2_ARATH")</f>
        <v>TBL2_ARATH</v>
      </c>
      <c r="D3034" t="s">
        <v>2814</v>
      </c>
      <c r="E3034" s="3" t="s">
        <v>3</v>
      </c>
      <c r="F3034" s="4">
        <v>0</v>
      </c>
      <c r="G3034" s="3">
        <v>1541</v>
      </c>
      <c r="H3034" s="3">
        <v>60</v>
      </c>
      <c r="I3034" s="3">
        <v>504</v>
      </c>
      <c r="J3034" s="3">
        <v>288</v>
      </c>
      <c r="K3034" s="3">
        <v>1778</v>
      </c>
      <c r="L3034" s="3">
        <v>71</v>
      </c>
      <c r="M3034" s="3">
        <v>539</v>
      </c>
    </row>
    <row r="3035" spans="1:13" x14ac:dyDescent="0.25">
      <c r="A3035" s="1" t="str">
        <f>HYPERLINK("http://www.rosaceae.org/Prunus/Prunus_persica/p.persica_gdr_reftransV1_0008568","p.persica_gdr_reftransV1_0008568")</f>
        <v>p.persica_gdr_reftransV1_0008568</v>
      </c>
      <c r="B3035" s="3">
        <v>1779</v>
      </c>
      <c r="C3035" s="1" t="str">
        <f>HYPERLINK("http://www.uniprot.org/uniprot/VINSY_RAUSE","VINSY_RAUSE")</f>
        <v>VINSY_RAUSE</v>
      </c>
      <c r="D3035" t="s">
        <v>2815</v>
      </c>
      <c r="E3035" s="3" t="s">
        <v>2816</v>
      </c>
      <c r="F3035" s="4">
        <v>6.7899999999999997E-74</v>
      </c>
      <c r="G3035" s="3">
        <v>634</v>
      </c>
      <c r="H3035" s="3">
        <v>36</v>
      </c>
      <c r="I3035" s="3">
        <v>434</v>
      </c>
      <c r="J3035" s="3">
        <v>260</v>
      </c>
      <c r="K3035" s="3">
        <v>1540</v>
      </c>
      <c r="L3035" s="3">
        <v>1</v>
      </c>
      <c r="M3035" s="3">
        <v>405</v>
      </c>
    </row>
    <row r="3036" spans="1:13" x14ac:dyDescent="0.25">
      <c r="A3036" s="1" t="str">
        <f>HYPERLINK("http://www.rosaceae.org/Prunus/Prunus_persica/p.persica_gdr_reftransV1_0008668","p.persica_gdr_reftransV1_0008668")</f>
        <v>p.persica_gdr_reftransV1_0008668</v>
      </c>
      <c r="B3036" s="3">
        <v>2484</v>
      </c>
      <c r="C3036" s="1" t="str">
        <f>HYPERLINK("http://www.uniprot.org/uniprot/STN8_ARATH","STN8_ARATH")</f>
        <v>STN8_ARATH</v>
      </c>
      <c r="D3036" t="s">
        <v>2817</v>
      </c>
      <c r="E3036" s="3" t="s">
        <v>3</v>
      </c>
      <c r="F3036" s="4">
        <v>1.4499999999999999E-139</v>
      </c>
      <c r="G3036" s="3">
        <v>1104</v>
      </c>
      <c r="H3036" s="3">
        <v>74</v>
      </c>
      <c r="I3036" s="3">
        <v>325</v>
      </c>
      <c r="J3036" s="3">
        <v>1124</v>
      </c>
      <c r="K3036" s="3">
        <v>2095</v>
      </c>
      <c r="L3036" s="3">
        <v>62</v>
      </c>
      <c r="M3036" s="3">
        <v>381</v>
      </c>
    </row>
    <row r="3037" spans="1:13" x14ac:dyDescent="0.25">
      <c r="A3037" s="1" t="str">
        <f>HYPERLINK("http://www.rosaceae.org/Prunus/Prunus_persica/p.persica_gdr_reftransV1_0008868","p.persica_gdr_reftransV1_0008868")</f>
        <v>p.persica_gdr_reftransV1_0008868</v>
      </c>
      <c r="B3037" s="3">
        <v>2876</v>
      </c>
      <c r="C3037" s="1" t="str">
        <f>HYPERLINK("http://www.uniprot.org/uniprot/IF4G1_WHEAT","IF4G1_WHEAT")</f>
        <v>IF4G1_WHEAT</v>
      </c>
      <c r="D3037" t="s">
        <v>2818</v>
      </c>
      <c r="E3037" s="3" t="s">
        <v>710</v>
      </c>
      <c r="F3037" s="4">
        <v>0</v>
      </c>
      <c r="G3037" s="3">
        <v>2244</v>
      </c>
      <c r="H3037" s="3">
        <v>60</v>
      </c>
      <c r="I3037" s="3">
        <v>778</v>
      </c>
      <c r="J3037" s="3">
        <v>269</v>
      </c>
      <c r="K3037" s="3">
        <v>2482</v>
      </c>
      <c r="L3037" s="3">
        <v>32</v>
      </c>
      <c r="M3037" s="3">
        <v>786</v>
      </c>
    </row>
    <row r="3038" spans="1:13" x14ac:dyDescent="0.25">
      <c r="A3038" s="1" t="str">
        <f>HYPERLINK("http://www.rosaceae.org/Prunus/Prunus_persica/p.persica_gdr_reftransV1_0008918","p.persica_gdr_reftransV1_0008918")</f>
        <v>p.persica_gdr_reftransV1_0008918</v>
      </c>
      <c r="B3038" s="3">
        <v>3477</v>
      </c>
      <c r="C3038" s="1" t="str">
        <f>HYPERLINK("http://www.uniprot.org/uniprot/AAE16_ARATH","AAE16_ARATH")</f>
        <v>AAE16_ARATH</v>
      </c>
      <c r="D3038" t="s">
        <v>1487</v>
      </c>
      <c r="E3038" s="3" t="s">
        <v>3</v>
      </c>
      <c r="F3038" s="4">
        <v>0</v>
      </c>
      <c r="G3038" s="3">
        <v>1629</v>
      </c>
      <c r="H3038" s="3">
        <v>70</v>
      </c>
      <c r="I3038" s="3">
        <v>426</v>
      </c>
      <c r="J3038" s="3">
        <v>530</v>
      </c>
      <c r="K3038" s="3">
        <v>1804</v>
      </c>
      <c r="L3038" s="3">
        <v>260</v>
      </c>
      <c r="M3038" s="3">
        <v>685</v>
      </c>
    </row>
    <row r="3039" spans="1:13" x14ac:dyDescent="0.25">
      <c r="A3039" s="1" t="str">
        <f>HYPERLINK("http://www.rosaceae.org/Prunus/Prunus_persica/p.persica_gdr_reftransV1_0009068","p.persica_gdr_reftransV1_0009068")</f>
        <v>p.persica_gdr_reftransV1_0009068</v>
      </c>
      <c r="B3039" s="3">
        <v>3608</v>
      </c>
      <c r="C3039" s="1" t="str">
        <f>HYPERLINK("http://www.uniprot.org/uniprot/DRP2B_ARATH","DRP2B_ARATH")</f>
        <v>DRP2B_ARATH</v>
      </c>
      <c r="D3039" t="s">
        <v>2819</v>
      </c>
      <c r="E3039" s="3" t="s">
        <v>3</v>
      </c>
      <c r="F3039" s="4">
        <v>0</v>
      </c>
      <c r="G3039" s="3">
        <v>2301</v>
      </c>
      <c r="H3039" s="3">
        <v>79</v>
      </c>
      <c r="I3039" s="3">
        <v>606</v>
      </c>
      <c r="J3039" s="3">
        <v>353</v>
      </c>
      <c r="K3039" s="3">
        <v>2149</v>
      </c>
      <c r="L3039" s="3">
        <v>1</v>
      </c>
      <c r="M3039" s="3">
        <v>605</v>
      </c>
    </row>
    <row r="3040" spans="1:13" x14ac:dyDescent="0.25">
      <c r="A3040" s="1" t="str">
        <f>HYPERLINK("http://www.rosaceae.org/Prunus/Prunus_persica/p.persica_gdr_reftransV1_0009118","p.persica_gdr_reftransV1_0009118")</f>
        <v>p.persica_gdr_reftransV1_0009118</v>
      </c>
      <c r="B3040" s="3">
        <v>1331</v>
      </c>
      <c r="C3040" s="1" t="str">
        <f>HYPERLINK("http://www.uniprot.org/uniprot/BAS1B_ARATH","BAS1B_ARATH")</f>
        <v>BAS1B_ARATH</v>
      </c>
      <c r="D3040" t="s">
        <v>2820</v>
      </c>
      <c r="E3040" s="3" t="s">
        <v>3</v>
      </c>
      <c r="F3040" s="4">
        <v>3.1100000000000001E-137</v>
      </c>
      <c r="G3040" s="3">
        <v>1032</v>
      </c>
      <c r="H3040" s="3">
        <v>89</v>
      </c>
      <c r="I3040" s="3">
        <v>217</v>
      </c>
      <c r="J3040" s="3">
        <v>458</v>
      </c>
      <c r="K3040" s="3">
        <v>1108</v>
      </c>
      <c r="L3040" s="3">
        <v>58</v>
      </c>
      <c r="M3040" s="3">
        <v>273</v>
      </c>
    </row>
    <row r="3041" spans="1:13" x14ac:dyDescent="0.25">
      <c r="A3041" s="1" t="str">
        <f>HYPERLINK("http://www.rosaceae.org/Prunus/Prunus_persica/p.persica_gdr_reftransV1_0009168","p.persica_gdr_reftransV1_0009168")</f>
        <v>p.persica_gdr_reftransV1_0009168</v>
      </c>
      <c r="B3041" s="3">
        <v>1087</v>
      </c>
      <c r="C3041" s="1" t="str">
        <f>HYPERLINK("http://www.uniprot.org/uniprot/Y5828_ARATH","Y5828_ARATH")</f>
        <v>Y5828_ARATH</v>
      </c>
      <c r="D3041" t="s">
        <v>2821</v>
      </c>
      <c r="E3041" s="3" t="s">
        <v>3</v>
      </c>
      <c r="F3041" s="4">
        <v>4.0799999999999997E-67</v>
      </c>
      <c r="G3041" s="3">
        <v>558</v>
      </c>
      <c r="H3041" s="3">
        <v>51</v>
      </c>
      <c r="I3041" s="3">
        <v>255</v>
      </c>
      <c r="J3041" s="3">
        <v>114</v>
      </c>
      <c r="K3041" s="3">
        <v>866</v>
      </c>
      <c r="L3041" s="3">
        <v>2</v>
      </c>
      <c r="M3041" s="3">
        <v>232</v>
      </c>
    </row>
    <row r="3042" spans="1:13" x14ac:dyDescent="0.25">
      <c r="A3042" s="1" t="str">
        <f>HYPERLINK("http://www.rosaceae.org/Prunus/Prunus_persica/p.persica_gdr_reftransV1_0009218","p.persica_gdr_reftransV1_0009218")</f>
        <v>p.persica_gdr_reftransV1_0009218</v>
      </c>
      <c r="B3042" s="3">
        <v>2072</v>
      </c>
      <c r="C3042" s="1" t="str">
        <f>HYPERLINK("http://www.uniprot.org/uniprot/CK5P3_ARATH","CK5P3_ARATH")</f>
        <v>CK5P3_ARATH</v>
      </c>
      <c r="D3042" t="s">
        <v>2822</v>
      </c>
      <c r="E3042" s="3" t="s">
        <v>3</v>
      </c>
      <c r="F3042" s="4">
        <v>0</v>
      </c>
      <c r="G3042" s="3">
        <v>1764</v>
      </c>
      <c r="H3042" s="3">
        <v>65</v>
      </c>
      <c r="I3042" s="3">
        <v>559</v>
      </c>
      <c r="J3042" s="3">
        <v>343</v>
      </c>
      <c r="K3042" s="3">
        <v>2010</v>
      </c>
      <c r="L3042" s="3">
        <v>1</v>
      </c>
      <c r="M3042" s="3">
        <v>549</v>
      </c>
    </row>
    <row r="3043" spans="1:13" x14ac:dyDescent="0.25">
      <c r="A3043" s="1" t="str">
        <f>HYPERLINK("http://www.rosaceae.org/Prunus/Prunus_persica/p.persica_gdr_reftransV1_0009268","p.persica_gdr_reftransV1_0009268")</f>
        <v>p.persica_gdr_reftransV1_0009268</v>
      </c>
      <c r="B3043" s="3">
        <v>3547</v>
      </c>
      <c r="C3043" s="1" t="str">
        <f>HYPERLINK("http://www.uniprot.org/uniprot/LIN1_LOTJA","LIN1_LOTJA")</f>
        <v>LIN1_LOTJA</v>
      </c>
      <c r="D3043" t="s">
        <v>2734</v>
      </c>
      <c r="E3043" s="3" t="s">
        <v>880</v>
      </c>
      <c r="F3043" s="4">
        <v>0</v>
      </c>
      <c r="G3043" s="3">
        <v>1926</v>
      </c>
      <c r="H3043" s="3">
        <v>45</v>
      </c>
      <c r="I3043" s="3">
        <v>979</v>
      </c>
      <c r="J3043" s="3">
        <v>306</v>
      </c>
      <c r="K3043" s="3">
        <v>3125</v>
      </c>
      <c r="L3043" s="3">
        <v>511</v>
      </c>
      <c r="M3043" s="3">
        <v>1484</v>
      </c>
    </row>
    <row r="3044" spans="1:13" x14ac:dyDescent="0.25">
      <c r="A3044" s="1" t="str">
        <f>HYPERLINK("http://www.rosaceae.org/Prunus/Prunus_persica/p.persica_gdr_reftransV1_0009468","p.persica_gdr_reftransV1_0009468")</f>
        <v>p.persica_gdr_reftransV1_0009468</v>
      </c>
      <c r="B3044" s="3">
        <v>3966</v>
      </c>
      <c r="C3044" s="1" t="str">
        <f>HYPERLINK("http://www.uniprot.org/uniprot/PCFS4_ARATH","PCFS4_ARATH")</f>
        <v>PCFS4_ARATH</v>
      </c>
      <c r="D3044" t="s">
        <v>2823</v>
      </c>
      <c r="E3044" s="3" t="s">
        <v>3</v>
      </c>
      <c r="F3044" s="4">
        <v>6.9399999999999997E-113</v>
      </c>
      <c r="G3044" s="3">
        <v>975</v>
      </c>
      <c r="H3044" s="3">
        <v>46</v>
      </c>
      <c r="I3044" s="3">
        <v>550</v>
      </c>
      <c r="J3044" s="3">
        <v>2191</v>
      </c>
      <c r="K3044" s="3">
        <v>3792</v>
      </c>
      <c r="L3044" s="3">
        <v>1</v>
      </c>
      <c r="M3044" s="3">
        <v>485</v>
      </c>
    </row>
    <row r="3045" spans="1:13" x14ac:dyDescent="0.25">
      <c r="A3045" s="1" t="str">
        <f>HYPERLINK("http://www.rosaceae.org/Prunus/Prunus_persica/p.persica_gdr_reftransV1_0009568","p.persica_gdr_reftransV1_0009568")</f>
        <v>p.persica_gdr_reftransV1_0009568</v>
      </c>
      <c r="B3045" s="3">
        <v>857</v>
      </c>
      <c r="C3045" s="1" t="str">
        <f>HYPERLINK("http://www.uniprot.org/uniprot/UFOG7_FRAAN","UFOG7_FRAAN")</f>
        <v>UFOG7_FRAAN</v>
      </c>
      <c r="D3045" t="s">
        <v>2824</v>
      </c>
      <c r="E3045" s="3" t="s">
        <v>15</v>
      </c>
      <c r="F3045" s="4">
        <v>4.0200000000000002E-89</v>
      </c>
      <c r="G3045" s="3">
        <v>716</v>
      </c>
      <c r="H3045" s="3">
        <v>53</v>
      </c>
      <c r="I3045" s="3">
        <v>284</v>
      </c>
      <c r="J3045" s="3">
        <v>1</v>
      </c>
      <c r="K3045" s="3">
        <v>828</v>
      </c>
      <c r="L3045" s="3">
        <v>2</v>
      </c>
      <c r="M3045" s="3">
        <v>279</v>
      </c>
    </row>
    <row r="3046" spans="1:13" x14ac:dyDescent="0.25">
      <c r="A3046" s="1" t="str">
        <f>HYPERLINK("http://www.rosaceae.org/Prunus/Prunus_persica/p.persica_gdr_reftransV1_0009668","p.persica_gdr_reftransV1_0009668")</f>
        <v>p.persica_gdr_reftransV1_0009668</v>
      </c>
      <c r="B3046" s="3">
        <v>4609</v>
      </c>
      <c r="C3046" s="1" t="str">
        <f>HYPERLINK("http://www.uniprot.org/uniprot/ATMA_ECOLI","ATMA_ECOLI")</f>
        <v>ATMA_ECOLI</v>
      </c>
      <c r="D3046" t="s">
        <v>2825</v>
      </c>
      <c r="E3046" s="3" t="s">
        <v>2372</v>
      </c>
      <c r="F3046" s="4">
        <v>6.5999999999999997E-140</v>
      </c>
      <c r="G3046" s="3">
        <v>1184</v>
      </c>
      <c r="H3046" s="3">
        <v>43</v>
      </c>
      <c r="I3046" s="3">
        <v>543</v>
      </c>
      <c r="J3046" s="3">
        <v>1914</v>
      </c>
      <c r="K3046" s="3">
        <v>3539</v>
      </c>
      <c r="L3046" s="3">
        <v>368</v>
      </c>
      <c r="M3046" s="3">
        <v>895</v>
      </c>
    </row>
    <row r="3047" spans="1:13" x14ac:dyDescent="0.25">
      <c r="A3047" s="1" t="str">
        <f>HYPERLINK("http://www.rosaceae.org/Prunus/Prunus_persica/p.persica_gdr_reftransV1_0009718","p.persica_gdr_reftransV1_0009718")</f>
        <v>p.persica_gdr_reftransV1_0009718</v>
      </c>
      <c r="B3047" s="3">
        <v>534</v>
      </c>
      <c r="C3047" s="1" t="str">
        <f>HYPERLINK("http://www.uniprot.org/uniprot/MES3_ARATH","MES3_ARATH")</f>
        <v>MES3_ARATH</v>
      </c>
      <c r="D3047" t="s">
        <v>2826</v>
      </c>
      <c r="E3047" s="3" t="s">
        <v>3</v>
      </c>
      <c r="F3047" s="4">
        <v>2.2000000000000001E-31</v>
      </c>
      <c r="G3047" s="3">
        <v>298</v>
      </c>
      <c r="H3047" s="3">
        <v>55</v>
      </c>
      <c r="I3047" s="3">
        <v>108</v>
      </c>
      <c r="J3047" s="3">
        <v>30</v>
      </c>
      <c r="K3047" s="3">
        <v>344</v>
      </c>
      <c r="L3047" s="3">
        <v>156</v>
      </c>
      <c r="M3047" s="3">
        <v>263</v>
      </c>
    </row>
    <row r="3048" spans="1:13" x14ac:dyDescent="0.25">
      <c r="A3048" s="1" t="str">
        <f>HYPERLINK("http://www.rosaceae.org/Prunus/Prunus_persica/p.persica_gdr_reftransV1_0009768","p.persica_gdr_reftransV1_0009768")</f>
        <v>p.persica_gdr_reftransV1_0009768</v>
      </c>
      <c r="B3048" s="3">
        <v>1100</v>
      </c>
      <c r="C3048" s="1" t="str">
        <f>HYPERLINK("http://www.uniprot.org/uniprot/GLYT3_ARATH","GLYT3_ARATH")</f>
        <v>GLYT3_ARATH</v>
      </c>
      <c r="D3048" t="s">
        <v>2169</v>
      </c>
      <c r="E3048" s="3" t="s">
        <v>3</v>
      </c>
      <c r="F3048" s="4">
        <v>1.2500000000000001E-31</v>
      </c>
      <c r="G3048" s="3">
        <v>322</v>
      </c>
      <c r="H3048" s="3">
        <v>43</v>
      </c>
      <c r="I3048" s="3">
        <v>129</v>
      </c>
      <c r="J3048" s="3">
        <v>3</v>
      </c>
      <c r="K3048" s="3">
        <v>389</v>
      </c>
      <c r="L3048" s="3">
        <v>170</v>
      </c>
      <c r="M3048" s="3">
        <v>298</v>
      </c>
    </row>
    <row r="3049" spans="1:13" x14ac:dyDescent="0.25">
      <c r="A3049" s="1" t="str">
        <f>HYPERLINK("http://www.rosaceae.org/Prunus/Prunus_persica/p.persica_gdr_reftransV1_0009818","p.persica_gdr_reftransV1_0009818")</f>
        <v>p.persica_gdr_reftransV1_0009818</v>
      </c>
      <c r="B3049" s="3">
        <v>2634</v>
      </c>
      <c r="C3049" s="1" t="str">
        <f>HYPERLINK("http://www.uniprot.org/uniprot/DBP2_DEBHA","DBP2_DEBHA")</f>
        <v>DBP2_DEBHA</v>
      </c>
      <c r="D3049" t="s">
        <v>2827</v>
      </c>
      <c r="E3049" s="3" t="s">
        <v>351</v>
      </c>
      <c r="F3049" s="4">
        <v>1.1400000000000001E-93</v>
      </c>
      <c r="G3049" s="3">
        <v>797</v>
      </c>
      <c r="H3049" s="3">
        <v>44</v>
      </c>
      <c r="I3049" s="3">
        <v>371</v>
      </c>
      <c r="J3049" s="3">
        <v>1055</v>
      </c>
      <c r="K3049" s="3">
        <v>2155</v>
      </c>
      <c r="L3049" s="3">
        <v>104</v>
      </c>
      <c r="M3049" s="3">
        <v>464</v>
      </c>
    </row>
    <row r="3050" spans="1:13" x14ac:dyDescent="0.25">
      <c r="A3050" s="1" t="str">
        <f>HYPERLINK("http://www.rosaceae.org/Prunus/Prunus_persica/p.persica_gdr_reftransV1_0010268","p.persica_gdr_reftransV1_0010268")</f>
        <v>p.persica_gdr_reftransV1_0010268</v>
      </c>
      <c r="B3050" s="3">
        <v>2072</v>
      </c>
      <c r="C3050" s="1" t="str">
        <f>HYPERLINK("http://www.uniprot.org/uniprot/CB60A_ARATH","CB60A_ARATH")</f>
        <v>CB60A_ARATH</v>
      </c>
      <c r="D3050" t="s">
        <v>2828</v>
      </c>
      <c r="E3050" s="3" t="s">
        <v>3</v>
      </c>
      <c r="F3050" s="4">
        <v>1.3099999999999999E-171</v>
      </c>
      <c r="G3050" s="3">
        <v>1306</v>
      </c>
      <c r="H3050" s="3">
        <v>51</v>
      </c>
      <c r="I3050" s="3">
        <v>543</v>
      </c>
      <c r="J3050" s="3">
        <v>141</v>
      </c>
      <c r="K3050" s="3">
        <v>1745</v>
      </c>
      <c r="L3050" s="3">
        <v>2</v>
      </c>
      <c r="M3050" s="3">
        <v>493</v>
      </c>
    </row>
    <row r="3051" spans="1:13" x14ac:dyDescent="0.25">
      <c r="A3051" s="1" t="str">
        <f>HYPERLINK("http://www.rosaceae.org/Prunus/Prunus_persica/p.persica_gdr_reftransV1_0010318","p.persica_gdr_reftransV1_0010318")</f>
        <v>p.persica_gdr_reftransV1_0010318</v>
      </c>
      <c r="B3051" s="3">
        <v>2040</v>
      </c>
      <c r="C3051" s="1" t="str">
        <f>HYPERLINK("http://www.uniprot.org/uniprot/Y1105_ARATH","Y1105_ARATH")</f>
        <v>Y1105_ARATH</v>
      </c>
      <c r="D3051" t="s">
        <v>2829</v>
      </c>
      <c r="E3051" s="3" t="s">
        <v>3</v>
      </c>
      <c r="F3051" s="4">
        <v>0</v>
      </c>
      <c r="G3051" s="3">
        <v>1528</v>
      </c>
      <c r="H3051" s="3">
        <v>55</v>
      </c>
      <c r="I3051" s="3">
        <v>590</v>
      </c>
      <c r="J3051" s="3">
        <v>73</v>
      </c>
      <c r="K3051" s="3">
        <v>1785</v>
      </c>
      <c r="L3051" s="3">
        <v>22</v>
      </c>
      <c r="M3051" s="3">
        <v>601</v>
      </c>
    </row>
    <row r="3052" spans="1:13" x14ac:dyDescent="0.25">
      <c r="A3052" s="1" t="str">
        <f>HYPERLINK("http://www.rosaceae.org/Prunus/Prunus_persica/p.persica_gdr_reftransV1_0010368","p.persica_gdr_reftransV1_0010368")</f>
        <v>p.persica_gdr_reftransV1_0010368</v>
      </c>
      <c r="B3052" s="3">
        <v>2349</v>
      </c>
      <c r="C3052" s="1" t="str">
        <f>HYPERLINK("http://www.uniprot.org/uniprot/SKS1_ARATH","SKS1_ARATH")</f>
        <v>SKS1_ARATH</v>
      </c>
      <c r="D3052" t="s">
        <v>2830</v>
      </c>
      <c r="E3052" s="3" t="s">
        <v>3</v>
      </c>
      <c r="F3052" s="4">
        <v>0</v>
      </c>
      <c r="G3052" s="3">
        <v>2215</v>
      </c>
      <c r="H3052" s="3">
        <v>74</v>
      </c>
      <c r="I3052" s="3">
        <v>558</v>
      </c>
      <c r="J3052" s="3">
        <v>276</v>
      </c>
      <c r="K3052" s="3">
        <v>1949</v>
      </c>
      <c r="L3052" s="3">
        <v>16</v>
      </c>
      <c r="M3052" s="3">
        <v>572</v>
      </c>
    </row>
    <row r="3053" spans="1:13" x14ac:dyDescent="0.25">
      <c r="A3053" s="1" t="str">
        <f>HYPERLINK("http://www.rosaceae.org/Prunus/Prunus_persica/p.persica_gdr_reftransV1_0010568","p.persica_gdr_reftransV1_0010568")</f>
        <v>p.persica_gdr_reftransV1_0010568</v>
      </c>
      <c r="B3053" s="3">
        <v>1031</v>
      </c>
      <c r="C3053" s="1" t="str">
        <f>HYPERLINK("http://www.uniprot.org/uniprot/Y1705_ARATH","Y1705_ARATH")</f>
        <v>Y1705_ARATH</v>
      </c>
      <c r="D3053" t="s">
        <v>2831</v>
      </c>
      <c r="E3053" s="3" t="s">
        <v>3</v>
      </c>
      <c r="F3053" s="4">
        <v>8.0700000000000006E-52</v>
      </c>
      <c r="G3053" s="3">
        <v>447</v>
      </c>
      <c r="H3053" s="3">
        <v>56</v>
      </c>
      <c r="I3053" s="3">
        <v>209</v>
      </c>
      <c r="J3053" s="3">
        <v>110</v>
      </c>
      <c r="K3053" s="3">
        <v>712</v>
      </c>
      <c r="L3053" s="3">
        <v>1</v>
      </c>
      <c r="M3053" s="3">
        <v>205</v>
      </c>
    </row>
    <row r="3054" spans="1:13" x14ac:dyDescent="0.25">
      <c r="A3054" s="1" t="str">
        <f>HYPERLINK("http://www.rosaceae.org/Prunus/Prunus_persica/p.persica_gdr_reftransV1_0010618","p.persica_gdr_reftransV1_0010618")</f>
        <v>p.persica_gdr_reftransV1_0010618</v>
      </c>
      <c r="B3054" s="3">
        <v>2707</v>
      </c>
      <c r="C3054" s="1" t="str">
        <f>HYPERLINK("http://www.uniprot.org/uniprot/TMN9_ARATH","TMN9_ARATH")</f>
        <v>TMN9_ARATH</v>
      </c>
      <c r="D3054" t="s">
        <v>2832</v>
      </c>
      <c r="E3054" s="3" t="s">
        <v>3</v>
      </c>
      <c r="F3054" s="4">
        <v>0</v>
      </c>
      <c r="G3054" s="3">
        <v>1949</v>
      </c>
      <c r="H3054" s="3">
        <v>85</v>
      </c>
      <c r="I3054" s="3">
        <v>473</v>
      </c>
      <c r="J3054" s="3">
        <v>543</v>
      </c>
      <c r="K3054" s="3">
        <v>1961</v>
      </c>
      <c r="L3054" s="3">
        <v>172</v>
      </c>
      <c r="M3054" s="3">
        <v>644</v>
      </c>
    </row>
    <row r="3055" spans="1:13" x14ac:dyDescent="0.25">
      <c r="A3055" s="1" t="str">
        <f>HYPERLINK("http://www.rosaceae.org/Prunus/Prunus_persica/p.persica_gdr_reftransV1_0010668","p.persica_gdr_reftransV1_0010668")</f>
        <v>p.persica_gdr_reftransV1_0010668</v>
      </c>
      <c r="B3055" s="3">
        <v>600</v>
      </c>
      <c r="C3055" s="1" t="str">
        <f>HYPERLINK("http://www.uniprot.org/uniprot/PPR84_ARATH","PPR84_ARATH")</f>
        <v>PPR84_ARATH</v>
      </c>
      <c r="D3055" t="s">
        <v>1907</v>
      </c>
      <c r="E3055" s="3" t="s">
        <v>3</v>
      </c>
      <c r="F3055" s="4">
        <v>6.6199999999999998E-96</v>
      </c>
      <c r="G3055" s="3">
        <v>767</v>
      </c>
      <c r="H3055" s="3">
        <v>72</v>
      </c>
      <c r="I3055" s="3">
        <v>199</v>
      </c>
      <c r="J3055" s="3">
        <v>3</v>
      </c>
      <c r="K3055" s="3">
        <v>599</v>
      </c>
      <c r="L3055" s="3">
        <v>503</v>
      </c>
      <c r="M3055" s="3">
        <v>701</v>
      </c>
    </row>
    <row r="3056" spans="1:13" x14ac:dyDescent="0.25">
      <c r="A3056" s="1" t="str">
        <f>HYPERLINK("http://www.rosaceae.org/Prunus/Prunus_persica/p.persica_gdr_reftransV1_0010718","p.persica_gdr_reftransV1_0010718")</f>
        <v>p.persica_gdr_reftransV1_0010718</v>
      </c>
      <c r="B3056" s="3">
        <v>1826</v>
      </c>
      <c r="C3056" s="1" t="str">
        <f>HYPERLINK("http://www.uniprot.org/uniprot/PRI1_MOUSE","PRI1_MOUSE")</f>
        <v>PRI1_MOUSE</v>
      </c>
      <c r="D3056" t="s">
        <v>2833</v>
      </c>
      <c r="E3056" s="3" t="s">
        <v>157</v>
      </c>
      <c r="F3056" s="4">
        <v>2.7600000000000001E-105</v>
      </c>
      <c r="G3056" s="3">
        <v>848</v>
      </c>
      <c r="H3056" s="3">
        <v>42</v>
      </c>
      <c r="I3056" s="3">
        <v>420</v>
      </c>
      <c r="J3056" s="3">
        <v>362</v>
      </c>
      <c r="K3056" s="3">
        <v>1576</v>
      </c>
      <c r="L3056" s="3">
        <v>13</v>
      </c>
      <c r="M3056" s="3">
        <v>407</v>
      </c>
    </row>
    <row r="3057" spans="1:13" x14ac:dyDescent="0.25">
      <c r="A3057" s="1" t="str">
        <f>HYPERLINK("http://www.rosaceae.org/Prunus/Prunus_persica/p.persica_gdr_reftransV1_0010818","p.persica_gdr_reftransV1_0010818")</f>
        <v>p.persica_gdr_reftransV1_0010818</v>
      </c>
      <c r="B3057" s="3">
        <v>1573</v>
      </c>
      <c r="C3057" s="1" t="str">
        <f>HYPERLINK("http://www.uniprot.org/uniprot/IMP3_SOLLC","IMP3_SOLLC")</f>
        <v>IMP3_SOLLC</v>
      </c>
      <c r="D3057" t="s">
        <v>2834</v>
      </c>
      <c r="E3057" s="3" t="s">
        <v>64</v>
      </c>
      <c r="F3057" s="4">
        <v>1.27E-89</v>
      </c>
      <c r="G3057" s="3">
        <v>722</v>
      </c>
      <c r="H3057" s="3">
        <v>83</v>
      </c>
      <c r="I3057" s="3">
        <v>163</v>
      </c>
      <c r="J3057" s="3">
        <v>123</v>
      </c>
      <c r="K3057" s="3">
        <v>611</v>
      </c>
      <c r="L3057" s="3">
        <v>1</v>
      </c>
      <c r="M3057" s="3">
        <v>163</v>
      </c>
    </row>
    <row r="3058" spans="1:13" x14ac:dyDescent="0.25">
      <c r="A3058" s="1" t="str">
        <f>HYPERLINK("http://www.rosaceae.org/Prunus/Prunus_persica/p.persica_gdr_reftransV1_0010918","p.persica_gdr_reftransV1_0010918")</f>
        <v>p.persica_gdr_reftransV1_0010918</v>
      </c>
      <c r="B3058" s="3">
        <v>1418</v>
      </c>
      <c r="C3058" s="1" t="str">
        <f>HYPERLINK("http://www.uniprot.org/uniprot/RB11C_LOTJA","RB11C_LOTJA")</f>
        <v>RB11C_LOTJA</v>
      </c>
      <c r="D3058" t="s">
        <v>2835</v>
      </c>
      <c r="E3058" s="3" t="s">
        <v>880</v>
      </c>
      <c r="F3058" s="4">
        <v>1.6199999999999999E-128</v>
      </c>
      <c r="G3058" s="3">
        <v>972</v>
      </c>
      <c r="H3058" s="3">
        <v>86</v>
      </c>
      <c r="I3058" s="3">
        <v>216</v>
      </c>
      <c r="J3058" s="3">
        <v>273</v>
      </c>
      <c r="K3058" s="3">
        <v>917</v>
      </c>
      <c r="L3058" s="3">
        <v>1</v>
      </c>
      <c r="M3058" s="3">
        <v>215</v>
      </c>
    </row>
    <row r="3059" spans="1:13" x14ac:dyDescent="0.25">
      <c r="A3059" s="1" t="str">
        <f>HYPERLINK("http://www.rosaceae.org/Prunus/Prunus_persica/p.persica_gdr_reftransV1_0010968","p.persica_gdr_reftransV1_0010968")</f>
        <v>p.persica_gdr_reftransV1_0010968</v>
      </c>
      <c r="B3059" s="3">
        <v>2657</v>
      </c>
      <c r="C3059" s="1" t="str">
        <f>HYPERLINK("http://www.uniprot.org/uniprot/AMPP1_SORMK","AMPP1_SORMK")</f>
        <v>AMPP1_SORMK</v>
      </c>
      <c r="D3059" t="s">
        <v>2836</v>
      </c>
      <c r="E3059" s="3" t="s">
        <v>2837</v>
      </c>
      <c r="F3059" s="4">
        <v>8.0700000000000003E-176</v>
      </c>
      <c r="G3059" s="3">
        <v>1363</v>
      </c>
      <c r="H3059" s="3">
        <v>47</v>
      </c>
      <c r="I3059" s="3">
        <v>596</v>
      </c>
      <c r="J3059" s="3">
        <v>810</v>
      </c>
      <c r="K3059" s="3">
        <v>2579</v>
      </c>
      <c r="L3059" s="3">
        <v>7</v>
      </c>
      <c r="M3059" s="3">
        <v>564</v>
      </c>
    </row>
    <row r="3060" spans="1:13" x14ac:dyDescent="0.25">
      <c r="A3060" s="1" t="str">
        <f>HYPERLINK("http://www.rosaceae.org/Prunus/Prunus_persica/p.persica_gdr_reftransV1_0011068","p.persica_gdr_reftransV1_0011068")</f>
        <v>p.persica_gdr_reftransV1_0011068</v>
      </c>
      <c r="B3060" s="3">
        <v>2424</v>
      </c>
      <c r="C3060" s="1" t="str">
        <f>HYPERLINK("http://www.uniprot.org/uniprot/GUFP_VITVI","GUFP_VITVI")</f>
        <v>GUFP_VITVI</v>
      </c>
      <c r="D3060" t="s">
        <v>2838</v>
      </c>
      <c r="E3060" s="3" t="s">
        <v>362</v>
      </c>
      <c r="F3060" s="4">
        <v>0</v>
      </c>
      <c r="G3060" s="3">
        <v>2835</v>
      </c>
      <c r="H3060" s="3">
        <v>87</v>
      </c>
      <c r="I3060" s="3">
        <v>641</v>
      </c>
      <c r="J3060" s="3">
        <v>297</v>
      </c>
      <c r="K3060" s="3">
        <v>2192</v>
      </c>
      <c r="L3060" s="3">
        <v>40</v>
      </c>
      <c r="M3060" s="3">
        <v>679</v>
      </c>
    </row>
    <row r="3061" spans="1:13" x14ac:dyDescent="0.25">
      <c r="A3061" s="1" t="str">
        <f>HYPERLINK("http://www.rosaceae.org/Prunus/Prunus_persica/p.persica_gdr_reftransV1_0011118","p.persica_gdr_reftransV1_0011118")</f>
        <v>p.persica_gdr_reftransV1_0011118</v>
      </c>
      <c r="B3061" s="3">
        <v>4150</v>
      </c>
      <c r="C3061" s="1" t="str">
        <f>HYPERLINK("http://www.uniprot.org/uniprot/PUB43_ARATH","PUB43_ARATH")</f>
        <v>PUB43_ARATH</v>
      </c>
      <c r="D3061" t="s">
        <v>613</v>
      </c>
      <c r="E3061" s="3" t="s">
        <v>3</v>
      </c>
      <c r="F3061" s="4">
        <v>1.7100000000000002E-58</v>
      </c>
      <c r="G3061" s="3">
        <v>565</v>
      </c>
      <c r="H3061" s="3">
        <v>29</v>
      </c>
      <c r="I3061" s="3">
        <v>787</v>
      </c>
      <c r="J3061" s="3">
        <v>674</v>
      </c>
      <c r="K3061" s="3">
        <v>2908</v>
      </c>
      <c r="L3061" s="3">
        <v>27</v>
      </c>
      <c r="M3061" s="3">
        <v>807</v>
      </c>
    </row>
    <row r="3062" spans="1:13" x14ac:dyDescent="0.25">
      <c r="A3062" s="1" t="str">
        <f>HYPERLINK("http://www.rosaceae.org/Prunus/Prunus_persica/p.persica_gdr_reftransV1_0011518","p.persica_gdr_reftransV1_0011518")</f>
        <v>p.persica_gdr_reftransV1_0011518</v>
      </c>
      <c r="B3062" s="3">
        <v>1747</v>
      </c>
      <c r="C3062" s="1" t="str">
        <f>HYPERLINK("http://www.uniprot.org/uniprot/TRM11_RAT","TRM11_RAT")</f>
        <v>TRM11_RAT</v>
      </c>
      <c r="D3062" t="s">
        <v>2839</v>
      </c>
      <c r="E3062" s="3" t="s">
        <v>161</v>
      </c>
      <c r="F3062" s="4">
        <v>3.64E-97</v>
      </c>
      <c r="G3062" s="3">
        <v>795</v>
      </c>
      <c r="H3062" s="3">
        <v>39</v>
      </c>
      <c r="I3062" s="3">
        <v>441</v>
      </c>
      <c r="J3062" s="3">
        <v>360</v>
      </c>
      <c r="K3062" s="3">
        <v>1634</v>
      </c>
      <c r="L3062" s="3">
        <v>10</v>
      </c>
      <c r="M3062" s="3">
        <v>425</v>
      </c>
    </row>
    <row r="3063" spans="1:13" x14ac:dyDescent="0.25">
      <c r="A3063" s="1" t="str">
        <f>HYPERLINK("http://www.rosaceae.org/Prunus/Prunus_persica/p.persica_gdr_reftransV1_0011668","p.persica_gdr_reftransV1_0011668")</f>
        <v>p.persica_gdr_reftransV1_0011668</v>
      </c>
      <c r="B3063" s="3">
        <v>1028</v>
      </c>
      <c r="C3063" s="1" t="str">
        <f>HYPERLINK("http://www.uniprot.org/uniprot/EXP10_ARATH","EXP10_ARATH")</f>
        <v>EXP10_ARATH</v>
      </c>
      <c r="D3063" t="s">
        <v>2840</v>
      </c>
      <c r="E3063" s="3" t="s">
        <v>3</v>
      </c>
      <c r="F3063" s="4">
        <v>8.3899999999999997E-44</v>
      </c>
      <c r="G3063" s="3">
        <v>396</v>
      </c>
      <c r="H3063" s="3">
        <v>86</v>
      </c>
      <c r="I3063" s="3">
        <v>90</v>
      </c>
      <c r="J3063" s="3">
        <v>460</v>
      </c>
      <c r="K3063" s="3">
        <v>726</v>
      </c>
      <c r="L3063" s="3">
        <v>148</v>
      </c>
      <c r="M3063" s="3">
        <v>237</v>
      </c>
    </row>
    <row r="3064" spans="1:13" x14ac:dyDescent="0.25">
      <c r="A3064" s="1" t="str">
        <f>HYPERLINK("http://www.rosaceae.org/Prunus/Prunus_persica/p.persica_gdr_reftransV1_0011718","p.persica_gdr_reftransV1_0011718")</f>
        <v>p.persica_gdr_reftransV1_0011718</v>
      </c>
      <c r="B3064" s="3">
        <v>2642</v>
      </c>
      <c r="C3064" s="1" t="str">
        <f>HYPERLINK("http://www.uniprot.org/uniprot/SNF4_ARATH","SNF4_ARATH")</f>
        <v>SNF4_ARATH</v>
      </c>
      <c r="D3064" t="s">
        <v>2717</v>
      </c>
      <c r="E3064" s="3" t="s">
        <v>3</v>
      </c>
      <c r="F3064" s="4">
        <v>0</v>
      </c>
      <c r="G3064" s="3">
        <v>1726</v>
      </c>
      <c r="H3064" s="3">
        <v>70</v>
      </c>
      <c r="I3064" s="3">
        <v>486</v>
      </c>
      <c r="J3064" s="3">
        <v>490</v>
      </c>
      <c r="K3064" s="3">
        <v>1944</v>
      </c>
      <c r="L3064" s="3">
        <v>1</v>
      </c>
      <c r="M3064" s="3">
        <v>480</v>
      </c>
    </row>
    <row r="3065" spans="1:13" x14ac:dyDescent="0.25">
      <c r="A3065" s="1" t="str">
        <f>HYPERLINK("http://www.rosaceae.org/Prunus/Prunus_persica/p.persica_gdr_reftransV1_0012818","p.persica_gdr_reftransV1_0012818")</f>
        <v>p.persica_gdr_reftransV1_0012818</v>
      </c>
      <c r="B3065" s="3">
        <v>3948</v>
      </c>
      <c r="C3065" s="1" t="str">
        <f>HYPERLINK("http://www.uniprot.org/uniprot/RGA3_SOLBU","RGA3_SOLBU")</f>
        <v>RGA3_SOLBU</v>
      </c>
      <c r="D3065" t="s">
        <v>1884</v>
      </c>
      <c r="E3065" s="3" t="s">
        <v>560</v>
      </c>
      <c r="F3065" s="4">
        <v>1.5500000000000001E-125</v>
      </c>
      <c r="G3065" s="3">
        <v>1079</v>
      </c>
      <c r="H3065" s="3">
        <v>34</v>
      </c>
      <c r="I3065" s="3">
        <v>914</v>
      </c>
      <c r="J3065" s="3">
        <v>205</v>
      </c>
      <c r="K3065" s="3">
        <v>2931</v>
      </c>
      <c r="L3065" s="3">
        <v>1</v>
      </c>
      <c r="M3065" s="3">
        <v>825</v>
      </c>
    </row>
    <row r="3066" spans="1:13" x14ac:dyDescent="0.25">
      <c r="A3066" s="1" t="str">
        <f>HYPERLINK("http://www.rosaceae.org/Prunus/Prunus_persica/p.persica_gdr_reftransV1_0013068","p.persica_gdr_reftransV1_0013068")</f>
        <v>p.persica_gdr_reftransV1_0013068</v>
      </c>
      <c r="B3066" s="3">
        <v>2903</v>
      </c>
      <c r="C3066" s="1" t="str">
        <f>HYPERLINK("http://www.uniprot.org/uniprot/MURE_BACLD","MURE_BACLD")</f>
        <v>MURE_BACLD</v>
      </c>
      <c r="D3066" t="s">
        <v>2841</v>
      </c>
      <c r="E3066" s="3" t="s">
        <v>2842</v>
      </c>
      <c r="F3066" s="4">
        <v>2.4799999999999999E-98</v>
      </c>
      <c r="G3066" s="3">
        <v>831</v>
      </c>
      <c r="H3066" s="3">
        <v>40</v>
      </c>
      <c r="I3066" s="3">
        <v>514</v>
      </c>
      <c r="J3066" s="3">
        <v>619</v>
      </c>
      <c r="K3066" s="3">
        <v>2148</v>
      </c>
      <c r="L3066" s="3">
        <v>1</v>
      </c>
      <c r="M3066" s="3">
        <v>484</v>
      </c>
    </row>
    <row r="3067" spans="1:13" x14ac:dyDescent="0.25">
      <c r="A3067" s="1" t="str">
        <f>HYPERLINK("http://www.rosaceae.org/Prunus/Prunus_persica/p.persica_gdr_reftransV1_0013368","p.persica_gdr_reftransV1_0013368")</f>
        <v>p.persica_gdr_reftransV1_0013368</v>
      </c>
      <c r="B3067" s="3">
        <v>1230</v>
      </c>
      <c r="C3067" s="1" t="str">
        <f>HYPERLINK("http://www.uniprot.org/uniprot/FRS3_ARATH","FRS3_ARATH")</f>
        <v>FRS3_ARATH</v>
      </c>
      <c r="D3067" t="s">
        <v>2843</v>
      </c>
      <c r="E3067" s="3" t="s">
        <v>3</v>
      </c>
      <c r="F3067" s="4">
        <v>1.6499999999999999E-8</v>
      </c>
      <c r="G3067" s="3">
        <v>145</v>
      </c>
      <c r="H3067" s="3">
        <v>50</v>
      </c>
      <c r="I3067" s="3">
        <v>72</v>
      </c>
      <c r="J3067" s="3">
        <v>543</v>
      </c>
      <c r="K3067" s="3">
        <v>749</v>
      </c>
      <c r="L3067" s="3">
        <v>773</v>
      </c>
      <c r="M3067" s="3">
        <v>839</v>
      </c>
    </row>
    <row r="3068" spans="1:13" x14ac:dyDescent="0.25">
      <c r="A3068" s="1" t="str">
        <f>HYPERLINK("http://www.rosaceae.org/Prunus/Prunus_persica/p.persica_gdr_reftransV1_0013518","p.persica_gdr_reftransV1_0013518")</f>
        <v>p.persica_gdr_reftransV1_0013518</v>
      </c>
      <c r="B3068" s="3">
        <v>1921</v>
      </c>
      <c r="C3068" s="1" t="str">
        <f>HYPERLINK("http://www.uniprot.org/uniprot/NHLC2_CHICK","NHLC2_CHICK")</f>
        <v>NHLC2_CHICK</v>
      </c>
      <c r="D3068" t="s">
        <v>2844</v>
      </c>
      <c r="E3068" s="3" t="s">
        <v>1278</v>
      </c>
      <c r="F3068" s="4">
        <v>1.06E-13</v>
      </c>
      <c r="G3068" s="3">
        <v>191</v>
      </c>
      <c r="H3068" s="3">
        <v>29</v>
      </c>
      <c r="I3068" s="3">
        <v>195</v>
      </c>
      <c r="J3068" s="3">
        <v>809</v>
      </c>
      <c r="K3068" s="3">
        <v>1369</v>
      </c>
      <c r="L3068" s="3">
        <v>199</v>
      </c>
      <c r="M3068" s="3">
        <v>373</v>
      </c>
    </row>
    <row r="3069" spans="1:13" x14ac:dyDescent="0.25">
      <c r="A3069" s="1" t="str">
        <f>HYPERLINK("http://www.rosaceae.org/Prunus/Prunus_persica/p.persica_gdr_reftransV1_0013668","p.persica_gdr_reftransV1_0013668")</f>
        <v>p.persica_gdr_reftransV1_0013668</v>
      </c>
      <c r="B3069" s="3">
        <v>556</v>
      </c>
      <c r="C3069" s="1" t="str">
        <f>HYPERLINK("http://www.uniprot.org/uniprot/Y4862_ARATH","Y4862_ARATH")</f>
        <v>Y4862_ARATH</v>
      </c>
      <c r="D3069" t="s">
        <v>1186</v>
      </c>
      <c r="E3069" s="3" t="s">
        <v>3</v>
      </c>
      <c r="F3069" s="4">
        <v>1.7399999999999999E-29</v>
      </c>
      <c r="G3069" s="3">
        <v>299</v>
      </c>
      <c r="H3069" s="3">
        <v>40</v>
      </c>
      <c r="I3069" s="3">
        <v>189</v>
      </c>
      <c r="J3069" s="3">
        <v>2</v>
      </c>
      <c r="K3069" s="3">
        <v>556</v>
      </c>
      <c r="L3069" s="3">
        <v>309</v>
      </c>
      <c r="M3069" s="3">
        <v>497</v>
      </c>
    </row>
    <row r="3070" spans="1:13" x14ac:dyDescent="0.25">
      <c r="A3070" s="1" t="str">
        <f>HYPERLINK("http://www.rosaceae.org/Prunus/Prunus_persica/p.persica_gdr_reftransV1_0013718","p.persica_gdr_reftransV1_0013718")</f>
        <v>p.persica_gdr_reftransV1_0013718</v>
      </c>
      <c r="B3070" s="3">
        <v>1369</v>
      </c>
      <c r="C3070" s="1" t="str">
        <f>HYPERLINK("http://www.uniprot.org/uniprot/BB_ARATH","BB_ARATH")</f>
        <v>BB_ARATH</v>
      </c>
      <c r="D3070" t="s">
        <v>2845</v>
      </c>
      <c r="E3070" s="3" t="s">
        <v>3</v>
      </c>
      <c r="F3070" s="4">
        <v>8.6900000000000002E-61</v>
      </c>
      <c r="G3070" s="3">
        <v>520</v>
      </c>
      <c r="H3070" s="3">
        <v>45</v>
      </c>
      <c r="I3070" s="3">
        <v>248</v>
      </c>
      <c r="J3070" s="3">
        <v>386</v>
      </c>
      <c r="K3070" s="3">
        <v>1117</v>
      </c>
      <c r="L3070" s="3">
        <v>7</v>
      </c>
      <c r="M3070" s="3">
        <v>246</v>
      </c>
    </row>
    <row r="3071" spans="1:13" x14ac:dyDescent="0.25">
      <c r="A3071" s="1" t="str">
        <f>HYPERLINK("http://www.rosaceae.org/Prunus/Prunus_persica/p.persica_gdr_reftransV1_0013768","p.persica_gdr_reftransV1_0013768")</f>
        <v>p.persica_gdr_reftransV1_0013768</v>
      </c>
      <c r="B3071" s="3">
        <v>943</v>
      </c>
      <c r="C3071" s="1" t="str">
        <f>HYPERLINK("http://www.uniprot.org/uniprot/Y1668_ARATH","Y1668_ARATH")</f>
        <v>Y1668_ARATH</v>
      </c>
      <c r="D3071" t="s">
        <v>2846</v>
      </c>
      <c r="E3071" s="3" t="s">
        <v>3</v>
      </c>
      <c r="F3071" s="4">
        <v>3.4299999999999998E-51</v>
      </c>
      <c r="G3071" s="3">
        <v>467</v>
      </c>
      <c r="H3071" s="3">
        <v>44</v>
      </c>
      <c r="I3071" s="3">
        <v>253</v>
      </c>
      <c r="J3071" s="3">
        <v>3</v>
      </c>
      <c r="K3071" s="3">
        <v>761</v>
      </c>
      <c r="L3071" s="3">
        <v>26</v>
      </c>
      <c r="M3071" s="3">
        <v>271</v>
      </c>
    </row>
    <row r="3072" spans="1:13" x14ac:dyDescent="0.25">
      <c r="A3072" s="1" t="str">
        <f>HYPERLINK("http://www.rosaceae.org/Prunus/Prunus_persica/p.persica_gdr_reftransV1_0013918","p.persica_gdr_reftransV1_0013918")</f>
        <v>p.persica_gdr_reftransV1_0013918</v>
      </c>
      <c r="B3072" s="3">
        <v>2765</v>
      </c>
      <c r="C3072" s="1" t="str">
        <f>HYPERLINK("http://www.uniprot.org/uniprot/BOB1_ARATH","BOB1_ARATH")</f>
        <v>BOB1_ARATH</v>
      </c>
      <c r="D3072" t="s">
        <v>2847</v>
      </c>
      <c r="E3072" s="3" t="s">
        <v>3</v>
      </c>
      <c r="F3072" s="4">
        <v>3.8400000000000003E-88</v>
      </c>
      <c r="G3072" s="3">
        <v>740</v>
      </c>
      <c r="H3072" s="3">
        <v>79</v>
      </c>
      <c r="I3072" s="3">
        <v>173</v>
      </c>
      <c r="J3072" s="3">
        <v>509</v>
      </c>
      <c r="K3072" s="3">
        <v>1027</v>
      </c>
      <c r="L3072" s="3">
        <v>131</v>
      </c>
      <c r="M3072" s="3">
        <v>303</v>
      </c>
    </row>
    <row r="3073" spans="1:13" x14ac:dyDescent="0.25">
      <c r="A3073" s="1" t="str">
        <f>HYPERLINK("http://www.rosaceae.org/Prunus/Prunus_persica/p.persica_gdr_reftransV1_0014068","p.persica_gdr_reftransV1_0014068")</f>
        <v>p.persica_gdr_reftransV1_0014068</v>
      </c>
      <c r="B3073" s="3">
        <v>1222</v>
      </c>
      <c r="C3073" s="1" t="str">
        <f>HYPERLINK("http://www.uniprot.org/uniprot/MPV17_DANRE","MPV17_DANRE")</f>
        <v>MPV17_DANRE</v>
      </c>
      <c r="D3073" t="s">
        <v>2848</v>
      </c>
      <c r="E3073" s="3" t="s">
        <v>704</v>
      </c>
      <c r="F3073" s="4">
        <v>7.7300000000000004E-12</v>
      </c>
      <c r="G3073" s="3">
        <v>163</v>
      </c>
      <c r="H3073" s="3">
        <v>31</v>
      </c>
      <c r="I3073" s="3">
        <v>165</v>
      </c>
      <c r="J3073" s="3">
        <v>484</v>
      </c>
      <c r="K3073" s="3">
        <v>975</v>
      </c>
      <c r="L3073" s="3">
        <v>20</v>
      </c>
      <c r="M3073" s="3">
        <v>171</v>
      </c>
    </row>
    <row r="3074" spans="1:13" x14ac:dyDescent="0.25">
      <c r="A3074" s="1" t="str">
        <f>HYPERLINK("http://www.rosaceae.org/Prunus/Prunus_persica/p.persica_gdr_reftransV1_0014118","p.persica_gdr_reftransV1_0014118")</f>
        <v>p.persica_gdr_reftransV1_0014118</v>
      </c>
      <c r="B3074" s="3">
        <v>3793</v>
      </c>
      <c r="C3074" s="1" t="str">
        <f>HYPERLINK("http://www.uniprot.org/uniprot/NU107_ARATH","NU107_ARATH")</f>
        <v>NU107_ARATH</v>
      </c>
      <c r="D3074" t="s">
        <v>2849</v>
      </c>
      <c r="E3074" s="3" t="s">
        <v>3</v>
      </c>
      <c r="F3074" s="4">
        <v>0</v>
      </c>
      <c r="G3074" s="3">
        <v>4054</v>
      </c>
      <c r="H3074" s="3">
        <v>72</v>
      </c>
      <c r="I3074" s="3">
        <v>1102</v>
      </c>
      <c r="J3074" s="3">
        <v>391</v>
      </c>
      <c r="K3074" s="3">
        <v>3609</v>
      </c>
      <c r="L3074" s="3">
        <v>1</v>
      </c>
      <c r="M3074" s="3">
        <v>1092</v>
      </c>
    </row>
    <row r="3075" spans="1:13" x14ac:dyDescent="0.25">
      <c r="A3075" s="1" t="str">
        <f>HYPERLINK("http://www.rosaceae.org/Prunus/Prunus_persica/p.persica_gdr_reftransV1_0014468","p.persica_gdr_reftransV1_0014468")</f>
        <v>p.persica_gdr_reftransV1_0014468</v>
      </c>
      <c r="B3075" s="3">
        <v>2121</v>
      </c>
      <c r="C3075" s="1" t="str">
        <f>HYPERLINK("http://www.uniprot.org/uniprot/YTX2_XENLA","YTX2_XENLA")</f>
        <v>YTX2_XENLA</v>
      </c>
      <c r="D3075" t="s">
        <v>2850</v>
      </c>
      <c r="E3075" s="3" t="s">
        <v>475</v>
      </c>
      <c r="F3075" s="4">
        <v>2.2699999999999999E-29</v>
      </c>
      <c r="G3075" s="3">
        <v>324</v>
      </c>
      <c r="H3075" s="3">
        <v>26</v>
      </c>
      <c r="I3075" s="3">
        <v>489</v>
      </c>
      <c r="J3075" s="3">
        <v>183</v>
      </c>
      <c r="K3075" s="3">
        <v>1568</v>
      </c>
      <c r="L3075" s="3">
        <v>99</v>
      </c>
      <c r="M3075" s="3">
        <v>579</v>
      </c>
    </row>
    <row r="3076" spans="1:13" x14ac:dyDescent="0.25">
      <c r="A3076" s="1" t="str">
        <f>HYPERLINK("http://www.rosaceae.org/Prunus/Prunus_persica/p.persica_gdr_reftransV1_0014518","p.persica_gdr_reftransV1_0014518")</f>
        <v>p.persica_gdr_reftransV1_0014518</v>
      </c>
      <c r="B3076" s="3">
        <v>1462</v>
      </c>
      <c r="C3076" s="1" t="str">
        <f>HYPERLINK("http://www.uniprot.org/uniprot/CADH9_ARATH","CADH9_ARATH")</f>
        <v>CADH9_ARATH</v>
      </c>
      <c r="D3076" t="s">
        <v>2851</v>
      </c>
      <c r="E3076" s="3" t="s">
        <v>3</v>
      </c>
      <c r="F3076" s="4">
        <v>0</v>
      </c>
      <c r="G3076" s="3">
        <v>1382</v>
      </c>
      <c r="H3076" s="3">
        <v>77</v>
      </c>
      <c r="I3076" s="3">
        <v>358</v>
      </c>
      <c r="J3076" s="3">
        <v>266</v>
      </c>
      <c r="K3076" s="3">
        <v>1339</v>
      </c>
      <c r="L3076" s="3">
        <v>1</v>
      </c>
      <c r="M3076" s="3">
        <v>358</v>
      </c>
    </row>
    <row r="3077" spans="1:13" x14ac:dyDescent="0.25">
      <c r="A3077" s="1" t="str">
        <f>HYPERLINK("http://www.rosaceae.org/Prunus/Prunus_persica/p.persica_gdr_reftransV1_0014668","p.persica_gdr_reftransV1_0014668")</f>
        <v>p.persica_gdr_reftransV1_0014668</v>
      </c>
      <c r="B3077" s="3">
        <v>1883</v>
      </c>
      <c r="C3077" s="1" t="str">
        <f>HYPERLINK("http://www.uniprot.org/uniprot/Y5707_ARATH","Y5707_ARATH")</f>
        <v>Y5707_ARATH</v>
      </c>
      <c r="D3077" t="s">
        <v>2730</v>
      </c>
      <c r="E3077" s="3" t="s">
        <v>3</v>
      </c>
      <c r="F3077" s="4">
        <v>1.2E-119</v>
      </c>
      <c r="G3077" s="3">
        <v>946</v>
      </c>
      <c r="H3077" s="3">
        <v>55</v>
      </c>
      <c r="I3077" s="3">
        <v>345</v>
      </c>
      <c r="J3077" s="3">
        <v>266</v>
      </c>
      <c r="K3077" s="3">
        <v>1285</v>
      </c>
      <c r="L3077" s="3">
        <v>36</v>
      </c>
      <c r="M3077" s="3">
        <v>376</v>
      </c>
    </row>
    <row r="3078" spans="1:13" x14ac:dyDescent="0.25">
      <c r="A3078" s="1" t="str">
        <f>HYPERLINK("http://www.rosaceae.org/Prunus/Prunus_persica/p.persica_gdr_reftransV1_0014718","p.persica_gdr_reftransV1_0014718")</f>
        <v>p.persica_gdr_reftransV1_0014718</v>
      </c>
      <c r="B3078" s="3">
        <v>1743</v>
      </c>
      <c r="C3078" s="1" t="str">
        <f>HYPERLINK("http://www.uniprot.org/uniprot/GAT2_ARATH","GAT2_ARATH")</f>
        <v>GAT2_ARATH</v>
      </c>
      <c r="D3078" t="s">
        <v>2852</v>
      </c>
      <c r="E3078" s="3" t="s">
        <v>3</v>
      </c>
      <c r="F3078" s="4">
        <v>0</v>
      </c>
      <c r="G3078" s="3">
        <v>1820</v>
      </c>
      <c r="H3078" s="3">
        <v>79</v>
      </c>
      <c r="I3078" s="3">
        <v>452</v>
      </c>
      <c r="J3078" s="3">
        <v>210</v>
      </c>
      <c r="K3078" s="3">
        <v>1565</v>
      </c>
      <c r="L3078" s="3">
        <v>1</v>
      </c>
      <c r="M3078" s="3">
        <v>452</v>
      </c>
    </row>
    <row r="3079" spans="1:13" x14ac:dyDescent="0.25">
      <c r="A3079" s="1" t="str">
        <f>HYPERLINK("http://www.rosaceae.org/Prunus/Prunus_persica/p.persica_gdr_reftransV1_0014768","p.persica_gdr_reftransV1_0014768")</f>
        <v>p.persica_gdr_reftransV1_0014768</v>
      </c>
      <c r="B3079" s="3">
        <v>663</v>
      </c>
      <c r="C3079" s="1" t="str">
        <f>HYPERLINK("http://www.uniprot.org/uniprot/H2AX_PICAB","H2AX_PICAB")</f>
        <v>H2AX_PICAB</v>
      </c>
      <c r="D3079" t="s">
        <v>2853</v>
      </c>
      <c r="E3079" s="3" t="s">
        <v>2854</v>
      </c>
      <c r="F3079" s="4">
        <v>6.3100000000000002E-60</v>
      </c>
      <c r="G3079" s="3">
        <v>485</v>
      </c>
      <c r="H3079" s="3">
        <v>85</v>
      </c>
      <c r="I3079" s="3">
        <v>130</v>
      </c>
      <c r="J3079" s="3">
        <v>5</v>
      </c>
      <c r="K3079" s="3">
        <v>394</v>
      </c>
      <c r="L3079" s="3">
        <v>9</v>
      </c>
      <c r="M3079" s="3">
        <v>138</v>
      </c>
    </row>
    <row r="3080" spans="1:13" x14ac:dyDescent="0.25">
      <c r="A3080" s="1" t="str">
        <f>HYPERLINK("http://www.rosaceae.org/Prunus/Prunus_persica/p.persica_gdr_reftransV1_0014918","p.persica_gdr_reftransV1_0014918")</f>
        <v>p.persica_gdr_reftransV1_0014918</v>
      </c>
      <c r="B3080" s="3">
        <v>2863</v>
      </c>
      <c r="C3080" s="1" t="str">
        <f>HYPERLINK("http://www.uniprot.org/uniprot/POLL2_ARATH","POLL2_ARATH")</f>
        <v>POLL2_ARATH</v>
      </c>
      <c r="D3080" t="s">
        <v>2855</v>
      </c>
      <c r="E3080" s="3" t="s">
        <v>3</v>
      </c>
      <c r="F3080" s="4">
        <v>0</v>
      </c>
      <c r="G3080" s="3">
        <v>2667</v>
      </c>
      <c r="H3080" s="3">
        <v>69</v>
      </c>
      <c r="I3080" s="3">
        <v>803</v>
      </c>
      <c r="J3080" s="3">
        <v>247</v>
      </c>
      <c r="K3080" s="3">
        <v>2640</v>
      </c>
      <c r="L3080" s="3">
        <v>50</v>
      </c>
      <c r="M3080" s="3">
        <v>817</v>
      </c>
    </row>
    <row r="3081" spans="1:13" x14ac:dyDescent="0.25">
      <c r="A3081" s="1" t="str">
        <f>HYPERLINK("http://www.rosaceae.org/Prunus/Prunus_persica/p.persica_gdr_reftransV1_0015018","p.persica_gdr_reftransV1_0015018")</f>
        <v>p.persica_gdr_reftransV1_0015018</v>
      </c>
      <c r="B3081" s="3">
        <v>1801</v>
      </c>
      <c r="C3081" s="1" t="str">
        <f>HYPERLINK("http://www.uniprot.org/uniprot/MO25N_ARATH","MO25N_ARATH")</f>
        <v>MO25N_ARATH</v>
      </c>
      <c r="D3081" t="s">
        <v>2856</v>
      </c>
      <c r="E3081" s="3" t="s">
        <v>3</v>
      </c>
      <c r="F3081" s="4">
        <v>0</v>
      </c>
      <c r="G3081" s="3">
        <v>1534</v>
      </c>
      <c r="H3081" s="3">
        <v>87</v>
      </c>
      <c r="I3081" s="3">
        <v>341</v>
      </c>
      <c r="J3081" s="3">
        <v>470</v>
      </c>
      <c r="K3081" s="3">
        <v>1483</v>
      </c>
      <c r="L3081" s="3">
        <v>1</v>
      </c>
      <c r="M3081" s="3">
        <v>341</v>
      </c>
    </row>
    <row r="3082" spans="1:13" x14ac:dyDescent="0.25">
      <c r="A3082" s="1" t="str">
        <f>HYPERLINK("http://www.rosaceae.org/Prunus/Prunus_persica/p.persica_gdr_reftransV1_0015068","p.persica_gdr_reftransV1_0015068")</f>
        <v>p.persica_gdr_reftransV1_0015068</v>
      </c>
      <c r="B3082" s="3">
        <v>3089</v>
      </c>
      <c r="C3082" s="1" t="str">
        <f>HYPERLINK("http://www.uniprot.org/uniprot/SEN1_YEAST","SEN1_YEAST")</f>
        <v>SEN1_YEAST</v>
      </c>
      <c r="D3082" t="s">
        <v>2857</v>
      </c>
      <c r="E3082" s="3" t="s">
        <v>34</v>
      </c>
      <c r="F3082" s="4">
        <v>6.4100000000000002E-81</v>
      </c>
      <c r="G3082" s="3">
        <v>755</v>
      </c>
      <c r="H3082" s="3">
        <v>33</v>
      </c>
      <c r="I3082" s="3">
        <v>623</v>
      </c>
      <c r="J3082" s="3">
        <v>470</v>
      </c>
      <c r="K3082" s="3">
        <v>2323</v>
      </c>
      <c r="L3082" s="3">
        <v>1327</v>
      </c>
      <c r="M3082" s="3">
        <v>1862</v>
      </c>
    </row>
    <row r="3083" spans="1:13" x14ac:dyDescent="0.25">
      <c r="A3083" s="1" t="str">
        <f>HYPERLINK("http://www.rosaceae.org/Prunus/Prunus_persica/p.persica_gdr_reftransV1_0015118","p.persica_gdr_reftransV1_0015118")</f>
        <v>p.persica_gdr_reftransV1_0015118</v>
      </c>
      <c r="B3083" s="3">
        <v>2071</v>
      </c>
      <c r="C3083" s="1" t="str">
        <f>HYPERLINK("http://www.uniprot.org/uniprot/EHD1_ARATH","EHD1_ARATH")</f>
        <v>EHD1_ARATH</v>
      </c>
      <c r="D3083" t="s">
        <v>2858</v>
      </c>
      <c r="E3083" s="3" t="s">
        <v>3</v>
      </c>
      <c r="F3083" s="4">
        <v>0</v>
      </c>
      <c r="G3083" s="3">
        <v>2394</v>
      </c>
      <c r="H3083" s="3">
        <v>84</v>
      </c>
      <c r="I3083" s="3">
        <v>544</v>
      </c>
      <c r="J3083" s="3">
        <v>88</v>
      </c>
      <c r="K3083" s="3">
        <v>1719</v>
      </c>
      <c r="L3083" s="3">
        <v>1</v>
      </c>
      <c r="M3083" s="3">
        <v>544</v>
      </c>
    </row>
    <row r="3084" spans="1:13" x14ac:dyDescent="0.25">
      <c r="A3084" s="1" t="str">
        <f>HYPERLINK("http://www.rosaceae.org/Prunus/Prunus_persica/p.persica_gdr_reftransV1_0015168","p.persica_gdr_reftransV1_0015168")</f>
        <v>p.persica_gdr_reftransV1_0015168</v>
      </c>
      <c r="B3084" s="3">
        <v>1273</v>
      </c>
      <c r="C3084" s="1" t="str">
        <f>HYPERLINK("http://www.uniprot.org/uniprot/ARL8A_CHICK","ARL8A_CHICK")</f>
        <v>ARL8A_CHICK</v>
      </c>
      <c r="D3084" t="s">
        <v>2859</v>
      </c>
      <c r="E3084" s="3" t="s">
        <v>1278</v>
      </c>
      <c r="F3084" s="4">
        <v>1.48E-43</v>
      </c>
      <c r="G3084" s="3">
        <v>394</v>
      </c>
      <c r="H3084" s="3">
        <v>70</v>
      </c>
      <c r="I3084" s="3">
        <v>97</v>
      </c>
      <c r="J3084" s="3">
        <v>140</v>
      </c>
      <c r="K3084" s="3">
        <v>430</v>
      </c>
      <c r="L3084" s="3">
        <v>2</v>
      </c>
      <c r="M3084" s="3">
        <v>98</v>
      </c>
    </row>
    <row r="3085" spans="1:13" x14ac:dyDescent="0.25">
      <c r="A3085" s="1" t="str">
        <f>HYPERLINK("http://www.rosaceae.org/Prunus/Prunus_persica/p.persica_gdr_reftransV1_0015368","p.persica_gdr_reftransV1_0015368")</f>
        <v>p.persica_gdr_reftransV1_0015368</v>
      </c>
      <c r="B3085" s="3">
        <v>2007</v>
      </c>
      <c r="C3085" s="1" t="str">
        <f>HYPERLINK("http://www.uniprot.org/uniprot/ALG11_ARATH","ALG11_ARATH")</f>
        <v>ALG11_ARATH</v>
      </c>
      <c r="D3085" t="s">
        <v>2860</v>
      </c>
      <c r="E3085" s="3" t="s">
        <v>3</v>
      </c>
      <c r="F3085" s="4">
        <v>4.3599999999999999E-153</v>
      </c>
      <c r="G3085" s="3">
        <v>1157</v>
      </c>
      <c r="H3085" s="3">
        <v>73</v>
      </c>
      <c r="I3085" s="3">
        <v>281</v>
      </c>
      <c r="J3085" s="3">
        <v>1063</v>
      </c>
      <c r="K3085" s="3">
        <v>1905</v>
      </c>
      <c r="L3085" s="3">
        <v>1</v>
      </c>
      <c r="M3085" s="3">
        <v>281</v>
      </c>
    </row>
    <row r="3086" spans="1:13" x14ac:dyDescent="0.25">
      <c r="A3086" s="1" t="str">
        <f>HYPERLINK("http://www.rosaceae.org/Prunus/Prunus_persica/p.persica_gdr_reftransV1_0015568","p.persica_gdr_reftransV1_0015568")</f>
        <v>p.persica_gdr_reftransV1_0015568</v>
      </c>
      <c r="B3086" s="3">
        <v>2270</v>
      </c>
      <c r="C3086" s="1" t="str">
        <f>HYPERLINK("http://www.uniprot.org/uniprot/UGPA_PYRPY","UGPA_PYRPY")</f>
        <v>UGPA_PYRPY</v>
      </c>
      <c r="D3086" t="s">
        <v>2861</v>
      </c>
      <c r="E3086" s="3" t="s">
        <v>2862</v>
      </c>
      <c r="F3086" s="4">
        <v>3.1900000000000001E-170</v>
      </c>
      <c r="G3086" s="3">
        <v>1301</v>
      </c>
      <c r="H3086" s="3">
        <v>94</v>
      </c>
      <c r="I3086" s="3">
        <v>283</v>
      </c>
      <c r="J3086" s="3">
        <v>1110</v>
      </c>
      <c r="K3086" s="3">
        <v>1958</v>
      </c>
      <c r="L3086" s="3">
        <v>1</v>
      </c>
      <c r="M3086" s="3">
        <v>283</v>
      </c>
    </row>
    <row r="3087" spans="1:13" x14ac:dyDescent="0.25">
      <c r="A3087" s="1" t="str">
        <f>HYPERLINK("http://www.rosaceae.org/Prunus/Prunus_persica/p.persica_gdr_reftransV1_0015868","p.persica_gdr_reftransV1_0015868")</f>
        <v>p.persica_gdr_reftransV1_0015868</v>
      </c>
      <c r="B3087" s="3">
        <v>3853</v>
      </c>
      <c r="C3087" s="1" t="str">
        <f>HYPERLINK("http://www.uniprot.org/uniprot/CB60B_ARATH","CB60B_ARATH")</f>
        <v>CB60B_ARATH</v>
      </c>
      <c r="D3087" t="s">
        <v>2863</v>
      </c>
      <c r="E3087" s="3" t="s">
        <v>3</v>
      </c>
      <c r="F3087" s="4">
        <v>0</v>
      </c>
      <c r="G3087" s="3">
        <v>1886</v>
      </c>
      <c r="H3087" s="3">
        <v>62</v>
      </c>
      <c r="I3087" s="3">
        <v>625</v>
      </c>
      <c r="J3087" s="3">
        <v>1391</v>
      </c>
      <c r="K3087" s="3">
        <v>3181</v>
      </c>
      <c r="L3087" s="3">
        <v>32</v>
      </c>
      <c r="M3087" s="3">
        <v>637</v>
      </c>
    </row>
    <row r="3088" spans="1:13" x14ac:dyDescent="0.25">
      <c r="A3088" s="1" t="str">
        <f>HYPERLINK("http://www.rosaceae.org/Prunus/Prunus_persica/p.persica_gdr_reftransV1_0015918","p.persica_gdr_reftransV1_0015918")</f>
        <v>p.persica_gdr_reftransV1_0015918</v>
      </c>
      <c r="B3088" s="3">
        <v>1167</v>
      </c>
      <c r="C3088" s="1" t="str">
        <f>HYPERLINK("http://www.uniprot.org/uniprot/TDT_ARATH","TDT_ARATH")</f>
        <v>TDT_ARATH</v>
      </c>
      <c r="D3088" t="s">
        <v>2864</v>
      </c>
      <c r="E3088" s="3" t="s">
        <v>3</v>
      </c>
      <c r="F3088" s="4">
        <v>1.5500000000000001E-116</v>
      </c>
      <c r="G3088" s="3">
        <v>914</v>
      </c>
      <c r="H3088" s="3">
        <v>76</v>
      </c>
      <c r="I3088" s="3">
        <v>236</v>
      </c>
      <c r="J3088" s="3">
        <v>71</v>
      </c>
      <c r="K3088" s="3">
        <v>775</v>
      </c>
      <c r="L3088" s="3">
        <v>305</v>
      </c>
      <c r="M3088" s="3">
        <v>540</v>
      </c>
    </row>
    <row r="3089" spans="1:13" x14ac:dyDescent="0.25">
      <c r="A3089" s="1" t="str">
        <f>HYPERLINK("http://www.rosaceae.org/Prunus/Prunus_persica/p.persica_gdr_reftransV1_0016118","p.persica_gdr_reftransV1_0016118")</f>
        <v>p.persica_gdr_reftransV1_0016118</v>
      </c>
      <c r="B3089" s="3">
        <v>687</v>
      </c>
      <c r="C3089" s="1" t="str">
        <f>HYPERLINK("http://www.uniprot.org/uniprot/RGA4_SOLBU","RGA4_SOLBU")</f>
        <v>RGA4_SOLBU</v>
      </c>
      <c r="D3089" t="s">
        <v>1657</v>
      </c>
      <c r="E3089" s="3" t="s">
        <v>560</v>
      </c>
      <c r="F3089" s="4">
        <v>3.4399999999999999E-11</v>
      </c>
      <c r="G3089" s="3">
        <v>160</v>
      </c>
      <c r="H3089" s="3">
        <v>28</v>
      </c>
      <c r="I3089" s="3">
        <v>198</v>
      </c>
      <c r="J3089" s="3">
        <v>87</v>
      </c>
      <c r="K3089" s="3">
        <v>674</v>
      </c>
      <c r="L3089" s="3">
        <v>1</v>
      </c>
      <c r="M3089" s="3">
        <v>175</v>
      </c>
    </row>
    <row r="3090" spans="1:13" x14ac:dyDescent="0.25">
      <c r="A3090" s="1" t="str">
        <f>HYPERLINK("http://www.rosaceae.org/Prunus/Prunus_persica/p.persica_gdr_reftransV1_0016318","p.persica_gdr_reftransV1_0016318")</f>
        <v>p.persica_gdr_reftransV1_0016318</v>
      </c>
      <c r="B3090" s="3">
        <v>789</v>
      </c>
      <c r="C3090" s="1" t="str">
        <f>HYPERLINK("http://www.uniprot.org/uniprot/TBP2_ORYSJ","TBP2_ORYSJ")</f>
        <v>TBP2_ORYSJ</v>
      </c>
      <c r="D3090" t="s">
        <v>2865</v>
      </c>
      <c r="E3090" s="3" t="s">
        <v>38</v>
      </c>
      <c r="F3090" s="4">
        <v>1.92E-106</v>
      </c>
      <c r="G3090" s="3">
        <v>803</v>
      </c>
      <c r="H3090" s="3">
        <v>96</v>
      </c>
      <c r="I3090" s="3">
        <v>160</v>
      </c>
      <c r="J3090" s="3">
        <v>1</v>
      </c>
      <c r="K3090" s="3">
        <v>480</v>
      </c>
      <c r="L3090" s="3">
        <v>44</v>
      </c>
      <c r="M3090" s="3">
        <v>203</v>
      </c>
    </row>
    <row r="3091" spans="1:13" x14ac:dyDescent="0.25">
      <c r="A3091" s="1" t="str">
        <f>HYPERLINK("http://www.rosaceae.org/Prunus/Prunus_persica/p.persica_gdr_reftransV1_0016418","p.persica_gdr_reftransV1_0016418")</f>
        <v>p.persica_gdr_reftransV1_0016418</v>
      </c>
      <c r="B3091" s="3">
        <v>3291</v>
      </c>
      <c r="C3091" s="1" t="str">
        <f>HYPERLINK("http://www.uniprot.org/uniprot/E70A1_ARATH","E70A1_ARATH")</f>
        <v>E70A1_ARATH</v>
      </c>
      <c r="D3091" t="s">
        <v>89</v>
      </c>
      <c r="E3091" s="3" t="s">
        <v>3</v>
      </c>
      <c r="F3091" s="4">
        <v>1.66E-53</v>
      </c>
      <c r="G3091" s="3">
        <v>516</v>
      </c>
      <c r="H3091" s="3">
        <v>28</v>
      </c>
      <c r="I3091" s="3">
        <v>640</v>
      </c>
      <c r="J3091" s="3">
        <v>658</v>
      </c>
      <c r="K3091" s="3">
        <v>2475</v>
      </c>
      <c r="L3091" s="3">
        <v>38</v>
      </c>
      <c r="M3091" s="3">
        <v>633</v>
      </c>
    </row>
    <row r="3092" spans="1:13" x14ac:dyDescent="0.25">
      <c r="A3092" s="1" t="str">
        <f>HYPERLINK("http://www.rosaceae.org/Prunus/Prunus_persica/p.persica_gdr_reftransV1_0016568","p.persica_gdr_reftransV1_0016568")</f>
        <v>p.persica_gdr_reftransV1_0016568</v>
      </c>
      <c r="B3092" s="3">
        <v>1012</v>
      </c>
      <c r="C3092" s="1" t="str">
        <f>HYPERLINK("http://www.uniprot.org/uniprot/MYB5_ARATH","MYB5_ARATH")</f>
        <v>MYB5_ARATH</v>
      </c>
      <c r="D3092" t="s">
        <v>2743</v>
      </c>
      <c r="E3092" s="3" t="s">
        <v>3</v>
      </c>
      <c r="F3092" s="4">
        <v>6.3400000000000006E-42</v>
      </c>
      <c r="G3092" s="3">
        <v>383</v>
      </c>
      <c r="H3092" s="3">
        <v>85</v>
      </c>
      <c r="I3092" s="3">
        <v>84</v>
      </c>
      <c r="J3092" s="3">
        <v>69</v>
      </c>
      <c r="K3092" s="3">
        <v>320</v>
      </c>
      <c r="L3092" s="3">
        <v>16</v>
      </c>
      <c r="M3092" s="3">
        <v>99</v>
      </c>
    </row>
    <row r="3093" spans="1:13" x14ac:dyDescent="0.25">
      <c r="A3093" s="1" t="str">
        <f>HYPERLINK("http://www.rosaceae.org/Prunus/Prunus_persica/p.persica_gdr_reftransV1_0016618","p.persica_gdr_reftransV1_0016618")</f>
        <v>p.persica_gdr_reftransV1_0016618</v>
      </c>
      <c r="B3093" s="3">
        <v>1685</v>
      </c>
      <c r="C3093" s="1" t="str">
        <f>HYPERLINK("http://www.uniprot.org/uniprot/CALSB_ARATH","CALSB_ARATH")</f>
        <v>CALSB_ARATH</v>
      </c>
      <c r="D3093" t="s">
        <v>2866</v>
      </c>
      <c r="E3093" s="3" t="s">
        <v>3</v>
      </c>
      <c r="F3093" s="4">
        <v>1.01E-143</v>
      </c>
      <c r="G3093" s="3">
        <v>1186</v>
      </c>
      <c r="H3093" s="3">
        <v>72</v>
      </c>
      <c r="I3093" s="3">
        <v>328</v>
      </c>
      <c r="J3093" s="3">
        <v>2</v>
      </c>
      <c r="K3093" s="3">
        <v>985</v>
      </c>
      <c r="L3093" s="3">
        <v>1440</v>
      </c>
      <c r="M3093" s="3">
        <v>1767</v>
      </c>
    </row>
    <row r="3094" spans="1:13" x14ac:dyDescent="0.25">
      <c r="A3094" s="1" t="str">
        <f>HYPERLINK("http://www.rosaceae.org/Prunus/Prunus_persica/p.persica_gdr_reftransV1_0016668","p.persica_gdr_reftransV1_0016668")</f>
        <v>p.persica_gdr_reftransV1_0016668</v>
      </c>
      <c r="B3094" s="3">
        <v>1316</v>
      </c>
      <c r="C3094" s="1" t="str">
        <f>HYPERLINK("http://www.uniprot.org/uniprot/SEC14_KLULA","SEC14_KLULA")</f>
        <v>SEC14_KLULA</v>
      </c>
      <c r="D3094" t="s">
        <v>2867</v>
      </c>
      <c r="E3094" s="3" t="s">
        <v>2868</v>
      </c>
      <c r="F3094" s="4">
        <v>1.0499999999999999E-13</v>
      </c>
      <c r="G3094" s="3">
        <v>148</v>
      </c>
      <c r="H3094" s="3">
        <v>34</v>
      </c>
      <c r="I3094" s="3">
        <v>118</v>
      </c>
      <c r="J3094" s="3">
        <v>310</v>
      </c>
      <c r="K3094" s="3">
        <v>657</v>
      </c>
      <c r="L3094" s="3">
        <v>149</v>
      </c>
      <c r="M3094" s="3">
        <v>265</v>
      </c>
    </row>
    <row r="3095" spans="1:13" x14ac:dyDescent="0.25">
      <c r="A3095" s="1" t="str">
        <f>HYPERLINK("http://www.rosaceae.org/Prunus/Prunus_persica/p.persica_gdr_reftransV1_0016768","p.persica_gdr_reftransV1_0016768")</f>
        <v>p.persica_gdr_reftransV1_0016768</v>
      </c>
      <c r="B3095" s="3">
        <v>1753</v>
      </c>
      <c r="C3095" s="1" t="str">
        <f>HYPERLINK("http://www.uniprot.org/uniprot/DECR2_ARATH","DECR2_ARATH")</f>
        <v>DECR2_ARATH</v>
      </c>
      <c r="D3095" t="s">
        <v>170</v>
      </c>
      <c r="E3095" s="3" t="s">
        <v>3</v>
      </c>
      <c r="F3095" s="4">
        <v>5.5499999999999997E-112</v>
      </c>
      <c r="G3095" s="3">
        <v>880</v>
      </c>
      <c r="H3095" s="3">
        <v>72</v>
      </c>
      <c r="I3095" s="3">
        <v>257</v>
      </c>
      <c r="J3095" s="3">
        <v>951</v>
      </c>
      <c r="K3095" s="3">
        <v>1718</v>
      </c>
      <c r="L3095" s="3">
        <v>1</v>
      </c>
      <c r="M3095" s="3">
        <v>257</v>
      </c>
    </row>
    <row r="3096" spans="1:13" x14ac:dyDescent="0.25">
      <c r="A3096" s="1" t="str">
        <f>HYPERLINK("http://www.rosaceae.org/Prunus/Prunus_persica/p.persica_gdr_reftransV1_0016818","p.persica_gdr_reftransV1_0016818")</f>
        <v>p.persica_gdr_reftransV1_0016818</v>
      </c>
      <c r="B3096" s="3">
        <v>1539</v>
      </c>
      <c r="C3096" s="1" t="str">
        <f>HYPERLINK("http://www.uniprot.org/uniprot/WHY2_SOLTU","WHY2_SOLTU")</f>
        <v>WHY2_SOLTU</v>
      </c>
      <c r="D3096" t="s">
        <v>2869</v>
      </c>
      <c r="E3096" s="3" t="s">
        <v>11</v>
      </c>
      <c r="F3096" s="4">
        <v>3.0600000000000001E-81</v>
      </c>
      <c r="G3096" s="3">
        <v>662</v>
      </c>
      <c r="H3096" s="3">
        <v>66</v>
      </c>
      <c r="I3096" s="3">
        <v>188</v>
      </c>
      <c r="J3096" s="3">
        <v>364</v>
      </c>
      <c r="K3096" s="3">
        <v>924</v>
      </c>
      <c r="L3096" s="3">
        <v>51</v>
      </c>
      <c r="M3096" s="3">
        <v>238</v>
      </c>
    </row>
    <row r="3097" spans="1:13" x14ac:dyDescent="0.25">
      <c r="A3097" s="1" t="str">
        <f>HYPERLINK("http://www.rosaceae.org/Prunus/Prunus_persica/p.persica_gdr_reftransV1_0017018","p.persica_gdr_reftransV1_0017018")</f>
        <v>p.persica_gdr_reftransV1_0017018</v>
      </c>
      <c r="B3097" s="3">
        <v>1697</v>
      </c>
      <c r="C3097" s="1" t="str">
        <f>HYPERLINK("http://www.uniprot.org/uniprot/ATL74_ARATH","ATL74_ARATH")</f>
        <v>ATL74_ARATH</v>
      </c>
      <c r="D3097" t="s">
        <v>2870</v>
      </c>
      <c r="E3097" s="3" t="s">
        <v>3</v>
      </c>
      <c r="F3097" s="4">
        <v>3.3000000000000001E-45</v>
      </c>
      <c r="G3097" s="3">
        <v>410</v>
      </c>
      <c r="H3097" s="3">
        <v>62</v>
      </c>
      <c r="I3097" s="3">
        <v>156</v>
      </c>
      <c r="J3097" s="3">
        <v>825</v>
      </c>
      <c r="K3097" s="3">
        <v>1289</v>
      </c>
      <c r="L3097" s="3">
        <v>1</v>
      </c>
      <c r="M3097" s="3">
        <v>154</v>
      </c>
    </row>
    <row r="3098" spans="1:13" x14ac:dyDescent="0.25">
      <c r="A3098" s="1" t="str">
        <f>HYPERLINK("http://www.rosaceae.org/Prunus/Prunus_persica/p.persica_gdr_reftransV1_0017168","p.persica_gdr_reftransV1_0017168")</f>
        <v>p.persica_gdr_reftransV1_0017168</v>
      </c>
      <c r="B3098" s="3">
        <v>2123</v>
      </c>
      <c r="C3098" s="1" t="str">
        <f>HYPERLINK("http://www.uniprot.org/uniprot/FBK8_ARATH","FBK8_ARATH")</f>
        <v>FBK8_ARATH</v>
      </c>
      <c r="D3098" t="s">
        <v>2871</v>
      </c>
      <c r="E3098" s="3" t="s">
        <v>3</v>
      </c>
      <c r="F3098" s="4">
        <v>0</v>
      </c>
      <c r="G3098" s="3">
        <v>1417</v>
      </c>
      <c r="H3098" s="3">
        <v>60</v>
      </c>
      <c r="I3098" s="3">
        <v>477</v>
      </c>
      <c r="J3098" s="3">
        <v>473</v>
      </c>
      <c r="K3098" s="3">
        <v>1900</v>
      </c>
      <c r="L3098" s="3">
        <v>1</v>
      </c>
      <c r="M3098" s="3">
        <v>475</v>
      </c>
    </row>
    <row r="3099" spans="1:13" x14ac:dyDescent="0.25">
      <c r="A3099" s="1" t="str">
        <f>HYPERLINK("http://www.rosaceae.org/Prunus/Prunus_persica/p.persica_gdr_reftransV1_0017268","p.persica_gdr_reftransV1_0017268")</f>
        <v>p.persica_gdr_reftransV1_0017268</v>
      </c>
      <c r="B3099" s="3">
        <v>3585</v>
      </c>
      <c r="C3099" s="1" t="str">
        <f>HYPERLINK("http://www.uniprot.org/uniprot/MYO6_ARATH","MYO6_ARATH")</f>
        <v>MYO6_ARATH</v>
      </c>
      <c r="D3099" t="s">
        <v>2872</v>
      </c>
      <c r="E3099" s="3" t="s">
        <v>3</v>
      </c>
      <c r="F3099" s="4">
        <v>0</v>
      </c>
      <c r="G3099" s="3">
        <v>4016</v>
      </c>
      <c r="H3099" s="3">
        <v>73</v>
      </c>
      <c r="I3099" s="3">
        <v>1058</v>
      </c>
      <c r="J3099" s="3">
        <v>1</v>
      </c>
      <c r="K3099" s="3">
        <v>3159</v>
      </c>
      <c r="L3099" s="3">
        <v>458</v>
      </c>
      <c r="M3099" s="3">
        <v>1505</v>
      </c>
    </row>
    <row r="3100" spans="1:13" x14ac:dyDescent="0.25">
      <c r="A3100" s="1" t="str">
        <f>HYPERLINK("http://www.rosaceae.org/Prunus/Prunus_persica/p.persica_gdr_reftransV1_0017468","p.persica_gdr_reftransV1_0017468")</f>
        <v>p.persica_gdr_reftransV1_0017468</v>
      </c>
      <c r="B3100" s="3">
        <v>955</v>
      </c>
      <c r="C3100" s="1" t="str">
        <f>HYPERLINK("http://www.uniprot.org/uniprot/PPSP3_ARATH","PPSP3_ARATH")</f>
        <v>PPSP3_ARATH</v>
      </c>
      <c r="D3100" t="s">
        <v>2873</v>
      </c>
      <c r="E3100" s="3" t="s">
        <v>3</v>
      </c>
      <c r="F3100" s="4">
        <v>1.31E-103</v>
      </c>
      <c r="G3100" s="3">
        <v>794</v>
      </c>
      <c r="H3100" s="3">
        <v>62</v>
      </c>
      <c r="I3100" s="3">
        <v>242</v>
      </c>
      <c r="J3100" s="3">
        <v>1</v>
      </c>
      <c r="K3100" s="3">
        <v>723</v>
      </c>
      <c r="L3100" s="3">
        <v>2</v>
      </c>
      <c r="M3100" s="3">
        <v>243</v>
      </c>
    </row>
    <row r="3101" spans="1:13" x14ac:dyDescent="0.25">
      <c r="A3101" s="1" t="str">
        <f>HYPERLINK("http://www.rosaceae.org/Prunus/Prunus_persica/p.persica_gdr_reftransV1_0017518","p.persica_gdr_reftransV1_0017518")</f>
        <v>p.persica_gdr_reftransV1_0017518</v>
      </c>
      <c r="B3101" s="3">
        <v>573</v>
      </c>
      <c r="C3101" s="1" t="str">
        <f>HYPERLINK("http://www.uniprot.org/uniprot/PP152_ARATH","PP152_ARATH")</f>
        <v>PP152_ARATH</v>
      </c>
      <c r="D3101" t="s">
        <v>2874</v>
      </c>
      <c r="E3101" s="3" t="s">
        <v>3</v>
      </c>
      <c r="F3101" s="4">
        <v>1.8899999999999999E-16</v>
      </c>
      <c r="G3101" s="3">
        <v>199</v>
      </c>
      <c r="H3101" s="3">
        <v>43</v>
      </c>
      <c r="I3101" s="3">
        <v>82</v>
      </c>
      <c r="J3101" s="3">
        <v>1</v>
      </c>
      <c r="K3101" s="3">
        <v>243</v>
      </c>
      <c r="L3101" s="3">
        <v>22</v>
      </c>
      <c r="M3101" s="3">
        <v>103</v>
      </c>
    </row>
    <row r="3102" spans="1:13" x14ac:dyDescent="0.25">
      <c r="A3102" s="1" t="str">
        <f>HYPERLINK("http://www.rosaceae.org/Prunus/Prunus_persica/p.persica_gdr_reftransV1_0017718","p.persica_gdr_reftransV1_0017718")</f>
        <v>p.persica_gdr_reftransV1_0017718</v>
      </c>
      <c r="B3102" s="3">
        <v>907</v>
      </c>
      <c r="C3102" s="1" t="str">
        <f>HYPERLINK("http://www.uniprot.org/uniprot/Y3377_ARATH","Y3377_ARATH")</f>
        <v>Y3377_ARATH</v>
      </c>
      <c r="D3102" t="s">
        <v>2875</v>
      </c>
      <c r="E3102" s="3" t="s">
        <v>3</v>
      </c>
      <c r="F3102" s="4">
        <v>3.8200000000000002E-64</v>
      </c>
      <c r="G3102" s="3">
        <v>522</v>
      </c>
      <c r="H3102" s="3">
        <v>74</v>
      </c>
      <c r="I3102" s="3">
        <v>151</v>
      </c>
      <c r="J3102" s="3">
        <v>224</v>
      </c>
      <c r="K3102" s="3">
        <v>676</v>
      </c>
      <c r="L3102" s="3">
        <v>1</v>
      </c>
      <c r="M3102" s="3">
        <v>148</v>
      </c>
    </row>
    <row r="3103" spans="1:13" x14ac:dyDescent="0.25">
      <c r="A3103" s="1" t="str">
        <f>HYPERLINK("http://www.rosaceae.org/Prunus/Prunus_persica/p.persica_gdr_reftransV1_0017818","p.persica_gdr_reftransV1_0017818")</f>
        <v>p.persica_gdr_reftransV1_0017818</v>
      </c>
      <c r="B3103" s="3">
        <v>1607</v>
      </c>
      <c r="C3103" s="1" t="str">
        <f>HYPERLINK("http://www.uniprot.org/uniprot/HAT5_ARATH","HAT5_ARATH")</f>
        <v>HAT5_ARATH</v>
      </c>
      <c r="D3103" t="s">
        <v>2876</v>
      </c>
      <c r="E3103" s="3" t="s">
        <v>3</v>
      </c>
      <c r="F3103" s="4">
        <v>1.4400000000000001E-35</v>
      </c>
      <c r="G3103" s="3">
        <v>348</v>
      </c>
      <c r="H3103" s="3">
        <v>55</v>
      </c>
      <c r="I3103" s="3">
        <v>139</v>
      </c>
      <c r="J3103" s="3">
        <v>602</v>
      </c>
      <c r="K3103" s="3">
        <v>1018</v>
      </c>
      <c r="L3103" s="3">
        <v>32</v>
      </c>
      <c r="M3103" s="3">
        <v>164</v>
      </c>
    </row>
    <row r="3104" spans="1:13" x14ac:dyDescent="0.25">
      <c r="A3104" s="1" t="str">
        <f>HYPERLINK("http://www.rosaceae.org/Prunus/Prunus_persica/p.persica_gdr_reftransV1_0017868","p.persica_gdr_reftransV1_0017868")</f>
        <v>p.persica_gdr_reftransV1_0017868</v>
      </c>
      <c r="B3104" s="3">
        <v>2150</v>
      </c>
      <c r="C3104" s="1" t="str">
        <f>HYPERLINK("http://www.uniprot.org/uniprot/MOS11_ARATH","MOS11_ARATH")</f>
        <v>MOS11_ARATH</v>
      </c>
      <c r="D3104" t="s">
        <v>2877</v>
      </c>
      <c r="E3104" s="3" t="s">
        <v>3</v>
      </c>
      <c r="F3104" s="4">
        <v>1.8499999999999999E-35</v>
      </c>
      <c r="G3104" s="3">
        <v>348</v>
      </c>
      <c r="H3104" s="3">
        <v>60</v>
      </c>
      <c r="I3104" s="3">
        <v>133</v>
      </c>
      <c r="J3104" s="3">
        <v>1440</v>
      </c>
      <c r="K3104" s="3">
        <v>1823</v>
      </c>
      <c r="L3104" s="3">
        <v>60</v>
      </c>
      <c r="M3104" s="3">
        <v>187</v>
      </c>
    </row>
    <row r="3105" spans="1:13" x14ac:dyDescent="0.25">
      <c r="A3105" s="1" t="str">
        <f>HYPERLINK("http://www.rosaceae.org/Prunus/Prunus_persica/p.persica_gdr_reftransV1_0017918","p.persica_gdr_reftransV1_0017918")</f>
        <v>p.persica_gdr_reftransV1_0017918</v>
      </c>
      <c r="B3105" s="3">
        <v>5528</v>
      </c>
      <c r="C3105" s="1" t="str">
        <f>HYPERLINK("http://www.uniprot.org/uniprot/SYA_ARATH","SYA_ARATH")</f>
        <v>SYA_ARATH</v>
      </c>
      <c r="D3105" t="s">
        <v>2878</v>
      </c>
      <c r="E3105" s="3" t="s">
        <v>3</v>
      </c>
      <c r="F3105" s="4">
        <v>0</v>
      </c>
      <c r="G3105" s="3">
        <v>2389</v>
      </c>
      <c r="H3105" s="3">
        <v>84</v>
      </c>
      <c r="I3105" s="3">
        <v>540</v>
      </c>
      <c r="J3105" s="3">
        <v>265</v>
      </c>
      <c r="K3105" s="3">
        <v>1884</v>
      </c>
      <c r="L3105" s="3">
        <v>48</v>
      </c>
      <c r="M3105" s="3">
        <v>587</v>
      </c>
    </row>
    <row r="3106" spans="1:13" x14ac:dyDescent="0.25">
      <c r="A3106" s="1" t="str">
        <f>HYPERLINK("http://www.rosaceae.org/Prunus/Prunus_persica/p.persica_gdr_reftransV1_0017968","p.persica_gdr_reftransV1_0017968")</f>
        <v>p.persica_gdr_reftransV1_0017968</v>
      </c>
      <c r="B3106" s="3">
        <v>1131</v>
      </c>
      <c r="C3106" s="1" t="str">
        <f>HYPERLINK("http://www.uniprot.org/uniprot/MLO13_ARATH","MLO13_ARATH")</f>
        <v>MLO13_ARATH</v>
      </c>
      <c r="D3106" t="s">
        <v>1880</v>
      </c>
      <c r="E3106" s="3" t="s">
        <v>3</v>
      </c>
      <c r="F3106" s="4">
        <v>8.1000000000000008E-102</v>
      </c>
      <c r="G3106" s="3">
        <v>809</v>
      </c>
      <c r="H3106" s="3">
        <v>62</v>
      </c>
      <c r="I3106" s="3">
        <v>297</v>
      </c>
      <c r="J3106" s="3">
        <v>3</v>
      </c>
      <c r="K3106" s="3">
        <v>866</v>
      </c>
      <c r="L3106" s="3">
        <v>174</v>
      </c>
      <c r="M3106" s="3">
        <v>463</v>
      </c>
    </row>
    <row r="3107" spans="1:13" x14ac:dyDescent="0.25">
      <c r="A3107" s="1" t="str">
        <f>HYPERLINK("http://www.rosaceae.org/Prunus/Prunus_persica/p.persica_gdr_reftransV1_0018168","p.persica_gdr_reftransV1_0018168")</f>
        <v>p.persica_gdr_reftransV1_0018168</v>
      </c>
      <c r="B3107" s="3">
        <v>2232</v>
      </c>
      <c r="C3107" s="1" t="str">
        <f>HYPERLINK("http://www.uniprot.org/uniprot/HMT2_ARATH","HMT2_ARATH")</f>
        <v>HMT2_ARATH</v>
      </c>
      <c r="D3107" t="s">
        <v>2879</v>
      </c>
      <c r="E3107" s="3" t="s">
        <v>3</v>
      </c>
      <c r="F3107" s="4">
        <v>1.2200000000000001E-159</v>
      </c>
      <c r="G3107" s="3">
        <v>1215</v>
      </c>
      <c r="H3107" s="3">
        <v>75</v>
      </c>
      <c r="I3107" s="3">
        <v>325</v>
      </c>
      <c r="J3107" s="3">
        <v>131</v>
      </c>
      <c r="K3107" s="3">
        <v>1105</v>
      </c>
      <c r="L3107" s="3">
        <v>9</v>
      </c>
      <c r="M3107" s="3">
        <v>330</v>
      </c>
    </row>
    <row r="3108" spans="1:13" x14ac:dyDescent="0.25">
      <c r="A3108" s="1" t="str">
        <f>HYPERLINK("http://www.rosaceae.org/Prunus/Prunus_persica/p.persica_gdr_reftransV1_0018268","p.persica_gdr_reftransV1_0018268")</f>
        <v>p.persica_gdr_reftransV1_0018268</v>
      </c>
      <c r="B3108" s="3">
        <v>2552</v>
      </c>
      <c r="C3108" s="1" t="str">
        <f>HYPERLINK("http://www.uniprot.org/uniprot/ASPR1_ORYSJ","ASPR1_ORYSJ")</f>
        <v>ASPR1_ORYSJ</v>
      </c>
      <c r="D3108" t="s">
        <v>2880</v>
      </c>
      <c r="E3108" s="3" t="s">
        <v>38</v>
      </c>
      <c r="F3108" s="4">
        <v>1.03E-148</v>
      </c>
      <c r="G3108" s="3">
        <v>965</v>
      </c>
      <c r="H3108" s="3">
        <v>55</v>
      </c>
      <c r="I3108" s="3">
        <v>316</v>
      </c>
      <c r="J3108" s="3">
        <v>1057</v>
      </c>
      <c r="K3108" s="3">
        <v>2001</v>
      </c>
      <c r="L3108" s="3">
        <v>22</v>
      </c>
      <c r="M3108" s="3">
        <v>337</v>
      </c>
    </row>
    <row r="3109" spans="1:13" x14ac:dyDescent="0.25">
      <c r="A3109" s="1" t="str">
        <f>HYPERLINK("http://www.rosaceae.org/Prunus/Prunus_persica/p.persica_gdr_reftransV1_0018518","p.persica_gdr_reftransV1_0018518")</f>
        <v>p.persica_gdr_reftransV1_0018518</v>
      </c>
      <c r="B3109" s="3">
        <v>4073</v>
      </c>
      <c r="C3109" s="1" t="str">
        <f>HYPERLINK("http://www.uniprot.org/uniprot/UFL1_ARATH","UFL1_ARATH")</f>
        <v>UFL1_ARATH</v>
      </c>
      <c r="D3109" t="s">
        <v>2881</v>
      </c>
      <c r="E3109" s="3" t="s">
        <v>3</v>
      </c>
      <c r="F3109" s="4">
        <v>5.6700000000000002E-163</v>
      </c>
      <c r="G3109" s="3">
        <v>1328</v>
      </c>
      <c r="H3109" s="3">
        <v>75</v>
      </c>
      <c r="I3109" s="3">
        <v>347</v>
      </c>
      <c r="J3109" s="3">
        <v>2998</v>
      </c>
      <c r="K3109" s="3">
        <v>4038</v>
      </c>
      <c r="L3109" s="3">
        <v>1</v>
      </c>
      <c r="M3109" s="3">
        <v>346</v>
      </c>
    </row>
    <row r="3110" spans="1:13" x14ac:dyDescent="0.25">
      <c r="A3110" s="1" t="str">
        <f>HYPERLINK("http://www.rosaceae.org/Prunus/Prunus_persica/p.persica_gdr_reftransV1_0018918","p.persica_gdr_reftransV1_0018918")</f>
        <v>p.persica_gdr_reftransV1_0018918</v>
      </c>
      <c r="B3110" s="3">
        <v>989</v>
      </c>
      <c r="C3110" s="1" t="str">
        <f>HYPERLINK("http://www.uniprot.org/uniprot/CT024_MOUSE","CT024_MOUSE")</f>
        <v>CT024_MOUSE</v>
      </c>
      <c r="D3110" t="s">
        <v>2882</v>
      </c>
      <c r="E3110" s="3" t="s">
        <v>157</v>
      </c>
      <c r="F3110" s="4">
        <v>4.1400000000000002E-20</v>
      </c>
      <c r="G3110" s="3">
        <v>218</v>
      </c>
      <c r="H3110" s="3">
        <v>41</v>
      </c>
      <c r="I3110" s="3">
        <v>103</v>
      </c>
      <c r="J3110" s="3">
        <v>88</v>
      </c>
      <c r="K3110" s="3">
        <v>393</v>
      </c>
      <c r="L3110" s="3">
        <v>26</v>
      </c>
      <c r="M3110" s="3">
        <v>128</v>
      </c>
    </row>
    <row r="3111" spans="1:13" x14ac:dyDescent="0.25">
      <c r="A3111" s="1" t="str">
        <f>HYPERLINK("http://www.rosaceae.org/Prunus/Prunus_persica/p.persica_gdr_reftransV1_0019168","p.persica_gdr_reftransV1_0019168")</f>
        <v>p.persica_gdr_reftransV1_0019168</v>
      </c>
      <c r="B3111" s="3">
        <v>952</v>
      </c>
      <c r="C3111" s="1" t="str">
        <f>HYPERLINK("http://www.uniprot.org/uniprot/LBD4_ARATH","LBD4_ARATH")</f>
        <v>LBD4_ARATH</v>
      </c>
      <c r="D3111" t="s">
        <v>2883</v>
      </c>
      <c r="E3111" s="3" t="s">
        <v>3</v>
      </c>
      <c r="F3111" s="4">
        <v>8.8499999999999999E-69</v>
      </c>
      <c r="G3111" s="3">
        <v>556</v>
      </c>
      <c r="H3111" s="3">
        <v>68</v>
      </c>
      <c r="I3111" s="3">
        <v>180</v>
      </c>
      <c r="J3111" s="3">
        <v>274</v>
      </c>
      <c r="K3111" s="3">
        <v>807</v>
      </c>
      <c r="L3111" s="3">
        <v>1</v>
      </c>
      <c r="M3111" s="3">
        <v>172</v>
      </c>
    </row>
    <row r="3112" spans="1:13" x14ac:dyDescent="0.25">
      <c r="A3112" s="1" t="str">
        <f>HYPERLINK("http://www.rosaceae.org/Prunus/Prunus_persica/p.persica_gdr_reftransV1_0019268","p.persica_gdr_reftransV1_0019268")</f>
        <v>p.persica_gdr_reftransV1_0019268</v>
      </c>
      <c r="B3112" s="3">
        <v>2555</v>
      </c>
      <c r="C3112" s="1" t="str">
        <f>HYPERLINK("http://www.uniprot.org/uniprot/NDA1_ARATH","NDA1_ARATH")</f>
        <v>NDA1_ARATH</v>
      </c>
      <c r="D3112" t="s">
        <v>2884</v>
      </c>
      <c r="E3112" s="3" t="s">
        <v>3</v>
      </c>
      <c r="F3112" s="4">
        <v>1.1600000000000001E-121</v>
      </c>
      <c r="G3112" s="3">
        <v>986</v>
      </c>
      <c r="H3112" s="3">
        <v>69</v>
      </c>
      <c r="I3112" s="3">
        <v>285</v>
      </c>
      <c r="J3112" s="3">
        <v>127</v>
      </c>
      <c r="K3112" s="3">
        <v>954</v>
      </c>
      <c r="L3112" s="3">
        <v>1</v>
      </c>
      <c r="M3112" s="3">
        <v>285</v>
      </c>
    </row>
    <row r="3113" spans="1:13" x14ac:dyDescent="0.25">
      <c r="A3113" s="1" t="str">
        <f>HYPERLINK("http://www.rosaceae.org/Prunus/Prunus_persica/p.persica_gdr_reftransV1_0019418","p.persica_gdr_reftransV1_0019418")</f>
        <v>p.persica_gdr_reftransV1_0019418</v>
      </c>
      <c r="B3113" s="3">
        <v>1574</v>
      </c>
      <c r="C3113" s="1" t="str">
        <f>HYPERLINK("http://www.uniprot.org/uniprot/ELC_ARATH","ELC_ARATH")</f>
        <v>ELC_ARATH</v>
      </c>
      <c r="D3113" t="s">
        <v>2885</v>
      </c>
      <c r="E3113" s="3" t="s">
        <v>3</v>
      </c>
      <c r="F3113" s="4">
        <v>3.8700000000000001E-7</v>
      </c>
      <c r="G3113" s="3">
        <v>124</v>
      </c>
      <c r="H3113" s="3">
        <v>38</v>
      </c>
      <c r="I3113" s="3">
        <v>81</v>
      </c>
      <c r="J3113" s="3">
        <v>481</v>
      </c>
      <c r="K3113" s="3">
        <v>720</v>
      </c>
      <c r="L3113" s="3">
        <v>79</v>
      </c>
      <c r="M3113" s="3">
        <v>155</v>
      </c>
    </row>
    <row r="3114" spans="1:13" x14ac:dyDescent="0.25">
      <c r="A3114" s="1" t="str">
        <f>HYPERLINK("http://www.rosaceae.org/Prunus/Prunus_persica/p.persica_gdr_reftransV1_0019468","p.persica_gdr_reftransV1_0019468")</f>
        <v>p.persica_gdr_reftransV1_0019468</v>
      </c>
      <c r="B3114" s="3">
        <v>2788</v>
      </c>
      <c r="C3114" s="1" t="str">
        <f>HYPERLINK("http://www.uniprot.org/uniprot/ARP5_ARATH","ARP5_ARATH")</f>
        <v>ARP5_ARATH</v>
      </c>
      <c r="D3114" t="s">
        <v>2886</v>
      </c>
      <c r="E3114" s="3" t="s">
        <v>3</v>
      </c>
      <c r="F3114" s="4">
        <v>1.01E-148</v>
      </c>
      <c r="G3114" s="3">
        <v>1194</v>
      </c>
      <c r="H3114" s="3">
        <v>79</v>
      </c>
      <c r="I3114" s="3">
        <v>264</v>
      </c>
      <c r="J3114" s="3">
        <v>52</v>
      </c>
      <c r="K3114" s="3">
        <v>843</v>
      </c>
      <c r="L3114" s="3">
        <v>1</v>
      </c>
      <c r="M3114" s="3">
        <v>264</v>
      </c>
    </row>
    <row r="3115" spans="1:13" x14ac:dyDescent="0.25">
      <c r="A3115" s="1" t="str">
        <f>HYPERLINK("http://www.rosaceae.org/Prunus/Prunus_persica/p.persica_gdr_reftransV1_0019618","p.persica_gdr_reftransV1_0019618")</f>
        <v>p.persica_gdr_reftransV1_0019618</v>
      </c>
      <c r="B3115" s="3">
        <v>4203</v>
      </c>
      <c r="C3115" s="1" t="str">
        <f>HYPERLINK("http://www.uniprot.org/uniprot/ALY2_ARATH","ALY2_ARATH")</f>
        <v>ALY2_ARATH</v>
      </c>
      <c r="D3115" t="s">
        <v>2887</v>
      </c>
      <c r="E3115" s="3" t="s">
        <v>3</v>
      </c>
      <c r="F3115" s="4">
        <v>0</v>
      </c>
      <c r="G3115" s="3">
        <v>2129</v>
      </c>
      <c r="H3115" s="3">
        <v>47</v>
      </c>
      <c r="I3115" s="3">
        <v>1133</v>
      </c>
      <c r="J3115" s="3">
        <v>334</v>
      </c>
      <c r="K3115" s="3">
        <v>3687</v>
      </c>
      <c r="L3115" s="3">
        <v>1</v>
      </c>
      <c r="M3115" s="3">
        <v>1051</v>
      </c>
    </row>
    <row r="3116" spans="1:13" x14ac:dyDescent="0.25">
      <c r="A3116" s="1" t="str">
        <f>HYPERLINK("http://www.rosaceae.org/Prunus/Prunus_persica/p.persica_gdr_reftransV1_0019668","p.persica_gdr_reftransV1_0019668")</f>
        <v>p.persica_gdr_reftransV1_0019668</v>
      </c>
      <c r="B3116" s="3">
        <v>3406</v>
      </c>
      <c r="C3116" s="1" t="str">
        <f>HYPERLINK("http://www.uniprot.org/uniprot/DCE1_ARATH","DCE1_ARATH")</f>
        <v>DCE1_ARATH</v>
      </c>
      <c r="D3116" t="s">
        <v>426</v>
      </c>
      <c r="E3116" s="3" t="s">
        <v>3</v>
      </c>
      <c r="F3116" s="4">
        <v>0</v>
      </c>
      <c r="G3116" s="3">
        <v>1836</v>
      </c>
      <c r="H3116" s="3">
        <v>82</v>
      </c>
      <c r="I3116" s="3">
        <v>414</v>
      </c>
      <c r="J3116" s="3">
        <v>219</v>
      </c>
      <c r="K3116" s="3">
        <v>1460</v>
      </c>
      <c r="L3116" s="3">
        <v>97</v>
      </c>
      <c r="M3116" s="3">
        <v>502</v>
      </c>
    </row>
    <row r="3117" spans="1:13" x14ac:dyDescent="0.25">
      <c r="A3117" s="1" t="str">
        <f>HYPERLINK("http://www.rosaceae.org/Prunus/Prunus_persica/p.persica_gdr_reftransV1_0019768","p.persica_gdr_reftransV1_0019768")</f>
        <v>p.persica_gdr_reftransV1_0019768</v>
      </c>
      <c r="B3117" s="3">
        <v>2055</v>
      </c>
      <c r="C3117" s="1" t="str">
        <f>HYPERLINK("http://www.uniprot.org/uniprot/ITPK5_ORYSJ","ITPK5_ORYSJ")</f>
        <v>ITPK5_ORYSJ</v>
      </c>
      <c r="D3117" t="s">
        <v>2888</v>
      </c>
      <c r="E3117" s="3" t="s">
        <v>38</v>
      </c>
      <c r="F3117" s="4">
        <v>8.0399999999999998E-135</v>
      </c>
      <c r="G3117" s="3">
        <v>1045</v>
      </c>
      <c r="H3117" s="3">
        <v>63</v>
      </c>
      <c r="I3117" s="3">
        <v>315</v>
      </c>
      <c r="J3117" s="3">
        <v>873</v>
      </c>
      <c r="K3117" s="3">
        <v>1805</v>
      </c>
      <c r="L3117" s="3">
        <v>14</v>
      </c>
      <c r="M3117" s="3">
        <v>327</v>
      </c>
    </row>
    <row r="3118" spans="1:13" x14ac:dyDescent="0.25">
      <c r="A3118" s="1" t="str">
        <f>HYPERLINK("http://www.rosaceae.org/Prunus/Prunus_persica/p.persica_gdr_reftransV1_0019818","p.persica_gdr_reftransV1_0019818")</f>
        <v>p.persica_gdr_reftransV1_0019818</v>
      </c>
      <c r="B3118" s="3">
        <v>4652</v>
      </c>
      <c r="C3118" s="1" t="str">
        <f>HYPERLINK("http://www.uniprot.org/uniprot/IST1_HUMAN","IST1_HUMAN")</f>
        <v>IST1_HUMAN</v>
      </c>
      <c r="D3118" t="s">
        <v>2889</v>
      </c>
      <c r="E3118" s="3" t="s">
        <v>28</v>
      </c>
      <c r="F3118" s="4">
        <v>3.9199999999999997E-9</v>
      </c>
      <c r="G3118" s="3">
        <v>155</v>
      </c>
      <c r="H3118" s="3">
        <v>44</v>
      </c>
      <c r="I3118" s="3">
        <v>70</v>
      </c>
      <c r="J3118" s="3">
        <v>333</v>
      </c>
      <c r="K3118" s="3">
        <v>542</v>
      </c>
      <c r="L3118" s="3">
        <v>21</v>
      </c>
      <c r="M3118" s="3">
        <v>90</v>
      </c>
    </row>
    <row r="3119" spans="1:13" x14ac:dyDescent="0.25">
      <c r="A3119" s="1" t="str">
        <f>HYPERLINK("http://www.rosaceae.org/Prunus/Prunus_persica/p.persica_gdr_reftransV1_0019968","p.persica_gdr_reftransV1_0019968")</f>
        <v>p.persica_gdr_reftransV1_0019968</v>
      </c>
      <c r="B3119" s="3">
        <v>3864</v>
      </c>
      <c r="C3119" s="1" t="str">
        <f>HYPERLINK("http://www.uniprot.org/uniprot/BGAL8_ARATH","BGAL8_ARATH")</f>
        <v>BGAL8_ARATH</v>
      </c>
      <c r="D3119" t="s">
        <v>2890</v>
      </c>
      <c r="E3119" s="3" t="s">
        <v>3</v>
      </c>
      <c r="F3119" s="4">
        <v>0</v>
      </c>
      <c r="G3119" s="3">
        <v>1702</v>
      </c>
      <c r="H3119" s="3">
        <v>65</v>
      </c>
      <c r="I3119" s="3">
        <v>515</v>
      </c>
      <c r="J3119" s="3">
        <v>1928</v>
      </c>
      <c r="K3119" s="3">
        <v>3457</v>
      </c>
      <c r="L3119" s="3">
        <v>363</v>
      </c>
      <c r="M3119" s="3">
        <v>851</v>
      </c>
    </row>
    <row r="3120" spans="1:13" x14ac:dyDescent="0.25">
      <c r="A3120" s="1" t="str">
        <f>HYPERLINK("http://www.rosaceae.org/Prunus/Prunus_persica/p.persica_gdr_reftransV1_0020068","p.persica_gdr_reftransV1_0020068")</f>
        <v>p.persica_gdr_reftransV1_0020068</v>
      </c>
      <c r="B3120" s="3">
        <v>2256</v>
      </c>
      <c r="C3120" s="1" t="str">
        <f>HYPERLINK("http://www.uniprot.org/uniprot/G6PDC_SOLTU","G6PDC_SOLTU")</f>
        <v>G6PDC_SOLTU</v>
      </c>
      <c r="D3120" t="s">
        <v>2891</v>
      </c>
      <c r="E3120" s="3" t="s">
        <v>11</v>
      </c>
      <c r="F3120" s="4">
        <v>0</v>
      </c>
      <c r="G3120" s="3">
        <v>2410</v>
      </c>
      <c r="H3120" s="3">
        <v>80</v>
      </c>
      <c r="I3120" s="3">
        <v>568</v>
      </c>
      <c r="J3120" s="3">
        <v>407</v>
      </c>
      <c r="K3120" s="3">
        <v>2110</v>
      </c>
      <c r="L3120" s="3">
        <v>24</v>
      </c>
      <c r="M3120" s="3">
        <v>577</v>
      </c>
    </row>
    <row r="3121" spans="1:13" x14ac:dyDescent="0.25">
      <c r="A3121" s="1" t="str">
        <f>HYPERLINK("http://www.rosaceae.org/Prunus/Prunus_persica/p.persica_gdr_reftransV1_0020518","p.persica_gdr_reftransV1_0020518")</f>
        <v>p.persica_gdr_reftransV1_0020518</v>
      </c>
      <c r="B3121" s="3">
        <v>1101</v>
      </c>
      <c r="C3121" s="1" t="str">
        <f>HYPERLINK("http://www.uniprot.org/uniprot/CITX1_NICBE","CITX1_NICBE")</f>
        <v>CITX1_NICBE</v>
      </c>
      <c r="D3121" t="s">
        <v>2892</v>
      </c>
      <c r="E3121" s="3" t="s">
        <v>1986</v>
      </c>
      <c r="F3121" s="4">
        <v>6.6900000000000002E-79</v>
      </c>
      <c r="G3121" s="3">
        <v>629</v>
      </c>
      <c r="H3121" s="3">
        <v>69</v>
      </c>
      <c r="I3121" s="3">
        <v>176</v>
      </c>
      <c r="J3121" s="3">
        <v>422</v>
      </c>
      <c r="K3121" s="3">
        <v>913</v>
      </c>
      <c r="L3121" s="3">
        <v>6</v>
      </c>
      <c r="M3121" s="3">
        <v>181</v>
      </c>
    </row>
    <row r="3122" spans="1:13" x14ac:dyDescent="0.25">
      <c r="A3122" s="1" t="str">
        <f>HYPERLINK("http://www.rosaceae.org/Prunus/Prunus_persica/p.persica_gdr_reftransV1_0020568","p.persica_gdr_reftransV1_0020568")</f>
        <v>p.persica_gdr_reftransV1_0020568</v>
      </c>
      <c r="B3122" s="3">
        <v>1002</v>
      </c>
      <c r="C3122" s="1" t="str">
        <f>HYPERLINK("http://www.uniprot.org/uniprot/ATL32_ARATH","ATL32_ARATH")</f>
        <v>ATL32_ARATH</v>
      </c>
      <c r="D3122" t="s">
        <v>2893</v>
      </c>
      <c r="E3122" s="3" t="s">
        <v>3</v>
      </c>
      <c r="F3122" s="4">
        <v>8.4899999999999999E-16</v>
      </c>
      <c r="G3122" s="3">
        <v>196</v>
      </c>
      <c r="H3122" s="3">
        <v>48</v>
      </c>
      <c r="I3122" s="3">
        <v>73</v>
      </c>
      <c r="J3122" s="3">
        <v>60</v>
      </c>
      <c r="K3122" s="3">
        <v>278</v>
      </c>
      <c r="L3122" s="3">
        <v>94</v>
      </c>
      <c r="M3122" s="3">
        <v>166</v>
      </c>
    </row>
    <row r="3123" spans="1:13" x14ac:dyDescent="0.25">
      <c r="A3123" s="1" t="str">
        <f>HYPERLINK("http://www.rosaceae.org/Prunus/Prunus_persica/p.persica_gdr_reftransV1_0020668","p.persica_gdr_reftransV1_0020668")</f>
        <v>p.persica_gdr_reftransV1_0020668</v>
      </c>
      <c r="B3123" s="3">
        <v>3983</v>
      </c>
      <c r="C3123" s="1" t="str">
        <f>HYPERLINK("http://www.uniprot.org/uniprot/PMTQ_ARATH","PMTQ_ARATH")</f>
        <v>PMTQ_ARATH</v>
      </c>
      <c r="D3123" t="s">
        <v>667</v>
      </c>
      <c r="E3123" s="3" t="s">
        <v>3</v>
      </c>
      <c r="F3123" s="4">
        <v>1.0900000000000001E-105</v>
      </c>
      <c r="G3123" s="3">
        <v>925</v>
      </c>
      <c r="H3123" s="3">
        <v>53</v>
      </c>
      <c r="I3123" s="3">
        <v>421</v>
      </c>
      <c r="J3123" s="3">
        <v>2681</v>
      </c>
      <c r="K3123" s="3">
        <v>3886</v>
      </c>
      <c r="L3123" s="3">
        <v>1</v>
      </c>
      <c r="M3123" s="3">
        <v>412</v>
      </c>
    </row>
    <row r="3124" spans="1:13" x14ac:dyDescent="0.25">
      <c r="A3124" s="1" t="str">
        <f>HYPERLINK("http://www.rosaceae.org/Prunus/Prunus_persica/p.persica_gdr_reftransV1_0020718","p.persica_gdr_reftransV1_0020718")</f>
        <v>p.persica_gdr_reftransV1_0020718</v>
      </c>
      <c r="B3124" s="3">
        <v>1705</v>
      </c>
      <c r="C3124" s="1" t="str">
        <f>HYPERLINK("http://www.uniprot.org/uniprot/ARHG6_MOUSE","ARHG6_MOUSE")</f>
        <v>ARHG6_MOUSE</v>
      </c>
      <c r="D3124" t="s">
        <v>2894</v>
      </c>
      <c r="E3124" s="3" t="s">
        <v>157</v>
      </c>
      <c r="F3124" s="4">
        <v>4.3000000000000001E-7</v>
      </c>
      <c r="G3124" s="3">
        <v>135</v>
      </c>
      <c r="H3124" s="3">
        <v>36</v>
      </c>
      <c r="I3124" s="3">
        <v>76</v>
      </c>
      <c r="J3124" s="3">
        <v>1164</v>
      </c>
      <c r="K3124" s="3">
        <v>1370</v>
      </c>
      <c r="L3124" s="3">
        <v>138</v>
      </c>
      <c r="M3124" s="3">
        <v>213</v>
      </c>
    </row>
    <row r="3125" spans="1:13" x14ac:dyDescent="0.25">
      <c r="A3125" s="1" t="str">
        <f>HYPERLINK("http://www.rosaceae.org/Prunus/Prunus_persica/p.persica_gdr_reftransV1_0020768","p.persica_gdr_reftransV1_0020768")</f>
        <v>p.persica_gdr_reftransV1_0020768</v>
      </c>
      <c r="B3125" s="3">
        <v>2009</v>
      </c>
      <c r="C3125" s="1" t="str">
        <f>HYPERLINK("http://www.uniprot.org/uniprot/RUVB2_XENLA","RUVB2_XENLA")</f>
        <v>RUVB2_XENLA</v>
      </c>
      <c r="D3125" t="s">
        <v>2895</v>
      </c>
      <c r="E3125" s="3" t="s">
        <v>475</v>
      </c>
      <c r="F3125" s="4">
        <v>0</v>
      </c>
      <c r="G3125" s="3">
        <v>1759</v>
      </c>
      <c r="H3125" s="3">
        <v>77</v>
      </c>
      <c r="I3125" s="3">
        <v>453</v>
      </c>
      <c r="J3125" s="3">
        <v>520</v>
      </c>
      <c r="K3125" s="3">
        <v>1878</v>
      </c>
      <c r="L3125" s="3">
        <v>2</v>
      </c>
      <c r="M3125" s="3">
        <v>453</v>
      </c>
    </row>
    <row r="3126" spans="1:13" x14ac:dyDescent="0.25">
      <c r="A3126" s="1" t="str">
        <f>HYPERLINK("http://www.rosaceae.org/Prunus/Prunus_persica/p.persica_gdr_reftransV1_0020918","p.persica_gdr_reftransV1_0020918")</f>
        <v>p.persica_gdr_reftransV1_0020918</v>
      </c>
      <c r="B3126" s="3">
        <v>1415</v>
      </c>
      <c r="C3126" s="1" t="str">
        <f>HYPERLINK("http://www.uniprot.org/uniprot/SRRM1_HUMAN","SRRM1_HUMAN")</f>
        <v>SRRM1_HUMAN</v>
      </c>
      <c r="D3126" t="s">
        <v>2896</v>
      </c>
      <c r="E3126" s="3" t="s">
        <v>28</v>
      </c>
      <c r="F3126" s="4">
        <v>8.3199999999999998E-40</v>
      </c>
      <c r="G3126" s="3">
        <v>398</v>
      </c>
      <c r="H3126" s="3">
        <v>54</v>
      </c>
      <c r="I3126" s="3">
        <v>158</v>
      </c>
      <c r="J3126" s="3">
        <v>275</v>
      </c>
      <c r="K3126" s="3">
        <v>745</v>
      </c>
      <c r="L3126" s="3">
        <v>1</v>
      </c>
      <c r="M3126" s="3">
        <v>158</v>
      </c>
    </row>
    <row r="3127" spans="1:13" x14ac:dyDescent="0.25">
      <c r="A3127" s="1" t="str">
        <f>HYPERLINK("http://www.rosaceae.org/Prunus/Prunus_persica/p.persica_gdr_reftransV1_0020968","p.persica_gdr_reftransV1_0020968")</f>
        <v>p.persica_gdr_reftransV1_0020968</v>
      </c>
      <c r="B3127" s="3">
        <v>1883</v>
      </c>
      <c r="C3127" s="1" t="str">
        <f>HYPERLINK("http://www.uniprot.org/uniprot/BRD4_DANRE","BRD4_DANRE")</f>
        <v>BRD4_DANRE</v>
      </c>
      <c r="D3127" t="s">
        <v>2897</v>
      </c>
      <c r="E3127" s="3" t="s">
        <v>704</v>
      </c>
      <c r="F3127" s="4">
        <v>1.5300000000000001E-8</v>
      </c>
      <c r="G3127" s="3">
        <v>149</v>
      </c>
      <c r="H3127" s="3">
        <v>39</v>
      </c>
      <c r="I3127" s="3">
        <v>67</v>
      </c>
      <c r="J3127" s="3">
        <v>1681</v>
      </c>
      <c r="K3127" s="3">
        <v>1881</v>
      </c>
      <c r="L3127" s="3">
        <v>77</v>
      </c>
      <c r="M3127" s="3">
        <v>142</v>
      </c>
    </row>
    <row r="3128" spans="1:13" x14ac:dyDescent="0.25">
      <c r="A3128" s="1" t="str">
        <f>HYPERLINK("http://www.rosaceae.org/Prunus/Prunus_persica/p.persica_gdr_reftransV1_0021068","p.persica_gdr_reftransV1_0021068")</f>
        <v>p.persica_gdr_reftransV1_0021068</v>
      </c>
      <c r="B3128" s="3">
        <v>2152</v>
      </c>
      <c r="C3128" s="1" t="str">
        <f>HYPERLINK("http://www.uniprot.org/uniprot/AROF_TOBAC","AROF_TOBAC")</f>
        <v>AROF_TOBAC</v>
      </c>
      <c r="D3128" t="s">
        <v>2898</v>
      </c>
      <c r="E3128" s="3" t="s">
        <v>200</v>
      </c>
      <c r="F3128" s="4">
        <v>1.54E-151</v>
      </c>
      <c r="G3128" s="3">
        <v>1179</v>
      </c>
      <c r="H3128" s="3">
        <v>83</v>
      </c>
      <c r="I3128" s="3">
        <v>256</v>
      </c>
      <c r="J3128" s="3">
        <v>1130</v>
      </c>
      <c r="K3128" s="3">
        <v>1897</v>
      </c>
      <c r="L3128" s="3">
        <v>283</v>
      </c>
      <c r="M3128" s="3">
        <v>538</v>
      </c>
    </row>
    <row r="3129" spans="1:13" x14ac:dyDescent="0.25">
      <c r="A3129" s="1" t="str">
        <f>HYPERLINK("http://www.rosaceae.org/Prunus/Prunus_persica/p.persica_gdr_reftransV1_0021168","p.persica_gdr_reftransV1_0021168")</f>
        <v>p.persica_gdr_reftransV1_0021168</v>
      </c>
      <c r="B3129" s="3">
        <v>2501</v>
      </c>
      <c r="C3129" s="1" t="str">
        <f>HYPERLINK("http://www.uniprot.org/uniprot/E70A1_ARATH","E70A1_ARATH")</f>
        <v>E70A1_ARATH</v>
      </c>
      <c r="D3129" t="s">
        <v>89</v>
      </c>
      <c r="E3129" s="3" t="s">
        <v>3</v>
      </c>
      <c r="F3129" s="4">
        <v>0</v>
      </c>
      <c r="G3129" s="3">
        <v>2091</v>
      </c>
      <c r="H3129" s="3">
        <v>76</v>
      </c>
      <c r="I3129" s="3">
        <v>520</v>
      </c>
      <c r="J3129" s="3">
        <v>181</v>
      </c>
      <c r="K3129" s="3">
        <v>1737</v>
      </c>
      <c r="L3129" s="3">
        <v>1</v>
      </c>
      <c r="M3129" s="3">
        <v>518</v>
      </c>
    </row>
    <row r="3130" spans="1:13" x14ac:dyDescent="0.25">
      <c r="A3130" s="1" t="str">
        <f>HYPERLINK("http://www.rosaceae.org/Prunus/Prunus_persica/p.persica_gdr_reftransV1_0021218","p.persica_gdr_reftransV1_0021218")</f>
        <v>p.persica_gdr_reftransV1_0021218</v>
      </c>
      <c r="B3130" s="3">
        <v>5302</v>
      </c>
      <c r="C3130" s="1" t="str">
        <f>HYPERLINK("http://www.uniprot.org/uniprot/COX3_ARATH","COX3_ARATH")</f>
        <v>COX3_ARATH</v>
      </c>
      <c r="D3130" t="s">
        <v>2899</v>
      </c>
      <c r="E3130" s="3" t="s">
        <v>3</v>
      </c>
      <c r="F3130" s="4">
        <v>1.82E-159</v>
      </c>
      <c r="G3130" s="3">
        <v>1270</v>
      </c>
      <c r="H3130" s="3">
        <v>98</v>
      </c>
      <c r="I3130" s="3">
        <v>265</v>
      </c>
      <c r="J3130" s="3">
        <v>924</v>
      </c>
      <c r="K3130" s="3">
        <v>1718</v>
      </c>
      <c r="L3130" s="3">
        <v>1</v>
      </c>
      <c r="M3130" s="3">
        <v>265</v>
      </c>
    </row>
    <row r="3131" spans="1:13" x14ac:dyDescent="0.25">
      <c r="A3131" s="1" t="str">
        <f>HYPERLINK("http://www.rosaceae.org/Prunus/Prunus_persica/p.persica_gdr_reftransV1_0021268","p.persica_gdr_reftransV1_0021268")</f>
        <v>p.persica_gdr_reftransV1_0021268</v>
      </c>
      <c r="B3131" s="3">
        <v>2441</v>
      </c>
      <c r="C3131" s="1" t="str">
        <f>HYPERLINK("http://www.uniprot.org/uniprot/YDQ4_SCHPO","YDQ4_SCHPO")</f>
        <v>YDQ4_SCHPO</v>
      </c>
      <c r="D3131" t="s">
        <v>2900</v>
      </c>
      <c r="E3131" s="3" t="s">
        <v>464</v>
      </c>
      <c r="F3131" s="4">
        <v>2.9300000000000001E-8</v>
      </c>
      <c r="G3131" s="3">
        <v>146</v>
      </c>
      <c r="H3131" s="3">
        <v>22</v>
      </c>
      <c r="I3131" s="3">
        <v>328</v>
      </c>
      <c r="J3131" s="3">
        <v>840</v>
      </c>
      <c r="K3131" s="3">
        <v>1760</v>
      </c>
      <c r="L3131" s="3">
        <v>33</v>
      </c>
      <c r="M3131" s="3">
        <v>334</v>
      </c>
    </row>
    <row r="3132" spans="1:13" x14ac:dyDescent="0.25">
      <c r="A3132" s="1" t="str">
        <f>HYPERLINK("http://www.rosaceae.org/Prunus/Prunus_persica/p.persica_gdr_reftransV1_0021318","p.persica_gdr_reftransV1_0021318")</f>
        <v>p.persica_gdr_reftransV1_0021318</v>
      </c>
      <c r="B3132" s="3">
        <v>1005</v>
      </c>
      <c r="C3132" s="1" t="str">
        <f>HYPERLINK("http://www.uniprot.org/uniprot/C3H17_ORYSJ","C3H17_ORYSJ")</f>
        <v>C3H17_ORYSJ</v>
      </c>
      <c r="D3132" t="s">
        <v>2901</v>
      </c>
      <c r="E3132" s="3" t="s">
        <v>38</v>
      </c>
      <c r="F3132" s="4">
        <v>1.76E-118</v>
      </c>
      <c r="G3132" s="3">
        <v>913</v>
      </c>
      <c r="H3132" s="3">
        <v>66</v>
      </c>
      <c r="I3132" s="3">
        <v>248</v>
      </c>
      <c r="J3132" s="3">
        <v>3</v>
      </c>
      <c r="K3132" s="3">
        <v>746</v>
      </c>
      <c r="L3132" s="3">
        <v>181</v>
      </c>
      <c r="M3132" s="3">
        <v>428</v>
      </c>
    </row>
    <row r="3133" spans="1:13" x14ac:dyDescent="0.25">
      <c r="A3133" s="1" t="str">
        <f>HYPERLINK("http://www.rosaceae.org/Prunus/Prunus_persica/p.persica_gdr_reftransV1_0021368","p.persica_gdr_reftransV1_0021368")</f>
        <v>p.persica_gdr_reftransV1_0021368</v>
      </c>
      <c r="B3133" s="3">
        <v>1122</v>
      </c>
      <c r="C3133" s="1" t="str">
        <f>HYPERLINK("http://www.uniprot.org/uniprot/PROSC_HUMAN","PROSC_HUMAN")</f>
        <v>PROSC_HUMAN</v>
      </c>
      <c r="D3133" t="s">
        <v>2902</v>
      </c>
      <c r="E3133" s="3" t="s">
        <v>28</v>
      </c>
      <c r="F3133" s="4">
        <v>1.85E-64</v>
      </c>
      <c r="G3133" s="3">
        <v>541</v>
      </c>
      <c r="H3133" s="3">
        <v>46</v>
      </c>
      <c r="I3133" s="3">
        <v>270</v>
      </c>
      <c r="J3133" s="3">
        <v>229</v>
      </c>
      <c r="K3133" s="3">
        <v>1014</v>
      </c>
      <c r="L3133" s="3">
        <v>17</v>
      </c>
      <c r="M3133" s="3">
        <v>252</v>
      </c>
    </row>
    <row r="3134" spans="1:13" x14ac:dyDescent="0.25">
      <c r="A3134" s="1" t="str">
        <f>HYPERLINK("http://www.rosaceae.org/Prunus/Prunus_persica/p.persica_gdr_reftransV1_0021418","p.persica_gdr_reftransV1_0021418")</f>
        <v>p.persica_gdr_reftransV1_0021418</v>
      </c>
      <c r="B3134" s="3">
        <v>1960</v>
      </c>
      <c r="C3134" s="1" t="str">
        <f>HYPERLINK("http://www.uniprot.org/uniprot/PSNA_ARATH","PSNA_ARATH")</f>
        <v>PSNA_ARATH</v>
      </c>
      <c r="D3134" t="s">
        <v>2903</v>
      </c>
      <c r="E3134" s="3" t="s">
        <v>3</v>
      </c>
      <c r="F3134" s="4">
        <v>2E-176</v>
      </c>
      <c r="G3134" s="3">
        <v>1331</v>
      </c>
      <c r="H3134" s="3">
        <v>64</v>
      </c>
      <c r="I3134" s="3">
        <v>478</v>
      </c>
      <c r="J3134" s="3">
        <v>443</v>
      </c>
      <c r="K3134" s="3">
        <v>1822</v>
      </c>
      <c r="L3134" s="3">
        <v>1</v>
      </c>
      <c r="M3134" s="3">
        <v>453</v>
      </c>
    </row>
    <row r="3135" spans="1:13" x14ac:dyDescent="0.25">
      <c r="A3135" s="1" t="str">
        <f>HYPERLINK("http://www.rosaceae.org/Prunus/Prunus_persica/p.persica_gdr_reftransV1_0021468","p.persica_gdr_reftransV1_0021468")</f>
        <v>p.persica_gdr_reftransV1_0021468</v>
      </c>
      <c r="B3135" s="3">
        <v>908</v>
      </c>
      <c r="C3135" s="1" t="str">
        <f>HYPERLINK("http://www.uniprot.org/uniprot/RS11_SOYBN","RS11_SOYBN")</f>
        <v>RS11_SOYBN</v>
      </c>
      <c r="D3135" t="s">
        <v>2904</v>
      </c>
      <c r="E3135" s="3" t="s">
        <v>307</v>
      </c>
      <c r="F3135" s="4">
        <v>4.15E-92</v>
      </c>
      <c r="G3135" s="3">
        <v>708</v>
      </c>
      <c r="H3135" s="3">
        <v>91</v>
      </c>
      <c r="I3135" s="3">
        <v>159</v>
      </c>
      <c r="J3135" s="3">
        <v>319</v>
      </c>
      <c r="K3135" s="3">
        <v>795</v>
      </c>
      <c r="L3135" s="3">
        <v>1</v>
      </c>
      <c r="M3135" s="3">
        <v>159</v>
      </c>
    </row>
    <row r="3136" spans="1:13" x14ac:dyDescent="0.25">
      <c r="A3136" s="1" t="str">
        <f>HYPERLINK("http://www.rosaceae.org/Prunus/Prunus_persica/p.persica_gdr_reftransV1_0021568","p.persica_gdr_reftransV1_0021568")</f>
        <v>p.persica_gdr_reftransV1_0021568</v>
      </c>
      <c r="B3136" s="3">
        <v>1703</v>
      </c>
      <c r="C3136" s="1" t="str">
        <f>HYPERLINK("http://www.uniprot.org/uniprot/Y5161_ARATH","Y5161_ARATH")</f>
        <v>Y5161_ARATH</v>
      </c>
      <c r="D3136" t="s">
        <v>2905</v>
      </c>
      <c r="E3136" s="3" t="s">
        <v>3</v>
      </c>
      <c r="F3136" s="4">
        <v>1.31E-11</v>
      </c>
      <c r="G3136" s="3">
        <v>164</v>
      </c>
      <c r="H3136" s="3">
        <v>36</v>
      </c>
      <c r="I3136" s="3">
        <v>98</v>
      </c>
      <c r="J3136" s="3">
        <v>1160</v>
      </c>
      <c r="K3136" s="3">
        <v>1450</v>
      </c>
      <c r="L3136" s="3">
        <v>56</v>
      </c>
      <c r="M3136" s="3">
        <v>152</v>
      </c>
    </row>
    <row r="3137" spans="1:13" x14ac:dyDescent="0.25">
      <c r="A3137" s="1" t="str">
        <f>HYPERLINK("http://www.rosaceae.org/Prunus/Prunus_persica/p.persica_gdr_reftransV1_0021768","p.persica_gdr_reftransV1_0021768")</f>
        <v>p.persica_gdr_reftransV1_0021768</v>
      </c>
      <c r="B3137" s="3">
        <v>2651</v>
      </c>
      <c r="C3137" s="1" t="str">
        <f>HYPERLINK("http://www.uniprot.org/uniprot/AEE18_ARATH","AEE18_ARATH")</f>
        <v>AEE18_ARATH</v>
      </c>
      <c r="D3137" t="s">
        <v>2906</v>
      </c>
      <c r="E3137" s="3" t="s">
        <v>3</v>
      </c>
      <c r="F3137" s="4">
        <v>0</v>
      </c>
      <c r="G3137" s="3">
        <v>2254</v>
      </c>
      <c r="H3137" s="3">
        <v>69</v>
      </c>
      <c r="I3137" s="3">
        <v>586</v>
      </c>
      <c r="J3137" s="3">
        <v>78</v>
      </c>
      <c r="K3137" s="3">
        <v>1823</v>
      </c>
      <c r="L3137" s="3">
        <v>3</v>
      </c>
      <c r="M3137" s="3">
        <v>584</v>
      </c>
    </row>
    <row r="3138" spans="1:13" x14ac:dyDescent="0.25">
      <c r="A3138" s="1" t="str">
        <f>HYPERLINK("http://www.rosaceae.org/Prunus/Prunus_persica/p.persica_gdr_reftransV1_0021968","p.persica_gdr_reftransV1_0021968")</f>
        <v>p.persica_gdr_reftransV1_0021968</v>
      </c>
      <c r="B3138" s="3">
        <v>3193</v>
      </c>
      <c r="C3138" s="1" t="str">
        <f>HYPERLINK("http://www.uniprot.org/uniprot/CYSZ_CUCMA","CYSZ_CUCMA")</f>
        <v>CYSZ_CUCMA</v>
      </c>
      <c r="D3138" t="s">
        <v>2907</v>
      </c>
      <c r="E3138" s="3" t="s">
        <v>1511</v>
      </c>
      <c r="F3138" s="4">
        <v>8.3100000000000001E-116</v>
      </c>
      <c r="G3138" s="3">
        <v>785</v>
      </c>
      <c r="H3138" s="3">
        <v>93</v>
      </c>
      <c r="I3138" s="3">
        <v>167</v>
      </c>
      <c r="J3138" s="3">
        <v>1206</v>
      </c>
      <c r="K3138" s="3">
        <v>1706</v>
      </c>
      <c r="L3138" s="3">
        <v>308</v>
      </c>
      <c r="M3138" s="3">
        <v>474</v>
      </c>
    </row>
    <row r="3139" spans="1:13" x14ac:dyDescent="0.25">
      <c r="A3139" s="1" t="str">
        <f>HYPERLINK("http://www.rosaceae.org/Prunus/Prunus_persica/p.persica_gdr_reftransV1_0022018","p.persica_gdr_reftransV1_0022018")</f>
        <v>p.persica_gdr_reftransV1_0022018</v>
      </c>
      <c r="B3139" s="3">
        <v>1054</v>
      </c>
      <c r="C3139" s="1" t="str">
        <f>HYPERLINK("http://www.uniprot.org/uniprot/EGC1_ARATH","EGC1_ARATH")</f>
        <v>EGC1_ARATH</v>
      </c>
      <c r="D3139" t="s">
        <v>2908</v>
      </c>
      <c r="E3139" s="3" t="s">
        <v>3</v>
      </c>
      <c r="F3139" s="4">
        <v>4.29E-8</v>
      </c>
      <c r="G3139" s="3">
        <v>132</v>
      </c>
      <c r="H3139" s="3">
        <v>38</v>
      </c>
      <c r="I3139" s="3">
        <v>85</v>
      </c>
      <c r="J3139" s="3">
        <v>327</v>
      </c>
      <c r="K3139" s="3">
        <v>575</v>
      </c>
      <c r="L3139" s="3">
        <v>44</v>
      </c>
      <c r="M3139" s="3">
        <v>121</v>
      </c>
    </row>
    <row r="3140" spans="1:13" x14ac:dyDescent="0.25">
      <c r="A3140" s="1" t="str">
        <f>HYPERLINK("http://www.rosaceae.org/Prunus/Prunus_persica/p.persica_gdr_reftransV1_0022068","p.persica_gdr_reftransV1_0022068")</f>
        <v>p.persica_gdr_reftransV1_0022068</v>
      </c>
      <c r="B3140" s="3">
        <v>2675</v>
      </c>
      <c r="C3140" s="1" t="str">
        <f>HYPERLINK("http://www.uniprot.org/uniprot/LRP1B_ARATH","LRP1B_ARATH")</f>
        <v>LRP1B_ARATH</v>
      </c>
      <c r="D3140" t="s">
        <v>2909</v>
      </c>
      <c r="E3140" s="3" t="s">
        <v>3</v>
      </c>
      <c r="F3140" s="4">
        <v>5.4499999999999999E-31</v>
      </c>
      <c r="G3140" s="3">
        <v>330</v>
      </c>
      <c r="H3140" s="3">
        <v>43</v>
      </c>
      <c r="I3140" s="3">
        <v>173</v>
      </c>
      <c r="J3140" s="3">
        <v>1570</v>
      </c>
      <c r="K3140" s="3">
        <v>2082</v>
      </c>
      <c r="L3140" s="3">
        <v>211</v>
      </c>
      <c r="M3140" s="3">
        <v>380</v>
      </c>
    </row>
    <row r="3141" spans="1:13" x14ac:dyDescent="0.25">
      <c r="A3141" s="1" t="str">
        <f>HYPERLINK("http://www.rosaceae.org/Prunus/Prunus_persica/p.persica_gdr_reftransV1_0022368","p.persica_gdr_reftransV1_0022368")</f>
        <v>p.persica_gdr_reftransV1_0022368</v>
      </c>
      <c r="B3141" s="3">
        <v>2247</v>
      </c>
      <c r="C3141" s="1" t="str">
        <f>HYPERLINK("http://www.uniprot.org/uniprot/PSBB_VITVI","PSBB_VITVI")</f>
        <v>PSBB_VITVI</v>
      </c>
      <c r="D3141" t="s">
        <v>2910</v>
      </c>
      <c r="E3141" s="3" t="s">
        <v>362</v>
      </c>
      <c r="F3141" s="4">
        <v>0</v>
      </c>
      <c r="G3141" s="3">
        <v>2579</v>
      </c>
      <c r="H3141" s="3">
        <v>99</v>
      </c>
      <c r="I3141" s="3">
        <v>508</v>
      </c>
      <c r="J3141" s="3">
        <v>348</v>
      </c>
      <c r="K3141" s="3">
        <v>1871</v>
      </c>
      <c r="L3141" s="3">
        <v>1</v>
      </c>
      <c r="M3141" s="3">
        <v>508</v>
      </c>
    </row>
    <row r="3142" spans="1:13" x14ac:dyDescent="0.25">
      <c r="A3142" s="1" t="str">
        <f>HYPERLINK("http://www.rosaceae.org/Prunus/Prunus_persica/p.persica_gdr_reftransV1_0022418","p.persica_gdr_reftransV1_0022418")</f>
        <v>p.persica_gdr_reftransV1_0022418</v>
      </c>
      <c r="B3142" s="3">
        <v>2922</v>
      </c>
      <c r="C3142" s="1" t="str">
        <f>HYPERLINK("http://www.uniprot.org/uniprot/ARAE1_ARATH","ARAE1_ARATH")</f>
        <v>ARAE1_ARATH</v>
      </c>
      <c r="D3142" t="s">
        <v>2911</v>
      </c>
      <c r="E3142" s="3" t="s">
        <v>3</v>
      </c>
      <c r="F3142" s="4">
        <v>2.26E-144</v>
      </c>
      <c r="G3142" s="3">
        <v>1140</v>
      </c>
      <c r="H3142" s="3">
        <v>88</v>
      </c>
      <c r="I3142" s="3">
        <v>246</v>
      </c>
      <c r="J3142" s="3">
        <v>594</v>
      </c>
      <c r="K3142" s="3">
        <v>1331</v>
      </c>
      <c r="L3142" s="3">
        <v>1</v>
      </c>
      <c r="M3142" s="3">
        <v>246</v>
      </c>
    </row>
    <row r="3143" spans="1:13" x14ac:dyDescent="0.25">
      <c r="A3143" s="1" t="str">
        <f>HYPERLINK("http://www.rosaceae.org/Prunus/Prunus_persica/p.persica_gdr_reftransV1_0022618","p.persica_gdr_reftransV1_0022618")</f>
        <v>p.persica_gdr_reftransV1_0022618</v>
      </c>
      <c r="B3143" s="3">
        <v>1510</v>
      </c>
      <c r="C3143" s="1" t="str">
        <f>HYPERLINK("http://www.uniprot.org/uniprot/PUM5_ARATH","PUM5_ARATH")</f>
        <v>PUM5_ARATH</v>
      </c>
      <c r="D3143" t="s">
        <v>1687</v>
      </c>
      <c r="E3143" s="3" t="s">
        <v>3</v>
      </c>
      <c r="F3143" s="4">
        <v>9.4399999999999994E-132</v>
      </c>
      <c r="G3143" s="3">
        <v>1060</v>
      </c>
      <c r="H3143" s="3">
        <v>75</v>
      </c>
      <c r="I3143" s="3">
        <v>253</v>
      </c>
      <c r="J3143" s="3">
        <v>3</v>
      </c>
      <c r="K3143" s="3">
        <v>761</v>
      </c>
      <c r="L3143" s="3">
        <v>695</v>
      </c>
      <c r="M3143" s="3">
        <v>947</v>
      </c>
    </row>
    <row r="3144" spans="1:13" x14ac:dyDescent="0.25">
      <c r="A3144" s="1" t="str">
        <f>HYPERLINK("http://www.rosaceae.org/Prunus/Prunus_persica/p.persica_gdr_reftransV1_0022668","p.persica_gdr_reftransV1_0022668")</f>
        <v>p.persica_gdr_reftransV1_0022668</v>
      </c>
      <c r="B3144" s="3">
        <v>3341</v>
      </c>
      <c r="C3144" s="1" t="str">
        <f>HYPERLINK("http://www.uniprot.org/uniprot/PP215_ARATH","PP215_ARATH")</f>
        <v>PP215_ARATH</v>
      </c>
      <c r="D3144" t="s">
        <v>289</v>
      </c>
      <c r="E3144" s="3" t="s">
        <v>3</v>
      </c>
      <c r="F3144" s="4">
        <v>2.5800000000000002E-9</v>
      </c>
      <c r="G3144" s="3">
        <v>141</v>
      </c>
      <c r="H3144" s="3">
        <v>44</v>
      </c>
      <c r="I3144" s="3">
        <v>94</v>
      </c>
      <c r="J3144" s="3">
        <v>1481</v>
      </c>
      <c r="K3144" s="3">
        <v>1756</v>
      </c>
      <c r="L3144" s="3">
        <v>358</v>
      </c>
      <c r="M3144" s="3">
        <v>449</v>
      </c>
    </row>
    <row r="3145" spans="1:13" x14ac:dyDescent="0.25">
      <c r="A3145" s="1" t="str">
        <f>HYPERLINK("http://www.rosaceae.org/Prunus/Prunus_persica/p.persica_gdr_reftransV1_0022768","p.persica_gdr_reftransV1_0022768")</f>
        <v>p.persica_gdr_reftransV1_0022768</v>
      </c>
      <c r="B3145" s="3">
        <v>3298</v>
      </c>
      <c r="C3145" s="1" t="str">
        <f>HYPERLINK("http://www.uniprot.org/uniprot/YTHD1_MOUSE","YTHD1_MOUSE")</f>
        <v>YTHD1_MOUSE</v>
      </c>
      <c r="D3145" t="s">
        <v>2912</v>
      </c>
      <c r="E3145" s="3" t="s">
        <v>157</v>
      </c>
      <c r="F3145" s="4">
        <v>6.3500000000000002E-56</v>
      </c>
      <c r="G3145" s="3">
        <v>531</v>
      </c>
      <c r="H3145" s="3">
        <v>56</v>
      </c>
      <c r="I3145" s="3">
        <v>172</v>
      </c>
      <c r="J3145" s="3">
        <v>699</v>
      </c>
      <c r="K3145" s="3">
        <v>1214</v>
      </c>
      <c r="L3145" s="3">
        <v>375</v>
      </c>
      <c r="M3145" s="3">
        <v>543</v>
      </c>
    </row>
    <row r="3146" spans="1:13" x14ac:dyDescent="0.25">
      <c r="A3146" s="1" t="str">
        <f>HYPERLINK("http://www.rosaceae.org/Prunus/Prunus_persica/p.persica_gdr_reftransV1_0022818","p.persica_gdr_reftransV1_0022818")</f>
        <v>p.persica_gdr_reftransV1_0022818</v>
      </c>
      <c r="B3146" s="3">
        <v>846</v>
      </c>
      <c r="C3146" s="1" t="str">
        <f>HYPERLINK("http://www.uniprot.org/uniprot/CYPR1_CYNCA","CYPR1_CYNCA")</f>
        <v>CYPR1_CYNCA</v>
      </c>
      <c r="D3146" t="s">
        <v>2913</v>
      </c>
      <c r="E3146" s="3" t="s">
        <v>2181</v>
      </c>
      <c r="F3146" s="4">
        <v>5.9900000000000002E-124</v>
      </c>
      <c r="G3146" s="3">
        <v>947</v>
      </c>
      <c r="H3146" s="3">
        <v>69</v>
      </c>
      <c r="I3146" s="3">
        <v>281</v>
      </c>
      <c r="J3146" s="3">
        <v>2</v>
      </c>
      <c r="K3146" s="3">
        <v>844</v>
      </c>
      <c r="L3146" s="3">
        <v>51</v>
      </c>
      <c r="M3146" s="3">
        <v>291</v>
      </c>
    </row>
    <row r="3147" spans="1:13" x14ac:dyDescent="0.25">
      <c r="A3147" s="1" t="str">
        <f>HYPERLINK("http://www.rosaceae.org/Prunus/Prunus_persica/p.persica_gdr_reftransV1_0023318","p.persica_gdr_reftransV1_0023318")</f>
        <v>p.persica_gdr_reftransV1_0023318</v>
      </c>
      <c r="B3147" s="3">
        <v>2145</v>
      </c>
      <c r="C3147" s="1" t="str">
        <f>HYPERLINK("http://www.uniprot.org/uniprot/KSG8_ARATH","KSG8_ARATH")</f>
        <v>KSG8_ARATH</v>
      </c>
      <c r="D3147" t="s">
        <v>2914</v>
      </c>
      <c r="E3147" s="3" t="s">
        <v>3</v>
      </c>
      <c r="F3147" s="4">
        <v>0</v>
      </c>
      <c r="G3147" s="3">
        <v>2058</v>
      </c>
      <c r="H3147" s="3">
        <v>80</v>
      </c>
      <c r="I3147" s="3">
        <v>474</v>
      </c>
      <c r="J3147" s="3">
        <v>451</v>
      </c>
      <c r="K3147" s="3">
        <v>1872</v>
      </c>
      <c r="L3147" s="3">
        <v>1</v>
      </c>
      <c r="M3147" s="3">
        <v>467</v>
      </c>
    </row>
    <row r="3148" spans="1:13" x14ac:dyDescent="0.25">
      <c r="A3148" s="1" t="str">
        <f>HYPERLINK("http://www.rosaceae.org/Prunus/Prunus_persica/p.persica_gdr_reftransV1_0023518","p.persica_gdr_reftransV1_0023518")</f>
        <v>p.persica_gdr_reftransV1_0023518</v>
      </c>
      <c r="B3148" s="3">
        <v>1881</v>
      </c>
      <c r="C3148" s="1" t="str">
        <f>HYPERLINK("http://www.uniprot.org/uniprot/DUS2L_HUMAN","DUS2L_HUMAN")</f>
        <v>DUS2L_HUMAN</v>
      </c>
      <c r="D3148" t="s">
        <v>2915</v>
      </c>
      <c r="E3148" s="3" t="s">
        <v>28</v>
      </c>
      <c r="F3148" s="4">
        <v>1.5E-64</v>
      </c>
      <c r="G3148" s="3">
        <v>576</v>
      </c>
      <c r="H3148" s="3">
        <v>61</v>
      </c>
      <c r="I3148" s="3">
        <v>176</v>
      </c>
      <c r="J3148" s="3">
        <v>1235</v>
      </c>
      <c r="K3148" s="3">
        <v>1762</v>
      </c>
      <c r="L3148" s="3">
        <v>10</v>
      </c>
      <c r="M3148" s="3">
        <v>184</v>
      </c>
    </row>
    <row r="3149" spans="1:13" x14ac:dyDescent="0.25">
      <c r="A3149" s="1" t="str">
        <f>HYPERLINK("http://www.rosaceae.org/Prunus/Prunus_persica/p.persica_gdr_reftransV1_0023868","p.persica_gdr_reftransV1_0023868")</f>
        <v>p.persica_gdr_reftransV1_0023868</v>
      </c>
      <c r="B3149" s="3">
        <v>1373</v>
      </c>
      <c r="C3149" s="1" t="str">
        <f>HYPERLINK("http://www.uniprot.org/uniprot/AOX1A_ARATH","AOX1A_ARATH")</f>
        <v>AOX1A_ARATH</v>
      </c>
      <c r="D3149" t="s">
        <v>2916</v>
      </c>
      <c r="E3149" s="3" t="s">
        <v>3</v>
      </c>
      <c r="F3149" s="4">
        <v>0</v>
      </c>
      <c r="G3149" s="3">
        <v>1337</v>
      </c>
      <c r="H3149" s="3">
        <v>82</v>
      </c>
      <c r="I3149" s="3">
        <v>296</v>
      </c>
      <c r="J3149" s="3">
        <v>221</v>
      </c>
      <c r="K3149" s="3">
        <v>1105</v>
      </c>
      <c r="L3149" s="3">
        <v>59</v>
      </c>
      <c r="M3149" s="3">
        <v>354</v>
      </c>
    </row>
    <row r="3150" spans="1:13" x14ac:dyDescent="0.25">
      <c r="A3150" s="1" t="str">
        <f>HYPERLINK("http://www.rosaceae.org/Prunus/Prunus_persica/p.persica_gdr_reftransV1_0023918","p.persica_gdr_reftransV1_0023918")</f>
        <v>p.persica_gdr_reftransV1_0023918</v>
      </c>
      <c r="B3150" s="3">
        <v>2154</v>
      </c>
      <c r="C3150" s="1" t="str">
        <f>HYPERLINK("http://www.uniprot.org/uniprot/PFPB_RICCO","PFPB_RICCO")</f>
        <v>PFPB_RICCO</v>
      </c>
      <c r="D3150" t="s">
        <v>1519</v>
      </c>
      <c r="E3150" s="3" t="s">
        <v>421</v>
      </c>
      <c r="F3150" s="4">
        <v>0</v>
      </c>
      <c r="G3150" s="3">
        <v>1502</v>
      </c>
      <c r="H3150" s="3">
        <v>81</v>
      </c>
      <c r="I3150" s="3">
        <v>380</v>
      </c>
      <c r="J3150" s="3">
        <v>893</v>
      </c>
      <c r="K3150" s="3">
        <v>2032</v>
      </c>
      <c r="L3150" s="3">
        <v>7</v>
      </c>
      <c r="M3150" s="3">
        <v>386</v>
      </c>
    </row>
    <row r="3151" spans="1:13" x14ac:dyDescent="0.25">
      <c r="A3151" s="1" t="str">
        <f>HYPERLINK("http://www.rosaceae.org/Prunus/Prunus_persica/p.persica_gdr_reftransV1_0023968","p.persica_gdr_reftransV1_0023968")</f>
        <v>p.persica_gdr_reftransV1_0023968</v>
      </c>
      <c r="B3151" s="3">
        <v>1901</v>
      </c>
      <c r="C3151" s="1" t="str">
        <f>HYPERLINK("http://www.uniprot.org/uniprot/GAE1_ARATH","GAE1_ARATH")</f>
        <v>GAE1_ARATH</v>
      </c>
      <c r="D3151" t="s">
        <v>2917</v>
      </c>
      <c r="E3151" s="3" t="s">
        <v>3</v>
      </c>
      <c r="F3151" s="4">
        <v>0</v>
      </c>
      <c r="G3151" s="3">
        <v>1993</v>
      </c>
      <c r="H3151" s="3">
        <v>89</v>
      </c>
      <c r="I3151" s="3">
        <v>426</v>
      </c>
      <c r="J3151" s="3">
        <v>194</v>
      </c>
      <c r="K3151" s="3">
        <v>1471</v>
      </c>
      <c r="L3151" s="3">
        <v>1</v>
      </c>
      <c r="M3151" s="3">
        <v>422</v>
      </c>
    </row>
    <row r="3152" spans="1:13" x14ac:dyDescent="0.25">
      <c r="A3152" s="1" t="str">
        <f>HYPERLINK("http://www.rosaceae.org/Prunus/Prunus_persica/p.persica_gdr_reftransV1_0024018","p.persica_gdr_reftransV1_0024018")</f>
        <v>p.persica_gdr_reftransV1_0024018</v>
      </c>
      <c r="B3152" s="3">
        <v>2358</v>
      </c>
      <c r="C3152" s="1" t="str">
        <f>HYPERLINK("http://www.uniprot.org/uniprot/RCA_MALDO","RCA_MALDO")</f>
        <v>RCA_MALDO</v>
      </c>
      <c r="D3152" t="s">
        <v>539</v>
      </c>
      <c r="E3152" s="3" t="s">
        <v>540</v>
      </c>
      <c r="F3152" s="4">
        <v>0</v>
      </c>
      <c r="G3152" s="3">
        <v>2106</v>
      </c>
      <c r="H3152" s="3">
        <v>88</v>
      </c>
      <c r="I3152" s="3">
        <v>472</v>
      </c>
      <c r="J3152" s="3">
        <v>369</v>
      </c>
      <c r="K3152" s="3">
        <v>1784</v>
      </c>
      <c r="L3152" s="3">
        <v>1</v>
      </c>
      <c r="M3152" s="3">
        <v>437</v>
      </c>
    </row>
    <row r="3153" spans="1:13" x14ac:dyDescent="0.25">
      <c r="A3153" s="1" t="str">
        <f>HYPERLINK("http://www.rosaceae.org/Prunus/Prunus_persica/p.persica_gdr_reftransV1_0024068","p.persica_gdr_reftransV1_0024068")</f>
        <v>p.persica_gdr_reftransV1_0024068</v>
      </c>
      <c r="B3153" s="3">
        <v>2371</v>
      </c>
      <c r="C3153" s="1" t="str">
        <f>HYPERLINK("http://www.uniprot.org/uniprot/ACOT9_HUMAN","ACOT9_HUMAN")</f>
        <v>ACOT9_HUMAN</v>
      </c>
      <c r="D3153" t="s">
        <v>2918</v>
      </c>
      <c r="E3153" s="3" t="s">
        <v>28</v>
      </c>
      <c r="F3153" s="4">
        <v>9.6099999999999997E-42</v>
      </c>
      <c r="G3153" s="3">
        <v>410</v>
      </c>
      <c r="H3153" s="3">
        <v>36</v>
      </c>
      <c r="I3153" s="3">
        <v>302</v>
      </c>
      <c r="J3153" s="3">
        <v>648</v>
      </c>
      <c r="K3153" s="3">
        <v>1523</v>
      </c>
      <c r="L3153" s="3">
        <v>72</v>
      </c>
      <c r="M3153" s="3">
        <v>365</v>
      </c>
    </row>
    <row r="3154" spans="1:13" x14ac:dyDescent="0.25">
      <c r="A3154" s="1" t="str">
        <f>HYPERLINK("http://www.rosaceae.org/Prunus/Prunus_persica/p.persica_gdr_reftransV1_0024268","p.persica_gdr_reftransV1_0024268")</f>
        <v>p.persica_gdr_reftransV1_0024268</v>
      </c>
      <c r="B3154" s="3">
        <v>2952</v>
      </c>
      <c r="C3154" s="1" t="str">
        <f>HYPERLINK("http://www.uniprot.org/uniprot/DYRK2_DICDI","DYRK2_DICDI")</f>
        <v>DYRK2_DICDI</v>
      </c>
      <c r="D3154" t="s">
        <v>2919</v>
      </c>
      <c r="E3154" s="3" t="s">
        <v>9</v>
      </c>
      <c r="F3154" s="4">
        <v>1.9999999999999999E-49</v>
      </c>
      <c r="G3154" s="3">
        <v>490</v>
      </c>
      <c r="H3154" s="3">
        <v>44</v>
      </c>
      <c r="I3154" s="3">
        <v>214</v>
      </c>
      <c r="J3154" s="3">
        <v>1424</v>
      </c>
      <c r="K3154" s="3">
        <v>2065</v>
      </c>
      <c r="L3154" s="3">
        <v>592</v>
      </c>
      <c r="M3154" s="3">
        <v>801</v>
      </c>
    </row>
    <row r="3155" spans="1:13" x14ac:dyDescent="0.25">
      <c r="A3155" s="1" t="str">
        <f>HYPERLINK("http://www.rosaceae.org/Prunus/Prunus_persica/p.persica_gdr_reftransV1_0024418","p.persica_gdr_reftransV1_0024418")</f>
        <v>p.persica_gdr_reftransV1_0024418</v>
      </c>
      <c r="B3155" s="3">
        <v>2574</v>
      </c>
      <c r="C3155" s="1" t="str">
        <f>HYPERLINK("http://www.uniprot.org/uniprot/AL221_ARATH","AL221_ARATH")</f>
        <v>AL221_ARATH</v>
      </c>
      <c r="D3155" t="s">
        <v>2920</v>
      </c>
      <c r="E3155" s="3" t="s">
        <v>3</v>
      </c>
      <c r="F3155" s="4">
        <v>0</v>
      </c>
      <c r="G3155" s="3">
        <v>1704</v>
      </c>
      <c r="H3155" s="3">
        <v>83</v>
      </c>
      <c r="I3155" s="3">
        <v>372</v>
      </c>
      <c r="J3155" s="3">
        <v>1193</v>
      </c>
      <c r="K3155" s="3">
        <v>2308</v>
      </c>
      <c r="L3155" s="3">
        <v>223</v>
      </c>
      <c r="M3155" s="3">
        <v>594</v>
      </c>
    </row>
    <row r="3156" spans="1:13" x14ac:dyDescent="0.25">
      <c r="A3156" s="1" t="str">
        <f>HYPERLINK("http://www.rosaceae.org/Prunus/Prunus_persica/p.persica_gdr_reftransV1_0024518","p.persica_gdr_reftransV1_0024518")</f>
        <v>p.persica_gdr_reftransV1_0024518</v>
      </c>
      <c r="B3156" s="3">
        <v>2220</v>
      </c>
      <c r="C3156" s="1" t="str">
        <f>HYPERLINK("http://www.uniprot.org/uniprot/PEX14_ARATH","PEX14_ARATH")</f>
        <v>PEX14_ARATH</v>
      </c>
      <c r="D3156" t="s">
        <v>2921</v>
      </c>
      <c r="E3156" s="3" t="s">
        <v>3</v>
      </c>
      <c r="F3156" s="4">
        <v>8.9900000000000001E-85</v>
      </c>
      <c r="G3156" s="3">
        <v>725</v>
      </c>
      <c r="H3156" s="3">
        <v>51</v>
      </c>
      <c r="I3156" s="3">
        <v>447</v>
      </c>
      <c r="J3156" s="3">
        <v>790</v>
      </c>
      <c r="K3156" s="3">
        <v>2100</v>
      </c>
      <c r="L3156" s="3">
        <v>1</v>
      </c>
      <c r="M3156" s="3">
        <v>413</v>
      </c>
    </row>
    <row r="3157" spans="1:13" x14ac:dyDescent="0.25">
      <c r="A3157" s="1" t="str">
        <f>HYPERLINK("http://www.rosaceae.org/Prunus/Prunus_persica/p.persica_gdr_reftransV1_0024718","p.persica_gdr_reftransV1_0024718")</f>
        <v>p.persica_gdr_reftransV1_0024718</v>
      </c>
      <c r="B3157" s="3">
        <v>820</v>
      </c>
      <c r="C3157" s="1" t="str">
        <f>HYPERLINK("http://www.uniprot.org/uniprot/G2OX8_ARATH","G2OX8_ARATH")</f>
        <v>G2OX8_ARATH</v>
      </c>
      <c r="D3157" t="s">
        <v>2922</v>
      </c>
      <c r="E3157" s="3" t="s">
        <v>3</v>
      </c>
      <c r="F3157" s="4">
        <v>1.25E-42</v>
      </c>
      <c r="G3157" s="3">
        <v>389</v>
      </c>
      <c r="H3157" s="3">
        <v>40</v>
      </c>
      <c r="I3157" s="3">
        <v>191</v>
      </c>
      <c r="J3157" s="3">
        <v>235</v>
      </c>
      <c r="K3157" s="3">
        <v>795</v>
      </c>
      <c r="L3157" s="3">
        <v>143</v>
      </c>
      <c r="M3157" s="3">
        <v>333</v>
      </c>
    </row>
    <row r="3158" spans="1:13" x14ac:dyDescent="0.25">
      <c r="A3158" s="1" t="str">
        <f>HYPERLINK("http://www.rosaceae.org/Prunus/Prunus_persica/p.persica_gdr_reftransV1_0024868","p.persica_gdr_reftransV1_0024868")</f>
        <v>p.persica_gdr_reftransV1_0024868</v>
      </c>
      <c r="B3158" s="3">
        <v>955</v>
      </c>
      <c r="C3158" s="1" t="str">
        <f>HYPERLINK("http://www.uniprot.org/uniprot/SDL5A_SOYBN","SDL5A_SOYBN")</f>
        <v>SDL5A_SOYBN</v>
      </c>
      <c r="D3158" t="s">
        <v>1365</v>
      </c>
      <c r="E3158" s="3" t="s">
        <v>307</v>
      </c>
      <c r="F3158" s="4">
        <v>1.02E-144</v>
      </c>
      <c r="G3158" s="3">
        <v>1101</v>
      </c>
      <c r="H3158" s="3">
        <v>81</v>
      </c>
      <c r="I3158" s="3">
        <v>246</v>
      </c>
      <c r="J3158" s="3">
        <v>3</v>
      </c>
      <c r="K3158" s="3">
        <v>740</v>
      </c>
      <c r="L3158" s="3">
        <v>365</v>
      </c>
      <c r="M3158" s="3">
        <v>610</v>
      </c>
    </row>
    <row r="3159" spans="1:13" x14ac:dyDescent="0.25">
      <c r="A3159" s="1" t="str">
        <f>HYPERLINK("http://www.rosaceae.org/Prunus/Prunus_persica/p.persica_gdr_reftransV1_0024918","p.persica_gdr_reftransV1_0024918")</f>
        <v>p.persica_gdr_reftransV1_0024918</v>
      </c>
      <c r="B3159" s="3">
        <v>2216</v>
      </c>
      <c r="C3159" s="1" t="str">
        <f>HYPERLINK("http://www.uniprot.org/uniprot/GLPK_ARATH","GLPK_ARATH")</f>
        <v>GLPK_ARATH</v>
      </c>
      <c r="D3159" t="s">
        <v>2923</v>
      </c>
      <c r="E3159" s="3" t="s">
        <v>3</v>
      </c>
      <c r="F3159" s="4">
        <v>0</v>
      </c>
      <c r="G3159" s="3">
        <v>2068</v>
      </c>
      <c r="H3159" s="3">
        <v>81</v>
      </c>
      <c r="I3159" s="3">
        <v>513</v>
      </c>
      <c r="J3159" s="3">
        <v>553</v>
      </c>
      <c r="K3159" s="3">
        <v>2091</v>
      </c>
      <c r="L3159" s="3">
        <v>7</v>
      </c>
      <c r="M3159" s="3">
        <v>519</v>
      </c>
    </row>
    <row r="3160" spans="1:13" x14ac:dyDescent="0.25">
      <c r="A3160" s="1" t="str">
        <f>HYPERLINK("http://www.rosaceae.org/Prunus/Prunus_persica/p.persica_gdr_reftransV1_0025068","p.persica_gdr_reftransV1_0025068")</f>
        <v>p.persica_gdr_reftransV1_0025068</v>
      </c>
      <c r="B3160" s="3">
        <v>2941</v>
      </c>
      <c r="C3160" s="1" t="str">
        <f>HYPERLINK("http://www.uniprot.org/uniprot/P2C57_ORYSJ","P2C57_ORYSJ")</f>
        <v>P2C57_ORYSJ</v>
      </c>
      <c r="D3160" t="s">
        <v>2924</v>
      </c>
      <c r="E3160" s="3" t="s">
        <v>38</v>
      </c>
      <c r="F3160" s="4">
        <v>1.94E-97</v>
      </c>
      <c r="G3160" s="3">
        <v>814</v>
      </c>
      <c r="H3160" s="3">
        <v>80</v>
      </c>
      <c r="I3160" s="3">
        <v>194</v>
      </c>
      <c r="J3160" s="3">
        <v>2084</v>
      </c>
      <c r="K3160" s="3">
        <v>2662</v>
      </c>
      <c r="L3160" s="3">
        <v>172</v>
      </c>
      <c r="M3160" s="3">
        <v>365</v>
      </c>
    </row>
    <row r="3161" spans="1:13" x14ac:dyDescent="0.25">
      <c r="A3161" s="1" t="str">
        <f>HYPERLINK("http://www.rosaceae.org/Prunus/Prunus_persica/p.persica_gdr_reftransV1_0025168","p.persica_gdr_reftransV1_0025168")</f>
        <v>p.persica_gdr_reftransV1_0025168</v>
      </c>
      <c r="B3161" s="3">
        <v>1373</v>
      </c>
      <c r="C3161" s="1" t="str">
        <f>HYPERLINK("http://www.uniprot.org/uniprot/SF3B4_HUMAN","SF3B4_HUMAN")</f>
        <v>SF3B4_HUMAN</v>
      </c>
      <c r="D3161" t="s">
        <v>2925</v>
      </c>
      <c r="E3161" s="3" t="s">
        <v>28</v>
      </c>
      <c r="F3161" s="4">
        <v>9.9500000000000005E-14</v>
      </c>
      <c r="G3161" s="3">
        <v>187</v>
      </c>
      <c r="H3161" s="3">
        <v>37</v>
      </c>
      <c r="I3161" s="3">
        <v>82</v>
      </c>
      <c r="J3161" s="3">
        <v>990</v>
      </c>
      <c r="K3161" s="3">
        <v>1235</v>
      </c>
      <c r="L3161" s="3">
        <v>5</v>
      </c>
      <c r="M3161" s="3">
        <v>85</v>
      </c>
    </row>
    <row r="3162" spans="1:13" x14ac:dyDescent="0.25">
      <c r="A3162" s="1" t="str">
        <f>HYPERLINK("http://www.rosaceae.org/Prunus/Prunus_persica/p.persica_gdr_reftransV1_0025268","p.persica_gdr_reftransV1_0025268")</f>
        <v>p.persica_gdr_reftransV1_0025268</v>
      </c>
      <c r="B3162" s="3">
        <v>3619</v>
      </c>
      <c r="C3162" s="1" t="str">
        <f>HYPERLINK("http://www.uniprot.org/uniprot/GTE8_ARATH","GTE8_ARATH")</f>
        <v>GTE8_ARATH</v>
      </c>
      <c r="D3162" t="s">
        <v>2926</v>
      </c>
      <c r="E3162" s="3" t="s">
        <v>3</v>
      </c>
      <c r="F3162" s="4">
        <v>8.9400000000000003E-124</v>
      </c>
      <c r="G3162" s="3">
        <v>1048</v>
      </c>
      <c r="H3162" s="3">
        <v>49</v>
      </c>
      <c r="I3162" s="3">
        <v>555</v>
      </c>
      <c r="J3162" s="3">
        <v>713</v>
      </c>
      <c r="K3162" s="3">
        <v>2365</v>
      </c>
      <c r="L3162" s="3">
        <v>9</v>
      </c>
      <c r="M3162" s="3">
        <v>522</v>
      </c>
    </row>
    <row r="3163" spans="1:13" x14ac:dyDescent="0.25">
      <c r="A3163" s="1" t="str">
        <f>HYPERLINK("http://www.rosaceae.org/Prunus/Prunus_persica/p.persica_gdr_reftransV1_0025318","p.persica_gdr_reftransV1_0025318")</f>
        <v>p.persica_gdr_reftransV1_0025318</v>
      </c>
      <c r="B3163" s="3">
        <v>3285</v>
      </c>
      <c r="C3163" s="1" t="str">
        <f>HYPERLINK("http://www.uniprot.org/uniprot/SRF1_ARATH","SRF1_ARATH")</f>
        <v>SRF1_ARATH</v>
      </c>
      <c r="D3163" t="s">
        <v>2927</v>
      </c>
      <c r="E3163" s="3" t="s">
        <v>3</v>
      </c>
      <c r="F3163" s="4">
        <v>0</v>
      </c>
      <c r="G3163" s="3">
        <v>1542</v>
      </c>
      <c r="H3163" s="3">
        <v>51</v>
      </c>
      <c r="I3163" s="3">
        <v>759</v>
      </c>
      <c r="J3163" s="3">
        <v>547</v>
      </c>
      <c r="K3163" s="3">
        <v>2748</v>
      </c>
      <c r="L3163" s="3">
        <v>17</v>
      </c>
      <c r="M3163" s="3">
        <v>756</v>
      </c>
    </row>
    <row r="3164" spans="1:13" x14ac:dyDescent="0.25">
      <c r="A3164" s="1" t="str">
        <f>HYPERLINK("http://www.rosaceae.org/Prunus/Prunus_persica/p.persica_gdr_reftransV1_0025518","p.persica_gdr_reftransV1_0025518")</f>
        <v>p.persica_gdr_reftransV1_0025518</v>
      </c>
      <c r="B3164" s="3">
        <v>3185</v>
      </c>
      <c r="C3164" s="1" t="str">
        <f>HYPERLINK("http://www.uniprot.org/uniprot/SPL7_ARATH","SPL7_ARATH")</f>
        <v>SPL7_ARATH</v>
      </c>
      <c r="D3164" t="s">
        <v>2928</v>
      </c>
      <c r="E3164" s="3" t="s">
        <v>3</v>
      </c>
      <c r="F3164" s="4">
        <v>7.6900000000000001E-170</v>
      </c>
      <c r="G3164" s="3">
        <v>961</v>
      </c>
      <c r="H3164" s="3">
        <v>44</v>
      </c>
      <c r="I3164" s="3">
        <v>474</v>
      </c>
      <c r="J3164" s="3">
        <v>1234</v>
      </c>
      <c r="K3164" s="3">
        <v>2640</v>
      </c>
      <c r="L3164" s="3">
        <v>342</v>
      </c>
      <c r="M3164" s="3">
        <v>794</v>
      </c>
    </row>
    <row r="3165" spans="1:13" x14ac:dyDescent="0.25">
      <c r="A3165" s="1" t="str">
        <f>HYPERLINK("http://www.rosaceae.org/Prunus/Prunus_persica/p.persica_gdr_reftransV1_0025618","p.persica_gdr_reftransV1_0025618")</f>
        <v>p.persica_gdr_reftransV1_0025618</v>
      </c>
      <c r="B3165" s="3">
        <v>1910</v>
      </c>
      <c r="C3165" s="1" t="str">
        <f>HYPERLINK("http://www.uniprot.org/uniprot/FB252_ARATH","FB252_ARATH")</f>
        <v>FB252_ARATH</v>
      </c>
      <c r="D3165" t="s">
        <v>2929</v>
      </c>
      <c r="E3165" s="3" t="s">
        <v>3</v>
      </c>
      <c r="F3165" s="4">
        <v>0</v>
      </c>
      <c r="G3165" s="3">
        <v>1788</v>
      </c>
      <c r="H3165" s="3">
        <v>76</v>
      </c>
      <c r="I3165" s="3">
        <v>460</v>
      </c>
      <c r="J3165" s="3">
        <v>312</v>
      </c>
      <c r="K3165" s="3">
        <v>1688</v>
      </c>
      <c r="L3165" s="3">
        <v>46</v>
      </c>
      <c r="M3165" s="3">
        <v>502</v>
      </c>
    </row>
    <row r="3166" spans="1:13" x14ac:dyDescent="0.25">
      <c r="A3166" s="1" t="str">
        <f>HYPERLINK("http://www.rosaceae.org/Prunus/Prunus_persica/p.persica_gdr_reftransV1_0025818","p.persica_gdr_reftransV1_0025818")</f>
        <v>p.persica_gdr_reftransV1_0025818</v>
      </c>
      <c r="B3166" s="3">
        <v>2329</v>
      </c>
      <c r="C3166" s="1" t="str">
        <f>HYPERLINK("http://www.uniprot.org/uniprot/MNS5_ARATH","MNS5_ARATH")</f>
        <v>MNS5_ARATH</v>
      </c>
      <c r="D3166" t="s">
        <v>2930</v>
      </c>
      <c r="E3166" s="3" t="s">
        <v>3</v>
      </c>
      <c r="F3166" s="4">
        <v>6.45E-70</v>
      </c>
      <c r="G3166" s="3">
        <v>627</v>
      </c>
      <c r="H3166" s="3">
        <v>63</v>
      </c>
      <c r="I3166" s="3">
        <v>185</v>
      </c>
      <c r="J3166" s="3">
        <v>324</v>
      </c>
      <c r="K3166" s="3">
        <v>878</v>
      </c>
      <c r="L3166" s="3">
        <v>388</v>
      </c>
      <c r="M3166" s="3">
        <v>571</v>
      </c>
    </row>
    <row r="3167" spans="1:13" x14ac:dyDescent="0.25">
      <c r="A3167" s="1" t="str">
        <f>HYPERLINK("http://www.rosaceae.org/Prunus/Prunus_persica/p.persica_gdr_reftransV1_0025868","p.persica_gdr_reftransV1_0025868")</f>
        <v>p.persica_gdr_reftransV1_0025868</v>
      </c>
      <c r="B3167" s="3">
        <v>2121</v>
      </c>
      <c r="C3167" s="1" t="str">
        <f>HYPERLINK("http://www.uniprot.org/uniprot/TBL5_ARATH","TBL5_ARATH")</f>
        <v>TBL5_ARATH</v>
      </c>
      <c r="D3167" t="s">
        <v>2931</v>
      </c>
      <c r="E3167" s="3" t="s">
        <v>3</v>
      </c>
      <c r="F3167" s="4">
        <v>0</v>
      </c>
      <c r="G3167" s="3">
        <v>1597</v>
      </c>
      <c r="H3167" s="3">
        <v>81</v>
      </c>
      <c r="I3167" s="3">
        <v>343</v>
      </c>
      <c r="J3167" s="3">
        <v>542</v>
      </c>
      <c r="K3167" s="3">
        <v>1567</v>
      </c>
      <c r="L3167" s="3">
        <v>140</v>
      </c>
      <c r="M3167" s="3">
        <v>482</v>
      </c>
    </row>
    <row r="3168" spans="1:13" x14ac:dyDescent="0.25">
      <c r="A3168" s="1" t="str">
        <f>HYPERLINK("http://www.rosaceae.org/Prunus/Prunus_persica/p.persica_gdr_reftransV1_0025918","p.persica_gdr_reftransV1_0025918")</f>
        <v>p.persica_gdr_reftransV1_0025918</v>
      </c>
      <c r="B3168" s="3">
        <v>1011</v>
      </c>
      <c r="C3168" s="1" t="str">
        <f>HYPERLINK("http://www.uniprot.org/uniprot/PUB21_ARATH","PUB21_ARATH")</f>
        <v>PUB21_ARATH</v>
      </c>
      <c r="D3168" t="s">
        <v>423</v>
      </c>
      <c r="E3168" s="3" t="s">
        <v>3</v>
      </c>
      <c r="F3168" s="4">
        <v>6.9700000000000002E-69</v>
      </c>
      <c r="G3168" s="3">
        <v>580</v>
      </c>
      <c r="H3168" s="3">
        <v>45</v>
      </c>
      <c r="I3168" s="3">
        <v>285</v>
      </c>
      <c r="J3168" s="3">
        <v>57</v>
      </c>
      <c r="K3168" s="3">
        <v>893</v>
      </c>
      <c r="L3168" s="3">
        <v>6</v>
      </c>
      <c r="M3168" s="3">
        <v>284</v>
      </c>
    </row>
    <row r="3169" spans="1:13" x14ac:dyDescent="0.25">
      <c r="A3169" s="1" t="str">
        <f>HYPERLINK("http://www.rosaceae.org/Prunus/Prunus_persica/p.persica_gdr_reftransV1_0025968","p.persica_gdr_reftransV1_0025968")</f>
        <v>p.persica_gdr_reftransV1_0025968</v>
      </c>
      <c r="B3169" s="3">
        <v>1419</v>
      </c>
      <c r="C3169" s="1" t="str">
        <f>HYPERLINK("http://www.uniprot.org/uniprot/SAMT_CLABR","SAMT_CLABR")</f>
        <v>SAMT_CLABR</v>
      </c>
      <c r="D3169" t="s">
        <v>1082</v>
      </c>
      <c r="E3169" s="3" t="s">
        <v>1083</v>
      </c>
      <c r="F3169" s="4">
        <v>5.2799999999999999E-76</v>
      </c>
      <c r="G3169" s="3">
        <v>405</v>
      </c>
      <c r="H3169" s="3">
        <v>50</v>
      </c>
      <c r="I3169" s="3">
        <v>163</v>
      </c>
      <c r="J3169" s="3">
        <v>844</v>
      </c>
      <c r="K3169" s="3">
        <v>1326</v>
      </c>
      <c r="L3169" s="3">
        <v>1</v>
      </c>
      <c r="M3169" s="3">
        <v>155</v>
      </c>
    </row>
    <row r="3170" spans="1:13" x14ac:dyDescent="0.25">
      <c r="A3170" s="1" t="str">
        <f>HYPERLINK("http://www.rosaceae.org/Prunus/Prunus_persica/p.persica_gdr_reftransV1_0026018","p.persica_gdr_reftransV1_0026018")</f>
        <v>p.persica_gdr_reftransV1_0026018</v>
      </c>
      <c r="B3170" s="3">
        <v>2388</v>
      </c>
      <c r="C3170" s="1" t="str">
        <f>HYPERLINK("http://www.uniprot.org/uniprot/PUR8_PSEAE","PUR8_PSEAE")</f>
        <v>PUR8_PSEAE</v>
      </c>
      <c r="D3170" t="s">
        <v>2932</v>
      </c>
      <c r="E3170" s="3" t="s">
        <v>2933</v>
      </c>
      <c r="F3170" s="4">
        <v>0</v>
      </c>
      <c r="G3170" s="3">
        <v>1515</v>
      </c>
      <c r="H3170" s="3">
        <v>61</v>
      </c>
      <c r="I3170" s="3">
        <v>455</v>
      </c>
      <c r="J3170" s="3">
        <v>379</v>
      </c>
      <c r="K3170" s="3">
        <v>1740</v>
      </c>
      <c r="L3170" s="3">
        <v>2</v>
      </c>
      <c r="M3170" s="3">
        <v>456</v>
      </c>
    </row>
    <row r="3171" spans="1:13" x14ac:dyDescent="0.25">
      <c r="A3171" s="1" t="str">
        <f>HYPERLINK("http://www.rosaceae.org/Prunus/Prunus_persica/p.persica_gdr_reftransV1_0026518","p.persica_gdr_reftransV1_0026518")</f>
        <v>p.persica_gdr_reftransV1_0026518</v>
      </c>
      <c r="B3171" s="3">
        <v>1603</v>
      </c>
      <c r="C3171" s="1" t="str">
        <f>HYPERLINK("http://www.uniprot.org/uniprot/CIPKQ_ARATH","CIPKQ_ARATH")</f>
        <v>CIPKQ_ARATH</v>
      </c>
      <c r="D3171" t="s">
        <v>2934</v>
      </c>
      <c r="E3171" s="3" t="s">
        <v>3</v>
      </c>
      <c r="F3171" s="4">
        <v>1.4199999999999999E-75</v>
      </c>
      <c r="G3171" s="3">
        <v>450</v>
      </c>
      <c r="H3171" s="3">
        <v>72</v>
      </c>
      <c r="I3171" s="3">
        <v>115</v>
      </c>
      <c r="J3171" s="3">
        <v>252</v>
      </c>
      <c r="K3171" s="3">
        <v>596</v>
      </c>
      <c r="L3171" s="3">
        <v>219</v>
      </c>
      <c r="M3171" s="3">
        <v>333</v>
      </c>
    </row>
    <row r="3172" spans="1:13" x14ac:dyDescent="0.25">
      <c r="A3172" s="1" t="str">
        <f>HYPERLINK("http://www.rosaceae.org/Prunus/Prunus_persica/p.persica_gdr_reftransV1_0026868","p.persica_gdr_reftransV1_0026868")</f>
        <v>p.persica_gdr_reftransV1_0026868</v>
      </c>
      <c r="B3172" s="3">
        <v>2339</v>
      </c>
      <c r="C3172" s="1" t="str">
        <f>HYPERLINK("http://www.uniprot.org/uniprot/PPR3_ARATH","PPR3_ARATH")</f>
        <v>PPR3_ARATH</v>
      </c>
      <c r="D3172" t="s">
        <v>2935</v>
      </c>
      <c r="E3172" s="3" t="s">
        <v>3</v>
      </c>
      <c r="F3172" s="4">
        <v>0</v>
      </c>
      <c r="G3172" s="3">
        <v>1754</v>
      </c>
      <c r="H3172" s="3">
        <v>65</v>
      </c>
      <c r="I3172" s="3">
        <v>484</v>
      </c>
      <c r="J3172" s="3">
        <v>685</v>
      </c>
      <c r="K3172" s="3">
        <v>2085</v>
      </c>
      <c r="L3172" s="3">
        <v>12</v>
      </c>
      <c r="M3172" s="3">
        <v>495</v>
      </c>
    </row>
    <row r="3173" spans="1:13" x14ac:dyDescent="0.25">
      <c r="A3173" s="1" t="str">
        <f>HYPERLINK("http://www.rosaceae.org/Prunus/Prunus_persica/p.persica_gdr_reftransV1_0027518","p.persica_gdr_reftransV1_0027518")</f>
        <v>p.persica_gdr_reftransV1_0027518</v>
      </c>
      <c r="B3173" s="3">
        <v>961</v>
      </c>
      <c r="C3173" s="1" t="str">
        <f>HYPERLINK("http://www.uniprot.org/uniprot/CSPLI_ARATH","CSPLI_ARATH")</f>
        <v>CSPLI_ARATH</v>
      </c>
      <c r="D3173" t="s">
        <v>2936</v>
      </c>
      <c r="E3173" s="3" t="s">
        <v>3</v>
      </c>
      <c r="F3173" s="4">
        <v>3.6400000000000002E-60</v>
      </c>
      <c r="G3173" s="3">
        <v>497</v>
      </c>
      <c r="H3173" s="3">
        <v>68</v>
      </c>
      <c r="I3173" s="3">
        <v>154</v>
      </c>
      <c r="J3173" s="3">
        <v>242</v>
      </c>
      <c r="K3173" s="3">
        <v>703</v>
      </c>
      <c r="L3173" s="3">
        <v>1</v>
      </c>
      <c r="M3173" s="3">
        <v>154</v>
      </c>
    </row>
    <row r="3174" spans="1:13" x14ac:dyDescent="0.25">
      <c r="A3174" s="1" t="str">
        <f>HYPERLINK("http://www.rosaceae.org/Prunus/Prunus_persica/p.persica_gdr_reftransV1_0027668","p.persica_gdr_reftransV1_0027668")</f>
        <v>p.persica_gdr_reftransV1_0027668</v>
      </c>
      <c r="B3174" s="3">
        <v>603</v>
      </c>
      <c r="C3174" s="1" t="str">
        <f>HYPERLINK("http://www.uniprot.org/uniprot/MYC2_ARATH","MYC2_ARATH")</f>
        <v>MYC2_ARATH</v>
      </c>
      <c r="D3174" t="s">
        <v>2937</v>
      </c>
      <c r="E3174" s="3" t="s">
        <v>3</v>
      </c>
      <c r="F3174" s="4">
        <v>8.0100000000000001E-19</v>
      </c>
      <c r="G3174" s="3">
        <v>218</v>
      </c>
      <c r="H3174" s="3">
        <v>35</v>
      </c>
      <c r="I3174" s="3">
        <v>158</v>
      </c>
      <c r="J3174" s="3">
        <v>142</v>
      </c>
      <c r="K3174" s="3">
        <v>603</v>
      </c>
      <c r="L3174" s="3">
        <v>64</v>
      </c>
      <c r="M3174" s="3">
        <v>211</v>
      </c>
    </row>
    <row r="3175" spans="1:13" x14ac:dyDescent="0.25">
      <c r="A3175" s="1" t="str">
        <f>HYPERLINK("http://www.rosaceae.org/Prunus/Prunus_persica/p.persica_gdr_reftransV1_0027868","p.persica_gdr_reftransV1_0027868")</f>
        <v>p.persica_gdr_reftransV1_0027868</v>
      </c>
      <c r="B3175" s="3">
        <v>3045</v>
      </c>
      <c r="C3175" s="1" t="str">
        <f>HYPERLINK("http://www.uniprot.org/uniprot/E70A1_ARATH","E70A1_ARATH")</f>
        <v>E70A1_ARATH</v>
      </c>
      <c r="D3175" t="s">
        <v>89</v>
      </c>
      <c r="E3175" s="3" t="s">
        <v>3</v>
      </c>
      <c r="F3175" s="4">
        <v>2.7400000000000001E-103</v>
      </c>
      <c r="G3175" s="3">
        <v>880</v>
      </c>
      <c r="H3175" s="3">
        <v>41</v>
      </c>
      <c r="I3175" s="3">
        <v>454</v>
      </c>
      <c r="J3175" s="3">
        <v>983</v>
      </c>
      <c r="K3175" s="3">
        <v>2326</v>
      </c>
      <c r="L3175" s="3">
        <v>201</v>
      </c>
      <c r="M3175" s="3">
        <v>635</v>
      </c>
    </row>
    <row r="3176" spans="1:13" x14ac:dyDescent="0.25">
      <c r="A3176" s="1" t="str">
        <f>HYPERLINK("http://www.rosaceae.org/Prunus/Prunus_persica/p.persica_gdr_reftransV1_0027968","p.persica_gdr_reftransV1_0027968")</f>
        <v>p.persica_gdr_reftransV1_0027968</v>
      </c>
      <c r="B3176" s="3">
        <v>2117</v>
      </c>
      <c r="C3176" s="1" t="str">
        <f>HYPERLINK("http://www.uniprot.org/uniprot/PIGU_CRIGR","PIGU_CRIGR")</f>
        <v>PIGU_CRIGR</v>
      </c>
      <c r="D3176" t="s">
        <v>2938</v>
      </c>
      <c r="E3176" s="3" t="s">
        <v>904</v>
      </c>
      <c r="F3176" s="4">
        <v>6.1499999999999999E-32</v>
      </c>
      <c r="G3176" s="3">
        <v>334</v>
      </c>
      <c r="H3176" s="3">
        <v>41</v>
      </c>
      <c r="I3176" s="3">
        <v>173</v>
      </c>
      <c r="J3176" s="3">
        <v>992</v>
      </c>
      <c r="K3176" s="3">
        <v>1510</v>
      </c>
      <c r="L3176" s="3">
        <v>257</v>
      </c>
      <c r="M3176" s="3">
        <v>429</v>
      </c>
    </row>
    <row r="3177" spans="1:13" x14ac:dyDescent="0.25">
      <c r="A3177" s="1" t="str">
        <f>HYPERLINK("http://www.rosaceae.org/Prunus/Prunus_persica/p.persica_gdr_reftransV1_0028068","p.persica_gdr_reftransV1_0028068")</f>
        <v>p.persica_gdr_reftransV1_0028068</v>
      </c>
      <c r="B3177" s="3">
        <v>1622</v>
      </c>
      <c r="C3177" s="1" t="str">
        <f>HYPERLINK("http://www.uniprot.org/uniprot/BCS1_SCHPO","BCS1_SCHPO")</f>
        <v>BCS1_SCHPO</v>
      </c>
      <c r="D3177" t="s">
        <v>779</v>
      </c>
      <c r="E3177" s="3" t="s">
        <v>464</v>
      </c>
      <c r="F3177" s="4">
        <v>2.6899999999999999E-30</v>
      </c>
      <c r="G3177" s="3">
        <v>317</v>
      </c>
      <c r="H3177" s="3">
        <v>35</v>
      </c>
      <c r="I3177" s="3">
        <v>188</v>
      </c>
      <c r="J3177" s="3">
        <v>498</v>
      </c>
      <c r="K3177" s="3">
        <v>1025</v>
      </c>
      <c r="L3177" s="3">
        <v>200</v>
      </c>
      <c r="M3177" s="3">
        <v>385</v>
      </c>
    </row>
    <row r="3178" spans="1:13" x14ac:dyDescent="0.25">
      <c r="A3178" s="1" t="str">
        <f>HYPERLINK("http://www.rosaceae.org/Prunus/Prunus_persica/p.persica_gdr_reftransV1_0028468","p.persica_gdr_reftransV1_0028468")</f>
        <v>p.persica_gdr_reftransV1_0028468</v>
      </c>
      <c r="B3178" s="3">
        <v>2898</v>
      </c>
      <c r="C3178" s="1" t="str">
        <f>HYPERLINK("http://www.uniprot.org/uniprot/SRP72_CANFA","SRP72_CANFA")</f>
        <v>SRP72_CANFA</v>
      </c>
      <c r="D3178" t="s">
        <v>2939</v>
      </c>
      <c r="E3178" s="3" t="s">
        <v>2940</v>
      </c>
      <c r="F3178" s="4">
        <v>2.12E-38</v>
      </c>
      <c r="G3178" s="3">
        <v>396</v>
      </c>
      <c r="H3178" s="3">
        <v>34</v>
      </c>
      <c r="I3178" s="3">
        <v>321</v>
      </c>
      <c r="J3178" s="3">
        <v>649</v>
      </c>
      <c r="K3178" s="3">
        <v>1605</v>
      </c>
      <c r="L3178" s="3">
        <v>218</v>
      </c>
      <c r="M3178" s="3">
        <v>529</v>
      </c>
    </row>
    <row r="3179" spans="1:13" x14ac:dyDescent="0.25">
      <c r="A3179" s="1" t="str">
        <f>HYPERLINK("http://www.rosaceae.org/Prunus/Prunus_persica/p.persica_gdr_reftransV1_0028718","p.persica_gdr_reftransV1_0028718")</f>
        <v>p.persica_gdr_reftransV1_0028718</v>
      </c>
      <c r="B3179" s="3">
        <v>1714</v>
      </c>
      <c r="C3179" s="1" t="str">
        <f>HYPERLINK("http://www.uniprot.org/uniprot/EXOS5_ORYSJ","EXOS5_ORYSJ")</f>
        <v>EXOS5_ORYSJ</v>
      </c>
      <c r="D3179" t="s">
        <v>2941</v>
      </c>
      <c r="E3179" s="3" t="s">
        <v>38</v>
      </c>
      <c r="F3179" s="4">
        <v>1.5499999999999999E-51</v>
      </c>
      <c r="G3179" s="3">
        <v>462</v>
      </c>
      <c r="H3179" s="3">
        <v>72</v>
      </c>
      <c r="I3179" s="3">
        <v>115</v>
      </c>
      <c r="J3179" s="3">
        <v>211</v>
      </c>
      <c r="K3179" s="3">
        <v>555</v>
      </c>
      <c r="L3179" s="3">
        <v>1</v>
      </c>
      <c r="M3179" s="3">
        <v>115</v>
      </c>
    </row>
    <row r="3180" spans="1:13" x14ac:dyDescent="0.25">
      <c r="A3180" s="1" t="str">
        <f>HYPERLINK("http://www.rosaceae.org/Prunus/Prunus_persica/p.persica_gdr_reftransV1_0028818","p.persica_gdr_reftransV1_0028818")</f>
        <v>p.persica_gdr_reftransV1_0028818</v>
      </c>
      <c r="B3180" s="3">
        <v>3738</v>
      </c>
      <c r="C3180" s="1" t="str">
        <f>HYPERLINK("http://www.uniprot.org/uniprot/Y1491_ARATH","Y1491_ARATH")</f>
        <v>Y1491_ARATH</v>
      </c>
      <c r="D3180" t="s">
        <v>310</v>
      </c>
      <c r="E3180" s="3" t="s">
        <v>3</v>
      </c>
      <c r="F3180" s="4">
        <v>5.0000000000000002E-27</v>
      </c>
      <c r="G3180" s="3">
        <v>302</v>
      </c>
      <c r="H3180" s="3">
        <v>32</v>
      </c>
      <c r="I3180" s="3">
        <v>205</v>
      </c>
      <c r="J3180" s="3">
        <v>1666</v>
      </c>
      <c r="K3180" s="3">
        <v>2277</v>
      </c>
      <c r="L3180" s="3">
        <v>197</v>
      </c>
      <c r="M3180" s="3">
        <v>396</v>
      </c>
    </row>
    <row r="3181" spans="1:13" x14ac:dyDescent="0.25">
      <c r="A3181" s="1" t="str">
        <f>HYPERLINK("http://www.rosaceae.org/Prunus/Prunus_persica/p.persica_gdr_reftransV1_0029168","p.persica_gdr_reftransV1_0029168")</f>
        <v>p.persica_gdr_reftransV1_0029168</v>
      </c>
      <c r="B3181" s="3">
        <v>1855</v>
      </c>
      <c r="C3181" s="1" t="str">
        <f>HYPERLINK("http://www.uniprot.org/uniprot/QOR_PSEAE","QOR_PSEAE")</f>
        <v>QOR_PSEAE</v>
      </c>
      <c r="D3181" t="s">
        <v>2942</v>
      </c>
      <c r="E3181" s="3" t="s">
        <v>2933</v>
      </c>
      <c r="F3181" s="4">
        <v>4.27E-93</v>
      </c>
      <c r="G3181" s="3">
        <v>758</v>
      </c>
      <c r="H3181" s="3">
        <v>47</v>
      </c>
      <c r="I3181" s="3">
        <v>325</v>
      </c>
      <c r="J3181" s="3">
        <v>654</v>
      </c>
      <c r="K3181" s="3">
        <v>1625</v>
      </c>
      <c r="L3181" s="3">
        <v>1</v>
      </c>
      <c r="M3181" s="3">
        <v>325</v>
      </c>
    </row>
    <row r="3182" spans="1:13" x14ac:dyDescent="0.25">
      <c r="A3182" s="1" t="str">
        <f>HYPERLINK("http://www.rosaceae.org/Prunus/Prunus_persica/p.persica_gdr_reftransV1_0029468","p.persica_gdr_reftransV1_0029468")</f>
        <v>p.persica_gdr_reftransV1_0029468</v>
      </c>
      <c r="B3182" s="3">
        <v>2757</v>
      </c>
      <c r="C3182" s="1" t="str">
        <f>HYPERLINK("http://www.uniprot.org/uniprot/WDR91_XENTR","WDR91_XENTR")</f>
        <v>WDR91_XENTR</v>
      </c>
      <c r="D3182" t="s">
        <v>2943</v>
      </c>
      <c r="E3182" s="3" t="s">
        <v>173</v>
      </c>
      <c r="F3182" s="4">
        <v>5.8299999999999998E-69</v>
      </c>
      <c r="G3182" s="3">
        <v>636</v>
      </c>
      <c r="H3182" s="3">
        <v>27</v>
      </c>
      <c r="I3182" s="3">
        <v>749</v>
      </c>
      <c r="J3182" s="3">
        <v>368</v>
      </c>
      <c r="K3182" s="3">
        <v>2317</v>
      </c>
      <c r="L3182" s="3">
        <v>5</v>
      </c>
      <c r="M3182" s="3">
        <v>746</v>
      </c>
    </row>
    <row r="3183" spans="1:13" x14ac:dyDescent="0.25">
      <c r="A3183" s="1" t="str">
        <f>HYPERLINK("http://www.rosaceae.org/Prunus/Prunus_persica/p.persica_gdr_reftransV1_0029818","p.persica_gdr_reftransV1_0029818")</f>
        <v>p.persica_gdr_reftransV1_0029818</v>
      </c>
      <c r="B3183" s="3">
        <v>4464</v>
      </c>
      <c r="C3183" s="1" t="str">
        <f>HYPERLINK("http://www.uniprot.org/uniprot/MYOB1_ARATH","MYOB1_ARATH")</f>
        <v>MYOB1_ARATH</v>
      </c>
      <c r="D3183" t="s">
        <v>2944</v>
      </c>
      <c r="E3183" s="3" t="s">
        <v>3</v>
      </c>
      <c r="F3183" s="4">
        <v>5.8699999999999997E-67</v>
      </c>
      <c r="G3183" s="3">
        <v>642</v>
      </c>
      <c r="H3183" s="3">
        <v>41</v>
      </c>
      <c r="I3183" s="3">
        <v>405</v>
      </c>
      <c r="J3183" s="3">
        <v>949</v>
      </c>
      <c r="K3183" s="3">
        <v>2145</v>
      </c>
      <c r="L3183" s="3">
        <v>673</v>
      </c>
      <c r="M3183" s="3">
        <v>1038</v>
      </c>
    </row>
    <row r="3184" spans="1:13" x14ac:dyDescent="0.25">
      <c r="A3184" s="1" t="str">
        <f>HYPERLINK("http://www.rosaceae.org/Prunus/Prunus_persica/p.persica_gdr_reftransV1_0030018","p.persica_gdr_reftransV1_0030018")</f>
        <v>p.persica_gdr_reftransV1_0030018</v>
      </c>
      <c r="B3184" s="3">
        <v>1999</v>
      </c>
      <c r="C3184" s="1" t="str">
        <f>HYPERLINK("http://www.uniprot.org/uniprot/P2C10_ARATH","P2C10_ARATH")</f>
        <v>P2C10_ARATH</v>
      </c>
      <c r="D3184" t="s">
        <v>2945</v>
      </c>
      <c r="E3184" s="3" t="s">
        <v>3</v>
      </c>
      <c r="F3184" s="4">
        <v>3.6499999999999997E-95</v>
      </c>
      <c r="G3184" s="3">
        <v>772</v>
      </c>
      <c r="H3184" s="3">
        <v>84</v>
      </c>
      <c r="I3184" s="3">
        <v>170</v>
      </c>
      <c r="J3184" s="3">
        <v>1488</v>
      </c>
      <c r="K3184" s="3">
        <v>1997</v>
      </c>
      <c r="L3184" s="3">
        <v>29</v>
      </c>
      <c r="M3184" s="3">
        <v>198</v>
      </c>
    </row>
    <row r="3185" spans="1:13" x14ac:dyDescent="0.25">
      <c r="A3185" s="1" t="str">
        <f>HYPERLINK("http://www.rosaceae.org/Prunus/Prunus_persica/p.persica_gdr_reftransV1_0030068","p.persica_gdr_reftransV1_0030068")</f>
        <v>p.persica_gdr_reftransV1_0030068</v>
      </c>
      <c r="B3185" s="3">
        <v>1735</v>
      </c>
      <c r="C3185" s="1" t="str">
        <f>HYPERLINK("http://www.uniprot.org/uniprot/PNSB2_ARATH","PNSB2_ARATH")</f>
        <v>PNSB2_ARATH</v>
      </c>
      <c r="D3185" t="s">
        <v>2946</v>
      </c>
      <c r="E3185" s="3" t="s">
        <v>3</v>
      </c>
      <c r="F3185" s="4">
        <v>1.7400000000000002E-98</v>
      </c>
      <c r="G3185" s="3">
        <v>794</v>
      </c>
      <c r="H3185" s="3">
        <v>66</v>
      </c>
      <c r="I3185" s="3">
        <v>217</v>
      </c>
      <c r="J3185" s="3">
        <v>804</v>
      </c>
      <c r="K3185" s="3">
        <v>1451</v>
      </c>
      <c r="L3185" s="3">
        <v>134</v>
      </c>
      <c r="M3185" s="3">
        <v>348</v>
      </c>
    </row>
    <row r="3186" spans="1:13" x14ac:dyDescent="0.25">
      <c r="A3186" s="1" t="str">
        <f>HYPERLINK("http://www.rosaceae.org/Prunus/Prunus_persica/p.persica_gdr_reftransV1_0030218","p.persica_gdr_reftransV1_0030218")</f>
        <v>p.persica_gdr_reftransV1_0030218</v>
      </c>
      <c r="B3186" s="3">
        <v>1693</v>
      </c>
      <c r="C3186" s="1" t="str">
        <f>HYPERLINK("http://www.uniprot.org/uniprot/HSP7C_PETHY","HSP7C_PETHY")</f>
        <v>HSP7C_PETHY</v>
      </c>
      <c r="D3186" t="s">
        <v>804</v>
      </c>
      <c r="E3186" s="3" t="s">
        <v>509</v>
      </c>
      <c r="F3186" s="4">
        <v>0</v>
      </c>
      <c r="G3186" s="3">
        <v>1384</v>
      </c>
      <c r="H3186" s="3">
        <v>66</v>
      </c>
      <c r="I3186" s="3">
        <v>438</v>
      </c>
      <c r="J3186" s="3">
        <v>11</v>
      </c>
      <c r="K3186" s="3">
        <v>1324</v>
      </c>
      <c r="L3186" s="3">
        <v>85</v>
      </c>
      <c r="M3186" s="3">
        <v>515</v>
      </c>
    </row>
    <row r="3187" spans="1:13" x14ac:dyDescent="0.25">
      <c r="A3187" s="1" t="str">
        <f>HYPERLINK("http://www.rosaceae.org/Prunus/Prunus_persica/p.persica_gdr_reftransV1_0030918","p.persica_gdr_reftransV1_0030918")</f>
        <v>p.persica_gdr_reftransV1_0030918</v>
      </c>
      <c r="B3187" s="3">
        <v>726</v>
      </c>
      <c r="C3187" s="1" t="str">
        <f>HYPERLINK("http://www.uniprot.org/uniprot/WRKY2_ARATH","WRKY2_ARATH")</f>
        <v>WRKY2_ARATH</v>
      </c>
      <c r="D3187" t="s">
        <v>2227</v>
      </c>
      <c r="E3187" s="3" t="s">
        <v>3</v>
      </c>
      <c r="F3187" s="4">
        <v>1.5799999999999999E-51</v>
      </c>
      <c r="G3187" s="3">
        <v>463</v>
      </c>
      <c r="H3187" s="3">
        <v>56</v>
      </c>
      <c r="I3187" s="3">
        <v>209</v>
      </c>
      <c r="J3187" s="3">
        <v>127</v>
      </c>
      <c r="K3187" s="3">
        <v>726</v>
      </c>
      <c r="L3187" s="3">
        <v>493</v>
      </c>
      <c r="M3187" s="3">
        <v>685</v>
      </c>
    </row>
    <row r="3188" spans="1:13" x14ac:dyDescent="0.25">
      <c r="A3188" s="1" t="str">
        <f>HYPERLINK("http://www.rosaceae.org/Prunus/Prunus_persica/p.persica_gdr_reftransV1_0031068","p.persica_gdr_reftransV1_0031068")</f>
        <v>p.persica_gdr_reftransV1_0031068</v>
      </c>
      <c r="B3188" s="3">
        <v>1364</v>
      </c>
      <c r="C3188" s="1" t="str">
        <f>HYPERLINK("http://www.uniprot.org/uniprot/YAI5_SCHPO","YAI5_SCHPO")</f>
        <v>YAI5_SCHPO</v>
      </c>
      <c r="D3188" t="s">
        <v>2947</v>
      </c>
      <c r="E3188" s="3" t="s">
        <v>464</v>
      </c>
      <c r="F3188" s="4">
        <v>6.1000000000000005E-17</v>
      </c>
      <c r="G3188" s="3">
        <v>205</v>
      </c>
      <c r="H3188" s="3">
        <v>41</v>
      </c>
      <c r="I3188" s="3">
        <v>129</v>
      </c>
      <c r="J3188" s="3">
        <v>749</v>
      </c>
      <c r="K3188" s="3">
        <v>1126</v>
      </c>
      <c r="L3188" s="3">
        <v>8</v>
      </c>
      <c r="M3188" s="3">
        <v>135</v>
      </c>
    </row>
    <row r="3189" spans="1:13" x14ac:dyDescent="0.25">
      <c r="A3189" s="1" t="str">
        <f>HYPERLINK("http://www.rosaceae.org/Prunus/Prunus_persica/p.persica_gdr_reftransV1_0031118","p.persica_gdr_reftransV1_0031118")</f>
        <v>p.persica_gdr_reftransV1_0031118</v>
      </c>
      <c r="B3189" s="3">
        <v>2525</v>
      </c>
      <c r="C3189" s="1" t="str">
        <f>HYPERLINK("http://www.uniprot.org/uniprot/MPK3_ARATH","MPK3_ARATH")</f>
        <v>MPK3_ARATH</v>
      </c>
      <c r="D3189" t="s">
        <v>2948</v>
      </c>
      <c r="E3189" s="3" t="s">
        <v>3</v>
      </c>
      <c r="F3189" s="4">
        <v>1.6299999999999998E-98</v>
      </c>
      <c r="G3189" s="3">
        <v>814</v>
      </c>
      <c r="H3189" s="3">
        <v>90</v>
      </c>
      <c r="I3189" s="3">
        <v>160</v>
      </c>
      <c r="J3189" s="3">
        <v>1244</v>
      </c>
      <c r="K3189" s="3">
        <v>1723</v>
      </c>
      <c r="L3189" s="3">
        <v>95</v>
      </c>
      <c r="M3189" s="3">
        <v>254</v>
      </c>
    </row>
    <row r="3190" spans="1:13" x14ac:dyDescent="0.25">
      <c r="A3190" s="1" t="str">
        <f>HYPERLINK("http://www.rosaceae.org/Prunus/Prunus_persica/p.persica_gdr_reftransV1_0031368","p.persica_gdr_reftransV1_0031368")</f>
        <v>p.persica_gdr_reftransV1_0031368</v>
      </c>
      <c r="B3190" s="3">
        <v>2777</v>
      </c>
      <c r="C3190" s="1" t="str">
        <f>HYPERLINK("http://www.uniprot.org/uniprot/P2C39_ARATH","P2C39_ARATH")</f>
        <v>P2C39_ARATH</v>
      </c>
      <c r="D3190" t="s">
        <v>1263</v>
      </c>
      <c r="E3190" s="3" t="s">
        <v>3</v>
      </c>
      <c r="F3190" s="4">
        <v>2.89E-15</v>
      </c>
      <c r="G3190" s="3">
        <v>199</v>
      </c>
      <c r="H3190" s="3">
        <v>56</v>
      </c>
      <c r="I3190" s="3">
        <v>64</v>
      </c>
      <c r="J3190" s="3">
        <v>2584</v>
      </c>
      <c r="K3190" s="3">
        <v>2775</v>
      </c>
      <c r="L3190" s="3">
        <v>198</v>
      </c>
      <c r="M3190" s="3">
        <v>261</v>
      </c>
    </row>
    <row r="3191" spans="1:13" x14ac:dyDescent="0.25">
      <c r="A3191" s="1" t="str">
        <f>HYPERLINK("http://www.rosaceae.org/Prunus/Prunus_persica/p.persica_gdr_reftransV1_0031568","p.persica_gdr_reftransV1_0031568")</f>
        <v>p.persica_gdr_reftransV1_0031568</v>
      </c>
      <c r="B3191" s="3">
        <v>2175</v>
      </c>
      <c r="C3191" s="1" t="str">
        <f>HYPERLINK("http://www.uniprot.org/uniprot/FABG_CUPLA","FABG_CUPLA")</f>
        <v>FABG_CUPLA</v>
      </c>
      <c r="D3191" t="s">
        <v>2949</v>
      </c>
      <c r="E3191" s="3" t="s">
        <v>2950</v>
      </c>
      <c r="F3191" s="4">
        <v>6.2999999999999995E-147</v>
      </c>
      <c r="G3191" s="3">
        <v>1128</v>
      </c>
      <c r="H3191" s="3">
        <v>79</v>
      </c>
      <c r="I3191" s="3">
        <v>301</v>
      </c>
      <c r="J3191" s="3">
        <v>691</v>
      </c>
      <c r="K3191" s="3">
        <v>1593</v>
      </c>
      <c r="L3191" s="3">
        <v>22</v>
      </c>
      <c r="M3191" s="3">
        <v>320</v>
      </c>
    </row>
    <row r="3192" spans="1:13" x14ac:dyDescent="0.25">
      <c r="A3192" s="1" t="str">
        <f>HYPERLINK("http://www.rosaceae.org/Prunus/Prunus_persica/p.persica_gdr_reftransV1_0031868","p.persica_gdr_reftransV1_0031868")</f>
        <v>p.persica_gdr_reftransV1_0031868</v>
      </c>
      <c r="B3192" s="3">
        <v>1903</v>
      </c>
      <c r="C3192" s="1" t="str">
        <f>HYPERLINK("http://www.uniprot.org/uniprot/BEH2_ARATH","BEH2_ARATH")</f>
        <v>BEH2_ARATH</v>
      </c>
      <c r="D3192" t="s">
        <v>2951</v>
      </c>
      <c r="E3192" s="3" t="s">
        <v>3</v>
      </c>
      <c r="F3192" s="4">
        <v>2.7E-77</v>
      </c>
      <c r="G3192" s="3">
        <v>565</v>
      </c>
      <c r="H3192" s="3">
        <v>66</v>
      </c>
      <c r="I3192" s="3">
        <v>245</v>
      </c>
      <c r="J3192" s="3">
        <v>392</v>
      </c>
      <c r="K3192" s="3">
        <v>1111</v>
      </c>
      <c r="L3192" s="3">
        <v>82</v>
      </c>
      <c r="M3192" s="3">
        <v>315</v>
      </c>
    </row>
    <row r="3193" spans="1:13" x14ac:dyDescent="0.25">
      <c r="A3193" s="1" t="str">
        <f>HYPERLINK("http://www.rosaceae.org/Prunus/Prunus_persica/p.persica_gdr_reftransV1_0032118","p.persica_gdr_reftransV1_0032118")</f>
        <v>p.persica_gdr_reftransV1_0032118</v>
      </c>
      <c r="B3193" s="3">
        <v>2082</v>
      </c>
      <c r="C3193" s="1" t="str">
        <f>HYPERLINK("http://www.uniprot.org/uniprot/CNIF3_ARATH","CNIF3_ARATH")</f>
        <v>CNIF3_ARATH</v>
      </c>
      <c r="D3193" t="s">
        <v>2952</v>
      </c>
      <c r="E3193" s="3" t="s">
        <v>3</v>
      </c>
      <c r="F3193" s="4">
        <v>0</v>
      </c>
      <c r="G3193" s="3">
        <v>1455</v>
      </c>
      <c r="H3193" s="3">
        <v>64</v>
      </c>
      <c r="I3193" s="3">
        <v>406</v>
      </c>
      <c r="J3193" s="3">
        <v>276</v>
      </c>
      <c r="K3193" s="3">
        <v>1493</v>
      </c>
      <c r="L3193" s="3">
        <v>66</v>
      </c>
      <c r="M3193" s="3">
        <v>471</v>
      </c>
    </row>
    <row r="3194" spans="1:13" x14ac:dyDescent="0.25">
      <c r="A3194" s="1" t="str">
        <f>HYPERLINK("http://www.rosaceae.org/Prunus/Prunus_persica/p.persica_gdr_reftransV1_0032268","p.persica_gdr_reftransV1_0032268")</f>
        <v>p.persica_gdr_reftransV1_0032268</v>
      </c>
      <c r="B3194" s="3">
        <v>2239</v>
      </c>
      <c r="C3194" s="1" t="str">
        <f>HYPERLINK("http://www.uniprot.org/uniprot/PEP_ARATH","PEP_ARATH")</f>
        <v>PEP_ARATH</v>
      </c>
      <c r="D3194" t="s">
        <v>2953</v>
      </c>
      <c r="E3194" s="3" t="s">
        <v>3</v>
      </c>
      <c r="F3194" s="4">
        <v>3.0400000000000002E-144</v>
      </c>
      <c r="G3194" s="3">
        <v>1129</v>
      </c>
      <c r="H3194" s="3">
        <v>58</v>
      </c>
      <c r="I3194" s="3">
        <v>422</v>
      </c>
      <c r="J3194" s="3">
        <v>401</v>
      </c>
      <c r="K3194" s="3">
        <v>1648</v>
      </c>
      <c r="L3194" s="3">
        <v>36</v>
      </c>
      <c r="M3194" s="3">
        <v>426</v>
      </c>
    </row>
    <row r="3195" spans="1:13" x14ac:dyDescent="0.25">
      <c r="A3195" s="1" t="str">
        <f>HYPERLINK("http://www.rosaceae.org/Prunus/Prunus_persica/p.persica_gdr_reftransV1_0032368","p.persica_gdr_reftransV1_0032368")</f>
        <v>p.persica_gdr_reftransV1_0032368</v>
      </c>
      <c r="B3195" s="3">
        <v>1680</v>
      </c>
      <c r="C3195" s="1" t="str">
        <f>HYPERLINK("http://www.uniprot.org/uniprot/CHIT1_HUMAN","CHIT1_HUMAN")</f>
        <v>CHIT1_HUMAN</v>
      </c>
      <c r="D3195" t="s">
        <v>2954</v>
      </c>
      <c r="E3195" s="3" t="s">
        <v>28</v>
      </c>
      <c r="F3195" s="4">
        <v>8.5599999999999993E-49</v>
      </c>
      <c r="G3195" s="3">
        <v>458</v>
      </c>
      <c r="H3195" s="3">
        <v>35</v>
      </c>
      <c r="I3195" s="3">
        <v>332</v>
      </c>
      <c r="J3195" s="3">
        <v>306</v>
      </c>
      <c r="K3195" s="3">
        <v>1253</v>
      </c>
      <c r="L3195" s="3">
        <v>41</v>
      </c>
      <c r="M3195" s="3">
        <v>363</v>
      </c>
    </row>
    <row r="3196" spans="1:13" x14ac:dyDescent="0.25">
      <c r="A3196" s="1" t="str">
        <f>HYPERLINK("http://www.rosaceae.org/Prunus/Prunus_persica/p.persica_gdr_reftransV1_0032768","p.persica_gdr_reftransV1_0032768")</f>
        <v>p.persica_gdr_reftransV1_0032768</v>
      </c>
      <c r="B3196" s="3">
        <v>2488</v>
      </c>
      <c r="C3196" s="1" t="str">
        <f>HYPERLINK("http://www.uniprot.org/uniprot/DGLA_HUMAN","DGLA_HUMAN")</f>
        <v>DGLA_HUMAN</v>
      </c>
      <c r="D3196" t="s">
        <v>2955</v>
      </c>
      <c r="E3196" s="3" t="s">
        <v>28</v>
      </c>
      <c r="F3196" s="4">
        <v>8.7899999999999995E-12</v>
      </c>
      <c r="G3196" s="3">
        <v>177</v>
      </c>
      <c r="H3196" s="3">
        <v>34</v>
      </c>
      <c r="I3196" s="3">
        <v>166</v>
      </c>
      <c r="J3196" s="3">
        <v>1285</v>
      </c>
      <c r="K3196" s="3">
        <v>1758</v>
      </c>
      <c r="L3196" s="3">
        <v>382</v>
      </c>
      <c r="M3196" s="3">
        <v>538</v>
      </c>
    </row>
    <row r="3197" spans="1:13" x14ac:dyDescent="0.25">
      <c r="A3197" s="1" t="str">
        <f>HYPERLINK("http://www.rosaceae.org/Prunus/Prunus_persica/p.persica_gdr_reftransV1_0033068","p.persica_gdr_reftransV1_0033068")</f>
        <v>p.persica_gdr_reftransV1_0033068</v>
      </c>
      <c r="B3197" s="3">
        <v>1322</v>
      </c>
      <c r="C3197" s="1" t="str">
        <f>HYPERLINK("http://www.uniprot.org/uniprot/MSH4_ARATH","MSH4_ARATH")</f>
        <v>MSH4_ARATH</v>
      </c>
      <c r="D3197" t="s">
        <v>1206</v>
      </c>
      <c r="E3197" s="3" t="s">
        <v>3</v>
      </c>
      <c r="F3197" s="4">
        <v>0</v>
      </c>
      <c r="G3197" s="3">
        <v>1380</v>
      </c>
      <c r="H3197" s="3">
        <v>80</v>
      </c>
      <c r="I3197" s="3">
        <v>326</v>
      </c>
      <c r="J3197" s="3">
        <v>78</v>
      </c>
      <c r="K3197" s="3">
        <v>1055</v>
      </c>
      <c r="L3197" s="3">
        <v>467</v>
      </c>
      <c r="M3197" s="3">
        <v>792</v>
      </c>
    </row>
    <row r="3198" spans="1:13" x14ac:dyDescent="0.25">
      <c r="A3198" s="1" t="str">
        <f>HYPERLINK("http://www.rosaceae.org/Prunus/Prunus_persica/p.persica_gdr_reftransV1_0033518","p.persica_gdr_reftransV1_0033518")</f>
        <v>p.persica_gdr_reftransV1_0033518</v>
      </c>
      <c r="B3198" s="3">
        <v>2608</v>
      </c>
      <c r="C3198" s="1" t="str">
        <f>HYPERLINK("http://www.uniprot.org/uniprot/GYP7_YARLI","GYP7_YARLI")</f>
        <v>GYP7_YARLI</v>
      </c>
      <c r="D3198" t="s">
        <v>1668</v>
      </c>
      <c r="E3198" s="3" t="s">
        <v>1669</v>
      </c>
      <c r="F3198" s="4">
        <v>7.1699999999999996E-28</v>
      </c>
      <c r="G3198" s="3">
        <v>311</v>
      </c>
      <c r="H3198" s="3">
        <v>31</v>
      </c>
      <c r="I3198" s="3">
        <v>193</v>
      </c>
      <c r="J3198" s="3">
        <v>1525</v>
      </c>
      <c r="K3198" s="3">
        <v>2103</v>
      </c>
      <c r="L3198" s="3">
        <v>495</v>
      </c>
      <c r="M3198" s="3">
        <v>667</v>
      </c>
    </row>
    <row r="3199" spans="1:13" x14ac:dyDescent="0.25">
      <c r="A3199" s="1" t="str">
        <f>HYPERLINK("http://www.rosaceae.org/Prunus/Prunus_persica/p.persica_gdr_reftransV1_0033868","p.persica_gdr_reftransV1_0033868")</f>
        <v>p.persica_gdr_reftransV1_0033868</v>
      </c>
      <c r="B3199" s="3">
        <v>2445</v>
      </c>
      <c r="C3199" s="1" t="str">
        <f>HYPERLINK("http://www.uniprot.org/uniprot/CTF64_ARATH","CTF64_ARATH")</f>
        <v>CTF64_ARATH</v>
      </c>
      <c r="D3199" t="s">
        <v>2956</v>
      </c>
      <c r="E3199" s="3" t="s">
        <v>3</v>
      </c>
      <c r="F3199" s="4">
        <v>2.3400000000000001E-106</v>
      </c>
      <c r="G3199" s="3">
        <v>875</v>
      </c>
      <c r="H3199" s="3">
        <v>48</v>
      </c>
      <c r="I3199" s="3">
        <v>545</v>
      </c>
      <c r="J3199" s="3">
        <v>483</v>
      </c>
      <c r="K3199" s="3">
        <v>2090</v>
      </c>
      <c r="L3199" s="3">
        <v>4</v>
      </c>
      <c r="M3199" s="3">
        <v>461</v>
      </c>
    </row>
    <row r="3200" spans="1:13" x14ac:dyDescent="0.25">
      <c r="A3200" s="1" t="str">
        <f>HYPERLINK("http://www.rosaceae.org/Prunus/Prunus_persica/p.persica_gdr_reftransV1_0033968","p.persica_gdr_reftransV1_0033968")</f>
        <v>p.persica_gdr_reftransV1_0033968</v>
      </c>
      <c r="B3200" s="3">
        <v>2310</v>
      </c>
      <c r="C3200" s="1" t="str">
        <f>HYPERLINK("http://www.uniprot.org/uniprot/CP31B_ARATH","CP31B_ARATH")</f>
        <v>CP31B_ARATH</v>
      </c>
      <c r="D3200" t="s">
        <v>2957</v>
      </c>
      <c r="E3200" s="3" t="s">
        <v>3</v>
      </c>
      <c r="F3200" s="4">
        <v>1.6300000000000001E-15</v>
      </c>
      <c r="G3200" s="3">
        <v>200</v>
      </c>
      <c r="H3200" s="3">
        <v>29</v>
      </c>
      <c r="I3200" s="3">
        <v>202</v>
      </c>
      <c r="J3200" s="3">
        <v>1541</v>
      </c>
      <c r="K3200" s="3">
        <v>2131</v>
      </c>
      <c r="L3200" s="3">
        <v>84</v>
      </c>
      <c r="M3200" s="3">
        <v>283</v>
      </c>
    </row>
    <row r="3201" spans="1:13" x14ac:dyDescent="0.25">
      <c r="A3201" s="1" t="str">
        <f>HYPERLINK("http://www.rosaceae.org/Prunus/Prunus_persica/p.persica_gdr_reftransV1_0034068","p.persica_gdr_reftransV1_0034068")</f>
        <v>p.persica_gdr_reftransV1_0034068</v>
      </c>
      <c r="B3201" s="3">
        <v>5262</v>
      </c>
      <c r="C3201" s="1" t="str">
        <f>HYPERLINK("http://www.uniprot.org/uniprot/FLS2_ARATH","FLS2_ARATH")</f>
        <v>FLS2_ARATH</v>
      </c>
      <c r="D3201" t="s">
        <v>2958</v>
      </c>
      <c r="E3201" s="3" t="s">
        <v>3</v>
      </c>
      <c r="F3201" s="4">
        <v>0</v>
      </c>
      <c r="G3201" s="3">
        <v>2367</v>
      </c>
      <c r="H3201" s="3">
        <v>53</v>
      </c>
      <c r="I3201" s="3">
        <v>971</v>
      </c>
      <c r="J3201" s="3">
        <v>389</v>
      </c>
      <c r="K3201" s="3">
        <v>3241</v>
      </c>
      <c r="L3201" s="3">
        <v>1</v>
      </c>
      <c r="M3201" s="3">
        <v>964</v>
      </c>
    </row>
    <row r="3202" spans="1:13" x14ac:dyDescent="0.25">
      <c r="A3202" s="1" t="str">
        <f>HYPERLINK("http://www.rosaceae.org/Prunus/Prunus_persica/p.persica_gdr_reftransV1_0034318","p.persica_gdr_reftransV1_0034318")</f>
        <v>p.persica_gdr_reftransV1_0034318</v>
      </c>
      <c r="B3202" s="3">
        <v>1186</v>
      </c>
      <c r="C3202" s="1" t="str">
        <f>HYPERLINK("http://www.uniprot.org/uniprot/U79B6_ARATH","U79B6_ARATH")</f>
        <v>U79B6_ARATH</v>
      </c>
      <c r="D3202" t="s">
        <v>2959</v>
      </c>
      <c r="E3202" s="3" t="s">
        <v>3</v>
      </c>
      <c r="F3202" s="4">
        <v>4.3099999999999999E-67</v>
      </c>
      <c r="G3202" s="3">
        <v>575</v>
      </c>
      <c r="H3202" s="3">
        <v>50</v>
      </c>
      <c r="I3202" s="3">
        <v>223</v>
      </c>
      <c r="J3202" s="3">
        <v>140</v>
      </c>
      <c r="K3202" s="3">
        <v>802</v>
      </c>
      <c r="L3202" s="3">
        <v>3</v>
      </c>
      <c r="M3202" s="3">
        <v>211</v>
      </c>
    </row>
    <row r="3203" spans="1:13" x14ac:dyDescent="0.25">
      <c r="A3203" s="1" t="str">
        <f>HYPERLINK("http://www.rosaceae.org/Prunus/Prunus_persica/p.persica_gdr_reftransV1_0034768","p.persica_gdr_reftransV1_0034768")</f>
        <v>p.persica_gdr_reftransV1_0034768</v>
      </c>
      <c r="B3203" s="3">
        <v>1624</v>
      </c>
      <c r="C3203" s="1" t="str">
        <f>HYPERLINK("http://www.uniprot.org/uniprot/FBD35_ARATH","FBD35_ARATH")</f>
        <v>FBD35_ARATH</v>
      </c>
      <c r="D3203" t="s">
        <v>2960</v>
      </c>
      <c r="E3203" s="3" t="s">
        <v>3</v>
      </c>
      <c r="F3203" s="4">
        <v>4.3100000000000002E-9</v>
      </c>
      <c r="G3203" s="3">
        <v>150</v>
      </c>
      <c r="H3203" s="3">
        <v>32</v>
      </c>
      <c r="I3203" s="3">
        <v>156</v>
      </c>
      <c r="J3203" s="3">
        <v>19</v>
      </c>
      <c r="K3203" s="3">
        <v>456</v>
      </c>
      <c r="L3203" s="3">
        <v>144</v>
      </c>
      <c r="M3203" s="3">
        <v>298</v>
      </c>
    </row>
    <row r="3204" spans="1:13" x14ac:dyDescent="0.25">
      <c r="A3204" s="1" t="str">
        <f>HYPERLINK("http://www.rosaceae.org/Prunus/Prunus_persica/p.persica_gdr_reftransV1_0034918","p.persica_gdr_reftransV1_0034918")</f>
        <v>p.persica_gdr_reftransV1_0034918</v>
      </c>
      <c r="B3204" s="3">
        <v>459</v>
      </c>
      <c r="C3204" s="1" t="str">
        <f>HYPERLINK("http://www.uniprot.org/uniprot/LAC4_ARATH","LAC4_ARATH")</f>
        <v>LAC4_ARATH</v>
      </c>
      <c r="D3204" t="s">
        <v>2961</v>
      </c>
      <c r="E3204" s="3" t="s">
        <v>3</v>
      </c>
      <c r="F3204" s="4">
        <v>7.1900000000000005E-63</v>
      </c>
      <c r="G3204" s="3">
        <v>528</v>
      </c>
      <c r="H3204" s="3">
        <v>82</v>
      </c>
      <c r="I3204" s="3">
        <v>117</v>
      </c>
      <c r="J3204" s="3">
        <v>112</v>
      </c>
      <c r="K3204" s="3">
        <v>459</v>
      </c>
      <c r="L3204" s="3">
        <v>9</v>
      </c>
      <c r="M3204" s="3">
        <v>125</v>
      </c>
    </row>
    <row r="3205" spans="1:13" x14ac:dyDescent="0.25">
      <c r="A3205" s="1" t="str">
        <f>HYPERLINK("http://www.rosaceae.org/Prunus/Prunus_persica/p.persica_gdr_reftransV1_0035218","p.persica_gdr_reftransV1_0035218")</f>
        <v>p.persica_gdr_reftransV1_0035218</v>
      </c>
      <c r="B3205" s="3">
        <v>2020</v>
      </c>
      <c r="C3205" s="1" t="str">
        <f>HYPERLINK("http://www.uniprot.org/uniprot/TBC15_HUMAN","TBC15_HUMAN")</f>
        <v>TBC15_HUMAN</v>
      </c>
      <c r="D3205" t="s">
        <v>2962</v>
      </c>
      <c r="E3205" s="3" t="s">
        <v>28</v>
      </c>
      <c r="F3205" s="4">
        <v>4.0400000000000001E-32</v>
      </c>
      <c r="G3205" s="3">
        <v>342</v>
      </c>
      <c r="H3205" s="3">
        <v>32</v>
      </c>
      <c r="I3205" s="3">
        <v>291</v>
      </c>
      <c r="J3205" s="3">
        <v>702</v>
      </c>
      <c r="K3205" s="3">
        <v>1565</v>
      </c>
      <c r="L3205" s="3">
        <v>311</v>
      </c>
      <c r="M3205" s="3">
        <v>554</v>
      </c>
    </row>
    <row r="3206" spans="1:13" x14ac:dyDescent="0.25">
      <c r="A3206" s="1" t="str">
        <f>HYPERLINK("http://www.rosaceae.org/Prunus/Prunus_persica/p.persica_gdr_reftransV1_0035368","p.persica_gdr_reftransV1_0035368")</f>
        <v>p.persica_gdr_reftransV1_0035368</v>
      </c>
      <c r="B3206" s="3">
        <v>6473</v>
      </c>
      <c r="C3206" s="1" t="str">
        <f>HYPERLINK("http://www.uniprot.org/uniprot/SKI2_ARATH","SKI2_ARATH")</f>
        <v>SKI2_ARATH</v>
      </c>
      <c r="D3206" t="s">
        <v>2490</v>
      </c>
      <c r="E3206" s="3" t="s">
        <v>3</v>
      </c>
      <c r="F3206" s="4">
        <v>0</v>
      </c>
      <c r="G3206" s="3">
        <v>2844</v>
      </c>
      <c r="H3206" s="3">
        <v>74</v>
      </c>
      <c r="I3206" s="3">
        <v>760</v>
      </c>
      <c r="J3206" s="3">
        <v>1254</v>
      </c>
      <c r="K3206" s="3">
        <v>3530</v>
      </c>
      <c r="L3206" s="3">
        <v>331</v>
      </c>
      <c r="M3206" s="3">
        <v>1083</v>
      </c>
    </row>
    <row r="3207" spans="1:13" x14ac:dyDescent="0.25">
      <c r="A3207" s="1" t="str">
        <f>HYPERLINK("http://www.rosaceae.org/Prunus/Prunus_persica/p.persica_gdr_reftransV1_0035468","p.persica_gdr_reftransV1_0035468")</f>
        <v>p.persica_gdr_reftransV1_0035468</v>
      </c>
      <c r="B3207" s="3">
        <v>2139</v>
      </c>
      <c r="C3207" s="1" t="str">
        <f>HYPERLINK("http://www.uniprot.org/uniprot/RD23C_ARATH","RD23C_ARATH")</f>
        <v>RD23C_ARATH</v>
      </c>
      <c r="D3207" t="s">
        <v>2963</v>
      </c>
      <c r="E3207" s="3" t="s">
        <v>3</v>
      </c>
      <c r="F3207" s="4">
        <v>3.8999999999999998E-69</v>
      </c>
      <c r="G3207" s="3">
        <v>608</v>
      </c>
      <c r="H3207" s="3">
        <v>81</v>
      </c>
      <c r="I3207" s="3">
        <v>153</v>
      </c>
      <c r="J3207" s="3">
        <v>298</v>
      </c>
      <c r="K3207" s="3">
        <v>744</v>
      </c>
      <c r="L3207" s="3">
        <v>267</v>
      </c>
      <c r="M3207" s="3">
        <v>419</v>
      </c>
    </row>
    <row r="3208" spans="1:13" x14ac:dyDescent="0.25">
      <c r="A3208" s="1" t="str">
        <f>HYPERLINK("http://www.rosaceae.org/Prunus/Prunus_persica/p.persica_gdr_reftransV1_0035718","p.persica_gdr_reftransV1_0035718")</f>
        <v>p.persica_gdr_reftransV1_0035718</v>
      </c>
      <c r="B3208" s="3">
        <v>599</v>
      </c>
      <c r="C3208" s="1" t="str">
        <f>HYPERLINK("http://www.uniprot.org/uniprot/SFH11_ARATH","SFH11_ARATH")</f>
        <v>SFH11_ARATH</v>
      </c>
      <c r="D3208" t="s">
        <v>2964</v>
      </c>
      <c r="E3208" s="3" t="s">
        <v>3</v>
      </c>
      <c r="F3208" s="4">
        <v>5.2999999999999998E-106</v>
      </c>
      <c r="G3208" s="3">
        <v>810</v>
      </c>
      <c r="H3208" s="3">
        <v>71</v>
      </c>
      <c r="I3208" s="3">
        <v>199</v>
      </c>
      <c r="J3208" s="3">
        <v>2</v>
      </c>
      <c r="K3208" s="3">
        <v>598</v>
      </c>
      <c r="L3208" s="3">
        <v>78</v>
      </c>
      <c r="M3208" s="3">
        <v>276</v>
      </c>
    </row>
    <row r="3209" spans="1:13" x14ac:dyDescent="0.25">
      <c r="A3209" s="1" t="str">
        <f>HYPERLINK("http://www.rosaceae.org/Prunus/Prunus_persica/p.persica_gdr_reftransV1_0035768","p.persica_gdr_reftransV1_0035768")</f>
        <v>p.persica_gdr_reftransV1_0035768</v>
      </c>
      <c r="B3209" s="3">
        <v>2932</v>
      </c>
      <c r="C3209" s="1" t="str">
        <f>HYPERLINK("http://www.uniprot.org/uniprot/FRAY2_DICDI","FRAY2_DICDI")</f>
        <v>FRAY2_DICDI</v>
      </c>
      <c r="D3209" t="s">
        <v>2965</v>
      </c>
      <c r="E3209" s="3" t="s">
        <v>9</v>
      </c>
      <c r="F3209" s="4">
        <v>1.15E-104</v>
      </c>
      <c r="G3209" s="3">
        <v>914</v>
      </c>
      <c r="H3209" s="3">
        <v>55</v>
      </c>
      <c r="I3209" s="3">
        <v>314</v>
      </c>
      <c r="J3209" s="3">
        <v>531</v>
      </c>
      <c r="K3209" s="3">
        <v>1469</v>
      </c>
      <c r="L3209" s="3">
        <v>61</v>
      </c>
      <c r="M3209" s="3">
        <v>371</v>
      </c>
    </row>
    <row r="3210" spans="1:13" x14ac:dyDescent="0.25">
      <c r="A3210" s="1" t="str">
        <f>HYPERLINK("http://www.rosaceae.org/Prunus/Prunus_persica/p.persica_gdr_reftransV1_0036168","p.persica_gdr_reftransV1_0036168")</f>
        <v>p.persica_gdr_reftransV1_0036168</v>
      </c>
      <c r="B3210" s="3">
        <v>2451</v>
      </c>
      <c r="C3210" s="1" t="str">
        <f>HYPERLINK("http://www.uniprot.org/uniprot/SKU5_ARATH","SKU5_ARATH")</f>
        <v>SKU5_ARATH</v>
      </c>
      <c r="D3210" t="s">
        <v>2966</v>
      </c>
      <c r="E3210" s="3" t="s">
        <v>3</v>
      </c>
      <c r="F3210" s="4">
        <v>0</v>
      </c>
      <c r="G3210" s="3">
        <v>1925</v>
      </c>
      <c r="H3210" s="3">
        <v>67</v>
      </c>
      <c r="I3210" s="3">
        <v>550</v>
      </c>
      <c r="J3210" s="3">
        <v>392</v>
      </c>
      <c r="K3210" s="3">
        <v>2035</v>
      </c>
      <c r="L3210" s="3">
        <v>8</v>
      </c>
      <c r="M3210" s="3">
        <v>557</v>
      </c>
    </row>
    <row r="3211" spans="1:13" x14ac:dyDescent="0.25">
      <c r="A3211" s="1" t="str">
        <f>HYPERLINK("http://www.rosaceae.org/Prunus/Prunus_persica/p.persica_gdr_reftransV1_0036218","p.persica_gdr_reftransV1_0036218")</f>
        <v>p.persica_gdr_reftransV1_0036218</v>
      </c>
      <c r="B3211" s="3">
        <v>709</v>
      </c>
      <c r="C3211" s="1" t="str">
        <f>HYPERLINK("http://www.uniprot.org/uniprot/PP429_ARATH","PP429_ARATH")</f>
        <v>PP429_ARATH</v>
      </c>
      <c r="D3211" t="s">
        <v>2967</v>
      </c>
      <c r="E3211" s="3" t="s">
        <v>3</v>
      </c>
      <c r="F3211" s="4">
        <v>7.4699999999999995E-58</v>
      </c>
      <c r="G3211" s="3">
        <v>504</v>
      </c>
      <c r="H3211" s="3">
        <v>64</v>
      </c>
      <c r="I3211" s="3">
        <v>154</v>
      </c>
      <c r="J3211" s="3">
        <v>244</v>
      </c>
      <c r="K3211" s="3">
        <v>705</v>
      </c>
      <c r="L3211" s="3">
        <v>14</v>
      </c>
      <c r="M3211" s="3">
        <v>167</v>
      </c>
    </row>
    <row r="3212" spans="1:13" x14ac:dyDescent="0.25">
      <c r="A3212" s="1" t="str">
        <f>HYPERLINK("http://www.rosaceae.org/Prunus/Prunus_persica/p.persica_gdr_reftransV1_0036368","p.persica_gdr_reftransV1_0036368")</f>
        <v>p.persica_gdr_reftransV1_0036368</v>
      </c>
      <c r="B3212" s="3">
        <v>2348</v>
      </c>
      <c r="C3212" s="1" t="str">
        <f>HYPERLINK("http://www.uniprot.org/uniprot/ZDH14_ARATH","ZDH14_ARATH")</f>
        <v>ZDH14_ARATH</v>
      </c>
      <c r="D3212" t="s">
        <v>2968</v>
      </c>
      <c r="E3212" s="3" t="s">
        <v>3</v>
      </c>
      <c r="F3212" s="4">
        <v>4.2500000000000003E-114</v>
      </c>
      <c r="G3212" s="3">
        <v>910</v>
      </c>
      <c r="H3212" s="3">
        <v>85</v>
      </c>
      <c r="I3212" s="3">
        <v>269</v>
      </c>
      <c r="J3212" s="3">
        <v>1112</v>
      </c>
      <c r="K3212" s="3">
        <v>1912</v>
      </c>
      <c r="L3212" s="3">
        <v>1</v>
      </c>
      <c r="M3212" s="3">
        <v>269</v>
      </c>
    </row>
    <row r="3213" spans="1:13" x14ac:dyDescent="0.25">
      <c r="A3213" s="1" t="str">
        <f>HYPERLINK("http://www.rosaceae.org/Prunus/Prunus_persica/p.persica_gdr_reftransV1_0036518","p.persica_gdr_reftransV1_0036518")</f>
        <v>p.persica_gdr_reftransV1_0036518</v>
      </c>
      <c r="B3213" s="3">
        <v>3991</v>
      </c>
      <c r="C3213" s="1" t="str">
        <f>HYPERLINK("http://www.uniprot.org/uniprot/FUCO2_ARATH","FUCO2_ARATH")</f>
        <v>FUCO2_ARATH</v>
      </c>
      <c r="D3213" t="s">
        <v>2969</v>
      </c>
      <c r="E3213" s="3" t="s">
        <v>3</v>
      </c>
      <c r="F3213" s="4">
        <v>3.3599999999999998E-163</v>
      </c>
      <c r="G3213" s="3">
        <v>1331</v>
      </c>
      <c r="H3213" s="3">
        <v>63</v>
      </c>
      <c r="I3213" s="3">
        <v>407</v>
      </c>
      <c r="J3213" s="3">
        <v>1588</v>
      </c>
      <c r="K3213" s="3">
        <v>2784</v>
      </c>
      <c r="L3213" s="3">
        <v>140</v>
      </c>
      <c r="M3213" s="3">
        <v>524</v>
      </c>
    </row>
    <row r="3214" spans="1:13" x14ac:dyDescent="0.25">
      <c r="A3214" s="1" t="str">
        <f>HYPERLINK("http://www.rosaceae.org/Prunus/Prunus_persica/p.persica_gdr_reftransV1_0036668","p.persica_gdr_reftransV1_0036668")</f>
        <v>p.persica_gdr_reftransV1_0036668</v>
      </c>
      <c r="B3214" s="3">
        <v>2233</v>
      </c>
      <c r="C3214" s="1" t="str">
        <f>HYPERLINK("http://www.uniprot.org/uniprot/ERDL7_ARATH","ERDL7_ARATH")</f>
        <v>ERDL7_ARATH</v>
      </c>
      <c r="D3214" t="s">
        <v>2970</v>
      </c>
      <c r="E3214" s="3" t="s">
        <v>3</v>
      </c>
      <c r="F3214" s="4">
        <v>0</v>
      </c>
      <c r="G3214" s="3">
        <v>1716</v>
      </c>
      <c r="H3214" s="3">
        <v>67</v>
      </c>
      <c r="I3214" s="3">
        <v>507</v>
      </c>
      <c r="J3214" s="3">
        <v>425</v>
      </c>
      <c r="K3214" s="3">
        <v>1945</v>
      </c>
      <c r="L3214" s="3">
        <v>2</v>
      </c>
      <c r="M3214" s="3">
        <v>462</v>
      </c>
    </row>
    <row r="3215" spans="1:13" x14ac:dyDescent="0.25">
      <c r="A3215" s="1" t="str">
        <f>HYPERLINK("http://www.rosaceae.org/Prunus/Prunus_persica/p.persica_gdr_reftransV1_0036718","p.persica_gdr_reftransV1_0036718")</f>
        <v>p.persica_gdr_reftransV1_0036718</v>
      </c>
      <c r="B3215" s="3">
        <v>1147</v>
      </c>
      <c r="C3215" s="1" t="str">
        <f>HYPERLINK("http://www.uniprot.org/uniprot/DNAJ_CLOTE","DNAJ_CLOTE")</f>
        <v>DNAJ_CLOTE</v>
      </c>
      <c r="D3215" t="s">
        <v>2971</v>
      </c>
      <c r="E3215" s="3" t="s">
        <v>2972</v>
      </c>
      <c r="F3215" s="4">
        <v>9.7700000000000002E-17</v>
      </c>
      <c r="G3215" s="3">
        <v>207</v>
      </c>
      <c r="H3215" s="3">
        <v>54</v>
      </c>
      <c r="I3215" s="3">
        <v>72</v>
      </c>
      <c r="J3215" s="3">
        <v>409</v>
      </c>
      <c r="K3215" s="3">
        <v>624</v>
      </c>
      <c r="L3215" s="3">
        <v>4</v>
      </c>
      <c r="M3215" s="3">
        <v>75</v>
      </c>
    </row>
    <row r="3216" spans="1:13" x14ac:dyDescent="0.25">
      <c r="A3216" s="1" t="str">
        <f>HYPERLINK("http://www.rosaceae.org/Prunus/Prunus_persica/p.persica_gdr_reftransV1_0036768","p.persica_gdr_reftransV1_0036768")</f>
        <v>p.persica_gdr_reftransV1_0036768</v>
      </c>
      <c r="B3216" s="3">
        <v>2118</v>
      </c>
      <c r="C3216" s="1" t="str">
        <f>HYPERLINK("http://www.uniprot.org/uniprot/CLV1_ARATH","CLV1_ARATH")</f>
        <v>CLV1_ARATH</v>
      </c>
      <c r="D3216" t="s">
        <v>2635</v>
      </c>
      <c r="E3216" s="3" t="s">
        <v>3</v>
      </c>
      <c r="F3216" s="4">
        <v>0</v>
      </c>
      <c r="G3216" s="3">
        <v>2202</v>
      </c>
      <c r="H3216" s="3">
        <v>72</v>
      </c>
      <c r="I3216" s="3">
        <v>587</v>
      </c>
      <c r="J3216" s="3">
        <v>12</v>
      </c>
      <c r="K3216" s="3">
        <v>1751</v>
      </c>
      <c r="L3216" s="3">
        <v>391</v>
      </c>
      <c r="M3216" s="3">
        <v>974</v>
      </c>
    </row>
    <row r="3217" spans="1:13" x14ac:dyDescent="0.25">
      <c r="A3217" s="1" t="str">
        <f>HYPERLINK("http://www.rosaceae.org/Prunus/Prunus_persica/p.persica_gdr_reftransV1_0037018","p.persica_gdr_reftransV1_0037018")</f>
        <v>p.persica_gdr_reftransV1_0037018</v>
      </c>
      <c r="B3217" s="3">
        <v>4827</v>
      </c>
      <c r="C3217" s="1" t="str">
        <f>HYPERLINK("http://www.uniprot.org/uniprot/Y5707_ARATH","Y5707_ARATH")</f>
        <v>Y5707_ARATH</v>
      </c>
      <c r="D3217" t="s">
        <v>2730</v>
      </c>
      <c r="E3217" s="3" t="s">
        <v>3</v>
      </c>
      <c r="F3217" s="4">
        <v>5.7700000000000006E-42</v>
      </c>
      <c r="G3217" s="3">
        <v>419</v>
      </c>
      <c r="H3217" s="3">
        <v>62</v>
      </c>
      <c r="I3217" s="3">
        <v>119</v>
      </c>
      <c r="J3217" s="3">
        <v>710</v>
      </c>
      <c r="K3217" s="3">
        <v>1066</v>
      </c>
      <c r="L3217" s="3">
        <v>256</v>
      </c>
      <c r="M3217" s="3">
        <v>374</v>
      </c>
    </row>
    <row r="3218" spans="1:13" x14ac:dyDescent="0.25">
      <c r="A3218" s="1" t="str">
        <f>HYPERLINK("http://www.rosaceae.org/Prunus/Prunus_persica/p.persica_gdr_reftransV1_0037168","p.persica_gdr_reftransV1_0037168")</f>
        <v>p.persica_gdr_reftransV1_0037168</v>
      </c>
      <c r="B3218" s="3">
        <v>3584</v>
      </c>
      <c r="C3218" s="1" t="str">
        <f>HYPERLINK("http://www.uniprot.org/uniprot/CAAT5_ARATH","CAAT5_ARATH")</f>
        <v>CAAT5_ARATH</v>
      </c>
      <c r="D3218" t="s">
        <v>2973</v>
      </c>
      <c r="E3218" s="3" t="s">
        <v>3</v>
      </c>
      <c r="F3218" s="4">
        <v>0</v>
      </c>
      <c r="G3218" s="3">
        <v>1527</v>
      </c>
      <c r="H3218" s="3">
        <v>78</v>
      </c>
      <c r="I3218" s="3">
        <v>396</v>
      </c>
      <c r="J3218" s="3">
        <v>1985</v>
      </c>
      <c r="K3218" s="3">
        <v>3172</v>
      </c>
      <c r="L3218" s="3">
        <v>3</v>
      </c>
      <c r="M3218" s="3">
        <v>395</v>
      </c>
    </row>
    <row r="3219" spans="1:13" x14ac:dyDescent="0.25">
      <c r="A3219" s="1" t="str">
        <f>HYPERLINK("http://www.rosaceae.org/Prunus/Prunus_persica/p.persica_gdr_reftransV1_0037418","p.persica_gdr_reftransV1_0037418")</f>
        <v>p.persica_gdr_reftransV1_0037418</v>
      </c>
      <c r="B3219" s="3">
        <v>2693</v>
      </c>
      <c r="C3219" s="1" t="str">
        <f>HYPERLINK("http://www.uniprot.org/uniprot/P2C63_ARATH","P2C63_ARATH")</f>
        <v>P2C63_ARATH</v>
      </c>
      <c r="D3219" t="s">
        <v>2974</v>
      </c>
      <c r="E3219" s="3" t="s">
        <v>3</v>
      </c>
      <c r="F3219" s="4">
        <v>2.7099999999999999E-96</v>
      </c>
      <c r="G3219" s="3">
        <v>803</v>
      </c>
      <c r="H3219" s="3">
        <v>74</v>
      </c>
      <c r="I3219" s="3">
        <v>217</v>
      </c>
      <c r="J3219" s="3">
        <v>1855</v>
      </c>
      <c r="K3219" s="3">
        <v>2499</v>
      </c>
      <c r="L3219" s="3">
        <v>1</v>
      </c>
      <c r="M3219" s="3">
        <v>213</v>
      </c>
    </row>
    <row r="3220" spans="1:13" x14ac:dyDescent="0.25">
      <c r="A3220" s="1" t="str">
        <f>HYPERLINK("http://www.rosaceae.org/Prunus/Prunus_persica/p.persica_gdr_reftransV1_0037968","p.persica_gdr_reftransV1_0037968")</f>
        <v>p.persica_gdr_reftransV1_0037968</v>
      </c>
      <c r="B3220" s="3">
        <v>2074</v>
      </c>
      <c r="C3220" s="1" t="str">
        <f>HYPERLINK("http://www.uniprot.org/uniprot/RPD1_ARATH","RPD1_ARATH")</f>
        <v>RPD1_ARATH</v>
      </c>
      <c r="D3220" t="s">
        <v>1883</v>
      </c>
      <c r="E3220" s="3" t="s">
        <v>3</v>
      </c>
      <c r="F3220" s="4">
        <v>3.2399999999999998E-62</v>
      </c>
      <c r="G3220" s="3">
        <v>557</v>
      </c>
      <c r="H3220" s="3">
        <v>40</v>
      </c>
      <c r="I3220" s="3">
        <v>313</v>
      </c>
      <c r="J3220" s="3">
        <v>690</v>
      </c>
      <c r="K3220" s="3">
        <v>1604</v>
      </c>
      <c r="L3220" s="3">
        <v>102</v>
      </c>
      <c r="M3220" s="3">
        <v>408</v>
      </c>
    </row>
    <row r="3221" spans="1:13" x14ac:dyDescent="0.25">
      <c r="A3221" s="1" t="str">
        <f>HYPERLINK("http://www.rosaceae.org/Prunus/Prunus_persica/p.persica_gdr_reftransV1_0038168","p.persica_gdr_reftransV1_0038168")</f>
        <v>p.persica_gdr_reftransV1_0038168</v>
      </c>
      <c r="B3221" s="3">
        <v>1602</v>
      </c>
      <c r="C3221" s="1" t="str">
        <f>HYPERLINK("http://www.uniprot.org/uniprot/RF2B_ORYSJ","RF2B_ORYSJ")</f>
        <v>RF2B_ORYSJ</v>
      </c>
      <c r="D3221" t="s">
        <v>2975</v>
      </c>
      <c r="E3221" s="3" t="s">
        <v>38</v>
      </c>
      <c r="F3221" s="4">
        <v>6.8599999999999998E-91</v>
      </c>
      <c r="G3221" s="3">
        <v>737</v>
      </c>
      <c r="H3221" s="3">
        <v>56</v>
      </c>
      <c r="I3221" s="3">
        <v>325</v>
      </c>
      <c r="J3221" s="3">
        <v>410</v>
      </c>
      <c r="K3221" s="3">
        <v>1342</v>
      </c>
      <c r="L3221" s="3">
        <v>11</v>
      </c>
      <c r="M3221" s="3">
        <v>314</v>
      </c>
    </row>
    <row r="3222" spans="1:13" x14ac:dyDescent="0.25">
      <c r="A3222" s="1" t="str">
        <f>HYPERLINK("http://www.rosaceae.org/Prunus/Prunus_persica/p.persica_gdr_reftransV1_0038418","p.persica_gdr_reftransV1_0038418")</f>
        <v>p.persica_gdr_reftransV1_0038418</v>
      </c>
      <c r="B3222" s="3">
        <v>3714</v>
      </c>
      <c r="C3222" s="1" t="str">
        <f>HYPERLINK("http://www.uniprot.org/uniprot/CNGC5_ARATH","CNGC5_ARATH")</f>
        <v>CNGC5_ARATH</v>
      </c>
      <c r="D3222" t="s">
        <v>2976</v>
      </c>
      <c r="E3222" s="3" t="s">
        <v>3</v>
      </c>
      <c r="F3222" s="4">
        <v>3.5099999999999998E-159</v>
      </c>
      <c r="G3222" s="3">
        <v>1287</v>
      </c>
      <c r="H3222" s="3">
        <v>85</v>
      </c>
      <c r="I3222" s="3">
        <v>309</v>
      </c>
      <c r="J3222" s="3">
        <v>2502</v>
      </c>
      <c r="K3222" s="3">
        <v>3428</v>
      </c>
      <c r="L3222" s="3">
        <v>416</v>
      </c>
      <c r="M3222" s="3">
        <v>717</v>
      </c>
    </row>
    <row r="3223" spans="1:13" x14ac:dyDescent="0.25">
      <c r="A3223" s="1" t="str">
        <f>HYPERLINK("http://www.rosaceae.org/Prunus/Prunus_persica/p.persica_gdr_reftransV1_0038568","p.persica_gdr_reftransV1_0038568")</f>
        <v>p.persica_gdr_reftransV1_0038568</v>
      </c>
      <c r="B3223" s="3">
        <v>4454</v>
      </c>
      <c r="C3223" s="1" t="str">
        <f>HYPERLINK("http://www.uniprot.org/uniprot/VP52A_ARATH","VP52A_ARATH")</f>
        <v>VP52A_ARATH</v>
      </c>
      <c r="D3223" t="s">
        <v>2977</v>
      </c>
      <c r="E3223" s="3" t="s">
        <v>3</v>
      </c>
      <c r="F3223" s="4">
        <v>0</v>
      </c>
      <c r="G3223" s="3">
        <v>1708</v>
      </c>
      <c r="H3223" s="3">
        <v>85</v>
      </c>
      <c r="I3223" s="3">
        <v>365</v>
      </c>
      <c r="J3223" s="3">
        <v>1985</v>
      </c>
      <c r="K3223" s="3">
        <v>3079</v>
      </c>
      <c r="L3223" s="3">
        <v>343</v>
      </c>
      <c r="M3223" s="3">
        <v>707</v>
      </c>
    </row>
    <row r="3224" spans="1:13" x14ac:dyDescent="0.25">
      <c r="A3224" s="1" t="str">
        <f>HYPERLINK("http://www.rosaceae.org/Prunus/Prunus_persica/p.persica_gdr_reftransV1_0038918","p.persica_gdr_reftransV1_0038918")</f>
        <v>p.persica_gdr_reftransV1_0038918</v>
      </c>
      <c r="B3224" s="3">
        <v>2559</v>
      </c>
      <c r="C3224" s="1" t="str">
        <f>HYPERLINK("http://www.uniprot.org/uniprot/ASOL_TOBAC","ASOL_TOBAC")</f>
        <v>ASOL_TOBAC</v>
      </c>
      <c r="D3224" t="s">
        <v>2978</v>
      </c>
      <c r="E3224" s="3" t="s">
        <v>200</v>
      </c>
      <c r="F3224" s="4">
        <v>4.1800000000000003E-83</v>
      </c>
      <c r="G3224" s="3">
        <v>724</v>
      </c>
      <c r="H3224" s="3">
        <v>54</v>
      </c>
      <c r="I3224" s="3">
        <v>249</v>
      </c>
      <c r="J3224" s="3">
        <v>1072</v>
      </c>
      <c r="K3224" s="3">
        <v>1794</v>
      </c>
      <c r="L3224" s="3">
        <v>83</v>
      </c>
      <c r="M3224" s="3">
        <v>331</v>
      </c>
    </row>
    <row r="3225" spans="1:13" x14ac:dyDescent="0.25">
      <c r="A3225" s="1" t="str">
        <f>HYPERLINK("http://www.rosaceae.org/Prunus/Prunus_persica/p.persica_gdr_reftransV1_0038968","p.persica_gdr_reftransV1_0038968")</f>
        <v>p.persica_gdr_reftransV1_0038968</v>
      </c>
      <c r="B3225" s="3">
        <v>2522</v>
      </c>
      <c r="C3225" s="1" t="str">
        <f>HYPERLINK("http://www.uniprot.org/uniprot/MNME_ANAVT","MNME_ANAVT")</f>
        <v>MNME_ANAVT</v>
      </c>
      <c r="D3225" t="s">
        <v>2979</v>
      </c>
      <c r="E3225" s="3" t="s">
        <v>2980</v>
      </c>
      <c r="F3225" s="4">
        <v>3.2600000000000001E-49</v>
      </c>
      <c r="G3225" s="3">
        <v>297</v>
      </c>
      <c r="H3225" s="3">
        <v>37</v>
      </c>
      <c r="I3225" s="3">
        <v>212</v>
      </c>
      <c r="J3225" s="3">
        <v>1231</v>
      </c>
      <c r="K3225" s="3">
        <v>1866</v>
      </c>
      <c r="L3225" s="3">
        <v>239</v>
      </c>
      <c r="M3225" s="3">
        <v>399</v>
      </c>
    </row>
    <row r="3226" spans="1:13" x14ac:dyDescent="0.25">
      <c r="A3226" s="1" t="str">
        <f>HYPERLINK("http://www.rosaceae.org/Prunus/Prunus_persica/p.persica_gdr_reftransV1_0039268","p.persica_gdr_reftransV1_0039268")</f>
        <v>p.persica_gdr_reftransV1_0039268</v>
      </c>
      <c r="B3226" s="3">
        <v>3191</v>
      </c>
      <c r="C3226" s="1" t="str">
        <f>HYPERLINK("http://www.uniprot.org/uniprot/UBP8_ARATH","UBP8_ARATH")</f>
        <v>UBP8_ARATH</v>
      </c>
      <c r="D3226" t="s">
        <v>2533</v>
      </c>
      <c r="E3226" s="3" t="s">
        <v>3</v>
      </c>
      <c r="F3226" s="4">
        <v>0</v>
      </c>
      <c r="G3226" s="3">
        <v>1387</v>
      </c>
      <c r="H3226" s="3">
        <v>56</v>
      </c>
      <c r="I3226" s="3">
        <v>492</v>
      </c>
      <c r="J3226" s="3">
        <v>1330</v>
      </c>
      <c r="K3226" s="3">
        <v>2802</v>
      </c>
      <c r="L3226" s="3">
        <v>386</v>
      </c>
      <c r="M3226" s="3">
        <v>871</v>
      </c>
    </row>
    <row r="3227" spans="1:13" x14ac:dyDescent="0.25">
      <c r="A3227" s="1" t="str">
        <f>HYPERLINK("http://www.rosaceae.org/Prunus/Prunus_persica/p.persica_gdr_reftransV1_0039318","p.persica_gdr_reftransV1_0039318")</f>
        <v>p.persica_gdr_reftransV1_0039318</v>
      </c>
      <c r="B3227" s="3">
        <v>591</v>
      </c>
      <c r="C3227" s="1" t="str">
        <f>HYPERLINK("http://www.uniprot.org/uniprot/FA32A_DANRE","FA32A_DANRE")</f>
        <v>FA32A_DANRE</v>
      </c>
      <c r="D3227" t="s">
        <v>2981</v>
      </c>
      <c r="E3227" s="3" t="s">
        <v>704</v>
      </c>
      <c r="F3227" s="4">
        <v>2.0000000000000001E-9</v>
      </c>
      <c r="G3227" s="3">
        <v>135</v>
      </c>
      <c r="H3227" s="3">
        <v>39</v>
      </c>
      <c r="I3227" s="3">
        <v>66</v>
      </c>
      <c r="J3227" s="3">
        <v>179</v>
      </c>
      <c r="K3227" s="3">
        <v>376</v>
      </c>
      <c r="L3227" s="3">
        <v>41</v>
      </c>
      <c r="M3227" s="3">
        <v>106</v>
      </c>
    </row>
    <row r="3228" spans="1:13" x14ac:dyDescent="0.25">
      <c r="A3228" s="1" t="str">
        <f>HYPERLINK("http://www.rosaceae.org/Prunus/Prunus_persica/p.persica_gdr_reftransV1_0039518","p.persica_gdr_reftransV1_0039518")</f>
        <v>p.persica_gdr_reftransV1_0039518</v>
      </c>
      <c r="B3228" s="3">
        <v>4085</v>
      </c>
      <c r="C3228" s="1" t="str">
        <f>HYPERLINK("http://www.uniprot.org/uniprot/TRP3_ARATH","TRP3_ARATH")</f>
        <v>TRP3_ARATH</v>
      </c>
      <c r="D3228" t="s">
        <v>713</v>
      </c>
      <c r="E3228" s="3" t="s">
        <v>3</v>
      </c>
      <c r="F3228" s="4">
        <v>1.47E-47</v>
      </c>
      <c r="G3228" s="3">
        <v>471</v>
      </c>
      <c r="H3228" s="3">
        <v>51</v>
      </c>
      <c r="I3228" s="3">
        <v>207</v>
      </c>
      <c r="J3228" s="3">
        <v>701</v>
      </c>
      <c r="K3228" s="3">
        <v>1321</v>
      </c>
      <c r="L3228" s="3">
        <v>349</v>
      </c>
      <c r="M3228" s="3">
        <v>552</v>
      </c>
    </row>
    <row r="3229" spans="1:13" x14ac:dyDescent="0.25">
      <c r="A3229" s="1" t="str">
        <f>HYPERLINK("http://www.rosaceae.org/Prunus/Prunus_persica/p.persica_gdr_reftransV1_0039768","p.persica_gdr_reftransV1_0039768")</f>
        <v>p.persica_gdr_reftransV1_0039768</v>
      </c>
      <c r="B3229" s="3">
        <v>2153</v>
      </c>
      <c r="C3229" s="1" t="str">
        <f>HYPERLINK("http://www.uniprot.org/uniprot/SYP31_ARATH","SYP31_ARATH")</f>
        <v>SYP31_ARATH</v>
      </c>
      <c r="D3229" t="s">
        <v>2982</v>
      </c>
      <c r="E3229" s="3" t="s">
        <v>3</v>
      </c>
      <c r="F3229" s="4">
        <v>1.01E-83</v>
      </c>
      <c r="G3229" s="3">
        <v>702</v>
      </c>
      <c r="H3229" s="3">
        <v>68</v>
      </c>
      <c r="I3229" s="3">
        <v>215</v>
      </c>
      <c r="J3229" s="3">
        <v>491</v>
      </c>
      <c r="K3229" s="3">
        <v>1129</v>
      </c>
      <c r="L3229" s="3">
        <v>71</v>
      </c>
      <c r="M3229" s="3">
        <v>285</v>
      </c>
    </row>
    <row r="3230" spans="1:13" x14ac:dyDescent="0.25">
      <c r="A3230" s="1" t="str">
        <f>HYPERLINK("http://www.rosaceae.org/Prunus/Prunus_persica/p.persica_gdr_reftransV1_0040018","p.persica_gdr_reftransV1_0040018")</f>
        <v>p.persica_gdr_reftransV1_0040018</v>
      </c>
      <c r="B3230" s="3">
        <v>3099</v>
      </c>
      <c r="C3230" s="1" t="str">
        <f>HYPERLINK("http://www.uniprot.org/uniprot/C04C1_PINTA","C04C1_PINTA")</f>
        <v>C04C1_PINTA</v>
      </c>
      <c r="D3230" t="s">
        <v>2983</v>
      </c>
      <c r="E3230" s="3" t="s">
        <v>1</v>
      </c>
      <c r="F3230" s="4">
        <v>3.64E-70</v>
      </c>
      <c r="G3230" s="3">
        <v>456</v>
      </c>
      <c r="H3230" s="3">
        <v>43</v>
      </c>
      <c r="I3230" s="3">
        <v>221</v>
      </c>
      <c r="J3230" s="3">
        <v>848</v>
      </c>
      <c r="K3230" s="3">
        <v>1462</v>
      </c>
      <c r="L3230" s="3">
        <v>170</v>
      </c>
      <c r="M3230" s="3">
        <v>388</v>
      </c>
    </row>
    <row r="3231" spans="1:13" x14ac:dyDescent="0.25">
      <c r="A3231" s="1" t="str">
        <f>HYPERLINK("http://www.rosaceae.org/Prunus/Prunus_persica/p.persica_gdr_reftransV1_0040418","p.persica_gdr_reftransV1_0040418")</f>
        <v>p.persica_gdr_reftransV1_0040418</v>
      </c>
      <c r="B3231" s="3">
        <v>2214</v>
      </c>
      <c r="C3231" s="1" t="str">
        <f>HYPERLINK("http://www.uniprot.org/uniprot/RA51B_ARATH","RA51B_ARATH")</f>
        <v>RA51B_ARATH</v>
      </c>
      <c r="D3231" t="s">
        <v>2984</v>
      </c>
      <c r="E3231" s="3" t="s">
        <v>3</v>
      </c>
      <c r="F3231" s="4">
        <v>2.77E-64</v>
      </c>
      <c r="G3231" s="3">
        <v>451</v>
      </c>
      <c r="H3231" s="3">
        <v>74</v>
      </c>
      <c r="I3231" s="3">
        <v>125</v>
      </c>
      <c r="J3231" s="3">
        <v>256</v>
      </c>
      <c r="K3231" s="3">
        <v>630</v>
      </c>
      <c r="L3231" s="3">
        <v>67</v>
      </c>
      <c r="M3231" s="3">
        <v>191</v>
      </c>
    </row>
    <row r="3232" spans="1:13" x14ac:dyDescent="0.25">
      <c r="A3232" s="1" t="str">
        <f>HYPERLINK("http://www.rosaceae.org/Prunus/Prunus_persica/p.persica_gdr_reftransV1_0040468","p.persica_gdr_reftransV1_0040468")</f>
        <v>p.persica_gdr_reftransV1_0040468</v>
      </c>
      <c r="B3232" s="3">
        <v>2893</v>
      </c>
      <c r="C3232" s="1" t="str">
        <f>HYPERLINK("http://www.uniprot.org/uniprot/NEDD1_ARATH","NEDD1_ARATH")</f>
        <v>NEDD1_ARATH</v>
      </c>
      <c r="D3232" t="s">
        <v>2985</v>
      </c>
      <c r="E3232" s="3" t="s">
        <v>3</v>
      </c>
      <c r="F3232" s="4">
        <v>0</v>
      </c>
      <c r="G3232" s="3">
        <v>2235</v>
      </c>
      <c r="H3232" s="3">
        <v>59</v>
      </c>
      <c r="I3232" s="3">
        <v>815</v>
      </c>
      <c r="J3232" s="3">
        <v>239</v>
      </c>
      <c r="K3232" s="3">
        <v>2629</v>
      </c>
      <c r="L3232" s="3">
        <v>2</v>
      </c>
      <c r="M3232" s="3">
        <v>782</v>
      </c>
    </row>
    <row r="3233" spans="1:13" x14ac:dyDescent="0.25">
      <c r="A3233" s="1" t="str">
        <f>HYPERLINK("http://www.rosaceae.org/Prunus/Prunus_persica/p.persica_gdr_reftransV1_0040568","p.persica_gdr_reftransV1_0040568")</f>
        <v>p.persica_gdr_reftransV1_0040568</v>
      </c>
      <c r="B3233" s="3">
        <v>1971</v>
      </c>
      <c r="C3233" s="1" t="str">
        <f>HYPERLINK("http://www.uniprot.org/uniprot/Y8631_DICDI","Y8631_DICDI")</f>
        <v>Y8631_DICDI</v>
      </c>
      <c r="D3233" t="s">
        <v>2986</v>
      </c>
      <c r="E3233" s="3" t="s">
        <v>9</v>
      </c>
      <c r="F3233" s="4">
        <v>9.7400000000000004E-34</v>
      </c>
      <c r="G3233" s="3">
        <v>344</v>
      </c>
      <c r="H3233" s="3">
        <v>37</v>
      </c>
      <c r="I3233" s="3">
        <v>250</v>
      </c>
      <c r="J3233" s="3">
        <v>793</v>
      </c>
      <c r="K3233" s="3">
        <v>1533</v>
      </c>
      <c r="L3233" s="3">
        <v>135</v>
      </c>
      <c r="M3233" s="3">
        <v>378</v>
      </c>
    </row>
    <row r="3234" spans="1:13" x14ac:dyDescent="0.25">
      <c r="A3234" s="1" t="str">
        <f>HYPERLINK("http://www.rosaceae.org/Prunus/Prunus_persica/p.persica_gdr_reftransV1_0042468","p.persica_gdr_reftransV1_0042468")</f>
        <v>p.persica_gdr_reftransV1_0042468</v>
      </c>
      <c r="B3234" s="3">
        <v>1130</v>
      </c>
      <c r="C3234" s="1" t="str">
        <f>HYPERLINK("http://www.uniprot.org/uniprot/GSTX6_SOYBN","GSTX6_SOYBN")</f>
        <v>GSTX6_SOYBN</v>
      </c>
      <c r="D3234" t="s">
        <v>2987</v>
      </c>
      <c r="E3234" s="3" t="s">
        <v>307</v>
      </c>
      <c r="F3234" s="4">
        <v>1.61E-52</v>
      </c>
      <c r="G3234" s="3">
        <v>456</v>
      </c>
      <c r="H3234" s="3">
        <v>47</v>
      </c>
      <c r="I3234" s="3">
        <v>249</v>
      </c>
      <c r="J3234" s="3">
        <v>170</v>
      </c>
      <c r="K3234" s="3">
        <v>916</v>
      </c>
      <c r="L3234" s="3">
        <v>5</v>
      </c>
      <c r="M3234" s="3">
        <v>225</v>
      </c>
    </row>
    <row r="3235" spans="1:13" x14ac:dyDescent="0.25">
      <c r="A3235" s="1" t="str">
        <f>HYPERLINK("http://www.rosaceae.org/Prunus/Prunus_persica/p.persica_gdr_reftransV1_0042518","p.persica_gdr_reftransV1_0042518")</f>
        <v>p.persica_gdr_reftransV1_0042518</v>
      </c>
      <c r="B3235" s="3">
        <v>2752</v>
      </c>
      <c r="C3235" s="1" t="str">
        <f>HYPERLINK("http://www.uniprot.org/uniprot/FDL25_ARATH","FDL25_ARATH")</f>
        <v>FDL25_ARATH</v>
      </c>
      <c r="D3235" t="s">
        <v>2988</v>
      </c>
      <c r="E3235" s="3" t="s">
        <v>3</v>
      </c>
      <c r="F3235" s="4">
        <v>1.62E-12</v>
      </c>
      <c r="G3235" s="3">
        <v>182</v>
      </c>
      <c r="H3235" s="3">
        <v>25</v>
      </c>
      <c r="I3235" s="3">
        <v>461</v>
      </c>
      <c r="J3235" s="3">
        <v>304</v>
      </c>
      <c r="K3235" s="3">
        <v>1581</v>
      </c>
      <c r="L3235" s="3">
        <v>24</v>
      </c>
      <c r="M3235" s="3">
        <v>464</v>
      </c>
    </row>
    <row r="3236" spans="1:13" x14ac:dyDescent="0.25">
      <c r="A3236" s="1" t="str">
        <f>HYPERLINK("http://www.rosaceae.org/Prunus/Prunus_persica/p.persica_gdr_reftransV1_0042668","p.persica_gdr_reftransV1_0042668")</f>
        <v>p.persica_gdr_reftransV1_0042668</v>
      </c>
      <c r="B3236" s="3">
        <v>1869</v>
      </c>
      <c r="C3236" s="1" t="str">
        <f>HYPERLINK("http://www.uniprot.org/uniprot/ADAL_HUMAN","ADAL_HUMAN")</f>
        <v>ADAL_HUMAN</v>
      </c>
      <c r="D3236" t="s">
        <v>2989</v>
      </c>
      <c r="E3236" s="3" t="s">
        <v>28</v>
      </c>
      <c r="F3236" s="4">
        <v>3.32E-43</v>
      </c>
      <c r="G3236" s="3">
        <v>319</v>
      </c>
      <c r="H3236" s="3">
        <v>37</v>
      </c>
      <c r="I3236" s="3">
        <v>217</v>
      </c>
      <c r="J3236" s="3">
        <v>107</v>
      </c>
      <c r="K3236" s="3">
        <v>745</v>
      </c>
      <c r="L3236" s="3">
        <v>6</v>
      </c>
      <c r="M3236" s="3">
        <v>187</v>
      </c>
    </row>
    <row r="3237" spans="1:13" x14ac:dyDescent="0.25">
      <c r="A3237" s="1" t="str">
        <f>HYPERLINK("http://www.rosaceae.org/Prunus/Prunus_persica/p.persica_gdr_reftransV1_0043018","p.persica_gdr_reftransV1_0043018")</f>
        <v>p.persica_gdr_reftransV1_0043018</v>
      </c>
      <c r="B3237" s="3">
        <v>2534</v>
      </c>
      <c r="C3237" s="1" t="str">
        <f>HYPERLINK("http://www.uniprot.org/uniprot/PP430_ARATH","PP430_ARATH")</f>
        <v>PP430_ARATH</v>
      </c>
      <c r="D3237" t="s">
        <v>2990</v>
      </c>
      <c r="E3237" s="3" t="s">
        <v>3</v>
      </c>
      <c r="F3237" s="4">
        <v>1.0299999999999999E-152</v>
      </c>
      <c r="G3237" s="3">
        <v>1228</v>
      </c>
      <c r="H3237" s="3">
        <v>49</v>
      </c>
      <c r="I3237" s="3">
        <v>482</v>
      </c>
      <c r="J3237" s="3">
        <v>8</v>
      </c>
      <c r="K3237" s="3">
        <v>1450</v>
      </c>
      <c r="L3237" s="3">
        <v>404</v>
      </c>
      <c r="M3237" s="3">
        <v>885</v>
      </c>
    </row>
    <row r="3238" spans="1:13" x14ac:dyDescent="0.25">
      <c r="A3238" s="1" t="str">
        <f>HYPERLINK("http://www.rosaceae.org/Prunus/Prunus_persica/p.persica_gdr_reftransV1_0043068","p.persica_gdr_reftransV1_0043068")</f>
        <v>p.persica_gdr_reftransV1_0043068</v>
      </c>
      <c r="B3238" s="3">
        <v>3021</v>
      </c>
      <c r="C3238" s="1" t="str">
        <f>HYPERLINK("http://www.uniprot.org/uniprot/BGAL6_ORYSJ","BGAL6_ORYSJ")</f>
        <v>BGAL6_ORYSJ</v>
      </c>
      <c r="D3238" t="s">
        <v>2991</v>
      </c>
      <c r="E3238" s="3" t="s">
        <v>38</v>
      </c>
      <c r="F3238" s="4">
        <v>0</v>
      </c>
      <c r="G3238" s="3">
        <v>1772</v>
      </c>
      <c r="H3238" s="3">
        <v>80</v>
      </c>
      <c r="I3238" s="3">
        <v>403</v>
      </c>
      <c r="J3238" s="3">
        <v>1467</v>
      </c>
      <c r="K3238" s="3">
        <v>2669</v>
      </c>
      <c r="L3238" s="3">
        <v>27</v>
      </c>
      <c r="M3238" s="3">
        <v>427</v>
      </c>
    </row>
    <row r="3239" spans="1:13" x14ac:dyDescent="0.25">
      <c r="A3239" s="1" t="str">
        <f>HYPERLINK("http://www.rosaceae.org/Prunus/Prunus_persica/p.persica_gdr_reftransV1_0043218","p.persica_gdr_reftransV1_0043218")</f>
        <v>p.persica_gdr_reftransV1_0043218</v>
      </c>
      <c r="B3239" s="3">
        <v>771</v>
      </c>
      <c r="C3239" s="1" t="str">
        <f>HYPERLINK("http://www.uniprot.org/uniprot/P2C14_ARATH","P2C14_ARATH")</f>
        <v>P2C14_ARATH</v>
      </c>
      <c r="D3239" t="s">
        <v>785</v>
      </c>
      <c r="E3239" s="3" t="s">
        <v>3</v>
      </c>
      <c r="F3239" s="4">
        <v>3.5500000000000001E-97</v>
      </c>
      <c r="G3239" s="3">
        <v>763</v>
      </c>
      <c r="H3239" s="3">
        <v>63</v>
      </c>
      <c r="I3239" s="3">
        <v>252</v>
      </c>
      <c r="J3239" s="3">
        <v>1</v>
      </c>
      <c r="K3239" s="3">
        <v>735</v>
      </c>
      <c r="L3239" s="3">
        <v>76</v>
      </c>
      <c r="M3239" s="3">
        <v>326</v>
      </c>
    </row>
    <row r="3240" spans="1:13" x14ac:dyDescent="0.25">
      <c r="A3240" s="1" t="str">
        <f>HYPERLINK("http://www.rosaceae.org/Prunus/Prunus_persica/p.persica_gdr_reftransV1_0043268","p.persica_gdr_reftransV1_0043268")</f>
        <v>p.persica_gdr_reftransV1_0043268</v>
      </c>
      <c r="B3240" s="3">
        <v>1092</v>
      </c>
      <c r="C3240" s="1" t="str">
        <f>HYPERLINK("http://www.uniprot.org/uniprot/RidA_ARATH","RidA_ARATH")</f>
        <v>RidA_ARATH</v>
      </c>
      <c r="D3240" t="s">
        <v>2992</v>
      </c>
      <c r="E3240" s="3" t="s">
        <v>3</v>
      </c>
      <c r="F3240" s="4">
        <v>1.3199999999999999E-55</v>
      </c>
      <c r="G3240" s="3">
        <v>382</v>
      </c>
      <c r="H3240" s="3">
        <v>64</v>
      </c>
      <c r="I3240" s="3">
        <v>147</v>
      </c>
      <c r="J3240" s="3">
        <v>535</v>
      </c>
      <c r="K3240" s="3">
        <v>966</v>
      </c>
      <c r="L3240" s="3">
        <v>1</v>
      </c>
      <c r="M3240" s="3">
        <v>144</v>
      </c>
    </row>
    <row r="3241" spans="1:13" x14ac:dyDescent="0.25">
      <c r="A3241" s="1" t="str">
        <f>HYPERLINK("http://www.rosaceae.org/Prunus/Prunus_persica/p.persica_gdr_reftransV1_0043318","p.persica_gdr_reftransV1_0043318")</f>
        <v>p.persica_gdr_reftransV1_0043318</v>
      </c>
      <c r="B3241" s="3">
        <v>391</v>
      </c>
      <c r="C3241" s="1" t="str">
        <f>HYPERLINK("http://www.uniprot.org/uniprot/SMO11_ARATH","SMO11_ARATH")</f>
        <v>SMO11_ARATH</v>
      </c>
      <c r="D3241" t="s">
        <v>2993</v>
      </c>
      <c r="E3241" s="3" t="s">
        <v>3</v>
      </c>
      <c r="F3241" s="4">
        <v>1.7299999999999999E-76</v>
      </c>
      <c r="G3241" s="3">
        <v>599</v>
      </c>
      <c r="H3241" s="3">
        <v>78</v>
      </c>
      <c r="I3241" s="3">
        <v>130</v>
      </c>
      <c r="J3241" s="3">
        <v>2</v>
      </c>
      <c r="K3241" s="3">
        <v>391</v>
      </c>
      <c r="L3241" s="3">
        <v>143</v>
      </c>
      <c r="M3241" s="3">
        <v>272</v>
      </c>
    </row>
    <row r="3242" spans="1:13" x14ac:dyDescent="0.25">
      <c r="A3242" s="1" t="str">
        <f>HYPERLINK("http://www.rosaceae.org/Prunus/Prunus_persica/p.persica_gdr_reftransV1_0043368","p.persica_gdr_reftransV1_0043368")</f>
        <v>p.persica_gdr_reftransV1_0043368</v>
      </c>
      <c r="B3242" s="3">
        <v>1056</v>
      </c>
      <c r="C3242" s="1" t="str">
        <f>HYPERLINK("http://www.uniprot.org/uniprot/RQL1_ARATH","RQL1_ARATH")</f>
        <v>RQL1_ARATH</v>
      </c>
      <c r="D3242" t="s">
        <v>2994</v>
      </c>
      <c r="E3242" s="3" t="s">
        <v>3</v>
      </c>
      <c r="F3242" s="4">
        <v>7.7999999999999997E-164</v>
      </c>
      <c r="G3242" s="3">
        <v>1231</v>
      </c>
      <c r="H3242" s="3">
        <v>75</v>
      </c>
      <c r="I3242" s="3">
        <v>309</v>
      </c>
      <c r="J3242" s="3">
        <v>1</v>
      </c>
      <c r="K3242" s="3">
        <v>918</v>
      </c>
      <c r="L3242" s="3">
        <v>147</v>
      </c>
      <c r="M3242" s="3">
        <v>455</v>
      </c>
    </row>
    <row r="3243" spans="1:13" x14ac:dyDescent="0.25">
      <c r="A3243" s="1" t="str">
        <f>HYPERLINK("http://www.rosaceae.org/Prunus/Prunus_persica/p.persica_gdr_reftransV1_0043418","p.persica_gdr_reftransV1_0043418")</f>
        <v>p.persica_gdr_reftransV1_0043418</v>
      </c>
      <c r="B3243" s="3">
        <v>1804</v>
      </c>
      <c r="C3243" s="1" t="str">
        <f>HYPERLINK("http://www.uniprot.org/uniprot/PYRD2_MOUSE","PYRD2_MOUSE")</f>
        <v>PYRD2_MOUSE</v>
      </c>
      <c r="D3243" t="s">
        <v>2995</v>
      </c>
      <c r="E3243" s="3" t="s">
        <v>157</v>
      </c>
      <c r="F3243" s="4">
        <v>1.39E-117</v>
      </c>
      <c r="G3243" s="3">
        <v>945</v>
      </c>
      <c r="H3243" s="3">
        <v>43</v>
      </c>
      <c r="I3243" s="3">
        <v>529</v>
      </c>
      <c r="J3243" s="3">
        <v>252</v>
      </c>
      <c r="K3243" s="3">
        <v>1802</v>
      </c>
      <c r="L3243" s="3">
        <v>104</v>
      </c>
      <c r="M3243" s="3">
        <v>579</v>
      </c>
    </row>
    <row r="3244" spans="1:13" x14ac:dyDescent="0.25">
      <c r="A3244" s="1" t="str">
        <f>HYPERLINK("http://www.rosaceae.org/Prunus/Prunus_persica/p.persica_gdr_reftransV1_0043468","p.persica_gdr_reftransV1_0043468")</f>
        <v>p.persica_gdr_reftransV1_0043468</v>
      </c>
      <c r="B3244" s="3">
        <v>469</v>
      </c>
      <c r="C3244" s="1" t="str">
        <f>HYPERLINK("http://www.uniprot.org/uniprot/AB2A_ARATH","AB2A_ARATH")</f>
        <v>AB2A_ARATH</v>
      </c>
      <c r="D3244" t="s">
        <v>2678</v>
      </c>
      <c r="E3244" s="3" t="s">
        <v>3</v>
      </c>
      <c r="F3244" s="4">
        <v>1.3199999999999999E-85</v>
      </c>
      <c r="G3244" s="3">
        <v>704</v>
      </c>
      <c r="H3244" s="3">
        <v>84</v>
      </c>
      <c r="I3244" s="3">
        <v>153</v>
      </c>
      <c r="J3244" s="3">
        <v>9</v>
      </c>
      <c r="K3244" s="3">
        <v>467</v>
      </c>
      <c r="L3244" s="3">
        <v>612</v>
      </c>
      <c r="M3244" s="3">
        <v>764</v>
      </c>
    </row>
    <row r="3245" spans="1:13" x14ac:dyDescent="0.25">
      <c r="A3245" s="1" t="str">
        <f>HYPERLINK("http://www.rosaceae.org/Prunus/Prunus_persica/p.persica_gdr_reftransV1_0043518","p.persica_gdr_reftransV1_0043518")</f>
        <v>p.persica_gdr_reftransV1_0043518</v>
      </c>
      <c r="B3245" s="3">
        <v>3956</v>
      </c>
      <c r="C3245" s="1" t="str">
        <f>HYPERLINK("http://www.uniprot.org/uniprot/TI110_ARATH","TI110_ARATH")</f>
        <v>TI110_ARATH</v>
      </c>
      <c r="D3245" t="s">
        <v>2996</v>
      </c>
      <c r="E3245" s="3" t="s">
        <v>3</v>
      </c>
      <c r="F3245" s="4">
        <v>0</v>
      </c>
      <c r="G3245" s="3">
        <v>3529</v>
      </c>
      <c r="H3245" s="3">
        <v>70</v>
      </c>
      <c r="I3245" s="3">
        <v>1003</v>
      </c>
      <c r="J3245" s="3">
        <v>809</v>
      </c>
      <c r="K3245" s="3">
        <v>3784</v>
      </c>
      <c r="L3245" s="3">
        <v>1</v>
      </c>
      <c r="M3245" s="3">
        <v>1002</v>
      </c>
    </row>
    <row r="3246" spans="1:13" x14ac:dyDescent="0.25">
      <c r="A3246" s="1" t="str">
        <f>HYPERLINK("http://www.rosaceae.org/Prunus/Prunus_persica/p.persica_gdr_reftransV1_0043568","p.persica_gdr_reftransV1_0043568")</f>
        <v>p.persica_gdr_reftransV1_0043568</v>
      </c>
      <c r="B3246" s="3">
        <v>1006</v>
      </c>
      <c r="C3246" s="1" t="str">
        <f>HYPERLINK("http://www.uniprot.org/uniprot/CBP23_HORVU","CBP23_HORVU")</f>
        <v>CBP23_HORVU</v>
      </c>
      <c r="D3246" t="s">
        <v>2997</v>
      </c>
      <c r="E3246" s="3" t="s">
        <v>769</v>
      </c>
      <c r="F3246" s="4">
        <v>1.09E-115</v>
      </c>
      <c r="G3246" s="3">
        <v>901</v>
      </c>
      <c r="H3246" s="3">
        <v>58</v>
      </c>
      <c r="I3246" s="3">
        <v>313</v>
      </c>
      <c r="J3246" s="3">
        <v>12</v>
      </c>
      <c r="K3246" s="3">
        <v>908</v>
      </c>
      <c r="L3246" s="3">
        <v>40</v>
      </c>
      <c r="M3246" s="3">
        <v>347</v>
      </c>
    </row>
    <row r="3247" spans="1:13" x14ac:dyDescent="0.25">
      <c r="A3247" s="1" t="str">
        <f>HYPERLINK("http://www.rosaceae.org/Prunus/Prunus_persica/p.persica_gdr_reftransV1_0043618","p.persica_gdr_reftransV1_0043618")</f>
        <v>p.persica_gdr_reftransV1_0043618</v>
      </c>
      <c r="B3247" s="3">
        <v>1383</v>
      </c>
      <c r="C3247" s="1" t="str">
        <f>HYPERLINK("http://www.uniprot.org/uniprot/RK4_TOBAC","RK4_TOBAC")</f>
        <v>RK4_TOBAC</v>
      </c>
      <c r="D3247" t="s">
        <v>2998</v>
      </c>
      <c r="E3247" s="3" t="s">
        <v>200</v>
      </c>
      <c r="F3247" s="4">
        <v>1.68E-114</v>
      </c>
      <c r="G3247" s="3">
        <v>884</v>
      </c>
      <c r="H3247" s="3">
        <v>74</v>
      </c>
      <c r="I3247" s="3">
        <v>227</v>
      </c>
      <c r="J3247" s="3">
        <v>197</v>
      </c>
      <c r="K3247" s="3">
        <v>859</v>
      </c>
      <c r="L3247" s="3">
        <v>27</v>
      </c>
      <c r="M3247" s="3">
        <v>253</v>
      </c>
    </row>
    <row r="3248" spans="1:13" x14ac:dyDescent="0.25">
      <c r="A3248" s="1" t="str">
        <f>HYPERLINK("http://www.rosaceae.org/Prunus/Prunus_persica/p.persica_gdr_reftransV1_0043768","p.persica_gdr_reftransV1_0043768")</f>
        <v>p.persica_gdr_reftransV1_0043768</v>
      </c>
      <c r="B3248" s="3">
        <v>4018</v>
      </c>
      <c r="C3248" s="1" t="str">
        <f>HYPERLINK("http://www.uniprot.org/uniprot/KN12B_ARATH","KN12B_ARATH")</f>
        <v>KN12B_ARATH</v>
      </c>
      <c r="D3248" t="s">
        <v>2999</v>
      </c>
      <c r="E3248" s="3" t="s">
        <v>3</v>
      </c>
      <c r="F3248" s="4">
        <v>2.3799999999999999E-114</v>
      </c>
      <c r="G3248" s="3">
        <v>1016</v>
      </c>
      <c r="H3248" s="3">
        <v>51</v>
      </c>
      <c r="I3248" s="3">
        <v>368</v>
      </c>
      <c r="J3248" s="3">
        <v>494</v>
      </c>
      <c r="K3248" s="3">
        <v>1597</v>
      </c>
      <c r="L3248" s="3">
        <v>98</v>
      </c>
      <c r="M3248" s="3">
        <v>463</v>
      </c>
    </row>
    <row r="3249" spans="1:13" x14ac:dyDescent="0.25">
      <c r="A3249" s="1" t="str">
        <f>HYPERLINK("http://www.rosaceae.org/Prunus/Prunus_persica/p.persica_gdr_reftransV1_0043818","p.persica_gdr_reftransV1_0043818")</f>
        <v>p.persica_gdr_reftransV1_0043818</v>
      </c>
      <c r="B3249" s="3">
        <v>853</v>
      </c>
      <c r="C3249" s="1" t="str">
        <f>HYPERLINK("http://www.uniprot.org/uniprot/HDG11_ARATH","HDG11_ARATH")</f>
        <v>HDG11_ARATH</v>
      </c>
      <c r="D3249" t="s">
        <v>3000</v>
      </c>
      <c r="E3249" s="3" t="s">
        <v>3</v>
      </c>
      <c r="F3249" s="4">
        <v>3.9199999999999999E-79</v>
      </c>
      <c r="G3249" s="3">
        <v>663</v>
      </c>
      <c r="H3249" s="3">
        <v>76</v>
      </c>
      <c r="I3249" s="3">
        <v>186</v>
      </c>
      <c r="J3249" s="3">
        <v>307</v>
      </c>
      <c r="K3249" s="3">
        <v>852</v>
      </c>
      <c r="L3249" s="3">
        <v>530</v>
      </c>
      <c r="M3249" s="3">
        <v>713</v>
      </c>
    </row>
    <row r="3250" spans="1:13" x14ac:dyDescent="0.25">
      <c r="A3250" s="1" t="str">
        <f>HYPERLINK("http://www.rosaceae.org/Prunus/Prunus_persica/p.persica_gdr_reftransV1_0043868","p.persica_gdr_reftransV1_0043868")</f>
        <v>p.persica_gdr_reftransV1_0043868</v>
      </c>
      <c r="B3250" s="3">
        <v>1894</v>
      </c>
      <c r="C3250" s="1" t="str">
        <f>HYPERLINK("http://www.uniprot.org/uniprot/KASC1_ARATH","KASC1_ARATH")</f>
        <v>KASC1_ARATH</v>
      </c>
      <c r="D3250" t="s">
        <v>3001</v>
      </c>
      <c r="E3250" s="3" t="s">
        <v>3</v>
      </c>
      <c r="F3250" s="4">
        <v>0</v>
      </c>
      <c r="G3250" s="3">
        <v>1782</v>
      </c>
      <c r="H3250" s="3">
        <v>79</v>
      </c>
      <c r="I3250" s="3">
        <v>434</v>
      </c>
      <c r="J3250" s="3">
        <v>397</v>
      </c>
      <c r="K3250" s="3">
        <v>1698</v>
      </c>
      <c r="L3250" s="3">
        <v>40</v>
      </c>
      <c r="M3250" s="3">
        <v>473</v>
      </c>
    </row>
    <row r="3251" spans="1:13" x14ac:dyDescent="0.25">
      <c r="A3251" s="1" t="str">
        <f>HYPERLINK("http://www.rosaceae.org/Prunus/Prunus_persica/p.persica_gdr_reftransV1_0043968","p.persica_gdr_reftransV1_0043968")</f>
        <v>p.persica_gdr_reftransV1_0043968</v>
      </c>
      <c r="B3251" s="3">
        <v>348</v>
      </c>
      <c r="C3251" s="1" t="str">
        <f>HYPERLINK("http://www.uniprot.org/uniprot/APRR1_ARATH","APRR1_ARATH")</f>
        <v>APRR1_ARATH</v>
      </c>
      <c r="D3251" t="s">
        <v>3002</v>
      </c>
      <c r="E3251" s="3" t="s">
        <v>3</v>
      </c>
      <c r="F3251" s="4">
        <v>5.4600000000000002E-14</v>
      </c>
      <c r="G3251" s="3">
        <v>174</v>
      </c>
      <c r="H3251" s="3">
        <v>40</v>
      </c>
      <c r="I3251" s="3">
        <v>124</v>
      </c>
      <c r="J3251" s="3">
        <v>13</v>
      </c>
      <c r="K3251" s="3">
        <v>348</v>
      </c>
      <c r="L3251" s="3">
        <v>428</v>
      </c>
      <c r="M3251" s="3">
        <v>534</v>
      </c>
    </row>
    <row r="3252" spans="1:13" x14ac:dyDescent="0.25">
      <c r="A3252" s="1" t="str">
        <f>HYPERLINK("http://www.rosaceae.org/Prunus/Prunus_persica/p.persica_gdr_reftransV1_0044168","p.persica_gdr_reftransV1_0044168")</f>
        <v>p.persica_gdr_reftransV1_0044168</v>
      </c>
      <c r="B3252" s="3">
        <v>3038</v>
      </c>
      <c r="C3252" s="1" t="str">
        <f>HYPERLINK("http://www.uniprot.org/uniprot/TPR4_ARATH","TPR4_ARATH")</f>
        <v>TPR4_ARATH</v>
      </c>
      <c r="D3252" t="s">
        <v>3003</v>
      </c>
      <c r="E3252" s="3" t="s">
        <v>3</v>
      </c>
      <c r="F3252" s="4">
        <v>0</v>
      </c>
      <c r="G3252" s="3">
        <v>3140</v>
      </c>
      <c r="H3252" s="3">
        <v>72</v>
      </c>
      <c r="I3252" s="3">
        <v>841</v>
      </c>
      <c r="J3252" s="3">
        <v>68</v>
      </c>
      <c r="K3252" s="3">
        <v>2575</v>
      </c>
      <c r="L3252" s="3">
        <v>296</v>
      </c>
      <c r="M3252" s="3">
        <v>1135</v>
      </c>
    </row>
    <row r="3253" spans="1:13" x14ac:dyDescent="0.25">
      <c r="A3253" s="1" t="str">
        <f>HYPERLINK("http://www.rosaceae.org/Prunus/Prunus_persica/p.persica_gdr_reftransV1_0044268","p.persica_gdr_reftransV1_0044268")</f>
        <v>p.persica_gdr_reftransV1_0044268</v>
      </c>
      <c r="B3253" s="3">
        <v>969</v>
      </c>
      <c r="C3253" s="1" t="str">
        <f>HYPERLINK("http://www.uniprot.org/uniprot/RK21_ARATH","RK21_ARATH")</f>
        <v>RK21_ARATH</v>
      </c>
      <c r="D3253" t="s">
        <v>3004</v>
      </c>
      <c r="E3253" s="3" t="s">
        <v>3</v>
      </c>
      <c r="F3253" s="4">
        <v>1.56E-57</v>
      </c>
      <c r="G3253" s="3">
        <v>485</v>
      </c>
      <c r="H3253" s="3">
        <v>56</v>
      </c>
      <c r="I3253" s="3">
        <v>220</v>
      </c>
      <c r="J3253" s="3">
        <v>87</v>
      </c>
      <c r="K3253" s="3">
        <v>722</v>
      </c>
      <c r="L3253" s="3">
        <v>3</v>
      </c>
      <c r="M3253" s="3">
        <v>209</v>
      </c>
    </row>
    <row r="3254" spans="1:13" x14ac:dyDescent="0.25">
      <c r="A3254" s="1" t="str">
        <f>HYPERLINK("http://www.rosaceae.org/Prunus/Prunus_persica/p.persica_gdr_reftransV1_0044418","p.persica_gdr_reftransV1_0044418")</f>
        <v>p.persica_gdr_reftransV1_0044418</v>
      </c>
      <c r="B3254" s="3">
        <v>985</v>
      </c>
      <c r="C3254" s="1" t="str">
        <f>HYPERLINK("http://www.uniprot.org/uniprot/TL17_ARATH","TL17_ARATH")</f>
        <v>TL17_ARATH</v>
      </c>
      <c r="D3254" t="s">
        <v>3005</v>
      </c>
      <c r="E3254" s="3" t="s">
        <v>3</v>
      </c>
      <c r="F3254" s="4">
        <v>5.6899999999999997E-101</v>
      </c>
      <c r="G3254" s="3">
        <v>777</v>
      </c>
      <c r="H3254" s="3">
        <v>64</v>
      </c>
      <c r="I3254" s="3">
        <v>243</v>
      </c>
      <c r="J3254" s="3">
        <v>43</v>
      </c>
      <c r="K3254" s="3">
        <v>747</v>
      </c>
      <c r="L3254" s="3">
        <v>1</v>
      </c>
      <c r="M3254" s="3">
        <v>236</v>
      </c>
    </row>
    <row r="3255" spans="1:13" x14ac:dyDescent="0.25">
      <c r="A3255" s="1" t="str">
        <f>HYPERLINK("http://www.rosaceae.org/Prunus/Prunus_persica/p.persica_gdr_reftransV1_0044468","p.persica_gdr_reftransV1_0044468")</f>
        <v>p.persica_gdr_reftransV1_0044468</v>
      </c>
      <c r="B3255" s="3">
        <v>1347</v>
      </c>
      <c r="C3255" s="1" t="str">
        <f>HYPERLINK("http://www.uniprot.org/uniprot/AB10I_ARATH","AB10I_ARATH")</f>
        <v>AB10I_ARATH</v>
      </c>
      <c r="D3255" t="s">
        <v>3006</v>
      </c>
      <c r="E3255" s="3" t="s">
        <v>3</v>
      </c>
      <c r="F3255" s="4">
        <v>7.8599999999999993E-111</v>
      </c>
      <c r="G3255" s="3">
        <v>858</v>
      </c>
      <c r="H3255" s="3">
        <v>65</v>
      </c>
      <c r="I3255" s="3">
        <v>269</v>
      </c>
      <c r="J3255" s="3">
        <v>254</v>
      </c>
      <c r="K3255" s="3">
        <v>1033</v>
      </c>
      <c r="L3255" s="3">
        <v>1</v>
      </c>
      <c r="M3255" s="3">
        <v>269</v>
      </c>
    </row>
    <row r="3256" spans="1:13" x14ac:dyDescent="0.25">
      <c r="A3256" s="1" t="str">
        <f>HYPERLINK("http://www.rosaceae.org/Prunus/Prunus_persica/p.persica_gdr_reftransV1_0044518","p.persica_gdr_reftransV1_0044518")</f>
        <v>p.persica_gdr_reftransV1_0044518</v>
      </c>
      <c r="B3256" s="3">
        <v>973</v>
      </c>
      <c r="C3256" s="1" t="str">
        <f>HYPERLINK("http://www.uniprot.org/uniprot/INVE_ARATH","INVE_ARATH")</f>
        <v>INVE_ARATH</v>
      </c>
      <c r="D3256" t="s">
        <v>3007</v>
      </c>
      <c r="E3256" s="3" t="s">
        <v>3</v>
      </c>
      <c r="F3256" s="4">
        <v>1.0500000000000001E-75</v>
      </c>
      <c r="G3256" s="3">
        <v>638</v>
      </c>
      <c r="H3256" s="3">
        <v>81</v>
      </c>
      <c r="I3256" s="3">
        <v>142</v>
      </c>
      <c r="J3256" s="3">
        <v>2</v>
      </c>
      <c r="K3256" s="3">
        <v>427</v>
      </c>
      <c r="L3256" s="3">
        <v>469</v>
      </c>
      <c r="M3256" s="3">
        <v>610</v>
      </c>
    </row>
    <row r="3257" spans="1:13" x14ac:dyDescent="0.25">
      <c r="A3257" s="1" t="str">
        <f>HYPERLINK("http://www.rosaceae.org/Prunus/Prunus_persica/p.persica_gdr_reftransV1_0044668","p.persica_gdr_reftransV1_0044668")</f>
        <v>p.persica_gdr_reftransV1_0044668</v>
      </c>
      <c r="B3257" s="3">
        <v>968</v>
      </c>
      <c r="C3257" s="1" t="str">
        <f>HYPERLINK("http://www.uniprot.org/uniprot/Y5880_ARATH","Y5880_ARATH")</f>
        <v>Y5880_ARATH</v>
      </c>
      <c r="D3257" t="s">
        <v>3008</v>
      </c>
      <c r="E3257" s="3" t="s">
        <v>3</v>
      </c>
      <c r="F3257" s="4">
        <v>5.0699999999999998E-96</v>
      </c>
      <c r="G3257" s="3">
        <v>776</v>
      </c>
      <c r="H3257" s="3">
        <v>79</v>
      </c>
      <c r="I3257" s="3">
        <v>267</v>
      </c>
      <c r="J3257" s="3">
        <v>1</v>
      </c>
      <c r="K3257" s="3">
        <v>786</v>
      </c>
      <c r="L3257" s="3">
        <v>349</v>
      </c>
      <c r="M3257" s="3">
        <v>614</v>
      </c>
    </row>
    <row r="3258" spans="1:13" x14ac:dyDescent="0.25">
      <c r="A3258" s="1" t="str">
        <f>HYPERLINK("http://www.rosaceae.org/Prunus/Prunus_persica/p.persica_gdr_reftransV1_0044868","p.persica_gdr_reftransV1_0044868")</f>
        <v>p.persica_gdr_reftransV1_0044868</v>
      </c>
      <c r="B3258" s="3">
        <v>1419</v>
      </c>
      <c r="C3258" s="1" t="str">
        <f>HYPERLINK("http://www.uniprot.org/uniprot/PPA17_ARATH","PPA17_ARATH")</f>
        <v>PPA17_ARATH</v>
      </c>
      <c r="D3258" t="s">
        <v>3009</v>
      </c>
      <c r="E3258" s="3" t="s">
        <v>3</v>
      </c>
      <c r="F3258" s="4">
        <v>5.7499999999999998E-164</v>
      </c>
      <c r="G3258" s="3">
        <v>1219</v>
      </c>
      <c r="H3258" s="3">
        <v>66</v>
      </c>
      <c r="I3258" s="3">
        <v>331</v>
      </c>
      <c r="J3258" s="3">
        <v>371</v>
      </c>
      <c r="K3258" s="3">
        <v>1357</v>
      </c>
      <c r="L3258" s="3">
        <v>8</v>
      </c>
      <c r="M3258" s="3">
        <v>333</v>
      </c>
    </row>
    <row r="3259" spans="1:13" x14ac:dyDescent="0.25">
      <c r="A3259" s="1" t="str">
        <f>HYPERLINK("http://www.rosaceae.org/Prunus/Prunus_persica/p.persica_gdr_reftransV1_0044968","p.persica_gdr_reftransV1_0044968")</f>
        <v>p.persica_gdr_reftransV1_0044968</v>
      </c>
      <c r="B3259" s="3">
        <v>1338</v>
      </c>
      <c r="C3259" s="1" t="str">
        <f>HYPERLINK("http://www.uniprot.org/uniprot/JP650_ARATH","JP650_ARATH")</f>
        <v>JP650_ARATH</v>
      </c>
      <c r="D3259" t="s">
        <v>1995</v>
      </c>
      <c r="E3259" s="3" t="s">
        <v>3</v>
      </c>
      <c r="F3259" s="4">
        <v>8.3499999999999996E-180</v>
      </c>
      <c r="G3259" s="3">
        <v>1349</v>
      </c>
      <c r="H3259" s="3">
        <v>64</v>
      </c>
      <c r="I3259" s="3">
        <v>406</v>
      </c>
      <c r="J3259" s="3">
        <v>122</v>
      </c>
      <c r="K3259" s="3">
        <v>1336</v>
      </c>
      <c r="L3259" s="3">
        <v>226</v>
      </c>
      <c r="M3259" s="3">
        <v>626</v>
      </c>
    </row>
    <row r="3260" spans="1:13" x14ac:dyDescent="0.25">
      <c r="A3260" s="1" t="str">
        <f>HYPERLINK("http://www.rosaceae.org/Prunus/Prunus_persica/p.persica_gdr_reftransV1_0045068","p.persica_gdr_reftransV1_0045068")</f>
        <v>p.persica_gdr_reftransV1_0045068</v>
      </c>
      <c r="B3260" s="3">
        <v>461</v>
      </c>
      <c r="C3260" s="1" t="str">
        <f>HYPERLINK("http://www.uniprot.org/uniprot/PP220_ARATH","PP220_ARATH")</f>
        <v>PP220_ARATH</v>
      </c>
      <c r="D3260" t="s">
        <v>214</v>
      </c>
      <c r="E3260" s="3" t="s">
        <v>3</v>
      </c>
      <c r="F3260" s="4">
        <v>3.22E-52</v>
      </c>
      <c r="G3260" s="3">
        <v>464</v>
      </c>
      <c r="H3260" s="3">
        <v>59</v>
      </c>
      <c r="I3260" s="3">
        <v>151</v>
      </c>
      <c r="J3260" s="3">
        <v>1</v>
      </c>
      <c r="K3260" s="3">
        <v>453</v>
      </c>
      <c r="L3260" s="3">
        <v>411</v>
      </c>
      <c r="M3260" s="3">
        <v>561</v>
      </c>
    </row>
    <row r="3261" spans="1:13" x14ac:dyDescent="0.25">
      <c r="A3261" s="1" t="str">
        <f>HYPERLINK("http://www.rosaceae.org/Prunus/Prunus_persica/p.persica_gdr_reftransV1_0045168","p.persica_gdr_reftransV1_0045168")</f>
        <v>p.persica_gdr_reftransV1_0045168</v>
      </c>
      <c r="B3261" s="3">
        <v>3334</v>
      </c>
      <c r="C3261" s="1" t="str">
        <f>HYPERLINK("http://www.uniprot.org/uniprot/Y5436_ARATH","Y5436_ARATH")</f>
        <v>Y5436_ARATH</v>
      </c>
      <c r="D3261" t="s">
        <v>3010</v>
      </c>
      <c r="E3261" s="3" t="s">
        <v>3</v>
      </c>
      <c r="F3261" s="4">
        <v>3.3200000000000002E-120</v>
      </c>
      <c r="G3261" s="3">
        <v>1034</v>
      </c>
      <c r="H3261" s="3">
        <v>75</v>
      </c>
      <c r="I3261" s="3">
        <v>269</v>
      </c>
      <c r="J3261" s="3">
        <v>18</v>
      </c>
      <c r="K3261" s="3">
        <v>821</v>
      </c>
      <c r="L3261" s="3">
        <v>150</v>
      </c>
      <c r="M3261" s="3">
        <v>418</v>
      </c>
    </row>
    <row r="3262" spans="1:13" x14ac:dyDescent="0.25">
      <c r="A3262" s="1" t="str">
        <f>HYPERLINK("http://www.rosaceae.org/Prunus/Prunus_persica/p.persica_gdr_reftransV1_0045218","p.persica_gdr_reftransV1_0045218")</f>
        <v>p.persica_gdr_reftransV1_0045218</v>
      </c>
      <c r="B3262" s="3">
        <v>1578</v>
      </c>
      <c r="C3262" s="1" t="str">
        <f>HYPERLINK("http://www.uniprot.org/uniprot/PNSL5_ARATH","PNSL5_ARATH")</f>
        <v>PNSL5_ARATH</v>
      </c>
      <c r="D3262" t="s">
        <v>3011</v>
      </c>
      <c r="E3262" s="3" t="s">
        <v>3</v>
      </c>
      <c r="F3262" s="4">
        <v>6.1800000000000003E-97</v>
      </c>
      <c r="G3262" s="3">
        <v>771</v>
      </c>
      <c r="H3262" s="3">
        <v>86</v>
      </c>
      <c r="I3262" s="3">
        <v>173</v>
      </c>
      <c r="J3262" s="3">
        <v>489</v>
      </c>
      <c r="K3262" s="3">
        <v>1007</v>
      </c>
      <c r="L3262" s="3">
        <v>85</v>
      </c>
      <c r="M3262" s="3">
        <v>257</v>
      </c>
    </row>
    <row r="3263" spans="1:13" x14ac:dyDescent="0.25">
      <c r="A3263" s="1" t="str">
        <f>HYPERLINK("http://www.rosaceae.org/Prunus/Prunus_persica/p.persica_gdr_reftransV1_0045618","p.persica_gdr_reftransV1_0045618")</f>
        <v>p.persica_gdr_reftransV1_0045618</v>
      </c>
      <c r="B3263" s="3">
        <v>929</v>
      </c>
      <c r="C3263" s="1" t="str">
        <f>HYPERLINK("http://www.uniprot.org/uniprot/C71A1_PERAE","C71A1_PERAE")</f>
        <v>C71A1_PERAE</v>
      </c>
      <c r="D3263" t="s">
        <v>102</v>
      </c>
      <c r="E3263" s="3" t="s">
        <v>103</v>
      </c>
      <c r="F3263" s="4">
        <v>4.4699999999999996E-87</v>
      </c>
      <c r="G3263" s="3">
        <v>706</v>
      </c>
      <c r="H3263" s="3">
        <v>63</v>
      </c>
      <c r="I3263" s="3">
        <v>200</v>
      </c>
      <c r="J3263" s="3">
        <v>266</v>
      </c>
      <c r="K3263" s="3">
        <v>865</v>
      </c>
      <c r="L3263" s="3">
        <v>300</v>
      </c>
      <c r="M3263" s="3">
        <v>496</v>
      </c>
    </row>
    <row r="3264" spans="1:13" x14ac:dyDescent="0.25">
      <c r="A3264" s="1" t="str">
        <f>HYPERLINK("http://www.rosaceae.org/Prunus/Prunus_persica/p.persica_gdr_reftransV1_0045718","p.persica_gdr_reftransV1_0045718")</f>
        <v>p.persica_gdr_reftransV1_0045718</v>
      </c>
      <c r="B3264" s="3">
        <v>2938</v>
      </c>
      <c r="C3264" s="1" t="str">
        <f>HYPERLINK("http://www.uniprot.org/uniprot/SBT16_ARATH","SBT16_ARATH")</f>
        <v>SBT16_ARATH</v>
      </c>
      <c r="D3264" t="s">
        <v>3012</v>
      </c>
      <c r="E3264" s="3" t="s">
        <v>3</v>
      </c>
      <c r="F3264" s="4">
        <v>0</v>
      </c>
      <c r="G3264" s="3">
        <v>1971</v>
      </c>
      <c r="H3264" s="3">
        <v>55</v>
      </c>
      <c r="I3264" s="3">
        <v>758</v>
      </c>
      <c r="J3264" s="3">
        <v>327</v>
      </c>
      <c r="K3264" s="3">
        <v>2576</v>
      </c>
      <c r="L3264" s="3">
        <v>24</v>
      </c>
      <c r="M3264" s="3">
        <v>764</v>
      </c>
    </row>
    <row r="3265" spans="1:13" x14ac:dyDescent="0.25">
      <c r="A3265" s="1" t="str">
        <f>HYPERLINK("http://www.rosaceae.org/Prunus/Prunus_persica/p.persica_gdr_reftransV1_0045868","p.persica_gdr_reftransV1_0045868")</f>
        <v>p.persica_gdr_reftransV1_0045868</v>
      </c>
      <c r="B3265" s="3">
        <v>3295</v>
      </c>
      <c r="C3265" s="1" t="str">
        <f>HYPERLINK("http://www.uniprot.org/uniprot/KIF19_XENLA","KIF19_XENLA")</f>
        <v>KIF19_XENLA</v>
      </c>
      <c r="D3265" t="s">
        <v>3013</v>
      </c>
      <c r="E3265" s="3" t="s">
        <v>475</v>
      </c>
      <c r="F3265" s="4">
        <v>9.9999999999999999E-96</v>
      </c>
      <c r="G3265" s="3">
        <v>854</v>
      </c>
      <c r="H3265" s="3">
        <v>47</v>
      </c>
      <c r="I3265" s="3">
        <v>377</v>
      </c>
      <c r="J3265" s="3">
        <v>1665</v>
      </c>
      <c r="K3265" s="3">
        <v>2783</v>
      </c>
      <c r="L3265" s="3">
        <v>12</v>
      </c>
      <c r="M3265" s="3">
        <v>385</v>
      </c>
    </row>
    <row r="3266" spans="1:13" x14ac:dyDescent="0.25">
      <c r="A3266" s="1" t="str">
        <f>HYPERLINK("http://www.rosaceae.org/Prunus/Prunus_persica/p.persica_gdr_reftransV1_0045918","p.persica_gdr_reftransV1_0045918")</f>
        <v>p.persica_gdr_reftransV1_0045918</v>
      </c>
      <c r="B3266" s="3">
        <v>1026</v>
      </c>
      <c r="C3266" s="1" t="str">
        <f>HYPERLINK("http://www.uniprot.org/uniprot/SWT17_ARATH","SWT17_ARATH")</f>
        <v>SWT17_ARATH</v>
      </c>
      <c r="D3266" t="s">
        <v>3014</v>
      </c>
      <c r="E3266" s="3" t="s">
        <v>3</v>
      </c>
      <c r="F3266" s="4">
        <v>2.51E-77</v>
      </c>
      <c r="G3266" s="3">
        <v>622</v>
      </c>
      <c r="H3266" s="3">
        <v>62</v>
      </c>
      <c r="I3266" s="3">
        <v>216</v>
      </c>
      <c r="J3266" s="3">
        <v>125</v>
      </c>
      <c r="K3266" s="3">
        <v>769</v>
      </c>
      <c r="L3266" s="3">
        <v>16</v>
      </c>
      <c r="M3266" s="3">
        <v>229</v>
      </c>
    </row>
    <row r="3267" spans="1:13" x14ac:dyDescent="0.25">
      <c r="A3267" s="1" t="str">
        <f>HYPERLINK("http://www.rosaceae.org/Prunus/Prunus_persica/p.persica_gdr_reftransV1_0046018","p.persica_gdr_reftransV1_0046018")</f>
        <v>p.persica_gdr_reftransV1_0046018</v>
      </c>
      <c r="B3267" s="3">
        <v>1440</v>
      </c>
      <c r="C3267" s="1" t="str">
        <f>HYPERLINK("http://www.uniprot.org/uniprot/ATHB6_ARATH","ATHB6_ARATH")</f>
        <v>ATHB6_ARATH</v>
      </c>
      <c r="D3267" t="s">
        <v>3015</v>
      </c>
      <c r="E3267" s="3" t="s">
        <v>3</v>
      </c>
      <c r="F3267" s="4">
        <v>1.9999999999999999E-47</v>
      </c>
      <c r="G3267" s="3">
        <v>435</v>
      </c>
      <c r="H3267" s="3">
        <v>40</v>
      </c>
      <c r="I3267" s="3">
        <v>297</v>
      </c>
      <c r="J3267" s="3">
        <v>397</v>
      </c>
      <c r="K3267" s="3">
        <v>1215</v>
      </c>
      <c r="L3267" s="3">
        <v>19</v>
      </c>
      <c r="M3267" s="3">
        <v>306</v>
      </c>
    </row>
    <row r="3268" spans="1:13" x14ac:dyDescent="0.25">
      <c r="A3268" s="1" t="str">
        <f>HYPERLINK("http://www.rosaceae.org/Prunus/Prunus_persica/p.persica_gdr_reftransV1_0046218","p.persica_gdr_reftransV1_0046218")</f>
        <v>p.persica_gdr_reftransV1_0046218</v>
      </c>
      <c r="B3268" s="3">
        <v>523</v>
      </c>
      <c r="C3268" s="1" t="str">
        <f>HYPERLINK("http://www.uniprot.org/uniprot/CNMT_THLFG","CNMT_THLFG")</f>
        <v>CNMT_THLFG</v>
      </c>
      <c r="D3268" t="s">
        <v>3016</v>
      </c>
      <c r="E3268" s="3" t="s">
        <v>3017</v>
      </c>
      <c r="F3268" s="4">
        <v>1.7600000000000001E-61</v>
      </c>
      <c r="G3268" s="3">
        <v>509</v>
      </c>
      <c r="H3268" s="3">
        <v>56</v>
      </c>
      <c r="I3268" s="3">
        <v>163</v>
      </c>
      <c r="J3268" s="3">
        <v>43</v>
      </c>
      <c r="K3268" s="3">
        <v>519</v>
      </c>
      <c r="L3268" s="3">
        <v>176</v>
      </c>
      <c r="M3268" s="3">
        <v>338</v>
      </c>
    </row>
    <row r="3269" spans="1:13" x14ac:dyDescent="0.25">
      <c r="A3269" s="1" t="str">
        <f>HYPERLINK("http://www.rosaceae.org/Prunus/Prunus_persica/p.persica_gdr_reftransV1_0046368","p.persica_gdr_reftransV1_0046368")</f>
        <v>p.persica_gdr_reftransV1_0046368</v>
      </c>
      <c r="B3269" s="3">
        <v>1060</v>
      </c>
      <c r="C3269" s="1" t="str">
        <f>HYPERLINK("http://www.uniprot.org/uniprot/SKIP5_ARATH","SKIP5_ARATH")</f>
        <v>SKIP5_ARATH</v>
      </c>
      <c r="D3269" t="s">
        <v>3018</v>
      </c>
      <c r="E3269" s="3" t="s">
        <v>3</v>
      </c>
      <c r="F3269" s="4">
        <v>2.35E-92</v>
      </c>
      <c r="G3269" s="3">
        <v>509</v>
      </c>
      <c r="H3269" s="3">
        <v>68</v>
      </c>
      <c r="I3269" s="3">
        <v>145</v>
      </c>
      <c r="J3269" s="3">
        <v>455</v>
      </c>
      <c r="K3269" s="3">
        <v>859</v>
      </c>
      <c r="L3269" s="3">
        <v>130</v>
      </c>
      <c r="M3269" s="3">
        <v>274</v>
      </c>
    </row>
    <row r="3270" spans="1:13" x14ac:dyDescent="0.25">
      <c r="A3270" s="1" t="str">
        <f>HYPERLINK("http://www.rosaceae.org/Prunus/Prunus_persica/p.persica_gdr_reftransV1_0046468","p.persica_gdr_reftransV1_0046468")</f>
        <v>p.persica_gdr_reftransV1_0046468</v>
      </c>
      <c r="B3270" s="3">
        <v>1211</v>
      </c>
      <c r="C3270" s="1" t="str">
        <f>HYPERLINK("http://www.uniprot.org/uniprot/CM3_ARATH","CM3_ARATH")</f>
        <v>CM3_ARATH</v>
      </c>
      <c r="D3270" t="s">
        <v>3019</v>
      </c>
      <c r="E3270" s="3" t="s">
        <v>3</v>
      </c>
      <c r="F3270" s="4">
        <v>2.4100000000000001E-142</v>
      </c>
      <c r="G3270" s="3">
        <v>1066</v>
      </c>
      <c r="H3270" s="3">
        <v>66</v>
      </c>
      <c r="I3270" s="3">
        <v>319</v>
      </c>
      <c r="J3270" s="3">
        <v>53</v>
      </c>
      <c r="K3270" s="3">
        <v>1006</v>
      </c>
      <c r="L3270" s="3">
        <v>1</v>
      </c>
      <c r="M3270" s="3">
        <v>310</v>
      </c>
    </row>
    <row r="3271" spans="1:13" x14ac:dyDescent="0.25">
      <c r="A3271" s="1" t="str">
        <f>HYPERLINK("http://www.rosaceae.org/Prunus/Prunus_persica/p.persica_gdr_reftransV1_0046518","p.persica_gdr_reftransV1_0046518")</f>
        <v>p.persica_gdr_reftransV1_0046518</v>
      </c>
      <c r="B3271" s="3">
        <v>1092</v>
      </c>
      <c r="C3271" s="1" t="str">
        <f>HYPERLINK("http://www.uniprot.org/uniprot/HST_TOBAC","HST_TOBAC")</f>
        <v>HST_TOBAC</v>
      </c>
      <c r="D3271" t="s">
        <v>3020</v>
      </c>
      <c r="E3271" s="3" t="s">
        <v>200</v>
      </c>
      <c r="F3271" s="4">
        <v>1.2500000000000001E-115</v>
      </c>
      <c r="G3271" s="3">
        <v>897</v>
      </c>
      <c r="H3271" s="3">
        <v>61</v>
      </c>
      <c r="I3271" s="3">
        <v>310</v>
      </c>
      <c r="J3271" s="3">
        <v>3</v>
      </c>
      <c r="K3271" s="3">
        <v>923</v>
      </c>
      <c r="L3271" s="3">
        <v>134</v>
      </c>
      <c r="M3271" s="3">
        <v>434</v>
      </c>
    </row>
    <row r="3272" spans="1:13" x14ac:dyDescent="0.25">
      <c r="A3272" s="1" t="str">
        <f>HYPERLINK("http://www.rosaceae.org/Prunus/Prunus_persica/p.persica_gdr_reftransV1_0046568","p.persica_gdr_reftransV1_0046568")</f>
        <v>p.persica_gdr_reftransV1_0046568</v>
      </c>
      <c r="B3272" s="3">
        <v>724</v>
      </c>
      <c r="C3272" s="1" t="str">
        <f>HYPERLINK("http://www.uniprot.org/uniprot/PDCB3_ARATH","PDCB3_ARATH")</f>
        <v>PDCB3_ARATH</v>
      </c>
      <c r="D3272" t="s">
        <v>3021</v>
      </c>
      <c r="E3272" s="3" t="s">
        <v>3</v>
      </c>
      <c r="F3272" s="4">
        <v>2.0199999999999999E-27</v>
      </c>
      <c r="G3272" s="3">
        <v>271</v>
      </c>
      <c r="H3272" s="3">
        <v>53</v>
      </c>
      <c r="I3272" s="3">
        <v>88</v>
      </c>
      <c r="J3272" s="3">
        <v>452</v>
      </c>
      <c r="K3272" s="3">
        <v>715</v>
      </c>
      <c r="L3272" s="3">
        <v>17</v>
      </c>
      <c r="M3272" s="3">
        <v>104</v>
      </c>
    </row>
    <row r="3273" spans="1:13" x14ac:dyDescent="0.25">
      <c r="A3273" s="1" t="str">
        <f>HYPERLINK("http://www.rosaceae.org/Prunus/Prunus_persica/p.persica_gdr_reftransV1_0046618","p.persica_gdr_reftransV1_0046618")</f>
        <v>p.persica_gdr_reftransV1_0046618</v>
      </c>
      <c r="B3273" s="3">
        <v>674</v>
      </c>
      <c r="C3273" s="1" t="str">
        <f>HYPERLINK("http://www.uniprot.org/uniprot/NLTP_PRUAV","NLTP_PRUAV")</f>
        <v>NLTP_PRUAV</v>
      </c>
      <c r="D3273" t="s">
        <v>3022</v>
      </c>
      <c r="E3273" s="3" t="s">
        <v>1404</v>
      </c>
      <c r="F3273" s="4">
        <v>3.4799999999999998E-23</v>
      </c>
      <c r="G3273" s="3">
        <v>236</v>
      </c>
      <c r="H3273" s="3">
        <v>42</v>
      </c>
      <c r="I3273" s="3">
        <v>109</v>
      </c>
      <c r="J3273" s="3">
        <v>150</v>
      </c>
      <c r="K3273" s="3">
        <v>476</v>
      </c>
      <c r="L3273" s="3">
        <v>11</v>
      </c>
      <c r="M3273" s="3">
        <v>117</v>
      </c>
    </row>
    <row r="3274" spans="1:13" x14ac:dyDescent="0.25">
      <c r="A3274" s="1" t="str">
        <f>HYPERLINK("http://www.rosaceae.org/Prunus/Prunus_persica/p.persica_gdr_reftransV1_0046668","p.persica_gdr_reftransV1_0046668")</f>
        <v>p.persica_gdr_reftransV1_0046668</v>
      </c>
      <c r="B3274" s="3">
        <v>1325</v>
      </c>
      <c r="C3274" s="1" t="str">
        <f>HYPERLINK("http://www.uniprot.org/uniprot/RNG1L_ARATH","RNG1L_ARATH")</f>
        <v>RNG1L_ARATH</v>
      </c>
      <c r="D3274" t="s">
        <v>189</v>
      </c>
      <c r="E3274" s="3" t="s">
        <v>3</v>
      </c>
      <c r="F3274" s="4">
        <v>5.7799999999999997E-37</v>
      </c>
      <c r="G3274" s="3">
        <v>359</v>
      </c>
      <c r="H3274" s="3">
        <v>35</v>
      </c>
      <c r="I3274" s="3">
        <v>248</v>
      </c>
      <c r="J3274" s="3">
        <v>413</v>
      </c>
      <c r="K3274" s="3">
        <v>1072</v>
      </c>
      <c r="L3274" s="3">
        <v>22</v>
      </c>
      <c r="M3274" s="3">
        <v>261</v>
      </c>
    </row>
    <row r="3275" spans="1:13" x14ac:dyDescent="0.25">
      <c r="A3275" s="1" t="str">
        <f>HYPERLINK("http://www.rosaceae.org/Prunus/Prunus_persica/p.persica_gdr_reftransV1_0046718","p.persica_gdr_reftransV1_0046718")</f>
        <v>p.persica_gdr_reftransV1_0046718</v>
      </c>
      <c r="B3275" s="3">
        <v>1387</v>
      </c>
      <c r="C3275" s="1" t="str">
        <f>HYPERLINK("http://www.uniprot.org/uniprot/CNBL4_ARATH","CNBL4_ARATH")</f>
        <v>CNBL4_ARATH</v>
      </c>
      <c r="D3275" t="s">
        <v>3023</v>
      </c>
      <c r="E3275" s="3" t="s">
        <v>3</v>
      </c>
      <c r="F3275" s="4">
        <v>1.5600000000000001E-108</v>
      </c>
      <c r="G3275" s="3">
        <v>839</v>
      </c>
      <c r="H3275" s="3">
        <v>77</v>
      </c>
      <c r="I3275" s="3">
        <v>207</v>
      </c>
      <c r="J3275" s="3">
        <v>352</v>
      </c>
      <c r="K3275" s="3">
        <v>957</v>
      </c>
      <c r="L3275" s="3">
        <v>1</v>
      </c>
      <c r="M3275" s="3">
        <v>207</v>
      </c>
    </row>
    <row r="3276" spans="1:13" x14ac:dyDescent="0.25">
      <c r="A3276" s="1" t="str">
        <f>HYPERLINK("http://www.rosaceae.org/Prunus/Prunus_persica/p.persica_gdr_reftransV1_0046768","p.persica_gdr_reftransV1_0046768")</f>
        <v>p.persica_gdr_reftransV1_0046768</v>
      </c>
      <c r="B3276" s="3">
        <v>1127</v>
      </c>
      <c r="C3276" s="1" t="str">
        <f>HYPERLINK("http://www.uniprot.org/uniprot/EXOS5_ORYSJ","EXOS5_ORYSJ")</f>
        <v>EXOS5_ORYSJ</v>
      </c>
      <c r="D3276" t="s">
        <v>2941</v>
      </c>
      <c r="E3276" s="3" t="s">
        <v>38</v>
      </c>
      <c r="F3276" s="4">
        <v>1.1200000000000001E-101</v>
      </c>
      <c r="G3276" s="3">
        <v>787</v>
      </c>
      <c r="H3276" s="3">
        <v>64</v>
      </c>
      <c r="I3276" s="3">
        <v>238</v>
      </c>
      <c r="J3276" s="3">
        <v>253</v>
      </c>
      <c r="K3276" s="3">
        <v>942</v>
      </c>
      <c r="L3276" s="3">
        <v>1</v>
      </c>
      <c r="M3276" s="3">
        <v>237</v>
      </c>
    </row>
    <row r="3277" spans="1:13" x14ac:dyDescent="0.25">
      <c r="A3277" s="1" t="str">
        <f>HYPERLINK("http://www.rosaceae.org/Prunus/Prunus_persica/p.persica_gdr_reftransV1_0046818","p.persica_gdr_reftransV1_0046818")</f>
        <v>p.persica_gdr_reftransV1_0046818</v>
      </c>
      <c r="B3277" s="3">
        <v>1557</v>
      </c>
      <c r="C3277" s="1" t="str">
        <f>HYPERLINK("http://www.uniprot.org/uniprot/RK3B_ARATH","RK3B_ARATH")</f>
        <v>RK3B_ARATH</v>
      </c>
      <c r="D3277" t="s">
        <v>3024</v>
      </c>
      <c r="E3277" s="3" t="s">
        <v>3</v>
      </c>
      <c r="F3277" s="4">
        <v>3.2700000000000001E-155</v>
      </c>
      <c r="G3277" s="3">
        <v>1164</v>
      </c>
      <c r="H3277" s="3">
        <v>80</v>
      </c>
      <c r="I3277" s="3">
        <v>290</v>
      </c>
      <c r="J3277" s="3">
        <v>315</v>
      </c>
      <c r="K3277" s="3">
        <v>1175</v>
      </c>
      <c r="L3277" s="3">
        <v>35</v>
      </c>
      <c r="M3277" s="3">
        <v>324</v>
      </c>
    </row>
    <row r="3278" spans="1:13" x14ac:dyDescent="0.25">
      <c r="A3278" s="1" t="str">
        <f>HYPERLINK("http://www.rosaceae.org/Prunus/Prunus_persica/p.persica_gdr_reftransV1_0046868","p.persica_gdr_reftransV1_0046868")</f>
        <v>p.persica_gdr_reftransV1_0046868</v>
      </c>
      <c r="B3278" s="3">
        <v>1319</v>
      </c>
      <c r="C3278" s="1" t="str">
        <f>HYPERLINK("http://www.uniprot.org/uniprot/WAKLA_ARATH","WAKLA_ARATH")</f>
        <v>WAKLA_ARATH</v>
      </c>
      <c r="D3278" t="s">
        <v>3025</v>
      </c>
      <c r="E3278" s="3" t="s">
        <v>3</v>
      </c>
      <c r="F3278" s="4">
        <v>3.2700000000000001E-137</v>
      </c>
      <c r="G3278" s="3">
        <v>1073</v>
      </c>
      <c r="H3278" s="3">
        <v>52</v>
      </c>
      <c r="I3278" s="3">
        <v>456</v>
      </c>
      <c r="J3278" s="3">
        <v>2</v>
      </c>
      <c r="K3278" s="3">
        <v>1318</v>
      </c>
      <c r="L3278" s="3">
        <v>173</v>
      </c>
      <c r="M3278" s="3">
        <v>617</v>
      </c>
    </row>
    <row r="3279" spans="1:13" x14ac:dyDescent="0.25">
      <c r="A3279" s="1" t="str">
        <f>HYPERLINK("http://www.rosaceae.org/Prunus/Prunus_persica/p.persica_gdr_reftransV1_0046918","p.persica_gdr_reftransV1_0046918")</f>
        <v>p.persica_gdr_reftransV1_0046918</v>
      </c>
      <c r="B3279" s="3">
        <v>795</v>
      </c>
      <c r="C3279" s="1" t="str">
        <f>HYPERLINK("http://www.uniprot.org/uniprot/Y4141_ARATH","Y4141_ARATH")</f>
        <v>Y4141_ARATH</v>
      </c>
      <c r="D3279" t="s">
        <v>3026</v>
      </c>
      <c r="E3279" s="3" t="s">
        <v>3</v>
      </c>
      <c r="F3279" s="4">
        <v>7.1499999999999998E-71</v>
      </c>
      <c r="G3279" s="3">
        <v>568</v>
      </c>
      <c r="H3279" s="3">
        <v>74</v>
      </c>
      <c r="I3279" s="3">
        <v>133</v>
      </c>
      <c r="J3279" s="3">
        <v>6</v>
      </c>
      <c r="K3279" s="3">
        <v>404</v>
      </c>
      <c r="L3279" s="3">
        <v>49</v>
      </c>
      <c r="M3279" s="3">
        <v>181</v>
      </c>
    </row>
    <row r="3280" spans="1:13" x14ac:dyDescent="0.25">
      <c r="A3280" s="1" t="str">
        <f>HYPERLINK("http://www.rosaceae.org/Prunus/Prunus_persica/p.persica_gdr_reftransV1_0047018","p.persica_gdr_reftransV1_0047018")</f>
        <v>p.persica_gdr_reftransV1_0047018</v>
      </c>
      <c r="B3280" s="3">
        <v>1693</v>
      </c>
      <c r="C3280" s="1" t="str">
        <f>HYPERLINK("http://www.uniprot.org/uniprot/RTNLQ_ARATH","RTNLQ_ARATH")</f>
        <v>RTNLQ_ARATH</v>
      </c>
      <c r="D3280" t="s">
        <v>1870</v>
      </c>
      <c r="E3280" s="3" t="s">
        <v>3</v>
      </c>
      <c r="F3280" s="4">
        <v>1.3999999999999999E-72</v>
      </c>
      <c r="G3280" s="3">
        <v>624</v>
      </c>
      <c r="H3280" s="3">
        <v>61</v>
      </c>
      <c r="I3280" s="3">
        <v>218</v>
      </c>
      <c r="J3280" s="3">
        <v>307</v>
      </c>
      <c r="K3280" s="3">
        <v>951</v>
      </c>
      <c r="L3280" s="3">
        <v>158</v>
      </c>
      <c r="M3280" s="3">
        <v>375</v>
      </c>
    </row>
    <row r="3281" spans="1:13" x14ac:dyDescent="0.25">
      <c r="A3281" s="1" t="str">
        <f>HYPERLINK("http://www.rosaceae.org/Prunus/Prunus_persica/p.persica_gdr_reftransV1_0047068","p.persica_gdr_reftransV1_0047068")</f>
        <v>p.persica_gdr_reftransV1_0047068</v>
      </c>
      <c r="B3281" s="3">
        <v>824</v>
      </c>
      <c r="C3281" s="1" t="str">
        <f>HYPERLINK("http://www.uniprot.org/uniprot/AMS_ARATH","AMS_ARATH")</f>
        <v>AMS_ARATH</v>
      </c>
      <c r="D3281" t="s">
        <v>3027</v>
      </c>
      <c r="E3281" s="3" t="s">
        <v>3</v>
      </c>
      <c r="F3281" s="4">
        <v>1.74E-53</v>
      </c>
      <c r="G3281" s="3">
        <v>477</v>
      </c>
      <c r="H3281" s="3">
        <v>56</v>
      </c>
      <c r="I3281" s="3">
        <v>185</v>
      </c>
      <c r="J3281" s="3">
        <v>278</v>
      </c>
      <c r="K3281" s="3">
        <v>823</v>
      </c>
      <c r="L3281" s="3">
        <v>312</v>
      </c>
      <c r="M3281" s="3">
        <v>471</v>
      </c>
    </row>
    <row r="3282" spans="1:13" x14ac:dyDescent="0.25">
      <c r="A3282" s="1" t="str">
        <f>HYPERLINK("http://www.rosaceae.org/Prunus/Prunus_persica/p.persica_gdr_reftransV1_0047168","p.persica_gdr_reftransV1_0047168")</f>
        <v>p.persica_gdr_reftransV1_0047168</v>
      </c>
      <c r="B3282" s="3">
        <v>2078</v>
      </c>
      <c r="C3282" s="1" t="str">
        <f>HYPERLINK("http://www.uniprot.org/uniprot/UN932_ARATH","UN932_ARATH")</f>
        <v>UN932_ARATH</v>
      </c>
      <c r="D3282" t="s">
        <v>3028</v>
      </c>
      <c r="E3282" s="3" t="s">
        <v>3</v>
      </c>
      <c r="F3282" s="4">
        <v>0</v>
      </c>
      <c r="G3282" s="3">
        <v>1537</v>
      </c>
      <c r="H3282" s="3">
        <v>73</v>
      </c>
      <c r="I3282" s="3">
        <v>427</v>
      </c>
      <c r="J3282" s="3">
        <v>474</v>
      </c>
      <c r="K3282" s="3">
        <v>1742</v>
      </c>
      <c r="L3282" s="3">
        <v>11</v>
      </c>
      <c r="M3282" s="3">
        <v>437</v>
      </c>
    </row>
    <row r="3283" spans="1:13" x14ac:dyDescent="0.25">
      <c r="A3283" s="1" t="str">
        <f>HYPERLINK("http://www.rosaceae.org/Prunus/Prunus_persica/p.persica_gdr_reftransV1_0047218","p.persica_gdr_reftransV1_0047218")</f>
        <v>p.persica_gdr_reftransV1_0047218</v>
      </c>
      <c r="B3283" s="3">
        <v>2241</v>
      </c>
      <c r="C3283" s="1" t="str">
        <f>HYPERLINK("http://www.uniprot.org/uniprot/ILVB2_TOBAC","ILVB2_TOBAC")</f>
        <v>ILVB2_TOBAC</v>
      </c>
      <c r="D3283" t="s">
        <v>3029</v>
      </c>
      <c r="E3283" s="3" t="s">
        <v>200</v>
      </c>
      <c r="F3283" s="4">
        <v>0</v>
      </c>
      <c r="G3283" s="3">
        <v>2804</v>
      </c>
      <c r="H3283" s="3">
        <v>82</v>
      </c>
      <c r="I3283" s="3">
        <v>642</v>
      </c>
      <c r="J3283" s="3">
        <v>170</v>
      </c>
      <c r="K3283" s="3">
        <v>2056</v>
      </c>
      <c r="L3283" s="3">
        <v>29</v>
      </c>
      <c r="M3283" s="3">
        <v>664</v>
      </c>
    </row>
    <row r="3284" spans="1:13" x14ac:dyDescent="0.25">
      <c r="A3284" s="1" t="str">
        <f>HYPERLINK("http://www.rosaceae.org/Prunus/Prunus_persica/p.persica_gdr_reftransV1_0047268","p.persica_gdr_reftransV1_0047268")</f>
        <v>p.persica_gdr_reftransV1_0047268</v>
      </c>
      <c r="B3284" s="3">
        <v>2622</v>
      </c>
      <c r="C3284" s="1" t="str">
        <f>HYPERLINK("http://www.uniprot.org/uniprot/ANTR2_ARATH","ANTR2_ARATH")</f>
        <v>ANTR2_ARATH</v>
      </c>
      <c r="D3284" t="s">
        <v>3030</v>
      </c>
      <c r="E3284" s="3" t="s">
        <v>3</v>
      </c>
      <c r="F3284" s="4">
        <v>0</v>
      </c>
      <c r="G3284" s="3">
        <v>2102</v>
      </c>
      <c r="H3284" s="3">
        <v>68</v>
      </c>
      <c r="I3284" s="3">
        <v>607</v>
      </c>
      <c r="J3284" s="3">
        <v>333</v>
      </c>
      <c r="K3284" s="3">
        <v>2153</v>
      </c>
      <c r="L3284" s="3">
        <v>1</v>
      </c>
      <c r="M3284" s="3">
        <v>541</v>
      </c>
    </row>
    <row r="3285" spans="1:13" x14ac:dyDescent="0.25">
      <c r="A3285" s="1" t="str">
        <f>HYPERLINK("http://www.rosaceae.org/Prunus/Prunus_persica/p.persica_gdr_reftransV1_0047318","p.persica_gdr_reftransV1_0047318")</f>
        <v>p.persica_gdr_reftransV1_0047318</v>
      </c>
      <c r="B3285" s="3">
        <v>1329</v>
      </c>
      <c r="C3285" s="1" t="str">
        <f>HYPERLINK("http://www.uniprot.org/uniprot/HLS1L_ARATH","HLS1L_ARATH")</f>
        <v>HLS1L_ARATH</v>
      </c>
      <c r="D3285" t="s">
        <v>2412</v>
      </c>
      <c r="E3285" s="3" t="s">
        <v>3</v>
      </c>
      <c r="F3285" s="4">
        <v>8.0100000000000001E-70</v>
      </c>
      <c r="G3285" s="3">
        <v>594</v>
      </c>
      <c r="H3285" s="3">
        <v>34</v>
      </c>
      <c r="I3285" s="3">
        <v>411</v>
      </c>
      <c r="J3285" s="3">
        <v>42</v>
      </c>
      <c r="K3285" s="3">
        <v>1199</v>
      </c>
      <c r="L3285" s="3">
        <v>5</v>
      </c>
      <c r="M3285" s="3">
        <v>413</v>
      </c>
    </row>
    <row r="3286" spans="1:13" x14ac:dyDescent="0.25">
      <c r="A3286" s="1" t="str">
        <f>HYPERLINK("http://www.rosaceae.org/Prunus/Prunus_persica/p.persica_gdr_reftransV1_0047468","p.persica_gdr_reftransV1_0047468")</f>
        <v>p.persica_gdr_reftransV1_0047468</v>
      </c>
      <c r="B3286" s="3">
        <v>1646</v>
      </c>
      <c r="C3286" s="1" t="str">
        <f>HYPERLINK("http://www.uniprot.org/uniprot/PS1_ARATH","PS1_ARATH")</f>
        <v>PS1_ARATH</v>
      </c>
      <c r="D3286" t="s">
        <v>1798</v>
      </c>
      <c r="E3286" s="3" t="s">
        <v>3</v>
      </c>
      <c r="F3286" s="4">
        <v>1.5399999999999999E-89</v>
      </c>
      <c r="G3286" s="3">
        <v>783</v>
      </c>
      <c r="H3286" s="3">
        <v>41</v>
      </c>
      <c r="I3286" s="3">
        <v>506</v>
      </c>
      <c r="J3286" s="3">
        <v>175</v>
      </c>
      <c r="K3286" s="3">
        <v>1455</v>
      </c>
      <c r="L3286" s="3">
        <v>990</v>
      </c>
      <c r="M3286" s="3">
        <v>1475</v>
      </c>
    </row>
    <row r="3287" spans="1:13" x14ac:dyDescent="0.25">
      <c r="A3287" s="1" t="str">
        <f>HYPERLINK("http://www.rosaceae.org/Prunus/Prunus_persica/p.persica_gdr_reftransV1_0047518","p.persica_gdr_reftransV1_0047518")</f>
        <v>p.persica_gdr_reftransV1_0047518</v>
      </c>
      <c r="B3287" s="3">
        <v>1864</v>
      </c>
      <c r="C3287" s="1" t="str">
        <f>HYPERLINK("http://www.uniprot.org/uniprot/BRXL4_ARATH","BRXL4_ARATH")</f>
        <v>BRXL4_ARATH</v>
      </c>
      <c r="D3287" t="s">
        <v>3031</v>
      </c>
      <c r="E3287" s="3" t="s">
        <v>3</v>
      </c>
      <c r="F3287" s="4">
        <v>1.6900000000000001E-161</v>
      </c>
      <c r="G3287" s="3">
        <v>1222</v>
      </c>
      <c r="H3287" s="3">
        <v>65</v>
      </c>
      <c r="I3287" s="3">
        <v>416</v>
      </c>
      <c r="J3287" s="3">
        <v>337</v>
      </c>
      <c r="K3287" s="3">
        <v>1521</v>
      </c>
      <c r="L3287" s="3">
        <v>1</v>
      </c>
      <c r="M3287" s="3">
        <v>384</v>
      </c>
    </row>
    <row r="3288" spans="1:13" x14ac:dyDescent="0.25">
      <c r="A3288" s="1" t="str">
        <f>HYPERLINK("http://www.rosaceae.org/Prunus/Prunus_persica/p.persica_gdr_reftransV1_0047618","p.persica_gdr_reftransV1_0047618")</f>
        <v>p.persica_gdr_reftransV1_0047618</v>
      </c>
      <c r="B3288" s="3">
        <v>517</v>
      </c>
      <c r="C3288" s="1" t="str">
        <f>HYPERLINK("http://www.uniprot.org/uniprot/Y3475_ARATH","Y3475_ARATH")</f>
        <v>Y3475_ARATH</v>
      </c>
      <c r="D3288" t="s">
        <v>827</v>
      </c>
      <c r="E3288" s="3" t="s">
        <v>3</v>
      </c>
      <c r="F3288" s="4">
        <v>1.8899999999999999E-19</v>
      </c>
      <c r="G3288" s="3">
        <v>222</v>
      </c>
      <c r="H3288" s="3">
        <v>36</v>
      </c>
      <c r="I3288" s="3">
        <v>130</v>
      </c>
      <c r="J3288" s="3">
        <v>85</v>
      </c>
      <c r="K3288" s="3">
        <v>474</v>
      </c>
      <c r="L3288" s="3">
        <v>883</v>
      </c>
      <c r="M3288" s="3">
        <v>1005</v>
      </c>
    </row>
    <row r="3289" spans="1:13" x14ac:dyDescent="0.25">
      <c r="A3289" s="1" t="str">
        <f>HYPERLINK("http://www.rosaceae.org/Prunus/Prunus_persica/p.persica_gdr_reftransV1_0047718","p.persica_gdr_reftransV1_0047718")</f>
        <v>p.persica_gdr_reftransV1_0047718</v>
      </c>
      <c r="B3289" s="3">
        <v>467</v>
      </c>
      <c r="C3289" s="1" t="str">
        <f>HYPERLINK("http://www.uniprot.org/uniprot/MAEA_DANRE","MAEA_DANRE")</f>
        <v>MAEA_DANRE</v>
      </c>
      <c r="D3289" t="s">
        <v>3032</v>
      </c>
      <c r="E3289" s="3" t="s">
        <v>704</v>
      </c>
      <c r="F3289" s="4">
        <v>2.6200000000000002E-29</v>
      </c>
      <c r="G3289" s="3">
        <v>287</v>
      </c>
      <c r="H3289" s="3">
        <v>41</v>
      </c>
      <c r="I3289" s="3">
        <v>137</v>
      </c>
      <c r="J3289" s="3">
        <v>12</v>
      </c>
      <c r="K3289" s="3">
        <v>413</v>
      </c>
      <c r="L3289" s="3">
        <v>254</v>
      </c>
      <c r="M3289" s="3">
        <v>388</v>
      </c>
    </row>
    <row r="3290" spans="1:13" x14ac:dyDescent="0.25">
      <c r="A3290" s="1" t="str">
        <f>HYPERLINK("http://www.rosaceae.org/Prunus/Prunus_persica/p.persica_gdr_reftransV1_0047768","p.persica_gdr_reftransV1_0047768")</f>
        <v>p.persica_gdr_reftransV1_0047768</v>
      </c>
      <c r="B3290" s="3">
        <v>1307</v>
      </c>
      <c r="C3290" s="1" t="str">
        <f>HYPERLINK("http://www.uniprot.org/uniprot/TBL39_ARATH","TBL39_ARATH")</f>
        <v>TBL39_ARATH</v>
      </c>
      <c r="D3290" t="s">
        <v>3033</v>
      </c>
      <c r="E3290" s="3" t="s">
        <v>3</v>
      </c>
      <c r="F3290" s="4">
        <v>8.5499999999999997E-175</v>
      </c>
      <c r="G3290" s="3">
        <v>1289</v>
      </c>
      <c r="H3290" s="3">
        <v>70</v>
      </c>
      <c r="I3290" s="3">
        <v>329</v>
      </c>
      <c r="J3290" s="3">
        <v>216</v>
      </c>
      <c r="K3290" s="3">
        <v>1199</v>
      </c>
      <c r="L3290" s="3">
        <v>38</v>
      </c>
      <c r="M3290" s="3">
        <v>365</v>
      </c>
    </row>
    <row r="3291" spans="1:13" x14ac:dyDescent="0.25">
      <c r="A3291" s="1" t="str">
        <f>HYPERLINK("http://www.rosaceae.org/Prunus/Prunus_persica/p.persica_gdr_reftransV1_0047818","p.persica_gdr_reftransV1_0047818")</f>
        <v>p.persica_gdr_reftransV1_0047818</v>
      </c>
      <c r="B3291" s="3">
        <v>383</v>
      </c>
      <c r="C3291" s="1" t="str">
        <f>HYPERLINK("http://www.uniprot.org/uniprot/Y1571_ARATH","Y1571_ARATH")</f>
        <v>Y1571_ARATH</v>
      </c>
      <c r="D3291" t="s">
        <v>2449</v>
      </c>
      <c r="E3291" s="3" t="s">
        <v>3</v>
      </c>
      <c r="F3291" s="4">
        <v>3.1100000000000001E-8</v>
      </c>
      <c r="G3291" s="3">
        <v>132</v>
      </c>
      <c r="H3291" s="3">
        <v>44</v>
      </c>
      <c r="I3291" s="3">
        <v>91</v>
      </c>
      <c r="J3291" s="3">
        <v>2</v>
      </c>
      <c r="K3291" s="3">
        <v>274</v>
      </c>
      <c r="L3291" s="3">
        <v>1032</v>
      </c>
      <c r="M3291" s="3">
        <v>1120</v>
      </c>
    </row>
    <row r="3292" spans="1:13" x14ac:dyDescent="0.25">
      <c r="A3292" s="1" t="str">
        <f>HYPERLINK("http://www.rosaceae.org/Prunus/Prunus_persica/p.persica_gdr_reftransV1_0047868","p.persica_gdr_reftransV1_0047868")</f>
        <v>p.persica_gdr_reftransV1_0047868</v>
      </c>
      <c r="B3292" s="3">
        <v>3663</v>
      </c>
      <c r="C3292" s="1" t="str">
        <f>HYPERLINK("http://www.uniprot.org/uniprot/STIP1_ARATH","STIP1_ARATH")</f>
        <v>STIP1_ARATH</v>
      </c>
      <c r="D3292" t="s">
        <v>3034</v>
      </c>
      <c r="E3292" s="3" t="s">
        <v>3</v>
      </c>
      <c r="F3292" s="4">
        <v>0</v>
      </c>
      <c r="G3292" s="3">
        <v>2268</v>
      </c>
      <c r="H3292" s="3">
        <v>54</v>
      </c>
      <c r="I3292" s="3">
        <v>896</v>
      </c>
      <c r="J3292" s="3">
        <v>896</v>
      </c>
      <c r="K3292" s="3">
        <v>3547</v>
      </c>
      <c r="L3292" s="3">
        <v>1</v>
      </c>
      <c r="M3292" s="3">
        <v>843</v>
      </c>
    </row>
    <row r="3293" spans="1:13" x14ac:dyDescent="0.25">
      <c r="A3293" s="1" t="str">
        <f>HYPERLINK("http://www.rosaceae.org/Prunus/Prunus_persica/p.persica_gdr_reftransV1_0047968","p.persica_gdr_reftransV1_0047968")</f>
        <v>p.persica_gdr_reftransV1_0047968</v>
      </c>
      <c r="B3293" s="3">
        <v>393</v>
      </c>
      <c r="C3293" s="1" t="str">
        <f>HYPERLINK("http://www.uniprot.org/uniprot/Y3148_ARATH","Y3148_ARATH")</f>
        <v>Y3148_ARATH</v>
      </c>
      <c r="D3293" t="s">
        <v>953</v>
      </c>
      <c r="E3293" s="3" t="s">
        <v>3</v>
      </c>
      <c r="F3293" s="4">
        <v>2.1500000000000001E-38</v>
      </c>
      <c r="G3293" s="3">
        <v>360</v>
      </c>
      <c r="H3293" s="3">
        <v>57</v>
      </c>
      <c r="I3293" s="3">
        <v>141</v>
      </c>
      <c r="J3293" s="3">
        <v>1</v>
      </c>
      <c r="K3293" s="3">
        <v>393</v>
      </c>
      <c r="L3293" s="3">
        <v>586</v>
      </c>
      <c r="M3293" s="3">
        <v>726</v>
      </c>
    </row>
    <row r="3294" spans="1:13" x14ac:dyDescent="0.25">
      <c r="A3294" s="1" t="str">
        <f>HYPERLINK("http://www.rosaceae.org/Prunus/Prunus_persica/p.persica_gdr_reftransV1_0048018","p.persica_gdr_reftransV1_0048018")</f>
        <v>p.persica_gdr_reftransV1_0048018</v>
      </c>
      <c r="B3294" s="3">
        <v>1715</v>
      </c>
      <c r="C3294" s="1" t="str">
        <f>HYPERLINK("http://www.uniprot.org/uniprot/CNOT1_XENTR","CNOT1_XENTR")</f>
        <v>CNOT1_XENTR</v>
      </c>
      <c r="D3294" t="s">
        <v>3035</v>
      </c>
      <c r="E3294" s="3" t="s">
        <v>173</v>
      </c>
      <c r="F3294" s="4">
        <v>3.9600000000000002E-141</v>
      </c>
      <c r="G3294" s="3">
        <v>1177</v>
      </c>
      <c r="H3294" s="3">
        <v>62</v>
      </c>
      <c r="I3294" s="3">
        <v>371</v>
      </c>
      <c r="J3294" s="3">
        <v>385</v>
      </c>
      <c r="K3294" s="3">
        <v>1491</v>
      </c>
      <c r="L3294" s="3">
        <v>2032</v>
      </c>
      <c r="M3294" s="3">
        <v>2388</v>
      </c>
    </row>
    <row r="3295" spans="1:13" x14ac:dyDescent="0.25">
      <c r="A3295" s="1" t="str">
        <f>HYPERLINK("http://www.rosaceae.org/Prunus/Prunus_persica/p.persica_gdr_reftransV1_0048068","p.persica_gdr_reftransV1_0048068")</f>
        <v>p.persica_gdr_reftransV1_0048068</v>
      </c>
      <c r="B3295" s="3">
        <v>1291</v>
      </c>
      <c r="C3295" s="1" t="str">
        <f>HYPERLINK("http://www.uniprot.org/uniprot/LRP1_ARATH","LRP1_ARATH")</f>
        <v>LRP1_ARATH</v>
      </c>
      <c r="D3295" t="s">
        <v>3036</v>
      </c>
      <c r="E3295" s="3" t="s">
        <v>3</v>
      </c>
      <c r="F3295" s="4">
        <v>3.4399999999999999E-71</v>
      </c>
      <c r="G3295" s="3">
        <v>595</v>
      </c>
      <c r="H3295" s="3">
        <v>64</v>
      </c>
      <c r="I3295" s="3">
        <v>200</v>
      </c>
      <c r="J3295" s="3">
        <v>183</v>
      </c>
      <c r="K3295" s="3">
        <v>770</v>
      </c>
      <c r="L3295" s="3">
        <v>112</v>
      </c>
      <c r="M3295" s="3">
        <v>306</v>
      </c>
    </row>
    <row r="3296" spans="1:13" x14ac:dyDescent="0.25">
      <c r="A3296" s="1" t="str">
        <f>HYPERLINK("http://www.rosaceae.org/Prunus/Prunus_persica/p.persica_gdr_reftransV1_0048168","p.persica_gdr_reftransV1_0048168")</f>
        <v>p.persica_gdr_reftransV1_0048168</v>
      </c>
      <c r="B3296" s="3">
        <v>777</v>
      </c>
      <c r="C3296" s="1" t="str">
        <f>HYPERLINK("http://www.uniprot.org/uniprot/ACT_GOSHI","ACT_GOSHI")</f>
        <v>ACT_GOSHI</v>
      </c>
      <c r="D3296" t="s">
        <v>3037</v>
      </c>
      <c r="E3296" s="3" t="s">
        <v>816</v>
      </c>
      <c r="F3296" s="4">
        <v>0</v>
      </c>
      <c r="G3296" s="3">
        <v>1341</v>
      </c>
      <c r="H3296" s="3">
        <v>98</v>
      </c>
      <c r="I3296" s="3">
        <v>258</v>
      </c>
      <c r="J3296" s="3">
        <v>3</v>
      </c>
      <c r="K3296" s="3">
        <v>776</v>
      </c>
      <c r="L3296" s="3">
        <v>108</v>
      </c>
      <c r="M3296" s="3">
        <v>365</v>
      </c>
    </row>
    <row r="3297" spans="1:13" x14ac:dyDescent="0.25">
      <c r="A3297" s="1" t="str">
        <f>HYPERLINK("http://www.rosaceae.org/Prunus/Prunus_persica/p.persica_gdr_reftransV1_0048218","p.persica_gdr_reftransV1_0048218")</f>
        <v>p.persica_gdr_reftransV1_0048218</v>
      </c>
      <c r="B3297" s="3">
        <v>1397</v>
      </c>
      <c r="C3297" s="1" t="str">
        <f>HYPERLINK("http://www.uniprot.org/uniprot/PAE10_ARATH","PAE10_ARATH")</f>
        <v>PAE10_ARATH</v>
      </c>
      <c r="D3297" t="s">
        <v>3038</v>
      </c>
      <c r="E3297" s="3" t="s">
        <v>3</v>
      </c>
      <c r="F3297" s="4">
        <v>9.9000000000000005E-175</v>
      </c>
      <c r="G3297" s="3">
        <v>1297</v>
      </c>
      <c r="H3297" s="3">
        <v>63</v>
      </c>
      <c r="I3297" s="3">
        <v>416</v>
      </c>
      <c r="J3297" s="3">
        <v>23</v>
      </c>
      <c r="K3297" s="3">
        <v>1234</v>
      </c>
      <c r="L3297" s="3">
        <v>1</v>
      </c>
      <c r="M3297" s="3">
        <v>414</v>
      </c>
    </row>
    <row r="3298" spans="1:13" x14ac:dyDescent="0.25">
      <c r="A3298" s="1" t="str">
        <f>HYPERLINK("http://www.rosaceae.org/Prunus/Prunus_persica/p.persica_gdr_reftransV1_0048268","p.persica_gdr_reftransV1_0048268")</f>
        <v>p.persica_gdr_reftransV1_0048268</v>
      </c>
      <c r="B3298" s="3">
        <v>1612</v>
      </c>
      <c r="C3298" s="1" t="str">
        <f>HYPERLINK("http://www.uniprot.org/uniprot/LRP6A_ARATH","LRP6A_ARATH")</f>
        <v>LRP6A_ARATH</v>
      </c>
      <c r="D3298" t="s">
        <v>3039</v>
      </c>
      <c r="E3298" s="3" t="s">
        <v>3</v>
      </c>
      <c r="F3298" s="4">
        <v>3.2199999999999999E-98</v>
      </c>
      <c r="G3298" s="3">
        <v>795</v>
      </c>
      <c r="H3298" s="3">
        <v>57</v>
      </c>
      <c r="I3298" s="3">
        <v>299</v>
      </c>
      <c r="J3298" s="3">
        <v>462</v>
      </c>
      <c r="K3298" s="3">
        <v>1325</v>
      </c>
      <c r="L3298" s="3">
        <v>101</v>
      </c>
      <c r="M3298" s="3">
        <v>397</v>
      </c>
    </row>
    <row r="3299" spans="1:13" x14ac:dyDescent="0.25">
      <c r="A3299" s="1" t="str">
        <f>HYPERLINK("http://www.rosaceae.org/Prunus/Prunus_persica/p.persica_gdr_reftransV1_0048418","p.persica_gdr_reftransV1_0048418")</f>
        <v>p.persica_gdr_reftransV1_0048418</v>
      </c>
      <c r="B3299" s="3">
        <v>1032</v>
      </c>
      <c r="C3299" s="1" t="str">
        <f>HYPERLINK("http://www.uniprot.org/uniprot/SRG1_ARATH","SRG1_ARATH")</f>
        <v>SRG1_ARATH</v>
      </c>
      <c r="D3299" t="s">
        <v>25</v>
      </c>
      <c r="E3299" s="3" t="s">
        <v>3</v>
      </c>
      <c r="F3299" s="4">
        <v>2.0500000000000001E-58</v>
      </c>
      <c r="G3299" s="3">
        <v>504</v>
      </c>
      <c r="H3299" s="3">
        <v>41</v>
      </c>
      <c r="I3299" s="3">
        <v>263</v>
      </c>
      <c r="J3299" s="3">
        <v>3</v>
      </c>
      <c r="K3299" s="3">
        <v>770</v>
      </c>
      <c r="L3299" s="3">
        <v>16</v>
      </c>
      <c r="M3299" s="3">
        <v>278</v>
      </c>
    </row>
    <row r="3300" spans="1:13" x14ac:dyDescent="0.25">
      <c r="A3300" s="1" t="str">
        <f>HYPERLINK("http://www.rosaceae.org/Prunus/Prunus_persica/p.persica_gdr_reftransV1_0048468","p.persica_gdr_reftransV1_0048468")</f>
        <v>p.persica_gdr_reftransV1_0048468</v>
      </c>
      <c r="B3300" s="3">
        <v>6128</v>
      </c>
      <c r="C3300" s="1" t="str">
        <f>HYPERLINK("http://www.uniprot.org/uniprot/MIP2_ARATH","MIP2_ARATH")</f>
        <v>MIP2_ARATH</v>
      </c>
      <c r="D3300" t="s">
        <v>3040</v>
      </c>
      <c r="E3300" s="3" t="s">
        <v>3</v>
      </c>
      <c r="F3300" s="4">
        <v>0</v>
      </c>
      <c r="G3300" s="3">
        <v>5529</v>
      </c>
      <c r="H3300" s="3">
        <v>56</v>
      </c>
      <c r="I3300" s="3">
        <v>1995</v>
      </c>
      <c r="J3300" s="3">
        <v>2</v>
      </c>
      <c r="K3300" s="3">
        <v>5932</v>
      </c>
      <c r="L3300" s="3">
        <v>435</v>
      </c>
      <c r="M3300" s="3">
        <v>2376</v>
      </c>
    </row>
    <row r="3301" spans="1:13" x14ac:dyDescent="0.25">
      <c r="A3301" s="1" t="str">
        <f>HYPERLINK("http://www.rosaceae.org/Prunus/Prunus_persica/p.persica_gdr_reftransV1_0048518","p.persica_gdr_reftransV1_0048518")</f>
        <v>p.persica_gdr_reftransV1_0048518</v>
      </c>
      <c r="B3301" s="3">
        <v>456</v>
      </c>
      <c r="C3301" s="1" t="str">
        <f>HYPERLINK("http://www.uniprot.org/uniprot/KCS21_ARATH","KCS21_ARATH")</f>
        <v>KCS21_ARATH</v>
      </c>
      <c r="D3301" t="s">
        <v>2738</v>
      </c>
      <c r="E3301" s="3" t="s">
        <v>3</v>
      </c>
      <c r="F3301" s="4">
        <v>4.6400000000000002E-42</v>
      </c>
      <c r="G3301" s="3">
        <v>380</v>
      </c>
      <c r="H3301" s="3">
        <v>60</v>
      </c>
      <c r="I3301" s="3">
        <v>118</v>
      </c>
      <c r="J3301" s="3">
        <v>109</v>
      </c>
      <c r="K3301" s="3">
        <v>456</v>
      </c>
      <c r="L3301" s="3">
        <v>22</v>
      </c>
      <c r="M3301" s="3">
        <v>139</v>
      </c>
    </row>
    <row r="3302" spans="1:13" x14ac:dyDescent="0.25">
      <c r="A3302" s="1" t="str">
        <f>HYPERLINK("http://www.rosaceae.org/Prunus/Prunus_persica/p.persica_gdr_reftransV1_0048568","p.persica_gdr_reftransV1_0048568")</f>
        <v>p.persica_gdr_reftransV1_0048568</v>
      </c>
      <c r="B3302" s="3">
        <v>556</v>
      </c>
      <c r="C3302" s="1" t="str">
        <f>HYPERLINK("http://www.uniprot.org/uniprot/YU88_ARATH","YU88_ARATH")</f>
        <v>YU88_ARATH</v>
      </c>
      <c r="D3302" t="s">
        <v>3041</v>
      </c>
      <c r="E3302" s="3" t="s">
        <v>3</v>
      </c>
      <c r="F3302" s="4">
        <v>4.3300000000000002E-84</v>
      </c>
      <c r="G3302" s="3">
        <v>665</v>
      </c>
      <c r="H3302" s="3">
        <v>74</v>
      </c>
      <c r="I3302" s="3">
        <v>182</v>
      </c>
      <c r="J3302" s="3">
        <v>2</v>
      </c>
      <c r="K3302" s="3">
        <v>544</v>
      </c>
      <c r="L3302" s="3">
        <v>59</v>
      </c>
      <c r="M3302" s="3">
        <v>240</v>
      </c>
    </row>
    <row r="3303" spans="1:13" x14ac:dyDescent="0.25">
      <c r="A3303" s="1" t="str">
        <f>HYPERLINK("http://www.rosaceae.org/Prunus/Prunus_persica/p.persica_gdr_reftransV1_0048718","p.persica_gdr_reftransV1_0048718")</f>
        <v>p.persica_gdr_reftransV1_0048718</v>
      </c>
      <c r="B3303" s="3">
        <v>1508</v>
      </c>
      <c r="C3303" s="1" t="str">
        <f>HYPERLINK("http://www.uniprot.org/uniprot/GAT24_ARATH","GAT24_ARATH")</f>
        <v>GAT24_ARATH</v>
      </c>
      <c r="D3303" t="s">
        <v>595</v>
      </c>
      <c r="E3303" s="3" t="s">
        <v>3</v>
      </c>
      <c r="F3303" s="4">
        <v>4.4999999999999999E-44</v>
      </c>
      <c r="G3303" s="3">
        <v>411</v>
      </c>
      <c r="H3303" s="3">
        <v>55</v>
      </c>
      <c r="I3303" s="3">
        <v>187</v>
      </c>
      <c r="J3303" s="3">
        <v>715</v>
      </c>
      <c r="K3303" s="3">
        <v>1239</v>
      </c>
      <c r="L3303" s="3">
        <v>79</v>
      </c>
      <c r="M3303" s="3">
        <v>265</v>
      </c>
    </row>
    <row r="3304" spans="1:13" x14ac:dyDescent="0.25">
      <c r="A3304" s="1" t="str">
        <f>HYPERLINK("http://www.rosaceae.org/Prunus/Prunus_persica/p.persica_gdr_reftransV1_0048768","p.persica_gdr_reftransV1_0048768")</f>
        <v>p.persica_gdr_reftransV1_0048768</v>
      </c>
      <c r="B3304" s="3">
        <v>951</v>
      </c>
      <c r="C3304" s="1" t="str">
        <f>HYPERLINK("http://www.uniprot.org/uniprot/DRL44_ARATH","DRL44_ARATH")</f>
        <v>DRL44_ARATH</v>
      </c>
      <c r="D3304" t="s">
        <v>994</v>
      </c>
      <c r="E3304" s="3" t="s">
        <v>3</v>
      </c>
      <c r="F3304" s="4">
        <v>1.01E-17</v>
      </c>
      <c r="G3304" s="3">
        <v>216</v>
      </c>
      <c r="H3304" s="3">
        <v>36</v>
      </c>
      <c r="I3304" s="3">
        <v>148</v>
      </c>
      <c r="J3304" s="3">
        <v>107</v>
      </c>
      <c r="K3304" s="3">
        <v>544</v>
      </c>
      <c r="L3304" s="3">
        <v>569</v>
      </c>
      <c r="M3304" s="3">
        <v>715</v>
      </c>
    </row>
    <row r="3305" spans="1:13" x14ac:dyDescent="0.25">
      <c r="A3305" s="1" t="str">
        <f>HYPERLINK("http://www.rosaceae.org/Prunus/Prunus_persica/p.persica_gdr_reftransV1_0048868","p.persica_gdr_reftransV1_0048868")</f>
        <v>p.persica_gdr_reftransV1_0048868</v>
      </c>
      <c r="B3305" s="3">
        <v>6116</v>
      </c>
      <c r="C3305" s="1" t="str">
        <f>HYPERLINK("http://www.uniprot.org/uniprot/FAB1B_ARATH","FAB1B_ARATH")</f>
        <v>FAB1B_ARATH</v>
      </c>
      <c r="D3305" t="s">
        <v>3042</v>
      </c>
      <c r="E3305" s="3" t="s">
        <v>3</v>
      </c>
      <c r="F3305" s="4">
        <v>0</v>
      </c>
      <c r="G3305" s="3">
        <v>4908</v>
      </c>
      <c r="H3305" s="3">
        <v>58</v>
      </c>
      <c r="I3305" s="3">
        <v>1877</v>
      </c>
      <c r="J3305" s="3">
        <v>254</v>
      </c>
      <c r="K3305" s="3">
        <v>5722</v>
      </c>
      <c r="L3305" s="3">
        <v>1</v>
      </c>
      <c r="M3305" s="3">
        <v>1786</v>
      </c>
    </row>
    <row r="3306" spans="1:13" x14ac:dyDescent="0.25">
      <c r="A3306" s="1" t="str">
        <f>HYPERLINK("http://www.rosaceae.org/Prunus/Prunus_persica/p.persica_gdr_reftransV1_0048918","p.persica_gdr_reftransV1_0048918")</f>
        <v>p.persica_gdr_reftransV1_0048918</v>
      </c>
      <c r="B3306" s="3">
        <v>606</v>
      </c>
      <c r="C3306" s="1" t="str">
        <f>HYPERLINK("http://www.uniprot.org/uniprot/SUS2_ARATH","SUS2_ARATH")</f>
        <v>SUS2_ARATH</v>
      </c>
      <c r="D3306" t="s">
        <v>3043</v>
      </c>
      <c r="E3306" s="3" t="s">
        <v>3</v>
      </c>
      <c r="F3306" s="4">
        <v>4.3499999999999998E-69</v>
      </c>
      <c r="G3306" s="3">
        <v>587</v>
      </c>
      <c r="H3306" s="3">
        <v>70</v>
      </c>
      <c r="I3306" s="3">
        <v>155</v>
      </c>
      <c r="J3306" s="3">
        <v>141</v>
      </c>
      <c r="K3306" s="3">
        <v>605</v>
      </c>
      <c r="L3306" s="3">
        <v>8</v>
      </c>
      <c r="M3306" s="3">
        <v>162</v>
      </c>
    </row>
    <row r="3307" spans="1:13" x14ac:dyDescent="0.25">
      <c r="A3307" s="1" t="str">
        <f>HYPERLINK("http://www.rosaceae.org/Prunus/Prunus_persica/p.persica_gdr_reftransV1_0048968","p.persica_gdr_reftransV1_0048968")</f>
        <v>p.persica_gdr_reftransV1_0048968</v>
      </c>
      <c r="B3307" s="3">
        <v>1743</v>
      </c>
      <c r="C3307" s="1" t="str">
        <f>HYPERLINK("http://www.uniprot.org/uniprot/WAKLO_ARATH","WAKLO_ARATH")</f>
        <v>WAKLO_ARATH</v>
      </c>
      <c r="D3307" t="s">
        <v>146</v>
      </c>
      <c r="E3307" s="3" t="s">
        <v>3</v>
      </c>
      <c r="F3307" s="4">
        <v>5.0800000000000001E-176</v>
      </c>
      <c r="G3307" s="3">
        <v>1345</v>
      </c>
      <c r="H3307" s="3">
        <v>58</v>
      </c>
      <c r="I3307" s="3">
        <v>495</v>
      </c>
      <c r="J3307" s="3">
        <v>242</v>
      </c>
      <c r="K3307" s="3">
        <v>1681</v>
      </c>
      <c r="L3307" s="3">
        <v>215</v>
      </c>
      <c r="M3307" s="3">
        <v>687</v>
      </c>
    </row>
    <row r="3308" spans="1:13" x14ac:dyDescent="0.25">
      <c r="A3308" s="1" t="str">
        <f>HYPERLINK("http://www.rosaceae.org/Prunus/Prunus_persica/p.persica_gdr_reftransV1_0049018","p.persica_gdr_reftransV1_0049018")</f>
        <v>p.persica_gdr_reftransV1_0049018</v>
      </c>
      <c r="B3308" s="3">
        <v>561</v>
      </c>
      <c r="C3308" s="1" t="str">
        <f>HYPERLINK("http://www.uniprot.org/uniprot/SAP7_ARATH","SAP7_ARATH")</f>
        <v>SAP7_ARATH</v>
      </c>
      <c r="D3308" t="s">
        <v>3044</v>
      </c>
      <c r="E3308" s="3" t="s">
        <v>3</v>
      </c>
      <c r="F3308" s="4">
        <v>6.9499999999999996E-25</v>
      </c>
      <c r="G3308" s="3">
        <v>249</v>
      </c>
      <c r="H3308" s="3">
        <v>38</v>
      </c>
      <c r="I3308" s="3">
        <v>143</v>
      </c>
      <c r="J3308" s="3">
        <v>166</v>
      </c>
      <c r="K3308" s="3">
        <v>552</v>
      </c>
      <c r="L3308" s="3">
        <v>31</v>
      </c>
      <c r="M3308" s="3">
        <v>173</v>
      </c>
    </row>
    <row r="3309" spans="1:13" x14ac:dyDescent="0.25">
      <c r="A3309" s="1" t="str">
        <f>HYPERLINK("http://www.rosaceae.org/Prunus/Prunus_persica/p.persica_gdr_reftransV1_0049068","p.persica_gdr_reftransV1_0049068")</f>
        <v>p.persica_gdr_reftransV1_0049068</v>
      </c>
      <c r="B3309" s="3">
        <v>561</v>
      </c>
      <c r="C3309" s="1" t="str">
        <f>HYPERLINK("http://www.uniprot.org/uniprot/RQL1_ARATH","RQL1_ARATH")</f>
        <v>RQL1_ARATH</v>
      </c>
      <c r="D3309" t="s">
        <v>2994</v>
      </c>
      <c r="E3309" s="3" t="s">
        <v>3</v>
      </c>
      <c r="F3309" s="4">
        <v>2.6399999999999999E-39</v>
      </c>
      <c r="G3309" s="3">
        <v>366</v>
      </c>
      <c r="H3309" s="3">
        <v>57</v>
      </c>
      <c r="I3309" s="3">
        <v>143</v>
      </c>
      <c r="J3309" s="3">
        <v>111</v>
      </c>
      <c r="K3309" s="3">
        <v>503</v>
      </c>
      <c r="L3309" s="3">
        <v>1</v>
      </c>
      <c r="M3309" s="3">
        <v>139</v>
      </c>
    </row>
    <row r="3310" spans="1:13" x14ac:dyDescent="0.25">
      <c r="A3310" s="1" t="str">
        <f>HYPERLINK("http://www.rosaceae.org/Prunus/Prunus_persica/p.persica_gdr_reftransV1_0049118","p.persica_gdr_reftransV1_0049118")</f>
        <v>p.persica_gdr_reftransV1_0049118</v>
      </c>
      <c r="B3310" s="3">
        <v>1371</v>
      </c>
      <c r="C3310" s="1" t="str">
        <f>HYPERLINK("http://www.uniprot.org/uniprot/RP25L_MOUSE","RP25L_MOUSE")</f>
        <v>RP25L_MOUSE</v>
      </c>
      <c r="D3310" t="s">
        <v>3045</v>
      </c>
      <c r="E3310" s="3" t="s">
        <v>157</v>
      </c>
      <c r="F3310" s="4">
        <v>1.1599999999999999E-15</v>
      </c>
      <c r="G3310" s="3">
        <v>193</v>
      </c>
      <c r="H3310" s="3">
        <v>32</v>
      </c>
      <c r="I3310" s="3">
        <v>136</v>
      </c>
      <c r="J3310" s="3">
        <v>259</v>
      </c>
      <c r="K3310" s="3">
        <v>639</v>
      </c>
      <c r="L3310" s="3">
        <v>1</v>
      </c>
      <c r="M3310" s="3">
        <v>136</v>
      </c>
    </row>
    <row r="3311" spans="1:13" x14ac:dyDescent="0.25">
      <c r="A3311" s="1" t="str">
        <f>HYPERLINK("http://www.rosaceae.org/Prunus/Prunus_persica/p.persica_gdr_reftransV1_0000019","p.persica_gdr_reftransV1_0000019")</f>
        <v>p.persica_gdr_reftransV1_0000019</v>
      </c>
      <c r="B3311" s="3">
        <v>1501</v>
      </c>
      <c r="C3311" s="1" t="str">
        <f>HYPERLINK("http://www.uniprot.org/uniprot/TCX2_ARATH","TCX2_ARATH")</f>
        <v>TCX2_ARATH</v>
      </c>
      <c r="D3311" t="s">
        <v>3046</v>
      </c>
      <c r="E3311" s="3" t="s">
        <v>3</v>
      </c>
      <c r="F3311" s="4">
        <v>6.8800000000000005E-58</v>
      </c>
      <c r="G3311" s="3">
        <v>531</v>
      </c>
      <c r="H3311" s="3">
        <v>64</v>
      </c>
      <c r="I3311" s="3">
        <v>150</v>
      </c>
      <c r="J3311" s="3">
        <v>664</v>
      </c>
      <c r="K3311" s="3">
        <v>1110</v>
      </c>
      <c r="L3311" s="3">
        <v>351</v>
      </c>
      <c r="M3311" s="3">
        <v>498</v>
      </c>
    </row>
    <row r="3312" spans="1:13" x14ac:dyDescent="0.25">
      <c r="A3312" s="1" t="str">
        <f>HYPERLINK("http://www.rosaceae.org/Prunus/Prunus_persica/p.persica_gdr_reftransV1_0000069","p.persica_gdr_reftransV1_0000069")</f>
        <v>p.persica_gdr_reftransV1_0000069</v>
      </c>
      <c r="B3312" s="3">
        <v>1783</v>
      </c>
      <c r="C3312" s="1" t="str">
        <f>HYPERLINK("http://www.uniprot.org/uniprot/HMGCL_ARATH","HMGCL_ARATH")</f>
        <v>HMGCL_ARATH</v>
      </c>
      <c r="D3312" t="s">
        <v>3047</v>
      </c>
      <c r="E3312" s="3" t="s">
        <v>3</v>
      </c>
      <c r="F3312" s="4">
        <v>0</v>
      </c>
      <c r="G3312" s="3">
        <v>1553</v>
      </c>
      <c r="H3312" s="3">
        <v>73</v>
      </c>
      <c r="I3312" s="3">
        <v>441</v>
      </c>
      <c r="J3312" s="3">
        <v>259</v>
      </c>
      <c r="K3312" s="3">
        <v>1566</v>
      </c>
      <c r="L3312" s="3">
        <v>29</v>
      </c>
      <c r="M3312" s="3">
        <v>468</v>
      </c>
    </row>
    <row r="3313" spans="1:13" x14ac:dyDescent="0.25">
      <c r="A3313" s="1" t="str">
        <f>HYPERLINK("http://www.rosaceae.org/Prunus/Prunus_persica/p.persica_gdr_reftransV1_0000119","p.persica_gdr_reftransV1_0000119")</f>
        <v>p.persica_gdr_reftransV1_0000119</v>
      </c>
      <c r="B3313" s="3">
        <v>2169</v>
      </c>
      <c r="C3313" s="1" t="str">
        <f>HYPERLINK("http://www.uniprot.org/uniprot/PURA2_RICCO","PURA2_RICCO")</f>
        <v>PURA2_RICCO</v>
      </c>
      <c r="D3313" t="s">
        <v>3048</v>
      </c>
      <c r="E3313" s="3" t="s">
        <v>421</v>
      </c>
      <c r="F3313" s="4">
        <v>0</v>
      </c>
      <c r="G3313" s="3">
        <v>2179</v>
      </c>
      <c r="H3313" s="3">
        <v>84</v>
      </c>
      <c r="I3313" s="3">
        <v>492</v>
      </c>
      <c r="J3313" s="3">
        <v>289</v>
      </c>
      <c r="K3313" s="3">
        <v>1752</v>
      </c>
      <c r="L3313" s="3">
        <v>2</v>
      </c>
      <c r="M3313" s="3">
        <v>488</v>
      </c>
    </row>
    <row r="3314" spans="1:13" x14ac:dyDescent="0.25">
      <c r="A3314" s="1" t="str">
        <f>HYPERLINK("http://www.rosaceae.org/Prunus/Prunus_persica/p.persica_gdr_reftransV1_0000169","p.persica_gdr_reftransV1_0000169")</f>
        <v>p.persica_gdr_reftransV1_0000169</v>
      </c>
      <c r="B3314" s="3">
        <v>1378</v>
      </c>
      <c r="C3314" s="1" t="str">
        <f>HYPERLINK("http://www.uniprot.org/uniprot/DFRA_DIACA","DFRA_DIACA")</f>
        <v>DFRA_DIACA</v>
      </c>
      <c r="D3314" t="s">
        <v>3049</v>
      </c>
      <c r="E3314" s="3" t="s">
        <v>3050</v>
      </c>
      <c r="F3314" s="4">
        <v>3.8899999999999997E-52</v>
      </c>
      <c r="G3314" s="3">
        <v>470</v>
      </c>
      <c r="H3314" s="3">
        <v>31</v>
      </c>
      <c r="I3314" s="3">
        <v>372</v>
      </c>
      <c r="J3314" s="3">
        <v>250</v>
      </c>
      <c r="K3314" s="3">
        <v>1350</v>
      </c>
      <c r="L3314" s="3">
        <v>17</v>
      </c>
      <c r="M3314" s="3">
        <v>336</v>
      </c>
    </row>
    <row r="3315" spans="1:13" x14ac:dyDescent="0.25">
      <c r="A3315" s="1" t="str">
        <f>HYPERLINK("http://www.rosaceae.org/Prunus/Prunus_persica/p.persica_gdr_reftransV1_0000219","p.persica_gdr_reftransV1_0000219")</f>
        <v>p.persica_gdr_reftransV1_0000219</v>
      </c>
      <c r="B3315" s="3">
        <v>448</v>
      </c>
      <c r="C3315" s="1" t="str">
        <f>HYPERLINK("http://www.uniprot.org/uniprot/PP330_ARATH","PP330_ARATH")</f>
        <v>PP330_ARATH</v>
      </c>
      <c r="D3315" t="s">
        <v>755</v>
      </c>
      <c r="E3315" s="3" t="s">
        <v>3</v>
      </c>
      <c r="F3315" s="4">
        <v>2.58E-36</v>
      </c>
      <c r="G3315" s="3">
        <v>340</v>
      </c>
      <c r="H3315" s="3">
        <v>47</v>
      </c>
      <c r="I3315" s="3">
        <v>137</v>
      </c>
      <c r="J3315" s="3">
        <v>2</v>
      </c>
      <c r="K3315" s="3">
        <v>412</v>
      </c>
      <c r="L3315" s="3">
        <v>367</v>
      </c>
      <c r="M3315" s="3">
        <v>503</v>
      </c>
    </row>
    <row r="3316" spans="1:13" x14ac:dyDescent="0.25">
      <c r="A3316" s="1" t="str">
        <f>HYPERLINK("http://www.rosaceae.org/Prunus/Prunus_persica/p.persica_gdr_reftransV1_0000269","p.persica_gdr_reftransV1_0000269")</f>
        <v>p.persica_gdr_reftransV1_0000269</v>
      </c>
      <c r="B3316" s="3">
        <v>561</v>
      </c>
      <c r="C3316" s="1" t="str">
        <f>HYPERLINK("http://www.uniprot.org/uniprot/PLY8_ARATH","PLY8_ARATH")</f>
        <v>PLY8_ARATH</v>
      </c>
      <c r="D3316" t="s">
        <v>3051</v>
      </c>
      <c r="E3316" s="3" t="s">
        <v>3</v>
      </c>
      <c r="F3316" s="4">
        <v>4.5599999999999998E-72</v>
      </c>
      <c r="G3316" s="3">
        <v>585</v>
      </c>
      <c r="H3316" s="3">
        <v>64</v>
      </c>
      <c r="I3316" s="3">
        <v>186</v>
      </c>
      <c r="J3316" s="3">
        <v>3</v>
      </c>
      <c r="K3316" s="3">
        <v>560</v>
      </c>
      <c r="L3316" s="3">
        <v>1</v>
      </c>
      <c r="M3316" s="3">
        <v>163</v>
      </c>
    </row>
    <row r="3317" spans="1:13" x14ac:dyDescent="0.25">
      <c r="A3317" s="1" t="str">
        <f>HYPERLINK("http://www.rosaceae.org/Prunus/Prunus_persica/p.persica_gdr_reftransV1_0000319","p.persica_gdr_reftransV1_0000319")</f>
        <v>p.persica_gdr_reftransV1_0000319</v>
      </c>
      <c r="B3317" s="3">
        <v>1414</v>
      </c>
      <c r="C3317" s="1" t="str">
        <f>HYPERLINK("http://www.uniprot.org/uniprot/5FCLL_ARATH","5FCLL_ARATH")</f>
        <v>5FCLL_ARATH</v>
      </c>
      <c r="D3317" t="s">
        <v>3052</v>
      </c>
      <c r="E3317" s="3" t="s">
        <v>3</v>
      </c>
      <c r="F3317" s="4">
        <v>5.7199999999999998E-117</v>
      </c>
      <c r="G3317" s="3">
        <v>815</v>
      </c>
      <c r="H3317" s="3">
        <v>88</v>
      </c>
      <c r="I3317" s="3">
        <v>191</v>
      </c>
      <c r="J3317" s="3">
        <v>437</v>
      </c>
      <c r="K3317" s="3">
        <v>1009</v>
      </c>
      <c r="L3317" s="3">
        <v>163</v>
      </c>
      <c r="M3317" s="3">
        <v>353</v>
      </c>
    </row>
    <row r="3318" spans="1:13" x14ac:dyDescent="0.25">
      <c r="A3318" s="1" t="str">
        <f>HYPERLINK("http://www.rosaceae.org/Prunus/Prunus_persica/p.persica_gdr_reftransV1_0000419","p.persica_gdr_reftransV1_0000419")</f>
        <v>p.persica_gdr_reftransV1_0000419</v>
      </c>
      <c r="B3318" s="3">
        <v>3209</v>
      </c>
      <c r="C3318" s="1" t="str">
        <f>HYPERLINK("http://www.uniprot.org/uniprot/MBR2_ARATH","MBR2_ARATH")</f>
        <v>MBR2_ARATH</v>
      </c>
      <c r="D3318" t="s">
        <v>3053</v>
      </c>
      <c r="E3318" s="3" t="s">
        <v>3</v>
      </c>
      <c r="F3318" s="4">
        <v>3.0400000000000001E-34</v>
      </c>
      <c r="G3318" s="3">
        <v>363</v>
      </c>
      <c r="H3318" s="3">
        <v>47</v>
      </c>
      <c r="I3318" s="3">
        <v>152</v>
      </c>
      <c r="J3318" s="3">
        <v>2499</v>
      </c>
      <c r="K3318" s="3">
        <v>2948</v>
      </c>
      <c r="L3318" s="3">
        <v>514</v>
      </c>
      <c r="M3318" s="3">
        <v>664</v>
      </c>
    </row>
    <row r="3319" spans="1:13" x14ac:dyDescent="0.25">
      <c r="A3319" s="1" t="str">
        <f>HYPERLINK("http://www.rosaceae.org/Prunus/Prunus_persica/p.persica_gdr_reftransV1_0000469","p.persica_gdr_reftransV1_0000469")</f>
        <v>p.persica_gdr_reftransV1_0000469</v>
      </c>
      <c r="B3319" s="3">
        <v>503</v>
      </c>
      <c r="C3319" s="1" t="str">
        <f>HYPERLINK("http://www.uniprot.org/uniprot/POK1_ARATH","POK1_ARATH")</f>
        <v>POK1_ARATH</v>
      </c>
      <c r="D3319" t="s">
        <v>2570</v>
      </c>
      <c r="E3319" s="3" t="s">
        <v>3</v>
      </c>
      <c r="F3319" s="4">
        <v>9.92E-58</v>
      </c>
      <c r="G3319" s="3">
        <v>510</v>
      </c>
      <c r="H3319" s="3">
        <v>62</v>
      </c>
      <c r="I3319" s="3">
        <v>149</v>
      </c>
      <c r="J3319" s="3">
        <v>52</v>
      </c>
      <c r="K3319" s="3">
        <v>498</v>
      </c>
      <c r="L3319" s="3">
        <v>145</v>
      </c>
      <c r="M3319" s="3">
        <v>293</v>
      </c>
    </row>
    <row r="3320" spans="1:13" x14ac:dyDescent="0.25">
      <c r="A3320" s="1" t="str">
        <f>HYPERLINK("http://www.rosaceae.org/Prunus/Prunus_persica/p.persica_gdr_reftransV1_0000519","p.persica_gdr_reftransV1_0000519")</f>
        <v>p.persica_gdr_reftransV1_0000519</v>
      </c>
      <c r="B3320" s="3">
        <v>3672</v>
      </c>
      <c r="C3320" s="1" t="str">
        <f>HYPERLINK("http://www.uniprot.org/uniprot/RK2_CUCSA","RK2_CUCSA")</f>
        <v>RK2_CUCSA</v>
      </c>
      <c r="D3320" t="s">
        <v>3054</v>
      </c>
      <c r="E3320" s="3" t="s">
        <v>1149</v>
      </c>
      <c r="F3320" s="4">
        <v>3.3399999999999998E-172</v>
      </c>
      <c r="G3320" s="3">
        <v>1330</v>
      </c>
      <c r="H3320" s="3">
        <v>99</v>
      </c>
      <c r="I3320" s="3">
        <v>274</v>
      </c>
      <c r="J3320" s="3">
        <v>354</v>
      </c>
      <c r="K3320" s="3">
        <v>1169</v>
      </c>
      <c r="L3320" s="3">
        <v>1</v>
      </c>
      <c r="M3320" s="3">
        <v>274</v>
      </c>
    </row>
    <row r="3321" spans="1:13" x14ac:dyDescent="0.25">
      <c r="A3321" s="1" t="str">
        <f>HYPERLINK("http://www.rosaceae.org/Prunus/Prunus_persica/p.persica_gdr_reftransV1_0000569","p.persica_gdr_reftransV1_0000569")</f>
        <v>p.persica_gdr_reftransV1_0000569</v>
      </c>
      <c r="B3321" s="3">
        <v>1799</v>
      </c>
      <c r="C3321" s="1" t="str">
        <f>HYPERLINK("http://www.uniprot.org/uniprot/MPCP3_ARATH","MPCP3_ARATH")</f>
        <v>MPCP3_ARATH</v>
      </c>
      <c r="D3321" t="s">
        <v>255</v>
      </c>
      <c r="E3321" s="3" t="s">
        <v>3</v>
      </c>
      <c r="F3321" s="4">
        <v>0</v>
      </c>
      <c r="G3321" s="3">
        <v>1396</v>
      </c>
      <c r="H3321" s="3">
        <v>80</v>
      </c>
      <c r="I3321" s="3">
        <v>354</v>
      </c>
      <c r="J3321" s="3">
        <v>243</v>
      </c>
      <c r="K3321" s="3">
        <v>1268</v>
      </c>
      <c r="L3321" s="3">
        <v>5</v>
      </c>
      <c r="M3321" s="3">
        <v>353</v>
      </c>
    </row>
    <row r="3322" spans="1:13" x14ac:dyDescent="0.25">
      <c r="A3322" s="1" t="str">
        <f>HYPERLINK("http://www.rosaceae.org/Prunus/Prunus_persica/p.persica_gdr_reftransV1_0000669","p.persica_gdr_reftransV1_0000669")</f>
        <v>p.persica_gdr_reftransV1_0000669</v>
      </c>
      <c r="B3322" s="3">
        <v>2117</v>
      </c>
      <c r="C3322" s="1" t="str">
        <f>HYPERLINK("http://www.uniprot.org/uniprot/TMKL1_ARATH","TMKL1_ARATH")</f>
        <v>TMKL1_ARATH</v>
      </c>
      <c r="D3322" t="s">
        <v>3055</v>
      </c>
      <c r="E3322" s="3" t="s">
        <v>3</v>
      </c>
      <c r="F3322" s="4">
        <v>0</v>
      </c>
      <c r="G3322" s="3">
        <v>2414</v>
      </c>
      <c r="H3322" s="3">
        <v>76</v>
      </c>
      <c r="I3322" s="3">
        <v>646</v>
      </c>
      <c r="J3322" s="3">
        <v>118</v>
      </c>
      <c r="K3322" s="3">
        <v>2052</v>
      </c>
      <c r="L3322" s="3">
        <v>31</v>
      </c>
      <c r="M3322" s="3">
        <v>674</v>
      </c>
    </row>
    <row r="3323" spans="1:13" x14ac:dyDescent="0.25">
      <c r="A3323" s="1" t="str">
        <f>HYPERLINK("http://www.rosaceae.org/Prunus/Prunus_persica/p.persica_gdr_reftransV1_0000719","p.persica_gdr_reftransV1_0000719")</f>
        <v>p.persica_gdr_reftransV1_0000719</v>
      </c>
      <c r="B3323" s="3">
        <v>7674</v>
      </c>
      <c r="C3323" s="1" t="str">
        <f>HYPERLINK("http://www.uniprot.org/uniprot/MED12_ARATH","MED12_ARATH")</f>
        <v>MED12_ARATH</v>
      </c>
      <c r="D3323" t="s">
        <v>3056</v>
      </c>
      <c r="E3323" s="3" t="s">
        <v>3</v>
      </c>
      <c r="F3323" s="4">
        <v>0</v>
      </c>
      <c r="G3323" s="3">
        <v>6113</v>
      </c>
      <c r="H3323" s="3">
        <v>59</v>
      </c>
      <c r="I3323" s="3">
        <v>2305</v>
      </c>
      <c r="J3323" s="3">
        <v>414</v>
      </c>
      <c r="K3323" s="3">
        <v>7244</v>
      </c>
      <c r="L3323" s="3">
        <v>1</v>
      </c>
      <c r="M3323" s="3">
        <v>2235</v>
      </c>
    </row>
    <row r="3324" spans="1:13" x14ac:dyDescent="0.25">
      <c r="A3324" s="1" t="str">
        <f>HYPERLINK("http://www.rosaceae.org/Prunus/Prunus_persica/p.persica_gdr_reftransV1_0000769","p.persica_gdr_reftransV1_0000769")</f>
        <v>p.persica_gdr_reftransV1_0000769</v>
      </c>
      <c r="B3324" s="3">
        <v>914</v>
      </c>
      <c r="C3324" s="1" t="str">
        <f>HYPERLINK("http://www.uniprot.org/uniprot/CB60E_ARATH","CB60E_ARATH")</f>
        <v>CB60E_ARATH</v>
      </c>
      <c r="D3324" t="s">
        <v>3057</v>
      </c>
      <c r="E3324" s="3" t="s">
        <v>3</v>
      </c>
      <c r="F3324" s="4">
        <v>1.56E-90</v>
      </c>
      <c r="G3324" s="3">
        <v>736</v>
      </c>
      <c r="H3324" s="3">
        <v>74</v>
      </c>
      <c r="I3324" s="3">
        <v>191</v>
      </c>
      <c r="J3324" s="3">
        <v>1</v>
      </c>
      <c r="K3324" s="3">
        <v>570</v>
      </c>
      <c r="L3324" s="3">
        <v>55</v>
      </c>
      <c r="M3324" s="3">
        <v>245</v>
      </c>
    </row>
    <row r="3325" spans="1:13" x14ac:dyDescent="0.25">
      <c r="A3325" s="1" t="str">
        <f>HYPERLINK("http://www.rosaceae.org/Prunus/Prunus_persica/p.persica_gdr_reftransV1_0000819","p.persica_gdr_reftransV1_0000819")</f>
        <v>p.persica_gdr_reftransV1_0000819</v>
      </c>
      <c r="B3325" s="3">
        <v>1500</v>
      </c>
      <c r="C3325" s="1" t="str">
        <f>HYPERLINK("http://www.uniprot.org/uniprot/GDIR_ARATH","GDIR_ARATH")</f>
        <v>GDIR_ARATH</v>
      </c>
      <c r="D3325" t="s">
        <v>838</v>
      </c>
      <c r="E3325" s="3" t="s">
        <v>3</v>
      </c>
      <c r="F3325" s="4">
        <v>8.6400000000000005E-99</v>
      </c>
      <c r="G3325" s="3">
        <v>779</v>
      </c>
      <c r="H3325" s="3">
        <v>78</v>
      </c>
      <c r="I3325" s="3">
        <v>178</v>
      </c>
      <c r="J3325" s="3">
        <v>579</v>
      </c>
      <c r="K3325" s="3">
        <v>1112</v>
      </c>
      <c r="L3325" s="3">
        <v>60</v>
      </c>
      <c r="M3325" s="3">
        <v>237</v>
      </c>
    </row>
    <row r="3326" spans="1:13" x14ac:dyDescent="0.25">
      <c r="A3326" s="1" t="str">
        <f>HYPERLINK("http://www.rosaceae.org/Prunus/Prunus_persica/p.persica_gdr_reftransV1_0000919","p.persica_gdr_reftransV1_0000919")</f>
        <v>p.persica_gdr_reftransV1_0000919</v>
      </c>
      <c r="B3326" s="3">
        <v>646</v>
      </c>
      <c r="C3326" s="1" t="str">
        <f>HYPERLINK("http://www.uniprot.org/uniprot/RNP1_ARATH","RNP1_ARATH")</f>
        <v>RNP1_ARATH</v>
      </c>
      <c r="D3326" t="s">
        <v>2083</v>
      </c>
      <c r="E3326" s="3" t="s">
        <v>3</v>
      </c>
      <c r="F3326" s="4">
        <v>9.5700000000000007E-40</v>
      </c>
      <c r="G3326" s="3">
        <v>368</v>
      </c>
      <c r="H3326" s="3">
        <v>42</v>
      </c>
      <c r="I3326" s="3">
        <v>163</v>
      </c>
      <c r="J3326" s="3">
        <v>5</v>
      </c>
      <c r="K3326" s="3">
        <v>445</v>
      </c>
      <c r="L3326" s="3">
        <v>6</v>
      </c>
      <c r="M3326" s="3">
        <v>168</v>
      </c>
    </row>
    <row r="3327" spans="1:13" x14ac:dyDescent="0.25">
      <c r="A3327" s="1" t="str">
        <f>HYPERLINK("http://www.rosaceae.org/Prunus/Prunus_persica/p.persica_gdr_reftransV1_0000969","p.persica_gdr_reftransV1_0000969")</f>
        <v>p.persica_gdr_reftransV1_0000969</v>
      </c>
      <c r="B3327" s="3">
        <v>407</v>
      </c>
      <c r="C3327" s="1" t="str">
        <f>HYPERLINK("http://www.uniprot.org/uniprot/SCC13_ARATH","SCC13_ARATH")</f>
        <v>SCC13_ARATH</v>
      </c>
      <c r="D3327" t="s">
        <v>3058</v>
      </c>
      <c r="E3327" s="3" t="s">
        <v>3</v>
      </c>
      <c r="F3327" s="4">
        <v>1.28E-46</v>
      </c>
      <c r="G3327" s="3">
        <v>415</v>
      </c>
      <c r="H3327" s="3">
        <v>67</v>
      </c>
      <c r="I3327" s="3">
        <v>135</v>
      </c>
      <c r="J3327" s="3">
        <v>1</v>
      </c>
      <c r="K3327" s="3">
        <v>405</v>
      </c>
      <c r="L3327" s="3">
        <v>7</v>
      </c>
      <c r="M3327" s="3">
        <v>140</v>
      </c>
    </row>
    <row r="3328" spans="1:13" x14ac:dyDescent="0.25">
      <c r="A3328" s="1" t="str">
        <f>HYPERLINK("http://www.rosaceae.org/Prunus/Prunus_persica/p.persica_gdr_reftransV1_0001019","p.persica_gdr_reftransV1_0001019")</f>
        <v>p.persica_gdr_reftransV1_0001019</v>
      </c>
      <c r="B3328" s="3">
        <v>662</v>
      </c>
      <c r="C3328" s="1" t="str">
        <f>HYPERLINK("http://www.uniprot.org/uniprot/PME28_ARATH","PME28_ARATH")</f>
        <v>PME28_ARATH</v>
      </c>
      <c r="D3328" t="s">
        <v>2062</v>
      </c>
      <c r="E3328" s="3" t="s">
        <v>3</v>
      </c>
      <c r="F3328" s="4">
        <v>3.4699999999999999E-93</v>
      </c>
      <c r="G3328" s="3">
        <v>753</v>
      </c>
      <c r="H3328" s="3">
        <v>61</v>
      </c>
      <c r="I3328" s="3">
        <v>221</v>
      </c>
      <c r="J3328" s="3">
        <v>6</v>
      </c>
      <c r="K3328" s="3">
        <v>662</v>
      </c>
      <c r="L3328" s="3">
        <v>323</v>
      </c>
      <c r="M3328" s="3">
        <v>543</v>
      </c>
    </row>
    <row r="3329" spans="1:13" x14ac:dyDescent="0.25">
      <c r="A3329" s="1" t="str">
        <f>HYPERLINK("http://www.rosaceae.org/Prunus/Prunus_persica/p.persica_gdr_reftransV1_0001069","p.persica_gdr_reftransV1_0001069")</f>
        <v>p.persica_gdr_reftransV1_0001069</v>
      </c>
      <c r="B3329" s="3">
        <v>1693</v>
      </c>
      <c r="C3329" s="1" t="str">
        <f>HYPERLINK("http://www.uniprot.org/uniprot/LPA3_ARATH","LPA3_ARATH")</f>
        <v>LPA3_ARATH</v>
      </c>
      <c r="D3329" t="s">
        <v>3059</v>
      </c>
      <c r="E3329" s="3" t="s">
        <v>3</v>
      </c>
      <c r="F3329" s="4">
        <v>1.89E-159</v>
      </c>
      <c r="G3329" s="3">
        <v>1200</v>
      </c>
      <c r="H3329" s="3">
        <v>83</v>
      </c>
      <c r="I3329" s="3">
        <v>263</v>
      </c>
      <c r="J3329" s="3">
        <v>399</v>
      </c>
      <c r="K3329" s="3">
        <v>1187</v>
      </c>
      <c r="L3329" s="3">
        <v>96</v>
      </c>
      <c r="M3329" s="3">
        <v>358</v>
      </c>
    </row>
    <row r="3330" spans="1:13" x14ac:dyDescent="0.25">
      <c r="A3330" s="1" t="str">
        <f>HYPERLINK("http://www.rosaceae.org/Prunus/Prunus_persica/p.persica_gdr_reftransV1_0001169","p.persica_gdr_reftransV1_0001169")</f>
        <v>p.persica_gdr_reftransV1_0001169</v>
      </c>
      <c r="B3330" s="3">
        <v>1087</v>
      </c>
      <c r="C3330" s="1" t="str">
        <f>HYPERLINK("http://www.uniprot.org/uniprot/CML5_ARATH","CML5_ARATH")</f>
        <v>CML5_ARATH</v>
      </c>
      <c r="D3330" t="s">
        <v>3060</v>
      </c>
      <c r="E3330" s="3" t="s">
        <v>3</v>
      </c>
      <c r="F3330" s="4">
        <v>1.7E-34</v>
      </c>
      <c r="G3330" s="3">
        <v>330</v>
      </c>
      <c r="H3330" s="3">
        <v>42</v>
      </c>
      <c r="I3330" s="3">
        <v>188</v>
      </c>
      <c r="J3330" s="3">
        <v>233</v>
      </c>
      <c r="K3330" s="3">
        <v>787</v>
      </c>
      <c r="L3330" s="3">
        <v>29</v>
      </c>
      <c r="M3330" s="3">
        <v>202</v>
      </c>
    </row>
    <row r="3331" spans="1:13" x14ac:dyDescent="0.25">
      <c r="A3331" s="1" t="str">
        <f>HYPERLINK("http://www.rosaceae.org/Prunus/Prunus_persica/p.persica_gdr_reftransV1_0001219","p.persica_gdr_reftransV1_0001219")</f>
        <v>p.persica_gdr_reftransV1_0001219</v>
      </c>
      <c r="B3331" s="3">
        <v>1492</v>
      </c>
      <c r="C3331" s="1" t="str">
        <f>HYPERLINK("http://www.uniprot.org/uniprot/CHAC2_RAT","CHAC2_RAT")</f>
        <v>CHAC2_RAT</v>
      </c>
      <c r="D3331" t="s">
        <v>3061</v>
      </c>
      <c r="E3331" s="3" t="s">
        <v>161</v>
      </c>
      <c r="F3331" s="4">
        <v>1.9799999999999999E-29</v>
      </c>
      <c r="G3331" s="3">
        <v>295</v>
      </c>
      <c r="H3331" s="3">
        <v>42</v>
      </c>
      <c r="I3331" s="3">
        <v>168</v>
      </c>
      <c r="J3331" s="3">
        <v>292</v>
      </c>
      <c r="K3331" s="3">
        <v>795</v>
      </c>
      <c r="L3331" s="3">
        <v>1</v>
      </c>
      <c r="M3331" s="3">
        <v>159</v>
      </c>
    </row>
    <row r="3332" spans="1:13" x14ac:dyDescent="0.25">
      <c r="A3332" s="1" t="str">
        <f>HYPERLINK("http://www.rosaceae.org/Prunus/Prunus_persica/p.persica_gdr_reftransV1_0001319","p.persica_gdr_reftransV1_0001319")</f>
        <v>p.persica_gdr_reftransV1_0001319</v>
      </c>
      <c r="B3332" s="3">
        <v>8403</v>
      </c>
      <c r="C3332" s="1" t="str">
        <f>HYPERLINK("http://www.uniprot.org/uniprot/RDRP_ASPVP","RDRP_ASPVP")</f>
        <v>RDRP_ASPVP</v>
      </c>
      <c r="D3332" t="s">
        <v>844</v>
      </c>
      <c r="E3332" s="3" t="s">
        <v>845</v>
      </c>
      <c r="F3332" s="4">
        <v>0</v>
      </c>
      <c r="G3332" s="3">
        <v>2350</v>
      </c>
      <c r="H3332" s="3">
        <v>45</v>
      </c>
      <c r="I3332" s="3">
        <v>1130</v>
      </c>
      <c r="J3332" s="3">
        <v>2806</v>
      </c>
      <c r="K3332" s="3">
        <v>6156</v>
      </c>
      <c r="L3332" s="3">
        <v>1073</v>
      </c>
      <c r="M3332" s="3">
        <v>2178</v>
      </c>
    </row>
    <row r="3333" spans="1:13" x14ac:dyDescent="0.25">
      <c r="A3333" s="1" t="str">
        <f>HYPERLINK("http://www.rosaceae.org/Prunus/Prunus_persica/p.persica_gdr_reftransV1_0001369","p.persica_gdr_reftransV1_0001369")</f>
        <v>p.persica_gdr_reftransV1_0001369</v>
      </c>
      <c r="B3333" s="3">
        <v>1065</v>
      </c>
      <c r="C3333" s="1" t="str">
        <f>HYPERLINK("http://www.uniprot.org/uniprot/CFA20_DROME","CFA20_DROME")</f>
        <v>CFA20_DROME</v>
      </c>
      <c r="D3333" t="s">
        <v>3062</v>
      </c>
      <c r="E3333" s="3" t="s">
        <v>5</v>
      </c>
      <c r="F3333" s="4">
        <v>5.81E-119</v>
      </c>
      <c r="G3333" s="3">
        <v>895</v>
      </c>
      <c r="H3333" s="3">
        <v>83</v>
      </c>
      <c r="I3333" s="3">
        <v>189</v>
      </c>
      <c r="J3333" s="3">
        <v>310</v>
      </c>
      <c r="K3333" s="3">
        <v>876</v>
      </c>
      <c r="L3333" s="3">
        <v>1</v>
      </c>
      <c r="M3333" s="3">
        <v>189</v>
      </c>
    </row>
    <row r="3334" spans="1:13" x14ac:dyDescent="0.25">
      <c r="A3334" s="1" t="str">
        <f>HYPERLINK("http://www.rosaceae.org/Prunus/Prunus_persica/p.persica_gdr_reftransV1_0001419","p.persica_gdr_reftransV1_0001419")</f>
        <v>p.persica_gdr_reftransV1_0001419</v>
      </c>
      <c r="B3334" s="3">
        <v>1657</v>
      </c>
      <c r="C3334" s="1" t="str">
        <f>HYPERLINK("http://www.uniprot.org/uniprot/MPK7_ARATH","MPK7_ARATH")</f>
        <v>MPK7_ARATH</v>
      </c>
      <c r="D3334" t="s">
        <v>3063</v>
      </c>
      <c r="E3334" s="3" t="s">
        <v>3</v>
      </c>
      <c r="F3334" s="4">
        <v>0</v>
      </c>
      <c r="G3334" s="3">
        <v>1760</v>
      </c>
      <c r="H3334" s="3">
        <v>87</v>
      </c>
      <c r="I3334" s="3">
        <v>368</v>
      </c>
      <c r="J3334" s="3">
        <v>293</v>
      </c>
      <c r="K3334" s="3">
        <v>1396</v>
      </c>
      <c r="L3334" s="3">
        <v>1</v>
      </c>
      <c r="M3334" s="3">
        <v>368</v>
      </c>
    </row>
    <row r="3335" spans="1:13" x14ac:dyDescent="0.25">
      <c r="A3335" s="1" t="str">
        <f>HYPERLINK("http://www.rosaceae.org/Prunus/Prunus_persica/p.persica_gdr_reftransV1_0001519","p.persica_gdr_reftransV1_0001519")</f>
        <v>p.persica_gdr_reftransV1_0001519</v>
      </c>
      <c r="B3335" s="3">
        <v>391</v>
      </c>
      <c r="C3335" s="1" t="str">
        <f>HYPERLINK("http://www.uniprot.org/uniprot/HSP7C_PETHY","HSP7C_PETHY")</f>
        <v>HSP7C_PETHY</v>
      </c>
      <c r="D3335" t="s">
        <v>804</v>
      </c>
      <c r="E3335" s="3" t="s">
        <v>509</v>
      </c>
      <c r="F3335" s="4">
        <v>1.8299999999999999E-77</v>
      </c>
      <c r="G3335" s="3">
        <v>631</v>
      </c>
      <c r="H3335" s="3">
        <v>91</v>
      </c>
      <c r="I3335" s="3">
        <v>129</v>
      </c>
      <c r="J3335" s="3">
        <v>3</v>
      </c>
      <c r="K3335" s="3">
        <v>389</v>
      </c>
      <c r="L3335" s="3">
        <v>53</v>
      </c>
      <c r="M3335" s="3">
        <v>181</v>
      </c>
    </row>
    <row r="3336" spans="1:13" x14ac:dyDescent="0.25">
      <c r="A3336" s="1" t="str">
        <f>HYPERLINK("http://www.rosaceae.org/Prunus/Prunus_persica/p.persica_gdr_reftransV1_0001619","p.persica_gdr_reftransV1_0001619")</f>
        <v>p.persica_gdr_reftransV1_0001619</v>
      </c>
      <c r="B3336" s="3">
        <v>1548</v>
      </c>
      <c r="C3336" s="1" t="str">
        <f>HYPERLINK("http://www.uniprot.org/uniprot/MTK2_ORYSJ","MTK2_ORYSJ")</f>
        <v>MTK2_ORYSJ</v>
      </c>
      <c r="D3336" t="s">
        <v>3064</v>
      </c>
      <c r="E3336" s="3" t="s">
        <v>38</v>
      </c>
      <c r="F3336" s="4">
        <v>0</v>
      </c>
      <c r="G3336" s="3">
        <v>1524</v>
      </c>
      <c r="H3336" s="3">
        <v>72</v>
      </c>
      <c r="I3336" s="3">
        <v>399</v>
      </c>
      <c r="J3336" s="3">
        <v>279</v>
      </c>
      <c r="K3336" s="3">
        <v>1475</v>
      </c>
      <c r="L3336" s="3">
        <v>24</v>
      </c>
      <c r="M3336" s="3">
        <v>422</v>
      </c>
    </row>
    <row r="3337" spans="1:13" x14ac:dyDescent="0.25">
      <c r="A3337" s="1" t="str">
        <f>HYPERLINK("http://www.rosaceae.org/Prunus/Prunus_persica/p.persica_gdr_reftransV1_0001669","p.persica_gdr_reftransV1_0001669")</f>
        <v>p.persica_gdr_reftransV1_0001669</v>
      </c>
      <c r="B3337" s="3">
        <v>2695</v>
      </c>
      <c r="C3337" s="1" t="str">
        <f>HYPERLINK("http://www.uniprot.org/uniprot/Y1661_ARATH","Y1661_ARATH")</f>
        <v>Y1661_ARATH</v>
      </c>
      <c r="D3337" t="s">
        <v>3065</v>
      </c>
      <c r="E3337" s="3" t="s">
        <v>3</v>
      </c>
      <c r="F3337" s="4">
        <v>4.9799999999999999E-162</v>
      </c>
      <c r="G3337" s="3">
        <v>1166</v>
      </c>
      <c r="H3337" s="3">
        <v>45</v>
      </c>
      <c r="I3337" s="3">
        <v>611</v>
      </c>
      <c r="J3337" s="3">
        <v>150</v>
      </c>
      <c r="K3337" s="3">
        <v>1934</v>
      </c>
      <c r="L3337" s="3">
        <v>250</v>
      </c>
      <c r="M3337" s="3">
        <v>842</v>
      </c>
    </row>
    <row r="3338" spans="1:13" x14ac:dyDescent="0.25">
      <c r="A3338" s="1" t="str">
        <f>HYPERLINK("http://www.rosaceae.org/Prunus/Prunus_persica/p.persica_gdr_reftransV1_0001719","p.persica_gdr_reftransV1_0001719")</f>
        <v>p.persica_gdr_reftransV1_0001719</v>
      </c>
      <c r="B3338" s="3">
        <v>418</v>
      </c>
      <c r="C3338" s="1" t="str">
        <f>HYPERLINK("http://www.uniprot.org/uniprot/ECM33_YEAS6","ECM33_YEAS6")</f>
        <v>ECM33_YEAS6</v>
      </c>
      <c r="D3338" t="s">
        <v>3066</v>
      </c>
      <c r="E3338" s="3" t="s">
        <v>34</v>
      </c>
      <c r="F3338" s="4">
        <v>6.7200000000000003E-15</v>
      </c>
      <c r="G3338" s="3">
        <v>182</v>
      </c>
      <c r="H3338" s="3">
        <v>35</v>
      </c>
      <c r="I3338" s="3">
        <v>138</v>
      </c>
      <c r="J3338" s="3">
        <v>2</v>
      </c>
      <c r="K3338" s="3">
        <v>415</v>
      </c>
      <c r="L3338" s="3">
        <v>168</v>
      </c>
      <c r="M3338" s="3">
        <v>303</v>
      </c>
    </row>
    <row r="3339" spans="1:13" x14ac:dyDescent="0.25">
      <c r="A3339" s="1" t="str">
        <f>HYPERLINK("http://www.rosaceae.org/Prunus/Prunus_persica/p.persica_gdr_reftransV1_0001769","p.persica_gdr_reftransV1_0001769")</f>
        <v>p.persica_gdr_reftransV1_0001769</v>
      </c>
      <c r="B3339" s="3">
        <v>1440</v>
      </c>
      <c r="C3339" s="1" t="str">
        <f>HYPERLINK("http://www.uniprot.org/uniprot/PK1IP_DANRE","PK1IP_DANRE")</f>
        <v>PK1IP_DANRE</v>
      </c>
      <c r="D3339" t="s">
        <v>1260</v>
      </c>
      <c r="E3339" s="3" t="s">
        <v>704</v>
      </c>
      <c r="F3339" s="4">
        <v>6.1300000000000004E-50</v>
      </c>
      <c r="G3339" s="3">
        <v>456</v>
      </c>
      <c r="H3339" s="3">
        <v>32</v>
      </c>
      <c r="I3339" s="3">
        <v>312</v>
      </c>
      <c r="J3339" s="3">
        <v>79</v>
      </c>
      <c r="K3339" s="3">
        <v>1014</v>
      </c>
      <c r="L3339" s="3">
        <v>12</v>
      </c>
      <c r="M3339" s="3">
        <v>304</v>
      </c>
    </row>
    <row r="3340" spans="1:13" x14ac:dyDescent="0.25">
      <c r="A3340" s="1" t="str">
        <f>HYPERLINK("http://www.rosaceae.org/Prunus/Prunus_persica/p.persica_gdr_reftransV1_0001869","p.persica_gdr_reftransV1_0001869")</f>
        <v>p.persica_gdr_reftransV1_0001869</v>
      </c>
      <c r="B3340" s="3">
        <v>2857</v>
      </c>
      <c r="C3340" s="1" t="str">
        <f>HYPERLINK("http://www.uniprot.org/uniprot/AKH1_ARATH","AKH1_ARATH")</f>
        <v>AKH1_ARATH</v>
      </c>
      <c r="D3340" t="s">
        <v>3067</v>
      </c>
      <c r="E3340" s="3" t="s">
        <v>3</v>
      </c>
      <c r="F3340" s="4">
        <v>0</v>
      </c>
      <c r="G3340" s="3">
        <v>3697</v>
      </c>
      <c r="H3340" s="3">
        <v>81</v>
      </c>
      <c r="I3340" s="3">
        <v>846</v>
      </c>
      <c r="J3340" s="3">
        <v>319</v>
      </c>
      <c r="K3340" s="3">
        <v>2856</v>
      </c>
      <c r="L3340" s="3">
        <v>66</v>
      </c>
      <c r="M3340" s="3">
        <v>911</v>
      </c>
    </row>
    <row r="3341" spans="1:13" x14ac:dyDescent="0.25">
      <c r="A3341" s="1" t="str">
        <f>HYPERLINK("http://www.rosaceae.org/Prunus/Prunus_persica/p.persica_gdr_reftransV1_0001969","p.persica_gdr_reftransV1_0001969")</f>
        <v>p.persica_gdr_reftransV1_0001969</v>
      </c>
      <c r="B3341" s="3">
        <v>1485</v>
      </c>
      <c r="C3341" s="1" t="str">
        <f>HYPERLINK("http://www.uniprot.org/uniprot/LEGB4_VICFA","LEGB4_VICFA")</f>
        <v>LEGB4_VICFA</v>
      </c>
      <c r="D3341" t="s">
        <v>3068</v>
      </c>
      <c r="E3341" s="3" t="s">
        <v>2253</v>
      </c>
      <c r="F3341" s="4">
        <v>3.1499999999999999E-68</v>
      </c>
      <c r="G3341" s="3">
        <v>593</v>
      </c>
      <c r="H3341" s="3">
        <v>47</v>
      </c>
      <c r="I3341" s="3">
        <v>286</v>
      </c>
      <c r="J3341" s="3">
        <v>1</v>
      </c>
      <c r="K3341" s="3">
        <v>837</v>
      </c>
      <c r="L3341" s="3">
        <v>131</v>
      </c>
      <c r="M3341" s="3">
        <v>402</v>
      </c>
    </row>
    <row r="3342" spans="1:13" x14ac:dyDescent="0.25">
      <c r="A3342" s="1" t="str">
        <f>HYPERLINK("http://www.rosaceae.org/Prunus/Prunus_persica/p.persica_gdr_reftransV1_0002169","p.persica_gdr_reftransV1_0002169")</f>
        <v>p.persica_gdr_reftransV1_0002169</v>
      </c>
      <c r="B3342" s="3">
        <v>517</v>
      </c>
      <c r="C3342" s="1" t="str">
        <f>HYPERLINK("http://www.uniprot.org/uniprot/DNA2_CHICK","DNA2_CHICK")</f>
        <v>DNA2_CHICK</v>
      </c>
      <c r="D3342" t="s">
        <v>3069</v>
      </c>
      <c r="E3342" s="3" t="s">
        <v>1278</v>
      </c>
      <c r="F3342" s="4">
        <v>1.44E-16</v>
      </c>
      <c r="G3342" s="3">
        <v>200</v>
      </c>
      <c r="H3342" s="3">
        <v>30</v>
      </c>
      <c r="I3342" s="3">
        <v>152</v>
      </c>
      <c r="J3342" s="3">
        <v>60</v>
      </c>
      <c r="K3342" s="3">
        <v>509</v>
      </c>
      <c r="L3342" s="3">
        <v>41</v>
      </c>
      <c r="M3342" s="3">
        <v>191</v>
      </c>
    </row>
    <row r="3343" spans="1:13" x14ac:dyDescent="0.25">
      <c r="A3343" s="1" t="str">
        <f>HYPERLINK("http://www.rosaceae.org/Prunus/Prunus_persica/p.persica_gdr_reftransV1_0002219","p.persica_gdr_reftransV1_0002219")</f>
        <v>p.persica_gdr_reftransV1_0002219</v>
      </c>
      <c r="B3343" s="3">
        <v>1637</v>
      </c>
      <c r="C3343" s="1" t="str">
        <f>HYPERLINK("http://www.uniprot.org/uniprot/FLA8_ARATH","FLA8_ARATH")</f>
        <v>FLA8_ARATH</v>
      </c>
      <c r="D3343" t="s">
        <v>3070</v>
      </c>
      <c r="E3343" s="3" t="s">
        <v>3</v>
      </c>
      <c r="F3343" s="4">
        <v>8.7599999999999997E-174</v>
      </c>
      <c r="G3343" s="3">
        <v>1299</v>
      </c>
      <c r="H3343" s="3">
        <v>80</v>
      </c>
      <c r="I3343" s="3">
        <v>309</v>
      </c>
      <c r="J3343" s="3">
        <v>342</v>
      </c>
      <c r="K3343" s="3">
        <v>1268</v>
      </c>
      <c r="L3343" s="3">
        <v>26</v>
      </c>
      <c r="M3343" s="3">
        <v>334</v>
      </c>
    </row>
    <row r="3344" spans="1:13" x14ac:dyDescent="0.25">
      <c r="A3344" s="1" t="str">
        <f>HYPERLINK("http://www.rosaceae.org/Prunus/Prunus_persica/p.persica_gdr_reftransV1_0002269","p.persica_gdr_reftransV1_0002269")</f>
        <v>p.persica_gdr_reftransV1_0002269</v>
      </c>
      <c r="B3344" s="3">
        <v>429</v>
      </c>
      <c r="C3344" s="1" t="str">
        <f>HYPERLINK("http://www.uniprot.org/uniprot/RL10_YEAST","RL10_YEAST")</f>
        <v>RL10_YEAST</v>
      </c>
      <c r="D3344" t="s">
        <v>3071</v>
      </c>
      <c r="E3344" s="3" t="s">
        <v>34</v>
      </c>
      <c r="F3344" s="4">
        <v>4.0600000000000003E-45</v>
      </c>
      <c r="G3344" s="3">
        <v>385</v>
      </c>
      <c r="H3344" s="3">
        <v>65</v>
      </c>
      <c r="I3344" s="3">
        <v>108</v>
      </c>
      <c r="J3344" s="3">
        <v>4</v>
      </c>
      <c r="K3344" s="3">
        <v>327</v>
      </c>
      <c r="L3344" s="3">
        <v>114</v>
      </c>
      <c r="M3344" s="3">
        <v>221</v>
      </c>
    </row>
    <row r="3345" spans="1:13" x14ac:dyDescent="0.25">
      <c r="A3345" s="1" t="str">
        <f>HYPERLINK("http://www.rosaceae.org/Prunus/Prunus_persica/p.persica_gdr_reftransV1_0002369","p.persica_gdr_reftransV1_0002369")</f>
        <v>p.persica_gdr_reftransV1_0002369</v>
      </c>
      <c r="B3345" s="3">
        <v>2235</v>
      </c>
      <c r="C3345" s="1" t="str">
        <f>HYPERLINK("http://www.uniprot.org/uniprot/AB7G_ARATH","AB7G_ARATH")</f>
        <v>AB7G_ARATH</v>
      </c>
      <c r="D3345" t="s">
        <v>3072</v>
      </c>
      <c r="E3345" s="3" t="s">
        <v>3</v>
      </c>
      <c r="F3345" s="4">
        <v>0</v>
      </c>
      <c r="G3345" s="3">
        <v>1679</v>
      </c>
      <c r="H3345" s="3">
        <v>82</v>
      </c>
      <c r="I3345" s="3">
        <v>386</v>
      </c>
      <c r="J3345" s="3">
        <v>935</v>
      </c>
      <c r="K3345" s="3">
        <v>2092</v>
      </c>
      <c r="L3345" s="3">
        <v>67</v>
      </c>
      <c r="M3345" s="3">
        <v>452</v>
      </c>
    </row>
    <row r="3346" spans="1:13" x14ac:dyDescent="0.25">
      <c r="A3346" s="1" t="str">
        <f>HYPERLINK("http://www.rosaceae.org/Prunus/Prunus_persica/p.persica_gdr_reftransV1_0002469","p.persica_gdr_reftransV1_0002469")</f>
        <v>p.persica_gdr_reftransV1_0002469</v>
      </c>
      <c r="B3346" s="3">
        <v>3757</v>
      </c>
      <c r="C3346" s="1" t="str">
        <f>HYPERLINK("http://www.uniprot.org/uniprot/BGAL_VIBC3","BGAL_VIBC3")</f>
        <v>BGAL_VIBC3</v>
      </c>
      <c r="D3346" t="s">
        <v>1002</v>
      </c>
      <c r="E3346" s="3" t="s">
        <v>1003</v>
      </c>
      <c r="F3346" s="4">
        <v>0</v>
      </c>
      <c r="G3346" s="3">
        <v>1841</v>
      </c>
      <c r="H3346" s="3">
        <v>41</v>
      </c>
      <c r="I3346" s="3">
        <v>1024</v>
      </c>
      <c r="J3346" s="3">
        <v>423</v>
      </c>
      <c r="K3346" s="3">
        <v>3434</v>
      </c>
      <c r="L3346" s="3">
        <v>48</v>
      </c>
      <c r="M3346" s="3">
        <v>1016</v>
      </c>
    </row>
    <row r="3347" spans="1:13" x14ac:dyDescent="0.25">
      <c r="A3347" s="1" t="str">
        <f>HYPERLINK("http://www.rosaceae.org/Prunus/Prunus_persica/p.persica_gdr_reftransV1_0002569","p.persica_gdr_reftransV1_0002569")</f>
        <v>p.persica_gdr_reftransV1_0002569</v>
      </c>
      <c r="B3347" s="3">
        <v>1543</v>
      </c>
      <c r="C3347" s="1" t="str">
        <f>HYPERLINK("http://www.uniprot.org/uniprot/KRI1_SCHPO","KRI1_SCHPO")</f>
        <v>KRI1_SCHPO</v>
      </c>
      <c r="D3347" t="s">
        <v>3073</v>
      </c>
      <c r="E3347" s="3" t="s">
        <v>464</v>
      </c>
      <c r="F3347" s="4">
        <v>6.0399999999999995E-13</v>
      </c>
      <c r="G3347" s="3">
        <v>183</v>
      </c>
      <c r="H3347" s="3">
        <v>31</v>
      </c>
      <c r="I3347" s="3">
        <v>400</v>
      </c>
      <c r="J3347" s="3">
        <v>289</v>
      </c>
      <c r="K3347" s="3">
        <v>1335</v>
      </c>
      <c r="L3347" s="3">
        <v>59</v>
      </c>
      <c r="M3347" s="3">
        <v>441</v>
      </c>
    </row>
    <row r="3348" spans="1:13" x14ac:dyDescent="0.25">
      <c r="A3348" s="1" t="str">
        <f>HYPERLINK("http://www.rosaceae.org/Prunus/Prunus_persica/p.persica_gdr_reftransV1_0002619","p.persica_gdr_reftransV1_0002619")</f>
        <v>p.persica_gdr_reftransV1_0002619</v>
      </c>
      <c r="B3348" s="3">
        <v>916</v>
      </c>
      <c r="C3348" s="1" t="str">
        <f>HYPERLINK("http://www.uniprot.org/uniprot/PR1_ARATH","PR1_ARATH")</f>
        <v>PR1_ARATH</v>
      </c>
      <c r="D3348" t="s">
        <v>3074</v>
      </c>
      <c r="E3348" s="3" t="s">
        <v>3</v>
      </c>
      <c r="F3348" s="4">
        <v>7.0900000000000005E-69</v>
      </c>
      <c r="G3348" s="3">
        <v>554</v>
      </c>
      <c r="H3348" s="3">
        <v>64</v>
      </c>
      <c r="I3348" s="3">
        <v>160</v>
      </c>
      <c r="J3348" s="3">
        <v>51</v>
      </c>
      <c r="K3348" s="3">
        <v>530</v>
      </c>
      <c r="L3348" s="3">
        <v>5</v>
      </c>
      <c r="M3348" s="3">
        <v>161</v>
      </c>
    </row>
    <row r="3349" spans="1:13" x14ac:dyDescent="0.25">
      <c r="A3349" s="1" t="str">
        <f>HYPERLINK("http://www.rosaceae.org/Prunus/Prunus_persica/p.persica_gdr_reftransV1_0002669","p.persica_gdr_reftransV1_0002669")</f>
        <v>p.persica_gdr_reftransV1_0002669</v>
      </c>
      <c r="B3349" s="3">
        <v>1637</v>
      </c>
      <c r="C3349" s="1" t="str">
        <f>HYPERLINK("http://www.uniprot.org/uniprot/Y1839_ARATH","Y1839_ARATH")</f>
        <v>Y1839_ARATH</v>
      </c>
      <c r="D3349" t="s">
        <v>3075</v>
      </c>
      <c r="E3349" s="3" t="s">
        <v>3</v>
      </c>
      <c r="F3349" s="4">
        <v>2.64E-60</v>
      </c>
      <c r="G3349" s="3">
        <v>550</v>
      </c>
      <c r="H3349" s="3">
        <v>33</v>
      </c>
      <c r="I3349" s="3">
        <v>507</v>
      </c>
      <c r="J3349" s="3">
        <v>2</v>
      </c>
      <c r="K3349" s="3">
        <v>1390</v>
      </c>
      <c r="L3349" s="3">
        <v>59</v>
      </c>
      <c r="M3349" s="3">
        <v>516</v>
      </c>
    </row>
    <row r="3350" spans="1:13" x14ac:dyDescent="0.25">
      <c r="A3350" s="1" t="str">
        <f>HYPERLINK("http://www.rosaceae.org/Prunus/Prunus_persica/p.persica_gdr_reftransV1_0002719","p.persica_gdr_reftransV1_0002719")</f>
        <v>p.persica_gdr_reftransV1_0002719</v>
      </c>
      <c r="B3350" s="3">
        <v>1609</v>
      </c>
      <c r="C3350" s="1" t="str">
        <f>HYPERLINK("http://www.uniprot.org/uniprot/NPC3_ARATH","NPC3_ARATH")</f>
        <v>NPC3_ARATH</v>
      </c>
      <c r="D3350" t="s">
        <v>2487</v>
      </c>
      <c r="E3350" s="3" t="s">
        <v>3</v>
      </c>
      <c r="F3350" s="4">
        <v>0</v>
      </c>
      <c r="G3350" s="3">
        <v>1015</v>
      </c>
      <c r="H3350" s="3">
        <v>65</v>
      </c>
      <c r="I3350" s="3">
        <v>309</v>
      </c>
      <c r="J3350" s="3">
        <v>94</v>
      </c>
      <c r="K3350" s="3">
        <v>1008</v>
      </c>
      <c r="L3350" s="3">
        <v>215</v>
      </c>
      <c r="M3350" s="3">
        <v>523</v>
      </c>
    </row>
    <row r="3351" spans="1:13" x14ac:dyDescent="0.25">
      <c r="A3351" s="1" t="str">
        <f>HYPERLINK("http://www.rosaceae.org/Prunus/Prunus_persica/p.persica_gdr_reftransV1_0002869","p.persica_gdr_reftransV1_0002869")</f>
        <v>p.persica_gdr_reftransV1_0002869</v>
      </c>
      <c r="B3351" s="3">
        <v>1034</v>
      </c>
      <c r="C3351" s="1" t="str">
        <f>HYPERLINK("http://www.uniprot.org/uniprot/NAT7_ARATH","NAT7_ARATH")</f>
        <v>NAT7_ARATH</v>
      </c>
      <c r="D3351" t="s">
        <v>3076</v>
      </c>
      <c r="E3351" s="3" t="s">
        <v>3</v>
      </c>
      <c r="F3351" s="4">
        <v>7.0599999999999996E-162</v>
      </c>
      <c r="G3351" s="3">
        <v>1211</v>
      </c>
      <c r="H3351" s="3">
        <v>80</v>
      </c>
      <c r="I3351" s="3">
        <v>276</v>
      </c>
      <c r="J3351" s="3">
        <v>1</v>
      </c>
      <c r="K3351" s="3">
        <v>828</v>
      </c>
      <c r="L3351" s="3">
        <v>12</v>
      </c>
      <c r="M3351" s="3">
        <v>287</v>
      </c>
    </row>
    <row r="3352" spans="1:13" x14ac:dyDescent="0.25">
      <c r="A3352" s="1" t="str">
        <f>HYPERLINK("http://www.rosaceae.org/Prunus/Prunus_persica/p.persica_gdr_reftransV1_0002919","p.persica_gdr_reftransV1_0002919")</f>
        <v>p.persica_gdr_reftransV1_0002919</v>
      </c>
      <c r="B3352" s="3">
        <v>2509</v>
      </c>
      <c r="C3352" s="1" t="str">
        <f>HYPERLINK("http://www.uniprot.org/uniprot/PMTI_ARATH","PMTI_ARATH")</f>
        <v>PMTI_ARATH</v>
      </c>
      <c r="D3352" t="s">
        <v>3077</v>
      </c>
      <c r="E3352" s="3" t="s">
        <v>3</v>
      </c>
      <c r="F3352" s="4">
        <v>0</v>
      </c>
      <c r="G3352" s="3">
        <v>2444</v>
      </c>
      <c r="H3352" s="3">
        <v>70</v>
      </c>
      <c r="I3352" s="3">
        <v>629</v>
      </c>
      <c r="J3352" s="3">
        <v>109</v>
      </c>
      <c r="K3352" s="3">
        <v>1965</v>
      </c>
      <c r="L3352" s="3">
        <v>8</v>
      </c>
      <c r="M3352" s="3">
        <v>636</v>
      </c>
    </row>
    <row r="3353" spans="1:13" x14ac:dyDescent="0.25">
      <c r="A3353" s="1" t="str">
        <f>HYPERLINK("http://www.rosaceae.org/Prunus/Prunus_persica/p.persica_gdr_reftransV1_0003019","p.persica_gdr_reftransV1_0003019")</f>
        <v>p.persica_gdr_reftransV1_0003019</v>
      </c>
      <c r="B3353" s="3">
        <v>738</v>
      </c>
      <c r="C3353" s="1" t="str">
        <f>HYPERLINK("http://www.uniprot.org/uniprot/NAC74_ORYSJ","NAC74_ORYSJ")</f>
        <v>NAC74_ORYSJ</v>
      </c>
      <c r="D3353" t="s">
        <v>3078</v>
      </c>
      <c r="E3353" s="3" t="s">
        <v>38</v>
      </c>
      <c r="F3353" s="4">
        <v>6.2100000000000003E-15</v>
      </c>
      <c r="G3353" s="3">
        <v>189</v>
      </c>
      <c r="H3353" s="3">
        <v>40</v>
      </c>
      <c r="I3353" s="3">
        <v>128</v>
      </c>
      <c r="J3353" s="3">
        <v>356</v>
      </c>
      <c r="K3353" s="3">
        <v>736</v>
      </c>
      <c r="L3353" s="3">
        <v>15</v>
      </c>
      <c r="M3353" s="3">
        <v>136</v>
      </c>
    </row>
    <row r="3354" spans="1:13" x14ac:dyDescent="0.25">
      <c r="A3354" s="1" t="str">
        <f>HYPERLINK("http://www.rosaceae.org/Prunus/Prunus_persica/p.persica_gdr_reftransV1_0003169","p.persica_gdr_reftransV1_0003169")</f>
        <v>p.persica_gdr_reftransV1_0003169</v>
      </c>
      <c r="B3354" s="3">
        <v>897</v>
      </c>
      <c r="C3354" s="1" t="str">
        <f>HYPERLINK("http://www.uniprot.org/uniprot/LACS6_ARATH","LACS6_ARATH")</f>
        <v>LACS6_ARATH</v>
      </c>
      <c r="D3354" t="s">
        <v>3079</v>
      </c>
      <c r="E3354" s="3" t="s">
        <v>3</v>
      </c>
      <c r="F3354" s="4">
        <v>2.5199999999999998E-176</v>
      </c>
      <c r="G3354" s="3">
        <v>1316</v>
      </c>
      <c r="H3354" s="3">
        <v>80</v>
      </c>
      <c r="I3354" s="3">
        <v>287</v>
      </c>
      <c r="J3354" s="3">
        <v>37</v>
      </c>
      <c r="K3354" s="3">
        <v>897</v>
      </c>
      <c r="L3354" s="3">
        <v>304</v>
      </c>
      <c r="M3354" s="3">
        <v>590</v>
      </c>
    </row>
    <row r="3355" spans="1:13" x14ac:dyDescent="0.25">
      <c r="A3355" s="1" t="str">
        <f>HYPERLINK("http://www.rosaceae.org/Prunus/Prunus_persica/p.persica_gdr_reftransV1_0003369","p.persica_gdr_reftransV1_0003369")</f>
        <v>p.persica_gdr_reftransV1_0003369</v>
      </c>
      <c r="B3355" s="3">
        <v>785</v>
      </c>
      <c r="C3355" s="1" t="str">
        <f>HYPERLINK("http://www.uniprot.org/uniprot/TIM16_NEUCR","TIM16_NEUCR")</f>
        <v>TIM16_NEUCR</v>
      </c>
      <c r="D3355" t="s">
        <v>3080</v>
      </c>
      <c r="E3355" s="3" t="s">
        <v>435</v>
      </c>
      <c r="F3355" s="4">
        <v>4.1200000000000002E-12</v>
      </c>
      <c r="G3355" s="3">
        <v>159</v>
      </c>
      <c r="H3355" s="3">
        <v>43</v>
      </c>
      <c r="I3355" s="3">
        <v>116</v>
      </c>
      <c r="J3355" s="3">
        <v>262</v>
      </c>
      <c r="K3355" s="3">
        <v>570</v>
      </c>
      <c r="L3355" s="3">
        <v>1</v>
      </c>
      <c r="M3355" s="3">
        <v>113</v>
      </c>
    </row>
    <row r="3356" spans="1:13" x14ac:dyDescent="0.25">
      <c r="A3356" s="1" t="str">
        <f>HYPERLINK("http://www.rosaceae.org/Prunus/Prunus_persica/p.persica_gdr_reftransV1_0003419","p.persica_gdr_reftransV1_0003419")</f>
        <v>p.persica_gdr_reftransV1_0003419</v>
      </c>
      <c r="B3356" s="3">
        <v>328</v>
      </c>
      <c r="C3356" s="1" t="str">
        <f>HYPERLINK("http://www.uniprot.org/uniprot/E13B_VITVI","E13B_VITVI")</f>
        <v>E13B_VITVI</v>
      </c>
      <c r="D3356" t="s">
        <v>3081</v>
      </c>
      <c r="E3356" s="3" t="s">
        <v>362</v>
      </c>
      <c r="F3356" s="4">
        <v>1.9400000000000001E-22</v>
      </c>
      <c r="G3356" s="3">
        <v>231</v>
      </c>
      <c r="H3356" s="3">
        <v>47</v>
      </c>
      <c r="I3356" s="3">
        <v>107</v>
      </c>
      <c r="J3356" s="3">
        <v>23</v>
      </c>
      <c r="K3356" s="3">
        <v>328</v>
      </c>
      <c r="L3356" s="3">
        <v>112</v>
      </c>
      <c r="M3356" s="3">
        <v>218</v>
      </c>
    </row>
    <row r="3357" spans="1:13" x14ac:dyDescent="0.25">
      <c r="A3357" s="1" t="str">
        <f>HYPERLINK("http://www.rosaceae.org/Prunus/Prunus_persica/p.persica_gdr_reftransV1_0003569","p.persica_gdr_reftransV1_0003569")</f>
        <v>p.persica_gdr_reftransV1_0003569</v>
      </c>
      <c r="B3357" s="3">
        <v>1657</v>
      </c>
      <c r="C3357" s="1" t="str">
        <f>HYPERLINK("http://www.uniprot.org/uniprot/PTPA1_DICDI","PTPA1_DICDI")</f>
        <v>PTPA1_DICDI</v>
      </c>
      <c r="D3357" t="s">
        <v>3082</v>
      </c>
      <c r="E3357" s="3" t="s">
        <v>9</v>
      </c>
      <c r="F3357" s="4">
        <v>2.0299999999999998E-93</v>
      </c>
      <c r="G3357" s="3">
        <v>755</v>
      </c>
      <c r="H3357" s="3">
        <v>47</v>
      </c>
      <c r="I3357" s="3">
        <v>296</v>
      </c>
      <c r="J3357" s="3">
        <v>314</v>
      </c>
      <c r="K3357" s="3">
        <v>1198</v>
      </c>
      <c r="L3357" s="3">
        <v>28</v>
      </c>
      <c r="M3357" s="3">
        <v>323</v>
      </c>
    </row>
    <row r="3358" spans="1:13" x14ac:dyDescent="0.25">
      <c r="A3358" s="1" t="str">
        <f>HYPERLINK("http://www.rosaceae.org/Prunus/Prunus_persica/p.persica_gdr_reftransV1_0003619","p.persica_gdr_reftransV1_0003619")</f>
        <v>p.persica_gdr_reftransV1_0003619</v>
      </c>
      <c r="B3358" s="3">
        <v>1576</v>
      </c>
      <c r="C3358" s="1" t="str">
        <f>HYPERLINK("http://www.uniprot.org/uniprot/ZNRF3_MOUSE","ZNRF3_MOUSE")</f>
        <v>ZNRF3_MOUSE</v>
      </c>
      <c r="D3358" t="s">
        <v>3083</v>
      </c>
      <c r="E3358" s="3" t="s">
        <v>157</v>
      </c>
      <c r="F3358" s="4">
        <v>2.85E-10</v>
      </c>
      <c r="G3358" s="3">
        <v>162</v>
      </c>
      <c r="H3358" s="3">
        <v>46</v>
      </c>
      <c r="I3358" s="3">
        <v>57</v>
      </c>
      <c r="J3358" s="3">
        <v>280</v>
      </c>
      <c r="K3358" s="3">
        <v>450</v>
      </c>
      <c r="L3358" s="3">
        <v>279</v>
      </c>
      <c r="M3358" s="3">
        <v>335</v>
      </c>
    </row>
    <row r="3359" spans="1:13" x14ac:dyDescent="0.25">
      <c r="A3359" s="1" t="str">
        <f>HYPERLINK("http://www.rosaceae.org/Prunus/Prunus_persica/p.persica_gdr_reftransV1_0003669","p.persica_gdr_reftransV1_0003669")</f>
        <v>p.persica_gdr_reftransV1_0003669</v>
      </c>
      <c r="B3359" s="3">
        <v>439</v>
      </c>
      <c r="C3359" s="1" t="str">
        <f>HYPERLINK("http://www.uniprot.org/uniprot/WTR32_ARATH","WTR32_ARATH")</f>
        <v>WTR32_ARATH</v>
      </c>
      <c r="D3359" t="s">
        <v>3084</v>
      </c>
      <c r="E3359" s="3" t="s">
        <v>3</v>
      </c>
      <c r="F3359" s="4">
        <v>8.7899999999999994E-42</v>
      </c>
      <c r="G3359" s="3">
        <v>373</v>
      </c>
      <c r="H3359" s="3">
        <v>68</v>
      </c>
      <c r="I3359" s="3">
        <v>106</v>
      </c>
      <c r="J3359" s="3">
        <v>121</v>
      </c>
      <c r="K3359" s="3">
        <v>438</v>
      </c>
      <c r="L3359" s="3">
        <v>8</v>
      </c>
      <c r="M3359" s="3">
        <v>113</v>
      </c>
    </row>
    <row r="3360" spans="1:13" x14ac:dyDescent="0.25">
      <c r="A3360" s="1" t="str">
        <f>HYPERLINK("http://www.rosaceae.org/Prunus/Prunus_persica/p.persica_gdr_reftransV1_0003769","p.persica_gdr_reftransV1_0003769")</f>
        <v>p.persica_gdr_reftransV1_0003769</v>
      </c>
      <c r="B3360" s="3">
        <v>2925</v>
      </c>
      <c r="C3360" s="1" t="str">
        <f>HYPERLINK("http://www.uniprot.org/uniprot/RPOC1_MORIN","RPOC1_MORIN")</f>
        <v>RPOC1_MORIN</v>
      </c>
      <c r="D3360" t="s">
        <v>3085</v>
      </c>
      <c r="E3360" s="3" t="s">
        <v>69</v>
      </c>
      <c r="F3360" s="4">
        <v>0</v>
      </c>
      <c r="G3360" s="3">
        <v>2662</v>
      </c>
      <c r="H3360" s="3">
        <v>95</v>
      </c>
      <c r="I3360" s="3">
        <v>543</v>
      </c>
      <c r="J3360" s="3">
        <v>197</v>
      </c>
      <c r="K3360" s="3">
        <v>1819</v>
      </c>
      <c r="L3360" s="3">
        <v>142</v>
      </c>
      <c r="M3360" s="3">
        <v>684</v>
      </c>
    </row>
    <row r="3361" spans="1:13" x14ac:dyDescent="0.25">
      <c r="A3361" s="1" t="str">
        <f>HYPERLINK("http://www.rosaceae.org/Prunus/Prunus_persica/p.persica_gdr_reftransV1_0003819","p.persica_gdr_reftransV1_0003819")</f>
        <v>p.persica_gdr_reftransV1_0003819</v>
      </c>
      <c r="B3361" s="3">
        <v>1926</v>
      </c>
      <c r="C3361" s="1" t="str">
        <f>HYPERLINK("http://www.uniprot.org/uniprot/NDA1_ARATH","NDA1_ARATH")</f>
        <v>NDA1_ARATH</v>
      </c>
      <c r="D3361" t="s">
        <v>2884</v>
      </c>
      <c r="E3361" s="3" t="s">
        <v>3</v>
      </c>
      <c r="F3361" s="4">
        <v>0</v>
      </c>
      <c r="G3361" s="3">
        <v>1465</v>
      </c>
      <c r="H3361" s="3">
        <v>72</v>
      </c>
      <c r="I3361" s="3">
        <v>385</v>
      </c>
      <c r="J3361" s="3">
        <v>770</v>
      </c>
      <c r="K3361" s="3">
        <v>1924</v>
      </c>
      <c r="L3361" s="3">
        <v>126</v>
      </c>
      <c r="M3361" s="3">
        <v>510</v>
      </c>
    </row>
    <row r="3362" spans="1:13" x14ac:dyDescent="0.25">
      <c r="A3362" s="1" t="str">
        <f>HYPERLINK("http://www.rosaceae.org/Prunus/Prunus_persica/p.persica_gdr_reftransV1_0003869","p.persica_gdr_reftransV1_0003869")</f>
        <v>p.persica_gdr_reftransV1_0003869</v>
      </c>
      <c r="B3362" s="3">
        <v>2779</v>
      </c>
      <c r="C3362" s="1" t="str">
        <f>HYPERLINK("http://www.uniprot.org/uniprot/TKTC_SOLTU","TKTC_SOLTU")</f>
        <v>TKTC_SOLTU</v>
      </c>
      <c r="D3362" t="s">
        <v>3086</v>
      </c>
      <c r="E3362" s="3" t="s">
        <v>11</v>
      </c>
      <c r="F3362" s="4">
        <v>0</v>
      </c>
      <c r="G3362" s="3">
        <v>3198</v>
      </c>
      <c r="H3362" s="3">
        <v>83</v>
      </c>
      <c r="I3362" s="3">
        <v>752</v>
      </c>
      <c r="J3362" s="3">
        <v>414</v>
      </c>
      <c r="K3362" s="3">
        <v>2669</v>
      </c>
      <c r="L3362" s="3">
        <v>1</v>
      </c>
      <c r="M3362" s="3">
        <v>741</v>
      </c>
    </row>
    <row r="3363" spans="1:13" x14ac:dyDescent="0.25">
      <c r="A3363" s="1" t="str">
        <f>HYPERLINK("http://www.rosaceae.org/Prunus/Prunus_persica/p.persica_gdr_reftransV1_0003919","p.persica_gdr_reftransV1_0003919")</f>
        <v>p.persica_gdr_reftransV1_0003919</v>
      </c>
      <c r="B3363" s="3">
        <v>1845</v>
      </c>
      <c r="C3363" s="1" t="str">
        <f>HYPERLINK("http://www.uniprot.org/uniprot/SPXS1_DICDI","SPXS1_DICDI")</f>
        <v>SPXS1_DICDI</v>
      </c>
      <c r="D3363" t="s">
        <v>3087</v>
      </c>
      <c r="E3363" s="3" t="s">
        <v>9</v>
      </c>
      <c r="F3363" s="4">
        <v>7.9299999999999993E-40</v>
      </c>
      <c r="G3363" s="3">
        <v>404</v>
      </c>
      <c r="H3363" s="3">
        <v>36</v>
      </c>
      <c r="I3363" s="3">
        <v>342</v>
      </c>
      <c r="J3363" s="3">
        <v>582</v>
      </c>
      <c r="K3363" s="3">
        <v>1553</v>
      </c>
      <c r="L3363" s="3">
        <v>431</v>
      </c>
      <c r="M3363" s="3">
        <v>757</v>
      </c>
    </row>
    <row r="3364" spans="1:13" x14ac:dyDescent="0.25">
      <c r="A3364" s="1" t="str">
        <f>HYPERLINK("http://www.rosaceae.org/Prunus/Prunus_persica/p.persica_gdr_reftransV1_0003969","p.persica_gdr_reftransV1_0003969")</f>
        <v>p.persica_gdr_reftransV1_0003969</v>
      </c>
      <c r="B3364" s="3">
        <v>2322</v>
      </c>
      <c r="C3364" s="1" t="str">
        <f>HYPERLINK("http://www.uniprot.org/uniprot/PAF1_ARATH","PAF1_ARATH")</f>
        <v>PAF1_ARATH</v>
      </c>
      <c r="D3364" t="s">
        <v>3088</v>
      </c>
      <c r="E3364" s="3" t="s">
        <v>3</v>
      </c>
      <c r="F3364" s="4">
        <v>0</v>
      </c>
      <c r="G3364" s="3">
        <v>1394</v>
      </c>
      <c r="H3364" s="3">
        <v>72</v>
      </c>
      <c r="I3364" s="3">
        <v>419</v>
      </c>
      <c r="J3364" s="3">
        <v>715</v>
      </c>
      <c r="K3364" s="3">
        <v>1965</v>
      </c>
      <c r="L3364" s="3">
        <v>172</v>
      </c>
      <c r="M3364" s="3">
        <v>589</v>
      </c>
    </row>
    <row r="3365" spans="1:13" x14ac:dyDescent="0.25">
      <c r="A3365" s="1" t="str">
        <f>HYPERLINK("http://www.rosaceae.org/Prunus/Prunus_persica/p.persica_gdr_reftransV1_0004019","p.persica_gdr_reftransV1_0004019")</f>
        <v>p.persica_gdr_reftransV1_0004019</v>
      </c>
      <c r="B3365" s="3">
        <v>738</v>
      </c>
      <c r="C3365" s="1" t="str">
        <f>HYPERLINK("http://www.uniprot.org/uniprot/CYSP_PEA","CYSP_PEA")</f>
        <v>CYSP_PEA</v>
      </c>
      <c r="D3365" t="s">
        <v>3089</v>
      </c>
      <c r="E3365" s="3" t="s">
        <v>60</v>
      </c>
      <c r="F3365" s="4">
        <v>1.19E-60</v>
      </c>
      <c r="G3365" s="3">
        <v>511</v>
      </c>
      <c r="H3365" s="3">
        <v>53</v>
      </c>
      <c r="I3365" s="3">
        <v>186</v>
      </c>
      <c r="J3365" s="3">
        <v>189</v>
      </c>
      <c r="K3365" s="3">
        <v>737</v>
      </c>
      <c r="L3365" s="3">
        <v>27</v>
      </c>
      <c r="M3365" s="3">
        <v>206</v>
      </c>
    </row>
    <row r="3366" spans="1:13" x14ac:dyDescent="0.25">
      <c r="A3366" s="1" t="str">
        <f>HYPERLINK("http://www.rosaceae.org/Prunus/Prunus_persica/p.persica_gdr_reftransV1_0004069","p.persica_gdr_reftransV1_0004069")</f>
        <v>p.persica_gdr_reftransV1_0004069</v>
      </c>
      <c r="B3366" s="3">
        <v>1133</v>
      </c>
      <c r="C3366" s="1" t="str">
        <f>HYPERLINK("http://www.uniprot.org/uniprot/P2B12_ARATH","P2B12_ARATH")</f>
        <v>P2B12_ARATH</v>
      </c>
      <c r="D3366" t="s">
        <v>3090</v>
      </c>
      <c r="E3366" s="3" t="s">
        <v>3</v>
      </c>
      <c r="F3366" s="4">
        <v>8.4599999999999999E-63</v>
      </c>
      <c r="G3366" s="3">
        <v>528</v>
      </c>
      <c r="H3366" s="3">
        <v>43</v>
      </c>
      <c r="I3366" s="3">
        <v>252</v>
      </c>
      <c r="J3366" s="3">
        <v>276</v>
      </c>
      <c r="K3366" s="3">
        <v>1031</v>
      </c>
      <c r="L3366" s="3">
        <v>6</v>
      </c>
      <c r="M3366" s="3">
        <v>249</v>
      </c>
    </row>
    <row r="3367" spans="1:13" x14ac:dyDescent="0.25">
      <c r="A3367" s="1" t="str">
        <f>HYPERLINK("http://www.rosaceae.org/Prunus/Prunus_persica/p.persica_gdr_reftransV1_0004119","p.persica_gdr_reftransV1_0004119")</f>
        <v>p.persica_gdr_reftransV1_0004119</v>
      </c>
      <c r="B3367" s="3">
        <v>2292</v>
      </c>
      <c r="C3367" s="1" t="str">
        <f>HYPERLINK("http://www.uniprot.org/uniprot/PIGA_MOUSE","PIGA_MOUSE")</f>
        <v>PIGA_MOUSE</v>
      </c>
      <c r="D3367" t="s">
        <v>3091</v>
      </c>
      <c r="E3367" s="3" t="s">
        <v>157</v>
      </c>
      <c r="F3367" s="4">
        <v>1.3600000000000001E-118</v>
      </c>
      <c r="G3367" s="3">
        <v>702</v>
      </c>
      <c r="H3367" s="3">
        <v>58</v>
      </c>
      <c r="I3367" s="3">
        <v>223</v>
      </c>
      <c r="J3367" s="3">
        <v>168</v>
      </c>
      <c r="K3367" s="3">
        <v>836</v>
      </c>
      <c r="L3367" s="3">
        <v>33</v>
      </c>
      <c r="M3367" s="3">
        <v>255</v>
      </c>
    </row>
    <row r="3368" spans="1:13" x14ac:dyDescent="0.25">
      <c r="A3368" s="1" t="str">
        <f>HYPERLINK("http://www.rosaceae.org/Prunus/Prunus_persica/p.persica_gdr_reftransV1_0004169","p.persica_gdr_reftransV1_0004169")</f>
        <v>p.persica_gdr_reftransV1_0004169</v>
      </c>
      <c r="B3368" s="3">
        <v>1867</v>
      </c>
      <c r="C3368" s="1" t="str">
        <f>HYPERLINK("http://www.uniprot.org/uniprot/GAE3_ARATH","GAE3_ARATH")</f>
        <v>GAE3_ARATH</v>
      </c>
      <c r="D3368" t="s">
        <v>3092</v>
      </c>
      <c r="E3368" s="3" t="s">
        <v>3</v>
      </c>
      <c r="F3368" s="4">
        <v>0</v>
      </c>
      <c r="G3368" s="3">
        <v>1780</v>
      </c>
      <c r="H3368" s="3">
        <v>86</v>
      </c>
      <c r="I3368" s="3">
        <v>434</v>
      </c>
      <c r="J3368" s="3">
        <v>255</v>
      </c>
      <c r="K3368" s="3">
        <v>1556</v>
      </c>
      <c r="L3368" s="3">
        <v>1</v>
      </c>
      <c r="M3368" s="3">
        <v>429</v>
      </c>
    </row>
    <row r="3369" spans="1:13" x14ac:dyDescent="0.25">
      <c r="A3369" s="1" t="str">
        <f>HYPERLINK("http://www.rosaceae.org/Prunus/Prunus_persica/p.persica_gdr_reftransV1_0004269","p.persica_gdr_reftransV1_0004269")</f>
        <v>p.persica_gdr_reftransV1_0004269</v>
      </c>
      <c r="B3369" s="3">
        <v>690</v>
      </c>
      <c r="C3369" s="1" t="str">
        <f>HYPERLINK("http://www.uniprot.org/uniprot/HAK12_ORYSJ","HAK12_ORYSJ")</f>
        <v>HAK12_ORYSJ</v>
      </c>
      <c r="D3369" t="s">
        <v>3093</v>
      </c>
      <c r="E3369" s="3" t="s">
        <v>38</v>
      </c>
      <c r="F3369" s="4">
        <v>1.8299999999999999E-58</v>
      </c>
      <c r="G3369" s="3">
        <v>513</v>
      </c>
      <c r="H3369" s="3">
        <v>77</v>
      </c>
      <c r="I3369" s="3">
        <v>121</v>
      </c>
      <c r="J3369" s="3">
        <v>326</v>
      </c>
      <c r="K3369" s="3">
        <v>688</v>
      </c>
      <c r="L3369" s="3">
        <v>5</v>
      </c>
      <c r="M3369" s="3">
        <v>125</v>
      </c>
    </row>
    <row r="3370" spans="1:13" x14ac:dyDescent="0.25">
      <c r="A3370" s="1" t="str">
        <f>HYPERLINK("http://www.rosaceae.org/Prunus/Prunus_persica/p.persica_gdr_reftransV1_0004369","p.persica_gdr_reftransV1_0004369")</f>
        <v>p.persica_gdr_reftransV1_0004369</v>
      </c>
      <c r="B3370" s="3">
        <v>1144</v>
      </c>
      <c r="C3370" s="1" t="str">
        <f>HYPERLINK("http://www.uniprot.org/uniprot/RS6_ASPOF","RS6_ASPOF")</f>
        <v>RS6_ASPOF</v>
      </c>
      <c r="D3370" t="s">
        <v>3094</v>
      </c>
      <c r="E3370" s="3" t="s">
        <v>3095</v>
      </c>
      <c r="F3370" s="4">
        <v>8.4699999999999997E-131</v>
      </c>
      <c r="G3370" s="3">
        <v>981</v>
      </c>
      <c r="H3370" s="3">
        <v>96</v>
      </c>
      <c r="I3370" s="3">
        <v>239</v>
      </c>
      <c r="J3370" s="3">
        <v>302</v>
      </c>
      <c r="K3370" s="3">
        <v>1018</v>
      </c>
      <c r="L3370" s="3">
        <v>1</v>
      </c>
      <c r="M3370" s="3">
        <v>239</v>
      </c>
    </row>
    <row r="3371" spans="1:13" x14ac:dyDescent="0.25">
      <c r="A3371" s="1" t="str">
        <f>HYPERLINK("http://www.rosaceae.org/Prunus/Prunus_persica/p.persica_gdr_reftransV1_0004619","p.persica_gdr_reftransV1_0004619")</f>
        <v>p.persica_gdr_reftransV1_0004619</v>
      </c>
      <c r="B3371" s="3">
        <v>612</v>
      </c>
      <c r="C3371" s="1" t="str">
        <f>HYPERLINK("http://www.uniprot.org/uniprot/C7A22_PANGI","C7A22_PANGI")</f>
        <v>C7A22_PANGI</v>
      </c>
      <c r="D3371" t="s">
        <v>3096</v>
      </c>
      <c r="E3371" s="3" t="s">
        <v>1477</v>
      </c>
      <c r="F3371" s="4">
        <v>7.0199999999999998E-75</v>
      </c>
      <c r="G3371" s="3">
        <v>614</v>
      </c>
      <c r="H3371" s="3">
        <v>58</v>
      </c>
      <c r="I3371" s="3">
        <v>205</v>
      </c>
      <c r="J3371" s="3">
        <v>1</v>
      </c>
      <c r="K3371" s="3">
        <v>612</v>
      </c>
      <c r="L3371" s="3">
        <v>158</v>
      </c>
      <c r="M3371" s="3">
        <v>362</v>
      </c>
    </row>
    <row r="3372" spans="1:13" x14ac:dyDescent="0.25">
      <c r="A3372" s="1" t="str">
        <f>HYPERLINK("http://www.rosaceae.org/Prunus/Prunus_persica/p.persica_gdr_reftransV1_0004719","p.persica_gdr_reftransV1_0004719")</f>
        <v>p.persica_gdr_reftransV1_0004719</v>
      </c>
      <c r="B3372" s="3">
        <v>1020</v>
      </c>
      <c r="C3372" s="1" t="str">
        <f>HYPERLINK("http://www.uniprot.org/uniprot/SKIP5_ARATH","SKIP5_ARATH")</f>
        <v>SKIP5_ARATH</v>
      </c>
      <c r="D3372" t="s">
        <v>3018</v>
      </c>
      <c r="E3372" s="3" t="s">
        <v>3</v>
      </c>
      <c r="F3372" s="4">
        <v>3.1399999999999998E-98</v>
      </c>
      <c r="G3372" s="3">
        <v>764</v>
      </c>
      <c r="H3372" s="3">
        <v>70</v>
      </c>
      <c r="I3372" s="3">
        <v>211</v>
      </c>
      <c r="J3372" s="3">
        <v>205</v>
      </c>
      <c r="K3372" s="3">
        <v>807</v>
      </c>
      <c r="L3372" s="3">
        <v>65</v>
      </c>
      <c r="M3372" s="3">
        <v>274</v>
      </c>
    </row>
    <row r="3373" spans="1:13" x14ac:dyDescent="0.25">
      <c r="A3373" s="1" t="str">
        <f>HYPERLINK("http://www.rosaceae.org/Prunus/Prunus_persica/p.persica_gdr_reftransV1_0004819","p.persica_gdr_reftransV1_0004819")</f>
        <v>p.persica_gdr_reftransV1_0004819</v>
      </c>
      <c r="B3373" s="3">
        <v>1898</v>
      </c>
      <c r="C3373" s="1" t="str">
        <f>HYPERLINK("http://www.uniprot.org/uniprot/POLX_TOBAC","POLX_TOBAC")</f>
        <v>POLX_TOBAC</v>
      </c>
      <c r="D3373" t="s">
        <v>1253</v>
      </c>
      <c r="E3373" s="3" t="s">
        <v>200</v>
      </c>
      <c r="F3373" s="4">
        <v>8.0999999999999996E-21</v>
      </c>
      <c r="G3373" s="3">
        <v>251</v>
      </c>
      <c r="H3373" s="3">
        <v>31</v>
      </c>
      <c r="I3373" s="3">
        <v>261</v>
      </c>
      <c r="J3373" s="3">
        <v>3</v>
      </c>
      <c r="K3373" s="3">
        <v>755</v>
      </c>
      <c r="L3373" s="3">
        <v>294</v>
      </c>
      <c r="M3373" s="3">
        <v>538</v>
      </c>
    </row>
    <row r="3374" spans="1:13" x14ac:dyDescent="0.25">
      <c r="A3374" s="1" t="str">
        <f>HYPERLINK("http://www.rosaceae.org/Prunus/Prunus_persica/p.persica_gdr_reftransV1_0004919","p.persica_gdr_reftransV1_0004919")</f>
        <v>p.persica_gdr_reftransV1_0004919</v>
      </c>
      <c r="B3374" s="3">
        <v>4226</v>
      </c>
      <c r="C3374" s="1" t="str">
        <f>HYPERLINK("http://www.uniprot.org/uniprot/WDR11_MOUSE","WDR11_MOUSE")</f>
        <v>WDR11_MOUSE</v>
      </c>
      <c r="D3374" t="s">
        <v>3097</v>
      </c>
      <c r="E3374" s="3" t="s">
        <v>157</v>
      </c>
      <c r="F3374" s="4">
        <v>1.09E-10</v>
      </c>
      <c r="G3374" s="3">
        <v>171</v>
      </c>
      <c r="H3374" s="3">
        <v>24</v>
      </c>
      <c r="I3374" s="3">
        <v>266</v>
      </c>
      <c r="J3374" s="3">
        <v>1653</v>
      </c>
      <c r="K3374" s="3">
        <v>2426</v>
      </c>
      <c r="L3374" s="3">
        <v>577</v>
      </c>
      <c r="M3374" s="3">
        <v>824</v>
      </c>
    </row>
    <row r="3375" spans="1:13" x14ac:dyDescent="0.25">
      <c r="A3375" s="1" t="str">
        <f>HYPERLINK("http://www.rosaceae.org/Prunus/Prunus_persica/p.persica_gdr_reftransV1_0004969","p.persica_gdr_reftransV1_0004969")</f>
        <v>p.persica_gdr_reftransV1_0004969</v>
      </c>
      <c r="B3375" s="3">
        <v>2243</v>
      </c>
      <c r="C3375" s="1" t="str">
        <f>HYPERLINK("http://www.uniprot.org/uniprot/SAB_ARATH","SAB_ARATH")</f>
        <v>SAB_ARATH</v>
      </c>
      <c r="D3375" t="s">
        <v>3098</v>
      </c>
      <c r="E3375" s="3" t="s">
        <v>3</v>
      </c>
      <c r="F3375" s="4">
        <v>0</v>
      </c>
      <c r="G3375" s="3">
        <v>2398</v>
      </c>
      <c r="H3375" s="3">
        <v>63</v>
      </c>
      <c r="I3375" s="3">
        <v>753</v>
      </c>
      <c r="J3375" s="3">
        <v>2</v>
      </c>
      <c r="K3375" s="3">
        <v>2242</v>
      </c>
      <c r="L3375" s="3">
        <v>619</v>
      </c>
      <c r="M3375" s="3">
        <v>1366</v>
      </c>
    </row>
    <row r="3376" spans="1:13" x14ac:dyDescent="0.25">
      <c r="A3376" s="1" t="str">
        <f>HYPERLINK("http://www.rosaceae.org/Prunus/Prunus_persica/p.persica_gdr_reftransV1_0005019","p.persica_gdr_reftransV1_0005019")</f>
        <v>p.persica_gdr_reftransV1_0005019</v>
      </c>
      <c r="B3376" s="3">
        <v>1921</v>
      </c>
      <c r="C3376" s="1" t="str">
        <f>HYPERLINK("http://www.uniprot.org/uniprot/AFP2_ARATH","AFP2_ARATH")</f>
        <v>AFP2_ARATH</v>
      </c>
      <c r="D3376" t="s">
        <v>3099</v>
      </c>
      <c r="E3376" s="3" t="s">
        <v>3</v>
      </c>
      <c r="F3376" s="4">
        <v>8.7599999999999993E-37</v>
      </c>
      <c r="G3376" s="3">
        <v>364</v>
      </c>
      <c r="H3376" s="3">
        <v>52</v>
      </c>
      <c r="I3376" s="3">
        <v>146</v>
      </c>
      <c r="J3376" s="3">
        <v>1294</v>
      </c>
      <c r="K3376" s="3">
        <v>1719</v>
      </c>
      <c r="L3376" s="3">
        <v>208</v>
      </c>
      <c r="M3376" s="3">
        <v>348</v>
      </c>
    </row>
    <row r="3377" spans="1:13" x14ac:dyDescent="0.25">
      <c r="A3377" s="1" t="str">
        <f>HYPERLINK("http://www.rosaceae.org/Prunus/Prunus_persica/p.persica_gdr_reftransV1_0005269","p.persica_gdr_reftransV1_0005269")</f>
        <v>p.persica_gdr_reftransV1_0005269</v>
      </c>
      <c r="B3377" s="3">
        <v>1606</v>
      </c>
      <c r="C3377" s="1" t="str">
        <f>HYPERLINK("http://www.uniprot.org/uniprot/DHX36_MOUSE","DHX36_MOUSE")</f>
        <v>DHX36_MOUSE</v>
      </c>
      <c r="D3377" t="s">
        <v>2269</v>
      </c>
      <c r="E3377" s="3" t="s">
        <v>157</v>
      </c>
      <c r="F3377" s="4">
        <v>1.3400000000000001E-142</v>
      </c>
      <c r="G3377" s="3">
        <v>1139</v>
      </c>
      <c r="H3377" s="3">
        <v>47</v>
      </c>
      <c r="I3377" s="3">
        <v>539</v>
      </c>
      <c r="J3377" s="3">
        <v>7</v>
      </c>
      <c r="K3377" s="3">
        <v>1605</v>
      </c>
      <c r="L3377" s="3">
        <v>200</v>
      </c>
      <c r="M3377" s="3">
        <v>734</v>
      </c>
    </row>
    <row r="3378" spans="1:13" x14ac:dyDescent="0.25">
      <c r="A3378" s="1" t="str">
        <f>HYPERLINK("http://www.rosaceae.org/Prunus/Prunus_persica/p.persica_gdr_reftransV1_0005519","p.persica_gdr_reftransV1_0005519")</f>
        <v>p.persica_gdr_reftransV1_0005519</v>
      </c>
      <c r="B3378" s="3">
        <v>2625</v>
      </c>
      <c r="C3378" s="1" t="str">
        <f>HYPERLINK("http://www.uniprot.org/uniprot/SUVH3_ARATH","SUVH3_ARATH")</f>
        <v>SUVH3_ARATH</v>
      </c>
      <c r="D3378" t="s">
        <v>3100</v>
      </c>
      <c r="E3378" s="3" t="s">
        <v>3</v>
      </c>
      <c r="F3378" s="4">
        <v>0</v>
      </c>
      <c r="G3378" s="3">
        <v>1819</v>
      </c>
      <c r="H3378" s="3">
        <v>51</v>
      </c>
      <c r="I3378" s="3">
        <v>707</v>
      </c>
      <c r="J3378" s="3">
        <v>279</v>
      </c>
      <c r="K3378" s="3">
        <v>2390</v>
      </c>
      <c r="L3378" s="3">
        <v>1</v>
      </c>
      <c r="M3378" s="3">
        <v>669</v>
      </c>
    </row>
    <row r="3379" spans="1:13" x14ac:dyDescent="0.25">
      <c r="A3379" s="1" t="str">
        <f>HYPERLINK("http://www.rosaceae.org/Prunus/Prunus_persica/p.persica_gdr_reftransV1_0005669","p.persica_gdr_reftransV1_0005669")</f>
        <v>p.persica_gdr_reftransV1_0005669</v>
      </c>
      <c r="B3379" s="3">
        <v>735</v>
      </c>
      <c r="C3379" s="1" t="str">
        <f>HYPERLINK("http://www.uniprot.org/uniprot/PP301_ARATH","PP301_ARATH")</f>
        <v>PP301_ARATH</v>
      </c>
      <c r="D3379" t="s">
        <v>1571</v>
      </c>
      <c r="E3379" s="3" t="s">
        <v>3</v>
      </c>
      <c r="F3379" s="4">
        <v>9.6000000000000005E-69</v>
      </c>
      <c r="G3379" s="3">
        <v>589</v>
      </c>
      <c r="H3379" s="3">
        <v>45</v>
      </c>
      <c r="I3379" s="3">
        <v>244</v>
      </c>
      <c r="J3379" s="3">
        <v>4</v>
      </c>
      <c r="K3379" s="3">
        <v>735</v>
      </c>
      <c r="L3379" s="3">
        <v>297</v>
      </c>
      <c r="M3379" s="3">
        <v>540</v>
      </c>
    </row>
    <row r="3380" spans="1:13" x14ac:dyDescent="0.25">
      <c r="A3380" s="1" t="str">
        <f>HYPERLINK("http://www.rosaceae.org/Prunus/Prunus_persica/p.persica_gdr_reftransV1_0005969","p.persica_gdr_reftransV1_0005969")</f>
        <v>p.persica_gdr_reftransV1_0005969</v>
      </c>
      <c r="B3380" s="3">
        <v>2376</v>
      </c>
      <c r="C3380" s="1" t="str">
        <f>HYPERLINK("http://www.uniprot.org/uniprot/LAL5_ARATH","LAL5_ARATH")</f>
        <v>LAL5_ARATH</v>
      </c>
      <c r="D3380" t="s">
        <v>3101</v>
      </c>
      <c r="E3380" s="3" t="s">
        <v>3</v>
      </c>
      <c r="F3380" s="4">
        <v>5.7700000000000004E-100</v>
      </c>
      <c r="G3380" s="3">
        <v>830</v>
      </c>
      <c r="H3380" s="3">
        <v>60</v>
      </c>
      <c r="I3380" s="3">
        <v>273</v>
      </c>
      <c r="J3380" s="3">
        <v>876</v>
      </c>
      <c r="K3380" s="3">
        <v>1694</v>
      </c>
      <c r="L3380" s="3">
        <v>24</v>
      </c>
      <c r="M3380" s="3">
        <v>296</v>
      </c>
    </row>
    <row r="3381" spans="1:13" x14ac:dyDescent="0.25">
      <c r="A3381" s="1" t="str">
        <f>HYPERLINK("http://www.rosaceae.org/Prunus/Prunus_persica/p.persica_gdr_reftransV1_0006069","p.persica_gdr_reftransV1_0006069")</f>
        <v>p.persica_gdr_reftransV1_0006069</v>
      </c>
      <c r="B3381" s="3">
        <v>1210</v>
      </c>
      <c r="C3381" s="1" t="str">
        <f>HYPERLINK("http://www.uniprot.org/uniprot/Y3236_ARATH","Y3236_ARATH")</f>
        <v>Y3236_ARATH</v>
      </c>
      <c r="D3381" t="s">
        <v>1074</v>
      </c>
      <c r="E3381" s="3" t="s">
        <v>3</v>
      </c>
      <c r="F3381" s="4">
        <v>6.58E-10</v>
      </c>
      <c r="G3381" s="3">
        <v>156</v>
      </c>
      <c r="H3381" s="3">
        <v>25</v>
      </c>
      <c r="I3381" s="3">
        <v>288</v>
      </c>
      <c r="J3381" s="3">
        <v>163</v>
      </c>
      <c r="K3381" s="3">
        <v>891</v>
      </c>
      <c r="L3381" s="3">
        <v>238</v>
      </c>
      <c r="M3381" s="3">
        <v>517</v>
      </c>
    </row>
    <row r="3382" spans="1:13" x14ac:dyDescent="0.25">
      <c r="A3382" s="1" t="str">
        <f>HYPERLINK("http://www.rosaceae.org/Prunus/Prunus_persica/p.persica_gdr_reftransV1_0006219","p.persica_gdr_reftransV1_0006219")</f>
        <v>p.persica_gdr_reftransV1_0006219</v>
      </c>
      <c r="B3382" s="3">
        <v>1508</v>
      </c>
      <c r="C3382" s="1" t="str">
        <f>HYPERLINK("http://www.uniprot.org/uniprot/5FCLL_ARATH","5FCLL_ARATH")</f>
        <v>5FCLL_ARATH</v>
      </c>
      <c r="D3382" t="s">
        <v>3052</v>
      </c>
      <c r="E3382" s="3" t="s">
        <v>3</v>
      </c>
      <c r="F3382" s="4">
        <v>7.4400000000000006E-166</v>
      </c>
      <c r="G3382" s="3">
        <v>1236</v>
      </c>
      <c r="H3382" s="3">
        <v>80</v>
      </c>
      <c r="I3382" s="3">
        <v>318</v>
      </c>
      <c r="J3382" s="3">
        <v>421</v>
      </c>
      <c r="K3382" s="3">
        <v>1374</v>
      </c>
      <c r="L3382" s="3">
        <v>39</v>
      </c>
      <c r="M3382" s="3">
        <v>353</v>
      </c>
    </row>
    <row r="3383" spans="1:13" x14ac:dyDescent="0.25">
      <c r="A3383" s="1" t="str">
        <f>HYPERLINK("http://www.rosaceae.org/Prunus/Prunus_persica/p.persica_gdr_reftransV1_0006269","p.persica_gdr_reftransV1_0006269")</f>
        <v>p.persica_gdr_reftransV1_0006269</v>
      </c>
      <c r="B3383" s="3">
        <v>939</v>
      </c>
      <c r="C3383" s="1" t="str">
        <f>HYPERLINK("http://www.uniprot.org/uniprot/Y1141_ARATH","Y1141_ARATH")</f>
        <v>Y1141_ARATH</v>
      </c>
      <c r="D3383" t="s">
        <v>2233</v>
      </c>
      <c r="E3383" s="3" t="s">
        <v>3</v>
      </c>
      <c r="F3383" s="4">
        <v>2.7600000000000002E-72</v>
      </c>
      <c r="G3383" s="3">
        <v>623</v>
      </c>
      <c r="H3383" s="3">
        <v>44</v>
      </c>
      <c r="I3383" s="3">
        <v>268</v>
      </c>
      <c r="J3383" s="3">
        <v>2</v>
      </c>
      <c r="K3383" s="3">
        <v>799</v>
      </c>
      <c r="L3383" s="3">
        <v>23</v>
      </c>
      <c r="M3383" s="3">
        <v>287</v>
      </c>
    </row>
    <row r="3384" spans="1:13" x14ac:dyDescent="0.25">
      <c r="A3384" s="1" t="str">
        <f>HYPERLINK("http://www.rosaceae.org/Prunus/Prunus_persica/p.persica_gdr_reftransV1_0006419","p.persica_gdr_reftransV1_0006419")</f>
        <v>p.persica_gdr_reftransV1_0006419</v>
      </c>
      <c r="B3384" s="3">
        <v>1345</v>
      </c>
      <c r="C3384" s="1" t="str">
        <f>HYPERLINK("http://www.uniprot.org/uniprot/3HBH1_PSEAC","3HBH1_PSEAC")</f>
        <v>3HBH1_PSEAC</v>
      </c>
      <c r="D3384" t="s">
        <v>3102</v>
      </c>
      <c r="E3384" s="3" t="s">
        <v>3103</v>
      </c>
      <c r="F3384" s="4">
        <v>2.17E-17</v>
      </c>
      <c r="G3384" s="3">
        <v>215</v>
      </c>
      <c r="H3384" s="3">
        <v>25</v>
      </c>
      <c r="I3384" s="3">
        <v>379</v>
      </c>
      <c r="J3384" s="3">
        <v>69</v>
      </c>
      <c r="K3384" s="3">
        <v>1109</v>
      </c>
      <c r="L3384" s="3">
        <v>4</v>
      </c>
      <c r="M3384" s="3">
        <v>343</v>
      </c>
    </row>
    <row r="3385" spans="1:13" x14ac:dyDescent="0.25">
      <c r="A3385" s="1" t="str">
        <f>HYPERLINK("http://www.rosaceae.org/Prunus/Prunus_persica/p.persica_gdr_reftransV1_0006469","p.persica_gdr_reftransV1_0006469")</f>
        <v>p.persica_gdr_reftransV1_0006469</v>
      </c>
      <c r="B3385" s="3">
        <v>2358</v>
      </c>
      <c r="C3385" s="1" t="str">
        <f>HYPERLINK("http://www.uniprot.org/uniprot/SBT33_ARATH","SBT33_ARATH")</f>
        <v>SBT33_ARATH</v>
      </c>
      <c r="D3385" t="s">
        <v>3104</v>
      </c>
      <c r="E3385" s="3" t="s">
        <v>3</v>
      </c>
      <c r="F3385" s="4">
        <v>0</v>
      </c>
      <c r="G3385" s="3">
        <v>2438</v>
      </c>
      <c r="H3385" s="3">
        <v>61</v>
      </c>
      <c r="I3385" s="3">
        <v>751</v>
      </c>
      <c r="J3385" s="3">
        <v>102</v>
      </c>
      <c r="K3385" s="3">
        <v>2336</v>
      </c>
      <c r="L3385" s="3">
        <v>24</v>
      </c>
      <c r="M3385" s="3">
        <v>773</v>
      </c>
    </row>
    <row r="3386" spans="1:13" x14ac:dyDescent="0.25">
      <c r="A3386" s="1" t="str">
        <f>HYPERLINK("http://www.rosaceae.org/Prunus/Prunus_persica/p.persica_gdr_reftransV1_0006519","p.persica_gdr_reftransV1_0006519")</f>
        <v>p.persica_gdr_reftransV1_0006519</v>
      </c>
      <c r="B3386" s="3">
        <v>1208</v>
      </c>
      <c r="C3386" s="1" t="str">
        <f>HYPERLINK("http://www.uniprot.org/uniprot/RBL5_ARATH","RBL5_ARATH")</f>
        <v>RBL5_ARATH</v>
      </c>
      <c r="D3386" t="s">
        <v>3105</v>
      </c>
      <c r="E3386" s="3" t="s">
        <v>3</v>
      </c>
      <c r="F3386" s="4">
        <v>2.05E-71</v>
      </c>
      <c r="G3386" s="3">
        <v>593</v>
      </c>
      <c r="H3386" s="3">
        <v>60</v>
      </c>
      <c r="I3386" s="3">
        <v>270</v>
      </c>
      <c r="J3386" s="3">
        <v>365</v>
      </c>
      <c r="K3386" s="3">
        <v>1171</v>
      </c>
      <c r="L3386" s="3">
        <v>38</v>
      </c>
      <c r="M3386" s="3">
        <v>304</v>
      </c>
    </row>
    <row r="3387" spans="1:13" x14ac:dyDescent="0.25">
      <c r="A3387" s="1" t="str">
        <f>HYPERLINK("http://www.rosaceae.org/Prunus/Prunus_persica/p.persica_gdr_reftransV1_0006669","p.persica_gdr_reftransV1_0006669")</f>
        <v>p.persica_gdr_reftransV1_0006669</v>
      </c>
      <c r="B3387" s="3">
        <v>937</v>
      </c>
      <c r="C3387" s="1" t="str">
        <f>HYPERLINK("http://www.uniprot.org/uniprot/GLR28_ARATH","GLR28_ARATH")</f>
        <v>GLR28_ARATH</v>
      </c>
      <c r="D3387" t="s">
        <v>3106</v>
      </c>
      <c r="E3387" s="3" t="s">
        <v>3</v>
      </c>
      <c r="F3387" s="4">
        <v>3.0800000000000002E-44</v>
      </c>
      <c r="G3387" s="3">
        <v>421</v>
      </c>
      <c r="H3387" s="3">
        <v>53</v>
      </c>
      <c r="I3387" s="3">
        <v>175</v>
      </c>
      <c r="J3387" s="3">
        <v>13</v>
      </c>
      <c r="K3387" s="3">
        <v>519</v>
      </c>
      <c r="L3387" s="3">
        <v>723</v>
      </c>
      <c r="M3387" s="3">
        <v>896</v>
      </c>
    </row>
    <row r="3388" spans="1:13" x14ac:dyDescent="0.25">
      <c r="A3388" s="1" t="str">
        <f>HYPERLINK("http://www.rosaceae.org/Prunus/Prunus_persica/p.persica_gdr_reftransV1_0006719","p.persica_gdr_reftransV1_0006719")</f>
        <v>p.persica_gdr_reftransV1_0006719</v>
      </c>
      <c r="B3388" s="3">
        <v>1596</v>
      </c>
      <c r="C3388" s="1" t="str">
        <f>HYPERLINK("http://www.uniprot.org/uniprot/E1313_ARATH","E1313_ARATH")</f>
        <v>E1313_ARATH</v>
      </c>
      <c r="D3388" t="s">
        <v>3107</v>
      </c>
      <c r="E3388" s="3" t="s">
        <v>3</v>
      </c>
      <c r="F3388" s="4">
        <v>4.2500000000000002E-58</v>
      </c>
      <c r="G3388" s="3">
        <v>526</v>
      </c>
      <c r="H3388" s="3">
        <v>40</v>
      </c>
      <c r="I3388" s="3">
        <v>332</v>
      </c>
      <c r="J3388" s="3">
        <v>349</v>
      </c>
      <c r="K3388" s="3">
        <v>1323</v>
      </c>
      <c r="L3388" s="3">
        <v>20</v>
      </c>
      <c r="M3388" s="3">
        <v>346</v>
      </c>
    </row>
    <row r="3389" spans="1:13" x14ac:dyDescent="0.25">
      <c r="A3389" s="1" t="str">
        <f>HYPERLINK("http://www.rosaceae.org/Prunus/Prunus_persica/p.persica_gdr_reftransV1_0007019","p.persica_gdr_reftransV1_0007019")</f>
        <v>p.persica_gdr_reftransV1_0007019</v>
      </c>
      <c r="B3389" s="3">
        <v>337</v>
      </c>
      <c r="C3389" s="1" t="str">
        <f>HYPERLINK("http://www.uniprot.org/uniprot/PPP7_ARATH","PPP7_ARATH")</f>
        <v>PPP7_ARATH</v>
      </c>
      <c r="D3389" t="s">
        <v>3108</v>
      </c>
      <c r="E3389" s="3" t="s">
        <v>3</v>
      </c>
      <c r="F3389" s="4">
        <v>1.12E-55</v>
      </c>
      <c r="G3389" s="3">
        <v>466</v>
      </c>
      <c r="H3389" s="3">
        <v>77</v>
      </c>
      <c r="I3389" s="3">
        <v>111</v>
      </c>
      <c r="J3389" s="3">
        <v>1</v>
      </c>
      <c r="K3389" s="3">
        <v>333</v>
      </c>
      <c r="L3389" s="3">
        <v>98</v>
      </c>
      <c r="M3389" s="3">
        <v>207</v>
      </c>
    </row>
    <row r="3390" spans="1:13" x14ac:dyDescent="0.25">
      <c r="A3390" s="1" t="str">
        <f>HYPERLINK("http://www.rosaceae.org/Prunus/Prunus_persica/p.persica_gdr_reftransV1_0007069","p.persica_gdr_reftransV1_0007069")</f>
        <v>p.persica_gdr_reftransV1_0007069</v>
      </c>
      <c r="B3390" s="3">
        <v>1897</v>
      </c>
      <c r="C3390" s="1" t="str">
        <f>HYPERLINK("http://www.uniprot.org/uniprot/MLO6_ARATH","MLO6_ARATH")</f>
        <v>MLO6_ARATH</v>
      </c>
      <c r="D3390" t="s">
        <v>3109</v>
      </c>
      <c r="E3390" s="3" t="s">
        <v>3</v>
      </c>
      <c r="F3390" s="4">
        <v>0</v>
      </c>
      <c r="G3390" s="3">
        <v>1634</v>
      </c>
      <c r="H3390" s="3">
        <v>60</v>
      </c>
      <c r="I3390" s="3">
        <v>577</v>
      </c>
      <c r="J3390" s="3">
        <v>13</v>
      </c>
      <c r="K3390" s="3">
        <v>1695</v>
      </c>
      <c r="L3390" s="3">
        <v>8</v>
      </c>
      <c r="M3390" s="3">
        <v>581</v>
      </c>
    </row>
    <row r="3391" spans="1:13" x14ac:dyDescent="0.25">
      <c r="A3391" s="1" t="str">
        <f>HYPERLINK("http://www.rosaceae.org/Prunus/Prunus_persica/p.persica_gdr_reftransV1_0007119","p.persica_gdr_reftransV1_0007119")</f>
        <v>p.persica_gdr_reftransV1_0007119</v>
      </c>
      <c r="B3391" s="3">
        <v>457</v>
      </c>
      <c r="C3391" s="1" t="str">
        <f>HYPERLINK("http://www.uniprot.org/uniprot/UFOG3_FRAAN","UFOG3_FRAAN")</f>
        <v>UFOG3_FRAAN</v>
      </c>
      <c r="D3391" t="s">
        <v>3110</v>
      </c>
      <c r="E3391" s="3" t="s">
        <v>15</v>
      </c>
      <c r="F3391" s="4">
        <v>2.0100000000000001E-28</v>
      </c>
      <c r="G3391" s="3">
        <v>281</v>
      </c>
      <c r="H3391" s="3">
        <v>41</v>
      </c>
      <c r="I3391" s="3">
        <v>156</v>
      </c>
      <c r="J3391" s="3">
        <v>5</v>
      </c>
      <c r="K3391" s="3">
        <v>457</v>
      </c>
      <c r="L3391" s="3">
        <v>7</v>
      </c>
      <c r="M3391" s="3">
        <v>157</v>
      </c>
    </row>
    <row r="3392" spans="1:13" x14ac:dyDescent="0.25">
      <c r="A3392" s="1" t="str">
        <f>HYPERLINK("http://www.rosaceae.org/Prunus/Prunus_persica/p.persica_gdr_reftransV1_0007369","p.persica_gdr_reftransV1_0007369")</f>
        <v>p.persica_gdr_reftransV1_0007369</v>
      </c>
      <c r="B3392" s="3">
        <v>3331</v>
      </c>
      <c r="C3392" s="1" t="str">
        <f>HYPERLINK("http://www.uniprot.org/uniprot/PP376_ARATH","PP376_ARATH")</f>
        <v>PP376_ARATH</v>
      </c>
      <c r="D3392" t="s">
        <v>3111</v>
      </c>
      <c r="E3392" s="3" t="s">
        <v>3</v>
      </c>
      <c r="F3392" s="4">
        <v>0</v>
      </c>
      <c r="G3392" s="3">
        <v>1665</v>
      </c>
      <c r="H3392" s="3">
        <v>52</v>
      </c>
      <c r="I3392" s="3">
        <v>606</v>
      </c>
      <c r="J3392" s="3">
        <v>7</v>
      </c>
      <c r="K3392" s="3">
        <v>1824</v>
      </c>
      <c r="L3392" s="3">
        <v>214</v>
      </c>
      <c r="M3392" s="3">
        <v>816</v>
      </c>
    </row>
    <row r="3393" spans="1:13" x14ac:dyDescent="0.25">
      <c r="A3393" s="1" t="str">
        <f>HYPERLINK("http://www.rosaceae.org/Prunus/Prunus_persica/p.persica_gdr_reftransV1_0007419","p.persica_gdr_reftransV1_0007419")</f>
        <v>p.persica_gdr_reftransV1_0007419</v>
      </c>
      <c r="B3393" s="3">
        <v>809</v>
      </c>
      <c r="C3393" s="1" t="str">
        <f>HYPERLINK("http://www.uniprot.org/uniprot/H2A7_WHEAT","H2A7_WHEAT")</f>
        <v>H2A7_WHEAT</v>
      </c>
      <c r="D3393" t="s">
        <v>3112</v>
      </c>
      <c r="E3393" s="3" t="s">
        <v>710</v>
      </c>
      <c r="F3393" s="4">
        <v>2.5E-53</v>
      </c>
      <c r="G3393" s="3">
        <v>445</v>
      </c>
      <c r="H3393" s="3">
        <v>93</v>
      </c>
      <c r="I3393" s="3">
        <v>118</v>
      </c>
      <c r="J3393" s="3">
        <v>3</v>
      </c>
      <c r="K3393" s="3">
        <v>356</v>
      </c>
      <c r="L3393" s="3">
        <v>18</v>
      </c>
      <c r="M3393" s="3">
        <v>134</v>
      </c>
    </row>
    <row r="3394" spans="1:13" x14ac:dyDescent="0.25">
      <c r="A3394" s="1" t="str">
        <f>HYPERLINK("http://www.rosaceae.org/Prunus/Prunus_persica/p.persica_gdr_reftransV1_0007469","p.persica_gdr_reftransV1_0007469")</f>
        <v>p.persica_gdr_reftransV1_0007469</v>
      </c>
      <c r="B3394" s="3">
        <v>1549</v>
      </c>
      <c r="C3394" s="1" t="str">
        <f>HYPERLINK("http://www.uniprot.org/uniprot/TGT3A_ARATH","TGT3A_ARATH")</f>
        <v>TGT3A_ARATH</v>
      </c>
      <c r="D3394" t="s">
        <v>3113</v>
      </c>
      <c r="E3394" s="3" t="s">
        <v>3</v>
      </c>
      <c r="F3394" s="4">
        <v>8.9900000000000001E-49</v>
      </c>
      <c r="G3394" s="3">
        <v>447</v>
      </c>
      <c r="H3394" s="3">
        <v>81</v>
      </c>
      <c r="I3394" s="3">
        <v>99</v>
      </c>
      <c r="J3394" s="3">
        <v>1133</v>
      </c>
      <c r="K3394" s="3">
        <v>1429</v>
      </c>
      <c r="L3394" s="3">
        <v>47</v>
      </c>
      <c r="M3394" s="3">
        <v>145</v>
      </c>
    </row>
    <row r="3395" spans="1:13" x14ac:dyDescent="0.25">
      <c r="A3395" s="1" t="str">
        <f>HYPERLINK("http://www.rosaceae.org/Prunus/Prunus_persica/p.persica_gdr_reftransV1_0007569","p.persica_gdr_reftransV1_0007569")</f>
        <v>p.persica_gdr_reftransV1_0007569</v>
      </c>
      <c r="B3395" s="3">
        <v>2683</v>
      </c>
      <c r="C3395" s="1" t="str">
        <f>HYPERLINK("http://www.uniprot.org/uniprot/POT2_ARATH","POT2_ARATH")</f>
        <v>POT2_ARATH</v>
      </c>
      <c r="D3395" t="s">
        <v>3114</v>
      </c>
      <c r="E3395" s="3" t="s">
        <v>3</v>
      </c>
      <c r="F3395" s="4">
        <v>0</v>
      </c>
      <c r="G3395" s="3">
        <v>1914</v>
      </c>
      <c r="H3395" s="3">
        <v>48</v>
      </c>
      <c r="I3395" s="3">
        <v>802</v>
      </c>
      <c r="J3395" s="3">
        <v>215</v>
      </c>
      <c r="K3395" s="3">
        <v>2560</v>
      </c>
      <c r="L3395" s="3">
        <v>10</v>
      </c>
      <c r="M3395" s="3">
        <v>791</v>
      </c>
    </row>
    <row r="3396" spans="1:13" x14ac:dyDescent="0.25">
      <c r="A3396" s="1" t="str">
        <f>HYPERLINK("http://www.rosaceae.org/Prunus/Prunus_persica/p.persica_gdr_reftransV1_0007819","p.persica_gdr_reftransV1_0007819")</f>
        <v>p.persica_gdr_reftransV1_0007819</v>
      </c>
      <c r="B3396" s="3">
        <v>1217</v>
      </c>
      <c r="C3396" s="1" t="str">
        <f>HYPERLINK("http://www.uniprot.org/uniprot/YC49L_SYNY3","YC49L_SYNY3")</f>
        <v>YC49L_SYNY3</v>
      </c>
      <c r="D3396" t="s">
        <v>3115</v>
      </c>
      <c r="E3396" s="3" t="s">
        <v>527</v>
      </c>
      <c r="F3396" s="4">
        <v>2.9000000000000002E-34</v>
      </c>
      <c r="G3396" s="3">
        <v>321</v>
      </c>
      <c r="H3396" s="3">
        <v>61</v>
      </c>
      <c r="I3396" s="3">
        <v>99</v>
      </c>
      <c r="J3396" s="3">
        <v>593</v>
      </c>
      <c r="K3396" s="3">
        <v>889</v>
      </c>
      <c r="L3396" s="3">
        <v>2</v>
      </c>
      <c r="M3396" s="3">
        <v>100</v>
      </c>
    </row>
    <row r="3397" spans="1:13" x14ac:dyDescent="0.25">
      <c r="A3397" s="1" t="str">
        <f>HYPERLINK("http://www.rosaceae.org/Prunus/Prunus_persica/p.persica_gdr_reftransV1_0007919","p.persica_gdr_reftransV1_0007919")</f>
        <v>p.persica_gdr_reftransV1_0007919</v>
      </c>
      <c r="B3397" s="3">
        <v>1778</v>
      </c>
      <c r="C3397" s="1" t="str">
        <f>HYPERLINK("http://www.uniprot.org/uniprot/U87A1_ARATH","U87A1_ARATH")</f>
        <v>U87A1_ARATH</v>
      </c>
      <c r="D3397" t="s">
        <v>2427</v>
      </c>
      <c r="E3397" s="3" t="s">
        <v>3</v>
      </c>
      <c r="F3397" s="4">
        <v>1.4299999999999999E-178</v>
      </c>
      <c r="G3397" s="3">
        <v>1338</v>
      </c>
      <c r="H3397" s="3">
        <v>57</v>
      </c>
      <c r="I3397" s="3">
        <v>446</v>
      </c>
      <c r="J3397" s="3">
        <v>201</v>
      </c>
      <c r="K3397" s="3">
        <v>1532</v>
      </c>
      <c r="L3397" s="3">
        <v>1</v>
      </c>
      <c r="M3397" s="3">
        <v>438</v>
      </c>
    </row>
    <row r="3398" spans="1:13" x14ac:dyDescent="0.25">
      <c r="A3398" s="1" t="str">
        <f>HYPERLINK("http://www.rosaceae.org/Prunus/Prunus_persica/p.persica_gdr_reftransV1_0007969","p.persica_gdr_reftransV1_0007969")</f>
        <v>p.persica_gdr_reftransV1_0007969</v>
      </c>
      <c r="B3398" s="3">
        <v>333</v>
      </c>
      <c r="C3398" s="1" t="str">
        <f>HYPERLINK("http://www.uniprot.org/uniprot/FBT2_ARATH","FBT2_ARATH")</f>
        <v>FBT2_ARATH</v>
      </c>
      <c r="D3398" t="s">
        <v>662</v>
      </c>
      <c r="E3398" s="3" t="s">
        <v>3</v>
      </c>
      <c r="F3398" s="4">
        <v>5.2199999999999996E-31</v>
      </c>
      <c r="G3398" s="3">
        <v>296</v>
      </c>
      <c r="H3398" s="3">
        <v>65</v>
      </c>
      <c r="I3398" s="3">
        <v>83</v>
      </c>
      <c r="J3398" s="3">
        <v>8</v>
      </c>
      <c r="K3398" s="3">
        <v>256</v>
      </c>
      <c r="L3398" s="3">
        <v>268</v>
      </c>
      <c r="M3398" s="3">
        <v>350</v>
      </c>
    </row>
    <row r="3399" spans="1:13" x14ac:dyDescent="0.25">
      <c r="A3399" s="1" t="str">
        <f>HYPERLINK("http://www.rosaceae.org/Prunus/Prunus_persica/p.persica_gdr_reftransV1_0008019","p.persica_gdr_reftransV1_0008019")</f>
        <v>p.persica_gdr_reftransV1_0008019</v>
      </c>
      <c r="B3399" s="3">
        <v>967</v>
      </c>
      <c r="C3399" s="1" t="str">
        <f>HYPERLINK("http://www.uniprot.org/uniprot/CVIF1_ARATH","CVIF1_ARATH")</f>
        <v>CVIF1_ARATH</v>
      </c>
      <c r="D3399" t="s">
        <v>3116</v>
      </c>
      <c r="E3399" s="3" t="s">
        <v>3</v>
      </c>
      <c r="F3399" s="4">
        <v>5.49E-28</v>
      </c>
      <c r="G3399" s="3">
        <v>281</v>
      </c>
      <c r="H3399" s="3">
        <v>43</v>
      </c>
      <c r="I3399" s="3">
        <v>143</v>
      </c>
      <c r="J3399" s="3">
        <v>240</v>
      </c>
      <c r="K3399" s="3">
        <v>668</v>
      </c>
      <c r="L3399" s="3">
        <v>23</v>
      </c>
      <c r="M3399" s="3">
        <v>161</v>
      </c>
    </row>
    <row r="3400" spans="1:13" x14ac:dyDescent="0.25">
      <c r="A3400" s="1" t="str">
        <f>HYPERLINK("http://www.rosaceae.org/Prunus/Prunus_persica/p.persica_gdr_reftransV1_0008069","p.persica_gdr_reftransV1_0008069")</f>
        <v>p.persica_gdr_reftransV1_0008069</v>
      </c>
      <c r="B3400" s="3">
        <v>1991</v>
      </c>
      <c r="C3400" s="1" t="str">
        <f>HYPERLINK("http://www.uniprot.org/uniprot/SAP5_ARATH","SAP5_ARATH")</f>
        <v>SAP5_ARATH</v>
      </c>
      <c r="D3400" t="s">
        <v>3117</v>
      </c>
      <c r="E3400" s="3" t="s">
        <v>3</v>
      </c>
      <c r="F3400" s="4">
        <v>9.4700000000000005E-43</v>
      </c>
      <c r="G3400" s="3">
        <v>394</v>
      </c>
      <c r="H3400" s="3">
        <v>57</v>
      </c>
      <c r="I3400" s="3">
        <v>157</v>
      </c>
      <c r="J3400" s="3">
        <v>229</v>
      </c>
      <c r="K3400" s="3">
        <v>684</v>
      </c>
      <c r="L3400" s="3">
        <v>1</v>
      </c>
      <c r="M3400" s="3">
        <v>150</v>
      </c>
    </row>
    <row r="3401" spans="1:13" x14ac:dyDescent="0.25">
      <c r="A3401" s="1" t="str">
        <f>HYPERLINK("http://www.rosaceae.org/Prunus/Prunus_persica/p.persica_gdr_reftransV1_0008169","p.persica_gdr_reftransV1_0008169")</f>
        <v>p.persica_gdr_reftransV1_0008169</v>
      </c>
      <c r="B3401" s="3">
        <v>1802</v>
      </c>
      <c r="C3401" s="1" t="str">
        <f>HYPERLINK("http://www.uniprot.org/uniprot/MY1R1_SOLTU","MY1R1_SOLTU")</f>
        <v>MY1R1_SOLTU</v>
      </c>
      <c r="D3401" t="s">
        <v>2616</v>
      </c>
      <c r="E3401" s="3" t="s">
        <v>11</v>
      </c>
      <c r="F3401" s="4">
        <v>5.3299999999999999E-42</v>
      </c>
      <c r="G3401" s="3">
        <v>399</v>
      </c>
      <c r="H3401" s="3">
        <v>57</v>
      </c>
      <c r="I3401" s="3">
        <v>198</v>
      </c>
      <c r="J3401" s="3">
        <v>429</v>
      </c>
      <c r="K3401" s="3">
        <v>974</v>
      </c>
      <c r="L3401" s="3">
        <v>24</v>
      </c>
      <c r="M3401" s="3">
        <v>207</v>
      </c>
    </row>
    <row r="3402" spans="1:13" x14ac:dyDescent="0.25">
      <c r="A3402" s="1" t="str">
        <f>HYPERLINK("http://www.rosaceae.org/Prunus/Prunus_persica/p.persica_gdr_reftransV1_0008269","p.persica_gdr_reftransV1_0008269")</f>
        <v>p.persica_gdr_reftransV1_0008269</v>
      </c>
      <c r="B3402" s="3">
        <v>1430</v>
      </c>
      <c r="C3402" s="1" t="str">
        <f>HYPERLINK("http://www.uniprot.org/uniprot/DRL42_ARATH","DRL42_ARATH")</f>
        <v>DRL42_ARATH</v>
      </c>
      <c r="D3402" t="s">
        <v>819</v>
      </c>
      <c r="E3402" s="3" t="s">
        <v>3</v>
      </c>
      <c r="F3402" s="4">
        <v>1.32E-9</v>
      </c>
      <c r="G3402" s="3">
        <v>155</v>
      </c>
      <c r="H3402" s="3">
        <v>53</v>
      </c>
      <c r="I3402" s="3">
        <v>68</v>
      </c>
      <c r="J3402" s="3">
        <v>9</v>
      </c>
      <c r="K3402" s="3">
        <v>212</v>
      </c>
      <c r="L3402" s="3">
        <v>266</v>
      </c>
      <c r="M3402" s="3">
        <v>330</v>
      </c>
    </row>
    <row r="3403" spans="1:13" x14ac:dyDescent="0.25">
      <c r="A3403" s="1" t="str">
        <f>HYPERLINK("http://www.rosaceae.org/Prunus/Prunus_persica/p.persica_gdr_reftransV1_0008369","p.persica_gdr_reftransV1_0008369")</f>
        <v>p.persica_gdr_reftransV1_0008369</v>
      </c>
      <c r="B3403" s="3">
        <v>3264</v>
      </c>
      <c r="C3403" s="1" t="str">
        <f>HYPERLINK("http://www.uniprot.org/uniprot/AMRA1_MOUSE","AMRA1_MOUSE")</f>
        <v>AMRA1_MOUSE</v>
      </c>
      <c r="D3403" t="s">
        <v>3118</v>
      </c>
      <c r="E3403" s="3" t="s">
        <v>157</v>
      </c>
      <c r="F3403" s="4">
        <v>1.24E-27</v>
      </c>
      <c r="G3403" s="3">
        <v>313</v>
      </c>
      <c r="H3403" s="3">
        <v>38</v>
      </c>
      <c r="I3403" s="3">
        <v>213</v>
      </c>
      <c r="J3403" s="3">
        <v>2129</v>
      </c>
      <c r="K3403" s="3">
        <v>2746</v>
      </c>
      <c r="L3403" s="3">
        <v>7</v>
      </c>
      <c r="M3403" s="3">
        <v>201</v>
      </c>
    </row>
    <row r="3404" spans="1:13" x14ac:dyDescent="0.25">
      <c r="A3404" s="1" t="str">
        <f>HYPERLINK("http://www.rosaceae.org/Prunus/Prunus_persica/p.persica_gdr_reftransV1_0008419","p.persica_gdr_reftransV1_0008419")</f>
        <v>p.persica_gdr_reftransV1_0008419</v>
      </c>
      <c r="B3404" s="3">
        <v>1863</v>
      </c>
      <c r="C3404" s="1" t="str">
        <f>HYPERLINK("http://www.uniprot.org/uniprot/ARGI1_ARATH","ARGI1_ARATH")</f>
        <v>ARGI1_ARATH</v>
      </c>
      <c r="D3404" t="s">
        <v>3119</v>
      </c>
      <c r="E3404" s="3" t="s">
        <v>3</v>
      </c>
      <c r="F3404" s="4">
        <v>0</v>
      </c>
      <c r="G3404" s="3">
        <v>1587</v>
      </c>
      <c r="H3404" s="3">
        <v>89</v>
      </c>
      <c r="I3404" s="3">
        <v>339</v>
      </c>
      <c r="J3404" s="3">
        <v>567</v>
      </c>
      <c r="K3404" s="3">
        <v>1574</v>
      </c>
      <c r="L3404" s="3">
        <v>4</v>
      </c>
      <c r="M3404" s="3">
        <v>342</v>
      </c>
    </row>
    <row r="3405" spans="1:13" x14ac:dyDescent="0.25">
      <c r="A3405" s="1" t="str">
        <f>HYPERLINK("http://www.rosaceae.org/Prunus/Prunus_persica/p.persica_gdr_reftransV1_0008569","p.persica_gdr_reftransV1_0008569")</f>
        <v>p.persica_gdr_reftransV1_0008569</v>
      </c>
      <c r="B3405" s="3">
        <v>933</v>
      </c>
      <c r="C3405" s="1" t="str">
        <f>HYPERLINK("http://www.uniprot.org/uniprot/Y3475_ARATH","Y3475_ARATH")</f>
        <v>Y3475_ARATH</v>
      </c>
      <c r="D3405" t="s">
        <v>827</v>
      </c>
      <c r="E3405" s="3" t="s">
        <v>3</v>
      </c>
      <c r="F3405" s="4">
        <v>4.55E-23</v>
      </c>
      <c r="G3405" s="3">
        <v>259</v>
      </c>
      <c r="H3405" s="3">
        <v>45</v>
      </c>
      <c r="I3405" s="3">
        <v>108</v>
      </c>
      <c r="J3405" s="3">
        <v>573</v>
      </c>
      <c r="K3405" s="3">
        <v>896</v>
      </c>
      <c r="L3405" s="3">
        <v>24</v>
      </c>
      <c r="M3405" s="3">
        <v>131</v>
      </c>
    </row>
    <row r="3406" spans="1:13" x14ac:dyDescent="0.25">
      <c r="A3406" s="1" t="str">
        <f>HYPERLINK("http://www.rosaceae.org/Prunus/Prunus_persica/p.persica_gdr_reftransV1_0008619","p.persica_gdr_reftransV1_0008619")</f>
        <v>p.persica_gdr_reftransV1_0008619</v>
      </c>
      <c r="B3406" s="3">
        <v>2702</v>
      </c>
      <c r="C3406" s="1" t="str">
        <f>HYPERLINK("http://www.uniprot.org/uniprot/PGMC_POPTN","PGMC_POPTN")</f>
        <v>PGMC_POPTN</v>
      </c>
      <c r="D3406" t="s">
        <v>3120</v>
      </c>
      <c r="E3406" s="3" t="s">
        <v>3121</v>
      </c>
      <c r="F3406" s="4">
        <v>0</v>
      </c>
      <c r="G3406" s="3">
        <v>2007</v>
      </c>
      <c r="H3406" s="3">
        <v>89</v>
      </c>
      <c r="I3406" s="3">
        <v>446</v>
      </c>
      <c r="J3406" s="3">
        <v>1120</v>
      </c>
      <c r="K3406" s="3">
        <v>2457</v>
      </c>
      <c r="L3406" s="3">
        <v>5</v>
      </c>
      <c r="M3406" s="3">
        <v>450</v>
      </c>
    </row>
    <row r="3407" spans="1:13" x14ac:dyDescent="0.25">
      <c r="A3407" s="1" t="str">
        <f>HYPERLINK("http://www.rosaceae.org/Prunus/Prunus_persica/p.persica_gdr_reftransV1_0008769","p.persica_gdr_reftransV1_0008769")</f>
        <v>p.persica_gdr_reftransV1_0008769</v>
      </c>
      <c r="B3407" s="3">
        <v>1780</v>
      </c>
      <c r="C3407" s="1" t="str">
        <f>HYPERLINK("http://www.uniprot.org/uniprot/MD19B_ARATH","MD19B_ARATH")</f>
        <v>MD19B_ARATH</v>
      </c>
      <c r="D3407" t="s">
        <v>3122</v>
      </c>
      <c r="E3407" s="3" t="s">
        <v>3</v>
      </c>
      <c r="F3407" s="4">
        <v>1.05E-43</v>
      </c>
      <c r="G3407" s="3">
        <v>404</v>
      </c>
      <c r="H3407" s="3">
        <v>69</v>
      </c>
      <c r="I3407" s="3">
        <v>115</v>
      </c>
      <c r="J3407" s="3">
        <v>509</v>
      </c>
      <c r="K3407" s="3">
        <v>844</v>
      </c>
      <c r="L3407" s="3">
        <v>1</v>
      </c>
      <c r="M3407" s="3">
        <v>114</v>
      </c>
    </row>
    <row r="3408" spans="1:13" x14ac:dyDescent="0.25">
      <c r="A3408" s="1" t="str">
        <f>HYPERLINK("http://www.rosaceae.org/Prunus/Prunus_persica/p.persica_gdr_reftransV1_0009019","p.persica_gdr_reftransV1_0009019")</f>
        <v>p.persica_gdr_reftransV1_0009019</v>
      </c>
      <c r="B3408" s="3">
        <v>2042</v>
      </c>
      <c r="C3408" s="1" t="str">
        <f>HYPERLINK("http://www.uniprot.org/uniprot/SYFA_ARATH","SYFA_ARATH")</f>
        <v>SYFA_ARATH</v>
      </c>
      <c r="D3408" t="s">
        <v>3123</v>
      </c>
      <c r="E3408" s="3" t="s">
        <v>3</v>
      </c>
      <c r="F3408" s="4">
        <v>0</v>
      </c>
      <c r="G3408" s="3">
        <v>2207</v>
      </c>
      <c r="H3408" s="3">
        <v>83</v>
      </c>
      <c r="I3408" s="3">
        <v>488</v>
      </c>
      <c r="J3408" s="3">
        <v>195</v>
      </c>
      <c r="K3408" s="3">
        <v>1655</v>
      </c>
      <c r="L3408" s="3">
        <v>1</v>
      </c>
      <c r="M3408" s="3">
        <v>485</v>
      </c>
    </row>
    <row r="3409" spans="1:13" x14ac:dyDescent="0.25">
      <c r="A3409" s="1" t="str">
        <f>HYPERLINK("http://www.rosaceae.org/Prunus/Prunus_persica/p.persica_gdr_reftransV1_0009119","p.persica_gdr_reftransV1_0009119")</f>
        <v>p.persica_gdr_reftransV1_0009119</v>
      </c>
      <c r="B3409" s="3">
        <v>2794</v>
      </c>
      <c r="C3409" s="1" t="str">
        <f>HYPERLINK("http://www.uniprot.org/uniprot/NOC2L_ARATH","NOC2L_ARATH")</f>
        <v>NOC2L_ARATH</v>
      </c>
      <c r="D3409" t="s">
        <v>3124</v>
      </c>
      <c r="E3409" s="3" t="s">
        <v>3</v>
      </c>
      <c r="F3409" s="4">
        <v>0</v>
      </c>
      <c r="G3409" s="3">
        <v>2013</v>
      </c>
      <c r="H3409" s="3">
        <v>62</v>
      </c>
      <c r="I3409" s="3">
        <v>668</v>
      </c>
      <c r="J3409" s="3">
        <v>232</v>
      </c>
      <c r="K3409" s="3">
        <v>2202</v>
      </c>
      <c r="L3409" s="3">
        <v>63</v>
      </c>
      <c r="M3409" s="3">
        <v>724</v>
      </c>
    </row>
    <row r="3410" spans="1:13" x14ac:dyDescent="0.25">
      <c r="A3410" s="1" t="str">
        <f>HYPERLINK("http://www.rosaceae.org/Prunus/Prunus_persica/p.persica_gdr_reftransV1_0009169","p.persica_gdr_reftransV1_0009169")</f>
        <v>p.persica_gdr_reftransV1_0009169</v>
      </c>
      <c r="B3410" s="3">
        <v>4022</v>
      </c>
      <c r="C3410" s="1" t="str">
        <f>HYPERLINK("http://www.uniprot.org/uniprot/CESA2_ARATH","CESA2_ARATH")</f>
        <v>CESA2_ARATH</v>
      </c>
      <c r="D3410" t="s">
        <v>3125</v>
      </c>
      <c r="E3410" s="3" t="s">
        <v>3</v>
      </c>
      <c r="F3410" s="4">
        <v>0</v>
      </c>
      <c r="G3410" s="3">
        <v>4577</v>
      </c>
      <c r="H3410" s="3">
        <v>81</v>
      </c>
      <c r="I3410" s="3">
        <v>1100</v>
      </c>
      <c r="J3410" s="3">
        <v>450</v>
      </c>
      <c r="K3410" s="3">
        <v>3740</v>
      </c>
      <c r="L3410" s="3">
        <v>1</v>
      </c>
      <c r="M3410" s="3">
        <v>1082</v>
      </c>
    </row>
    <row r="3411" spans="1:13" x14ac:dyDescent="0.25">
      <c r="A3411" s="1" t="str">
        <f>HYPERLINK("http://www.rosaceae.org/Prunus/Prunus_persica/p.persica_gdr_reftransV1_0009269","p.persica_gdr_reftransV1_0009269")</f>
        <v>p.persica_gdr_reftransV1_0009269</v>
      </c>
      <c r="B3411" s="3">
        <v>1268</v>
      </c>
      <c r="C3411" s="1" t="str">
        <f>HYPERLINK("http://www.uniprot.org/uniprot/CSPL2_GINBI","CSPL2_GINBI")</f>
        <v>CSPL2_GINBI</v>
      </c>
      <c r="D3411" t="s">
        <v>3126</v>
      </c>
      <c r="E3411" s="3" t="s">
        <v>3127</v>
      </c>
      <c r="F3411" s="4">
        <v>4.06E-81</v>
      </c>
      <c r="G3411" s="3">
        <v>648</v>
      </c>
      <c r="H3411" s="3">
        <v>69</v>
      </c>
      <c r="I3411" s="3">
        <v>179</v>
      </c>
      <c r="J3411" s="3">
        <v>456</v>
      </c>
      <c r="K3411" s="3">
        <v>992</v>
      </c>
      <c r="L3411" s="3">
        <v>1</v>
      </c>
      <c r="M3411" s="3">
        <v>176</v>
      </c>
    </row>
    <row r="3412" spans="1:13" x14ac:dyDescent="0.25">
      <c r="A3412" s="1" t="str">
        <f>HYPERLINK("http://www.rosaceae.org/Prunus/Prunus_persica/p.persica_gdr_reftransV1_0009369","p.persica_gdr_reftransV1_0009369")</f>
        <v>p.persica_gdr_reftransV1_0009369</v>
      </c>
      <c r="B3412" s="3">
        <v>1879</v>
      </c>
      <c r="C3412" s="1" t="str">
        <f>HYPERLINK("http://www.uniprot.org/uniprot/AB34G_ARATH","AB34G_ARATH")</f>
        <v>AB34G_ARATH</v>
      </c>
      <c r="D3412" t="s">
        <v>3128</v>
      </c>
      <c r="E3412" s="3" t="s">
        <v>3</v>
      </c>
      <c r="F3412" s="4">
        <v>0</v>
      </c>
      <c r="G3412" s="3">
        <v>1773</v>
      </c>
      <c r="H3412" s="3">
        <v>72</v>
      </c>
      <c r="I3412" s="3">
        <v>438</v>
      </c>
      <c r="J3412" s="3">
        <v>1</v>
      </c>
      <c r="K3412" s="3">
        <v>1314</v>
      </c>
      <c r="L3412" s="3">
        <v>1016</v>
      </c>
      <c r="M3412" s="3">
        <v>1453</v>
      </c>
    </row>
    <row r="3413" spans="1:13" x14ac:dyDescent="0.25">
      <c r="A3413" s="1" t="str">
        <f>HYPERLINK("http://www.rosaceae.org/Prunus/Prunus_persica/p.persica_gdr_reftransV1_0009419","p.persica_gdr_reftransV1_0009419")</f>
        <v>p.persica_gdr_reftransV1_0009419</v>
      </c>
      <c r="B3413" s="3">
        <v>1889</v>
      </c>
      <c r="C3413" s="1" t="str">
        <f>HYPERLINK("http://www.uniprot.org/uniprot/DAAA_ARATH","DAAA_ARATH")</f>
        <v>DAAA_ARATH</v>
      </c>
      <c r="D3413" t="s">
        <v>3129</v>
      </c>
      <c r="E3413" s="3" t="s">
        <v>3</v>
      </c>
      <c r="F3413" s="4">
        <v>2.5699999999999999E-159</v>
      </c>
      <c r="G3413" s="3">
        <v>1207</v>
      </c>
      <c r="H3413" s="3">
        <v>73</v>
      </c>
      <c r="I3413" s="3">
        <v>314</v>
      </c>
      <c r="J3413" s="3">
        <v>599</v>
      </c>
      <c r="K3413" s="3">
        <v>1537</v>
      </c>
      <c r="L3413" s="3">
        <v>64</v>
      </c>
      <c r="M3413" s="3">
        <v>373</v>
      </c>
    </row>
    <row r="3414" spans="1:13" x14ac:dyDescent="0.25">
      <c r="A3414" s="1" t="str">
        <f>HYPERLINK("http://www.rosaceae.org/Prunus/Prunus_persica/p.persica_gdr_reftransV1_0009469","p.persica_gdr_reftransV1_0009469")</f>
        <v>p.persica_gdr_reftransV1_0009469</v>
      </c>
      <c r="B3414" s="3">
        <v>1919</v>
      </c>
      <c r="C3414" s="1" t="str">
        <f>HYPERLINK("http://www.uniprot.org/uniprot/PRRP1_ARATH","PRRP1_ARATH")</f>
        <v>PRRP1_ARATH</v>
      </c>
      <c r="D3414" t="s">
        <v>3130</v>
      </c>
      <c r="E3414" s="3" t="s">
        <v>3</v>
      </c>
      <c r="F3414" s="4">
        <v>0</v>
      </c>
      <c r="G3414" s="3">
        <v>1609</v>
      </c>
      <c r="H3414" s="3">
        <v>62</v>
      </c>
      <c r="I3414" s="3">
        <v>569</v>
      </c>
      <c r="J3414" s="3">
        <v>206</v>
      </c>
      <c r="K3414" s="3">
        <v>1864</v>
      </c>
      <c r="L3414" s="3">
        <v>17</v>
      </c>
      <c r="M3414" s="3">
        <v>571</v>
      </c>
    </row>
    <row r="3415" spans="1:13" x14ac:dyDescent="0.25">
      <c r="A3415" s="1" t="str">
        <f>HYPERLINK("http://www.rosaceae.org/Prunus/Prunus_persica/p.persica_gdr_reftransV1_0009619","p.persica_gdr_reftransV1_0009619")</f>
        <v>p.persica_gdr_reftransV1_0009619</v>
      </c>
      <c r="B3415" s="3">
        <v>2487</v>
      </c>
      <c r="C3415" s="1" t="str">
        <f>HYPERLINK("http://www.uniprot.org/uniprot/ATAD3_XENTR","ATAD3_XENTR")</f>
        <v>ATAD3_XENTR</v>
      </c>
      <c r="D3415" t="s">
        <v>3131</v>
      </c>
      <c r="E3415" s="3" t="s">
        <v>173</v>
      </c>
      <c r="F3415" s="4">
        <v>8.2399999999999998E-101</v>
      </c>
      <c r="G3415" s="3">
        <v>849</v>
      </c>
      <c r="H3415" s="3">
        <v>38</v>
      </c>
      <c r="I3415" s="3">
        <v>558</v>
      </c>
      <c r="J3415" s="3">
        <v>295</v>
      </c>
      <c r="K3415" s="3">
        <v>1959</v>
      </c>
      <c r="L3415" s="3">
        <v>37</v>
      </c>
      <c r="M3415" s="3">
        <v>564</v>
      </c>
    </row>
    <row r="3416" spans="1:13" x14ac:dyDescent="0.25">
      <c r="A3416" s="1" t="str">
        <f>HYPERLINK("http://www.rosaceae.org/Prunus/Prunus_persica/p.persica_gdr_reftransV1_0009769","p.persica_gdr_reftransV1_0009769")</f>
        <v>p.persica_gdr_reftransV1_0009769</v>
      </c>
      <c r="B3416" s="3">
        <v>1202</v>
      </c>
      <c r="C3416" s="1" t="str">
        <f>HYPERLINK("http://www.uniprot.org/uniprot/CIPKF_ARATH","CIPKF_ARATH")</f>
        <v>CIPKF_ARATH</v>
      </c>
      <c r="D3416" t="s">
        <v>3132</v>
      </c>
      <c r="E3416" s="3" t="s">
        <v>3</v>
      </c>
      <c r="F3416" s="4">
        <v>2.8500000000000002E-86</v>
      </c>
      <c r="G3416" s="3">
        <v>703</v>
      </c>
      <c r="H3416" s="3">
        <v>83</v>
      </c>
      <c r="I3416" s="3">
        <v>174</v>
      </c>
      <c r="J3416" s="3">
        <v>3</v>
      </c>
      <c r="K3416" s="3">
        <v>524</v>
      </c>
      <c r="L3416" s="3">
        <v>1</v>
      </c>
      <c r="M3416" s="3">
        <v>174</v>
      </c>
    </row>
    <row r="3417" spans="1:13" x14ac:dyDescent="0.25">
      <c r="A3417" s="1" t="str">
        <f>HYPERLINK("http://www.rosaceae.org/Prunus/Prunus_persica/p.persica_gdr_reftransV1_0009869","p.persica_gdr_reftransV1_0009869")</f>
        <v>p.persica_gdr_reftransV1_0009869</v>
      </c>
      <c r="B3417" s="3">
        <v>1889</v>
      </c>
      <c r="C3417" s="1" t="str">
        <f>HYPERLINK("http://www.uniprot.org/uniprot/PTR28_ARATH","PTR28_ARATH")</f>
        <v>PTR28_ARATH</v>
      </c>
      <c r="D3417" t="s">
        <v>3133</v>
      </c>
      <c r="E3417" s="3" t="s">
        <v>3</v>
      </c>
      <c r="F3417" s="4">
        <v>0</v>
      </c>
      <c r="G3417" s="3">
        <v>1898</v>
      </c>
      <c r="H3417" s="3">
        <v>62</v>
      </c>
      <c r="I3417" s="3">
        <v>558</v>
      </c>
      <c r="J3417" s="3">
        <v>117</v>
      </c>
      <c r="K3417" s="3">
        <v>1784</v>
      </c>
      <c r="L3417" s="3">
        <v>13</v>
      </c>
      <c r="M3417" s="3">
        <v>567</v>
      </c>
    </row>
    <row r="3418" spans="1:13" x14ac:dyDescent="0.25">
      <c r="A3418" s="1" t="str">
        <f>HYPERLINK("http://www.rosaceae.org/Prunus/Prunus_persica/p.persica_gdr_reftransV1_0010069","p.persica_gdr_reftransV1_0010069")</f>
        <v>p.persica_gdr_reftransV1_0010069</v>
      </c>
      <c r="B3418" s="3">
        <v>916</v>
      </c>
      <c r="C3418" s="1" t="str">
        <f>HYPERLINK("http://www.uniprot.org/uniprot/FB55_ARATH","FB55_ARATH")</f>
        <v>FB55_ARATH</v>
      </c>
      <c r="D3418" t="s">
        <v>3134</v>
      </c>
      <c r="E3418" s="3" t="s">
        <v>3</v>
      </c>
      <c r="F3418" s="4">
        <v>1.4100000000000001E-19</v>
      </c>
      <c r="G3418" s="3">
        <v>226</v>
      </c>
      <c r="H3418" s="3">
        <v>30</v>
      </c>
      <c r="I3418" s="3">
        <v>274</v>
      </c>
      <c r="J3418" s="3">
        <v>150</v>
      </c>
      <c r="K3418" s="3">
        <v>890</v>
      </c>
      <c r="L3418" s="3">
        <v>144</v>
      </c>
      <c r="M3418" s="3">
        <v>389</v>
      </c>
    </row>
    <row r="3419" spans="1:13" x14ac:dyDescent="0.25">
      <c r="A3419" s="1" t="str">
        <f>HYPERLINK("http://www.rosaceae.org/Prunus/Prunus_persica/p.persica_gdr_reftransV1_0010119","p.persica_gdr_reftransV1_0010119")</f>
        <v>p.persica_gdr_reftransV1_0010119</v>
      </c>
      <c r="B3419" s="3">
        <v>2080</v>
      </c>
      <c r="C3419" s="1" t="str">
        <f>HYPERLINK("http://www.uniprot.org/uniprot/Y1670_ARATH","Y1670_ARATH")</f>
        <v>Y1670_ARATH</v>
      </c>
      <c r="D3419" t="s">
        <v>3135</v>
      </c>
      <c r="E3419" s="3" t="s">
        <v>3</v>
      </c>
      <c r="F3419" s="4">
        <v>3.0999999999999998E-119</v>
      </c>
      <c r="G3419" s="3">
        <v>987</v>
      </c>
      <c r="H3419" s="3">
        <v>41</v>
      </c>
      <c r="I3419" s="3">
        <v>624</v>
      </c>
      <c r="J3419" s="3">
        <v>103</v>
      </c>
      <c r="K3419" s="3">
        <v>1860</v>
      </c>
      <c r="L3419" s="3">
        <v>248</v>
      </c>
      <c r="M3419" s="3">
        <v>848</v>
      </c>
    </row>
    <row r="3420" spans="1:13" x14ac:dyDescent="0.25">
      <c r="A3420" s="1" t="str">
        <f>HYPERLINK("http://www.rosaceae.org/Prunus/Prunus_persica/p.persica_gdr_reftransV1_0010269","p.persica_gdr_reftransV1_0010269")</f>
        <v>p.persica_gdr_reftransV1_0010269</v>
      </c>
      <c r="B3420" s="3">
        <v>6507</v>
      </c>
      <c r="C3420" s="1" t="str">
        <f>HYPERLINK("http://www.uniprot.org/uniprot/VP13A_DICDI","VP13A_DICDI")</f>
        <v>VP13A_DICDI</v>
      </c>
      <c r="D3420" t="s">
        <v>620</v>
      </c>
      <c r="E3420" s="3" t="s">
        <v>9</v>
      </c>
      <c r="F3420" s="4">
        <v>1.6900000000000001E-47</v>
      </c>
      <c r="G3420" s="3">
        <v>489</v>
      </c>
      <c r="H3420" s="3">
        <v>23</v>
      </c>
      <c r="I3420" s="3">
        <v>740</v>
      </c>
      <c r="J3420" s="3">
        <v>1065</v>
      </c>
      <c r="K3420" s="3">
        <v>3215</v>
      </c>
      <c r="L3420" s="3">
        <v>2575</v>
      </c>
      <c r="M3420" s="3">
        <v>3224</v>
      </c>
    </row>
    <row r="3421" spans="1:13" x14ac:dyDescent="0.25">
      <c r="A3421" s="1" t="str">
        <f>HYPERLINK("http://www.rosaceae.org/Prunus/Prunus_persica/p.persica_gdr_reftransV1_0010419","p.persica_gdr_reftransV1_0010419")</f>
        <v>p.persica_gdr_reftransV1_0010419</v>
      </c>
      <c r="B3421" s="3">
        <v>1046</v>
      </c>
      <c r="C3421" s="1" t="str">
        <f>HYPERLINK("http://www.uniprot.org/uniprot/ACO13_PONAB","ACO13_PONAB")</f>
        <v>ACO13_PONAB</v>
      </c>
      <c r="D3421" t="s">
        <v>666</v>
      </c>
      <c r="E3421" s="3" t="s">
        <v>176</v>
      </c>
      <c r="F3421" s="4">
        <v>5.3400000000000002E-10</v>
      </c>
      <c r="G3421" s="3">
        <v>147</v>
      </c>
      <c r="H3421" s="3">
        <v>38</v>
      </c>
      <c r="I3421" s="3">
        <v>105</v>
      </c>
      <c r="J3421" s="3">
        <v>427</v>
      </c>
      <c r="K3421" s="3">
        <v>735</v>
      </c>
      <c r="L3421" s="3">
        <v>30</v>
      </c>
      <c r="M3421" s="3">
        <v>133</v>
      </c>
    </row>
    <row r="3422" spans="1:13" x14ac:dyDescent="0.25">
      <c r="A3422" s="1" t="str">
        <f>HYPERLINK("http://www.rosaceae.org/Prunus/Prunus_persica/p.persica_gdr_reftransV1_0010469","p.persica_gdr_reftransV1_0010469")</f>
        <v>p.persica_gdr_reftransV1_0010469</v>
      </c>
      <c r="B3422" s="3">
        <v>4870</v>
      </c>
      <c r="C3422" s="1" t="str">
        <f>HYPERLINK("http://www.uniprot.org/uniprot/BST1_ASPOR","BST1_ASPOR")</f>
        <v>BST1_ASPOR</v>
      </c>
      <c r="D3422" t="s">
        <v>3136</v>
      </c>
      <c r="E3422" s="3" t="s">
        <v>262</v>
      </c>
      <c r="F3422" s="4">
        <v>2.4899999999999999E-46</v>
      </c>
      <c r="G3422" s="3">
        <v>473</v>
      </c>
      <c r="H3422" s="3">
        <v>34</v>
      </c>
      <c r="I3422" s="3">
        <v>326</v>
      </c>
      <c r="J3422" s="3">
        <v>3495</v>
      </c>
      <c r="K3422" s="3">
        <v>4472</v>
      </c>
      <c r="L3422" s="3">
        <v>178</v>
      </c>
      <c r="M3422" s="3">
        <v>471</v>
      </c>
    </row>
    <row r="3423" spans="1:13" x14ac:dyDescent="0.25">
      <c r="A3423" s="1" t="str">
        <f>HYPERLINK("http://www.rosaceae.org/Prunus/Prunus_persica/p.persica_gdr_reftransV1_0010519","p.persica_gdr_reftransV1_0010519")</f>
        <v>p.persica_gdr_reftransV1_0010519</v>
      </c>
      <c r="B3423" s="3">
        <v>2209</v>
      </c>
      <c r="C3423" s="1" t="str">
        <f>HYPERLINK("http://www.uniprot.org/uniprot/NPC6_ARATH","NPC6_ARATH")</f>
        <v>NPC6_ARATH</v>
      </c>
      <c r="D3423" t="s">
        <v>3137</v>
      </c>
      <c r="E3423" s="3" t="s">
        <v>3</v>
      </c>
      <c r="F3423" s="4">
        <v>0</v>
      </c>
      <c r="G3423" s="3">
        <v>2200</v>
      </c>
      <c r="H3423" s="3">
        <v>82</v>
      </c>
      <c r="I3423" s="3">
        <v>496</v>
      </c>
      <c r="J3423" s="3">
        <v>332</v>
      </c>
      <c r="K3423" s="3">
        <v>1810</v>
      </c>
      <c r="L3423" s="3">
        <v>25</v>
      </c>
      <c r="M3423" s="3">
        <v>517</v>
      </c>
    </row>
    <row r="3424" spans="1:13" x14ac:dyDescent="0.25">
      <c r="A3424" s="1" t="str">
        <f>HYPERLINK("http://www.rosaceae.org/Prunus/Prunus_persica/p.persica_gdr_reftransV1_0010569","p.persica_gdr_reftransV1_0010569")</f>
        <v>p.persica_gdr_reftransV1_0010569</v>
      </c>
      <c r="B3424" s="3">
        <v>994</v>
      </c>
      <c r="C3424" s="1" t="str">
        <f>HYPERLINK("http://www.uniprot.org/uniprot/GDU5_ARATH","GDU5_ARATH")</f>
        <v>GDU5_ARATH</v>
      </c>
      <c r="D3424" t="s">
        <v>3138</v>
      </c>
      <c r="E3424" s="3" t="s">
        <v>3</v>
      </c>
      <c r="F3424" s="4">
        <v>5.2299999999999999E-13</v>
      </c>
      <c r="G3424" s="3">
        <v>168</v>
      </c>
      <c r="H3424" s="3">
        <v>60</v>
      </c>
      <c r="I3424" s="3">
        <v>100</v>
      </c>
      <c r="J3424" s="3">
        <v>491</v>
      </c>
      <c r="K3424" s="3">
        <v>790</v>
      </c>
      <c r="L3424" s="3">
        <v>18</v>
      </c>
      <c r="M3424" s="3">
        <v>104</v>
      </c>
    </row>
    <row r="3425" spans="1:13" x14ac:dyDescent="0.25">
      <c r="A3425" s="1" t="str">
        <f>HYPERLINK("http://www.rosaceae.org/Prunus/Prunus_persica/p.persica_gdr_reftransV1_0010669","p.persica_gdr_reftransV1_0010669")</f>
        <v>p.persica_gdr_reftransV1_0010669</v>
      </c>
      <c r="B3425" s="3">
        <v>2298</v>
      </c>
      <c r="C3425" s="1" t="str">
        <f>HYPERLINK("http://www.uniprot.org/uniprot/FBK22_ARATH","FBK22_ARATH")</f>
        <v>FBK22_ARATH</v>
      </c>
      <c r="D3425" t="s">
        <v>3139</v>
      </c>
      <c r="E3425" s="3" t="s">
        <v>3</v>
      </c>
      <c r="F3425" s="4">
        <v>0</v>
      </c>
      <c r="G3425" s="3">
        <v>1797</v>
      </c>
      <c r="H3425" s="3">
        <v>78</v>
      </c>
      <c r="I3425" s="3">
        <v>438</v>
      </c>
      <c r="J3425" s="3">
        <v>531</v>
      </c>
      <c r="K3425" s="3">
        <v>1841</v>
      </c>
      <c r="L3425" s="3">
        <v>1</v>
      </c>
      <c r="M3425" s="3">
        <v>434</v>
      </c>
    </row>
    <row r="3426" spans="1:13" x14ac:dyDescent="0.25">
      <c r="A3426" s="1" t="str">
        <f>HYPERLINK("http://www.rosaceae.org/Prunus/Prunus_persica/p.persica_gdr_reftransV1_0010719","p.persica_gdr_reftransV1_0010719")</f>
        <v>p.persica_gdr_reftransV1_0010719</v>
      </c>
      <c r="B3426" s="3">
        <v>3413</v>
      </c>
      <c r="C3426" s="1" t="str">
        <f>HYPERLINK("http://www.uniprot.org/uniprot/SBT12_ARATH","SBT12_ARATH")</f>
        <v>SBT12_ARATH</v>
      </c>
      <c r="D3426" t="s">
        <v>3140</v>
      </c>
      <c r="E3426" s="3" t="s">
        <v>3</v>
      </c>
      <c r="F3426" s="4">
        <v>4.8599999999999997E-160</v>
      </c>
      <c r="G3426" s="3">
        <v>1291</v>
      </c>
      <c r="H3426" s="3">
        <v>42</v>
      </c>
      <c r="I3426" s="3">
        <v>764</v>
      </c>
      <c r="J3426" s="3">
        <v>239</v>
      </c>
      <c r="K3426" s="3">
        <v>2440</v>
      </c>
      <c r="L3426" s="3">
        <v>26</v>
      </c>
      <c r="M3426" s="3">
        <v>772</v>
      </c>
    </row>
    <row r="3427" spans="1:13" x14ac:dyDescent="0.25">
      <c r="A3427" s="1" t="str">
        <f>HYPERLINK("http://www.rosaceae.org/Prunus/Prunus_persica/p.persica_gdr_reftransV1_0010819","p.persica_gdr_reftransV1_0010819")</f>
        <v>p.persica_gdr_reftransV1_0010819</v>
      </c>
      <c r="B3427" s="3">
        <v>1503</v>
      </c>
      <c r="C3427" s="1" t="str">
        <f>HYPERLINK("http://www.uniprot.org/uniprot/ADPRM_ORYSJ","ADPRM_ORYSJ")</f>
        <v>ADPRM_ORYSJ</v>
      </c>
      <c r="D3427" t="s">
        <v>3141</v>
      </c>
      <c r="E3427" s="3" t="s">
        <v>38</v>
      </c>
      <c r="F3427" s="4">
        <v>1.4099999999999999E-172</v>
      </c>
      <c r="G3427" s="3">
        <v>1277</v>
      </c>
      <c r="H3427" s="3">
        <v>69</v>
      </c>
      <c r="I3427" s="3">
        <v>321</v>
      </c>
      <c r="J3427" s="3">
        <v>209</v>
      </c>
      <c r="K3427" s="3">
        <v>1171</v>
      </c>
      <c r="L3427" s="3">
        <v>1</v>
      </c>
      <c r="M3427" s="3">
        <v>321</v>
      </c>
    </row>
    <row r="3428" spans="1:13" x14ac:dyDescent="0.25">
      <c r="A3428" s="1" t="str">
        <f>HYPERLINK("http://www.rosaceae.org/Prunus/Prunus_persica/p.persica_gdr_reftransV1_0010869","p.persica_gdr_reftransV1_0010869")</f>
        <v>p.persica_gdr_reftransV1_0010869</v>
      </c>
      <c r="B3428" s="3">
        <v>2911</v>
      </c>
      <c r="C3428" s="1" t="str">
        <f>HYPERLINK("http://www.uniprot.org/uniprot/Y005_SYNY3","Y005_SYNY3")</f>
        <v>Y005_SYNY3</v>
      </c>
      <c r="D3428" t="s">
        <v>3142</v>
      </c>
      <c r="E3428" s="3" t="s">
        <v>527</v>
      </c>
      <c r="F3428" s="4">
        <v>3.4400000000000002E-102</v>
      </c>
      <c r="G3428" s="3">
        <v>729</v>
      </c>
      <c r="H3428" s="3">
        <v>40</v>
      </c>
      <c r="I3428" s="3">
        <v>415</v>
      </c>
      <c r="J3428" s="3">
        <v>1068</v>
      </c>
      <c r="K3428" s="3">
        <v>2297</v>
      </c>
      <c r="L3428" s="3">
        <v>188</v>
      </c>
      <c r="M3428" s="3">
        <v>554</v>
      </c>
    </row>
    <row r="3429" spans="1:13" x14ac:dyDescent="0.25">
      <c r="A3429" s="1" t="str">
        <f>HYPERLINK("http://www.rosaceae.org/Prunus/Prunus_persica/p.persica_gdr_reftransV1_0011269","p.persica_gdr_reftransV1_0011269")</f>
        <v>p.persica_gdr_reftransV1_0011269</v>
      </c>
      <c r="B3429" s="3">
        <v>1963</v>
      </c>
      <c r="C3429" s="1" t="str">
        <f>HYPERLINK("http://www.uniprot.org/uniprot/AMSH3_ARATH","AMSH3_ARATH")</f>
        <v>AMSH3_ARATH</v>
      </c>
      <c r="D3429" t="s">
        <v>3143</v>
      </c>
      <c r="E3429" s="3" t="s">
        <v>3</v>
      </c>
      <c r="F3429" s="4">
        <v>0</v>
      </c>
      <c r="G3429" s="3">
        <v>1726</v>
      </c>
      <c r="H3429" s="3">
        <v>65</v>
      </c>
      <c r="I3429" s="3">
        <v>513</v>
      </c>
      <c r="J3429" s="3">
        <v>146</v>
      </c>
      <c r="K3429" s="3">
        <v>1678</v>
      </c>
      <c r="L3429" s="3">
        <v>1</v>
      </c>
      <c r="M3429" s="3">
        <v>507</v>
      </c>
    </row>
    <row r="3430" spans="1:13" x14ac:dyDescent="0.25">
      <c r="A3430" s="1" t="str">
        <f>HYPERLINK("http://www.rosaceae.org/Prunus/Prunus_persica/p.persica_gdr_reftransV1_0011469","p.persica_gdr_reftransV1_0011469")</f>
        <v>p.persica_gdr_reftransV1_0011469</v>
      </c>
      <c r="B3430" s="3">
        <v>2570</v>
      </c>
      <c r="C3430" s="1" t="str">
        <f>HYPERLINK("http://www.uniprot.org/uniprot/RDRP_AMVLE","RDRP_AMVLE")</f>
        <v>RDRP_AMVLE</v>
      </c>
      <c r="D3430" t="s">
        <v>3144</v>
      </c>
      <c r="E3430" s="3" t="s">
        <v>3145</v>
      </c>
      <c r="F3430" s="4">
        <v>1.6799999999999999E-178</v>
      </c>
      <c r="G3430" s="3">
        <v>1395</v>
      </c>
      <c r="H3430" s="3">
        <v>53</v>
      </c>
      <c r="I3430" s="3">
        <v>511</v>
      </c>
      <c r="J3430" s="3">
        <v>742</v>
      </c>
      <c r="K3430" s="3">
        <v>2271</v>
      </c>
      <c r="L3430" s="3">
        <v>252</v>
      </c>
      <c r="M3430" s="3">
        <v>762</v>
      </c>
    </row>
    <row r="3431" spans="1:13" x14ac:dyDescent="0.25">
      <c r="A3431" s="1" t="str">
        <f>HYPERLINK("http://www.rosaceae.org/Prunus/Prunus_persica/p.persica_gdr_reftransV1_0011519","p.persica_gdr_reftransV1_0011519")</f>
        <v>p.persica_gdr_reftransV1_0011519</v>
      </c>
      <c r="B3431" s="3">
        <v>3604</v>
      </c>
      <c r="C3431" s="1" t="str">
        <f>HYPERLINK("http://www.uniprot.org/uniprot/SFH13_ARATH","SFH13_ARATH")</f>
        <v>SFH13_ARATH</v>
      </c>
      <c r="D3431" t="s">
        <v>3146</v>
      </c>
      <c r="E3431" s="3" t="s">
        <v>3</v>
      </c>
      <c r="F3431" s="4">
        <v>0</v>
      </c>
      <c r="G3431" s="3">
        <v>1873</v>
      </c>
      <c r="H3431" s="3">
        <v>62</v>
      </c>
      <c r="I3431" s="3">
        <v>625</v>
      </c>
      <c r="J3431" s="3">
        <v>1493</v>
      </c>
      <c r="K3431" s="3">
        <v>3355</v>
      </c>
      <c r="L3431" s="3">
        <v>1</v>
      </c>
      <c r="M3431" s="3">
        <v>625</v>
      </c>
    </row>
    <row r="3432" spans="1:13" x14ac:dyDescent="0.25">
      <c r="A3432" s="1" t="str">
        <f>HYPERLINK("http://www.rosaceae.org/Prunus/Prunus_persica/p.persica_gdr_reftransV1_0011669","p.persica_gdr_reftransV1_0011669")</f>
        <v>p.persica_gdr_reftransV1_0011669</v>
      </c>
      <c r="B3432" s="3">
        <v>1160</v>
      </c>
      <c r="C3432" s="1" t="str">
        <f>HYPERLINK("http://www.uniprot.org/uniprot/PPR15_ARATH","PPR15_ARATH")</f>
        <v>PPR15_ARATH</v>
      </c>
      <c r="D3432" t="s">
        <v>3147</v>
      </c>
      <c r="E3432" s="3" t="s">
        <v>3</v>
      </c>
      <c r="F3432" s="4">
        <v>2.4399999999999998E-103</v>
      </c>
      <c r="G3432" s="3">
        <v>829</v>
      </c>
      <c r="H3432" s="3">
        <v>65</v>
      </c>
      <c r="I3432" s="3">
        <v>235</v>
      </c>
      <c r="J3432" s="3">
        <v>2</v>
      </c>
      <c r="K3432" s="3">
        <v>706</v>
      </c>
      <c r="L3432" s="3">
        <v>338</v>
      </c>
      <c r="M3432" s="3">
        <v>572</v>
      </c>
    </row>
    <row r="3433" spans="1:13" x14ac:dyDescent="0.25">
      <c r="A3433" s="1" t="str">
        <f>HYPERLINK("http://www.rosaceae.org/Prunus/Prunus_persica/p.persica_gdr_reftransV1_0011819","p.persica_gdr_reftransV1_0011819")</f>
        <v>p.persica_gdr_reftransV1_0011819</v>
      </c>
      <c r="B3433" s="3">
        <v>1581</v>
      </c>
      <c r="C3433" s="1" t="str">
        <f>HYPERLINK("http://www.uniprot.org/uniprot/MSRB1_ORYSJ","MSRB1_ORYSJ")</f>
        <v>MSRB1_ORYSJ</v>
      </c>
      <c r="D3433" t="s">
        <v>3148</v>
      </c>
      <c r="E3433" s="3" t="s">
        <v>38</v>
      </c>
      <c r="F3433" s="4">
        <v>8.2100000000000002E-55</v>
      </c>
      <c r="G3433" s="3">
        <v>481</v>
      </c>
      <c r="H3433" s="3">
        <v>90</v>
      </c>
      <c r="I3433" s="3">
        <v>94</v>
      </c>
      <c r="J3433" s="3">
        <v>843</v>
      </c>
      <c r="K3433" s="3">
        <v>1124</v>
      </c>
      <c r="L3433" s="3">
        <v>118</v>
      </c>
      <c r="M3433" s="3">
        <v>211</v>
      </c>
    </row>
    <row r="3434" spans="1:13" x14ac:dyDescent="0.25">
      <c r="A3434" s="1" t="str">
        <f>HYPERLINK("http://www.rosaceae.org/Prunus/Prunus_persica/p.persica_gdr_reftransV1_0011869","p.persica_gdr_reftransV1_0011869")</f>
        <v>p.persica_gdr_reftransV1_0011869</v>
      </c>
      <c r="B3434" s="3">
        <v>2668</v>
      </c>
      <c r="C3434" s="1" t="str">
        <f>HYPERLINK("http://www.uniprot.org/uniprot/TBL38_ARATH","TBL38_ARATH")</f>
        <v>TBL38_ARATH</v>
      </c>
      <c r="D3434" t="s">
        <v>3149</v>
      </c>
      <c r="E3434" s="3" t="s">
        <v>3</v>
      </c>
      <c r="F3434" s="4">
        <v>1.91E-96</v>
      </c>
      <c r="G3434" s="3">
        <v>804</v>
      </c>
      <c r="H3434" s="3">
        <v>73</v>
      </c>
      <c r="I3434" s="3">
        <v>211</v>
      </c>
      <c r="J3434" s="3">
        <v>1617</v>
      </c>
      <c r="K3434" s="3">
        <v>2246</v>
      </c>
      <c r="L3434" s="3">
        <v>171</v>
      </c>
      <c r="M3434" s="3">
        <v>380</v>
      </c>
    </row>
    <row r="3435" spans="1:13" x14ac:dyDescent="0.25">
      <c r="A3435" s="1" t="str">
        <f>HYPERLINK("http://www.rosaceae.org/Prunus/Prunus_persica/p.persica_gdr_reftransV1_0011919","p.persica_gdr_reftransV1_0011919")</f>
        <v>p.persica_gdr_reftransV1_0011919</v>
      </c>
      <c r="B3435" s="3">
        <v>1368</v>
      </c>
      <c r="C3435" s="1" t="str">
        <f>HYPERLINK("http://www.uniprot.org/uniprot/SORCN_SCHJA","SORCN_SCHJA")</f>
        <v>SORCN_SCHJA</v>
      </c>
      <c r="D3435" t="s">
        <v>1439</v>
      </c>
      <c r="E3435" s="3" t="s">
        <v>1440</v>
      </c>
      <c r="F3435" s="4">
        <v>1.7199999999999999E-15</v>
      </c>
      <c r="G3435" s="3">
        <v>192</v>
      </c>
      <c r="H3435" s="3">
        <v>37</v>
      </c>
      <c r="I3435" s="3">
        <v>134</v>
      </c>
      <c r="J3435" s="3">
        <v>930</v>
      </c>
      <c r="K3435" s="3">
        <v>1322</v>
      </c>
      <c r="L3435" s="3">
        <v>8</v>
      </c>
      <c r="M3435" s="3">
        <v>139</v>
      </c>
    </row>
    <row r="3436" spans="1:13" x14ac:dyDescent="0.25">
      <c r="A3436" s="1" t="str">
        <f>HYPERLINK("http://www.rosaceae.org/Prunus/Prunus_persica/p.persica_gdr_reftransV1_0011969","p.persica_gdr_reftransV1_0011969")</f>
        <v>p.persica_gdr_reftransV1_0011969</v>
      </c>
      <c r="B3436" s="3">
        <v>2093</v>
      </c>
      <c r="C3436" s="1" t="str">
        <f>HYPERLINK("http://www.uniprot.org/uniprot/Y3544_ARATH","Y3544_ARATH")</f>
        <v>Y3544_ARATH</v>
      </c>
      <c r="D3436" t="s">
        <v>3150</v>
      </c>
      <c r="E3436" s="3" t="s">
        <v>3</v>
      </c>
      <c r="F3436" s="4">
        <v>1.9700000000000001E-42</v>
      </c>
      <c r="G3436" s="3">
        <v>413</v>
      </c>
      <c r="H3436" s="3">
        <v>50</v>
      </c>
      <c r="I3436" s="3">
        <v>189</v>
      </c>
      <c r="J3436" s="3">
        <v>849</v>
      </c>
      <c r="K3436" s="3">
        <v>1409</v>
      </c>
      <c r="L3436" s="3">
        <v>121</v>
      </c>
      <c r="M3436" s="3">
        <v>309</v>
      </c>
    </row>
    <row r="3437" spans="1:13" x14ac:dyDescent="0.25">
      <c r="A3437" s="1" t="str">
        <f>HYPERLINK("http://www.rosaceae.org/Prunus/Prunus_persica/p.persica_gdr_reftransV1_0012319","p.persica_gdr_reftransV1_0012319")</f>
        <v>p.persica_gdr_reftransV1_0012319</v>
      </c>
      <c r="B3437" s="3">
        <v>2949</v>
      </c>
      <c r="C3437" s="1" t="str">
        <f>HYPERLINK("http://www.uniprot.org/uniprot/CB21_TOBAC","CB21_TOBAC")</f>
        <v>CB21_TOBAC</v>
      </c>
      <c r="D3437" t="s">
        <v>3151</v>
      </c>
      <c r="E3437" s="3" t="s">
        <v>200</v>
      </c>
      <c r="F3437" s="4">
        <v>1.08E-159</v>
      </c>
      <c r="G3437" s="3">
        <v>1228</v>
      </c>
      <c r="H3437" s="3">
        <v>88</v>
      </c>
      <c r="I3437" s="3">
        <v>265</v>
      </c>
      <c r="J3437" s="3">
        <v>2090</v>
      </c>
      <c r="K3437" s="3">
        <v>2881</v>
      </c>
      <c r="L3437" s="3">
        <v>4</v>
      </c>
      <c r="M3437" s="3">
        <v>266</v>
      </c>
    </row>
    <row r="3438" spans="1:13" x14ac:dyDescent="0.25">
      <c r="A3438" s="1" t="str">
        <f>HYPERLINK("http://www.rosaceae.org/Prunus/Prunus_persica/p.persica_gdr_reftransV1_0012519","p.persica_gdr_reftransV1_0012519")</f>
        <v>p.persica_gdr_reftransV1_0012519</v>
      </c>
      <c r="B3438" s="3">
        <v>821</v>
      </c>
      <c r="C3438" s="1" t="str">
        <f>HYPERLINK("http://www.uniprot.org/uniprot/SAU71_ARATH","SAU71_ARATH")</f>
        <v>SAU71_ARATH</v>
      </c>
      <c r="D3438" t="s">
        <v>3152</v>
      </c>
      <c r="E3438" s="3" t="s">
        <v>3</v>
      </c>
      <c r="F3438" s="4">
        <v>3.5999999999999998E-16</v>
      </c>
      <c r="G3438" s="3">
        <v>187</v>
      </c>
      <c r="H3438" s="3">
        <v>43</v>
      </c>
      <c r="I3438" s="3">
        <v>94</v>
      </c>
      <c r="J3438" s="3">
        <v>452</v>
      </c>
      <c r="K3438" s="3">
        <v>718</v>
      </c>
      <c r="L3438" s="3">
        <v>5</v>
      </c>
      <c r="M3438" s="3">
        <v>98</v>
      </c>
    </row>
    <row r="3439" spans="1:13" x14ac:dyDescent="0.25">
      <c r="A3439" s="1" t="str">
        <f>HYPERLINK("http://www.rosaceae.org/Prunus/Prunus_persica/p.persica_gdr_reftransV1_0012569","p.persica_gdr_reftransV1_0012569")</f>
        <v>p.persica_gdr_reftransV1_0012569</v>
      </c>
      <c r="B3439" s="3">
        <v>799</v>
      </c>
      <c r="C3439" s="1" t="str">
        <f>HYPERLINK("http://www.uniprot.org/uniprot/SAU32_ARATH","SAU32_ARATH")</f>
        <v>SAU32_ARATH</v>
      </c>
      <c r="D3439" t="s">
        <v>770</v>
      </c>
      <c r="E3439" s="3" t="s">
        <v>3</v>
      </c>
      <c r="F3439" s="4">
        <v>4.8599999999999998E-29</v>
      </c>
      <c r="G3439" s="3">
        <v>279</v>
      </c>
      <c r="H3439" s="3">
        <v>78</v>
      </c>
      <c r="I3439" s="3">
        <v>67</v>
      </c>
      <c r="J3439" s="3">
        <v>1</v>
      </c>
      <c r="K3439" s="3">
        <v>198</v>
      </c>
      <c r="L3439" s="3">
        <v>16</v>
      </c>
      <c r="M3439" s="3">
        <v>82</v>
      </c>
    </row>
    <row r="3440" spans="1:13" x14ac:dyDescent="0.25">
      <c r="A3440" s="1" t="str">
        <f>HYPERLINK("http://www.rosaceae.org/Prunus/Prunus_persica/p.persica_gdr_reftransV1_0012769","p.persica_gdr_reftransV1_0012769")</f>
        <v>p.persica_gdr_reftransV1_0012769</v>
      </c>
      <c r="B3440" s="3">
        <v>857</v>
      </c>
      <c r="C3440" s="1" t="str">
        <f>HYPERLINK("http://www.uniprot.org/uniprot/BL1S2_ARATH","BL1S2_ARATH")</f>
        <v>BL1S2_ARATH</v>
      </c>
      <c r="D3440" t="s">
        <v>3153</v>
      </c>
      <c r="E3440" s="3" t="s">
        <v>3</v>
      </c>
      <c r="F3440" s="4">
        <v>9.4500000000000002E-49</v>
      </c>
      <c r="G3440" s="3">
        <v>415</v>
      </c>
      <c r="H3440" s="3">
        <v>70</v>
      </c>
      <c r="I3440" s="3">
        <v>112</v>
      </c>
      <c r="J3440" s="3">
        <v>341</v>
      </c>
      <c r="K3440" s="3">
        <v>676</v>
      </c>
      <c r="L3440" s="3">
        <v>3</v>
      </c>
      <c r="M3440" s="3">
        <v>114</v>
      </c>
    </row>
    <row r="3441" spans="1:13" x14ac:dyDescent="0.25">
      <c r="A3441" s="1" t="str">
        <f>HYPERLINK("http://www.rosaceae.org/Prunus/Prunus_persica/p.persica_gdr_reftransV1_0012869","p.persica_gdr_reftransV1_0012869")</f>
        <v>p.persica_gdr_reftransV1_0012869</v>
      </c>
      <c r="B3441" s="3">
        <v>1341</v>
      </c>
      <c r="C3441" s="1" t="str">
        <f>HYPERLINK("http://www.uniprot.org/uniprot/ANXD3_ARATH","ANXD3_ARATH")</f>
        <v>ANXD3_ARATH</v>
      </c>
      <c r="D3441" t="s">
        <v>3154</v>
      </c>
      <c r="E3441" s="3" t="s">
        <v>3</v>
      </c>
      <c r="F3441" s="4">
        <v>1.01E-115</v>
      </c>
      <c r="G3441" s="3">
        <v>895</v>
      </c>
      <c r="H3441" s="3">
        <v>52</v>
      </c>
      <c r="I3441" s="3">
        <v>321</v>
      </c>
      <c r="J3441" s="3">
        <v>166</v>
      </c>
      <c r="K3441" s="3">
        <v>1119</v>
      </c>
      <c r="L3441" s="3">
        <v>1</v>
      </c>
      <c r="M3441" s="3">
        <v>321</v>
      </c>
    </row>
    <row r="3442" spans="1:13" x14ac:dyDescent="0.25">
      <c r="A3442" s="1" t="str">
        <f>HYPERLINK("http://www.rosaceae.org/Prunus/Prunus_persica/p.persica_gdr_reftransV1_0012919","p.persica_gdr_reftransV1_0012919")</f>
        <v>p.persica_gdr_reftransV1_0012919</v>
      </c>
      <c r="B3442" s="3">
        <v>4251</v>
      </c>
      <c r="C3442" s="1" t="str">
        <f>HYPERLINK("http://www.uniprot.org/uniprot/DPO5_SCHPO","DPO5_SCHPO")</f>
        <v>DPO5_SCHPO</v>
      </c>
      <c r="D3442" t="s">
        <v>3155</v>
      </c>
      <c r="E3442" s="3" t="s">
        <v>464</v>
      </c>
      <c r="F3442" s="4">
        <v>1.8899999999999999E-16</v>
      </c>
      <c r="G3442" s="3">
        <v>220</v>
      </c>
      <c r="H3442" s="3">
        <v>24</v>
      </c>
      <c r="I3442" s="3">
        <v>347</v>
      </c>
      <c r="J3442" s="3">
        <v>2681</v>
      </c>
      <c r="K3442" s="3">
        <v>3676</v>
      </c>
      <c r="L3442" s="3">
        <v>38</v>
      </c>
      <c r="M3442" s="3">
        <v>346</v>
      </c>
    </row>
    <row r="3443" spans="1:13" x14ac:dyDescent="0.25">
      <c r="A3443" s="1" t="str">
        <f>HYPERLINK("http://www.rosaceae.org/Prunus/Prunus_persica/p.persica_gdr_reftransV1_0012969","p.persica_gdr_reftransV1_0012969")</f>
        <v>p.persica_gdr_reftransV1_0012969</v>
      </c>
      <c r="B3443" s="3">
        <v>2017</v>
      </c>
      <c r="C3443" s="1" t="str">
        <f>HYPERLINK("http://www.uniprot.org/uniprot/IFRD1_PIG","IFRD1_PIG")</f>
        <v>IFRD1_PIG</v>
      </c>
      <c r="D3443" t="s">
        <v>3156</v>
      </c>
      <c r="E3443" s="3" t="s">
        <v>1126</v>
      </c>
      <c r="F3443" s="4">
        <v>9.3400000000000003E-8</v>
      </c>
      <c r="G3443" s="3">
        <v>141</v>
      </c>
      <c r="H3443" s="3">
        <v>23</v>
      </c>
      <c r="I3443" s="3">
        <v>411</v>
      </c>
      <c r="J3443" s="3">
        <v>228</v>
      </c>
      <c r="K3443" s="3">
        <v>1427</v>
      </c>
      <c r="L3443" s="3">
        <v>71</v>
      </c>
      <c r="M3443" s="3">
        <v>440</v>
      </c>
    </row>
    <row r="3444" spans="1:13" x14ac:dyDescent="0.25">
      <c r="A3444" s="1" t="str">
        <f>HYPERLINK("http://www.rosaceae.org/Prunus/Prunus_persica/p.persica_gdr_reftransV1_0013019","p.persica_gdr_reftransV1_0013019")</f>
        <v>p.persica_gdr_reftransV1_0013019</v>
      </c>
      <c r="B3444" s="3">
        <v>2413</v>
      </c>
      <c r="C3444" s="1" t="str">
        <f>HYPERLINK("http://www.uniprot.org/uniprot/UGAL2_ARATH","UGAL2_ARATH")</f>
        <v>UGAL2_ARATH</v>
      </c>
      <c r="D3444" t="s">
        <v>3157</v>
      </c>
      <c r="E3444" s="3" t="s">
        <v>3</v>
      </c>
      <c r="F3444" s="4">
        <v>5.3699999999999998E-46</v>
      </c>
      <c r="G3444" s="3">
        <v>436</v>
      </c>
      <c r="H3444" s="3">
        <v>54</v>
      </c>
      <c r="I3444" s="3">
        <v>230</v>
      </c>
      <c r="J3444" s="3">
        <v>720</v>
      </c>
      <c r="K3444" s="3">
        <v>1403</v>
      </c>
      <c r="L3444" s="3">
        <v>4</v>
      </c>
      <c r="M3444" s="3">
        <v>233</v>
      </c>
    </row>
    <row r="3445" spans="1:13" x14ac:dyDescent="0.25">
      <c r="A3445" s="1" t="str">
        <f>HYPERLINK("http://www.rosaceae.org/Prunus/Prunus_persica/p.persica_gdr_reftransV1_0013119","p.persica_gdr_reftransV1_0013119")</f>
        <v>p.persica_gdr_reftransV1_0013119</v>
      </c>
      <c r="B3445" s="3">
        <v>2588</v>
      </c>
      <c r="C3445" s="1" t="str">
        <f>HYPERLINK("http://www.uniprot.org/uniprot/UGHY_ARATH","UGHY_ARATH")</f>
        <v>UGHY_ARATH</v>
      </c>
      <c r="D3445" t="s">
        <v>3158</v>
      </c>
      <c r="E3445" s="3" t="s">
        <v>3</v>
      </c>
      <c r="F3445" s="4">
        <v>8.8399999999999994E-83</v>
      </c>
      <c r="G3445" s="3">
        <v>700</v>
      </c>
      <c r="H3445" s="3">
        <v>84</v>
      </c>
      <c r="I3445" s="3">
        <v>152</v>
      </c>
      <c r="J3445" s="3">
        <v>1889</v>
      </c>
      <c r="K3445" s="3">
        <v>2344</v>
      </c>
      <c r="L3445" s="3">
        <v>147</v>
      </c>
      <c r="M3445" s="3">
        <v>298</v>
      </c>
    </row>
    <row r="3446" spans="1:13" x14ac:dyDescent="0.25">
      <c r="A3446" s="1" t="str">
        <f>HYPERLINK("http://www.rosaceae.org/Prunus/Prunus_persica/p.persica_gdr_reftransV1_0013269","p.persica_gdr_reftransV1_0013269")</f>
        <v>p.persica_gdr_reftransV1_0013269</v>
      </c>
      <c r="B3446" s="3">
        <v>1871</v>
      </c>
      <c r="C3446" s="1" t="str">
        <f>HYPERLINK("http://www.uniprot.org/uniprot/GDPD4_ARATH","GDPD4_ARATH")</f>
        <v>GDPD4_ARATH</v>
      </c>
      <c r="D3446" t="s">
        <v>3159</v>
      </c>
      <c r="E3446" s="3" t="s">
        <v>3</v>
      </c>
      <c r="F3446" s="4">
        <v>9.2799999999999998E-37</v>
      </c>
      <c r="G3446" s="3">
        <v>362</v>
      </c>
      <c r="H3446" s="3">
        <v>70</v>
      </c>
      <c r="I3446" s="3">
        <v>96</v>
      </c>
      <c r="J3446" s="3">
        <v>361</v>
      </c>
      <c r="K3446" s="3">
        <v>648</v>
      </c>
      <c r="L3446" s="3">
        <v>231</v>
      </c>
      <c r="M3446" s="3">
        <v>326</v>
      </c>
    </row>
    <row r="3447" spans="1:13" x14ac:dyDescent="0.25">
      <c r="A3447" s="1" t="str">
        <f>HYPERLINK("http://www.rosaceae.org/Prunus/Prunus_persica/p.persica_gdr_reftransV1_0013519","p.persica_gdr_reftransV1_0013519")</f>
        <v>p.persica_gdr_reftransV1_0013519</v>
      </c>
      <c r="B3447" s="3">
        <v>3422</v>
      </c>
      <c r="C3447" s="1" t="str">
        <f>HYPERLINK("http://www.uniprot.org/uniprot/NIA_LOTJA","NIA_LOTJA")</f>
        <v>NIA_LOTJA</v>
      </c>
      <c r="D3447" t="s">
        <v>3160</v>
      </c>
      <c r="E3447" s="3" t="s">
        <v>880</v>
      </c>
      <c r="F3447" s="4">
        <v>0</v>
      </c>
      <c r="G3447" s="3">
        <v>1858</v>
      </c>
      <c r="H3447" s="3">
        <v>76</v>
      </c>
      <c r="I3447" s="3">
        <v>459</v>
      </c>
      <c r="J3447" s="3">
        <v>272</v>
      </c>
      <c r="K3447" s="3">
        <v>1615</v>
      </c>
      <c r="L3447" s="3">
        <v>452</v>
      </c>
      <c r="M3447" s="3">
        <v>898</v>
      </c>
    </row>
    <row r="3448" spans="1:13" x14ac:dyDescent="0.25">
      <c r="A3448" s="1" t="str">
        <f>HYPERLINK("http://www.rosaceae.org/Prunus/Prunus_persica/p.persica_gdr_reftransV1_0013569","p.persica_gdr_reftransV1_0013569")</f>
        <v>p.persica_gdr_reftransV1_0013569</v>
      </c>
      <c r="B3448" s="3">
        <v>637</v>
      </c>
      <c r="C3448" s="1" t="str">
        <f>HYPERLINK("http://www.uniprot.org/uniprot/LACS4_ARATH","LACS4_ARATH")</f>
        <v>LACS4_ARATH</v>
      </c>
      <c r="D3448" t="s">
        <v>3161</v>
      </c>
      <c r="E3448" s="3" t="s">
        <v>3</v>
      </c>
      <c r="F3448" s="4">
        <v>6.0199999999999997E-54</v>
      </c>
      <c r="G3448" s="3">
        <v>477</v>
      </c>
      <c r="H3448" s="3">
        <v>69</v>
      </c>
      <c r="I3448" s="3">
        <v>118</v>
      </c>
      <c r="J3448" s="3">
        <v>1</v>
      </c>
      <c r="K3448" s="3">
        <v>354</v>
      </c>
      <c r="L3448" s="3">
        <v>540</v>
      </c>
      <c r="M3448" s="3">
        <v>657</v>
      </c>
    </row>
    <row r="3449" spans="1:13" x14ac:dyDescent="0.25">
      <c r="A3449" s="1" t="str">
        <f>HYPERLINK("http://www.rosaceae.org/Prunus/Prunus_persica/p.persica_gdr_reftransV1_0013619","p.persica_gdr_reftransV1_0013619")</f>
        <v>p.persica_gdr_reftransV1_0013619</v>
      </c>
      <c r="B3449" s="3">
        <v>2048</v>
      </c>
      <c r="C3449" s="1" t="str">
        <f>HYPERLINK("http://www.uniprot.org/uniprot/BZP06_ORYSJ","BZP06_ORYSJ")</f>
        <v>BZP06_ORYSJ</v>
      </c>
      <c r="D3449" t="s">
        <v>3162</v>
      </c>
      <c r="E3449" s="3" t="s">
        <v>38</v>
      </c>
      <c r="F3449" s="4">
        <v>8.2599999999999993E-15</v>
      </c>
      <c r="G3449" s="3">
        <v>193</v>
      </c>
      <c r="H3449" s="3">
        <v>34</v>
      </c>
      <c r="I3449" s="3">
        <v>198</v>
      </c>
      <c r="J3449" s="3">
        <v>552</v>
      </c>
      <c r="K3449" s="3">
        <v>1127</v>
      </c>
      <c r="L3449" s="3">
        <v>44</v>
      </c>
      <c r="M3449" s="3">
        <v>229</v>
      </c>
    </row>
    <row r="3450" spans="1:13" x14ac:dyDescent="0.25">
      <c r="A3450" s="1" t="str">
        <f>HYPERLINK("http://www.rosaceae.org/Prunus/Prunus_persica/p.persica_gdr_reftransV1_0013669","p.persica_gdr_reftransV1_0013669")</f>
        <v>p.persica_gdr_reftransV1_0013669</v>
      </c>
      <c r="B3450" s="3">
        <v>880</v>
      </c>
      <c r="C3450" s="1" t="str">
        <f>HYPERLINK("http://www.uniprot.org/uniprot/B3GT2_ARATH","B3GT2_ARATH")</f>
        <v>B3GT2_ARATH</v>
      </c>
      <c r="D3450" t="s">
        <v>3163</v>
      </c>
      <c r="E3450" s="3" t="s">
        <v>3</v>
      </c>
      <c r="F3450" s="4">
        <v>9.5800000000000006E-99</v>
      </c>
      <c r="G3450" s="3">
        <v>774</v>
      </c>
      <c r="H3450" s="3">
        <v>59</v>
      </c>
      <c r="I3450" s="3">
        <v>269</v>
      </c>
      <c r="J3450" s="3">
        <v>103</v>
      </c>
      <c r="K3450" s="3">
        <v>879</v>
      </c>
      <c r="L3450" s="3">
        <v>1</v>
      </c>
      <c r="M3450" s="3">
        <v>266</v>
      </c>
    </row>
    <row r="3451" spans="1:13" x14ac:dyDescent="0.25">
      <c r="A3451" s="1" t="str">
        <f>HYPERLINK("http://www.rosaceae.org/Prunus/Prunus_persica/p.persica_gdr_reftransV1_0014169","p.persica_gdr_reftransV1_0014169")</f>
        <v>p.persica_gdr_reftransV1_0014169</v>
      </c>
      <c r="B3451" s="3">
        <v>498</v>
      </c>
      <c r="C3451" s="1" t="str">
        <f>HYPERLINK("http://www.uniprot.org/uniprot/WBC30_ARATH","WBC30_ARATH")</f>
        <v>WBC30_ARATH</v>
      </c>
      <c r="D3451" t="s">
        <v>2543</v>
      </c>
      <c r="E3451" s="3" t="s">
        <v>3</v>
      </c>
      <c r="F3451" s="4">
        <v>4.0999999999999999E-85</v>
      </c>
      <c r="G3451" s="3">
        <v>704</v>
      </c>
      <c r="H3451" s="3">
        <v>86</v>
      </c>
      <c r="I3451" s="3">
        <v>162</v>
      </c>
      <c r="J3451" s="3">
        <v>3</v>
      </c>
      <c r="K3451" s="3">
        <v>488</v>
      </c>
      <c r="L3451" s="3">
        <v>583</v>
      </c>
      <c r="M3451" s="3">
        <v>744</v>
      </c>
    </row>
    <row r="3452" spans="1:13" x14ac:dyDescent="0.25">
      <c r="A3452" s="1" t="str">
        <f>HYPERLINK("http://www.rosaceae.org/Prunus/Prunus_persica/p.persica_gdr_reftransV1_0014219","p.persica_gdr_reftransV1_0014219")</f>
        <v>p.persica_gdr_reftransV1_0014219</v>
      </c>
      <c r="B3452" s="3">
        <v>1992</v>
      </c>
      <c r="C3452" s="1" t="str">
        <f>HYPERLINK("http://www.uniprot.org/uniprot/HDA19_ARATH","HDA19_ARATH")</f>
        <v>HDA19_ARATH</v>
      </c>
      <c r="D3452" t="s">
        <v>3164</v>
      </c>
      <c r="E3452" s="3" t="s">
        <v>3</v>
      </c>
      <c r="F3452" s="4">
        <v>0</v>
      </c>
      <c r="G3452" s="3">
        <v>2073</v>
      </c>
      <c r="H3452" s="3">
        <v>85</v>
      </c>
      <c r="I3452" s="3">
        <v>493</v>
      </c>
      <c r="J3452" s="3">
        <v>275</v>
      </c>
      <c r="K3452" s="3">
        <v>1744</v>
      </c>
      <c r="L3452" s="3">
        <v>1</v>
      </c>
      <c r="M3452" s="3">
        <v>490</v>
      </c>
    </row>
    <row r="3453" spans="1:13" x14ac:dyDescent="0.25">
      <c r="A3453" s="1" t="str">
        <f>HYPERLINK("http://www.rosaceae.org/Prunus/Prunus_persica/p.persica_gdr_reftransV1_0014469","p.persica_gdr_reftransV1_0014469")</f>
        <v>p.persica_gdr_reftransV1_0014469</v>
      </c>
      <c r="B3453" s="3">
        <v>813</v>
      </c>
      <c r="C3453" s="1" t="str">
        <f>HYPERLINK("http://www.uniprot.org/uniprot/CCB12_ORYSJ","CCB12_ORYSJ")</f>
        <v>CCB12_ORYSJ</v>
      </c>
      <c r="D3453" t="s">
        <v>3165</v>
      </c>
      <c r="E3453" s="3" t="s">
        <v>38</v>
      </c>
      <c r="F3453" s="4">
        <v>4.3400000000000002E-24</v>
      </c>
      <c r="G3453" s="3">
        <v>257</v>
      </c>
      <c r="H3453" s="3">
        <v>52</v>
      </c>
      <c r="I3453" s="3">
        <v>111</v>
      </c>
      <c r="J3453" s="3">
        <v>378</v>
      </c>
      <c r="K3453" s="3">
        <v>704</v>
      </c>
      <c r="L3453" s="3">
        <v>6</v>
      </c>
      <c r="M3453" s="3">
        <v>114</v>
      </c>
    </row>
    <row r="3454" spans="1:13" x14ac:dyDescent="0.25">
      <c r="A3454" s="1" t="str">
        <f>HYPERLINK("http://www.rosaceae.org/Prunus/Prunus_persica/p.persica_gdr_reftransV1_0014519","p.persica_gdr_reftransV1_0014519")</f>
        <v>p.persica_gdr_reftransV1_0014519</v>
      </c>
      <c r="B3454" s="3">
        <v>1768</v>
      </c>
      <c r="C3454" s="1" t="str">
        <f>HYPERLINK("http://www.uniprot.org/uniprot/COL4_ARATH","COL4_ARATH")</f>
        <v>COL4_ARATH</v>
      </c>
      <c r="D3454" t="s">
        <v>3166</v>
      </c>
      <c r="E3454" s="3" t="s">
        <v>3</v>
      </c>
      <c r="F3454" s="4">
        <v>2.77E-127</v>
      </c>
      <c r="G3454" s="3">
        <v>989</v>
      </c>
      <c r="H3454" s="3">
        <v>62</v>
      </c>
      <c r="I3454" s="3">
        <v>370</v>
      </c>
      <c r="J3454" s="3">
        <v>239</v>
      </c>
      <c r="K3454" s="3">
        <v>1267</v>
      </c>
      <c r="L3454" s="3">
        <v>1</v>
      </c>
      <c r="M3454" s="3">
        <v>362</v>
      </c>
    </row>
    <row r="3455" spans="1:13" x14ac:dyDescent="0.25">
      <c r="A3455" s="1" t="str">
        <f>HYPERLINK("http://www.rosaceae.org/Prunus/Prunus_persica/p.persica_gdr_reftransV1_0014719","p.persica_gdr_reftransV1_0014719")</f>
        <v>p.persica_gdr_reftransV1_0014719</v>
      </c>
      <c r="B3455" s="3">
        <v>2745</v>
      </c>
      <c r="C3455" s="1" t="str">
        <f>HYPERLINK("http://www.uniprot.org/uniprot/ODBA2_ARATH","ODBA2_ARATH")</f>
        <v>ODBA2_ARATH</v>
      </c>
      <c r="D3455" t="s">
        <v>3167</v>
      </c>
      <c r="E3455" s="3" t="s">
        <v>3</v>
      </c>
      <c r="F3455" s="4">
        <v>0</v>
      </c>
      <c r="G3455" s="3">
        <v>1661</v>
      </c>
      <c r="H3455" s="3">
        <v>71</v>
      </c>
      <c r="I3455" s="3">
        <v>414</v>
      </c>
      <c r="J3455" s="3">
        <v>1160</v>
      </c>
      <c r="K3455" s="3">
        <v>2401</v>
      </c>
      <c r="L3455" s="3">
        <v>62</v>
      </c>
      <c r="M3455" s="3">
        <v>472</v>
      </c>
    </row>
    <row r="3456" spans="1:13" x14ac:dyDescent="0.25">
      <c r="A3456" s="1" t="str">
        <f>HYPERLINK("http://www.rosaceae.org/Prunus/Prunus_persica/p.persica_gdr_reftransV1_0014819","p.persica_gdr_reftransV1_0014819")</f>
        <v>p.persica_gdr_reftransV1_0014819</v>
      </c>
      <c r="B3456" s="3">
        <v>5314</v>
      </c>
      <c r="C3456" s="1" t="str">
        <f>HYPERLINK("http://www.uniprot.org/uniprot/RPK2_ARATH","RPK2_ARATH")</f>
        <v>RPK2_ARATH</v>
      </c>
      <c r="D3456" t="s">
        <v>3168</v>
      </c>
      <c r="E3456" s="3" t="s">
        <v>3</v>
      </c>
      <c r="F3456" s="4">
        <v>0</v>
      </c>
      <c r="G3456" s="3">
        <v>3455</v>
      </c>
      <c r="H3456" s="3">
        <v>65</v>
      </c>
      <c r="I3456" s="3">
        <v>1155</v>
      </c>
      <c r="J3456" s="3">
        <v>1301</v>
      </c>
      <c r="K3456" s="3">
        <v>4720</v>
      </c>
      <c r="L3456" s="3">
        <v>6</v>
      </c>
      <c r="M3456" s="3">
        <v>1151</v>
      </c>
    </row>
    <row r="3457" spans="1:13" x14ac:dyDescent="0.25">
      <c r="A3457" s="1" t="str">
        <f>HYPERLINK("http://www.rosaceae.org/Prunus/Prunus_persica/p.persica_gdr_reftransV1_0015069","p.persica_gdr_reftransV1_0015069")</f>
        <v>p.persica_gdr_reftransV1_0015069</v>
      </c>
      <c r="B3457" s="3">
        <v>1723</v>
      </c>
      <c r="C3457" s="1" t="str">
        <f>HYPERLINK("http://www.uniprot.org/uniprot/RL32_ARATH","RL32_ARATH")</f>
        <v>RL32_ARATH</v>
      </c>
      <c r="D3457" t="s">
        <v>3169</v>
      </c>
      <c r="E3457" s="3" t="s">
        <v>3</v>
      </c>
      <c r="F3457" s="4">
        <v>0</v>
      </c>
      <c r="G3457" s="3">
        <v>1620</v>
      </c>
      <c r="H3457" s="3">
        <v>89</v>
      </c>
      <c r="I3457" s="3">
        <v>358</v>
      </c>
      <c r="J3457" s="3">
        <v>448</v>
      </c>
      <c r="K3457" s="3">
        <v>1521</v>
      </c>
      <c r="L3457" s="3">
        <v>29</v>
      </c>
      <c r="M3457" s="3">
        <v>386</v>
      </c>
    </row>
    <row r="3458" spans="1:13" x14ac:dyDescent="0.25">
      <c r="A3458" s="1" t="str">
        <f>HYPERLINK("http://www.rosaceae.org/Prunus/Prunus_persica/p.persica_gdr_reftransV1_0015419","p.persica_gdr_reftransV1_0015419")</f>
        <v>p.persica_gdr_reftransV1_0015419</v>
      </c>
      <c r="B3458" s="3">
        <v>887</v>
      </c>
      <c r="C3458" s="1" t="str">
        <f>HYPERLINK("http://www.uniprot.org/uniprot/H33_VITVI","H33_VITVI")</f>
        <v>H33_VITVI</v>
      </c>
      <c r="D3458" t="s">
        <v>1951</v>
      </c>
      <c r="E3458" s="3" t="s">
        <v>362</v>
      </c>
      <c r="F3458" s="4">
        <v>3.39E-91</v>
      </c>
      <c r="G3458" s="3">
        <v>699</v>
      </c>
      <c r="H3458" s="3">
        <v>100</v>
      </c>
      <c r="I3458" s="3">
        <v>136</v>
      </c>
      <c r="J3458" s="3">
        <v>277</v>
      </c>
      <c r="K3458" s="3">
        <v>684</v>
      </c>
      <c r="L3458" s="3">
        <v>1</v>
      </c>
      <c r="M3458" s="3">
        <v>136</v>
      </c>
    </row>
    <row r="3459" spans="1:13" x14ac:dyDescent="0.25">
      <c r="A3459" s="1" t="str">
        <f>HYPERLINK("http://www.rosaceae.org/Prunus/Prunus_persica/p.persica_gdr_reftransV1_0015569","p.persica_gdr_reftransV1_0015569")</f>
        <v>p.persica_gdr_reftransV1_0015569</v>
      </c>
      <c r="B3459" s="3">
        <v>1449</v>
      </c>
      <c r="C3459" s="1" t="str">
        <f>HYPERLINK("http://www.uniprot.org/uniprot/RING1_GOSHI","RING1_GOSHI")</f>
        <v>RING1_GOSHI</v>
      </c>
      <c r="D3459" t="s">
        <v>2201</v>
      </c>
      <c r="E3459" s="3" t="s">
        <v>816</v>
      </c>
      <c r="F3459" s="4">
        <v>5.2299999999999999E-13</v>
      </c>
      <c r="G3459" s="3">
        <v>179</v>
      </c>
      <c r="H3459" s="3">
        <v>29</v>
      </c>
      <c r="I3459" s="3">
        <v>158</v>
      </c>
      <c r="J3459" s="3">
        <v>501</v>
      </c>
      <c r="K3459" s="3">
        <v>938</v>
      </c>
      <c r="L3459" s="3">
        <v>117</v>
      </c>
      <c r="M3459" s="3">
        <v>272</v>
      </c>
    </row>
    <row r="3460" spans="1:13" x14ac:dyDescent="0.25">
      <c r="A3460" s="1" t="str">
        <f>HYPERLINK("http://www.rosaceae.org/Prunus/Prunus_persica/p.persica_gdr_reftransV1_0015619","p.persica_gdr_reftransV1_0015619")</f>
        <v>p.persica_gdr_reftransV1_0015619</v>
      </c>
      <c r="B3460" s="3">
        <v>1996</v>
      </c>
      <c r="C3460" s="1" t="str">
        <f>HYPERLINK("http://www.uniprot.org/uniprot/DCC1_HUMAN","DCC1_HUMAN")</f>
        <v>DCC1_HUMAN</v>
      </c>
      <c r="D3460" t="s">
        <v>3170</v>
      </c>
      <c r="E3460" s="3" t="s">
        <v>28</v>
      </c>
      <c r="F3460" s="4">
        <v>1.43E-37</v>
      </c>
      <c r="G3460" s="3">
        <v>373</v>
      </c>
      <c r="H3460" s="3">
        <v>33</v>
      </c>
      <c r="I3460" s="3">
        <v>340</v>
      </c>
      <c r="J3460" s="3">
        <v>225</v>
      </c>
      <c r="K3460" s="3">
        <v>1214</v>
      </c>
      <c r="L3460" s="3">
        <v>62</v>
      </c>
      <c r="M3460" s="3">
        <v>378</v>
      </c>
    </row>
    <row r="3461" spans="1:13" x14ac:dyDescent="0.25">
      <c r="A3461" s="1" t="str">
        <f>HYPERLINK("http://www.rosaceae.org/Prunus/Prunus_persica/p.persica_gdr_reftransV1_0015769","p.persica_gdr_reftransV1_0015769")</f>
        <v>p.persica_gdr_reftransV1_0015769</v>
      </c>
      <c r="B3461" s="3">
        <v>2998</v>
      </c>
      <c r="C3461" s="1" t="str">
        <f>HYPERLINK("http://www.uniprot.org/uniprot/RSH3C_ARATH","RSH3C_ARATH")</f>
        <v>RSH3C_ARATH</v>
      </c>
      <c r="D3461" t="s">
        <v>3171</v>
      </c>
      <c r="E3461" s="3" t="s">
        <v>3</v>
      </c>
      <c r="F3461" s="4">
        <v>0</v>
      </c>
      <c r="G3461" s="3">
        <v>2470</v>
      </c>
      <c r="H3461" s="3">
        <v>70</v>
      </c>
      <c r="I3461" s="3">
        <v>745</v>
      </c>
      <c r="J3461" s="3">
        <v>275</v>
      </c>
      <c r="K3461" s="3">
        <v>2497</v>
      </c>
      <c r="L3461" s="3">
        <v>6</v>
      </c>
      <c r="M3461" s="3">
        <v>715</v>
      </c>
    </row>
    <row r="3462" spans="1:13" x14ac:dyDescent="0.25">
      <c r="A3462" s="1" t="str">
        <f>HYPERLINK("http://www.rosaceae.org/Prunus/Prunus_persica/p.persica_gdr_reftransV1_0015819","p.persica_gdr_reftransV1_0015819")</f>
        <v>p.persica_gdr_reftransV1_0015819</v>
      </c>
      <c r="B3462" s="3">
        <v>765</v>
      </c>
      <c r="C3462" s="1" t="str">
        <f>HYPERLINK("http://www.uniprot.org/uniprot/D14_ORYSJ","D14_ORYSJ")</f>
        <v>D14_ORYSJ</v>
      </c>
      <c r="D3462" t="s">
        <v>3172</v>
      </c>
      <c r="E3462" s="3" t="s">
        <v>38</v>
      </c>
      <c r="F3462" s="4">
        <v>2.3200000000000002E-34</v>
      </c>
      <c r="G3462" s="3">
        <v>329</v>
      </c>
      <c r="H3462" s="3">
        <v>49</v>
      </c>
      <c r="I3462" s="3">
        <v>124</v>
      </c>
      <c r="J3462" s="3">
        <v>256</v>
      </c>
      <c r="K3462" s="3">
        <v>627</v>
      </c>
      <c r="L3462" s="3">
        <v>56</v>
      </c>
      <c r="M3462" s="3">
        <v>176</v>
      </c>
    </row>
    <row r="3463" spans="1:13" x14ac:dyDescent="0.25">
      <c r="A3463" s="1" t="str">
        <f>HYPERLINK("http://www.rosaceae.org/Prunus/Prunus_persica/p.persica_gdr_reftransV1_0015919","p.persica_gdr_reftransV1_0015919")</f>
        <v>p.persica_gdr_reftransV1_0015919</v>
      </c>
      <c r="B3463" s="3">
        <v>1394</v>
      </c>
      <c r="C3463" s="1" t="str">
        <f>HYPERLINK("http://www.uniprot.org/uniprot/PRMC_GLOVI","PRMC_GLOVI")</f>
        <v>PRMC_GLOVI</v>
      </c>
      <c r="D3463" t="s">
        <v>3173</v>
      </c>
      <c r="E3463" s="3" t="s">
        <v>3174</v>
      </c>
      <c r="F3463" s="4">
        <v>8.17E-39</v>
      </c>
      <c r="G3463" s="3">
        <v>371</v>
      </c>
      <c r="H3463" s="3">
        <v>39</v>
      </c>
      <c r="I3463" s="3">
        <v>236</v>
      </c>
      <c r="J3463" s="3">
        <v>213</v>
      </c>
      <c r="K3463" s="3">
        <v>920</v>
      </c>
      <c r="L3463" s="3">
        <v>54</v>
      </c>
      <c r="M3463" s="3">
        <v>280</v>
      </c>
    </row>
    <row r="3464" spans="1:13" x14ac:dyDescent="0.25">
      <c r="A3464" s="1" t="str">
        <f>HYPERLINK("http://www.rosaceae.org/Prunus/Prunus_persica/p.persica_gdr_reftransV1_0016269","p.persica_gdr_reftransV1_0016269")</f>
        <v>p.persica_gdr_reftransV1_0016269</v>
      </c>
      <c r="B3464" s="3">
        <v>4923</v>
      </c>
      <c r="C3464" s="1" t="str">
        <f>HYPERLINK("http://www.uniprot.org/uniprot/LIN1_LOTJA","LIN1_LOTJA")</f>
        <v>LIN1_LOTJA</v>
      </c>
      <c r="D3464" t="s">
        <v>2734</v>
      </c>
      <c r="E3464" s="3" t="s">
        <v>880</v>
      </c>
      <c r="F3464" s="4">
        <v>1.2799999999999999E-32</v>
      </c>
      <c r="G3464" s="3">
        <v>359</v>
      </c>
      <c r="H3464" s="3">
        <v>26</v>
      </c>
      <c r="I3464" s="3">
        <v>481</v>
      </c>
      <c r="J3464" s="3">
        <v>1494</v>
      </c>
      <c r="K3464" s="3">
        <v>2903</v>
      </c>
      <c r="L3464" s="3">
        <v>702</v>
      </c>
      <c r="M3464" s="3">
        <v>1180</v>
      </c>
    </row>
    <row r="3465" spans="1:13" x14ac:dyDescent="0.25">
      <c r="A3465" s="1" t="str">
        <f>HYPERLINK("http://www.rosaceae.org/Prunus/Prunus_persica/p.persica_gdr_reftransV1_0016319","p.persica_gdr_reftransV1_0016319")</f>
        <v>p.persica_gdr_reftransV1_0016319</v>
      </c>
      <c r="B3465" s="3">
        <v>1196</v>
      </c>
      <c r="C3465" s="1" t="str">
        <f>HYPERLINK("http://www.uniprot.org/uniprot/NAC90_ARATH","NAC90_ARATH")</f>
        <v>NAC90_ARATH</v>
      </c>
      <c r="D3465" t="s">
        <v>3175</v>
      </c>
      <c r="E3465" s="3" t="s">
        <v>3</v>
      </c>
      <c r="F3465" s="4">
        <v>8.97E-58</v>
      </c>
      <c r="G3465" s="3">
        <v>494</v>
      </c>
      <c r="H3465" s="3">
        <v>57</v>
      </c>
      <c r="I3465" s="3">
        <v>191</v>
      </c>
      <c r="J3465" s="3">
        <v>572</v>
      </c>
      <c r="K3465" s="3">
        <v>1144</v>
      </c>
      <c r="L3465" s="3">
        <v>3</v>
      </c>
      <c r="M3465" s="3">
        <v>176</v>
      </c>
    </row>
    <row r="3466" spans="1:13" x14ac:dyDescent="0.25">
      <c r="A3466" s="1" t="str">
        <f>HYPERLINK("http://www.rosaceae.org/Prunus/Prunus_persica/p.persica_gdr_reftransV1_0016519","p.persica_gdr_reftransV1_0016519")</f>
        <v>p.persica_gdr_reftransV1_0016519</v>
      </c>
      <c r="B3466" s="3">
        <v>2227</v>
      </c>
      <c r="C3466" s="1" t="str">
        <f>HYPERLINK("http://www.uniprot.org/uniprot/IAA11_ARATH","IAA11_ARATH")</f>
        <v>IAA11_ARATH</v>
      </c>
      <c r="D3466" t="s">
        <v>3176</v>
      </c>
      <c r="E3466" s="3" t="s">
        <v>3</v>
      </c>
      <c r="F3466" s="4">
        <v>6.2200000000000002E-21</v>
      </c>
      <c r="G3466" s="3">
        <v>242</v>
      </c>
      <c r="H3466" s="3">
        <v>52</v>
      </c>
      <c r="I3466" s="3">
        <v>94</v>
      </c>
      <c r="J3466" s="3">
        <v>1381</v>
      </c>
      <c r="K3466" s="3">
        <v>1662</v>
      </c>
      <c r="L3466" s="3">
        <v>92</v>
      </c>
      <c r="M3466" s="3">
        <v>176</v>
      </c>
    </row>
    <row r="3467" spans="1:13" x14ac:dyDescent="0.25">
      <c r="A3467" s="1" t="str">
        <f>HYPERLINK("http://www.rosaceae.org/Prunus/Prunus_persica/p.persica_gdr_reftransV1_0016569","p.persica_gdr_reftransV1_0016569")</f>
        <v>p.persica_gdr_reftransV1_0016569</v>
      </c>
      <c r="B3467" s="3">
        <v>1098</v>
      </c>
      <c r="C3467" s="1" t="str">
        <f>HYPERLINK("http://www.uniprot.org/uniprot/NDF5_ARATH","NDF5_ARATH")</f>
        <v>NDF5_ARATH</v>
      </c>
      <c r="D3467" t="s">
        <v>3177</v>
      </c>
      <c r="E3467" s="3" t="s">
        <v>3</v>
      </c>
      <c r="F3467" s="4">
        <v>4.3299999999999998E-38</v>
      </c>
      <c r="G3467" s="3">
        <v>365</v>
      </c>
      <c r="H3467" s="3">
        <v>40</v>
      </c>
      <c r="I3467" s="3">
        <v>228</v>
      </c>
      <c r="J3467" s="3">
        <v>264</v>
      </c>
      <c r="K3467" s="3">
        <v>941</v>
      </c>
      <c r="L3467" s="3">
        <v>166</v>
      </c>
      <c r="M3467" s="3">
        <v>353</v>
      </c>
    </row>
    <row r="3468" spans="1:13" x14ac:dyDescent="0.25">
      <c r="A3468" s="1" t="str">
        <f>HYPERLINK("http://www.rosaceae.org/Prunus/Prunus_persica/p.persica_gdr_reftransV1_0016669","p.persica_gdr_reftransV1_0016669")</f>
        <v>p.persica_gdr_reftransV1_0016669</v>
      </c>
      <c r="B3468" s="3">
        <v>1652</v>
      </c>
      <c r="C3468" s="1" t="str">
        <f>HYPERLINK("http://www.uniprot.org/uniprot/TLP1_PRUPE","TLP1_PRUPE")</f>
        <v>TLP1_PRUPE</v>
      </c>
      <c r="D3468" t="s">
        <v>3178</v>
      </c>
      <c r="E3468" s="3" t="s">
        <v>784</v>
      </c>
      <c r="F3468" s="4">
        <v>2.7900000000000001E-70</v>
      </c>
      <c r="G3468" s="3">
        <v>591</v>
      </c>
      <c r="H3468" s="3">
        <v>50</v>
      </c>
      <c r="I3468" s="3">
        <v>233</v>
      </c>
      <c r="J3468" s="3">
        <v>787</v>
      </c>
      <c r="K3468" s="3">
        <v>1482</v>
      </c>
      <c r="L3468" s="3">
        <v>16</v>
      </c>
      <c r="M3468" s="3">
        <v>246</v>
      </c>
    </row>
    <row r="3469" spans="1:13" x14ac:dyDescent="0.25">
      <c r="A3469" s="1" t="str">
        <f>HYPERLINK("http://www.rosaceae.org/Prunus/Prunus_persica/p.persica_gdr_reftransV1_0016919","p.persica_gdr_reftransV1_0016919")</f>
        <v>p.persica_gdr_reftransV1_0016919</v>
      </c>
      <c r="B3469" s="3">
        <v>1431</v>
      </c>
      <c r="C3469" s="1" t="str">
        <f>HYPERLINK("http://www.uniprot.org/uniprot/EYA2_HUMAN","EYA2_HUMAN")</f>
        <v>EYA2_HUMAN</v>
      </c>
      <c r="D3469" t="s">
        <v>3179</v>
      </c>
      <c r="E3469" s="3" t="s">
        <v>28</v>
      </c>
      <c r="F3469" s="4">
        <v>6.3699999999999998E-34</v>
      </c>
      <c r="G3469" s="3">
        <v>345</v>
      </c>
      <c r="H3469" s="3">
        <v>33</v>
      </c>
      <c r="I3469" s="3">
        <v>273</v>
      </c>
      <c r="J3469" s="3">
        <v>274</v>
      </c>
      <c r="K3469" s="3">
        <v>1044</v>
      </c>
      <c r="L3469" s="3">
        <v>270</v>
      </c>
      <c r="M3469" s="3">
        <v>520</v>
      </c>
    </row>
    <row r="3470" spans="1:13" x14ac:dyDescent="0.25">
      <c r="A3470" s="1" t="str">
        <f>HYPERLINK("http://www.rosaceae.org/Prunus/Prunus_persica/p.persica_gdr_reftransV1_0016969","p.persica_gdr_reftransV1_0016969")</f>
        <v>p.persica_gdr_reftransV1_0016969</v>
      </c>
      <c r="B3470" s="3">
        <v>2296</v>
      </c>
      <c r="C3470" s="1" t="str">
        <f>HYPERLINK("http://www.uniprot.org/uniprot/LYK4_ARATH","LYK4_ARATH")</f>
        <v>LYK4_ARATH</v>
      </c>
      <c r="D3470" t="s">
        <v>3180</v>
      </c>
      <c r="E3470" s="3" t="s">
        <v>3</v>
      </c>
      <c r="F3470" s="4">
        <v>5.7500000000000003E-153</v>
      </c>
      <c r="G3470" s="3">
        <v>1200</v>
      </c>
      <c r="H3470" s="3">
        <v>45</v>
      </c>
      <c r="I3470" s="3">
        <v>625</v>
      </c>
      <c r="J3470" s="3">
        <v>271</v>
      </c>
      <c r="K3470" s="3">
        <v>2118</v>
      </c>
      <c r="L3470" s="3">
        <v>18</v>
      </c>
      <c r="M3470" s="3">
        <v>611</v>
      </c>
    </row>
    <row r="3471" spans="1:13" x14ac:dyDescent="0.25">
      <c r="A3471" s="1" t="str">
        <f>HYPERLINK("http://www.rosaceae.org/Prunus/Prunus_persica/p.persica_gdr_reftransV1_0017019","p.persica_gdr_reftransV1_0017019")</f>
        <v>p.persica_gdr_reftransV1_0017019</v>
      </c>
      <c r="B3471" s="3">
        <v>1448</v>
      </c>
      <c r="C3471" s="1" t="str">
        <f>HYPERLINK("http://www.uniprot.org/uniprot/SFC1_ARATH","SFC1_ARATH")</f>
        <v>SFC1_ARATH</v>
      </c>
      <c r="D3471" t="s">
        <v>3181</v>
      </c>
      <c r="E3471" s="3" t="s">
        <v>3</v>
      </c>
      <c r="F3471" s="4">
        <v>0</v>
      </c>
      <c r="G3471" s="3">
        <v>1377</v>
      </c>
      <c r="H3471" s="3">
        <v>82</v>
      </c>
      <c r="I3471" s="3">
        <v>307</v>
      </c>
      <c r="J3471" s="3">
        <v>336</v>
      </c>
      <c r="K3471" s="3">
        <v>1256</v>
      </c>
      <c r="L3471" s="3">
        <v>3</v>
      </c>
      <c r="M3471" s="3">
        <v>309</v>
      </c>
    </row>
    <row r="3472" spans="1:13" x14ac:dyDescent="0.25">
      <c r="A3472" s="1" t="str">
        <f>HYPERLINK("http://www.rosaceae.org/Prunus/Prunus_persica/p.persica_gdr_reftransV1_0017219","p.persica_gdr_reftransV1_0017219")</f>
        <v>p.persica_gdr_reftransV1_0017219</v>
      </c>
      <c r="B3472" s="3">
        <v>4134</v>
      </c>
      <c r="C3472" s="1" t="str">
        <f>HYPERLINK("http://www.uniprot.org/uniprot/TEX10_CHICK","TEX10_CHICK")</f>
        <v>TEX10_CHICK</v>
      </c>
      <c r="D3472" t="s">
        <v>3182</v>
      </c>
      <c r="E3472" s="3" t="s">
        <v>1278</v>
      </c>
      <c r="F3472" s="4">
        <v>3.7100000000000001E-14</v>
      </c>
      <c r="G3472" s="3">
        <v>200</v>
      </c>
      <c r="H3472" s="3">
        <v>29</v>
      </c>
      <c r="I3472" s="3">
        <v>174</v>
      </c>
      <c r="J3472" s="3">
        <v>3218</v>
      </c>
      <c r="K3472" s="3">
        <v>3739</v>
      </c>
      <c r="L3472" s="3">
        <v>26</v>
      </c>
      <c r="M3472" s="3">
        <v>195</v>
      </c>
    </row>
    <row r="3473" spans="1:13" x14ac:dyDescent="0.25">
      <c r="A3473" s="1" t="str">
        <f>HYPERLINK("http://www.rosaceae.org/Prunus/Prunus_persica/p.persica_gdr_reftransV1_0017419","p.persica_gdr_reftransV1_0017419")</f>
        <v>p.persica_gdr_reftransV1_0017419</v>
      </c>
      <c r="B3473" s="3">
        <v>2116</v>
      </c>
      <c r="C3473" s="1" t="str">
        <f>HYPERLINK("http://www.uniprot.org/uniprot/DUS1L_RAT","DUS1L_RAT")</f>
        <v>DUS1L_RAT</v>
      </c>
      <c r="D3473" t="s">
        <v>3183</v>
      </c>
      <c r="E3473" s="3" t="s">
        <v>161</v>
      </c>
      <c r="F3473" s="4">
        <v>2.5400000000000001E-48</v>
      </c>
      <c r="G3473" s="3">
        <v>458</v>
      </c>
      <c r="H3473" s="3">
        <v>41</v>
      </c>
      <c r="I3473" s="3">
        <v>220</v>
      </c>
      <c r="J3473" s="3">
        <v>951</v>
      </c>
      <c r="K3473" s="3">
        <v>1610</v>
      </c>
      <c r="L3473" s="3">
        <v>108</v>
      </c>
      <c r="M3473" s="3">
        <v>309</v>
      </c>
    </row>
    <row r="3474" spans="1:13" x14ac:dyDescent="0.25">
      <c r="A3474" s="1" t="str">
        <f>HYPERLINK("http://www.rosaceae.org/Prunus/Prunus_persica/p.persica_gdr_reftransV1_0017619","p.persica_gdr_reftransV1_0017619")</f>
        <v>p.persica_gdr_reftransV1_0017619</v>
      </c>
      <c r="B3474" s="3">
        <v>2188</v>
      </c>
      <c r="C3474" s="1" t="str">
        <f>HYPERLINK("http://www.uniprot.org/uniprot/Y5162_ARATH","Y5162_ARATH")</f>
        <v>Y5162_ARATH</v>
      </c>
      <c r="D3474" t="s">
        <v>3184</v>
      </c>
      <c r="E3474" s="3" t="s">
        <v>3</v>
      </c>
      <c r="F3474" s="4">
        <v>1.3399999999999999E-91</v>
      </c>
      <c r="G3474" s="3">
        <v>781</v>
      </c>
      <c r="H3474" s="3">
        <v>37</v>
      </c>
      <c r="I3474" s="3">
        <v>630</v>
      </c>
      <c r="J3474" s="3">
        <v>178</v>
      </c>
      <c r="K3474" s="3">
        <v>1947</v>
      </c>
      <c r="L3474" s="3">
        <v>26</v>
      </c>
      <c r="M3474" s="3">
        <v>610</v>
      </c>
    </row>
    <row r="3475" spans="1:13" x14ac:dyDescent="0.25">
      <c r="A3475" s="1" t="str">
        <f>HYPERLINK("http://www.rosaceae.org/Prunus/Prunus_persica/p.persica_gdr_reftransV1_0017669","p.persica_gdr_reftransV1_0017669")</f>
        <v>p.persica_gdr_reftransV1_0017669</v>
      </c>
      <c r="B3475" s="3">
        <v>647</v>
      </c>
      <c r="C3475" s="1" t="str">
        <f>HYPERLINK("http://www.uniprot.org/uniprot/VP35B_ARATH","VP35B_ARATH")</f>
        <v>VP35B_ARATH</v>
      </c>
      <c r="D3475" t="s">
        <v>3185</v>
      </c>
      <c r="E3475" s="3" t="s">
        <v>3</v>
      </c>
      <c r="F3475" s="4">
        <v>3.9199999999999998E-109</v>
      </c>
      <c r="G3475" s="3">
        <v>864</v>
      </c>
      <c r="H3475" s="3">
        <v>85</v>
      </c>
      <c r="I3475" s="3">
        <v>181</v>
      </c>
      <c r="J3475" s="3">
        <v>3</v>
      </c>
      <c r="K3475" s="3">
        <v>545</v>
      </c>
      <c r="L3475" s="3">
        <v>4</v>
      </c>
      <c r="M3475" s="3">
        <v>184</v>
      </c>
    </row>
    <row r="3476" spans="1:13" x14ac:dyDescent="0.25">
      <c r="A3476" s="1" t="str">
        <f>HYPERLINK("http://www.rosaceae.org/Prunus/Prunus_persica/p.persica_gdr_reftransV1_0017719","p.persica_gdr_reftransV1_0017719")</f>
        <v>p.persica_gdr_reftransV1_0017719</v>
      </c>
      <c r="B3476" s="3">
        <v>5177</v>
      </c>
      <c r="C3476" s="1" t="str">
        <f>HYPERLINK("http://www.uniprot.org/uniprot/DNJC7_HUMAN","DNJC7_HUMAN")</f>
        <v>DNJC7_HUMAN</v>
      </c>
      <c r="D3476" t="s">
        <v>3186</v>
      </c>
      <c r="E3476" s="3" t="s">
        <v>28</v>
      </c>
      <c r="F3476" s="4">
        <v>4.1000000000000001E-42</v>
      </c>
      <c r="G3476" s="3">
        <v>425</v>
      </c>
      <c r="H3476" s="3">
        <v>29</v>
      </c>
      <c r="I3476" s="3">
        <v>524</v>
      </c>
      <c r="J3476" s="3">
        <v>2803</v>
      </c>
      <c r="K3476" s="3">
        <v>4359</v>
      </c>
      <c r="L3476" s="3">
        <v>24</v>
      </c>
      <c r="M3476" s="3">
        <v>453</v>
      </c>
    </row>
    <row r="3477" spans="1:13" x14ac:dyDescent="0.25">
      <c r="A3477" s="1" t="str">
        <f>HYPERLINK("http://www.rosaceae.org/Prunus/Prunus_persica/p.persica_gdr_reftransV1_0017819","p.persica_gdr_reftransV1_0017819")</f>
        <v>p.persica_gdr_reftransV1_0017819</v>
      </c>
      <c r="B3477" s="3">
        <v>2186</v>
      </c>
      <c r="C3477" s="1" t="str">
        <f>HYPERLINK("http://www.uniprot.org/uniprot/MPPA_SOLTU","MPPA_SOLTU")</f>
        <v>MPPA_SOLTU</v>
      </c>
      <c r="D3477" t="s">
        <v>3187</v>
      </c>
      <c r="E3477" s="3" t="s">
        <v>11</v>
      </c>
      <c r="F3477" s="4">
        <v>0</v>
      </c>
      <c r="G3477" s="3">
        <v>1724</v>
      </c>
      <c r="H3477" s="3">
        <v>67</v>
      </c>
      <c r="I3477" s="3">
        <v>511</v>
      </c>
      <c r="J3477" s="3">
        <v>384</v>
      </c>
      <c r="K3477" s="3">
        <v>1913</v>
      </c>
      <c r="L3477" s="3">
        <v>1</v>
      </c>
      <c r="M3477" s="3">
        <v>504</v>
      </c>
    </row>
    <row r="3478" spans="1:13" x14ac:dyDescent="0.25">
      <c r="A3478" s="1" t="str">
        <f>HYPERLINK("http://www.rosaceae.org/Prunus/Prunus_persica/p.persica_gdr_reftransV1_0018119","p.persica_gdr_reftransV1_0018119")</f>
        <v>p.persica_gdr_reftransV1_0018119</v>
      </c>
      <c r="B3478" s="3">
        <v>1948</v>
      </c>
      <c r="C3478" s="1" t="str">
        <f>HYPERLINK("http://www.uniprot.org/uniprot/ELM1_ARATH","ELM1_ARATH")</f>
        <v>ELM1_ARATH</v>
      </c>
      <c r="D3478" t="s">
        <v>3188</v>
      </c>
      <c r="E3478" s="3" t="s">
        <v>3</v>
      </c>
      <c r="F3478" s="4">
        <v>0</v>
      </c>
      <c r="G3478" s="3">
        <v>1595</v>
      </c>
      <c r="H3478" s="3">
        <v>71</v>
      </c>
      <c r="I3478" s="3">
        <v>426</v>
      </c>
      <c r="J3478" s="3">
        <v>438</v>
      </c>
      <c r="K3478" s="3">
        <v>1697</v>
      </c>
      <c r="L3478" s="3">
        <v>1</v>
      </c>
      <c r="M3478" s="3">
        <v>426</v>
      </c>
    </row>
    <row r="3479" spans="1:13" x14ac:dyDescent="0.25">
      <c r="A3479" s="1" t="str">
        <f>HYPERLINK("http://www.rosaceae.org/Prunus/Prunus_persica/p.persica_gdr_reftransV1_0018319","p.persica_gdr_reftransV1_0018319")</f>
        <v>p.persica_gdr_reftransV1_0018319</v>
      </c>
      <c r="B3479" s="3">
        <v>2888</v>
      </c>
      <c r="C3479" s="1" t="str">
        <f>HYPERLINK("http://www.uniprot.org/uniprot/SCC4_HUMAN","SCC4_HUMAN")</f>
        <v>SCC4_HUMAN</v>
      </c>
      <c r="D3479" t="s">
        <v>3189</v>
      </c>
      <c r="E3479" s="3" t="s">
        <v>28</v>
      </c>
      <c r="F3479" s="4">
        <v>1.4500000000000001E-8</v>
      </c>
      <c r="G3479" s="3">
        <v>150</v>
      </c>
      <c r="H3479" s="3">
        <v>32</v>
      </c>
      <c r="I3479" s="3">
        <v>137</v>
      </c>
      <c r="J3479" s="3">
        <v>280</v>
      </c>
      <c r="K3479" s="3">
        <v>675</v>
      </c>
      <c r="L3479" s="3">
        <v>48</v>
      </c>
      <c r="M3479" s="3">
        <v>171</v>
      </c>
    </row>
    <row r="3480" spans="1:13" x14ac:dyDescent="0.25">
      <c r="A3480" s="1" t="str">
        <f>HYPERLINK("http://www.rosaceae.org/Prunus/Prunus_persica/p.persica_gdr_reftransV1_0018569","p.persica_gdr_reftransV1_0018569")</f>
        <v>p.persica_gdr_reftransV1_0018569</v>
      </c>
      <c r="B3480" s="3">
        <v>1100</v>
      </c>
      <c r="C3480" s="1" t="str">
        <f>HYPERLINK("http://www.uniprot.org/uniprot/GDL64_ARATH","GDL64_ARATH")</f>
        <v>GDL64_ARATH</v>
      </c>
      <c r="D3480" t="s">
        <v>2114</v>
      </c>
      <c r="E3480" s="3" t="s">
        <v>3</v>
      </c>
      <c r="F3480" s="4">
        <v>1.34E-146</v>
      </c>
      <c r="G3480" s="3">
        <v>1096</v>
      </c>
      <c r="H3480" s="3">
        <v>67</v>
      </c>
      <c r="I3480" s="3">
        <v>299</v>
      </c>
      <c r="J3480" s="3">
        <v>1</v>
      </c>
      <c r="K3480" s="3">
        <v>897</v>
      </c>
      <c r="L3480" s="3">
        <v>63</v>
      </c>
      <c r="M3480" s="3">
        <v>361</v>
      </c>
    </row>
    <row r="3481" spans="1:13" x14ac:dyDescent="0.25">
      <c r="A3481" s="1" t="str">
        <f>HYPERLINK("http://www.rosaceae.org/Prunus/Prunus_persica/p.persica_gdr_reftransV1_0018819","p.persica_gdr_reftransV1_0018819")</f>
        <v>p.persica_gdr_reftransV1_0018819</v>
      </c>
      <c r="B3481" s="3">
        <v>2014</v>
      </c>
      <c r="C3481" s="1" t="str">
        <f>HYPERLINK("http://www.uniprot.org/uniprot/CTPA1_ARATH","CTPA1_ARATH")</f>
        <v>CTPA1_ARATH</v>
      </c>
      <c r="D3481" t="s">
        <v>3190</v>
      </c>
      <c r="E3481" s="3" t="s">
        <v>3</v>
      </c>
      <c r="F3481" s="4">
        <v>8.7499999999999996E-145</v>
      </c>
      <c r="G3481" s="3">
        <v>1106</v>
      </c>
      <c r="H3481" s="3">
        <v>67</v>
      </c>
      <c r="I3481" s="3">
        <v>325</v>
      </c>
      <c r="J3481" s="3">
        <v>595</v>
      </c>
      <c r="K3481" s="3">
        <v>1569</v>
      </c>
      <c r="L3481" s="3">
        <v>192</v>
      </c>
      <c r="M3481" s="3">
        <v>488</v>
      </c>
    </row>
    <row r="3482" spans="1:13" x14ac:dyDescent="0.25">
      <c r="A3482" s="1" t="str">
        <f>HYPERLINK("http://www.rosaceae.org/Prunus/Prunus_persica/p.persica_gdr_reftransV1_0018919","p.persica_gdr_reftransV1_0018919")</f>
        <v>p.persica_gdr_reftransV1_0018919</v>
      </c>
      <c r="B3482" s="3">
        <v>951</v>
      </c>
      <c r="C3482" s="1" t="str">
        <f>HYPERLINK("http://www.uniprot.org/uniprot/HT1_ARATH","HT1_ARATH")</f>
        <v>HT1_ARATH</v>
      </c>
      <c r="D3482" t="s">
        <v>1169</v>
      </c>
      <c r="E3482" s="3" t="s">
        <v>3</v>
      </c>
      <c r="F3482" s="4">
        <v>9.0799999999999997E-52</v>
      </c>
      <c r="G3482" s="3">
        <v>459</v>
      </c>
      <c r="H3482" s="3">
        <v>50</v>
      </c>
      <c r="I3482" s="3">
        <v>153</v>
      </c>
      <c r="J3482" s="3">
        <v>27</v>
      </c>
      <c r="K3482" s="3">
        <v>485</v>
      </c>
      <c r="L3482" s="3">
        <v>189</v>
      </c>
      <c r="M3482" s="3">
        <v>341</v>
      </c>
    </row>
    <row r="3483" spans="1:13" x14ac:dyDescent="0.25">
      <c r="A3483" s="1" t="str">
        <f>HYPERLINK("http://www.rosaceae.org/Prunus/Prunus_persica/p.persica_gdr_reftransV1_0019019","p.persica_gdr_reftransV1_0019019")</f>
        <v>p.persica_gdr_reftransV1_0019019</v>
      </c>
      <c r="B3483" s="3">
        <v>1674</v>
      </c>
      <c r="C3483" s="1" t="str">
        <f>HYPERLINK("http://www.uniprot.org/uniprot/FBL4_ARATH","FBL4_ARATH")</f>
        <v>FBL4_ARATH</v>
      </c>
      <c r="D3483" t="s">
        <v>876</v>
      </c>
      <c r="E3483" s="3" t="s">
        <v>3</v>
      </c>
      <c r="F3483" s="4">
        <v>1.8E-17</v>
      </c>
      <c r="G3483" s="3">
        <v>221</v>
      </c>
      <c r="H3483" s="3">
        <v>27</v>
      </c>
      <c r="I3483" s="3">
        <v>277</v>
      </c>
      <c r="J3483" s="3">
        <v>670</v>
      </c>
      <c r="K3483" s="3">
        <v>1494</v>
      </c>
      <c r="L3483" s="3">
        <v>340</v>
      </c>
      <c r="M3483" s="3">
        <v>571</v>
      </c>
    </row>
    <row r="3484" spans="1:13" x14ac:dyDescent="0.25">
      <c r="A3484" s="1" t="str">
        <f>HYPERLINK("http://www.rosaceae.org/Prunus/Prunus_persica/p.persica_gdr_reftransV1_0019069","p.persica_gdr_reftransV1_0019069")</f>
        <v>p.persica_gdr_reftransV1_0019069</v>
      </c>
      <c r="B3484" s="3">
        <v>1819</v>
      </c>
      <c r="C3484" s="1" t="str">
        <f>HYPERLINK("http://www.uniprot.org/uniprot/PP302_ARATH","PP302_ARATH")</f>
        <v>PP302_ARATH</v>
      </c>
      <c r="D3484" t="s">
        <v>3191</v>
      </c>
      <c r="E3484" s="3" t="s">
        <v>3</v>
      </c>
      <c r="F3484" s="4">
        <v>0</v>
      </c>
      <c r="G3484" s="3">
        <v>1736</v>
      </c>
      <c r="H3484" s="3">
        <v>65</v>
      </c>
      <c r="I3484" s="3">
        <v>481</v>
      </c>
      <c r="J3484" s="3">
        <v>250</v>
      </c>
      <c r="K3484" s="3">
        <v>1692</v>
      </c>
      <c r="L3484" s="3">
        <v>49</v>
      </c>
      <c r="M3484" s="3">
        <v>529</v>
      </c>
    </row>
    <row r="3485" spans="1:13" x14ac:dyDescent="0.25">
      <c r="A3485" s="1" t="str">
        <f>HYPERLINK("http://www.rosaceae.org/Prunus/Prunus_persica/p.persica_gdr_reftransV1_0019169","p.persica_gdr_reftransV1_0019169")</f>
        <v>p.persica_gdr_reftransV1_0019169</v>
      </c>
      <c r="B3485" s="3">
        <v>2365</v>
      </c>
      <c r="C3485" s="1" t="str">
        <f>HYPERLINK("http://www.uniprot.org/uniprot/TPT_SPIOL","TPT_SPIOL")</f>
        <v>TPT_SPIOL</v>
      </c>
      <c r="D3485" t="s">
        <v>3192</v>
      </c>
      <c r="E3485" s="3" t="s">
        <v>131</v>
      </c>
      <c r="F3485" s="4">
        <v>2.9099999999999999E-169</v>
      </c>
      <c r="G3485" s="3">
        <v>1291</v>
      </c>
      <c r="H3485" s="3">
        <v>79</v>
      </c>
      <c r="I3485" s="3">
        <v>334</v>
      </c>
      <c r="J3485" s="3">
        <v>406</v>
      </c>
      <c r="K3485" s="3">
        <v>1389</v>
      </c>
      <c r="L3485" s="3">
        <v>67</v>
      </c>
      <c r="M3485" s="3">
        <v>400</v>
      </c>
    </row>
    <row r="3486" spans="1:13" x14ac:dyDescent="0.25">
      <c r="A3486" s="1" t="str">
        <f>HYPERLINK("http://www.rosaceae.org/Prunus/Prunus_persica/p.persica_gdr_reftransV1_0019219","p.persica_gdr_reftransV1_0019219")</f>
        <v>p.persica_gdr_reftransV1_0019219</v>
      </c>
      <c r="B3486" s="3">
        <v>2569</v>
      </c>
      <c r="C3486" s="1" t="str">
        <f>HYPERLINK("http://www.uniprot.org/uniprot/PPI1_ARATH","PPI1_ARATH")</f>
        <v>PPI1_ARATH</v>
      </c>
      <c r="D3486" t="s">
        <v>706</v>
      </c>
      <c r="E3486" s="3" t="s">
        <v>3</v>
      </c>
      <c r="F3486" s="4">
        <v>3.1499999999999999E-127</v>
      </c>
      <c r="G3486" s="3">
        <v>1033</v>
      </c>
      <c r="H3486" s="3">
        <v>51</v>
      </c>
      <c r="I3486" s="3">
        <v>495</v>
      </c>
      <c r="J3486" s="3">
        <v>854</v>
      </c>
      <c r="K3486" s="3">
        <v>2290</v>
      </c>
      <c r="L3486" s="3">
        <v>1</v>
      </c>
      <c r="M3486" s="3">
        <v>480</v>
      </c>
    </row>
    <row r="3487" spans="1:13" x14ac:dyDescent="0.25">
      <c r="A3487" s="1" t="str">
        <f>HYPERLINK("http://www.rosaceae.org/Prunus/Prunus_persica/p.persica_gdr_reftransV1_0019269","p.persica_gdr_reftransV1_0019269")</f>
        <v>p.persica_gdr_reftransV1_0019269</v>
      </c>
      <c r="B3487" s="3">
        <v>3879</v>
      </c>
      <c r="C3487" s="1" t="str">
        <f>HYPERLINK("http://www.uniprot.org/uniprot/AUXI2_ARATH","AUXI2_ARATH")</f>
        <v>AUXI2_ARATH</v>
      </c>
      <c r="D3487" t="s">
        <v>3193</v>
      </c>
      <c r="E3487" s="3" t="s">
        <v>3</v>
      </c>
      <c r="F3487" s="4">
        <v>5.1799999999999997E-80</v>
      </c>
      <c r="G3487" s="3">
        <v>734</v>
      </c>
      <c r="H3487" s="3">
        <v>86</v>
      </c>
      <c r="I3487" s="3">
        <v>177</v>
      </c>
      <c r="J3487" s="3">
        <v>540</v>
      </c>
      <c r="K3487" s="3">
        <v>1070</v>
      </c>
      <c r="L3487" s="3">
        <v>715</v>
      </c>
      <c r="M3487" s="3">
        <v>891</v>
      </c>
    </row>
    <row r="3488" spans="1:13" x14ac:dyDescent="0.25">
      <c r="A3488" s="1" t="str">
        <f>HYPERLINK("http://www.rosaceae.org/Prunus/Prunus_persica/p.persica_gdr_reftransV1_0019319","p.persica_gdr_reftransV1_0019319")</f>
        <v>p.persica_gdr_reftransV1_0019319</v>
      </c>
      <c r="B3488" s="3">
        <v>2283</v>
      </c>
      <c r="C3488" s="1" t="str">
        <f>HYPERLINK("http://www.uniprot.org/uniprot/TGT4_ARATH","TGT4_ARATH")</f>
        <v>TGT4_ARATH</v>
      </c>
      <c r="D3488" t="s">
        <v>3194</v>
      </c>
      <c r="E3488" s="3" t="s">
        <v>3</v>
      </c>
      <c r="F3488" s="4">
        <v>1.9599999999999999E-90</v>
      </c>
      <c r="G3488" s="3">
        <v>754</v>
      </c>
      <c r="H3488" s="3">
        <v>73</v>
      </c>
      <c r="I3488" s="3">
        <v>185</v>
      </c>
      <c r="J3488" s="3">
        <v>345</v>
      </c>
      <c r="K3488" s="3">
        <v>896</v>
      </c>
      <c r="L3488" s="3">
        <v>188</v>
      </c>
      <c r="M3488" s="3">
        <v>371</v>
      </c>
    </row>
    <row r="3489" spans="1:13" x14ac:dyDescent="0.25">
      <c r="A3489" s="1" t="str">
        <f>HYPERLINK("http://www.rosaceae.org/Prunus/Prunus_persica/p.persica_gdr_reftransV1_0019369","p.persica_gdr_reftransV1_0019369")</f>
        <v>p.persica_gdr_reftransV1_0019369</v>
      </c>
      <c r="B3489" s="3">
        <v>666</v>
      </c>
      <c r="C3489" s="1" t="str">
        <f>HYPERLINK("http://www.uniprot.org/uniprot/PP301_ARATH","PP301_ARATH")</f>
        <v>PP301_ARATH</v>
      </c>
      <c r="D3489" t="s">
        <v>1571</v>
      </c>
      <c r="E3489" s="3" t="s">
        <v>3</v>
      </c>
      <c r="F3489" s="4">
        <v>2.23E-79</v>
      </c>
      <c r="G3489" s="3">
        <v>661</v>
      </c>
      <c r="H3489" s="3">
        <v>55</v>
      </c>
      <c r="I3489" s="3">
        <v>202</v>
      </c>
      <c r="J3489" s="3">
        <v>6</v>
      </c>
      <c r="K3489" s="3">
        <v>611</v>
      </c>
      <c r="L3489" s="3">
        <v>580</v>
      </c>
      <c r="M3489" s="3">
        <v>781</v>
      </c>
    </row>
    <row r="3490" spans="1:13" x14ac:dyDescent="0.25">
      <c r="A3490" s="1" t="str">
        <f>HYPERLINK("http://www.rosaceae.org/Prunus/Prunus_persica/p.persica_gdr_reftransV1_0019869","p.persica_gdr_reftransV1_0019869")</f>
        <v>p.persica_gdr_reftransV1_0019869</v>
      </c>
      <c r="B3490" s="3">
        <v>1440</v>
      </c>
      <c r="C3490" s="1" t="str">
        <f>HYPERLINK("http://www.uniprot.org/uniprot/WTR14_ARATH","WTR14_ARATH")</f>
        <v>WTR14_ARATH</v>
      </c>
      <c r="D3490" t="s">
        <v>3195</v>
      </c>
      <c r="E3490" s="3" t="s">
        <v>3</v>
      </c>
      <c r="F3490" s="4">
        <v>6.7999999999999997E-127</v>
      </c>
      <c r="G3490" s="3">
        <v>977</v>
      </c>
      <c r="H3490" s="3">
        <v>55</v>
      </c>
      <c r="I3490" s="3">
        <v>346</v>
      </c>
      <c r="J3490" s="3">
        <v>142</v>
      </c>
      <c r="K3490" s="3">
        <v>1170</v>
      </c>
      <c r="L3490" s="3">
        <v>7</v>
      </c>
      <c r="M3490" s="3">
        <v>345</v>
      </c>
    </row>
    <row r="3491" spans="1:13" x14ac:dyDescent="0.25">
      <c r="A3491" s="1" t="str">
        <f>HYPERLINK("http://www.rosaceae.org/Prunus/Prunus_persica/p.persica_gdr_reftransV1_0020019","p.persica_gdr_reftransV1_0020019")</f>
        <v>p.persica_gdr_reftransV1_0020019</v>
      </c>
      <c r="B3491" s="3">
        <v>2737</v>
      </c>
      <c r="C3491" s="1" t="str">
        <f>HYPERLINK("http://www.uniprot.org/uniprot/PAM68_ARATH","PAM68_ARATH")</f>
        <v>PAM68_ARATH</v>
      </c>
      <c r="D3491" t="s">
        <v>3196</v>
      </c>
      <c r="E3491" s="3" t="s">
        <v>3</v>
      </c>
      <c r="F3491" s="4">
        <v>4.6799999999999998E-43</v>
      </c>
      <c r="G3491" s="3">
        <v>407</v>
      </c>
      <c r="H3491" s="3">
        <v>68</v>
      </c>
      <c r="I3491" s="3">
        <v>201</v>
      </c>
      <c r="J3491" s="3">
        <v>1981</v>
      </c>
      <c r="K3491" s="3">
        <v>2568</v>
      </c>
      <c r="L3491" s="3">
        <v>13</v>
      </c>
      <c r="M3491" s="3">
        <v>213</v>
      </c>
    </row>
    <row r="3492" spans="1:13" x14ac:dyDescent="0.25">
      <c r="A3492" s="1" t="str">
        <f>HYPERLINK("http://www.rosaceae.org/Prunus/Prunus_persica/p.persica_gdr_reftransV1_0020069","p.persica_gdr_reftransV1_0020069")</f>
        <v>p.persica_gdr_reftransV1_0020069</v>
      </c>
      <c r="B3492" s="3">
        <v>2469</v>
      </c>
      <c r="C3492" s="1" t="str">
        <f>HYPERLINK("http://www.uniprot.org/uniprot/FRS6_ARATH","FRS6_ARATH")</f>
        <v>FRS6_ARATH</v>
      </c>
      <c r="D3492" t="s">
        <v>503</v>
      </c>
      <c r="E3492" s="3" t="s">
        <v>3</v>
      </c>
      <c r="F3492" s="4">
        <v>0</v>
      </c>
      <c r="G3492" s="3">
        <v>2386</v>
      </c>
      <c r="H3492" s="3">
        <v>70</v>
      </c>
      <c r="I3492" s="3">
        <v>637</v>
      </c>
      <c r="J3492" s="3">
        <v>318</v>
      </c>
      <c r="K3492" s="3">
        <v>2204</v>
      </c>
      <c r="L3492" s="3">
        <v>68</v>
      </c>
      <c r="M3492" s="3">
        <v>694</v>
      </c>
    </row>
    <row r="3493" spans="1:13" x14ac:dyDescent="0.25">
      <c r="A3493" s="1" t="str">
        <f>HYPERLINK("http://www.rosaceae.org/Prunus/Prunus_persica/p.persica_gdr_reftransV1_0020119","p.persica_gdr_reftransV1_0020119")</f>
        <v>p.persica_gdr_reftransV1_0020119</v>
      </c>
      <c r="B3493" s="3">
        <v>3961</v>
      </c>
      <c r="C3493" s="1" t="str">
        <f>HYPERLINK("http://www.uniprot.org/uniprot/CSC1_ARATH","CSC1_ARATH")</f>
        <v>CSC1_ARATH</v>
      </c>
      <c r="D3493" t="s">
        <v>3197</v>
      </c>
      <c r="E3493" s="3" t="s">
        <v>3</v>
      </c>
      <c r="F3493" s="4">
        <v>0</v>
      </c>
      <c r="G3493" s="3">
        <v>1956</v>
      </c>
      <c r="H3493" s="3">
        <v>77</v>
      </c>
      <c r="I3493" s="3">
        <v>501</v>
      </c>
      <c r="J3493" s="3">
        <v>459</v>
      </c>
      <c r="K3493" s="3">
        <v>1958</v>
      </c>
      <c r="L3493" s="3">
        <v>1</v>
      </c>
      <c r="M3493" s="3">
        <v>500</v>
      </c>
    </row>
    <row r="3494" spans="1:13" x14ac:dyDescent="0.25">
      <c r="A3494" s="1" t="str">
        <f>HYPERLINK("http://www.rosaceae.org/Prunus/Prunus_persica/p.persica_gdr_reftransV1_0020219","p.persica_gdr_reftransV1_0020219")</f>
        <v>p.persica_gdr_reftransV1_0020219</v>
      </c>
      <c r="B3494" s="3">
        <v>1062</v>
      </c>
      <c r="C3494" s="1" t="str">
        <f>HYPERLINK("http://www.uniprot.org/uniprot/LSH3_ARATH","LSH3_ARATH")</f>
        <v>LSH3_ARATH</v>
      </c>
      <c r="D3494" t="s">
        <v>3198</v>
      </c>
      <c r="E3494" s="3" t="s">
        <v>3</v>
      </c>
      <c r="F3494" s="4">
        <v>2.68E-77</v>
      </c>
      <c r="G3494" s="3">
        <v>620</v>
      </c>
      <c r="H3494" s="3">
        <v>95</v>
      </c>
      <c r="I3494" s="3">
        <v>131</v>
      </c>
      <c r="J3494" s="3">
        <v>365</v>
      </c>
      <c r="K3494" s="3">
        <v>757</v>
      </c>
      <c r="L3494" s="3">
        <v>54</v>
      </c>
      <c r="M3494" s="3">
        <v>184</v>
      </c>
    </row>
    <row r="3495" spans="1:13" x14ac:dyDescent="0.25">
      <c r="A3495" s="1" t="str">
        <f>HYPERLINK("http://www.rosaceae.org/Prunus/Prunus_persica/p.persica_gdr_reftransV1_0020469","p.persica_gdr_reftransV1_0020469")</f>
        <v>p.persica_gdr_reftransV1_0020469</v>
      </c>
      <c r="B3495" s="3">
        <v>3487</v>
      </c>
      <c r="C3495" s="1" t="str">
        <f>HYPERLINK("http://www.uniprot.org/uniprot/PNP1_ARATH","PNP1_ARATH")</f>
        <v>PNP1_ARATH</v>
      </c>
      <c r="D3495" t="s">
        <v>3199</v>
      </c>
      <c r="E3495" s="3" t="s">
        <v>3</v>
      </c>
      <c r="F3495" s="4">
        <v>0</v>
      </c>
      <c r="G3495" s="3">
        <v>2216</v>
      </c>
      <c r="H3495" s="3">
        <v>70</v>
      </c>
      <c r="I3495" s="3">
        <v>653</v>
      </c>
      <c r="J3495" s="3">
        <v>939</v>
      </c>
      <c r="K3495" s="3">
        <v>2894</v>
      </c>
      <c r="L3495" s="3">
        <v>293</v>
      </c>
      <c r="M3495" s="3">
        <v>921</v>
      </c>
    </row>
    <row r="3496" spans="1:13" x14ac:dyDescent="0.25">
      <c r="A3496" s="1" t="str">
        <f>HYPERLINK("http://www.rosaceae.org/Prunus/Prunus_persica/p.persica_gdr_reftransV1_0020569","p.persica_gdr_reftransV1_0020569")</f>
        <v>p.persica_gdr_reftransV1_0020569</v>
      </c>
      <c r="B3496" s="3">
        <v>1133</v>
      </c>
      <c r="C3496" s="1" t="str">
        <f>HYPERLINK("http://www.uniprot.org/uniprot/GOGC1_ARATH","GOGC1_ARATH")</f>
        <v>GOGC1_ARATH</v>
      </c>
      <c r="D3496" t="s">
        <v>3200</v>
      </c>
      <c r="E3496" s="3" t="s">
        <v>3</v>
      </c>
      <c r="F3496" s="4">
        <v>8.1800000000000005E-7</v>
      </c>
      <c r="G3496" s="3">
        <v>130</v>
      </c>
      <c r="H3496" s="3">
        <v>67</v>
      </c>
      <c r="I3496" s="3">
        <v>42</v>
      </c>
      <c r="J3496" s="3">
        <v>202</v>
      </c>
      <c r="K3496" s="3">
        <v>324</v>
      </c>
      <c r="L3496" s="3">
        <v>1</v>
      </c>
      <c r="M3496" s="3">
        <v>42</v>
      </c>
    </row>
    <row r="3497" spans="1:13" x14ac:dyDescent="0.25">
      <c r="A3497" s="1" t="str">
        <f>HYPERLINK("http://www.rosaceae.org/Prunus/Prunus_persica/p.persica_gdr_reftransV1_0020769","p.persica_gdr_reftransV1_0020769")</f>
        <v>p.persica_gdr_reftransV1_0020769</v>
      </c>
      <c r="B3497" s="3">
        <v>1780</v>
      </c>
      <c r="C3497" s="1" t="str">
        <f>HYPERLINK("http://www.uniprot.org/uniprot/CAS1_BETPL","CAS1_BETPL")</f>
        <v>CAS1_BETPL</v>
      </c>
      <c r="D3497" t="s">
        <v>3201</v>
      </c>
      <c r="E3497" s="3" t="s">
        <v>2061</v>
      </c>
      <c r="F3497" s="4">
        <v>0</v>
      </c>
      <c r="G3497" s="3">
        <v>1977</v>
      </c>
      <c r="H3497" s="3">
        <v>84</v>
      </c>
      <c r="I3497" s="3">
        <v>437</v>
      </c>
      <c r="J3497" s="3">
        <v>2</v>
      </c>
      <c r="K3497" s="3">
        <v>1312</v>
      </c>
      <c r="L3497" s="3">
        <v>353</v>
      </c>
      <c r="M3497" s="3">
        <v>767</v>
      </c>
    </row>
    <row r="3498" spans="1:13" x14ac:dyDescent="0.25">
      <c r="A3498" s="1" t="str">
        <f>HYPERLINK("http://www.rosaceae.org/Prunus/Prunus_persica/p.persica_gdr_reftransV1_0020819","p.persica_gdr_reftransV1_0020819")</f>
        <v>p.persica_gdr_reftransV1_0020819</v>
      </c>
      <c r="B3498" s="3">
        <v>4183</v>
      </c>
      <c r="C3498" s="1" t="str">
        <f>HYPERLINK("http://www.uniprot.org/uniprot/IBTK_XENLA","IBTK_XENLA")</f>
        <v>IBTK_XENLA</v>
      </c>
      <c r="D3498" t="s">
        <v>3202</v>
      </c>
      <c r="E3498" s="3" t="s">
        <v>475</v>
      </c>
      <c r="F3498" s="4">
        <v>2.3099999999999998E-33</v>
      </c>
      <c r="G3498" s="3">
        <v>364</v>
      </c>
      <c r="H3498" s="3">
        <v>31</v>
      </c>
      <c r="I3498" s="3">
        <v>416</v>
      </c>
      <c r="J3498" s="3">
        <v>2138</v>
      </c>
      <c r="K3498" s="3">
        <v>3307</v>
      </c>
      <c r="L3498" s="3">
        <v>81</v>
      </c>
      <c r="M3498" s="3">
        <v>474</v>
      </c>
    </row>
    <row r="3499" spans="1:13" x14ac:dyDescent="0.25">
      <c r="A3499" s="1" t="str">
        <f>HYPERLINK("http://www.rosaceae.org/Prunus/Prunus_persica/p.persica_gdr_reftransV1_0020869","p.persica_gdr_reftransV1_0020869")</f>
        <v>p.persica_gdr_reftransV1_0020869</v>
      </c>
      <c r="B3499" s="3">
        <v>1565</v>
      </c>
      <c r="C3499" s="1" t="str">
        <f>HYPERLINK("http://www.uniprot.org/uniprot/SUS1_ARATH","SUS1_ARATH")</f>
        <v>SUS1_ARATH</v>
      </c>
      <c r="D3499" t="s">
        <v>3203</v>
      </c>
      <c r="E3499" s="3" t="s">
        <v>3</v>
      </c>
      <c r="F3499" s="4">
        <v>3.2299999999999999E-19</v>
      </c>
      <c r="G3499" s="3">
        <v>217</v>
      </c>
      <c r="H3499" s="3">
        <v>62</v>
      </c>
      <c r="I3499" s="3">
        <v>89</v>
      </c>
      <c r="J3499" s="3">
        <v>100</v>
      </c>
      <c r="K3499" s="3">
        <v>354</v>
      </c>
      <c r="L3499" s="3">
        <v>1</v>
      </c>
      <c r="M3499" s="3">
        <v>89</v>
      </c>
    </row>
    <row r="3500" spans="1:13" x14ac:dyDescent="0.25">
      <c r="A3500" s="1" t="str">
        <f>HYPERLINK("http://www.rosaceae.org/Prunus/Prunus_persica/p.persica_gdr_reftransV1_0020969","p.persica_gdr_reftransV1_0020969")</f>
        <v>p.persica_gdr_reftransV1_0020969</v>
      </c>
      <c r="B3500" s="3">
        <v>1080</v>
      </c>
      <c r="C3500" s="1" t="str">
        <f>HYPERLINK("http://www.uniprot.org/uniprot/CT024_MOUSE","CT024_MOUSE")</f>
        <v>CT024_MOUSE</v>
      </c>
      <c r="D3500" t="s">
        <v>2882</v>
      </c>
      <c r="E3500" s="3" t="s">
        <v>157</v>
      </c>
      <c r="F3500" s="4">
        <v>8.0699999999999995E-20</v>
      </c>
      <c r="G3500" s="3">
        <v>217</v>
      </c>
      <c r="H3500" s="3">
        <v>41</v>
      </c>
      <c r="I3500" s="3">
        <v>103</v>
      </c>
      <c r="J3500" s="3">
        <v>280</v>
      </c>
      <c r="K3500" s="3">
        <v>585</v>
      </c>
      <c r="L3500" s="3">
        <v>26</v>
      </c>
      <c r="M3500" s="3">
        <v>128</v>
      </c>
    </row>
    <row r="3501" spans="1:13" x14ac:dyDescent="0.25">
      <c r="A3501" s="1" t="str">
        <f>HYPERLINK("http://www.rosaceae.org/Prunus/Prunus_persica/p.persica_gdr_reftransV1_0021019","p.persica_gdr_reftransV1_0021019")</f>
        <v>p.persica_gdr_reftransV1_0021019</v>
      </c>
      <c r="B3501" s="3">
        <v>3068</v>
      </c>
      <c r="C3501" s="1" t="str">
        <f>HYPERLINK("http://www.uniprot.org/uniprot/SC23A_PONAB","SC23A_PONAB")</f>
        <v>SC23A_PONAB</v>
      </c>
      <c r="D3501" t="s">
        <v>3204</v>
      </c>
      <c r="E3501" s="3" t="s">
        <v>176</v>
      </c>
      <c r="F3501" s="4">
        <v>9.7999999999999998E-128</v>
      </c>
      <c r="G3501" s="3">
        <v>1061</v>
      </c>
      <c r="H3501" s="3">
        <v>54</v>
      </c>
      <c r="I3501" s="3">
        <v>363</v>
      </c>
      <c r="J3501" s="3">
        <v>588</v>
      </c>
      <c r="K3501" s="3">
        <v>1673</v>
      </c>
      <c r="L3501" s="3">
        <v>403</v>
      </c>
      <c r="M3501" s="3">
        <v>763</v>
      </c>
    </row>
    <row r="3502" spans="1:13" x14ac:dyDescent="0.25">
      <c r="A3502" s="1" t="str">
        <f>HYPERLINK("http://www.rosaceae.org/Prunus/Prunus_persica/p.persica_gdr_reftransV1_0021069","p.persica_gdr_reftransV1_0021069")</f>
        <v>p.persica_gdr_reftransV1_0021069</v>
      </c>
      <c r="B3502" s="3">
        <v>763</v>
      </c>
      <c r="C3502" s="1" t="str">
        <f>HYPERLINK("http://www.uniprot.org/uniprot/PUB21_ARATH","PUB21_ARATH")</f>
        <v>PUB21_ARATH</v>
      </c>
      <c r="D3502" t="s">
        <v>423</v>
      </c>
      <c r="E3502" s="3" t="s">
        <v>3</v>
      </c>
      <c r="F3502" s="4">
        <v>1.11E-27</v>
      </c>
      <c r="G3502" s="3">
        <v>284</v>
      </c>
      <c r="H3502" s="3">
        <v>45</v>
      </c>
      <c r="I3502" s="3">
        <v>146</v>
      </c>
      <c r="J3502" s="3">
        <v>89</v>
      </c>
      <c r="K3502" s="3">
        <v>520</v>
      </c>
      <c r="L3502" s="3">
        <v>294</v>
      </c>
      <c r="M3502" s="3">
        <v>435</v>
      </c>
    </row>
    <row r="3503" spans="1:13" x14ac:dyDescent="0.25">
      <c r="A3503" s="1" t="str">
        <f>HYPERLINK("http://www.rosaceae.org/Prunus/Prunus_persica/p.persica_gdr_reftransV1_0021269","p.persica_gdr_reftransV1_0021269")</f>
        <v>p.persica_gdr_reftransV1_0021269</v>
      </c>
      <c r="B3503" s="3">
        <v>1259</v>
      </c>
      <c r="C3503" s="1" t="str">
        <f>HYPERLINK("http://www.uniprot.org/uniprot/EXOL7_ARATH","EXOL7_ARATH")</f>
        <v>EXOL7_ARATH</v>
      </c>
      <c r="D3503" t="s">
        <v>3205</v>
      </c>
      <c r="E3503" s="3" t="s">
        <v>3</v>
      </c>
      <c r="F3503" s="4">
        <v>1.4600000000000001E-133</v>
      </c>
      <c r="G3503" s="3">
        <v>1011</v>
      </c>
      <c r="H3503" s="3">
        <v>65</v>
      </c>
      <c r="I3503" s="3">
        <v>331</v>
      </c>
      <c r="J3503" s="3">
        <v>228</v>
      </c>
      <c r="K3503" s="3">
        <v>1211</v>
      </c>
      <c r="L3503" s="3">
        <v>3</v>
      </c>
      <c r="M3503" s="3">
        <v>323</v>
      </c>
    </row>
    <row r="3504" spans="1:13" x14ac:dyDescent="0.25">
      <c r="A3504" s="1" t="str">
        <f>HYPERLINK("http://www.rosaceae.org/Prunus/Prunus_persica/p.persica_gdr_reftransV1_0021319","p.persica_gdr_reftransV1_0021319")</f>
        <v>p.persica_gdr_reftransV1_0021319</v>
      </c>
      <c r="B3504" s="3">
        <v>809</v>
      </c>
      <c r="C3504" s="1" t="str">
        <f>HYPERLINK("http://www.uniprot.org/uniprot/PUB4_ARATH","PUB4_ARATH")</f>
        <v>PUB4_ARATH</v>
      </c>
      <c r="D3504" t="s">
        <v>1286</v>
      </c>
      <c r="E3504" s="3" t="s">
        <v>3</v>
      </c>
      <c r="F3504" s="4">
        <v>1.7200000000000001E-37</v>
      </c>
      <c r="G3504" s="3">
        <v>365</v>
      </c>
      <c r="H3504" s="3">
        <v>62</v>
      </c>
      <c r="I3504" s="3">
        <v>138</v>
      </c>
      <c r="J3504" s="3">
        <v>3</v>
      </c>
      <c r="K3504" s="3">
        <v>410</v>
      </c>
      <c r="L3504" s="3">
        <v>510</v>
      </c>
      <c r="M3504" s="3">
        <v>644</v>
      </c>
    </row>
    <row r="3505" spans="1:13" x14ac:dyDescent="0.25">
      <c r="A3505" s="1" t="str">
        <f>HYPERLINK("http://www.rosaceae.org/Prunus/Prunus_persica/p.persica_gdr_reftransV1_0021419","p.persica_gdr_reftransV1_0021419")</f>
        <v>p.persica_gdr_reftransV1_0021419</v>
      </c>
      <c r="B3505" s="3">
        <v>1358</v>
      </c>
      <c r="C3505" s="1" t="str">
        <f>HYPERLINK("http://www.uniprot.org/uniprot/WRK18_ARATH","WRK18_ARATH")</f>
        <v>WRK18_ARATH</v>
      </c>
      <c r="D3505" t="s">
        <v>3206</v>
      </c>
      <c r="E3505" s="3" t="s">
        <v>3</v>
      </c>
      <c r="F3505" s="4">
        <v>1.43E-69</v>
      </c>
      <c r="G3505" s="3">
        <v>585</v>
      </c>
      <c r="H3505" s="3">
        <v>43</v>
      </c>
      <c r="I3505" s="3">
        <v>338</v>
      </c>
      <c r="J3505" s="3">
        <v>293</v>
      </c>
      <c r="K3505" s="3">
        <v>1261</v>
      </c>
      <c r="L3505" s="3">
        <v>1</v>
      </c>
      <c r="M3505" s="3">
        <v>309</v>
      </c>
    </row>
    <row r="3506" spans="1:13" x14ac:dyDescent="0.25">
      <c r="A3506" s="1" t="str">
        <f>HYPERLINK("http://www.rosaceae.org/Prunus/Prunus_persica/p.persica_gdr_reftransV1_0021519","p.persica_gdr_reftransV1_0021519")</f>
        <v>p.persica_gdr_reftransV1_0021519</v>
      </c>
      <c r="B3506" s="3">
        <v>2359</v>
      </c>
      <c r="C3506" s="1" t="str">
        <f>HYPERLINK("http://www.uniprot.org/uniprot/WTR16_ARATH","WTR16_ARATH")</f>
        <v>WTR16_ARATH</v>
      </c>
      <c r="D3506" t="s">
        <v>3207</v>
      </c>
      <c r="E3506" s="3" t="s">
        <v>3</v>
      </c>
      <c r="F3506" s="4">
        <v>3.1499999999999998E-89</v>
      </c>
      <c r="G3506" s="3">
        <v>751</v>
      </c>
      <c r="H3506" s="3">
        <v>71</v>
      </c>
      <c r="I3506" s="3">
        <v>222</v>
      </c>
      <c r="J3506" s="3">
        <v>1272</v>
      </c>
      <c r="K3506" s="3">
        <v>1934</v>
      </c>
      <c r="L3506" s="3">
        <v>89</v>
      </c>
      <c r="M3506" s="3">
        <v>306</v>
      </c>
    </row>
    <row r="3507" spans="1:13" x14ac:dyDescent="0.25">
      <c r="A3507" s="1" t="str">
        <f>HYPERLINK("http://www.rosaceae.org/Prunus/Prunus_persica/p.persica_gdr_reftransV1_0021869","p.persica_gdr_reftransV1_0021869")</f>
        <v>p.persica_gdr_reftransV1_0021869</v>
      </c>
      <c r="B3507" s="3">
        <v>1003</v>
      </c>
      <c r="C3507" s="1" t="str">
        <f>HYPERLINK("http://www.uniprot.org/uniprot/Y1154_ARATH","Y1154_ARATH")</f>
        <v>Y1154_ARATH</v>
      </c>
      <c r="D3507" t="s">
        <v>2604</v>
      </c>
      <c r="E3507" s="3" t="s">
        <v>3</v>
      </c>
      <c r="F3507" s="4">
        <v>4.3999999999999999E-55</v>
      </c>
      <c r="G3507" s="3">
        <v>488</v>
      </c>
      <c r="H3507" s="3">
        <v>67</v>
      </c>
      <c r="I3507" s="3">
        <v>159</v>
      </c>
      <c r="J3507" s="3">
        <v>526</v>
      </c>
      <c r="K3507" s="3">
        <v>1002</v>
      </c>
      <c r="L3507" s="3">
        <v>324</v>
      </c>
      <c r="M3507" s="3">
        <v>468</v>
      </c>
    </row>
    <row r="3508" spans="1:13" x14ac:dyDescent="0.25">
      <c r="A3508" s="1" t="str">
        <f>HYPERLINK("http://www.rosaceae.org/Prunus/Prunus_persica/p.persica_gdr_reftransV1_0022219","p.persica_gdr_reftransV1_0022219")</f>
        <v>p.persica_gdr_reftransV1_0022219</v>
      </c>
      <c r="B3508" s="3">
        <v>2207</v>
      </c>
      <c r="C3508" s="1" t="str">
        <f>HYPERLINK("http://www.uniprot.org/uniprot/CLH2_ARATH","CLH2_ARATH")</f>
        <v>CLH2_ARATH</v>
      </c>
      <c r="D3508" t="s">
        <v>3208</v>
      </c>
      <c r="E3508" s="3" t="s">
        <v>3</v>
      </c>
      <c r="F3508" s="4">
        <v>1.7800000000000001E-104</v>
      </c>
      <c r="G3508" s="3">
        <v>843</v>
      </c>
      <c r="H3508" s="3">
        <v>70</v>
      </c>
      <c r="I3508" s="3">
        <v>228</v>
      </c>
      <c r="J3508" s="3">
        <v>272</v>
      </c>
      <c r="K3508" s="3">
        <v>949</v>
      </c>
      <c r="L3508" s="3">
        <v>85</v>
      </c>
      <c r="M3508" s="3">
        <v>312</v>
      </c>
    </row>
    <row r="3509" spans="1:13" x14ac:dyDescent="0.25">
      <c r="A3509" s="1" t="str">
        <f>HYPERLINK("http://www.rosaceae.org/Prunus/Prunus_persica/p.persica_gdr_reftransV1_0022319","p.persica_gdr_reftransV1_0022319")</f>
        <v>p.persica_gdr_reftransV1_0022319</v>
      </c>
      <c r="B3509" s="3">
        <v>1274</v>
      </c>
      <c r="C3509" s="1" t="str">
        <f>HYPERLINK("http://www.uniprot.org/uniprot/PER17_ARATH","PER17_ARATH")</f>
        <v>PER17_ARATH</v>
      </c>
      <c r="D3509" t="s">
        <v>3209</v>
      </c>
      <c r="E3509" s="3" t="s">
        <v>3</v>
      </c>
      <c r="F3509" s="4">
        <v>6.3899999999999995E-178</v>
      </c>
      <c r="G3509" s="3">
        <v>1305</v>
      </c>
      <c r="H3509" s="3">
        <v>75</v>
      </c>
      <c r="I3509" s="3">
        <v>320</v>
      </c>
      <c r="J3509" s="3">
        <v>258</v>
      </c>
      <c r="K3509" s="3">
        <v>1217</v>
      </c>
      <c r="L3509" s="3">
        <v>2</v>
      </c>
      <c r="M3509" s="3">
        <v>321</v>
      </c>
    </row>
    <row r="3510" spans="1:13" x14ac:dyDescent="0.25">
      <c r="A3510" s="1" t="str">
        <f>HYPERLINK("http://www.rosaceae.org/Prunus/Prunus_persica/p.persica_gdr_reftransV1_0022519","p.persica_gdr_reftransV1_0022519")</f>
        <v>p.persica_gdr_reftransV1_0022519</v>
      </c>
      <c r="B3510" s="3">
        <v>2634</v>
      </c>
      <c r="C3510" s="1" t="str">
        <f>HYPERLINK("http://www.uniprot.org/uniprot/PP236_ARATH","PP236_ARATH")</f>
        <v>PP236_ARATH</v>
      </c>
      <c r="D3510" t="s">
        <v>3210</v>
      </c>
      <c r="E3510" s="3" t="s">
        <v>3</v>
      </c>
      <c r="F3510" s="4">
        <v>0</v>
      </c>
      <c r="G3510" s="3">
        <v>2480</v>
      </c>
      <c r="H3510" s="3">
        <v>71</v>
      </c>
      <c r="I3510" s="3">
        <v>635</v>
      </c>
      <c r="J3510" s="3">
        <v>441</v>
      </c>
      <c r="K3510" s="3">
        <v>2339</v>
      </c>
      <c r="L3510" s="3">
        <v>1</v>
      </c>
      <c r="M3510" s="3">
        <v>633</v>
      </c>
    </row>
    <row r="3511" spans="1:13" x14ac:dyDescent="0.25">
      <c r="A3511" s="1" t="str">
        <f>HYPERLINK("http://www.rosaceae.org/Prunus/Prunus_persica/p.persica_gdr_reftransV1_0022869","p.persica_gdr_reftransV1_0022869")</f>
        <v>p.persica_gdr_reftransV1_0022869</v>
      </c>
      <c r="B3511" s="3">
        <v>5043</v>
      </c>
      <c r="C3511" s="1" t="str">
        <f>HYPERLINK("http://www.uniprot.org/uniprot/MPPA_SOLTU","MPPA_SOLTU")</f>
        <v>MPPA_SOLTU</v>
      </c>
      <c r="D3511" t="s">
        <v>3187</v>
      </c>
      <c r="E3511" s="3" t="s">
        <v>11</v>
      </c>
      <c r="F3511" s="4">
        <v>0</v>
      </c>
      <c r="G3511" s="3">
        <v>1746</v>
      </c>
      <c r="H3511" s="3">
        <v>66</v>
      </c>
      <c r="I3511" s="3">
        <v>504</v>
      </c>
      <c r="J3511" s="3">
        <v>3409</v>
      </c>
      <c r="K3511" s="3">
        <v>4917</v>
      </c>
      <c r="L3511" s="3">
        <v>1</v>
      </c>
      <c r="M3511" s="3">
        <v>504</v>
      </c>
    </row>
    <row r="3512" spans="1:13" x14ac:dyDescent="0.25">
      <c r="A3512" s="1" t="str">
        <f>HYPERLINK("http://www.rosaceae.org/Prunus/Prunus_persica/p.persica_gdr_reftransV1_0023069","p.persica_gdr_reftransV1_0023069")</f>
        <v>p.persica_gdr_reftransV1_0023069</v>
      </c>
      <c r="B3512" s="3">
        <v>5393</v>
      </c>
      <c r="C3512" s="1" t="str">
        <f>HYPERLINK("http://www.uniprot.org/uniprot/SPT51_ARATH","SPT51_ARATH")</f>
        <v>SPT51_ARATH</v>
      </c>
      <c r="D3512" t="s">
        <v>3211</v>
      </c>
      <c r="E3512" s="3" t="s">
        <v>3</v>
      </c>
      <c r="F3512" s="4">
        <v>0</v>
      </c>
      <c r="G3512" s="3">
        <v>3538</v>
      </c>
      <c r="H3512" s="3">
        <v>75</v>
      </c>
      <c r="I3512" s="3">
        <v>975</v>
      </c>
      <c r="J3512" s="3">
        <v>95</v>
      </c>
      <c r="K3512" s="3">
        <v>2992</v>
      </c>
      <c r="L3512" s="3">
        <v>74</v>
      </c>
      <c r="M3512" s="3">
        <v>1040</v>
      </c>
    </row>
    <row r="3513" spans="1:13" x14ac:dyDescent="0.25">
      <c r="A3513" s="1" t="str">
        <f>HYPERLINK("http://www.rosaceae.org/Prunus/Prunus_persica/p.persica_gdr_reftransV1_0023169","p.persica_gdr_reftransV1_0023169")</f>
        <v>p.persica_gdr_reftransV1_0023169</v>
      </c>
      <c r="B3513" s="3">
        <v>968</v>
      </c>
      <c r="C3513" s="1" t="str">
        <f>HYPERLINK("http://www.uniprot.org/uniprot/MIFH_TRISP","MIFH_TRISP")</f>
        <v>MIFH_TRISP</v>
      </c>
      <c r="D3513" t="s">
        <v>3212</v>
      </c>
      <c r="E3513" s="3" t="s">
        <v>3213</v>
      </c>
      <c r="F3513" s="4">
        <v>4.1499999999999999E-16</v>
      </c>
      <c r="G3513" s="3">
        <v>188</v>
      </c>
      <c r="H3513" s="3">
        <v>37</v>
      </c>
      <c r="I3513" s="3">
        <v>100</v>
      </c>
      <c r="J3513" s="3">
        <v>92</v>
      </c>
      <c r="K3513" s="3">
        <v>391</v>
      </c>
      <c r="L3513" s="3">
        <v>1</v>
      </c>
      <c r="M3513" s="3">
        <v>99</v>
      </c>
    </row>
    <row r="3514" spans="1:13" x14ac:dyDescent="0.25">
      <c r="A3514" s="1" t="str">
        <f>HYPERLINK("http://www.rosaceae.org/Prunus/Prunus_persica/p.persica_gdr_reftransV1_0023369","p.persica_gdr_reftransV1_0023369")</f>
        <v>p.persica_gdr_reftransV1_0023369</v>
      </c>
      <c r="B3514" s="3">
        <v>1442</v>
      </c>
      <c r="C3514" s="1" t="str">
        <f>HYPERLINK("http://www.uniprot.org/uniprot/NUD26_ARATH","NUD26_ARATH")</f>
        <v>NUD26_ARATH</v>
      </c>
      <c r="D3514" t="s">
        <v>3214</v>
      </c>
      <c r="E3514" s="3" t="s">
        <v>3</v>
      </c>
      <c r="F3514" s="4">
        <v>2.2800000000000001E-54</v>
      </c>
      <c r="G3514" s="3">
        <v>475</v>
      </c>
      <c r="H3514" s="3">
        <v>79</v>
      </c>
      <c r="I3514" s="3">
        <v>104</v>
      </c>
      <c r="J3514" s="3">
        <v>798</v>
      </c>
      <c r="K3514" s="3">
        <v>1109</v>
      </c>
      <c r="L3514" s="3">
        <v>56</v>
      </c>
      <c r="M3514" s="3">
        <v>159</v>
      </c>
    </row>
    <row r="3515" spans="1:13" x14ac:dyDescent="0.25">
      <c r="A3515" s="1" t="str">
        <f>HYPERLINK("http://www.rosaceae.org/Prunus/Prunus_persica/p.persica_gdr_reftransV1_0023469","p.persica_gdr_reftransV1_0023469")</f>
        <v>p.persica_gdr_reftransV1_0023469</v>
      </c>
      <c r="B3515" s="3">
        <v>3322</v>
      </c>
      <c r="C3515" s="1" t="str">
        <f>HYPERLINK("http://www.uniprot.org/uniprot/CDC48_SOYBN","CDC48_SOYBN")</f>
        <v>CDC48_SOYBN</v>
      </c>
      <c r="D3515" t="s">
        <v>3215</v>
      </c>
      <c r="E3515" s="3" t="s">
        <v>307</v>
      </c>
      <c r="F3515" s="4">
        <v>0</v>
      </c>
      <c r="G3515" s="3">
        <v>3952</v>
      </c>
      <c r="H3515" s="3">
        <v>94</v>
      </c>
      <c r="I3515" s="3">
        <v>807</v>
      </c>
      <c r="J3515" s="3">
        <v>149</v>
      </c>
      <c r="K3515" s="3">
        <v>2557</v>
      </c>
      <c r="L3515" s="3">
        <v>1</v>
      </c>
      <c r="M3515" s="3">
        <v>807</v>
      </c>
    </row>
    <row r="3516" spans="1:13" x14ac:dyDescent="0.25">
      <c r="A3516" s="1" t="str">
        <f>HYPERLINK("http://www.rosaceae.org/Prunus/Prunus_persica/p.persica_gdr_reftransV1_0023969","p.persica_gdr_reftransV1_0023969")</f>
        <v>p.persica_gdr_reftransV1_0023969</v>
      </c>
      <c r="B3516" s="3">
        <v>2026</v>
      </c>
      <c r="C3516" s="1" t="str">
        <f>HYPERLINK("http://www.uniprot.org/uniprot/MYBB_XENLA","MYBB_XENLA")</f>
        <v>MYBB_XENLA</v>
      </c>
      <c r="D3516" t="s">
        <v>3216</v>
      </c>
      <c r="E3516" s="3" t="s">
        <v>475</v>
      </c>
      <c r="F3516" s="4">
        <v>1.1299999999999999E-24</v>
      </c>
      <c r="G3516" s="3">
        <v>282</v>
      </c>
      <c r="H3516" s="3">
        <v>41</v>
      </c>
      <c r="I3516" s="3">
        <v>110</v>
      </c>
      <c r="J3516" s="3">
        <v>1101</v>
      </c>
      <c r="K3516" s="3">
        <v>1430</v>
      </c>
      <c r="L3516" s="3">
        <v>86</v>
      </c>
      <c r="M3516" s="3">
        <v>195</v>
      </c>
    </row>
    <row r="3517" spans="1:13" x14ac:dyDescent="0.25">
      <c r="A3517" s="1" t="str">
        <f>HYPERLINK("http://www.rosaceae.org/Prunus/Prunus_persica/p.persica_gdr_reftransV1_0024669","p.persica_gdr_reftransV1_0024669")</f>
        <v>p.persica_gdr_reftransV1_0024669</v>
      </c>
      <c r="B3517" s="3">
        <v>1552</v>
      </c>
      <c r="C3517" s="1" t="str">
        <f>HYPERLINK("http://www.uniprot.org/uniprot/CDC25_ARATH","CDC25_ARATH")</f>
        <v>CDC25_ARATH</v>
      </c>
      <c r="D3517" t="s">
        <v>3217</v>
      </c>
      <c r="E3517" s="3" t="s">
        <v>3</v>
      </c>
      <c r="F3517" s="4">
        <v>2.2100000000000001E-32</v>
      </c>
      <c r="G3517" s="3">
        <v>314</v>
      </c>
      <c r="H3517" s="3">
        <v>77</v>
      </c>
      <c r="I3517" s="3">
        <v>77</v>
      </c>
      <c r="J3517" s="3">
        <v>1179</v>
      </c>
      <c r="K3517" s="3">
        <v>1409</v>
      </c>
      <c r="L3517" s="3">
        <v>15</v>
      </c>
      <c r="M3517" s="3">
        <v>91</v>
      </c>
    </row>
    <row r="3518" spans="1:13" x14ac:dyDescent="0.25">
      <c r="A3518" s="1" t="str">
        <f>HYPERLINK("http://www.rosaceae.org/Prunus/Prunus_persica/p.persica_gdr_reftransV1_0024819","p.persica_gdr_reftransV1_0024819")</f>
        <v>p.persica_gdr_reftransV1_0024819</v>
      </c>
      <c r="B3518" s="3">
        <v>1660</v>
      </c>
      <c r="C3518" s="1" t="str">
        <f>HYPERLINK("http://www.uniprot.org/uniprot/CCH11_ARATH","CCH11_ARATH")</f>
        <v>CCH11_ARATH</v>
      </c>
      <c r="D3518" t="s">
        <v>3218</v>
      </c>
      <c r="E3518" s="3" t="s">
        <v>3</v>
      </c>
      <c r="F3518" s="4">
        <v>3.0400000000000002E-134</v>
      </c>
      <c r="G3518" s="3">
        <v>1029</v>
      </c>
      <c r="H3518" s="3">
        <v>68</v>
      </c>
      <c r="I3518" s="3">
        <v>280</v>
      </c>
      <c r="J3518" s="3">
        <v>164</v>
      </c>
      <c r="K3518" s="3">
        <v>1003</v>
      </c>
      <c r="L3518" s="3">
        <v>1</v>
      </c>
      <c r="M3518" s="3">
        <v>278</v>
      </c>
    </row>
    <row r="3519" spans="1:13" x14ac:dyDescent="0.25">
      <c r="A3519" s="1" t="str">
        <f>HYPERLINK("http://www.rosaceae.org/Prunus/Prunus_persica/p.persica_gdr_reftransV1_0025319","p.persica_gdr_reftransV1_0025319")</f>
        <v>p.persica_gdr_reftransV1_0025319</v>
      </c>
      <c r="B3519" s="3">
        <v>3493</v>
      </c>
      <c r="C3519" s="1" t="str">
        <f>HYPERLINK("http://www.uniprot.org/uniprot/SECA2_ARATH","SECA2_ARATH")</f>
        <v>SECA2_ARATH</v>
      </c>
      <c r="D3519" t="s">
        <v>3219</v>
      </c>
      <c r="E3519" s="3" t="s">
        <v>3</v>
      </c>
      <c r="F3519" s="4">
        <v>0</v>
      </c>
      <c r="G3519" s="3">
        <v>4528</v>
      </c>
      <c r="H3519" s="3">
        <v>83</v>
      </c>
      <c r="I3519" s="3">
        <v>1002</v>
      </c>
      <c r="J3519" s="3">
        <v>149</v>
      </c>
      <c r="K3519" s="3">
        <v>3154</v>
      </c>
      <c r="L3519" s="3">
        <v>57</v>
      </c>
      <c r="M3519" s="3">
        <v>1058</v>
      </c>
    </row>
    <row r="3520" spans="1:13" x14ac:dyDescent="0.25">
      <c r="A3520" s="1" t="str">
        <f>HYPERLINK("http://www.rosaceae.org/Prunus/Prunus_persica/p.persica_gdr_reftransV1_0025619","p.persica_gdr_reftransV1_0025619")</f>
        <v>p.persica_gdr_reftransV1_0025619</v>
      </c>
      <c r="B3520" s="3">
        <v>2371</v>
      </c>
      <c r="C3520" s="1" t="str">
        <f>HYPERLINK("http://www.uniprot.org/uniprot/GLPT4_ARATH","GLPT4_ARATH")</f>
        <v>GLPT4_ARATH</v>
      </c>
      <c r="D3520" t="s">
        <v>3220</v>
      </c>
      <c r="E3520" s="3" t="s">
        <v>3</v>
      </c>
      <c r="F3520" s="4">
        <v>0</v>
      </c>
      <c r="G3520" s="3">
        <v>1794</v>
      </c>
      <c r="H3520" s="3">
        <v>67</v>
      </c>
      <c r="I3520" s="3">
        <v>549</v>
      </c>
      <c r="J3520" s="3">
        <v>272</v>
      </c>
      <c r="K3520" s="3">
        <v>1873</v>
      </c>
      <c r="L3520" s="3">
        <v>4</v>
      </c>
      <c r="M3520" s="3">
        <v>544</v>
      </c>
    </row>
    <row r="3521" spans="1:13" x14ac:dyDescent="0.25">
      <c r="A3521" s="1" t="str">
        <f>HYPERLINK("http://www.rosaceae.org/Prunus/Prunus_persica/p.persica_gdr_reftransV1_0025769","p.persica_gdr_reftransV1_0025769")</f>
        <v>p.persica_gdr_reftransV1_0025769</v>
      </c>
      <c r="B3521" s="3">
        <v>1971</v>
      </c>
      <c r="C3521" s="1" t="str">
        <f>HYPERLINK("http://www.uniprot.org/uniprot/C2GR2_ARATH","C2GR2_ARATH")</f>
        <v>C2GR2_ARATH</v>
      </c>
      <c r="D3521" t="s">
        <v>3221</v>
      </c>
      <c r="E3521" s="3" t="s">
        <v>3</v>
      </c>
      <c r="F3521" s="4">
        <v>0</v>
      </c>
      <c r="G3521" s="3">
        <v>1105</v>
      </c>
      <c r="H3521" s="3">
        <v>73</v>
      </c>
      <c r="I3521" s="3">
        <v>291</v>
      </c>
      <c r="J3521" s="3">
        <v>1098</v>
      </c>
      <c r="K3521" s="3">
        <v>1970</v>
      </c>
      <c r="L3521" s="3">
        <v>519</v>
      </c>
      <c r="M3521" s="3">
        <v>809</v>
      </c>
    </row>
    <row r="3522" spans="1:13" x14ac:dyDescent="0.25">
      <c r="A3522" s="1" t="str">
        <f>HYPERLINK("http://www.rosaceae.org/Prunus/Prunus_persica/p.persica_gdr_reftransV1_0025919","p.persica_gdr_reftransV1_0025919")</f>
        <v>p.persica_gdr_reftransV1_0025919</v>
      </c>
      <c r="B3522" s="3">
        <v>5623</v>
      </c>
      <c r="C3522" s="1" t="str">
        <f>HYPERLINK("http://www.uniprot.org/uniprot/INO80_ARATH","INO80_ARATH")</f>
        <v>INO80_ARATH</v>
      </c>
      <c r="D3522" t="s">
        <v>3222</v>
      </c>
      <c r="E3522" s="3" t="s">
        <v>3</v>
      </c>
      <c r="F3522" s="4">
        <v>0</v>
      </c>
      <c r="G3522" s="3">
        <v>5250</v>
      </c>
      <c r="H3522" s="3">
        <v>71</v>
      </c>
      <c r="I3522" s="3">
        <v>1512</v>
      </c>
      <c r="J3522" s="3">
        <v>462</v>
      </c>
      <c r="K3522" s="3">
        <v>4961</v>
      </c>
      <c r="L3522" s="3">
        <v>5</v>
      </c>
      <c r="M3522" s="3">
        <v>1493</v>
      </c>
    </row>
    <row r="3523" spans="1:13" x14ac:dyDescent="0.25">
      <c r="A3523" s="1" t="str">
        <f>HYPERLINK("http://www.rosaceae.org/Prunus/Prunus_persica/p.persica_gdr_reftransV1_0026319","p.persica_gdr_reftransV1_0026319")</f>
        <v>p.persica_gdr_reftransV1_0026319</v>
      </c>
      <c r="B3523" s="3">
        <v>1388</v>
      </c>
      <c r="C3523" s="1" t="str">
        <f>HYPERLINK("http://www.uniprot.org/uniprot/RAN3_ARATH","RAN3_ARATH")</f>
        <v>RAN3_ARATH</v>
      </c>
      <c r="D3523" t="s">
        <v>520</v>
      </c>
      <c r="E3523" s="3" t="s">
        <v>3</v>
      </c>
      <c r="F3523" s="4">
        <v>3.1399999999999999E-72</v>
      </c>
      <c r="G3523" s="3">
        <v>596</v>
      </c>
      <c r="H3523" s="3">
        <v>92</v>
      </c>
      <c r="I3523" s="3">
        <v>119</v>
      </c>
      <c r="J3523" s="3">
        <v>778</v>
      </c>
      <c r="K3523" s="3">
        <v>1134</v>
      </c>
      <c r="L3523" s="3">
        <v>82</v>
      </c>
      <c r="M3523" s="3">
        <v>200</v>
      </c>
    </row>
    <row r="3524" spans="1:13" x14ac:dyDescent="0.25">
      <c r="A3524" s="1" t="str">
        <f>HYPERLINK("http://www.rosaceae.org/Prunus/Prunus_persica/p.persica_gdr_reftransV1_0026469","p.persica_gdr_reftransV1_0026469")</f>
        <v>p.persica_gdr_reftransV1_0026469</v>
      </c>
      <c r="B3524" s="3">
        <v>1337</v>
      </c>
      <c r="C3524" s="1" t="str">
        <f>HYPERLINK("http://www.uniprot.org/uniprot/SC13B_ARATH","SC13B_ARATH")</f>
        <v>SC13B_ARATH</v>
      </c>
      <c r="D3524" t="s">
        <v>3223</v>
      </c>
      <c r="E3524" s="3" t="s">
        <v>3</v>
      </c>
      <c r="F3524" s="4">
        <v>1.6099999999999999E-119</v>
      </c>
      <c r="G3524" s="3">
        <v>918</v>
      </c>
      <c r="H3524" s="3">
        <v>85</v>
      </c>
      <c r="I3524" s="3">
        <v>202</v>
      </c>
      <c r="J3524" s="3">
        <v>3</v>
      </c>
      <c r="K3524" s="3">
        <v>602</v>
      </c>
      <c r="L3524" s="3">
        <v>1</v>
      </c>
      <c r="M3524" s="3">
        <v>202</v>
      </c>
    </row>
    <row r="3525" spans="1:13" x14ac:dyDescent="0.25">
      <c r="A3525" s="1" t="str">
        <f>HYPERLINK("http://www.rosaceae.org/Prunus/Prunus_persica/p.persica_gdr_reftransV1_0026619","p.persica_gdr_reftransV1_0026619")</f>
        <v>p.persica_gdr_reftransV1_0026619</v>
      </c>
      <c r="B3525" s="3">
        <v>3626</v>
      </c>
      <c r="C3525" s="1" t="str">
        <f>HYPERLINK("http://www.uniprot.org/uniprot/CNG17_ARATH","CNG17_ARATH")</f>
        <v>CNG17_ARATH</v>
      </c>
      <c r="D3525" t="s">
        <v>3224</v>
      </c>
      <c r="E3525" s="3" t="s">
        <v>3</v>
      </c>
      <c r="F3525" s="4">
        <v>0</v>
      </c>
      <c r="G3525" s="3">
        <v>1713</v>
      </c>
      <c r="H3525" s="3">
        <v>67</v>
      </c>
      <c r="I3525" s="3">
        <v>495</v>
      </c>
      <c r="J3525" s="3">
        <v>1834</v>
      </c>
      <c r="K3525" s="3">
        <v>3312</v>
      </c>
      <c r="L3525" s="3">
        <v>1</v>
      </c>
      <c r="M3525" s="3">
        <v>479</v>
      </c>
    </row>
    <row r="3526" spans="1:13" x14ac:dyDescent="0.25">
      <c r="A3526" s="1" t="str">
        <f>HYPERLINK("http://www.rosaceae.org/Prunus/Prunus_persica/p.persica_gdr_reftransV1_0027219","p.persica_gdr_reftransV1_0027219")</f>
        <v>p.persica_gdr_reftransV1_0027219</v>
      </c>
      <c r="B3526" s="3">
        <v>1864</v>
      </c>
      <c r="C3526" s="1" t="str">
        <f>HYPERLINK("http://www.uniprot.org/uniprot/PP1R7_XENTR","PP1R7_XENTR")</f>
        <v>PP1R7_XENTR</v>
      </c>
      <c r="D3526" t="s">
        <v>3225</v>
      </c>
      <c r="E3526" s="3" t="s">
        <v>173</v>
      </c>
      <c r="F3526" s="4">
        <v>1.6699999999999999E-15</v>
      </c>
      <c r="G3526" s="3">
        <v>201</v>
      </c>
      <c r="H3526" s="3">
        <v>30</v>
      </c>
      <c r="I3526" s="3">
        <v>238</v>
      </c>
      <c r="J3526" s="3">
        <v>261</v>
      </c>
      <c r="K3526" s="3">
        <v>974</v>
      </c>
      <c r="L3526" s="3">
        <v>107</v>
      </c>
      <c r="M3526" s="3">
        <v>341</v>
      </c>
    </row>
    <row r="3527" spans="1:13" x14ac:dyDescent="0.25">
      <c r="A3527" s="1" t="str">
        <f>HYPERLINK("http://www.rosaceae.org/Prunus/Prunus_persica/p.persica_gdr_reftransV1_0027669","p.persica_gdr_reftransV1_0027669")</f>
        <v>p.persica_gdr_reftransV1_0027669</v>
      </c>
      <c r="B3527" s="3">
        <v>2446</v>
      </c>
      <c r="C3527" s="1" t="str">
        <f>HYPERLINK("http://www.uniprot.org/uniprot/KEG_ARATH","KEG_ARATH")</f>
        <v>KEG_ARATH</v>
      </c>
      <c r="D3527" t="s">
        <v>2459</v>
      </c>
      <c r="E3527" s="3" t="s">
        <v>3</v>
      </c>
      <c r="F3527" s="4">
        <v>3.4000000000000001E-26</v>
      </c>
      <c r="G3527" s="3">
        <v>277</v>
      </c>
      <c r="H3527" s="3">
        <v>35</v>
      </c>
      <c r="I3527" s="3">
        <v>181</v>
      </c>
      <c r="J3527" s="3">
        <v>1248</v>
      </c>
      <c r="K3527" s="3">
        <v>1724</v>
      </c>
      <c r="L3527" s="3">
        <v>246</v>
      </c>
      <c r="M3527" s="3">
        <v>426</v>
      </c>
    </row>
    <row r="3528" spans="1:13" x14ac:dyDescent="0.25">
      <c r="A3528" s="1" t="str">
        <f>HYPERLINK("http://www.rosaceae.org/Prunus/Prunus_persica/p.persica_gdr_reftransV1_0027719","p.persica_gdr_reftransV1_0027719")</f>
        <v>p.persica_gdr_reftransV1_0027719</v>
      </c>
      <c r="B3528" s="3">
        <v>1338</v>
      </c>
      <c r="C3528" s="1" t="str">
        <f>HYPERLINK("http://www.uniprot.org/uniprot/RS3A2_ARATH","RS3A2_ARATH")</f>
        <v>RS3A2_ARATH</v>
      </c>
      <c r="D3528" t="s">
        <v>3226</v>
      </c>
      <c r="E3528" s="3" t="s">
        <v>3</v>
      </c>
      <c r="F3528" s="4">
        <v>3.1400000000000001E-129</v>
      </c>
      <c r="G3528" s="3">
        <v>979</v>
      </c>
      <c r="H3528" s="3">
        <v>75</v>
      </c>
      <c r="I3528" s="3">
        <v>253</v>
      </c>
      <c r="J3528" s="3">
        <v>415</v>
      </c>
      <c r="K3528" s="3">
        <v>1167</v>
      </c>
      <c r="L3528" s="3">
        <v>28</v>
      </c>
      <c r="M3528" s="3">
        <v>247</v>
      </c>
    </row>
    <row r="3529" spans="1:13" x14ac:dyDescent="0.25">
      <c r="A3529" s="1" t="str">
        <f>HYPERLINK("http://www.rosaceae.org/Prunus/Prunus_persica/p.persica_gdr_reftransV1_0027769","p.persica_gdr_reftransV1_0027769")</f>
        <v>p.persica_gdr_reftransV1_0027769</v>
      </c>
      <c r="B3529" s="3">
        <v>2915</v>
      </c>
      <c r="C3529" s="1" t="str">
        <f>HYPERLINK("http://www.uniprot.org/uniprot/SCRK6_ARATH","SCRK6_ARATH")</f>
        <v>SCRK6_ARATH</v>
      </c>
      <c r="D3529" t="s">
        <v>3227</v>
      </c>
      <c r="E3529" s="3" t="s">
        <v>3</v>
      </c>
      <c r="F3529" s="4">
        <v>1.88E-73</v>
      </c>
      <c r="G3529" s="3">
        <v>645</v>
      </c>
      <c r="H3529" s="3">
        <v>85</v>
      </c>
      <c r="I3529" s="3">
        <v>155</v>
      </c>
      <c r="J3529" s="3">
        <v>1487</v>
      </c>
      <c r="K3529" s="3">
        <v>1951</v>
      </c>
      <c r="L3529" s="3">
        <v>186</v>
      </c>
      <c r="M3529" s="3">
        <v>340</v>
      </c>
    </row>
    <row r="3530" spans="1:13" x14ac:dyDescent="0.25">
      <c r="A3530" s="1" t="str">
        <f>HYPERLINK("http://www.rosaceae.org/Prunus/Prunus_persica/p.persica_gdr_reftransV1_0027869","p.persica_gdr_reftransV1_0027869")</f>
        <v>p.persica_gdr_reftransV1_0027869</v>
      </c>
      <c r="B3530" s="3">
        <v>2147</v>
      </c>
      <c r="C3530" s="1" t="str">
        <f>HYPERLINK("http://www.uniprot.org/uniprot/AMSH1_ARATH","AMSH1_ARATH")</f>
        <v>AMSH1_ARATH</v>
      </c>
      <c r="D3530" t="s">
        <v>3228</v>
      </c>
      <c r="E3530" s="3" t="s">
        <v>3</v>
      </c>
      <c r="F3530" s="4">
        <v>1.1599999999999999E-170</v>
      </c>
      <c r="G3530" s="3">
        <v>1113</v>
      </c>
      <c r="H3530" s="3">
        <v>69</v>
      </c>
      <c r="I3530" s="3">
        <v>300</v>
      </c>
      <c r="J3530" s="3">
        <v>329</v>
      </c>
      <c r="K3530" s="3">
        <v>1228</v>
      </c>
      <c r="L3530" s="3">
        <v>210</v>
      </c>
      <c r="M3530" s="3">
        <v>507</v>
      </c>
    </row>
    <row r="3531" spans="1:13" x14ac:dyDescent="0.25">
      <c r="A3531" s="1" t="str">
        <f>HYPERLINK("http://www.rosaceae.org/Prunus/Prunus_persica/p.persica_gdr_reftransV1_0027919","p.persica_gdr_reftransV1_0027919")</f>
        <v>p.persica_gdr_reftransV1_0027919</v>
      </c>
      <c r="B3531" s="3">
        <v>2308</v>
      </c>
      <c r="C3531" s="1" t="str">
        <f>HYPERLINK("http://www.uniprot.org/uniprot/ASOL_BRANA","ASOL_BRANA")</f>
        <v>ASOL_BRANA</v>
      </c>
      <c r="D3531" t="s">
        <v>1327</v>
      </c>
      <c r="E3531" s="3" t="s">
        <v>776</v>
      </c>
      <c r="F3531" s="4">
        <v>0</v>
      </c>
      <c r="G3531" s="3">
        <v>1462</v>
      </c>
      <c r="H3531" s="3">
        <v>58</v>
      </c>
      <c r="I3531" s="3">
        <v>518</v>
      </c>
      <c r="J3531" s="3">
        <v>338</v>
      </c>
      <c r="K3531" s="3">
        <v>1864</v>
      </c>
      <c r="L3531" s="3">
        <v>24</v>
      </c>
      <c r="M3531" s="3">
        <v>540</v>
      </c>
    </row>
    <row r="3532" spans="1:13" x14ac:dyDescent="0.25">
      <c r="A3532" s="1" t="str">
        <f>HYPERLINK("http://www.rosaceae.org/Prunus/Prunus_persica/p.persica_gdr_reftransV1_0027969","p.persica_gdr_reftransV1_0027969")</f>
        <v>p.persica_gdr_reftransV1_0027969</v>
      </c>
      <c r="B3532" s="3">
        <v>1623</v>
      </c>
      <c r="C3532" s="1" t="str">
        <f>HYPERLINK("http://www.uniprot.org/uniprot/PSY_DAUCA","PSY_DAUCA")</f>
        <v>PSY_DAUCA</v>
      </c>
      <c r="D3532" t="s">
        <v>3229</v>
      </c>
      <c r="E3532" s="3" t="s">
        <v>32</v>
      </c>
      <c r="F3532" s="4">
        <v>0</v>
      </c>
      <c r="G3532" s="3">
        <v>1526</v>
      </c>
      <c r="H3532" s="3">
        <v>78</v>
      </c>
      <c r="I3532" s="3">
        <v>374</v>
      </c>
      <c r="J3532" s="3">
        <v>262</v>
      </c>
      <c r="K3532" s="3">
        <v>1347</v>
      </c>
      <c r="L3532" s="3">
        <v>28</v>
      </c>
      <c r="M3532" s="3">
        <v>397</v>
      </c>
    </row>
    <row r="3533" spans="1:13" x14ac:dyDescent="0.25">
      <c r="A3533" s="1" t="str">
        <f>HYPERLINK("http://www.rosaceae.org/Prunus/Prunus_persica/p.persica_gdr_reftransV1_0028169","p.persica_gdr_reftransV1_0028169")</f>
        <v>p.persica_gdr_reftransV1_0028169</v>
      </c>
      <c r="B3533" s="3">
        <v>1888</v>
      </c>
      <c r="C3533" s="1" t="str">
        <f>HYPERLINK("http://www.uniprot.org/uniprot/DUSA_ECOL6","DUSA_ECOL6")</f>
        <v>DUSA_ECOL6</v>
      </c>
      <c r="D3533" t="s">
        <v>3230</v>
      </c>
      <c r="E3533" s="3" t="s">
        <v>2372</v>
      </c>
      <c r="F3533" s="4">
        <v>4.1800000000000001E-75</v>
      </c>
      <c r="G3533" s="3">
        <v>637</v>
      </c>
      <c r="H3533" s="3">
        <v>44</v>
      </c>
      <c r="I3533" s="3">
        <v>308</v>
      </c>
      <c r="J3533" s="3">
        <v>573</v>
      </c>
      <c r="K3533" s="3">
        <v>1496</v>
      </c>
      <c r="L3533" s="3">
        <v>6</v>
      </c>
      <c r="M3533" s="3">
        <v>304</v>
      </c>
    </row>
    <row r="3534" spans="1:13" x14ac:dyDescent="0.25">
      <c r="A3534" s="1" t="str">
        <f>HYPERLINK("http://www.rosaceae.org/Prunus/Prunus_persica/p.persica_gdr_reftransV1_0028369","p.persica_gdr_reftransV1_0028369")</f>
        <v>p.persica_gdr_reftransV1_0028369</v>
      </c>
      <c r="B3534" s="3">
        <v>1902</v>
      </c>
      <c r="C3534" s="1" t="str">
        <f>HYPERLINK("http://www.uniprot.org/uniprot/NFD4_ARATH","NFD4_ARATH")</f>
        <v>NFD4_ARATH</v>
      </c>
      <c r="D3534" t="s">
        <v>404</v>
      </c>
      <c r="E3534" s="3" t="s">
        <v>3</v>
      </c>
      <c r="F3534" s="4">
        <v>5.96E-38</v>
      </c>
      <c r="G3534" s="3">
        <v>383</v>
      </c>
      <c r="H3534" s="3">
        <v>51</v>
      </c>
      <c r="I3534" s="3">
        <v>148</v>
      </c>
      <c r="J3534" s="3">
        <v>1411</v>
      </c>
      <c r="K3534" s="3">
        <v>1854</v>
      </c>
      <c r="L3534" s="3">
        <v>43</v>
      </c>
      <c r="M3534" s="3">
        <v>189</v>
      </c>
    </row>
    <row r="3535" spans="1:13" x14ac:dyDescent="0.25">
      <c r="A3535" s="1" t="str">
        <f>HYPERLINK("http://www.rosaceae.org/Prunus/Prunus_persica/p.persica_gdr_reftransV1_0028619","p.persica_gdr_reftransV1_0028619")</f>
        <v>p.persica_gdr_reftransV1_0028619</v>
      </c>
      <c r="B3535" s="3">
        <v>3199</v>
      </c>
      <c r="C3535" s="1" t="str">
        <f>HYPERLINK("http://www.uniprot.org/uniprot/BRL2_ARATH","BRL2_ARATH")</f>
        <v>BRL2_ARATH</v>
      </c>
      <c r="D3535" t="s">
        <v>3231</v>
      </c>
      <c r="E3535" s="3" t="s">
        <v>3</v>
      </c>
      <c r="F3535" s="4">
        <v>5.45E-13</v>
      </c>
      <c r="G3535" s="3">
        <v>189</v>
      </c>
      <c r="H3535" s="3">
        <v>41</v>
      </c>
      <c r="I3535" s="3">
        <v>104</v>
      </c>
      <c r="J3535" s="3">
        <v>153</v>
      </c>
      <c r="K3535" s="3">
        <v>464</v>
      </c>
      <c r="L3535" s="3">
        <v>625</v>
      </c>
      <c r="M3535" s="3">
        <v>728</v>
      </c>
    </row>
    <row r="3536" spans="1:13" x14ac:dyDescent="0.25">
      <c r="A3536" s="1" t="str">
        <f>HYPERLINK("http://www.rosaceae.org/Prunus/Prunus_persica/p.persica_gdr_reftransV1_0028719","p.persica_gdr_reftransV1_0028719")</f>
        <v>p.persica_gdr_reftransV1_0028719</v>
      </c>
      <c r="B3536" s="3">
        <v>2547</v>
      </c>
      <c r="C3536" s="1" t="str">
        <f>HYPERLINK("http://www.uniprot.org/uniprot/CRNL1_RAT","CRNL1_RAT")</f>
        <v>CRNL1_RAT</v>
      </c>
      <c r="D3536" t="s">
        <v>3232</v>
      </c>
      <c r="E3536" s="3" t="s">
        <v>161</v>
      </c>
      <c r="F3536" s="4">
        <v>0</v>
      </c>
      <c r="G3536" s="3">
        <v>1999</v>
      </c>
      <c r="H3536" s="3">
        <v>60</v>
      </c>
      <c r="I3536" s="3">
        <v>681</v>
      </c>
      <c r="J3536" s="3">
        <v>282</v>
      </c>
      <c r="K3536" s="3">
        <v>2315</v>
      </c>
      <c r="L3536" s="3">
        <v>11</v>
      </c>
      <c r="M3536" s="3">
        <v>668</v>
      </c>
    </row>
    <row r="3537" spans="1:13" x14ac:dyDescent="0.25">
      <c r="A3537" s="1" t="str">
        <f>HYPERLINK("http://www.rosaceae.org/Prunus/Prunus_persica/p.persica_gdr_reftransV1_0028919","p.persica_gdr_reftransV1_0028919")</f>
        <v>p.persica_gdr_reftransV1_0028919</v>
      </c>
      <c r="B3537" s="3">
        <v>2067</v>
      </c>
      <c r="C3537" s="1" t="str">
        <f>HYPERLINK("http://www.uniprot.org/uniprot/CRD1_GOSHI","CRD1_GOSHI")</f>
        <v>CRD1_GOSHI</v>
      </c>
      <c r="D3537" t="s">
        <v>3233</v>
      </c>
      <c r="E3537" s="3" t="s">
        <v>816</v>
      </c>
      <c r="F3537" s="4">
        <v>3.6400000000000003E-170</v>
      </c>
      <c r="G3537" s="3">
        <v>1288</v>
      </c>
      <c r="H3537" s="3">
        <v>86</v>
      </c>
      <c r="I3537" s="3">
        <v>289</v>
      </c>
      <c r="J3537" s="3">
        <v>2</v>
      </c>
      <c r="K3537" s="3">
        <v>847</v>
      </c>
      <c r="L3537" s="3">
        <v>2</v>
      </c>
      <c r="M3537" s="3">
        <v>286</v>
      </c>
    </row>
    <row r="3538" spans="1:13" x14ac:dyDescent="0.25">
      <c r="A3538" s="1" t="str">
        <f>HYPERLINK("http://www.rosaceae.org/Prunus/Prunus_persica/p.persica_gdr_reftransV1_0029069","p.persica_gdr_reftransV1_0029069")</f>
        <v>p.persica_gdr_reftransV1_0029069</v>
      </c>
      <c r="B3538" s="3">
        <v>1684</v>
      </c>
      <c r="C3538" s="1" t="str">
        <f>HYPERLINK("http://www.uniprot.org/uniprot/MSH5_ARATH","MSH5_ARATH")</f>
        <v>MSH5_ARATH</v>
      </c>
      <c r="D3538" t="s">
        <v>3234</v>
      </c>
      <c r="E3538" s="3" t="s">
        <v>3</v>
      </c>
      <c r="F3538" s="4">
        <v>0</v>
      </c>
      <c r="G3538" s="3">
        <v>1418</v>
      </c>
      <c r="H3538" s="3">
        <v>79</v>
      </c>
      <c r="I3538" s="3">
        <v>329</v>
      </c>
      <c r="J3538" s="3">
        <v>3</v>
      </c>
      <c r="K3538" s="3">
        <v>986</v>
      </c>
      <c r="L3538" s="3">
        <v>420</v>
      </c>
      <c r="M3538" s="3">
        <v>748</v>
      </c>
    </row>
    <row r="3539" spans="1:13" x14ac:dyDescent="0.25">
      <c r="A3539" s="1" t="str">
        <f>HYPERLINK("http://www.rosaceae.org/Prunus/Prunus_persica/p.persica_gdr_reftransV1_0029369","p.persica_gdr_reftransV1_0029369")</f>
        <v>p.persica_gdr_reftransV1_0029369</v>
      </c>
      <c r="B3539" s="3">
        <v>1471</v>
      </c>
      <c r="C3539" s="1" t="str">
        <f>HYPERLINK("http://www.uniprot.org/uniprot/GOLS2_SOLLC","GOLS2_SOLLC")</f>
        <v>GOLS2_SOLLC</v>
      </c>
      <c r="D3539" t="s">
        <v>3235</v>
      </c>
      <c r="E3539" s="3" t="s">
        <v>64</v>
      </c>
      <c r="F3539" s="4">
        <v>6.8400000000000002E-146</v>
      </c>
      <c r="G3539" s="3">
        <v>924</v>
      </c>
      <c r="H3539" s="3">
        <v>83</v>
      </c>
      <c r="I3539" s="3">
        <v>202</v>
      </c>
      <c r="J3539" s="3">
        <v>679</v>
      </c>
      <c r="K3539" s="3">
        <v>1284</v>
      </c>
      <c r="L3539" s="3">
        <v>16</v>
      </c>
      <c r="M3539" s="3">
        <v>217</v>
      </c>
    </row>
    <row r="3540" spans="1:13" x14ac:dyDescent="0.25">
      <c r="A3540" s="1" t="str">
        <f>HYPERLINK("http://www.rosaceae.org/Prunus/Prunus_persica/p.persica_gdr_reftransV1_0029519","p.persica_gdr_reftransV1_0029519")</f>
        <v>p.persica_gdr_reftransV1_0029519</v>
      </c>
      <c r="B3540" s="3">
        <v>2340</v>
      </c>
      <c r="C3540" s="1" t="str">
        <f>HYPERLINK("http://www.uniprot.org/uniprot/CCR1_ARATH","CCR1_ARATH")</f>
        <v>CCR1_ARATH</v>
      </c>
      <c r="D3540" t="s">
        <v>1195</v>
      </c>
      <c r="E3540" s="3" t="s">
        <v>3</v>
      </c>
      <c r="F3540" s="4">
        <v>9.56E-125</v>
      </c>
      <c r="G3540" s="3">
        <v>986</v>
      </c>
      <c r="H3540" s="3">
        <v>83</v>
      </c>
      <c r="I3540" s="3">
        <v>278</v>
      </c>
      <c r="J3540" s="3">
        <v>1267</v>
      </c>
      <c r="K3540" s="3">
        <v>2100</v>
      </c>
      <c r="L3540" s="3">
        <v>1</v>
      </c>
      <c r="M3540" s="3">
        <v>276</v>
      </c>
    </row>
    <row r="3541" spans="1:13" x14ac:dyDescent="0.25">
      <c r="A3541" s="1" t="str">
        <f>HYPERLINK("http://www.rosaceae.org/Prunus/Prunus_persica/p.persica_gdr_reftransV1_0029619","p.persica_gdr_reftransV1_0029619")</f>
        <v>p.persica_gdr_reftransV1_0029619</v>
      </c>
      <c r="B3541" s="3">
        <v>2074</v>
      </c>
      <c r="C3541" s="1" t="str">
        <f>HYPERLINK("http://www.uniprot.org/uniprot/GGLO3_ARATH","GGLO3_ARATH")</f>
        <v>GGLO3_ARATH</v>
      </c>
      <c r="D3541" t="s">
        <v>3236</v>
      </c>
      <c r="E3541" s="3" t="s">
        <v>3</v>
      </c>
      <c r="F3541" s="4">
        <v>0</v>
      </c>
      <c r="G3541" s="3">
        <v>1976</v>
      </c>
      <c r="H3541" s="3">
        <v>64</v>
      </c>
      <c r="I3541" s="3">
        <v>583</v>
      </c>
      <c r="J3541" s="3">
        <v>144</v>
      </c>
      <c r="K3541" s="3">
        <v>1874</v>
      </c>
      <c r="L3541" s="3">
        <v>5</v>
      </c>
      <c r="M3541" s="3">
        <v>577</v>
      </c>
    </row>
    <row r="3542" spans="1:13" x14ac:dyDescent="0.25">
      <c r="A3542" s="1" t="str">
        <f>HYPERLINK("http://www.rosaceae.org/Prunus/Prunus_persica/p.persica_gdr_reftransV1_0029969","p.persica_gdr_reftransV1_0029969")</f>
        <v>p.persica_gdr_reftransV1_0029969</v>
      </c>
      <c r="B3542" s="3">
        <v>3873</v>
      </c>
      <c r="C3542" s="1" t="str">
        <f>HYPERLINK("http://www.uniprot.org/uniprot/SWI3D_ARATH","SWI3D_ARATH")</f>
        <v>SWI3D_ARATH</v>
      </c>
      <c r="D3542" t="s">
        <v>3237</v>
      </c>
      <c r="E3542" s="3" t="s">
        <v>3</v>
      </c>
      <c r="F3542" s="4">
        <v>2.8699999999999999E-178</v>
      </c>
      <c r="G3542" s="3">
        <v>1444</v>
      </c>
      <c r="H3542" s="3">
        <v>49</v>
      </c>
      <c r="I3542" s="3">
        <v>714</v>
      </c>
      <c r="J3542" s="3">
        <v>1629</v>
      </c>
      <c r="K3542" s="3">
        <v>3683</v>
      </c>
      <c r="L3542" s="3">
        <v>57</v>
      </c>
      <c r="M3542" s="3">
        <v>757</v>
      </c>
    </row>
    <row r="3543" spans="1:13" x14ac:dyDescent="0.25">
      <c r="A3543" s="1" t="str">
        <f>HYPERLINK("http://www.rosaceae.org/Prunus/Prunus_persica/p.persica_gdr_reftransV1_0030269","p.persica_gdr_reftransV1_0030269")</f>
        <v>p.persica_gdr_reftransV1_0030269</v>
      </c>
      <c r="B3543" s="3">
        <v>1916</v>
      </c>
      <c r="C3543" s="1" t="str">
        <f>HYPERLINK("http://www.uniprot.org/uniprot/PUM3_ARATH","PUM3_ARATH")</f>
        <v>PUM3_ARATH</v>
      </c>
      <c r="D3543" t="s">
        <v>3238</v>
      </c>
      <c r="E3543" s="3" t="s">
        <v>3</v>
      </c>
      <c r="F3543" s="4">
        <v>1.01E-73</v>
      </c>
      <c r="G3543" s="3">
        <v>665</v>
      </c>
      <c r="H3543" s="3">
        <v>95</v>
      </c>
      <c r="I3543" s="3">
        <v>132</v>
      </c>
      <c r="J3543" s="3">
        <v>489</v>
      </c>
      <c r="K3543" s="3">
        <v>884</v>
      </c>
      <c r="L3543" s="3">
        <v>826</v>
      </c>
      <c r="M3543" s="3">
        <v>957</v>
      </c>
    </row>
    <row r="3544" spans="1:13" x14ac:dyDescent="0.25">
      <c r="A3544" s="1" t="str">
        <f>HYPERLINK("http://www.rosaceae.org/Prunus/Prunus_persica/p.persica_gdr_reftransV1_0030369","p.persica_gdr_reftransV1_0030369")</f>
        <v>p.persica_gdr_reftransV1_0030369</v>
      </c>
      <c r="B3544" s="3">
        <v>1254</v>
      </c>
      <c r="C3544" s="1" t="str">
        <f>HYPERLINK("http://www.uniprot.org/uniprot/EDR2L_ARATH","EDR2L_ARATH")</f>
        <v>EDR2L_ARATH</v>
      </c>
      <c r="D3544" t="s">
        <v>115</v>
      </c>
      <c r="E3544" s="3" t="s">
        <v>3</v>
      </c>
      <c r="F3544" s="4">
        <v>3.0300000000000003E-57</v>
      </c>
      <c r="G3544" s="3">
        <v>521</v>
      </c>
      <c r="H3544" s="3">
        <v>44</v>
      </c>
      <c r="I3544" s="3">
        <v>243</v>
      </c>
      <c r="J3544" s="3">
        <v>362</v>
      </c>
      <c r="K3544" s="3">
        <v>1087</v>
      </c>
      <c r="L3544" s="3">
        <v>482</v>
      </c>
      <c r="M3544" s="3">
        <v>713</v>
      </c>
    </row>
    <row r="3545" spans="1:13" x14ac:dyDescent="0.25">
      <c r="A3545" s="1" t="str">
        <f>HYPERLINK("http://www.rosaceae.org/Prunus/Prunus_persica/p.persica_gdr_reftransV1_0030419","p.persica_gdr_reftransV1_0030419")</f>
        <v>p.persica_gdr_reftransV1_0030419</v>
      </c>
      <c r="B3545" s="3">
        <v>1559</v>
      </c>
      <c r="C3545" s="1" t="str">
        <f>HYPERLINK("http://www.uniprot.org/uniprot/CANB1_NAEGR","CANB1_NAEGR")</f>
        <v>CANB1_NAEGR</v>
      </c>
      <c r="D3545" t="s">
        <v>3239</v>
      </c>
      <c r="E3545" s="3" t="s">
        <v>3240</v>
      </c>
      <c r="F3545" s="4">
        <v>2.62E-34</v>
      </c>
      <c r="G3545" s="3">
        <v>331</v>
      </c>
      <c r="H3545" s="3">
        <v>40</v>
      </c>
      <c r="I3545" s="3">
        <v>172</v>
      </c>
      <c r="J3545" s="3">
        <v>324</v>
      </c>
      <c r="K3545" s="3">
        <v>824</v>
      </c>
      <c r="L3545" s="3">
        <v>1</v>
      </c>
      <c r="M3545" s="3">
        <v>170</v>
      </c>
    </row>
    <row r="3546" spans="1:13" x14ac:dyDescent="0.25">
      <c r="A3546" s="1" t="str">
        <f>HYPERLINK("http://www.rosaceae.org/Prunus/Prunus_persica/p.persica_gdr_reftransV1_0030919","p.persica_gdr_reftransV1_0030919")</f>
        <v>p.persica_gdr_reftransV1_0030919</v>
      </c>
      <c r="B3546" s="3">
        <v>1668</v>
      </c>
      <c r="C3546" s="1" t="str">
        <f>HYPERLINK("http://www.uniprot.org/uniprot/CHLI_SOYBN","CHLI_SOYBN")</f>
        <v>CHLI_SOYBN</v>
      </c>
      <c r="D3546" t="s">
        <v>3241</v>
      </c>
      <c r="E3546" s="3" t="s">
        <v>307</v>
      </c>
      <c r="F3546" s="4">
        <v>0</v>
      </c>
      <c r="G3546" s="3">
        <v>1678</v>
      </c>
      <c r="H3546" s="3">
        <v>86</v>
      </c>
      <c r="I3546" s="3">
        <v>422</v>
      </c>
      <c r="J3546" s="3">
        <v>103</v>
      </c>
      <c r="K3546" s="3">
        <v>1368</v>
      </c>
      <c r="L3546" s="3">
        <v>1</v>
      </c>
      <c r="M3546" s="3">
        <v>421</v>
      </c>
    </row>
    <row r="3547" spans="1:13" x14ac:dyDescent="0.25">
      <c r="A3547" s="1" t="str">
        <f>HYPERLINK("http://www.rosaceae.org/Prunus/Prunus_persica/p.persica_gdr_reftransV1_0030969","p.persica_gdr_reftransV1_0030969")</f>
        <v>p.persica_gdr_reftransV1_0030969</v>
      </c>
      <c r="B3547" s="3">
        <v>612</v>
      </c>
      <c r="C3547" s="1" t="str">
        <f>HYPERLINK("http://www.uniprot.org/uniprot/AB7A_ARATH","AB7A_ARATH")</f>
        <v>AB7A_ARATH</v>
      </c>
      <c r="D3547" t="s">
        <v>3242</v>
      </c>
      <c r="E3547" s="3" t="s">
        <v>3</v>
      </c>
      <c r="F3547" s="4">
        <v>3.7500000000000002E-115</v>
      </c>
      <c r="G3547" s="3">
        <v>913</v>
      </c>
      <c r="H3547" s="3">
        <v>84</v>
      </c>
      <c r="I3547" s="3">
        <v>204</v>
      </c>
      <c r="J3547" s="3">
        <v>1</v>
      </c>
      <c r="K3547" s="3">
        <v>612</v>
      </c>
      <c r="L3547" s="3">
        <v>616</v>
      </c>
      <c r="M3547" s="3">
        <v>819</v>
      </c>
    </row>
    <row r="3548" spans="1:13" x14ac:dyDescent="0.25">
      <c r="A3548" s="1" t="str">
        <f>HYPERLINK("http://www.rosaceae.org/Prunus/Prunus_persica/p.persica_gdr_reftransV1_0031119","p.persica_gdr_reftransV1_0031119")</f>
        <v>p.persica_gdr_reftransV1_0031119</v>
      </c>
      <c r="B3548" s="3">
        <v>1184</v>
      </c>
      <c r="C3548" s="1" t="str">
        <f>HYPERLINK("http://www.uniprot.org/uniprot/GLYT7_ARATH","GLYT7_ARATH")</f>
        <v>GLYT7_ARATH</v>
      </c>
      <c r="D3548" t="s">
        <v>3243</v>
      </c>
      <c r="E3548" s="3" t="s">
        <v>3</v>
      </c>
      <c r="F3548" s="4">
        <v>3.3699999999999999E-58</v>
      </c>
      <c r="G3548" s="3">
        <v>517</v>
      </c>
      <c r="H3548" s="3">
        <v>61</v>
      </c>
      <c r="I3548" s="3">
        <v>190</v>
      </c>
      <c r="J3548" s="3">
        <v>98</v>
      </c>
      <c r="K3548" s="3">
        <v>658</v>
      </c>
      <c r="L3548" s="3">
        <v>340</v>
      </c>
      <c r="M3548" s="3">
        <v>513</v>
      </c>
    </row>
    <row r="3549" spans="1:13" x14ac:dyDescent="0.25">
      <c r="A3549" s="1" t="str">
        <f>HYPERLINK("http://www.rosaceae.org/Prunus/Prunus_persica/p.persica_gdr_reftransV1_0031269","p.persica_gdr_reftransV1_0031269")</f>
        <v>p.persica_gdr_reftransV1_0031269</v>
      </c>
      <c r="B3549" s="3">
        <v>3140</v>
      </c>
      <c r="C3549" s="1" t="str">
        <f>HYPERLINK("http://www.uniprot.org/uniprot/AVP1_ARATH","AVP1_ARATH")</f>
        <v>AVP1_ARATH</v>
      </c>
      <c r="D3549" t="s">
        <v>3244</v>
      </c>
      <c r="E3549" s="3" t="s">
        <v>3</v>
      </c>
      <c r="F3549" s="4">
        <v>0</v>
      </c>
      <c r="G3549" s="3">
        <v>3237</v>
      </c>
      <c r="H3549" s="3">
        <v>83</v>
      </c>
      <c r="I3549" s="3">
        <v>766</v>
      </c>
      <c r="J3549" s="3">
        <v>639</v>
      </c>
      <c r="K3549" s="3">
        <v>2909</v>
      </c>
      <c r="L3549" s="3">
        <v>6</v>
      </c>
      <c r="M3549" s="3">
        <v>770</v>
      </c>
    </row>
    <row r="3550" spans="1:13" x14ac:dyDescent="0.25">
      <c r="A3550" s="1" t="str">
        <f>HYPERLINK("http://www.rosaceae.org/Prunus/Prunus_persica/p.persica_gdr_reftransV1_0031419","p.persica_gdr_reftransV1_0031419")</f>
        <v>p.persica_gdr_reftransV1_0031419</v>
      </c>
      <c r="B3550" s="3">
        <v>1428</v>
      </c>
      <c r="C3550" s="1" t="str">
        <f>HYPERLINK("http://www.uniprot.org/uniprot/RA51C_ARATH","RA51C_ARATH")</f>
        <v>RA51C_ARATH</v>
      </c>
      <c r="D3550" t="s">
        <v>3245</v>
      </c>
      <c r="E3550" s="3" t="s">
        <v>3</v>
      </c>
      <c r="F3550" s="4">
        <v>3.2400000000000002E-160</v>
      </c>
      <c r="G3550" s="3">
        <v>1197</v>
      </c>
      <c r="H3550" s="3">
        <v>70</v>
      </c>
      <c r="I3550" s="3">
        <v>346</v>
      </c>
      <c r="J3550" s="3">
        <v>220</v>
      </c>
      <c r="K3550" s="3">
        <v>1257</v>
      </c>
      <c r="L3550" s="3">
        <v>22</v>
      </c>
      <c r="M3550" s="3">
        <v>363</v>
      </c>
    </row>
    <row r="3551" spans="1:13" x14ac:dyDescent="0.25">
      <c r="A3551" s="1" t="str">
        <f>HYPERLINK("http://www.rosaceae.org/Prunus/Prunus_persica/p.persica_gdr_reftransV1_0031669","p.persica_gdr_reftransV1_0031669")</f>
        <v>p.persica_gdr_reftransV1_0031669</v>
      </c>
      <c r="B3551" s="3">
        <v>1706</v>
      </c>
      <c r="C3551" s="1" t="str">
        <f>HYPERLINK("http://www.uniprot.org/uniprot/PPA20_ARATH","PPA20_ARATH")</f>
        <v>PPA20_ARATH</v>
      </c>
      <c r="D3551" t="s">
        <v>3246</v>
      </c>
      <c r="E3551" s="3" t="s">
        <v>3</v>
      </c>
      <c r="F3551" s="4">
        <v>0</v>
      </c>
      <c r="G3551" s="3">
        <v>1552</v>
      </c>
      <c r="H3551" s="3">
        <v>66</v>
      </c>
      <c r="I3551" s="3">
        <v>426</v>
      </c>
      <c r="J3551" s="3">
        <v>102</v>
      </c>
      <c r="K3551" s="3">
        <v>1364</v>
      </c>
      <c r="L3551" s="3">
        <v>1</v>
      </c>
      <c r="M3551" s="3">
        <v>426</v>
      </c>
    </row>
    <row r="3552" spans="1:13" x14ac:dyDescent="0.25">
      <c r="A3552" s="1" t="str">
        <f>HYPERLINK("http://www.rosaceae.org/Prunus/Prunus_persica/p.persica_gdr_reftransV1_0031919","p.persica_gdr_reftransV1_0031919")</f>
        <v>p.persica_gdr_reftransV1_0031919</v>
      </c>
      <c r="B3552" s="3">
        <v>2786</v>
      </c>
      <c r="C3552" s="1" t="str">
        <f>HYPERLINK("http://www.uniprot.org/uniprot/SPIN1_ORYSJ","SPIN1_ORYSJ")</f>
        <v>SPIN1_ORYSJ</v>
      </c>
      <c r="D3552" t="s">
        <v>3247</v>
      </c>
      <c r="E3552" s="3" t="s">
        <v>38</v>
      </c>
      <c r="F3552" s="4">
        <v>4.0899999999999999E-60</v>
      </c>
      <c r="G3552" s="3">
        <v>537</v>
      </c>
      <c r="H3552" s="3">
        <v>77</v>
      </c>
      <c r="I3552" s="3">
        <v>131</v>
      </c>
      <c r="J3552" s="3">
        <v>455</v>
      </c>
      <c r="K3552" s="3">
        <v>847</v>
      </c>
      <c r="L3552" s="3">
        <v>151</v>
      </c>
      <c r="M3552" s="3">
        <v>280</v>
      </c>
    </row>
    <row r="3553" spans="1:13" x14ac:dyDescent="0.25">
      <c r="A3553" s="1" t="str">
        <f>HYPERLINK("http://www.rosaceae.org/Prunus/Prunus_persica/p.persica_gdr_reftransV1_0032019","p.persica_gdr_reftransV1_0032019")</f>
        <v>p.persica_gdr_reftransV1_0032019</v>
      </c>
      <c r="B3553" s="3">
        <v>3771</v>
      </c>
      <c r="C3553" s="1" t="str">
        <f>HYPERLINK("http://www.uniprot.org/uniprot/FRS3_ARATH","FRS3_ARATH")</f>
        <v>FRS3_ARATH</v>
      </c>
      <c r="D3553" t="s">
        <v>2843</v>
      </c>
      <c r="E3553" s="3" t="s">
        <v>3</v>
      </c>
      <c r="F3553" s="4">
        <v>0</v>
      </c>
      <c r="G3553" s="3">
        <v>2732</v>
      </c>
      <c r="H3553" s="3">
        <v>67</v>
      </c>
      <c r="I3553" s="3">
        <v>833</v>
      </c>
      <c r="J3553" s="3">
        <v>478</v>
      </c>
      <c r="K3553" s="3">
        <v>2958</v>
      </c>
      <c r="L3553" s="3">
        <v>1</v>
      </c>
      <c r="M3553" s="3">
        <v>798</v>
      </c>
    </row>
    <row r="3554" spans="1:13" x14ac:dyDescent="0.25">
      <c r="A3554" s="1" t="str">
        <f>HYPERLINK("http://www.rosaceae.org/Prunus/Prunus_persica/p.persica_gdr_reftransV1_0032119","p.persica_gdr_reftransV1_0032119")</f>
        <v>p.persica_gdr_reftransV1_0032119</v>
      </c>
      <c r="B3554" s="3">
        <v>2900</v>
      </c>
      <c r="C3554" s="1" t="str">
        <f>HYPERLINK("http://www.uniprot.org/uniprot/PGKY_TOBAC","PGKY_TOBAC")</f>
        <v>PGKY_TOBAC</v>
      </c>
      <c r="D3554" t="s">
        <v>3248</v>
      </c>
      <c r="E3554" s="3" t="s">
        <v>200</v>
      </c>
      <c r="F3554" s="4">
        <v>0</v>
      </c>
      <c r="G3554" s="3">
        <v>1763</v>
      </c>
      <c r="H3554" s="3">
        <v>89</v>
      </c>
      <c r="I3554" s="3">
        <v>401</v>
      </c>
      <c r="J3554" s="3">
        <v>1022</v>
      </c>
      <c r="K3554" s="3">
        <v>2224</v>
      </c>
      <c r="L3554" s="3">
        <v>1</v>
      </c>
      <c r="M3554" s="3">
        <v>401</v>
      </c>
    </row>
    <row r="3555" spans="1:13" x14ac:dyDescent="0.25">
      <c r="A3555" s="1" t="str">
        <f>HYPERLINK("http://www.rosaceae.org/Prunus/Prunus_persica/p.persica_gdr_reftransV1_0032169","p.persica_gdr_reftransV1_0032169")</f>
        <v>p.persica_gdr_reftransV1_0032169</v>
      </c>
      <c r="B3555" s="3">
        <v>2670</v>
      </c>
      <c r="C3555" s="1" t="str">
        <f>HYPERLINK("http://www.uniprot.org/uniprot/PUB3_ARATH","PUB3_ARATH")</f>
        <v>PUB3_ARATH</v>
      </c>
      <c r="D3555" t="s">
        <v>3249</v>
      </c>
      <c r="E3555" s="3" t="s">
        <v>3</v>
      </c>
      <c r="F3555" s="4">
        <v>1.1399999999999999E-13</v>
      </c>
      <c r="G3555" s="3">
        <v>193</v>
      </c>
      <c r="H3555" s="3">
        <v>29</v>
      </c>
      <c r="I3555" s="3">
        <v>268</v>
      </c>
      <c r="J3555" s="3">
        <v>1340</v>
      </c>
      <c r="K3555" s="3">
        <v>2128</v>
      </c>
      <c r="L3555" s="3">
        <v>490</v>
      </c>
      <c r="M3555" s="3">
        <v>747</v>
      </c>
    </row>
    <row r="3556" spans="1:13" x14ac:dyDescent="0.25">
      <c r="A3556" s="1" t="str">
        <f>HYPERLINK("http://www.rosaceae.org/Prunus/Prunus_persica/p.persica_gdr_reftransV1_0032519","p.persica_gdr_reftransV1_0032519")</f>
        <v>p.persica_gdr_reftransV1_0032519</v>
      </c>
      <c r="B3556" s="3">
        <v>2071</v>
      </c>
      <c r="C3556" s="1" t="str">
        <f>HYPERLINK("http://www.uniprot.org/uniprot/DAPAT_ARATH","DAPAT_ARATH")</f>
        <v>DAPAT_ARATH</v>
      </c>
      <c r="D3556" t="s">
        <v>3250</v>
      </c>
      <c r="E3556" s="3" t="s">
        <v>3</v>
      </c>
      <c r="F3556" s="4">
        <v>0</v>
      </c>
      <c r="G3556" s="3">
        <v>1962</v>
      </c>
      <c r="H3556" s="3">
        <v>85</v>
      </c>
      <c r="I3556" s="3">
        <v>439</v>
      </c>
      <c r="J3556" s="3">
        <v>560</v>
      </c>
      <c r="K3556" s="3">
        <v>1873</v>
      </c>
      <c r="L3556" s="3">
        <v>24</v>
      </c>
      <c r="M3556" s="3">
        <v>461</v>
      </c>
    </row>
    <row r="3557" spans="1:13" x14ac:dyDescent="0.25">
      <c r="A3557" s="1" t="str">
        <f>HYPERLINK("http://www.rosaceae.org/Prunus/Prunus_persica/p.persica_gdr_reftransV1_0032769","p.persica_gdr_reftransV1_0032769")</f>
        <v>p.persica_gdr_reftransV1_0032769</v>
      </c>
      <c r="B3557" s="3">
        <v>1458</v>
      </c>
      <c r="C3557" s="1" t="str">
        <f>HYPERLINK("http://www.uniprot.org/uniprot/DHE2_ARATH","DHE2_ARATH")</f>
        <v>DHE2_ARATH</v>
      </c>
      <c r="D3557" t="s">
        <v>3251</v>
      </c>
      <c r="E3557" s="3" t="s">
        <v>3</v>
      </c>
      <c r="F3557" s="4">
        <v>0</v>
      </c>
      <c r="G3557" s="3">
        <v>1953</v>
      </c>
      <c r="H3557" s="3">
        <v>86</v>
      </c>
      <c r="I3557" s="3">
        <v>411</v>
      </c>
      <c r="J3557" s="3">
        <v>95</v>
      </c>
      <c r="K3557" s="3">
        <v>1327</v>
      </c>
      <c r="L3557" s="3">
        <v>1</v>
      </c>
      <c r="M3557" s="3">
        <v>411</v>
      </c>
    </row>
    <row r="3558" spans="1:13" x14ac:dyDescent="0.25">
      <c r="A3558" s="1" t="str">
        <f>HYPERLINK("http://www.rosaceae.org/Prunus/Prunus_persica/p.persica_gdr_reftransV1_0032819","p.persica_gdr_reftransV1_0032819")</f>
        <v>p.persica_gdr_reftransV1_0032819</v>
      </c>
      <c r="B3558" s="3">
        <v>3142</v>
      </c>
      <c r="C3558" s="1" t="str">
        <f>HYPERLINK("http://www.uniprot.org/uniprot/DNJB3_MOUSE","DNJB3_MOUSE")</f>
        <v>DNJB3_MOUSE</v>
      </c>
      <c r="D3558" t="s">
        <v>3252</v>
      </c>
      <c r="E3558" s="3" t="s">
        <v>157</v>
      </c>
      <c r="F3558" s="4">
        <v>4.3199999999999998E-13</v>
      </c>
      <c r="G3558" s="3">
        <v>181</v>
      </c>
      <c r="H3558" s="3">
        <v>48</v>
      </c>
      <c r="I3558" s="3">
        <v>69</v>
      </c>
      <c r="J3558" s="3">
        <v>408</v>
      </c>
      <c r="K3558" s="3">
        <v>614</v>
      </c>
      <c r="L3558" s="3">
        <v>3</v>
      </c>
      <c r="M3558" s="3">
        <v>66</v>
      </c>
    </row>
    <row r="3559" spans="1:13" x14ac:dyDescent="0.25">
      <c r="A3559" s="1" t="str">
        <f>HYPERLINK("http://www.rosaceae.org/Prunus/Prunus_persica/p.persica_gdr_reftransV1_0032869","p.persica_gdr_reftransV1_0032869")</f>
        <v>p.persica_gdr_reftransV1_0032869</v>
      </c>
      <c r="B3559" s="3">
        <v>1568</v>
      </c>
      <c r="C3559" s="1" t="str">
        <f>HYPERLINK("http://www.uniprot.org/uniprot/HIP26_ARATH","HIP26_ARATH")</f>
        <v>HIP26_ARATH</v>
      </c>
      <c r="D3559" t="s">
        <v>413</v>
      </c>
      <c r="E3559" s="3" t="s">
        <v>3</v>
      </c>
      <c r="F3559" s="4">
        <v>1.81E-8</v>
      </c>
      <c r="G3559" s="3">
        <v>138</v>
      </c>
      <c r="H3559" s="3">
        <v>42</v>
      </c>
      <c r="I3559" s="3">
        <v>69</v>
      </c>
      <c r="J3559" s="3">
        <v>173</v>
      </c>
      <c r="K3559" s="3">
        <v>379</v>
      </c>
      <c r="L3559" s="3">
        <v>27</v>
      </c>
      <c r="M3559" s="3">
        <v>95</v>
      </c>
    </row>
    <row r="3560" spans="1:13" x14ac:dyDescent="0.25">
      <c r="A3560" s="1" t="str">
        <f>HYPERLINK("http://www.rosaceae.org/Prunus/Prunus_persica/p.persica_gdr_reftransV1_0032919","p.persica_gdr_reftransV1_0032919")</f>
        <v>p.persica_gdr_reftransV1_0032919</v>
      </c>
      <c r="B3560" s="3">
        <v>1794</v>
      </c>
      <c r="C3560" s="1" t="str">
        <f>HYPERLINK("http://www.uniprot.org/uniprot/TKPR1_ARATH","TKPR1_ARATH")</f>
        <v>TKPR1_ARATH</v>
      </c>
      <c r="D3560" t="s">
        <v>221</v>
      </c>
      <c r="E3560" s="3" t="s">
        <v>3</v>
      </c>
      <c r="F3560" s="4">
        <v>8.1699999999999999E-22</v>
      </c>
      <c r="G3560" s="3">
        <v>250</v>
      </c>
      <c r="H3560" s="3">
        <v>32</v>
      </c>
      <c r="I3560" s="3">
        <v>196</v>
      </c>
      <c r="J3560" s="3">
        <v>885</v>
      </c>
      <c r="K3560" s="3">
        <v>1460</v>
      </c>
      <c r="L3560" s="3">
        <v>104</v>
      </c>
      <c r="M3560" s="3">
        <v>284</v>
      </c>
    </row>
    <row r="3561" spans="1:13" x14ac:dyDescent="0.25">
      <c r="A3561" s="1" t="str">
        <f>HYPERLINK("http://www.rosaceae.org/Prunus/Prunus_persica/p.persica_gdr_reftransV1_0032969","p.persica_gdr_reftransV1_0032969")</f>
        <v>p.persica_gdr_reftransV1_0032969</v>
      </c>
      <c r="B3561" s="3">
        <v>1073</v>
      </c>
      <c r="C3561" s="1" t="str">
        <f>HYPERLINK("http://www.uniprot.org/uniprot/MSRB5_ORYSJ","MSRB5_ORYSJ")</f>
        <v>MSRB5_ORYSJ</v>
      </c>
      <c r="D3561" t="s">
        <v>3253</v>
      </c>
      <c r="E3561" s="3" t="s">
        <v>38</v>
      </c>
      <c r="F3561" s="4">
        <v>6.3199999999999995E-54</v>
      </c>
      <c r="G3561" s="3">
        <v>456</v>
      </c>
      <c r="H3561" s="3">
        <v>85</v>
      </c>
      <c r="I3561" s="3">
        <v>96</v>
      </c>
      <c r="J3561" s="3">
        <v>389</v>
      </c>
      <c r="K3561" s="3">
        <v>676</v>
      </c>
      <c r="L3561" s="3">
        <v>39</v>
      </c>
      <c r="M3561" s="3">
        <v>134</v>
      </c>
    </row>
    <row r="3562" spans="1:13" x14ac:dyDescent="0.25">
      <c r="A3562" s="1" t="str">
        <f>HYPERLINK("http://www.rosaceae.org/Prunus/Prunus_persica/p.persica_gdr_reftransV1_0033069","p.persica_gdr_reftransV1_0033069")</f>
        <v>p.persica_gdr_reftransV1_0033069</v>
      </c>
      <c r="B3562" s="3">
        <v>464</v>
      </c>
      <c r="C3562" s="1" t="str">
        <f>HYPERLINK("http://www.uniprot.org/uniprot/B651B_ARATH","B651B_ARATH")</f>
        <v>B651B_ARATH</v>
      </c>
      <c r="D3562" t="s">
        <v>3254</v>
      </c>
      <c r="E3562" s="3" t="s">
        <v>3</v>
      </c>
      <c r="F3562" s="4">
        <v>2.9199999999999999E-17</v>
      </c>
      <c r="G3562" s="3">
        <v>199</v>
      </c>
      <c r="H3562" s="3">
        <v>38</v>
      </c>
      <c r="I3562" s="3">
        <v>101</v>
      </c>
      <c r="J3562" s="3">
        <v>32</v>
      </c>
      <c r="K3562" s="3">
        <v>334</v>
      </c>
      <c r="L3562" s="3">
        <v>303</v>
      </c>
      <c r="M3562" s="3">
        <v>402</v>
      </c>
    </row>
    <row r="3563" spans="1:13" x14ac:dyDescent="0.25">
      <c r="A3563" s="1" t="str">
        <f>HYPERLINK("http://www.rosaceae.org/Prunus/Prunus_persica/p.persica_gdr_reftransV1_0033169","p.persica_gdr_reftransV1_0033169")</f>
        <v>p.persica_gdr_reftransV1_0033169</v>
      </c>
      <c r="B3563" s="3">
        <v>2950</v>
      </c>
      <c r="C3563" s="1" t="str">
        <f>HYPERLINK("http://www.uniprot.org/uniprot/PRFB2_ARATH","PRFB2_ARATH")</f>
        <v>PRFB2_ARATH</v>
      </c>
      <c r="D3563" t="s">
        <v>3255</v>
      </c>
      <c r="E3563" s="3" t="s">
        <v>3</v>
      </c>
      <c r="F3563" s="4">
        <v>5.87E-111</v>
      </c>
      <c r="G3563" s="3">
        <v>919</v>
      </c>
      <c r="H3563" s="3">
        <v>86</v>
      </c>
      <c r="I3563" s="3">
        <v>196</v>
      </c>
      <c r="J3563" s="3">
        <v>291</v>
      </c>
      <c r="K3563" s="3">
        <v>878</v>
      </c>
      <c r="L3563" s="3">
        <v>284</v>
      </c>
      <c r="M3563" s="3">
        <v>479</v>
      </c>
    </row>
    <row r="3564" spans="1:13" x14ac:dyDescent="0.25">
      <c r="A3564" s="1" t="str">
        <f>HYPERLINK("http://www.rosaceae.org/Prunus/Prunus_persica/p.persica_gdr_reftransV1_0033219","p.persica_gdr_reftransV1_0033219")</f>
        <v>p.persica_gdr_reftransV1_0033219</v>
      </c>
      <c r="B3564" s="3">
        <v>1384</v>
      </c>
      <c r="C3564" s="1" t="str">
        <f>HYPERLINK("http://www.uniprot.org/uniprot/ISY1_DICDI","ISY1_DICDI")</f>
        <v>ISY1_DICDI</v>
      </c>
      <c r="D3564" t="s">
        <v>2418</v>
      </c>
      <c r="E3564" s="3" t="s">
        <v>9</v>
      </c>
      <c r="F3564" s="4">
        <v>2.96E-60</v>
      </c>
      <c r="G3564" s="3">
        <v>521</v>
      </c>
      <c r="H3564" s="3">
        <v>54</v>
      </c>
      <c r="I3564" s="3">
        <v>203</v>
      </c>
      <c r="J3564" s="3">
        <v>707</v>
      </c>
      <c r="K3564" s="3">
        <v>1306</v>
      </c>
      <c r="L3564" s="3">
        <v>1</v>
      </c>
      <c r="M3564" s="3">
        <v>196</v>
      </c>
    </row>
    <row r="3565" spans="1:13" x14ac:dyDescent="0.25">
      <c r="A3565" s="1" t="str">
        <f>HYPERLINK("http://www.rosaceae.org/Prunus/Prunus_persica/p.persica_gdr_reftransV1_0033469","p.persica_gdr_reftransV1_0033469")</f>
        <v>p.persica_gdr_reftransV1_0033469</v>
      </c>
      <c r="B3565" s="3">
        <v>1804</v>
      </c>
      <c r="C3565" s="1" t="str">
        <f>HYPERLINK("http://www.uniprot.org/uniprot/Y4276_ARATH","Y4276_ARATH")</f>
        <v>Y4276_ARATH</v>
      </c>
      <c r="D3565" t="s">
        <v>513</v>
      </c>
      <c r="E3565" s="3" t="s">
        <v>3</v>
      </c>
      <c r="F3565" s="4">
        <v>1.24E-23</v>
      </c>
      <c r="G3565" s="3">
        <v>259</v>
      </c>
      <c r="H3565" s="3">
        <v>66</v>
      </c>
      <c r="I3565" s="3">
        <v>79</v>
      </c>
      <c r="J3565" s="3">
        <v>584</v>
      </c>
      <c r="K3565" s="3">
        <v>817</v>
      </c>
      <c r="L3565" s="3">
        <v>115</v>
      </c>
      <c r="M3565" s="3">
        <v>191</v>
      </c>
    </row>
    <row r="3566" spans="1:13" x14ac:dyDescent="0.25">
      <c r="A3566" s="1" t="str">
        <f>HYPERLINK("http://www.rosaceae.org/Prunus/Prunus_persica/p.persica_gdr_reftransV1_0033869","p.persica_gdr_reftransV1_0033869")</f>
        <v>p.persica_gdr_reftransV1_0033869</v>
      </c>
      <c r="B3566" s="3">
        <v>2387</v>
      </c>
      <c r="C3566" s="1" t="str">
        <f>HYPERLINK("http://www.uniprot.org/uniprot/CHUP1_ARATH","CHUP1_ARATH")</f>
        <v>CHUP1_ARATH</v>
      </c>
      <c r="D3566" t="s">
        <v>3256</v>
      </c>
      <c r="E3566" s="3" t="s">
        <v>3</v>
      </c>
      <c r="F3566" s="4">
        <v>1.57E-39</v>
      </c>
      <c r="G3566" s="3">
        <v>408</v>
      </c>
      <c r="H3566" s="3">
        <v>50</v>
      </c>
      <c r="I3566" s="3">
        <v>203</v>
      </c>
      <c r="J3566" s="3">
        <v>610</v>
      </c>
      <c r="K3566" s="3">
        <v>1206</v>
      </c>
      <c r="L3566" s="3">
        <v>162</v>
      </c>
      <c r="M3566" s="3">
        <v>361</v>
      </c>
    </row>
    <row r="3567" spans="1:13" x14ac:dyDescent="0.25">
      <c r="A3567" s="1" t="str">
        <f>HYPERLINK("http://www.rosaceae.org/Prunus/Prunus_persica/p.persica_gdr_reftransV1_0033919","p.persica_gdr_reftransV1_0033919")</f>
        <v>p.persica_gdr_reftransV1_0033919</v>
      </c>
      <c r="B3567" s="3">
        <v>2371</v>
      </c>
      <c r="C3567" s="1" t="str">
        <f>HYPERLINK("http://www.uniprot.org/uniprot/PROF_PYRCO","PROF_PYRCO")</f>
        <v>PROF_PYRCO</v>
      </c>
      <c r="D3567" t="s">
        <v>3257</v>
      </c>
      <c r="E3567" s="3" t="s">
        <v>3258</v>
      </c>
      <c r="F3567" s="4">
        <v>9.7299999999999997E-50</v>
      </c>
      <c r="G3567" s="3">
        <v>444</v>
      </c>
      <c r="H3567" s="3">
        <v>93</v>
      </c>
      <c r="I3567" s="3">
        <v>89</v>
      </c>
      <c r="J3567" s="3">
        <v>120</v>
      </c>
      <c r="K3567" s="3">
        <v>386</v>
      </c>
      <c r="L3567" s="3">
        <v>1</v>
      </c>
      <c r="M3567" s="3">
        <v>89</v>
      </c>
    </row>
    <row r="3568" spans="1:13" x14ac:dyDescent="0.25">
      <c r="A3568" s="1" t="str">
        <f>HYPERLINK("http://www.rosaceae.org/Prunus/Prunus_persica/p.persica_gdr_reftransV1_0034119","p.persica_gdr_reftransV1_0034119")</f>
        <v>p.persica_gdr_reftransV1_0034119</v>
      </c>
      <c r="B3568" s="3">
        <v>3940</v>
      </c>
      <c r="C3568" s="1" t="str">
        <f>HYPERLINK("http://www.uniprot.org/uniprot/NCLN_DANRE","NCLN_DANRE")</f>
        <v>NCLN_DANRE</v>
      </c>
      <c r="D3568" t="s">
        <v>2097</v>
      </c>
      <c r="E3568" s="3" t="s">
        <v>704</v>
      </c>
      <c r="F3568" s="4">
        <v>1.2E-22</v>
      </c>
      <c r="G3568" s="3">
        <v>268</v>
      </c>
      <c r="H3568" s="3">
        <v>35</v>
      </c>
      <c r="I3568" s="3">
        <v>272</v>
      </c>
      <c r="J3568" s="3">
        <v>2923</v>
      </c>
      <c r="K3568" s="3">
        <v>3714</v>
      </c>
      <c r="L3568" s="3">
        <v>33</v>
      </c>
      <c r="M3568" s="3">
        <v>282</v>
      </c>
    </row>
    <row r="3569" spans="1:13" x14ac:dyDescent="0.25">
      <c r="A3569" s="1" t="str">
        <f>HYPERLINK("http://www.rosaceae.org/Prunus/Prunus_persica/p.persica_gdr_reftransV1_0034169","p.persica_gdr_reftransV1_0034169")</f>
        <v>p.persica_gdr_reftransV1_0034169</v>
      </c>
      <c r="B3569" s="3">
        <v>1256</v>
      </c>
      <c r="C3569" s="1" t="str">
        <f>HYPERLINK("http://www.uniprot.org/uniprot/PAP6_ARATH","PAP6_ARATH")</f>
        <v>PAP6_ARATH</v>
      </c>
      <c r="D3569" t="s">
        <v>3259</v>
      </c>
      <c r="E3569" s="3" t="s">
        <v>3</v>
      </c>
      <c r="F3569" s="4">
        <v>4.2399999999999999E-86</v>
      </c>
      <c r="G3569" s="3">
        <v>691</v>
      </c>
      <c r="H3569" s="3">
        <v>75</v>
      </c>
      <c r="I3569" s="3">
        <v>183</v>
      </c>
      <c r="J3569" s="3">
        <v>326</v>
      </c>
      <c r="K3569" s="3">
        <v>874</v>
      </c>
      <c r="L3569" s="3">
        <v>97</v>
      </c>
      <c r="M3569" s="3">
        <v>279</v>
      </c>
    </row>
    <row r="3570" spans="1:13" x14ac:dyDescent="0.25">
      <c r="A3570" s="1" t="str">
        <f>HYPERLINK("http://www.rosaceae.org/Prunus/Prunus_persica/p.persica_gdr_reftransV1_0034269","p.persica_gdr_reftransV1_0034269")</f>
        <v>p.persica_gdr_reftransV1_0034269</v>
      </c>
      <c r="B3570" s="3">
        <v>1553</v>
      </c>
      <c r="C3570" s="1" t="str">
        <f>HYPERLINK("http://www.uniprot.org/uniprot/ADK2_ARATH","ADK2_ARATH")</f>
        <v>ADK2_ARATH</v>
      </c>
      <c r="D3570" t="s">
        <v>1502</v>
      </c>
      <c r="E3570" s="3" t="s">
        <v>3</v>
      </c>
      <c r="F3570" s="4">
        <v>3.93E-166</v>
      </c>
      <c r="G3570" s="3">
        <v>1119</v>
      </c>
      <c r="H3570" s="3">
        <v>86</v>
      </c>
      <c r="I3570" s="3">
        <v>236</v>
      </c>
      <c r="J3570" s="3">
        <v>556</v>
      </c>
      <c r="K3570" s="3">
        <v>1263</v>
      </c>
      <c r="L3570" s="3">
        <v>110</v>
      </c>
      <c r="M3570" s="3">
        <v>345</v>
      </c>
    </row>
    <row r="3571" spans="1:13" x14ac:dyDescent="0.25">
      <c r="A3571" s="1" t="str">
        <f>HYPERLINK("http://www.rosaceae.org/Prunus/Prunus_persica/p.persica_gdr_reftransV1_0034319","p.persica_gdr_reftransV1_0034319")</f>
        <v>p.persica_gdr_reftransV1_0034319</v>
      </c>
      <c r="B3571" s="3">
        <v>2198</v>
      </c>
      <c r="C3571" s="1" t="str">
        <f>HYPERLINK("http://www.uniprot.org/uniprot/PTR33_ARATH","PTR33_ARATH")</f>
        <v>PTR33_ARATH</v>
      </c>
      <c r="D3571" t="s">
        <v>3260</v>
      </c>
      <c r="E3571" s="3" t="s">
        <v>3</v>
      </c>
      <c r="F3571" s="4">
        <v>0</v>
      </c>
      <c r="G3571" s="3">
        <v>1639</v>
      </c>
      <c r="H3571" s="3">
        <v>75</v>
      </c>
      <c r="I3571" s="3">
        <v>535</v>
      </c>
      <c r="J3571" s="3">
        <v>227</v>
      </c>
      <c r="K3571" s="3">
        <v>1813</v>
      </c>
      <c r="L3571" s="3">
        <v>41</v>
      </c>
      <c r="M3571" s="3">
        <v>575</v>
      </c>
    </row>
    <row r="3572" spans="1:13" x14ac:dyDescent="0.25">
      <c r="A3572" s="1" t="str">
        <f>HYPERLINK("http://www.rosaceae.org/Prunus/Prunus_persica/p.persica_gdr_reftransV1_0034469","p.persica_gdr_reftransV1_0034469")</f>
        <v>p.persica_gdr_reftransV1_0034469</v>
      </c>
      <c r="B3572" s="3">
        <v>4573</v>
      </c>
      <c r="C3572" s="1" t="str">
        <f>HYPERLINK("http://www.uniprot.org/uniprot/SC31B_ARATH","SC31B_ARATH")</f>
        <v>SC31B_ARATH</v>
      </c>
      <c r="D3572" t="s">
        <v>3261</v>
      </c>
      <c r="E3572" s="3" t="s">
        <v>3</v>
      </c>
      <c r="F3572" s="4">
        <v>0</v>
      </c>
      <c r="G3572" s="3">
        <v>2948</v>
      </c>
      <c r="H3572" s="3">
        <v>71</v>
      </c>
      <c r="I3572" s="3">
        <v>788</v>
      </c>
      <c r="J3572" s="3">
        <v>316</v>
      </c>
      <c r="K3572" s="3">
        <v>2655</v>
      </c>
      <c r="L3572" s="3">
        <v>1</v>
      </c>
      <c r="M3572" s="3">
        <v>786</v>
      </c>
    </row>
    <row r="3573" spans="1:13" x14ac:dyDescent="0.25">
      <c r="A3573" s="1" t="str">
        <f>HYPERLINK("http://www.rosaceae.org/Prunus/Prunus_persica/p.persica_gdr_reftransV1_0034619","p.persica_gdr_reftransV1_0034619")</f>
        <v>p.persica_gdr_reftransV1_0034619</v>
      </c>
      <c r="B3573" s="3">
        <v>1381</v>
      </c>
      <c r="C3573" s="1" t="str">
        <f>HYPERLINK("http://www.uniprot.org/uniprot/YERG_SCHPO","YERG_SCHPO")</f>
        <v>YERG_SCHPO</v>
      </c>
      <c r="D3573" t="s">
        <v>1673</v>
      </c>
      <c r="E3573" s="3" t="s">
        <v>464</v>
      </c>
      <c r="F3573" s="4">
        <v>1.3200000000000001E-40</v>
      </c>
      <c r="G3573" s="3">
        <v>303</v>
      </c>
      <c r="H3573" s="3">
        <v>33</v>
      </c>
      <c r="I3573" s="3">
        <v>210</v>
      </c>
      <c r="J3573" s="3">
        <v>566</v>
      </c>
      <c r="K3573" s="3">
        <v>1189</v>
      </c>
      <c r="L3573" s="3">
        <v>141</v>
      </c>
      <c r="M3573" s="3">
        <v>304</v>
      </c>
    </row>
    <row r="3574" spans="1:13" x14ac:dyDescent="0.25">
      <c r="A3574" s="1" t="str">
        <f>HYPERLINK("http://www.rosaceae.org/Prunus/Prunus_persica/p.persica_gdr_reftransV1_0034869","p.persica_gdr_reftransV1_0034869")</f>
        <v>p.persica_gdr_reftransV1_0034869</v>
      </c>
      <c r="B3574" s="3">
        <v>4065</v>
      </c>
      <c r="C3574" s="1" t="str">
        <f>HYPERLINK("http://www.uniprot.org/uniprot/CLCA_ARATH","CLCA_ARATH")</f>
        <v>CLCA_ARATH</v>
      </c>
      <c r="D3574" t="s">
        <v>3262</v>
      </c>
      <c r="E3574" s="3" t="s">
        <v>3</v>
      </c>
      <c r="F3574" s="4">
        <v>0</v>
      </c>
      <c r="G3574" s="3">
        <v>1449</v>
      </c>
      <c r="H3574" s="3">
        <v>77</v>
      </c>
      <c r="I3574" s="3">
        <v>417</v>
      </c>
      <c r="J3574" s="3">
        <v>1767</v>
      </c>
      <c r="K3574" s="3">
        <v>3017</v>
      </c>
      <c r="L3574" s="3">
        <v>362</v>
      </c>
      <c r="M3574" s="3">
        <v>771</v>
      </c>
    </row>
    <row r="3575" spans="1:13" x14ac:dyDescent="0.25">
      <c r="A3575" s="1" t="str">
        <f>HYPERLINK("http://www.rosaceae.org/Prunus/Prunus_persica/p.persica_gdr_reftransV1_0034919","p.persica_gdr_reftransV1_0034919")</f>
        <v>p.persica_gdr_reftransV1_0034919</v>
      </c>
      <c r="B3575" s="3">
        <v>967</v>
      </c>
      <c r="C3575" s="1" t="str">
        <f>HYPERLINK("http://www.uniprot.org/uniprot/NFYB3_ARATH","NFYB3_ARATH")</f>
        <v>NFYB3_ARATH</v>
      </c>
      <c r="D3575" t="s">
        <v>3263</v>
      </c>
      <c r="E3575" s="3" t="s">
        <v>3</v>
      </c>
      <c r="F3575" s="4">
        <v>9.3299999999999999E-69</v>
      </c>
      <c r="G3575" s="3">
        <v>555</v>
      </c>
      <c r="H3575" s="3">
        <v>84</v>
      </c>
      <c r="I3575" s="3">
        <v>126</v>
      </c>
      <c r="J3575" s="3">
        <v>142</v>
      </c>
      <c r="K3575" s="3">
        <v>519</v>
      </c>
      <c r="L3575" s="3">
        <v>1</v>
      </c>
      <c r="M3575" s="3">
        <v>124</v>
      </c>
    </row>
    <row r="3576" spans="1:13" x14ac:dyDescent="0.25">
      <c r="A3576" s="1" t="str">
        <f>HYPERLINK("http://www.rosaceae.org/Prunus/Prunus_persica/p.persica_gdr_reftransV1_0035019","p.persica_gdr_reftransV1_0035019")</f>
        <v>p.persica_gdr_reftransV1_0035019</v>
      </c>
      <c r="B3576" s="3">
        <v>2299</v>
      </c>
      <c r="C3576" s="1" t="str">
        <f>HYPERLINK("http://www.uniprot.org/uniprot/TRA1_MAIZE","TRA1_MAIZE")</f>
        <v>TRA1_MAIZE</v>
      </c>
      <c r="D3576" t="s">
        <v>3264</v>
      </c>
      <c r="E3576" s="3" t="s">
        <v>72</v>
      </c>
      <c r="F3576" s="4">
        <v>1.01E-49</v>
      </c>
      <c r="G3576" s="3">
        <v>443</v>
      </c>
      <c r="H3576" s="3">
        <v>30</v>
      </c>
      <c r="I3576" s="3">
        <v>410</v>
      </c>
      <c r="J3576" s="3">
        <v>335</v>
      </c>
      <c r="K3576" s="3">
        <v>1432</v>
      </c>
      <c r="L3576" s="3">
        <v>359</v>
      </c>
      <c r="M3576" s="3">
        <v>749</v>
      </c>
    </row>
    <row r="3577" spans="1:13" x14ac:dyDescent="0.25">
      <c r="A3577" s="1" t="str">
        <f>HYPERLINK("http://www.rosaceae.org/Prunus/Prunus_persica/p.persica_gdr_reftransV1_0035119","p.persica_gdr_reftransV1_0035119")</f>
        <v>p.persica_gdr_reftransV1_0035119</v>
      </c>
      <c r="B3577" s="3">
        <v>1987</v>
      </c>
      <c r="C3577" s="1" t="str">
        <f>HYPERLINK("http://www.uniprot.org/uniprot/F3PH_PETHY","F3PH_PETHY")</f>
        <v>F3PH_PETHY</v>
      </c>
      <c r="D3577" t="s">
        <v>3265</v>
      </c>
      <c r="E3577" s="3" t="s">
        <v>509</v>
      </c>
      <c r="F3577" s="4">
        <v>0</v>
      </c>
      <c r="G3577" s="3">
        <v>1878</v>
      </c>
      <c r="H3577" s="3">
        <v>76</v>
      </c>
      <c r="I3577" s="3">
        <v>505</v>
      </c>
      <c r="J3577" s="3">
        <v>322</v>
      </c>
      <c r="K3577" s="3">
        <v>1827</v>
      </c>
      <c r="L3577" s="3">
        <v>6</v>
      </c>
      <c r="M3577" s="3">
        <v>510</v>
      </c>
    </row>
    <row r="3578" spans="1:13" x14ac:dyDescent="0.25">
      <c r="A3578" s="1" t="str">
        <f>HYPERLINK("http://www.rosaceae.org/Prunus/Prunus_persica/p.persica_gdr_reftransV1_0035269","p.persica_gdr_reftransV1_0035269")</f>
        <v>p.persica_gdr_reftransV1_0035269</v>
      </c>
      <c r="B3578" s="3">
        <v>2808</v>
      </c>
      <c r="C3578" s="1" t="str">
        <f>HYPERLINK("http://www.uniprot.org/uniprot/ALE2_ARATH","ALE2_ARATH")</f>
        <v>ALE2_ARATH</v>
      </c>
      <c r="D3578" t="s">
        <v>3266</v>
      </c>
      <c r="E3578" s="3" t="s">
        <v>3</v>
      </c>
      <c r="F3578" s="4">
        <v>3.2899999999999998E-120</v>
      </c>
      <c r="G3578" s="3">
        <v>1001</v>
      </c>
      <c r="H3578" s="3">
        <v>46</v>
      </c>
      <c r="I3578" s="3">
        <v>518</v>
      </c>
      <c r="J3578" s="3">
        <v>810</v>
      </c>
      <c r="K3578" s="3">
        <v>2294</v>
      </c>
      <c r="L3578" s="3">
        <v>115</v>
      </c>
      <c r="M3578" s="3">
        <v>619</v>
      </c>
    </row>
    <row r="3579" spans="1:13" x14ac:dyDescent="0.25">
      <c r="A3579" s="1" t="str">
        <f>HYPERLINK("http://www.rosaceae.org/Prunus/Prunus_persica/p.persica_gdr_reftransV1_0035419","p.persica_gdr_reftransV1_0035419")</f>
        <v>p.persica_gdr_reftransV1_0035419</v>
      </c>
      <c r="B3579" s="3">
        <v>2191</v>
      </c>
      <c r="C3579" s="1" t="str">
        <f>HYPERLINK("http://www.uniprot.org/uniprot/NLE1_ARATH","NLE1_ARATH")</f>
        <v>NLE1_ARATH</v>
      </c>
      <c r="D3579" t="s">
        <v>3267</v>
      </c>
      <c r="E3579" s="3" t="s">
        <v>3</v>
      </c>
      <c r="F3579" s="4">
        <v>0</v>
      </c>
      <c r="G3579" s="3">
        <v>2094</v>
      </c>
      <c r="H3579" s="3">
        <v>80</v>
      </c>
      <c r="I3579" s="3">
        <v>474</v>
      </c>
      <c r="J3579" s="3">
        <v>159</v>
      </c>
      <c r="K3579" s="3">
        <v>1580</v>
      </c>
      <c r="L3579" s="3">
        <v>1</v>
      </c>
      <c r="M3579" s="3">
        <v>473</v>
      </c>
    </row>
    <row r="3580" spans="1:13" x14ac:dyDescent="0.25">
      <c r="A3580" s="1" t="str">
        <f>HYPERLINK("http://www.rosaceae.org/Prunus/Prunus_persica/p.persica_gdr_reftransV1_0035619","p.persica_gdr_reftransV1_0035619")</f>
        <v>p.persica_gdr_reftransV1_0035619</v>
      </c>
      <c r="B3580" s="3">
        <v>3976</v>
      </c>
      <c r="C3580" s="1" t="str">
        <f>HYPERLINK("http://www.uniprot.org/uniprot/PSY_CUCME","PSY_CUCME")</f>
        <v>PSY_CUCME</v>
      </c>
      <c r="D3580" t="s">
        <v>3268</v>
      </c>
      <c r="E3580" s="3" t="s">
        <v>266</v>
      </c>
      <c r="F3580" s="4">
        <v>7.2699999999999995E-92</v>
      </c>
      <c r="G3580" s="3">
        <v>789</v>
      </c>
      <c r="H3580" s="3">
        <v>70</v>
      </c>
      <c r="I3580" s="3">
        <v>213</v>
      </c>
      <c r="J3580" s="3">
        <v>604</v>
      </c>
      <c r="K3580" s="3">
        <v>1218</v>
      </c>
      <c r="L3580" s="3">
        <v>20</v>
      </c>
      <c r="M3580" s="3">
        <v>228</v>
      </c>
    </row>
    <row r="3581" spans="1:13" x14ac:dyDescent="0.25">
      <c r="A3581" s="1" t="str">
        <f>HYPERLINK("http://www.rosaceae.org/Prunus/Prunus_persica/p.persica_gdr_reftransV1_0035869","p.persica_gdr_reftransV1_0035869")</f>
        <v>p.persica_gdr_reftransV1_0035869</v>
      </c>
      <c r="B3581" s="3">
        <v>1161</v>
      </c>
      <c r="C3581" s="1" t="str">
        <f>HYPERLINK("http://www.uniprot.org/uniprot/RCI2B_ARATH","RCI2B_ARATH")</f>
        <v>RCI2B_ARATH</v>
      </c>
      <c r="D3581" t="s">
        <v>3269</v>
      </c>
      <c r="E3581" s="3" t="s">
        <v>3</v>
      </c>
      <c r="F3581" s="4">
        <v>4.0699999999999998E-7</v>
      </c>
      <c r="G3581" s="3">
        <v>122</v>
      </c>
      <c r="H3581" s="3">
        <v>82</v>
      </c>
      <c r="I3581" s="3">
        <v>28</v>
      </c>
      <c r="J3581" s="3">
        <v>451</v>
      </c>
      <c r="K3581" s="3">
        <v>534</v>
      </c>
      <c r="L3581" s="3">
        <v>27</v>
      </c>
      <c r="M3581" s="3">
        <v>54</v>
      </c>
    </row>
    <row r="3582" spans="1:13" x14ac:dyDescent="0.25">
      <c r="A3582" s="1" t="str">
        <f>HYPERLINK("http://www.rosaceae.org/Prunus/Prunus_persica/p.persica_gdr_reftransV1_0036119","p.persica_gdr_reftransV1_0036119")</f>
        <v>p.persica_gdr_reftransV1_0036119</v>
      </c>
      <c r="B3582" s="3">
        <v>5152</v>
      </c>
      <c r="C3582" s="1" t="str">
        <f>HYPERLINK("http://www.uniprot.org/uniprot/FUBP3_HUMAN","FUBP3_HUMAN")</f>
        <v>FUBP3_HUMAN</v>
      </c>
      <c r="D3582" t="s">
        <v>3270</v>
      </c>
      <c r="E3582" s="3" t="s">
        <v>28</v>
      </c>
      <c r="F3582" s="4">
        <v>2.0600000000000001E-17</v>
      </c>
      <c r="G3582" s="3">
        <v>226</v>
      </c>
      <c r="H3582" s="3">
        <v>34</v>
      </c>
      <c r="I3582" s="3">
        <v>171</v>
      </c>
      <c r="J3582" s="3">
        <v>718</v>
      </c>
      <c r="K3582" s="3">
        <v>1227</v>
      </c>
      <c r="L3582" s="3">
        <v>78</v>
      </c>
      <c r="M3582" s="3">
        <v>234</v>
      </c>
    </row>
    <row r="3583" spans="1:13" x14ac:dyDescent="0.25">
      <c r="A3583" s="1" t="str">
        <f>HYPERLINK("http://www.rosaceae.org/Prunus/Prunus_persica/p.persica_gdr_reftransV1_0036169","p.persica_gdr_reftransV1_0036169")</f>
        <v>p.persica_gdr_reftransV1_0036169</v>
      </c>
      <c r="B3583" s="3">
        <v>1992</v>
      </c>
      <c r="C3583" s="1" t="str">
        <f>HYPERLINK("http://www.uniprot.org/uniprot/NDT2_ARATH","NDT2_ARATH")</f>
        <v>NDT2_ARATH</v>
      </c>
      <c r="D3583" t="s">
        <v>3271</v>
      </c>
      <c r="E3583" s="3" t="s">
        <v>3</v>
      </c>
      <c r="F3583" s="4">
        <v>9.2100000000000001E-70</v>
      </c>
      <c r="G3583" s="3">
        <v>605</v>
      </c>
      <c r="H3583" s="3">
        <v>76</v>
      </c>
      <c r="I3583" s="3">
        <v>180</v>
      </c>
      <c r="J3583" s="3">
        <v>647</v>
      </c>
      <c r="K3583" s="3">
        <v>1174</v>
      </c>
      <c r="L3583" s="3">
        <v>33</v>
      </c>
      <c r="M3583" s="3">
        <v>209</v>
      </c>
    </row>
    <row r="3584" spans="1:13" x14ac:dyDescent="0.25">
      <c r="A3584" s="1" t="str">
        <f>HYPERLINK("http://www.rosaceae.org/Prunus/Prunus_persica/p.persica_gdr_reftransV1_0036219","p.persica_gdr_reftransV1_0036219")</f>
        <v>p.persica_gdr_reftransV1_0036219</v>
      </c>
      <c r="B3584" s="3">
        <v>2284</v>
      </c>
      <c r="C3584" s="1" t="str">
        <f>HYPERLINK("http://www.uniprot.org/uniprot/NHX6_ARATH","NHX6_ARATH")</f>
        <v>NHX6_ARATH</v>
      </c>
      <c r="D3584" t="s">
        <v>3272</v>
      </c>
      <c r="E3584" s="3" t="s">
        <v>3</v>
      </c>
      <c r="F3584" s="4">
        <v>0</v>
      </c>
      <c r="G3584" s="3">
        <v>939</v>
      </c>
      <c r="H3584" s="3">
        <v>78</v>
      </c>
      <c r="I3584" s="3">
        <v>282</v>
      </c>
      <c r="J3584" s="3">
        <v>247</v>
      </c>
      <c r="K3584" s="3">
        <v>1092</v>
      </c>
      <c r="L3584" s="3">
        <v>5</v>
      </c>
      <c r="M3584" s="3">
        <v>254</v>
      </c>
    </row>
    <row r="3585" spans="1:13" x14ac:dyDescent="0.25">
      <c r="A3585" s="1" t="str">
        <f>HYPERLINK("http://www.rosaceae.org/Prunus/Prunus_persica/p.persica_gdr_reftransV1_0036419","p.persica_gdr_reftransV1_0036419")</f>
        <v>p.persica_gdr_reftransV1_0036419</v>
      </c>
      <c r="B3585" s="3">
        <v>3899</v>
      </c>
      <c r="C3585" s="1" t="str">
        <f>HYPERLINK("http://www.uniprot.org/uniprot/LIMYB_ARATH","LIMYB_ARATH")</f>
        <v>LIMYB_ARATH</v>
      </c>
      <c r="D3585" t="s">
        <v>1896</v>
      </c>
      <c r="E3585" s="3" t="s">
        <v>3</v>
      </c>
      <c r="F3585" s="4">
        <v>3.4100000000000002E-16</v>
      </c>
      <c r="G3585" s="3">
        <v>213</v>
      </c>
      <c r="H3585" s="3">
        <v>23</v>
      </c>
      <c r="I3585" s="3">
        <v>275</v>
      </c>
      <c r="J3585" s="3">
        <v>2683</v>
      </c>
      <c r="K3585" s="3">
        <v>3507</v>
      </c>
      <c r="L3585" s="3">
        <v>2</v>
      </c>
      <c r="M3585" s="3">
        <v>265</v>
      </c>
    </row>
    <row r="3586" spans="1:13" x14ac:dyDescent="0.25">
      <c r="A3586" s="1" t="str">
        <f>HYPERLINK("http://www.rosaceae.org/Prunus/Prunus_persica/p.persica_gdr_reftransV1_0036769","p.persica_gdr_reftransV1_0036769")</f>
        <v>p.persica_gdr_reftransV1_0036769</v>
      </c>
      <c r="B3586" s="3">
        <v>927</v>
      </c>
      <c r="C3586" s="1" t="str">
        <f>HYPERLINK("http://www.uniprot.org/uniprot/ARR3_ARATH","ARR3_ARATH")</f>
        <v>ARR3_ARATH</v>
      </c>
      <c r="D3586" t="s">
        <v>3273</v>
      </c>
      <c r="E3586" s="3" t="s">
        <v>3</v>
      </c>
      <c r="F3586" s="4">
        <v>3.3900000000000002E-49</v>
      </c>
      <c r="G3586" s="3">
        <v>429</v>
      </c>
      <c r="H3586" s="3">
        <v>72</v>
      </c>
      <c r="I3586" s="3">
        <v>124</v>
      </c>
      <c r="J3586" s="3">
        <v>567</v>
      </c>
      <c r="K3586" s="3">
        <v>926</v>
      </c>
      <c r="L3586" s="3">
        <v>1</v>
      </c>
      <c r="M3586" s="3">
        <v>123</v>
      </c>
    </row>
    <row r="3587" spans="1:13" x14ac:dyDescent="0.25">
      <c r="A3587" s="1" t="str">
        <f>HYPERLINK("http://www.rosaceae.org/Prunus/Prunus_persica/p.persica_gdr_reftransV1_0036819","p.persica_gdr_reftransV1_0036819")</f>
        <v>p.persica_gdr_reftransV1_0036819</v>
      </c>
      <c r="B3587" s="3">
        <v>3382</v>
      </c>
      <c r="C3587" s="1" t="str">
        <f>HYPERLINK("http://www.uniprot.org/uniprot/DPD1_ARATH","DPD1_ARATH")</f>
        <v>DPD1_ARATH</v>
      </c>
      <c r="D3587" t="s">
        <v>3274</v>
      </c>
      <c r="E3587" s="3" t="s">
        <v>3</v>
      </c>
      <c r="F3587" s="4">
        <v>5.8399999999999997E-36</v>
      </c>
      <c r="G3587" s="3">
        <v>364</v>
      </c>
      <c r="H3587" s="3">
        <v>51</v>
      </c>
      <c r="I3587" s="3">
        <v>143</v>
      </c>
      <c r="J3587" s="3">
        <v>2324</v>
      </c>
      <c r="K3587" s="3">
        <v>2749</v>
      </c>
      <c r="L3587" s="3">
        <v>175</v>
      </c>
      <c r="M3587" s="3">
        <v>315</v>
      </c>
    </row>
    <row r="3588" spans="1:13" x14ac:dyDescent="0.25">
      <c r="A3588" s="1" t="str">
        <f>HYPERLINK("http://www.rosaceae.org/Prunus/Prunus_persica/p.persica_gdr_reftransV1_0036969","p.persica_gdr_reftransV1_0036969")</f>
        <v>p.persica_gdr_reftransV1_0036969</v>
      </c>
      <c r="B3588" s="3">
        <v>2946</v>
      </c>
      <c r="C3588" s="1" t="str">
        <f>HYPERLINK("http://www.uniprot.org/uniprot/KAKU4_ARATH","KAKU4_ARATH")</f>
        <v>KAKU4_ARATH</v>
      </c>
      <c r="D3588" t="s">
        <v>3275</v>
      </c>
      <c r="E3588" s="3" t="s">
        <v>3</v>
      </c>
      <c r="F3588" s="4">
        <v>2.1099999999999999E-51</v>
      </c>
      <c r="G3588" s="3">
        <v>490</v>
      </c>
      <c r="H3588" s="3">
        <v>46</v>
      </c>
      <c r="I3588" s="3">
        <v>310</v>
      </c>
      <c r="J3588" s="3">
        <v>1864</v>
      </c>
      <c r="K3588" s="3">
        <v>2766</v>
      </c>
      <c r="L3588" s="3">
        <v>11</v>
      </c>
      <c r="M3588" s="3">
        <v>292</v>
      </c>
    </row>
    <row r="3589" spans="1:13" x14ac:dyDescent="0.25">
      <c r="A3589" s="1" t="str">
        <f>HYPERLINK("http://www.rosaceae.org/Prunus/Prunus_persica/p.persica_gdr_reftransV1_0037619","p.persica_gdr_reftransV1_0037619")</f>
        <v>p.persica_gdr_reftransV1_0037619</v>
      </c>
      <c r="B3589" s="3">
        <v>1028</v>
      </c>
      <c r="C3589" s="1" t="str">
        <f>HYPERLINK("http://www.uniprot.org/uniprot/ATK1_ARATH","ATK1_ARATH")</f>
        <v>ATK1_ARATH</v>
      </c>
      <c r="D3589" t="s">
        <v>3276</v>
      </c>
      <c r="E3589" s="3" t="s">
        <v>3</v>
      </c>
      <c r="F3589" s="4">
        <v>5.6800000000000002E-42</v>
      </c>
      <c r="G3589" s="3">
        <v>404</v>
      </c>
      <c r="H3589" s="3">
        <v>57</v>
      </c>
      <c r="I3589" s="3">
        <v>170</v>
      </c>
      <c r="J3589" s="3">
        <v>3</v>
      </c>
      <c r="K3589" s="3">
        <v>512</v>
      </c>
      <c r="L3589" s="3">
        <v>85</v>
      </c>
      <c r="M3589" s="3">
        <v>254</v>
      </c>
    </row>
    <row r="3590" spans="1:13" x14ac:dyDescent="0.25">
      <c r="A3590" s="1" t="str">
        <f>HYPERLINK("http://www.rosaceae.org/Prunus/Prunus_persica/p.persica_gdr_reftransV1_0037669","p.persica_gdr_reftransV1_0037669")</f>
        <v>p.persica_gdr_reftransV1_0037669</v>
      </c>
      <c r="B3590" s="3">
        <v>1542</v>
      </c>
      <c r="C3590" s="1" t="str">
        <f>HYPERLINK("http://www.uniprot.org/uniprot/ZIP6_ARATH","ZIP6_ARATH")</f>
        <v>ZIP6_ARATH</v>
      </c>
      <c r="D3590" t="s">
        <v>3277</v>
      </c>
      <c r="E3590" s="3" t="s">
        <v>3</v>
      </c>
      <c r="F3590" s="4">
        <v>1.37E-129</v>
      </c>
      <c r="G3590" s="3">
        <v>995</v>
      </c>
      <c r="H3590" s="3">
        <v>65</v>
      </c>
      <c r="I3590" s="3">
        <v>356</v>
      </c>
      <c r="J3590" s="3">
        <v>410</v>
      </c>
      <c r="K3590" s="3">
        <v>1456</v>
      </c>
      <c r="L3590" s="3">
        <v>1</v>
      </c>
      <c r="M3590" s="3">
        <v>341</v>
      </c>
    </row>
    <row r="3591" spans="1:13" x14ac:dyDescent="0.25">
      <c r="A3591" s="1" t="str">
        <f>HYPERLINK("http://www.rosaceae.org/Prunus/Prunus_persica/p.persica_gdr_reftransV1_0037719","p.persica_gdr_reftransV1_0037719")</f>
        <v>p.persica_gdr_reftransV1_0037719</v>
      </c>
      <c r="B3591" s="3">
        <v>1062</v>
      </c>
      <c r="C3591" s="1" t="str">
        <f>HYPERLINK("http://www.uniprot.org/uniprot/GT6_ARATH","GT6_ARATH")</f>
        <v>GT6_ARATH</v>
      </c>
      <c r="D3591" t="s">
        <v>3278</v>
      </c>
      <c r="E3591" s="3" t="s">
        <v>3</v>
      </c>
      <c r="F3591" s="4">
        <v>3.1900000000000002E-115</v>
      </c>
      <c r="G3591" s="3">
        <v>893</v>
      </c>
      <c r="H3591" s="3">
        <v>60</v>
      </c>
      <c r="I3591" s="3">
        <v>263</v>
      </c>
      <c r="J3591" s="3">
        <v>277</v>
      </c>
      <c r="K3591" s="3">
        <v>1062</v>
      </c>
      <c r="L3591" s="3">
        <v>166</v>
      </c>
      <c r="M3591" s="3">
        <v>428</v>
      </c>
    </row>
    <row r="3592" spans="1:13" x14ac:dyDescent="0.25">
      <c r="A3592" s="1" t="str">
        <f>HYPERLINK("http://www.rosaceae.org/Prunus/Prunus_persica/p.persica_gdr_reftransV1_0037869","p.persica_gdr_reftransV1_0037869")</f>
        <v>p.persica_gdr_reftransV1_0037869</v>
      </c>
      <c r="B3592" s="3">
        <v>2061</v>
      </c>
      <c r="C3592" s="1" t="str">
        <f>HYPERLINK("http://www.uniprot.org/uniprot/HEM4_ARATH","HEM4_ARATH")</f>
        <v>HEM4_ARATH</v>
      </c>
      <c r="D3592" t="s">
        <v>3279</v>
      </c>
      <c r="E3592" s="3" t="s">
        <v>3</v>
      </c>
      <c r="F3592" s="4">
        <v>5.24E-71</v>
      </c>
      <c r="G3592" s="3">
        <v>611</v>
      </c>
      <c r="H3592" s="3">
        <v>70</v>
      </c>
      <c r="I3592" s="3">
        <v>162</v>
      </c>
      <c r="J3592" s="3">
        <v>213</v>
      </c>
      <c r="K3592" s="3">
        <v>698</v>
      </c>
      <c r="L3592" s="3">
        <v>65</v>
      </c>
      <c r="M3592" s="3">
        <v>226</v>
      </c>
    </row>
    <row r="3593" spans="1:13" x14ac:dyDescent="0.25">
      <c r="A3593" s="1" t="str">
        <f>HYPERLINK("http://www.rosaceae.org/Prunus/Prunus_persica/p.persica_gdr_reftransV1_0037919","p.persica_gdr_reftransV1_0037919")</f>
        <v>p.persica_gdr_reftransV1_0037919</v>
      </c>
      <c r="B3593" s="3">
        <v>1363</v>
      </c>
      <c r="C3593" s="1" t="str">
        <f>HYPERLINK("http://www.uniprot.org/uniprot/ATG8I_ARATH","ATG8I_ARATH")</f>
        <v>ATG8I_ARATH</v>
      </c>
      <c r="D3593" t="s">
        <v>3280</v>
      </c>
      <c r="E3593" s="3" t="s">
        <v>3</v>
      </c>
      <c r="F3593" s="4">
        <v>5.3299999999999996E-25</v>
      </c>
      <c r="G3593" s="3">
        <v>197</v>
      </c>
      <c r="H3593" s="3">
        <v>85</v>
      </c>
      <c r="I3593" s="3">
        <v>41</v>
      </c>
      <c r="J3593" s="3">
        <v>788</v>
      </c>
      <c r="K3593" s="3">
        <v>910</v>
      </c>
      <c r="L3593" s="3">
        <v>47</v>
      </c>
      <c r="M3593" s="3">
        <v>87</v>
      </c>
    </row>
    <row r="3594" spans="1:13" x14ac:dyDescent="0.25">
      <c r="A3594" s="1" t="str">
        <f>HYPERLINK("http://www.rosaceae.org/Prunus/Prunus_persica/p.persica_gdr_reftransV1_0037969","p.persica_gdr_reftransV1_0037969")</f>
        <v>p.persica_gdr_reftransV1_0037969</v>
      </c>
      <c r="B3594" s="3">
        <v>1432</v>
      </c>
      <c r="C3594" s="1" t="str">
        <f>HYPERLINK("http://www.uniprot.org/uniprot/HMOX2_ARATH","HMOX2_ARATH")</f>
        <v>HMOX2_ARATH</v>
      </c>
      <c r="D3594" t="s">
        <v>3281</v>
      </c>
      <c r="E3594" s="3" t="s">
        <v>3</v>
      </c>
      <c r="F3594" s="4">
        <v>2.0400000000000001E-109</v>
      </c>
      <c r="G3594" s="3">
        <v>853</v>
      </c>
      <c r="H3594" s="3">
        <v>66</v>
      </c>
      <c r="I3594" s="3">
        <v>251</v>
      </c>
      <c r="J3594" s="3">
        <v>249</v>
      </c>
      <c r="K3594" s="3">
        <v>1001</v>
      </c>
      <c r="L3594" s="3">
        <v>60</v>
      </c>
      <c r="M3594" s="3">
        <v>299</v>
      </c>
    </row>
    <row r="3595" spans="1:13" x14ac:dyDescent="0.25">
      <c r="A3595" s="1" t="str">
        <f>HYPERLINK("http://www.rosaceae.org/Prunus/Prunus_persica/p.persica_gdr_reftransV1_0038119","p.persica_gdr_reftransV1_0038119")</f>
        <v>p.persica_gdr_reftransV1_0038119</v>
      </c>
      <c r="B3595" s="3">
        <v>860</v>
      </c>
      <c r="C3595" s="1" t="str">
        <f>HYPERLINK("http://www.uniprot.org/uniprot/RAC9_ARATH","RAC9_ARATH")</f>
        <v>RAC9_ARATH</v>
      </c>
      <c r="D3595" t="s">
        <v>3282</v>
      </c>
      <c r="E3595" s="3" t="s">
        <v>3</v>
      </c>
      <c r="F3595" s="4">
        <v>2.8500000000000001E-112</v>
      </c>
      <c r="G3595" s="3">
        <v>845</v>
      </c>
      <c r="H3595" s="3">
        <v>81</v>
      </c>
      <c r="I3595" s="3">
        <v>191</v>
      </c>
      <c r="J3595" s="3">
        <v>34</v>
      </c>
      <c r="K3595" s="3">
        <v>603</v>
      </c>
      <c r="L3595" s="3">
        <v>18</v>
      </c>
      <c r="M3595" s="3">
        <v>208</v>
      </c>
    </row>
    <row r="3596" spans="1:13" x14ac:dyDescent="0.25">
      <c r="A3596" s="1" t="str">
        <f>HYPERLINK("http://www.rosaceae.org/Prunus/Prunus_persica/p.persica_gdr_reftransV1_0038319","p.persica_gdr_reftransV1_0038319")</f>
        <v>p.persica_gdr_reftransV1_0038319</v>
      </c>
      <c r="B3596" s="3">
        <v>2524</v>
      </c>
      <c r="C3596" s="1" t="str">
        <f>HYPERLINK("http://www.uniprot.org/uniprot/PYRH_SYNS9","PYRH_SYNS9")</f>
        <v>PYRH_SYNS9</v>
      </c>
      <c r="D3596" t="s">
        <v>3283</v>
      </c>
      <c r="E3596" s="3" t="s">
        <v>2403</v>
      </c>
      <c r="F3596" s="4">
        <v>7.9900000000000005E-67</v>
      </c>
      <c r="G3596" s="3">
        <v>580</v>
      </c>
      <c r="H3596" s="3">
        <v>49</v>
      </c>
      <c r="I3596" s="3">
        <v>237</v>
      </c>
      <c r="J3596" s="3">
        <v>1333</v>
      </c>
      <c r="K3596" s="3">
        <v>2034</v>
      </c>
      <c r="L3596" s="3">
        <v>1</v>
      </c>
      <c r="M3596" s="3">
        <v>233</v>
      </c>
    </row>
    <row r="3597" spans="1:13" x14ac:dyDescent="0.25">
      <c r="A3597" s="1" t="str">
        <f>HYPERLINK("http://www.rosaceae.org/Prunus/Prunus_persica/p.persica_gdr_reftransV1_0038369","p.persica_gdr_reftransV1_0038369")</f>
        <v>p.persica_gdr_reftransV1_0038369</v>
      </c>
      <c r="B3597" s="3">
        <v>2383</v>
      </c>
      <c r="C3597" s="1" t="str">
        <f>HYPERLINK("http://www.uniprot.org/uniprot/HPR_THEMA","HPR_THEMA")</f>
        <v>HPR_THEMA</v>
      </c>
      <c r="D3597" t="s">
        <v>3284</v>
      </c>
      <c r="E3597" s="3" t="s">
        <v>3285</v>
      </c>
      <c r="F3597" s="4">
        <v>2.2400000000000001E-14</v>
      </c>
      <c r="G3597" s="3">
        <v>192</v>
      </c>
      <c r="H3597" s="3">
        <v>29</v>
      </c>
      <c r="I3597" s="3">
        <v>200</v>
      </c>
      <c r="J3597" s="3">
        <v>403</v>
      </c>
      <c r="K3597" s="3">
        <v>993</v>
      </c>
      <c r="L3597" s="3">
        <v>42</v>
      </c>
      <c r="M3597" s="3">
        <v>220</v>
      </c>
    </row>
    <row r="3598" spans="1:13" x14ac:dyDescent="0.25">
      <c r="A3598" s="1" t="str">
        <f>HYPERLINK("http://www.rosaceae.org/Prunus/Prunus_persica/p.persica_gdr_reftransV1_0038469","p.persica_gdr_reftransV1_0038469")</f>
        <v>p.persica_gdr_reftransV1_0038469</v>
      </c>
      <c r="B3598" s="3">
        <v>4339</v>
      </c>
      <c r="C3598" s="1" t="str">
        <f>HYPERLINK("http://www.uniprot.org/uniprot/IPO9_MOUSE","IPO9_MOUSE")</f>
        <v>IPO9_MOUSE</v>
      </c>
      <c r="D3598" t="s">
        <v>3286</v>
      </c>
      <c r="E3598" s="3" t="s">
        <v>157</v>
      </c>
      <c r="F3598" s="4">
        <v>2.18E-106</v>
      </c>
      <c r="G3598" s="3">
        <v>947</v>
      </c>
      <c r="H3598" s="3">
        <v>30</v>
      </c>
      <c r="I3598" s="3">
        <v>840</v>
      </c>
      <c r="J3598" s="3">
        <v>1574</v>
      </c>
      <c r="K3598" s="3">
        <v>4066</v>
      </c>
      <c r="L3598" s="3">
        <v>22</v>
      </c>
      <c r="M3598" s="3">
        <v>851</v>
      </c>
    </row>
    <row r="3599" spans="1:13" x14ac:dyDescent="0.25">
      <c r="A3599" s="1" t="str">
        <f>HYPERLINK("http://www.rosaceae.org/Prunus/Prunus_persica/p.persica_gdr_reftransV1_0038969","p.persica_gdr_reftransV1_0038969")</f>
        <v>p.persica_gdr_reftransV1_0038969</v>
      </c>
      <c r="B3599" s="3">
        <v>4004</v>
      </c>
      <c r="C3599" s="1" t="str">
        <f>HYPERLINK("http://www.uniprot.org/uniprot/ITPK3_ARATH","ITPK3_ARATH")</f>
        <v>ITPK3_ARATH</v>
      </c>
      <c r="D3599" t="s">
        <v>3287</v>
      </c>
      <c r="E3599" s="3" t="s">
        <v>3</v>
      </c>
      <c r="F3599" s="4">
        <v>2.5500000000000001E-110</v>
      </c>
      <c r="G3599" s="3">
        <v>917</v>
      </c>
      <c r="H3599" s="3">
        <v>85</v>
      </c>
      <c r="I3599" s="3">
        <v>245</v>
      </c>
      <c r="J3599" s="3">
        <v>2532</v>
      </c>
      <c r="K3599" s="3">
        <v>3266</v>
      </c>
      <c r="L3599" s="3">
        <v>104</v>
      </c>
      <c r="M3599" s="3">
        <v>348</v>
      </c>
    </row>
    <row r="3600" spans="1:13" x14ac:dyDescent="0.25">
      <c r="A3600" s="1" t="str">
        <f>HYPERLINK("http://www.rosaceae.org/Prunus/Prunus_persica/p.persica_gdr_reftransV1_0039069","p.persica_gdr_reftransV1_0039069")</f>
        <v>p.persica_gdr_reftransV1_0039069</v>
      </c>
      <c r="B3600" s="3">
        <v>3137</v>
      </c>
      <c r="C3600" s="1" t="str">
        <f>HYPERLINK("http://www.uniprot.org/uniprot/AN13B_HUMAN","AN13B_HUMAN")</f>
        <v>AN13B_HUMAN</v>
      </c>
      <c r="D3600" t="s">
        <v>3288</v>
      </c>
      <c r="E3600" s="3" t="s">
        <v>28</v>
      </c>
      <c r="F3600" s="4">
        <v>3.4999999999999999E-33</v>
      </c>
      <c r="G3600" s="3">
        <v>353</v>
      </c>
      <c r="H3600" s="3">
        <v>35</v>
      </c>
      <c r="I3600" s="3">
        <v>268</v>
      </c>
      <c r="J3600" s="3">
        <v>1461</v>
      </c>
      <c r="K3600" s="3">
        <v>2249</v>
      </c>
      <c r="L3600" s="3">
        <v>31</v>
      </c>
      <c r="M3600" s="3">
        <v>288</v>
      </c>
    </row>
    <row r="3601" spans="1:13" x14ac:dyDescent="0.25">
      <c r="A3601" s="1" t="str">
        <f>HYPERLINK("http://www.rosaceae.org/Prunus/Prunus_persica/p.persica_gdr_reftransV1_0039169","p.persica_gdr_reftransV1_0039169")</f>
        <v>p.persica_gdr_reftransV1_0039169</v>
      </c>
      <c r="B3601" s="3">
        <v>2499</v>
      </c>
      <c r="C3601" s="1" t="str">
        <f>HYPERLINK("http://www.uniprot.org/uniprot/PIGB_BOVIN","PIGB_BOVIN")</f>
        <v>PIGB_BOVIN</v>
      </c>
      <c r="D3601" t="s">
        <v>3289</v>
      </c>
      <c r="E3601" s="3" t="s">
        <v>184</v>
      </c>
      <c r="F3601" s="4">
        <v>2.1299999999999999E-101</v>
      </c>
      <c r="G3601" s="3">
        <v>849</v>
      </c>
      <c r="H3601" s="3">
        <v>38</v>
      </c>
      <c r="I3601" s="3">
        <v>568</v>
      </c>
      <c r="J3601" s="3">
        <v>367</v>
      </c>
      <c r="K3601" s="3">
        <v>2043</v>
      </c>
      <c r="L3601" s="3">
        <v>36</v>
      </c>
      <c r="M3601" s="3">
        <v>522</v>
      </c>
    </row>
    <row r="3602" spans="1:13" x14ac:dyDescent="0.25">
      <c r="A3602" s="1" t="str">
        <f>HYPERLINK("http://www.rosaceae.org/Prunus/Prunus_persica/p.persica_gdr_reftransV1_0039319","p.persica_gdr_reftransV1_0039319")</f>
        <v>p.persica_gdr_reftransV1_0039319</v>
      </c>
      <c r="B3602" s="3">
        <v>1937</v>
      </c>
      <c r="C3602" s="1" t="str">
        <f>HYPERLINK("http://www.uniprot.org/uniprot/THCAS_CANSA","THCAS_CANSA")</f>
        <v>THCAS_CANSA</v>
      </c>
      <c r="D3602" t="s">
        <v>3290</v>
      </c>
      <c r="E3602" s="3" t="s">
        <v>3291</v>
      </c>
      <c r="F3602" s="4">
        <v>4.5200000000000002E-127</v>
      </c>
      <c r="G3602" s="3">
        <v>759</v>
      </c>
      <c r="H3602" s="3">
        <v>50</v>
      </c>
      <c r="I3602" s="3">
        <v>315</v>
      </c>
      <c r="J3602" s="3">
        <v>127</v>
      </c>
      <c r="K3602" s="3">
        <v>1047</v>
      </c>
      <c r="L3602" s="3">
        <v>12</v>
      </c>
      <c r="M3602" s="3">
        <v>319</v>
      </c>
    </row>
    <row r="3603" spans="1:13" x14ac:dyDescent="0.25">
      <c r="A3603" s="1" t="str">
        <f>HYPERLINK("http://www.rosaceae.org/Prunus/Prunus_persica/p.persica_gdr_reftransV1_0039569","p.persica_gdr_reftransV1_0039569")</f>
        <v>p.persica_gdr_reftransV1_0039569</v>
      </c>
      <c r="B3603" s="3">
        <v>2677</v>
      </c>
      <c r="C3603" s="1" t="str">
        <f>HYPERLINK("http://www.uniprot.org/uniprot/PUX2_ARATH","PUX2_ARATH")</f>
        <v>PUX2_ARATH</v>
      </c>
      <c r="D3603" t="s">
        <v>3292</v>
      </c>
      <c r="E3603" s="3" t="s">
        <v>3</v>
      </c>
      <c r="F3603" s="4">
        <v>2.8100000000000002E-106</v>
      </c>
      <c r="G3603" s="3">
        <v>879</v>
      </c>
      <c r="H3603" s="3">
        <v>56</v>
      </c>
      <c r="I3603" s="3">
        <v>301</v>
      </c>
      <c r="J3603" s="3">
        <v>639</v>
      </c>
      <c r="K3603" s="3">
        <v>1541</v>
      </c>
      <c r="L3603" s="3">
        <v>96</v>
      </c>
      <c r="M3603" s="3">
        <v>381</v>
      </c>
    </row>
    <row r="3604" spans="1:13" x14ac:dyDescent="0.25">
      <c r="A3604" s="1" t="str">
        <f>HYPERLINK("http://www.rosaceae.org/Prunus/Prunus_persica/p.persica_gdr_reftransV1_0039719","p.persica_gdr_reftransV1_0039719")</f>
        <v>p.persica_gdr_reftransV1_0039719</v>
      </c>
      <c r="B3604" s="3">
        <v>2816</v>
      </c>
      <c r="C3604" s="1" t="str">
        <f>HYPERLINK("http://www.uniprot.org/uniprot/ADT4_ARATH","ADT4_ARATH")</f>
        <v>ADT4_ARATH</v>
      </c>
      <c r="D3604" t="s">
        <v>3293</v>
      </c>
      <c r="E3604" s="3" t="s">
        <v>3</v>
      </c>
      <c r="F3604" s="4">
        <v>1.31E-55</v>
      </c>
      <c r="G3604" s="3">
        <v>506</v>
      </c>
      <c r="H3604" s="3">
        <v>85</v>
      </c>
      <c r="I3604" s="3">
        <v>124</v>
      </c>
      <c r="J3604" s="3">
        <v>1261</v>
      </c>
      <c r="K3604" s="3">
        <v>1632</v>
      </c>
      <c r="L3604" s="3">
        <v>89</v>
      </c>
      <c r="M3604" s="3">
        <v>212</v>
      </c>
    </row>
    <row r="3605" spans="1:13" x14ac:dyDescent="0.25">
      <c r="A3605" s="1" t="str">
        <f>HYPERLINK("http://www.rosaceae.org/Prunus/Prunus_persica/p.persica_gdr_reftransV1_0039769","p.persica_gdr_reftransV1_0039769")</f>
        <v>p.persica_gdr_reftransV1_0039769</v>
      </c>
      <c r="B3605" s="3">
        <v>1079</v>
      </c>
      <c r="C3605" s="1" t="str">
        <f>HYPERLINK("http://www.uniprot.org/uniprot/ADT3_ARATH","ADT3_ARATH")</f>
        <v>ADT3_ARATH</v>
      </c>
      <c r="D3605" t="s">
        <v>2528</v>
      </c>
      <c r="E3605" s="3" t="s">
        <v>3</v>
      </c>
      <c r="F3605" s="4">
        <v>2.28E-117</v>
      </c>
      <c r="G3605" s="3">
        <v>903</v>
      </c>
      <c r="H3605" s="3">
        <v>92</v>
      </c>
      <c r="I3605" s="3">
        <v>196</v>
      </c>
      <c r="J3605" s="3">
        <v>2</v>
      </c>
      <c r="K3605" s="3">
        <v>589</v>
      </c>
      <c r="L3605" s="3">
        <v>86</v>
      </c>
      <c r="M3605" s="3">
        <v>281</v>
      </c>
    </row>
    <row r="3606" spans="1:13" x14ac:dyDescent="0.25">
      <c r="A3606" s="1" t="str">
        <f>HYPERLINK("http://www.rosaceae.org/Prunus/Prunus_persica/p.persica_gdr_reftransV1_0040069","p.persica_gdr_reftransV1_0040069")</f>
        <v>p.persica_gdr_reftransV1_0040069</v>
      </c>
      <c r="B3606" s="3">
        <v>3173</v>
      </c>
      <c r="C3606" s="1" t="str">
        <f>HYPERLINK("http://www.uniprot.org/uniprot/PRUNE_BOVIN","PRUNE_BOVIN")</f>
        <v>PRUNE_BOVIN</v>
      </c>
      <c r="D3606" t="s">
        <v>3294</v>
      </c>
      <c r="E3606" s="3" t="s">
        <v>184</v>
      </c>
      <c r="F3606" s="4">
        <v>5.3400000000000004E-22</v>
      </c>
      <c r="G3606" s="3">
        <v>258</v>
      </c>
      <c r="H3606" s="3">
        <v>33</v>
      </c>
      <c r="I3606" s="3">
        <v>232</v>
      </c>
      <c r="J3606" s="3">
        <v>1234</v>
      </c>
      <c r="K3606" s="3">
        <v>1920</v>
      </c>
      <c r="L3606" s="3">
        <v>16</v>
      </c>
      <c r="M3606" s="3">
        <v>245</v>
      </c>
    </row>
    <row r="3607" spans="1:13" x14ac:dyDescent="0.25">
      <c r="A3607" s="1" t="str">
        <f>HYPERLINK("http://www.rosaceae.org/Prunus/Prunus_persica/p.persica_gdr_reftransV1_0040219","p.persica_gdr_reftransV1_0040219")</f>
        <v>p.persica_gdr_reftransV1_0040219</v>
      </c>
      <c r="B3607" s="3">
        <v>1076</v>
      </c>
      <c r="C3607" s="1" t="str">
        <f>HYPERLINK("http://www.uniprot.org/uniprot/IAA29_ARATH","IAA29_ARATH")</f>
        <v>IAA29_ARATH</v>
      </c>
      <c r="D3607" t="s">
        <v>3295</v>
      </c>
      <c r="E3607" s="3" t="s">
        <v>3</v>
      </c>
      <c r="F3607" s="4">
        <v>2.3199999999999999E-23</v>
      </c>
      <c r="G3607" s="3">
        <v>251</v>
      </c>
      <c r="H3607" s="3">
        <v>32</v>
      </c>
      <c r="I3607" s="3">
        <v>264</v>
      </c>
      <c r="J3607" s="3">
        <v>287</v>
      </c>
      <c r="K3607" s="3">
        <v>997</v>
      </c>
      <c r="L3607" s="3">
        <v>1</v>
      </c>
      <c r="M3607" s="3">
        <v>240</v>
      </c>
    </row>
    <row r="3608" spans="1:13" x14ac:dyDescent="0.25">
      <c r="A3608" s="1" t="str">
        <f>HYPERLINK("http://www.rosaceae.org/Prunus/Prunus_persica/p.persica_gdr_reftransV1_0040269","p.persica_gdr_reftransV1_0040269")</f>
        <v>p.persica_gdr_reftransV1_0040269</v>
      </c>
      <c r="B3608" s="3">
        <v>896</v>
      </c>
      <c r="C3608" s="1" t="str">
        <f>HYPERLINK("http://www.uniprot.org/uniprot/RAN1_SOLLC","RAN1_SOLLC")</f>
        <v>RAN1_SOLLC</v>
      </c>
      <c r="D3608" t="s">
        <v>3296</v>
      </c>
      <c r="E3608" s="3" t="s">
        <v>64</v>
      </c>
      <c r="F3608" s="4">
        <v>1.33E-51</v>
      </c>
      <c r="G3608" s="3">
        <v>444</v>
      </c>
      <c r="H3608" s="3">
        <v>94</v>
      </c>
      <c r="I3608" s="3">
        <v>103</v>
      </c>
      <c r="J3608" s="3">
        <v>588</v>
      </c>
      <c r="K3608" s="3">
        <v>896</v>
      </c>
      <c r="L3608" s="3">
        <v>119</v>
      </c>
      <c r="M3608" s="3">
        <v>221</v>
      </c>
    </row>
    <row r="3609" spans="1:13" x14ac:dyDescent="0.25">
      <c r="A3609" s="1" t="str">
        <f>HYPERLINK("http://www.rosaceae.org/Prunus/Prunus_persica/p.persica_gdr_reftransV1_0040669","p.persica_gdr_reftransV1_0040669")</f>
        <v>p.persica_gdr_reftransV1_0040669</v>
      </c>
      <c r="B3609" s="3">
        <v>2483</v>
      </c>
      <c r="C3609" s="1" t="str">
        <f>HYPERLINK("http://www.uniprot.org/uniprot/CPR5_ARATH","CPR5_ARATH")</f>
        <v>CPR5_ARATH</v>
      </c>
      <c r="D3609" t="s">
        <v>3297</v>
      </c>
      <c r="E3609" s="3" t="s">
        <v>3</v>
      </c>
      <c r="F3609" s="4">
        <v>1.2699999999999999E-85</v>
      </c>
      <c r="G3609" s="3">
        <v>741</v>
      </c>
      <c r="H3609" s="3">
        <v>42</v>
      </c>
      <c r="I3609" s="3">
        <v>417</v>
      </c>
      <c r="J3609" s="3">
        <v>474</v>
      </c>
      <c r="K3609" s="3">
        <v>1700</v>
      </c>
      <c r="L3609" s="3">
        <v>161</v>
      </c>
      <c r="M3609" s="3">
        <v>550</v>
      </c>
    </row>
    <row r="3610" spans="1:13" x14ac:dyDescent="0.25">
      <c r="A3610" s="1" t="str">
        <f>HYPERLINK("http://www.rosaceae.org/Prunus/Prunus_persica/p.persica_gdr_reftransV1_0040869","p.persica_gdr_reftransV1_0040869")</f>
        <v>p.persica_gdr_reftransV1_0040869</v>
      </c>
      <c r="B3610" s="3">
        <v>2472</v>
      </c>
      <c r="C3610" s="1" t="str">
        <f>HYPERLINK("http://www.uniprot.org/uniprot/MLO6_ARATH","MLO6_ARATH")</f>
        <v>MLO6_ARATH</v>
      </c>
      <c r="D3610" t="s">
        <v>3109</v>
      </c>
      <c r="E3610" s="3" t="s">
        <v>3</v>
      </c>
      <c r="F3610" s="4">
        <v>1.31E-82</v>
      </c>
      <c r="G3610" s="3">
        <v>721</v>
      </c>
      <c r="H3610" s="3">
        <v>61</v>
      </c>
      <c r="I3610" s="3">
        <v>238</v>
      </c>
      <c r="J3610" s="3">
        <v>1669</v>
      </c>
      <c r="K3610" s="3">
        <v>2376</v>
      </c>
      <c r="L3610" s="3">
        <v>1</v>
      </c>
      <c r="M3610" s="3">
        <v>236</v>
      </c>
    </row>
    <row r="3611" spans="1:13" x14ac:dyDescent="0.25">
      <c r="A3611" s="1" t="str">
        <f>HYPERLINK("http://www.rosaceae.org/Prunus/Prunus_persica/p.persica_gdr_reftransV1_0040969","p.persica_gdr_reftransV1_0040969")</f>
        <v>p.persica_gdr_reftransV1_0040969</v>
      </c>
      <c r="B3611" s="3">
        <v>6865</v>
      </c>
      <c r="C3611" s="1" t="str">
        <f>HYPERLINK("http://www.uniprot.org/uniprot/CALS2_ARATH","CALS2_ARATH")</f>
        <v>CALS2_ARATH</v>
      </c>
      <c r="D3611" t="s">
        <v>3298</v>
      </c>
      <c r="E3611" s="3" t="s">
        <v>3</v>
      </c>
      <c r="F3611" s="4">
        <v>0</v>
      </c>
      <c r="G3611" s="3">
        <v>4675</v>
      </c>
      <c r="H3611" s="3">
        <v>80</v>
      </c>
      <c r="I3611" s="3">
        <v>1104</v>
      </c>
      <c r="J3611" s="3">
        <v>721</v>
      </c>
      <c r="K3611" s="3">
        <v>4029</v>
      </c>
      <c r="L3611" s="3">
        <v>62</v>
      </c>
      <c r="M3611" s="3">
        <v>1160</v>
      </c>
    </row>
    <row r="3612" spans="1:13" x14ac:dyDescent="0.25">
      <c r="A3612" s="1" t="str">
        <f>HYPERLINK("http://www.rosaceae.org/Prunus/Prunus_persica/p.persica_gdr_reftransV1_0041419","p.persica_gdr_reftransV1_0041419")</f>
        <v>p.persica_gdr_reftransV1_0041419</v>
      </c>
      <c r="B3612" s="3">
        <v>6528</v>
      </c>
      <c r="C3612" s="1" t="str">
        <f>HYPERLINK("http://www.uniprot.org/uniprot/YI31B_YEAST","YI31B_YEAST")</f>
        <v>YI31B_YEAST</v>
      </c>
      <c r="D3612" t="s">
        <v>1210</v>
      </c>
      <c r="E3612" s="3" t="s">
        <v>34</v>
      </c>
      <c r="F3612" s="4">
        <v>2.1500000000000001E-90</v>
      </c>
      <c r="G3612" s="3">
        <v>845</v>
      </c>
      <c r="H3612" s="3">
        <v>30</v>
      </c>
      <c r="I3612" s="3">
        <v>891</v>
      </c>
      <c r="J3612" s="3">
        <v>1028</v>
      </c>
      <c r="K3612" s="3">
        <v>3592</v>
      </c>
      <c r="L3612" s="3">
        <v>642</v>
      </c>
      <c r="M3612" s="3">
        <v>1471</v>
      </c>
    </row>
    <row r="3613" spans="1:13" x14ac:dyDescent="0.25">
      <c r="A3613" s="1" t="str">
        <f>HYPERLINK("http://www.rosaceae.org/Prunus/Prunus_persica/p.persica_gdr_reftransV1_0041619","p.persica_gdr_reftransV1_0041619")</f>
        <v>p.persica_gdr_reftransV1_0041619</v>
      </c>
      <c r="B3613" s="3">
        <v>3512</v>
      </c>
      <c r="C3613" s="1" t="str">
        <f>HYPERLINK("http://www.uniprot.org/uniprot/Y1684_ARATH","Y1684_ARATH")</f>
        <v>Y1684_ARATH</v>
      </c>
      <c r="D3613" t="s">
        <v>3299</v>
      </c>
      <c r="E3613" s="3" t="s">
        <v>3</v>
      </c>
      <c r="F3613" s="4">
        <v>0</v>
      </c>
      <c r="G3613" s="3">
        <v>3104</v>
      </c>
      <c r="H3613" s="3">
        <v>71</v>
      </c>
      <c r="I3613" s="3">
        <v>936</v>
      </c>
      <c r="J3613" s="3">
        <v>504</v>
      </c>
      <c r="K3613" s="3">
        <v>3290</v>
      </c>
      <c r="L3613" s="3">
        <v>26</v>
      </c>
      <c r="M3613" s="3">
        <v>953</v>
      </c>
    </row>
    <row r="3614" spans="1:13" x14ac:dyDescent="0.25">
      <c r="A3614" s="1" t="str">
        <f>HYPERLINK("http://www.rosaceae.org/Prunus/Prunus_persica/p.persica_gdr_reftransV1_0041869","p.persica_gdr_reftransV1_0041869")</f>
        <v>p.persica_gdr_reftransV1_0041869</v>
      </c>
      <c r="B3614" s="3">
        <v>1807</v>
      </c>
      <c r="C3614" s="1" t="str">
        <f>HYPERLINK("http://www.uniprot.org/uniprot/NEP1_MOUSE","NEP1_MOUSE")</f>
        <v>NEP1_MOUSE</v>
      </c>
      <c r="D3614" t="s">
        <v>2581</v>
      </c>
      <c r="E3614" s="3" t="s">
        <v>157</v>
      </c>
      <c r="F3614" s="4">
        <v>1.85E-47</v>
      </c>
      <c r="G3614" s="3">
        <v>434</v>
      </c>
      <c r="H3614" s="3">
        <v>41</v>
      </c>
      <c r="I3614" s="3">
        <v>209</v>
      </c>
      <c r="J3614" s="3">
        <v>383</v>
      </c>
      <c r="K3614" s="3">
        <v>1009</v>
      </c>
      <c r="L3614" s="3">
        <v>40</v>
      </c>
      <c r="M3614" s="3">
        <v>244</v>
      </c>
    </row>
    <row r="3615" spans="1:13" x14ac:dyDescent="0.25">
      <c r="A3615" s="1" t="str">
        <f>HYPERLINK("http://www.rosaceae.org/Prunus/Prunus_persica/p.persica_gdr_reftransV1_0042269","p.persica_gdr_reftransV1_0042269")</f>
        <v>p.persica_gdr_reftransV1_0042269</v>
      </c>
      <c r="B3615" s="3">
        <v>4309</v>
      </c>
      <c r="C3615" s="1" t="str">
        <f>HYPERLINK("http://www.uniprot.org/uniprot/BON1_ARATH","BON1_ARATH")</f>
        <v>BON1_ARATH</v>
      </c>
      <c r="D3615" t="s">
        <v>841</v>
      </c>
      <c r="E3615" s="3" t="s">
        <v>3</v>
      </c>
      <c r="F3615" s="4">
        <v>1.6599999999999999E-96</v>
      </c>
      <c r="G3615" s="3">
        <v>722</v>
      </c>
      <c r="H3615" s="3">
        <v>73</v>
      </c>
      <c r="I3615" s="3">
        <v>195</v>
      </c>
      <c r="J3615" s="3">
        <v>2129</v>
      </c>
      <c r="K3615" s="3">
        <v>2713</v>
      </c>
      <c r="L3615" s="3">
        <v>348</v>
      </c>
      <c r="M3615" s="3">
        <v>515</v>
      </c>
    </row>
    <row r="3616" spans="1:13" x14ac:dyDescent="0.25">
      <c r="A3616" s="1" t="str">
        <f>HYPERLINK("http://www.rosaceae.org/Prunus/Prunus_persica/p.persica_gdr_reftransV1_0042419","p.persica_gdr_reftransV1_0042419")</f>
        <v>p.persica_gdr_reftransV1_0042419</v>
      </c>
      <c r="B3616" s="3">
        <v>3399</v>
      </c>
      <c r="C3616" s="1" t="str">
        <f>HYPERLINK("http://www.uniprot.org/uniprot/MVD1_BOVIN","MVD1_BOVIN")</f>
        <v>MVD1_BOVIN</v>
      </c>
      <c r="D3616" t="s">
        <v>3300</v>
      </c>
      <c r="E3616" s="3" t="s">
        <v>184</v>
      </c>
      <c r="F3616" s="4">
        <v>1.5500000000000001E-32</v>
      </c>
      <c r="G3616" s="3">
        <v>342</v>
      </c>
      <c r="H3616" s="3">
        <v>50</v>
      </c>
      <c r="I3616" s="3">
        <v>159</v>
      </c>
      <c r="J3616" s="3">
        <v>2649</v>
      </c>
      <c r="K3616" s="3">
        <v>3113</v>
      </c>
      <c r="L3616" s="3">
        <v>3</v>
      </c>
      <c r="M3616" s="3">
        <v>155</v>
      </c>
    </row>
    <row r="3617" spans="1:13" x14ac:dyDescent="0.25">
      <c r="A3617" s="1" t="str">
        <f>HYPERLINK("http://www.rosaceae.org/Prunus/Prunus_persica/p.persica_gdr_reftransV1_0042719","p.persica_gdr_reftransV1_0042719")</f>
        <v>p.persica_gdr_reftransV1_0042719</v>
      </c>
      <c r="B3617" s="3">
        <v>3478</v>
      </c>
      <c r="C3617" s="1" t="str">
        <f>HYPERLINK("http://www.uniprot.org/uniprot/ACO1_ARATH","ACO1_ARATH")</f>
        <v>ACO1_ARATH</v>
      </c>
      <c r="D3617" t="s">
        <v>3301</v>
      </c>
      <c r="E3617" s="3" t="s">
        <v>3</v>
      </c>
      <c r="F3617" s="4">
        <v>0</v>
      </c>
      <c r="G3617" s="3">
        <v>4281</v>
      </c>
      <c r="H3617" s="3">
        <v>87</v>
      </c>
      <c r="I3617" s="3">
        <v>926</v>
      </c>
      <c r="J3617" s="3">
        <v>190</v>
      </c>
      <c r="K3617" s="3">
        <v>2967</v>
      </c>
      <c r="L3617" s="3">
        <v>1</v>
      </c>
      <c r="M3617" s="3">
        <v>897</v>
      </c>
    </row>
    <row r="3618" spans="1:13" x14ac:dyDescent="0.25">
      <c r="A3618" s="1" t="str">
        <f>HYPERLINK("http://www.rosaceae.org/Prunus/Prunus_persica/p.persica_gdr_reftransV1_0043069","p.persica_gdr_reftransV1_0043069")</f>
        <v>p.persica_gdr_reftransV1_0043069</v>
      </c>
      <c r="B3618" s="3">
        <v>1995</v>
      </c>
      <c r="C3618" s="1" t="str">
        <f>HYPERLINK("http://www.uniprot.org/uniprot/PFLF_ECOLI","PFLF_ECOLI")</f>
        <v>PFLF_ECOLI</v>
      </c>
      <c r="D3618" t="s">
        <v>3302</v>
      </c>
      <c r="E3618" s="3" t="s">
        <v>2372</v>
      </c>
      <c r="F3618" s="4">
        <v>0</v>
      </c>
      <c r="G3618" s="3">
        <v>3438</v>
      </c>
      <c r="H3618" s="3">
        <v>100</v>
      </c>
      <c r="I3618" s="3">
        <v>664</v>
      </c>
      <c r="J3618" s="3">
        <v>4</v>
      </c>
      <c r="K3618" s="3">
        <v>1995</v>
      </c>
      <c r="L3618" s="3">
        <v>147</v>
      </c>
      <c r="M3618" s="3">
        <v>810</v>
      </c>
    </row>
    <row r="3619" spans="1:13" x14ac:dyDescent="0.25">
      <c r="A3619" s="1" t="str">
        <f>HYPERLINK("http://www.rosaceae.org/Prunus/Prunus_persica/p.persica_gdr_reftransV1_0043219","p.persica_gdr_reftransV1_0043219")</f>
        <v>p.persica_gdr_reftransV1_0043219</v>
      </c>
      <c r="B3619" s="3">
        <v>1121</v>
      </c>
      <c r="C3619" s="1" t="str">
        <f>HYPERLINK("http://www.uniprot.org/uniprot/TI110_PEA","TI110_PEA")</f>
        <v>TI110_PEA</v>
      </c>
      <c r="D3619" t="s">
        <v>3303</v>
      </c>
      <c r="E3619" s="3" t="s">
        <v>60</v>
      </c>
      <c r="F3619" s="4">
        <v>4.1799999999999999E-81</v>
      </c>
      <c r="G3619" s="3">
        <v>697</v>
      </c>
      <c r="H3619" s="3">
        <v>77</v>
      </c>
      <c r="I3619" s="3">
        <v>173</v>
      </c>
      <c r="J3619" s="3">
        <v>8</v>
      </c>
      <c r="K3619" s="3">
        <v>526</v>
      </c>
      <c r="L3619" s="3">
        <v>813</v>
      </c>
      <c r="M3619" s="3">
        <v>985</v>
      </c>
    </row>
    <row r="3620" spans="1:13" x14ac:dyDescent="0.25">
      <c r="A3620" s="1" t="str">
        <f>HYPERLINK("http://www.rosaceae.org/Prunus/Prunus_persica/p.persica_gdr_reftransV1_0043269","p.persica_gdr_reftransV1_0043269")</f>
        <v>p.persica_gdr_reftransV1_0043269</v>
      </c>
      <c r="B3620" s="3">
        <v>403</v>
      </c>
      <c r="C3620" s="1" t="str">
        <f>HYPERLINK("http://www.uniprot.org/uniprot/TT2_ARATH","TT2_ARATH")</f>
        <v>TT2_ARATH</v>
      </c>
      <c r="D3620" t="s">
        <v>3304</v>
      </c>
      <c r="E3620" s="3" t="s">
        <v>3</v>
      </c>
      <c r="F3620" s="4">
        <v>8.76E-11</v>
      </c>
      <c r="G3620" s="3">
        <v>147</v>
      </c>
      <c r="H3620" s="3">
        <v>51</v>
      </c>
      <c r="I3620" s="3">
        <v>63</v>
      </c>
      <c r="J3620" s="3">
        <v>1</v>
      </c>
      <c r="K3620" s="3">
        <v>177</v>
      </c>
      <c r="L3620" s="3">
        <v>96</v>
      </c>
      <c r="M3620" s="3">
        <v>158</v>
      </c>
    </row>
    <row r="3621" spans="1:13" x14ac:dyDescent="0.25">
      <c r="A3621" s="1" t="str">
        <f>HYPERLINK("http://www.rosaceae.org/Prunus/Prunus_persica/p.persica_gdr_reftransV1_0043319","p.persica_gdr_reftransV1_0043319")</f>
        <v>p.persica_gdr_reftransV1_0043319</v>
      </c>
      <c r="B3621" s="3">
        <v>2130</v>
      </c>
      <c r="C3621" s="1" t="str">
        <f>HYPERLINK("http://www.uniprot.org/uniprot/HT1_ARATH","HT1_ARATH")</f>
        <v>HT1_ARATH</v>
      </c>
      <c r="D3621" t="s">
        <v>1169</v>
      </c>
      <c r="E3621" s="3" t="s">
        <v>3</v>
      </c>
      <c r="F3621" s="4">
        <v>7.1799999999999996E-78</v>
      </c>
      <c r="G3621" s="3">
        <v>666</v>
      </c>
      <c r="H3621" s="3">
        <v>45</v>
      </c>
      <c r="I3621" s="3">
        <v>263</v>
      </c>
      <c r="J3621" s="3">
        <v>349</v>
      </c>
      <c r="K3621" s="3">
        <v>1122</v>
      </c>
      <c r="L3621" s="3">
        <v>79</v>
      </c>
      <c r="M3621" s="3">
        <v>341</v>
      </c>
    </row>
    <row r="3622" spans="1:13" x14ac:dyDescent="0.25">
      <c r="A3622" s="1" t="str">
        <f>HYPERLINK("http://www.rosaceae.org/Prunus/Prunus_persica/p.persica_gdr_reftransV1_0043369","p.persica_gdr_reftransV1_0043369")</f>
        <v>p.persica_gdr_reftransV1_0043369</v>
      </c>
      <c r="B3622" s="3">
        <v>309</v>
      </c>
      <c r="C3622" s="1" t="str">
        <f>HYPERLINK("http://www.uniprot.org/uniprot/CRK25_ARATH","CRK25_ARATH")</f>
        <v>CRK25_ARATH</v>
      </c>
      <c r="D3622" t="s">
        <v>3305</v>
      </c>
      <c r="E3622" s="3" t="s">
        <v>3</v>
      </c>
      <c r="F3622" s="4">
        <v>3.1200000000000002E-45</v>
      </c>
      <c r="G3622" s="3">
        <v>401</v>
      </c>
      <c r="H3622" s="3">
        <v>69</v>
      </c>
      <c r="I3622" s="3">
        <v>102</v>
      </c>
      <c r="J3622" s="3">
        <v>3</v>
      </c>
      <c r="K3622" s="3">
        <v>308</v>
      </c>
      <c r="L3622" s="3">
        <v>410</v>
      </c>
      <c r="M3622" s="3">
        <v>511</v>
      </c>
    </row>
    <row r="3623" spans="1:13" x14ac:dyDescent="0.25">
      <c r="A3623" s="1" t="str">
        <f>HYPERLINK("http://www.rosaceae.org/Prunus/Prunus_persica/p.persica_gdr_reftransV1_0043469","p.persica_gdr_reftransV1_0043469")</f>
        <v>p.persica_gdr_reftransV1_0043469</v>
      </c>
      <c r="B3623" s="3">
        <v>705</v>
      </c>
      <c r="C3623" s="1" t="str">
        <f>HYPERLINK("http://www.uniprot.org/uniprot/GL21_ORYSJ","GL21_ORYSJ")</f>
        <v>GL21_ORYSJ</v>
      </c>
      <c r="D3623" t="s">
        <v>3306</v>
      </c>
      <c r="E3623" s="3" t="s">
        <v>38</v>
      </c>
      <c r="F3623" s="4">
        <v>2.3000000000000001E-89</v>
      </c>
      <c r="G3623" s="3">
        <v>689</v>
      </c>
      <c r="H3623" s="3">
        <v>65</v>
      </c>
      <c r="I3623" s="3">
        <v>197</v>
      </c>
      <c r="J3623" s="3">
        <v>5</v>
      </c>
      <c r="K3623" s="3">
        <v>595</v>
      </c>
      <c r="L3623" s="3">
        <v>20</v>
      </c>
      <c r="M3623" s="3">
        <v>216</v>
      </c>
    </row>
    <row r="3624" spans="1:13" x14ac:dyDescent="0.25">
      <c r="A3624" s="1" t="str">
        <f>HYPERLINK("http://www.rosaceae.org/Prunus/Prunus_persica/p.persica_gdr_reftransV1_0043519","p.persica_gdr_reftransV1_0043519")</f>
        <v>p.persica_gdr_reftransV1_0043519</v>
      </c>
      <c r="B3624" s="3">
        <v>445</v>
      </c>
      <c r="C3624" s="1" t="str">
        <f>HYPERLINK("http://www.uniprot.org/uniprot/KAT1_ARATH","KAT1_ARATH")</f>
        <v>KAT1_ARATH</v>
      </c>
      <c r="D3624" t="s">
        <v>212</v>
      </c>
      <c r="E3624" s="3" t="s">
        <v>3</v>
      </c>
      <c r="F3624" s="4">
        <v>3.48E-83</v>
      </c>
      <c r="G3624" s="3">
        <v>673</v>
      </c>
      <c r="H3624" s="3">
        <v>90</v>
      </c>
      <c r="I3624" s="3">
        <v>134</v>
      </c>
      <c r="J3624" s="3">
        <v>1</v>
      </c>
      <c r="K3624" s="3">
        <v>402</v>
      </c>
      <c r="L3624" s="3">
        <v>178</v>
      </c>
      <c r="M3624" s="3">
        <v>311</v>
      </c>
    </row>
    <row r="3625" spans="1:13" x14ac:dyDescent="0.25">
      <c r="A3625" s="1" t="str">
        <f>HYPERLINK("http://www.rosaceae.org/Prunus/Prunus_persica/p.persica_gdr_reftransV1_0043569","p.persica_gdr_reftransV1_0043569")</f>
        <v>p.persica_gdr_reftransV1_0043569</v>
      </c>
      <c r="B3625" s="3">
        <v>617</v>
      </c>
      <c r="C3625" s="1" t="str">
        <f>HYPERLINK("http://www.uniprot.org/uniprot/NLTP1_PRUDU","NLTP1_PRUDU")</f>
        <v>NLTP1_PRUDU</v>
      </c>
      <c r="D3625" t="s">
        <v>3307</v>
      </c>
      <c r="E3625" s="3" t="s">
        <v>418</v>
      </c>
      <c r="F3625" s="4">
        <v>1.8699999999999999E-59</v>
      </c>
      <c r="G3625" s="3">
        <v>478</v>
      </c>
      <c r="H3625" s="3">
        <v>95</v>
      </c>
      <c r="I3625" s="3">
        <v>101</v>
      </c>
      <c r="J3625" s="3">
        <v>154</v>
      </c>
      <c r="K3625" s="3">
        <v>456</v>
      </c>
      <c r="L3625" s="3">
        <v>17</v>
      </c>
      <c r="M3625" s="3">
        <v>117</v>
      </c>
    </row>
    <row r="3626" spans="1:13" x14ac:dyDescent="0.25">
      <c r="A3626" s="1" t="str">
        <f>HYPERLINK("http://www.rosaceae.org/Prunus/Prunus_persica/p.persica_gdr_reftransV1_0043669","p.persica_gdr_reftransV1_0043669")</f>
        <v>p.persica_gdr_reftransV1_0043669</v>
      </c>
      <c r="B3626" s="3">
        <v>3322</v>
      </c>
      <c r="C3626" s="1" t="str">
        <f>HYPERLINK("http://www.uniprot.org/uniprot/AHK2_ARATH","AHK2_ARATH")</f>
        <v>AHK2_ARATH</v>
      </c>
      <c r="D3626" t="s">
        <v>982</v>
      </c>
      <c r="E3626" s="3" t="s">
        <v>3</v>
      </c>
      <c r="F3626" s="4">
        <v>0</v>
      </c>
      <c r="G3626" s="3">
        <v>3116</v>
      </c>
      <c r="H3626" s="3">
        <v>71</v>
      </c>
      <c r="I3626" s="3">
        <v>864</v>
      </c>
      <c r="J3626" s="3">
        <v>2</v>
      </c>
      <c r="K3626" s="3">
        <v>2593</v>
      </c>
      <c r="L3626" s="3">
        <v>324</v>
      </c>
      <c r="M3626" s="3">
        <v>1174</v>
      </c>
    </row>
    <row r="3627" spans="1:13" x14ac:dyDescent="0.25">
      <c r="A3627" s="1" t="str">
        <f>HYPERLINK("http://www.rosaceae.org/Prunus/Prunus_persica/p.persica_gdr_reftransV1_0043719","p.persica_gdr_reftransV1_0043719")</f>
        <v>p.persica_gdr_reftransV1_0043719</v>
      </c>
      <c r="B3627" s="3">
        <v>822</v>
      </c>
      <c r="C3627" s="1" t="str">
        <f>HYPERLINK("http://www.uniprot.org/uniprot/MINE1_ARATH","MINE1_ARATH")</f>
        <v>MINE1_ARATH</v>
      </c>
      <c r="D3627" t="s">
        <v>3308</v>
      </c>
      <c r="E3627" s="3" t="s">
        <v>3</v>
      </c>
      <c r="F3627" s="4">
        <v>2.3E-63</v>
      </c>
      <c r="G3627" s="3">
        <v>521</v>
      </c>
      <c r="H3627" s="3">
        <v>55</v>
      </c>
      <c r="I3627" s="3">
        <v>203</v>
      </c>
      <c r="J3627" s="3">
        <v>136</v>
      </c>
      <c r="K3627" s="3">
        <v>720</v>
      </c>
      <c r="L3627" s="3">
        <v>14</v>
      </c>
      <c r="M3627" s="3">
        <v>213</v>
      </c>
    </row>
    <row r="3628" spans="1:13" x14ac:dyDescent="0.25">
      <c r="A3628" s="1" t="str">
        <f>HYPERLINK("http://www.rosaceae.org/Prunus/Prunus_persica/p.persica_gdr_reftransV1_0043769","p.persica_gdr_reftransV1_0043769")</f>
        <v>p.persica_gdr_reftransV1_0043769</v>
      </c>
      <c r="B3628" s="3">
        <v>3001</v>
      </c>
      <c r="C3628" s="1" t="str">
        <f>HYPERLINK("http://www.uniprot.org/uniprot/SMH5_MAIZE","SMH5_MAIZE")</f>
        <v>SMH5_MAIZE</v>
      </c>
      <c r="D3628" t="s">
        <v>3309</v>
      </c>
      <c r="E3628" s="3" t="s">
        <v>72</v>
      </c>
      <c r="F3628" s="4">
        <v>2.0599999999999999E-7</v>
      </c>
      <c r="G3628" s="3">
        <v>137</v>
      </c>
      <c r="H3628" s="3">
        <v>51</v>
      </c>
      <c r="I3628" s="3">
        <v>51</v>
      </c>
      <c r="J3628" s="3">
        <v>2543</v>
      </c>
      <c r="K3628" s="3">
        <v>2689</v>
      </c>
      <c r="L3628" s="3">
        <v>6</v>
      </c>
      <c r="M3628" s="3">
        <v>56</v>
      </c>
    </row>
    <row r="3629" spans="1:13" x14ac:dyDescent="0.25">
      <c r="A3629" s="1" t="str">
        <f>HYPERLINK("http://www.rosaceae.org/Prunus/Prunus_persica/p.persica_gdr_reftransV1_0043869","p.persica_gdr_reftransV1_0043869")</f>
        <v>p.persica_gdr_reftransV1_0043869</v>
      </c>
      <c r="B3629" s="3">
        <v>384</v>
      </c>
      <c r="C3629" s="1" t="str">
        <f>HYPERLINK("http://www.uniprot.org/uniprot/SCGT_TOBAC","SCGT_TOBAC")</f>
        <v>SCGT_TOBAC</v>
      </c>
      <c r="D3629" t="s">
        <v>2560</v>
      </c>
      <c r="E3629" s="3" t="s">
        <v>200</v>
      </c>
      <c r="F3629" s="4">
        <v>6.7900000000000004E-28</v>
      </c>
      <c r="G3629" s="3">
        <v>275</v>
      </c>
      <c r="H3629" s="3">
        <v>44</v>
      </c>
      <c r="I3629" s="3">
        <v>117</v>
      </c>
      <c r="J3629" s="3">
        <v>25</v>
      </c>
      <c r="K3629" s="3">
        <v>375</v>
      </c>
      <c r="L3629" s="3">
        <v>3</v>
      </c>
      <c r="M3629" s="3">
        <v>119</v>
      </c>
    </row>
    <row r="3630" spans="1:13" x14ac:dyDescent="0.25">
      <c r="A3630" s="1" t="str">
        <f>HYPERLINK("http://www.rosaceae.org/Prunus/Prunus_persica/p.persica_gdr_reftransV1_0043919","p.persica_gdr_reftransV1_0043919")</f>
        <v>p.persica_gdr_reftransV1_0043919</v>
      </c>
      <c r="B3630" s="3">
        <v>397</v>
      </c>
      <c r="C3630" s="1" t="str">
        <f>HYPERLINK("http://www.uniprot.org/uniprot/PTR15_ARATH","PTR15_ARATH")</f>
        <v>PTR15_ARATH</v>
      </c>
      <c r="D3630" t="s">
        <v>2133</v>
      </c>
      <c r="E3630" s="3" t="s">
        <v>3</v>
      </c>
      <c r="F3630" s="4">
        <v>7.71E-68</v>
      </c>
      <c r="G3630" s="3">
        <v>562</v>
      </c>
      <c r="H3630" s="3">
        <v>83</v>
      </c>
      <c r="I3630" s="3">
        <v>132</v>
      </c>
      <c r="J3630" s="3">
        <v>1</v>
      </c>
      <c r="K3630" s="3">
        <v>396</v>
      </c>
      <c r="L3630" s="3">
        <v>383</v>
      </c>
      <c r="M3630" s="3">
        <v>514</v>
      </c>
    </row>
    <row r="3631" spans="1:13" x14ac:dyDescent="0.25">
      <c r="A3631" s="1" t="str">
        <f>HYPERLINK("http://www.rosaceae.org/Prunus/Prunus_persica/p.persica_gdr_reftransV1_0043969","p.persica_gdr_reftransV1_0043969")</f>
        <v>p.persica_gdr_reftransV1_0043969</v>
      </c>
      <c r="B3631" s="3">
        <v>3171</v>
      </c>
      <c r="C3631" s="1" t="str">
        <f>HYPERLINK("http://www.uniprot.org/uniprot/Y1561_ARATH","Y1561_ARATH")</f>
        <v>Y1561_ARATH</v>
      </c>
      <c r="D3631" t="s">
        <v>1387</v>
      </c>
      <c r="E3631" s="3" t="s">
        <v>3</v>
      </c>
      <c r="F3631" s="4">
        <v>0</v>
      </c>
      <c r="G3631" s="3">
        <v>2852</v>
      </c>
      <c r="H3631" s="3">
        <v>57</v>
      </c>
      <c r="I3631" s="3">
        <v>986</v>
      </c>
      <c r="J3631" s="3">
        <v>9</v>
      </c>
      <c r="K3631" s="3">
        <v>2948</v>
      </c>
      <c r="L3631" s="3">
        <v>60</v>
      </c>
      <c r="M3631" s="3">
        <v>1032</v>
      </c>
    </row>
    <row r="3632" spans="1:13" x14ac:dyDescent="0.25">
      <c r="A3632" s="1" t="str">
        <f>HYPERLINK("http://www.rosaceae.org/Prunus/Prunus_persica/p.persica_gdr_reftransV1_0044069","p.persica_gdr_reftransV1_0044069")</f>
        <v>p.persica_gdr_reftransV1_0044069</v>
      </c>
      <c r="B3632" s="3">
        <v>1760</v>
      </c>
      <c r="C3632" s="1" t="str">
        <f>HYPERLINK("http://www.uniprot.org/uniprot/HSP7C_PETHY","HSP7C_PETHY")</f>
        <v>HSP7C_PETHY</v>
      </c>
      <c r="D3632" t="s">
        <v>804</v>
      </c>
      <c r="E3632" s="3" t="s">
        <v>509</v>
      </c>
      <c r="F3632" s="4">
        <v>0</v>
      </c>
      <c r="G3632" s="3">
        <v>1740</v>
      </c>
      <c r="H3632" s="3">
        <v>68</v>
      </c>
      <c r="I3632" s="3">
        <v>513</v>
      </c>
      <c r="J3632" s="3">
        <v>99</v>
      </c>
      <c r="K3632" s="3">
        <v>1637</v>
      </c>
      <c r="L3632" s="3">
        <v>9</v>
      </c>
      <c r="M3632" s="3">
        <v>518</v>
      </c>
    </row>
    <row r="3633" spans="1:13" x14ac:dyDescent="0.25">
      <c r="A3633" s="1" t="str">
        <f>HYPERLINK("http://www.rosaceae.org/Prunus/Prunus_persica/p.persica_gdr_reftransV1_0044119","p.persica_gdr_reftransV1_0044119")</f>
        <v>p.persica_gdr_reftransV1_0044119</v>
      </c>
      <c r="B3633" s="3">
        <v>706</v>
      </c>
      <c r="C3633" s="1" t="str">
        <f>HYPERLINK("http://www.uniprot.org/uniprot/RS212_ARATH","RS212_ARATH")</f>
        <v>RS212_ARATH</v>
      </c>
      <c r="D3633" t="s">
        <v>3310</v>
      </c>
      <c r="E3633" s="3" t="s">
        <v>3</v>
      </c>
      <c r="F3633" s="4">
        <v>1.4899999999999999E-42</v>
      </c>
      <c r="G3633" s="3">
        <v>365</v>
      </c>
      <c r="H3633" s="3">
        <v>89</v>
      </c>
      <c r="I3633" s="3">
        <v>72</v>
      </c>
      <c r="J3633" s="3">
        <v>99</v>
      </c>
      <c r="K3633" s="3">
        <v>314</v>
      </c>
      <c r="L3633" s="3">
        <v>1</v>
      </c>
      <c r="M3633" s="3">
        <v>72</v>
      </c>
    </row>
    <row r="3634" spans="1:13" x14ac:dyDescent="0.25">
      <c r="A3634" s="1" t="str">
        <f>HYPERLINK("http://www.rosaceae.org/Prunus/Prunus_persica/p.persica_gdr_reftransV1_0044219","p.persica_gdr_reftransV1_0044219")</f>
        <v>p.persica_gdr_reftransV1_0044219</v>
      </c>
      <c r="B3634" s="3">
        <v>1341</v>
      </c>
      <c r="C3634" s="1" t="str">
        <f>HYPERLINK("http://www.uniprot.org/uniprot/KCO6_ARATH","KCO6_ARATH")</f>
        <v>KCO6_ARATH</v>
      </c>
      <c r="D3634" t="s">
        <v>185</v>
      </c>
      <c r="E3634" s="3" t="s">
        <v>3</v>
      </c>
      <c r="F3634" s="4">
        <v>4.9999999999999999E-13</v>
      </c>
      <c r="G3634" s="3">
        <v>181</v>
      </c>
      <c r="H3634" s="3">
        <v>31</v>
      </c>
      <c r="I3634" s="3">
        <v>160</v>
      </c>
      <c r="J3634" s="3">
        <v>95</v>
      </c>
      <c r="K3634" s="3">
        <v>547</v>
      </c>
      <c r="L3634" s="3">
        <v>197</v>
      </c>
      <c r="M3634" s="3">
        <v>356</v>
      </c>
    </row>
    <row r="3635" spans="1:13" x14ac:dyDescent="0.25">
      <c r="A3635" s="1" t="str">
        <f>HYPERLINK("http://www.rosaceae.org/Prunus/Prunus_persica/p.persica_gdr_reftransV1_0044269","p.persica_gdr_reftransV1_0044269")</f>
        <v>p.persica_gdr_reftransV1_0044269</v>
      </c>
      <c r="B3635" s="3">
        <v>1468</v>
      </c>
      <c r="C3635" s="1" t="str">
        <f>HYPERLINK("http://www.uniprot.org/uniprot/DTC_ARATH","DTC_ARATH")</f>
        <v>DTC_ARATH</v>
      </c>
      <c r="D3635" t="s">
        <v>3311</v>
      </c>
      <c r="E3635" s="3" t="s">
        <v>3</v>
      </c>
      <c r="F3635" s="4">
        <v>0</v>
      </c>
      <c r="G3635" s="3">
        <v>1336</v>
      </c>
      <c r="H3635" s="3">
        <v>82</v>
      </c>
      <c r="I3635" s="3">
        <v>298</v>
      </c>
      <c r="J3635" s="3">
        <v>168</v>
      </c>
      <c r="K3635" s="3">
        <v>1061</v>
      </c>
      <c r="L3635" s="3">
        <v>1</v>
      </c>
      <c r="M3635" s="3">
        <v>298</v>
      </c>
    </row>
    <row r="3636" spans="1:13" x14ac:dyDescent="0.25">
      <c r="A3636" s="1" t="str">
        <f>HYPERLINK("http://www.rosaceae.org/Prunus/Prunus_persica/p.persica_gdr_reftransV1_0044369","p.persica_gdr_reftransV1_0044369")</f>
        <v>p.persica_gdr_reftransV1_0044369</v>
      </c>
      <c r="B3636" s="3">
        <v>820</v>
      </c>
      <c r="C3636" s="1" t="str">
        <f>HYPERLINK("http://www.uniprot.org/uniprot/LAML_ARATH","LAML_ARATH")</f>
        <v>LAML_ARATH</v>
      </c>
      <c r="D3636" t="s">
        <v>1944</v>
      </c>
      <c r="E3636" s="3" t="s">
        <v>3</v>
      </c>
      <c r="F3636" s="4">
        <v>9.9400000000000003E-28</v>
      </c>
      <c r="G3636" s="3">
        <v>275</v>
      </c>
      <c r="H3636" s="3">
        <v>40</v>
      </c>
      <c r="I3636" s="3">
        <v>167</v>
      </c>
      <c r="J3636" s="3">
        <v>131</v>
      </c>
      <c r="K3636" s="3">
        <v>622</v>
      </c>
      <c r="L3636" s="3">
        <v>5</v>
      </c>
      <c r="M3636" s="3">
        <v>165</v>
      </c>
    </row>
    <row r="3637" spans="1:13" x14ac:dyDescent="0.25">
      <c r="A3637" s="1" t="str">
        <f>HYPERLINK("http://www.rosaceae.org/Prunus/Prunus_persica/p.persica_gdr_reftransV1_0044419","p.persica_gdr_reftransV1_0044419")</f>
        <v>p.persica_gdr_reftransV1_0044419</v>
      </c>
      <c r="B3637" s="3">
        <v>719</v>
      </c>
      <c r="C3637" s="1" t="str">
        <f>HYPERLINK("http://www.uniprot.org/uniprot/AP2L1_ARATH","AP2L1_ARATH")</f>
        <v>AP2L1_ARATH</v>
      </c>
      <c r="D3637" t="s">
        <v>223</v>
      </c>
      <c r="E3637" s="3" t="s">
        <v>3</v>
      </c>
      <c r="F3637" s="4">
        <v>8.2400000000000004E-12</v>
      </c>
      <c r="G3637" s="3">
        <v>163</v>
      </c>
      <c r="H3637" s="3">
        <v>34</v>
      </c>
      <c r="I3637" s="3">
        <v>165</v>
      </c>
      <c r="J3637" s="3">
        <v>39</v>
      </c>
      <c r="K3637" s="3">
        <v>512</v>
      </c>
      <c r="L3637" s="3">
        <v>207</v>
      </c>
      <c r="M3637" s="3">
        <v>342</v>
      </c>
    </row>
    <row r="3638" spans="1:13" x14ac:dyDescent="0.25">
      <c r="A3638" s="1" t="str">
        <f>HYPERLINK("http://www.rosaceae.org/Prunus/Prunus_persica/p.persica_gdr_reftransV1_0044519","p.persica_gdr_reftransV1_0044519")</f>
        <v>p.persica_gdr_reftransV1_0044519</v>
      </c>
      <c r="B3638" s="3">
        <v>2496</v>
      </c>
      <c r="C3638" s="1" t="str">
        <f>HYPERLINK("http://www.uniprot.org/uniprot/INVE_ARATH","INVE_ARATH")</f>
        <v>INVE_ARATH</v>
      </c>
      <c r="D3638" t="s">
        <v>3007</v>
      </c>
      <c r="E3638" s="3" t="s">
        <v>3</v>
      </c>
      <c r="F3638" s="4">
        <v>0</v>
      </c>
      <c r="G3638" s="3">
        <v>2356</v>
      </c>
      <c r="H3638" s="3">
        <v>70</v>
      </c>
      <c r="I3638" s="3">
        <v>652</v>
      </c>
      <c r="J3638" s="3">
        <v>299</v>
      </c>
      <c r="K3638" s="3">
        <v>2251</v>
      </c>
      <c r="L3638" s="3">
        <v>1</v>
      </c>
      <c r="M3638" s="3">
        <v>617</v>
      </c>
    </row>
    <row r="3639" spans="1:13" x14ac:dyDescent="0.25">
      <c r="A3639" s="1" t="str">
        <f>HYPERLINK("http://www.rosaceae.org/Prunus/Prunus_persica/p.persica_gdr_reftransV1_0044619","p.persica_gdr_reftransV1_0044619")</f>
        <v>p.persica_gdr_reftransV1_0044619</v>
      </c>
      <c r="B3639" s="3">
        <v>1806</v>
      </c>
      <c r="C3639" s="1" t="str">
        <f>HYPERLINK("http://www.uniprot.org/uniprot/PPR5_ARATH","PPR5_ARATH")</f>
        <v>PPR5_ARATH</v>
      </c>
      <c r="D3639" t="s">
        <v>3312</v>
      </c>
      <c r="E3639" s="3" t="s">
        <v>3</v>
      </c>
      <c r="F3639" s="4">
        <v>0</v>
      </c>
      <c r="G3639" s="3">
        <v>1453</v>
      </c>
      <c r="H3639" s="3">
        <v>73</v>
      </c>
      <c r="I3639" s="3">
        <v>386</v>
      </c>
      <c r="J3639" s="3">
        <v>2</v>
      </c>
      <c r="K3639" s="3">
        <v>1156</v>
      </c>
      <c r="L3639" s="3">
        <v>104</v>
      </c>
      <c r="M3639" s="3">
        <v>489</v>
      </c>
    </row>
    <row r="3640" spans="1:13" x14ac:dyDescent="0.25">
      <c r="A3640" s="1" t="str">
        <f>HYPERLINK("http://www.rosaceae.org/Prunus/Prunus_persica/p.persica_gdr_reftransV1_0044719","p.persica_gdr_reftransV1_0044719")</f>
        <v>p.persica_gdr_reftransV1_0044719</v>
      </c>
      <c r="B3640" s="3">
        <v>2123</v>
      </c>
      <c r="C3640" s="1" t="str">
        <f>HYPERLINK("http://www.uniprot.org/uniprot/DRB1_ARATH","DRB1_ARATH")</f>
        <v>DRB1_ARATH</v>
      </c>
      <c r="D3640" t="s">
        <v>3313</v>
      </c>
      <c r="E3640" s="3" t="s">
        <v>3</v>
      </c>
      <c r="F3640" s="4">
        <v>1.8799999999999999E-74</v>
      </c>
      <c r="G3640" s="3">
        <v>645</v>
      </c>
      <c r="H3640" s="3">
        <v>66</v>
      </c>
      <c r="I3640" s="3">
        <v>204</v>
      </c>
      <c r="J3640" s="3">
        <v>73</v>
      </c>
      <c r="K3640" s="3">
        <v>684</v>
      </c>
      <c r="L3640" s="3">
        <v>1</v>
      </c>
      <c r="M3640" s="3">
        <v>202</v>
      </c>
    </row>
    <row r="3641" spans="1:13" x14ac:dyDescent="0.25">
      <c r="A3641" s="1" t="str">
        <f>HYPERLINK("http://www.rosaceae.org/Prunus/Prunus_persica/p.persica_gdr_reftransV1_0044869","p.persica_gdr_reftransV1_0044869")</f>
        <v>p.persica_gdr_reftransV1_0044869</v>
      </c>
      <c r="B3641" s="3">
        <v>858</v>
      </c>
      <c r="C3641" s="1" t="str">
        <f>HYPERLINK("http://www.uniprot.org/uniprot/ACPM2_ARATH","ACPM2_ARATH")</f>
        <v>ACPM2_ARATH</v>
      </c>
      <c r="D3641" t="s">
        <v>3314</v>
      </c>
      <c r="E3641" s="3" t="s">
        <v>3</v>
      </c>
      <c r="F3641" s="4">
        <v>2.16E-54</v>
      </c>
      <c r="G3641" s="3">
        <v>453</v>
      </c>
      <c r="H3641" s="3">
        <v>75</v>
      </c>
      <c r="I3641" s="3">
        <v>130</v>
      </c>
      <c r="J3641" s="3">
        <v>146</v>
      </c>
      <c r="K3641" s="3">
        <v>535</v>
      </c>
      <c r="L3641" s="3">
        <v>2</v>
      </c>
      <c r="M3641" s="3">
        <v>126</v>
      </c>
    </row>
    <row r="3642" spans="1:13" x14ac:dyDescent="0.25">
      <c r="A3642" s="1" t="str">
        <f>HYPERLINK("http://www.rosaceae.org/Prunus/Prunus_persica/p.persica_gdr_reftransV1_0044919","p.persica_gdr_reftransV1_0044919")</f>
        <v>p.persica_gdr_reftransV1_0044919</v>
      </c>
      <c r="B3642" s="3">
        <v>998</v>
      </c>
      <c r="C3642" s="1" t="str">
        <f>HYPERLINK("http://www.uniprot.org/uniprot/NIP51_ARATH","NIP51_ARATH")</f>
        <v>NIP51_ARATH</v>
      </c>
      <c r="D3642" t="s">
        <v>3315</v>
      </c>
      <c r="E3642" s="3" t="s">
        <v>3</v>
      </c>
      <c r="F3642" s="4">
        <v>2.9499999999999998E-133</v>
      </c>
      <c r="G3642" s="3">
        <v>998</v>
      </c>
      <c r="H3642" s="3">
        <v>82</v>
      </c>
      <c r="I3642" s="3">
        <v>277</v>
      </c>
      <c r="J3642" s="3">
        <v>119</v>
      </c>
      <c r="K3642" s="3">
        <v>946</v>
      </c>
      <c r="L3642" s="3">
        <v>29</v>
      </c>
      <c r="M3642" s="3">
        <v>304</v>
      </c>
    </row>
    <row r="3643" spans="1:13" x14ac:dyDescent="0.25">
      <c r="A3643" s="1" t="str">
        <f>HYPERLINK("http://www.rosaceae.org/Prunus/Prunus_persica/p.persica_gdr_reftransV1_0044969","p.persica_gdr_reftransV1_0044969")</f>
        <v>p.persica_gdr_reftransV1_0044969</v>
      </c>
      <c r="B3643" s="3">
        <v>1096</v>
      </c>
      <c r="C3643" s="1" t="str">
        <f>HYPERLINK("http://www.uniprot.org/uniprot/QKY_ARATH","QKY_ARATH")</f>
        <v>QKY_ARATH</v>
      </c>
      <c r="D3643" t="s">
        <v>707</v>
      </c>
      <c r="E3643" s="3" t="s">
        <v>3</v>
      </c>
      <c r="F3643" s="4">
        <v>3E-124</v>
      </c>
      <c r="G3643" s="3">
        <v>1001</v>
      </c>
      <c r="H3643" s="3">
        <v>57</v>
      </c>
      <c r="I3643" s="3">
        <v>376</v>
      </c>
      <c r="J3643" s="3">
        <v>19</v>
      </c>
      <c r="K3643" s="3">
        <v>1095</v>
      </c>
      <c r="L3643" s="3">
        <v>483</v>
      </c>
      <c r="M3643" s="3">
        <v>850</v>
      </c>
    </row>
    <row r="3644" spans="1:13" x14ac:dyDescent="0.25">
      <c r="A3644" s="1" t="str">
        <f>HYPERLINK("http://www.rosaceae.org/Prunus/Prunus_persica/p.persica_gdr_reftransV1_0045069","p.persica_gdr_reftransV1_0045069")</f>
        <v>p.persica_gdr_reftransV1_0045069</v>
      </c>
      <c r="B3644" s="3">
        <v>558</v>
      </c>
      <c r="C3644" s="1" t="str">
        <f>HYPERLINK("http://www.uniprot.org/uniprot/CNBL4_ARATH","CNBL4_ARATH")</f>
        <v>CNBL4_ARATH</v>
      </c>
      <c r="D3644" t="s">
        <v>3023</v>
      </c>
      <c r="E3644" s="3" t="s">
        <v>3</v>
      </c>
      <c r="F3644" s="4">
        <v>1.5800000000000001E-62</v>
      </c>
      <c r="G3644" s="3">
        <v>506</v>
      </c>
      <c r="H3644" s="3">
        <v>68</v>
      </c>
      <c r="I3644" s="3">
        <v>161</v>
      </c>
      <c r="J3644" s="3">
        <v>84</v>
      </c>
      <c r="K3644" s="3">
        <v>557</v>
      </c>
      <c r="L3644" s="3">
        <v>3</v>
      </c>
      <c r="M3644" s="3">
        <v>162</v>
      </c>
    </row>
    <row r="3645" spans="1:13" x14ac:dyDescent="0.25">
      <c r="A3645" s="1" t="str">
        <f>HYPERLINK("http://www.rosaceae.org/Prunus/Prunus_persica/p.persica_gdr_reftransV1_0045169","p.persica_gdr_reftransV1_0045169")</f>
        <v>p.persica_gdr_reftransV1_0045169</v>
      </c>
      <c r="B3645" s="3">
        <v>1070</v>
      </c>
      <c r="C3645" s="1" t="str">
        <f>HYPERLINK("http://www.uniprot.org/uniprot/GNA1_ARATH","GNA1_ARATH")</f>
        <v>GNA1_ARATH</v>
      </c>
      <c r="D3645" t="s">
        <v>3316</v>
      </c>
      <c r="E3645" s="3" t="s">
        <v>3</v>
      </c>
      <c r="F3645" s="4">
        <v>2.2899999999999999E-60</v>
      </c>
      <c r="G3645" s="3">
        <v>501</v>
      </c>
      <c r="H3645" s="3">
        <v>64</v>
      </c>
      <c r="I3645" s="3">
        <v>146</v>
      </c>
      <c r="J3645" s="3">
        <v>281</v>
      </c>
      <c r="K3645" s="3">
        <v>718</v>
      </c>
      <c r="L3645" s="3">
        <v>3</v>
      </c>
      <c r="M3645" s="3">
        <v>148</v>
      </c>
    </row>
    <row r="3646" spans="1:13" x14ac:dyDescent="0.25">
      <c r="A3646" s="1" t="str">
        <f>HYPERLINK("http://www.rosaceae.org/Prunus/Prunus_persica/p.persica_gdr_reftransV1_0045219","p.persica_gdr_reftransV1_0045219")</f>
        <v>p.persica_gdr_reftransV1_0045219</v>
      </c>
      <c r="B3646" s="3">
        <v>2590</v>
      </c>
      <c r="C3646" s="1" t="str">
        <f>HYPERLINK("http://www.uniprot.org/uniprot/ANM15_ARATH","ANM15_ARATH")</f>
        <v>ANM15_ARATH</v>
      </c>
      <c r="D3646" t="s">
        <v>3317</v>
      </c>
      <c r="E3646" s="3" t="s">
        <v>3</v>
      </c>
      <c r="F3646" s="4">
        <v>0</v>
      </c>
      <c r="G3646" s="3">
        <v>2654</v>
      </c>
      <c r="H3646" s="3">
        <v>71</v>
      </c>
      <c r="I3646" s="3">
        <v>683</v>
      </c>
      <c r="J3646" s="3">
        <v>82</v>
      </c>
      <c r="K3646" s="3">
        <v>2127</v>
      </c>
      <c r="L3646" s="3">
        <v>1</v>
      </c>
      <c r="M3646" s="3">
        <v>639</v>
      </c>
    </row>
    <row r="3647" spans="1:13" x14ac:dyDescent="0.25">
      <c r="A3647" s="1" t="str">
        <f>HYPERLINK("http://www.rosaceae.org/Prunus/Prunus_persica/p.persica_gdr_reftransV1_0045319","p.persica_gdr_reftransV1_0045319")</f>
        <v>p.persica_gdr_reftransV1_0045319</v>
      </c>
      <c r="B3647" s="3">
        <v>1350</v>
      </c>
      <c r="C3647" s="1" t="str">
        <f>HYPERLINK("http://www.uniprot.org/uniprot/HEM4_ARATH","HEM4_ARATH")</f>
        <v>HEM4_ARATH</v>
      </c>
      <c r="D3647" t="s">
        <v>3279</v>
      </c>
      <c r="E3647" s="3" t="s">
        <v>3</v>
      </c>
      <c r="F3647" s="4">
        <v>5.0900000000000004E-109</v>
      </c>
      <c r="G3647" s="3">
        <v>850</v>
      </c>
      <c r="H3647" s="3">
        <v>69</v>
      </c>
      <c r="I3647" s="3">
        <v>247</v>
      </c>
      <c r="J3647" s="3">
        <v>150</v>
      </c>
      <c r="K3647" s="3">
        <v>890</v>
      </c>
      <c r="L3647" s="3">
        <v>65</v>
      </c>
      <c r="M3647" s="3">
        <v>311</v>
      </c>
    </row>
    <row r="3648" spans="1:13" x14ac:dyDescent="0.25">
      <c r="A3648" s="1" t="str">
        <f>HYPERLINK("http://www.rosaceae.org/Prunus/Prunus_persica/p.persica_gdr_reftransV1_0045369","p.persica_gdr_reftransV1_0045369")</f>
        <v>p.persica_gdr_reftransV1_0045369</v>
      </c>
      <c r="B3648" s="3">
        <v>448</v>
      </c>
      <c r="C3648" s="1" t="str">
        <f>HYPERLINK("http://www.uniprot.org/uniprot/RLM1B_ARATH","RLM1B_ARATH")</f>
        <v>RLM1B_ARATH</v>
      </c>
      <c r="D3648" t="s">
        <v>3318</v>
      </c>
      <c r="E3648" s="3" t="s">
        <v>3</v>
      </c>
      <c r="F3648" s="4">
        <v>1.8599999999999999E-29</v>
      </c>
      <c r="G3648" s="3">
        <v>295</v>
      </c>
      <c r="H3648" s="3">
        <v>39</v>
      </c>
      <c r="I3648" s="3">
        <v>147</v>
      </c>
      <c r="J3648" s="3">
        <v>6</v>
      </c>
      <c r="K3648" s="3">
        <v>446</v>
      </c>
      <c r="L3648" s="3">
        <v>284</v>
      </c>
      <c r="M3648" s="3">
        <v>430</v>
      </c>
    </row>
    <row r="3649" spans="1:13" x14ac:dyDescent="0.25">
      <c r="A3649" s="1" t="str">
        <f>HYPERLINK("http://www.rosaceae.org/Prunus/Prunus_persica/p.persica_gdr_reftransV1_0045519","p.persica_gdr_reftransV1_0045519")</f>
        <v>p.persica_gdr_reftransV1_0045519</v>
      </c>
      <c r="B3649" s="3">
        <v>910</v>
      </c>
      <c r="C3649" s="1" t="str">
        <f>HYPERLINK("http://www.uniprot.org/uniprot/RL172_ARATH","RL172_ARATH")</f>
        <v>RL172_ARATH</v>
      </c>
      <c r="D3649" t="s">
        <v>3319</v>
      </c>
      <c r="E3649" s="3" t="s">
        <v>3</v>
      </c>
      <c r="F3649" s="4">
        <v>4.8099999999999998E-102</v>
      </c>
      <c r="G3649" s="3">
        <v>776</v>
      </c>
      <c r="H3649" s="3">
        <v>89</v>
      </c>
      <c r="I3649" s="3">
        <v>176</v>
      </c>
      <c r="J3649" s="3">
        <v>307</v>
      </c>
      <c r="K3649" s="3">
        <v>834</v>
      </c>
      <c r="L3649" s="3">
        <v>1</v>
      </c>
      <c r="M3649" s="3">
        <v>175</v>
      </c>
    </row>
    <row r="3650" spans="1:13" x14ac:dyDescent="0.25">
      <c r="A3650" s="1" t="str">
        <f>HYPERLINK("http://www.rosaceae.org/Prunus/Prunus_persica/p.persica_gdr_reftransV1_0045619","p.persica_gdr_reftransV1_0045619")</f>
        <v>p.persica_gdr_reftransV1_0045619</v>
      </c>
      <c r="B3650" s="3">
        <v>1744</v>
      </c>
      <c r="C3650" s="1" t="str">
        <f>HYPERLINK("http://www.uniprot.org/uniprot/DRG2_ARATH","DRG2_ARATH")</f>
        <v>DRG2_ARATH</v>
      </c>
      <c r="D3650" t="s">
        <v>3320</v>
      </c>
      <c r="E3650" s="3" t="s">
        <v>3</v>
      </c>
      <c r="F3650" s="4">
        <v>0</v>
      </c>
      <c r="G3650" s="3">
        <v>1825</v>
      </c>
      <c r="H3650" s="3">
        <v>89</v>
      </c>
      <c r="I3650" s="3">
        <v>399</v>
      </c>
      <c r="J3650" s="3">
        <v>428</v>
      </c>
      <c r="K3650" s="3">
        <v>1624</v>
      </c>
      <c r="L3650" s="3">
        <v>1</v>
      </c>
      <c r="M3650" s="3">
        <v>399</v>
      </c>
    </row>
    <row r="3651" spans="1:13" x14ac:dyDescent="0.25">
      <c r="A3651" s="1" t="str">
        <f>HYPERLINK("http://www.rosaceae.org/Prunus/Prunus_persica/p.persica_gdr_reftransV1_0045669","p.persica_gdr_reftransV1_0045669")</f>
        <v>p.persica_gdr_reftransV1_0045669</v>
      </c>
      <c r="B3651" s="3">
        <v>1277</v>
      </c>
      <c r="C3651" s="1" t="str">
        <f>HYPERLINK("http://www.uniprot.org/uniprot/PIP27_ARATH","PIP27_ARATH")</f>
        <v>PIP27_ARATH</v>
      </c>
      <c r="D3651" t="s">
        <v>3321</v>
      </c>
      <c r="E3651" s="3" t="s">
        <v>3</v>
      </c>
      <c r="F3651" s="4">
        <v>2.78E-178</v>
      </c>
      <c r="G3651" s="3">
        <v>1302</v>
      </c>
      <c r="H3651" s="3">
        <v>88</v>
      </c>
      <c r="I3651" s="3">
        <v>281</v>
      </c>
      <c r="J3651" s="3">
        <v>159</v>
      </c>
      <c r="K3651" s="3">
        <v>1001</v>
      </c>
      <c r="L3651" s="3">
        <v>1</v>
      </c>
      <c r="M3651" s="3">
        <v>280</v>
      </c>
    </row>
    <row r="3652" spans="1:13" x14ac:dyDescent="0.25">
      <c r="A3652" s="1" t="str">
        <f>HYPERLINK("http://www.rosaceae.org/Prunus/Prunus_persica/p.persica_gdr_reftransV1_0045719","p.persica_gdr_reftransV1_0045719")</f>
        <v>p.persica_gdr_reftransV1_0045719</v>
      </c>
      <c r="B3652" s="3">
        <v>1227</v>
      </c>
      <c r="C3652" s="1" t="str">
        <f>HYPERLINK("http://www.uniprot.org/uniprot/VA721_ARATH","VA721_ARATH")</f>
        <v>VA721_ARATH</v>
      </c>
      <c r="D3652" t="s">
        <v>380</v>
      </c>
      <c r="E3652" s="3" t="s">
        <v>3</v>
      </c>
      <c r="F3652" s="4">
        <v>6.2499999999999999E-123</v>
      </c>
      <c r="G3652" s="3">
        <v>929</v>
      </c>
      <c r="H3652" s="3">
        <v>82</v>
      </c>
      <c r="I3652" s="3">
        <v>219</v>
      </c>
      <c r="J3652" s="3">
        <v>327</v>
      </c>
      <c r="K3652" s="3">
        <v>983</v>
      </c>
      <c r="L3652" s="3">
        <v>1</v>
      </c>
      <c r="M3652" s="3">
        <v>219</v>
      </c>
    </row>
    <row r="3653" spans="1:13" x14ac:dyDescent="0.25">
      <c r="A3653" s="1" t="str">
        <f>HYPERLINK("http://www.rosaceae.org/Prunus/Prunus_persica/p.persica_gdr_reftransV1_0045769","p.persica_gdr_reftransV1_0045769")</f>
        <v>p.persica_gdr_reftransV1_0045769</v>
      </c>
      <c r="B3653" s="3">
        <v>1257</v>
      </c>
      <c r="C3653" s="1" t="str">
        <f>HYPERLINK("http://www.uniprot.org/uniprot/SPF31_SCHPO","SPF31_SCHPO")</f>
        <v>SPF31_SCHPO</v>
      </c>
      <c r="D3653" t="s">
        <v>1925</v>
      </c>
      <c r="E3653" s="3" t="s">
        <v>464</v>
      </c>
      <c r="F3653" s="4">
        <v>7.4499999999999998E-14</v>
      </c>
      <c r="G3653" s="3">
        <v>180</v>
      </c>
      <c r="H3653" s="3">
        <v>33</v>
      </c>
      <c r="I3653" s="3">
        <v>194</v>
      </c>
      <c r="J3653" s="3">
        <v>466</v>
      </c>
      <c r="K3653" s="3">
        <v>1041</v>
      </c>
      <c r="L3653" s="3">
        <v>15</v>
      </c>
      <c r="M3653" s="3">
        <v>190</v>
      </c>
    </row>
    <row r="3654" spans="1:13" x14ac:dyDescent="0.25">
      <c r="A3654" s="1" t="str">
        <f>HYPERLINK("http://www.rosaceae.org/Prunus/Prunus_persica/p.persica_gdr_reftransV1_0045919","p.persica_gdr_reftransV1_0045919")</f>
        <v>p.persica_gdr_reftransV1_0045919</v>
      </c>
      <c r="B3654" s="3">
        <v>1301</v>
      </c>
      <c r="C3654" s="1" t="str">
        <f>HYPERLINK("http://www.uniprot.org/uniprot/C86A2_ARATH","C86A2_ARATH")</f>
        <v>C86A2_ARATH</v>
      </c>
      <c r="D3654" t="s">
        <v>3322</v>
      </c>
      <c r="E3654" s="3" t="s">
        <v>3</v>
      </c>
      <c r="F3654" s="4">
        <v>1.56E-161</v>
      </c>
      <c r="G3654" s="3">
        <v>1220</v>
      </c>
      <c r="H3654" s="3">
        <v>75</v>
      </c>
      <c r="I3654" s="3">
        <v>321</v>
      </c>
      <c r="J3654" s="3">
        <v>3</v>
      </c>
      <c r="K3654" s="3">
        <v>947</v>
      </c>
      <c r="L3654" s="3">
        <v>208</v>
      </c>
      <c r="M3654" s="3">
        <v>528</v>
      </c>
    </row>
    <row r="3655" spans="1:13" x14ac:dyDescent="0.25">
      <c r="A3655" s="1" t="str">
        <f>HYPERLINK("http://www.rosaceae.org/Prunus/Prunus_persica/p.persica_gdr_reftransV1_0046019","p.persica_gdr_reftransV1_0046019")</f>
        <v>p.persica_gdr_reftransV1_0046019</v>
      </c>
      <c r="B3655" s="3">
        <v>2358</v>
      </c>
      <c r="C3655" s="1" t="str">
        <f>HYPERLINK("http://www.uniprot.org/uniprot/CDC45_SCHPO","CDC45_SCHPO")</f>
        <v>CDC45_SCHPO</v>
      </c>
      <c r="D3655" t="s">
        <v>3323</v>
      </c>
      <c r="E3655" s="3" t="s">
        <v>464</v>
      </c>
      <c r="F3655" s="4">
        <v>2.7199999999999999E-64</v>
      </c>
      <c r="G3655" s="3">
        <v>591</v>
      </c>
      <c r="H3655" s="3">
        <v>27</v>
      </c>
      <c r="I3655" s="3">
        <v>648</v>
      </c>
      <c r="J3655" s="3">
        <v>154</v>
      </c>
      <c r="K3655" s="3">
        <v>1947</v>
      </c>
      <c r="L3655" s="3">
        <v>1</v>
      </c>
      <c r="M3655" s="3">
        <v>633</v>
      </c>
    </row>
    <row r="3656" spans="1:13" x14ac:dyDescent="0.25">
      <c r="A3656" s="1" t="str">
        <f>HYPERLINK("http://www.rosaceae.org/Prunus/Prunus_persica/p.persica_gdr_reftransV1_0046069","p.persica_gdr_reftransV1_0046069")</f>
        <v>p.persica_gdr_reftransV1_0046069</v>
      </c>
      <c r="B3656" s="3">
        <v>3857</v>
      </c>
      <c r="C3656" s="1" t="str">
        <f>HYPERLINK("http://www.uniprot.org/uniprot/AB3F_ARATH","AB3F_ARATH")</f>
        <v>AB3F_ARATH</v>
      </c>
      <c r="D3656" t="s">
        <v>3324</v>
      </c>
      <c r="E3656" s="3" t="s">
        <v>3</v>
      </c>
      <c r="F3656" s="4">
        <v>0</v>
      </c>
      <c r="G3656" s="3">
        <v>2971</v>
      </c>
      <c r="H3656" s="3">
        <v>83</v>
      </c>
      <c r="I3656" s="3">
        <v>711</v>
      </c>
      <c r="J3656" s="3">
        <v>1559</v>
      </c>
      <c r="K3656" s="3">
        <v>3685</v>
      </c>
      <c r="L3656" s="3">
        <v>4</v>
      </c>
      <c r="M3656" s="3">
        <v>714</v>
      </c>
    </row>
    <row r="3657" spans="1:13" x14ac:dyDescent="0.25">
      <c r="A3657" s="1" t="str">
        <f>HYPERLINK("http://www.rosaceae.org/Prunus/Prunus_persica/p.persica_gdr_reftransV1_0046169","p.persica_gdr_reftransV1_0046169")</f>
        <v>p.persica_gdr_reftransV1_0046169</v>
      </c>
      <c r="B3657" s="3">
        <v>2154</v>
      </c>
      <c r="C3657" s="1" t="str">
        <f>HYPERLINK("http://www.uniprot.org/uniprot/HMDH1_HEVBR","HMDH1_HEVBR")</f>
        <v>HMDH1_HEVBR</v>
      </c>
      <c r="D3657" t="s">
        <v>3325</v>
      </c>
      <c r="E3657" s="3" t="s">
        <v>24</v>
      </c>
      <c r="F3657" s="4">
        <v>0</v>
      </c>
      <c r="G3657" s="3">
        <v>2008</v>
      </c>
      <c r="H3657" s="3">
        <v>72</v>
      </c>
      <c r="I3657" s="3">
        <v>552</v>
      </c>
      <c r="J3657" s="3">
        <v>139</v>
      </c>
      <c r="K3657" s="3">
        <v>1722</v>
      </c>
      <c r="L3657" s="3">
        <v>24</v>
      </c>
      <c r="M3657" s="3">
        <v>575</v>
      </c>
    </row>
    <row r="3658" spans="1:13" x14ac:dyDescent="0.25">
      <c r="A3658" s="1" t="str">
        <f>HYPERLINK("http://www.rosaceae.org/Prunus/Prunus_persica/p.persica_gdr_reftransV1_0046369","p.persica_gdr_reftransV1_0046369")</f>
        <v>p.persica_gdr_reftransV1_0046369</v>
      </c>
      <c r="B3658" s="3">
        <v>1119</v>
      </c>
      <c r="C3658" s="1" t="str">
        <f>HYPERLINK("http://www.uniprot.org/uniprot/PPCK1_ARATH","PPCK1_ARATH")</f>
        <v>PPCK1_ARATH</v>
      </c>
      <c r="D3658" t="s">
        <v>1724</v>
      </c>
      <c r="E3658" s="3" t="s">
        <v>3</v>
      </c>
      <c r="F3658" s="4">
        <v>1.62E-99</v>
      </c>
      <c r="G3658" s="3">
        <v>776</v>
      </c>
      <c r="H3658" s="3">
        <v>59</v>
      </c>
      <c r="I3658" s="3">
        <v>261</v>
      </c>
      <c r="J3658" s="3">
        <v>52</v>
      </c>
      <c r="K3658" s="3">
        <v>819</v>
      </c>
      <c r="L3658" s="3">
        <v>15</v>
      </c>
      <c r="M3658" s="3">
        <v>273</v>
      </c>
    </row>
    <row r="3659" spans="1:13" x14ac:dyDescent="0.25">
      <c r="A3659" s="1" t="str">
        <f>HYPERLINK("http://www.rosaceae.org/Prunus/Prunus_persica/p.persica_gdr_reftransV1_0046469","p.persica_gdr_reftransV1_0046469")</f>
        <v>p.persica_gdr_reftransV1_0046469</v>
      </c>
      <c r="B3659" s="3">
        <v>1299</v>
      </c>
      <c r="C3659" s="1" t="str">
        <f>HYPERLINK("http://www.uniprot.org/uniprot/SOC1_ARATH","SOC1_ARATH")</f>
        <v>SOC1_ARATH</v>
      </c>
      <c r="D3659" t="s">
        <v>867</v>
      </c>
      <c r="E3659" s="3" t="s">
        <v>3</v>
      </c>
      <c r="F3659" s="4">
        <v>1.21E-80</v>
      </c>
      <c r="G3659" s="3">
        <v>649</v>
      </c>
      <c r="H3659" s="3">
        <v>72</v>
      </c>
      <c r="I3659" s="3">
        <v>211</v>
      </c>
      <c r="J3659" s="3">
        <v>386</v>
      </c>
      <c r="K3659" s="3">
        <v>1012</v>
      </c>
      <c r="L3659" s="3">
        <v>1</v>
      </c>
      <c r="M3659" s="3">
        <v>209</v>
      </c>
    </row>
    <row r="3660" spans="1:13" x14ac:dyDescent="0.25">
      <c r="A3660" s="1" t="str">
        <f>HYPERLINK("http://www.rosaceae.org/Prunus/Prunus_persica/p.persica_gdr_reftransV1_0046519","p.persica_gdr_reftransV1_0046519")</f>
        <v>p.persica_gdr_reftransV1_0046519</v>
      </c>
      <c r="B3660" s="3">
        <v>1661</v>
      </c>
      <c r="C3660" s="1" t="str">
        <f>HYPERLINK("http://www.uniprot.org/uniprot/MTP11_ARATH","MTP11_ARATH")</f>
        <v>MTP11_ARATH</v>
      </c>
      <c r="D3660" t="s">
        <v>3326</v>
      </c>
      <c r="E3660" s="3" t="s">
        <v>3</v>
      </c>
      <c r="F3660" s="4">
        <v>0</v>
      </c>
      <c r="G3660" s="3">
        <v>1612</v>
      </c>
      <c r="H3660" s="3">
        <v>85</v>
      </c>
      <c r="I3660" s="3">
        <v>393</v>
      </c>
      <c r="J3660" s="3">
        <v>324</v>
      </c>
      <c r="K3660" s="3">
        <v>1502</v>
      </c>
      <c r="L3660" s="3">
        <v>1</v>
      </c>
      <c r="M3660" s="3">
        <v>393</v>
      </c>
    </row>
    <row r="3661" spans="1:13" x14ac:dyDescent="0.25">
      <c r="A3661" s="1" t="str">
        <f>HYPERLINK("http://www.rosaceae.org/Prunus/Prunus_persica/p.persica_gdr_reftransV1_0046569","p.persica_gdr_reftransV1_0046569")</f>
        <v>p.persica_gdr_reftransV1_0046569</v>
      </c>
      <c r="B3661" s="3">
        <v>1459</v>
      </c>
      <c r="C3661" s="1" t="str">
        <f>HYPERLINK("http://www.uniprot.org/uniprot/POK2_ARATH","POK2_ARATH")</f>
        <v>POK2_ARATH</v>
      </c>
      <c r="D3661" t="s">
        <v>3327</v>
      </c>
      <c r="E3661" s="3" t="s">
        <v>3</v>
      </c>
      <c r="F3661" s="4">
        <v>9.6700000000000006E-118</v>
      </c>
      <c r="G3661" s="3">
        <v>996</v>
      </c>
      <c r="H3661" s="3">
        <v>56</v>
      </c>
      <c r="I3661" s="3">
        <v>433</v>
      </c>
      <c r="J3661" s="3">
        <v>164</v>
      </c>
      <c r="K3661" s="3">
        <v>1459</v>
      </c>
      <c r="L3661" s="3">
        <v>2343</v>
      </c>
      <c r="M3661" s="3">
        <v>2771</v>
      </c>
    </row>
    <row r="3662" spans="1:13" x14ac:dyDescent="0.25">
      <c r="A3662" s="1" t="str">
        <f>HYPERLINK("http://www.rosaceae.org/Prunus/Prunus_persica/p.persica_gdr_reftransV1_0046619","p.persica_gdr_reftransV1_0046619")</f>
        <v>p.persica_gdr_reftransV1_0046619</v>
      </c>
      <c r="B3662" s="3">
        <v>665</v>
      </c>
      <c r="C3662" s="1" t="str">
        <f>HYPERLINK("http://www.uniprot.org/uniprot/SCC3_ARATH","SCC3_ARATH")</f>
        <v>SCC3_ARATH</v>
      </c>
      <c r="D3662" t="s">
        <v>3328</v>
      </c>
      <c r="E3662" s="3" t="s">
        <v>3</v>
      </c>
      <c r="F3662" s="4">
        <v>8.6300000000000002E-9</v>
      </c>
      <c r="G3662" s="3">
        <v>140</v>
      </c>
      <c r="H3662" s="3">
        <v>58</v>
      </c>
      <c r="I3662" s="3">
        <v>45</v>
      </c>
      <c r="J3662" s="3">
        <v>531</v>
      </c>
      <c r="K3662" s="3">
        <v>665</v>
      </c>
      <c r="L3662" s="3">
        <v>987</v>
      </c>
      <c r="M3662" s="3">
        <v>1031</v>
      </c>
    </row>
    <row r="3663" spans="1:13" x14ac:dyDescent="0.25">
      <c r="A3663" s="1" t="str">
        <f>HYPERLINK("http://www.rosaceae.org/Prunus/Prunus_persica/p.persica_gdr_reftransV1_0046719","p.persica_gdr_reftransV1_0046719")</f>
        <v>p.persica_gdr_reftransV1_0046719</v>
      </c>
      <c r="B3663" s="3">
        <v>699</v>
      </c>
      <c r="C3663" s="1" t="str">
        <f>HYPERLINK("http://www.uniprot.org/uniprot/PLA1_PLAAC","PLA1_PLAAC")</f>
        <v>PLA1_PLAAC</v>
      </c>
      <c r="D3663" t="s">
        <v>3329</v>
      </c>
      <c r="E3663" s="3" t="s">
        <v>3330</v>
      </c>
      <c r="F3663" s="4">
        <v>1.34E-31</v>
      </c>
      <c r="G3663" s="3">
        <v>299</v>
      </c>
      <c r="H3663" s="3">
        <v>39</v>
      </c>
      <c r="I3663" s="3">
        <v>159</v>
      </c>
      <c r="J3663" s="3">
        <v>117</v>
      </c>
      <c r="K3663" s="3">
        <v>593</v>
      </c>
      <c r="L3663" s="3">
        <v>20</v>
      </c>
      <c r="M3663" s="3">
        <v>177</v>
      </c>
    </row>
    <row r="3664" spans="1:13" x14ac:dyDescent="0.25">
      <c r="A3664" s="1" t="str">
        <f>HYPERLINK("http://www.rosaceae.org/Prunus/Prunus_persica/p.persica_gdr_reftransV1_0046769","p.persica_gdr_reftransV1_0046769")</f>
        <v>p.persica_gdr_reftransV1_0046769</v>
      </c>
      <c r="B3664" s="3">
        <v>679</v>
      </c>
      <c r="C3664" s="1" t="str">
        <f>HYPERLINK("http://www.uniprot.org/uniprot/MPC4_ARATH","MPC4_ARATH")</f>
        <v>MPC4_ARATH</v>
      </c>
      <c r="D3664" t="s">
        <v>3331</v>
      </c>
      <c r="E3664" s="3" t="s">
        <v>3</v>
      </c>
      <c r="F3664" s="4">
        <v>4.9300000000000001E-57</v>
      </c>
      <c r="G3664" s="3">
        <v>463</v>
      </c>
      <c r="H3664" s="3">
        <v>85</v>
      </c>
      <c r="I3664" s="3">
        <v>96</v>
      </c>
      <c r="J3664" s="3">
        <v>2</v>
      </c>
      <c r="K3664" s="3">
        <v>289</v>
      </c>
      <c r="L3664" s="3">
        <v>2</v>
      </c>
      <c r="M3664" s="3">
        <v>97</v>
      </c>
    </row>
    <row r="3665" spans="1:13" x14ac:dyDescent="0.25">
      <c r="A3665" s="1" t="str">
        <f>HYPERLINK("http://www.rosaceae.org/Prunus/Prunus_persica/p.persica_gdr_reftransV1_0046819","p.persica_gdr_reftransV1_0046819")</f>
        <v>p.persica_gdr_reftransV1_0046819</v>
      </c>
      <c r="B3665" s="3">
        <v>1667</v>
      </c>
      <c r="C3665" s="1" t="str">
        <f>HYPERLINK("http://www.uniprot.org/uniprot/K0930_XENLA","K0930_XENLA")</f>
        <v>K0930_XENLA</v>
      </c>
      <c r="D3665" t="s">
        <v>3332</v>
      </c>
      <c r="E3665" s="3" t="s">
        <v>475</v>
      </c>
      <c r="F3665" s="4">
        <v>1.7E-14</v>
      </c>
      <c r="G3665" s="3">
        <v>194</v>
      </c>
      <c r="H3665" s="3">
        <v>26</v>
      </c>
      <c r="I3665" s="3">
        <v>292</v>
      </c>
      <c r="J3665" s="3">
        <v>292</v>
      </c>
      <c r="K3665" s="3">
        <v>1119</v>
      </c>
      <c r="L3665" s="3">
        <v>31</v>
      </c>
      <c r="M3665" s="3">
        <v>276</v>
      </c>
    </row>
    <row r="3666" spans="1:13" x14ac:dyDescent="0.25">
      <c r="A3666" s="1" t="str">
        <f>HYPERLINK("http://www.rosaceae.org/Prunus/Prunus_persica/p.persica_gdr_reftransV1_0046869","p.persica_gdr_reftransV1_0046869")</f>
        <v>p.persica_gdr_reftransV1_0046869</v>
      </c>
      <c r="B3666" s="3">
        <v>463</v>
      </c>
      <c r="C3666" s="1" t="str">
        <f>HYPERLINK("http://www.uniprot.org/uniprot/WAKLG_ARATH","WAKLG_ARATH")</f>
        <v>WAKLG_ARATH</v>
      </c>
      <c r="D3666" t="s">
        <v>754</v>
      </c>
      <c r="E3666" s="3" t="s">
        <v>3</v>
      </c>
      <c r="F3666" s="4">
        <v>7.5199999999999999E-16</v>
      </c>
      <c r="G3666" s="3">
        <v>192</v>
      </c>
      <c r="H3666" s="3">
        <v>38</v>
      </c>
      <c r="I3666" s="3">
        <v>120</v>
      </c>
      <c r="J3666" s="3">
        <v>1</v>
      </c>
      <c r="K3666" s="3">
        <v>357</v>
      </c>
      <c r="L3666" s="3">
        <v>602</v>
      </c>
      <c r="M3666" s="3">
        <v>719</v>
      </c>
    </row>
    <row r="3667" spans="1:13" x14ac:dyDescent="0.25">
      <c r="A3667" s="1" t="str">
        <f>HYPERLINK("http://www.rosaceae.org/Prunus/Prunus_persica/p.persica_gdr_reftransV1_0046919","p.persica_gdr_reftransV1_0046919")</f>
        <v>p.persica_gdr_reftransV1_0046919</v>
      </c>
      <c r="B3667" s="3">
        <v>880</v>
      </c>
      <c r="C3667" s="1" t="str">
        <f>HYPERLINK("http://www.uniprot.org/uniprot/H2B1_MEDTR","H2B1_MEDTR")</f>
        <v>H2B1_MEDTR</v>
      </c>
      <c r="D3667" t="s">
        <v>3333</v>
      </c>
      <c r="E3667" s="3" t="s">
        <v>91</v>
      </c>
      <c r="F3667" s="4">
        <v>1.05E-57</v>
      </c>
      <c r="G3667" s="3">
        <v>478</v>
      </c>
      <c r="H3667" s="3">
        <v>100</v>
      </c>
      <c r="I3667" s="3">
        <v>91</v>
      </c>
      <c r="J3667" s="3">
        <v>354</v>
      </c>
      <c r="K3667" s="3">
        <v>626</v>
      </c>
      <c r="L3667" s="3">
        <v>58</v>
      </c>
      <c r="M3667" s="3">
        <v>148</v>
      </c>
    </row>
    <row r="3668" spans="1:13" x14ac:dyDescent="0.25">
      <c r="A3668" s="1" t="str">
        <f>HYPERLINK("http://www.rosaceae.org/Prunus/Prunus_persica/p.persica_gdr_reftransV1_0047019","p.persica_gdr_reftransV1_0047019")</f>
        <v>p.persica_gdr_reftransV1_0047019</v>
      </c>
      <c r="B3668" s="3">
        <v>673</v>
      </c>
      <c r="C3668" s="1" t="str">
        <f>HYPERLINK("http://www.uniprot.org/uniprot/WRK16_ARATH","WRK16_ARATH")</f>
        <v>WRK16_ARATH</v>
      </c>
      <c r="D3668" t="s">
        <v>2508</v>
      </c>
      <c r="E3668" s="3" t="s">
        <v>3</v>
      </c>
      <c r="F3668" s="4">
        <v>1.0200000000000001E-16</v>
      </c>
      <c r="G3668" s="3">
        <v>205</v>
      </c>
      <c r="H3668" s="3">
        <v>30</v>
      </c>
      <c r="I3668" s="3">
        <v>232</v>
      </c>
      <c r="J3668" s="3">
        <v>5</v>
      </c>
      <c r="K3668" s="3">
        <v>673</v>
      </c>
      <c r="L3668" s="3">
        <v>372</v>
      </c>
      <c r="M3668" s="3">
        <v>560</v>
      </c>
    </row>
    <row r="3669" spans="1:13" x14ac:dyDescent="0.25">
      <c r="A3669" s="1" t="str">
        <f>HYPERLINK("http://www.rosaceae.org/Prunus/Prunus_persica/p.persica_gdr_reftransV1_0047119","p.persica_gdr_reftransV1_0047119")</f>
        <v>p.persica_gdr_reftransV1_0047119</v>
      </c>
      <c r="B3669" s="3">
        <v>1380</v>
      </c>
      <c r="C3669" s="1" t="str">
        <f>HYPERLINK("http://www.uniprot.org/uniprot/GLUA2_ORYSJ","GLUA2_ORYSJ")</f>
        <v>GLUA2_ORYSJ</v>
      </c>
      <c r="D3669" t="s">
        <v>3334</v>
      </c>
      <c r="E3669" s="3" t="s">
        <v>38</v>
      </c>
      <c r="F3669" s="4">
        <v>1.6499999999999999E-24</v>
      </c>
      <c r="G3669" s="3">
        <v>272</v>
      </c>
      <c r="H3669" s="3">
        <v>25</v>
      </c>
      <c r="I3669" s="3">
        <v>403</v>
      </c>
      <c r="J3669" s="3">
        <v>228</v>
      </c>
      <c r="K3669" s="3">
        <v>1178</v>
      </c>
      <c r="L3669" s="3">
        <v>82</v>
      </c>
      <c r="M3669" s="3">
        <v>483</v>
      </c>
    </row>
    <row r="3670" spans="1:13" x14ac:dyDescent="0.25">
      <c r="A3670" s="1" t="str">
        <f>HYPERLINK("http://www.rosaceae.org/Prunus/Prunus_persica/p.persica_gdr_reftransV1_0047219","p.persica_gdr_reftransV1_0047219")</f>
        <v>p.persica_gdr_reftransV1_0047219</v>
      </c>
      <c r="B3670" s="3">
        <v>624</v>
      </c>
      <c r="C3670" s="1" t="str">
        <f>HYPERLINK("http://www.uniprot.org/uniprot/CD2B2_MOUSE","CD2B2_MOUSE")</f>
        <v>CD2B2_MOUSE</v>
      </c>
      <c r="D3670" t="s">
        <v>3335</v>
      </c>
      <c r="E3670" s="3" t="s">
        <v>157</v>
      </c>
      <c r="F3670" s="4">
        <v>8.3699999999999999E-7</v>
      </c>
      <c r="G3670" s="3">
        <v>123</v>
      </c>
      <c r="H3670" s="3">
        <v>46</v>
      </c>
      <c r="I3670" s="3">
        <v>56</v>
      </c>
      <c r="J3670" s="3">
        <v>373</v>
      </c>
      <c r="K3670" s="3">
        <v>537</v>
      </c>
      <c r="L3670" s="3">
        <v>71</v>
      </c>
      <c r="M3670" s="3">
        <v>123</v>
      </c>
    </row>
    <row r="3671" spans="1:13" x14ac:dyDescent="0.25">
      <c r="A3671" s="1" t="str">
        <f>HYPERLINK("http://www.rosaceae.org/Prunus/Prunus_persica/p.persica_gdr_reftransV1_0047319","p.persica_gdr_reftransV1_0047319")</f>
        <v>p.persica_gdr_reftransV1_0047319</v>
      </c>
      <c r="B3671" s="3">
        <v>1908</v>
      </c>
      <c r="C3671" s="1" t="str">
        <f>HYPERLINK("http://www.uniprot.org/uniprot/LCYE_ARATH","LCYE_ARATH")</f>
        <v>LCYE_ARATH</v>
      </c>
      <c r="D3671" t="s">
        <v>3336</v>
      </c>
      <c r="E3671" s="3" t="s">
        <v>3</v>
      </c>
      <c r="F3671" s="4">
        <v>0</v>
      </c>
      <c r="G3671" s="3">
        <v>1208</v>
      </c>
      <c r="H3671" s="3">
        <v>81</v>
      </c>
      <c r="I3671" s="3">
        <v>287</v>
      </c>
      <c r="J3671" s="3">
        <v>843</v>
      </c>
      <c r="K3671" s="3">
        <v>1703</v>
      </c>
      <c r="L3671" s="3">
        <v>244</v>
      </c>
      <c r="M3671" s="3">
        <v>524</v>
      </c>
    </row>
    <row r="3672" spans="1:13" x14ac:dyDescent="0.25">
      <c r="A3672" s="1" t="str">
        <f>HYPERLINK("http://www.rosaceae.org/Prunus/Prunus_persica/p.persica_gdr_reftransV1_0047419","p.persica_gdr_reftransV1_0047419")</f>
        <v>p.persica_gdr_reftransV1_0047419</v>
      </c>
      <c r="B3672" s="3">
        <v>715</v>
      </c>
      <c r="C3672" s="1" t="str">
        <f>HYPERLINK("http://www.uniprot.org/uniprot/RL23A_FRIAG","RL23A_FRIAG")</f>
        <v>RL23A_FRIAG</v>
      </c>
      <c r="D3672" t="s">
        <v>3337</v>
      </c>
      <c r="E3672" s="3" t="s">
        <v>3338</v>
      </c>
      <c r="F3672" s="4">
        <v>3.7400000000000001E-64</v>
      </c>
      <c r="G3672" s="3">
        <v>516</v>
      </c>
      <c r="H3672" s="3">
        <v>95</v>
      </c>
      <c r="I3672" s="3">
        <v>124</v>
      </c>
      <c r="J3672" s="3">
        <v>276</v>
      </c>
      <c r="K3672" s="3">
        <v>647</v>
      </c>
      <c r="L3672" s="3">
        <v>31</v>
      </c>
      <c r="M3672" s="3">
        <v>154</v>
      </c>
    </row>
    <row r="3673" spans="1:13" x14ac:dyDescent="0.25">
      <c r="A3673" s="1" t="str">
        <f>HYPERLINK("http://www.rosaceae.org/Prunus/Prunus_persica/p.persica_gdr_reftransV1_0047469","p.persica_gdr_reftransV1_0047469")</f>
        <v>p.persica_gdr_reftransV1_0047469</v>
      </c>
      <c r="B3673" s="3">
        <v>331</v>
      </c>
      <c r="C3673" s="1" t="str">
        <f>HYPERLINK("http://www.uniprot.org/uniprot/RL7A_ORYSJ","RL7A_ORYSJ")</f>
        <v>RL7A_ORYSJ</v>
      </c>
      <c r="D3673" t="s">
        <v>3339</v>
      </c>
      <c r="E3673" s="3" t="s">
        <v>38</v>
      </c>
      <c r="F3673" s="4">
        <v>2.5999999999999997E-32</v>
      </c>
      <c r="G3673" s="3">
        <v>298</v>
      </c>
      <c r="H3673" s="3">
        <v>80</v>
      </c>
      <c r="I3673" s="3">
        <v>93</v>
      </c>
      <c r="J3673" s="3">
        <v>50</v>
      </c>
      <c r="K3673" s="3">
        <v>328</v>
      </c>
      <c r="L3673" s="3">
        <v>1</v>
      </c>
      <c r="M3673" s="3">
        <v>93</v>
      </c>
    </row>
    <row r="3674" spans="1:13" x14ac:dyDescent="0.25">
      <c r="A3674" s="1" t="str">
        <f>HYPERLINK("http://www.rosaceae.org/Prunus/Prunus_persica/p.persica_gdr_reftransV1_0047569","p.persica_gdr_reftransV1_0047569")</f>
        <v>p.persica_gdr_reftransV1_0047569</v>
      </c>
      <c r="B3674" s="3">
        <v>658</v>
      </c>
      <c r="C3674" s="1" t="str">
        <f>HYPERLINK("http://www.uniprot.org/uniprot/RR31_ARATH","RR31_ARATH")</f>
        <v>RR31_ARATH</v>
      </c>
      <c r="D3674" t="s">
        <v>3340</v>
      </c>
      <c r="E3674" s="3" t="s">
        <v>3</v>
      </c>
      <c r="F3674" s="4">
        <v>3.6100000000000001E-18</v>
      </c>
      <c r="G3674" s="3">
        <v>200</v>
      </c>
      <c r="H3674" s="3">
        <v>63</v>
      </c>
      <c r="I3674" s="3">
        <v>116</v>
      </c>
      <c r="J3674" s="3">
        <v>214</v>
      </c>
      <c r="K3674" s="3">
        <v>561</v>
      </c>
      <c r="L3674" s="3">
        <v>1</v>
      </c>
      <c r="M3674" s="3">
        <v>115</v>
      </c>
    </row>
    <row r="3675" spans="1:13" x14ac:dyDescent="0.25">
      <c r="A3675" s="1" t="str">
        <f>HYPERLINK("http://www.rosaceae.org/Prunus/Prunus_persica/p.persica_gdr_reftransV1_0047619","p.persica_gdr_reftransV1_0047619")</f>
        <v>p.persica_gdr_reftransV1_0047619</v>
      </c>
      <c r="B3675" s="3">
        <v>994</v>
      </c>
      <c r="C3675" s="1" t="str">
        <f>HYPERLINK("http://www.uniprot.org/uniprot/GDL31_ARATH","GDL31_ARATH")</f>
        <v>GDL31_ARATH</v>
      </c>
      <c r="D3675" t="s">
        <v>3341</v>
      </c>
      <c r="E3675" s="3" t="s">
        <v>3</v>
      </c>
      <c r="F3675" s="4">
        <v>3.3200000000000001E-154</v>
      </c>
      <c r="G3675" s="3">
        <v>1142</v>
      </c>
      <c r="H3675" s="3">
        <v>77</v>
      </c>
      <c r="I3675" s="3">
        <v>265</v>
      </c>
      <c r="J3675" s="3">
        <v>198</v>
      </c>
      <c r="K3675" s="3">
        <v>992</v>
      </c>
      <c r="L3675" s="3">
        <v>83</v>
      </c>
      <c r="M3675" s="3">
        <v>347</v>
      </c>
    </row>
    <row r="3676" spans="1:13" x14ac:dyDescent="0.25">
      <c r="A3676" s="1" t="str">
        <f>HYPERLINK("http://www.rosaceae.org/Prunus/Prunus_persica/p.persica_gdr_reftransV1_0047669","p.persica_gdr_reftransV1_0047669")</f>
        <v>p.persica_gdr_reftransV1_0047669</v>
      </c>
      <c r="B3676" s="3">
        <v>370</v>
      </c>
      <c r="C3676" s="1" t="str">
        <f>HYPERLINK("http://www.uniprot.org/uniprot/PP224_ARATH","PP224_ARATH")</f>
        <v>PP224_ARATH</v>
      </c>
      <c r="D3676" t="s">
        <v>3342</v>
      </c>
      <c r="E3676" s="3" t="s">
        <v>3</v>
      </c>
      <c r="F3676" s="4">
        <v>2.1999999999999999E-36</v>
      </c>
      <c r="G3676" s="3">
        <v>340</v>
      </c>
      <c r="H3676" s="3">
        <v>60</v>
      </c>
      <c r="I3676" s="3">
        <v>117</v>
      </c>
      <c r="J3676" s="3">
        <v>3</v>
      </c>
      <c r="K3676" s="3">
        <v>353</v>
      </c>
      <c r="L3676" s="3">
        <v>10</v>
      </c>
      <c r="M3676" s="3">
        <v>122</v>
      </c>
    </row>
    <row r="3677" spans="1:13" x14ac:dyDescent="0.25">
      <c r="A3677" s="1" t="str">
        <f>HYPERLINK("http://www.rosaceae.org/Prunus/Prunus_persica/p.persica_gdr_reftransV1_0047719","p.persica_gdr_reftransV1_0047719")</f>
        <v>p.persica_gdr_reftransV1_0047719</v>
      </c>
      <c r="B3677" s="3">
        <v>1624</v>
      </c>
      <c r="C3677" s="1" t="str">
        <f>HYPERLINK("http://www.uniprot.org/uniprot/ASO_TOBAC","ASO_TOBAC")</f>
        <v>ASO_TOBAC</v>
      </c>
      <c r="D3677" t="s">
        <v>3343</v>
      </c>
      <c r="E3677" s="3" t="s">
        <v>200</v>
      </c>
      <c r="F3677" s="4">
        <v>0</v>
      </c>
      <c r="G3677" s="3">
        <v>1441</v>
      </c>
      <c r="H3677" s="3">
        <v>55</v>
      </c>
      <c r="I3677" s="3">
        <v>499</v>
      </c>
      <c r="J3677" s="3">
        <v>133</v>
      </c>
      <c r="K3677" s="3">
        <v>1623</v>
      </c>
      <c r="L3677" s="3">
        <v>76</v>
      </c>
      <c r="M3677" s="3">
        <v>568</v>
      </c>
    </row>
    <row r="3678" spans="1:13" x14ac:dyDescent="0.25">
      <c r="A3678" s="1" t="str">
        <f>HYPERLINK("http://www.rosaceae.org/Prunus/Prunus_persica/p.persica_gdr_reftransV1_0047919","p.persica_gdr_reftransV1_0047919")</f>
        <v>p.persica_gdr_reftransV1_0047919</v>
      </c>
      <c r="B3678" s="3">
        <v>467</v>
      </c>
      <c r="C3678" s="1" t="str">
        <f>HYPERLINK("http://www.uniprot.org/uniprot/SRS2L_ARATH","SRS2L_ARATH")</f>
        <v>SRS2L_ARATH</v>
      </c>
      <c r="D3678" t="s">
        <v>1474</v>
      </c>
      <c r="E3678" s="3" t="s">
        <v>3</v>
      </c>
      <c r="F3678" s="4">
        <v>2.7200000000000001E-58</v>
      </c>
      <c r="G3678" s="3">
        <v>510</v>
      </c>
      <c r="H3678" s="3">
        <v>66</v>
      </c>
      <c r="I3678" s="3">
        <v>151</v>
      </c>
      <c r="J3678" s="3">
        <v>13</v>
      </c>
      <c r="K3678" s="3">
        <v>465</v>
      </c>
      <c r="L3678" s="3">
        <v>833</v>
      </c>
      <c r="M3678" s="3">
        <v>981</v>
      </c>
    </row>
    <row r="3679" spans="1:13" x14ac:dyDescent="0.25">
      <c r="A3679" s="1" t="str">
        <f>HYPERLINK("http://www.rosaceae.org/Prunus/Prunus_persica/p.persica_gdr_reftransV1_0048019","p.persica_gdr_reftransV1_0048019")</f>
        <v>p.persica_gdr_reftransV1_0048019</v>
      </c>
      <c r="B3679" s="3">
        <v>5369</v>
      </c>
      <c r="C3679" s="1" t="str">
        <f>HYPERLINK("http://www.uniprot.org/uniprot/ART2_YEAST","ART2_YEAST")</f>
        <v>ART2_YEAST</v>
      </c>
      <c r="D3679" t="s">
        <v>3344</v>
      </c>
      <c r="E3679" s="3" t="s">
        <v>34</v>
      </c>
      <c r="F3679" s="4">
        <v>5.6899999999999998E-17</v>
      </c>
      <c r="G3679" s="3">
        <v>204</v>
      </c>
      <c r="H3679" s="3">
        <v>75</v>
      </c>
      <c r="I3679" s="3">
        <v>59</v>
      </c>
      <c r="J3679" s="3">
        <v>3302</v>
      </c>
      <c r="K3679" s="3">
        <v>3478</v>
      </c>
      <c r="L3679" s="3">
        <v>2</v>
      </c>
      <c r="M3679" s="3">
        <v>60</v>
      </c>
    </row>
    <row r="3680" spans="1:13" x14ac:dyDescent="0.25">
      <c r="A3680" s="1" t="str">
        <f>HYPERLINK("http://www.rosaceae.org/Prunus/Prunus_persica/p.persica_gdr_reftransV1_0048069","p.persica_gdr_reftransV1_0048069")</f>
        <v>p.persica_gdr_reftransV1_0048069</v>
      </c>
      <c r="B3680" s="3">
        <v>1150</v>
      </c>
      <c r="C3680" s="1" t="str">
        <f>HYPERLINK("http://www.uniprot.org/uniprot/EXL3_ARATH","EXL3_ARATH")</f>
        <v>EXL3_ARATH</v>
      </c>
      <c r="D3680" t="s">
        <v>30</v>
      </c>
      <c r="E3680" s="3" t="s">
        <v>3</v>
      </c>
      <c r="F3680" s="4">
        <v>1.95E-134</v>
      </c>
      <c r="G3680" s="3">
        <v>1017</v>
      </c>
      <c r="H3680" s="3">
        <v>58</v>
      </c>
      <c r="I3680" s="3">
        <v>345</v>
      </c>
      <c r="J3680" s="3">
        <v>67</v>
      </c>
      <c r="K3680" s="3">
        <v>1101</v>
      </c>
      <c r="L3680" s="3">
        <v>20</v>
      </c>
      <c r="M3680" s="3">
        <v>363</v>
      </c>
    </row>
    <row r="3681" spans="1:13" x14ac:dyDescent="0.25">
      <c r="A3681" s="1" t="str">
        <f>HYPERLINK("http://www.rosaceae.org/Prunus/Prunus_persica/p.persica_gdr_reftransV1_0048119","p.persica_gdr_reftransV1_0048119")</f>
        <v>p.persica_gdr_reftransV1_0048119</v>
      </c>
      <c r="B3681" s="3">
        <v>1786</v>
      </c>
      <c r="C3681" s="1" t="str">
        <f>HYPERLINK("http://www.uniprot.org/uniprot/F3PH_ARATH","F3PH_ARATH")</f>
        <v>F3PH_ARATH</v>
      </c>
      <c r="D3681" t="s">
        <v>12</v>
      </c>
      <c r="E3681" s="3" t="s">
        <v>3</v>
      </c>
      <c r="F3681" s="4">
        <v>5.3899999999999998E-142</v>
      </c>
      <c r="G3681" s="3">
        <v>1102</v>
      </c>
      <c r="H3681" s="3">
        <v>43</v>
      </c>
      <c r="I3681" s="3">
        <v>505</v>
      </c>
      <c r="J3681" s="3">
        <v>182</v>
      </c>
      <c r="K3681" s="3">
        <v>1663</v>
      </c>
      <c r="L3681" s="3">
        <v>11</v>
      </c>
      <c r="M3681" s="3">
        <v>509</v>
      </c>
    </row>
    <row r="3682" spans="1:13" x14ac:dyDescent="0.25">
      <c r="A3682" s="1" t="str">
        <f>HYPERLINK("http://www.rosaceae.org/Prunus/Prunus_persica/p.persica_gdr_reftransV1_0048169","p.persica_gdr_reftransV1_0048169")</f>
        <v>p.persica_gdr_reftransV1_0048169</v>
      </c>
      <c r="B3682" s="3">
        <v>1610</v>
      </c>
      <c r="C3682" s="1" t="str">
        <f>HYPERLINK("http://www.uniprot.org/uniprot/RGLG2_ARATH","RGLG2_ARATH")</f>
        <v>RGLG2_ARATH</v>
      </c>
      <c r="D3682" t="s">
        <v>3345</v>
      </c>
      <c r="E3682" s="3" t="s">
        <v>3</v>
      </c>
      <c r="F3682" s="4">
        <v>1.14E-156</v>
      </c>
      <c r="G3682" s="3">
        <v>1190</v>
      </c>
      <c r="H3682" s="3">
        <v>60</v>
      </c>
      <c r="I3682" s="3">
        <v>373</v>
      </c>
      <c r="J3682" s="3">
        <v>402</v>
      </c>
      <c r="K3682" s="3">
        <v>1454</v>
      </c>
      <c r="L3682" s="3">
        <v>96</v>
      </c>
      <c r="M3682" s="3">
        <v>468</v>
      </c>
    </row>
    <row r="3683" spans="1:13" x14ac:dyDescent="0.25">
      <c r="A3683" s="1" t="str">
        <f>HYPERLINK("http://www.rosaceae.org/Prunus/Prunus_persica/p.persica_gdr_reftransV1_0048219","p.persica_gdr_reftransV1_0048219")</f>
        <v>p.persica_gdr_reftransV1_0048219</v>
      </c>
      <c r="B3683" s="3">
        <v>2676</v>
      </c>
      <c r="C3683" s="1" t="str">
        <f>HYPERLINK("http://www.uniprot.org/uniprot/DUR3_ARATH","DUR3_ARATH")</f>
        <v>DUR3_ARATH</v>
      </c>
      <c r="D3683" t="s">
        <v>3346</v>
      </c>
      <c r="E3683" s="3" t="s">
        <v>3</v>
      </c>
      <c r="F3683" s="4">
        <v>0</v>
      </c>
      <c r="G3683" s="3">
        <v>2719</v>
      </c>
      <c r="H3683" s="3">
        <v>79</v>
      </c>
      <c r="I3683" s="3">
        <v>694</v>
      </c>
      <c r="J3683" s="3">
        <v>218</v>
      </c>
      <c r="K3683" s="3">
        <v>2284</v>
      </c>
      <c r="L3683" s="3">
        <v>2</v>
      </c>
      <c r="M3683" s="3">
        <v>692</v>
      </c>
    </row>
    <row r="3684" spans="1:13" x14ac:dyDescent="0.25">
      <c r="A3684" s="1" t="str">
        <f>HYPERLINK("http://www.rosaceae.org/Prunus/Prunus_persica/p.persica_gdr_reftransV1_0048269","p.persica_gdr_reftransV1_0048269")</f>
        <v>p.persica_gdr_reftransV1_0048269</v>
      </c>
      <c r="B3684" s="3">
        <v>754</v>
      </c>
      <c r="C3684" s="1" t="str">
        <f>HYPERLINK("http://www.uniprot.org/uniprot/PRU1_PRUAV","PRU1_PRUAV")</f>
        <v>PRU1_PRUAV</v>
      </c>
      <c r="D3684" t="s">
        <v>3347</v>
      </c>
      <c r="E3684" s="3" t="s">
        <v>1404</v>
      </c>
      <c r="F3684" s="4">
        <v>8.9399999999999993E-108</v>
      </c>
      <c r="G3684" s="3">
        <v>807</v>
      </c>
      <c r="H3684" s="3">
        <v>98</v>
      </c>
      <c r="I3684" s="3">
        <v>160</v>
      </c>
      <c r="J3684" s="3">
        <v>67</v>
      </c>
      <c r="K3684" s="3">
        <v>546</v>
      </c>
      <c r="L3684" s="3">
        <v>1</v>
      </c>
      <c r="M3684" s="3">
        <v>160</v>
      </c>
    </row>
    <row r="3685" spans="1:13" x14ac:dyDescent="0.25">
      <c r="A3685" s="1" t="str">
        <f>HYPERLINK("http://www.rosaceae.org/Prunus/Prunus_persica/p.persica_gdr_reftransV1_0048519","p.persica_gdr_reftransV1_0048519")</f>
        <v>p.persica_gdr_reftransV1_0048519</v>
      </c>
      <c r="B3685" s="3">
        <v>853</v>
      </c>
      <c r="C3685" s="1" t="str">
        <f>HYPERLINK("http://www.uniprot.org/uniprot/SP1L1_ARATH","SP1L1_ARATH")</f>
        <v>SP1L1_ARATH</v>
      </c>
      <c r="D3685" t="s">
        <v>3348</v>
      </c>
      <c r="E3685" s="3" t="s">
        <v>3</v>
      </c>
      <c r="F3685" s="4">
        <v>1.4399999999999999E-27</v>
      </c>
      <c r="G3685" s="3">
        <v>269</v>
      </c>
      <c r="H3685" s="3">
        <v>63</v>
      </c>
      <c r="I3685" s="3">
        <v>98</v>
      </c>
      <c r="J3685" s="3">
        <v>233</v>
      </c>
      <c r="K3685" s="3">
        <v>526</v>
      </c>
      <c r="L3685" s="3">
        <v>22</v>
      </c>
      <c r="M3685" s="3">
        <v>113</v>
      </c>
    </row>
    <row r="3686" spans="1:13" x14ac:dyDescent="0.25">
      <c r="A3686" s="1" t="str">
        <f>HYPERLINK("http://www.rosaceae.org/Prunus/Prunus_persica/p.persica_gdr_reftransV1_0048569","p.persica_gdr_reftransV1_0048569")</f>
        <v>p.persica_gdr_reftransV1_0048569</v>
      </c>
      <c r="B3686" s="3">
        <v>308</v>
      </c>
      <c r="C3686" s="1" t="str">
        <f>HYPERLINK("http://www.uniprot.org/uniprot/RDR1_ARATH","RDR1_ARATH")</f>
        <v>RDR1_ARATH</v>
      </c>
      <c r="D3686" t="s">
        <v>610</v>
      </c>
      <c r="E3686" s="3" t="s">
        <v>3</v>
      </c>
      <c r="F3686" s="4">
        <v>1.21E-25</v>
      </c>
      <c r="G3686" s="3">
        <v>262</v>
      </c>
      <c r="H3686" s="3">
        <v>67</v>
      </c>
      <c r="I3686" s="3">
        <v>75</v>
      </c>
      <c r="J3686" s="3">
        <v>88</v>
      </c>
      <c r="K3686" s="3">
        <v>306</v>
      </c>
      <c r="L3686" s="3">
        <v>668</v>
      </c>
      <c r="M3686" s="3">
        <v>742</v>
      </c>
    </row>
    <row r="3687" spans="1:13" x14ac:dyDescent="0.25">
      <c r="A3687" s="1" t="str">
        <f>HYPERLINK("http://www.rosaceae.org/Prunus/Prunus_persica/p.persica_gdr_reftransV1_0048669","p.persica_gdr_reftransV1_0048669")</f>
        <v>p.persica_gdr_reftransV1_0048669</v>
      </c>
      <c r="B3687" s="3">
        <v>453</v>
      </c>
      <c r="C3687" s="1" t="str">
        <f>HYPERLINK("http://www.uniprot.org/uniprot/CXE17_ARATH","CXE17_ARATH")</f>
        <v>CXE17_ARATH</v>
      </c>
      <c r="D3687" t="s">
        <v>3349</v>
      </c>
      <c r="E3687" s="3" t="s">
        <v>3</v>
      </c>
      <c r="F3687" s="4">
        <v>1.04E-22</v>
      </c>
      <c r="G3687" s="3">
        <v>237</v>
      </c>
      <c r="H3687" s="3">
        <v>38</v>
      </c>
      <c r="I3687" s="3">
        <v>129</v>
      </c>
      <c r="J3687" s="3">
        <v>3</v>
      </c>
      <c r="K3687" s="3">
        <v>386</v>
      </c>
      <c r="L3687" s="3">
        <v>28</v>
      </c>
      <c r="M3687" s="3">
        <v>148</v>
      </c>
    </row>
    <row r="3688" spans="1:13" x14ac:dyDescent="0.25">
      <c r="A3688" s="1" t="str">
        <f>HYPERLINK("http://www.rosaceae.org/Prunus/Prunus_persica/p.persica_gdr_reftransV1_0048769","p.persica_gdr_reftransV1_0048769")</f>
        <v>p.persica_gdr_reftransV1_0048769</v>
      </c>
      <c r="B3688" s="3">
        <v>1328</v>
      </c>
      <c r="C3688" s="1" t="str">
        <f>HYPERLINK("http://www.uniprot.org/uniprot/NDK4_ARATH","NDK4_ARATH")</f>
        <v>NDK4_ARATH</v>
      </c>
      <c r="D3688" t="s">
        <v>3350</v>
      </c>
      <c r="E3688" s="3" t="s">
        <v>3</v>
      </c>
      <c r="F3688" s="4">
        <v>1.8699999999999999E-125</v>
      </c>
      <c r="G3688" s="3">
        <v>951</v>
      </c>
      <c r="H3688" s="3">
        <v>82</v>
      </c>
      <c r="I3688" s="3">
        <v>217</v>
      </c>
      <c r="J3688" s="3">
        <v>352</v>
      </c>
      <c r="K3688" s="3">
        <v>1002</v>
      </c>
      <c r="L3688" s="3">
        <v>21</v>
      </c>
      <c r="M3688" s="3">
        <v>237</v>
      </c>
    </row>
    <row r="3689" spans="1:13" x14ac:dyDescent="0.25">
      <c r="A3689" s="1" t="str">
        <f>HYPERLINK("http://www.rosaceae.org/Prunus/Prunus_persica/p.persica_gdr_reftransV1_0048819","p.persica_gdr_reftransV1_0048819")</f>
        <v>p.persica_gdr_reftransV1_0048819</v>
      </c>
      <c r="B3689" s="3">
        <v>1006</v>
      </c>
      <c r="C3689" s="1" t="str">
        <f>HYPERLINK("http://www.uniprot.org/uniprot/GL24_ARATH","GL24_ARATH")</f>
        <v>GL24_ARATH</v>
      </c>
      <c r="D3689" t="s">
        <v>3351</v>
      </c>
      <c r="E3689" s="3" t="s">
        <v>3</v>
      </c>
      <c r="F3689" s="4">
        <v>7.0599999999999994E-101</v>
      </c>
      <c r="G3689" s="3">
        <v>776</v>
      </c>
      <c r="H3689" s="3">
        <v>73</v>
      </c>
      <c r="I3689" s="3">
        <v>202</v>
      </c>
      <c r="J3689" s="3">
        <v>272</v>
      </c>
      <c r="K3689" s="3">
        <v>871</v>
      </c>
      <c r="L3689" s="3">
        <v>20</v>
      </c>
      <c r="M3689" s="3">
        <v>218</v>
      </c>
    </row>
    <row r="3690" spans="1:13" x14ac:dyDescent="0.25">
      <c r="A3690" s="1" t="str">
        <f>HYPERLINK("http://www.rosaceae.org/Prunus/Prunus_persica/p.persica_gdr_reftransV1_0048869","p.persica_gdr_reftransV1_0048869")</f>
        <v>p.persica_gdr_reftransV1_0048869</v>
      </c>
      <c r="B3690" s="3">
        <v>1573</v>
      </c>
      <c r="C3690" s="1" t="str">
        <f>HYPERLINK("http://www.uniprot.org/uniprot/BURP3_ORYSJ","BURP3_ORYSJ")</f>
        <v>BURP3_ORYSJ</v>
      </c>
      <c r="D3690" t="s">
        <v>1863</v>
      </c>
      <c r="E3690" s="3" t="s">
        <v>38</v>
      </c>
      <c r="F3690" s="4">
        <v>2.5599999999999999E-72</v>
      </c>
      <c r="G3690" s="3">
        <v>619</v>
      </c>
      <c r="H3690" s="3">
        <v>50</v>
      </c>
      <c r="I3690" s="3">
        <v>228</v>
      </c>
      <c r="J3690" s="3">
        <v>692</v>
      </c>
      <c r="K3690" s="3">
        <v>1366</v>
      </c>
      <c r="L3690" s="3">
        <v>200</v>
      </c>
      <c r="M3690" s="3">
        <v>425</v>
      </c>
    </row>
    <row r="3691" spans="1:13" x14ac:dyDescent="0.25">
      <c r="A3691" s="1" t="str">
        <f>HYPERLINK("http://www.rosaceae.org/Prunus/Prunus_persica/p.persica_gdr_reftransV1_0048969","p.persica_gdr_reftransV1_0048969")</f>
        <v>p.persica_gdr_reftransV1_0048969</v>
      </c>
      <c r="B3691" s="3">
        <v>1015</v>
      </c>
      <c r="C3691" s="1" t="str">
        <f>HYPERLINK("http://www.uniprot.org/uniprot/VA724_ARATH","VA724_ARATH")</f>
        <v>VA724_ARATH</v>
      </c>
      <c r="D3691" t="s">
        <v>3352</v>
      </c>
      <c r="E3691" s="3" t="s">
        <v>3</v>
      </c>
      <c r="F3691" s="4">
        <v>9.9700000000000005E-129</v>
      </c>
      <c r="G3691" s="3">
        <v>960</v>
      </c>
      <c r="H3691" s="3">
        <v>87</v>
      </c>
      <c r="I3691" s="3">
        <v>222</v>
      </c>
      <c r="J3691" s="3">
        <v>137</v>
      </c>
      <c r="K3691" s="3">
        <v>799</v>
      </c>
      <c r="L3691" s="3">
        <v>1</v>
      </c>
      <c r="M3691" s="3">
        <v>222</v>
      </c>
    </row>
    <row r="3692" spans="1:13" x14ac:dyDescent="0.25">
      <c r="A3692" s="1" t="str">
        <f>HYPERLINK("http://www.rosaceae.org/Prunus/Prunus_persica/p.persica_gdr_reftransV1_0049019","p.persica_gdr_reftransV1_0049019")</f>
        <v>p.persica_gdr_reftransV1_0049019</v>
      </c>
      <c r="B3692" s="3">
        <v>315</v>
      </c>
      <c r="C3692" s="1" t="str">
        <f>HYPERLINK("http://www.uniprot.org/uniprot/APRR1_ARATH","APRR1_ARATH")</f>
        <v>APRR1_ARATH</v>
      </c>
      <c r="D3692" t="s">
        <v>3002</v>
      </c>
      <c r="E3692" s="3" t="s">
        <v>3</v>
      </c>
      <c r="F3692" s="4">
        <v>3.2399999999999998E-13</v>
      </c>
      <c r="G3692" s="3">
        <v>167</v>
      </c>
      <c r="H3692" s="3">
        <v>40</v>
      </c>
      <c r="I3692" s="3">
        <v>112</v>
      </c>
      <c r="J3692" s="3">
        <v>8</v>
      </c>
      <c r="K3692" s="3">
        <v>307</v>
      </c>
      <c r="L3692" s="3">
        <v>450</v>
      </c>
      <c r="M3692" s="3">
        <v>544</v>
      </c>
    </row>
    <row r="3693" spans="1:13" x14ac:dyDescent="0.25">
      <c r="A3693" s="1" t="str">
        <f>HYPERLINK("http://www.rosaceae.org/Prunus/Prunus_persica/p.persica_gdr_reftransV1_0049069","p.persica_gdr_reftransV1_0049069")</f>
        <v>p.persica_gdr_reftransV1_0049069</v>
      </c>
      <c r="B3693" s="3">
        <v>1609</v>
      </c>
      <c r="C3693" s="1" t="str">
        <f>HYPERLINK("http://www.uniprot.org/uniprot/MPH1L_SCHPO","MPH1L_SCHPO")</f>
        <v>MPH1L_SCHPO</v>
      </c>
      <c r="D3693" t="s">
        <v>3353</v>
      </c>
      <c r="E3693" s="3" t="s">
        <v>464</v>
      </c>
      <c r="F3693" s="4">
        <v>1.7900000000000002E-74</v>
      </c>
      <c r="G3693" s="3">
        <v>651</v>
      </c>
      <c r="H3693" s="3">
        <v>41</v>
      </c>
      <c r="I3693" s="3">
        <v>365</v>
      </c>
      <c r="J3693" s="3">
        <v>204</v>
      </c>
      <c r="K3693" s="3">
        <v>1208</v>
      </c>
      <c r="L3693" s="3">
        <v>316</v>
      </c>
      <c r="M3693" s="3">
        <v>647</v>
      </c>
    </row>
    <row r="3694" spans="1:13" x14ac:dyDescent="0.25">
      <c r="A3694" s="1" t="str">
        <f>HYPERLINK("http://www.rosaceae.org/Prunus/Prunus_persica/p.persica_gdr_reftransV1_0049119","p.persica_gdr_reftransV1_0049119")</f>
        <v>p.persica_gdr_reftransV1_0049119</v>
      </c>
      <c r="B3694" s="3">
        <v>306</v>
      </c>
      <c r="C3694" s="1" t="str">
        <f>HYPERLINK("http://www.uniprot.org/uniprot/CLV1_ARATH","CLV1_ARATH")</f>
        <v>CLV1_ARATH</v>
      </c>
      <c r="D3694" t="s">
        <v>2635</v>
      </c>
      <c r="E3694" s="3" t="s">
        <v>3</v>
      </c>
      <c r="F3694" s="4">
        <v>2.1400000000000001E-9</v>
      </c>
      <c r="G3694" s="3">
        <v>139</v>
      </c>
      <c r="H3694" s="3">
        <v>53</v>
      </c>
      <c r="I3694" s="3">
        <v>72</v>
      </c>
      <c r="J3694" s="3">
        <v>99</v>
      </c>
      <c r="K3694" s="3">
        <v>302</v>
      </c>
      <c r="L3694" s="3">
        <v>20</v>
      </c>
      <c r="M3694" s="3">
        <v>86</v>
      </c>
    </row>
    <row r="3695" spans="1:13" x14ac:dyDescent="0.25">
      <c r="A3695" s="1" t="str">
        <f>HYPERLINK("http://www.rosaceae.org/Prunus/Prunus_persica/p.persica_gdr_reftransV1_0049169","p.persica_gdr_reftransV1_0049169")</f>
        <v>p.persica_gdr_reftransV1_0049169</v>
      </c>
      <c r="B3695" s="3">
        <v>2324</v>
      </c>
      <c r="C3695" s="1" t="str">
        <f>HYPERLINK("http://www.uniprot.org/uniprot/EIF3L_NEMVE","EIF3L_NEMVE")</f>
        <v>EIF3L_NEMVE</v>
      </c>
      <c r="D3695" t="s">
        <v>3354</v>
      </c>
      <c r="E3695" s="3" t="s">
        <v>1392</v>
      </c>
      <c r="F3695" s="4">
        <v>1.4299999999999999E-151</v>
      </c>
      <c r="G3695" s="3">
        <v>1183</v>
      </c>
      <c r="H3695" s="3">
        <v>44</v>
      </c>
      <c r="I3695" s="3">
        <v>527</v>
      </c>
      <c r="J3695" s="3">
        <v>488</v>
      </c>
      <c r="K3695" s="3">
        <v>2026</v>
      </c>
      <c r="L3695" s="3">
        <v>8</v>
      </c>
      <c r="M3695" s="3">
        <v>522</v>
      </c>
    </row>
    <row r="3696" spans="1:13" x14ac:dyDescent="0.25">
      <c r="A3696" s="1" t="str">
        <f>HYPERLINK("http://www.rosaceae.org/Prunus/Prunus_persica/p.persica_gdr_reftransV1_0000070","p.persica_gdr_reftransV1_0000070")</f>
        <v>p.persica_gdr_reftransV1_0000070</v>
      </c>
      <c r="B3696" s="3">
        <v>2040</v>
      </c>
      <c r="C3696" s="1" t="str">
        <f>HYPERLINK("http://www.uniprot.org/uniprot/GMGT1_CYATE","GMGT1_CYATE")</f>
        <v>GMGT1_CYATE</v>
      </c>
      <c r="D3696" t="s">
        <v>3355</v>
      </c>
      <c r="E3696" s="3" t="s">
        <v>322</v>
      </c>
      <c r="F3696" s="4">
        <v>0</v>
      </c>
      <c r="G3696" s="3">
        <v>1422</v>
      </c>
      <c r="H3696" s="3">
        <v>69</v>
      </c>
      <c r="I3696" s="3">
        <v>374</v>
      </c>
      <c r="J3696" s="3">
        <v>502</v>
      </c>
      <c r="K3696" s="3">
        <v>1620</v>
      </c>
      <c r="L3696" s="3">
        <v>71</v>
      </c>
      <c r="M3696" s="3">
        <v>434</v>
      </c>
    </row>
    <row r="3697" spans="1:13" x14ac:dyDescent="0.25">
      <c r="A3697" s="1" t="str">
        <f>HYPERLINK("http://www.rosaceae.org/Prunus/Prunus_persica/p.persica_gdr_reftransV1_0000270","p.persica_gdr_reftransV1_0000270")</f>
        <v>p.persica_gdr_reftransV1_0000270</v>
      </c>
      <c r="B3697" s="3">
        <v>994</v>
      </c>
      <c r="C3697" s="1" t="str">
        <f>HYPERLINK("http://www.uniprot.org/uniprot/YFK5_SCHPO","YFK5_SCHPO")</f>
        <v>YFK5_SCHPO</v>
      </c>
      <c r="D3697" t="s">
        <v>3356</v>
      </c>
      <c r="E3697" s="3" t="s">
        <v>464</v>
      </c>
      <c r="F3697" s="4">
        <v>1.9999999999999999E-7</v>
      </c>
      <c r="G3697" s="3">
        <v>134</v>
      </c>
      <c r="H3697" s="3">
        <v>28</v>
      </c>
      <c r="I3697" s="3">
        <v>160</v>
      </c>
      <c r="J3697" s="3">
        <v>207</v>
      </c>
      <c r="K3697" s="3">
        <v>653</v>
      </c>
      <c r="L3697" s="3">
        <v>435</v>
      </c>
      <c r="M3697" s="3">
        <v>569</v>
      </c>
    </row>
    <row r="3698" spans="1:13" x14ac:dyDescent="0.25">
      <c r="A3698" s="1" t="str">
        <f>HYPERLINK("http://www.rosaceae.org/Prunus/Prunus_persica/p.persica_gdr_reftransV1_0000320","p.persica_gdr_reftransV1_0000320")</f>
        <v>p.persica_gdr_reftransV1_0000320</v>
      </c>
      <c r="B3698" s="3">
        <v>2428</v>
      </c>
      <c r="C3698" s="1" t="str">
        <f>HYPERLINK("http://www.uniprot.org/uniprot/PUB14_ARATH","PUB14_ARATH")</f>
        <v>PUB14_ARATH</v>
      </c>
      <c r="D3698" t="s">
        <v>1619</v>
      </c>
      <c r="E3698" s="3" t="s">
        <v>3</v>
      </c>
      <c r="F3698" s="4">
        <v>0</v>
      </c>
      <c r="G3698" s="3">
        <v>2073</v>
      </c>
      <c r="H3698" s="3">
        <v>67</v>
      </c>
      <c r="I3698" s="3">
        <v>624</v>
      </c>
      <c r="J3698" s="3">
        <v>319</v>
      </c>
      <c r="K3698" s="3">
        <v>2187</v>
      </c>
      <c r="L3698" s="3">
        <v>1</v>
      </c>
      <c r="M3698" s="3">
        <v>624</v>
      </c>
    </row>
    <row r="3699" spans="1:13" x14ac:dyDescent="0.25">
      <c r="A3699" s="1" t="str">
        <f>HYPERLINK("http://www.rosaceae.org/Prunus/Prunus_persica/p.persica_gdr_reftransV1_0000470","p.persica_gdr_reftransV1_0000470")</f>
        <v>p.persica_gdr_reftransV1_0000470</v>
      </c>
      <c r="B3699" s="3">
        <v>1166</v>
      </c>
      <c r="C3699" s="1" t="str">
        <f>HYPERLINK("http://www.uniprot.org/uniprot/PSA3_SPIOL","PSA3_SPIOL")</f>
        <v>PSA3_SPIOL</v>
      </c>
      <c r="D3699" t="s">
        <v>3357</v>
      </c>
      <c r="E3699" s="3" t="s">
        <v>131</v>
      </c>
      <c r="F3699" s="4">
        <v>3.4499999999999999E-155</v>
      </c>
      <c r="G3699" s="3">
        <v>1143</v>
      </c>
      <c r="H3699" s="3">
        <v>91</v>
      </c>
      <c r="I3699" s="3">
        <v>228</v>
      </c>
      <c r="J3699" s="3">
        <v>395</v>
      </c>
      <c r="K3699" s="3">
        <v>1078</v>
      </c>
      <c r="L3699" s="3">
        <v>1</v>
      </c>
      <c r="M3699" s="3">
        <v>228</v>
      </c>
    </row>
    <row r="3700" spans="1:13" x14ac:dyDescent="0.25">
      <c r="A3700" s="1" t="str">
        <f>HYPERLINK("http://www.rosaceae.org/Prunus/Prunus_persica/p.persica_gdr_reftransV1_0000570","p.persica_gdr_reftransV1_0000570")</f>
        <v>p.persica_gdr_reftransV1_0000570</v>
      </c>
      <c r="B3700" s="3">
        <v>1608</v>
      </c>
      <c r="C3700" s="1" t="str">
        <f>HYPERLINK("http://www.uniprot.org/uniprot/AGO16_ORYSJ","AGO16_ORYSJ")</f>
        <v>AGO16_ORYSJ</v>
      </c>
      <c r="D3700" t="s">
        <v>1124</v>
      </c>
      <c r="E3700" s="3" t="s">
        <v>38</v>
      </c>
      <c r="F3700" s="4">
        <v>0</v>
      </c>
      <c r="G3700" s="3">
        <v>1680</v>
      </c>
      <c r="H3700" s="3">
        <v>74</v>
      </c>
      <c r="I3700" s="3">
        <v>419</v>
      </c>
      <c r="J3700" s="3">
        <v>354</v>
      </c>
      <c r="K3700" s="3">
        <v>1607</v>
      </c>
      <c r="L3700" s="3">
        <v>466</v>
      </c>
      <c r="M3700" s="3">
        <v>883</v>
      </c>
    </row>
    <row r="3701" spans="1:13" x14ac:dyDescent="0.25">
      <c r="A3701" s="1" t="str">
        <f>HYPERLINK("http://www.rosaceae.org/Prunus/Prunus_persica/p.persica_gdr_reftransV1_0000620","p.persica_gdr_reftransV1_0000620")</f>
        <v>p.persica_gdr_reftransV1_0000620</v>
      </c>
      <c r="B3701" s="3">
        <v>1221</v>
      </c>
      <c r="C3701" s="1" t="str">
        <f>HYPERLINK("http://www.uniprot.org/uniprot/YIF1B_MOUSE","YIF1B_MOUSE")</f>
        <v>YIF1B_MOUSE</v>
      </c>
      <c r="D3701" t="s">
        <v>3358</v>
      </c>
      <c r="E3701" s="3" t="s">
        <v>157</v>
      </c>
      <c r="F3701" s="4">
        <v>1.9499999999999999E-27</v>
      </c>
      <c r="G3701" s="3">
        <v>286</v>
      </c>
      <c r="H3701" s="3">
        <v>34</v>
      </c>
      <c r="I3701" s="3">
        <v>232</v>
      </c>
      <c r="J3701" s="3">
        <v>356</v>
      </c>
      <c r="K3701" s="3">
        <v>1006</v>
      </c>
      <c r="L3701" s="3">
        <v>83</v>
      </c>
      <c r="M3701" s="3">
        <v>305</v>
      </c>
    </row>
    <row r="3702" spans="1:13" x14ac:dyDescent="0.25">
      <c r="A3702" s="1" t="str">
        <f>HYPERLINK("http://www.rosaceae.org/Prunus/Prunus_persica/p.persica_gdr_reftransV1_0000720","p.persica_gdr_reftransV1_0000720")</f>
        <v>p.persica_gdr_reftransV1_0000720</v>
      </c>
      <c r="B3702" s="3">
        <v>1153</v>
      </c>
      <c r="C3702" s="1" t="str">
        <f>HYPERLINK("http://www.uniprot.org/uniprot/RP25L_MOUSE","RP25L_MOUSE")</f>
        <v>RP25L_MOUSE</v>
      </c>
      <c r="D3702" t="s">
        <v>3045</v>
      </c>
      <c r="E3702" s="3" t="s">
        <v>157</v>
      </c>
      <c r="F3702" s="4">
        <v>4.7699999999999996E-16</v>
      </c>
      <c r="G3702" s="3">
        <v>194</v>
      </c>
      <c r="H3702" s="3">
        <v>31</v>
      </c>
      <c r="I3702" s="3">
        <v>136</v>
      </c>
      <c r="J3702" s="3">
        <v>170</v>
      </c>
      <c r="K3702" s="3">
        <v>550</v>
      </c>
      <c r="L3702" s="3">
        <v>1</v>
      </c>
      <c r="M3702" s="3">
        <v>136</v>
      </c>
    </row>
    <row r="3703" spans="1:13" x14ac:dyDescent="0.25">
      <c r="A3703" s="1" t="str">
        <f>HYPERLINK("http://www.rosaceae.org/Prunus/Prunus_persica/p.persica_gdr_reftransV1_0000770","p.persica_gdr_reftransV1_0000770")</f>
        <v>p.persica_gdr_reftransV1_0000770</v>
      </c>
      <c r="B3703" s="3">
        <v>1619</v>
      </c>
      <c r="C3703" s="1" t="str">
        <f>HYPERLINK("http://www.uniprot.org/uniprot/CYSKP_SOLTU","CYSKP_SOLTU")</f>
        <v>CYSKP_SOLTU</v>
      </c>
      <c r="D3703" t="s">
        <v>3359</v>
      </c>
      <c r="E3703" s="3" t="s">
        <v>11</v>
      </c>
      <c r="F3703" s="4">
        <v>0</v>
      </c>
      <c r="G3703" s="3">
        <v>1402</v>
      </c>
      <c r="H3703" s="3">
        <v>85</v>
      </c>
      <c r="I3703" s="3">
        <v>324</v>
      </c>
      <c r="J3703" s="3">
        <v>370</v>
      </c>
      <c r="K3703" s="3">
        <v>1341</v>
      </c>
      <c r="L3703" s="3">
        <v>62</v>
      </c>
      <c r="M3703" s="3">
        <v>385</v>
      </c>
    </row>
    <row r="3704" spans="1:13" x14ac:dyDescent="0.25">
      <c r="A3704" s="1" t="str">
        <f>HYPERLINK("http://www.rosaceae.org/Prunus/Prunus_persica/p.persica_gdr_reftransV1_0000920","p.persica_gdr_reftransV1_0000920")</f>
        <v>p.persica_gdr_reftransV1_0000920</v>
      </c>
      <c r="B3704" s="3">
        <v>758</v>
      </c>
      <c r="C3704" s="1" t="str">
        <f>HYPERLINK("http://www.uniprot.org/uniprot/RLA2_PARAR","RLA2_PARAR")</f>
        <v>RLA2_PARAR</v>
      </c>
      <c r="D3704" t="s">
        <v>3360</v>
      </c>
      <c r="E3704" s="3" t="s">
        <v>3361</v>
      </c>
      <c r="F3704" s="4">
        <v>5.7299999999999994E-23</v>
      </c>
      <c r="G3704" s="3">
        <v>236</v>
      </c>
      <c r="H3704" s="3">
        <v>76</v>
      </c>
      <c r="I3704" s="3">
        <v>62</v>
      </c>
      <c r="J3704" s="3">
        <v>180</v>
      </c>
      <c r="K3704" s="3">
        <v>365</v>
      </c>
      <c r="L3704" s="3">
        <v>1</v>
      </c>
      <c r="M3704" s="3">
        <v>62</v>
      </c>
    </row>
    <row r="3705" spans="1:13" x14ac:dyDescent="0.25">
      <c r="A3705" s="1" t="str">
        <f>HYPERLINK("http://www.rosaceae.org/Prunus/Prunus_persica/p.persica_gdr_reftransV1_0001020","p.persica_gdr_reftransV1_0001020")</f>
        <v>p.persica_gdr_reftransV1_0001020</v>
      </c>
      <c r="B3705" s="3">
        <v>4525</v>
      </c>
      <c r="C3705" s="1" t="str">
        <f>HYPERLINK("http://www.uniprot.org/uniprot/PP400_ARATH","PP400_ARATH")</f>
        <v>PP400_ARATH</v>
      </c>
      <c r="D3705" t="s">
        <v>3362</v>
      </c>
      <c r="E3705" s="3" t="s">
        <v>3</v>
      </c>
      <c r="F3705" s="4">
        <v>8.0699999999999997E-165</v>
      </c>
      <c r="G3705" s="3">
        <v>1320</v>
      </c>
      <c r="H3705" s="3">
        <v>58</v>
      </c>
      <c r="I3705" s="3">
        <v>440</v>
      </c>
      <c r="J3705" s="3">
        <v>1648</v>
      </c>
      <c r="K3705" s="3">
        <v>2955</v>
      </c>
      <c r="L3705" s="3">
        <v>43</v>
      </c>
      <c r="M3705" s="3">
        <v>482</v>
      </c>
    </row>
    <row r="3706" spans="1:13" x14ac:dyDescent="0.25">
      <c r="A3706" s="1" t="str">
        <f>HYPERLINK("http://www.rosaceae.org/Prunus/Prunus_persica/p.persica_gdr_reftransV1_0001070","p.persica_gdr_reftransV1_0001070")</f>
        <v>p.persica_gdr_reftransV1_0001070</v>
      </c>
      <c r="B3706" s="3">
        <v>308</v>
      </c>
      <c r="C3706" s="1" t="str">
        <f>HYPERLINK("http://www.uniprot.org/uniprot/WR52R_ARATH","WR52R_ARATH")</f>
        <v>WR52R_ARATH</v>
      </c>
      <c r="D3706" t="s">
        <v>3363</v>
      </c>
      <c r="E3706" s="3" t="s">
        <v>3</v>
      </c>
      <c r="F3706" s="4">
        <v>2.6700000000000001E-9</v>
      </c>
      <c r="G3706" s="3">
        <v>139</v>
      </c>
      <c r="H3706" s="3">
        <v>35</v>
      </c>
      <c r="I3706" s="3">
        <v>104</v>
      </c>
      <c r="J3706" s="3">
        <v>22</v>
      </c>
      <c r="K3706" s="3">
        <v>300</v>
      </c>
      <c r="L3706" s="3">
        <v>492</v>
      </c>
      <c r="M3706" s="3">
        <v>592</v>
      </c>
    </row>
    <row r="3707" spans="1:13" x14ac:dyDescent="0.25">
      <c r="A3707" s="1" t="str">
        <f>HYPERLINK("http://www.rosaceae.org/Prunus/Prunus_persica/p.persica_gdr_reftransV1_0001220","p.persica_gdr_reftransV1_0001220")</f>
        <v>p.persica_gdr_reftransV1_0001220</v>
      </c>
      <c r="B3707" s="3">
        <v>359</v>
      </c>
      <c r="C3707" s="1" t="str">
        <f>HYPERLINK("http://www.uniprot.org/uniprot/BGLS_TRIRP","BGLS_TRIRP")</f>
        <v>BGLS_TRIRP</v>
      </c>
      <c r="D3707" t="s">
        <v>732</v>
      </c>
      <c r="E3707" s="3" t="s">
        <v>733</v>
      </c>
      <c r="F3707" s="4">
        <v>1.24E-29</v>
      </c>
      <c r="G3707" s="3">
        <v>287</v>
      </c>
      <c r="H3707" s="3">
        <v>68</v>
      </c>
      <c r="I3707" s="3">
        <v>74</v>
      </c>
      <c r="J3707" s="3">
        <v>137</v>
      </c>
      <c r="K3707" s="3">
        <v>358</v>
      </c>
      <c r="L3707" s="3">
        <v>33</v>
      </c>
      <c r="M3707" s="3">
        <v>103</v>
      </c>
    </row>
    <row r="3708" spans="1:13" x14ac:dyDescent="0.25">
      <c r="A3708" s="1" t="str">
        <f>HYPERLINK("http://www.rosaceae.org/Prunus/Prunus_persica/p.persica_gdr_reftransV1_0001270","p.persica_gdr_reftransV1_0001270")</f>
        <v>p.persica_gdr_reftransV1_0001270</v>
      </c>
      <c r="B3708" s="3">
        <v>880</v>
      </c>
      <c r="C3708" s="1" t="str">
        <f>HYPERLINK("http://www.uniprot.org/uniprot/SILD_FORIN","SILD_FORIN")</f>
        <v>SILD_FORIN</v>
      </c>
      <c r="D3708" t="s">
        <v>2439</v>
      </c>
      <c r="E3708" s="3" t="s">
        <v>2440</v>
      </c>
      <c r="F3708" s="4">
        <v>3.3399999999999999E-65</v>
      </c>
      <c r="G3708" s="3">
        <v>539</v>
      </c>
      <c r="H3708" s="3">
        <v>58</v>
      </c>
      <c r="I3708" s="3">
        <v>184</v>
      </c>
      <c r="J3708" s="3">
        <v>41</v>
      </c>
      <c r="K3708" s="3">
        <v>580</v>
      </c>
      <c r="L3708" s="3">
        <v>90</v>
      </c>
      <c r="M3708" s="3">
        <v>273</v>
      </c>
    </row>
    <row r="3709" spans="1:13" x14ac:dyDescent="0.25">
      <c r="A3709" s="1" t="str">
        <f>HYPERLINK("http://www.rosaceae.org/Prunus/Prunus_persica/p.persica_gdr_reftransV1_0001320","p.persica_gdr_reftransV1_0001320")</f>
        <v>p.persica_gdr_reftransV1_0001320</v>
      </c>
      <c r="B3709" s="3">
        <v>1369</v>
      </c>
      <c r="C3709" s="1" t="str">
        <f>HYPERLINK("http://www.uniprot.org/uniprot/FOLD1_ARATH","FOLD1_ARATH")</f>
        <v>FOLD1_ARATH</v>
      </c>
      <c r="D3709" t="s">
        <v>3364</v>
      </c>
      <c r="E3709" s="3" t="s">
        <v>3</v>
      </c>
      <c r="F3709" s="4">
        <v>1.9200000000000001E-125</v>
      </c>
      <c r="G3709" s="3">
        <v>963</v>
      </c>
      <c r="H3709" s="3">
        <v>57</v>
      </c>
      <c r="I3709" s="3">
        <v>314</v>
      </c>
      <c r="J3709" s="3">
        <v>197</v>
      </c>
      <c r="K3709" s="3">
        <v>1132</v>
      </c>
      <c r="L3709" s="3">
        <v>45</v>
      </c>
      <c r="M3709" s="3">
        <v>351</v>
      </c>
    </row>
    <row r="3710" spans="1:13" x14ac:dyDescent="0.25">
      <c r="A3710" s="1" t="str">
        <f>HYPERLINK("http://www.rosaceae.org/Prunus/Prunus_persica/p.persica_gdr_reftransV1_0001370","p.persica_gdr_reftransV1_0001370")</f>
        <v>p.persica_gdr_reftransV1_0001370</v>
      </c>
      <c r="B3710" s="3">
        <v>505</v>
      </c>
      <c r="C3710" s="1" t="str">
        <f>HYPERLINK("http://www.uniprot.org/uniprot/RLP12_ARATH","RLP12_ARATH")</f>
        <v>RLP12_ARATH</v>
      </c>
      <c r="D3710" t="s">
        <v>1219</v>
      </c>
      <c r="E3710" s="3" t="s">
        <v>3</v>
      </c>
      <c r="F3710" s="4">
        <v>6.3800000000000001E-16</v>
      </c>
      <c r="G3710" s="3">
        <v>194</v>
      </c>
      <c r="H3710" s="3">
        <v>35</v>
      </c>
      <c r="I3710" s="3">
        <v>136</v>
      </c>
      <c r="J3710" s="3">
        <v>10</v>
      </c>
      <c r="K3710" s="3">
        <v>417</v>
      </c>
      <c r="L3710" s="3">
        <v>41</v>
      </c>
      <c r="M3710" s="3">
        <v>166</v>
      </c>
    </row>
    <row r="3711" spans="1:13" x14ac:dyDescent="0.25">
      <c r="A3711" s="1" t="str">
        <f>HYPERLINK("http://www.rosaceae.org/Prunus/Prunus_persica/p.persica_gdr_reftransV1_0001420","p.persica_gdr_reftransV1_0001420")</f>
        <v>p.persica_gdr_reftransV1_0001420</v>
      </c>
      <c r="B3711" s="3">
        <v>625</v>
      </c>
      <c r="C3711" s="1" t="str">
        <f>HYPERLINK("http://www.uniprot.org/uniprot/GSXL4_ARATH","GSXL4_ARATH")</f>
        <v>GSXL4_ARATH</v>
      </c>
      <c r="D3711" t="s">
        <v>3365</v>
      </c>
      <c r="E3711" s="3" t="s">
        <v>3</v>
      </c>
      <c r="F3711" s="4">
        <v>1.4E-56</v>
      </c>
      <c r="G3711" s="3">
        <v>485</v>
      </c>
      <c r="H3711" s="3">
        <v>53</v>
      </c>
      <c r="I3711" s="3">
        <v>178</v>
      </c>
      <c r="J3711" s="3">
        <v>2</v>
      </c>
      <c r="K3711" s="3">
        <v>535</v>
      </c>
      <c r="L3711" s="3">
        <v>165</v>
      </c>
      <c r="M3711" s="3">
        <v>299</v>
      </c>
    </row>
    <row r="3712" spans="1:13" x14ac:dyDescent="0.25">
      <c r="A3712" s="1" t="str">
        <f>HYPERLINK("http://www.rosaceae.org/Prunus/Prunus_persica/p.persica_gdr_reftransV1_0001520","p.persica_gdr_reftransV1_0001520")</f>
        <v>p.persica_gdr_reftransV1_0001520</v>
      </c>
      <c r="B3712" s="3">
        <v>740</v>
      </c>
      <c r="C3712" s="1" t="str">
        <f>HYPERLINK("http://www.uniprot.org/uniprot/PP330_ARATH","PP330_ARATH")</f>
        <v>PP330_ARATH</v>
      </c>
      <c r="D3712" t="s">
        <v>755</v>
      </c>
      <c r="E3712" s="3" t="s">
        <v>3</v>
      </c>
      <c r="F3712" s="4">
        <v>7.5699999999999999E-34</v>
      </c>
      <c r="G3712" s="3">
        <v>332</v>
      </c>
      <c r="H3712" s="3">
        <v>33</v>
      </c>
      <c r="I3712" s="3">
        <v>202</v>
      </c>
      <c r="J3712" s="3">
        <v>111</v>
      </c>
      <c r="K3712" s="3">
        <v>710</v>
      </c>
      <c r="L3712" s="3">
        <v>72</v>
      </c>
      <c r="M3712" s="3">
        <v>270</v>
      </c>
    </row>
    <row r="3713" spans="1:13" x14ac:dyDescent="0.25">
      <c r="A3713" s="1" t="str">
        <f>HYPERLINK("http://www.rosaceae.org/Prunus/Prunus_persica/p.persica_gdr_reftransV1_0001620","p.persica_gdr_reftransV1_0001620")</f>
        <v>p.persica_gdr_reftransV1_0001620</v>
      </c>
      <c r="B3713" s="3">
        <v>458</v>
      </c>
      <c r="C3713" s="1" t="str">
        <f>HYPERLINK("http://www.uniprot.org/uniprot/ESP1_ARATH","ESP1_ARATH")</f>
        <v>ESP1_ARATH</v>
      </c>
      <c r="D3713" t="s">
        <v>3366</v>
      </c>
      <c r="E3713" s="3" t="s">
        <v>3</v>
      </c>
      <c r="F3713" s="4">
        <v>5.45E-9</v>
      </c>
      <c r="G3713" s="3">
        <v>139</v>
      </c>
      <c r="H3713" s="3">
        <v>28</v>
      </c>
      <c r="I3713" s="3">
        <v>162</v>
      </c>
      <c r="J3713" s="3">
        <v>3</v>
      </c>
      <c r="K3713" s="3">
        <v>458</v>
      </c>
      <c r="L3713" s="3">
        <v>341</v>
      </c>
      <c r="M3713" s="3">
        <v>500</v>
      </c>
    </row>
    <row r="3714" spans="1:13" x14ac:dyDescent="0.25">
      <c r="A3714" s="1" t="str">
        <f>HYPERLINK("http://www.rosaceae.org/Prunus/Prunus_persica/p.persica_gdr_reftransV1_0001670","p.persica_gdr_reftransV1_0001670")</f>
        <v>p.persica_gdr_reftransV1_0001670</v>
      </c>
      <c r="B3714" s="3">
        <v>635</v>
      </c>
      <c r="C3714" s="1" t="str">
        <f>HYPERLINK("http://www.uniprot.org/uniprot/E13B_WHEAT","E13B_WHEAT")</f>
        <v>E13B_WHEAT</v>
      </c>
      <c r="D3714" t="s">
        <v>1559</v>
      </c>
      <c r="E3714" s="3" t="s">
        <v>710</v>
      </c>
      <c r="F3714" s="4">
        <v>3.2499999999999997E-33</v>
      </c>
      <c r="G3714" s="3">
        <v>322</v>
      </c>
      <c r="H3714" s="3">
        <v>45</v>
      </c>
      <c r="I3714" s="3">
        <v>175</v>
      </c>
      <c r="J3714" s="3">
        <v>3</v>
      </c>
      <c r="K3714" s="3">
        <v>512</v>
      </c>
      <c r="L3714" s="3">
        <v>26</v>
      </c>
      <c r="M3714" s="3">
        <v>199</v>
      </c>
    </row>
    <row r="3715" spans="1:13" x14ac:dyDescent="0.25">
      <c r="A3715" s="1" t="str">
        <f>HYPERLINK("http://www.rosaceae.org/Prunus/Prunus_persica/p.persica_gdr_reftransV1_0001820","p.persica_gdr_reftransV1_0001820")</f>
        <v>p.persica_gdr_reftransV1_0001820</v>
      </c>
      <c r="B3715" s="3">
        <v>3439</v>
      </c>
      <c r="C3715" s="1" t="str">
        <f>HYPERLINK("http://www.uniprot.org/uniprot/PP213_ARATH","PP213_ARATH")</f>
        <v>PP213_ARATH</v>
      </c>
      <c r="D3715" t="s">
        <v>1026</v>
      </c>
      <c r="E3715" s="3" t="s">
        <v>3</v>
      </c>
      <c r="F3715" s="4">
        <v>8.3199999999999999E-13</v>
      </c>
      <c r="G3715" s="3">
        <v>186</v>
      </c>
      <c r="H3715" s="3">
        <v>36</v>
      </c>
      <c r="I3715" s="3">
        <v>97</v>
      </c>
      <c r="J3715" s="3">
        <v>18</v>
      </c>
      <c r="K3715" s="3">
        <v>308</v>
      </c>
      <c r="L3715" s="3">
        <v>249</v>
      </c>
      <c r="M3715" s="3">
        <v>345</v>
      </c>
    </row>
    <row r="3716" spans="1:13" x14ac:dyDescent="0.25">
      <c r="A3716" s="1" t="str">
        <f>HYPERLINK("http://www.rosaceae.org/Prunus/Prunus_persica/p.persica_gdr_reftransV1_0002020","p.persica_gdr_reftransV1_0002020")</f>
        <v>p.persica_gdr_reftransV1_0002020</v>
      </c>
      <c r="B3716" s="3">
        <v>1969</v>
      </c>
      <c r="C3716" s="1" t="str">
        <f>HYPERLINK("http://www.uniprot.org/uniprot/PLT5_ARATH","PLT5_ARATH")</f>
        <v>PLT5_ARATH</v>
      </c>
      <c r="D3716" t="s">
        <v>133</v>
      </c>
      <c r="E3716" s="3" t="s">
        <v>3</v>
      </c>
      <c r="F3716" s="4">
        <v>0</v>
      </c>
      <c r="G3716" s="3">
        <v>1700</v>
      </c>
      <c r="H3716" s="3">
        <v>68</v>
      </c>
      <c r="I3716" s="3">
        <v>535</v>
      </c>
      <c r="J3716" s="3">
        <v>143</v>
      </c>
      <c r="K3716" s="3">
        <v>1741</v>
      </c>
      <c r="L3716" s="3">
        <v>1</v>
      </c>
      <c r="M3716" s="3">
        <v>528</v>
      </c>
    </row>
    <row r="3717" spans="1:13" x14ac:dyDescent="0.25">
      <c r="A3717" s="1" t="str">
        <f>HYPERLINK("http://www.rosaceae.org/Prunus/Prunus_persica/p.persica_gdr_reftransV1_0002070","p.persica_gdr_reftransV1_0002070")</f>
        <v>p.persica_gdr_reftransV1_0002070</v>
      </c>
      <c r="B3717" s="3">
        <v>1959</v>
      </c>
      <c r="C3717" s="1" t="str">
        <f>HYPERLINK("http://www.uniprot.org/uniprot/C71A1_PERAE","C71A1_PERAE")</f>
        <v>C71A1_PERAE</v>
      </c>
      <c r="D3717" t="s">
        <v>102</v>
      </c>
      <c r="E3717" s="3" t="s">
        <v>103</v>
      </c>
      <c r="F3717" s="4">
        <v>3.7200000000000002E-152</v>
      </c>
      <c r="G3717" s="3">
        <v>1174</v>
      </c>
      <c r="H3717" s="3">
        <v>51</v>
      </c>
      <c r="I3717" s="3">
        <v>460</v>
      </c>
      <c r="J3717" s="3">
        <v>270</v>
      </c>
      <c r="K3717" s="3">
        <v>1634</v>
      </c>
      <c r="L3717" s="3">
        <v>41</v>
      </c>
      <c r="M3717" s="3">
        <v>496</v>
      </c>
    </row>
    <row r="3718" spans="1:13" x14ac:dyDescent="0.25">
      <c r="A3718" s="1" t="str">
        <f>HYPERLINK("http://www.rosaceae.org/Prunus/Prunus_persica/p.persica_gdr_reftransV1_0002120","p.persica_gdr_reftransV1_0002120")</f>
        <v>p.persica_gdr_reftransV1_0002120</v>
      </c>
      <c r="B3718" s="3">
        <v>714</v>
      </c>
      <c r="C3718" s="1" t="str">
        <f>HYPERLINK("http://www.uniprot.org/uniprot/SUP_ARATH","SUP_ARATH")</f>
        <v>SUP_ARATH</v>
      </c>
      <c r="D3718" t="s">
        <v>3367</v>
      </c>
      <c r="E3718" s="3" t="s">
        <v>3</v>
      </c>
      <c r="F3718" s="4">
        <v>2.5599999999999999E-10</v>
      </c>
      <c r="G3718" s="3">
        <v>147</v>
      </c>
      <c r="H3718" s="3">
        <v>76</v>
      </c>
      <c r="I3718" s="3">
        <v>33</v>
      </c>
      <c r="J3718" s="3">
        <v>484</v>
      </c>
      <c r="K3718" s="3">
        <v>582</v>
      </c>
      <c r="L3718" s="3">
        <v>37</v>
      </c>
      <c r="M3718" s="3">
        <v>69</v>
      </c>
    </row>
    <row r="3719" spans="1:13" x14ac:dyDescent="0.25">
      <c r="A3719" s="1" t="str">
        <f>HYPERLINK("http://www.rosaceae.org/Prunus/Prunus_persica/p.persica_gdr_reftransV1_0002220","p.persica_gdr_reftransV1_0002220")</f>
        <v>p.persica_gdr_reftransV1_0002220</v>
      </c>
      <c r="B3719" s="3">
        <v>1493</v>
      </c>
      <c r="C3719" s="1" t="str">
        <f>HYPERLINK("http://www.uniprot.org/uniprot/FAF3_ARATH","FAF3_ARATH")</f>
        <v>FAF3_ARATH</v>
      </c>
      <c r="D3719" t="s">
        <v>3368</v>
      </c>
      <c r="E3719" s="3" t="s">
        <v>3</v>
      </c>
      <c r="F3719" s="4">
        <v>5.5400000000000003E-28</v>
      </c>
      <c r="G3719" s="3">
        <v>291</v>
      </c>
      <c r="H3719" s="3">
        <v>37</v>
      </c>
      <c r="I3719" s="3">
        <v>243</v>
      </c>
      <c r="J3719" s="3">
        <v>515</v>
      </c>
      <c r="K3719" s="3">
        <v>1234</v>
      </c>
      <c r="L3719" s="3">
        <v>1</v>
      </c>
      <c r="M3719" s="3">
        <v>219</v>
      </c>
    </row>
    <row r="3720" spans="1:13" x14ac:dyDescent="0.25">
      <c r="A3720" s="1" t="str">
        <f>HYPERLINK("http://www.rosaceae.org/Prunus/Prunus_persica/p.persica_gdr_reftransV1_0002270","p.persica_gdr_reftransV1_0002270")</f>
        <v>p.persica_gdr_reftransV1_0002270</v>
      </c>
      <c r="B3720" s="3">
        <v>1742</v>
      </c>
      <c r="C3720" s="1" t="str">
        <f>HYPERLINK("http://www.uniprot.org/uniprot/TB22B_HUMAN","TB22B_HUMAN")</f>
        <v>TB22B_HUMAN</v>
      </c>
      <c r="D3720" t="s">
        <v>2375</v>
      </c>
      <c r="E3720" s="3" t="s">
        <v>28</v>
      </c>
      <c r="F3720" s="4">
        <v>7.8699999999999997E-86</v>
      </c>
      <c r="G3720" s="3">
        <v>679</v>
      </c>
      <c r="H3720" s="3">
        <v>54</v>
      </c>
      <c r="I3720" s="3">
        <v>235</v>
      </c>
      <c r="J3720" s="3">
        <v>815</v>
      </c>
      <c r="K3720" s="3">
        <v>1516</v>
      </c>
      <c r="L3720" s="3">
        <v>268</v>
      </c>
      <c r="M3720" s="3">
        <v>502</v>
      </c>
    </row>
    <row r="3721" spans="1:13" x14ac:dyDescent="0.25">
      <c r="A3721" s="1" t="str">
        <f>HYPERLINK("http://www.rosaceae.org/Prunus/Prunus_persica/p.persica_gdr_reftransV1_0002320","p.persica_gdr_reftransV1_0002320")</f>
        <v>p.persica_gdr_reftransV1_0002320</v>
      </c>
      <c r="B3721" s="3">
        <v>1742</v>
      </c>
      <c r="C3721" s="1" t="str">
        <f>HYPERLINK("http://www.uniprot.org/uniprot/SRF3_ARATH","SRF3_ARATH")</f>
        <v>SRF3_ARATH</v>
      </c>
      <c r="D3721" t="s">
        <v>2722</v>
      </c>
      <c r="E3721" s="3" t="s">
        <v>3</v>
      </c>
      <c r="F3721" s="4">
        <v>1.8700000000000001E-87</v>
      </c>
      <c r="G3721" s="3">
        <v>751</v>
      </c>
      <c r="H3721" s="3">
        <v>56</v>
      </c>
      <c r="I3721" s="3">
        <v>358</v>
      </c>
      <c r="J3721" s="3">
        <v>348</v>
      </c>
      <c r="K3721" s="3">
        <v>1409</v>
      </c>
      <c r="L3721" s="3">
        <v>21</v>
      </c>
      <c r="M3721" s="3">
        <v>377</v>
      </c>
    </row>
    <row r="3722" spans="1:13" x14ac:dyDescent="0.25">
      <c r="A3722" s="1" t="str">
        <f>HYPERLINK("http://www.rosaceae.org/Prunus/Prunus_persica/p.persica_gdr_reftransV1_0002370","p.persica_gdr_reftransV1_0002370")</f>
        <v>p.persica_gdr_reftransV1_0002370</v>
      </c>
      <c r="B3722" s="3">
        <v>413</v>
      </c>
      <c r="C3722" s="1" t="str">
        <f>HYPERLINK("http://www.uniprot.org/uniprot/STE12_EMENI","STE12_EMENI")</f>
        <v>STE12_EMENI</v>
      </c>
      <c r="D3722" t="s">
        <v>3369</v>
      </c>
      <c r="E3722" s="3" t="s">
        <v>205</v>
      </c>
      <c r="F3722" s="4">
        <v>1.05E-25</v>
      </c>
      <c r="G3722" s="3">
        <v>264</v>
      </c>
      <c r="H3722" s="3">
        <v>79</v>
      </c>
      <c r="I3722" s="3">
        <v>57</v>
      </c>
      <c r="J3722" s="3">
        <v>243</v>
      </c>
      <c r="K3722" s="3">
        <v>413</v>
      </c>
      <c r="L3722" s="3">
        <v>567</v>
      </c>
      <c r="M3722" s="3">
        <v>623</v>
      </c>
    </row>
    <row r="3723" spans="1:13" x14ac:dyDescent="0.25">
      <c r="A3723" s="1" t="str">
        <f>HYPERLINK("http://www.rosaceae.org/Prunus/Prunus_persica/p.persica_gdr_reftransV1_0002420","p.persica_gdr_reftransV1_0002420")</f>
        <v>p.persica_gdr_reftransV1_0002420</v>
      </c>
      <c r="B3723" s="3">
        <v>2269</v>
      </c>
      <c r="C3723" s="1" t="str">
        <f>HYPERLINK("http://www.uniprot.org/uniprot/SCAR3_ARATH","SCAR3_ARATH")</f>
        <v>SCAR3_ARATH</v>
      </c>
      <c r="D3723" t="s">
        <v>3370</v>
      </c>
      <c r="E3723" s="3" t="s">
        <v>3</v>
      </c>
      <c r="F3723" s="4">
        <v>2.7299999999999999E-29</v>
      </c>
      <c r="G3723" s="3">
        <v>323</v>
      </c>
      <c r="H3723" s="3">
        <v>34</v>
      </c>
      <c r="I3723" s="3">
        <v>344</v>
      </c>
      <c r="J3723" s="3">
        <v>106</v>
      </c>
      <c r="K3723" s="3">
        <v>1122</v>
      </c>
      <c r="L3723" s="3">
        <v>549</v>
      </c>
      <c r="M3723" s="3">
        <v>834</v>
      </c>
    </row>
    <row r="3724" spans="1:13" x14ac:dyDescent="0.25">
      <c r="A3724" s="1" t="str">
        <f>HYPERLINK("http://www.rosaceae.org/Prunus/Prunus_persica/p.persica_gdr_reftransV1_0002670","p.persica_gdr_reftransV1_0002670")</f>
        <v>p.persica_gdr_reftransV1_0002670</v>
      </c>
      <c r="B3724" s="3">
        <v>1072</v>
      </c>
      <c r="C3724" s="1" t="str">
        <f>HYPERLINK("http://www.uniprot.org/uniprot/EXPA4_ARATH","EXPA4_ARATH")</f>
        <v>EXPA4_ARATH</v>
      </c>
      <c r="D3724" t="s">
        <v>450</v>
      </c>
      <c r="E3724" s="3" t="s">
        <v>3</v>
      </c>
      <c r="F3724" s="4">
        <v>2.7800000000000001E-160</v>
      </c>
      <c r="G3724" s="3">
        <v>1174</v>
      </c>
      <c r="H3724" s="3">
        <v>84</v>
      </c>
      <c r="I3724" s="3">
        <v>253</v>
      </c>
      <c r="J3724" s="3">
        <v>231</v>
      </c>
      <c r="K3724" s="3">
        <v>989</v>
      </c>
      <c r="L3724" s="3">
        <v>5</v>
      </c>
      <c r="M3724" s="3">
        <v>257</v>
      </c>
    </row>
    <row r="3725" spans="1:13" x14ac:dyDescent="0.25">
      <c r="A3725" s="1" t="str">
        <f>HYPERLINK("http://www.rosaceae.org/Prunus/Prunus_persica/p.persica_gdr_reftransV1_0002720","p.persica_gdr_reftransV1_0002720")</f>
        <v>p.persica_gdr_reftransV1_0002720</v>
      </c>
      <c r="B3725" s="3">
        <v>1385</v>
      </c>
      <c r="C3725" s="1" t="str">
        <f>HYPERLINK("http://www.uniprot.org/uniprot/DRL13_ARATH","DRL13_ARATH")</f>
        <v>DRL13_ARATH</v>
      </c>
      <c r="D3725" t="s">
        <v>3371</v>
      </c>
      <c r="E3725" s="3" t="s">
        <v>3</v>
      </c>
      <c r="F3725" s="4">
        <v>9.5800000000000004E-25</v>
      </c>
      <c r="G3725" s="3">
        <v>277</v>
      </c>
      <c r="H3725" s="3">
        <v>34</v>
      </c>
      <c r="I3725" s="3">
        <v>308</v>
      </c>
      <c r="J3725" s="3">
        <v>369</v>
      </c>
      <c r="K3725" s="3">
        <v>1280</v>
      </c>
      <c r="L3725" s="3">
        <v>574</v>
      </c>
      <c r="M3725" s="3">
        <v>864</v>
      </c>
    </row>
    <row r="3726" spans="1:13" x14ac:dyDescent="0.25">
      <c r="A3726" s="1" t="str">
        <f>HYPERLINK("http://www.rosaceae.org/Prunus/Prunus_persica/p.persica_gdr_reftransV1_0002820","p.persica_gdr_reftransV1_0002820")</f>
        <v>p.persica_gdr_reftransV1_0002820</v>
      </c>
      <c r="B3726" s="3">
        <v>2920</v>
      </c>
      <c r="C3726" s="1" t="str">
        <f>HYPERLINK("http://www.uniprot.org/uniprot/TYPA_HELPY","TYPA_HELPY")</f>
        <v>TYPA_HELPY</v>
      </c>
      <c r="D3726" t="s">
        <v>3372</v>
      </c>
      <c r="E3726" s="3" t="s">
        <v>3373</v>
      </c>
      <c r="F3726" s="4">
        <v>2.2599999999999999E-169</v>
      </c>
      <c r="G3726" s="3">
        <v>1326</v>
      </c>
      <c r="H3726" s="3">
        <v>45</v>
      </c>
      <c r="I3726" s="3">
        <v>623</v>
      </c>
      <c r="J3726" s="3">
        <v>588</v>
      </c>
      <c r="K3726" s="3">
        <v>2444</v>
      </c>
      <c r="L3726" s="3">
        <v>4</v>
      </c>
      <c r="M3726" s="3">
        <v>599</v>
      </c>
    </row>
    <row r="3727" spans="1:13" x14ac:dyDescent="0.25">
      <c r="A3727" s="1" t="str">
        <f>HYPERLINK("http://www.rosaceae.org/Prunus/Prunus_persica/p.persica_gdr_reftransV1_0002920","p.persica_gdr_reftransV1_0002920")</f>
        <v>p.persica_gdr_reftransV1_0002920</v>
      </c>
      <c r="B3727" s="3">
        <v>3722</v>
      </c>
      <c r="C3727" s="1" t="str">
        <f>HYPERLINK("http://www.uniprot.org/uniprot/PRP4B_RAT","PRP4B_RAT")</f>
        <v>PRP4B_RAT</v>
      </c>
      <c r="D3727" t="s">
        <v>3374</v>
      </c>
      <c r="E3727" s="3" t="s">
        <v>161</v>
      </c>
      <c r="F3727" s="4">
        <v>5.3800000000000003E-125</v>
      </c>
      <c r="G3727" s="3">
        <v>1072</v>
      </c>
      <c r="H3727" s="3">
        <v>54</v>
      </c>
      <c r="I3727" s="3">
        <v>374</v>
      </c>
      <c r="J3727" s="3">
        <v>2150</v>
      </c>
      <c r="K3727" s="3">
        <v>3256</v>
      </c>
      <c r="L3727" s="3">
        <v>636</v>
      </c>
      <c r="M3727" s="3">
        <v>1006</v>
      </c>
    </row>
    <row r="3728" spans="1:13" x14ac:dyDescent="0.25">
      <c r="A3728" s="1" t="str">
        <f>HYPERLINK("http://www.rosaceae.org/Prunus/Prunus_persica/p.persica_gdr_reftransV1_0003220","p.persica_gdr_reftransV1_0003220")</f>
        <v>p.persica_gdr_reftransV1_0003220</v>
      </c>
      <c r="B3728" s="3">
        <v>2607</v>
      </c>
      <c r="C3728" s="1" t="str">
        <f>HYPERLINK("http://www.uniprot.org/uniprot/P2C60_ORYSJ","P2C60_ORYSJ")</f>
        <v>P2C60_ORYSJ</v>
      </c>
      <c r="D3728" t="s">
        <v>3375</v>
      </c>
      <c r="E3728" s="3" t="s">
        <v>38</v>
      </c>
      <c r="F3728" s="4">
        <v>5.4099999999999996E-180</v>
      </c>
      <c r="G3728" s="3">
        <v>1368</v>
      </c>
      <c r="H3728" s="3">
        <v>80</v>
      </c>
      <c r="I3728" s="3">
        <v>308</v>
      </c>
      <c r="J3728" s="3">
        <v>1189</v>
      </c>
      <c r="K3728" s="3">
        <v>2112</v>
      </c>
      <c r="L3728" s="3">
        <v>1</v>
      </c>
      <c r="M3728" s="3">
        <v>308</v>
      </c>
    </row>
    <row r="3729" spans="1:13" x14ac:dyDescent="0.25">
      <c r="A3729" s="1" t="str">
        <f>HYPERLINK("http://www.rosaceae.org/Prunus/Prunus_persica/p.persica_gdr_reftransV1_0003270","p.persica_gdr_reftransV1_0003270")</f>
        <v>p.persica_gdr_reftransV1_0003270</v>
      </c>
      <c r="B3729" s="3">
        <v>479</v>
      </c>
      <c r="C3729" s="1" t="str">
        <f>HYPERLINK("http://www.uniprot.org/uniprot/WTR5_ARATH","WTR5_ARATH")</f>
        <v>WTR5_ARATH</v>
      </c>
      <c r="D3729" t="s">
        <v>3376</v>
      </c>
      <c r="E3729" s="3" t="s">
        <v>3</v>
      </c>
      <c r="F3729" s="4">
        <v>2.6299999999999999E-52</v>
      </c>
      <c r="G3729" s="3">
        <v>447</v>
      </c>
      <c r="H3729" s="3">
        <v>62</v>
      </c>
      <c r="I3729" s="3">
        <v>169</v>
      </c>
      <c r="J3729" s="3">
        <v>2</v>
      </c>
      <c r="K3729" s="3">
        <v>478</v>
      </c>
      <c r="L3729" s="3">
        <v>93</v>
      </c>
      <c r="M3729" s="3">
        <v>261</v>
      </c>
    </row>
    <row r="3730" spans="1:13" x14ac:dyDescent="0.25">
      <c r="A3730" s="1" t="str">
        <f>HYPERLINK("http://www.rosaceae.org/Prunus/Prunus_persica/p.persica_gdr_reftransV1_0003370","p.persica_gdr_reftransV1_0003370")</f>
        <v>p.persica_gdr_reftransV1_0003370</v>
      </c>
      <c r="B3730" s="3">
        <v>371</v>
      </c>
      <c r="C3730" s="1" t="str">
        <f>HYPERLINK("http://www.uniprot.org/uniprot/PBP1_ARATH","PBP1_ARATH")</f>
        <v>PBP1_ARATH</v>
      </c>
      <c r="D3730" t="s">
        <v>1929</v>
      </c>
      <c r="E3730" s="3" t="s">
        <v>3</v>
      </c>
      <c r="F3730" s="4">
        <v>2.5599999999999999E-36</v>
      </c>
      <c r="G3730" s="3">
        <v>317</v>
      </c>
      <c r="H3730" s="3">
        <v>58</v>
      </c>
      <c r="I3730" s="3">
        <v>106</v>
      </c>
      <c r="J3730" s="3">
        <v>14</v>
      </c>
      <c r="K3730" s="3">
        <v>328</v>
      </c>
      <c r="L3730" s="3">
        <v>19</v>
      </c>
      <c r="M3730" s="3">
        <v>124</v>
      </c>
    </row>
    <row r="3731" spans="1:13" x14ac:dyDescent="0.25">
      <c r="A3731" s="1" t="str">
        <f>HYPERLINK("http://www.rosaceae.org/Prunus/Prunus_persica/p.persica_gdr_reftransV1_0003520","p.persica_gdr_reftransV1_0003520")</f>
        <v>p.persica_gdr_reftransV1_0003520</v>
      </c>
      <c r="B3731" s="3">
        <v>2152</v>
      </c>
      <c r="C3731" s="1" t="str">
        <f>HYPERLINK("http://www.uniprot.org/uniprot/ANTR4_ARATH","ANTR4_ARATH")</f>
        <v>ANTR4_ARATH</v>
      </c>
      <c r="D3731" t="s">
        <v>3377</v>
      </c>
      <c r="E3731" s="3" t="s">
        <v>3</v>
      </c>
      <c r="F3731" s="4">
        <v>0</v>
      </c>
      <c r="G3731" s="3">
        <v>1094</v>
      </c>
      <c r="H3731" s="3">
        <v>68</v>
      </c>
      <c r="I3731" s="3">
        <v>336</v>
      </c>
      <c r="J3731" s="3">
        <v>1002</v>
      </c>
      <c r="K3731" s="3">
        <v>2000</v>
      </c>
      <c r="L3731" s="3">
        <v>19</v>
      </c>
      <c r="M3731" s="3">
        <v>351</v>
      </c>
    </row>
    <row r="3732" spans="1:13" x14ac:dyDescent="0.25">
      <c r="A3732" s="1" t="str">
        <f>HYPERLINK("http://www.rosaceae.org/Prunus/Prunus_persica/p.persica_gdr_reftransV1_0003670","p.persica_gdr_reftransV1_0003670")</f>
        <v>p.persica_gdr_reftransV1_0003670</v>
      </c>
      <c r="B3732" s="3">
        <v>666</v>
      </c>
      <c r="C3732" s="1" t="str">
        <f>HYPERLINK("http://www.uniprot.org/uniprot/RCA_MALDO","RCA_MALDO")</f>
        <v>RCA_MALDO</v>
      </c>
      <c r="D3732" t="s">
        <v>539</v>
      </c>
      <c r="E3732" s="3" t="s">
        <v>540</v>
      </c>
      <c r="F3732" s="4">
        <v>1.5399999999999999E-82</v>
      </c>
      <c r="G3732" s="3">
        <v>661</v>
      </c>
      <c r="H3732" s="3">
        <v>76</v>
      </c>
      <c r="I3732" s="3">
        <v>182</v>
      </c>
      <c r="J3732" s="3">
        <v>1</v>
      </c>
      <c r="K3732" s="3">
        <v>546</v>
      </c>
      <c r="L3732" s="3">
        <v>1</v>
      </c>
      <c r="M3732" s="3">
        <v>180</v>
      </c>
    </row>
    <row r="3733" spans="1:13" x14ac:dyDescent="0.25">
      <c r="A3733" s="1" t="str">
        <f>HYPERLINK("http://www.rosaceae.org/Prunus/Prunus_persica/p.persica_gdr_reftransV1_0003720","p.persica_gdr_reftransV1_0003720")</f>
        <v>p.persica_gdr_reftransV1_0003720</v>
      </c>
      <c r="B3733" s="3">
        <v>716</v>
      </c>
      <c r="C3733" s="1" t="str">
        <f>HYPERLINK("http://www.uniprot.org/uniprot/SCAB1_ARATH","SCAB1_ARATH")</f>
        <v>SCAB1_ARATH</v>
      </c>
      <c r="D3733" t="s">
        <v>3378</v>
      </c>
      <c r="E3733" s="3" t="s">
        <v>3</v>
      </c>
      <c r="F3733" s="4">
        <v>2.4999999999999998E-77</v>
      </c>
      <c r="G3733" s="3">
        <v>632</v>
      </c>
      <c r="H3733" s="3">
        <v>83</v>
      </c>
      <c r="I3733" s="3">
        <v>175</v>
      </c>
      <c r="J3733" s="3">
        <v>16</v>
      </c>
      <c r="K3733" s="3">
        <v>540</v>
      </c>
      <c r="L3733" s="3">
        <v>1</v>
      </c>
      <c r="M3733" s="3">
        <v>175</v>
      </c>
    </row>
    <row r="3734" spans="1:13" x14ac:dyDescent="0.25">
      <c r="A3734" s="1" t="str">
        <f>HYPERLINK("http://www.rosaceae.org/Prunus/Prunus_persica/p.persica_gdr_reftransV1_0003770","p.persica_gdr_reftransV1_0003770")</f>
        <v>p.persica_gdr_reftransV1_0003770</v>
      </c>
      <c r="B3734" s="3">
        <v>1224</v>
      </c>
      <c r="C3734" s="1" t="str">
        <f>HYPERLINK("http://www.uniprot.org/uniprot/BAHC1_HUMAN","BAHC1_HUMAN")</f>
        <v>BAHC1_HUMAN</v>
      </c>
      <c r="D3734" t="s">
        <v>3379</v>
      </c>
      <c r="E3734" s="3" t="s">
        <v>28</v>
      </c>
      <c r="F3734" s="4">
        <v>4.2299999999999999E-10</v>
      </c>
      <c r="G3734" s="3">
        <v>159</v>
      </c>
      <c r="H3734" s="3">
        <v>33</v>
      </c>
      <c r="I3734" s="3">
        <v>132</v>
      </c>
      <c r="J3734" s="3">
        <v>585</v>
      </c>
      <c r="K3734" s="3">
        <v>962</v>
      </c>
      <c r="L3734" s="3">
        <v>2478</v>
      </c>
      <c r="M3734" s="3">
        <v>2608</v>
      </c>
    </row>
    <row r="3735" spans="1:13" x14ac:dyDescent="0.25">
      <c r="A3735" s="1" t="str">
        <f>HYPERLINK("http://www.rosaceae.org/Prunus/Prunus_persica/p.persica_gdr_reftransV1_0003820","p.persica_gdr_reftransV1_0003820")</f>
        <v>p.persica_gdr_reftransV1_0003820</v>
      </c>
      <c r="B3735" s="3">
        <v>1846</v>
      </c>
      <c r="C3735" s="1" t="str">
        <f>HYPERLINK("http://www.uniprot.org/uniprot/MMK2_MEDSA","MMK2_MEDSA")</f>
        <v>MMK2_MEDSA</v>
      </c>
      <c r="D3735" t="s">
        <v>3380</v>
      </c>
      <c r="E3735" s="3" t="s">
        <v>515</v>
      </c>
      <c r="F3735" s="4">
        <v>0</v>
      </c>
      <c r="G3735" s="3">
        <v>1792</v>
      </c>
      <c r="H3735" s="3">
        <v>88</v>
      </c>
      <c r="I3735" s="3">
        <v>367</v>
      </c>
      <c r="J3735" s="3">
        <v>198</v>
      </c>
      <c r="K3735" s="3">
        <v>1298</v>
      </c>
      <c r="L3735" s="3">
        <v>2</v>
      </c>
      <c r="M3735" s="3">
        <v>368</v>
      </c>
    </row>
    <row r="3736" spans="1:13" x14ac:dyDescent="0.25">
      <c r="A3736" s="1" t="str">
        <f>HYPERLINK("http://www.rosaceae.org/Prunus/Prunus_persica/p.persica_gdr_reftransV1_0003870","p.persica_gdr_reftransV1_0003870")</f>
        <v>p.persica_gdr_reftransV1_0003870</v>
      </c>
      <c r="B3736" s="3">
        <v>393</v>
      </c>
      <c r="C3736" s="1" t="str">
        <f>HYPERLINK("http://www.uniprot.org/uniprot/PPR70_ARATH","PPR70_ARATH")</f>
        <v>PPR70_ARATH</v>
      </c>
      <c r="D3736" t="s">
        <v>3381</v>
      </c>
      <c r="E3736" s="3" t="s">
        <v>3</v>
      </c>
      <c r="F3736" s="4">
        <v>1.6799999999999999E-30</v>
      </c>
      <c r="G3736" s="3">
        <v>295</v>
      </c>
      <c r="H3736" s="3">
        <v>48</v>
      </c>
      <c r="I3736" s="3">
        <v>132</v>
      </c>
      <c r="J3736" s="3">
        <v>3</v>
      </c>
      <c r="K3736" s="3">
        <v>392</v>
      </c>
      <c r="L3736" s="3">
        <v>33</v>
      </c>
      <c r="M3736" s="3">
        <v>164</v>
      </c>
    </row>
    <row r="3737" spans="1:13" x14ac:dyDescent="0.25">
      <c r="A3737" s="1" t="str">
        <f>HYPERLINK("http://www.rosaceae.org/Prunus/Prunus_persica/p.persica_gdr_reftransV1_0003920","p.persica_gdr_reftransV1_0003920")</f>
        <v>p.persica_gdr_reftransV1_0003920</v>
      </c>
      <c r="B3737" s="3">
        <v>1748</v>
      </c>
      <c r="C3737" s="1" t="str">
        <f>HYPERLINK("http://www.uniprot.org/uniprot/SDE2_MOUSE","SDE2_MOUSE")</f>
        <v>SDE2_MOUSE</v>
      </c>
      <c r="D3737" t="s">
        <v>3382</v>
      </c>
      <c r="E3737" s="3" t="s">
        <v>157</v>
      </c>
      <c r="F3737" s="4">
        <v>4.0800000000000004E-12</v>
      </c>
      <c r="G3737" s="3">
        <v>176</v>
      </c>
      <c r="H3737" s="3">
        <v>53</v>
      </c>
      <c r="I3737" s="3">
        <v>70</v>
      </c>
      <c r="J3737" s="3">
        <v>1292</v>
      </c>
      <c r="K3737" s="3">
        <v>1501</v>
      </c>
      <c r="L3737" s="3">
        <v>372</v>
      </c>
      <c r="M3737" s="3">
        <v>441</v>
      </c>
    </row>
    <row r="3738" spans="1:13" x14ac:dyDescent="0.25">
      <c r="A3738" s="1" t="str">
        <f>HYPERLINK("http://www.rosaceae.org/Prunus/Prunus_persica/p.persica_gdr_reftransV1_0004020","p.persica_gdr_reftransV1_0004020")</f>
        <v>p.persica_gdr_reftransV1_0004020</v>
      </c>
      <c r="B3738" s="3">
        <v>1723</v>
      </c>
      <c r="C3738" s="1" t="str">
        <f>HYPERLINK("http://www.uniprot.org/uniprot/IRX9H_ARATH","IRX9H_ARATH")</f>
        <v>IRX9H_ARATH</v>
      </c>
      <c r="D3738" t="s">
        <v>3383</v>
      </c>
      <c r="E3738" s="3" t="s">
        <v>3</v>
      </c>
      <c r="F3738" s="4">
        <v>4.5300000000000001E-63</v>
      </c>
      <c r="G3738" s="3">
        <v>556</v>
      </c>
      <c r="H3738" s="3">
        <v>52</v>
      </c>
      <c r="I3738" s="3">
        <v>280</v>
      </c>
      <c r="J3738" s="3">
        <v>613</v>
      </c>
      <c r="K3738" s="3">
        <v>1428</v>
      </c>
      <c r="L3738" s="3">
        <v>1</v>
      </c>
      <c r="M3738" s="3">
        <v>256</v>
      </c>
    </row>
    <row r="3739" spans="1:13" x14ac:dyDescent="0.25">
      <c r="A3739" s="1" t="str">
        <f>HYPERLINK("http://www.rosaceae.org/Prunus/Prunus_persica/p.persica_gdr_reftransV1_0004070","p.persica_gdr_reftransV1_0004070")</f>
        <v>p.persica_gdr_reftransV1_0004070</v>
      </c>
      <c r="B3739" s="3">
        <v>2046</v>
      </c>
      <c r="C3739" s="1" t="str">
        <f>HYPERLINK("http://www.uniprot.org/uniprot/GCN5_ARATH","GCN5_ARATH")</f>
        <v>GCN5_ARATH</v>
      </c>
      <c r="D3739" t="s">
        <v>3384</v>
      </c>
      <c r="E3739" s="3" t="s">
        <v>3</v>
      </c>
      <c r="F3739" s="4">
        <v>0</v>
      </c>
      <c r="G3739" s="3">
        <v>1532</v>
      </c>
      <c r="H3739" s="3">
        <v>81</v>
      </c>
      <c r="I3739" s="3">
        <v>335</v>
      </c>
      <c r="J3739" s="3">
        <v>835</v>
      </c>
      <c r="K3739" s="3">
        <v>1833</v>
      </c>
      <c r="L3739" s="3">
        <v>234</v>
      </c>
      <c r="M3739" s="3">
        <v>568</v>
      </c>
    </row>
    <row r="3740" spans="1:13" x14ac:dyDescent="0.25">
      <c r="A3740" s="1" t="str">
        <f>HYPERLINK("http://www.rosaceae.org/Prunus/Prunus_persica/p.persica_gdr_reftransV1_0004120","p.persica_gdr_reftransV1_0004120")</f>
        <v>p.persica_gdr_reftransV1_0004120</v>
      </c>
      <c r="B3740" s="3">
        <v>2944</v>
      </c>
      <c r="C3740" s="1" t="str">
        <f>HYPERLINK("http://www.uniprot.org/uniprot/PMTQ_ARATH","PMTQ_ARATH")</f>
        <v>PMTQ_ARATH</v>
      </c>
      <c r="D3740" t="s">
        <v>667</v>
      </c>
      <c r="E3740" s="3" t="s">
        <v>3</v>
      </c>
      <c r="F3740" s="4">
        <v>0</v>
      </c>
      <c r="G3740" s="3">
        <v>2912</v>
      </c>
      <c r="H3740" s="3">
        <v>66</v>
      </c>
      <c r="I3740" s="3">
        <v>840</v>
      </c>
      <c r="J3740" s="3">
        <v>309</v>
      </c>
      <c r="K3740" s="3">
        <v>2765</v>
      </c>
      <c r="L3740" s="3">
        <v>1</v>
      </c>
      <c r="M3740" s="3">
        <v>829</v>
      </c>
    </row>
    <row r="3741" spans="1:13" x14ac:dyDescent="0.25">
      <c r="A3741" s="1" t="str">
        <f>HYPERLINK("http://www.rosaceae.org/Prunus/Prunus_persica/p.persica_gdr_reftransV1_0004170","p.persica_gdr_reftransV1_0004170")</f>
        <v>p.persica_gdr_reftransV1_0004170</v>
      </c>
      <c r="B3741" s="3">
        <v>934</v>
      </c>
      <c r="C3741" s="1" t="str">
        <f>HYPERLINK("http://www.uniprot.org/uniprot/ABI5_ARATH","ABI5_ARATH")</f>
        <v>ABI5_ARATH</v>
      </c>
      <c r="D3741" t="s">
        <v>3385</v>
      </c>
      <c r="E3741" s="3" t="s">
        <v>3</v>
      </c>
      <c r="F3741" s="4">
        <v>2.5400000000000001E-48</v>
      </c>
      <c r="G3741" s="3">
        <v>413</v>
      </c>
      <c r="H3741" s="3">
        <v>75</v>
      </c>
      <c r="I3741" s="3">
        <v>121</v>
      </c>
      <c r="J3741" s="3">
        <v>573</v>
      </c>
      <c r="K3741" s="3">
        <v>932</v>
      </c>
      <c r="L3741" s="3">
        <v>286</v>
      </c>
      <c r="M3741" s="3">
        <v>402</v>
      </c>
    </row>
    <row r="3742" spans="1:13" x14ac:dyDescent="0.25">
      <c r="A3742" s="1" t="str">
        <f>HYPERLINK("http://www.rosaceae.org/Prunus/Prunus_persica/p.persica_gdr_reftransV1_0004320","p.persica_gdr_reftransV1_0004320")</f>
        <v>p.persica_gdr_reftransV1_0004320</v>
      </c>
      <c r="B3742" s="3">
        <v>402</v>
      </c>
      <c r="C3742" s="1" t="str">
        <f>HYPERLINK("http://www.uniprot.org/uniprot/CYP40_ARATH","CYP40_ARATH")</f>
        <v>CYP40_ARATH</v>
      </c>
      <c r="D3742" t="s">
        <v>2202</v>
      </c>
      <c r="E3742" s="3" t="s">
        <v>3</v>
      </c>
      <c r="F3742" s="4">
        <v>2.1399999999999998E-61</v>
      </c>
      <c r="G3742" s="3">
        <v>504</v>
      </c>
      <c r="H3742" s="3">
        <v>91</v>
      </c>
      <c r="I3742" s="3">
        <v>117</v>
      </c>
      <c r="J3742" s="3">
        <v>2</v>
      </c>
      <c r="K3742" s="3">
        <v>352</v>
      </c>
      <c r="L3742" s="3">
        <v>15</v>
      </c>
      <c r="M3742" s="3">
        <v>131</v>
      </c>
    </row>
    <row r="3743" spans="1:13" x14ac:dyDescent="0.25">
      <c r="A3743" s="1" t="str">
        <f>HYPERLINK("http://www.rosaceae.org/Prunus/Prunus_persica/p.persica_gdr_reftransV1_0004370","p.persica_gdr_reftransV1_0004370")</f>
        <v>p.persica_gdr_reftransV1_0004370</v>
      </c>
      <c r="B3743" s="3">
        <v>1391</v>
      </c>
      <c r="C3743" s="1" t="str">
        <f>HYPERLINK("http://www.uniprot.org/uniprot/WRK28_ARATH","WRK28_ARATH")</f>
        <v>WRK28_ARATH</v>
      </c>
      <c r="D3743" t="s">
        <v>3386</v>
      </c>
      <c r="E3743" s="3" t="s">
        <v>3</v>
      </c>
      <c r="F3743" s="4">
        <v>1.4100000000000001E-44</v>
      </c>
      <c r="G3743" s="3">
        <v>414</v>
      </c>
      <c r="H3743" s="3">
        <v>87</v>
      </c>
      <c r="I3743" s="3">
        <v>83</v>
      </c>
      <c r="J3743" s="3">
        <v>552</v>
      </c>
      <c r="K3743" s="3">
        <v>800</v>
      </c>
      <c r="L3743" s="3">
        <v>154</v>
      </c>
      <c r="M3743" s="3">
        <v>236</v>
      </c>
    </row>
    <row r="3744" spans="1:13" x14ac:dyDescent="0.25">
      <c r="A3744" s="1" t="str">
        <f>HYPERLINK("http://www.rosaceae.org/Prunus/Prunus_persica/p.persica_gdr_reftransV1_0004570","p.persica_gdr_reftransV1_0004570")</f>
        <v>p.persica_gdr_reftransV1_0004570</v>
      </c>
      <c r="B3744" s="3">
        <v>1264</v>
      </c>
      <c r="C3744" s="1" t="str">
        <f>HYPERLINK("http://www.uniprot.org/uniprot/WSD1_ARATH","WSD1_ARATH")</f>
        <v>WSD1_ARATH</v>
      </c>
      <c r="D3744" t="s">
        <v>84</v>
      </c>
      <c r="E3744" s="3" t="s">
        <v>3</v>
      </c>
      <c r="F3744" s="4">
        <v>4.3900000000000002E-27</v>
      </c>
      <c r="G3744" s="3">
        <v>289</v>
      </c>
      <c r="H3744" s="3">
        <v>25</v>
      </c>
      <c r="I3744" s="3">
        <v>372</v>
      </c>
      <c r="J3744" s="3">
        <v>46</v>
      </c>
      <c r="K3744" s="3">
        <v>1131</v>
      </c>
      <c r="L3744" s="3">
        <v>103</v>
      </c>
      <c r="M3744" s="3">
        <v>471</v>
      </c>
    </row>
    <row r="3745" spans="1:13" x14ac:dyDescent="0.25">
      <c r="A3745" s="1" t="str">
        <f>HYPERLINK("http://www.rosaceae.org/Prunus/Prunus_persica/p.persica_gdr_reftransV1_0004720","p.persica_gdr_reftransV1_0004720")</f>
        <v>p.persica_gdr_reftransV1_0004720</v>
      </c>
      <c r="B3745" s="3">
        <v>1816</v>
      </c>
      <c r="C3745" s="1" t="str">
        <f>HYPERLINK("http://www.uniprot.org/uniprot/HT1_ARATH","HT1_ARATH")</f>
        <v>HT1_ARATH</v>
      </c>
      <c r="D3745" t="s">
        <v>1169</v>
      </c>
      <c r="E3745" s="3" t="s">
        <v>3</v>
      </c>
      <c r="F3745" s="4">
        <v>1.9700000000000001E-61</v>
      </c>
      <c r="G3745" s="3">
        <v>546</v>
      </c>
      <c r="H3745" s="3">
        <v>36</v>
      </c>
      <c r="I3745" s="3">
        <v>299</v>
      </c>
      <c r="J3745" s="3">
        <v>432</v>
      </c>
      <c r="K3745" s="3">
        <v>1328</v>
      </c>
      <c r="L3745" s="3">
        <v>73</v>
      </c>
      <c r="M3745" s="3">
        <v>351</v>
      </c>
    </row>
    <row r="3746" spans="1:13" x14ac:dyDescent="0.25">
      <c r="A3746" s="1" t="str">
        <f>HYPERLINK("http://www.rosaceae.org/Prunus/Prunus_persica/p.persica_gdr_reftransV1_0004770","p.persica_gdr_reftransV1_0004770")</f>
        <v>p.persica_gdr_reftransV1_0004770</v>
      </c>
      <c r="B3746" s="3">
        <v>2003</v>
      </c>
      <c r="C3746" s="1" t="str">
        <f>HYPERLINK("http://www.uniprot.org/uniprot/Y5158_ARATH","Y5158_ARATH")</f>
        <v>Y5158_ARATH</v>
      </c>
      <c r="D3746" t="s">
        <v>2423</v>
      </c>
      <c r="E3746" s="3" t="s">
        <v>3</v>
      </c>
      <c r="F3746" s="4">
        <v>0</v>
      </c>
      <c r="G3746" s="3">
        <v>1730</v>
      </c>
      <c r="H3746" s="3">
        <v>75</v>
      </c>
      <c r="I3746" s="3">
        <v>471</v>
      </c>
      <c r="J3746" s="3">
        <v>72</v>
      </c>
      <c r="K3746" s="3">
        <v>1475</v>
      </c>
      <c r="L3746" s="3">
        <v>46</v>
      </c>
      <c r="M3746" s="3">
        <v>488</v>
      </c>
    </row>
    <row r="3747" spans="1:13" x14ac:dyDescent="0.25">
      <c r="A3747" s="1" t="str">
        <f>HYPERLINK("http://www.rosaceae.org/Prunus/Prunus_persica/p.persica_gdr_reftransV1_0004820","p.persica_gdr_reftransV1_0004820")</f>
        <v>p.persica_gdr_reftransV1_0004820</v>
      </c>
      <c r="B3747" s="3">
        <v>2258</v>
      </c>
      <c r="C3747" s="1" t="str">
        <f>HYPERLINK("http://www.uniprot.org/uniprot/ASPL2_ARATH","ASPL2_ARATH")</f>
        <v>ASPL2_ARATH</v>
      </c>
      <c r="D3747" t="s">
        <v>545</v>
      </c>
      <c r="E3747" s="3" t="s">
        <v>3</v>
      </c>
      <c r="F3747" s="4">
        <v>1.05E-32</v>
      </c>
      <c r="G3747" s="3">
        <v>342</v>
      </c>
      <c r="H3747" s="3">
        <v>30</v>
      </c>
      <c r="I3747" s="3">
        <v>407</v>
      </c>
      <c r="J3747" s="3">
        <v>981</v>
      </c>
      <c r="K3747" s="3">
        <v>2120</v>
      </c>
      <c r="L3747" s="3">
        <v>39</v>
      </c>
      <c r="M3747" s="3">
        <v>431</v>
      </c>
    </row>
    <row r="3748" spans="1:13" x14ac:dyDescent="0.25">
      <c r="A3748" s="1" t="str">
        <f>HYPERLINK("http://www.rosaceae.org/Prunus/Prunus_persica/p.persica_gdr_reftransV1_0004870","p.persica_gdr_reftransV1_0004870")</f>
        <v>p.persica_gdr_reftransV1_0004870</v>
      </c>
      <c r="B3748" s="3">
        <v>1718</v>
      </c>
      <c r="C3748" s="1" t="str">
        <f>HYPERLINK("http://www.uniprot.org/uniprot/GSXL5_ARATH","GSXL5_ARATH")</f>
        <v>GSXL5_ARATH</v>
      </c>
      <c r="D3748" t="s">
        <v>3387</v>
      </c>
      <c r="E3748" s="3" t="s">
        <v>3</v>
      </c>
      <c r="F3748" s="4">
        <v>0</v>
      </c>
      <c r="G3748" s="3">
        <v>1470</v>
      </c>
      <c r="H3748" s="3">
        <v>64</v>
      </c>
      <c r="I3748" s="3">
        <v>451</v>
      </c>
      <c r="J3748" s="3">
        <v>307</v>
      </c>
      <c r="K3748" s="3">
        <v>1650</v>
      </c>
      <c r="L3748" s="3">
        <v>1</v>
      </c>
      <c r="M3748" s="3">
        <v>450</v>
      </c>
    </row>
    <row r="3749" spans="1:13" x14ac:dyDescent="0.25">
      <c r="A3749" s="1" t="str">
        <f>HYPERLINK("http://www.rosaceae.org/Prunus/Prunus_persica/p.persica_gdr_reftransV1_0004920","p.persica_gdr_reftransV1_0004920")</f>
        <v>p.persica_gdr_reftransV1_0004920</v>
      </c>
      <c r="B3749" s="3">
        <v>595</v>
      </c>
      <c r="C3749" s="1" t="str">
        <f>HYPERLINK("http://www.uniprot.org/uniprot/CCMB_ARATH","CCMB_ARATH")</f>
        <v>CCMB_ARATH</v>
      </c>
      <c r="D3749" t="s">
        <v>3388</v>
      </c>
      <c r="E3749" s="3" t="s">
        <v>3</v>
      </c>
      <c r="F3749" s="4">
        <v>3.1200000000000001E-94</v>
      </c>
      <c r="G3749" s="3">
        <v>716</v>
      </c>
      <c r="H3749" s="3">
        <v>96</v>
      </c>
      <c r="I3749" s="3">
        <v>188</v>
      </c>
      <c r="J3749" s="3">
        <v>32</v>
      </c>
      <c r="K3749" s="3">
        <v>595</v>
      </c>
      <c r="L3749" s="3">
        <v>1</v>
      </c>
      <c r="M3749" s="3">
        <v>188</v>
      </c>
    </row>
    <row r="3750" spans="1:13" x14ac:dyDescent="0.25">
      <c r="A3750" s="1" t="str">
        <f>HYPERLINK("http://www.rosaceae.org/Prunus/Prunus_persica/p.persica_gdr_reftransV1_0004970","p.persica_gdr_reftransV1_0004970")</f>
        <v>p.persica_gdr_reftransV1_0004970</v>
      </c>
      <c r="B3750" s="3">
        <v>1574</v>
      </c>
      <c r="C3750" s="1" t="str">
        <f>HYPERLINK("http://www.uniprot.org/uniprot/ALFC2_ARATH","ALFC2_ARATH")</f>
        <v>ALFC2_ARATH</v>
      </c>
      <c r="D3750" t="s">
        <v>3389</v>
      </c>
      <c r="E3750" s="3" t="s">
        <v>3</v>
      </c>
      <c r="F3750" s="4">
        <v>0</v>
      </c>
      <c r="G3750" s="3">
        <v>1809</v>
      </c>
      <c r="H3750" s="3">
        <v>86</v>
      </c>
      <c r="I3750" s="3">
        <v>400</v>
      </c>
      <c r="J3750" s="3">
        <v>95</v>
      </c>
      <c r="K3750" s="3">
        <v>1285</v>
      </c>
      <c r="L3750" s="3">
        <v>1</v>
      </c>
      <c r="M3750" s="3">
        <v>398</v>
      </c>
    </row>
    <row r="3751" spans="1:13" x14ac:dyDescent="0.25">
      <c r="A3751" s="1" t="str">
        <f>HYPERLINK("http://www.rosaceae.org/Prunus/Prunus_persica/p.persica_gdr_reftransV1_0005020","p.persica_gdr_reftransV1_0005020")</f>
        <v>p.persica_gdr_reftransV1_0005020</v>
      </c>
      <c r="B3751" s="3">
        <v>1713</v>
      </c>
      <c r="C3751" s="1" t="str">
        <f>HYPERLINK("http://www.uniprot.org/uniprot/SKOR_ARATH","SKOR_ARATH")</f>
        <v>SKOR_ARATH</v>
      </c>
      <c r="D3751" t="s">
        <v>3390</v>
      </c>
      <c r="E3751" s="3" t="s">
        <v>3</v>
      </c>
      <c r="F3751" s="4">
        <v>0</v>
      </c>
      <c r="G3751" s="3">
        <v>2002</v>
      </c>
      <c r="H3751" s="3">
        <v>68</v>
      </c>
      <c r="I3751" s="3">
        <v>570</v>
      </c>
      <c r="J3751" s="3">
        <v>4</v>
      </c>
      <c r="K3751" s="3">
        <v>1713</v>
      </c>
      <c r="L3751" s="3">
        <v>166</v>
      </c>
      <c r="M3751" s="3">
        <v>734</v>
      </c>
    </row>
    <row r="3752" spans="1:13" x14ac:dyDescent="0.25">
      <c r="A3752" s="1" t="str">
        <f>HYPERLINK("http://www.rosaceae.org/Prunus/Prunus_persica/p.persica_gdr_reftransV1_0005120","p.persica_gdr_reftransV1_0005120")</f>
        <v>p.persica_gdr_reftransV1_0005120</v>
      </c>
      <c r="B3752" s="3">
        <v>2959</v>
      </c>
      <c r="C3752" s="1" t="str">
        <f>HYPERLINK("http://www.uniprot.org/uniprot/VP35B_ARATH","VP35B_ARATH")</f>
        <v>VP35B_ARATH</v>
      </c>
      <c r="D3752" t="s">
        <v>3185</v>
      </c>
      <c r="E3752" s="3" t="s">
        <v>3</v>
      </c>
      <c r="F3752" s="4">
        <v>1.23E-21</v>
      </c>
      <c r="G3752" s="3">
        <v>239</v>
      </c>
      <c r="H3752" s="3">
        <v>63</v>
      </c>
      <c r="I3752" s="3">
        <v>68</v>
      </c>
      <c r="J3752" s="3">
        <v>2346</v>
      </c>
      <c r="K3752" s="3">
        <v>2549</v>
      </c>
      <c r="L3752" s="3">
        <v>723</v>
      </c>
      <c r="M3752" s="3">
        <v>790</v>
      </c>
    </row>
    <row r="3753" spans="1:13" x14ac:dyDescent="0.25">
      <c r="A3753" s="1" t="str">
        <f>HYPERLINK("http://www.rosaceae.org/Prunus/Prunus_persica/p.persica_gdr_reftransV1_0005220","p.persica_gdr_reftransV1_0005220")</f>
        <v>p.persica_gdr_reftransV1_0005220</v>
      </c>
      <c r="B3753" s="3">
        <v>1676</v>
      </c>
      <c r="C3753" s="1" t="str">
        <f>HYPERLINK("http://www.uniprot.org/uniprot/CSK2B_ARATH","CSK2B_ARATH")</f>
        <v>CSK2B_ARATH</v>
      </c>
      <c r="D3753" t="s">
        <v>3391</v>
      </c>
      <c r="E3753" s="3" t="s">
        <v>3</v>
      </c>
      <c r="F3753" s="4">
        <v>1.2100000000000001E-134</v>
      </c>
      <c r="G3753" s="3">
        <v>1028</v>
      </c>
      <c r="H3753" s="3">
        <v>72</v>
      </c>
      <c r="I3753" s="3">
        <v>295</v>
      </c>
      <c r="J3753" s="3">
        <v>498</v>
      </c>
      <c r="K3753" s="3">
        <v>1352</v>
      </c>
      <c r="L3753" s="3">
        <v>1</v>
      </c>
      <c r="M3753" s="3">
        <v>287</v>
      </c>
    </row>
    <row r="3754" spans="1:13" x14ac:dyDescent="0.25">
      <c r="A3754" s="1" t="str">
        <f>HYPERLINK("http://www.rosaceae.org/Prunus/Prunus_persica/p.persica_gdr_reftransV1_0005370","p.persica_gdr_reftransV1_0005370")</f>
        <v>p.persica_gdr_reftransV1_0005370</v>
      </c>
      <c r="B3754" s="3">
        <v>579</v>
      </c>
      <c r="C3754" s="1" t="str">
        <f>HYPERLINK("http://www.uniprot.org/uniprot/ASO_CUCSA","ASO_CUCSA")</f>
        <v>ASO_CUCSA</v>
      </c>
      <c r="D3754" t="s">
        <v>3392</v>
      </c>
      <c r="E3754" s="3" t="s">
        <v>1149</v>
      </c>
      <c r="F3754" s="4">
        <v>6.4199999999999995E-73</v>
      </c>
      <c r="G3754" s="3">
        <v>603</v>
      </c>
      <c r="H3754" s="3">
        <v>57</v>
      </c>
      <c r="I3754" s="3">
        <v>190</v>
      </c>
      <c r="J3754" s="3">
        <v>3</v>
      </c>
      <c r="K3754" s="3">
        <v>572</v>
      </c>
      <c r="L3754" s="3">
        <v>389</v>
      </c>
      <c r="M3754" s="3">
        <v>577</v>
      </c>
    </row>
    <row r="3755" spans="1:13" x14ac:dyDescent="0.25">
      <c r="A3755" s="1" t="str">
        <f>HYPERLINK("http://www.rosaceae.org/Prunus/Prunus_persica/p.persica_gdr_reftransV1_0005420","p.persica_gdr_reftransV1_0005420")</f>
        <v>p.persica_gdr_reftransV1_0005420</v>
      </c>
      <c r="B3755" s="3">
        <v>929</v>
      </c>
      <c r="C3755" s="1" t="str">
        <f>HYPERLINK("http://www.uniprot.org/uniprot/YLS8_ARATH","YLS8_ARATH")</f>
        <v>YLS8_ARATH</v>
      </c>
      <c r="D3755" t="s">
        <v>3393</v>
      </c>
      <c r="E3755" s="3" t="s">
        <v>3</v>
      </c>
      <c r="F3755" s="4">
        <v>4.33E-99</v>
      </c>
      <c r="G3755" s="3">
        <v>754</v>
      </c>
      <c r="H3755" s="3">
        <v>97</v>
      </c>
      <c r="I3755" s="3">
        <v>142</v>
      </c>
      <c r="J3755" s="3">
        <v>277</v>
      </c>
      <c r="K3755" s="3">
        <v>702</v>
      </c>
      <c r="L3755" s="3">
        <v>1</v>
      </c>
      <c r="M3755" s="3">
        <v>142</v>
      </c>
    </row>
    <row r="3756" spans="1:13" x14ac:dyDescent="0.25">
      <c r="A3756" s="1" t="str">
        <f>HYPERLINK("http://www.rosaceae.org/Prunus/Prunus_persica/p.persica_gdr_reftransV1_0005470","p.persica_gdr_reftransV1_0005470")</f>
        <v>p.persica_gdr_reftransV1_0005470</v>
      </c>
      <c r="B3756" s="3">
        <v>1606</v>
      </c>
      <c r="C3756" s="1" t="str">
        <f>HYPERLINK("http://www.uniprot.org/uniprot/MYB44_ARATH","MYB44_ARATH")</f>
        <v>MYB44_ARATH</v>
      </c>
      <c r="D3756" t="s">
        <v>1249</v>
      </c>
      <c r="E3756" s="3" t="s">
        <v>3</v>
      </c>
      <c r="F3756" s="4">
        <v>4.8199999999999999E-69</v>
      </c>
      <c r="G3756" s="3">
        <v>587</v>
      </c>
      <c r="H3756" s="3">
        <v>66</v>
      </c>
      <c r="I3756" s="3">
        <v>182</v>
      </c>
      <c r="J3756" s="3">
        <v>190</v>
      </c>
      <c r="K3756" s="3">
        <v>732</v>
      </c>
      <c r="L3756" s="3">
        <v>1</v>
      </c>
      <c r="M3756" s="3">
        <v>182</v>
      </c>
    </row>
    <row r="3757" spans="1:13" x14ac:dyDescent="0.25">
      <c r="A3757" s="1" t="str">
        <f>HYPERLINK("http://www.rosaceae.org/Prunus/Prunus_persica/p.persica_gdr_reftransV1_0005620","p.persica_gdr_reftransV1_0005620")</f>
        <v>p.persica_gdr_reftransV1_0005620</v>
      </c>
      <c r="B3757" s="3">
        <v>443</v>
      </c>
      <c r="C3757" s="1" t="str">
        <f>HYPERLINK("http://www.uniprot.org/uniprot/Y5639_ARATH","Y5639_ARATH")</f>
        <v>Y5639_ARATH</v>
      </c>
      <c r="D3757" t="s">
        <v>3394</v>
      </c>
      <c r="E3757" s="3" t="s">
        <v>3</v>
      </c>
      <c r="F3757" s="4">
        <v>7.47E-25</v>
      </c>
      <c r="G3757" s="3">
        <v>261</v>
      </c>
      <c r="H3757" s="3">
        <v>41</v>
      </c>
      <c r="I3757" s="3">
        <v>144</v>
      </c>
      <c r="J3757" s="3">
        <v>11</v>
      </c>
      <c r="K3757" s="3">
        <v>439</v>
      </c>
      <c r="L3757" s="3">
        <v>104</v>
      </c>
      <c r="M3757" s="3">
        <v>246</v>
      </c>
    </row>
    <row r="3758" spans="1:13" x14ac:dyDescent="0.25">
      <c r="A3758" s="1" t="str">
        <f>HYPERLINK("http://www.rosaceae.org/Prunus/Prunus_persica/p.persica_gdr_reftransV1_0005770","p.persica_gdr_reftransV1_0005770")</f>
        <v>p.persica_gdr_reftransV1_0005770</v>
      </c>
      <c r="B3758" s="3">
        <v>2431</v>
      </c>
      <c r="C3758" s="1" t="str">
        <f>HYPERLINK("http://www.uniprot.org/uniprot/BH070_ARATH","BH070_ARATH")</f>
        <v>BH070_ARATH</v>
      </c>
      <c r="D3758" t="s">
        <v>3395</v>
      </c>
      <c r="E3758" s="3" t="s">
        <v>3</v>
      </c>
      <c r="F3758" s="4">
        <v>4.0199999999999998E-68</v>
      </c>
      <c r="G3758" s="3">
        <v>601</v>
      </c>
      <c r="H3758" s="3">
        <v>44</v>
      </c>
      <c r="I3758" s="3">
        <v>424</v>
      </c>
      <c r="J3758" s="3">
        <v>716</v>
      </c>
      <c r="K3758" s="3">
        <v>1927</v>
      </c>
      <c r="L3758" s="3">
        <v>25</v>
      </c>
      <c r="M3758" s="3">
        <v>369</v>
      </c>
    </row>
    <row r="3759" spans="1:13" x14ac:dyDescent="0.25">
      <c r="A3759" s="1" t="str">
        <f>HYPERLINK("http://www.rosaceae.org/Prunus/Prunus_persica/p.persica_gdr_reftransV1_0005870","p.persica_gdr_reftransV1_0005870")</f>
        <v>p.persica_gdr_reftransV1_0005870</v>
      </c>
      <c r="B3759" s="3">
        <v>323</v>
      </c>
      <c r="C3759" s="1" t="str">
        <f>HYPERLINK("http://www.uniprot.org/uniprot/B561O_ARATH","B561O_ARATH")</f>
        <v>B561O_ARATH</v>
      </c>
      <c r="D3759" t="s">
        <v>3396</v>
      </c>
      <c r="E3759" s="3" t="s">
        <v>3</v>
      </c>
      <c r="F3759" s="4">
        <v>1.8099999999999999E-20</v>
      </c>
      <c r="G3759" s="3">
        <v>218</v>
      </c>
      <c r="H3759" s="3">
        <v>47</v>
      </c>
      <c r="I3759" s="3">
        <v>88</v>
      </c>
      <c r="J3759" s="3">
        <v>55</v>
      </c>
      <c r="K3759" s="3">
        <v>318</v>
      </c>
      <c r="L3759" s="3">
        <v>212</v>
      </c>
      <c r="M3759" s="3">
        <v>299</v>
      </c>
    </row>
    <row r="3760" spans="1:13" x14ac:dyDescent="0.25">
      <c r="A3760" s="1" t="str">
        <f>HYPERLINK("http://www.rosaceae.org/Prunus/Prunus_persica/p.persica_gdr_reftransV1_0006070","p.persica_gdr_reftransV1_0006070")</f>
        <v>p.persica_gdr_reftransV1_0006070</v>
      </c>
      <c r="B3760" s="3">
        <v>820</v>
      </c>
      <c r="C3760" s="1" t="str">
        <f>HYPERLINK("http://www.uniprot.org/uniprot/POLX_TOBAC","POLX_TOBAC")</f>
        <v>POLX_TOBAC</v>
      </c>
      <c r="D3760" t="s">
        <v>1253</v>
      </c>
      <c r="E3760" s="3" t="s">
        <v>200</v>
      </c>
      <c r="F3760" s="4">
        <v>2.67E-43</v>
      </c>
      <c r="G3760" s="3">
        <v>412</v>
      </c>
      <c r="H3760" s="3">
        <v>43</v>
      </c>
      <c r="I3760" s="3">
        <v>180</v>
      </c>
      <c r="J3760" s="3">
        <v>289</v>
      </c>
      <c r="K3760" s="3">
        <v>819</v>
      </c>
      <c r="L3760" s="3">
        <v>810</v>
      </c>
      <c r="M3760" s="3">
        <v>989</v>
      </c>
    </row>
    <row r="3761" spans="1:13" x14ac:dyDescent="0.25">
      <c r="A3761" s="1" t="str">
        <f>HYPERLINK("http://www.rosaceae.org/Prunus/Prunus_persica/p.persica_gdr_reftransV1_0006220","p.persica_gdr_reftransV1_0006220")</f>
        <v>p.persica_gdr_reftransV1_0006220</v>
      </c>
      <c r="B3761" s="3">
        <v>519</v>
      </c>
      <c r="C3761" s="1" t="str">
        <f>HYPERLINK("http://www.uniprot.org/uniprot/LIP2_ARATH","LIP2_ARATH")</f>
        <v>LIP2_ARATH</v>
      </c>
      <c r="D3761" t="s">
        <v>1860</v>
      </c>
      <c r="E3761" s="3" t="s">
        <v>3</v>
      </c>
      <c r="F3761" s="4">
        <v>4.9800000000000002E-35</v>
      </c>
      <c r="G3761" s="3">
        <v>330</v>
      </c>
      <c r="H3761" s="3">
        <v>52</v>
      </c>
      <c r="I3761" s="3">
        <v>114</v>
      </c>
      <c r="J3761" s="3">
        <v>2</v>
      </c>
      <c r="K3761" s="3">
        <v>343</v>
      </c>
      <c r="L3761" s="3">
        <v>304</v>
      </c>
      <c r="M3761" s="3">
        <v>417</v>
      </c>
    </row>
    <row r="3762" spans="1:13" x14ac:dyDescent="0.25">
      <c r="A3762" s="1" t="str">
        <f>HYPERLINK("http://www.rosaceae.org/Prunus/Prunus_persica/p.persica_gdr_reftransV1_0006270","p.persica_gdr_reftransV1_0006270")</f>
        <v>p.persica_gdr_reftransV1_0006270</v>
      </c>
      <c r="B3762" s="3">
        <v>2076</v>
      </c>
      <c r="C3762" s="1" t="str">
        <f>HYPERLINK("http://www.uniprot.org/uniprot/GLYT5_ARATH","GLYT5_ARATH")</f>
        <v>GLYT5_ARATH</v>
      </c>
      <c r="D3762" t="s">
        <v>3397</v>
      </c>
      <c r="E3762" s="3" t="s">
        <v>3</v>
      </c>
      <c r="F3762" s="4">
        <v>9.2499999999999998E-150</v>
      </c>
      <c r="G3762" s="3">
        <v>1158</v>
      </c>
      <c r="H3762" s="3">
        <v>61</v>
      </c>
      <c r="I3762" s="3">
        <v>340</v>
      </c>
      <c r="J3762" s="3">
        <v>902</v>
      </c>
      <c r="K3762" s="3">
        <v>1918</v>
      </c>
      <c r="L3762" s="3">
        <v>127</v>
      </c>
      <c r="M3762" s="3">
        <v>466</v>
      </c>
    </row>
    <row r="3763" spans="1:13" x14ac:dyDescent="0.25">
      <c r="A3763" s="1" t="str">
        <f>HYPERLINK("http://www.rosaceae.org/Prunus/Prunus_persica/p.persica_gdr_reftransV1_0006370","p.persica_gdr_reftransV1_0006370")</f>
        <v>p.persica_gdr_reftransV1_0006370</v>
      </c>
      <c r="B3763" s="3">
        <v>367</v>
      </c>
      <c r="C3763" s="1" t="str">
        <f>HYPERLINK("http://www.uniprot.org/uniprot/Y2090_ARATH","Y2090_ARATH")</f>
        <v>Y2090_ARATH</v>
      </c>
      <c r="D3763" t="s">
        <v>1875</v>
      </c>
      <c r="E3763" s="3" t="s">
        <v>3</v>
      </c>
      <c r="F3763" s="4">
        <v>3.39E-41</v>
      </c>
      <c r="G3763" s="3">
        <v>372</v>
      </c>
      <c r="H3763" s="3">
        <v>71</v>
      </c>
      <c r="I3763" s="3">
        <v>111</v>
      </c>
      <c r="J3763" s="3">
        <v>2</v>
      </c>
      <c r="K3763" s="3">
        <v>334</v>
      </c>
      <c r="L3763" s="3">
        <v>1</v>
      </c>
      <c r="M3763" s="3">
        <v>111</v>
      </c>
    </row>
    <row r="3764" spans="1:13" x14ac:dyDescent="0.25">
      <c r="A3764" s="1" t="str">
        <f>HYPERLINK("http://www.rosaceae.org/Prunus/Prunus_persica/p.persica_gdr_reftransV1_0006670","p.persica_gdr_reftransV1_0006670")</f>
        <v>p.persica_gdr_reftransV1_0006670</v>
      </c>
      <c r="B3764" s="3">
        <v>1316</v>
      </c>
      <c r="C3764" s="1" t="str">
        <f>HYPERLINK("http://www.uniprot.org/uniprot/PER4_VITVI","PER4_VITVI")</f>
        <v>PER4_VITVI</v>
      </c>
      <c r="D3764" t="s">
        <v>1069</v>
      </c>
      <c r="E3764" s="3" t="s">
        <v>362</v>
      </c>
      <c r="F3764" s="4">
        <v>4.4799999999999999E-160</v>
      </c>
      <c r="G3764" s="3">
        <v>1188</v>
      </c>
      <c r="H3764" s="3">
        <v>72</v>
      </c>
      <c r="I3764" s="3">
        <v>323</v>
      </c>
      <c r="J3764" s="3">
        <v>279</v>
      </c>
      <c r="K3764" s="3">
        <v>1241</v>
      </c>
      <c r="L3764" s="3">
        <v>2</v>
      </c>
      <c r="M3764" s="3">
        <v>321</v>
      </c>
    </row>
    <row r="3765" spans="1:13" x14ac:dyDescent="0.25">
      <c r="A3765" s="1" t="str">
        <f>HYPERLINK("http://www.rosaceae.org/Prunus/Prunus_persica/p.persica_gdr_reftransV1_0006720","p.persica_gdr_reftransV1_0006720")</f>
        <v>p.persica_gdr_reftransV1_0006720</v>
      </c>
      <c r="B3765" s="3">
        <v>443</v>
      </c>
      <c r="C3765" s="1" t="str">
        <f>HYPERLINK("http://www.uniprot.org/uniprot/U91C1_ARATH","U91C1_ARATH")</f>
        <v>U91C1_ARATH</v>
      </c>
      <c r="D3765" t="s">
        <v>39</v>
      </c>
      <c r="E3765" s="3" t="s">
        <v>3</v>
      </c>
      <c r="F3765" s="4">
        <v>1.35E-44</v>
      </c>
      <c r="G3765" s="3">
        <v>397</v>
      </c>
      <c r="H3765" s="3">
        <v>67</v>
      </c>
      <c r="I3765" s="3">
        <v>126</v>
      </c>
      <c r="J3765" s="3">
        <v>62</v>
      </c>
      <c r="K3765" s="3">
        <v>439</v>
      </c>
      <c r="L3765" s="3">
        <v>3</v>
      </c>
      <c r="M3765" s="3">
        <v>126</v>
      </c>
    </row>
    <row r="3766" spans="1:13" x14ac:dyDescent="0.25">
      <c r="A3766" s="1" t="str">
        <f>HYPERLINK("http://www.rosaceae.org/Prunus/Prunus_persica/p.persica_gdr_reftransV1_0006770","p.persica_gdr_reftransV1_0006770")</f>
        <v>p.persica_gdr_reftransV1_0006770</v>
      </c>
      <c r="B3766" s="3">
        <v>542</v>
      </c>
      <c r="C3766" s="1" t="str">
        <f>HYPERLINK("http://www.uniprot.org/uniprot/TMVRN_NICGU","TMVRN_NICGU")</f>
        <v>TMVRN_NICGU</v>
      </c>
      <c r="D3766" t="s">
        <v>151</v>
      </c>
      <c r="E3766" s="3" t="s">
        <v>152</v>
      </c>
      <c r="F3766" s="4">
        <v>6.7299999999999998E-37</v>
      </c>
      <c r="G3766" s="3">
        <v>354</v>
      </c>
      <c r="H3766" s="3">
        <v>42</v>
      </c>
      <c r="I3766" s="3">
        <v>172</v>
      </c>
      <c r="J3766" s="3">
        <v>19</v>
      </c>
      <c r="K3766" s="3">
        <v>531</v>
      </c>
      <c r="L3766" s="3">
        <v>291</v>
      </c>
      <c r="M3766" s="3">
        <v>460</v>
      </c>
    </row>
    <row r="3767" spans="1:13" x14ac:dyDescent="0.25">
      <c r="A3767" s="1" t="str">
        <f>HYPERLINK("http://www.rosaceae.org/Prunus/Prunus_persica/p.persica_gdr_reftransV1_0006870","p.persica_gdr_reftransV1_0006870")</f>
        <v>p.persica_gdr_reftransV1_0006870</v>
      </c>
      <c r="B3767" s="3">
        <v>487</v>
      </c>
      <c r="C3767" s="1" t="str">
        <f>HYPERLINK("http://www.uniprot.org/uniprot/PPR21_ARATH","PPR21_ARATH")</f>
        <v>PPR21_ARATH</v>
      </c>
      <c r="D3767" t="s">
        <v>3398</v>
      </c>
      <c r="E3767" s="3" t="s">
        <v>3</v>
      </c>
      <c r="F3767" s="4">
        <v>8.6000000000000006E-33</v>
      </c>
      <c r="G3767" s="3">
        <v>319</v>
      </c>
      <c r="H3767" s="3">
        <v>39</v>
      </c>
      <c r="I3767" s="3">
        <v>179</v>
      </c>
      <c r="J3767" s="3">
        <v>24</v>
      </c>
      <c r="K3767" s="3">
        <v>467</v>
      </c>
      <c r="L3767" s="3">
        <v>119</v>
      </c>
      <c r="M3767" s="3">
        <v>297</v>
      </c>
    </row>
    <row r="3768" spans="1:13" x14ac:dyDescent="0.25">
      <c r="A3768" s="1" t="str">
        <f>HYPERLINK("http://www.rosaceae.org/Prunus/Prunus_persica/p.persica_gdr_reftransV1_0007220","p.persica_gdr_reftransV1_0007220")</f>
        <v>p.persica_gdr_reftransV1_0007220</v>
      </c>
      <c r="B3768" s="3">
        <v>2515</v>
      </c>
      <c r="C3768" s="1" t="str">
        <f>HYPERLINK("http://www.uniprot.org/uniprot/P2C40_ARATH","P2C40_ARATH")</f>
        <v>P2C40_ARATH</v>
      </c>
      <c r="D3768" t="s">
        <v>3399</v>
      </c>
      <c r="E3768" s="3" t="s">
        <v>3</v>
      </c>
      <c r="F3768" s="4">
        <v>0</v>
      </c>
      <c r="G3768" s="3">
        <v>1394</v>
      </c>
      <c r="H3768" s="3">
        <v>61</v>
      </c>
      <c r="I3768" s="3">
        <v>527</v>
      </c>
      <c r="J3768" s="3">
        <v>322</v>
      </c>
      <c r="K3768" s="3">
        <v>1872</v>
      </c>
      <c r="L3768" s="3">
        <v>7</v>
      </c>
      <c r="M3768" s="3">
        <v>493</v>
      </c>
    </row>
    <row r="3769" spans="1:13" x14ac:dyDescent="0.25">
      <c r="A3769" s="1" t="str">
        <f>HYPERLINK("http://www.rosaceae.org/Prunus/Prunus_persica/p.persica_gdr_reftransV1_0007270","p.persica_gdr_reftransV1_0007270")</f>
        <v>p.persica_gdr_reftransV1_0007270</v>
      </c>
      <c r="B3769" s="3">
        <v>3170</v>
      </c>
      <c r="C3769" s="1" t="str">
        <f>HYPERLINK("http://www.uniprot.org/uniprot/DGK7_ARATH","DGK7_ARATH")</f>
        <v>DGK7_ARATH</v>
      </c>
      <c r="D3769" t="s">
        <v>3400</v>
      </c>
      <c r="E3769" s="3" t="s">
        <v>3</v>
      </c>
      <c r="F3769" s="4">
        <v>8.7700000000000003E-122</v>
      </c>
      <c r="G3769" s="3">
        <v>998</v>
      </c>
      <c r="H3769" s="3">
        <v>76</v>
      </c>
      <c r="I3769" s="3">
        <v>224</v>
      </c>
      <c r="J3769" s="3">
        <v>485</v>
      </c>
      <c r="K3769" s="3">
        <v>1156</v>
      </c>
      <c r="L3769" s="3">
        <v>269</v>
      </c>
      <c r="M3769" s="3">
        <v>492</v>
      </c>
    </row>
    <row r="3770" spans="1:13" x14ac:dyDescent="0.25">
      <c r="A3770" s="1" t="str">
        <f>HYPERLINK("http://www.rosaceae.org/Prunus/Prunus_persica/p.persica_gdr_reftransV1_0007370","p.persica_gdr_reftransV1_0007370")</f>
        <v>p.persica_gdr_reftransV1_0007370</v>
      </c>
      <c r="B3770" s="3">
        <v>987</v>
      </c>
      <c r="C3770" s="1" t="str">
        <f>HYPERLINK("http://www.uniprot.org/uniprot/MYO16_ARATH","MYO16_ARATH")</f>
        <v>MYO16_ARATH</v>
      </c>
      <c r="D3770" t="s">
        <v>428</v>
      </c>
      <c r="E3770" s="3" t="s">
        <v>3</v>
      </c>
      <c r="F3770" s="4">
        <v>2.6999999999999999E-14</v>
      </c>
      <c r="G3770" s="3">
        <v>189</v>
      </c>
      <c r="H3770" s="3">
        <v>46</v>
      </c>
      <c r="I3770" s="3">
        <v>109</v>
      </c>
      <c r="J3770" s="3">
        <v>444</v>
      </c>
      <c r="K3770" s="3">
        <v>770</v>
      </c>
      <c r="L3770" s="3">
        <v>1044</v>
      </c>
      <c r="M3770" s="3">
        <v>1142</v>
      </c>
    </row>
    <row r="3771" spans="1:13" x14ac:dyDescent="0.25">
      <c r="A3771" s="1" t="str">
        <f>HYPERLINK("http://www.rosaceae.org/Prunus/Prunus_persica/p.persica_gdr_reftransV1_0007420","p.persica_gdr_reftransV1_0007420")</f>
        <v>p.persica_gdr_reftransV1_0007420</v>
      </c>
      <c r="B3771" s="3">
        <v>984</v>
      </c>
      <c r="C3771" s="1" t="str">
        <f>HYPERLINK("http://www.uniprot.org/uniprot/ATPB_MORIN","ATPB_MORIN")</f>
        <v>ATPB_MORIN</v>
      </c>
      <c r="D3771" t="s">
        <v>3401</v>
      </c>
      <c r="E3771" s="3" t="s">
        <v>69</v>
      </c>
      <c r="F3771" s="4">
        <v>9.01E-85</v>
      </c>
      <c r="G3771" s="3">
        <v>692</v>
      </c>
      <c r="H3771" s="3">
        <v>96</v>
      </c>
      <c r="I3771" s="3">
        <v>137</v>
      </c>
      <c r="J3771" s="3">
        <v>2</v>
      </c>
      <c r="K3771" s="3">
        <v>412</v>
      </c>
      <c r="L3771" s="3">
        <v>1</v>
      </c>
      <c r="M3771" s="3">
        <v>137</v>
      </c>
    </row>
    <row r="3772" spans="1:13" x14ac:dyDescent="0.25">
      <c r="A3772" s="1" t="str">
        <f>HYPERLINK("http://www.rosaceae.org/Prunus/Prunus_persica/p.persica_gdr_reftransV1_0007520","p.persica_gdr_reftransV1_0007520")</f>
        <v>p.persica_gdr_reftransV1_0007520</v>
      </c>
      <c r="B3772" s="3">
        <v>1800</v>
      </c>
      <c r="C3772" s="1" t="str">
        <f>HYPERLINK("http://www.uniprot.org/uniprot/AGL16_ARATH","AGL16_ARATH")</f>
        <v>AGL16_ARATH</v>
      </c>
      <c r="D3772" t="s">
        <v>3402</v>
      </c>
      <c r="E3772" s="3" t="s">
        <v>3</v>
      </c>
      <c r="F3772" s="4">
        <v>4.3000000000000001E-7</v>
      </c>
      <c r="G3772" s="3">
        <v>128</v>
      </c>
      <c r="H3772" s="3">
        <v>34</v>
      </c>
      <c r="I3772" s="3">
        <v>128</v>
      </c>
      <c r="J3772" s="3">
        <v>141</v>
      </c>
      <c r="K3772" s="3">
        <v>524</v>
      </c>
      <c r="L3772" s="3">
        <v>155</v>
      </c>
      <c r="M3772" s="3">
        <v>238</v>
      </c>
    </row>
    <row r="3773" spans="1:13" x14ac:dyDescent="0.25">
      <c r="A3773" s="1" t="str">
        <f>HYPERLINK("http://www.rosaceae.org/Prunus/Prunus_persica/p.persica_gdr_reftransV1_0007620","p.persica_gdr_reftransV1_0007620")</f>
        <v>p.persica_gdr_reftransV1_0007620</v>
      </c>
      <c r="B3773" s="3">
        <v>1208</v>
      </c>
      <c r="C3773" s="1" t="str">
        <f>HYPERLINK("http://www.uniprot.org/uniprot/MET23_XENLA","MET23_XENLA")</f>
        <v>MET23_XENLA</v>
      </c>
      <c r="D3773" t="s">
        <v>3403</v>
      </c>
      <c r="E3773" s="3" t="s">
        <v>475</v>
      </c>
      <c r="F3773" s="4">
        <v>1.7800000000000001E-19</v>
      </c>
      <c r="G3773" s="3">
        <v>223</v>
      </c>
      <c r="H3773" s="3">
        <v>44</v>
      </c>
      <c r="I3773" s="3">
        <v>89</v>
      </c>
      <c r="J3773" s="3">
        <v>118</v>
      </c>
      <c r="K3773" s="3">
        <v>384</v>
      </c>
      <c r="L3773" s="3">
        <v>23</v>
      </c>
      <c r="M3773" s="3">
        <v>111</v>
      </c>
    </row>
    <row r="3774" spans="1:13" x14ac:dyDescent="0.25">
      <c r="A3774" s="1" t="str">
        <f>HYPERLINK("http://www.rosaceae.org/Prunus/Prunus_persica/p.persica_gdr_reftransV1_0007720","p.persica_gdr_reftransV1_0007720")</f>
        <v>p.persica_gdr_reftransV1_0007720</v>
      </c>
      <c r="B3774" s="3">
        <v>685</v>
      </c>
      <c r="C3774" s="1" t="str">
        <f>HYPERLINK("http://www.uniprot.org/uniprot/PKS5_RUBid","PKS5_RUBid")</f>
        <v>PKS5_RUBid</v>
      </c>
      <c r="D3774" t="s">
        <v>3404</v>
      </c>
      <c r="E3774" s="3" t="s">
        <v>1545</v>
      </c>
      <c r="F3774" s="4">
        <v>1.25E-126</v>
      </c>
      <c r="G3774" s="3">
        <v>951</v>
      </c>
      <c r="H3774" s="3">
        <v>96</v>
      </c>
      <c r="I3774" s="3">
        <v>182</v>
      </c>
      <c r="J3774" s="3">
        <v>103</v>
      </c>
      <c r="K3774" s="3">
        <v>648</v>
      </c>
      <c r="L3774" s="3">
        <v>1</v>
      </c>
      <c r="M3774" s="3">
        <v>182</v>
      </c>
    </row>
    <row r="3775" spans="1:13" x14ac:dyDescent="0.25">
      <c r="A3775" s="1" t="str">
        <f>HYPERLINK("http://www.rosaceae.org/Prunus/Prunus_persica/p.persica_gdr_reftransV1_0007770","p.persica_gdr_reftransV1_0007770")</f>
        <v>p.persica_gdr_reftransV1_0007770</v>
      </c>
      <c r="B3775" s="3">
        <v>823</v>
      </c>
      <c r="C3775" s="1" t="str">
        <f>HYPERLINK("http://www.uniprot.org/uniprot/BH093_ARATH","BH093_ARATH")</f>
        <v>BH093_ARATH</v>
      </c>
      <c r="D3775" t="s">
        <v>3405</v>
      </c>
      <c r="E3775" s="3" t="s">
        <v>3</v>
      </c>
      <c r="F3775" s="4">
        <v>3.7999999999999998E-25</v>
      </c>
      <c r="G3775" s="3">
        <v>265</v>
      </c>
      <c r="H3775" s="3">
        <v>75</v>
      </c>
      <c r="I3775" s="3">
        <v>79</v>
      </c>
      <c r="J3775" s="3">
        <v>585</v>
      </c>
      <c r="K3775" s="3">
        <v>821</v>
      </c>
      <c r="L3775" s="3">
        <v>145</v>
      </c>
      <c r="M3775" s="3">
        <v>223</v>
      </c>
    </row>
    <row r="3776" spans="1:13" x14ac:dyDescent="0.25">
      <c r="A3776" s="1" t="str">
        <f>HYPERLINK("http://www.rosaceae.org/Prunus/Prunus_persica/p.persica_gdr_reftransV1_0007820","p.persica_gdr_reftransV1_0007820")</f>
        <v>p.persica_gdr_reftransV1_0007820</v>
      </c>
      <c r="B3776" s="3">
        <v>2631</v>
      </c>
      <c r="C3776" s="1" t="str">
        <f>HYPERLINK("http://www.uniprot.org/uniprot/PUB32_ARATH","PUB32_ARATH")</f>
        <v>PUB32_ARATH</v>
      </c>
      <c r="D3776" t="s">
        <v>3406</v>
      </c>
      <c r="E3776" s="3" t="s">
        <v>3</v>
      </c>
      <c r="F3776" s="4">
        <v>0</v>
      </c>
      <c r="G3776" s="3">
        <v>1179</v>
      </c>
      <c r="H3776" s="3">
        <v>58</v>
      </c>
      <c r="I3776" s="3">
        <v>390</v>
      </c>
      <c r="J3776" s="3">
        <v>1332</v>
      </c>
      <c r="K3776" s="3">
        <v>2483</v>
      </c>
      <c r="L3776" s="3">
        <v>424</v>
      </c>
      <c r="M3776" s="3">
        <v>802</v>
      </c>
    </row>
    <row r="3777" spans="1:13" x14ac:dyDescent="0.25">
      <c r="A3777" s="1" t="str">
        <f>HYPERLINK("http://www.rosaceae.org/Prunus/Prunus_persica/p.persica_gdr_reftransV1_0007920","p.persica_gdr_reftransV1_0007920")</f>
        <v>p.persica_gdr_reftransV1_0007920</v>
      </c>
      <c r="B3777" s="3">
        <v>1037</v>
      </c>
      <c r="C3777" s="1" t="str">
        <f>HYPERLINK("http://www.uniprot.org/uniprot/EBP_ARATH","EBP_ARATH")</f>
        <v>EBP_ARATH</v>
      </c>
      <c r="D3777" t="s">
        <v>3407</v>
      </c>
      <c r="E3777" s="3" t="s">
        <v>3</v>
      </c>
      <c r="F3777" s="4">
        <v>7.0100000000000004E-67</v>
      </c>
      <c r="G3777" s="3">
        <v>550</v>
      </c>
      <c r="H3777" s="3">
        <v>69</v>
      </c>
      <c r="I3777" s="3">
        <v>175</v>
      </c>
      <c r="J3777" s="3">
        <v>230</v>
      </c>
      <c r="K3777" s="3">
        <v>739</v>
      </c>
      <c r="L3777" s="3">
        <v>49</v>
      </c>
      <c r="M3777" s="3">
        <v>223</v>
      </c>
    </row>
    <row r="3778" spans="1:13" x14ac:dyDescent="0.25">
      <c r="A3778" s="1" t="str">
        <f>HYPERLINK("http://www.rosaceae.org/Prunus/Prunus_persica/p.persica_gdr_reftransV1_0008020","p.persica_gdr_reftransV1_0008020")</f>
        <v>p.persica_gdr_reftransV1_0008020</v>
      </c>
      <c r="B3778" s="3">
        <v>1343</v>
      </c>
      <c r="C3778" s="1" t="str">
        <f>HYPERLINK("http://www.uniprot.org/uniprot/CLPP6_ARATH","CLPP6_ARATH")</f>
        <v>CLPP6_ARATH</v>
      </c>
      <c r="D3778" t="s">
        <v>3408</v>
      </c>
      <c r="E3778" s="3" t="s">
        <v>3</v>
      </c>
      <c r="F3778" s="4">
        <v>9.3899999999999993E-130</v>
      </c>
      <c r="G3778" s="3">
        <v>983</v>
      </c>
      <c r="H3778" s="3">
        <v>79</v>
      </c>
      <c r="I3778" s="3">
        <v>246</v>
      </c>
      <c r="J3778" s="3">
        <v>145</v>
      </c>
      <c r="K3778" s="3">
        <v>882</v>
      </c>
      <c r="L3778" s="3">
        <v>32</v>
      </c>
      <c r="M3778" s="3">
        <v>271</v>
      </c>
    </row>
    <row r="3779" spans="1:13" x14ac:dyDescent="0.25">
      <c r="A3779" s="1" t="str">
        <f>HYPERLINK("http://www.rosaceae.org/Prunus/Prunus_persica/p.persica_gdr_reftransV1_0008070","p.persica_gdr_reftransV1_0008070")</f>
        <v>p.persica_gdr_reftransV1_0008070</v>
      </c>
      <c r="B3779" s="3">
        <v>2814</v>
      </c>
      <c r="C3779" s="1" t="str">
        <f>HYPERLINK("http://www.uniprot.org/uniprot/MBD8_ARATH","MBD8_ARATH")</f>
        <v>MBD8_ARATH</v>
      </c>
      <c r="D3779" t="s">
        <v>3409</v>
      </c>
      <c r="E3779" s="3" t="s">
        <v>3</v>
      </c>
      <c r="F3779" s="4">
        <v>6.27E-27</v>
      </c>
      <c r="G3779" s="3">
        <v>299</v>
      </c>
      <c r="H3779" s="3">
        <v>51</v>
      </c>
      <c r="I3779" s="3">
        <v>117</v>
      </c>
      <c r="J3779" s="3">
        <v>695</v>
      </c>
      <c r="K3779" s="3">
        <v>1042</v>
      </c>
      <c r="L3779" s="3">
        <v>274</v>
      </c>
      <c r="M3779" s="3">
        <v>390</v>
      </c>
    </row>
    <row r="3780" spans="1:13" x14ac:dyDescent="0.25">
      <c r="A3780" s="1" t="str">
        <f>HYPERLINK("http://www.rosaceae.org/Prunus/Prunus_persica/p.persica_gdr_reftransV1_0008120","p.persica_gdr_reftransV1_0008120")</f>
        <v>p.persica_gdr_reftransV1_0008120</v>
      </c>
      <c r="B3780" s="3">
        <v>3701</v>
      </c>
      <c r="C3780" s="1" t="str">
        <f>HYPERLINK("http://www.uniprot.org/uniprot/ARFH_ARATH","ARFH_ARATH")</f>
        <v>ARFH_ARATH</v>
      </c>
      <c r="D3780" t="s">
        <v>3410</v>
      </c>
      <c r="E3780" s="3" t="s">
        <v>3</v>
      </c>
      <c r="F3780" s="4">
        <v>0</v>
      </c>
      <c r="G3780" s="3">
        <v>1936</v>
      </c>
      <c r="H3780" s="3">
        <v>67</v>
      </c>
      <c r="I3780" s="3">
        <v>628</v>
      </c>
      <c r="J3780" s="3">
        <v>926</v>
      </c>
      <c r="K3780" s="3">
        <v>2776</v>
      </c>
      <c r="L3780" s="3">
        <v>101</v>
      </c>
      <c r="M3780" s="3">
        <v>710</v>
      </c>
    </row>
    <row r="3781" spans="1:13" x14ac:dyDescent="0.25">
      <c r="A3781" s="1" t="str">
        <f>HYPERLINK("http://www.rosaceae.org/Prunus/Prunus_persica/p.persica_gdr_reftransV1_0008320","p.persica_gdr_reftransV1_0008320")</f>
        <v>p.persica_gdr_reftransV1_0008320</v>
      </c>
      <c r="B3781" s="3">
        <v>1728</v>
      </c>
      <c r="C3781" s="1" t="str">
        <f>HYPERLINK("http://www.uniprot.org/uniprot/Y2253_MYCBO","Y2253_MYCBO")</f>
        <v>Y2253_MYCBO</v>
      </c>
      <c r="D3781" t="s">
        <v>737</v>
      </c>
      <c r="E3781" s="3" t="s">
        <v>738</v>
      </c>
      <c r="F3781" s="4">
        <v>2.1199999999999999E-21</v>
      </c>
      <c r="G3781" s="3">
        <v>247</v>
      </c>
      <c r="H3781" s="3">
        <v>42</v>
      </c>
      <c r="I3781" s="3">
        <v>125</v>
      </c>
      <c r="J3781" s="3">
        <v>611</v>
      </c>
      <c r="K3781" s="3">
        <v>982</v>
      </c>
      <c r="L3781" s="3">
        <v>3</v>
      </c>
      <c r="M3781" s="3">
        <v>127</v>
      </c>
    </row>
    <row r="3782" spans="1:13" x14ac:dyDescent="0.25">
      <c r="A3782" s="1" t="str">
        <f>HYPERLINK("http://www.rosaceae.org/Prunus/Prunus_persica/p.persica_gdr_reftransV1_0008370","p.persica_gdr_reftransV1_0008370")</f>
        <v>p.persica_gdr_reftransV1_0008370</v>
      </c>
      <c r="B3782" s="3">
        <v>1670</v>
      </c>
      <c r="C3782" s="1" t="str">
        <f>HYPERLINK("http://www.uniprot.org/uniprot/SAPK3_ORYSJ","SAPK3_ORYSJ")</f>
        <v>SAPK3_ORYSJ</v>
      </c>
      <c r="D3782" t="s">
        <v>3411</v>
      </c>
      <c r="E3782" s="3" t="s">
        <v>38</v>
      </c>
      <c r="F3782" s="4">
        <v>0</v>
      </c>
      <c r="G3782" s="3">
        <v>1389</v>
      </c>
      <c r="H3782" s="3">
        <v>79</v>
      </c>
      <c r="I3782" s="3">
        <v>329</v>
      </c>
      <c r="J3782" s="3">
        <v>576</v>
      </c>
      <c r="K3782" s="3">
        <v>1553</v>
      </c>
      <c r="L3782" s="3">
        <v>1</v>
      </c>
      <c r="M3782" s="3">
        <v>329</v>
      </c>
    </row>
    <row r="3783" spans="1:13" x14ac:dyDescent="0.25">
      <c r="A3783" s="1" t="str">
        <f>HYPERLINK("http://www.rosaceae.org/Prunus/Prunus_persica/p.persica_gdr_reftransV1_0008520","p.persica_gdr_reftransV1_0008520")</f>
        <v>p.persica_gdr_reftransV1_0008520</v>
      </c>
      <c r="B3783" s="3">
        <v>4528</v>
      </c>
      <c r="C3783" s="1" t="str">
        <f>HYPERLINK("http://www.uniprot.org/uniprot/NU98A_ARATH","NU98A_ARATH")</f>
        <v>NU98A_ARATH</v>
      </c>
      <c r="D3783" t="s">
        <v>2674</v>
      </c>
      <c r="E3783" s="3" t="s">
        <v>3</v>
      </c>
      <c r="F3783" s="4">
        <v>6.8300000000000002E-101</v>
      </c>
      <c r="G3783" s="3">
        <v>906</v>
      </c>
      <c r="H3783" s="3">
        <v>76</v>
      </c>
      <c r="I3783" s="3">
        <v>219</v>
      </c>
      <c r="J3783" s="3">
        <v>447</v>
      </c>
      <c r="K3783" s="3">
        <v>1097</v>
      </c>
      <c r="L3783" s="3">
        <v>821</v>
      </c>
      <c r="M3783" s="3">
        <v>1039</v>
      </c>
    </row>
    <row r="3784" spans="1:13" x14ac:dyDescent="0.25">
      <c r="A3784" s="1" t="str">
        <f>HYPERLINK("http://www.rosaceae.org/Prunus/Prunus_persica/p.persica_gdr_reftransV1_0008570","p.persica_gdr_reftransV1_0008570")</f>
        <v>p.persica_gdr_reftransV1_0008570</v>
      </c>
      <c r="B3784" s="3">
        <v>3026</v>
      </c>
      <c r="C3784" s="1" t="str">
        <f>HYPERLINK("http://www.uniprot.org/uniprot/POLX_TOBAC","POLX_TOBAC")</f>
        <v>POLX_TOBAC</v>
      </c>
      <c r="D3784" t="s">
        <v>1253</v>
      </c>
      <c r="E3784" s="3" t="s">
        <v>200</v>
      </c>
      <c r="F3784" s="4">
        <v>3.9099999999999997E-71</v>
      </c>
      <c r="G3784" s="3">
        <v>617</v>
      </c>
      <c r="H3784" s="3">
        <v>34</v>
      </c>
      <c r="I3784" s="3">
        <v>435</v>
      </c>
      <c r="J3784" s="3">
        <v>1773</v>
      </c>
      <c r="K3784" s="3">
        <v>3026</v>
      </c>
      <c r="L3784" s="3">
        <v>457</v>
      </c>
      <c r="M3784" s="3">
        <v>877</v>
      </c>
    </row>
    <row r="3785" spans="1:13" x14ac:dyDescent="0.25">
      <c r="A3785" s="1" t="str">
        <f>HYPERLINK("http://www.rosaceae.org/Prunus/Prunus_persica/p.persica_gdr_reftransV1_0008620","p.persica_gdr_reftransV1_0008620")</f>
        <v>p.persica_gdr_reftransV1_0008620</v>
      </c>
      <c r="B3785" s="3">
        <v>1786</v>
      </c>
      <c r="C3785" s="1" t="str">
        <f>HYPERLINK("http://www.uniprot.org/uniprot/AXR4_ARATH","AXR4_ARATH")</f>
        <v>AXR4_ARATH</v>
      </c>
      <c r="D3785" t="s">
        <v>2720</v>
      </c>
      <c r="E3785" s="3" t="s">
        <v>3</v>
      </c>
      <c r="F3785" s="4">
        <v>7.6800000000000005E-145</v>
      </c>
      <c r="G3785" s="3">
        <v>1117</v>
      </c>
      <c r="H3785" s="3">
        <v>59</v>
      </c>
      <c r="I3785" s="3">
        <v>441</v>
      </c>
      <c r="J3785" s="3">
        <v>286</v>
      </c>
      <c r="K3785" s="3">
        <v>1599</v>
      </c>
      <c r="L3785" s="3">
        <v>38</v>
      </c>
      <c r="M3785" s="3">
        <v>468</v>
      </c>
    </row>
    <row r="3786" spans="1:13" x14ac:dyDescent="0.25">
      <c r="A3786" s="1" t="str">
        <f>HYPERLINK("http://www.rosaceae.org/Prunus/Prunus_persica/p.persica_gdr_reftransV1_0008870","p.persica_gdr_reftransV1_0008870")</f>
        <v>p.persica_gdr_reftransV1_0008870</v>
      </c>
      <c r="B3786" s="3">
        <v>1045</v>
      </c>
      <c r="C3786" s="1" t="str">
        <f>HYPERLINK("http://www.uniprot.org/uniprot/CSPL3_VITVI","CSPL3_VITVI")</f>
        <v>CSPL3_VITVI</v>
      </c>
      <c r="D3786" t="s">
        <v>3412</v>
      </c>
      <c r="E3786" s="3" t="s">
        <v>362</v>
      </c>
      <c r="F3786" s="4">
        <v>4.4400000000000002E-88</v>
      </c>
      <c r="G3786" s="3">
        <v>689</v>
      </c>
      <c r="H3786" s="3">
        <v>77</v>
      </c>
      <c r="I3786" s="3">
        <v>185</v>
      </c>
      <c r="J3786" s="3">
        <v>158</v>
      </c>
      <c r="K3786" s="3">
        <v>712</v>
      </c>
      <c r="L3786" s="3">
        <v>3</v>
      </c>
      <c r="M3786" s="3">
        <v>184</v>
      </c>
    </row>
    <row r="3787" spans="1:13" x14ac:dyDescent="0.25">
      <c r="A3787" s="1" t="str">
        <f>HYPERLINK("http://www.rosaceae.org/Prunus/Prunus_persica/p.persica_gdr_reftransV1_0009020","p.persica_gdr_reftransV1_0009020")</f>
        <v>p.persica_gdr_reftransV1_0009020</v>
      </c>
      <c r="B3787" s="3">
        <v>2812</v>
      </c>
      <c r="C3787" s="1" t="str">
        <f>HYPERLINK("http://www.uniprot.org/uniprot/SBT17_ARATH","SBT17_ARATH")</f>
        <v>SBT17_ARATH</v>
      </c>
      <c r="D3787" t="s">
        <v>218</v>
      </c>
      <c r="E3787" s="3" t="s">
        <v>3</v>
      </c>
      <c r="F3787" s="4">
        <v>2.0400000000000001E-175</v>
      </c>
      <c r="G3787" s="3">
        <v>1378</v>
      </c>
      <c r="H3787" s="3">
        <v>43</v>
      </c>
      <c r="I3787" s="3">
        <v>760</v>
      </c>
      <c r="J3787" s="3">
        <v>273</v>
      </c>
      <c r="K3787" s="3">
        <v>2459</v>
      </c>
      <c r="L3787" s="3">
        <v>22</v>
      </c>
      <c r="M3787" s="3">
        <v>752</v>
      </c>
    </row>
    <row r="3788" spans="1:13" x14ac:dyDescent="0.25">
      <c r="A3788" s="1" t="str">
        <f>HYPERLINK("http://www.rosaceae.org/Prunus/Prunus_persica/p.persica_gdr_reftransV1_0009070","p.persica_gdr_reftransV1_0009070")</f>
        <v>p.persica_gdr_reftransV1_0009070</v>
      </c>
      <c r="B3788" s="3">
        <v>1679</v>
      </c>
      <c r="C3788" s="1" t="str">
        <f>HYPERLINK("http://www.uniprot.org/uniprot/FB129_ARATH","FB129_ARATH")</f>
        <v>FB129_ARATH</v>
      </c>
      <c r="D3788" t="s">
        <v>3413</v>
      </c>
      <c r="E3788" s="3" t="s">
        <v>3</v>
      </c>
      <c r="F3788" s="4">
        <v>8.8500000000000007E-25</v>
      </c>
      <c r="G3788" s="3">
        <v>274</v>
      </c>
      <c r="H3788" s="3">
        <v>29</v>
      </c>
      <c r="I3788" s="3">
        <v>406</v>
      </c>
      <c r="J3788" s="3">
        <v>232</v>
      </c>
      <c r="K3788" s="3">
        <v>1416</v>
      </c>
      <c r="L3788" s="3">
        <v>1</v>
      </c>
      <c r="M3788" s="3">
        <v>372</v>
      </c>
    </row>
    <row r="3789" spans="1:13" x14ac:dyDescent="0.25">
      <c r="A3789" s="1" t="str">
        <f>HYPERLINK("http://www.rosaceae.org/Prunus/Prunus_persica/p.persica_gdr_reftransV1_0009120","p.persica_gdr_reftransV1_0009120")</f>
        <v>p.persica_gdr_reftransV1_0009120</v>
      </c>
      <c r="B3789" s="3">
        <v>2100</v>
      </c>
      <c r="C3789" s="1" t="str">
        <f>HYPERLINK("http://www.uniprot.org/uniprot/LRKS4_ARATH","LRKS4_ARATH")</f>
        <v>LRKS4_ARATH</v>
      </c>
      <c r="D3789" t="s">
        <v>1959</v>
      </c>
      <c r="E3789" s="3" t="s">
        <v>3</v>
      </c>
      <c r="F3789" s="4">
        <v>3.8000000000000001E-62</v>
      </c>
      <c r="G3789" s="3">
        <v>574</v>
      </c>
      <c r="H3789" s="3">
        <v>33</v>
      </c>
      <c r="I3789" s="3">
        <v>558</v>
      </c>
      <c r="J3789" s="3">
        <v>487</v>
      </c>
      <c r="K3789" s="3">
        <v>2037</v>
      </c>
      <c r="L3789" s="3">
        <v>100</v>
      </c>
      <c r="M3789" s="3">
        <v>629</v>
      </c>
    </row>
    <row r="3790" spans="1:13" x14ac:dyDescent="0.25">
      <c r="A3790" s="1" t="str">
        <f>HYPERLINK("http://www.rosaceae.org/Prunus/Prunus_persica/p.persica_gdr_reftransV1_0009320","p.persica_gdr_reftransV1_0009320")</f>
        <v>p.persica_gdr_reftransV1_0009320</v>
      </c>
      <c r="B3790" s="3">
        <v>1728</v>
      </c>
      <c r="C3790" s="1" t="str">
        <f>HYPERLINK("http://www.uniprot.org/uniprot/AMYA_VIGMU","AMYA_VIGMU")</f>
        <v>AMYA_VIGMU</v>
      </c>
      <c r="D3790" t="s">
        <v>3414</v>
      </c>
      <c r="E3790" s="3" t="s">
        <v>208</v>
      </c>
      <c r="F3790" s="4">
        <v>8.2600000000000002E-162</v>
      </c>
      <c r="G3790" s="3">
        <v>1223</v>
      </c>
      <c r="H3790" s="3">
        <v>65</v>
      </c>
      <c r="I3790" s="3">
        <v>355</v>
      </c>
      <c r="J3790" s="3">
        <v>73</v>
      </c>
      <c r="K3790" s="3">
        <v>1134</v>
      </c>
      <c r="L3790" s="3">
        <v>9</v>
      </c>
      <c r="M3790" s="3">
        <v>362</v>
      </c>
    </row>
    <row r="3791" spans="1:13" x14ac:dyDescent="0.25">
      <c r="A3791" s="1" t="str">
        <f>HYPERLINK("http://www.rosaceae.org/Prunus/Prunus_persica/p.persica_gdr_reftransV1_0009370","p.persica_gdr_reftransV1_0009370")</f>
        <v>p.persica_gdr_reftransV1_0009370</v>
      </c>
      <c r="B3791" s="3">
        <v>843</v>
      </c>
      <c r="C3791" s="1" t="str">
        <f>HYPERLINK("http://www.uniprot.org/uniprot/CRR7_ARATH","CRR7_ARATH")</f>
        <v>CRR7_ARATH</v>
      </c>
      <c r="D3791" t="s">
        <v>3415</v>
      </c>
      <c r="E3791" s="3" t="s">
        <v>3</v>
      </c>
      <c r="F3791" s="4">
        <v>4.01E-43</v>
      </c>
      <c r="G3791" s="3">
        <v>379</v>
      </c>
      <c r="H3791" s="3">
        <v>47</v>
      </c>
      <c r="I3791" s="3">
        <v>162</v>
      </c>
      <c r="J3791" s="3">
        <v>334</v>
      </c>
      <c r="K3791" s="3">
        <v>801</v>
      </c>
      <c r="L3791" s="3">
        <v>1</v>
      </c>
      <c r="M3791" s="3">
        <v>156</v>
      </c>
    </row>
    <row r="3792" spans="1:13" x14ac:dyDescent="0.25">
      <c r="A3792" s="1" t="str">
        <f>HYPERLINK("http://www.rosaceae.org/Prunus/Prunus_persica/p.persica_gdr_reftransV1_0009420","p.persica_gdr_reftransV1_0009420")</f>
        <v>p.persica_gdr_reftransV1_0009420</v>
      </c>
      <c r="B3792" s="3">
        <v>4024</v>
      </c>
      <c r="C3792" s="1" t="str">
        <f>HYPERLINK("http://www.uniprot.org/uniprot/SAP8_ORYSJ","SAP8_ORYSJ")</f>
        <v>SAP8_ORYSJ</v>
      </c>
      <c r="D3792" t="s">
        <v>2345</v>
      </c>
      <c r="E3792" s="3" t="s">
        <v>38</v>
      </c>
      <c r="F3792" s="4">
        <v>7.4600000000000005E-67</v>
      </c>
      <c r="G3792" s="3">
        <v>583</v>
      </c>
      <c r="H3792" s="3">
        <v>64</v>
      </c>
      <c r="I3792" s="3">
        <v>174</v>
      </c>
      <c r="J3792" s="3">
        <v>3110</v>
      </c>
      <c r="K3792" s="3">
        <v>3625</v>
      </c>
      <c r="L3792" s="3">
        <v>1</v>
      </c>
      <c r="M3792" s="3">
        <v>171</v>
      </c>
    </row>
    <row r="3793" spans="1:13" x14ac:dyDescent="0.25">
      <c r="A3793" s="1" t="str">
        <f>HYPERLINK("http://www.rosaceae.org/Prunus/Prunus_persica/p.persica_gdr_reftransV1_0009470","p.persica_gdr_reftransV1_0009470")</f>
        <v>p.persica_gdr_reftransV1_0009470</v>
      </c>
      <c r="B3793" s="3">
        <v>3910</v>
      </c>
      <c r="C3793" s="1" t="str">
        <f>HYPERLINK("http://www.uniprot.org/uniprot/CALR3_ARATH","CALR3_ARATH")</f>
        <v>CALR3_ARATH</v>
      </c>
      <c r="D3793" t="s">
        <v>1727</v>
      </c>
      <c r="E3793" s="3" t="s">
        <v>3</v>
      </c>
      <c r="F3793" s="4">
        <v>1.6E-117</v>
      </c>
      <c r="G3793" s="3">
        <v>974</v>
      </c>
      <c r="H3793" s="3">
        <v>76</v>
      </c>
      <c r="I3793" s="3">
        <v>238</v>
      </c>
      <c r="J3793" s="3">
        <v>3001</v>
      </c>
      <c r="K3793" s="3">
        <v>3714</v>
      </c>
      <c r="L3793" s="3">
        <v>14</v>
      </c>
      <c r="M3793" s="3">
        <v>243</v>
      </c>
    </row>
    <row r="3794" spans="1:13" x14ac:dyDescent="0.25">
      <c r="A3794" s="1" t="str">
        <f>HYPERLINK("http://www.rosaceae.org/Prunus/Prunus_persica/p.persica_gdr_reftransV1_0009520","p.persica_gdr_reftransV1_0009520")</f>
        <v>p.persica_gdr_reftransV1_0009520</v>
      </c>
      <c r="B3794" s="3">
        <v>865</v>
      </c>
      <c r="C3794" s="1" t="str">
        <f>HYPERLINK("http://www.uniprot.org/uniprot/RL24_PRUAV","RL24_PRUAV")</f>
        <v>RL24_PRUAV</v>
      </c>
      <c r="D3794" t="s">
        <v>1403</v>
      </c>
      <c r="E3794" s="3" t="s">
        <v>1404</v>
      </c>
      <c r="F3794" s="4">
        <v>5.3700000000000005E-72</v>
      </c>
      <c r="G3794" s="3">
        <v>576</v>
      </c>
      <c r="H3794" s="3">
        <v>96</v>
      </c>
      <c r="I3794" s="3">
        <v>113</v>
      </c>
      <c r="J3794" s="3">
        <v>56</v>
      </c>
      <c r="K3794" s="3">
        <v>394</v>
      </c>
      <c r="L3794" s="3">
        <v>1</v>
      </c>
      <c r="M3794" s="3">
        <v>113</v>
      </c>
    </row>
    <row r="3795" spans="1:13" x14ac:dyDescent="0.25">
      <c r="A3795" s="1" t="str">
        <f>HYPERLINK("http://www.rosaceae.org/Prunus/Prunus_persica/p.persica_gdr_reftransV1_0009570","p.persica_gdr_reftransV1_0009570")</f>
        <v>p.persica_gdr_reftransV1_0009570</v>
      </c>
      <c r="B3795" s="3">
        <v>657</v>
      </c>
      <c r="C3795" s="1" t="str">
        <f>HYPERLINK("http://www.uniprot.org/uniprot/MNS2_ARATH","MNS2_ARATH")</f>
        <v>MNS2_ARATH</v>
      </c>
      <c r="D3795" t="s">
        <v>3416</v>
      </c>
      <c r="E3795" s="3" t="s">
        <v>3</v>
      </c>
      <c r="F3795" s="4">
        <v>2.9099999999999998E-57</v>
      </c>
      <c r="G3795" s="3">
        <v>497</v>
      </c>
      <c r="H3795" s="3">
        <v>56</v>
      </c>
      <c r="I3795" s="3">
        <v>183</v>
      </c>
      <c r="J3795" s="3">
        <v>165</v>
      </c>
      <c r="K3795" s="3">
        <v>656</v>
      </c>
      <c r="L3795" s="3">
        <v>14</v>
      </c>
      <c r="M3795" s="3">
        <v>196</v>
      </c>
    </row>
    <row r="3796" spans="1:13" x14ac:dyDescent="0.25">
      <c r="A3796" s="1" t="str">
        <f>HYPERLINK("http://www.rosaceae.org/Prunus/Prunus_persica/p.persica_gdr_reftransV1_0009670","p.persica_gdr_reftransV1_0009670")</f>
        <v>p.persica_gdr_reftransV1_0009670</v>
      </c>
      <c r="B3796" s="3">
        <v>1308</v>
      </c>
      <c r="C3796" s="1" t="str">
        <f>HYPERLINK("http://www.uniprot.org/uniprot/SD18_ARATH","SD18_ARATH")</f>
        <v>SD18_ARATH</v>
      </c>
      <c r="D3796" t="s">
        <v>3417</v>
      </c>
      <c r="E3796" s="3" t="s">
        <v>3</v>
      </c>
      <c r="F3796" s="4">
        <v>2.4699999999999999E-102</v>
      </c>
      <c r="G3796" s="3">
        <v>845</v>
      </c>
      <c r="H3796" s="3">
        <v>40</v>
      </c>
      <c r="I3796" s="3">
        <v>454</v>
      </c>
      <c r="J3796" s="3">
        <v>19</v>
      </c>
      <c r="K3796" s="3">
        <v>1305</v>
      </c>
      <c r="L3796" s="3">
        <v>100</v>
      </c>
      <c r="M3796" s="3">
        <v>543</v>
      </c>
    </row>
    <row r="3797" spans="1:13" x14ac:dyDescent="0.25">
      <c r="A3797" s="1" t="str">
        <f>HYPERLINK("http://www.rosaceae.org/Prunus/Prunus_persica/p.persica_gdr_reftransV1_0009720","p.persica_gdr_reftransV1_0009720")</f>
        <v>p.persica_gdr_reftransV1_0009720</v>
      </c>
      <c r="B3797" s="3">
        <v>2128</v>
      </c>
      <c r="C3797" s="1" t="str">
        <f>HYPERLINK("http://www.uniprot.org/uniprot/OST1A_ARATH","OST1A_ARATH")</f>
        <v>OST1A_ARATH</v>
      </c>
      <c r="D3797" t="s">
        <v>3418</v>
      </c>
      <c r="E3797" s="3" t="s">
        <v>3</v>
      </c>
      <c r="F3797" s="4">
        <v>0</v>
      </c>
      <c r="G3797" s="3">
        <v>2099</v>
      </c>
      <c r="H3797" s="3">
        <v>67</v>
      </c>
      <c r="I3797" s="3">
        <v>594</v>
      </c>
      <c r="J3797" s="3">
        <v>145</v>
      </c>
      <c r="K3797" s="3">
        <v>1926</v>
      </c>
      <c r="L3797" s="3">
        <v>21</v>
      </c>
      <c r="M3797" s="3">
        <v>614</v>
      </c>
    </row>
    <row r="3798" spans="1:13" x14ac:dyDescent="0.25">
      <c r="A3798" s="1" t="str">
        <f>HYPERLINK("http://www.rosaceae.org/Prunus/Prunus_persica/p.persica_gdr_reftransV1_0009770","p.persica_gdr_reftransV1_0009770")</f>
        <v>p.persica_gdr_reftransV1_0009770</v>
      </c>
      <c r="B3798" s="3">
        <v>726</v>
      </c>
      <c r="C3798" s="1" t="str">
        <f>HYPERLINK("http://www.uniprot.org/uniprot/HAP2_ARATH","HAP2_ARATH")</f>
        <v>HAP2_ARATH</v>
      </c>
      <c r="D3798" t="s">
        <v>3419</v>
      </c>
      <c r="E3798" s="3" t="s">
        <v>3</v>
      </c>
      <c r="F3798" s="4">
        <v>3.0399999999999998E-28</v>
      </c>
      <c r="G3798" s="3">
        <v>293</v>
      </c>
      <c r="H3798" s="3">
        <v>49</v>
      </c>
      <c r="I3798" s="3">
        <v>150</v>
      </c>
      <c r="J3798" s="3">
        <v>1</v>
      </c>
      <c r="K3798" s="3">
        <v>429</v>
      </c>
      <c r="L3798" s="3">
        <v>543</v>
      </c>
      <c r="M3798" s="3">
        <v>690</v>
      </c>
    </row>
    <row r="3799" spans="1:13" x14ac:dyDescent="0.25">
      <c r="A3799" s="1" t="str">
        <f>HYPERLINK("http://www.rosaceae.org/Prunus/Prunus_persica/p.persica_gdr_reftransV1_0009820","p.persica_gdr_reftransV1_0009820")</f>
        <v>p.persica_gdr_reftransV1_0009820</v>
      </c>
      <c r="B3799" s="3">
        <v>1655</v>
      </c>
      <c r="C3799" s="1" t="str">
        <f>HYPERLINK("http://www.uniprot.org/uniprot/PP266_ARATH","PP266_ARATH")</f>
        <v>PP266_ARATH</v>
      </c>
      <c r="D3799" t="s">
        <v>3420</v>
      </c>
      <c r="E3799" s="3" t="s">
        <v>3</v>
      </c>
      <c r="F3799" s="4">
        <v>3.2000000000000002E-21</v>
      </c>
      <c r="G3799" s="3">
        <v>241</v>
      </c>
      <c r="H3799" s="3">
        <v>33</v>
      </c>
      <c r="I3799" s="3">
        <v>203</v>
      </c>
      <c r="J3799" s="3">
        <v>118</v>
      </c>
      <c r="K3799" s="3">
        <v>717</v>
      </c>
      <c r="L3799" s="3">
        <v>33</v>
      </c>
      <c r="M3799" s="3">
        <v>223</v>
      </c>
    </row>
    <row r="3800" spans="1:13" x14ac:dyDescent="0.25">
      <c r="A3800" s="1" t="str">
        <f>HYPERLINK("http://www.rosaceae.org/Prunus/Prunus_persica/p.persica_gdr_reftransV1_0009970","p.persica_gdr_reftransV1_0009970")</f>
        <v>p.persica_gdr_reftransV1_0009970</v>
      </c>
      <c r="B3800" s="3">
        <v>367</v>
      </c>
      <c r="C3800" s="1" t="str">
        <f>HYPERLINK("http://www.uniprot.org/uniprot/LPXA_ARATH","LPXA_ARATH")</f>
        <v>LPXA_ARATH</v>
      </c>
      <c r="D3800" t="s">
        <v>3421</v>
      </c>
      <c r="E3800" s="3" t="s">
        <v>3</v>
      </c>
      <c r="F3800" s="4">
        <v>1.09E-33</v>
      </c>
      <c r="G3800" s="3">
        <v>313</v>
      </c>
      <c r="H3800" s="3">
        <v>74</v>
      </c>
      <c r="I3800" s="3">
        <v>72</v>
      </c>
      <c r="J3800" s="3">
        <v>151</v>
      </c>
      <c r="K3800" s="3">
        <v>366</v>
      </c>
      <c r="L3800" s="3">
        <v>41</v>
      </c>
      <c r="M3800" s="3">
        <v>112</v>
      </c>
    </row>
    <row r="3801" spans="1:13" x14ac:dyDescent="0.25">
      <c r="A3801" s="1" t="str">
        <f>HYPERLINK("http://www.rosaceae.org/Prunus/Prunus_persica/p.persica_gdr_reftransV1_0010020","p.persica_gdr_reftransV1_0010020")</f>
        <v>p.persica_gdr_reftransV1_0010020</v>
      </c>
      <c r="B3801" s="3">
        <v>745</v>
      </c>
      <c r="C3801" s="1" t="str">
        <f>HYPERLINK("http://www.uniprot.org/uniprot/TI141_ARATH","TI141_ARATH")</f>
        <v>TI141_ARATH</v>
      </c>
      <c r="D3801" t="s">
        <v>3422</v>
      </c>
      <c r="E3801" s="3" t="s">
        <v>3</v>
      </c>
      <c r="F3801" s="4">
        <v>8.2600000000000008E-56</v>
      </c>
      <c r="G3801" s="3">
        <v>458</v>
      </c>
      <c r="H3801" s="3">
        <v>86</v>
      </c>
      <c r="I3801" s="3">
        <v>112</v>
      </c>
      <c r="J3801" s="3">
        <v>120</v>
      </c>
      <c r="K3801" s="3">
        <v>455</v>
      </c>
      <c r="L3801" s="3">
        <v>1</v>
      </c>
      <c r="M3801" s="3">
        <v>112</v>
      </c>
    </row>
    <row r="3802" spans="1:13" x14ac:dyDescent="0.25">
      <c r="A3802" s="1" t="str">
        <f>HYPERLINK("http://www.rosaceae.org/Prunus/Prunus_persica/p.persica_gdr_reftransV1_0010070","p.persica_gdr_reftransV1_0010070")</f>
        <v>p.persica_gdr_reftransV1_0010070</v>
      </c>
      <c r="B3802" s="3">
        <v>944</v>
      </c>
      <c r="C3802" s="1" t="str">
        <f>HYPERLINK("http://www.uniprot.org/uniprot/PABP7_ARATH","PABP7_ARATH")</f>
        <v>PABP7_ARATH</v>
      </c>
      <c r="D3802" t="s">
        <v>3423</v>
      </c>
      <c r="E3802" s="3" t="s">
        <v>3</v>
      </c>
      <c r="F3802" s="4">
        <v>2.6699999999999999E-14</v>
      </c>
      <c r="G3802" s="3">
        <v>188</v>
      </c>
      <c r="H3802" s="3">
        <v>58</v>
      </c>
      <c r="I3802" s="3">
        <v>59</v>
      </c>
      <c r="J3802" s="3">
        <v>3</v>
      </c>
      <c r="K3802" s="3">
        <v>179</v>
      </c>
      <c r="L3802" s="3">
        <v>342</v>
      </c>
      <c r="M3802" s="3">
        <v>400</v>
      </c>
    </row>
    <row r="3803" spans="1:13" x14ac:dyDescent="0.25">
      <c r="A3803" s="1" t="str">
        <f>HYPERLINK("http://www.rosaceae.org/Prunus/Prunus_persica/p.persica_gdr_reftransV1_0010170","p.persica_gdr_reftransV1_0010170")</f>
        <v>p.persica_gdr_reftransV1_0010170</v>
      </c>
      <c r="B3803" s="3">
        <v>2343</v>
      </c>
      <c r="C3803" s="1" t="str">
        <f>HYPERLINK("http://www.uniprot.org/uniprot/CRK3_ARATH","CRK3_ARATH")</f>
        <v>CRK3_ARATH</v>
      </c>
      <c r="D3803" t="s">
        <v>3424</v>
      </c>
      <c r="E3803" s="3" t="s">
        <v>3</v>
      </c>
      <c r="F3803" s="4">
        <v>0</v>
      </c>
      <c r="G3803" s="3">
        <v>2006</v>
      </c>
      <c r="H3803" s="3">
        <v>63</v>
      </c>
      <c r="I3803" s="3">
        <v>630</v>
      </c>
      <c r="J3803" s="3">
        <v>149</v>
      </c>
      <c r="K3803" s="3">
        <v>2026</v>
      </c>
      <c r="L3803" s="3">
        <v>20</v>
      </c>
      <c r="M3803" s="3">
        <v>646</v>
      </c>
    </row>
    <row r="3804" spans="1:13" x14ac:dyDescent="0.25">
      <c r="A3804" s="1" t="str">
        <f>HYPERLINK("http://www.rosaceae.org/Prunus/Prunus_persica/p.persica_gdr_reftransV1_0010270","p.persica_gdr_reftransV1_0010270")</f>
        <v>p.persica_gdr_reftransV1_0010270</v>
      </c>
      <c r="B3804" s="3">
        <v>1032</v>
      </c>
      <c r="C3804" s="1" t="str">
        <f>HYPERLINK("http://www.uniprot.org/uniprot/RS15_ORYSJ","RS15_ORYSJ")</f>
        <v>RS15_ORYSJ</v>
      </c>
      <c r="D3804" t="s">
        <v>924</v>
      </c>
      <c r="E3804" s="3" t="s">
        <v>38</v>
      </c>
      <c r="F3804" s="4">
        <v>2.4300000000000001E-93</v>
      </c>
      <c r="G3804" s="3">
        <v>720</v>
      </c>
      <c r="H3804" s="3">
        <v>90</v>
      </c>
      <c r="I3804" s="3">
        <v>154</v>
      </c>
      <c r="J3804" s="3">
        <v>146</v>
      </c>
      <c r="K3804" s="3">
        <v>601</v>
      </c>
      <c r="L3804" s="3">
        <v>1</v>
      </c>
      <c r="M3804" s="3">
        <v>154</v>
      </c>
    </row>
    <row r="3805" spans="1:13" x14ac:dyDescent="0.25">
      <c r="A3805" s="1" t="str">
        <f>HYPERLINK("http://www.rosaceae.org/Prunus/Prunus_persica/p.persica_gdr_reftransV1_0010320","p.persica_gdr_reftransV1_0010320")</f>
        <v>p.persica_gdr_reftransV1_0010320</v>
      </c>
      <c r="B3805" s="3">
        <v>2878</v>
      </c>
      <c r="C3805" s="1" t="str">
        <f>HYPERLINK("http://www.uniprot.org/uniprot/ANKZ1_HUMAN","ANKZ1_HUMAN")</f>
        <v>ANKZ1_HUMAN</v>
      </c>
      <c r="D3805" t="s">
        <v>3425</v>
      </c>
      <c r="E3805" s="3" t="s">
        <v>28</v>
      </c>
      <c r="F3805" s="4">
        <v>1.82E-35</v>
      </c>
      <c r="G3805" s="3">
        <v>374</v>
      </c>
      <c r="H3805" s="3">
        <v>33</v>
      </c>
      <c r="I3805" s="3">
        <v>346</v>
      </c>
      <c r="J3805" s="3">
        <v>1545</v>
      </c>
      <c r="K3805" s="3">
        <v>2537</v>
      </c>
      <c r="L3805" s="3">
        <v>74</v>
      </c>
      <c r="M3805" s="3">
        <v>406</v>
      </c>
    </row>
    <row r="3806" spans="1:13" x14ac:dyDescent="0.25">
      <c r="A3806" s="1" t="str">
        <f>HYPERLINK("http://www.rosaceae.org/Prunus/Prunus_persica/p.persica_gdr_reftransV1_0010420","p.persica_gdr_reftransV1_0010420")</f>
        <v>p.persica_gdr_reftransV1_0010420</v>
      </c>
      <c r="B3806" s="3">
        <v>706</v>
      </c>
      <c r="C3806" s="1" t="str">
        <f>HYPERLINK("http://www.uniprot.org/uniprot/RS141_MAIZE","RS141_MAIZE")</f>
        <v>RS141_MAIZE</v>
      </c>
      <c r="D3806" t="s">
        <v>3426</v>
      </c>
      <c r="E3806" s="3" t="s">
        <v>72</v>
      </c>
      <c r="F3806" s="4">
        <v>2.69E-39</v>
      </c>
      <c r="G3806" s="3">
        <v>349</v>
      </c>
      <c r="H3806" s="3">
        <v>99</v>
      </c>
      <c r="I3806" s="3">
        <v>84</v>
      </c>
      <c r="J3806" s="3">
        <v>453</v>
      </c>
      <c r="K3806" s="3">
        <v>704</v>
      </c>
      <c r="L3806" s="3">
        <v>44</v>
      </c>
      <c r="M3806" s="3">
        <v>127</v>
      </c>
    </row>
    <row r="3807" spans="1:13" x14ac:dyDescent="0.25">
      <c r="A3807" s="1" t="str">
        <f>HYPERLINK("http://www.rosaceae.org/Prunus/Prunus_persica/p.persica_gdr_reftransV1_0010570","p.persica_gdr_reftransV1_0010570")</f>
        <v>p.persica_gdr_reftransV1_0010570</v>
      </c>
      <c r="B3807" s="3">
        <v>999</v>
      </c>
      <c r="C3807" s="1" t="str">
        <f>HYPERLINK("http://www.uniprot.org/uniprot/PP405_ARATH","PP405_ARATH")</f>
        <v>PP405_ARATH</v>
      </c>
      <c r="D3807" t="s">
        <v>3427</v>
      </c>
      <c r="E3807" s="3" t="s">
        <v>3</v>
      </c>
      <c r="F3807" s="4">
        <v>3.5999999999999998E-23</v>
      </c>
      <c r="G3807" s="3">
        <v>259</v>
      </c>
      <c r="H3807" s="3">
        <v>47</v>
      </c>
      <c r="I3807" s="3">
        <v>101</v>
      </c>
      <c r="J3807" s="3">
        <v>2</v>
      </c>
      <c r="K3807" s="3">
        <v>304</v>
      </c>
      <c r="L3807" s="3">
        <v>568</v>
      </c>
      <c r="M3807" s="3">
        <v>668</v>
      </c>
    </row>
    <row r="3808" spans="1:13" x14ac:dyDescent="0.25">
      <c r="A3808" s="1" t="str">
        <f>HYPERLINK("http://www.rosaceae.org/Prunus/Prunus_persica/p.persica_gdr_reftransV1_0010820","p.persica_gdr_reftransV1_0010820")</f>
        <v>p.persica_gdr_reftransV1_0010820</v>
      </c>
      <c r="B3808" s="3">
        <v>2741</v>
      </c>
      <c r="C3808" s="1" t="str">
        <f>HYPERLINK("http://www.uniprot.org/uniprot/BSHA_BACAN","BSHA_BACAN")</f>
        <v>BSHA_BACAN</v>
      </c>
      <c r="D3808" t="s">
        <v>16</v>
      </c>
      <c r="E3808" s="3" t="s">
        <v>17</v>
      </c>
      <c r="F3808" s="4">
        <v>4.7600000000000001E-9</v>
      </c>
      <c r="G3808" s="3">
        <v>152</v>
      </c>
      <c r="H3808" s="3">
        <v>30</v>
      </c>
      <c r="I3808" s="3">
        <v>133</v>
      </c>
      <c r="J3808" s="3">
        <v>2063</v>
      </c>
      <c r="K3808" s="3">
        <v>2461</v>
      </c>
      <c r="L3808" s="3">
        <v>246</v>
      </c>
      <c r="M3808" s="3">
        <v>374</v>
      </c>
    </row>
    <row r="3809" spans="1:13" x14ac:dyDescent="0.25">
      <c r="A3809" s="1" t="str">
        <f>HYPERLINK("http://www.rosaceae.org/Prunus/Prunus_persica/p.persica_gdr_reftransV1_0011070","p.persica_gdr_reftransV1_0011070")</f>
        <v>p.persica_gdr_reftransV1_0011070</v>
      </c>
      <c r="B3809" s="3">
        <v>2385</v>
      </c>
      <c r="C3809" s="1" t="str">
        <f>HYPERLINK("http://www.uniprot.org/uniprot/NTL9_ARATH","NTL9_ARATH")</f>
        <v>NTL9_ARATH</v>
      </c>
      <c r="D3809" t="s">
        <v>3428</v>
      </c>
      <c r="E3809" s="3" t="s">
        <v>3</v>
      </c>
      <c r="F3809" s="4">
        <v>1.7699999999999999E-38</v>
      </c>
      <c r="G3809" s="3">
        <v>389</v>
      </c>
      <c r="H3809" s="3">
        <v>43</v>
      </c>
      <c r="I3809" s="3">
        <v>227</v>
      </c>
      <c r="J3809" s="3">
        <v>170</v>
      </c>
      <c r="K3809" s="3">
        <v>844</v>
      </c>
      <c r="L3809" s="3">
        <v>7</v>
      </c>
      <c r="M3809" s="3">
        <v>211</v>
      </c>
    </row>
    <row r="3810" spans="1:13" x14ac:dyDescent="0.25">
      <c r="A3810" s="1" t="str">
        <f>HYPERLINK("http://www.rosaceae.org/Prunus/Prunus_persica/p.persica_gdr_reftransV1_0011220","p.persica_gdr_reftransV1_0011220")</f>
        <v>p.persica_gdr_reftransV1_0011220</v>
      </c>
      <c r="B3810" s="3">
        <v>2413</v>
      </c>
      <c r="C3810" s="1" t="str">
        <f>HYPERLINK("http://www.uniprot.org/uniprot/MLO3_ARATH","MLO3_ARATH")</f>
        <v>MLO3_ARATH</v>
      </c>
      <c r="D3810" t="s">
        <v>3429</v>
      </c>
      <c r="E3810" s="3" t="s">
        <v>3</v>
      </c>
      <c r="F3810" s="4">
        <v>1.4E-129</v>
      </c>
      <c r="G3810" s="3">
        <v>1036</v>
      </c>
      <c r="H3810" s="3">
        <v>54</v>
      </c>
      <c r="I3810" s="3">
        <v>404</v>
      </c>
      <c r="J3810" s="3">
        <v>284</v>
      </c>
      <c r="K3810" s="3">
        <v>1495</v>
      </c>
      <c r="L3810" s="3">
        <v>19</v>
      </c>
      <c r="M3810" s="3">
        <v>381</v>
      </c>
    </row>
    <row r="3811" spans="1:13" x14ac:dyDescent="0.25">
      <c r="A3811" s="1" t="str">
        <f>HYPERLINK("http://www.rosaceae.org/Prunus/Prunus_persica/p.persica_gdr_reftransV1_0011370","p.persica_gdr_reftransV1_0011370")</f>
        <v>p.persica_gdr_reftransV1_0011370</v>
      </c>
      <c r="B3811" s="3">
        <v>2205</v>
      </c>
      <c r="C3811" s="1" t="str">
        <f>HYPERLINK("http://www.uniprot.org/uniprot/PP223_ARATH","PP223_ARATH")</f>
        <v>PP223_ARATH</v>
      </c>
      <c r="D3811" t="s">
        <v>3430</v>
      </c>
      <c r="E3811" s="3" t="s">
        <v>3</v>
      </c>
      <c r="F3811" s="4">
        <v>4.9899999999999997E-102</v>
      </c>
      <c r="G3811" s="3">
        <v>853</v>
      </c>
      <c r="H3811" s="3">
        <v>44</v>
      </c>
      <c r="I3811" s="3">
        <v>394</v>
      </c>
      <c r="J3811" s="3">
        <v>927</v>
      </c>
      <c r="K3811" s="3">
        <v>2108</v>
      </c>
      <c r="L3811" s="3">
        <v>122</v>
      </c>
      <c r="M3811" s="3">
        <v>515</v>
      </c>
    </row>
    <row r="3812" spans="1:13" x14ac:dyDescent="0.25">
      <c r="A3812" s="1" t="str">
        <f>HYPERLINK("http://www.rosaceae.org/Prunus/Prunus_persica/p.persica_gdr_reftransV1_0011470","p.persica_gdr_reftransV1_0011470")</f>
        <v>p.persica_gdr_reftransV1_0011470</v>
      </c>
      <c r="B3812" s="3">
        <v>3879</v>
      </c>
      <c r="C3812" s="1" t="str">
        <f>HYPERLINK("http://www.uniprot.org/uniprot/TC120_ARATH","TC120_ARATH")</f>
        <v>TC120_ARATH</v>
      </c>
      <c r="D3812" t="s">
        <v>3431</v>
      </c>
      <c r="E3812" s="3" t="s">
        <v>3</v>
      </c>
      <c r="F3812" s="4">
        <v>0</v>
      </c>
      <c r="G3812" s="3">
        <v>3023</v>
      </c>
      <c r="H3812" s="3">
        <v>81</v>
      </c>
      <c r="I3812" s="3">
        <v>756</v>
      </c>
      <c r="J3812" s="3">
        <v>937</v>
      </c>
      <c r="K3812" s="3">
        <v>3198</v>
      </c>
      <c r="L3812" s="3">
        <v>335</v>
      </c>
      <c r="M3812" s="3">
        <v>1089</v>
      </c>
    </row>
    <row r="3813" spans="1:13" x14ac:dyDescent="0.25">
      <c r="A3813" s="1" t="str">
        <f>HYPERLINK("http://www.rosaceae.org/Prunus/Prunus_persica/p.persica_gdr_reftransV1_0011570","p.persica_gdr_reftransV1_0011570")</f>
        <v>p.persica_gdr_reftransV1_0011570</v>
      </c>
      <c r="B3813" s="3">
        <v>1397</v>
      </c>
      <c r="C3813" s="1" t="str">
        <f>HYPERLINK("http://www.uniprot.org/uniprot/PP284_ARATH","PP284_ARATH")</f>
        <v>PP284_ARATH</v>
      </c>
      <c r="D3813" t="s">
        <v>3432</v>
      </c>
      <c r="E3813" s="3" t="s">
        <v>3</v>
      </c>
      <c r="F3813" s="4">
        <v>0</v>
      </c>
      <c r="G3813" s="3">
        <v>1454</v>
      </c>
      <c r="H3813" s="3">
        <v>62</v>
      </c>
      <c r="I3813" s="3">
        <v>429</v>
      </c>
      <c r="J3813" s="3">
        <v>2</v>
      </c>
      <c r="K3813" s="3">
        <v>1288</v>
      </c>
      <c r="L3813" s="3">
        <v>156</v>
      </c>
      <c r="M3813" s="3">
        <v>581</v>
      </c>
    </row>
    <row r="3814" spans="1:13" x14ac:dyDescent="0.25">
      <c r="A3814" s="1" t="str">
        <f>HYPERLINK("http://www.rosaceae.org/Prunus/Prunus_persica/p.persica_gdr_reftransV1_0011670","p.persica_gdr_reftransV1_0011670")</f>
        <v>p.persica_gdr_reftransV1_0011670</v>
      </c>
      <c r="B3814" s="3">
        <v>1128</v>
      </c>
      <c r="C3814" s="1" t="str">
        <f>HYPERLINK("http://www.uniprot.org/uniprot/REV7_ARATH","REV7_ARATH")</f>
        <v>REV7_ARATH</v>
      </c>
      <c r="D3814" t="s">
        <v>3433</v>
      </c>
      <c r="E3814" s="3" t="s">
        <v>3</v>
      </c>
      <c r="F3814" s="4">
        <v>2.5900000000000002E-96</v>
      </c>
      <c r="G3814" s="3">
        <v>749</v>
      </c>
      <c r="H3814" s="3">
        <v>68</v>
      </c>
      <c r="I3814" s="3">
        <v>203</v>
      </c>
      <c r="J3814" s="3">
        <v>420</v>
      </c>
      <c r="K3814" s="3">
        <v>1025</v>
      </c>
      <c r="L3814" s="3">
        <v>1</v>
      </c>
      <c r="M3814" s="3">
        <v>201</v>
      </c>
    </row>
    <row r="3815" spans="1:13" x14ac:dyDescent="0.25">
      <c r="A3815" s="1" t="str">
        <f>HYPERLINK("http://www.rosaceae.org/Prunus/Prunus_persica/p.persica_gdr_reftransV1_0011920","p.persica_gdr_reftransV1_0011920")</f>
        <v>p.persica_gdr_reftransV1_0011920</v>
      </c>
      <c r="B3815" s="3">
        <v>934</v>
      </c>
      <c r="C3815" s="1" t="str">
        <f>HYPERLINK("http://www.uniprot.org/uniprot/CYP37_ARATH","CYP37_ARATH")</f>
        <v>CYP37_ARATH</v>
      </c>
      <c r="D3815" t="s">
        <v>3434</v>
      </c>
      <c r="E3815" s="3" t="s">
        <v>3</v>
      </c>
      <c r="F3815" s="4">
        <v>1.4499999999999999E-102</v>
      </c>
      <c r="G3815" s="3">
        <v>807</v>
      </c>
      <c r="H3815" s="3">
        <v>75</v>
      </c>
      <c r="I3815" s="3">
        <v>201</v>
      </c>
      <c r="J3815" s="3">
        <v>286</v>
      </c>
      <c r="K3815" s="3">
        <v>888</v>
      </c>
      <c r="L3815" s="3">
        <v>256</v>
      </c>
      <c r="M3815" s="3">
        <v>456</v>
      </c>
    </row>
    <row r="3816" spans="1:13" x14ac:dyDescent="0.25">
      <c r="A3816" s="1" t="str">
        <f>HYPERLINK("http://www.rosaceae.org/Prunus/Prunus_persica/p.persica_gdr_reftransV1_0012220","p.persica_gdr_reftransV1_0012220")</f>
        <v>p.persica_gdr_reftransV1_0012220</v>
      </c>
      <c r="B3816" s="3">
        <v>3408</v>
      </c>
      <c r="C3816" s="1" t="str">
        <f>HYPERLINK("http://www.uniprot.org/uniprot/VPS51_CHICK","VPS51_CHICK")</f>
        <v>VPS51_CHICK</v>
      </c>
      <c r="D3816" t="s">
        <v>3435</v>
      </c>
      <c r="E3816" s="3" t="s">
        <v>1278</v>
      </c>
      <c r="F3816" s="4">
        <v>8.9599999999999999E-34</v>
      </c>
      <c r="G3816" s="3">
        <v>362</v>
      </c>
      <c r="H3816" s="3">
        <v>35</v>
      </c>
      <c r="I3816" s="3">
        <v>231</v>
      </c>
      <c r="J3816" s="3">
        <v>399</v>
      </c>
      <c r="K3816" s="3">
        <v>1076</v>
      </c>
      <c r="L3816" s="3">
        <v>558</v>
      </c>
      <c r="M3816" s="3">
        <v>785</v>
      </c>
    </row>
    <row r="3817" spans="1:13" x14ac:dyDescent="0.25">
      <c r="A3817" s="1" t="str">
        <f>HYPERLINK("http://www.rosaceae.org/Prunus/Prunus_persica/p.persica_gdr_reftransV1_0012320","p.persica_gdr_reftransV1_0012320")</f>
        <v>p.persica_gdr_reftransV1_0012320</v>
      </c>
      <c r="B3817" s="3">
        <v>2594</v>
      </c>
      <c r="C3817" s="1" t="str">
        <f>HYPERLINK("http://www.uniprot.org/uniprot/FA63A_DANRE","FA63A_DANRE")</f>
        <v>FA63A_DANRE</v>
      </c>
      <c r="D3817" t="s">
        <v>3436</v>
      </c>
      <c r="E3817" s="3" t="s">
        <v>704</v>
      </c>
      <c r="F3817" s="4">
        <v>3.7999999999999998E-25</v>
      </c>
      <c r="G3817" s="3">
        <v>285</v>
      </c>
      <c r="H3817" s="3">
        <v>56</v>
      </c>
      <c r="I3817" s="3">
        <v>78</v>
      </c>
      <c r="J3817" s="3">
        <v>406</v>
      </c>
      <c r="K3817" s="3">
        <v>639</v>
      </c>
      <c r="L3817" s="3">
        <v>241</v>
      </c>
      <c r="M3817" s="3">
        <v>318</v>
      </c>
    </row>
    <row r="3818" spans="1:13" x14ac:dyDescent="0.25">
      <c r="A3818" s="1" t="str">
        <f>HYPERLINK("http://www.rosaceae.org/Prunus/Prunus_persica/p.persica_gdr_reftransV1_0012520","p.persica_gdr_reftransV1_0012520")</f>
        <v>p.persica_gdr_reftransV1_0012520</v>
      </c>
      <c r="B3818" s="3">
        <v>1090</v>
      </c>
      <c r="C3818" s="1" t="str">
        <f>HYPERLINK("http://www.uniprot.org/uniprot/HERK_ARATH","HERK_ARATH")</f>
        <v>HERK_ARATH</v>
      </c>
      <c r="D3818" t="s">
        <v>3437</v>
      </c>
      <c r="E3818" s="3" t="s">
        <v>3</v>
      </c>
      <c r="F3818" s="4">
        <v>8.3600000000000001E-103</v>
      </c>
      <c r="G3818" s="3">
        <v>840</v>
      </c>
      <c r="H3818" s="3">
        <v>83</v>
      </c>
      <c r="I3818" s="3">
        <v>189</v>
      </c>
      <c r="J3818" s="3">
        <v>2</v>
      </c>
      <c r="K3818" s="3">
        <v>556</v>
      </c>
      <c r="L3818" s="3">
        <v>642</v>
      </c>
      <c r="M3818" s="3">
        <v>830</v>
      </c>
    </row>
    <row r="3819" spans="1:13" x14ac:dyDescent="0.25">
      <c r="A3819" s="1" t="str">
        <f>HYPERLINK("http://www.rosaceae.org/Prunus/Prunus_persica/p.persica_gdr_reftransV1_0012570","p.persica_gdr_reftransV1_0012570")</f>
        <v>p.persica_gdr_reftransV1_0012570</v>
      </c>
      <c r="B3819" s="3">
        <v>3456</v>
      </c>
      <c r="C3819" s="1" t="str">
        <f>HYPERLINK("http://www.uniprot.org/uniprot/DHNA_ARATH","DHNA_ARATH")</f>
        <v>DHNA_ARATH</v>
      </c>
      <c r="D3819" t="s">
        <v>3438</v>
      </c>
      <c r="E3819" s="3" t="s">
        <v>3</v>
      </c>
      <c r="F3819" s="4">
        <v>0</v>
      </c>
      <c r="G3819" s="3">
        <v>1784</v>
      </c>
      <c r="H3819" s="3">
        <v>68</v>
      </c>
      <c r="I3819" s="3">
        <v>527</v>
      </c>
      <c r="J3819" s="3">
        <v>1694</v>
      </c>
      <c r="K3819" s="3">
        <v>3274</v>
      </c>
      <c r="L3819" s="3">
        <v>10</v>
      </c>
      <c r="M3819" s="3">
        <v>519</v>
      </c>
    </row>
    <row r="3820" spans="1:13" x14ac:dyDescent="0.25">
      <c r="A3820" s="1" t="str">
        <f>HYPERLINK("http://www.rosaceae.org/Prunus/Prunus_persica/p.persica_gdr_reftransV1_0012620","p.persica_gdr_reftransV1_0012620")</f>
        <v>p.persica_gdr_reftransV1_0012620</v>
      </c>
      <c r="B3820" s="3">
        <v>2722</v>
      </c>
      <c r="C3820" s="1" t="str">
        <f>HYPERLINK("http://www.uniprot.org/uniprot/BXL6_ARATH","BXL6_ARATH")</f>
        <v>BXL6_ARATH</v>
      </c>
      <c r="D3820" t="s">
        <v>3439</v>
      </c>
      <c r="E3820" s="3" t="s">
        <v>3</v>
      </c>
      <c r="F3820" s="4">
        <v>0</v>
      </c>
      <c r="G3820" s="3">
        <v>2792</v>
      </c>
      <c r="H3820" s="3">
        <v>67</v>
      </c>
      <c r="I3820" s="3">
        <v>763</v>
      </c>
      <c r="J3820" s="3">
        <v>142</v>
      </c>
      <c r="K3820" s="3">
        <v>2421</v>
      </c>
      <c r="L3820" s="3">
        <v>29</v>
      </c>
      <c r="M3820" s="3">
        <v>791</v>
      </c>
    </row>
    <row r="3821" spans="1:13" x14ac:dyDescent="0.25">
      <c r="A3821" s="1" t="str">
        <f>HYPERLINK("http://www.rosaceae.org/Prunus/Prunus_persica/p.persica_gdr_reftransV1_0013070","p.persica_gdr_reftransV1_0013070")</f>
        <v>p.persica_gdr_reftransV1_0013070</v>
      </c>
      <c r="B3821" s="3">
        <v>3050</v>
      </c>
      <c r="C3821" s="1" t="str">
        <f>HYPERLINK("http://www.uniprot.org/uniprot/HPPD_ARATH","HPPD_ARATH")</f>
        <v>HPPD_ARATH</v>
      </c>
      <c r="D3821" t="s">
        <v>3440</v>
      </c>
      <c r="E3821" s="3" t="s">
        <v>3</v>
      </c>
      <c r="F3821" s="4">
        <v>0</v>
      </c>
      <c r="G3821" s="3">
        <v>1410</v>
      </c>
      <c r="H3821" s="3">
        <v>71</v>
      </c>
      <c r="I3821" s="3">
        <v>388</v>
      </c>
      <c r="J3821" s="3">
        <v>451</v>
      </c>
      <c r="K3821" s="3">
        <v>1608</v>
      </c>
      <c r="L3821" s="3">
        <v>17</v>
      </c>
      <c r="M3821" s="3">
        <v>396</v>
      </c>
    </row>
    <row r="3822" spans="1:13" x14ac:dyDescent="0.25">
      <c r="A3822" s="1" t="str">
        <f>HYPERLINK("http://www.rosaceae.org/Prunus/Prunus_persica/p.persica_gdr_reftransV1_0013120","p.persica_gdr_reftransV1_0013120")</f>
        <v>p.persica_gdr_reftransV1_0013120</v>
      </c>
      <c r="B3822" s="3">
        <v>771</v>
      </c>
      <c r="C3822" s="1" t="str">
        <f>HYPERLINK("http://www.uniprot.org/uniprot/ACP1_CASGL","ACP1_CASGL")</f>
        <v>ACP1_CASGL</v>
      </c>
      <c r="D3822" t="s">
        <v>3441</v>
      </c>
      <c r="E3822" s="3" t="s">
        <v>3442</v>
      </c>
      <c r="F3822" s="4">
        <v>2.2899999999999999E-25</v>
      </c>
      <c r="G3822" s="3">
        <v>254</v>
      </c>
      <c r="H3822" s="3">
        <v>73</v>
      </c>
      <c r="I3822" s="3">
        <v>85</v>
      </c>
      <c r="J3822" s="3">
        <v>297</v>
      </c>
      <c r="K3822" s="3">
        <v>551</v>
      </c>
      <c r="L3822" s="3">
        <v>43</v>
      </c>
      <c r="M3822" s="3">
        <v>127</v>
      </c>
    </row>
    <row r="3823" spans="1:13" x14ac:dyDescent="0.25">
      <c r="A3823" s="1" t="str">
        <f>HYPERLINK("http://www.rosaceae.org/Prunus/Prunus_persica/p.persica_gdr_reftransV1_0013270","p.persica_gdr_reftransV1_0013270")</f>
        <v>p.persica_gdr_reftransV1_0013270</v>
      </c>
      <c r="B3823" s="3">
        <v>2707</v>
      </c>
      <c r="C3823" s="1" t="str">
        <f>HYPERLINK("http://www.uniprot.org/uniprot/PP158_ARATH","PP158_ARATH")</f>
        <v>PP158_ARATH</v>
      </c>
      <c r="D3823" t="s">
        <v>3443</v>
      </c>
      <c r="E3823" s="3" t="s">
        <v>3</v>
      </c>
      <c r="F3823" s="4">
        <v>0</v>
      </c>
      <c r="G3823" s="3">
        <v>2479</v>
      </c>
      <c r="H3823" s="3">
        <v>64</v>
      </c>
      <c r="I3823" s="3">
        <v>697</v>
      </c>
      <c r="J3823" s="3">
        <v>615</v>
      </c>
      <c r="K3823" s="3">
        <v>2705</v>
      </c>
      <c r="L3823" s="3">
        <v>173</v>
      </c>
      <c r="M3823" s="3">
        <v>869</v>
      </c>
    </row>
    <row r="3824" spans="1:13" x14ac:dyDescent="0.25">
      <c r="A3824" s="1" t="str">
        <f>HYPERLINK("http://www.rosaceae.org/Prunus/Prunus_persica/p.persica_gdr_reftransV1_0013470","p.persica_gdr_reftransV1_0013470")</f>
        <v>p.persica_gdr_reftransV1_0013470</v>
      </c>
      <c r="B3824" s="3">
        <v>1217</v>
      </c>
      <c r="C3824" s="1" t="str">
        <f>HYPERLINK("http://www.uniprot.org/uniprot/R10A1_ARATH","R10A1_ARATH")</f>
        <v>R10A1_ARATH</v>
      </c>
      <c r="D3824" t="s">
        <v>3444</v>
      </c>
      <c r="E3824" s="3" t="s">
        <v>3</v>
      </c>
      <c r="F3824" s="4">
        <v>8.1499999999999998E-119</v>
      </c>
      <c r="G3824" s="3">
        <v>901</v>
      </c>
      <c r="H3824" s="3">
        <v>87</v>
      </c>
      <c r="I3824" s="3">
        <v>216</v>
      </c>
      <c r="J3824" s="3">
        <v>355</v>
      </c>
      <c r="K3824" s="3">
        <v>1002</v>
      </c>
      <c r="L3824" s="3">
        <v>1</v>
      </c>
      <c r="M3824" s="3">
        <v>216</v>
      </c>
    </row>
    <row r="3825" spans="1:13" x14ac:dyDescent="0.25">
      <c r="A3825" s="1" t="str">
        <f>HYPERLINK("http://www.rosaceae.org/Prunus/Prunus_persica/p.persica_gdr_reftransV1_0013520","p.persica_gdr_reftransV1_0013520")</f>
        <v>p.persica_gdr_reftransV1_0013520</v>
      </c>
      <c r="B3825" s="3">
        <v>3204</v>
      </c>
      <c r="C3825" s="1" t="str">
        <f>HYPERLINK("http://www.uniprot.org/uniprot/RNR1_ARATH","RNR1_ARATH")</f>
        <v>RNR1_ARATH</v>
      </c>
      <c r="D3825" t="s">
        <v>3445</v>
      </c>
      <c r="E3825" s="3" t="s">
        <v>3</v>
      </c>
      <c r="F3825" s="4">
        <v>0</v>
      </c>
      <c r="G3825" s="3">
        <v>2623</v>
      </c>
      <c r="H3825" s="3">
        <v>73</v>
      </c>
      <c r="I3825" s="3">
        <v>733</v>
      </c>
      <c r="J3825" s="3">
        <v>288</v>
      </c>
      <c r="K3825" s="3">
        <v>2471</v>
      </c>
      <c r="L3825" s="3">
        <v>68</v>
      </c>
      <c r="M3825" s="3">
        <v>800</v>
      </c>
    </row>
    <row r="3826" spans="1:13" x14ac:dyDescent="0.25">
      <c r="A3826" s="1" t="str">
        <f>HYPERLINK("http://www.rosaceae.org/Prunus/Prunus_persica/p.persica_gdr_reftransV1_0013570","p.persica_gdr_reftransV1_0013570")</f>
        <v>p.persica_gdr_reftransV1_0013570</v>
      </c>
      <c r="B3826" s="3">
        <v>1687</v>
      </c>
      <c r="C3826" s="1" t="str">
        <f>HYPERLINK("http://www.uniprot.org/uniprot/MAOM_SOLTU","MAOM_SOLTU")</f>
        <v>MAOM_SOLTU</v>
      </c>
      <c r="D3826" t="s">
        <v>3446</v>
      </c>
      <c r="E3826" s="3" t="s">
        <v>11</v>
      </c>
      <c r="F3826" s="4">
        <v>2.62E-93</v>
      </c>
      <c r="G3826" s="3">
        <v>780</v>
      </c>
      <c r="H3826" s="3">
        <v>84</v>
      </c>
      <c r="I3826" s="3">
        <v>179</v>
      </c>
      <c r="J3826" s="3">
        <v>961</v>
      </c>
      <c r="K3826" s="3">
        <v>1497</v>
      </c>
      <c r="L3826" s="3">
        <v>448</v>
      </c>
      <c r="M3826" s="3">
        <v>626</v>
      </c>
    </row>
    <row r="3827" spans="1:13" x14ac:dyDescent="0.25">
      <c r="A3827" s="1" t="str">
        <f>HYPERLINK("http://www.rosaceae.org/Prunus/Prunus_persica/p.persica_gdr_reftransV1_0013670","p.persica_gdr_reftransV1_0013670")</f>
        <v>p.persica_gdr_reftransV1_0013670</v>
      </c>
      <c r="B3827" s="3">
        <v>1693</v>
      </c>
      <c r="C3827" s="1" t="str">
        <f>HYPERLINK("http://www.uniprot.org/uniprot/HEM6_SOYBN","HEM6_SOYBN")</f>
        <v>HEM6_SOYBN</v>
      </c>
      <c r="D3827" t="s">
        <v>3447</v>
      </c>
      <c r="E3827" s="3" t="s">
        <v>307</v>
      </c>
      <c r="F3827" s="4">
        <v>0</v>
      </c>
      <c r="G3827" s="3">
        <v>1587</v>
      </c>
      <c r="H3827" s="3">
        <v>89</v>
      </c>
      <c r="I3827" s="3">
        <v>346</v>
      </c>
      <c r="J3827" s="3">
        <v>257</v>
      </c>
      <c r="K3827" s="3">
        <v>1282</v>
      </c>
      <c r="L3827" s="3">
        <v>41</v>
      </c>
      <c r="M3827" s="3">
        <v>385</v>
      </c>
    </row>
    <row r="3828" spans="1:13" x14ac:dyDescent="0.25">
      <c r="A3828" s="1" t="str">
        <f>HYPERLINK("http://www.rosaceae.org/Prunus/Prunus_persica/p.persica_gdr_reftransV1_0013720","p.persica_gdr_reftransV1_0013720")</f>
        <v>p.persica_gdr_reftransV1_0013720</v>
      </c>
      <c r="B3828" s="3">
        <v>1550</v>
      </c>
      <c r="C3828" s="1" t="str">
        <f>HYPERLINK("http://www.uniprot.org/uniprot/GSR2_ARATH","GSR2_ARATH")</f>
        <v>GSR2_ARATH</v>
      </c>
      <c r="D3828" t="s">
        <v>3448</v>
      </c>
      <c r="E3828" s="3" t="s">
        <v>3</v>
      </c>
      <c r="F3828" s="4">
        <v>4.8400000000000003E-51</v>
      </c>
      <c r="G3828" s="3">
        <v>471</v>
      </c>
      <c r="H3828" s="3">
        <v>60</v>
      </c>
      <c r="I3828" s="3">
        <v>213</v>
      </c>
      <c r="J3828" s="3">
        <v>790</v>
      </c>
      <c r="K3828" s="3">
        <v>1407</v>
      </c>
      <c r="L3828" s="3">
        <v>15</v>
      </c>
      <c r="M3828" s="3">
        <v>224</v>
      </c>
    </row>
    <row r="3829" spans="1:13" x14ac:dyDescent="0.25">
      <c r="A3829" s="1" t="str">
        <f>HYPERLINK("http://www.rosaceae.org/Prunus/Prunus_persica/p.persica_gdr_reftransV1_0013920","p.persica_gdr_reftransV1_0013920")</f>
        <v>p.persica_gdr_reftransV1_0013920</v>
      </c>
      <c r="B3829" s="3">
        <v>3309</v>
      </c>
      <c r="C3829" s="1" t="str">
        <f>HYPERLINK("http://www.uniprot.org/uniprot/CLF_ARATH","CLF_ARATH")</f>
        <v>CLF_ARATH</v>
      </c>
      <c r="D3829" t="s">
        <v>3449</v>
      </c>
      <c r="E3829" s="3" t="s">
        <v>3</v>
      </c>
      <c r="F3829" s="4">
        <v>0</v>
      </c>
      <c r="G3829" s="3">
        <v>2128</v>
      </c>
      <c r="H3829" s="3">
        <v>67</v>
      </c>
      <c r="I3829" s="3">
        <v>687</v>
      </c>
      <c r="J3829" s="3">
        <v>350</v>
      </c>
      <c r="K3829" s="3">
        <v>2377</v>
      </c>
      <c r="L3829" s="3">
        <v>234</v>
      </c>
      <c r="M3829" s="3">
        <v>902</v>
      </c>
    </row>
    <row r="3830" spans="1:13" x14ac:dyDescent="0.25">
      <c r="A3830" s="1" t="str">
        <f>HYPERLINK("http://www.rosaceae.org/Prunus/Prunus_persica/p.persica_gdr_reftransV1_0014170","p.persica_gdr_reftransV1_0014170")</f>
        <v>p.persica_gdr_reftransV1_0014170</v>
      </c>
      <c r="B3830" s="3">
        <v>3869</v>
      </c>
      <c r="C3830" s="1" t="str">
        <f>HYPERLINK("http://www.uniprot.org/uniprot/CHR9_ARATH","CHR9_ARATH")</f>
        <v>CHR9_ARATH</v>
      </c>
      <c r="D3830" t="s">
        <v>3450</v>
      </c>
      <c r="E3830" s="3" t="s">
        <v>3</v>
      </c>
      <c r="F3830" s="4">
        <v>0</v>
      </c>
      <c r="G3830" s="3">
        <v>1622</v>
      </c>
      <c r="H3830" s="3">
        <v>76</v>
      </c>
      <c r="I3830" s="3">
        <v>380</v>
      </c>
      <c r="J3830" s="3">
        <v>369</v>
      </c>
      <c r="K3830" s="3">
        <v>1505</v>
      </c>
      <c r="L3830" s="3">
        <v>99</v>
      </c>
      <c r="M3830" s="3">
        <v>474</v>
      </c>
    </row>
    <row r="3831" spans="1:13" x14ac:dyDescent="0.25">
      <c r="A3831" s="1" t="str">
        <f>HYPERLINK("http://www.rosaceae.org/Prunus/Prunus_persica/p.persica_gdr_reftransV1_0014220","p.persica_gdr_reftransV1_0014220")</f>
        <v>p.persica_gdr_reftransV1_0014220</v>
      </c>
      <c r="B3831" s="3">
        <v>875</v>
      </c>
      <c r="C3831" s="1" t="str">
        <f>HYPERLINK("http://www.uniprot.org/uniprot/PP182_ARATH","PP182_ARATH")</f>
        <v>PP182_ARATH</v>
      </c>
      <c r="D3831" t="s">
        <v>3451</v>
      </c>
      <c r="E3831" s="3" t="s">
        <v>3</v>
      </c>
      <c r="F3831" s="4">
        <v>2.0199999999999999E-139</v>
      </c>
      <c r="G3831" s="3">
        <v>1060</v>
      </c>
      <c r="H3831" s="3">
        <v>65</v>
      </c>
      <c r="I3831" s="3">
        <v>292</v>
      </c>
      <c r="J3831" s="3">
        <v>5</v>
      </c>
      <c r="K3831" s="3">
        <v>871</v>
      </c>
      <c r="L3831" s="3">
        <v>141</v>
      </c>
      <c r="M3831" s="3">
        <v>432</v>
      </c>
    </row>
    <row r="3832" spans="1:13" x14ac:dyDescent="0.25">
      <c r="A3832" s="1" t="str">
        <f>HYPERLINK("http://www.rosaceae.org/Prunus/Prunus_persica/p.persica_gdr_reftransV1_0014320","p.persica_gdr_reftransV1_0014320")</f>
        <v>p.persica_gdr_reftransV1_0014320</v>
      </c>
      <c r="B3832" s="3">
        <v>3922</v>
      </c>
      <c r="C3832" s="1" t="str">
        <f>HYPERLINK("http://www.uniprot.org/uniprot/RRP44_HUMAN","RRP44_HUMAN")</f>
        <v>RRP44_HUMAN</v>
      </c>
      <c r="D3832" t="s">
        <v>3452</v>
      </c>
      <c r="E3832" s="3" t="s">
        <v>28</v>
      </c>
      <c r="F3832" s="4">
        <v>0</v>
      </c>
      <c r="G3832" s="3">
        <v>1904</v>
      </c>
      <c r="H3832" s="3">
        <v>50</v>
      </c>
      <c r="I3832" s="3">
        <v>808</v>
      </c>
      <c r="J3832" s="3">
        <v>156</v>
      </c>
      <c r="K3832" s="3">
        <v>2516</v>
      </c>
      <c r="L3832" s="3">
        <v>1</v>
      </c>
      <c r="M3832" s="3">
        <v>783</v>
      </c>
    </row>
    <row r="3833" spans="1:13" x14ac:dyDescent="0.25">
      <c r="A3833" s="1" t="str">
        <f>HYPERLINK("http://www.rosaceae.org/Prunus/Prunus_persica/p.persica_gdr_reftransV1_0014370","p.persica_gdr_reftransV1_0014370")</f>
        <v>p.persica_gdr_reftransV1_0014370</v>
      </c>
      <c r="B3833" s="3">
        <v>773</v>
      </c>
      <c r="C3833" s="1" t="str">
        <f>HYPERLINK("http://www.uniprot.org/uniprot/ZPR2_ARATH","ZPR2_ARATH")</f>
        <v>ZPR2_ARATH</v>
      </c>
      <c r="D3833" t="s">
        <v>3453</v>
      </c>
      <c r="E3833" s="3" t="s">
        <v>3</v>
      </c>
      <c r="F3833" s="4">
        <v>1.85E-9</v>
      </c>
      <c r="G3833" s="3">
        <v>138</v>
      </c>
      <c r="H3833" s="3">
        <v>64</v>
      </c>
      <c r="I3833" s="3">
        <v>44</v>
      </c>
      <c r="J3833" s="3">
        <v>407</v>
      </c>
      <c r="K3833" s="3">
        <v>538</v>
      </c>
      <c r="L3833" s="3">
        <v>52</v>
      </c>
      <c r="M3833" s="3">
        <v>95</v>
      </c>
    </row>
    <row r="3834" spans="1:13" x14ac:dyDescent="0.25">
      <c r="A3834" s="1" t="str">
        <f>HYPERLINK("http://www.rosaceae.org/Prunus/Prunus_persica/p.persica_gdr_reftransV1_0014470","p.persica_gdr_reftransV1_0014470")</f>
        <v>p.persica_gdr_reftransV1_0014470</v>
      </c>
      <c r="B3834" s="3">
        <v>2139</v>
      </c>
      <c r="C3834" s="1" t="str">
        <f>HYPERLINK("http://www.uniprot.org/uniprot/NFD4_ARATH","NFD4_ARATH")</f>
        <v>NFD4_ARATH</v>
      </c>
      <c r="D3834" t="s">
        <v>404</v>
      </c>
      <c r="E3834" s="3" t="s">
        <v>3</v>
      </c>
      <c r="F3834" s="4">
        <v>7.67E-28</v>
      </c>
      <c r="G3834" s="3">
        <v>307</v>
      </c>
      <c r="H3834" s="3">
        <v>24</v>
      </c>
      <c r="I3834" s="3">
        <v>543</v>
      </c>
      <c r="J3834" s="3">
        <v>264</v>
      </c>
      <c r="K3834" s="3">
        <v>1865</v>
      </c>
      <c r="L3834" s="3">
        <v>43</v>
      </c>
      <c r="M3834" s="3">
        <v>563</v>
      </c>
    </row>
    <row r="3835" spans="1:13" x14ac:dyDescent="0.25">
      <c r="A3835" s="1" t="str">
        <f>HYPERLINK("http://www.rosaceae.org/Prunus/Prunus_persica/p.persica_gdr_reftransV1_0014620","p.persica_gdr_reftransV1_0014620")</f>
        <v>p.persica_gdr_reftransV1_0014620</v>
      </c>
      <c r="B3835" s="3">
        <v>5857</v>
      </c>
      <c r="C3835" s="1" t="str">
        <f>HYPERLINK("http://www.uniprot.org/uniprot/RFS6_ARATH","RFS6_ARATH")</f>
        <v>RFS6_ARATH</v>
      </c>
      <c r="D3835" t="s">
        <v>3454</v>
      </c>
      <c r="E3835" s="3" t="s">
        <v>3</v>
      </c>
      <c r="F3835" s="4">
        <v>0</v>
      </c>
      <c r="G3835" s="3">
        <v>3137</v>
      </c>
      <c r="H3835" s="3">
        <v>76</v>
      </c>
      <c r="I3835" s="3">
        <v>757</v>
      </c>
      <c r="J3835" s="3">
        <v>710</v>
      </c>
      <c r="K3835" s="3">
        <v>2944</v>
      </c>
      <c r="L3835" s="3">
        <v>1</v>
      </c>
      <c r="M3835" s="3">
        <v>749</v>
      </c>
    </row>
    <row r="3836" spans="1:13" x14ac:dyDescent="0.25">
      <c r="A3836" s="1" t="str">
        <f>HYPERLINK("http://www.rosaceae.org/Prunus/Prunus_persica/p.persica_gdr_reftransV1_0014720","p.persica_gdr_reftransV1_0014720")</f>
        <v>p.persica_gdr_reftransV1_0014720</v>
      </c>
      <c r="B3836" s="3">
        <v>1455</v>
      </c>
      <c r="C3836" s="1" t="str">
        <f>HYPERLINK("http://www.uniprot.org/uniprot/PPA16_ARATH","PPA16_ARATH")</f>
        <v>PPA16_ARATH</v>
      </c>
      <c r="D3836" t="s">
        <v>3455</v>
      </c>
      <c r="E3836" s="3" t="s">
        <v>3</v>
      </c>
      <c r="F3836" s="4">
        <v>7.3699999999999997E-176</v>
      </c>
      <c r="G3836" s="3">
        <v>1302</v>
      </c>
      <c r="H3836" s="3">
        <v>68</v>
      </c>
      <c r="I3836" s="3">
        <v>357</v>
      </c>
      <c r="J3836" s="3">
        <v>175</v>
      </c>
      <c r="K3836" s="3">
        <v>1230</v>
      </c>
      <c r="L3836" s="3">
        <v>13</v>
      </c>
      <c r="M3836" s="3">
        <v>365</v>
      </c>
    </row>
    <row r="3837" spans="1:13" x14ac:dyDescent="0.25">
      <c r="A3837" s="1" t="str">
        <f>HYPERLINK("http://www.rosaceae.org/Prunus/Prunus_persica/p.persica_gdr_reftransV1_0014870","p.persica_gdr_reftransV1_0014870")</f>
        <v>p.persica_gdr_reftransV1_0014870</v>
      </c>
      <c r="B3837" s="3">
        <v>2412</v>
      </c>
      <c r="C3837" s="1" t="str">
        <f>HYPERLINK("http://www.uniprot.org/uniprot/RBM39_PONAB","RBM39_PONAB")</f>
        <v>RBM39_PONAB</v>
      </c>
      <c r="D3837" t="s">
        <v>947</v>
      </c>
      <c r="E3837" s="3" t="s">
        <v>176</v>
      </c>
      <c r="F3837" s="4">
        <v>1.69E-62</v>
      </c>
      <c r="G3837" s="3">
        <v>571</v>
      </c>
      <c r="H3837" s="3">
        <v>43</v>
      </c>
      <c r="I3837" s="3">
        <v>351</v>
      </c>
      <c r="J3837" s="3">
        <v>229</v>
      </c>
      <c r="K3837" s="3">
        <v>1254</v>
      </c>
      <c r="L3837" s="3">
        <v>179</v>
      </c>
      <c r="M3837" s="3">
        <v>509</v>
      </c>
    </row>
    <row r="3838" spans="1:13" x14ac:dyDescent="0.25">
      <c r="A3838" s="1" t="str">
        <f>HYPERLINK("http://www.rosaceae.org/Prunus/Prunus_persica/p.persica_gdr_reftransV1_0015220","p.persica_gdr_reftransV1_0015220")</f>
        <v>p.persica_gdr_reftransV1_0015220</v>
      </c>
      <c r="B3838" s="3">
        <v>1808</v>
      </c>
      <c r="C3838" s="1" t="str">
        <f>HYPERLINK("http://www.uniprot.org/uniprot/PP378_ARATH","PP378_ARATH")</f>
        <v>PP378_ARATH</v>
      </c>
      <c r="D3838" t="s">
        <v>3456</v>
      </c>
      <c r="E3838" s="3" t="s">
        <v>3</v>
      </c>
      <c r="F3838" s="4">
        <v>0</v>
      </c>
      <c r="G3838" s="3">
        <v>1945</v>
      </c>
      <c r="H3838" s="3">
        <v>63</v>
      </c>
      <c r="I3838" s="3">
        <v>596</v>
      </c>
      <c r="J3838" s="3">
        <v>26</v>
      </c>
      <c r="K3838" s="3">
        <v>1807</v>
      </c>
      <c r="L3838" s="3">
        <v>11</v>
      </c>
      <c r="M3838" s="3">
        <v>606</v>
      </c>
    </row>
    <row r="3839" spans="1:13" x14ac:dyDescent="0.25">
      <c r="A3839" s="1" t="str">
        <f>HYPERLINK("http://www.rosaceae.org/Prunus/Prunus_persica/p.persica_gdr_reftransV1_0015270","p.persica_gdr_reftransV1_0015270")</f>
        <v>p.persica_gdr_reftransV1_0015270</v>
      </c>
      <c r="B3839" s="3">
        <v>7579</v>
      </c>
      <c r="C3839" s="1" t="str">
        <f>HYPERLINK("http://www.uniprot.org/uniprot/MOM1_ARATH","MOM1_ARATH")</f>
        <v>MOM1_ARATH</v>
      </c>
      <c r="D3839" t="s">
        <v>3457</v>
      </c>
      <c r="E3839" s="3" t="s">
        <v>3</v>
      </c>
      <c r="F3839" s="4">
        <v>4.2699999999999997E-111</v>
      </c>
      <c r="G3839" s="3">
        <v>1027</v>
      </c>
      <c r="H3839" s="3">
        <v>42</v>
      </c>
      <c r="I3839" s="3">
        <v>598</v>
      </c>
      <c r="J3839" s="3">
        <v>3659</v>
      </c>
      <c r="K3839" s="3">
        <v>5335</v>
      </c>
      <c r="L3839" s="3">
        <v>470</v>
      </c>
      <c r="M3839" s="3">
        <v>1058</v>
      </c>
    </row>
    <row r="3840" spans="1:13" x14ac:dyDescent="0.25">
      <c r="A3840" s="1" t="str">
        <f>HYPERLINK("http://www.rosaceae.org/Prunus/Prunus_persica/p.persica_gdr_reftransV1_0015370","p.persica_gdr_reftransV1_0015370")</f>
        <v>p.persica_gdr_reftransV1_0015370</v>
      </c>
      <c r="B3840" s="3">
        <v>2346</v>
      </c>
      <c r="C3840" s="1" t="str">
        <f>HYPERLINK("http://www.uniprot.org/uniprot/ALB31_ARATH","ALB31_ARATH")</f>
        <v>ALB31_ARATH</v>
      </c>
      <c r="D3840" t="s">
        <v>3458</v>
      </c>
      <c r="E3840" s="3" t="s">
        <v>3</v>
      </c>
      <c r="F3840" s="4">
        <v>2.66E-168</v>
      </c>
      <c r="G3840" s="3">
        <v>1293</v>
      </c>
      <c r="H3840" s="3">
        <v>73</v>
      </c>
      <c r="I3840" s="3">
        <v>371</v>
      </c>
      <c r="J3840" s="3">
        <v>839</v>
      </c>
      <c r="K3840" s="3">
        <v>1909</v>
      </c>
      <c r="L3840" s="3">
        <v>45</v>
      </c>
      <c r="M3840" s="3">
        <v>403</v>
      </c>
    </row>
    <row r="3841" spans="1:13" x14ac:dyDescent="0.25">
      <c r="A3841" s="1" t="str">
        <f>HYPERLINK("http://www.rosaceae.org/Prunus/Prunus_persica/p.persica_gdr_reftransV1_0015620","p.persica_gdr_reftransV1_0015620")</f>
        <v>p.persica_gdr_reftransV1_0015620</v>
      </c>
      <c r="B3841" s="3">
        <v>1925</v>
      </c>
      <c r="C3841" s="1" t="str">
        <f>HYPERLINK("http://www.uniprot.org/uniprot/PMA11_ARATH","PMA11_ARATH")</f>
        <v>PMA11_ARATH</v>
      </c>
      <c r="D3841" t="s">
        <v>3459</v>
      </c>
      <c r="E3841" s="3" t="s">
        <v>3</v>
      </c>
      <c r="F3841" s="4">
        <v>0</v>
      </c>
      <c r="G3841" s="3">
        <v>2122</v>
      </c>
      <c r="H3841" s="3">
        <v>76</v>
      </c>
      <c r="I3841" s="3">
        <v>586</v>
      </c>
      <c r="J3841" s="3">
        <v>173</v>
      </c>
      <c r="K3841" s="3">
        <v>1924</v>
      </c>
      <c r="L3841" s="3">
        <v>380</v>
      </c>
      <c r="M3841" s="3">
        <v>956</v>
      </c>
    </row>
    <row r="3842" spans="1:13" x14ac:dyDescent="0.25">
      <c r="A3842" s="1" t="str">
        <f>HYPERLINK("http://www.rosaceae.org/Prunus/Prunus_persica/p.persica_gdr_reftransV1_0015770","p.persica_gdr_reftransV1_0015770")</f>
        <v>p.persica_gdr_reftransV1_0015770</v>
      </c>
      <c r="B3842" s="3">
        <v>897</v>
      </c>
      <c r="C3842" s="1" t="str">
        <f>HYPERLINK("http://www.uniprot.org/uniprot/U496N_ARATH","U496N_ARATH")</f>
        <v>U496N_ARATH</v>
      </c>
      <c r="D3842" t="s">
        <v>3460</v>
      </c>
      <c r="E3842" s="3" t="s">
        <v>3</v>
      </c>
      <c r="F3842" s="4">
        <v>4.85E-26</v>
      </c>
      <c r="G3842" s="3">
        <v>274</v>
      </c>
      <c r="H3842" s="3">
        <v>51</v>
      </c>
      <c r="I3842" s="3">
        <v>103</v>
      </c>
      <c r="J3842" s="3">
        <v>220</v>
      </c>
      <c r="K3842" s="3">
        <v>522</v>
      </c>
      <c r="L3842" s="3">
        <v>298</v>
      </c>
      <c r="M3842" s="3">
        <v>400</v>
      </c>
    </row>
    <row r="3843" spans="1:13" x14ac:dyDescent="0.25">
      <c r="A3843" s="1" t="str">
        <f>HYPERLINK("http://www.rosaceae.org/Prunus/Prunus_persica/p.persica_gdr_reftransV1_0016020","p.persica_gdr_reftransV1_0016020")</f>
        <v>p.persica_gdr_reftransV1_0016020</v>
      </c>
      <c r="B3843" s="3">
        <v>1802</v>
      </c>
      <c r="C3843" s="1" t="str">
        <f>HYPERLINK("http://www.uniprot.org/uniprot/Y3272_ARATH","Y3272_ARATH")</f>
        <v>Y3272_ARATH</v>
      </c>
      <c r="D3843" t="s">
        <v>3461</v>
      </c>
      <c r="E3843" s="3" t="s">
        <v>3</v>
      </c>
      <c r="F3843" s="4">
        <v>5.5500000000000002E-152</v>
      </c>
      <c r="G3843" s="3">
        <v>752</v>
      </c>
      <c r="H3843" s="3">
        <v>69</v>
      </c>
      <c r="I3843" s="3">
        <v>199</v>
      </c>
      <c r="J3843" s="3">
        <v>785</v>
      </c>
      <c r="K3843" s="3">
        <v>1381</v>
      </c>
      <c r="L3843" s="3">
        <v>80</v>
      </c>
      <c r="M3843" s="3">
        <v>274</v>
      </c>
    </row>
    <row r="3844" spans="1:13" x14ac:dyDescent="0.25">
      <c r="A3844" s="1" t="str">
        <f>HYPERLINK("http://www.rosaceae.org/Prunus/Prunus_persica/p.persica_gdr_reftransV1_0016070","p.persica_gdr_reftransV1_0016070")</f>
        <v>p.persica_gdr_reftransV1_0016070</v>
      </c>
      <c r="B3844" s="3">
        <v>1841</v>
      </c>
      <c r="C3844" s="1" t="str">
        <f>HYPERLINK("http://www.uniprot.org/uniprot/Y1960_ARATH","Y1960_ARATH")</f>
        <v>Y1960_ARATH</v>
      </c>
      <c r="D3844" t="s">
        <v>743</v>
      </c>
      <c r="E3844" s="3" t="s">
        <v>3</v>
      </c>
      <c r="F3844" s="4">
        <v>2.2500000000000002E-34</v>
      </c>
      <c r="G3844" s="3">
        <v>358</v>
      </c>
      <c r="H3844" s="3">
        <v>57</v>
      </c>
      <c r="I3844" s="3">
        <v>112</v>
      </c>
      <c r="J3844" s="3">
        <v>3</v>
      </c>
      <c r="K3844" s="3">
        <v>338</v>
      </c>
      <c r="L3844" s="3">
        <v>369</v>
      </c>
      <c r="M3844" s="3">
        <v>480</v>
      </c>
    </row>
    <row r="3845" spans="1:13" x14ac:dyDescent="0.25">
      <c r="A3845" s="1" t="str">
        <f>HYPERLINK("http://www.rosaceae.org/Prunus/Prunus_persica/p.persica_gdr_reftransV1_0016420","p.persica_gdr_reftransV1_0016420")</f>
        <v>p.persica_gdr_reftransV1_0016420</v>
      </c>
      <c r="B3845" s="3">
        <v>1202</v>
      </c>
      <c r="C3845" s="1" t="str">
        <f>HYPERLINK("http://www.uniprot.org/uniprot/MCMBP_ARATH","MCMBP_ARATH")</f>
        <v>MCMBP_ARATH</v>
      </c>
      <c r="D3845" t="s">
        <v>3462</v>
      </c>
      <c r="E3845" s="3" t="s">
        <v>3</v>
      </c>
      <c r="F3845" s="4">
        <v>4.65E-117</v>
      </c>
      <c r="G3845" s="3">
        <v>923</v>
      </c>
      <c r="H3845" s="3">
        <v>65</v>
      </c>
      <c r="I3845" s="3">
        <v>276</v>
      </c>
      <c r="J3845" s="3">
        <v>227</v>
      </c>
      <c r="K3845" s="3">
        <v>1048</v>
      </c>
      <c r="L3845" s="3">
        <v>302</v>
      </c>
      <c r="M3845" s="3">
        <v>577</v>
      </c>
    </row>
    <row r="3846" spans="1:13" x14ac:dyDescent="0.25">
      <c r="A3846" s="1" t="str">
        <f>HYPERLINK("http://www.rosaceae.org/Prunus/Prunus_persica/p.persica_gdr_reftransV1_0016920","p.persica_gdr_reftransV1_0016920")</f>
        <v>p.persica_gdr_reftransV1_0016920</v>
      </c>
      <c r="B3846" s="3">
        <v>1952</v>
      </c>
      <c r="C3846" s="1" t="str">
        <f>HYPERLINK("http://www.uniprot.org/uniprot/RPD1_ARATH","RPD1_ARATH")</f>
        <v>RPD1_ARATH</v>
      </c>
      <c r="D3846" t="s">
        <v>1883</v>
      </c>
      <c r="E3846" s="3" t="s">
        <v>3</v>
      </c>
      <c r="F3846" s="4">
        <v>3.3900000000000001E-22</v>
      </c>
      <c r="G3846" s="3">
        <v>256</v>
      </c>
      <c r="H3846" s="3">
        <v>30</v>
      </c>
      <c r="I3846" s="3">
        <v>322</v>
      </c>
      <c r="J3846" s="3">
        <v>825</v>
      </c>
      <c r="K3846" s="3">
        <v>1733</v>
      </c>
      <c r="L3846" s="3">
        <v>52</v>
      </c>
      <c r="M3846" s="3">
        <v>369</v>
      </c>
    </row>
    <row r="3847" spans="1:13" x14ac:dyDescent="0.25">
      <c r="A3847" s="1" t="str">
        <f>HYPERLINK("http://www.rosaceae.org/Prunus/Prunus_persica/p.persica_gdr_reftransV1_0017020","p.persica_gdr_reftransV1_0017020")</f>
        <v>p.persica_gdr_reftransV1_0017020</v>
      </c>
      <c r="B3847" s="3">
        <v>5575</v>
      </c>
      <c r="C3847" s="1" t="str">
        <f>HYPERLINK("http://www.uniprot.org/uniprot/ARFE_ARATH","ARFE_ARATH")</f>
        <v>ARFE_ARATH</v>
      </c>
      <c r="D3847" t="s">
        <v>3463</v>
      </c>
      <c r="E3847" s="3" t="s">
        <v>3</v>
      </c>
      <c r="F3847" s="4">
        <v>0</v>
      </c>
      <c r="G3847" s="3">
        <v>2669</v>
      </c>
      <c r="H3847" s="3">
        <v>60</v>
      </c>
      <c r="I3847" s="3">
        <v>973</v>
      </c>
      <c r="J3847" s="3">
        <v>294</v>
      </c>
      <c r="K3847" s="3">
        <v>3134</v>
      </c>
      <c r="L3847" s="3">
        <v>5</v>
      </c>
      <c r="M3847" s="3">
        <v>902</v>
      </c>
    </row>
    <row r="3848" spans="1:13" x14ac:dyDescent="0.25">
      <c r="A3848" s="1" t="str">
        <f>HYPERLINK("http://www.rosaceae.org/Prunus/Prunus_persica/p.persica_gdr_reftransV1_0017070","p.persica_gdr_reftransV1_0017070")</f>
        <v>p.persica_gdr_reftransV1_0017070</v>
      </c>
      <c r="B3848" s="3">
        <v>3757</v>
      </c>
      <c r="C3848" s="1" t="str">
        <f>HYPERLINK("http://www.uniprot.org/uniprot/CADH1_ARACO","CADH1_ARACO")</f>
        <v>CADH1_ARACO</v>
      </c>
      <c r="D3848" t="s">
        <v>1462</v>
      </c>
      <c r="E3848" s="3" t="s">
        <v>1463</v>
      </c>
      <c r="F3848" s="4">
        <v>3.7100000000000002E-178</v>
      </c>
      <c r="G3848" s="3">
        <v>1382</v>
      </c>
      <c r="H3848" s="3">
        <v>80</v>
      </c>
      <c r="I3848" s="3">
        <v>357</v>
      </c>
      <c r="J3848" s="3">
        <v>706</v>
      </c>
      <c r="K3848" s="3">
        <v>1773</v>
      </c>
      <c r="L3848" s="3">
        <v>1</v>
      </c>
      <c r="M3848" s="3">
        <v>357</v>
      </c>
    </row>
    <row r="3849" spans="1:13" x14ac:dyDescent="0.25">
      <c r="A3849" s="1" t="str">
        <f>HYPERLINK("http://www.rosaceae.org/Prunus/Prunus_persica/p.persica_gdr_reftransV1_0017220","p.persica_gdr_reftransV1_0017220")</f>
        <v>p.persica_gdr_reftransV1_0017220</v>
      </c>
      <c r="B3849" s="3">
        <v>2460</v>
      </c>
      <c r="C3849" s="1" t="str">
        <f>HYPERLINK("http://www.uniprot.org/uniprot/NUP62_ARATH","NUP62_ARATH")</f>
        <v>NUP62_ARATH</v>
      </c>
      <c r="D3849" t="s">
        <v>3464</v>
      </c>
      <c r="E3849" s="3" t="s">
        <v>3</v>
      </c>
      <c r="F3849" s="4">
        <v>6.15E-119</v>
      </c>
      <c r="G3849" s="3">
        <v>984</v>
      </c>
      <c r="H3849" s="3">
        <v>86</v>
      </c>
      <c r="I3849" s="3">
        <v>209</v>
      </c>
      <c r="J3849" s="3">
        <v>235</v>
      </c>
      <c r="K3849" s="3">
        <v>861</v>
      </c>
      <c r="L3849" s="3">
        <v>531</v>
      </c>
      <c r="M3849" s="3">
        <v>739</v>
      </c>
    </row>
    <row r="3850" spans="1:13" x14ac:dyDescent="0.25">
      <c r="A3850" s="1" t="str">
        <f>HYPERLINK("http://www.rosaceae.org/Prunus/Prunus_persica/p.persica_gdr_reftransV1_0017370","p.persica_gdr_reftransV1_0017370")</f>
        <v>p.persica_gdr_reftransV1_0017370</v>
      </c>
      <c r="B3850" s="3">
        <v>2741</v>
      </c>
      <c r="C3850" s="1" t="str">
        <f>HYPERLINK("http://www.uniprot.org/uniprot/5NTC_XENLA","5NTC_XENLA")</f>
        <v>5NTC_XENLA</v>
      </c>
      <c r="D3850" t="s">
        <v>3465</v>
      </c>
      <c r="E3850" s="3" t="s">
        <v>475</v>
      </c>
      <c r="F3850" s="4">
        <v>8.9500000000000005E-51</v>
      </c>
      <c r="G3850" s="3">
        <v>488</v>
      </c>
      <c r="H3850" s="3">
        <v>37</v>
      </c>
      <c r="I3850" s="3">
        <v>361</v>
      </c>
      <c r="J3850" s="3">
        <v>934</v>
      </c>
      <c r="K3850" s="3">
        <v>1977</v>
      </c>
      <c r="L3850" s="3">
        <v>34</v>
      </c>
      <c r="M3850" s="3">
        <v>368</v>
      </c>
    </row>
    <row r="3851" spans="1:13" x14ac:dyDescent="0.25">
      <c r="A3851" s="1" t="str">
        <f>HYPERLINK("http://www.rosaceae.org/Prunus/Prunus_persica/p.persica_gdr_reftransV1_0017670","p.persica_gdr_reftransV1_0017670")</f>
        <v>p.persica_gdr_reftransV1_0017670</v>
      </c>
      <c r="B3851" s="3">
        <v>1328</v>
      </c>
      <c r="C3851" s="1" t="str">
        <f>HYPERLINK("http://www.uniprot.org/uniprot/GUN11_ARATH","GUN11_ARATH")</f>
        <v>GUN11_ARATH</v>
      </c>
      <c r="D3851" t="s">
        <v>1494</v>
      </c>
      <c r="E3851" s="3" t="s">
        <v>3</v>
      </c>
      <c r="F3851" s="4">
        <v>0</v>
      </c>
      <c r="G3851" s="3">
        <v>1400</v>
      </c>
      <c r="H3851" s="3">
        <v>77</v>
      </c>
      <c r="I3851" s="3">
        <v>351</v>
      </c>
      <c r="J3851" s="3">
        <v>2</v>
      </c>
      <c r="K3851" s="3">
        <v>1054</v>
      </c>
      <c r="L3851" s="3">
        <v>153</v>
      </c>
      <c r="M3851" s="3">
        <v>503</v>
      </c>
    </row>
    <row r="3852" spans="1:13" x14ac:dyDescent="0.25">
      <c r="A3852" s="1" t="str">
        <f>HYPERLINK("http://www.rosaceae.org/Prunus/Prunus_persica/p.persica_gdr_reftransV1_0017770","p.persica_gdr_reftransV1_0017770")</f>
        <v>p.persica_gdr_reftransV1_0017770</v>
      </c>
      <c r="B3852" s="3">
        <v>1449</v>
      </c>
      <c r="C3852" s="1" t="str">
        <f>HYPERLINK("http://www.uniprot.org/uniprot/HidM_GLYEC","HidM_GLYEC")</f>
        <v>HidM_GLYEC</v>
      </c>
      <c r="D3852" t="s">
        <v>1581</v>
      </c>
      <c r="E3852" s="3" t="s">
        <v>1582</v>
      </c>
      <c r="F3852" s="4">
        <v>2.6700000000000001E-120</v>
      </c>
      <c r="G3852" s="3">
        <v>929</v>
      </c>
      <c r="H3852" s="3">
        <v>60</v>
      </c>
      <c r="I3852" s="3">
        <v>321</v>
      </c>
      <c r="J3852" s="3">
        <v>205</v>
      </c>
      <c r="K3852" s="3">
        <v>1167</v>
      </c>
      <c r="L3852" s="3">
        <v>11</v>
      </c>
      <c r="M3852" s="3">
        <v>328</v>
      </c>
    </row>
    <row r="3853" spans="1:13" x14ac:dyDescent="0.25">
      <c r="A3853" s="1" t="str">
        <f>HYPERLINK("http://www.rosaceae.org/Prunus/Prunus_persica/p.persica_gdr_reftransV1_0017820","p.persica_gdr_reftransV1_0017820")</f>
        <v>p.persica_gdr_reftransV1_0017820</v>
      </c>
      <c r="B3853" s="3">
        <v>2259</v>
      </c>
      <c r="C3853" s="1" t="str">
        <f>HYPERLINK("http://www.uniprot.org/uniprot/SLD1_HELAN","SLD1_HELAN")</f>
        <v>SLD1_HELAN</v>
      </c>
      <c r="D3853" t="s">
        <v>3466</v>
      </c>
      <c r="E3853" s="3" t="s">
        <v>599</v>
      </c>
      <c r="F3853" s="4">
        <v>0</v>
      </c>
      <c r="G3853" s="3">
        <v>1590</v>
      </c>
      <c r="H3853" s="3">
        <v>62</v>
      </c>
      <c r="I3853" s="3">
        <v>449</v>
      </c>
      <c r="J3853" s="3">
        <v>439</v>
      </c>
      <c r="K3853" s="3">
        <v>1785</v>
      </c>
      <c r="L3853" s="3">
        <v>11</v>
      </c>
      <c r="M3853" s="3">
        <v>458</v>
      </c>
    </row>
    <row r="3854" spans="1:13" x14ac:dyDescent="0.25">
      <c r="A3854" s="1" t="str">
        <f>HYPERLINK("http://www.rosaceae.org/Prunus/Prunus_persica/p.persica_gdr_reftransV1_0018020","p.persica_gdr_reftransV1_0018020")</f>
        <v>p.persica_gdr_reftransV1_0018020</v>
      </c>
      <c r="B3854" s="3">
        <v>3290</v>
      </c>
      <c r="C3854" s="1" t="str">
        <f>HYPERLINK("http://www.uniprot.org/uniprot/Y3482_ARATH","Y3482_ARATH")</f>
        <v>Y3482_ARATH</v>
      </c>
      <c r="D3854" t="s">
        <v>3467</v>
      </c>
      <c r="E3854" s="3" t="s">
        <v>3</v>
      </c>
      <c r="F3854" s="4">
        <v>0</v>
      </c>
      <c r="G3854" s="3">
        <v>1365</v>
      </c>
      <c r="H3854" s="3">
        <v>65</v>
      </c>
      <c r="I3854" s="3">
        <v>424</v>
      </c>
      <c r="J3854" s="3">
        <v>886</v>
      </c>
      <c r="K3854" s="3">
        <v>2112</v>
      </c>
      <c r="L3854" s="3">
        <v>35</v>
      </c>
      <c r="M3854" s="3">
        <v>458</v>
      </c>
    </row>
    <row r="3855" spans="1:13" x14ac:dyDescent="0.25">
      <c r="A3855" s="1" t="str">
        <f>HYPERLINK("http://www.rosaceae.org/Prunus/Prunus_persica/p.persica_gdr_reftransV1_0018070","p.persica_gdr_reftransV1_0018070")</f>
        <v>p.persica_gdr_reftransV1_0018070</v>
      </c>
      <c r="B3855" s="3">
        <v>538</v>
      </c>
      <c r="C3855" s="1" t="str">
        <f>HYPERLINK("http://www.uniprot.org/uniprot/S6PD_MALDO","S6PD_MALDO")</f>
        <v>S6PD_MALDO</v>
      </c>
      <c r="D3855" t="s">
        <v>3468</v>
      </c>
      <c r="E3855" s="3" t="s">
        <v>540</v>
      </c>
      <c r="F3855" s="4">
        <v>3.1400000000000001E-47</v>
      </c>
      <c r="G3855" s="3">
        <v>410</v>
      </c>
      <c r="H3855" s="3">
        <v>72</v>
      </c>
      <c r="I3855" s="3">
        <v>113</v>
      </c>
      <c r="J3855" s="3">
        <v>100</v>
      </c>
      <c r="K3855" s="3">
        <v>438</v>
      </c>
      <c r="L3855" s="3">
        <v>3</v>
      </c>
      <c r="M3855" s="3">
        <v>115</v>
      </c>
    </row>
    <row r="3856" spans="1:13" x14ac:dyDescent="0.25">
      <c r="A3856" s="1" t="str">
        <f>HYPERLINK("http://www.rosaceae.org/Prunus/Prunus_persica/p.persica_gdr_reftransV1_0018570","p.persica_gdr_reftransV1_0018570")</f>
        <v>p.persica_gdr_reftransV1_0018570</v>
      </c>
      <c r="B3856" s="3">
        <v>2609</v>
      </c>
      <c r="C3856" s="1" t="str">
        <f>HYPERLINK("http://www.uniprot.org/uniprot/PP431_ARATH","PP431_ARATH")</f>
        <v>PP431_ARATH</v>
      </c>
      <c r="D3856" t="s">
        <v>3469</v>
      </c>
      <c r="E3856" s="3" t="s">
        <v>3</v>
      </c>
      <c r="F3856" s="4">
        <v>0</v>
      </c>
      <c r="G3856" s="3">
        <v>2143</v>
      </c>
      <c r="H3856" s="3">
        <v>59</v>
      </c>
      <c r="I3856" s="3">
        <v>697</v>
      </c>
      <c r="J3856" s="3">
        <v>517</v>
      </c>
      <c r="K3856" s="3">
        <v>2598</v>
      </c>
      <c r="L3856" s="3">
        <v>129</v>
      </c>
      <c r="M3856" s="3">
        <v>825</v>
      </c>
    </row>
    <row r="3857" spans="1:13" x14ac:dyDescent="0.25">
      <c r="A3857" s="1" t="str">
        <f>HYPERLINK("http://www.rosaceae.org/Prunus/Prunus_persica/p.persica_gdr_reftransV1_0018620","p.persica_gdr_reftransV1_0018620")</f>
        <v>p.persica_gdr_reftransV1_0018620</v>
      </c>
      <c r="B3857" s="3">
        <v>3919</v>
      </c>
      <c r="C3857" s="1" t="str">
        <f>HYPERLINK("http://www.uniprot.org/uniprot/P2C32_ARATH","P2C32_ARATH")</f>
        <v>P2C32_ARATH</v>
      </c>
      <c r="D3857" t="s">
        <v>3470</v>
      </c>
      <c r="E3857" s="3" t="s">
        <v>3</v>
      </c>
      <c r="F3857" s="4">
        <v>0</v>
      </c>
      <c r="G3857" s="3">
        <v>2723</v>
      </c>
      <c r="H3857" s="3">
        <v>65</v>
      </c>
      <c r="I3857" s="3">
        <v>915</v>
      </c>
      <c r="J3857" s="3">
        <v>306</v>
      </c>
      <c r="K3857" s="3">
        <v>3029</v>
      </c>
      <c r="L3857" s="3">
        <v>1</v>
      </c>
      <c r="M3857" s="3">
        <v>844</v>
      </c>
    </row>
    <row r="3858" spans="1:13" x14ac:dyDescent="0.25">
      <c r="A3858" s="1" t="str">
        <f>HYPERLINK("http://www.rosaceae.org/Prunus/Prunus_persica/p.persica_gdr_reftransV1_0019070","p.persica_gdr_reftransV1_0019070")</f>
        <v>p.persica_gdr_reftransV1_0019070</v>
      </c>
      <c r="B3858" s="3">
        <v>1004</v>
      </c>
      <c r="C3858" s="1" t="str">
        <f>HYPERLINK("http://www.uniprot.org/uniprot/AMYB_TRIRP","AMYB_TRIRP")</f>
        <v>AMYB_TRIRP</v>
      </c>
      <c r="D3858" t="s">
        <v>3471</v>
      </c>
      <c r="E3858" s="3" t="s">
        <v>733</v>
      </c>
      <c r="F3858" s="4">
        <v>1.22E-93</v>
      </c>
      <c r="G3858" s="3">
        <v>752</v>
      </c>
      <c r="H3858" s="3">
        <v>84</v>
      </c>
      <c r="I3858" s="3">
        <v>160</v>
      </c>
      <c r="J3858" s="3">
        <v>3</v>
      </c>
      <c r="K3858" s="3">
        <v>482</v>
      </c>
      <c r="L3858" s="3">
        <v>287</v>
      </c>
      <c r="M3858" s="3">
        <v>446</v>
      </c>
    </row>
    <row r="3859" spans="1:13" x14ac:dyDescent="0.25">
      <c r="A3859" s="1" t="str">
        <f>HYPERLINK("http://www.rosaceae.org/Prunus/Prunus_persica/p.persica_gdr_reftransV1_0019370","p.persica_gdr_reftransV1_0019370")</f>
        <v>p.persica_gdr_reftransV1_0019370</v>
      </c>
      <c r="B3859" s="3">
        <v>2065</v>
      </c>
      <c r="C3859" s="1" t="str">
        <f>HYPERLINK("http://www.uniprot.org/uniprot/RING1_ARATH","RING1_ARATH")</f>
        <v>RING1_ARATH</v>
      </c>
      <c r="D3859" t="s">
        <v>3472</v>
      </c>
      <c r="E3859" s="3" t="s">
        <v>3</v>
      </c>
      <c r="F3859" s="4">
        <v>1.9700000000000001E-28</v>
      </c>
      <c r="G3859" s="3">
        <v>291</v>
      </c>
      <c r="H3859" s="3">
        <v>42</v>
      </c>
      <c r="I3859" s="3">
        <v>164</v>
      </c>
      <c r="J3859" s="3">
        <v>429</v>
      </c>
      <c r="K3859" s="3">
        <v>911</v>
      </c>
      <c r="L3859" s="3">
        <v>242</v>
      </c>
      <c r="M3859" s="3">
        <v>402</v>
      </c>
    </row>
    <row r="3860" spans="1:13" x14ac:dyDescent="0.25">
      <c r="A3860" s="1" t="str">
        <f>HYPERLINK("http://www.rosaceae.org/Prunus/Prunus_persica/p.persica_gdr_reftransV1_0019420","p.persica_gdr_reftransV1_0019420")</f>
        <v>p.persica_gdr_reftransV1_0019420</v>
      </c>
      <c r="B3860" s="3">
        <v>1317</v>
      </c>
      <c r="C3860" s="1" t="str">
        <f>HYPERLINK("http://www.uniprot.org/uniprot/NAC37_ARATH","NAC37_ARATH")</f>
        <v>NAC37_ARATH</v>
      </c>
      <c r="D3860" t="s">
        <v>3473</v>
      </c>
      <c r="E3860" s="3" t="s">
        <v>3</v>
      </c>
      <c r="F3860" s="4">
        <v>1.13E-142</v>
      </c>
      <c r="G3860" s="3">
        <v>1077</v>
      </c>
      <c r="H3860" s="3">
        <v>62</v>
      </c>
      <c r="I3860" s="3">
        <v>370</v>
      </c>
      <c r="J3860" s="3">
        <v>150</v>
      </c>
      <c r="K3860" s="3">
        <v>1148</v>
      </c>
      <c r="L3860" s="3">
        <v>1</v>
      </c>
      <c r="M3860" s="3">
        <v>364</v>
      </c>
    </row>
    <row r="3861" spans="1:13" x14ac:dyDescent="0.25">
      <c r="A3861" s="1" t="str">
        <f>HYPERLINK("http://www.rosaceae.org/Prunus/Prunus_persica/p.persica_gdr_reftransV1_0019570","p.persica_gdr_reftransV1_0019570")</f>
        <v>p.persica_gdr_reftransV1_0019570</v>
      </c>
      <c r="B3861" s="3">
        <v>7306</v>
      </c>
      <c r="C3861" s="1" t="str">
        <f>HYPERLINK("http://www.uniprot.org/uniprot/MED12_ARATH","MED12_ARATH")</f>
        <v>MED12_ARATH</v>
      </c>
      <c r="D3861" t="s">
        <v>3056</v>
      </c>
      <c r="E3861" s="3" t="s">
        <v>3</v>
      </c>
      <c r="F3861" s="4">
        <v>0</v>
      </c>
      <c r="G3861" s="3">
        <v>5794</v>
      </c>
      <c r="H3861" s="3">
        <v>60</v>
      </c>
      <c r="I3861" s="3">
        <v>2147</v>
      </c>
      <c r="J3861" s="3">
        <v>385</v>
      </c>
      <c r="K3861" s="3">
        <v>6765</v>
      </c>
      <c r="L3861" s="3">
        <v>1</v>
      </c>
      <c r="M3861" s="3">
        <v>2084</v>
      </c>
    </row>
    <row r="3862" spans="1:13" x14ac:dyDescent="0.25">
      <c r="A3862" s="1" t="str">
        <f>HYPERLINK("http://www.rosaceae.org/Prunus/Prunus_persica/p.persica_gdr_reftransV1_0019770","p.persica_gdr_reftransV1_0019770")</f>
        <v>p.persica_gdr_reftransV1_0019770</v>
      </c>
      <c r="B3862" s="3">
        <v>687</v>
      </c>
      <c r="C3862" s="1" t="str">
        <f>HYPERLINK("http://www.uniprot.org/uniprot/WTR45_ARATH","WTR45_ARATH")</f>
        <v>WTR45_ARATH</v>
      </c>
      <c r="D3862" t="s">
        <v>3474</v>
      </c>
      <c r="E3862" s="3" t="s">
        <v>3</v>
      </c>
      <c r="F3862" s="4">
        <v>3.0699999999999999E-34</v>
      </c>
      <c r="G3862" s="3">
        <v>328</v>
      </c>
      <c r="H3862" s="3">
        <v>42</v>
      </c>
      <c r="I3862" s="3">
        <v>149</v>
      </c>
      <c r="J3862" s="3">
        <v>241</v>
      </c>
      <c r="K3862" s="3">
        <v>687</v>
      </c>
      <c r="L3862" s="3">
        <v>192</v>
      </c>
      <c r="M3862" s="3">
        <v>340</v>
      </c>
    </row>
    <row r="3863" spans="1:13" x14ac:dyDescent="0.25">
      <c r="A3863" s="1" t="str">
        <f>HYPERLINK("http://www.rosaceae.org/Prunus/Prunus_persica/p.persica_gdr_reftransV1_0020020","p.persica_gdr_reftransV1_0020020")</f>
        <v>p.persica_gdr_reftransV1_0020020</v>
      </c>
      <c r="B3863" s="3">
        <v>1020</v>
      </c>
      <c r="C3863" s="1" t="str">
        <f>HYPERLINK("http://www.uniprot.org/uniprot/XAF1_HUMAN","XAF1_HUMAN")</f>
        <v>XAF1_HUMAN</v>
      </c>
      <c r="D3863" t="s">
        <v>3475</v>
      </c>
      <c r="E3863" s="3" t="s">
        <v>28</v>
      </c>
      <c r="F3863" s="4">
        <v>9.42E-22</v>
      </c>
      <c r="G3863" s="3">
        <v>240</v>
      </c>
      <c r="H3863" s="3">
        <v>38</v>
      </c>
      <c r="I3863" s="3">
        <v>130</v>
      </c>
      <c r="J3863" s="3">
        <v>231</v>
      </c>
      <c r="K3863" s="3">
        <v>620</v>
      </c>
      <c r="L3863" s="3">
        <v>2</v>
      </c>
      <c r="M3863" s="3">
        <v>131</v>
      </c>
    </row>
    <row r="3864" spans="1:13" x14ac:dyDescent="0.25">
      <c r="A3864" s="1" t="str">
        <f>HYPERLINK("http://www.rosaceae.org/Prunus/Prunus_persica/p.persica_gdr_reftransV1_0020070","p.persica_gdr_reftransV1_0020070")</f>
        <v>p.persica_gdr_reftransV1_0020070</v>
      </c>
      <c r="B3864" s="3">
        <v>5124</v>
      </c>
      <c r="C3864" s="1" t="str">
        <f>HYPERLINK("http://www.uniprot.org/uniprot/GTE10_ARATH","GTE10_ARATH")</f>
        <v>GTE10_ARATH</v>
      </c>
      <c r="D3864" t="s">
        <v>3476</v>
      </c>
      <c r="E3864" s="3" t="s">
        <v>3</v>
      </c>
      <c r="F3864" s="4">
        <v>1.3E-123</v>
      </c>
      <c r="G3864" s="3">
        <v>1083</v>
      </c>
      <c r="H3864" s="3">
        <v>50</v>
      </c>
      <c r="I3864" s="3">
        <v>478</v>
      </c>
      <c r="J3864" s="3">
        <v>265</v>
      </c>
      <c r="K3864" s="3">
        <v>1677</v>
      </c>
      <c r="L3864" s="3">
        <v>1</v>
      </c>
      <c r="M3864" s="3">
        <v>447</v>
      </c>
    </row>
    <row r="3865" spans="1:13" x14ac:dyDescent="0.25">
      <c r="A3865" s="1" t="str">
        <f>HYPERLINK("http://www.rosaceae.org/Prunus/Prunus_persica/p.persica_gdr_reftransV1_0020170","p.persica_gdr_reftransV1_0020170")</f>
        <v>p.persica_gdr_reftransV1_0020170</v>
      </c>
      <c r="B3865" s="3">
        <v>3039</v>
      </c>
      <c r="C3865" s="1" t="str">
        <f>HYPERLINK("http://www.uniprot.org/uniprot/GLRX_PSEAE","GLRX_PSEAE")</f>
        <v>GLRX_PSEAE</v>
      </c>
      <c r="D3865" t="s">
        <v>3477</v>
      </c>
      <c r="E3865" s="3" t="s">
        <v>2933</v>
      </c>
      <c r="F3865" s="4">
        <v>9.3200000000000001E-9</v>
      </c>
      <c r="G3865" s="3">
        <v>141</v>
      </c>
      <c r="H3865" s="3">
        <v>37</v>
      </c>
      <c r="I3865" s="3">
        <v>76</v>
      </c>
      <c r="J3865" s="3">
        <v>1582</v>
      </c>
      <c r="K3865" s="3">
        <v>1809</v>
      </c>
      <c r="L3865" s="3">
        <v>4</v>
      </c>
      <c r="M3865" s="3">
        <v>79</v>
      </c>
    </row>
    <row r="3866" spans="1:13" x14ac:dyDescent="0.25">
      <c r="A3866" s="1" t="str">
        <f>HYPERLINK("http://www.rosaceae.org/Prunus/Prunus_persica/p.persica_gdr_reftransV1_0020220","p.persica_gdr_reftransV1_0020220")</f>
        <v>p.persica_gdr_reftransV1_0020220</v>
      </c>
      <c r="B3866" s="3">
        <v>1834</v>
      </c>
      <c r="C3866" s="1" t="str">
        <f>HYPERLINK("http://www.uniprot.org/uniprot/RT29_BOVIN","RT29_BOVIN")</f>
        <v>RT29_BOVIN</v>
      </c>
      <c r="D3866" t="s">
        <v>3478</v>
      </c>
      <c r="E3866" s="3" t="s">
        <v>184</v>
      </c>
      <c r="F3866" s="4">
        <v>4.7299999999999998E-14</v>
      </c>
      <c r="G3866" s="3">
        <v>191</v>
      </c>
      <c r="H3866" s="3">
        <v>24</v>
      </c>
      <c r="I3866" s="3">
        <v>354</v>
      </c>
      <c r="J3866" s="3">
        <v>418</v>
      </c>
      <c r="K3866" s="3">
        <v>1404</v>
      </c>
      <c r="L3866" s="3">
        <v>65</v>
      </c>
      <c r="M3866" s="3">
        <v>386</v>
      </c>
    </row>
    <row r="3867" spans="1:13" x14ac:dyDescent="0.25">
      <c r="A3867" s="1" t="str">
        <f>HYPERLINK("http://www.rosaceae.org/Prunus/Prunus_persica/p.persica_gdr_reftransV1_0020320","p.persica_gdr_reftransV1_0020320")</f>
        <v>p.persica_gdr_reftransV1_0020320</v>
      </c>
      <c r="B3867" s="3">
        <v>2359</v>
      </c>
      <c r="C3867" s="1" t="str">
        <f>HYPERLINK("http://www.uniprot.org/uniprot/TTL3_ARATH","TTL3_ARATH")</f>
        <v>TTL3_ARATH</v>
      </c>
      <c r="D3867" t="s">
        <v>3479</v>
      </c>
      <c r="E3867" s="3" t="s">
        <v>3</v>
      </c>
      <c r="F3867" s="4">
        <v>0</v>
      </c>
      <c r="G3867" s="3">
        <v>1831</v>
      </c>
      <c r="H3867" s="3">
        <v>59</v>
      </c>
      <c r="I3867" s="3">
        <v>603</v>
      </c>
      <c r="J3867" s="3">
        <v>15</v>
      </c>
      <c r="K3867" s="3">
        <v>1823</v>
      </c>
      <c r="L3867" s="3">
        <v>105</v>
      </c>
      <c r="M3867" s="3">
        <v>687</v>
      </c>
    </row>
    <row r="3868" spans="1:13" x14ac:dyDescent="0.25">
      <c r="A3868" s="1" t="str">
        <f>HYPERLINK("http://www.rosaceae.org/Prunus/Prunus_persica/p.persica_gdr_reftransV1_0020370","p.persica_gdr_reftransV1_0020370")</f>
        <v>p.persica_gdr_reftransV1_0020370</v>
      </c>
      <c r="B3868" s="3">
        <v>1102</v>
      </c>
      <c r="C3868" s="1" t="str">
        <f>HYPERLINK("http://www.uniprot.org/uniprot/Y1133_ARATH","Y1133_ARATH")</f>
        <v>Y1133_ARATH</v>
      </c>
      <c r="D3868" t="s">
        <v>3480</v>
      </c>
      <c r="E3868" s="3" t="s">
        <v>3</v>
      </c>
      <c r="F3868" s="4">
        <v>8.2100000000000001E-125</v>
      </c>
      <c r="G3868" s="3">
        <v>991</v>
      </c>
      <c r="H3868" s="3">
        <v>61</v>
      </c>
      <c r="I3868" s="3">
        <v>306</v>
      </c>
      <c r="J3868" s="3">
        <v>183</v>
      </c>
      <c r="K3868" s="3">
        <v>1100</v>
      </c>
      <c r="L3868" s="3">
        <v>539</v>
      </c>
      <c r="M3868" s="3">
        <v>842</v>
      </c>
    </row>
    <row r="3869" spans="1:13" x14ac:dyDescent="0.25">
      <c r="A3869" s="1" t="str">
        <f>HYPERLINK("http://www.rosaceae.org/Prunus/Prunus_persica/p.persica_gdr_reftransV1_0020420","p.persica_gdr_reftransV1_0020420")</f>
        <v>p.persica_gdr_reftransV1_0020420</v>
      </c>
      <c r="B3869" s="3">
        <v>2757</v>
      </c>
      <c r="C3869" s="1" t="str">
        <f>HYPERLINK("http://www.uniprot.org/uniprot/AP5Z1_MOUSE","AP5Z1_MOUSE")</f>
        <v>AP5Z1_MOUSE</v>
      </c>
      <c r="D3869" t="s">
        <v>3481</v>
      </c>
      <c r="E3869" s="3" t="s">
        <v>157</v>
      </c>
      <c r="F3869" s="4">
        <v>1.35E-8</v>
      </c>
      <c r="G3869" s="3">
        <v>151</v>
      </c>
      <c r="H3869" s="3">
        <v>27</v>
      </c>
      <c r="I3869" s="3">
        <v>196</v>
      </c>
      <c r="J3869" s="3">
        <v>1983</v>
      </c>
      <c r="K3869" s="3">
        <v>2567</v>
      </c>
      <c r="L3869" s="3">
        <v>293</v>
      </c>
      <c r="M3869" s="3">
        <v>481</v>
      </c>
    </row>
    <row r="3870" spans="1:13" x14ac:dyDescent="0.25">
      <c r="A3870" s="1" t="str">
        <f>HYPERLINK("http://www.rosaceae.org/Prunus/Prunus_persica/p.persica_gdr_reftransV1_0020520","p.persica_gdr_reftransV1_0020520")</f>
        <v>p.persica_gdr_reftransV1_0020520</v>
      </c>
      <c r="B3870" s="3">
        <v>2794</v>
      </c>
      <c r="C3870" s="1" t="str">
        <f>HYPERLINK("http://www.uniprot.org/uniprot/PP375_ARATH","PP375_ARATH")</f>
        <v>PP375_ARATH</v>
      </c>
      <c r="D3870" t="s">
        <v>3482</v>
      </c>
      <c r="E3870" s="3" t="s">
        <v>3</v>
      </c>
      <c r="F3870" s="4">
        <v>0</v>
      </c>
      <c r="G3870" s="3">
        <v>1682</v>
      </c>
      <c r="H3870" s="3">
        <v>59</v>
      </c>
      <c r="I3870" s="3">
        <v>526</v>
      </c>
      <c r="J3870" s="3">
        <v>954</v>
      </c>
      <c r="K3870" s="3">
        <v>2522</v>
      </c>
      <c r="L3870" s="3">
        <v>69</v>
      </c>
      <c r="M3870" s="3">
        <v>594</v>
      </c>
    </row>
    <row r="3871" spans="1:13" x14ac:dyDescent="0.25">
      <c r="A3871" s="1" t="str">
        <f>HYPERLINK("http://www.rosaceae.org/Prunus/Prunus_persica/p.persica_gdr_reftransV1_0020620","p.persica_gdr_reftransV1_0020620")</f>
        <v>p.persica_gdr_reftransV1_0020620</v>
      </c>
      <c r="B3871" s="3">
        <v>1478</v>
      </c>
      <c r="C3871" s="1" t="str">
        <f>HYPERLINK("http://www.uniprot.org/uniprot/VP322_ARATH","VP322_ARATH")</f>
        <v>VP322_ARATH</v>
      </c>
      <c r="D3871" t="s">
        <v>3483</v>
      </c>
      <c r="E3871" s="3" t="s">
        <v>3</v>
      </c>
      <c r="F3871" s="4">
        <v>2.8100000000000001E-50</v>
      </c>
      <c r="G3871" s="3">
        <v>448</v>
      </c>
      <c r="H3871" s="3">
        <v>59</v>
      </c>
      <c r="I3871" s="3">
        <v>194</v>
      </c>
      <c r="J3871" s="3">
        <v>521</v>
      </c>
      <c r="K3871" s="3">
        <v>1102</v>
      </c>
      <c r="L3871" s="3">
        <v>1</v>
      </c>
      <c r="M3871" s="3">
        <v>147</v>
      </c>
    </row>
    <row r="3872" spans="1:13" x14ac:dyDescent="0.25">
      <c r="A3872" s="1" t="str">
        <f>HYPERLINK("http://www.rosaceae.org/Prunus/Prunus_persica/p.persica_gdr_reftransV1_0020720","p.persica_gdr_reftransV1_0020720")</f>
        <v>p.persica_gdr_reftransV1_0020720</v>
      </c>
      <c r="B3872" s="3">
        <v>1625</v>
      </c>
      <c r="C3872" s="1" t="str">
        <f>HYPERLINK("http://www.uniprot.org/uniprot/COMT1_PRUDU","COMT1_PRUDU")</f>
        <v>COMT1_PRUDU</v>
      </c>
      <c r="D3872" t="s">
        <v>1504</v>
      </c>
      <c r="E3872" s="3" t="s">
        <v>418</v>
      </c>
      <c r="F3872" s="4">
        <v>1.21E-160</v>
      </c>
      <c r="G3872" s="3">
        <v>1206</v>
      </c>
      <c r="H3872" s="3">
        <v>64</v>
      </c>
      <c r="I3872" s="3">
        <v>345</v>
      </c>
      <c r="J3872" s="3">
        <v>449</v>
      </c>
      <c r="K3872" s="3">
        <v>1483</v>
      </c>
      <c r="L3872" s="3">
        <v>22</v>
      </c>
      <c r="M3872" s="3">
        <v>364</v>
      </c>
    </row>
    <row r="3873" spans="1:13" x14ac:dyDescent="0.25">
      <c r="A3873" s="1" t="str">
        <f>HYPERLINK("http://www.rosaceae.org/Prunus/Prunus_persica/p.persica_gdr_reftransV1_0020870","p.persica_gdr_reftransV1_0020870")</f>
        <v>p.persica_gdr_reftransV1_0020870</v>
      </c>
      <c r="B3873" s="3">
        <v>1038</v>
      </c>
      <c r="C3873" s="1" t="str">
        <f>HYPERLINK("http://www.uniprot.org/uniprot/FRS5_ARATH","FRS5_ARATH")</f>
        <v>FRS5_ARATH</v>
      </c>
      <c r="D3873" t="s">
        <v>908</v>
      </c>
      <c r="E3873" s="3" t="s">
        <v>3</v>
      </c>
      <c r="F3873" s="4">
        <v>1.7999999999999999E-21</v>
      </c>
      <c r="G3873" s="3">
        <v>247</v>
      </c>
      <c r="H3873" s="3">
        <v>51</v>
      </c>
      <c r="I3873" s="3">
        <v>107</v>
      </c>
      <c r="J3873" s="3">
        <v>501</v>
      </c>
      <c r="K3873" s="3">
        <v>815</v>
      </c>
      <c r="L3873" s="3">
        <v>72</v>
      </c>
      <c r="M3873" s="3">
        <v>178</v>
      </c>
    </row>
    <row r="3874" spans="1:13" x14ac:dyDescent="0.25">
      <c r="A3874" s="1" t="str">
        <f>HYPERLINK("http://www.rosaceae.org/Prunus/Prunus_persica/p.persica_gdr_reftransV1_0020970","p.persica_gdr_reftransV1_0020970")</f>
        <v>p.persica_gdr_reftransV1_0020970</v>
      </c>
      <c r="B3874" s="3">
        <v>1607</v>
      </c>
      <c r="C3874" s="1" t="str">
        <f>HYPERLINK("http://www.uniprot.org/uniprot/PPME1_BOVIN","PPME1_BOVIN")</f>
        <v>PPME1_BOVIN</v>
      </c>
      <c r="D3874" t="s">
        <v>3484</v>
      </c>
      <c r="E3874" s="3" t="s">
        <v>184</v>
      </c>
      <c r="F3874" s="4">
        <v>1.6800000000000001E-92</v>
      </c>
      <c r="G3874" s="3">
        <v>753</v>
      </c>
      <c r="H3874" s="3">
        <v>44</v>
      </c>
      <c r="I3874" s="3">
        <v>359</v>
      </c>
      <c r="J3874" s="3">
        <v>302</v>
      </c>
      <c r="K3874" s="3">
        <v>1198</v>
      </c>
      <c r="L3874" s="3">
        <v>14</v>
      </c>
      <c r="M3874" s="3">
        <v>372</v>
      </c>
    </row>
    <row r="3875" spans="1:13" x14ac:dyDescent="0.25">
      <c r="A3875" s="1" t="str">
        <f>HYPERLINK("http://www.rosaceae.org/Prunus/Prunus_persica/p.persica_gdr_reftransV1_0021070","p.persica_gdr_reftransV1_0021070")</f>
        <v>p.persica_gdr_reftransV1_0021070</v>
      </c>
      <c r="B3875" s="3">
        <v>2761</v>
      </c>
      <c r="C3875" s="1" t="str">
        <f>HYPERLINK("http://www.uniprot.org/uniprot/GEMI2_DICDI","GEMI2_DICDI")</f>
        <v>GEMI2_DICDI</v>
      </c>
      <c r="D3875" t="s">
        <v>3485</v>
      </c>
      <c r="E3875" s="3" t="s">
        <v>9</v>
      </c>
      <c r="F3875" s="4">
        <v>3.5800000000000002E-11</v>
      </c>
      <c r="G3875" s="3">
        <v>168</v>
      </c>
      <c r="H3875" s="3">
        <v>43</v>
      </c>
      <c r="I3875" s="3">
        <v>93</v>
      </c>
      <c r="J3875" s="3">
        <v>978</v>
      </c>
      <c r="K3875" s="3">
        <v>1250</v>
      </c>
      <c r="L3875" s="3">
        <v>4</v>
      </c>
      <c r="M3875" s="3">
        <v>96</v>
      </c>
    </row>
    <row r="3876" spans="1:13" x14ac:dyDescent="0.25">
      <c r="A3876" s="1" t="str">
        <f>HYPERLINK("http://www.rosaceae.org/Prunus/Prunus_persica/p.persica_gdr_reftransV1_0021120","p.persica_gdr_reftransV1_0021120")</f>
        <v>p.persica_gdr_reftransV1_0021120</v>
      </c>
      <c r="B3876" s="3">
        <v>2473</v>
      </c>
      <c r="C3876" s="1" t="str">
        <f>HYPERLINK("http://www.uniprot.org/uniprot/VP241_ARATH","VP241_ARATH")</f>
        <v>VP241_ARATH</v>
      </c>
      <c r="D3876" t="s">
        <v>3486</v>
      </c>
      <c r="E3876" s="3" t="s">
        <v>3</v>
      </c>
      <c r="F3876" s="4">
        <v>1.6099999999999999E-15</v>
      </c>
      <c r="G3876" s="3">
        <v>199</v>
      </c>
      <c r="H3876" s="3">
        <v>88</v>
      </c>
      <c r="I3876" s="3">
        <v>42</v>
      </c>
      <c r="J3876" s="3">
        <v>1210</v>
      </c>
      <c r="K3876" s="3">
        <v>1335</v>
      </c>
      <c r="L3876" s="3">
        <v>98</v>
      </c>
      <c r="M3876" s="3">
        <v>139</v>
      </c>
    </row>
    <row r="3877" spans="1:13" x14ac:dyDescent="0.25">
      <c r="A3877" s="1" t="str">
        <f>HYPERLINK("http://www.rosaceae.org/Prunus/Prunus_persica/p.persica_gdr_reftransV1_0021420","p.persica_gdr_reftransV1_0021420")</f>
        <v>p.persica_gdr_reftransV1_0021420</v>
      </c>
      <c r="B3877" s="3">
        <v>1822</v>
      </c>
      <c r="C3877" s="1" t="str">
        <f>HYPERLINK("http://www.uniprot.org/uniprot/POT6_ARATH","POT6_ARATH")</f>
        <v>POT6_ARATH</v>
      </c>
      <c r="D3877" t="s">
        <v>3487</v>
      </c>
      <c r="E3877" s="3" t="s">
        <v>3</v>
      </c>
      <c r="F3877" s="4">
        <v>0</v>
      </c>
      <c r="G3877" s="3">
        <v>1881</v>
      </c>
      <c r="H3877" s="3">
        <v>71</v>
      </c>
      <c r="I3877" s="3">
        <v>512</v>
      </c>
      <c r="J3877" s="3">
        <v>335</v>
      </c>
      <c r="K3877" s="3">
        <v>1822</v>
      </c>
      <c r="L3877" s="3">
        <v>280</v>
      </c>
      <c r="M3877" s="3">
        <v>782</v>
      </c>
    </row>
    <row r="3878" spans="1:13" x14ac:dyDescent="0.25">
      <c r="A3878" s="1" t="str">
        <f>HYPERLINK("http://www.rosaceae.org/Prunus/Prunus_persica/p.persica_gdr_reftransV1_0021470","p.persica_gdr_reftransV1_0021470")</f>
        <v>p.persica_gdr_reftransV1_0021470</v>
      </c>
      <c r="B3878" s="3">
        <v>982</v>
      </c>
      <c r="C3878" s="1" t="str">
        <f>HYPERLINK("http://www.uniprot.org/uniprot/SCMC1_MOUSE","SCMC1_MOUSE")</f>
        <v>SCMC1_MOUSE</v>
      </c>
      <c r="D3878" t="s">
        <v>3488</v>
      </c>
      <c r="E3878" s="3" t="s">
        <v>157</v>
      </c>
      <c r="F3878" s="4">
        <v>6.9499999999999994E-8</v>
      </c>
      <c r="G3878" s="3">
        <v>137</v>
      </c>
      <c r="H3878" s="3">
        <v>28</v>
      </c>
      <c r="I3878" s="3">
        <v>100</v>
      </c>
      <c r="J3878" s="3">
        <v>242</v>
      </c>
      <c r="K3878" s="3">
        <v>541</v>
      </c>
      <c r="L3878" s="3">
        <v>23</v>
      </c>
      <c r="M3878" s="3">
        <v>122</v>
      </c>
    </row>
    <row r="3879" spans="1:13" x14ac:dyDescent="0.25">
      <c r="A3879" s="1" t="str">
        <f>HYPERLINK("http://www.rosaceae.org/Prunus/Prunus_persica/p.persica_gdr_reftransV1_0021520","p.persica_gdr_reftransV1_0021520")</f>
        <v>p.persica_gdr_reftransV1_0021520</v>
      </c>
      <c r="B3879" s="3">
        <v>843</v>
      </c>
      <c r="C3879" s="1" t="str">
        <f>HYPERLINK("http://www.uniprot.org/uniprot/TRXH_RICCO","TRXH_RICCO")</f>
        <v>TRXH_RICCO</v>
      </c>
      <c r="D3879" t="s">
        <v>3489</v>
      </c>
      <c r="E3879" s="3" t="s">
        <v>421</v>
      </c>
      <c r="F3879" s="4">
        <v>3.3600000000000001E-46</v>
      </c>
      <c r="G3879" s="3">
        <v>397</v>
      </c>
      <c r="H3879" s="3">
        <v>67</v>
      </c>
      <c r="I3879" s="3">
        <v>115</v>
      </c>
      <c r="J3879" s="3">
        <v>413</v>
      </c>
      <c r="K3879" s="3">
        <v>757</v>
      </c>
      <c r="L3879" s="3">
        <v>3</v>
      </c>
      <c r="M3879" s="3">
        <v>117</v>
      </c>
    </row>
    <row r="3880" spans="1:13" x14ac:dyDescent="0.25">
      <c r="A3880" s="1" t="str">
        <f>HYPERLINK("http://www.rosaceae.org/Prunus/Prunus_persica/p.persica_gdr_reftransV1_0021670","p.persica_gdr_reftransV1_0021670")</f>
        <v>p.persica_gdr_reftransV1_0021670</v>
      </c>
      <c r="B3880" s="3">
        <v>3225</v>
      </c>
      <c r="C3880" s="1" t="str">
        <f>HYPERLINK("http://www.uniprot.org/uniprot/SUV3L_ARATH","SUV3L_ARATH")</f>
        <v>SUV3L_ARATH</v>
      </c>
      <c r="D3880" t="s">
        <v>3490</v>
      </c>
      <c r="E3880" s="3" t="s">
        <v>3</v>
      </c>
      <c r="F3880" s="4">
        <v>0</v>
      </c>
      <c r="G3880" s="3">
        <v>2629</v>
      </c>
      <c r="H3880" s="3">
        <v>64</v>
      </c>
      <c r="I3880" s="3">
        <v>815</v>
      </c>
      <c r="J3880" s="3">
        <v>544</v>
      </c>
      <c r="K3880" s="3">
        <v>2982</v>
      </c>
      <c r="L3880" s="3">
        <v>1</v>
      </c>
      <c r="M3880" s="3">
        <v>776</v>
      </c>
    </row>
    <row r="3881" spans="1:13" x14ac:dyDescent="0.25">
      <c r="A3881" s="1" t="str">
        <f>HYPERLINK("http://www.rosaceae.org/Prunus/Prunus_persica/p.persica_gdr_reftransV1_0022120","p.persica_gdr_reftransV1_0022120")</f>
        <v>p.persica_gdr_reftransV1_0022120</v>
      </c>
      <c r="B3881" s="3">
        <v>976</v>
      </c>
      <c r="C3881" s="1" t="str">
        <f>HYPERLINK("http://www.uniprot.org/uniprot/TIP13_ARATH","TIP13_ARATH")</f>
        <v>TIP13_ARATH</v>
      </c>
      <c r="D3881" t="s">
        <v>3491</v>
      </c>
      <c r="E3881" s="3" t="s">
        <v>3</v>
      </c>
      <c r="F3881" s="4">
        <v>1.18E-148</v>
      </c>
      <c r="G3881" s="3">
        <v>1093</v>
      </c>
      <c r="H3881" s="3">
        <v>84</v>
      </c>
      <c r="I3881" s="3">
        <v>252</v>
      </c>
      <c r="J3881" s="3">
        <v>163</v>
      </c>
      <c r="K3881" s="3">
        <v>918</v>
      </c>
      <c r="L3881" s="3">
        <v>1</v>
      </c>
      <c r="M3881" s="3">
        <v>252</v>
      </c>
    </row>
    <row r="3882" spans="1:13" x14ac:dyDescent="0.25">
      <c r="A3882" s="1" t="str">
        <f>HYPERLINK("http://www.rosaceae.org/Prunus/Prunus_persica/p.persica_gdr_reftransV1_0022270","p.persica_gdr_reftransV1_0022270")</f>
        <v>p.persica_gdr_reftransV1_0022270</v>
      </c>
      <c r="B3882" s="3">
        <v>1438</v>
      </c>
      <c r="C3882" s="1" t="str">
        <f>HYPERLINK("http://www.uniprot.org/uniprot/FTRC_SOYBN","FTRC_SOYBN")</f>
        <v>FTRC_SOYBN</v>
      </c>
      <c r="D3882" t="s">
        <v>3492</v>
      </c>
      <c r="E3882" s="3" t="s">
        <v>307</v>
      </c>
      <c r="F3882" s="4">
        <v>1.5600000000000001E-69</v>
      </c>
      <c r="G3882" s="3">
        <v>572</v>
      </c>
      <c r="H3882" s="3">
        <v>89</v>
      </c>
      <c r="I3882" s="3">
        <v>119</v>
      </c>
      <c r="J3882" s="3">
        <v>355</v>
      </c>
      <c r="K3882" s="3">
        <v>708</v>
      </c>
      <c r="L3882" s="3">
        <v>26</v>
      </c>
      <c r="M3882" s="3">
        <v>144</v>
      </c>
    </row>
    <row r="3883" spans="1:13" x14ac:dyDescent="0.25">
      <c r="A3883" s="1" t="str">
        <f>HYPERLINK("http://www.rosaceae.org/Prunus/Prunus_persica/p.persica_gdr_reftransV1_0022370","p.persica_gdr_reftransV1_0022370")</f>
        <v>p.persica_gdr_reftransV1_0022370</v>
      </c>
      <c r="B3883" s="3">
        <v>1183</v>
      </c>
      <c r="C3883" s="1" t="str">
        <f>HYPERLINK("http://www.uniprot.org/uniprot/DEGP5_ARATH","DEGP5_ARATH")</f>
        <v>DEGP5_ARATH</v>
      </c>
      <c r="D3883" t="s">
        <v>3493</v>
      </c>
      <c r="E3883" s="3" t="s">
        <v>3</v>
      </c>
      <c r="F3883" s="4">
        <v>5.6399999999999997E-127</v>
      </c>
      <c r="G3883" s="3">
        <v>965</v>
      </c>
      <c r="H3883" s="3">
        <v>78</v>
      </c>
      <c r="I3883" s="3">
        <v>238</v>
      </c>
      <c r="J3883" s="3">
        <v>314</v>
      </c>
      <c r="K3883" s="3">
        <v>1027</v>
      </c>
      <c r="L3883" s="3">
        <v>90</v>
      </c>
      <c r="M3883" s="3">
        <v>323</v>
      </c>
    </row>
    <row r="3884" spans="1:13" x14ac:dyDescent="0.25">
      <c r="A3884" s="1" t="str">
        <f>HYPERLINK("http://www.rosaceae.org/Prunus/Prunus_persica/p.persica_gdr_reftransV1_0022470","p.persica_gdr_reftransV1_0022470")</f>
        <v>p.persica_gdr_reftransV1_0022470</v>
      </c>
      <c r="B3884" s="3">
        <v>4350</v>
      </c>
      <c r="C3884" s="1" t="str">
        <f>HYPERLINK("http://www.uniprot.org/uniprot/PCFS4_ARATH","PCFS4_ARATH")</f>
        <v>PCFS4_ARATH</v>
      </c>
      <c r="D3884" t="s">
        <v>2823</v>
      </c>
      <c r="E3884" s="3" t="s">
        <v>3</v>
      </c>
      <c r="F3884" s="4">
        <v>6.95E-48</v>
      </c>
      <c r="G3884" s="3">
        <v>479</v>
      </c>
      <c r="H3884" s="3">
        <v>54</v>
      </c>
      <c r="I3884" s="3">
        <v>193</v>
      </c>
      <c r="J3884" s="3">
        <v>3301</v>
      </c>
      <c r="K3884" s="3">
        <v>3873</v>
      </c>
      <c r="L3884" s="3">
        <v>36</v>
      </c>
      <c r="M3884" s="3">
        <v>217</v>
      </c>
    </row>
    <row r="3885" spans="1:13" x14ac:dyDescent="0.25">
      <c r="A3885" s="1" t="str">
        <f>HYPERLINK("http://www.rosaceae.org/Prunus/Prunus_persica/p.persica_gdr_reftransV1_0022920","p.persica_gdr_reftransV1_0022920")</f>
        <v>p.persica_gdr_reftransV1_0022920</v>
      </c>
      <c r="B3885" s="3">
        <v>2731</v>
      </c>
      <c r="C3885" s="1" t="str">
        <f>HYPERLINK("http://www.uniprot.org/uniprot/Y2349_ARATH","Y2349_ARATH")</f>
        <v>Y2349_ARATH</v>
      </c>
      <c r="D3885" t="s">
        <v>3494</v>
      </c>
      <c r="E3885" s="3" t="s">
        <v>3</v>
      </c>
      <c r="F3885" s="4">
        <v>1.13E-67</v>
      </c>
      <c r="G3885" s="3">
        <v>619</v>
      </c>
      <c r="H3885" s="3">
        <v>73</v>
      </c>
      <c r="I3885" s="3">
        <v>195</v>
      </c>
      <c r="J3885" s="3">
        <v>1657</v>
      </c>
      <c r="K3885" s="3">
        <v>2235</v>
      </c>
      <c r="L3885" s="3">
        <v>37</v>
      </c>
      <c r="M3885" s="3">
        <v>231</v>
      </c>
    </row>
    <row r="3886" spans="1:13" x14ac:dyDescent="0.25">
      <c r="A3886" s="1" t="str">
        <f>HYPERLINK("http://www.rosaceae.org/Prunus/Prunus_persica/p.persica_gdr_reftransV1_0023320","p.persica_gdr_reftransV1_0023320")</f>
        <v>p.persica_gdr_reftransV1_0023320</v>
      </c>
      <c r="B3886" s="3">
        <v>2873</v>
      </c>
      <c r="C3886" s="1" t="str">
        <f>HYPERLINK("http://www.uniprot.org/uniprot/AAE17_ARATH","AAE17_ARATH")</f>
        <v>AAE17_ARATH</v>
      </c>
      <c r="D3886" t="s">
        <v>3495</v>
      </c>
      <c r="E3886" s="3" t="s">
        <v>3</v>
      </c>
      <c r="F3886" s="4">
        <v>0</v>
      </c>
      <c r="G3886" s="3">
        <v>2313</v>
      </c>
      <c r="H3886" s="3">
        <v>70</v>
      </c>
      <c r="I3886" s="3">
        <v>623</v>
      </c>
      <c r="J3886" s="3">
        <v>62</v>
      </c>
      <c r="K3886" s="3">
        <v>1927</v>
      </c>
      <c r="L3886" s="3">
        <v>1</v>
      </c>
      <c r="M3886" s="3">
        <v>617</v>
      </c>
    </row>
    <row r="3887" spans="1:13" x14ac:dyDescent="0.25">
      <c r="A3887" s="1" t="str">
        <f>HYPERLINK("http://www.rosaceae.org/Prunus/Prunus_persica/p.persica_gdr_reftransV1_0023420","p.persica_gdr_reftransV1_0023420")</f>
        <v>p.persica_gdr_reftransV1_0023420</v>
      </c>
      <c r="B3887" s="3">
        <v>2231</v>
      </c>
      <c r="C3887" s="1" t="str">
        <f>HYPERLINK("http://www.uniprot.org/uniprot/UEV1C_ARATH","UEV1C_ARATH")</f>
        <v>UEV1C_ARATH</v>
      </c>
      <c r="D3887" t="s">
        <v>3496</v>
      </c>
      <c r="E3887" s="3" t="s">
        <v>3</v>
      </c>
      <c r="F3887" s="4">
        <v>5.4899999999999998E-81</v>
      </c>
      <c r="G3887" s="3">
        <v>666</v>
      </c>
      <c r="H3887" s="3">
        <v>91</v>
      </c>
      <c r="I3887" s="3">
        <v>139</v>
      </c>
      <c r="J3887" s="3">
        <v>866</v>
      </c>
      <c r="K3887" s="3">
        <v>1282</v>
      </c>
      <c r="L3887" s="3">
        <v>7</v>
      </c>
      <c r="M3887" s="3">
        <v>145</v>
      </c>
    </row>
    <row r="3888" spans="1:13" x14ac:dyDescent="0.25">
      <c r="A3888" s="1" t="str">
        <f>HYPERLINK("http://www.rosaceae.org/Prunus/Prunus_persica/p.persica_gdr_reftransV1_0023920","p.persica_gdr_reftransV1_0023920")</f>
        <v>p.persica_gdr_reftransV1_0023920</v>
      </c>
      <c r="B3888" s="3">
        <v>1556</v>
      </c>
      <c r="C3888" s="1" t="str">
        <f>HYPERLINK("http://www.uniprot.org/uniprot/RCL1_ARATH","RCL1_ARATH")</f>
        <v>RCL1_ARATH</v>
      </c>
      <c r="D3888" t="s">
        <v>3497</v>
      </c>
      <c r="E3888" s="3" t="s">
        <v>3</v>
      </c>
      <c r="F3888" s="4">
        <v>4.8300000000000001E-170</v>
      </c>
      <c r="G3888" s="3">
        <v>1267</v>
      </c>
      <c r="H3888" s="3">
        <v>70</v>
      </c>
      <c r="I3888" s="3">
        <v>376</v>
      </c>
      <c r="J3888" s="3">
        <v>73</v>
      </c>
      <c r="K3888" s="3">
        <v>1197</v>
      </c>
      <c r="L3888" s="3">
        <v>2</v>
      </c>
      <c r="M3888" s="3">
        <v>375</v>
      </c>
    </row>
    <row r="3889" spans="1:13" x14ac:dyDescent="0.25">
      <c r="A3889" s="1" t="str">
        <f>HYPERLINK("http://www.rosaceae.org/Prunus/Prunus_persica/p.persica_gdr_reftransV1_0024270","p.persica_gdr_reftransV1_0024270")</f>
        <v>p.persica_gdr_reftransV1_0024270</v>
      </c>
      <c r="B3889" s="3">
        <v>993</v>
      </c>
      <c r="C3889" s="1" t="str">
        <f>HYPERLINK("http://www.uniprot.org/uniprot/EAPP_HUMAN","EAPP_HUMAN")</f>
        <v>EAPP_HUMAN</v>
      </c>
      <c r="D3889" t="s">
        <v>3498</v>
      </c>
      <c r="E3889" s="3" t="s">
        <v>28</v>
      </c>
      <c r="F3889" s="4">
        <v>1.6000000000000001E-30</v>
      </c>
      <c r="G3889" s="3">
        <v>305</v>
      </c>
      <c r="H3889" s="3">
        <v>42</v>
      </c>
      <c r="I3889" s="3">
        <v>148</v>
      </c>
      <c r="J3889" s="3">
        <v>373</v>
      </c>
      <c r="K3889" s="3">
        <v>750</v>
      </c>
      <c r="L3889" s="3">
        <v>138</v>
      </c>
      <c r="M3889" s="3">
        <v>285</v>
      </c>
    </row>
    <row r="3890" spans="1:13" x14ac:dyDescent="0.25">
      <c r="A3890" s="1" t="str">
        <f>HYPERLINK("http://www.rosaceae.org/Prunus/Prunus_persica/p.persica_gdr_reftransV1_0024370","p.persica_gdr_reftransV1_0024370")</f>
        <v>p.persica_gdr_reftransV1_0024370</v>
      </c>
      <c r="B3890" s="3">
        <v>2773</v>
      </c>
      <c r="C3890" s="1" t="str">
        <f>HYPERLINK("http://www.uniprot.org/uniprot/GFPT2_RAT","GFPT2_RAT")</f>
        <v>GFPT2_RAT</v>
      </c>
      <c r="D3890" t="s">
        <v>3499</v>
      </c>
      <c r="E3890" s="3" t="s">
        <v>161</v>
      </c>
      <c r="F3890" s="4">
        <v>0</v>
      </c>
      <c r="G3890" s="3">
        <v>1192</v>
      </c>
      <c r="H3890" s="3">
        <v>49</v>
      </c>
      <c r="I3890" s="3">
        <v>503</v>
      </c>
      <c r="J3890" s="3">
        <v>1120</v>
      </c>
      <c r="K3890" s="3">
        <v>2562</v>
      </c>
      <c r="L3890" s="3">
        <v>1</v>
      </c>
      <c r="M3890" s="3">
        <v>477</v>
      </c>
    </row>
    <row r="3891" spans="1:13" x14ac:dyDescent="0.25">
      <c r="A3891" s="1" t="str">
        <f>HYPERLINK("http://www.rosaceae.org/Prunus/Prunus_persica/p.persica_gdr_reftransV1_0024420","p.persica_gdr_reftransV1_0024420")</f>
        <v>p.persica_gdr_reftransV1_0024420</v>
      </c>
      <c r="B3891" s="3">
        <v>1981</v>
      </c>
      <c r="C3891" s="1" t="str">
        <f>HYPERLINK("http://www.uniprot.org/uniprot/HPSE2_ARATH","HPSE2_ARATH")</f>
        <v>HPSE2_ARATH</v>
      </c>
      <c r="D3891" t="s">
        <v>3500</v>
      </c>
      <c r="E3891" s="3" t="s">
        <v>3</v>
      </c>
      <c r="F3891" s="4">
        <v>1.94E-178</v>
      </c>
      <c r="G3891" s="3">
        <v>1353</v>
      </c>
      <c r="H3891" s="3">
        <v>47</v>
      </c>
      <c r="I3891" s="3">
        <v>544</v>
      </c>
      <c r="J3891" s="3">
        <v>211</v>
      </c>
      <c r="K3891" s="3">
        <v>1794</v>
      </c>
      <c r="L3891" s="3">
        <v>25</v>
      </c>
      <c r="M3891" s="3">
        <v>539</v>
      </c>
    </row>
    <row r="3892" spans="1:13" x14ac:dyDescent="0.25">
      <c r="A3892" s="1" t="str">
        <f>HYPERLINK("http://www.rosaceae.org/Prunus/Prunus_persica/p.persica_gdr_reftransV1_0024520","p.persica_gdr_reftransV1_0024520")</f>
        <v>p.persica_gdr_reftransV1_0024520</v>
      </c>
      <c r="B3892" s="3">
        <v>3213</v>
      </c>
      <c r="C3892" s="1" t="str">
        <f>HYPERLINK("http://www.uniprot.org/uniprot/PMTB_ARATH","PMTB_ARATH")</f>
        <v>PMTB_ARATH</v>
      </c>
      <c r="D3892" t="s">
        <v>3501</v>
      </c>
      <c r="E3892" s="3" t="s">
        <v>3</v>
      </c>
      <c r="F3892" s="4">
        <v>0</v>
      </c>
      <c r="G3892" s="3">
        <v>2290</v>
      </c>
      <c r="H3892" s="3">
        <v>68</v>
      </c>
      <c r="I3892" s="3">
        <v>627</v>
      </c>
      <c r="J3892" s="3">
        <v>175</v>
      </c>
      <c r="K3892" s="3">
        <v>1965</v>
      </c>
      <c r="L3892" s="3">
        <v>1</v>
      </c>
      <c r="M3892" s="3">
        <v>626</v>
      </c>
    </row>
    <row r="3893" spans="1:13" x14ac:dyDescent="0.25">
      <c r="A3893" s="1" t="str">
        <f>HYPERLINK("http://www.rosaceae.org/Prunus/Prunus_persica/p.persica_gdr_reftransV1_0024570","p.persica_gdr_reftransV1_0024570")</f>
        <v>p.persica_gdr_reftransV1_0024570</v>
      </c>
      <c r="B3893" s="3">
        <v>2701</v>
      </c>
      <c r="C3893" s="1" t="str">
        <f>HYPERLINK("http://www.uniprot.org/uniprot/UGAL2_ARATH","UGAL2_ARATH")</f>
        <v>UGAL2_ARATH</v>
      </c>
      <c r="D3893" t="s">
        <v>3157</v>
      </c>
      <c r="E3893" s="3" t="s">
        <v>3</v>
      </c>
      <c r="F3893" s="4">
        <v>3.08E-149</v>
      </c>
      <c r="G3893" s="3">
        <v>1160</v>
      </c>
      <c r="H3893" s="3">
        <v>74</v>
      </c>
      <c r="I3893" s="3">
        <v>301</v>
      </c>
      <c r="J3893" s="3">
        <v>1433</v>
      </c>
      <c r="K3893" s="3">
        <v>2329</v>
      </c>
      <c r="L3893" s="3">
        <v>46</v>
      </c>
      <c r="M3893" s="3">
        <v>346</v>
      </c>
    </row>
    <row r="3894" spans="1:13" x14ac:dyDescent="0.25">
      <c r="A3894" s="1" t="str">
        <f>HYPERLINK("http://www.rosaceae.org/Prunus/Prunus_persica/p.persica_gdr_reftransV1_0024870","p.persica_gdr_reftransV1_0024870")</f>
        <v>p.persica_gdr_reftransV1_0024870</v>
      </c>
      <c r="B3894" s="3">
        <v>1157</v>
      </c>
      <c r="C3894" s="1" t="str">
        <f>HYPERLINK("http://www.uniprot.org/uniprot/F10AL_ARATH","F10AL_ARATH")</f>
        <v>F10AL_ARATH</v>
      </c>
      <c r="D3894" t="s">
        <v>3502</v>
      </c>
      <c r="E3894" s="3" t="s">
        <v>3</v>
      </c>
      <c r="F3894" s="4">
        <v>7.68E-101</v>
      </c>
      <c r="G3894" s="3">
        <v>801</v>
      </c>
      <c r="H3894" s="3">
        <v>73</v>
      </c>
      <c r="I3894" s="3">
        <v>243</v>
      </c>
      <c r="J3894" s="3">
        <v>121</v>
      </c>
      <c r="K3894" s="3">
        <v>843</v>
      </c>
      <c r="L3894" s="3">
        <v>1</v>
      </c>
      <c r="M3894" s="3">
        <v>243</v>
      </c>
    </row>
    <row r="3895" spans="1:13" x14ac:dyDescent="0.25">
      <c r="A3895" s="1" t="str">
        <f>HYPERLINK("http://www.rosaceae.org/Prunus/Prunus_persica/p.persica_gdr_reftransV1_0024920","p.persica_gdr_reftransV1_0024920")</f>
        <v>p.persica_gdr_reftransV1_0024920</v>
      </c>
      <c r="B3895" s="3">
        <v>1802</v>
      </c>
      <c r="C3895" s="1" t="str">
        <f>HYPERLINK("http://www.uniprot.org/uniprot/HIR1_ARATH","HIR1_ARATH")</f>
        <v>HIR1_ARATH</v>
      </c>
      <c r="D3895" t="s">
        <v>3503</v>
      </c>
      <c r="E3895" s="3" t="s">
        <v>3</v>
      </c>
      <c r="F3895" s="4">
        <v>5.3999999999999999E-146</v>
      </c>
      <c r="G3895" s="3">
        <v>765</v>
      </c>
      <c r="H3895" s="3">
        <v>97</v>
      </c>
      <c r="I3895" s="3">
        <v>151</v>
      </c>
      <c r="J3895" s="3">
        <v>310</v>
      </c>
      <c r="K3895" s="3">
        <v>762</v>
      </c>
      <c r="L3895" s="3">
        <v>132</v>
      </c>
      <c r="M3895" s="3">
        <v>282</v>
      </c>
    </row>
    <row r="3896" spans="1:13" x14ac:dyDescent="0.25">
      <c r="A3896" s="1" t="str">
        <f>HYPERLINK("http://www.rosaceae.org/Prunus/Prunus_persica/p.persica_gdr_reftransV1_0025020","p.persica_gdr_reftransV1_0025020")</f>
        <v>p.persica_gdr_reftransV1_0025020</v>
      </c>
      <c r="B3896" s="3">
        <v>4832</v>
      </c>
      <c r="C3896" s="1" t="str">
        <f>HYPERLINK("http://www.uniprot.org/uniprot/EDRF1_MOUSE","EDRF1_MOUSE")</f>
        <v>EDRF1_MOUSE</v>
      </c>
      <c r="D3896" t="s">
        <v>3504</v>
      </c>
      <c r="E3896" s="3" t="s">
        <v>157</v>
      </c>
      <c r="F3896" s="4">
        <v>5.67E-31</v>
      </c>
      <c r="G3896" s="3">
        <v>344</v>
      </c>
      <c r="H3896" s="3">
        <v>28</v>
      </c>
      <c r="I3896" s="3">
        <v>285</v>
      </c>
      <c r="J3896" s="3">
        <v>2957</v>
      </c>
      <c r="K3896" s="3">
        <v>3781</v>
      </c>
      <c r="L3896" s="3">
        <v>263</v>
      </c>
      <c r="M3896" s="3">
        <v>525</v>
      </c>
    </row>
    <row r="3897" spans="1:13" x14ac:dyDescent="0.25">
      <c r="A3897" s="1" t="str">
        <f>HYPERLINK("http://www.rosaceae.org/Prunus/Prunus_persica/p.persica_gdr_reftransV1_0025220","p.persica_gdr_reftransV1_0025220")</f>
        <v>p.persica_gdr_reftransV1_0025220</v>
      </c>
      <c r="B3897" s="3">
        <v>2038</v>
      </c>
      <c r="C3897" s="1" t="str">
        <f>HYPERLINK("http://www.uniprot.org/uniprot/CSN3_ARATH","CSN3_ARATH")</f>
        <v>CSN3_ARATH</v>
      </c>
      <c r="D3897" t="s">
        <v>3505</v>
      </c>
      <c r="E3897" s="3" t="s">
        <v>3</v>
      </c>
      <c r="F3897" s="4">
        <v>1.2100000000000001E-96</v>
      </c>
      <c r="G3897" s="3">
        <v>796</v>
      </c>
      <c r="H3897" s="3">
        <v>61</v>
      </c>
      <c r="I3897" s="3">
        <v>253</v>
      </c>
      <c r="J3897" s="3">
        <v>163</v>
      </c>
      <c r="K3897" s="3">
        <v>918</v>
      </c>
      <c r="L3897" s="3">
        <v>4</v>
      </c>
      <c r="M3897" s="3">
        <v>256</v>
      </c>
    </row>
    <row r="3898" spans="1:13" x14ac:dyDescent="0.25">
      <c r="A3898" s="1" t="str">
        <f>HYPERLINK("http://www.rosaceae.org/Prunus/Prunus_persica/p.persica_gdr_reftransV1_0025470","p.persica_gdr_reftransV1_0025470")</f>
        <v>p.persica_gdr_reftransV1_0025470</v>
      </c>
      <c r="B3898" s="3">
        <v>1585</v>
      </c>
      <c r="C3898" s="1" t="str">
        <f>HYPERLINK("http://www.uniprot.org/uniprot/XRI1_ARATH","XRI1_ARATH")</f>
        <v>XRI1_ARATH</v>
      </c>
      <c r="D3898" t="s">
        <v>3506</v>
      </c>
      <c r="E3898" s="3" t="s">
        <v>3</v>
      </c>
      <c r="F3898" s="4">
        <v>1.5000000000000001E-96</v>
      </c>
      <c r="G3898" s="3">
        <v>772</v>
      </c>
      <c r="H3898" s="3">
        <v>54</v>
      </c>
      <c r="I3898" s="3">
        <v>304</v>
      </c>
      <c r="J3898" s="3">
        <v>470</v>
      </c>
      <c r="K3898" s="3">
        <v>1372</v>
      </c>
      <c r="L3898" s="3">
        <v>1</v>
      </c>
      <c r="M3898" s="3">
        <v>300</v>
      </c>
    </row>
    <row r="3899" spans="1:13" x14ac:dyDescent="0.25">
      <c r="A3899" s="1" t="str">
        <f>HYPERLINK("http://www.rosaceae.org/Prunus/Prunus_persica/p.persica_gdr_reftransV1_0025920","p.persica_gdr_reftransV1_0025920")</f>
        <v>p.persica_gdr_reftransV1_0025920</v>
      </c>
      <c r="B3899" s="3">
        <v>5648</v>
      </c>
      <c r="C3899" s="1" t="str">
        <f>HYPERLINK("http://www.uniprot.org/uniprot/AML1_ARATH","AML1_ARATH")</f>
        <v>AML1_ARATH</v>
      </c>
      <c r="D3899" t="s">
        <v>443</v>
      </c>
      <c r="E3899" s="3" t="s">
        <v>3</v>
      </c>
      <c r="F3899" s="4">
        <v>0</v>
      </c>
      <c r="G3899" s="3">
        <v>1997</v>
      </c>
      <c r="H3899" s="3">
        <v>54</v>
      </c>
      <c r="I3899" s="3">
        <v>882</v>
      </c>
      <c r="J3899" s="3">
        <v>585</v>
      </c>
      <c r="K3899" s="3">
        <v>3212</v>
      </c>
      <c r="L3899" s="3">
        <v>47</v>
      </c>
      <c r="M3899" s="3">
        <v>899</v>
      </c>
    </row>
    <row r="3900" spans="1:13" x14ac:dyDescent="0.25">
      <c r="A3900" s="1" t="str">
        <f>HYPERLINK("http://www.rosaceae.org/Prunus/Prunus_persica/p.persica_gdr_reftransV1_0026370","p.persica_gdr_reftransV1_0026370")</f>
        <v>p.persica_gdr_reftransV1_0026370</v>
      </c>
      <c r="B3900" s="3">
        <v>3097</v>
      </c>
      <c r="C3900" s="1" t="str">
        <f>HYPERLINK("http://www.uniprot.org/uniprot/AEE19_ARATH","AEE19_ARATH")</f>
        <v>AEE19_ARATH</v>
      </c>
      <c r="D3900" t="s">
        <v>3507</v>
      </c>
      <c r="E3900" s="3" t="s">
        <v>3</v>
      </c>
      <c r="F3900" s="4">
        <v>0</v>
      </c>
      <c r="G3900" s="3">
        <v>2548</v>
      </c>
      <c r="H3900" s="3">
        <v>50</v>
      </c>
      <c r="I3900" s="3">
        <v>1002</v>
      </c>
      <c r="J3900" s="3">
        <v>105</v>
      </c>
      <c r="K3900" s="3">
        <v>3056</v>
      </c>
      <c r="L3900" s="3">
        <v>62</v>
      </c>
      <c r="M3900" s="3">
        <v>1040</v>
      </c>
    </row>
    <row r="3901" spans="1:13" x14ac:dyDescent="0.25">
      <c r="A3901" s="1" t="str">
        <f>HYPERLINK("http://www.rosaceae.org/Prunus/Prunus_persica/p.persica_gdr_reftransV1_0026870","p.persica_gdr_reftransV1_0026870")</f>
        <v>p.persica_gdr_reftransV1_0026870</v>
      </c>
      <c r="B3901" s="3">
        <v>4147</v>
      </c>
      <c r="C3901" s="1" t="str">
        <f>HYPERLINK("http://www.uniprot.org/uniprot/NPC1_HUMAN","NPC1_HUMAN")</f>
        <v>NPC1_HUMAN</v>
      </c>
      <c r="D3901" t="s">
        <v>2127</v>
      </c>
      <c r="E3901" s="3" t="s">
        <v>28</v>
      </c>
      <c r="F3901" s="4">
        <v>2.67E-109</v>
      </c>
      <c r="G3901" s="3">
        <v>979</v>
      </c>
      <c r="H3901" s="3">
        <v>35</v>
      </c>
      <c r="I3901" s="3">
        <v>879</v>
      </c>
      <c r="J3901" s="3">
        <v>1172</v>
      </c>
      <c r="K3901" s="3">
        <v>3637</v>
      </c>
      <c r="L3901" s="3">
        <v>59</v>
      </c>
      <c r="M3901" s="3">
        <v>894</v>
      </c>
    </row>
    <row r="3902" spans="1:13" x14ac:dyDescent="0.25">
      <c r="A3902" s="1" t="str">
        <f>HYPERLINK("http://www.rosaceae.org/Prunus/Prunus_persica/p.persica_gdr_reftransV1_0027170","p.persica_gdr_reftransV1_0027170")</f>
        <v>p.persica_gdr_reftransV1_0027170</v>
      </c>
      <c r="B3902" s="3">
        <v>4857</v>
      </c>
      <c r="C3902" s="1" t="str">
        <f>HYPERLINK("http://www.uniprot.org/uniprot/HMA7_ARATH","HMA7_ARATH")</f>
        <v>HMA7_ARATH</v>
      </c>
      <c r="D3902" t="s">
        <v>3508</v>
      </c>
      <c r="E3902" s="3" t="s">
        <v>3</v>
      </c>
      <c r="F3902" s="4">
        <v>0</v>
      </c>
      <c r="G3902" s="3">
        <v>1888</v>
      </c>
      <c r="H3902" s="3">
        <v>76</v>
      </c>
      <c r="I3902" s="3">
        <v>463</v>
      </c>
      <c r="J3902" s="3">
        <v>2691</v>
      </c>
      <c r="K3902" s="3">
        <v>4079</v>
      </c>
      <c r="L3902" s="3">
        <v>104</v>
      </c>
      <c r="M3902" s="3">
        <v>561</v>
      </c>
    </row>
    <row r="3903" spans="1:13" x14ac:dyDescent="0.25">
      <c r="A3903" s="1" t="str">
        <f>HYPERLINK("http://www.rosaceae.org/Prunus/Prunus_persica/p.persica_gdr_reftransV1_0027470","p.persica_gdr_reftransV1_0027470")</f>
        <v>p.persica_gdr_reftransV1_0027470</v>
      </c>
      <c r="B3903" s="3">
        <v>1444</v>
      </c>
      <c r="C3903" s="1" t="str">
        <f>HYPERLINK("http://www.uniprot.org/uniprot/GLO4_ARATH","GLO4_ARATH")</f>
        <v>GLO4_ARATH</v>
      </c>
      <c r="D3903" t="s">
        <v>3509</v>
      </c>
      <c r="E3903" s="3" t="s">
        <v>3</v>
      </c>
      <c r="F3903" s="4">
        <v>0</v>
      </c>
      <c r="G3903" s="3">
        <v>1414</v>
      </c>
      <c r="H3903" s="3">
        <v>77</v>
      </c>
      <c r="I3903" s="3">
        <v>360</v>
      </c>
      <c r="J3903" s="3">
        <v>236</v>
      </c>
      <c r="K3903" s="3">
        <v>1315</v>
      </c>
      <c r="L3903" s="3">
        <v>5</v>
      </c>
      <c r="M3903" s="3">
        <v>363</v>
      </c>
    </row>
    <row r="3904" spans="1:13" x14ac:dyDescent="0.25">
      <c r="A3904" s="1" t="str">
        <f>HYPERLINK("http://www.rosaceae.org/Prunus/Prunus_persica/p.persica_gdr_reftransV1_0027520","p.persica_gdr_reftransV1_0027520")</f>
        <v>p.persica_gdr_reftransV1_0027520</v>
      </c>
      <c r="B3904" s="3">
        <v>3196</v>
      </c>
      <c r="C3904" s="1" t="str">
        <f>HYPERLINK("http://www.uniprot.org/uniprot/ERCC2_ARATH","ERCC2_ARATH")</f>
        <v>ERCC2_ARATH</v>
      </c>
      <c r="D3904" t="s">
        <v>3510</v>
      </c>
      <c r="E3904" s="3" t="s">
        <v>3</v>
      </c>
      <c r="F3904" s="4">
        <v>0</v>
      </c>
      <c r="G3904" s="3">
        <v>3406</v>
      </c>
      <c r="H3904" s="3">
        <v>86</v>
      </c>
      <c r="I3904" s="3">
        <v>719</v>
      </c>
      <c r="J3904" s="3">
        <v>942</v>
      </c>
      <c r="K3904" s="3">
        <v>3098</v>
      </c>
      <c r="L3904" s="3">
        <v>1</v>
      </c>
      <c r="M3904" s="3">
        <v>719</v>
      </c>
    </row>
    <row r="3905" spans="1:13" x14ac:dyDescent="0.25">
      <c r="A3905" s="1" t="str">
        <f>HYPERLINK("http://www.rosaceae.org/Prunus/Prunus_persica/p.persica_gdr_reftransV1_0027870","p.persica_gdr_reftransV1_0027870")</f>
        <v>p.persica_gdr_reftransV1_0027870</v>
      </c>
      <c r="B3905" s="3">
        <v>1955</v>
      </c>
      <c r="C3905" s="1" t="str">
        <f>HYPERLINK("http://www.uniprot.org/uniprot/CCD12_HUMAN","CCD12_HUMAN")</f>
        <v>CCD12_HUMAN</v>
      </c>
      <c r="D3905" t="s">
        <v>3511</v>
      </c>
      <c r="E3905" s="3" t="s">
        <v>28</v>
      </c>
      <c r="F3905" s="4">
        <v>4.2399999999999997E-11</v>
      </c>
      <c r="G3905" s="3">
        <v>161</v>
      </c>
      <c r="H3905" s="3">
        <v>35</v>
      </c>
      <c r="I3905" s="3">
        <v>141</v>
      </c>
      <c r="J3905" s="3">
        <v>706</v>
      </c>
      <c r="K3905" s="3">
        <v>1110</v>
      </c>
      <c r="L3905" s="3">
        <v>1</v>
      </c>
      <c r="M3905" s="3">
        <v>139</v>
      </c>
    </row>
    <row r="3906" spans="1:13" x14ac:dyDescent="0.25">
      <c r="A3906" s="1" t="str">
        <f>HYPERLINK("http://www.rosaceae.org/Prunus/Prunus_persica/p.persica_gdr_reftransV1_0027920","p.persica_gdr_reftransV1_0027920")</f>
        <v>p.persica_gdr_reftransV1_0027920</v>
      </c>
      <c r="B3906" s="3">
        <v>1392</v>
      </c>
      <c r="C3906" s="1" t="str">
        <f>HYPERLINK("http://www.uniprot.org/uniprot/ARF1_LOCMI","ARF1_LOCMI")</f>
        <v>ARF1_LOCMI</v>
      </c>
      <c r="D3906" t="s">
        <v>3512</v>
      </c>
      <c r="E3906" s="3" t="s">
        <v>3513</v>
      </c>
      <c r="F3906" s="4">
        <v>1.6799999999999999E-80</v>
      </c>
      <c r="G3906" s="3">
        <v>648</v>
      </c>
      <c r="H3906" s="3">
        <v>63</v>
      </c>
      <c r="I3906" s="3">
        <v>178</v>
      </c>
      <c r="J3906" s="3">
        <v>270</v>
      </c>
      <c r="K3906" s="3">
        <v>803</v>
      </c>
      <c r="L3906" s="3">
        <v>1</v>
      </c>
      <c r="M3906" s="3">
        <v>178</v>
      </c>
    </row>
    <row r="3907" spans="1:13" x14ac:dyDescent="0.25">
      <c r="A3907" s="1" t="str">
        <f>HYPERLINK("http://www.rosaceae.org/Prunus/Prunus_persica/p.persica_gdr_reftransV1_0028070","p.persica_gdr_reftransV1_0028070")</f>
        <v>p.persica_gdr_reftransV1_0028070</v>
      </c>
      <c r="B3907" s="3">
        <v>1335</v>
      </c>
      <c r="C3907" s="1" t="str">
        <f>HYPERLINK("http://www.uniprot.org/uniprot/FHIT_DICDI","FHIT_DICDI")</f>
        <v>FHIT_DICDI</v>
      </c>
      <c r="D3907" t="s">
        <v>3514</v>
      </c>
      <c r="E3907" s="3" t="s">
        <v>9</v>
      </c>
      <c r="F3907" s="4">
        <v>3.4599999999999999E-22</v>
      </c>
      <c r="G3907" s="3">
        <v>239</v>
      </c>
      <c r="H3907" s="3">
        <v>52</v>
      </c>
      <c r="I3907" s="3">
        <v>79</v>
      </c>
      <c r="J3907" s="3">
        <v>956</v>
      </c>
      <c r="K3907" s="3">
        <v>1192</v>
      </c>
      <c r="L3907" s="3">
        <v>6</v>
      </c>
      <c r="M3907" s="3">
        <v>84</v>
      </c>
    </row>
    <row r="3908" spans="1:13" x14ac:dyDescent="0.25">
      <c r="A3908" s="1" t="str">
        <f>HYPERLINK("http://www.rosaceae.org/Prunus/Prunus_persica/p.persica_gdr_reftransV1_0028720","p.persica_gdr_reftransV1_0028720")</f>
        <v>p.persica_gdr_reftransV1_0028720</v>
      </c>
      <c r="B3908" s="3">
        <v>2834</v>
      </c>
      <c r="C3908" s="1" t="str">
        <f>HYPERLINK("http://www.uniprot.org/uniprot/FB271_ARATH","FB271_ARATH")</f>
        <v>FB271_ARATH</v>
      </c>
      <c r="D3908" t="s">
        <v>3515</v>
      </c>
      <c r="E3908" s="3" t="s">
        <v>3</v>
      </c>
      <c r="F3908" s="4">
        <v>1.8999999999999999E-179</v>
      </c>
      <c r="G3908" s="3">
        <v>1389</v>
      </c>
      <c r="H3908" s="3">
        <v>51</v>
      </c>
      <c r="I3908" s="3">
        <v>612</v>
      </c>
      <c r="J3908" s="3">
        <v>355</v>
      </c>
      <c r="K3908" s="3">
        <v>2172</v>
      </c>
      <c r="L3908" s="3">
        <v>9</v>
      </c>
      <c r="M3908" s="3">
        <v>573</v>
      </c>
    </row>
    <row r="3909" spans="1:13" x14ac:dyDescent="0.25">
      <c r="A3909" s="1" t="str">
        <f>HYPERLINK("http://www.rosaceae.org/Prunus/Prunus_persica/p.persica_gdr_reftransV1_0028970","p.persica_gdr_reftransV1_0028970")</f>
        <v>p.persica_gdr_reftransV1_0028970</v>
      </c>
      <c r="B3909" s="3">
        <v>1488</v>
      </c>
      <c r="C3909" s="1" t="str">
        <f>HYPERLINK("http://www.uniprot.org/uniprot/MCA1_ARATH","MCA1_ARATH")</f>
        <v>MCA1_ARATH</v>
      </c>
      <c r="D3909" t="s">
        <v>962</v>
      </c>
      <c r="E3909" s="3" t="s">
        <v>3</v>
      </c>
      <c r="F3909" s="4">
        <v>4.1299999999999999E-71</v>
      </c>
      <c r="G3909" s="3">
        <v>604</v>
      </c>
      <c r="H3909" s="3">
        <v>44</v>
      </c>
      <c r="I3909" s="3">
        <v>290</v>
      </c>
      <c r="J3909" s="3">
        <v>250</v>
      </c>
      <c r="K3909" s="3">
        <v>1080</v>
      </c>
      <c r="L3909" s="3">
        <v>80</v>
      </c>
      <c r="M3909" s="3">
        <v>367</v>
      </c>
    </row>
    <row r="3910" spans="1:13" x14ac:dyDescent="0.25">
      <c r="A3910" s="1" t="str">
        <f>HYPERLINK("http://www.rosaceae.org/Prunus/Prunus_persica/p.persica_gdr_reftransV1_0029120","p.persica_gdr_reftransV1_0029120")</f>
        <v>p.persica_gdr_reftransV1_0029120</v>
      </c>
      <c r="B3910" s="3">
        <v>2603</v>
      </c>
      <c r="C3910" s="1" t="str">
        <f>HYPERLINK("http://www.uniprot.org/uniprot/NPR1_ARATH","NPR1_ARATH")</f>
        <v>NPR1_ARATH</v>
      </c>
      <c r="D3910" t="s">
        <v>3516</v>
      </c>
      <c r="E3910" s="3" t="s">
        <v>3</v>
      </c>
      <c r="F3910" s="4">
        <v>1.84E-135</v>
      </c>
      <c r="G3910" s="3">
        <v>1088</v>
      </c>
      <c r="H3910" s="3">
        <v>55</v>
      </c>
      <c r="I3910" s="3">
        <v>386</v>
      </c>
      <c r="J3910" s="3">
        <v>317</v>
      </c>
      <c r="K3910" s="3">
        <v>1474</v>
      </c>
      <c r="L3910" s="3">
        <v>186</v>
      </c>
      <c r="M3910" s="3">
        <v>563</v>
      </c>
    </row>
    <row r="3911" spans="1:13" x14ac:dyDescent="0.25">
      <c r="A3911" s="1" t="str">
        <f>HYPERLINK("http://www.rosaceae.org/Prunus/Prunus_persica/p.persica_gdr_reftransV1_0029220","p.persica_gdr_reftransV1_0029220")</f>
        <v>p.persica_gdr_reftransV1_0029220</v>
      </c>
      <c r="B3911" s="3">
        <v>3024</v>
      </c>
      <c r="C3911" s="1" t="str">
        <f>HYPERLINK("http://www.uniprot.org/uniprot/ACR12_ARATH","ACR12_ARATH")</f>
        <v>ACR12_ARATH</v>
      </c>
      <c r="D3911" t="s">
        <v>3517</v>
      </c>
      <c r="E3911" s="3" t="s">
        <v>3</v>
      </c>
      <c r="F3911" s="4">
        <v>3.1699999999999999E-80</v>
      </c>
      <c r="G3911" s="3">
        <v>687</v>
      </c>
      <c r="H3911" s="3">
        <v>87</v>
      </c>
      <c r="I3911" s="3">
        <v>146</v>
      </c>
      <c r="J3911" s="3">
        <v>465</v>
      </c>
      <c r="K3911" s="3">
        <v>902</v>
      </c>
      <c r="L3911" s="3">
        <v>156</v>
      </c>
      <c r="M3911" s="3">
        <v>301</v>
      </c>
    </row>
    <row r="3912" spans="1:13" x14ac:dyDescent="0.25">
      <c r="A3912" s="1" t="str">
        <f>HYPERLINK("http://www.rosaceae.org/Prunus/Prunus_persica/p.persica_gdr_reftransV1_0029370","p.persica_gdr_reftransV1_0029370")</f>
        <v>p.persica_gdr_reftransV1_0029370</v>
      </c>
      <c r="B3912" s="3">
        <v>601</v>
      </c>
      <c r="C3912" s="1" t="str">
        <f>HYPERLINK("http://www.uniprot.org/uniprot/COA5_PONAB","COA5_PONAB")</f>
        <v>COA5_PONAB</v>
      </c>
      <c r="D3912" t="s">
        <v>3518</v>
      </c>
      <c r="E3912" s="3" t="s">
        <v>176</v>
      </c>
      <c r="F3912" s="4">
        <v>5.0500000000000002E-8</v>
      </c>
      <c r="G3912" s="3">
        <v>123</v>
      </c>
      <c r="H3912" s="3">
        <v>41</v>
      </c>
      <c r="I3912" s="3">
        <v>79</v>
      </c>
      <c r="J3912" s="3">
        <v>299</v>
      </c>
      <c r="K3912" s="3">
        <v>535</v>
      </c>
      <c r="L3912" s="3">
        <v>2</v>
      </c>
      <c r="M3912" s="3">
        <v>74</v>
      </c>
    </row>
    <row r="3913" spans="1:13" x14ac:dyDescent="0.25">
      <c r="A3913" s="1" t="str">
        <f>HYPERLINK("http://www.rosaceae.org/Prunus/Prunus_persica/p.persica_gdr_reftransV1_0029770","p.persica_gdr_reftransV1_0029770")</f>
        <v>p.persica_gdr_reftransV1_0029770</v>
      </c>
      <c r="B3913" s="3">
        <v>4247</v>
      </c>
      <c r="C3913" s="1" t="str">
        <f>HYPERLINK("http://www.uniprot.org/uniprot/M2K3_ARATH","M2K3_ARATH")</f>
        <v>M2K3_ARATH</v>
      </c>
      <c r="D3913" t="s">
        <v>3519</v>
      </c>
      <c r="E3913" s="3" t="s">
        <v>3</v>
      </c>
      <c r="F3913" s="4">
        <v>0</v>
      </c>
      <c r="G3913" s="3">
        <v>1478</v>
      </c>
      <c r="H3913" s="3">
        <v>73</v>
      </c>
      <c r="I3913" s="3">
        <v>393</v>
      </c>
      <c r="J3913" s="3">
        <v>113</v>
      </c>
      <c r="K3913" s="3">
        <v>1285</v>
      </c>
      <c r="L3913" s="3">
        <v>1</v>
      </c>
      <c r="M3913" s="3">
        <v>334</v>
      </c>
    </row>
    <row r="3914" spans="1:13" x14ac:dyDescent="0.25">
      <c r="A3914" s="1" t="str">
        <f>HYPERLINK("http://www.rosaceae.org/Prunus/Prunus_persica/p.persica_gdr_reftransV1_0029970","p.persica_gdr_reftransV1_0029970")</f>
        <v>p.persica_gdr_reftransV1_0029970</v>
      </c>
      <c r="B3914" s="3">
        <v>3279</v>
      </c>
      <c r="C3914" s="1" t="str">
        <f>HYPERLINK("http://www.uniprot.org/uniprot/MYO15_ARATH","MYO15_ARATH")</f>
        <v>MYO15_ARATH</v>
      </c>
      <c r="D3914" t="s">
        <v>3520</v>
      </c>
      <c r="E3914" s="3" t="s">
        <v>3</v>
      </c>
      <c r="F3914" s="4">
        <v>0</v>
      </c>
      <c r="G3914" s="3">
        <v>2820</v>
      </c>
      <c r="H3914" s="3">
        <v>71</v>
      </c>
      <c r="I3914" s="3">
        <v>837</v>
      </c>
      <c r="J3914" s="3">
        <v>777</v>
      </c>
      <c r="K3914" s="3">
        <v>3278</v>
      </c>
      <c r="L3914" s="3">
        <v>575</v>
      </c>
      <c r="M3914" s="3">
        <v>1400</v>
      </c>
    </row>
    <row r="3915" spans="1:13" x14ac:dyDescent="0.25">
      <c r="A3915" s="1" t="str">
        <f>HYPERLINK("http://www.rosaceae.org/Prunus/Prunus_persica/p.persica_gdr_reftransV1_0030070","p.persica_gdr_reftransV1_0030070")</f>
        <v>p.persica_gdr_reftransV1_0030070</v>
      </c>
      <c r="B3915" s="3">
        <v>2671</v>
      </c>
      <c r="C3915" s="1" t="str">
        <f>HYPERLINK("http://www.uniprot.org/uniprot/AP2M_ARATH","AP2M_ARATH")</f>
        <v>AP2M_ARATH</v>
      </c>
      <c r="D3915" t="s">
        <v>3521</v>
      </c>
      <c r="E3915" s="3" t="s">
        <v>3</v>
      </c>
      <c r="F3915" s="4">
        <v>1.6099999999999999E-173</v>
      </c>
      <c r="G3915" s="3">
        <v>1331</v>
      </c>
      <c r="H3915" s="3">
        <v>96</v>
      </c>
      <c r="I3915" s="3">
        <v>281</v>
      </c>
      <c r="J3915" s="3">
        <v>356</v>
      </c>
      <c r="K3915" s="3">
        <v>1198</v>
      </c>
      <c r="L3915" s="3">
        <v>1</v>
      </c>
      <c r="M3915" s="3">
        <v>281</v>
      </c>
    </row>
    <row r="3916" spans="1:13" x14ac:dyDescent="0.25">
      <c r="A3916" s="1" t="str">
        <f>HYPERLINK("http://www.rosaceae.org/Prunus/Prunus_persica/p.persica_gdr_reftransV1_0030220","p.persica_gdr_reftransV1_0030220")</f>
        <v>p.persica_gdr_reftransV1_0030220</v>
      </c>
      <c r="B3916" s="3">
        <v>1588</v>
      </c>
      <c r="C3916" s="1" t="str">
        <f>HYPERLINK("http://www.uniprot.org/uniprot/ALG5_HUMAN","ALG5_HUMAN")</f>
        <v>ALG5_HUMAN</v>
      </c>
      <c r="D3916" t="s">
        <v>3522</v>
      </c>
      <c r="E3916" s="3" t="s">
        <v>28</v>
      </c>
      <c r="F3916" s="4">
        <v>1.2499999999999999E-72</v>
      </c>
      <c r="G3916" s="3">
        <v>613</v>
      </c>
      <c r="H3916" s="3">
        <v>41</v>
      </c>
      <c r="I3916" s="3">
        <v>340</v>
      </c>
      <c r="J3916" s="3">
        <v>213</v>
      </c>
      <c r="K3916" s="3">
        <v>1229</v>
      </c>
      <c r="L3916" s="3">
        <v>38</v>
      </c>
      <c r="M3916" s="3">
        <v>317</v>
      </c>
    </row>
    <row r="3917" spans="1:13" x14ac:dyDescent="0.25">
      <c r="A3917" s="1" t="str">
        <f>HYPERLINK("http://www.rosaceae.org/Prunus/Prunus_persica/p.persica_gdr_reftransV1_0030270","p.persica_gdr_reftransV1_0030270")</f>
        <v>p.persica_gdr_reftransV1_0030270</v>
      </c>
      <c r="B3917" s="3">
        <v>2500</v>
      </c>
      <c r="C3917" s="1" t="str">
        <f>HYPERLINK("http://www.uniprot.org/uniprot/PP209_ARATH","PP209_ARATH")</f>
        <v>PP209_ARATH</v>
      </c>
      <c r="D3917" t="s">
        <v>3523</v>
      </c>
      <c r="E3917" s="3" t="s">
        <v>3</v>
      </c>
      <c r="F3917" s="4">
        <v>3.1799999999999999E-171</v>
      </c>
      <c r="G3917" s="3">
        <v>1324</v>
      </c>
      <c r="H3917" s="3">
        <v>59</v>
      </c>
      <c r="I3917" s="3">
        <v>436</v>
      </c>
      <c r="J3917" s="3">
        <v>539</v>
      </c>
      <c r="K3917" s="3">
        <v>1837</v>
      </c>
      <c r="L3917" s="3">
        <v>144</v>
      </c>
      <c r="M3917" s="3">
        <v>576</v>
      </c>
    </row>
    <row r="3918" spans="1:13" x14ac:dyDescent="0.25">
      <c r="A3918" s="1" t="str">
        <f>HYPERLINK("http://www.rosaceae.org/Prunus/Prunus_persica/p.persica_gdr_reftransV1_0030370","p.persica_gdr_reftransV1_0030370")</f>
        <v>p.persica_gdr_reftransV1_0030370</v>
      </c>
      <c r="B3918" s="3">
        <v>4064</v>
      </c>
      <c r="C3918" s="1" t="str">
        <f>HYPERLINK("http://www.uniprot.org/uniprot/EHD2_ARATH","EHD2_ARATH")</f>
        <v>EHD2_ARATH</v>
      </c>
      <c r="D3918" t="s">
        <v>2400</v>
      </c>
      <c r="E3918" s="3" t="s">
        <v>3</v>
      </c>
      <c r="F3918" s="4">
        <v>1.51E-14</v>
      </c>
      <c r="G3918" s="3">
        <v>201</v>
      </c>
      <c r="H3918" s="3">
        <v>38</v>
      </c>
      <c r="I3918" s="3">
        <v>97</v>
      </c>
      <c r="J3918" s="3">
        <v>221</v>
      </c>
      <c r="K3918" s="3">
        <v>511</v>
      </c>
      <c r="L3918" s="3">
        <v>5</v>
      </c>
      <c r="M3918" s="3">
        <v>99</v>
      </c>
    </row>
    <row r="3919" spans="1:13" x14ac:dyDescent="0.25">
      <c r="A3919" s="1" t="str">
        <f>HYPERLINK("http://www.rosaceae.org/Prunus/Prunus_persica/p.persica_gdr_reftransV1_0030770","p.persica_gdr_reftransV1_0030770")</f>
        <v>p.persica_gdr_reftransV1_0030770</v>
      </c>
      <c r="B3919" s="3">
        <v>1220</v>
      </c>
      <c r="C3919" s="1" t="str">
        <f>HYPERLINK("http://www.uniprot.org/uniprot/G11A_ORYSI","G11A_ORYSI")</f>
        <v>G11A_ORYSI</v>
      </c>
      <c r="D3919" t="s">
        <v>3524</v>
      </c>
      <c r="E3919" s="3" t="s">
        <v>38</v>
      </c>
      <c r="F3919" s="4">
        <v>1.66E-80</v>
      </c>
      <c r="G3919" s="3">
        <v>677</v>
      </c>
      <c r="H3919" s="3">
        <v>73</v>
      </c>
      <c r="I3919" s="3">
        <v>172</v>
      </c>
      <c r="J3919" s="3">
        <v>2</v>
      </c>
      <c r="K3919" s="3">
        <v>517</v>
      </c>
      <c r="L3919" s="3">
        <v>422</v>
      </c>
      <c r="M3919" s="3">
        <v>589</v>
      </c>
    </row>
    <row r="3920" spans="1:13" x14ac:dyDescent="0.25">
      <c r="A3920" s="1" t="str">
        <f>HYPERLINK("http://www.rosaceae.org/Prunus/Prunus_persica/p.persica_gdr_reftransV1_0031020","p.persica_gdr_reftransV1_0031020")</f>
        <v>p.persica_gdr_reftransV1_0031020</v>
      </c>
      <c r="B3920" s="3">
        <v>3590</v>
      </c>
      <c r="C3920" s="1" t="str">
        <f>HYPERLINK("http://www.uniprot.org/uniprot/MED25_ARATH","MED25_ARATH")</f>
        <v>MED25_ARATH</v>
      </c>
      <c r="D3920" t="s">
        <v>3525</v>
      </c>
      <c r="E3920" s="3" t="s">
        <v>3</v>
      </c>
      <c r="F3920" s="4">
        <v>4.51E-100</v>
      </c>
      <c r="G3920" s="3">
        <v>880</v>
      </c>
      <c r="H3920" s="3">
        <v>63</v>
      </c>
      <c r="I3920" s="3">
        <v>397</v>
      </c>
      <c r="J3920" s="3">
        <v>1929</v>
      </c>
      <c r="K3920" s="3">
        <v>3059</v>
      </c>
      <c r="L3920" s="3">
        <v>296</v>
      </c>
      <c r="M3920" s="3">
        <v>674</v>
      </c>
    </row>
    <row r="3921" spans="1:13" x14ac:dyDescent="0.25">
      <c r="A3921" s="1" t="str">
        <f>HYPERLINK("http://www.rosaceae.org/Prunus/Prunus_persica/p.persica_gdr_reftransV1_0031070","p.persica_gdr_reftransV1_0031070")</f>
        <v>p.persica_gdr_reftransV1_0031070</v>
      </c>
      <c r="B3921" s="3">
        <v>2923</v>
      </c>
      <c r="C3921" s="1" t="str">
        <f>HYPERLINK("http://www.uniprot.org/uniprot/ACL5_ARATH","ACL5_ARATH")</f>
        <v>ACL5_ARATH</v>
      </c>
      <c r="D3921" t="s">
        <v>3526</v>
      </c>
      <c r="E3921" s="3" t="s">
        <v>3</v>
      </c>
      <c r="F3921" s="4">
        <v>1.4E-124</v>
      </c>
      <c r="G3921" s="3">
        <v>998</v>
      </c>
      <c r="H3921" s="3">
        <v>77</v>
      </c>
      <c r="I3921" s="3">
        <v>242</v>
      </c>
      <c r="J3921" s="3">
        <v>1070</v>
      </c>
      <c r="K3921" s="3">
        <v>1795</v>
      </c>
      <c r="L3921" s="3">
        <v>96</v>
      </c>
      <c r="M3921" s="3">
        <v>337</v>
      </c>
    </row>
    <row r="3922" spans="1:13" x14ac:dyDescent="0.25">
      <c r="A3922" s="1" t="str">
        <f>HYPERLINK("http://www.rosaceae.org/Prunus/Prunus_persica/p.persica_gdr_reftransV1_0031170","p.persica_gdr_reftransV1_0031170")</f>
        <v>p.persica_gdr_reftransV1_0031170</v>
      </c>
      <c r="B3922" s="3">
        <v>2209</v>
      </c>
      <c r="C3922" s="1" t="str">
        <f>HYPERLINK("http://www.uniprot.org/uniprot/HARB1_RAT","HARB1_RAT")</f>
        <v>HARB1_RAT</v>
      </c>
      <c r="D3922" t="s">
        <v>3527</v>
      </c>
      <c r="E3922" s="3" t="s">
        <v>161</v>
      </c>
      <c r="F3922" s="4">
        <v>5.2499999999999997E-15</v>
      </c>
      <c r="G3922" s="3">
        <v>198</v>
      </c>
      <c r="H3922" s="3">
        <v>26</v>
      </c>
      <c r="I3922" s="3">
        <v>315</v>
      </c>
      <c r="J3922" s="3">
        <v>352</v>
      </c>
      <c r="K3922" s="3">
        <v>1224</v>
      </c>
      <c r="L3922" s="3">
        <v>11</v>
      </c>
      <c r="M3922" s="3">
        <v>310</v>
      </c>
    </row>
    <row r="3923" spans="1:13" x14ac:dyDescent="0.25">
      <c r="A3923" s="1" t="str">
        <f>HYPERLINK("http://www.rosaceae.org/Prunus/Prunus_persica/p.persica_gdr_reftransV1_0031270","p.persica_gdr_reftransV1_0031270")</f>
        <v>p.persica_gdr_reftransV1_0031270</v>
      </c>
      <c r="B3923" s="3">
        <v>3141</v>
      </c>
      <c r="C3923" s="1" t="str">
        <f>HYPERLINK("http://www.uniprot.org/uniprot/GATB_RICCO","GATB_RICCO")</f>
        <v>GATB_RICCO</v>
      </c>
      <c r="D3923" t="s">
        <v>3528</v>
      </c>
      <c r="E3923" s="3" t="s">
        <v>421</v>
      </c>
      <c r="F3923" s="4">
        <v>0</v>
      </c>
      <c r="G3923" s="3">
        <v>1578</v>
      </c>
      <c r="H3923" s="3">
        <v>88</v>
      </c>
      <c r="I3923" s="3">
        <v>339</v>
      </c>
      <c r="J3923" s="3">
        <v>1311</v>
      </c>
      <c r="K3923" s="3">
        <v>2327</v>
      </c>
      <c r="L3923" s="3">
        <v>211</v>
      </c>
      <c r="M3923" s="3">
        <v>549</v>
      </c>
    </row>
    <row r="3924" spans="1:13" x14ac:dyDescent="0.25">
      <c r="A3924" s="1" t="str">
        <f>HYPERLINK("http://www.rosaceae.org/Prunus/Prunus_persica/p.persica_gdr_reftransV1_0031420","p.persica_gdr_reftransV1_0031420")</f>
        <v>p.persica_gdr_reftransV1_0031420</v>
      </c>
      <c r="B3924" s="3">
        <v>2635</v>
      </c>
      <c r="C3924" s="1" t="str">
        <f>HYPERLINK("http://www.uniprot.org/uniprot/SIRB_BACME","SIRB_BACME")</f>
        <v>SIRB_BACME</v>
      </c>
      <c r="D3924" t="s">
        <v>3529</v>
      </c>
      <c r="E3924" s="3" t="s">
        <v>3530</v>
      </c>
      <c r="F3924" s="4">
        <v>1.02E-15</v>
      </c>
      <c r="G3924" s="3">
        <v>202</v>
      </c>
      <c r="H3924" s="3">
        <v>36</v>
      </c>
      <c r="I3924" s="3">
        <v>116</v>
      </c>
      <c r="J3924" s="3">
        <v>290</v>
      </c>
      <c r="K3924" s="3">
        <v>637</v>
      </c>
      <c r="L3924" s="3">
        <v>13</v>
      </c>
      <c r="M3924" s="3">
        <v>128</v>
      </c>
    </row>
    <row r="3925" spans="1:13" x14ac:dyDescent="0.25">
      <c r="A3925" s="1" t="str">
        <f>HYPERLINK("http://www.rosaceae.org/Prunus/Prunus_persica/p.persica_gdr_reftransV1_0031520","p.persica_gdr_reftransV1_0031520")</f>
        <v>p.persica_gdr_reftransV1_0031520</v>
      </c>
      <c r="B3925" s="3">
        <v>1817</v>
      </c>
      <c r="C3925" s="1" t="str">
        <f>HYPERLINK("http://www.uniprot.org/uniprot/FACE1_ARATH","FACE1_ARATH")</f>
        <v>FACE1_ARATH</v>
      </c>
      <c r="D3925" t="s">
        <v>3531</v>
      </c>
      <c r="E3925" s="3" t="s">
        <v>3</v>
      </c>
      <c r="F3925" s="4">
        <v>0</v>
      </c>
      <c r="G3925" s="3">
        <v>1857</v>
      </c>
      <c r="H3925" s="3">
        <v>86</v>
      </c>
      <c r="I3925" s="3">
        <v>413</v>
      </c>
      <c r="J3925" s="3">
        <v>38</v>
      </c>
      <c r="K3925" s="3">
        <v>1276</v>
      </c>
      <c r="L3925" s="3">
        <v>1</v>
      </c>
      <c r="M3925" s="3">
        <v>413</v>
      </c>
    </row>
    <row r="3926" spans="1:13" x14ac:dyDescent="0.25">
      <c r="A3926" s="1" t="str">
        <f>HYPERLINK("http://www.rosaceae.org/Prunus/Prunus_persica/p.persica_gdr_reftransV1_0031570","p.persica_gdr_reftransV1_0031570")</f>
        <v>p.persica_gdr_reftransV1_0031570</v>
      </c>
      <c r="B3926" s="3">
        <v>2888</v>
      </c>
      <c r="C3926" s="1" t="str">
        <f>HYPERLINK("http://www.uniprot.org/uniprot/MAG2_ARATH","MAG2_ARATH")</f>
        <v>MAG2_ARATH</v>
      </c>
      <c r="D3926" t="s">
        <v>3532</v>
      </c>
      <c r="E3926" s="3" t="s">
        <v>3</v>
      </c>
      <c r="F3926" s="4">
        <v>0</v>
      </c>
      <c r="G3926" s="3">
        <v>2401</v>
      </c>
      <c r="H3926" s="3">
        <v>61</v>
      </c>
      <c r="I3926" s="3">
        <v>785</v>
      </c>
      <c r="J3926" s="3">
        <v>171</v>
      </c>
      <c r="K3926" s="3">
        <v>2513</v>
      </c>
      <c r="L3926" s="3">
        <v>21</v>
      </c>
      <c r="M3926" s="3">
        <v>795</v>
      </c>
    </row>
    <row r="3927" spans="1:13" x14ac:dyDescent="0.25">
      <c r="A3927" s="1" t="str">
        <f>HYPERLINK("http://www.rosaceae.org/Prunus/Prunus_persica/p.persica_gdr_reftransV1_0031670","p.persica_gdr_reftransV1_0031670")</f>
        <v>p.persica_gdr_reftransV1_0031670</v>
      </c>
      <c r="B3927" s="3">
        <v>1124</v>
      </c>
      <c r="C3927" s="1" t="str">
        <f>HYPERLINK("http://www.uniprot.org/uniprot/ARid5_ARATH","ARid5_ARATH")</f>
        <v>ARid5_ARATH</v>
      </c>
      <c r="D3927" t="s">
        <v>2644</v>
      </c>
      <c r="E3927" s="3" t="s">
        <v>3</v>
      </c>
      <c r="F3927" s="4">
        <v>1.18E-72</v>
      </c>
      <c r="G3927" s="3">
        <v>609</v>
      </c>
      <c r="H3927" s="3">
        <v>75</v>
      </c>
      <c r="I3927" s="3">
        <v>165</v>
      </c>
      <c r="J3927" s="3">
        <v>630</v>
      </c>
      <c r="K3927" s="3">
        <v>1124</v>
      </c>
      <c r="L3927" s="3">
        <v>129</v>
      </c>
      <c r="M3927" s="3">
        <v>291</v>
      </c>
    </row>
    <row r="3928" spans="1:13" x14ac:dyDescent="0.25">
      <c r="A3928" s="1" t="str">
        <f>HYPERLINK("http://www.rosaceae.org/Prunus/Prunus_persica/p.persica_gdr_reftransV1_0031770","p.persica_gdr_reftransV1_0031770")</f>
        <v>p.persica_gdr_reftransV1_0031770</v>
      </c>
      <c r="B3928" s="3">
        <v>1853</v>
      </c>
      <c r="C3928" s="1" t="str">
        <f>HYPERLINK("http://www.uniprot.org/uniprot/SDC1_ARATH","SDC1_ARATH")</f>
        <v>SDC1_ARATH</v>
      </c>
      <c r="D3928" t="s">
        <v>3533</v>
      </c>
      <c r="E3928" s="3" t="s">
        <v>3</v>
      </c>
      <c r="F3928" s="4">
        <v>0</v>
      </c>
      <c r="G3928" s="3">
        <v>2117</v>
      </c>
      <c r="H3928" s="3">
        <v>83</v>
      </c>
      <c r="I3928" s="3">
        <v>471</v>
      </c>
      <c r="J3928" s="3">
        <v>174</v>
      </c>
      <c r="K3928" s="3">
        <v>1586</v>
      </c>
      <c r="L3928" s="3">
        <v>20</v>
      </c>
      <c r="M3928" s="3">
        <v>482</v>
      </c>
    </row>
    <row r="3929" spans="1:13" x14ac:dyDescent="0.25">
      <c r="A3929" s="1" t="str">
        <f>HYPERLINK("http://www.rosaceae.org/Prunus/Prunus_persica/p.persica_gdr_reftransV1_0031870","p.persica_gdr_reftransV1_0031870")</f>
        <v>p.persica_gdr_reftransV1_0031870</v>
      </c>
      <c r="B3929" s="3">
        <v>1905</v>
      </c>
      <c r="C3929" s="1" t="str">
        <f>HYPERLINK("http://www.uniprot.org/uniprot/NDUF6_BOVIN","NDUF6_BOVIN")</f>
        <v>NDUF6_BOVIN</v>
      </c>
      <c r="D3929" t="s">
        <v>3534</v>
      </c>
      <c r="E3929" s="3" t="s">
        <v>184</v>
      </c>
      <c r="F3929" s="4">
        <v>3.0399999999999998E-48</v>
      </c>
      <c r="G3929" s="3">
        <v>448</v>
      </c>
      <c r="H3929" s="3">
        <v>39</v>
      </c>
      <c r="I3929" s="3">
        <v>290</v>
      </c>
      <c r="J3929" s="3">
        <v>701</v>
      </c>
      <c r="K3929" s="3">
        <v>1564</v>
      </c>
      <c r="L3929" s="3">
        <v>60</v>
      </c>
      <c r="M3929" s="3">
        <v>333</v>
      </c>
    </row>
    <row r="3930" spans="1:13" x14ac:dyDescent="0.25">
      <c r="A3930" s="1" t="str">
        <f>HYPERLINK("http://www.rosaceae.org/Prunus/Prunus_persica/p.persica_gdr_reftransV1_0032020","p.persica_gdr_reftransV1_0032020")</f>
        <v>p.persica_gdr_reftransV1_0032020</v>
      </c>
      <c r="B3930" s="3">
        <v>1605</v>
      </c>
      <c r="C3930" s="1" t="str">
        <f>HYPERLINK("http://www.uniprot.org/uniprot/FLA20_ARATH","FLA20_ARATH")</f>
        <v>FLA20_ARATH</v>
      </c>
      <c r="D3930" t="s">
        <v>3535</v>
      </c>
      <c r="E3930" s="3" t="s">
        <v>3</v>
      </c>
      <c r="F3930" s="4">
        <v>2.6200000000000001E-11</v>
      </c>
      <c r="G3930" s="3">
        <v>168</v>
      </c>
      <c r="H3930" s="3">
        <v>34</v>
      </c>
      <c r="I3930" s="3">
        <v>133</v>
      </c>
      <c r="J3930" s="3">
        <v>156</v>
      </c>
      <c r="K3930" s="3">
        <v>554</v>
      </c>
      <c r="L3930" s="3">
        <v>75</v>
      </c>
      <c r="M3930" s="3">
        <v>195</v>
      </c>
    </row>
    <row r="3931" spans="1:13" x14ac:dyDescent="0.25">
      <c r="A3931" s="1" t="str">
        <f>HYPERLINK("http://www.rosaceae.org/Prunus/Prunus_persica/p.persica_gdr_reftransV1_0032120","p.persica_gdr_reftransV1_0032120")</f>
        <v>p.persica_gdr_reftransV1_0032120</v>
      </c>
      <c r="B3931" s="3">
        <v>1530</v>
      </c>
      <c r="C3931" s="1" t="str">
        <f>HYPERLINK("http://www.uniprot.org/uniprot/E6_GOSHI","E6_GOSHI")</f>
        <v>E6_GOSHI</v>
      </c>
      <c r="D3931" t="s">
        <v>3536</v>
      </c>
      <c r="E3931" s="3" t="s">
        <v>816</v>
      </c>
      <c r="F3931" s="4">
        <v>1.0999999999999999E-10</v>
      </c>
      <c r="G3931" s="3">
        <v>158</v>
      </c>
      <c r="H3931" s="3">
        <v>36</v>
      </c>
      <c r="I3931" s="3">
        <v>206</v>
      </c>
      <c r="J3931" s="3">
        <v>327</v>
      </c>
      <c r="K3931" s="3">
        <v>920</v>
      </c>
      <c r="L3931" s="3">
        <v>61</v>
      </c>
      <c r="M3931" s="3">
        <v>208</v>
      </c>
    </row>
    <row r="3932" spans="1:13" x14ac:dyDescent="0.25">
      <c r="A3932" s="1" t="str">
        <f>HYPERLINK("http://www.rosaceae.org/Prunus/Prunus_persica/p.persica_gdr_reftransV1_0032770","p.persica_gdr_reftransV1_0032770")</f>
        <v>p.persica_gdr_reftransV1_0032770</v>
      </c>
      <c r="B3932" s="3">
        <v>3420</v>
      </c>
      <c r="C3932" s="1" t="str">
        <f>HYPERLINK("http://www.uniprot.org/uniprot/IKU2_ARATH","IKU2_ARATH")</f>
        <v>IKU2_ARATH</v>
      </c>
      <c r="D3932" t="s">
        <v>1920</v>
      </c>
      <c r="E3932" s="3" t="s">
        <v>3</v>
      </c>
      <c r="F3932" s="4">
        <v>0</v>
      </c>
      <c r="G3932" s="3">
        <v>2442</v>
      </c>
      <c r="H3932" s="3">
        <v>55</v>
      </c>
      <c r="I3932" s="3">
        <v>960</v>
      </c>
      <c r="J3932" s="3">
        <v>188</v>
      </c>
      <c r="K3932" s="3">
        <v>3007</v>
      </c>
      <c r="L3932" s="3">
        <v>17</v>
      </c>
      <c r="M3932" s="3">
        <v>970</v>
      </c>
    </row>
    <row r="3933" spans="1:13" x14ac:dyDescent="0.25">
      <c r="A3933" s="1" t="str">
        <f>HYPERLINK("http://www.rosaceae.org/Prunus/Prunus_persica/p.persica_gdr_reftransV1_0033120","p.persica_gdr_reftransV1_0033120")</f>
        <v>p.persica_gdr_reftransV1_0033120</v>
      </c>
      <c r="B3933" s="3">
        <v>1642</v>
      </c>
      <c r="C3933" s="1" t="str">
        <f>HYPERLINK("http://www.uniprot.org/uniprot/CLP41_ARATH","CLP41_ARATH")</f>
        <v>CLP41_ARATH</v>
      </c>
      <c r="D3933" t="s">
        <v>3537</v>
      </c>
      <c r="E3933" s="3" t="s">
        <v>3</v>
      </c>
      <c r="F3933" s="4">
        <v>4.6000000000000003E-53</v>
      </c>
      <c r="G3933" s="3">
        <v>472</v>
      </c>
      <c r="H3933" s="3">
        <v>73</v>
      </c>
      <c r="I3933" s="3">
        <v>127</v>
      </c>
      <c r="J3933" s="3">
        <v>974</v>
      </c>
      <c r="K3933" s="3">
        <v>1351</v>
      </c>
      <c r="L3933" s="3">
        <v>70</v>
      </c>
      <c r="M3933" s="3">
        <v>192</v>
      </c>
    </row>
    <row r="3934" spans="1:13" x14ac:dyDescent="0.25">
      <c r="A3934" s="1" t="str">
        <f>HYPERLINK("http://www.rosaceae.org/Prunus/Prunus_persica/p.persica_gdr_reftransV1_0033220","p.persica_gdr_reftransV1_0033220")</f>
        <v>p.persica_gdr_reftransV1_0033220</v>
      </c>
      <c r="B3934" s="3">
        <v>1375</v>
      </c>
      <c r="C3934" s="1" t="str">
        <f>HYPERLINK("http://www.uniprot.org/uniprot/MENB_ARATH","MENB_ARATH")</f>
        <v>MENB_ARATH</v>
      </c>
      <c r="D3934" t="s">
        <v>3538</v>
      </c>
      <c r="E3934" s="3" t="s">
        <v>3</v>
      </c>
      <c r="F3934" s="4">
        <v>0</v>
      </c>
      <c r="G3934" s="3">
        <v>1385</v>
      </c>
      <c r="H3934" s="3">
        <v>77</v>
      </c>
      <c r="I3934" s="3">
        <v>340</v>
      </c>
      <c r="J3934" s="3">
        <v>304</v>
      </c>
      <c r="K3934" s="3">
        <v>1308</v>
      </c>
      <c r="L3934" s="3">
        <v>1</v>
      </c>
      <c r="M3934" s="3">
        <v>337</v>
      </c>
    </row>
    <row r="3935" spans="1:13" x14ac:dyDescent="0.25">
      <c r="A3935" s="1" t="str">
        <f>HYPERLINK("http://www.rosaceae.org/Prunus/Prunus_persica/p.persica_gdr_reftransV1_0033520","p.persica_gdr_reftransV1_0033520")</f>
        <v>p.persica_gdr_reftransV1_0033520</v>
      </c>
      <c r="B3935" s="3">
        <v>3312</v>
      </c>
      <c r="C3935" s="1" t="str">
        <f>HYPERLINK("http://www.uniprot.org/uniprot/CUL4_ARATH","CUL4_ARATH")</f>
        <v>CUL4_ARATH</v>
      </c>
      <c r="D3935" t="s">
        <v>3539</v>
      </c>
      <c r="E3935" s="3" t="s">
        <v>3</v>
      </c>
      <c r="F3935" s="4">
        <v>0</v>
      </c>
      <c r="G3935" s="3">
        <v>2747</v>
      </c>
      <c r="H3935" s="3">
        <v>71</v>
      </c>
      <c r="I3935" s="3">
        <v>805</v>
      </c>
      <c r="J3935" s="3">
        <v>433</v>
      </c>
      <c r="K3935" s="3">
        <v>2847</v>
      </c>
      <c r="L3935" s="3">
        <v>53</v>
      </c>
      <c r="M3935" s="3">
        <v>792</v>
      </c>
    </row>
    <row r="3936" spans="1:13" x14ac:dyDescent="0.25">
      <c r="A3936" s="1" t="str">
        <f>HYPERLINK("http://www.rosaceae.org/Prunus/Prunus_persica/p.persica_gdr_reftransV1_0033820","p.persica_gdr_reftransV1_0033820")</f>
        <v>p.persica_gdr_reftransV1_0033820</v>
      </c>
      <c r="B3936" s="3">
        <v>7361</v>
      </c>
      <c r="C3936" s="1" t="str">
        <f>HYPERLINK("http://www.uniprot.org/uniprot/HTR5B_XENTR","HTR5B_XENTR")</f>
        <v>HTR5B_XENTR</v>
      </c>
      <c r="D3936" t="s">
        <v>3540</v>
      </c>
      <c r="E3936" s="3" t="s">
        <v>173</v>
      </c>
      <c r="F3936" s="4">
        <v>7.7900000000000004E-73</v>
      </c>
      <c r="G3936" s="3">
        <v>704</v>
      </c>
      <c r="H3936" s="3">
        <v>25</v>
      </c>
      <c r="I3936" s="3">
        <v>1343</v>
      </c>
      <c r="J3936" s="3">
        <v>3358</v>
      </c>
      <c r="K3936" s="3">
        <v>7056</v>
      </c>
      <c r="L3936" s="3">
        <v>37</v>
      </c>
      <c r="M3936" s="3">
        <v>1323</v>
      </c>
    </row>
    <row r="3937" spans="1:13" x14ac:dyDescent="0.25">
      <c r="A3937" s="1" t="str">
        <f>HYPERLINK("http://www.rosaceae.org/Prunus/Prunus_persica/p.persica_gdr_reftransV1_0033970","p.persica_gdr_reftransV1_0033970")</f>
        <v>p.persica_gdr_reftransV1_0033970</v>
      </c>
      <c r="B3937" s="3">
        <v>2516</v>
      </c>
      <c r="C3937" s="1" t="str">
        <f>HYPERLINK("http://www.uniprot.org/uniprot/HDA14_ARATH","HDA14_ARATH")</f>
        <v>HDA14_ARATH</v>
      </c>
      <c r="D3937" t="s">
        <v>3541</v>
      </c>
      <c r="E3937" s="3" t="s">
        <v>3</v>
      </c>
      <c r="F3937" s="4">
        <v>6.7799999999999996E-137</v>
      </c>
      <c r="G3937" s="3">
        <v>1080</v>
      </c>
      <c r="H3937" s="3">
        <v>80</v>
      </c>
      <c r="I3937" s="3">
        <v>244</v>
      </c>
      <c r="J3937" s="3">
        <v>1485</v>
      </c>
      <c r="K3937" s="3">
        <v>2216</v>
      </c>
      <c r="L3937" s="3">
        <v>180</v>
      </c>
      <c r="M3937" s="3">
        <v>423</v>
      </c>
    </row>
    <row r="3938" spans="1:13" x14ac:dyDescent="0.25">
      <c r="A3938" s="1" t="str">
        <f>HYPERLINK("http://www.rosaceae.org/Prunus/Prunus_persica/p.persica_gdr_reftransV1_0034020","p.persica_gdr_reftransV1_0034020")</f>
        <v>p.persica_gdr_reftransV1_0034020</v>
      </c>
      <c r="B3938" s="3">
        <v>2240</v>
      </c>
      <c r="C3938" s="1" t="str">
        <f>HYPERLINK("http://www.uniprot.org/uniprot/6PGL1_ARATH","6PGL1_ARATH")</f>
        <v>6PGL1_ARATH</v>
      </c>
      <c r="D3938" t="s">
        <v>3542</v>
      </c>
      <c r="E3938" s="3" t="s">
        <v>3</v>
      </c>
      <c r="F3938" s="4">
        <v>1.1500000000000001E-127</v>
      </c>
      <c r="G3938" s="3">
        <v>995</v>
      </c>
      <c r="H3938" s="3">
        <v>71</v>
      </c>
      <c r="I3938" s="3">
        <v>267</v>
      </c>
      <c r="J3938" s="3">
        <v>737</v>
      </c>
      <c r="K3938" s="3">
        <v>1528</v>
      </c>
      <c r="L3938" s="3">
        <v>1</v>
      </c>
      <c r="M3938" s="3">
        <v>267</v>
      </c>
    </row>
    <row r="3939" spans="1:13" x14ac:dyDescent="0.25">
      <c r="A3939" s="1" t="str">
        <f>HYPERLINK("http://www.rosaceae.org/Prunus/Prunus_persica/p.persica_gdr_reftransV1_0034070","p.persica_gdr_reftransV1_0034070")</f>
        <v>p.persica_gdr_reftransV1_0034070</v>
      </c>
      <c r="B3939" s="3">
        <v>2437</v>
      </c>
      <c r="C3939" s="1" t="str">
        <f>HYPERLINK("http://www.uniprot.org/uniprot/ZCHC8_CHICK","ZCHC8_CHICK")</f>
        <v>ZCHC8_CHICK</v>
      </c>
      <c r="D3939" t="s">
        <v>3543</v>
      </c>
      <c r="E3939" s="3" t="s">
        <v>1278</v>
      </c>
      <c r="F3939" s="4">
        <v>1.1700000000000001E-19</v>
      </c>
      <c r="G3939" s="3">
        <v>241</v>
      </c>
      <c r="H3939" s="3">
        <v>31</v>
      </c>
      <c r="I3939" s="3">
        <v>180</v>
      </c>
      <c r="J3939" s="3">
        <v>1195</v>
      </c>
      <c r="K3939" s="3">
        <v>1734</v>
      </c>
      <c r="L3939" s="3">
        <v>99</v>
      </c>
      <c r="M3939" s="3">
        <v>272</v>
      </c>
    </row>
    <row r="3940" spans="1:13" x14ac:dyDescent="0.25">
      <c r="A3940" s="1" t="str">
        <f>HYPERLINK("http://www.rosaceae.org/Prunus/Prunus_persica/p.persica_gdr_reftransV1_0034470","p.persica_gdr_reftransV1_0034470")</f>
        <v>p.persica_gdr_reftransV1_0034470</v>
      </c>
      <c r="B3940" s="3">
        <v>888</v>
      </c>
      <c r="C3940" s="1" t="str">
        <f>HYPERLINK("http://www.uniprot.org/uniprot/MA658_ARATH","MA658_ARATH")</f>
        <v>MA658_ARATH</v>
      </c>
      <c r="D3940" t="s">
        <v>3544</v>
      </c>
      <c r="E3940" s="3" t="s">
        <v>3</v>
      </c>
      <c r="F3940" s="4">
        <v>2.0999999999999999E-11</v>
      </c>
      <c r="G3940" s="3">
        <v>164</v>
      </c>
      <c r="H3940" s="3">
        <v>49</v>
      </c>
      <c r="I3940" s="3">
        <v>129</v>
      </c>
      <c r="J3940" s="3">
        <v>400</v>
      </c>
      <c r="K3940" s="3">
        <v>783</v>
      </c>
      <c r="L3940" s="3">
        <v>435</v>
      </c>
      <c r="M3940" s="3">
        <v>560</v>
      </c>
    </row>
    <row r="3941" spans="1:13" x14ac:dyDescent="0.25">
      <c r="A3941" s="1" t="str">
        <f>HYPERLINK("http://www.rosaceae.org/Prunus/Prunus_persica/p.persica_gdr_reftransV1_0034620","p.persica_gdr_reftransV1_0034620")</f>
        <v>p.persica_gdr_reftransV1_0034620</v>
      </c>
      <c r="B3941" s="3">
        <v>2304</v>
      </c>
      <c r="C3941" s="1" t="str">
        <f>HYPERLINK("http://www.uniprot.org/uniprot/CP74_LINUS","CP74_LINUS")</f>
        <v>CP74_LINUS</v>
      </c>
      <c r="D3941" t="s">
        <v>3545</v>
      </c>
      <c r="E3941" s="3" t="s">
        <v>3546</v>
      </c>
      <c r="F3941" s="4">
        <v>0</v>
      </c>
      <c r="G3941" s="3">
        <v>1815</v>
      </c>
      <c r="H3941" s="3">
        <v>68</v>
      </c>
      <c r="I3941" s="3">
        <v>498</v>
      </c>
      <c r="J3941" s="3">
        <v>646</v>
      </c>
      <c r="K3941" s="3">
        <v>2118</v>
      </c>
      <c r="L3941" s="3">
        <v>40</v>
      </c>
      <c r="M3941" s="3">
        <v>536</v>
      </c>
    </row>
    <row r="3942" spans="1:13" x14ac:dyDescent="0.25">
      <c r="A3942" s="1" t="str">
        <f>HYPERLINK("http://www.rosaceae.org/Prunus/Prunus_persica/p.persica_gdr_reftransV1_0034920","p.persica_gdr_reftransV1_0034920")</f>
        <v>p.persica_gdr_reftransV1_0034920</v>
      </c>
      <c r="B3942" s="3">
        <v>1992</v>
      </c>
      <c r="C3942" s="1" t="str">
        <f>HYPERLINK("http://www.uniprot.org/uniprot/TRUA_MOUSE","TRUA_MOUSE")</f>
        <v>TRUA_MOUSE</v>
      </c>
      <c r="D3942" t="s">
        <v>3547</v>
      </c>
      <c r="E3942" s="3" t="s">
        <v>157</v>
      </c>
      <c r="F3942" s="4">
        <v>7.8600000000000007E-40</v>
      </c>
      <c r="G3942" s="3">
        <v>392</v>
      </c>
      <c r="H3942" s="3">
        <v>44</v>
      </c>
      <c r="I3942" s="3">
        <v>180</v>
      </c>
      <c r="J3942" s="3">
        <v>1143</v>
      </c>
      <c r="K3942" s="3">
        <v>1676</v>
      </c>
      <c r="L3942" s="3">
        <v>227</v>
      </c>
      <c r="M3942" s="3">
        <v>405</v>
      </c>
    </row>
    <row r="3943" spans="1:13" x14ac:dyDescent="0.25">
      <c r="A3943" s="1" t="str">
        <f>HYPERLINK("http://www.rosaceae.org/Prunus/Prunus_persica/p.persica_gdr_reftransV1_0034970","p.persica_gdr_reftransV1_0034970")</f>
        <v>p.persica_gdr_reftransV1_0034970</v>
      </c>
      <c r="B3943" s="3">
        <v>1951</v>
      </c>
      <c r="C3943" s="1" t="str">
        <f>HYPERLINK("http://www.uniprot.org/uniprot/NTAN1_MOUSE","NTAN1_MOUSE")</f>
        <v>NTAN1_MOUSE</v>
      </c>
      <c r="D3943" t="s">
        <v>3548</v>
      </c>
      <c r="E3943" s="3" t="s">
        <v>157</v>
      </c>
      <c r="F3943" s="4">
        <v>2.7400000000000001E-9</v>
      </c>
      <c r="G3943" s="3">
        <v>151</v>
      </c>
      <c r="H3943" s="3">
        <v>30</v>
      </c>
      <c r="I3943" s="3">
        <v>154</v>
      </c>
      <c r="J3943" s="3">
        <v>692</v>
      </c>
      <c r="K3943" s="3">
        <v>1153</v>
      </c>
      <c r="L3943" s="3">
        <v>114</v>
      </c>
      <c r="M3943" s="3">
        <v>240</v>
      </c>
    </row>
    <row r="3944" spans="1:13" x14ac:dyDescent="0.25">
      <c r="A3944" s="1" t="str">
        <f>HYPERLINK("http://www.rosaceae.org/Prunus/Prunus_persica/p.persica_gdr_reftransV1_0035220","p.persica_gdr_reftransV1_0035220")</f>
        <v>p.persica_gdr_reftransV1_0035220</v>
      </c>
      <c r="B3944" s="3">
        <v>2504</v>
      </c>
      <c r="C3944" s="1" t="str">
        <f>HYPERLINK("http://www.uniprot.org/uniprot/SPSA2_CRAPL","SPSA2_CRAPL")</f>
        <v>SPSA2_CRAPL</v>
      </c>
      <c r="D3944" t="s">
        <v>893</v>
      </c>
      <c r="E3944" s="3" t="s">
        <v>894</v>
      </c>
      <c r="F3944" s="4">
        <v>0</v>
      </c>
      <c r="G3944" s="3">
        <v>3080</v>
      </c>
      <c r="H3944" s="3">
        <v>76</v>
      </c>
      <c r="I3944" s="3">
        <v>752</v>
      </c>
      <c r="J3944" s="3">
        <v>1</v>
      </c>
      <c r="K3944" s="3">
        <v>2253</v>
      </c>
      <c r="L3944" s="3">
        <v>336</v>
      </c>
      <c r="M3944" s="3">
        <v>1081</v>
      </c>
    </row>
    <row r="3945" spans="1:13" x14ac:dyDescent="0.25">
      <c r="A3945" s="1" t="str">
        <f>HYPERLINK("http://www.rosaceae.org/Prunus/Prunus_persica/p.persica_gdr_reftransV1_0036270","p.persica_gdr_reftransV1_0036270")</f>
        <v>p.persica_gdr_reftransV1_0036270</v>
      </c>
      <c r="B3945" s="3">
        <v>2026</v>
      </c>
      <c r="C3945" s="1" t="str">
        <f>HYPERLINK("http://www.uniprot.org/uniprot/AATC_DAUCA","AATC_DAUCA")</f>
        <v>AATC_DAUCA</v>
      </c>
      <c r="D3945" t="s">
        <v>3549</v>
      </c>
      <c r="E3945" s="3" t="s">
        <v>32</v>
      </c>
      <c r="F3945" s="4">
        <v>2.07E-90</v>
      </c>
      <c r="G3945" s="3">
        <v>751</v>
      </c>
      <c r="H3945" s="3">
        <v>78</v>
      </c>
      <c r="I3945" s="3">
        <v>183</v>
      </c>
      <c r="J3945" s="3">
        <v>206</v>
      </c>
      <c r="K3945" s="3">
        <v>754</v>
      </c>
      <c r="L3945" s="3">
        <v>220</v>
      </c>
      <c r="M3945" s="3">
        <v>402</v>
      </c>
    </row>
    <row r="3946" spans="1:13" x14ac:dyDescent="0.25">
      <c r="A3946" s="1" t="str">
        <f>HYPERLINK("http://www.rosaceae.org/Prunus/Prunus_persica/p.persica_gdr_reftransV1_0036570","p.persica_gdr_reftransV1_0036570")</f>
        <v>p.persica_gdr_reftransV1_0036570</v>
      </c>
      <c r="B3946" s="3">
        <v>2151</v>
      </c>
      <c r="C3946" s="1" t="str">
        <f>HYPERLINK("http://www.uniprot.org/uniprot/NFD4_ARATH","NFD4_ARATH")</f>
        <v>NFD4_ARATH</v>
      </c>
      <c r="D3946" t="s">
        <v>404</v>
      </c>
      <c r="E3946" s="3" t="s">
        <v>3</v>
      </c>
      <c r="F3946" s="4">
        <v>7.9400000000000004E-22</v>
      </c>
      <c r="G3946" s="3">
        <v>258</v>
      </c>
      <c r="H3946" s="3">
        <v>27</v>
      </c>
      <c r="I3946" s="3">
        <v>543</v>
      </c>
      <c r="J3946" s="3">
        <v>491</v>
      </c>
      <c r="K3946" s="3">
        <v>2041</v>
      </c>
      <c r="L3946" s="3">
        <v>43</v>
      </c>
      <c r="M3946" s="3">
        <v>565</v>
      </c>
    </row>
    <row r="3947" spans="1:13" x14ac:dyDescent="0.25">
      <c r="A3947" s="1" t="str">
        <f>HYPERLINK("http://www.rosaceae.org/Prunus/Prunus_persica/p.persica_gdr_reftransV1_0037120","p.persica_gdr_reftransV1_0037120")</f>
        <v>p.persica_gdr_reftransV1_0037120</v>
      </c>
      <c r="B3947" s="3">
        <v>2940</v>
      </c>
      <c r="C3947" s="1" t="str">
        <f>HYPERLINK("http://www.uniprot.org/uniprot/ERGI3_BOVIN","ERGI3_BOVIN")</f>
        <v>ERGI3_BOVIN</v>
      </c>
      <c r="D3947" t="s">
        <v>3550</v>
      </c>
      <c r="E3947" s="3" t="s">
        <v>184</v>
      </c>
      <c r="F3947" s="4">
        <v>2.89E-43</v>
      </c>
      <c r="G3947" s="3">
        <v>423</v>
      </c>
      <c r="H3947" s="3">
        <v>49</v>
      </c>
      <c r="I3947" s="3">
        <v>168</v>
      </c>
      <c r="J3947" s="3">
        <v>504</v>
      </c>
      <c r="K3947" s="3">
        <v>995</v>
      </c>
      <c r="L3947" s="3">
        <v>101</v>
      </c>
      <c r="M3947" s="3">
        <v>261</v>
      </c>
    </row>
    <row r="3948" spans="1:13" x14ac:dyDescent="0.25">
      <c r="A3948" s="1" t="str">
        <f>HYPERLINK("http://www.rosaceae.org/Prunus/Prunus_persica/p.persica_gdr_reftransV1_0037220","p.persica_gdr_reftransV1_0037220")</f>
        <v>p.persica_gdr_reftransV1_0037220</v>
      </c>
      <c r="B3948" s="3">
        <v>2715</v>
      </c>
      <c r="C3948" s="1" t="str">
        <f>HYPERLINK("http://www.uniprot.org/uniprot/PAP12_ARATH","PAP12_ARATH")</f>
        <v>PAP12_ARATH</v>
      </c>
      <c r="D3948" t="s">
        <v>3551</v>
      </c>
      <c r="E3948" s="3" t="s">
        <v>3</v>
      </c>
      <c r="F3948" s="4">
        <v>6.3099999999999996E-55</v>
      </c>
      <c r="G3948" s="3">
        <v>509</v>
      </c>
      <c r="H3948" s="3">
        <v>73</v>
      </c>
      <c r="I3948" s="3">
        <v>132</v>
      </c>
      <c r="J3948" s="3">
        <v>744</v>
      </c>
      <c r="K3948" s="3">
        <v>1139</v>
      </c>
      <c r="L3948" s="3">
        <v>175</v>
      </c>
      <c r="M3948" s="3">
        <v>306</v>
      </c>
    </row>
    <row r="3949" spans="1:13" x14ac:dyDescent="0.25">
      <c r="A3949" s="1" t="str">
        <f>HYPERLINK("http://www.rosaceae.org/Prunus/Prunus_persica/p.persica_gdr_reftransV1_0037320","p.persica_gdr_reftransV1_0037320")</f>
        <v>p.persica_gdr_reftransV1_0037320</v>
      </c>
      <c r="B3949" s="3">
        <v>1728</v>
      </c>
      <c r="C3949" s="1" t="str">
        <f>HYPERLINK("http://www.uniprot.org/uniprot/EXOS8_HUMAN","EXOS8_HUMAN")</f>
        <v>EXOS8_HUMAN</v>
      </c>
      <c r="D3949" t="s">
        <v>3552</v>
      </c>
      <c r="E3949" s="3" t="s">
        <v>28</v>
      </c>
      <c r="F3949" s="4">
        <v>3.9200000000000004E-46</v>
      </c>
      <c r="G3949" s="3">
        <v>427</v>
      </c>
      <c r="H3949" s="3">
        <v>34</v>
      </c>
      <c r="I3949" s="3">
        <v>282</v>
      </c>
      <c r="J3949" s="3">
        <v>272</v>
      </c>
      <c r="K3949" s="3">
        <v>1111</v>
      </c>
      <c r="L3949" s="3">
        <v>4</v>
      </c>
      <c r="M3949" s="3">
        <v>274</v>
      </c>
    </row>
    <row r="3950" spans="1:13" x14ac:dyDescent="0.25">
      <c r="A3950" s="1" t="str">
        <f>HYPERLINK("http://www.rosaceae.org/Prunus/Prunus_persica/p.persica_gdr_reftransV1_0037970","p.persica_gdr_reftransV1_0037970")</f>
        <v>p.persica_gdr_reftransV1_0037970</v>
      </c>
      <c r="B3950" s="3">
        <v>1071</v>
      </c>
      <c r="C3950" s="1" t="str">
        <f>HYPERLINK("http://www.uniprot.org/uniprot/PITH1_ARATH","PITH1_ARATH")</f>
        <v>PITH1_ARATH</v>
      </c>
      <c r="D3950" t="s">
        <v>3553</v>
      </c>
      <c r="E3950" s="3" t="s">
        <v>3</v>
      </c>
      <c r="F3950" s="4">
        <v>1.49E-97</v>
      </c>
      <c r="G3950" s="3">
        <v>751</v>
      </c>
      <c r="H3950" s="3">
        <v>86</v>
      </c>
      <c r="I3950" s="3">
        <v>167</v>
      </c>
      <c r="J3950" s="3">
        <v>410</v>
      </c>
      <c r="K3950" s="3">
        <v>910</v>
      </c>
      <c r="L3950" s="3">
        <v>9</v>
      </c>
      <c r="M3950" s="3">
        <v>175</v>
      </c>
    </row>
    <row r="3951" spans="1:13" x14ac:dyDescent="0.25">
      <c r="A3951" s="1" t="str">
        <f>HYPERLINK("http://www.rosaceae.org/Prunus/Prunus_persica/p.persica_gdr_reftransV1_0038520","p.persica_gdr_reftransV1_0038520")</f>
        <v>p.persica_gdr_reftransV1_0038520</v>
      </c>
      <c r="B3951" s="3">
        <v>4380</v>
      </c>
      <c r="C3951" s="1" t="str">
        <f>HYPERLINK("http://www.uniprot.org/uniprot/Y9955_DICDI","Y9955_DICDI")</f>
        <v>Y9955_DICDI</v>
      </c>
      <c r="D3951" t="s">
        <v>3554</v>
      </c>
      <c r="E3951" s="3" t="s">
        <v>9</v>
      </c>
      <c r="F3951" s="4">
        <v>2.7199999999999999E-39</v>
      </c>
      <c r="G3951" s="3">
        <v>315</v>
      </c>
      <c r="H3951" s="3">
        <v>45</v>
      </c>
      <c r="I3951" s="3">
        <v>125</v>
      </c>
      <c r="J3951" s="3">
        <v>2418</v>
      </c>
      <c r="K3951" s="3">
        <v>2792</v>
      </c>
      <c r="L3951" s="3">
        <v>733</v>
      </c>
      <c r="M3951" s="3">
        <v>856</v>
      </c>
    </row>
    <row r="3952" spans="1:13" x14ac:dyDescent="0.25">
      <c r="A3952" s="1" t="str">
        <f>HYPERLINK("http://www.rosaceae.org/Prunus/Prunus_persica/p.persica_gdr_reftransV1_0038620","p.persica_gdr_reftransV1_0038620")</f>
        <v>p.persica_gdr_reftransV1_0038620</v>
      </c>
      <c r="B3952" s="3">
        <v>3566</v>
      </c>
      <c r="C3952" s="1" t="str">
        <f>HYPERLINK("http://www.uniprot.org/uniprot/RSH3C_ARATH","RSH3C_ARATH")</f>
        <v>RSH3C_ARATH</v>
      </c>
      <c r="D3952" t="s">
        <v>3171</v>
      </c>
      <c r="E3952" s="3" t="s">
        <v>3</v>
      </c>
      <c r="F3952" s="4">
        <v>7.9800000000000003E-38</v>
      </c>
      <c r="G3952" s="3">
        <v>394</v>
      </c>
      <c r="H3952" s="3">
        <v>50</v>
      </c>
      <c r="I3952" s="3">
        <v>187</v>
      </c>
      <c r="J3952" s="3">
        <v>208</v>
      </c>
      <c r="K3952" s="3">
        <v>768</v>
      </c>
      <c r="L3952" s="3">
        <v>214</v>
      </c>
      <c r="M3952" s="3">
        <v>388</v>
      </c>
    </row>
    <row r="3953" spans="1:13" x14ac:dyDescent="0.25">
      <c r="A3953" s="1" t="str">
        <f>HYPERLINK("http://www.rosaceae.org/Prunus/Prunus_persica/p.persica_gdr_reftransV1_0038670","p.persica_gdr_reftransV1_0038670")</f>
        <v>p.persica_gdr_reftransV1_0038670</v>
      </c>
      <c r="B3953" s="3">
        <v>2969</v>
      </c>
      <c r="C3953" s="1" t="str">
        <f>HYPERLINK("http://www.uniprot.org/uniprot/GAUT7_ARATH","GAUT7_ARATH")</f>
        <v>GAUT7_ARATH</v>
      </c>
      <c r="D3953" t="s">
        <v>3555</v>
      </c>
      <c r="E3953" s="3" t="s">
        <v>3</v>
      </c>
      <c r="F3953" s="4">
        <v>0</v>
      </c>
      <c r="G3953" s="3">
        <v>1653</v>
      </c>
      <c r="H3953" s="3">
        <v>57</v>
      </c>
      <c r="I3953" s="3">
        <v>622</v>
      </c>
      <c r="J3953" s="3">
        <v>598</v>
      </c>
      <c r="K3953" s="3">
        <v>2448</v>
      </c>
      <c r="L3953" s="3">
        <v>15</v>
      </c>
      <c r="M3953" s="3">
        <v>618</v>
      </c>
    </row>
    <row r="3954" spans="1:13" x14ac:dyDescent="0.25">
      <c r="A3954" s="1" t="str">
        <f>HYPERLINK("http://www.rosaceae.org/Prunus/Prunus_persica/p.persica_gdr_reftransV1_0039070","p.persica_gdr_reftransV1_0039070")</f>
        <v>p.persica_gdr_reftransV1_0039070</v>
      </c>
      <c r="B3954" s="3">
        <v>1509</v>
      </c>
      <c r="C3954" s="1" t="str">
        <f>HYPERLINK("http://www.uniprot.org/uniprot/SCRK7_ARATH","SCRK7_ARATH")</f>
        <v>SCRK7_ARATH</v>
      </c>
      <c r="D3954" t="s">
        <v>3556</v>
      </c>
      <c r="E3954" s="3" t="s">
        <v>3</v>
      </c>
      <c r="F3954" s="4">
        <v>1.4399999999999999E-176</v>
      </c>
      <c r="G3954" s="3">
        <v>1306</v>
      </c>
      <c r="H3954" s="3">
        <v>83</v>
      </c>
      <c r="I3954" s="3">
        <v>323</v>
      </c>
      <c r="J3954" s="3">
        <v>319</v>
      </c>
      <c r="K3954" s="3">
        <v>1287</v>
      </c>
      <c r="L3954" s="3">
        <v>17</v>
      </c>
      <c r="M3954" s="3">
        <v>339</v>
      </c>
    </row>
    <row r="3955" spans="1:13" x14ac:dyDescent="0.25">
      <c r="A3955" s="1" t="str">
        <f>HYPERLINK("http://www.rosaceae.org/Prunus/Prunus_persica/p.persica_gdr_reftransV1_0039270","p.persica_gdr_reftransV1_0039270")</f>
        <v>p.persica_gdr_reftransV1_0039270</v>
      </c>
      <c r="B3955" s="3">
        <v>1502</v>
      </c>
      <c r="C3955" s="1" t="str">
        <f>HYPERLINK("http://www.uniprot.org/uniprot/PSMD9_YEAST","PSMD9_YEAST")</f>
        <v>PSMD9_YEAST</v>
      </c>
      <c r="D3955" t="s">
        <v>3557</v>
      </c>
      <c r="E3955" s="3" t="s">
        <v>34</v>
      </c>
      <c r="F3955" s="4">
        <v>2.69E-10</v>
      </c>
      <c r="G3955" s="3">
        <v>154</v>
      </c>
      <c r="H3955" s="3">
        <v>33</v>
      </c>
      <c r="I3955" s="3">
        <v>89</v>
      </c>
      <c r="J3955" s="3">
        <v>398</v>
      </c>
      <c r="K3955" s="3">
        <v>658</v>
      </c>
      <c r="L3955" s="3">
        <v>132</v>
      </c>
      <c r="M3955" s="3">
        <v>220</v>
      </c>
    </row>
    <row r="3956" spans="1:13" x14ac:dyDescent="0.25">
      <c r="A3956" s="1" t="str">
        <f>HYPERLINK("http://www.rosaceae.org/Prunus/Prunus_persica/p.persica_gdr_reftransV1_0039370","p.persica_gdr_reftransV1_0039370")</f>
        <v>p.persica_gdr_reftransV1_0039370</v>
      </c>
      <c r="B3956" s="3">
        <v>1587</v>
      </c>
      <c r="C3956" s="1" t="str">
        <f>HYPERLINK("http://www.uniprot.org/uniprot/NOP56_SCHPO","NOP56_SCHPO")</f>
        <v>NOP56_SCHPO</v>
      </c>
      <c r="D3956" t="s">
        <v>3558</v>
      </c>
      <c r="E3956" s="3" t="s">
        <v>464</v>
      </c>
      <c r="F3956" s="4">
        <v>2.3399999999999999E-162</v>
      </c>
      <c r="G3956" s="3">
        <v>1229</v>
      </c>
      <c r="H3956" s="3">
        <v>61</v>
      </c>
      <c r="I3956" s="3">
        <v>384</v>
      </c>
      <c r="J3956" s="3">
        <v>164</v>
      </c>
      <c r="K3956" s="3">
        <v>1309</v>
      </c>
      <c r="L3956" s="3">
        <v>1</v>
      </c>
      <c r="M3956" s="3">
        <v>382</v>
      </c>
    </row>
    <row r="3957" spans="1:13" x14ac:dyDescent="0.25">
      <c r="A3957" s="1" t="str">
        <f>HYPERLINK("http://www.rosaceae.org/Prunus/Prunus_persica/p.persica_gdr_reftransV1_0039570","p.persica_gdr_reftransV1_0039570")</f>
        <v>p.persica_gdr_reftransV1_0039570</v>
      </c>
      <c r="B3957" s="3">
        <v>1142</v>
      </c>
      <c r="C3957" s="1" t="str">
        <f>HYPERLINK("http://www.uniprot.org/uniprot/NS1BA_DANRE","NS1BA_DANRE")</f>
        <v>NS1BA_DANRE</v>
      </c>
      <c r="D3957" t="s">
        <v>3559</v>
      </c>
      <c r="E3957" s="3" t="s">
        <v>704</v>
      </c>
      <c r="F3957" s="4">
        <v>4.93E-39</v>
      </c>
      <c r="G3957" s="3">
        <v>381</v>
      </c>
      <c r="H3957" s="3">
        <v>33</v>
      </c>
      <c r="I3957" s="3">
        <v>262</v>
      </c>
      <c r="J3957" s="3">
        <v>235</v>
      </c>
      <c r="K3957" s="3">
        <v>1011</v>
      </c>
      <c r="L3957" s="3">
        <v>367</v>
      </c>
      <c r="M3957" s="3">
        <v>627</v>
      </c>
    </row>
    <row r="3958" spans="1:13" x14ac:dyDescent="0.25">
      <c r="A3958" s="1" t="str">
        <f>HYPERLINK("http://www.rosaceae.org/Prunus/Prunus_persica/p.persica_gdr_reftransV1_0039770","p.persica_gdr_reftransV1_0039770")</f>
        <v>p.persica_gdr_reftransV1_0039770</v>
      </c>
      <c r="B3958" s="3">
        <v>1046</v>
      </c>
      <c r="C3958" s="1" t="str">
        <f>HYPERLINK("http://www.uniprot.org/uniprot/GAT28_ARATH","GAT28_ARATH")</f>
        <v>GAT28_ARATH</v>
      </c>
      <c r="D3958" t="s">
        <v>3560</v>
      </c>
      <c r="E3958" s="3" t="s">
        <v>3</v>
      </c>
      <c r="F3958" s="4">
        <v>9.8200000000000001E-88</v>
      </c>
      <c r="G3958" s="3">
        <v>697</v>
      </c>
      <c r="H3958" s="3">
        <v>60</v>
      </c>
      <c r="I3958" s="3">
        <v>240</v>
      </c>
      <c r="J3958" s="3">
        <v>349</v>
      </c>
      <c r="K3958" s="3">
        <v>1044</v>
      </c>
      <c r="L3958" s="3">
        <v>1</v>
      </c>
      <c r="M3958" s="3">
        <v>235</v>
      </c>
    </row>
    <row r="3959" spans="1:13" x14ac:dyDescent="0.25">
      <c r="A3959" s="1" t="str">
        <f>HYPERLINK("http://www.rosaceae.org/Prunus/Prunus_persica/p.persica_gdr_reftransV1_0039920","p.persica_gdr_reftransV1_0039920")</f>
        <v>p.persica_gdr_reftransV1_0039920</v>
      </c>
      <c r="B3959" s="3">
        <v>1796</v>
      </c>
      <c r="C3959" s="1" t="str">
        <f>HYPERLINK("http://www.uniprot.org/uniprot/SARD1_ARATH","SARD1_ARATH")</f>
        <v>SARD1_ARATH</v>
      </c>
      <c r="D3959" t="s">
        <v>3561</v>
      </c>
      <c r="E3959" s="3" t="s">
        <v>3</v>
      </c>
      <c r="F3959" s="4">
        <v>9.1500000000000002E-146</v>
      </c>
      <c r="G3959" s="3">
        <v>1121</v>
      </c>
      <c r="H3959" s="3">
        <v>51</v>
      </c>
      <c r="I3959" s="3">
        <v>472</v>
      </c>
      <c r="J3959" s="3">
        <v>313</v>
      </c>
      <c r="K3959" s="3">
        <v>1698</v>
      </c>
      <c r="L3959" s="3">
        <v>1</v>
      </c>
      <c r="M3959" s="3">
        <v>451</v>
      </c>
    </row>
    <row r="3960" spans="1:13" x14ac:dyDescent="0.25">
      <c r="A3960" s="1" t="str">
        <f>HYPERLINK("http://www.rosaceae.org/Prunus/Prunus_persica/p.persica_gdr_reftransV1_0040220","p.persica_gdr_reftransV1_0040220")</f>
        <v>p.persica_gdr_reftransV1_0040220</v>
      </c>
      <c r="B3960" s="3">
        <v>4916</v>
      </c>
      <c r="C3960" s="1" t="str">
        <f>HYPERLINK("http://www.uniprot.org/uniprot/CHR8_ARATH","CHR8_ARATH")</f>
        <v>CHR8_ARATH</v>
      </c>
      <c r="D3960" t="s">
        <v>3562</v>
      </c>
      <c r="E3960" s="3" t="s">
        <v>3</v>
      </c>
      <c r="F3960" s="4">
        <v>0</v>
      </c>
      <c r="G3960" s="3">
        <v>3774</v>
      </c>
      <c r="H3960" s="3">
        <v>67</v>
      </c>
      <c r="I3960" s="3">
        <v>1224</v>
      </c>
      <c r="J3960" s="3">
        <v>474</v>
      </c>
      <c r="K3960" s="3">
        <v>4118</v>
      </c>
      <c r="L3960" s="3">
        <v>1</v>
      </c>
      <c r="M3960" s="3">
        <v>1185</v>
      </c>
    </row>
    <row r="3961" spans="1:13" x14ac:dyDescent="0.25">
      <c r="A3961" s="1" t="str">
        <f>HYPERLINK("http://www.rosaceae.org/Prunus/Prunus_persica/p.persica_gdr_reftransV1_0040270","p.persica_gdr_reftransV1_0040270")</f>
        <v>p.persica_gdr_reftransV1_0040270</v>
      </c>
      <c r="B3961" s="3">
        <v>456</v>
      </c>
      <c r="C3961" s="1" t="str">
        <f>HYPERLINK("http://www.uniprot.org/uniprot/Y4885_ARATH","Y4885_ARATH")</f>
        <v>Y4885_ARATH</v>
      </c>
      <c r="D3961" t="s">
        <v>468</v>
      </c>
      <c r="E3961" s="3" t="s">
        <v>3</v>
      </c>
      <c r="F3961" s="4">
        <v>2.08E-19</v>
      </c>
      <c r="G3961" s="3">
        <v>220</v>
      </c>
      <c r="H3961" s="3">
        <v>43</v>
      </c>
      <c r="I3961" s="3">
        <v>121</v>
      </c>
      <c r="J3961" s="3">
        <v>2</v>
      </c>
      <c r="K3961" s="3">
        <v>352</v>
      </c>
      <c r="L3961" s="3">
        <v>19</v>
      </c>
      <c r="M3961" s="3">
        <v>130</v>
      </c>
    </row>
    <row r="3962" spans="1:13" x14ac:dyDescent="0.25">
      <c r="A3962" s="1" t="str">
        <f>HYPERLINK("http://www.rosaceae.org/Prunus/Prunus_persica/p.persica_gdr_reftransV1_0040470","p.persica_gdr_reftransV1_0040470")</f>
        <v>p.persica_gdr_reftransV1_0040470</v>
      </c>
      <c r="B3962" s="3">
        <v>2517</v>
      </c>
      <c r="C3962" s="1" t="str">
        <f>HYPERLINK("http://www.uniprot.org/uniprot/MPCP2_ARATH","MPCP2_ARATH")</f>
        <v>MPCP2_ARATH</v>
      </c>
      <c r="D3962" t="s">
        <v>3563</v>
      </c>
      <c r="E3962" s="3" t="s">
        <v>3</v>
      </c>
      <c r="F3962" s="4">
        <v>5.5599999999999999E-151</v>
      </c>
      <c r="G3962" s="3">
        <v>1168</v>
      </c>
      <c r="H3962" s="3">
        <v>77</v>
      </c>
      <c r="I3962" s="3">
        <v>270</v>
      </c>
      <c r="J3962" s="3">
        <v>467</v>
      </c>
      <c r="K3962" s="3">
        <v>1276</v>
      </c>
      <c r="L3962" s="3">
        <v>85</v>
      </c>
      <c r="M3962" s="3">
        <v>354</v>
      </c>
    </row>
    <row r="3963" spans="1:13" x14ac:dyDescent="0.25">
      <c r="A3963" s="1" t="str">
        <f>HYPERLINK("http://www.rosaceae.org/Prunus/Prunus_persica/p.persica_gdr_reftransV1_0040570","p.persica_gdr_reftransV1_0040570")</f>
        <v>p.persica_gdr_reftransV1_0040570</v>
      </c>
      <c r="B3963" s="3">
        <v>2821</v>
      </c>
      <c r="C3963" s="1" t="str">
        <f>HYPERLINK("http://www.uniprot.org/uniprot/PMT2_ARATH","PMT2_ARATH")</f>
        <v>PMT2_ARATH</v>
      </c>
      <c r="D3963" t="s">
        <v>2767</v>
      </c>
      <c r="E3963" s="3" t="s">
        <v>3</v>
      </c>
      <c r="F3963" s="4">
        <v>0</v>
      </c>
      <c r="G3963" s="3">
        <v>2624</v>
      </c>
      <c r="H3963" s="3">
        <v>80</v>
      </c>
      <c r="I3963" s="3">
        <v>618</v>
      </c>
      <c r="J3963" s="3">
        <v>342</v>
      </c>
      <c r="K3963" s="3">
        <v>2189</v>
      </c>
      <c r="L3963" s="3">
        <v>1</v>
      </c>
      <c r="M3963" s="3">
        <v>615</v>
      </c>
    </row>
    <row r="3964" spans="1:13" x14ac:dyDescent="0.25">
      <c r="A3964" s="1" t="str">
        <f>HYPERLINK("http://www.rosaceae.org/Prunus/Prunus_persica/p.persica_gdr_reftransV1_0040620","p.persica_gdr_reftransV1_0040620")</f>
        <v>p.persica_gdr_reftransV1_0040620</v>
      </c>
      <c r="B3964" s="3">
        <v>1346</v>
      </c>
      <c r="C3964" s="1" t="str">
        <f>HYPERLINK("http://www.uniprot.org/uniprot/RRP1B_HUMAN","RRP1B_HUMAN")</f>
        <v>RRP1B_HUMAN</v>
      </c>
      <c r="D3964" t="s">
        <v>3564</v>
      </c>
      <c r="E3964" s="3" t="s">
        <v>28</v>
      </c>
      <c r="F3964" s="4">
        <v>2.2300000000000001E-22</v>
      </c>
      <c r="G3964" s="3">
        <v>258</v>
      </c>
      <c r="H3964" s="3">
        <v>31</v>
      </c>
      <c r="I3964" s="3">
        <v>261</v>
      </c>
      <c r="J3964" s="3">
        <v>265</v>
      </c>
      <c r="K3964" s="3">
        <v>1008</v>
      </c>
      <c r="L3964" s="3">
        <v>10</v>
      </c>
      <c r="M3964" s="3">
        <v>268</v>
      </c>
    </row>
    <row r="3965" spans="1:13" x14ac:dyDescent="0.25">
      <c r="A3965" s="1" t="str">
        <f>HYPERLINK("http://www.rosaceae.org/Prunus/Prunus_persica/p.persica_gdr_reftransV1_0041220","p.persica_gdr_reftransV1_0041220")</f>
        <v>p.persica_gdr_reftransV1_0041220</v>
      </c>
      <c r="B3965" s="3">
        <v>2536</v>
      </c>
      <c r="C3965" s="1" t="str">
        <f>HYPERLINK("http://www.uniprot.org/uniprot/RAE1C_ARATH","RAE1C_ARATH")</f>
        <v>RAE1C_ARATH</v>
      </c>
      <c r="D3965" t="s">
        <v>3565</v>
      </c>
      <c r="E3965" s="3" t="s">
        <v>3</v>
      </c>
      <c r="F3965" s="4">
        <v>1.45E-72</v>
      </c>
      <c r="G3965" s="3">
        <v>619</v>
      </c>
      <c r="H3965" s="3">
        <v>91</v>
      </c>
      <c r="I3965" s="3">
        <v>134</v>
      </c>
      <c r="J3965" s="3">
        <v>382</v>
      </c>
      <c r="K3965" s="3">
        <v>783</v>
      </c>
      <c r="L3965" s="3">
        <v>83</v>
      </c>
      <c r="M3965" s="3">
        <v>216</v>
      </c>
    </row>
    <row r="3966" spans="1:13" x14ac:dyDescent="0.25">
      <c r="A3966" s="1" t="str">
        <f>HYPERLINK("http://www.rosaceae.org/Prunus/Prunus_persica/p.persica_gdr_reftransV1_0041520","p.persica_gdr_reftransV1_0041520")</f>
        <v>p.persica_gdr_reftransV1_0041520</v>
      </c>
      <c r="B3966" s="3">
        <v>3339</v>
      </c>
      <c r="C3966" s="1" t="str">
        <f>HYPERLINK("http://www.uniprot.org/uniprot/CTR1_ARATH","CTR1_ARATH")</f>
        <v>CTR1_ARATH</v>
      </c>
      <c r="D3966" t="s">
        <v>3566</v>
      </c>
      <c r="E3966" s="3" t="s">
        <v>3</v>
      </c>
      <c r="F3966" s="4">
        <v>1.9900000000000001E-26</v>
      </c>
      <c r="G3966" s="3">
        <v>302</v>
      </c>
      <c r="H3966" s="3">
        <v>32</v>
      </c>
      <c r="I3966" s="3">
        <v>265</v>
      </c>
      <c r="J3966" s="3">
        <v>1577</v>
      </c>
      <c r="K3966" s="3">
        <v>2344</v>
      </c>
      <c r="L3966" s="3">
        <v>550</v>
      </c>
      <c r="M3966" s="3">
        <v>767</v>
      </c>
    </row>
    <row r="3967" spans="1:13" x14ac:dyDescent="0.25">
      <c r="A3967" s="1" t="str">
        <f>HYPERLINK("http://www.rosaceae.org/Prunus/Prunus_persica/p.persica_gdr_reftransV1_0041570","p.persica_gdr_reftransV1_0041570")</f>
        <v>p.persica_gdr_reftransV1_0041570</v>
      </c>
      <c r="B3967" s="3">
        <v>3711</v>
      </c>
      <c r="C3967" s="1" t="str">
        <f>HYPERLINK("http://www.uniprot.org/uniprot/SRAC1_BOVIN","SRAC1_BOVIN")</f>
        <v>SRAC1_BOVIN</v>
      </c>
      <c r="D3967" t="s">
        <v>3567</v>
      </c>
      <c r="E3967" s="3" t="s">
        <v>184</v>
      </c>
      <c r="F3967" s="4">
        <v>6.4099999999999999E-46</v>
      </c>
      <c r="G3967" s="3">
        <v>458</v>
      </c>
      <c r="H3967" s="3">
        <v>38</v>
      </c>
      <c r="I3967" s="3">
        <v>279</v>
      </c>
      <c r="J3967" s="3">
        <v>2310</v>
      </c>
      <c r="K3967" s="3">
        <v>3128</v>
      </c>
      <c r="L3967" s="3">
        <v>383</v>
      </c>
      <c r="M3967" s="3">
        <v>650</v>
      </c>
    </row>
    <row r="3968" spans="1:13" x14ac:dyDescent="0.25">
      <c r="A3968" s="1" t="str">
        <f>HYPERLINK("http://www.rosaceae.org/Prunus/Prunus_persica/p.persica_gdr_reftransV1_0041770","p.persica_gdr_reftransV1_0041770")</f>
        <v>p.persica_gdr_reftransV1_0041770</v>
      </c>
      <c r="B3968" s="3">
        <v>1594</v>
      </c>
      <c r="C3968" s="1" t="str">
        <f>HYPERLINK("http://www.uniprot.org/uniprot/FANCL_HUMAN","FANCL_HUMAN")</f>
        <v>FANCL_HUMAN</v>
      </c>
      <c r="D3968" t="s">
        <v>2713</v>
      </c>
      <c r="E3968" s="3" t="s">
        <v>28</v>
      </c>
      <c r="F3968" s="4">
        <v>6.1999999999999997E-26</v>
      </c>
      <c r="G3968" s="3">
        <v>281</v>
      </c>
      <c r="H3968" s="3">
        <v>40</v>
      </c>
      <c r="I3968" s="3">
        <v>133</v>
      </c>
      <c r="J3968" s="3">
        <v>706</v>
      </c>
      <c r="K3968" s="3">
        <v>1104</v>
      </c>
      <c r="L3968" s="3">
        <v>251</v>
      </c>
      <c r="M3968" s="3">
        <v>374</v>
      </c>
    </row>
    <row r="3969" spans="1:13" x14ac:dyDescent="0.25">
      <c r="A3969" s="1" t="str">
        <f>HYPERLINK("http://www.rosaceae.org/Prunus/Prunus_persica/p.persica_gdr_reftransV1_0042170","p.persica_gdr_reftransV1_0042170")</f>
        <v>p.persica_gdr_reftransV1_0042170</v>
      </c>
      <c r="B3969" s="3">
        <v>3328</v>
      </c>
      <c r="C3969" s="1" t="str">
        <f>HYPERLINK("http://www.uniprot.org/uniprot/YODA_ARATH","YODA_ARATH")</f>
        <v>YODA_ARATH</v>
      </c>
      <c r="D3969" t="s">
        <v>2168</v>
      </c>
      <c r="E3969" s="3" t="s">
        <v>3</v>
      </c>
      <c r="F3969" s="4">
        <v>1.64E-79</v>
      </c>
      <c r="G3969" s="3">
        <v>727</v>
      </c>
      <c r="H3969" s="3">
        <v>62</v>
      </c>
      <c r="I3969" s="3">
        <v>224</v>
      </c>
      <c r="J3969" s="3">
        <v>805</v>
      </c>
      <c r="K3969" s="3">
        <v>1470</v>
      </c>
      <c r="L3969" s="3">
        <v>447</v>
      </c>
      <c r="M3969" s="3">
        <v>663</v>
      </c>
    </row>
    <row r="3970" spans="1:13" x14ac:dyDescent="0.25">
      <c r="A3970" s="1" t="str">
        <f>HYPERLINK("http://www.rosaceae.org/Prunus/Prunus_persica/p.persica_gdr_reftransV1_0042270","p.persica_gdr_reftransV1_0042270")</f>
        <v>p.persica_gdr_reftransV1_0042270</v>
      </c>
      <c r="B3970" s="3">
        <v>428</v>
      </c>
      <c r="C3970" s="1" t="str">
        <f>HYPERLINK("http://www.uniprot.org/uniprot/LRKS7_ARATH","LRKS7_ARATH")</f>
        <v>LRKS7_ARATH</v>
      </c>
      <c r="D3970" t="s">
        <v>489</v>
      </c>
      <c r="E3970" s="3" t="s">
        <v>3</v>
      </c>
      <c r="F3970" s="4">
        <v>9.5099999999999994E-66</v>
      </c>
      <c r="G3970" s="3">
        <v>553</v>
      </c>
      <c r="H3970" s="3">
        <v>72</v>
      </c>
      <c r="I3970" s="3">
        <v>141</v>
      </c>
      <c r="J3970" s="3">
        <v>8</v>
      </c>
      <c r="K3970" s="3">
        <v>427</v>
      </c>
      <c r="L3970" s="3">
        <v>315</v>
      </c>
      <c r="M3970" s="3">
        <v>455</v>
      </c>
    </row>
    <row r="3971" spans="1:13" x14ac:dyDescent="0.25">
      <c r="A3971" s="1" t="str">
        <f>HYPERLINK("http://www.rosaceae.org/Prunus/Prunus_persica/p.persica_gdr_reftransV1_0042720","p.persica_gdr_reftransV1_0042720")</f>
        <v>p.persica_gdr_reftransV1_0042720</v>
      </c>
      <c r="B3971" s="3">
        <v>1780</v>
      </c>
      <c r="C3971" s="1" t="str">
        <f>HYPERLINK("http://www.uniprot.org/uniprot/HSFA1_ORYSJ","HSFA1_ORYSJ")</f>
        <v>HSFA1_ORYSJ</v>
      </c>
      <c r="D3971" t="s">
        <v>3568</v>
      </c>
      <c r="E3971" s="3" t="s">
        <v>38</v>
      </c>
      <c r="F3971" s="4">
        <v>2.62E-103</v>
      </c>
      <c r="G3971" s="3">
        <v>841</v>
      </c>
      <c r="H3971" s="3">
        <v>51</v>
      </c>
      <c r="I3971" s="3">
        <v>450</v>
      </c>
      <c r="J3971" s="3">
        <v>455</v>
      </c>
      <c r="K3971" s="3">
        <v>1780</v>
      </c>
      <c r="L3971" s="3">
        <v>73</v>
      </c>
      <c r="M3971" s="3">
        <v>501</v>
      </c>
    </row>
    <row r="3972" spans="1:13" x14ac:dyDescent="0.25">
      <c r="A3972" s="1" t="str">
        <f>HYPERLINK("http://www.rosaceae.org/Prunus/Prunus_persica/p.persica_gdr_reftransV1_0042870","p.persica_gdr_reftransV1_0042870")</f>
        <v>p.persica_gdr_reftransV1_0042870</v>
      </c>
      <c r="B3972" s="3">
        <v>735</v>
      </c>
      <c r="C3972" s="1" t="str">
        <f>HYPERLINK("http://www.uniprot.org/uniprot/CSA1_ARATH","CSA1_ARATH")</f>
        <v>CSA1_ARATH</v>
      </c>
      <c r="D3972" t="s">
        <v>3569</v>
      </c>
      <c r="E3972" s="3" t="s">
        <v>3</v>
      </c>
      <c r="F3972" s="4">
        <v>6.9599999999999996E-13</v>
      </c>
      <c r="G3972" s="3">
        <v>174</v>
      </c>
      <c r="H3972" s="3">
        <v>31</v>
      </c>
      <c r="I3972" s="3">
        <v>194</v>
      </c>
      <c r="J3972" s="3">
        <v>71</v>
      </c>
      <c r="K3972" s="3">
        <v>487</v>
      </c>
      <c r="L3972" s="3">
        <v>711</v>
      </c>
      <c r="M3972" s="3">
        <v>903</v>
      </c>
    </row>
    <row r="3973" spans="1:13" x14ac:dyDescent="0.25">
      <c r="A3973" s="1" t="str">
        <f>HYPERLINK("http://www.rosaceae.org/Prunus/Prunus_persica/p.persica_gdr_reftransV1_0043070","p.persica_gdr_reftransV1_0043070")</f>
        <v>p.persica_gdr_reftransV1_0043070</v>
      </c>
      <c r="B3973" s="3">
        <v>392</v>
      </c>
      <c r="C3973" s="1" t="str">
        <f>HYPERLINK("http://www.uniprot.org/uniprot/RGA2_SOLBU","RGA2_SOLBU")</f>
        <v>RGA2_SOLBU</v>
      </c>
      <c r="D3973" t="s">
        <v>925</v>
      </c>
      <c r="E3973" s="3" t="s">
        <v>560</v>
      </c>
      <c r="F3973" s="4">
        <v>2.8399999999999998E-16</v>
      </c>
      <c r="G3973" s="3">
        <v>194</v>
      </c>
      <c r="H3973" s="3">
        <v>42</v>
      </c>
      <c r="I3973" s="3">
        <v>90</v>
      </c>
      <c r="J3973" s="3">
        <v>46</v>
      </c>
      <c r="K3973" s="3">
        <v>315</v>
      </c>
      <c r="L3973" s="3">
        <v>140</v>
      </c>
      <c r="M3973" s="3">
        <v>228</v>
      </c>
    </row>
    <row r="3974" spans="1:13" x14ac:dyDescent="0.25">
      <c r="A3974" s="1" t="str">
        <f>HYPERLINK("http://www.rosaceae.org/Prunus/Prunus_persica/p.persica_gdr_reftransV1_0043120","p.persica_gdr_reftransV1_0043120")</f>
        <v>p.persica_gdr_reftransV1_0043120</v>
      </c>
      <c r="B3974" s="3">
        <v>1404</v>
      </c>
      <c r="C3974" s="1" t="str">
        <f>HYPERLINK("http://www.uniprot.org/uniprot/EB1C_ARATH","EB1C_ARATH")</f>
        <v>EB1C_ARATH</v>
      </c>
      <c r="D3974" t="s">
        <v>3570</v>
      </c>
      <c r="E3974" s="3" t="s">
        <v>3</v>
      </c>
      <c r="F3974" s="4">
        <v>1.0399999999999999E-145</v>
      </c>
      <c r="G3974" s="3">
        <v>1097</v>
      </c>
      <c r="H3974" s="3">
        <v>66</v>
      </c>
      <c r="I3974" s="3">
        <v>340</v>
      </c>
      <c r="J3974" s="3">
        <v>282</v>
      </c>
      <c r="K3974" s="3">
        <v>1271</v>
      </c>
      <c r="L3974" s="3">
        <v>1</v>
      </c>
      <c r="M3974" s="3">
        <v>328</v>
      </c>
    </row>
    <row r="3975" spans="1:13" x14ac:dyDescent="0.25">
      <c r="A3975" s="1" t="str">
        <f>HYPERLINK("http://www.rosaceae.org/Prunus/Prunus_persica/p.persica_gdr_reftransV1_0043170","p.persica_gdr_reftransV1_0043170")</f>
        <v>p.persica_gdr_reftransV1_0043170</v>
      </c>
      <c r="B3975" s="3">
        <v>1677</v>
      </c>
      <c r="C3975" s="1" t="str">
        <f>HYPERLINK("http://www.uniprot.org/uniprot/PXMP2_BOVIN","PXMP2_BOVIN")</f>
        <v>PXMP2_BOVIN</v>
      </c>
      <c r="D3975" t="s">
        <v>3571</v>
      </c>
      <c r="E3975" s="3" t="s">
        <v>184</v>
      </c>
      <c r="F3975" s="4">
        <v>1.21E-19</v>
      </c>
      <c r="G3975" s="3">
        <v>227</v>
      </c>
      <c r="H3975" s="3">
        <v>29</v>
      </c>
      <c r="I3975" s="3">
        <v>176</v>
      </c>
      <c r="J3975" s="3">
        <v>558</v>
      </c>
      <c r="K3975" s="3">
        <v>1070</v>
      </c>
      <c r="L3975" s="3">
        <v>18</v>
      </c>
      <c r="M3975" s="3">
        <v>193</v>
      </c>
    </row>
    <row r="3976" spans="1:13" x14ac:dyDescent="0.25">
      <c r="A3976" s="1" t="str">
        <f>HYPERLINK("http://www.rosaceae.org/Prunus/Prunus_persica/p.persica_gdr_reftransV1_0043220","p.persica_gdr_reftransV1_0043220")</f>
        <v>p.persica_gdr_reftransV1_0043220</v>
      </c>
      <c r="B3976" s="3">
        <v>335</v>
      </c>
      <c r="C3976" s="1" t="str">
        <f>HYPERLINK("http://www.uniprot.org/uniprot/STPKL_ARATH","STPKL_ARATH")</f>
        <v>STPKL_ARATH</v>
      </c>
      <c r="D3976" t="s">
        <v>3572</v>
      </c>
      <c r="E3976" s="3" t="s">
        <v>3</v>
      </c>
      <c r="F3976" s="4">
        <v>8.8899999999999994E-33</v>
      </c>
      <c r="G3976" s="3">
        <v>305</v>
      </c>
      <c r="H3976" s="3">
        <v>61</v>
      </c>
      <c r="I3976" s="3">
        <v>104</v>
      </c>
      <c r="J3976" s="3">
        <v>25</v>
      </c>
      <c r="K3976" s="3">
        <v>333</v>
      </c>
      <c r="L3976" s="3">
        <v>99</v>
      </c>
      <c r="M3976" s="3">
        <v>198</v>
      </c>
    </row>
    <row r="3977" spans="1:13" x14ac:dyDescent="0.25">
      <c r="A3977" s="1" t="str">
        <f>HYPERLINK("http://www.rosaceae.org/Prunus/Prunus_persica/p.persica_gdr_reftransV1_0043270","p.persica_gdr_reftransV1_0043270")</f>
        <v>p.persica_gdr_reftransV1_0043270</v>
      </c>
      <c r="B3977" s="3">
        <v>990</v>
      </c>
      <c r="C3977" s="1" t="str">
        <f>HYPERLINK("http://www.uniprot.org/uniprot/CSPLO_POPTR","CSPLO_POPTR")</f>
        <v>CSPLO_POPTR</v>
      </c>
      <c r="D3977" t="s">
        <v>3573</v>
      </c>
      <c r="E3977" s="3" t="s">
        <v>340</v>
      </c>
      <c r="F3977" s="4">
        <v>2.68E-57</v>
      </c>
      <c r="G3977" s="3">
        <v>485</v>
      </c>
      <c r="H3977" s="3">
        <v>63</v>
      </c>
      <c r="I3977" s="3">
        <v>199</v>
      </c>
      <c r="J3977" s="3">
        <v>259</v>
      </c>
      <c r="K3977" s="3">
        <v>855</v>
      </c>
      <c r="L3977" s="3">
        <v>24</v>
      </c>
      <c r="M3977" s="3">
        <v>222</v>
      </c>
    </row>
    <row r="3978" spans="1:13" x14ac:dyDescent="0.25">
      <c r="A3978" s="1" t="str">
        <f>HYPERLINK("http://www.rosaceae.org/Prunus/Prunus_persica/p.persica_gdr_reftransV1_0043320","p.persica_gdr_reftransV1_0043320")</f>
        <v>p.persica_gdr_reftransV1_0043320</v>
      </c>
      <c r="B3978" s="3">
        <v>841</v>
      </c>
      <c r="C3978" s="1" t="str">
        <f>HYPERLINK("http://www.uniprot.org/uniprot/Y1130_ARATH","Y1130_ARATH")</f>
        <v>Y1130_ARATH</v>
      </c>
      <c r="D3978" t="s">
        <v>3574</v>
      </c>
      <c r="E3978" s="3" t="s">
        <v>3</v>
      </c>
      <c r="F3978" s="4">
        <v>1.9499999999999999E-80</v>
      </c>
      <c r="G3978" s="3">
        <v>676</v>
      </c>
      <c r="H3978" s="3">
        <v>59</v>
      </c>
      <c r="I3978" s="3">
        <v>229</v>
      </c>
      <c r="J3978" s="3">
        <v>100</v>
      </c>
      <c r="K3978" s="3">
        <v>786</v>
      </c>
      <c r="L3978" s="3">
        <v>453</v>
      </c>
      <c r="M3978" s="3">
        <v>674</v>
      </c>
    </row>
    <row r="3979" spans="1:13" x14ac:dyDescent="0.25">
      <c r="A3979" s="1" t="str">
        <f>HYPERLINK("http://www.rosaceae.org/Prunus/Prunus_persica/p.persica_gdr_reftransV1_0043420","p.persica_gdr_reftransV1_0043420")</f>
        <v>p.persica_gdr_reftransV1_0043420</v>
      </c>
      <c r="B3979" s="3">
        <v>811</v>
      </c>
      <c r="C3979" s="1" t="str">
        <f>HYPERLINK("http://www.uniprot.org/uniprot/TTM3_ARATH","TTM3_ARATH")</f>
        <v>TTM3_ARATH</v>
      </c>
      <c r="D3979" t="s">
        <v>3575</v>
      </c>
      <c r="E3979" s="3" t="s">
        <v>3</v>
      </c>
      <c r="F3979" s="4">
        <v>1.23E-53</v>
      </c>
      <c r="G3979" s="3">
        <v>454</v>
      </c>
      <c r="H3979" s="3">
        <v>51</v>
      </c>
      <c r="I3979" s="3">
        <v>211</v>
      </c>
      <c r="J3979" s="3">
        <v>40</v>
      </c>
      <c r="K3979" s="3">
        <v>645</v>
      </c>
      <c r="L3979" s="3">
        <v>1</v>
      </c>
      <c r="M3979" s="3">
        <v>209</v>
      </c>
    </row>
    <row r="3980" spans="1:13" x14ac:dyDescent="0.25">
      <c r="A3980" s="1" t="str">
        <f>HYPERLINK("http://www.rosaceae.org/Prunus/Prunus_persica/p.persica_gdr_reftransV1_0043470","p.persica_gdr_reftransV1_0043470")</f>
        <v>p.persica_gdr_reftransV1_0043470</v>
      </c>
      <c r="B3980" s="3">
        <v>394</v>
      </c>
      <c r="C3980" s="1" t="str">
        <f>HYPERLINK("http://www.uniprot.org/uniprot/CNGC1_ARATH","CNGC1_ARATH")</f>
        <v>CNGC1_ARATH</v>
      </c>
      <c r="D3980" t="s">
        <v>241</v>
      </c>
      <c r="E3980" s="3" t="s">
        <v>3</v>
      </c>
      <c r="F3980" s="4">
        <v>3.49E-29</v>
      </c>
      <c r="G3980" s="3">
        <v>289</v>
      </c>
      <c r="H3980" s="3">
        <v>45</v>
      </c>
      <c r="I3980" s="3">
        <v>137</v>
      </c>
      <c r="J3980" s="3">
        <v>1</v>
      </c>
      <c r="K3980" s="3">
        <v>390</v>
      </c>
      <c r="L3980" s="3">
        <v>210</v>
      </c>
      <c r="M3980" s="3">
        <v>345</v>
      </c>
    </row>
    <row r="3981" spans="1:13" x14ac:dyDescent="0.25">
      <c r="A3981" s="1" t="str">
        <f>HYPERLINK("http://www.rosaceae.org/Prunus/Prunus_persica/p.persica_gdr_reftransV1_0043620","p.persica_gdr_reftransV1_0043620")</f>
        <v>p.persica_gdr_reftransV1_0043620</v>
      </c>
      <c r="B3981" s="3">
        <v>782</v>
      </c>
      <c r="C3981" s="1" t="str">
        <f>HYPERLINK("http://www.uniprot.org/uniprot/AX10A_SOYBN","AX10A_SOYBN")</f>
        <v>AX10A_SOYBN</v>
      </c>
      <c r="D3981" t="s">
        <v>3576</v>
      </c>
      <c r="E3981" s="3" t="s">
        <v>307</v>
      </c>
      <c r="F3981" s="4">
        <v>2.0900000000000001E-31</v>
      </c>
      <c r="G3981" s="3">
        <v>293</v>
      </c>
      <c r="H3981" s="3">
        <v>58</v>
      </c>
      <c r="I3981" s="3">
        <v>98</v>
      </c>
      <c r="J3981" s="3">
        <v>381</v>
      </c>
      <c r="K3981" s="3">
        <v>674</v>
      </c>
      <c r="L3981" s="3">
        <v>1</v>
      </c>
      <c r="M3981" s="3">
        <v>89</v>
      </c>
    </row>
    <row r="3982" spans="1:13" x14ac:dyDescent="0.25">
      <c r="A3982" s="1" t="str">
        <f>HYPERLINK("http://www.rosaceae.org/Prunus/Prunus_persica/p.persica_gdr_reftransV1_0043670","p.persica_gdr_reftransV1_0043670")</f>
        <v>p.persica_gdr_reftransV1_0043670</v>
      </c>
      <c r="B3982" s="3">
        <v>1252</v>
      </c>
      <c r="C3982" s="1" t="str">
        <f>HYPERLINK("http://www.uniprot.org/uniprot/YPGQ_BACSU","YPGQ_BACSU")</f>
        <v>YPGQ_BACSU</v>
      </c>
      <c r="D3982" t="s">
        <v>3577</v>
      </c>
      <c r="E3982" s="3" t="s">
        <v>1630</v>
      </c>
      <c r="F3982" s="4">
        <v>2.2999999999999998E-13</v>
      </c>
      <c r="G3982" s="3">
        <v>176</v>
      </c>
      <c r="H3982" s="3">
        <v>34</v>
      </c>
      <c r="I3982" s="3">
        <v>234</v>
      </c>
      <c r="J3982" s="3">
        <v>318</v>
      </c>
      <c r="K3982" s="3">
        <v>1013</v>
      </c>
      <c r="L3982" s="3">
        <v>2</v>
      </c>
      <c r="M3982" s="3">
        <v>190</v>
      </c>
    </row>
    <row r="3983" spans="1:13" x14ac:dyDescent="0.25">
      <c r="A3983" s="1" t="str">
        <f>HYPERLINK("http://www.rosaceae.org/Prunus/Prunus_persica/p.persica_gdr_reftransV1_0043720","p.persica_gdr_reftransV1_0043720")</f>
        <v>p.persica_gdr_reftransV1_0043720</v>
      </c>
      <c r="B3983" s="3">
        <v>531</v>
      </c>
      <c r="C3983" s="1" t="str">
        <f>HYPERLINK("http://www.uniprot.org/uniprot/MAA3_ARATH","MAA3_ARATH")</f>
        <v>MAA3_ARATH</v>
      </c>
      <c r="D3983" t="s">
        <v>1296</v>
      </c>
      <c r="E3983" s="3" t="s">
        <v>3</v>
      </c>
      <c r="F3983" s="4">
        <v>9.9600000000000001E-16</v>
      </c>
      <c r="G3983" s="3">
        <v>193</v>
      </c>
      <c r="H3983" s="3">
        <v>42</v>
      </c>
      <c r="I3983" s="3">
        <v>109</v>
      </c>
      <c r="J3983" s="3">
        <v>22</v>
      </c>
      <c r="K3983" s="3">
        <v>345</v>
      </c>
      <c r="L3983" s="3">
        <v>617</v>
      </c>
      <c r="M3983" s="3">
        <v>722</v>
      </c>
    </row>
    <row r="3984" spans="1:13" x14ac:dyDescent="0.25">
      <c r="A3984" s="1" t="str">
        <f>HYPERLINK("http://www.rosaceae.org/Prunus/Prunus_persica/p.persica_gdr_reftransV1_0043770","p.persica_gdr_reftransV1_0043770")</f>
        <v>p.persica_gdr_reftransV1_0043770</v>
      </c>
      <c r="B3984" s="3">
        <v>820</v>
      </c>
      <c r="C3984" s="1" t="str">
        <f>HYPERLINK("http://www.uniprot.org/uniprot/RL18_AROAE","RL18_AROAE")</f>
        <v>RL18_AROAE</v>
      </c>
      <c r="D3984" t="s">
        <v>3578</v>
      </c>
      <c r="E3984" s="3" t="s">
        <v>3579</v>
      </c>
      <c r="F3984" s="4">
        <v>7.2100000000000002E-11</v>
      </c>
      <c r="G3984" s="3">
        <v>149</v>
      </c>
      <c r="H3984" s="3">
        <v>34</v>
      </c>
      <c r="I3984" s="3">
        <v>98</v>
      </c>
      <c r="J3984" s="3">
        <v>161</v>
      </c>
      <c r="K3984" s="3">
        <v>454</v>
      </c>
      <c r="L3984" s="3">
        <v>21</v>
      </c>
      <c r="M3984" s="3">
        <v>117</v>
      </c>
    </row>
    <row r="3985" spans="1:13" x14ac:dyDescent="0.25">
      <c r="A3985" s="1" t="str">
        <f>HYPERLINK("http://www.rosaceae.org/Prunus/Prunus_persica/p.persica_gdr_reftransV1_0043870","p.persica_gdr_reftransV1_0043870")</f>
        <v>p.persica_gdr_reftransV1_0043870</v>
      </c>
      <c r="B3985" s="3">
        <v>1397</v>
      </c>
      <c r="C3985" s="1" t="str">
        <f>HYPERLINK("http://www.uniprot.org/uniprot/RIR2_TOBAC","RIR2_TOBAC")</f>
        <v>RIR2_TOBAC</v>
      </c>
      <c r="D3985" t="s">
        <v>3580</v>
      </c>
      <c r="E3985" s="3" t="s">
        <v>200</v>
      </c>
      <c r="F3985" s="4">
        <v>0</v>
      </c>
      <c r="G3985" s="3">
        <v>1565</v>
      </c>
      <c r="H3985" s="3">
        <v>87</v>
      </c>
      <c r="I3985" s="3">
        <v>329</v>
      </c>
      <c r="J3985" s="3">
        <v>162</v>
      </c>
      <c r="K3985" s="3">
        <v>1148</v>
      </c>
      <c r="L3985" s="3">
        <v>1</v>
      </c>
      <c r="M3985" s="3">
        <v>329</v>
      </c>
    </row>
    <row r="3986" spans="1:13" x14ac:dyDescent="0.25">
      <c r="A3986" s="1" t="str">
        <f>HYPERLINK("http://www.rosaceae.org/Prunus/Prunus_persica/p.persica_gdr_reftransV1_0043920","p.persica_gdr_reftransV1_0043920")</f>
        <v>p.persica_gdr_reftransV1_0043920</v>
      </c>
      <c r="B3986" s="3">
        <v>1466</v>
      </c>
      <c r="C3986" s="1" t="str">
        <f>HYPERLINK("http://www.uniprot.org/uniprot/PLY12_ARATH","PLY12_ARATH")</f>
        <v>PLY12_ARATH</v>
      </c>
      <c r="D3986" t="s">
        <v>3581</v>
      </c>
      <c r="E3986" s="3" t="s">
        <v>3</v>
      </c>
      <c r="F3986" s="4">
        <v>0</v>
      </c>
      <c r="G3986" s="3">
        <v>1651</v>
      </c>
      <c r="H3986" s="3">
        <v>79</v>
      </c>
      <c r="I3986" s="3">
        <v>400</v>
      </c>
      <c r="J3986" s="3">
        <v>211</v>
      </c>
      <c r="K3986" s="3">
        <v>1407</v>
      </c>
      <c r="L3986" s="3">
        <v>48</v>
      </c>
      <c r="M3986" s="3">
        <v>447</v>
      </c>
    </row>
    <row r="3987" spans="1:13" x14ac:dyDescent="0.25">
      <c r="A3987" s="1" t="str">
        <f>HYPERLINK("http://www.rosaceae.org/Prunus/Prunus_persica/p.persica_gdr_reftransV1_0044020","p.persica_gdr_reftransV1_0044020")</f>
        <v>p.persica_gdr_reftransV1_0044020</v>
      </c>
      <c r="B3987" s="3">
        <v>1788</v>
      </c>
      <c r="C3987" s="1" t="str">
        <f>HYPERLINK("http://www.uniprot.org/uniprot/CARA_ARATH","CARA_ARATH")</f>
        <v>CARA_ARATH</v>
      </c>
      <c r="D3987" t="s">
        <v>3582</v>
      </c>
      <c r="E3987" s="3" t="s">
        <v>3</v>
      </c>
      <c r="F3987" s="4">
        <v>0</v>
      </c>
      <c r="G3987" s="3">
        <v>1730</v>
      </c>
      <c r="H3987" s="3">
        <v>74</v>
      </c>
      <c r="I3987" s="3">
        <v>432</v>
      </c>
      <c r="J3987" s="3">
        <v>188</v>
      </c>
      <c r="K3987" s="3">
        <v>1468</v>
      </c>
      <c r="L3987" s="3">
        <v>1</v>
      </c>
      <c r="M3987" s="3">
        <v>430</v>
      </c>
    </row>
    <row r="3988" spans="1:13" x14ac:dyDescent="0.25">
      <c r="A3988" s="1" t="str">
        <f>HYPERLINK("http://www.rosaceae.org/Prunus/Prunus_persica/p.persica_gdr_reftransV1_0044070","p.persica_gdr_reftransV1_0044070")</f>
        <v>p.persica_gdr_reftransV1_0044070</v>
      </c>
      <c r="B3988" s="3">
        <v>2282</v>
      </c>
      <c r="C3988" s="1" t="str">
        <f>HYPERLINK("http://www.uniprot.org/uniprot/ROGF1_ARATH","ROGF1_ARATH")</f>
        <v>ROGF1_ARATH</v>
      </c>
      <c r="D3988" t="s">
        <v>3583</v>
      </c>
      <c r="E3988" s="3" t="s">
        <v>3</v>
      </c>
      <c r="F3988" s="4">
        <v>0</v>
      </c>
      <c r="G3988" s="3">
        <v>1848</v>
      </c>
      <c r="H3988" s="3">
        <v>71</v>
      </c>
      <c r="I3988" s="3">
        <v>530</v>
      </c>
      <c r="J3988" s="3">
        <v>366</v>
      </c>
      <c r="K3988" s="3">
        <v>1943</v>
      </c>
      <c r="L3988" s="3">
        <v>43</v>
      </c>
      <c r="M3988" s="3">
        <v>548</v>
      </c>
    </row>
    <row r="3989" spans="1:13" x14ac:dyDescent="0.25">
      <c r="A3989" s="1" t="str">
        <f>HYPERLINK("http://www.rosaceae.org/Prunus/Prunus_persica/p.persica_gdr_reftransV1_0044220","p.persica_gdr_reftransV1_0044220")</f>
        <v>p.persica_gdr_reftransV1_0044220</v>
      </c>
      <c r="B3989" s="3">
        <v>323</v>
      </c>
      <c r="C3989" s="1" t="str">
        <f>HYPERLINK("http://www.uniprot.org/uniprot/MY113_ARATH","MY113_ARATH")</f>
        <v>MY113_ARATH</v>
      </c>
      <c r="D3989" t="s">
        <v>3584</v>
      </c>
      <c r="E3989" s="3" t="s">
        <v>3</v>
      </c>
      <c r="F3989" s="4">
        <v>1.61E-44</v>
      </c>
      <c r="G3989" s="3">
        <v>379</v>
      </c>
      <c r="H3989" s="3">
        <v>77</v>
      </c>
      <c r="I3989" s="3">
        <v>90</v>
      </c>
      <c r="J3989" s="3">
        <v>1</v>
      </c>
      <c r="K3989" s="3">
        <v>270</v>
      </c>
      <c r="L3989" s="3">
        <v>8</v>
      </c>
      <c r="M3989" s="3">
        <v>97</v>
      </c>
    </row>
    <row r="3990" spans="1:13" x14ac:dyDescent="0.25">
      <c r="A3990" s="1" t="str">
        <f>HYPERLINK("http://www.rosaceae.org/Prunus/Prunus_persica/p.persica_gdr_reftransV1_0044270","p.persica_gdr_reftransV1_0044270")</f>
        <v>p.persica_gdr_reftransV1_0044270</v>
      </c>
      <c r="B3990" s="3">
        <v>1616</v>
      </c>
      <c r="C3990" s="1" t="str">
        <f>HYPERLINK("http://www.uniprot.org/uniprot/DMS3_ARATH","DMS3_ARATH")</f>
        <v>DMS3_ARATH</v>
      </c>
      <c r="D3990" t="s">
        <v>3585</v>
      </c>
      <c r="E3990" s="3" t="s">
        <v>3</v>
      </c>
      <c r="F3990" s="4">
        <v>5.9499999999999996E-99</v>
      </c>
      <c r="G3990" s="3">
        <v>800</v>
      </c>
      <c r="H3990" s="3">
        <v>53</v>
      </c>
      <c r="I3990" s="3">
        <v>341</v>
      </c>
      <c r="J3990" s="3">
        <v>383</v>
      </c>
      <c r="K3990" s="3">
        <v>1405</v>
      </c>
      <c r="L3990" s="3">
        <v>66</v>
      </c>
      <c r="M3990" s="3">
        <v>398</v>
      </c>
    </row>
    <row r="3991" spans="1:13" x14ac:dyDescent="0.25">
      <c r="A3991" s="1" t="str">
        <f>HYPERLINK("http://www.rosaceae.org/Prunus/Prunus_persica/p.persica_gdr_reftransV1_0044320","p.persica_gdr_reftransV1_0044320")</f>
        <v>p.persica_gdr_reftransV1_0044320</v>
      </c>
      <c r="B3991" s="3">
        <v>1757</v>
      </c>
      <c r="C3991" s="1" t="str">
        <f>HYPERLINK("http://www.uniprot.org/uniprot/CLPX_RUEST","CLPX_RUEST")</f>
        <v>CLPX_RUEST</v>
      </c>
      <c r="D3991" t="s">
        <v>3586</v>
      </c>
      <c r="E3991" s="3" t="s">
        <v>3587</v>
      </c>
      <c r="F3991" s="4">
        <v>1.8799999999999999E-134</v>
      </c>
      <c r="G3991" s="3">
        <v>1042</v>
      </c>
      <c r="H3991" s="3">
        <v>56</v>
      </c>
      <c r="I3991" s="3">
        <v>371</v>
      </c>
      <c r="J3991" s="3">
        <v>264</v>
      </c>
      <c r="K3991" s="3">
        <v>1376</v>
      </c>
      <c r="L3991" s="3">
        <v>63</v>
      </c>
      <c r="M3991" s="3">
        <v>407</v>
      </c>
    </row>
    <row r="3992" spans="1:13" x14ac:dyDescent="0.25">
      <c r="A3992" s="1" t="str">
        <f>HYPERLINK("http://www.rosaceae.org/Prunus/Prunus_persica/p.persica_gdr_reftransV1_0044370","p.persica_gdr_reftransV1_0044370")</f>
        <v>p.persica_gdr_reftransV1_0044370</v>
      </c>
      <c r="B3992" s="3">
        <v>2809</v>
      </c>
      <c r="C3992" s="1" t="str">
        <f>HYPERLINK("http://www.uniprot.org/uniprot/FTHS_SPIOL","FTHS_SPIOL")</f>
        <v>FTHS_SPIOL</v>
      </c>
      <c r="D3992" t="s">
        <v>3588</v>
      </c>
      <c r="E3992" s="3" t="s">
        <v>131</v>
      </c>
      <c r="F3992" s="4">
        <v>0</v>
      </c>
      <c r="G3992" s="3">
        <v>2890</v>
      </c>
      <c r="H3992" s="3">
        <v>89</v>
      </c>
      <c r="I3992" s="3">
        <v>632</v>
      </c>
      <c r="J3992" s="3">
        <v>686</v>
      </c>
      <c r="K3992" s="3">
        <v>2581</v>
      </c>
      <c r="L3992" s="3">
        <v>6</v>
      </c>
      <c r="M3992" s="3">
        <v>637</v>
      </c>
    </row>
    <row r="3993" spans="1:13" x14ac:dyDescent="0.25">
      <c r="A3993" s="1" t="str">
        <f>HYPERLINK("http://www.rosaceae.org/Prunus/Prunus_persica/p.persica_gdr_reftransV1_0044470","p.persica_gdr_reftransV1_0044470")</f>
        <v>p.persica_gdr_reftransV1_0044470</v>
      </c>
      <c r="B3993" s="3">
        <v>328</v>
      </c>
      <c r="C3993" s="1" t="str">
        <f>HYPERLINK("http://www.uniprot.org/uniprot/GDL38_ARATH","GDL38_ARATH")</f>
        <v>GDL38_ARATH</v>
      </c>
      <c r="D3993" t="s">
        <v>3589</v>
      </c>
      <c r="E3993" s="3" t="s">
        <v>3</v>
      </c>
      <c r="F3993" s="4">
        <v>2.3599999999999999E-37</v>
      </c>
      <c r="G3993" s="3">
        <v>339</v>
      </c>
      <c r="H3993" s="3">
        <v>63</v>
      </c>
      <c r="I3993" s="3">
        <v>108</v>
      </c>
      <c r="J3993" s="3">
        <v>38</v>
      </c>
      <c r="K3993" s="3">
        <v>328</v>
      </c>
      <c r="L3993" s="3">
        <v>14</v>
      </c>
      <c r="M3993" s="3">
        <v>121</v>
      </c>
    </row>
    <row r="3994" spans="1:13" x14ac:dyDescent="0.25">
      <c r="A3994" s="1" t="str">
        <f>HYPERLINK("http://www.rosaceae.org/Prunus/Prunus_persica/p.persica_gdr_reftransV1_0044520","p.persica_gdr_reftransV1_0044520")</f>
        <v>p.persica_gdr_reftransV1_0044520</v>
      </c>
      <c r="B3994" s="3">
        <v>614</v>
      </c>
      <c r="C3994" s="1" t="str">
        <f>HYPERLINK("http://www.uniprot.org/uniprot/MPC4_ARATH","MPC4_ARATH")</f>
        <v>MPC4_ARATH</v>
      </c>
      <c r="D3994" t="s">
        <v>3331</v>
      </c>
      <c r="E3994" s="3" t="s">
        <v>3</v>
      </c>
      <c r="F3994" s="4">
        <v>2.89E-58</v>
      </c>
      <c r="G3994" s="3">
        <v>470</v>
      </c>
      <c r="H3994" s="3">
        <v>86</v>
      </c>
      <c r="I3994" s="3">
        <v>97</v>
      </c>
      <c r="J3994" s="3">
        <v>50</v>
      </c>
      <c r="K3994" s="3">
        <v>340</v>
      </c>
      <c r="L3994" s="3">
        <v>1</v>
      </c>
      <c r="M3994" s="3">
        <v>97</v>
      </c>
    </row>
    <row r="3995" spans="1:13" x14ac:dyDescent="0.25">
      <c r="A3995" s="1" t="str">
        <f>HYPERLINK("http://www.rosaceae.org/Prunus/Prunus_persica/p.persica_gdr_reftransV1_0044570","p.persica_gdr_reftransV1_0044570")</f>
        <v>p.persica_gdr_reftransV1_0044570</v>
      </c>
      <c r="B3995" s="3">
        <v>1602</v>
      </c>
      <c r="C3995" s="1" t="str">
        <f>HYPERLINK("http://www.uniprot.org/uniprot/FXL14_HUMAN","FXL14_HUMAN")</f>
        <v>FXL14_HUMAN</v>
      </c>
      <c r="D3995" t="s">
        <v>3590</v>
      </c>
      <c r="E3995" s="3" t="s">
        <v>28</v>
      </c>
      <c r="F3995" s="4">
        <v>1.7800000000000001E-9</v>
      </c>
      <c r="G3995" s="3">
        <v>153</v>
      </c>
      <c r="H3995" s="3">
        <v>31</v>
      </c>
      <c r="I3995" s="3">
        <v>253</v>
      </c>
      <c r="J3995" s="3">
        <v>304</v>
      </c>
      <c r="K3995" s="3">
        <v>1005</v>
      </c>
      <c r="L3995" s="3">
        <v>103</v>
      </c>
      <c r="M3995" s="3">
        <v>330</v>
      </c>
    </row>
    <row r="3996" spans="1:13" x14ac:dyDescent="0.25">
      <c r="A3996" s="1" t="str">
        <f>HYPERLINK("http://www.rosaceae.org/Prunus/Prunus_persica/p.persica_gdr_reftransV1_0044670","p.persica_gdr_reftransV1_0044670")</f>
        <v>p.persica_gdr_reftransV1_0044670</v>
      </c>
      <c r="B3996" s="3">
        <v>2037</v>
      </c>
      <c r="C3996" s="1" t="str">
        <f>HYPERLINK("http://www.uniprot.org/uniprot/ITPK3_ARATH","ITPK3_ARATH")</f>
        <v>ITPK3_ARATH</v>
      </c>
      <c r="D3996" t="s">
        <v>3287</v>
      </c>
      <c r="E3996" s="3" t="s">
        <v>3</v>
      </c>
      <c r="F3996" s="4">
        <v>4.7299999999999998E-154</v>
      </c>
      <c r="G3996" s="3">
        <v>1174</v>
      </c>
      <c r="H3996" s="3">
        <v>71</v>
      </c>
      <c r="I3996" s="3">
        <v>375</v>
      </c>
      <c r="J3996" s="3">
        <v>739</v>
      </c>
      <c r="K3996" s="3">
        <v>1863</v>
      </c>
      <c r="L3996" s="3">
        <v>14</v>
      </c>
      <c r="M3996" s="3">
        <v>348</v>
      </c>
    </row>
    <row r="3997" spans="1:13" x14ac:dyDescent="0.25">
      <c r="A3997" s="1" t="str">
        <f>HYPERLINK("http://www.rosaceae.org/Prunus/Prunus_persica/p.persica_gdr_reftransV1_0044770","p.persica_gdr_reftransV1_0044770")</f>
        <v>p.persica_gdr_reftransV1_0044770</v>
      </c>
      <c r="B3997" s="3">
        <v>481</v>
      </c>
      <c r="C3997" s="1" t="str">
        <f>HYPERLINK("http://www.uniprot.org/uniprot/IP5P7_ARATH","IP5P7_ARATH")</f>
        <v>IP5P7_ARATH</v>
      </c>
      <c r="D3997" t="s">
        <v>2071</v>
      </c>
      <c r="E3997" s="3" t="s">
        <v>3</v>
      </c>
      <c r="F3997" s="4">
        <v>2.9299999999999999E-36</v>
      </c>
      <c r="G3997" s="3">
        <v>341</v>
      </c>
      <c r="H3997" s="3">
        <v>78</v>
      </c>
      <c r="I3997" s="3">
        <v>106</v>
      </c>
      <c r="J3997" s="3">
        <v>167</v>
      </c>
      <c r="K3997" s="3">
        <v>481</v>
      </c>
      <c r="L3997" s="3">
        <v>1</v>
      </c>
      <c r="M3997" s="3">
        <v>105</v>
      </c>
    </row>
    <row r="3998" spans="1:13" x14ac:dyDescent="0.25">
      <c r="A3998" s="1" t="str">
        <f>HYPERLINK("http://www.rosaceae.org/Prunus/Prunus_persica/p.persica_gdr_reftransV1_0044870","p.persica_gdr_reftransV1_0044870")</f>
        <v>p.persica_gdr_reftransV1_0044870</v>
      </c>
      <c r="B3998" s="3">
        <v>1898</v>
      </c>
      <c r="C3998" s="1" t="str">
        <f>HYPERLINK("http://www.uniprot.org/uniprot/ZDHC9_ARATH","ZDHC9_ARATH")</f>
        <v>ZDHC9_ARATH</v>
      </c>
      <c r="D3998" t="s">
        <v>3591</v>
      </c>
      <c r="E3998" s="3" t="s">
        <v>3</v>
      </c>
      <c r="F3998" s="4">
        <v>6.6099999999999995E-135</v>
      </c>
      <c r="G3998" s="3">
        <v>1051</v>
      </c>
      <c r="H3998" s="3">
        <v>49</v>
      </c>
      <c r="I3998" s="3">
        <v>434</v>
      </c>
      <c r="J3998" s="3">
        <v>221</v>
      </c>
      <c r="K3998" s="3">
        <v>1435</v>
      </c>
      <c r="L3998" s="3">
        <v>6</v>
      </c>
      <c r="M3998" s="3">
        <v>424</v>
      </c>
    </row>
    <row r="3999" spans="1:13" x14ac:dyDescent="0.25">
      <c r="A3999" s="1" t="str">
        <f>HYPERLINK("http://www.rosaceae.org/Prunus/Prunus_persica/p.persica_gdr_reftransV1_0044920","p.persica_gdr_reftransV1_0044920")</f>
        <v>p.persica_gdr_reftransV1_0044920</v>
      </c>
      <c r="B3999" s="3">
        <v>1039</v>
      </c>
      <c r="C3999" s="1" t="str">
        <f>HYPERLINK("http://www.uniprot.org/uniprot/YQJG_ECOLI","YQJG_ECOLI")</f>
        <v>YQJG_ECOLI</v>
      </c>
      <c r="D3999" t="s">
        <v>3592</v>
      </c>
      <c r="E3999" s="3" t="s">
        <v>2372</v>
      </c>
      <c r="F3999" s="4">
        <v>1.43E-51</v>
      </c>
      <c r="G3999" s="3">
        <v>456</v>
      </c>
      <c r="H3999" s="3">
        <v>48</v>
      </c>
      <c r="I3999" s="3">
        <v>212</v>
      </c>
      <c r="J3999" s="3">
        <v>354</v>
      </c>
      <c r="K3999" s="3">
        <v>983</v>
      </c>
      <c r="L3999" s="3">
        <v>56</v>
      </c>
      <c r="M3999" s="3">
        <v>259</v>
      </c>
    </row>
    <row r="4000" spans="1:13" x14ac:dyDescent="0.25">
      <c r="A4000" s="1" t="str">
        <f>HYPERLINK("http://www.rosaceae.org/Prunus/Prunus_persica/p.persica_gdr_reftransV1_0044970","p.persica_gdr_reftransV1_0044970")</f>
        <v>p.persica_gdr_reftransV1_0044970</v>
      </c>
      <c r="B4000" s="3">
        <v>1070</v>
      </c>
      <c r="C4000" s="1" t="str">
        <f>HYPERLINK("http://www.uniprot.org/uniprot/ATK4_ARATH","ATK4_ARATH")</f>
        <v>ATK4_ARATH</v>
      </c>
      <c r="D4000" t="s">
        <v>3593</v>
      </c>
      <c r="E4000" s="3" t="s">
        <v>3</v>
      </c>
      <c r="F4000" s="4">
        <v>4.9299999999999998E-101</v>
      </c>
      <c r="G4000" s="3">
        <v>835</v>
      </c>
      <c r="H4000" s="3">
        <v>52</v>
      </c>
      <c r="I4000" s="3">
        <v>337</v>
      </c>
      <c r="J4000" s="3">
        <v>82</v>
      </c>
      <c r="K4000" s="3">
        <v>1068</v>
      </c>
      <c r="L4000" s="3">
        <v>379</v>
      </c>
      <c r="M4000" s="3">
        <v>708</v>
      </c>
    </row>
    <row r="4001" spans="1:13" x14ac:dyDescent="0.25">
      <c r="A4001" s="1" t="str">
        <f>HYPERLINK("http://www.rosaceae.org/Prunus/Prunus_persica/p.persica_gdr_reftransV1_0045070","p.persica_gdr_reftransV1_0045070")</f>
        <v>p.persica_gdr_reftransV1_0045070</v>
      </c>
      <c r="B4001" s="3">
        <v>1242</v>
      </c>
      <c r="C4001" s="1" t="str">
        <f>HYPERLINK("http://www.uniprot.org/uniprot/MCA9_ARATH","MCA9_ARATH")</f>
        <v>MCA9_ARATH</v>
      </c>
      <c r="D4001" t="s">
        <v>3594</v>
      </c>
      <c r="E4001" s="3" t="s">
        <v>3</v>
      </c>
      <c r="F4001" s="4">
        <v>3.2600000000000002E-144</v>
      </c>
      <c r="G4001" s="3">
        <v>1081</v>
      </c>
      <c r="H4001" s="3">
        <v>64</v>
      </c>
      <c r="I4001" s="3">
        <v>326</v>
      </c>
      <c r="J4001" s="3">
        <v>234</v>
      </c>
      <c r="K4001" s="3">
        <v>1175</v>
      </c>
      <c r="L4001" s="3">
        <v>8</v>
      </c>
      <c r="M4001" s="3">
        <v>324</v>
      </c>
    </row>
    <row r="4002" spans="1:13" x14ac:dyDescent="0.25">
      <c r="A4002" s="1" t="str">
        <f>HYPERLINK("http://www.rosaceae.org/Prunus/Prunus_persica/p.persica_gdr_reftransV1_0045120","p.persica_gdr_reftransV1_0045120")</f>
        <v>p.persica_gdr_reftransV1_0045120</v>
      </c>
      <c r="B4002" s="3">
        <v>1016</v>
      </c>
      <c r="C4002" s="1" t="str">
        <f>HYPERLINK("http://www.uniprot.org/uniprot/CPR30_ARATH","CPR30_ARATH")</f>
        <v>CPR30_ARATH</v>
      </c>
      <c r="D4002" t="s">
        <v>1594</v>
      </c>
      <c r="E4002" s="3" t="s">
        <v>3</v>
      </c>
      <c r="F4002" s="4">
        <v>9.0200000000000004E-17</v>
      </c>
      <c r="G4002" s="3">
        <v>207</v>
      </c>
      <c r="H4002" s="3">
        <v>30</v>
      </c>
      <c r="I4002" s="3">
        <v>306</v>
      </c>
      <c r="J4002" s="3">
        <v>165</v>
      </c>
      <c r="K4002" s="3">
        <v>995</v>
      </c>
      <c r="L4002" s="3">
        <v>82</v>
      </c>
      <c r="M4002" s="3">
        <v>369</v>
      </c>
    </row>
    <row r="4003" spans="1:13" x14ac:dyDescent="0.25">
      <c r="A4003" s="1" t="str">
        <f>HYPERLINK("http://www.rosaceae.org/Prunus/Prunus_persica/p.persica_gdr_reftransV1_0045270","p.persica_gdr_reftransV1_0045270")</f>
        <v>p.persica_gdr_reftransV1_0045270</v>
      </c>
      <c r="B4003" s="3">
        <v>305</v>
      </c>
      <c r="C4003" s="1" t="str">
        <f>HYPERLINK("http://www.uniprot.org/uniprot/Y1571_ARATH","Y1571_ARATH")</f>
        <v>Y1571_ARATH</v>
      </c>
      <c r="D4003" t="s">
        <v>2449</v>
      </c>
      <c r="E4003" s="3" t="s">
        <v>3</v>
      </c>
      <c r="F4003" s="4">
        <v>1.1E-46</v>
      </c>
      <c r="G4003" s="3">
        <v>418</v>
      </c>
      <c r="H4003" s="3">
        <v>69</v>
      </c>
      <c r="I4003" s="3">
        <v>101</v>
      </c>
      <c r="J4003" s="3">
        <v>3</v>
      </c>
      <c r="K4003" s="3">
        <v>305</v>
      </c>
      <c r="L4003" s="3">
        <v>905</v>
      </c>
      <c r="M4003" s="3">
        <v>1005</v>
      </c>
    </row>
    <row r="4004" spans="1:13" x14ac:dyDescent="0.25">
      <c r="A4004" s="1" t="str">
        <f>HYPERLINK("http://www.rosaceae.org/Prunus/Prunus_persica/p.persica_gdr_reftransV1_0045320","p.persica_gdr_reftransV1_0045320")</f>
        <v>p.persica_gdr_reftransV1_0045320</v>
      </c>
      <c r="B4004" s="3">
        <v>455</v>
      </c>
      <c r="C4004" s="1" t="str">
        <f>HYPERLINK("http://www.uniprot.org/uniprot/ATP5E_ARATH","ATP5E_ARATH")</f>
        <v>ATP5E_ARATH</v>
      </c>
      <c r="D4004" t="s">
        <v>3595</v>
      </c>
      <c r="E4004" s="3" t="s">
        <v>3</v>
      </c>
      <c r="F4004" s="4">
        <v>1.88E-23</v>
      </c>
      <c r="G4004" s="3">
        <v>172</v>
      </c>
      <c r="H4004" s="3">
        <v>57</v>
      </c>
      <c r="I4004" s="3">
        <v>49</v>
      </c>
      <c r="J4004" s="3">
        <v>215</v>
      </c>
      <c r="K4004" s="3">
        <v>361</v>
      </c>
      <c r="L4004" s="3">
        <v>22</v>
      </c>
      <c r="M4004" s="3">
        <v>70</v>
      </c>
    </row>
    <row r="4005" spans="1:13" x14ac:dyDescent="0.25">
      <c r="A4005" s="1" t="str">
        <f>HYPERLINK("http://www.rosaceae.org/Prunus/Prunus_persica/p.persica_gdr_reftransV1_0045420","p.persica_gdr_reftransV1_0045420")</f>
        <v>p.persica_gdr_reftransV1_0045420</v>
      </c>
      <c r="B4005" s="3">
        <v>571</v>
      </c>
      <c r="C4005" s="1" t="str">
        <f>HYPERLINK("http://www.uniprot.org/uniprot/UGT7_CATRO","UGT7_CATRO")</f>
        <v>UGT7_CATRO</v>
      </c>
      <c r="D4005" t="s">
        <v>2697</v>
      </c>
      <c r="E4005" s="3" t="s">
        <v>457</v>
      </c>
      <c r="F4005" s="4">
        <v>1.0499999999999999E-53</v>
      </c>
      <c r="G4005" s="3">
        <v>464</v>
      </c>
      <c r="H4005" s="3">
        <v>51</v>
      </c>
      <c r="I4005" s="3">
        <v>177</v>
      </c>
      <c r="J4005" s="3">
        <v>4</v>
      </c>
      <c r="K4005" s="3">
        <v>528</v>
      </c>
      <c r="L4005" s="3">
        <v>5</v>
      </c>
      <c r="M4005" s="3">
        <v>180</v>
      </c>
    </row>
    <row r="4006" spans="1:13" x14ac:dyDescent="0.25">
      <c r="A4006" s="1" t="str">
        <f>HYPERLINK("http://www.rosaceae.org/Prunus/Prunus_persica/p.persica_gdr_reftransV1_0045470","p.persica_gdr_reftransV1_0045470")</f>
        <v>p.persica_gdr_reftransV1_0045470</v>
      </c>
      <c r="B4006" s="3">
        <v>1472</v>
      </c>
      <c r="C4006" s="1" t="str">
        <f>HYPERLINK("http://www.uniprot.org/uniprot/SR34_ARATH","SR34_ARATH")</f>
        <v>SR34_ARATH</v>
      </c>
      <c r="D4006" t="s">
        <v>2317</v>
      </c>
      <c r="E4006" s="3" t="s">
        <v>3</v>
      </c>
      <c r="F4006" s="4">
        <v>8.5599999999999999E-23</v>
      </c>
      <c r="G4006" s="3">
        <v>254</v>
      </c>
      <c r="H4006" s="3">
        <v>75</v>
      </c>
      <c r="I4006" s="3">
        <v>61</v>
      </c>
      <c r="J4006" s="3">
        <v>3</v>
      </c>
      <c r="K4006" s="3">
        <v>185</v>
      </c>
      <c r="L4006" s="3">
        <v>136</v>
      </c>
      <c r="M4006" s="3">
        <v>196</v>
      </c>
    </row>
    <row r="4007" spans="1:13" x14ac:dyDescent="0.25">
      <c r="A4007" s="1" t="str">
        <f>HYPERLINK("http://www.rosaceae.org/Prunus/Prunus_persica/p.persica_gdr_reftransV1_0045620","p.persica_gdr_reftransV1_0045620")</f>
        <v>p.persica_gdr_reftransV1_0045620</v>
      </c>
      <c r="B4007" s="3">
        <v>931</v>
      </c>
      <c r="C4007" s="1" t="str">
        <f>HYPERLINK("http://www.uniprot.org/uniprot/ERF81_ARATH","ERF81_ARATH")</f>
        <v>ERF81_ARATH</v>
      </c>
      <c r="D4007" t="s">
        <v>3596</v>
      </c>
      <c r="E4007" s="3" t="s">
        <v>3</v>
      </c>
      <c r="F4007" s="4">
        <v>7.6900000000000001E-42</v>
      </c>
      <c r="G4007" s="3">
        <v>376</v>
      </c>
      <c r="H4007" s="3">
        <v>51</v>
      </c>
      <c r="I4007" s="3">
        <v>203</v>
      </c>
      <c r="J4007" s="3">
        <v>156</v>
      </c>
      <c r="K4007" s="3">
        <v>671</v>
      </c>
      <c r="L4007" s="3">
        <v>1</v>
      </c>
      <c r="M4007" s="3">
        <v>189</v>
      </c>
    </row>
    <row r="4008" spans="1:13" x14ac:dyDescent="0.25">
      <c r="A4008" s="1" t="str">
        <f>HYPERLINK("http://www.rosaceae.org/Prunus/Prunus_persica/p.persica_gdr_reftransV1_0045720","p.persica_gdr_reftransV1_0045720")</f>
        <v>p.persica_gdr_reftransV1_0045720</v>
      </c>
      <c r="B4008" s="3">
        <v>1902</v>
      </c>
      <c r="C4008" s="1" t="str">
        <f>HYPERLINK("http://www.uniprot.org/uniprot/AAPT1_ARATH","AAPT1_ARATH")</f>
        <v>AAPT1_ARATH</v>
      </c>
      <c r="D4008" t="s">
        <v>3597</v>
      </c>
      <c r="E4008" s="3" t="s">
        <v>3</v>
      </c>
      <c r="F4008" s="4">
        <v>0</v>
      </c>
      <c r="G4008" s="3">
        <v>1163</v>
      </c>
      <c r="H4008" s="3">
        <v>83</v>
      </c>
      <c r="I4008" s="3">
        <v>251</v>
      </c>
      <c r="J4008" s="3">
        <v>811</v>
      </c>
      <c r="K4008" s="3">
        <v>1563</v>
      </c>
      <c r="L4008" s="3">
        <v>1</v>
      </c>
      <c r="M4008" s="3">
        <v>251</v>
      </c>
    </row>
    <row r="4009" spans="1:13" x14ac:dyDescent="0.25">
      <c r="A4009" s="1" t="str">
        <f>HYPERLINK("http://www.rosaceae.org/Prunus/Prunus_persica/p.persica_gdr_reftransV1_0045770","p.persica_gdr_reftransV1_0045770")</f>
        <v>p.persica_gdr_reftransV1_0045770</v>
      </c>
      <c r="B4009" s="3">
        <v>1062</v>
      </c>
      <c r="C4009" s="1" t="str">
        <f>HYPERLINK("http://www.uniprot.org/uniprot/CDPK8_ARATH","CDPK8_ARATH")</f>
        <v>CDPK8_ARATH</v>
      </c>
      <c r="D4009" t="s">
        <v>3598</v>
      </c>
      <c r="E4009" s="3" t="s">
        <v>3</v>
      </c>
      <c r="F4009" s="4">
        <v>0</v>
      </c>
      <c r="G4009" s="3">
        <v>1471</v>
      </c>
      <c r="H4009" s="3">
        <v>86</v>
      </c>
      <c r="I4009" s="3">
        <v>318</v>
      </c>
      <c r="J4009" s="3">
        <v>111</v>
      </c>
      <c r="K4009" s="3">
        <v>1061</v>
      </c>
      <c r="L4009" s="3">
        <v>215</v>
      </c>
      <c r="M4009" s="3">
        <v>532</v>
      </c>
    </row>
    <row r="4010" spans="1:13" x14ac:dyDescent="0.25">
      <c r="A4010" s="1" t="str">
        <f>HYPERLINK("http://www.rosaceae.org/Prunus/Prunus_persica/p.persica_gdr_reftransV1_0045870","p.persica_gdr_reftransV1_0045870")</f>
        <v>p.persica_gdr_reftransV1_0045870</v>
      </c>
      <c r="B4010" s="3">
        <v>1781</v>
      </c>
      <c r="C4010" s="1" t="str">
        <f>HYPERLINK("http://www.uniprot.org/uniprot/PHSL2_SOLTU","PHSL2_SOLTU")</f>
        <v>PHSL2_SOLTU</v>
      </c>
      <c r="D4010" t="s">
        <v>297</v>
      </c>
      <c r="E4010" s="3" t="s">
        <v>11</v>
      </c>
      <c r="F4010" s="4">
        <v>0</v>
      </c>
      <c r="G4010" s="3">
        <v>2288</v>
      </c>
      <c r="H4010" s="3">
        <v>76</v>
      </c>
      <c r="I4010" s="3">
        <v>561</v>
      </c>
      <c r="J4010" s="3">
        <v>3</v>
      </c>
      <c r="K4010" s="3">
        <v>1595</v>
      </c>
      <c r="L4010" s="3">
        <v>422</v>
      </c>
      <c r="M4010" s="3">
        <v>974</v>
      </c>
    </row>
    <row r="4011" spans="1:13" x14ac:dyDescent="0.25">
      <c r="A4011" s="1" t="str">
        <f>HYPERLINK("http://www.rosaceae.org/Prunus/Prunus_persica/p.persica_gdr_reftransV1_0045920","p.persica_gdr_reftransV1_0045920")</f>
        <v>p.persica_gdr_reftransV1_0045920</v>
      </c>
      <c r="B4011" s="3">
        <v>1685</v>
      </c>
      <c r="C4011" s="1" t="str">
        <f>HYPERLINK("http://www.uniprot.org/uniprot/idD3_ARATH","idD3_ARATH")</f>
        <v>idD3_ARATH</v>
      </c>
      <c r="D4011" t="s">
        <v>3599</v>
      </c>
      <c r="E4011" s="3" t="s">
        <v>3</v>
      </c>
      <c r="F4011" s="4">
        <v>4.3699999999999997E-96</v>
      </c>
      <c r="G4011" s="3">
        <v>790</v>
      </c>
      <c r="H4011" s="3">
        <v>87</v>
      </c>
      <c r="I4011" s="3">
        <v>169</v>
      </c>
      <c r="J4011" s="3">
        <v>337</v>
      </c>
      <c r="K4011" s="3">
        <v>843</v>
      </c>
      <c r="L4011" s="3">
        <v>37</v>
      </c>
      <c r="M4011" s="3">
        <v>205</v>
      </c>
    </row>
    <row r="4012" spans="1:13" x14ac:dyDescent="0.25">
      <c r="A4012" s="1" t="str">
        <f>HYPERLINK("http://www.rosaceae.org/Prunus/Prunus_persica/p.persica_gdr_reftransV1_0045970","p.persica_gdr_reftransV1_0045970")</f>
        <v>p.persica_gdr_reftransV1_0045970</v>
      </c>
      <c r="B4012" s="3">
        <v>2746</v>
      </c>
      <c r="C4012" s="1" t="str">
        <f>HYPERLINK("http://www.uniprot.org/uniprot/SP13B_ARATH","SP13B_ARATH")</f>
        <v>SP13B_ARATH</v>
      </c>
      <c r="D4012" t="s">
        <v>3600</v>
      </c>
      <c r="E4012" s="3" t="s">
        <v>3</v>
      </c>
      <c r="F4012" s="4">
        <v>1.7500000000000001E-40</v>
      </c>
      <c r="G4012" s="3">
        <v>399</v>
      </c>
      <c r="H4012" s="3">
        <v>62</v>
      </c>
      <c r="I4012" s="3">
        <v>107</v>
      </c>
      <c r="J4012" s="3">
        <v>1575</v>
      </c>
      <c r="K4012" s="3">
        <v>1895</v>
      </c>
      <c r="L4012" s="3">
        <v>94</v>
      </c>
      <c r="M4012" s="3">
        <v>199</v>
      </c>
    </row>
    <row r="4013" spans="1:13" x14ac:dyDescent="0.25">
      <c r="A4013" s="1" t="str">
        <f>HYPERLINK("http://www.rosaceae.org/Prunus/Prunus_persica/p.persica_gdr_reftransV1_0046020","p.persica_gdr_reftransV1_0046020")</f>
        <v>p.persica_gdr_reftransV1_0046020</v>
      </c>
      <c r="B4013" s="3">
        <v>1491</v>
      </c>
      <c r="C4013" s="1" t="str">
        <f>HYPERLINK("http://www.uniprot.org/uniprot/TO401_ARATH","TO401_ARATH")</f>
        <v>TO401_ARATH</v>
      </c>
      <c r="D4013" t="s">
        <v>1146</v>
      </c>
      <c r="E4013" s="3" t="s">
        <v>3</v>
      </c>
      <c r="F4013" s="4">
        <v>1.6300000000000001E-167</v>
      </c>
      <c r="G4013" s="3">
        <v>1242</v>
      </c>
      <c r="H4013" s="3">
        <v>76</v>
      </c>
      <c r="I4013" s="3">
        <v>294</v>
      </c>
      <c r="J4013" s="3">
        <v>199</v>
      </c>
      <c r="K4013" s="3">
        <v>1077</v>
      </c>
      <c r="L4013" s="3">
        <v>16</v>
      </c>
      <c r="M4013" s="3">
        <v>309</v>
      </c>
    </row>
    <row r="4014" spans="1:13" x14ac:dyDescent="0.25">
      <c r="A4014" s="1" t="str">
        <f>HYPERLINK("http://www.rosaceae.org/Prunus/Prunus_persica/p.persica_gdr_reftransV1_0046420","p.persica_gdr_reftransV1_0046420")</f>
        <v>p.persica_gdr_reftransV1_0046420</v>
      </c>
      <c r="B4014" s="3">
        <v>1297</v>
      </c>
      <c r="C4014" s="1" t="str">
        <f>HYPERLINK("http://www.uniprot.org/uniprot/IMP4_HUMAN","IMP4_HUMAN")</f>
        <v>IMP4_HUMAN</v>
      </c>
      <c r="D4014" t="s">
        <v>3601</v>
      </c>
      <c r="E4014" s="3" t="s">
        <v>28</v>
      </c>
      <c r="F4014" s="4">
        <v>1.7199999999999999E-87</v>
      </c>
      <c r="G4014" s="3">
        <v>702</v>
      </c>
      <c r="H4014" s="3">
        <v>53</v>
      </c>
      <c r="I4014" s="3">
        <v>257</v>
      </c>
      <c r="J4014" s="3">
        <v>311</v>
      </c>
      <c r="K4014" s="3">
        <v>1078</v>
      </c>
      <c r="L4014" s="3">
        <v>36</v>
      </c>
      <c r="M4014" s="3">
        <v>288</v>
      </c>
    </row>
    <row r="4015" spans="1:13" x14ac:dyDescent="0.25">
      <c r="A4015" s="1" t="str">
        <f>HYPERLINK("http://www.rosaceae.org/Prunus/Prunus_persica/p.persica_gdr_reftransV1_0046470","p.persica_gdr_reftransV1_0046470")</f>
        <v>p.persica_gdr_reftransV1_0046470</v>
      </c>
      <c r="B4015" s="3">
        <v>2322</v>
      </c>
      <c r="C4015" s="1" t="str">
        <f>HYPERLINK("http://www.uniprot.org/uniprot/CDPKD_ARATH","CDPKD_ARATH")</f>
        <v>CDPKD_ARATH</v>
      </c>
      <c r="D4015" t="s">
        <v>3602</v>
      </c>
      <c r="E4015" s="3" t="s">
        <v>3</v>
      </c>
      <c r="F4015" s="4">
        <v>0</v>
      </c>
      <c r="G4015" s="3">
        <v>2540</v>
      </c>
      <c r="H4015" s="3">
        <v>88</v>
      </c>
      <c r="I4015" s="3">
        <v>528</v>
      </c>
      <c r="J4015" s="3">
        <v>274</v>
      </c>
      <c r="K4015" s="3">
        <v>1854</v>
      </c>
      <c r="L4015" s="3">
        <v>1</v>
      </c>
      <c r="M4015" s="3">
        <v>528</v>
      </c>
    </row>
    <row r="4016" spans="1:13" x14ac:dyDescent="0.25">
      <c r="A4016" s="1" t="str">
        <f>HYPERLINK("http://www.rosaceae.org/Prunus/Prunus_persica/p.persica_gdr_reftransV1_0046520","p.persica_gdr_reftransV1_0046520")</f>
        <v>p.persica_gdr_reftransV1_0046520</v>
      </c>
      <c r="B4016" s="3">
        <v>937</v>
      </c>
      <c r="C4016" s="1" t="str">
        <f>HYPERLINK("http://www.uniprot.org/uniprot/RPD6A_ARATH","RPD6A_ARATH")</f>
        <v>RPD6A_ARATH</v>
      </c>
      <c r="D4016" t="s">
        <v>3603</v>
      </c>
      <c r="E4016" s="3" t="s">
        <v>3</v>
      </c>
      <c r="F4016" s="4">
        <v>1.7599999999999999E-58</v>
      </c>
      <c r="G4016" s="3">
        <v>484</v>
      </c>
      <c r="H4016" s="3">
        <v>78</v>
      </c>
      <c r="I4016" s="3">
        <v>145</v>
      </c>
      <c r="J4016" s="3">
        <v>176</v>
      </c>
      <c r="K4016" s="3">
        <v>607</v>
      </c>
      <c r="L4016" s="3">
        <v>1</v>
      </c>
      <c r="M4016" s="3">
        <v>144</v>
      </c>
    </row>
    <row r="4017" spans="1:13" x14ac:dyDescent="0.25">
      <c r="A4017" s="1" t="str">
        <f>HYPERLINK("http://www.rosaceae.org/Prunus/Prunus_persica/p.persica_gdr_reftransV1_0046620","p.persica_gdr_reftransV1_0046620")</f>
        <v>p.persica_gdr_reftransV1_0046620</v>
      </c>
      <c r="B4017" s="3">
        <v>1220</v>
      </c>
      <c r="C4017" s="1" t="str">
        <f>HYPERLINK("http://www.uniprot.org/uniprot/SAR1A_ARATH","SAR1A_ARATH")</f>
        <v>SAR1A_ARATH</v>
      </c>
      <c r="D4017" t="s">
        <v>3604</v>
      </c>
      <c r="E4017" s="3" t="s">
        <v>3</v>
      </c>
      <c r="F4017" s="4">
        <v>1.05E-113</v>
      </c>
      <c r="G4017" s="3">
        <v>865</v>
      </c>
      <c r="H4017" s="3">
        <v>95</v>
      </c>
      <c r="I4017" s="3">
        <v>193</v>
      </c>
      <c r="J4017" s="3">
        <v>299</v>
      </c>
      <c r="K4017" s="3">
        <v>877</v>
      </c>
      <c r="L4017" s="3">
        <v>1</v>
      </c>
      <c r="M4017" s="3">
        <v>193</v>
      </c>
    </row>
    <row r="4018" spans="1:13" x14ac:dyDescent="0.25">
      <c r="A4018" s="1" t="str">
        <f>HYPERLINK("http://www.rosaceae.org/Prunus/Prunus_persica/p.persica_gdr_reftransV1_0046670","p.persica_gdr_reftransV1_0046670")</f>
        <v>p.persica_gdr_reftransV1_0046670</v>
      </c>
      <c r="B4018" s="3">
        <v>1935</v>
      </c>
      <c r="C4018" s="1" t="str">
        <f>HYPERLINK("http://www.uniprot.org/uniprot/UVR8_ARATH","UVR8_ARATH")</f>
        <v>UVR8_ARATH</v>
      </c>
      <c r="D4018" t="s">
        <v>2154</v>
      </c>
      <c r="E4018" s="3" t="s">
        <v>3</v>
      </c>
      <c r="F4018" s="4">
        <v>3.0399999999999998E-35</v>
      </c>
      <c r="G4018" s="3">
        <v>357</v>
      </c>
      <c r="H4018" s="3">
        <v>33</v>
      </c>
      <c r="I4018" s="3">
        <v>326</v>
      </c>
      <c r="J4018" s="3">
        <v>531</v>
      </c>
      <c r="K4018" s="3">
        <v>1469</v>
      </c>
      <c r="L4018" s="3">
        <v>18</v>
      </c>
      <c r="M4018" s="3">
        <v>308</v>
      </c>
    </row>
    <row r="4019" spans="1:13" x14ac:dyDescent="0.25">
      <c r="A4019" s="1" t="str">
        <f>HYPERLINK("http://www.rosaceae.org/Prunus/Prunus_persica/p.persica_gdr_reftransV1_0046820","p.persica_gdr_reftransV1_0046820")</f>
        <v>p.persica_gdr_reftransV1_0046820</v>
      </c>
      <c r="B4019" s="3">
        <v>1445</v>
      </c>
      <c r="C4019" s="1" t="str">
        <f>HYPERLINK("http://www.uniprot.org/uniprot/DAPB2_ARATH","DAPB2_ARATH")</f>
        <v>DAPB2_ARATH</v>
      </c>
      <c r="D4019" t="s">
        <v>3605</v>
      </c>
      <c r="E4019" s="3" t="s">
        <v>3</v>
      </c>
      <c r="F4019" s="4">
        <v>7.09E-166</v>
      </c>
      <c r="G4019" s="3">
        <v>1233</v>
      </c>
      <c r="H4019" s="3">
        <v>78</v>
      </c>
      <c r="I4019" s="3">
        <v>291</v>
      </c>
      <c r="J4019" s="3">
        <v>323</v>
      </c>
      <c r="K4019" s="3">
        <v>1195</v>
      </c>
      <c r="L4019" s="3">
        <v>75</v>
      </c>
      <c r="M4019" s="3">
        <v>349</v>
      </c>
    </row>
    <row r="4020" spans="1:13" x14ac:dyDescent="0.25">
      <c r="A4020" s="1" t="str">
        <f>HYPERLINK("http://www.rosaceae.org/Prunus/Prunus_persica/p.persica_gdr_reftransV1_0047070","p.persica_gdr_reftransV1_0047070")</f>
        <v>p.persica_gdr_reftransV1_0047070</v>
      </c>
      <c r="B4020" s="3">
        <v>1578</v>
      </c>
      <c r="C4020" s="1" t="str">
        <f>HYPERLINK("http://www.uniprot.org/uniprot/U92A1_ARATH","U92A1_ARATH")</f>
        <v>U92A1_ARATH</v>
      </c>
      <c r="D4020" t="s">
        <v>2811</v>
      </c>
      <c r="E4020" s="3" t="s">
        <v>3</v>
      </c>
      <c r="F4020" s="4">
        <v>2.0199999999999999E-137</v>
      </c>
      <c r="G4020" s="3">
        <v>1062</v>
      </c>
      <c r="H4020" s="3">
        <v>44</v>
      </c>
      <c r="I4020" s="3">
        <v>493</v>
      </c>
      <c r="J4020" s="3">
        <v>90</v>
      </c>
      <c r="K4020" s="3">
        <v>1541</v>
      </c>
      <c r="L4020" s="3">
        <v>8</v>
      </c>
      <c r="M4020" s="3">
        <v>478</v>
      </c>
    </row>
    <row r="4021" spans="1:13" x14ac:dyDescent="0.25">
      <c r="A4021" s="1" t="str">
        <f>HYPERLINK("http://www.rosaceae.org/Prunus/Prunus_persica/p.persica_gdr_reftransV1_0047170","p.persica_gdr_reftransV1_0047170")</f>
        <v>p.persica_gdr_reftransV1_0047170</v>
      </c>
      <c r="B4021" s="3">
        <v>972</v>
      </c>
      <c r="C4021" s="1" t="str">
        <f>HYPERLINK("http://www.uniprot.org/uniprot/BAHD1_ARATH","BAHD1_ARATH")</f>
        <v>BAHD1_ARATH</v>
      </c>
      <c r="D4021" t="s">
        <v>897</v>
      </c>
      <c r="E4021" s="3" t="s">
        <v>3</v>
      </c>
      <c r="F4021" s="4">
        <v>2.5700000000000001E-34</v>
      </c>
      <c r="G4021" s="3">
        <v>339</v>
      </c>
      <c r="H4021" s="3">
        <v>34</v>
      </c>
      <c r="I4021" s="3">
        <v>245</v>
      </c>
      <c r="J4021" s="3">
        <v>12</v>
      </c>
      <c r="K4021" s="3">
        <v>707</v>
      </c>
      <c r="L4021" s="3">
        <v>191</v>
      </c>
      <c r="M4021" s="3">
        <v>435</v>
      </c>
    </row>
    <row r="4022" spans="1:13" x14ac:dyDescent="0.25">
      <c r="A4022" s="1" t="str">
        <f>HYPERLINK("http://www.rosaceae.org/Prunus/Prunus_persica/p.persica_gdr_reftransV1_0047220","p.persica_gdr_reftransV1_0047220")</f>
        <v>p.persica_gdr_reftransV1_0047220</v>
      </c>
      <c r="B4022" s="3">
        <v>866</v>
      </c>
      <c r="C4022" s="1" t="str">
        <f>HYPERLINK("http://www.uniprot.org/uniprot/CUL1_ARATH","CUL1_ARATH")</f>
        <v>CUL1_ARATH</v>
      </c>
      <c r="D4022" t="s">
        <v>2309</v>
      </c>
      <c r="E4022" s="3" t="s">
        <v>3</v>
      </c>
      <c r="F4022" s="4">
        <v>4.1099999999999998E-54</v>
      </c>
      <c r="G4022" s="3">
        <v>487</v>
      </c>
      <c r="H4022" s="3">
        <v>59</v>
      </c>
      <c r="I4022" s="3">
        <v>170</v>
      </c>
      <c r="J4022" s="3">
        <v>3</v>
      </c>
      <c r="K4022" s="3">
        <v>476</v>
      </c>
      <c r="L4022" s="3">
        <v>160</v>
      </c>
      <c r="M4022" s="3">
        <v>326</v>
      </c>
    </row>
    <row r="4023" spans="1:13" x14ac:dyDescent="0.25">
      <c r="A4023" s="1" t="str">
        <f>HYPERLINK("http://www.rosaceae.org/Prunus/Prunus_persica/p.persica_gdr_reftransV1_0047270","p.persica_gdr_reftransV1_0047270")</f>
        <v>p.persica_gdr_reftransV1_0047270</v>
      </c>
      <c r="B4023" s="3">
        <v>1417</v>
      </c>
      <c r="C4023" s="1" t="str">
        <f>HYPERLINK("http://www.uniprot.org/uniprot/RT4I1_MOUSE","RT4I1_MOUSE")</f>
        <v>RT4I1_MOUSE</v>
      </c>
      <c r="D4023" t="s">
        <v>3606</v>
      </c>
      <c r="E4023" s="3" t="s">
        <v>157</v>
      </c>
      <c r="F4023" s="4">
        <v>1.3600000000000001E-35</v>
      </c>
      <c r="G4023" s="3">
        <v>339</v>
      </c>
      <c r="H4023" s="3">
        <v>35</v>
      </c>
      <c r="I4023" s="3">
        <v>273</v>
      </c>
      <c r="J4023" s="3">
        <v>257</v>
      </c>
      <c r="K4023" s="3">
        <v>1048</v>
      </c>
      <c r="L4023" s="3">
        <v>125</v>
      </c>
      <c r="M4023" s="3">
        <v>394</v>
      </c>
    </row>
    <row r="4024" spans="1:13" x14ac:dyDescent="0.25">
      <c r="A4024" s="1" t="str">
        <f>HYPERLINK("http://www.rosaceae.org/Prunus/Prunus_persica/p.persica_gdr_reftransV1_0047370","p.persica_gdr_reftransV1_0047370")</f>
        <v>p.persica_gdr_reftransV1_0047370</v>
      </c>
      <c r="B4024" s="3">
        <v>1076</v>
      </c>
      <c r="C4024" s="1" t="str">
        <f>HYPERLINK("http://www.uniprot.org/uniprot/SRG1_ARATH","SRG1_ARATH")</f>
        <v>SRG1_ARATH</v>
      </c>
      <c r="D4024" t="s">
        <v>25</v>
      </c>
      <c r="E4024" s="3" t="s">
        <v>3</v>
      </c>
      <c r="F4024" s="4">
        <v>1.5800000000000001E-55</v>
      </c>
      <c r="G4024" s="3">
        <v>486</v>
      </c>
      <c r="H4024" s="3">
        <v>40</v>
      </c>
      <c r="I4024" s="3">
        <v>234</v>
      </c>
      <c r="J4024" s="3">
        <v>3</v>
      </c>
      <c r="K4024" s="3">
        <v>701</v>
      </c>
      <c r="L4024" s="3">
        <v>51</v>
      </c>
      <c r="M4024" s="3">
        <v>283</v>
      </c>
    </row>
    <row r="4025" spans="1:13" x14ac:dyDescent="0.25">
      <c r="A4025" s="1" t="str">
        <f>HYPERLINK("http://www.rosaceae.org/Prunus/Prunus_persica/p.persica_gdr_reftransV1_0047420","p.persica_gdr_reftransV1_0047420")</f>
        <v>p.persica_gdr_reftransV1_0047420</v>
      </c>
      <c r="B4025" s="3">
        <v>849</v>
      </c>
      <c r="C4025" s="1" t="str">
        <f>HYPERLINK("http://www.uniprot.org/uniprot/RL23A_DAUCA","RL23A_DAUCA")</f>
        <v>RL23A_DAUCA</v>
      </c>
      <c r="D4025" t="s">
        <v>3607</v>
      </c>
      <c r="E4025" s="3" t="s">
        <v>32</v>
      </c>
      <c r="F4025" s="4">
        <v>1.0500000000000001E-77</v>
      </c>
      <c r="G4025" s="3">
        <v>610</v>
      </c>
      <c r="H4025" s="3">
        <v>92</v>
      </c>
      <c r="I4025" s="3">
        <v>154</v>
      </c>
      <c r="J4025" s="3">
        <v>315</v>
      </c>
      <c r="K4025" s="3">
        <v>776</v>
      </c>
      <c r="L4025" s="3">
        <v>1</v>
      </c>
      <c r="M4025" s="3">
        <v>154</v>
      </c>
    </row>
    <row r="4026" spans="1:13" x14ac:dyDescent="0.25">
      <c r="A4026" s="1" t="str">
        <f>HYPERLINK("http://www.rosaceae.org/Prunus/Prunus_persica/p.persica_gdr_reftransV1_0047470","p.persica_gdr_reftransV1_0047470")</f>
        <v>p.persica_gdr_reftransV1_0047470</v>
      </c>
      <c r="B4026" s="3">
        <v>4017</v>
      </c>
      <c r="C4026" s="1" t="str">
        <f>HYPERLINK("http://www.uniprot.org/uniprot/AB2B_ARATH","AB2B_ARATH")</f>
        <v>AB2B_ARATH</v>
      </c>
      <c r="D4026" t="s">
        <v>3608</v>
      </c>
      <c r="E4026" s="3" t="s">
        <v>3</v>
      </c>
      <c r="F4026" s="4">
        <v>0</v>
      </c>
      <c r="G4026" s="3">
        <v>5147</v>
      </c>
      <c r="H4026" s="3">
        <v>82</v>
      </c>
      <c r="I4026" s="3">
        <v>1215</v>
      </c>
      <c r="J4026" s="3">
        <v>82</v>
      </c>
      <c r="K4026" s="3">
        <v>3726</v>
      </c>
      <c r="L4026" s="3">
        <v>59</v>
      </c>
      <c r="M4026" s="3">
        <v>1267</v>
      </c>
    </row>
    <row r="4027" spans="1:13" x14ac:dyDescent="0.25">
      <c r="A4027" s="1" t="str">
        <f>HYPERLINK("http://www.rosaceae.org/Prunus/Prunus_persica/p.persica_gdr_reftransV1_0047570","p.persica_gdr_reftransV1_0047570")</f>
        <v>p.persica_gdr_reftransV1_0047570</v>
      </c>
      <c r="B4027" s="3">
        <v>2249</v>
      </c>
      <c r="C4027" s="1" t="str">
        <f>HYPERLINK("http://www.uniprot.org/uniprot/IPYR4_ARATH","IPYR4_ARATH")</f>
        <v>IPYR4_ARATH</v>
      </c>
      <c r="D4027" t="s">
        <v>3609</v>
      </c>
      <c r="E4027" s="3" t="s">
        <v>3</v>
      </c>
      <c r="F4027" s="4">
        <v>1.59E-124</v>
      </c>
      <c r="G4027" s="3">
        <v>969</v>
      </c>
      <c r="H4027" s="3">
        <v>81</v>
      </c>
      <c r="I4027" s="3">
        <v>228</v>
      </c>
      <c r="J4027" s="3">
        <v>1121</v>
      </c>
      <c r="K4027" s="3">
        <v>1804</v>
      </c>
      <c r="L4027" s="3">
        <v>1</v>
      </c>
      <c r="M4027" s="3">
        <v>216</v>
      </c>
    </row>
    <row r="4028" spans="1:13" x14ac:dyDescent="0.25">
      <c r="A4028" s="1" t="str">
        <f>HYPERLINK("http://www.rosaceae.org/Prunus/Prunus_persica/p.persica_gdr_reftransV1_0047620","p.persica_gdr_reftransV1_0047620")</f>
        <v>p.persica_gdr_reftransV1_0047620</v>
      </c>
      <c r="B4028" s="3">
        <v>3008</v>
      </c>
      <c r="C4028" s="1" t="str">
        <f>HYPERLINK("http://www.uniprot.org/uniprot/UFL1_ARATH","UFL1_ARATH")</f>
        <v>UFL1_ARATH</v>
      </c>
      <c r="D4028" t="s">
        <v>2881</v>
      </c>
      <c r="E4028" s="3" t="s">
        <v>3</v>
      </c>
      <c r="F4028" s="4">
        <v>0</v>
      </c>
      <c r="G4028" s="3">
        <v>2629</v>
      </c>
      <c r="H4028" s="3">
        <v>67</v>
      </c>
      <c r="I4028" s="3">
        <v>817</v>
      </c>
      <c r="J4028" s="3">
        <v>509</v>
      </c>
      <c r="K4028" s="3">
        <v>2953</v>
      </c>
      <c r="L4028" s="3">
        <v>1</v>
      </c>
      <c r="M4028" s="3">
        <v>800</v>
      </c>
    </row>
    <row r="4029" spans="1:13" x14ac:dyDescent="0.25">
      <c r="A4029" s="1" t="str">
        <f>HYPERLINK("http://www.rosaceae.org/Prunus/Prunus_persica/p.persica_gdr_reftransV1_0047670","p.persica_gdr_reftransV1_0047670")</f>
        <v>p.persica_gdr_reftransV1_0047670</v>
      </c>
      <c r="B4029" s="3">
        <v>391</v>
      </c>
      <c r="C4029" s="1" t="str">
        <f>HYPERLINK("http://www.uniprot.org/uniprot/DRL21_ARATH","DRL21_ARATH")</f>
        <v>DRL21_ARATH</v>
      </c>
      <c r="D4029" t="s">
        <v>3610</v>
      </c>
      <c r="E4029" s="3" t="s">
        <v>3</v>
      </c>
      <c r="F4029" s="4">
        <v>9.1500000000000005E-8</v>
      </c>
      <c r="G4029" s="3">
        <v>128</v>
      </c>
      <c r="H4029" s="3">
        <v>39</v>
      </c>
      <c r="I4029" s="3">
        <v>123</v>
      </c>
      <c r="J4029" s="3">
        <v>12</v>
      </c>
      <c r="K4029" s="3">
        <v>377</v>
      </c>
      <c r="L4029" s="3">
        <v>618</v>
      </c>
      <c r="M4029" s="3">
        <v>729</v>
      </c>
    </row>
    <row r="4030" spans="1:13" x14ac:dyDescent="0.25">
      <c r="A4030" s="1" t="str">
        <f>HYPERLINK("http://www.rosaceae.org/Prunus/Prunus_persica/p.persica_gdr_reftransV1_0047720","p.persica_gdr_reftransV1_0047720")</f>
        <v>p.persica_gdr_reftransV1_0047720</v>
      </c>
      <c r="B4030" s="3">
        <v>431</v>
      </c>
      <c r="C4030" s="1" t="str">
        <f>HYPERLINK("http://www.uniprot.org/uniprot/PP133_ARATH","PP133_ARATH")</f>
        <v>PP133_ARATH</v>
      </c>
      <c r="D4030" t="s">
        <v>3611</v>
      </c>
      <c r="E4030" s="3" t="s">
        <v>3</v>
      </c>
      <c r="F4030" s="4">
        <v>5.3599999999999999E-42</v>
      </c>
      <c r="G4030" s="3">
        <v>385</v>
      </c>
      <c r="H4030" s="3">
        <v>57</v>
      </c>
      <c r="I4030" s="3">
        <v>128</v>
      </c>
      <c r="J4030" s="3">
        <v>48</v>
      </c>
      <c r="K4030" s="3">
        <v>428</v>
      </c>
      <c r="L4030" s="3">
        <v>98</v>
      </c>
      <c r="M4030" s="3">
        <v>225</v>
      </c>
    </row>
    <row r="4031" spans="1:13" x14ac:dyDescent="0.25">
      <c r="A4031" s="1" t="str">
        <f>HYPERLINK("http://www.rosaceae.org/Prunus/Prunus_persica/p.persica_gdr_reftransV1_0047770","p.persica_gdr_reftransV1_0047770")</f>
        <v>p.persica_gdr_reftransV1_0047770</v>
      </c>
      <c r="B4031" s="3">
        <v>2631</v>
      </c>
      <c r="C4031" s="1" t="str">
        <f>HYPERLINK("http://www.uniprot.org/uniprot/ZDHC1_ARATH","ZDHC1_ARATH")</f>
        <v>ZDHC1_ARATH</v>
      </c>
      <c r="D4031" t="s">
        <v>3612</v>
      </c>
      <c r="E4031" s="3" t="s">
        <v>3</v>
      </c>
      <c r="F4031" s="4">
        <v>0</v>
      </c>
      <c r="G4031" s="3">
        <v>1548</v>
      </c>
      <c r="H4031" s="3">
        <v>68</v>
      </c>
      <c r="I4031" s="3">
        <v>616</v>
      </c>
      <c r="J4031" s="3">
        <v>399</v>
      </c>
      <c r="K4031" s="3">
        <v>2171</v>
      </c>
      <c r="L4031" s="3">
        <v>1</v>
      </c>
      <c r="M4031" s="3">
        <v>595</v>
      </c>
    </row>
    <row r="4032" spans="1:13" x14ac:dyDescent="0.25">
      <c r="A4032" s="1" t="str">
        <f>HYPERLINK("http://www.rosaceae.org/Prunus/Prunus_persica/p.persica_gdr_reftransV1_0047820","p.persica_gdr_reftransV1_0047820")</f>
        <v>p.persica_gdr_reftransV1_0047820</v>
      </c>
      <c r="B4032" s="3">
        <v>1622</v>
      </c>
      <c r="C4032" s="1" t="str">
        <f>HYPERLINK("http://www.uniprot.org/uniprot/SY121_ARATH","SY121_ARATH")</f>
        <v>SY121_ARATH</v>
      </c>
      <c r="D4032" t="s">
        <v>359</v>
      </c>
      <c r="E4032" s="3" t="s">
        <v>3</v>
      </c>
      <c r="F4032" s="4">
        <v>1.8900000000000002E-136</v>
      </c>
      <c r="G4032" s="3">
        <v>1044</v>
      </c>
      <c r="H4032" s="3">
        <v>81</v>
      </c>
      <c r="I4032" s="3">
        <v>259</v>
      </c>
      <c r="J4032" s="3">
        <v>420</v>
      </c>
      <c r="K4032" s="3">
        <v>1196</v>
      </c>
      <c r="L4032" s="3">
        <v>30</v>
      </c>
      <c r="M4032" s="3">
        <v>288</v>
      </c>
    </row>
    <row r="4033" spans="1:13" x14ac:dyDescent="0.25">
      <c r="A4033" s="1" t="str">
        <f>HYPERLINK("http://www.rosaceae.org/Prunus/Prunus_persica/p.persica_gdr_reftransV1_0047870","p.persica_gdr_reftransV1_0047870")</f>
        <v>p.persica_gdr_reftransV1_0047870</v>
      </c>
      <c r="B4033" s="3">
        <v>1653</v>
      </c>
      <c r="C4033" s="1" t="str">
        <f>HYPERLINK("http://www.uniprot.org/uniprot/PPR89_ARATH","PPR89_ARATH")</f>
        <v>PPR89_ARATH</v>
      </c>
      <c r="D4033" t="s">
        <v>2248</v>
      </c>
      <c r="E4033" s="3" t="s">
        <v>3</v>
      </c>
      <c r="F4033" s="4">
        <v>8.1E-100</v>
      </c>
      <c r="G4033" s="3">
        <v>786</v>
      </c>
      <c r="H4033" s="3">
        <v>76</v>
      </c>
      <c r="I4033" s="3">
        <v>194</v>
      </c>
      <c r="J4033" s="3">
        <v>647</v>
      </c>
      <c r="K4033" s="3">
        <v>1228</v>
      </c>
      <c r="L4033" s="3">
        <v>1</v>
      </c>
      <c r="M4033" s="3">
        <v>194</v>
      </c>
    </row>
    <row r="4034" spans="1:13" x14ac:dyDescent="0.25">
      <c r="A4034" s="1" t="str">
        <f>HYPERLINK("http://www.rosaceae.org/Prunus/Prunus_persica/p.persica_gdr_reftransV1_0047920","p.persica_gdr_reftransV1_0047920")</f>
        <v>p.persica_gdr_reftransV1_0047920</v>
      </c>
      <c r="B4034" s="3">
        <v>2230</v>
      </c>
      <c r="C4034" s="1" t="str">
        <f>HYPERLINK("http://www.uniprot.org/uniprot/FBL72_ARATH","FBL72_ARATH")</f>
        <v>FBL72_ARATH</v>
      </c>
      <c r="D4034" t="s">
        <v>3613</v>
      </c>
      <c r="E4034" s="3" t="s">
        <v>3</v>
      </c>
      <c r="F4034" s="4">
        <v>1.3000000000000001E-9</v>
      </c>
      <c r="G4034" s="3">
        <v>156</v>
      </c>
      <c r="H4034" s="3">
        <v>45</v>
      </c>
      <c r="I4034" s="3">
        <v>84</v>
      </c>
      <c r="J4034" s="3">
        <v>1170</v>
      </c>
      <c r="K4034" s="3">
        <v>1409</v>
      </c>
      <c r="L4034" s="3">
        <v>1</v>
      </c>
      <c r="M4034" s="3">
        <v>84</v>
      </c>
    </row>
    <row r="4035" spans="1:13" x14ac:dyDescent="0.25">
      <c r="A4035" s="1" t="str">
        <f>HYPERLINK("http://www.rosaceae.org/Prunus/Prunus_persica/p.persica_gdr_reftransV1_0047970","p.persica_gdr_reftransV1_0047970")</f>
        <v>p.persica_gdr_reftransV1_0047970</v>
      </c>
      <c r="B4035" s="3">
        <v>618</v>
      </c>
      <c r="C4035" s="1" t="str">
        <f>HYPERLINK("http://www.uniprot.org/uniprot/COX6A_ARATH","COX6A_ARATH")</f>
        <v>COX6A_ARATH</v>
      </c>
      <c r="D4035" t="s">
        <v>3614</v>
      </c>
      <c r="E4035" s="3" t="s">
        <v>3</v>
      </c>
      <c r="F4035" s="4">
        <v>1.61E-19</v>
      </c>
      <c r="G4035" s="3">
        <v>208</v>
      </c>
      <c r="H4035" s="3">
        <v>66</v>
      </c>
      <c r="I4035" s="3">
        <v>98</v>
      </c>
      <c r="J4035" s="3">
        <v>43</v>
      </c>
      <c r="K4035" s="3">
        <v>336</v>
      </c>
      <c r="L4035" s="3">
        <v>1</v>
      </c>
      <c r="M4035" s="3">
        <v>98</v>
      </c>
    </row>
    <row r="4036" spans="1:13" x14ac:dyDescent="0.25">
      <c r="A4036" s="1" t="str">
        <f>HYPERLINK("http://www.rosaceae.org/Prunus/Prunus_persica/p.persica_gdr_reftransV1_0048020","p.persica_gdr_reftransV1_0048020")</f>
        <v>p.persica_gdr_reftransV1_0048020</v>
      </c>
      <c r="B4036" s="3">
        <v>2727</v>
      </c>
      <c r="C4036" s="1" t="str">
        <f>HYPERLINK("http://www.uniprot.org/uniprot/M370_ARATH","M370_ARATH")</f>
        <v>M370_ARATH</v>
      </c>
      <c r="D4036" t="s">
        <v>3615</v>
      </c>
      <c r="E4036" s="3" t="s">
        <v>3</v>
      </c>
      <c r="F4036" s="4">
        <v>2.24E-50</v>
      </c>
      <c r="G4036" s="3">
        <v>459</v>
      </c>
      <c r="H4036" s="3">
        <v>93</v>
      </c>
      <c r="I4036" s="3">
        <v>95</v>
      </c>
      <c r="J4036" s="3">
        <v>1</v>
      </c>
      <c r="K4036" s="3">
        <v>285</v>
      </c>
      <c r="L4036" s="3">
        <v>1</v>
      </c>
      <c r="M4036" s="3">
        <v>95</v>
      </c>
    </row>
    <row r="4037" spans="1:13" x14ac:dyDescent="0.25">
      <c r="A4037" s="1" t="str">
        <f>HYPERLINK("http://www.rosaceae.org/Prunus/Prunus_persica/p.persica_gdr_reftransV1_0048070","p.persica_gdr_reftransV1_0048070")</f>
        <v>p.persica_gdr_reftransV1_0048070</v>
      </c>
      <c r="B4037" s="3">
        <v>784</v>
      </c>
      <c r="C4037" s="1" t="str">
        <f>HYPERLINK("http://www.uniprot.org/uniprot/TEB_ARATH","TEB_ARATH")</f>
        <v>TEB_ARATH</v>
      </c>
      <c r="D4037" t="s">
        <v>3616</v>
      </c>
      <c r="E4037" s="3" t="s">
        <v>3</v>
      </c>
      <c r="F4037" s="4">
        <v>8.8700000000000003E-142</v>
      </c>
      <c r="G4037" s="3">
        <v>1142</v>
      </c>
      <c r="H4037" s="3">
        <v>80</v>
      </c>
      <c r="I4037" s="3">
        <v>261</v>
      </c>
      <c r="J4037" s="3">
        <v>2</v>
      </c>
      <c r="K4037" s="3">
        <v>784</v>
      </c>
      <c r="L4037" s="3">
        <v>990</v>
      </c>
      <c r="M4037" s="3">
        <v>1250</v>
      </c>
    </row>
    <row r="4038" spans="1:13" x14ac:dyDescent="0.25">
      <c r="A4038" s="1" t="str">
        <f>HYPERLINK("http://www.rosaceae.org/Prunus/Prunus_persica/p.persica_gdr_reftransV1_0048270","p.persica_gdr_reftransV1_0048270")</f>
        <v>p.persica_gdr_reftransV1_0048270</v>
      </c>
      <c r="B4038" s="3">
        <v>2206</v>
      </c>
      <c r="C4038" s="1" t="str">
        <f>HYPERLINK("http://www.uniprot.org/uniprot/GRF1_ARATH","GRF1_ARATH")</f>
        <v>GRF1_ARATH</v>
      </c>
      <c r="D4038" t="s">
        <v>3617</v>
      </c>
      <c r="E4038" s="3" t="s">
        <v>3</v>
      </c>
      <c r="F4038" s="4">
        <v>7.4199999999999999E-103</v>
      </c>
      <c r="G4038" s="3">
        <v>851</v>
      </c>
      <c r="H4038" s="3">
        <v>46</v>
      </c>
      <c r="I4038" s="3">
        <v>551</v>
      </c>
      <c r="J4038" s="3">
        <v>341</v>
      </c>
      <c r="K4038" s="3">
        <v>1915</v>
      </c>
      <c r="L4038" s="3">
        <v>22</v>
      </c>
      <c r="M4038" s="3">
        <v>484</v>
      </c>
    </row>
    <row r="4039" spans="1:13" x14ac:dyDescent="0.25">
      <c r="A4039" s="1" t="str">
        <f>HYPERLINK("http://www.rosaceae.org/Prunus/Prunus_persica/p.persica_gdr_reftransV1_0048320","p.persica_gdr_reftransV1_0048320")</f>
        <v>p.persica_gdr_reftransV1_0048320</v>
      </c>
      <c r="B4039" s="3">
        <v>974</v>
      </c>
      <c r="C4039" s="1" t="str">
        <f>HYPERLINK("http://www.uniprot.org/uniprot/C734A_ARATH","C734A_ARATH")</f>
        <v>C734A_ARATH</v>
      </c>
      <c r="D4039" t="s">
        <v>3618</v>
      </c>
      <c r="E4039" s="3" t="s">
        <v>3</v>
      </c>
      <c r="F4039" s="4">
        <v>6.6600000000000001E-63</v>
      </c>
      <c r="G4039" s="3">
        <v>544</v>
      </c>
      <c r="H4039" s="3">
        <v>36</v>
      </c>
      <c r="I4039" s="3">
        <v>320</v>
      </c>
      <c r="J4039" s="3">
        <v>5</v>
      </c>
      <c r="K4039" s="3">
        <v>934</v>
      </c>
      <c r="L4039" s="3">
        <v>167</v>
      </c>
      <c r="M4039" s="3">
        <v>472</v>
      </c>
    </row>
    <row r="4040" spans="1:13" x14ac:dyDescent="0.25">
      <c r="A4040" s="1" t="str">
        <f>HYPERLINK("http://www.rosaceae.org/Prunus/Prunus_persica/p.persica_gdr_reftransV1_0048370","p.persica_gdr_reftransV1_0048370")</f>
        <v>p.persica_gdr_reftransV1_0048370</v>
      </c>
      <c r="B4040" s="3">
        <v>2461</v>
      </c>
      <c r="C4040" s="1" t="str">
        <f>HYPERLINK("http://www.uniprot.org/uniprot/M3K1_ARATH","M3K1_ARATH")</f>
        <v>M3K1_ARATH</v>
      </c>
      <c r="D4040" t="s">
        <v>1062</v>
      </c>
      <c r="E4040" s="3" t="s">
        <v>3</v>
      </c>
      <c r="F4040" s="4">
        <v>1.38E-136</v>
      </c>
      <c r="G4040" s="3">
        <v>1093</v>
      </c>
      <c r="H4040" s="3">
        <v>51</v>
      </c>
      <c r="I4040" s="3">
        <v>577</v>
      </c>
      <c r="J4040" s="3">
        <v>216</v>
      </c>
      <c r="K4040" s="3">
        <v>1808</v>
      </c>
      <c r="L4040" s="3">
        <v>26</v>
      </c>
      <c r="M4040" s="3">
        <v>591</v>
      </c>
    </row>
    <row r="4041" spans="1:13" x14ac:dyDescent="0.25">
      <c r="A4041" s="1" t="str">
        <f>HYPERLINK("http://www.rosaceae.org/Prunus/Prunus_persica/p.persica_gdr_reftransV1_0048470","p.persica_gdr_reftransV1_0048470")</f>
        <v>p.persica_gdr_reftransV1_0048470</v>
      </c>
      <c r="B4041" s="3">
        <v>2403</v>
      </c>
      <c r="C4041" s="1" t="str">
        <f>HYPERLINK("http://www.uniprot.org/uniprot/WDR26_XENTR","WDR26_XENTR")</f>
        <v>WDR26_XENTR</v>
      </c>
      <c r="D4041" t="s">
        <v>3619</v>
      </c>
      <c r="E4041" s="3" t="s">
        <v>173</v>
      </c>
      <c r="F4041" s="4">
        <v>6.1500000000000003E-75</v>
      </c>
      <c r="G4041" s="3">
        <v>389</v>
      </c>
      <c r="H4041" s="3">
        <v>34</v>
      </c>
      <c r="I4041" s="3">
        <v>337</v>
      </c>
      <c r="J4041" s="3">
        <v>834</v>
      </c>
      <c r="K4041" s="3">
        <v>1715</v>
      </c>
      <c r="L4041" s="3">
        <v>51</v>
      </c>
      <c r="M4041" s="3">
        <v>387</v>
      </c>
    </row>
    <row r="4042" spans="1:13" x14ac:dyDescent="0.25">
      <c r="A4042" s="1" t="str">
        <f>HYPERLINK("http://www.rosaceae.org/Prunus/Prunus_persica/p.persica_gdr_reftransV1_0048520","p.persica_gdr_reftransV1_0048520")</f>
        <v>p.persica_gdr_reftransV1_0048520</v>
      </c>
      <c r="B4042" s="3">
        <v>1763</v>
      </c>
      <c r="C4042" s="1" t="str">
        <f>HYPERLINK("http://www.uniprot.org/uniprot/ARP8_ORYSJ","ARP8_ORYSJ")</f>
        <v>ARP8_ORYSJ</v>
      </c>
      <c r="D4042" t="s">
        <v>3620</v>
      </c>
      <c r="E4042" s="3" t="s">
        <v>38</v>
      </c>
      <c r="F4042" s="4">
        <v>2.9399999999999999E-167</v>
      </c>
      <c r="G4042" s="3">
        <v>1005</v>
      </c>
      <c r="H4042" s="3">
        <v>65</v>
      </c>
      <c r="I4042" s="3">
        <v>281</v>
      </c>
      <c r="J4042" s="3">
        <v>847</v>
      </c>
      <c r="K4042" s="3">
        <v>1683</v>
      </c>
      <c r="L4042" s="3">
        <v>44</v>
      </c>
      <c r="M4042" s="3">
        <v>320</v>
      </c>
    </row>
    <row r="4043" spans="1:13" x14ac:dyDescent="0.25">
      <c r="A4043" s="1" t="str">
        <f>HYPERLINK("http://www.rosaceae.org/Prunus/Prunus_persica/p.persica_gdr_reftransV1_0048570","p.persica_gdr_reftransV1_0048570")</f>
        <v>p.persica_gdr_reftransV1_0048570</v>
      </c>
      <c r="B4043" s="3">
        <v>1682</v>
      </c>
      <c r="C4043" s="1" t="str">
        <f>HYPERLINK("http://www.uniprot.org/uniprot/CNG15_ARATH","CNG15_ARATH")</f>
        <v>CNG15_ARATH</v>
      </c>
      <c r="D4043" t="s">
        <v>3621</v>
      </c>
      <c r="E4043" s="3" t="s">
        <v>3</v>
      </c>
      <c r="F4043" s="4">
        <v>0</v>
      </c>
      <c r="G4043" s="3">
        <v>2169</v>
      </c>
      <c r="H4043" s="3">
        <v>76</v>
      </c>
      <c r="I4043" s="3">
        <v>539</v>
      </c>
      <c r="J4043" s="3">
        <v>2</v>
      </c>
      <c r="K4043" s="3">
        <v>1618</v>
      </c>
      <c r="L4043" s="3">
        <v>152</v>
      </c>
      <c r="M4043" s="3">
        <v>678</v>
      </c>
    </row>
    <row r="4044" spans="1:13" x14ac:dyDescent="0.25">
      <c r="A4044" s="1" t="str">
        <f>HYPERLINK("http://www.rosaceae.org/Prunus/Prunus_persica/p.persica_gdr_reftransV1_0048620","p.persica_gdr_reftransV1_0048620")</f>
        <v>p.persica_gdr_reftransV1_0048620</v>
      </c>
      <c r="B4044" s="3">
        <v>1441</v>
      </c>
      <c r="C4044" s="1" t="str">
        <f>HYPERLINK("http://www.uniprot.org/uniprot/AB8B_ARATH","AB8B_ARATH")</f>
        <v>AB8B_ARATH</v>
      </c>
      <c r="D4044" t="s">
        <v>3622</v>
      </c>
      <c r="E4044" s="3" t="s">
        <v>3</v>
      </c>
      <c r="F4044" s="4">
        <v>0</v>
      </c>
      <c r="G4044" s="3">
        <v>1482</v>
      </c>
      <c r="H4044" s="3">
        <v>67</v>
      </c>
      <c r="I4044" s="3">
        <v>464</v>
      </c>
      <c r="J4044" s="3">
        <v>55</v>
      </c>
      <c r="K4044" s="3">
        <v>1440</v>
      </c>
      <c r="L4044" s="3">
        <v>16</v>
      </c>
      <c r="M4044" s="3">
        <v>474</v>
      </c>
    </row>
    <row r="4045" spans="1:13" x14ac:dyDescent="0.25">
      <c r="A4045" s="1" t="str">
        <f>HYPERLINK("http://www.rosaceae.org/Prunus/Prunus_persica/p.persica_gdr_reftransV1_0048670","p.persica_gdr_reftransV1_0048670")</f>
        <v>p.persica_gdr_reftransV1_0048670</v>
      </c>
      <c r="B4045" s="3">
        <v>1819</v>
      </c>
      <c r="C4045" s="1" t="str">
        <f>HYPERLINK("http://www.uniprot.org/uniprot/AIM32_DEBHA","AIM32_DEBHA")</f>
        <v>AIM32_DEBHA</v>
      </c>
      <c r="D4045" t="s">
        <v>350</v>
      </c>
      <c r="E4045" s="3" t="s">
        <v>351</v>
      </c>
      <c r="F4045" s="4">
        <v>4.1800000000000002E-14</v>
      </c>
      <c r="G4045" s="3">
        <v>187</v>
      </c>
      <c r="H4045" s="3">
        <v>40</v>
      </c>
      <c r="I4045" s="3">
        <v>100</v>
      </c>
      <c r="J4045" s="3">
        <v>786</v>
      </c>
      <c r="K4045" s="3">
        <v>1085</v>
      </c>
      <c r="L4045" s="3">
        <v>178</v>
      </c>
      <c r="M4045" s="3">
        <v>273</v>
      </c>
    </row>
    <row r="4046" spans="1:13" x14ac:dyDescent="0.25">
      <c r="A4046" s="1" t="str">
        <f>HYPERLINK("http://www.rosaceae.org/Prunus/Prunus_persica/p.persica_gdr_reftransV1_0048720","p.persica_gdr_reftransV1_0048720")</f>
        <v>p.persica_gdr_reftransV1_0048720</v>
      </c>
      <c r="B4046" s="3">
        <v>710</v>
      </c>
      <c r="C4046" s="1" t="str">
        <f>HYPERLINK("http://www.uniprot.org/uniprot/R27A3_ARATH","R27A3_ARATH")</f>
        <v>R27A3_ARATH</v>
      </c>
      <c r="D4046" t="s">
        <v>2350</v>
      </c>
      <c r="E4046" s="3" t="s">
        <v>3</v>
      </c>
      <c r="F4046" s="4">
        <v>4.1600000000000002E-90</v>
      </c>
      <c r="G4046" s="3">
        <v>687</v>
      </c>
      <c r="H4046" s="3">
        <v>88</v>
      </c>
      <c r="I4046" s="3">
        <v>146</v>
      </c>
      <c r="J4046" s="3">
        <v>237</v>
      </c>
      <c r="K4046" s="3">
        <v>674</v>
      </c>
      <c r="L4046" s="3">
        <v>1</v>
      </c>
      <c r="M4046" s="3">
        <v>146</v>
      </c>
    </row>
    <row r="4047" spans="1:13" x14ac:dyDescent="0.25">
      <c r="A4047" s="1" t="str">
        <f>HYPERLINK("http://www.rosaceae.org/Prunus/Prunus_persica/p.persica_gdr_reftransV1_0048770","p.persica_gdr_reftransV1_0048770")</f>
        <v>p.persica_gdr_reftransV1_0048770</v>
      </c>
      <c r="B4047" s="3">
        <v>1306</v>
      </c>
      <c r="C4047" s="1" t="str">
        <f>HYPERLINK("http://www.uniprot.org/uniprot/SR542_SOLLC","SR542_SOLLC")</f>
        <v>SR542_SOLLC</v>
      </c>
      <c r="D4047" t="s">
        <v>3623</v>
      </c>
      <c r="E4047" s="3" t="s">
        <v>64</v>
      </c>
      <c r="F4047" s="4">
        <v>2.5399999999999999E-145</v>
      </c>
      <c r="G4047" s="3">
        <v>1107</v>
      </c>
      <c r="H4047" s="3">
        <v>92</v>
      </c>
      <c r="I4047" s="3">
        <v>221</v>
      </c>
      <c r="J4047" s="3">
        <v>217</v>
      </c>
      <c r="K4047" s="3">
        <v>864</v>
      </c>
      <c r="L4047" s="3">
        <v>1</v>
      </c>
      <c r="M4047" s="3">
        <v>221</v>
      </c>
    </row>
    <row r="4048" spans="1:13" x14ac:dyDescent="0.25">
      <c r="A4048" s="1" t="str">
        <f>HYPERLINK("http://www.rosaceae.org/Prunus/Prunus_persica/p.persica_gdr_reftransV1_0048920","p.persica_gdr_reftransV1_0048920")</f>
        <v>p.persica_gdr_reftransV1_0048920</v>
      </c>
      <c r="B4048" s="3">
        <v>2563</v>
      </c>
      <c r="C4048" s="1" t="str">
        <f>HYPERLINK("http://www.uniprot.org/uniprot/Y1839_ARATH","Y1839_ARATH")</f>
        <v>Y1839_ARATH</v>
      </c>
      <c r="D4048" t="s">
        <v>3075</v>
      </c>
      <c r="E4048" s="3" t="s">
        <v>3</v>
      </c>
      <c r="F4048" s="4">
        <v>1.07E-146</v>
      </c>
      <c r="G4048" s="3">
        <v>1169</v>
      </c>
      <c r="H4048" s="3">
        <v>66</v>
      </c>
      <c r="I4048" s="3">
        <v>343</v>
      </c>
      <c r="J4048" s="3">
        <v>434</v>
      </c>
      <c r="K4048" s="3">
        <v>1444</v>
      </c>
      <c r="L4048" s="3">
        <v>279</v>
      </c>
      <c r="M4048" s="3">
        <v>621</v>
      </c>
    </row>
    <row r="4049" spans="1:13" x14ac:dyDescent="0.25">
      <c r="A4049" s="1" t="str">
        <f>HYPERLINK("http://www.rosaceae.org/Prunus/Prunus_persica/p.persica_gdr_reftransV1_0049070","p.persica_gdr_reftransV1_0049070")</f>
        <v>p.persica_gdr_reftransV1_0049070</v>
      </c>
      <c r="B4049" s="3">
        <v>588</v>
      </c>
      <c r="C4049" s="1" t="str">
        <f>HYPERLINK("http://www.uniprot.org/uniprot/ROS1_ARATH","ROS1_ARATH")</f>
        <v>ROS1_ARATH</v>
      </c>
      <c r="D4049" t="s">
        <v>1691</v>
      </c>
      <c r="E4049" s="3" t="s">
        <v>3</v>
      </c>
      <c r="F4049" s="4">
        <v>2.63E-46</v>
      </c>
      <c r="G4049" s="3">
        <v>427</v>
      </c>
      <c r="H4049" s="3">
        <v>58</v>
      </c>
      <c r="I4049" s="3">
        <v>138</v>
      </c>
      <c r="J4049" s="3">
        <v>9</v>
      </c>
      <c r="K4049" s="3">
        <v>422</v>
      </c>
      <c r="L4049" s="3">
        <v>1253</v>
      </c>
      <c r="M4049" s="3">
        <v>1389</v>
      </c>
    </row>
    <row r="4050" spans="1:13" x14ac:dyDescent="0.25">
      <c r="A4050" s="1" t="str">
        <f>HYPERLINK("http://www.rosaceae.org/Prunus/Prunus_persica/p.persica_gdr_reftransV1_0049120","p.persica_gdr_reftransV1_0049120")</f>
        <v>p.persica_gdr_reftransV1_0049120</v>
      </c>
      <c r="B4050" s="3">
        <v>2641</v>
      </c>
      <c r="C4050" s="1" t="str">
        <f>HYPERLINK("http://www.uniprot.org/uniprot/SC24A_BOVIN","SC24A_BOVIN")</f>
        <v>SC24A_BOVIN</v>
      </c>
      <c r="D4050" t="s">
        <v>3624</v>
      </c>
      <c r="E4050" s="3" t="s">
        <v>184</v>
      </c>
      <c r="F4050" s="4">
        <v>1.1600000000000001E-22</v>
      </c>
      <c r="G4050" s="3">
        <v>269</v>
      </c>
      <c r="H4050" s="3">
        <v>25</v>
      </c>
      <c r="I4050" s="3">
        <v>622</v>
      </c>
      <c r="J4050" s="3">
        <v>4</v>
      </c>
      <c r="K4050" s="3">
        <v>1791</v>
      </c>
      <c r="L4050" s="3">
        <v>393</v>
      </c>
      <c r="M4050" s="3">
        <v>934</v>
      </c>
    </row>
    <row r="4051" spans="1:13" x14ac:dyDescent="0.25">
      <c r="A4051" s="1" t="str">
        <f>HYPERLINK("http://www.rosaceae.org/Prunus/Prunus_persica/p.persica_gdr_reftransV1_0049170","p.persica_gdr_reftransV1_0049170")</f>
        <v>p.persica_gdr_reftransV1_0049170</v>
      </c>
      <c r="B4051" s="3">
        <v>681</v>
      </c>
      <c r="C4051" s="1" t="str">
        <f>HYPERLINK("http://www.uniprot.org/uniprot/HMGB2_ARATH","HMGB2_ARATH")</f>
        <v>HMGB2_ARATH</v>
      </c>
      <c r="D4051" t="s">
        <v>3625</v>
      </c>
      <c r="E4051" s="3" t="s">
        <v>3</v>
      </c>
      <c r="F4051" s="4">
        <v>1.3699999999999999E-36</v>
      </c>
      <c r="G4051" s="3">
        <v>330</v>
      </c>
      <c r="H4051" s="3">
        <v>84</v>
      </c>
      <c r="I4051" s="3">
        <v>75</v>
      </c>
      <c r="J4051" s="3">
        <v>168</v>
      </c>
      <c r="K4051" s="3">
        <v>392</v>
      </c>
      <c r="L4051" s="3">
        <v>40</v>
      </c>
      <c r="M4051" s="3">
        <v>114</v>
      </c>
    </row>
    <row r="4052" spans="1:13" x14ac:dyDescent="0.25">
      <c r="A4052" s="1" t="str">
        <f>HYPERLINK("http://www.rosaceae.org/Prunus/Prunus_persica/p.persica_gdr_reftransV1_0000002","p.persica_gdr_reftransV1_0000002")</f>
        <v>p.persica_gdr_reftransV1_0000002</v>
      </c>
      <c r="B4052" s="3">
        <v>2431</v>
      </c>
      <c r="C4052" s="1" t="str">
        <f>HYPERLINK("http://www.uniprot.org/uniprot/GLPT5_ARATH","GLPT5_ARATH")</f>
        <v>GLPT5_ARATH</v>
      </c>
      <c r="D4052" t="s">
        <v>3626</v>
      </c>
      <c r="E4052" s="3" t="s">
        <v>3</v>
      </c>
      <c r="F4052" s="4">
        <v>0</v>
      </c>
      <c r="G4052" s="3">
        <v>1728</v>
      </c>
      <c r="H4052" s="3">
        <v>72</v>
      </c>
      <c r="I4052" s="3">
        <v>488</v>
      </c>
      <c r="J4052" s="3">
        <v>705</v>
      </c>
      <c r="K4052" s="3">
        <v>2165</v>
      </c>
      <c r="L4052" s="3">
        <v>1</v>
      </c>
      <c r="M4052" s="3">
        <v>480</v>
      </c>
    </row>
    <row r="4053" spans="1:13" x14ac:dyDescent="0.25">
      <c r="A4053" s="1" t="str">
        <f>HYPERLINK("http://www.rosaceae.org/Prunus/Prunus_persica/p.persica_gdr_reftransV1_0000052","p.persica_gdr_reftransV1_0000052")</f>
        <v>p.persica_gdr_reftransV1_0000052</v>
      </c>
      <c r="B4053" s="3">
        <v>765</v>
      </c>
      <c r="C4053" s="1" t="str">
        <f>HYPERLINK("http://www.uniprot.org/uniprot/RAH1E_ARATH","RAH1E_ARATH")</f>
        <v>RAH1E_ARATH</v>
      </c>
      <c r="D4053" t="s">
        <v>3627</v>
      </c>
      <c r="E4053" s="3" t="s">
        <v>3</v>
      </c>
      <c r="F4053" s="4">
        <v>1.02E-65</v>
      </c>
      <c r="G4053" s="3">
        <v>533</v>
      </c>
      <c r="H4053" s="3">
        <v>85</v>
      </c>
      <c r="I4053" s="3">
        <v>116</v>
      </c>
      <c r="J4053" s="3">
        <v>215</v>
      </c>
      <c r="K4053" s="3">
        <v>559</v>
      </c>
      <c r="L4053" s="3">
        <v>92</v>
      </c>
      <c r="M4053" s="3">
        <v>207</v>
      </c>
    </row>
    <row r="4054" spans="1:13" x14ac:dyDescent="0.25">
      <c r="A4054" s="1" t="str">
        <f>HYPERLINK("http://www.rosaceae.org/Prunus/Prunus_persica/p.persica_gdr_reftransV1_0000102","p.persica_gdr_reftransV1_0000102")</f>
        <v>p.persica_gdr_reftransV1_0000102</v>
      </c>
      <c r="B4054" s="3">
        <v>1132</v>
      </c>
      <c r="C4054" s="1" t="str">
        <f>HYPERLINK("http://www.uniprot.org/uniprot/FH11_ARATH","FH11_ARATH")</f>
        <v>FH11_ARATH</v>
      </c>
      <c r="D4054" t="s">
        <v>3628</v>
      </c>
      <c r="E4054" s="3" t="s">
        <v>3</v>
      </c>
      <c r="F4054" s="4">
        <v>7.5999999999999999E-13</v>
      </c>
      <c r="G4054" s="3">
        <v>180</v>
      </c>
      <c r="H4054" s="3">
        <v>32</v>
      </c>
      <c r="I4054" s="3">
        <v>311</v>
      </c>
      <c r="J4054" s="3">
        <v>170</v>
      </c>
      <c r="K4054" s="3">
        <v>1060</v>
      </c>
      <c r="L4054" s="3">
        <v>50</v>
      </c>
      <c r="M4054" s="3">
        <v>335</v>
      </c>
    </row>
    <row r="4055" spans="1:13" x14ac:dyDescent="0.25">
      <c r="A4055" s="1" t="str">
        <f>HYPERLINK("http://www.rosaceae.org/Prunus/Prunus_persica/p.persica_gdr_reftransV1_0000152","p.persica_gdr_reftransV1_0000152")</f>
        <v>p.persica_gdr_reftransV1_0000152</v>
      </c>
      <c r="B4055" s="3">
        <v>786</v>
      </c>
      <c r="C4055" s="1" t="str">
        <f>HYPERLINK("http://www.uniprot.org/uniprot/WRK18_ARATH","WRK18_ARATH")</f>
        <v>WRK18_ARATH</v>
      </c>
      <c r="D4055" t="s">
        <v>3206</v>
      </c>
      <c r="E4055" s="3" t="s">
        <v>3</v>
      </c>
      <c r="F4055" s="4">
        <v>4.0199999999999998E-29</v>
      </c>
      <c r="G4055" s="3">
        <v>292</v>
      </c>
      <c r="H4055" s="3">
        <v>72</v>
      </c>
      <c r="I4055" s="3">
        <v>74</v>
      </c>
      <c r="J4055" s="3">
        <v>563</v>
      </c>
      <c r="K4055" s="3">
        <v>784</v>
      </c>
      <c r="L4055" s="3">
        <v>167</v>
      </c>
      <c r="M4055" s="3">
        <v>239</v>
      </c>
    </row>
    <row r="4056" spans="1:13" x14ac:dyDescent="0.25">
      <c r="A4056" s="1" t="str">
        <f>HYPERLINK("http://www.rosaceae.org/Prunus/Prunus_persica/p.persica_gdr_reftransV1_0000202","p.persica_gdr_reftransV1_0000202")</f>
        <v>p.persica_gdr_reftransV1_0000202</v>
      </c>
      <c r="B4056" s="3">
        <v>763</v>
      </c>
      <c r="C4056" s="1" t="str">
        <f>HYPERLINK("http://www.uniprot.org/uniprot/KASC2_ARATH","KASC2_ARATH")</f>
        <v>KASC2_ARATH</v>
      </c>
      <c r="D4056" t="s">
        <v>3629</v>
      </c>
      <c r="E4056" s="3" t="s">
        <v>3</v>
      </c>
      <c r="F4056" s="4">
        <v>6.9400000000000002E-65</v>
      </c>
      <c r="G4056" s="3">
        <v>552</v>
      </c>
      <c r="H4056" s="3">
        <v>84</v>
      </c>
      <c r="I4056" s="3">
        <v>135</v>
      </c>
      <c r="J4056" s="3">
        <v>1</v>
      </c>
      <c r="K4056" s="3">
        <v>405</v>
      </c>
      <c r="L4056" s="3">
        <v>369</v>
      </c>
      <c r="M4056" s="3">
        <v>503</v>
      </c>
    </row>
    <row r="4057" spans="1:13" x14ac:dyDescent="0.25">
      <c r="A4057" s="1" t="str">
        <f>HYPERLINK("http://www.rosaceae.org/Prunus/Prunus_persica/p.persica_gdr_reftransV1_0000302","p.persica_gdr_reftransV1_0000302")</f>
        <v>p.persica_gdr_reftransV1_0000302</v>
      </c>
      <c r="B4057" s="3">
        <v>1556</v>
      </c>
      <c r="C4057" s="1" t="str">
        <f>HYPERLINK("http://www.uniprot.org/uniprot/LAZH2_ARATH","LAZH2_ARATH")</f>
        <v>LAZH2_ARATH</v>
      </c>
      <c r="D4057" t="s">
        <v>3630</v>
      </c>
      <c r="E4057" s="3" t="s">
        <v>3</v>
      </c>
      <c r="F4057" s="4">
        <v>8.0400000000000003E-171</v>
      </c>
      <c r="G4057" s="3">
        <v>1275</v>
      </c>
      <c r="H4057" s="3">
        <v>69</v>
      </c>
      <c r="I4057" s="3">
        <v>386</v>
      </c>
      <c r="J4057" s="3">
        <v>188</v>
      </c>
      <c r="K4057" s="3">
        <v>1342</v>
      </c>
      <c r="L4057" s="3">
        <v>7</v>
      </c>
      <c r="M4057" s="3">
        <v>382</v>
      </c>
    </row>
    <row r="4058" spans="1:13" x14ac:dyDescent="0.25">
      <c r="A4058" s="1" t="str">
        <f>HYPERLINK("http://www.rosaceae.org/Prunus/Prunus_persica/p.persica_gdr_reftransV1_0000352","p.persica_gdr_reftransV1_0000352")</f>
        <v>p.persica_gdr_reftransV1_0000352</v>
      </c>
      <c r="B4058" s="3">
        <v>1265</v>
      </c>
      <c r="C4058" s="1" t="str">
        <f>HYPERLINK("http://www.uniprot.org/uniprot/CNBL4_ARATH","CNBL4_ARATH")</f>
        <v>CNBL4_ARATH</v>
      </c>
      <c r="D4058" t="s">
        <v>3023</v>
      </c>
      <c r="E4058" s="3" t="s">
        <v>3</v>
      </c>
      <c r="F4058" s="4">
        <v>4.1399999999999998E-109</v>
      </c>
      <c r="G4058" s="3">
        <v>839</v>
      </c>
      <c r="H4058" s="3">
        <v>77</v>
      </c>
      <c r="I4058" s="3">
        <v>207</v>
      </c>
      <c r="J4058" s="3">
        <v>265</v>
      </c>
      <c r="K4058" s="3">
        <v>870</v>
      </c>
      <c r="L4058" s="3">
        <v>1</v>
      </c>
      <c r="M4058" s="3">
        <v>207</v>
      </c>
    </row>
    <row r="4059" spans="1:13" x14ac:dyDescent="0.25">
      <c r="A4059" s="1" t="str">
        <f>HYPERLINK("http://www.rosaceae.org/Prunus/Prunus_persica/p.persica_gdr_reftransV1_0000452","p.persica_gdr_reftransV1_0000452")</f>
        <v>p.persica_gdr_reftransV1_0000452</v>
      </c>
      <c r="B4059" s="3">
        <v>1193</v>
      </c>
      <c r="C4059" s="1" t="str">
        <f>HYPERLINK("http://www.uniprot.org/uniprot/Y5614_ARATH","Y5614_ARATH")</f>
        <v>Y5614_ARATH</v>
      </c>
      <c r="D4059" t="s">
        <v>3631</v>
      </c>
      <c r="E4059" s="3" t="s">
        <v>3</v>
      </c>
      <c r="F4059" s="4">
        <v>1.38E-145</v>
      </c>
      <c r="G4059" s="3">
        <v>1147</v>
      </c>
      <c r="H4059" s="3">
        <v>67</v>
      </c>
      <c r="I4059" s="3">
        <v>340</v>
      </c>
      <c r="J4059" s="3">
        <v>183</v>
      </c>
      <c r="K4059" s="3">
        <v>1193</v>
      </c>
      <c r="L4059" s="3">
        <v>706</v>
      </c>
      <c r="M4059" s="3">
        <v>1033</v>
      </c>
    </row>
    <row r="4060" spans="1:13" x14ac:dyDescent="0.25">
      <c r="A4060" s="1" t="str">
        <f>HYPERLINK("http://www.rosaceae.org/Prunus/Prunus_persica/p.persica_gdr_reftransV1_0000602","p.persica_gdr_reftransV1_0000602")</f>
        <v>p.persica_gdr_reftransV1_0000602</v>
      </c>
      <c r="B4060" s="3">
        <v>1541</v>
      </c>
      <c r="C4060" s="1" t="str">
        <f>HYPERLINK("http://www.uniprot.org/uniprot/AMP22_MACIN","AMP22_MACIN")</f>
        <v>AMP22_MACIN</v>
      </c>
      <c r="D4060" t="s">
        <v>3632</v>
      </c>
      <c r="E4060" s="3" t="s">
        <v>883</v>
      </c>
      <c r="F4060" s="4">
        <v>1.8300000000000001E-25</v>
      </c>
      <c r="G4060" s="3">
        <v>284</v>
      </c>
      <c r="H4060" s="3">
        <v>23</v>
      </c>
      <c r="I4060" s="3">
        <v>363</v>
      </c>
      <c r="J4060" s="3">
        <v>308</v>
      </c>
      <c r="K4060" s="3">
        <v>1333</v>
      </c>
      <c r="L4060" s="3">
        <v>289</v>
      </c>
      <c r="M4060" s="3">
        <v>637</v>
      </c>
    </row>
    <row r="4061" spans="1:13" x14ac:dyDescent="0.25">
      <c r="A4061" s="1" t="str">
        <f>HYPERLINK("http://www.rosaceae.org/Prunus/Prunus_persica/p.persica_gdr_reftransV1_0000702","p.persica_gdr_reftransV1_0000702")</f>
        <v>p.persica_gdr_reftransV1_0000702</v>
      </c>
      <c r="B4061" s="3">
        <v>1044</v>
      </c>
      <c r="C4061" s="1" t="str">
        <f>HYPERLINK("http://www.uniprot.org/uniprot/MIOX1_ARATH","MIOX1_ARATH")</f>
        <v>MIOX1_ARATH</v>
      </c>
      <c r="D4061" t="s">
        <v>1435</v>
      </c>
      <c r="E4061" s="3" t="s">
        <v>3</v>
      </c>
      <c r="F4061" s="4">
        <v>1.63E-158</v>
      </c>
      <c r="G4061" s="3">
        <v>1167</v>
      </c>
      <c r="H4061" s="3">
        <v>76</v>
      </c>
      <c r="I4061" s="3">
        <v>293</v>
      </c>
      <c r="J4061" s="3">
        <v>178</v>
      </c>
      <c r="K4061" s="3">
        <v>1044</v>
      </c>
      <c r="L4061" s="3">
        <v>1</v>
      </c>
      <c r="M4061" s="3">
        <v>291</v>
      </c>
    </row>
    <row r="4062" spans="1:13" x14ac:dyDescent="0.25">
      <c r="A4062" s="1" t="str">
        <f>HYPERLINK("http://www.rosaceae.org/Prunus/Prunus_persica/p.persica_gdr_reftransV1_0000752","p.persica_gdr_reftransV1_0000752")</f>
        <v>p.persica_gdr_reftransV1_0000752</v>
      </c>
      <c r="B4062" s="3">
        <v>1760</v>
      </c>
      <c r="C4062" s="1" t="str">
        <f>HYPERLINK("http://www.uniprot.org/uniprot/SAPK3_ORYSJ","SAPK3_ORYSJ")</f>
        <v>SAPK3_ORYSJ</v>
      </c>
      <c r="D4062" t="s">
        <v>3411</v>
      </c>
      <c r="E4062" s="3" t="s">
        <v>38</v>
      </c>
      <c r="F4062" s="4">
        <v>0</v>
      </c>
      <c r="G4062" s="3">
        <v>1384</v>
      </c>
      <c r="H4062" s="3">
        <v>79</v>
      </c>
      <c r="I4062" s="3">
        <v>329</v>
      </c>
      <c r="J4062" s="3">
        <v>477</v>
      </c>
      <c r="K4062" s="3">
        <v>1454</v>
      </c>
      <c r="L4062" s="3">
        <v>1</v>
      </c>
      <c r="M4062" s="3">
        <v>329</v>
      </c>
    </row>
    <row r="4063" spans="1:13" x14ac:dyDescent="0.25">
      <c r="A4063" s="1" t="str">
        <f>HYPERLINK("http://www.rosaceae.org/Prunus/Prunus_persica/p.persica_gdr_reftransV1_0000852","p.persica_gdr_reftransV1_0000852")</f>
        <v>p.persica_gdr_reftransV1_0000852</v>
      </c>
      <c r="B4063" s="3">
        <v>1247</v>
      </c>
      <c r="C4063" s="1" t="str">
        <f>HYPERLINK("http://www.uniprot.org/uniprot/GUF1_RICCO","GUF1_RICCO")</f>
        <v>GUF1_RICCO</v>
      </c>
      <c r="D4063" t="s">
        <v>1777</v>
      </c>
      <c r="E4063" s="3" t="s">
        <v>421</v>
      </c>
      <c r="F4063" s="4">
        <v>0</v>
      </c>
      <c r="G4063" s="3">
        <v>1593</v>
      </c>
      <c r="H4063" s="3">
        <v>90</v>
      </c>
      <c r="I4063" s="3">
        <v>336</v>
      </c>
      <c r="J4063" s="3">
        <v>1</v>
      </c>
      <c r="K4063" s="3">
        <v>1008</v>
      </c>
      <c r="L4063" s="3">
        <v>333</v>
      </c>
      <c r="M4063" s="3">
        <v>668</v>
      </c>
    </row>
    <row r="4064" spans="1:13" x14ac:dyDescent="0.25">
      <c r="A4064" s="1" t="str">
        <f>HYPERLINK("http://www.rosaceae.org/Prunus/Prunus_persica/p.persica_gdr_reftransV1_0000952","p.persica_gdr_reftransV1_0000952")</f>
        <v>p.persica_gdr_reftransV1_0000952</v>
      </c>
      <c r="B4064" s="3">
        <v>1945</v>
      </c>
      <c r="C4064" s="1" t="str">
        <f>HYPERLINK("http://www.uniprot.org/uniprot/SYDC2_ARATH","SYDC2_ARATH")</f>
        <v>SYDC2_ARATH</v>
      </c>
      <c r="D4064" t="s">
        <v>3633</v>
      </c>
      <c r="E4064" s="3" t="s">
        <v>3</v>
      </c>
      <c r="F4064" s="4">
        <v>0</v>
      </c>
      <c r="G4064" s="3">
        <v>1824</v>
      </c>
      <c r="H4064" s="3">
        <v>68</v>
      </c>
      <c r="I4064" s="3">
        <v>501</v>
      </c>
      <c r="J4064" s="3">
        <v>283</v>
      </c>
      <c r="K4064" s="3">
        <v>1752</v>
      </c>
      <c r="L4064" s="3">
        <v>58</v>
      </c>
      <c r="M4064" s="3">
        <v>558</v>
      </c>
    </row>
    <row r="4065" spans="1:13" x14ac:dyDescent="0.25">
      <c r="A4065" s="1" t="str">
        <f>HYPERLINK("http://www.rosaceae.org/Prunus/Prunus_persica/p.persica_gdr_reftransV1_0001002","p.persica_gdr_reftransV1_0001002")</f>
        <v>p.persica_gdr_reftransV1_0001002</v>
      </c>
      <c r="B4065" s="3">
        <v>629</v>
      </c>
      <c r="C4065" s="1" t="str">
        <f>HYPERLINK("http://www.uniprot.org/uniprot/HIP26_ARATH","HIP26_ARATH")</f>
        <v>HIP26_ARATH</v>
      </c>
      <c r="D4065" t="s">
        <v>413</v>
      </c>
      <c r="E4065" s="3" t="s">
        <v>3</v>
      </c>
      <c r="F4065" s="4">
        <v>2.3400000000000001E-59</v>
      </c>
      <c r="G4065" s="3">
        <v>481</v>
      </c>
      <c r="H4065" s="3">
        <v>69</v>
      </c>
      <c r="I4065" s="3">
        <v>155</v>
      </c>
      <c r="J4065" s="3">
        <v>151</v>
      </c>
      <c r="K4065" s="3">
        <v>615</v>
      </c>
      <c r="L4065" s="3">
        <v>1</v>
      </c>
      <c r="M4065" s="3">
        <v>153</v>
      </c>
    </row>
    <row r="4066" spans="1:13" x14ac:dyDescent="0.25">
      <c r="A4066" s="1" t="str">
        <f>HYPERLINK("http://www.rosaceae.org/Prunus/Prunus_persica/p.persica_gdr_reftransV1_0001052","p.persica_gdr_reftransV1_0001052")</f>
        <v>p.persica_gdr_reftransV1_0001052</v>
      </c>
      <c r="B4066" s="3">
        <v>1236</v>
      </c>
      <c r="C4066" s="1" t="str">
        <f>HYPERLINK("http://www.uniprot.org/uniprot/PTR14_ARATH","PTR14_ARATH")</f>
        <v>PTR14_ARATH</v>
      </c>
      <c r="D4066" t="s">
        <v>1623</v>
      </c>
      <c r="E4066" s="3" t="s">
        <v>3</v>
      </c>
      <c r="F4066" s="4">
        <v>1.4600000000000001E-129</v>
      </c>
      <c r="G4066" s="3">
        <v>1010</v>
      </c>
      <c r="H4066" s="3">
        <v>53</v>
      </c>
      <c r="I4066" s="3">
        <v>375</v>
      </c>
      <c r="J4066" s="3">
        <v>2</v>
      </c>
      <c r="K4066" s="3">
        <v>1108</v>
      </c>
      <c r="L4066" s="3">
        <v>217</v>
      </c>
      <c r="M4066" s="3">
        <v>589</v>
      </c>
    </row>
    <row r="4067" spans="1:13" x14ac:dyDescent="0.25">
      <c r="A4067" s="1" t="str">
        <f>HYPERLINK("http://www.rosaceae.org/Prunus/Prunus_persica/p.persica_gdr_reftransV1_0001152","p.persica_gdr_reftransV1_0001152")</f>
        <v>p.persica_gdr_reftransV1_0001152</v>
      </c>
      <c r="B4067" s="3">
        <v>337</v>
      </c>
      <c r="C4067" s="1" t="str">
        <f>HYPERLINK("http://www.uniprot.org/uniprot/C71B2_ARATH","C71B2_ARATH")</f>
        <v>C71B2_ARATH</v>
      </c>
      <c r="D4067" t="s">
        <v>3634</v>
      </c>
      <c r="E4067" s="3" t="s">
        <v>3</v>
      </c>
      <c r="F4067" s="4">
        <v>2.1800000000000001E-23</v>
      </c>
      <c r="G4067" s="3">
        <v>242</v>
      </c>
      <c r="H4067" s="3">
        <v>45</v>
      </c>
      <c r="I4067" s="3">
        <v>112</v>
      </c>
      <c r="J4067" s="3">
        <v>7</v>
      </c>
      <c r="K4067" s="3">
        <v>336</v>
      </c>
      <c r="L4067" s="3">
        <v>107</v>
      </c>
      <c r="M4067" s="3">
        <v>215</v>
      </c>
    </row>
    <row r="4068" spans="1:13" x14ac:dyDescent="0.25">
      <c r="A4068" s="1" t="str">
        <f>HYPERLINK("http://www.rosaceae.org/Prunus/Prunus_persica/p.persica_gdr_reftransV1_0001252","p.persica_gdr_reftransV1_0001252")</f>
        <v>p.persica_gdr_reftransV1_0001252</v>
      </c>
      <c r="B4068" s="3">
        <v>1495</v>
      </c>
      <c r="C4068" s="1" t="str">
        <f>HYPERLINK("http://www.uniprot.org/uniprot/UBP27_ARATH","UBP27_ARATH")</f>
        <v>UBP27_ARATH</v>
      </c>
      <c r="D4068" t="s">
        <v>3635</v>
      </c>
      <c r="E4068" s="3" t="s">
        <v>3</v>
      </c>
      <c r="F4068" s="4">
        <v>4.8099999999999996E-38</v>
      </c>
      <c r="G4068" s="3">
        <v>377</v>
      </c>
      <c r="H4068" s="3">
        <v>53</v>
      </c>
      <c r="I4068" s="3">
        <v>132</v>
      </c>
      <c r="J4068" s="3">
        <v>129</v>
      </c>
      <c r="K4068" s="3">
        <v>524</v>
      </c>
      <c r="L4068" s="3">
        <v>271</v>
      </c>
      <c r="M4068" s="3">
        <v>401</v>
      </c>
    </row>
    <row r="4069" spans="1:13" x14ac:dyDescent="0.25">
      <c r="A4069" s="1" t="str">
        <f>HYPERLINK("http://www.rosaceae.org/Prunus/Prunus_persica/p.persica_gdr_reftransV1_0001302","p.persica_gdr_reftransV1_0001302")</f>
        <v>p.persica_gdr_reftransV1_0001302</v>
      </c>
      <c r="B4069" s="3">
        <v>1011</v>
      </c>
      <c r="C4069" s="1" t="str">
        <f>HYPERLINK("http://www.uniprot.org/uniprot/CML13_ARATH","CML13_ARATH")</f>
        <v>CML13_ARATH</v>
      </c>
      <c r="D4069" t="s">
        <v>3636</v>
      </c>
      <c r="E4069" s="3" t="s">
        <v>3</v>
      </c>
      <c r="F4069" s="4">
        <v>7.5699999999999999E-86</v>
      </c>
      <c r="G4069" s="3">
        <v>669</v>
      </c>
      <c r="H4069" s="3">
        <v>86</v>
      </c>
      <c r="I4069" s="3">
        <v>148</v>
      </c>
      <c r="J4069" s="3">
        <v>408</v>
      </c>
      <c r="K4069" s="3">
        <v>848</v>
      </c>
      <c r="L4069" s="3">
        <v>1</v>
      </c>
      <c r="M4069" s="3">
        <v>148</v>
      </c>
    </row>
    <row r="4070" spans="1:13" x14ac:dyDescent="0.25">
      <c r="A4070" s="1" t="str">
        <f>HYPERLINK("http://www.rosaceae.org/Prunus/Prunus_persica/p.persica_gdr_reftransV1_0001402","p.persica_gdr_reftransV1_0001402")</f>
        <v>p.persica_gdr_reftransV1_0001402</v>
      </c>
      <c r="B4070" s="3">
        <v>2488</v>
      </c>
      <c r="C4070" s="1" t="str">
        <f>HYPERLINK("http://www.uniprot.org/uniprot/FB248_ARATH","FB248_ARATH")</f>
        <v>FB248_ARATH</v>
      </c>
      <c r="D4070" t="s">
        <v>2700</v>
      </c>
      <c r="E4070" s="3" t="s">
        <v>3</v>
      </c>
      <c r="F4070" s="4">
        <v>2.6099999999999999E-97</v>
      </c>
      <c r="G4070" s="3">
        <v>801</v>
      </c>
      <c r="H4070" s="3">
        <v>55</v>
      </c>
      <c r="I4070" s="3">
        <v>321</v>
      </c>
      <c r="J4070" s="3">
        <v>1587</v>
      </c>
      <c r="K4070" s="3">
        <v>2378</v>
      </c>
      <c r="L4070" s="3">
        <v>1</v>
      </c>
      <c r="M4070" s="3">
        <v>320</v>
      </c>
    </row>
    <row r="4071" spans="1:13" x14ac:dyDescent="0.25">
      <c r="A4071" s="1" t="str">
        <f>HYPERLINK("http://www.rosaceae.org/Prunus/Prunus_persica/p.persica_gdr_reftransV1_0001452","p.persica_gdr_reftransV1_0001452")</f>
        <v>p.persica_gdr_reftransV1_0001452</v>
      </c>
      <c r="B4071" s="3">
        <v>1800</v>
      </c>
      <c r="C4071" s="1" t="str">
        <f>HYPERLINK("http://www.uniprot.org/uniprot/NHX4_ARATH","NHX4_ARATH")</f>
        <v>NHX4_ARATH</v>
      </c>
      <c r="D4071" t="s">
        <v>3637</v>
      </c>
      <c r="E4071" s="3" t="s">
        <v>3</v>
      </c>
      <c r="F4071" s="4">
        <v>0</v>
      </c>
      <c r="G4071" s="3">
        <v>1793</v>
      </c>
      <c r="H4071" s="3">
        <v>74</v>
      </c>
      <c r="I4071" s="3">
        <v>456</v>
      </c>
      <c r="J4071" s="3">
        <v>395</v>
      </c>
      <c r="K4071" s="3">
        <v>1750</v>
      </c>
      <c r="L4071" s="3">
        <v>66</v>
      </c>
      <c r="M4071" s="3">
        <v>521</v>
      </c>
    </row>
    <row r="4072" spans="1:13" x14ac:dyDescent="0.25">
      <c r="A4072" s="1" t="str">
        <f>HYPERLINK("http://www.rosaceae.org/Prunus/Prunus_persica/p.persica_gdr_reftransV1_0001502","p.persica_gdr_reftransV1_0001502")</f>
        <v>p.persica_gdr_reftransV1_0001502</v>
      </c>
      <c r="B4072" s="3">
        <v>903</v>
      </c>
      <c r="C4072" s="1" t="str">
        <f>HYPERLINK("http://www.uniprot.org/uniprot/AASS_ARATH","AASS_ARATH")</f>
        <v>AASS_ARATH</v>
      </c>
      <c r="D4072" t="s">
        <v>3638</v>
      </c>
      <c r="E4072" s="3" t="s">
        <v>3</v>
      </c>
      <c r="F4072" s="4">
        <v>6.6999999999999998E-43</v>
      </c>
      <c r="G4072" s="3">
        <v>411</v>
      </c>
      <c r="H4072" s="3">
        <v>72</v>
      </c>
      <c r="I4072" s="3">
        <v>110</v>
      </c>
      <c r="J4072" s="3">
        <v>416</v>
      </c>
      <c r="K4072" s="3">
        <v>742</v>
      </c>
      <c r="L4072" s="3">
        <v>955</v>
      </c>
      <c r="M4072" s="3">
        <v>1064</v>
      </c>
    </row>
    <row r="4073" spans="1:13" x14ac:dyDescent="0.25">
      <c r="A4073" s="1" t="str">
        <f>HYPERLINK("http://www.rosaceae.org/Prunus/Prunus_persica/p.persica_gdr_reftransV1_0001552","p.persica_gdr_reftransV1_0001552")</f>
        <v>p.persica_gdr_reftransV1_0001552</v>
      </c>
      <c r="B4073" s="3">
        <v>559</v>
      </c>
      <c r="C4073" s="1" t="str">
        <f>HYPERLINK("http://www.uniprot.org/uniprot/RAVL2_ARATH","RAVL2_ARATH")</f>
        <v>RAVL2_ARATH</v>
      </c>
      <c r="D4073" t="s">
        <v>3639</v>
      </c>
      <c r="E4073" s="3" t="s">
        <v>3</v>
      </c>
      <c r="F4073" s="4">
        <v>4.4399999999999998E-29</v>
      </c>
      <c r="G4073" s="3">
        <v>286</v>
      </c>
      <c r="H4073" s="3">
        <v>39</v>
      </c>
      <c r="I4073" s="3">
        <v>194</v>
      </c>
      <c r="J4073" s="3">
        <v>11</v>
      </c>
      <c r="K4073" s="3">
        <v>559</v>
      </c>
      <c r="L4073" s="3">
        <v>161</v>
      </c>
      <c r="M4073" s="3">
        <v>334</v>
      </c>
    </row>
    <row r="4074" spans="1:13" x14ac:dyDescent="0.25">
      <c r="A4074" s="1" t="str">
        <f>HYPERLINK("http://www.rosaceae.org/Prunus/Prunus_persica/p.persica_gdr_reftransV1_0001602","p.persica_gdr_reftransV1_0001602")</f>
        <v>p.persica_gdr_reftransV1_0001602</v>
      </c>
      <c r="B4074" s="3">
        <v>299</v>
      </c>
      <c r="C4074" s="1" t="str">
        <f>HYPERLINK("http://www.uniprot.org/uniprot/SNF3_YEAST","SNF3_YEAST")</f>
        <v>SNF3_YEAST</v>
      </c>
      <c r="D4074" t="s">
        <v>3640</v>
      </c>
      <c r="E4074" s="3" t="s">
        <v>34</v>
      </c>
      <c r="F4074" s="4">
        <v>1.7800000000000001E-27</v>
      </c>
      <c r="G4074" s="3">
        <v>274</v>
      </c>
      <c r="H4074" s="3">
        <v>47</v>
      </c>
      <c r="I4074" s="3">
        <v>99</v>
      </c>
      <c r="J4074" s="3">
        <v>1</v>
      </c>
      <c r="K4074" s="3">
        <v>297</v>
      </c>
      <c r="L4074" s="3">
        <v>198</v>
      </c>
      <c r="M4074" s="3">
        <v>296</v>
      </c>
    </row>
    <row r="4075" spans="1:13" x14ac:dyDescent="0.25">
      <c r="A4075" s="1" t="str">
        <f>HYPERLINK("http://www.rosaceae.org/Prunus/Prunus_persica/p.persica_gdr_reftransV1_0001652","p.persica_gdr_reftransV1_0001652")</f>
        <v>p.persica_gdr_reftransV1_0001652</v>
      </c>
      <c r="B4075" s="3">
        <v>3522</v>
      </c>
      <c r="C4075" s="1" t="str">
        <f>HYPERLINK("http://www.uniprot.org/uniprot/ATPD_TOBAC","ATPD_TOBAC")</f>
        <v>ATPD_TOBAC</v>
      </c>
      <c r="D4075" t="s">
        <v>3641</v>
      </c>
      <c r="E4075" s="3" t="s">
        <v>200</v>
      </c>
      <c r="F4075" s="4">
        <v>3.3900000000000001E-74</v>
      </c>
      <c r="G4075" s="3">
        <v>641</v>
      </c>
      <c r="H4075" s="3">
        <v>72</v>
      </c>
      <c r="I4075" s="3">
        <v>169</v>
      </c>
      <c r="J4075" s="3">
        <v>179</v>
      </c>
      <c r="K4075" s="3">
        <v>685</v>
      </c>
      <c r="L4075" s="3">
        <v>78</v>
      </c>
      <c r="M4075" s="3">
        <v>246</v>
      </c>
    </row>
    <row r="4076" spans="1:13" x14ac:dyDescent="0.25">
      <c r="A4076" s="1" t="str">
        <f>HYPERLINK("http://www.rosaceae.org/Prunus/Prunus_persica/p.persica_gdr_reftransV1_0001702","p.persica_gdr_reftransV1_0001702")</f>
        <v>p.persica_gdr_reftransV1_0001702</v>
      </c>
      <c r="B4076" s="3">
        <v>759</v>
      </c>
      <c r="C4076" s="1" t="str">
        <f>HYPERLINK("http://www.uniprot.org/uniprot/TBB6_MAIZE","TBB6_MAIZE")</f>
        <v>TBB6_MAIZE</v>
      </c>
      <c r="D4076" t="s">
        <v>3642</v>
      </c>
      <c r="E4076" s="3" t="s">
        <v>72</v>
      </c>
      <c r="F4076" s="4">
        <v>4.9499999999999996E-140</v>
      </c>
      <c r="G4076" s="3">
        <v>1047</v>
      </c>
      <c r="H4076" s="3">
        <v>94</v>
      </c>
      <c r="I4076" s="3">
        <v>218</v>
      </c>
      <c r="J4076" s="3">
        <v>3</v>
      </c>
      <c r="K4076" s="3">
        <v>656</v>
      </c>
      <c r="L4076" s="3">
        <v>1</v>
      </c>
      <c r="M4076" s="3">
        <v>218</v>
      </c>
    </row>
    <row r="4077" spans="1:13" x14ac:dyDescent="0.25">
      <c r="A4077" s="1" t="str">
        <f>HYPERLINK("http://www.rosaceae.org/Prunus/Prunus_persica/p.persica_gdr_reftransV1_0002002","p.persica_gdr_reftransV1_0002002")</f>
        <v>p.persica_gdr_reftransV1_0002002</v>
      </c>
      <c r="B4077" s="3">
        <v>1129</v>
      </c>
      <c r="C4077" s="1" t="str">
        <f>HYPERLINK("http://www.uniprot.org/uniprot/HERC2_MOUSE","HERC2_MOUSE")</f>
        <v>HERC2_MOUSE</v>
      </c>
      <c r="D4077" t="s">
        <v>3643</v>
      </c>
      <c r="E4077" s="3" t="s">
        <v>157</v>
      </c>
      <c r="F4077" s="4">
        <v>1.1600000000000001E-21</v>
      </c>
      <c r="G4077" s="3">
        <v>154</v>
      </c>
      <c r="H4077" s="3">
        <v>34</v>
      </c>
      <c r="I4077" s="3">
        <v>108</v>
      </c>
      <c r="J4077" s="3">
        <v>687</v>
      </c>
      <c r="K4077" s="3">
        <v>1010</v>
      </c>
      <c r="L4077" s="3">
        <v>4045</v>
      </c>
      <c r="M4077" s="3">
        <v>4148</v>
      </c>
    </row>
    <row r="4078" spans="1:13" x14ac:dyDescent="0.25">
      <c r="A4078" s="1" t="str">
        <f>HYPERLINK("http://www.rosaceae.org/Prunus/Prunus_persica/p.persica_gdr_reftransV1_0002052","p.persica_gdr_reftransV1_0002052")</f>
        <v>p.persica_gdr_reftransV1_0002052</v>
      </c>
      <c r="B4078" s="3">
        <v>1179</v>
      </c>
      <c r="C4078" s="1" t="str">
        <f>HYPERLINK("http://www.uniprot.org/uniprot/BRXL4_ARATH","BRXL4_ARATH")</f>
        <v>BRXL4_ARATH</v>
      </c>
      <c r="D4078" t="s">
        <v>3031</v>
      </c>
      <c r="E4078" s="3" t="s">
        <v>3</v>
      </c>
      <c r="F4078" s="4">
        <v>6.5599999999999996E-145</v>
      </c>
      <c r="G4078" s="3">
        <v>1089</v>
      </c>
      <c r="H4078" s="3">
        <v>81</v>
      </c>
      <c r="I4078" s="3">
        <v>275</v>
      </c>
      <c r="J4078" s="3">
        <v>49</v>
      </c>
      <c r="K4078" s="3">
        <v>867</v>
      </c>
      <c r="L4078" s="3">
        <v>111</v>
      </c>
      <c r="M4078" s="3">
        <v>384</v>
      </c>
    </row>
    <row r="4079" spans="1:13" x14ac:dyDescent="0.25">
      <c r="A4079" s="1" t="str">
        <f>HYPERLINK("http://www.rosaceae.org/Prunus/Prunus_persica/p.persica_gdr_reftransV1_0002102","p.persica_gdr_reftransV1_0002102")</f>
        <v>p.persica_gdr_reftransV1_0002102</v>
      </c>
      <c r="B4079" s="3">
        <v>990</v>
      </c>
      <c r="C4079" s="1" t="str">
        <f>HYPERLINK("http://www.uniprot.org/uniprot/BURP3_ORYSJ","BURP3_ORYSJ")</f>
        <v>BURP3_ORYSJ</v>
      </c>
      <c r="D4079" t="s">
        <v>1863</v>
      </c>
      <c r="E4079" s="3" t="s">
        <v>38</v>
      </c>
      <c r="F4079" s="4">
        <v>1.1599999999999999E-61</v>
      </c>
      <c r="G4079" s="3">
        <v>530</v>
      </c>
      <c r="H4079" s="3">
        <v>50</v>
      </c>
      <c r="I4079" s="3">
        <v>214</v>
      </c>
      <c r="J4079" s="3">
        <v>185</v>
      </c>
      <c r="K4079" s="3">
        <v>811</v>
      </c>
      <c r="L4079" s="3">
        <v>213</v>
      </c>
      <c r="M4079" s="3">
        <v>425</v>
      </c>
    </row>
    <row r="4080" spans="1:13" x14ac:dyDescent="0.25">
      <c r="A4080" s="1" t="str">
        <f>HYPERLINK("http://www.rosaceae.org/Prunus/Prunus_persica/p.persica_gdr_reftransV1_0002202","p.persica_gdr_reftransV1_0002202")</f>
        <v>p.persica_gdr_reftransV1_0002202</v>
      </c>
      <c r="B4080" s="3">
        <v>454</v>
      </c>
      <c r="C4080" s="1" t="str">
        <f>HYPERLINK("http://www.uniprot.org/uniprot/GSTUA_ARATH","GSTUA_ARATH")</f>
        <v>GSTUA_ARATH</v>
      </c>
      <c r="D4080" t="s">
        <v>3644</v>
      </c>
      <c r="E4080" s="3" t="s">
        <v>3</v>
      </c>
      <c r="F4080" s="4">
        <v>1.2000000000000001E-46</v>
      </c>
      <c r="G4080" s="3">
        <v>397</v>
      </c>
      <c r="H4080" s="3">
        <v>48</v>
      </c>
      <c r="I4080" s="3">
        <v>150</v>
      </c>
      <c r="J4080" s="3">
        <v>3</v>
      </c>
      <c r="K4080" s="3">
        <v>452</v>
      </c>
      <c r="L4080" s="3">
        <v>47</v>
      </c>
      <c r="M4080" s="3">
        <v>194</v>
      </c>
    </row>
    <row r="4081" spans="1:13" x14ac:dyDescent="0.25">
      <c r="A4081" s="1" t="str">
        <f>HYPERLINK("http://www.rosaceae.org/Prunus/Prunus_persica/p.persica_gdr_reftransV1_0002252","p.persica_gdr_reftransV1_0002252")</f>
        <v>p.persica_gdr_reftransV1_0002252</v>
      </c>
      <c r="B4081" s="3">
        <v>4550</v>
      </c>
      <c r="C4081" s="1" t="str">
        <f>HYPERLINK("http://www.uniprot.org/uniprot/DCL2_ARATH","DCL2_ARATH")</f>
        <v>DCL2_ARATH</v>
      </c>
      <c r="D4081" t="s">
        <v>3645</v>
      </c>
      <c r="E4081" s="3" t="s">
        <v>3</v>
      </c>
      <c r="F4081" s="4">
        <v>0</v>
      </c>
      <c r="G4081" s="3">
        <v>4046</v>
      </c>
      <c r="H4081" s="3">
        <v>59</v>
      </c>
      <c r="I4081" s="3">
        <v>1403</v>
      </c>
      <c r="J4081" s="3">
        <v>174</v>
      </c>
      <c r="K4081" s="3">
        <v>4358</v>
      </c>
      <c r="L4081" s="3">
        <v>3</v>
      </c>
      <c r="M4081" s="3">
        <v>1386</v>
      </c>
    </row>
    <row r="4082" spans="1:13" x14ac:dyDescent="0.25">
      <c r="A4082" s="1" t="str">
        <f>HYPERLINK("http://www.rosaceae.org/Prunus/Prunus_persica/p.persica_gdr_reftransV1_0002352","p.persica_gdr_reftransV1_0002352")</f>
        <v>p.persica_gdr_reftransV1_0002352</v>
      </c>
      <c r="B4082" s="3">
        <v>1798</v>
      </c>
      <c r="C4082" s="1" t="str">
        <f>HYPERLINK("http://www.uniprot.org/uniprot/TMVRN_NICGU","TMVRN_NICGU")</f>
        <v>TMVRN_NICGU</v>
      </c>
      <c r="D4082" t="s">
        <v>151</v>
      </c>
      <c r="E4082" s="3" t="s">
        <v>152</v>
      </c>
      <c r="F4082" s="4">
        <v>2.2799999999999999E-65</v>
      </c>
      <c r="G4082" s="3">
        <v>602</v>
      </c>
      <c r="H4082" s="3">
        <v>30</v>
      </c>
      <c r="I4082" s="3">
        <v>665</v>
      </c>
      <c r="J4082" s="3">
        <v>2</v>
      </c>
      <c r="K4082" s="3">
        <v>1735</v>
      </c>
      <c r="L4082" s="3">
        <v>324</v>
      </c>
      <c r="M4082" s="3">
        <v>921</v>
      </c>
    </row>
    <row r="4083" spans="1:13" x14ac:dyDescent="0.25">
      <c r="A4083" s="1" t="str">
        <f>HYPERLINK("http://www.rosaceae.org/Prunus/Prunus_persica/p.persica_gdr_reftransV1_0002602","p.persica_gdr_reftransV1_0002602")</f>
        <v>p.persica_gdr_reftransV1_0002602</v>
      </c>
      <c r="B4083" s="3">
        <v>391</v>
      </c>
      <c r="C4083" s="1" t="str">
        <f>HYPERLINK("http://www.uniprot.org/uniprot/PLP2_ARATH","PLP2_ARATH")</f>
        <v>PLP2_ARATH</v>
      </c>
      <c r="D4083" t="s">
        <v>2299</v>
      </c>
      <c r="E4083" s="3" t="s">
        <v>3</v>
      </c>
      <c r="F4083" s="4">
        <v>6.9300000000000003E-57</v>
      </c>
      <c r="G4083" s="3">
        <v>476</v>
      </c>
      <c r="H4083" s="3">
        <v>69</v>
      </c>
      <c r="I4083" s="3">
        <v>130</v>
      </c>
      <c r="J4083" s="3">
        <v>2</v>
      </c>
      <c r="K4083" s="3">
        <v>391</v>
      </c>
      <c r="L4083" s="3">
        <v>70</v>
      </c>
      <c r="M4083" s="3">
        <v>198</v>
      </c>
    </row>
    <row r="4084" spans="1:13" x14ac:dyDescent="0.25">
      <c r="A4084" s="1" t="str">
        <f>HYPERLINK("http://www.rosaceae.org/Prunus/Prunus_persica/p.persica_gdr_reftransV1_0002652","p.persica_gdr_reftransV1_0002652")</f>
        <v>p.persica_gdr_reftransV1_0002652</v>
      </c>
      <c r="B4084" s="3">
        <v>730</v>
      </c>
      <c r="C4084" s="1" t="str">
        <f>HYPERLINK("http://www.uniprot.org/uniprot/POK1_ARATH","POK1_ARATH")</f>
        <v>POK1_ARATH</v>
      </c>
      <c r="D4084" t="s">
        <v>2570</v>
      </c>
      <c r="E4084" s="3" t="s">
        <v>3</v>
      </c>
      <c r="F4084" s="4">
        <v>6.0100000000000001E-139</v>
      </c>
      <c r="G4084" s="3">
        <v>1118</v>
      </c>
      <c r="H4084" s="3">
        <v>84</v>
      </c>
      <c r="I4084" s="3">
        <v>242</v>
      </c>
      <c r="J4084" s="3">
        <v>3</v>
      </c>
      <c r="K4084" s="3">
        <v>728</v>
      </c>
      <c r="L4084" s="3">
        <v>186</v>
      </c>
      <c r="M4084" s="3">
        <v>427</v>
      </c>
    </row>
    <row r="4085" spans="1:13" x14ac:dyDescent="0.25">
      <c r="A4085" s="1" t="str">
        <f>HYPERLINK("http://www.rosaceae.org/Prunus/Prunus_persica/p.persica_gdr_reftransV1_0002702","p.persica_gdr_reftransV1_0002702")</f>
        <v>p.persica_gdr_reftransV1_0002702</v>
      </c>
      <c r="B4085" s="3">
        <v>339</v>
      </c>
      <c r="C4085" s="1" t="str">
        <f>HYPERLINK("http://www.uniprot.org/uniprot/RS27_NEUCR","RS27_NEUCR")</f>
        <v>RS27_NEUCR</v>
      </c>
      <c r="D4085" t="s">
        <v>3646</v>
      </c>
      <c r="E4085" s="3" t="s">
        <v>435</v>
      </c>
      <c r="F4085" s="4">
        <v>8.3099999999999998E-50</v>
      </c>
      <c r="G4085" s="3">
        <v>402</v>
      </c>
      <c r="H4085" s="3">
        <v>95</v>
      </c>
      <c r="I4085" s="3">
        <v>79</v>
      </c>
      <c r="J4085" s="3">
        <v>1</v>
      </c>
      <c r="K4085" s="3">
        <v>237</v>
      </c>
      <c r="L4085" s="3">
        <v>1</v>
      </c>
      <c r="M4085" s="3">
        <v>79</v>
      </c>
    </row>
    <row r="4086" spans="1:13" x14ac:dyDescent="0.25">
      <c r="A4086" s="1" t="str">
        <f>HYPERLINK("http://www.rosaceae.org/Prunus/Prunus_persica/p.persica_gdr_reftransV1_0002852","p.persica_gdr_reftransV1_0002852")</f>
        <v>p.persica_gdr_reftransV1_0002852</v>
      </c>
      <c r="B4086" s="3">
        <v>2430</v>
      </c>
      <c r="C4086" s="1" t="str">
        <f>HYPERLINK("http://www.uniprot.org/uniprot/GAUT9_ARATH","GAUT9_ARATH")</f>
        <v>GAUT9_ARATH</v>
      </c>
      <c r="D4086" t="s">
        <v>3647</v>
      </c>
      <c r="E4086" s="3" t="s">
        <v>3</v>
      </c>
      <c r="F4086" s="4">
        <v>0</v>
      </c>
      <c r="G4086" s="3">
        <v>2107</v>
      </c>
      <c r="H4086" s="3">
        <v>80</v>
      </c>
      <c r="I4086" s="3">
        <v>536</v>
      </c>
      <c r="J4086" s="3">
        <v>341</v>
      </c>
      <c r="K4086" s="3">
        <v>1948</v>
      </c>
      <c r="L4086" s="3">
        <v>26</v>
      </c>
      <c r="M4086" s="3">
        <v>561</v>
      </c>
    </row>
    <row r="4087" spans="1:13" x14ac:dyDescent="0.25">
      <c r="A4087" s="1" t="str">
        <f>HYPERLINK("http://www.rosaceae.org/Prunus/Prunus_persica/p.persica_gdr_reftransV1_0002952","p.persica_gdr_reftransV1_0002952")</f>
        <v>p.persica_gdr_reftransV1_0002952</v>
      </c>
      <c r="B4087" s="3">
        <v>1625</v>
      </c>
      <c r="C4087" s="1" t="str">
        <f>HYPERLINK("http://www.uniprot.org/uniprot/CP41B_ARATH","CP41B_ARATH")</f>
        <v>CP41B_ARATH</v>
      </c>
      <c r="D4087" t="s">
        <v>3648</v>
      </c>
      <c r="E4087" s="3" t="s">
        <v>3</v>
      </c>
      <c r="F4087" s="4">
        <v>0</v>
      </c>
      <c r="G4087" s="3">
        <v>1679</v>
      </c>
      <c r="H4087" s="3">
        <v>85</v>
      </c>
      <c r="I4087" s="3">
        <v>377</v>
      </c>
      <c r="J4087" s="3">
        <v>394</v>
      </c>
      <c r="K4087" s="3">
        <v>1524</v>
      </c>
      <c r="L4087" s="3">
        <v>1</v>
      </c>
      <c r="M4087" s="3">
        <v>373</v>
      </c>
    </row>
    <row r="4088" spans="1:13" x14ac:dyDescent="0.25">
      <c r="A4088" s="1" t="str">
        <f>HYPERLINK("http://www.rosaceae.org/Prunus/Prunus_persica/p.persica_gdr_reftransV1_0003002","p.persica_gdr_reftransV1_0003002")</f>
        <v>p.persica_gdr_reftransV1_0003002</v>
      </c>
      <c r="B4088" s="3">
        <v>858</v>
      </c>
      <c r="C4088" s="1" t="str">
        <f>HYPERLINK("http://www.uniprot.org/uniprot/DNMT2_ARATH","DNMT2_ARATH")</f>
        <v>DNMT2_ARATH</v>
      </c>
      <c r="D4088" t="s">
        <v>3649</v>
      </c>
      <c r="E4088" s="3" t="s">
        <v>3</v>
      </c>
      <c r="F4088" s="4">
        <v>2.6300000000000001E-112</v>
      </c>
      <c r="G4088" s="3">
        <v>923</v>
      </c>
      <c r="H4088" s="3">
        <v>61</v>
      </c>
      <c r="I4088" s="3">
        <v>284</v>
      </c>
      <c r="J4088" s="3">
        <v>5</v>
      </c>
      <c r="K4088" s="3">
        <v>856</v>
      </c>
      <c r="L4088" s="3">
        <v>312</v>
      </c>
      <c r="M4088" s="3">
        <v>594</v>
      </c>
    </row>
    <row r="4089" spans="1:13" x14ac:dyDescent="0.25">
      <c r="A4089" s="1" t="str">
        <f>HYPERLINK("http://www.rosaceae.org/Prunus/Prunus_persica/p.persica_gdr_reftransV1_0003052","p.persica_gdr_reftransV1_0003052")</f>
        <v>p.persica_gdr_reftransV1_0003052</v>
      </c>
      <c r="B4089" s="3">
        <v>2470</v>
      </c>
      <c r="C4089" s="1" t="str">
        <f>HYPERLINK("http://www.uniprot.org/uniprot/FDH_SOLTU","FDH_SOLTU")</f>
        <v>FDH_SOLTU</v>
      </c>
      <c r="D4089" t="s">
        <v>3650</v>
      </c>
      <c r="E4089" s="3" t="s">
        <v>11</v>
      </c>
      <c r="F4089" s="4">
        <v>0</v>
      </c>
      <c r="G4089" s="3">
        <v>1706</v>
      </c>
      <c r="H4089" s="3">
        <v>83</v>
      </c>
      <c r="I4089" s="3">
        <v>385</v>
      </c>
      <c r="J4089" s="3">
        <v>485</v>
      </c>
      <c r="K4089" s="3">
        <v>1639</v>
      </c>
      <c r="L4089" s="3">
        <v>1</v>
      </c>
      <c r="M4089" s="3">
        <v>381</v>
      </c>
    </row>
    <row r="4090" spans="1:13" x14ac:dyDescent="0.25">
      <c r="A4090" s="1" t="str">
        <f>HYPERLINK("http://www.rosaceae.org/Prunus/Prunus_persica/p.persica_gdr_reftransV1_0003102","p.persica_gdr_reftransV1_0003102")</f>
        <v>p.persica_gdr_reftransV1_0003102</v>
      </c>
      <c r="B4090" s="3">
        <v>1883</v>
      </c>
      <c r="C4090" s="1" t="str">
        <f>HYPERLINK("http://www.uniprot.org/uniprot/ARP6_ARATH","ARP6_ARATH")</f>
        <v>ARP6_ARATH</v>
      </c>
      <c r="D4090" t="s">
        <v>683</v>
      </c>
      <c r="E4090" s="3" t="s">
        <v>3</v>
      </c>
      <c r="F4090" s="4">
        <v>0</v>
      </c>
      <c r="G4090" s="3">
        <v>1485</v>
      </c>
      <c r="H4090" s="3">
        <v>70</v>
      </c>
      <c r="I4090" s="3">
        <v>423</v>
      </c>
      <c r="J4090" s="3">
        <v>154</v>
      </c>
      <c r="K4090" s="3">
        <v>1398</v>
      </c>
      <c r="L4090" s="3">
        <v>3</v>
      </c>
      <c r="M4090" s="3">
        <v>413</v>
      </c>
    </row>
    <row r="4091" spans="1:13" x14ac:dyDescent="0.25">
      <c r="A4091" s="1" t="str">
        <f>HYPERLINK("http://www.rosaceae.org/Prunus/Prunus_persica/p.persica_gdr_reftransV1_0003202","p.persica_gdr_reftransV1_0003202")</f>
        <v>p.persica_gdr_reftransV1_0003202</v>
      </c>
      <c r="B4091" s="3">
        <v>1736</v>
      </c>
      <c r="C4091" s="1" t="str">
        <f>HYPERLINK("http://www.uniprot.org/uniprot/CDKF1_ARATH","CDKF1_ARATH")</f>
        <v>CDKF1_ARATH</v>
      </c>
      <c r="D4091" t="s">
        <v>3651</v>
      </c>
      <c r="E4091" s="3" t="s">
        <v>3</v>
      </c>
      <c r="F4091" s="4">
        <v>0</v>
      </c>
      <c r="G4091" s="3">
        <v>1562</v>
      </c>
      <c r="H4091" s="3">
        <v>63</v>
      </c>
      <c r="I4091" s="3">
        <v>483</v>
      </c>
      <c r="J4091" s="3">
        <v>299</v>
      </c>
      <c r="K4091" s="3">
        <v>1654</v>
      </c>
      <c r="L4091" s="3">
        <v>1</v>
      </c>
      <c r="M4091" s="3">
        <v>478</v>
      </c>
    </row>
    <row r="4092" spans="1:13" x14ac:dyDescent="0.25">
      <c r="A4092" s="1" t="str">
        <f>HYPERLINK("http://www.rosaceae.org/Prunus/Prunus_persica/p.persica_gdr_reftransV1_0003252","p.persica_gdr_reftransV1_0003252")</f>
        <v>p.persica_gdr_reftransV1_0003252</v>
      </c>
      <c r="B4092" s="3">
        <v>1922</v>
      </c>
      <c r="C4092" s="1" t="str">
        <f>HYPERLINK("http://www.uniprot.org/uniprot/LPP2_ARATH","LPP2_ARATH")</f>
        <v>LPP2_ARATH</v>
      </c>
      <c r="D4092" t="s">
        <v>3652</v>
      </c>
      <c r="E4092" s="3" t="s">
        <v>3</v>
      </c>
      <c r="F4092" s="4">
        <v>2.7000000000000001E-151</v>
      </c>
      <c r="G4092" s="3">
        <v>1146</v>
      </c>
      <c r="H4092" s="3">
        <v>78</v>
      </c>
      <c r="I4092" s="3">
        <v>290</v>
      </c>
      <c r="J4092" s="3">
        <v>714</v>
      </c>
      <c r="K4092" s="3">
        <v>1583</v>
      </c>
      <c r="L4092" s="3">
        <v>1</v>
      </c>
      <c r="M4092" s="3">
        <v>289</v>
      </c>
    </row>
    <row r="4093" spans="1:13" x14ac:dyDescent="0.25">
      <c r="A4093" s="1" t="str">
        <f>HYPERLINK("http://www.rosaceae.org/Prunus/Prunus_persica/p.persica_gdr_reftransV1_0003402","p.persica_gdr_reftransV1_0003402")</f>
        <v>p.persica_gdr_reftransV1_0003402</v>
      </c>
      <c r="B4093" s="3">
        <v>814</v>
      </c>
      <c r="C4093" s="1" t="str">
        <f>HYPERLINK("http://www.uniprot.org/uniprot/PFD6_MOUSE","PFD6_MOUSE")</f>
        <v>PFD6_MOUSE</v>
      </c>
      <c r="D4093" t="s">
        <v>1711</v>
      </c>
      <c r="E4093" s="3" t="s">
        <v>157</v>
      </c>
      <c r="F4093" s="4">
        <v>2.8799999999999999E-26</v>
      </c>
      <c r="G4093" s="3">
        <v>261</v>
      </c>
      <c r="H4093" s="3">
        <v>47</v>
      </c>
      <c r="I4093" s="3">
        <v>121</v>
      </c>
      <c r="J4093" s="3">
        <v>148</v>
      </c>
      <c r="K4093" s="3">
        <v>510</v>
      </c>
      <c r="L4093" s="3">
        <v>5</v>
      </c>
      <c r="M4093" s="3">
        <v>125</v>
      </c>
    </row>
    <row r="4094" spans="1:13" x14ac:dyDescent="0.25">
      <c r="A4094" s="1" t="str">
        <f>HYPERLINK("http://www.rosaceae.org/Prunus/Prunus_persica/p.persica_gdr_reftransV1_0003502","p.persica_gdr_reftransV1_0003502")</f>
        <v>p.persica_gdr_reftransV1_0003502</v>
      </c>
      <c r="B4094" s="3">
        <v>510</v>
      </c>
      <c r="C4094" s="1" t="str">
        <f>HYPERLINK("http://www.uniprot.org/uniprot/GSTU9_ARATH","GSTU9_ARATH")</f>
        <v>GSTU9_ARATH</v>
      </c>
      <c r="D4094" t="s">
        <v>3653</v>
      </c>
      <c r="E4094" s="3" t="s">
        <v>3</v>
      </c>
      <c r="F4094" s="4">
        <v>1.81E-24</v>
      </c>
      <c r="G4094" s="3">
        <v>248</v>
      </c>
      <c r="H4094" s="3">
        <v>44</v>
      </c>
      <c r="I4094" s="3">
        <v>122</v>
      </c>
      <c r="J4094" s="3">
        <v>1</v>
      </c>
      <c r="K4094" s="3">
        <v>354</v>
      </c>
      <c r="L4094" s="3">
        <v>110</v>
      </c>
      <c r="M4094" s="3">
        <v>230</v>
      </c>
    </row>
    <row r="4095" spans="1:13" x14ac:dyDescent="0.25">
      <c r="A4095" s="1" t="str">
        <f>HYPERLINK("http://www.rosaceae.org/Prunus/Prunus_persica/p.persica_gdr_reftransV1_0003552","p.persica_gdr_reftransV1_0003552")</f>
        <v>p.persica_gdr_reftransV1_0003552</v>
      </c>
      <c r="B4095" s="3">
        <v>654</v>
      </c>
      <c r="C4095" s="1" t="str">
        <f>HYPERLINK("http://www.uniprot.org/uniprot/RL31_PANGI","RL31_PANGI")</f>
        <v>RL31_PANGI</v>
      </c>
      <c r="D4095" t="s">
        <v>3654</v>
      </c>
      <c r="E4095" s="3" t="s">
        <v>1477</v>
      </c>
      <c r="F4095" s="4">
        <v>6.8499999999999999E-58</v>
      </c>
      <c r="G4095" s="3">
        <v>469</v>
      </c>
      <c r="H4095" s="3">
        <v>93</v>
      </c>
      <c r="I4095" s="3">
        <v>120</v>
      </c>
      <c r="J4095" s="3">
        <v>182</v>
      </c>
      <c r="K4095" s="3">
        <v>541</v>
      </c>
      <c r="L4095" s="3">
        <v>1</v>
      </c>
      <c r="M4095" s="3">
        <v>120</v>
      </c>
    </row>
    <row r="4096" spans="1:13" x14ac:dyDescent="0.25">
      <c r="A4096" s="1" t="str">
        <f>HYPERLINK("http://www.rosaceae.org/Prunus/Prunus_persica/p.persica_gdr_reftransV1_0003602","p.persica_gdr_reftransV1_0003602")</f>
        <v>p.persica_gdr_reftransV1_0003602</v>
      </c>
      <c r="B4096" s="3">
        <v>1471</v>
      </c>
      <c r="C4096" s="1" t="str">
        <f>HYPERLINK("http://www.uniprot.org/uniprot/THCAS_CANSA","THCAS_CANSA")</f>
        <v>THCAS_CANSA</v>
      </c>
      <c r="D4096" t="s">
        <v>3290</v>
      </c>
      <c r="E4096" s="3" t="s">
        <v>3291</v>
      </c>
      <c r="F4096" s="4">
        <v>2.33E-151</v>
      </c>
      <c r="G4096" s="3">
        <v>1157</v>
      </c>
      <c r="H4096" s="3">
        <v>49</v>
      </c>
      <c r="I4096" s="3">
        <v>468</v>
      </c>
      <c r="J4096" s="3">
        <v>95</v>
      </c>
      <c r="K4096" s="3">
        <v>1456</v>
      </c>
      <c r="L4096" s="3">
        <v>32</v>
      </c>
      <c r="M4096" s="3">
        <v>495</v>
      </c>
    </row>
    <row r="4097" spans="1:13" x14ac:dyDescent="0.25">
      <c r="A4097" s="1" t="str">
        <f>HYPERLINK("http://www.rosaceae.org/Prunus/Prunus_persica/p.persica_gdr_reftransV1_0003652","p.persica_gdr_reftransV1_0003652")</f>
        <v>p.persica_gdr_reftransV1_0003652</v>
      </c>
      <c r="B4097" s="3">
        <v>1884</v>
      </c>
      <c r="C4097" s="1" t="str">
        <f>HYPERLINK("http://www.uniprot.org/uniprot/C76B6_CATRO","C76B6_CATRO")</f>
        <v>C76B6_CATRO</v>
      </c>
      <c r="D4097" t="s">
        <v>3655</v>
      </c>
      <c r="E4097" s="3" t="s">
        <v>457</v>
      </c>
      <c r="F4097" s="4">
        <v>1.25E-180</v>
      </c>
      <c r="G4097" s="3">
        <v>1360</v>
      </c>
      <c r="H4097" s="3">
        <v>56</v>
      </c>
      <c r="I4097" s="3">
        <v>468</v>
      </c>
      <c r="J4097" s="3">
        <v>284</v>
      </c>
      <c r="K4097" s="3">
        <v>1687</v>
      </c>
      <c r="L4097" s="3">
        <v>30</v>
      </c>
      <c r="M4097" s="3">
        <v>493</v>
      </c>
    </row>
    <row r="4098" spans="1:13" x14ac:dyDescent="0.25">
      <c r="A4098" s="1" t="str">
        <f>HYPERLINK("http://www.rosaceae.org/Prunus/Prunus_persica/p.persica_gdr_reftransV1_0003752","p.persica_gdr_reftransV1_0003752")</f>
        <v>p.persica_gdr_reftransV1_0003752</v>
      </c>
      <c r="B4098" s="3">
        <v>388</v>
      </c>
      <c r="C4098" s="1" t="str">
        <f>HYPERLINK("http://www.uniprot.org/uniprot/ATG8_PODAS","ATG8_PODAS")</f>
        <v>ATG8_PODAS</v>
      </c>
      <c r="D4098" t="s">
        <v>3656</v>
      </c>
      <c r="E4098" s="3" t="s">
        <v>3657</v>
      </c>
      <c r="F4098" s="4">
        <v>2.3399999999999999E-78</v>
      </c>
      <c r="G4098" s="3">
        <v>595</v>
      </c>
      <c r="H4098" s="3">
        <v>100</v>
      </c>
      <c r="I4098" s="3">
        <v>115</v>
      </c>
      <c r="J4098" s="3">
        <v>42</v>
      </c>
      <c r="K4098" s="3">
        <v>386</v>
      </c>
      <c r="L4098" s="3">
        <v>1</v>
      </c>
      <c r="M4098" s="3">
        <v>115</v>
      </c>
    </row>
    <row r="4099" spans="1:13" x14ac:dyDescent="0.25">
      <c r="A4099" s="1" t="str">
        <f>HYPERLINK("http://www.rosaceae.org/Prunus/Prunus_persica/p.persica_gdr_reftransV1_0003802","p.persica_gdr_reftransV1_0003802")</f>
        <v>p.persica_gdr_reftransV1_0003802</v>
      </c>
      <c r="B4099" s="3">
        <v>352</v>
      </c>
      <c r="C4099" s="1" t="str">
        <f>HYPERLINK("http://www.uniprot.org/uniprot/PP166_ARATH","PP166_ARATH")</f>
        <v>PP166_ARATH</v>
      </c>
      <c r="D4099" t="s">
        <v>2631</v>
      </c>
      <c r="E4099" s="3" t="s">
        <v>3</v>
      </c>
      <c r="F4099" s="4">
        <v>1.45E-20</v>
      </c>
      <c r="G4099" s="3">
        <v>222</v>
      </c>
      <c r="H4099" s="3">
        <v>44</v>
      </c>
      <c r="I4099" s="3">
        <v>94</v>
      </c>
      <c r="J4099" s="3">
        <v>17</v>
      </c>
      <c r="K4099" s="3">
        <v>298</v>
      </c>
      <c r="L4099" s="3">
        <v>39</v>
      </c>
      <c r="M4099" s="3">
        <v>132</v>
      </c>
    </row>
    <row r="4100" spans="1:13" x14ac:dyDescent="0.25">
      <c r="A4100" s="1" t="str">
        <f>HYPERLINK("http://www.rosaceae.org/Prunus/Prunus_persica/p.persica_gdr_reftransV1_0003902","p.persica_gdr_reftransV1_0003902")</f>
        <v>p.persica_gdr_reftransV1_0003902</v>
      </c>
      <c r="B4100" s="3">
        <v>661</v>
      </c>
      <c r="C4100" s="1" t="str">
        <f>HYPERLINK("http://www.uniprot.org/uniprot/RGA4_SOLBU","RGA4_SOLBU")</f>
        <v>RGA4_SOLBU</v>
      </c>
      <c r="D4100" t="s">
        <v>1657</v>
      </c>
      <c r="E4100" s="3" t="s">
        <v>560</v>
      </c>
      <c r="F4100" s="4">
        <v>1.7699999999999999E-26</v>
      </c>
      <c r="G4100" s="3">
        <v>280</v>
      </c>
      <c r="H4100" s="3">
        <v>34</v>
      </c>
      <c r="I4100" s="3">
        <v>220</v>
      </c>
      <c r="J4100" s="3">
        <v>7</v>
      </c>
      <c r="K4100" s="3">
        <v>660</v>
      </c>
      <c r="L4100" s="3">
        <v>27</v>
      </c>
      <c r="M4100" s="3">
        <v>225</v>
      </c>
    </row>
    <row r="4101" spans="1:13" x14ac:dyDescent="0.25">
      <c r="A4101" s="1" t="str">
        <f>HYPERLINK("http://www.rosaceae.org/Prunus/Prunus_persica/p.persica_gdr_reftransV1_0003952","p.persica_gdr_reftransV1_0003952")</f>
        <v>p.persica_gdr_reftransV1_0003952</v>
      </c>
      <c r="B4101" s="3">
        <v>2465</v>
      </c>
      <c r="C4101" s="1" t="str">
        <f>HYPERLINK("http://www.uniprot.org/uniprot/PFPA_RICCO","PFPA_RICCO")</f>
        <v>PFPA_RICCO</v>
      </c>
      <c r="D4101" t="s">
        <v>3658</v>
      </c>
      <c r="E4101" s="3" t="s">
        <v>421</v>
      </c>
      <c r="F4101" s="4">
        <v>0</v>
      </c>
      <c r="G4101" s="3">
        <v>2868</v>
      </c>
      <c r="H4101" s="3">
        <v>87</v>
      </c>
      <c r="I4101" s="3">
        <v>617</v>
      </c>
      <c r="J4101" s="3">
        <v>532</v>
      </c>
      <c r="K4101" s="3">
        <v>2382</v>
      </c>
      <c r="L4101" s="3">
        <v>1</v>
      </c>
      <c r="M4101" s="3">
        <v>617</v>
      </c>
    </row>
    <row r="4102" spans="1:13" x14ac:dyDescent="0.25">
      <c r="A4102" s="1" t="str">
        <f>HYPERLINK("http://www.rosaceae.org/Prunus/Prunus_persica/p.persica_gdr_reftransV1_0004002","p.persica_gdr_reftransV1_0004002")</f>
        <v>p.persica_gdr_reftransV1_0004002</v>
      </c>
      <c r="B4102" s="3">
        <v>683</v>
      </c>
      <c r="C4102" s="1" t="str">
        <f>HYPERLINK("http://www.uniprot.org/uniprot/MSH7_ARATH","MSH7_ARATH")</f>
        <v>MSH7_ARATH</v>
      </c>
      <c r="D4102" t="s">
        <v>3659</v>
      </c>
      <c r="E4102" s="3" t="s">
        <v>3</v>
      </c>
      <c r="F4102" s="4">
        <v>2.92E-117</v>
      </c>
      <c r="G4102" s="3">
        <v>939</v>
      </c>
      <c r="H4102" s="3">
        <v>75</v>
      </c>
      <c r="I4102" s="3">
        <v>227</v>
      </c>
      <c r="J4102" s="3">
        <v>1</v>
      </c>
      <c r="K4102" s="3">
        <v>678</v>
      </c>
      <c r="L4102" s="3">
        <v>280</v>
      </c>
      <c r="M4102" s="3">
        <v>506</v>
      </c>
    </row>
    <row r="4103" spans="1:13" x14ac:dyDescent="0.25">
      <c r="A4103" s="1" t="str">
        <f>HYPERLINK("http://www.rosaceae.org/Prunus/Prunus_persica/p.persica_gdr_reftransV1_0004052","p.persica_gdr_reftransV1_0004052")</f>
        <v>p.persica_gdr_reftransV1_0004052</v>
      </c>
      <c r="B4103" s="3">
        <v>2111</v>
      </c>
      <c r="C4103" s="1" t="str">
        <f>HYPERLINK("http://www.uniprot.org/uniprot/GRF12_ORYSJ","GRF12_ORYSJ")</f>
        <v>GRF12_ORYSJ</v>
      </c>
      <c r="D4103" t="s">
        <v>3660</v>
      </c>
      <c r="E4103" s="3" t="s">
        <v>38</v>
      </c>
      <c r="F4103" s="4">
        <v>1.3200000000000001E-40</v>
      </c>
      <c r="G4103" s="3">
        <v>386</v>
      </c>
      <c r="H4103" s="3">
        <v>58</v>
      </c>
      <c r="I4103" s="3">
        <v>124</v>
      </c>
      <c r="J4103" s="3">
        <v>176</v>
      </c>
      <c r="K4103" s="3">
        <v>532</v>
      </c>
      <c r="L4103" s="3">
        <v>75</v>
      </c>
      <c r="M4103" s="3">
        <v>191</v>
      </c>
    </row>
    <row r="4104" spans="1:13" x14ac:dyDescent="0.25">
      <c r="A4104" s="1" t="str">
        <f>HYPERLINK("http://www.rosaceae.org/Prunus/Prunus_persica/p.persica_gdr_reftransV1_0004202","p.persica_gdr_reftransV1_0004202")</f>
        <v>p.persica_gdr_reftransV1_0004202</v>
      </c>
      <c r="B4104" s="3">
        <v>691</v>
      </c>
      <c r="C4104" s="1" t="str">
        <f>HYPERLINK("http://www.uniprot.org/uniprot/LBD15_ARATH","LBD15_ARATH")</f>
        <v>LBD15_ARATH</v>
      </c>
      <c r="D4104" t="s">
        <v>3661</v>
      </c>
      <c r="E4104" s="3" t="s">
        <v>3</v>
      </c>
      <c r="F4104" s="4">
        <v>5.3300000000000002E-58</v>
      </c>
      <c r="G4104" s="3">
        <v>481</v>
      </c>
      <c r="H4104" s="3">
        <v>61</v>
      </c>
      <c r="I4104" s="3">
        <v>177</v>
      </c>
      <c r="J4104" s="3">
        <v>95</v>
      </c>
      <c r="K4104" s="3">
        <v>625</v>
      </c>
      <c r="L4104" s="3">
        <v>1</v>
      </c>
      <c r="M4104" s="3">
        <v>162</v>
      </c>
    </row>
    <row r="4105" spans="1:13" x14ac:dyDescent="0.25">
      <c r="A4105" s="1" t="str">
        <f>HYPERLINK("http://www.rosaceae.org/Prunus/Prunus_persica/p.persica_gdr_reftransV1_0004252","p.persica_gdr_reftransV1_0004252")</f>
        <v>p.persica_gdr_reftransV1_0004252</v>
      </c>
      <c r="B4105" s="3">
        <v>2710</v>
      </c>
      <c r="C4105" s="1" t="str">
        <f>HYPERLINK("http://www.uniprot.org/uniprot/DEN5B_DANRE","DEN5B_DANRE")</f>
        <v>DEN5B_DANRE</v>
      </c>
      <c r="D4105" t="s">
        <v>3662</v>
      </c>
      <c r="E4105" s="3" t="s">
        <v>704</v>
      </c>
      <c r="F4105" s="4">
        <v>1.5700000000000001E-15</v>
      </c>
      <c r="G4105" s="3">
        <v>210</v>
      </c>
      <c r="H4105" s="3">
        <v>38</v>
      </c>
      <c r="I4105" s="3">
        <v>120</v>
      </c>
      <c r="J4105" s="3">
        <v>678</v>
      </c>
      <c r="K4105" s="3">
        <v>1019</v>
      </c>
      <c r="L4105" s="3">
        <v>304</v>
      </c>
      <c r="M4105" s="3">
        <v>423</v>
      </c>
    </row>
    <row r="4106" spans="1:13" x14ac:dyDescent="0.25">
      <c r="A4106" s="1" t="str">
        <f>HYPERLINK("http://www.rosaceae.org/Prunus/Prunus_persica/p.persica_gdr_reftransV1_0004502","p.persica_gdr_reftransV1_0004502")</f>
        <v>p.persica_gdr_reftransV1_0004502</v>
      </c>
      <c r="B4106" s="3">
        <v>2422</v>
      </c>
      <c r="C4106" s="1" t="str">
        <f>HYPERLINK("http://www.uniprot.org/uniprot/FXL14_HUMAN","FXL14_HUMAN")</f>
        <v>FXL14_HUMAN</v>
      </c>
      <c r="D4106" t="s">
        <v>3590</v>
      </c>
      <c r="E4106" s="3" t="s">
        <v>28</v>
      </c>
      <c r="F4106" s="4">
        <v>1.56E-21</v>
      </c>
      <c r="G4106" s="3">
        <v>252</v>
      </c>
      <c r="H4106" s="3">
        <v>33</v>
      </c>
      <c r="I4106" s="3">
        <v>340</v>
      </c>
      <c r="J4106" s="3">
        <v>374</v>
      </c>
      <c r="K4106" s="3">
        <v>1309</v>
      </c>
      <c r="L4106" s="3">
        <v>85</v>
      </c>
      <c r="M4106" s="3">
        <v>397</v>
      </c>
    </row>
    <row r="4107" spans="1:13" x14ac:dyDescent="0.25">
      <c r="A4107" s="1" t="str">
        <f>HYPERLINK("http://www.rosaceae.org/Prunus/Prunus_persica/p.persica_gdr_reftransV1_0004602","p.persica_gdr_reftransV1_0004602")</f>
        <v>p.persica_gdr_reftransV1_0004602</v>
      </c>
      <c r="B4107" s="3">
        <v>1062</v>
      </c>
      <c r="C4107" s="1" t="str">
        <f>HYPERLINK("http://www.uniprot.org/uniprot/AOP1L_ARATH","AOP1L_ARATH")</f>
        <v>AOP1L_ARATH</v>
      </c>
      <c r="D4107" t="s">
        <v>482</v>
      </c>
      <c r="E4107" s="3" t="s">
        <v>3</v>
      </c>
      <c r="F4107" s="4">
        <v>9.0400000000000003E-51</v>
      </c>
      <c r="G4107" s="3">
        <v>450</v>
      </c>
      <c r="H4107" s="3">
        <v>37</v>
      </c>
      <c r="I4107" s="3">
        <v>287</v>
      </c>
      <c r="J4107" s="3">
        <v>200</v>
      </c>
      <c r="K4107" s="3">
        <v>1036</v>
      </c>
      <c r="L4107" s="3">
        <v>41</v>
      </c>
      <c r="M4107" s="3">
        <v>320</v>
      </c>
    </row>
    <row r="4108" spans="1:13" x14ac:dyDescent="0.25">
      <c r="A4108" s="1" t="str">
        <f>HYPERLINK("http://www.rosaceae.org/Prunus/Prunus_persica/p.persica_gdr_reftransV1_0004652","p.persica_gdr_reftransV1_0004652")</f>
        <v>p.persica_gdr_reftransV1_0004652</v>
      </c>
      <c r="B4108" s="3">
        <v>1551</v>
      </c>
      <c r="C4108" s="1" t="str">
        <f>HYPERLINK("http://www.uniprot.org/uniprot/ASPG1_ARATH","ASPG1_ARATH")</f>
        <v>ASPG1_ARATH</v>
      </c>
      <c r="D4108" t="s">
        <v>1238</v>
      </c>
      <c r="E4108" s="3" t="s">
        <v>3</v>
      </c>
      <c r="F4108" s="4">
        <v>1.3399999999999999E-40</v>
      </c>
      <c r="G4108" s="3">
        <v>397</v>
      </c>
      <c r="H4108" s="3">
        <v>34</v>
      </c>
      <c r="I4108" s="3">
        <v>368</v>
      </c>
      <c r="J4108" s="3">
        <v>276</v>
      </c>
      <c r="K4108" s="3">
        <v>1349</v>
      </c>
      <c r="L4108" s="3">
        <v>148</v>
      </c>
      <c r="M4108" s="3">
        <v>500</v>
      </c>
    </row>
    <row r="4109" spans="1:13" x14ac:dyDescent="0.25">
      <c r="A4109" s="1" t="str">
        <f>HYPERLINK("http://www.rosaceae.org/Prunus/Prunus_persica/p.persica_gdr_reftransV1_0004802","p.persica_gdr_reftransV1_0004802")</f>
        <v>p.persica_gdr_reftransV1_0004802</v>
      </c>
      <c r="B4109" s="3">
        <v>1926</v>
      </c>
      <c r="C4109" s="1" t="str">
        <f>HYPERLINK("http://www.uniprot.org/uniprot/DEGP9_ARATH","DEGP9_ARATH")</f>
        <v>DEGP9_ARATH</v>
      </c>
      <c r="D4109" t="s">
        <v>1437</v>
      </c>
      <c r="E4109" s="3" t="s">
        <v>3</v>
      </c>
      <c r="F4109" s="4">
        <v>0</v>
      </c>
      <c r="G4109" s="3">
        <v>2250</v>
      </c>
      <c r="H4109" s="3">
        <v>85</v>
      </c>
      <c r="I4109" s="3">
        <v>487</v>
      </c>
      <c r="J4109" s="3">
        <v>466</v>
      </c>
      <c r="K4109" s="3">
        <v>1926</v>
      </c>
      <c r="L4109" s="3">
        <v>102</v>
      </c>
      <c r="M4109" s="3">
        <v>588</v>
      </c>
    </row>
    <row r="4110" spans="1:13" x14ac:dyDescent="0.25">
      <c r="A4110" s="1" t="str">
        <f>HYPERLINK("http://www.rosaceae.org/Prunus/Prunus_persica/p.persica_gdr_reftransV1_0005002","p.persica_gdr_reftransV1_0005002")</f>
        <v>p.persica_gdr_reftransV1_0005002</v>
      </c>
      <c r="B4110" s="3">
        <v>3467</v>
      </c>
      <c r="C4110" s="1" t="str">
        <f>HYPERLINK("http://www.uniprot.org/uniprot/STIL3_ARATH","STIL3_ARATH")</f>
        <v>STIL3_ARATH</v>
      </c>
      <c r="D4110" t="s">
        <v>3663</v>
      </c>
      <c r="E4110" s="3" t="s">
        <v>3</v>
      </c>
      <c r="F4110" s="4">
        <v>0</v>
      </c>
      <c r="G4110" s="3">
        <v>2505</v>
      </c>
      <c r="H4110" s="3">
        <v>55</v>
      </c>
      <c r="I4110" s="3">
        <v>1170</v>
      </c>
      <c r="J4110" s="3">
        <v>2</v>
      </c>
      <c r="K4110" s="3">
        <v>3433</v>
      </c>
      <c r="L4110" s="3">
        <v>58</v>
      </c>
      <c r="M4110" s="3">
        <v>1095</v>
      </c>
    </row>
    <row r="4111" spans="1:13" x14ac:dyDescent="0.25">
      <c r="A4111" s="1" t="str">
        <f>HYPERLINK("http://www.rosaceae.org/Prunus/Prunus_persica/p.persica_gdr_reftransV1_0005052","p.persica_gdr_reftransV1_0005052")</f>
        <v>p.persica_gdr_reftransV1_0005052</v>
      </c>
      <c r="B4111" s="3">
        <v>2223</v>
      </c>
      <c r="C4111" s="1" t="str">
        <f>HYPERLINK("http://www.uniprot.org/uniprot/PP287_ARATH","PP287_ARATH")</f>
        <v>PP287_ARATH</v>
      </c>
      <c r="D4111" t="s">
        <v>3664</v>
      </c>
      <c r="E4111" s="3" t="s">
        <v>3</v>
      </c>
      <c r="F4111" s="4">
        <v>0</v>
      </c>
      <c r="G4111" s="3">
        <v>2007</v>
      </c>
      <c r="H4111" s="3">
        <v>74</v>
      </c>
      <c r="I4111" s="3">
        <v>513</v>
      </c>
      <c r="J4111" s="3">
        <v>116</v>
      </c>
      <c r="K4111" s="3">
        <v>1651</v>
      </c>
      <c r="L4111" s="3">
        <v>1</v>
      </c>
      <c r="M4111" s="3">
        <v>513</v>
      </c>
    </row>
    <row r="4112" spans="1:13" x14ac:dyDescent="0.25">
      <c r="A4112" s="1" t="str">
        <f>HYPERLINK("http://www.rosaceae.org/Prunus/Prunus_persica/p.persica_gdr_reftransV1_0005202","p.persica_gdr_reftransV1_0005202")</f>
        <v>p.persica_gdr_reftransV1_0005202</v>
      </c>
      <c r="B4112" s="3">
        <v>1821</v>
      </c>
      <c r="C4112" s="1" t="str">
        <f>HYPERLINK("http://www.uniprot.org/uniprot/GDI1_ARATH","GDI1_ARATH")</f>
        <v>GDI1_ARATH</v>
      </c>
      <c r="D4112" t="s">
        <v>3665</v>
      </c>
      <c r="E4112" s="3" t="s">
        <v>3</v>
      </c>
      <c r="F4112" s="4">
        <v>0</v>
      </c>
      <c r="G4112" s="3">
        <v>2000</v>
      </c>
      <c r="H4112" s="3">
        <v>85</v>
      </c>
      <c r="I4112" s="3">
        <v>428</v>
      </c>
      <c r="J4112" s="3">
        <v>162</v>
      </c>
      <c r="K4112" s="3">
        <v>1445</v>
      </c>
      <c r="L4112" s="3">
        <v>1</v>
      </c>
      <c r="M4112" s="3">
        <v>428</v>
      </c>
    </row>
    <row r="4113" spans="1:13" x14ac:dyDescent="0.25">
      <c r="A4113" s="1" t="str">
        <f>HYPERLINK("http://www.rosaceae.org/Prunus/Prunus_persica/p.persica_gdr_reftransV1_0005252","p.persica_gdr_reftransV1_0005252")</f>
        <v>p.persica_gdr_reftransV1_0005252</v>
      </c>
      <c r="B4113" s="3">
        <v>1983</v>
      </c>
      <c r="C4113" s="1" t="str">
        <f>HYPERLINK("http://www.uniprot.org/uniprot/ALB33_ARATH","ALB33_ARATH")</f>
        <v>ALB33_ARATH</v>
      </c>
      <c r="D4113" t="s">
        <v>3666</v>
      </c>
      <c r="E4113" s="3" t="s">
        <v>3</v>
      </c>
      <c r="F4113" s="4">
        <v>1.9799999999999999E-103</v>
      </c>
      <c r="G4113" s="3">
        <v>617</v>
      </c>
      <c r="H4113" s="3">
        <v>51</v>
      </c>
      <c r="I4113" s="3">
        <v>277</v>
      </c>
      <c r="J4113" s="3">
        <v>401</v>
      </c>
      <c r="K4113" s="3">
        <v>1213</v>
      </c>
      <c r="L4113" s="3">
        <v>120</v>
      </c>
      <c r="M4113" s="3">
        <v>390</v>
      </c>
    </row>
    <row r="4114" spans="1:13" x14ac:dyDescent="0.25">
      <c r="A4114" s="1" t="str">
        <f>HYPERLINK("http://www.rosaceae.org/Prunus/Prunus_persica/p.persica_gdr_reftransV1_0005352","p.persica_gdr_reftransV1_0005352")</f>
        <v>p.persica_gdr_reftransV1_0005352</v>
      </c>
      <c r="B4114" s="3">
        <v>1040</v>
      </c>
      <c r="C4114" s="1" t="str">
        <f>HYPERLINK("http://www.uniprot.org/uniprot/TMVRN_NICGU","TMVRN_NICGU")</f>
        <v>TMVRN_NICGU</v>
      </c>
      <c r="D4114" t="s">
        <v>151</v>
      </c>
      <c r="E4114" s="3" t="s">
        <v>152</v>
      </c>
      <c r="F4114" s="4">
        <v>3.5700000000000003E-21</v>
      </c>
      <c r="G4114" s="3">
        <v>245</v>
      </c>
      <c r="H4114" s="3">
        <v>33</v>
      </c>
      <c r="I4114" s="3">
        <v>196</v>
      </c>
      <c r="J4114" s="3">
        <v>10</v>
      </c>
      <c r="K4114" s="3">
        <v>597</v>
      </c>
      <c r="L4114" s="3">
        <v>543</v>
      </c>
      <c r="M4114" s="3">
        <v>735</v>
      </c>
    </row>
    <row r="4115" spans="1:13" x14ac:dyDescent="0.25">
      <c r="A4115" s="1" t="str">
        <f>HYPERLINK("http://www.rosaceae.org/Prunus/Prunus_persica/p.persica_gdr_reftransV1_0005402","p.persica_gdr_reftransV1_0005402")</f>
        <v>p.persica_gdr_reftransV1_0005402</v>
      </c>
      <c r="B4115" s="3">
        <v>583</v>
      </c>
      <c r="C4115" s="1" t="str">
        <f>HYPERLINK("http://www.uniprot.org/uniprot/PPR36_ARATH","PPR36_ARATH")</f>
        <v>PPR36_ARATH</v>
      </c>
      <c r="D4115" t="s">
        <v>3667</v>
      </c>
      <c r="E4115" s="3" t="s">
        <v>3</v>
      </c>
      <c r="F4115" s="4">
        <v>9.83E-29</v>
      </c>
      <c r="G4115" s="3">
        <v>291</v>
      </c>
      <c r="H4115" s="3">
        <v>42</v>
      </c>
      <c r="I4115" s="3">
        <v>125</v>
      </c>
      <c r="J4115" s="3">
        <v>205</v>
      </c>
      <c r="K4115" s="3">
        <v>579</v>
      </c>
      <c r="L4115" s="3">
        <v>513</v>
      </c>
      <c r="M4115" s="3">
        <v>637</v>
      </c>
    </row>
    <row r="4116" spans="1:13" x14ac:dyDescent="0.25">
      <c r="A4116" s="1" t="str">
        <f>HYPERLINK("http://www.rosaceae.org/Prunus/Prunus_persica/p.persica_gdr_reftransV1_0005502","p.persica_gdr_reftransV1_0005502")</f>
        <v>p.persica_gdr_reftransV1_0005502</v>
      </c>
      <c r="B4116" s="3">
        <v>1862</v>
      </c>
      <c r="C4116" s="1" t="str">
        <f>HYPERLINK("http://www.uniprot.org/uniprot/FLXL2_ARATH","FLXL2_ARATH")</f>
        <v>FLXL2_ARATH</v>
      </c>
      <c r="D4116" t="s">
        <v>3668</v>
      </c>
      <c r="E4116" s="3" t="s">
        <v>3</v>
      </c>
      <c r="F4116" s="4">
        <v>4.89E-110</v>
      </c>
      <c r="G4116" s="3">
        <v>876</v>
      </c>
      <c r="H4116" s="3">
        <v>51</v>
      </c>
      <c r="I4116" s="3">
        <v>407</v>
      </c>
      <c r="J4116" s="3">
        <v>346</v>
      </c>
      <c r="K4116" s="3">
        <v>1518</v>
      </c>
      <c r="L4116" s="3">
        <v>1</v>
      </c>
      <c r="M4116" s="3">
        <v>358</v>
      </c>
    </row>
    <row r="4117" spans="1:13" x14ac:dyDescent="0.25">
      <c r="A4117" s="1" t="str">
        <f>HYPERLINK("http://www.rosaceae.org/Prunus/Prunus_persica/p.persica_gdr_reftransV1_0005602","p.persica_gdr_reftransV1_0005602")</f>
        <v>p.persica_gdr_reftransV1_0005602</v>
      </c>
      <c r="B4117" s="3">
        <v>431</v>
      </c>
      <c r="C4117" s="1" t="str">
        <f>HYPERLINK("http://www.uniprot.org/uniprot/idD12_ARATH","idD12_ARATH")</f>
        <v>idD12_ARATH</v>
      </c>
      <c r="D4117" t="s">
        <v>1877</v>
      </c>
      <c r="E4117" s="3" t="s">
        <v>3</v>
      </c>
      <c r="F4117" s="4">
        <v>1.86E-60</v>
      </c>
      <c r="G4117" s="3">
        <v>502</v>
      </c>
      <c r="H4117" s="3">
        <v>70</v>
      </c>
      <c r="I4117" s="3">
        <v>128</v>
      </c>
      <c r="J4117" s="3">
        <v>51</v>
      </c>
      <c r="K4117" s="3">
        <v>431</v>
      </c>
      <c r="L4117" s="3">
        <v>97</v>
      </c>
      <c r="M4117" s="3">
        <v>224</v>
      </c>
    </row>
    <row r="4118" spans="1:13" x14ac:dyDescent="0.25">
      <c r="A4118" s="1" t="str">
        <f>HYPERLINK("http://www.rosaceae.org/Prunus/Prunus_persica/p.persica_gdr_reftransV1_0005652","p.persica_gdr_reftransV1_0005652")</f>
        <v>p.persica_gdr_reftransV1_0005652</v>
      </c>
      <c r="B4118" s="3">
        <v>438</v>
      </c>
      <c r="C4118" s="1" t="str">
        <f>HYPERLINK("http://www.uniprot.org/uniprot/ZHD4_ARATH","ZHD4_ARATH")</f>
        <v>ZHD4_ARATH</v>
      </c>
      <c r="D4118" t="s">
        <v>3669</v>
      </c>
      <c r="E4118" s="3" t="s">
        <v>3</v>
      </c>
      <c r="F4118" s="4">
        <v>2.65E-31</v>
      </c>
      <c r="G4118" s="3">
        <v>297</v>
      </c>
      <c r="H4118" s="3">
        <v>68</v>
      </c>
      <c r="I4118" s="3">
        <v>90</v>
      </c>
      <c r="J4118" s="3">
        <v>44</v>
      </c>
      <c r="K4118" s="3">
        <v>307</v>
      </c>
      <c r="L4118" s="3">
        <v>192</v>
      </c>
      <c r="M4118" s="3">
        <v>281</v>
      </c>
    </row>
    <row r="4119" spans="1:13" x14ac:dyDescent="0.25">
      <c r="A4119" s="1" t="str">
        <f>HYPERLINK("http://www.rosaceae.org/Prunus/Prunus_persica/p.persica_gdr_reftransV1_0005702","p.persica_gdr_reftransV1_0005702")</f>
        <v>p.persica_gdr_reftransV1_0005702</v>
      </c>
      <c r="B4119" s="3">
        <v>1975</v>
      </c>
      <c r="C4119" s="1" t="str">
        <f>HYPERLINK("http://www.uniprot.org/uniprot/PII2_ARATH","PII2_ARATH")</f>
        <v>PII2_ARATH</v>
      </c>
      <c r="D4119" t="s">
        <v>3670</v>
      </c>
      <c r="E4119" s="3" t="s">
        <v>3</v>
      </c>
      <c r="F4119" s="4">
        <v>6.74E-148</v>
      </c>
      <c r="G4119" s="3">
        <v>1139</v>
      </c>
      <c r="H4119" s="3">
        <v>61</v>
      </c>
      <c r="I4119" s="3">
        <v>404</v>
      </c>
      <c r="J4119" s="3">
        <v>472</v>
      </c>
      <c r="K4119" s="3">
        <v>1662</v>
      </c>
      <c r="L4119" s="3">
        <v>24</v>
      </c>
      <c r="M4119" s="3">
        <v>423</v>
      </c>
    </row>
    <row r="4120" spans="1:13" x14ac:dyDescent="0.25">
      <c r="A4120" s="1" t="str">
        <f>HYPERLINK("http://www.rosaceae.org/Prunus/Prunus_persica/p.persica_gdr_reftransV1_0005752","p.persica_gdr_reftransV1_0005752")</f>
        <v>p.persica_gdr_reftransV1_0005752</v>
      </c>
      <c r="B4120" s="3">
        <v>878</v>
      </c>
      <c r="C4120" s="1" t="str">
        <f>HYPERLINK("http://www.uniprot.org/uniprot/GCSH_FLAAN","GCSH_FLAAN")</f>
        <v>GCSH_FLAAN</v>
      </c>
      <c r="D4120" t="s">
        <v>3671</v>
      </c>
      <c r="E4120" s="3" t="s">
        <v>3672</v>
      </c>
      <c r="F4120" s="4">
        <v>1.0600000000000001E-98</v>
      </c>
      <c r="G4120" s="3">
        <v>751</v>
      </c>
      <c r="H4120" s="3">
        <v>85</v>
      </c>
      <c r="I4120" s="3">
        <v>165</v>
      </c>
      <c r="J4120" s="3">
        <v>278</v>
      </c>
      <c r="K4120" s="3">
        <v>772</v>
      </c>
      <c r="L4120" s="3">
        <v>1</v>
      </c>
      <c r="M4120" s="3">
        <v>162</v>
      </c>
    </row>
    <row r="4121" spans="1:13" x14ac:dyDescent="0.25">
      <c r="A4121" s="1" t="str">
        <f>HYPERLINK("http://www.rosaceae.org/Prunus/Prunus_persica/p.persica_gdr_reftransV1_0005902","p.persica_gdr_reftransV1_0005902")</f>
        <v>p.persica_gdr_reftransV1_0005902</v>
      </c>
      <c r="B4121" s="3">
        <v>947</v>
      </c>
      <c r="C4121" s="1" t="str">
        <f>HYPERLINK("http://www.uniprot.org/uniprot/PRP4_ARATH","PRP4_ARATH")</f>
        <v>PRP4_ARATH</v>
      </c>
      <c r="D4121" t="s">
        <v>3673</v>
      </c>
      <c r="E4121" s="3" t="s">
        <v>3</v>
      </c>
      <c r="F4121" s="4">
        <v>1.3300000000000001E-29</v>
      </c>
      <c r="G4121" s="3">
        <v>303</v>
      </c>
      <c r="H4121" s="3">
        <v>54</v>
      </c>
      <c r="I4121" s="3">
        <v>127</v>
      </c>
      <c r="J4121" s="3">
        <v>501</v>
      </c>
      <c r="K4121" s="3">
        <v>881</v>
      </c>
      <c r="L4121" s="3">
        <v>30</v>
      </c>
      <c r="M4121" s="3">
        <v>147</v>
      </c>
    </row>
    <row r="4122" spans="1:13" x14ac:dyDescent="0.25">
      <c r="A4122" s="1" t="str">
        <f>HYPERLINK("http://www.rosaceae.org/Prunus/Prunus_persica/p.persica_gdr_reftransV1_0006002","p.persica_gdr_reftransV1_0006002")</f>
        <v>p.persica_gdr_reftransV1_0006002</v>
      </c>
      <c r="B4122" s="3">
        <v>1062</v>
      </c>
      <c r="C4122" s="1" t="str">
        <f>HYPERLINK("http://www.uniprot.org/uniprot/R13L1_ARATH","R13L1_ARATH")</f>
        <v>R13L1_ARATH</v>
      </c>
      <c r="D4122" t="s">
        <v>100</v>
      </c>
      <c r="E4122" s="3" t="s">
        <v>3</v>
      </c>
      <c r="F4122" s="4">
        <v>1.7199999999999999E-28</v>
      </c>
      <c r="G4122" s="3">
        <v>304</v>
      </c>
      <c r="H4122" s="3">
        <v>43</v>
      </c>
      <c r="I4122" s="3">
        <v>174</v>
      </c>
      <c r="J4122" s="3">
        <v>554</v>
      </c>
      <c r="K4122" s="3">
        <v>1060</v>
      </c>
      <c r="L4122" s="3">
        <v>1</v>
      </c>
      <c r="M4122" s="3">
        <v>173</v>
      </c>
    </row>
    <row r="4123" spans="1:13" x14ac:dyDescent="0.25">
      <c r="A4123" s="1" t="str">
        <f>HYPERLINK("http://www.rosaceae.org/Prunus/Prunus_persica/p.persica_gdr_reftransV1_0006202","p.persica_gdr_reftransV1_0006202")</f>
        <v>p.persica_gdr_reftransV1_0006202</v>
      </c>
      <c r="B4123" s="3">
        <v>1114</v>
      </c>
      <c r="C4123" s="1" t="str">
        <f>HYPERLINK("http://www.uniprot.org/uniprot/idD12_ARATH","idD12_ARATH")</f>
        <v>idD12_ARATH</v>
      </c>
      <c r="D4123" t="s">
        <v>1877</v>
      </c>
      <c r="E4123" s="3" t="s">
        <v>3</v>
      </c>
      <c r="F4123" s="4">
        <v>5.6300000000000005E-7</v>
      </c>
      <c r="G4123" s="3">
        <v>130</v>
      </c>
      <c r="H4123" s="3">
        <v>55</v>
      </c>
      <c r="I4123" s="3">
        <v>58</v>
      </c>
      <c r="J4123" s="3">
        <v>413</v>
      </c>
      <c r="K4123" s="3">
        <v>583</v>
      </c>
      <c r="L4123" s="3">
        <v>322</v>
      </c>
      <c r="M4123" s="3">
        <v>373</v>
      </c>
    </row>
    <row r="4124" spans="1:13" x14ac:dyDescent="0.25">
      <c r="A4124" s="1" t="str">
        <f>HYPERLINK("http://www.rosaceae.org/Prunus/Prunus_persica/p.persica_gdr_reftransV1_0006252","p.persica_gdr_reftransV1_0006252")</f>
        <v>p.persica_gdr_reftransV1_0006252</v>
      </c>
      <c r="B4124" s="3">
        <v>960</v>
      </c>
      <c r="C4124" s="1" t="str">
        <f>HYPERLINK("http://www.uniprot.org/uniprot/NATT4_THANI","NATT4_THANI")</f>
        <v>NATT4_THANI</v>
      </c>
      <c r="D4124" t="s">
        <v>3674</v>
      </c>
      <c r="E4124" s="3" t="s">
        <v>3675</v>
      </c>
      <c r="F4124" s="4">
        <v>3.4299999999999999E-7</v>
      </c>
      <c r="G4124" s="3">
        <v>131</v>
      </c>
      <c r="H4124" s="3">
        <v>24</v>
      </c>
      <c r="I4124" s="3">
        <v>158</v>
      </c>
      <c r="J4124" s="3">
        <v>290</v>
      </c>
      <c r="K4124" s="3">
        <v>763</v>
      </c>
      <c r="L4124" s="3">
        <v>210</v>
      </c>
      <c r="M4124" s="3">
        <v>366</v>
      </c>
    </row>
    <row r="4125" spans="1:13" x14ac:dyDescent="0.25">
      <c r="A4125" s="1" t="str">
        <f>HYPERLINK("http://www.rosaceae.org/Prunus/Prunus_persica/p.persica_gdr_reftransV1_0006302","p.persica_gdr_reftransV1_0006302")</f>
        <v>p.persica_gdr_reftransV1_0006302</v>
      </c>
      <c r="B4125" s="3">
        <v>477</v>
      </c>
      <c r="C4125" s="1" t="str">
        <f>HYPERLINK("http://www.uniprot.org/uniprot/PP376_ARATH","PP376_ARATH")</f>
        <v>PP376_ARATH</v>
      </c>
      <c r="D4125" t="s">
        <v>3111</v>
      </c>
      <c r="E4125" s="3" t="s">
        <v>3</v>
      </c>
      <c r="F4125" s="4">
        <v>3.6099999999999998E-13</v>
      </c>
      <c r="G4125" s="3">
        <v>172</v>
      </c>
      <c r="H4125" s="3">
        <v>50</v>
      </c>
      <c r="I4125" s="3">
        <v>80</v>
      </c>
      <c r="J4125" s="3">
        <v>7</v>
      </c>
      <c r="K4125" s="3">
        <v>240</v>
      </c>
      <c r="L4125" s="3">
        <v>57</v>
      </c>
      <c r="M4125" s="3">
        <v>136</v>
      </c>
    </row>
    <row r="4126" spans="1:13" x14ac:dyDescent="0.25">
      <c r="A4126" s="1" t="str">
        <f>HYPERLINK("http://www.rosaceae.org/Prunus/Prunus_persica/p.persica_gdr_reftransV1_0006452","p.persica_gdr_reftransV1_0006452")</f>
        <v>p.persica_gdr_reftransV1_0006452</v>
      </c>
      <c r="B4126" s="3">
        <v>1607</v>
      </c>
      <c r="C4126" s="1" t="str">
        <f>HYPERLINK("http://www.uniprot.org/uniprot/ACCO1_SOLLC","ACCO1_SOLLC")</f>
        <v>ACCO1_SOLLC</v>
      </c>
      <c r="D4126" t="s">
        <v>3676</v>
      </c>
      <c r="E4126" s="3" t="s">
        <v>64</v>
      </c>
      <c r="F4126" s="4">
        <v>1.42E-41</v>
      </c>
      <c r="G4126" s="3">
        <v>395</v>
      </c>
      <c r="H4126" s="3">
        <v>41</v>
      </c>
      <c r="I4126" s="3">
        <v>198</v>
      </c>
      <c r="J4126" s="3">
        <v>86</v>
      </c>
      <c r="K4126" s="3">
        <v>667</v>
      </c>
      <c r="L4126" s="3">
        <v>111</v>
      </c>
      <c r="M4126" s="3">
        <v>308</v>
      </c>
    </row>
    <row r="4127" spans="1:13" x14ac:dyDescent="0.25">
      <c r="A4127" s="1" t="str">
        <f>HYPERLINK("http://www.rosaceae.org/Prunus/Prunus_persica/p.persica_gdr_reftransV1_0006552","p.persica_gdr_reftransV1_0006552")</f>
        <v>p.persica_gdr_reftransV1_0006552</v>
      </c>
      <c r="B4127" s="3">
        <v>1389</v>
      </c>
      <c r="C4127" s="1" t="str">
        <f>HYPERLINK("http://www.uniprot.org/uniprot/G2OX8_ARATH","G2OX8_ARATH")</f>
        <v>G2OX8_ARATH</v>
      </c>
      <c r="D4127" t="s">
        <v>2922</v>
      </c>
      <c r="E4127" s="3" t="s">
        <v>3</v>
      </c>
      <c r="F4127" s="4">
        <v>1.2000000000000001E-139</v>
      </c>
      <c r="G4127" s="3">
        <v>1057</v>
      </c>
      <c r="H4127" s="3">
        <v>66</v>
      </c>
      <c r="I4127" s="3">
        <v>306</v>
      </c>
      <c r="J4127" s="3">
        <v>361</v>
      </c>
      <c r="K4127" s="3">
        <v>1272</v>
      </c>
      <c r="L4127" s="3">
        <v>36</v>
      </c>
      <c r="M4127" s="3">
        <v>334</v>
      </c>
    </row>
    <row r="4128" spans="1:13" x14ac:dyDescent="0.25">
      <c r="A4128" s="1" t="str">
        <f>HYPERLINK("http://www.rosaceae.org/Prunus/Prunus_persica/p.persica_gdr_reftransV1_0006902","p.persica_gdr_reftransV1_0006902")</f>
        <v>p.persica_gdr_reftransV1_0006902</v>
      </c>
      <c r="B4128" s="3">
        <v>869</v>
      </c>
      <c r="C4128" s="1" t="str">
        <f>HYPERLINK("http://www.uniprot.org/uniprot/Y1571_ARATH","Y1571_ARATH")</f>
        <v>Y1571_ARATH</v>
      </c>
      <c r="D4128" t="s">
        <v>2449</v>
      </c>
      <c r="E4128" s="3" t="s">
        <v>3</v>
      </c>
      <c r="F4128" s="4">
        <v>6.8300000000000001E-65</v>
      </c>
      <c r="G4128" s="3">
        <v>572</v>
      </c>
      <c r="H4128" s="3">
        <v>50</v>
      </c>
      <c r="I4128" s="3">
        <v>211</v>
      </c>
      <c r="J4128" s="3">
        <v>2</v>
      </c>
      <c r="K4128" s="3">
        <v>634</v>
      </c>
      <c r="L4128" s="3">
        <v>910</v>
      </c>
      <c r="M4128" s="3">
        <v>1120</v>
      </c>
    </row>
    <row r="4129" spans="1:13" x14ac:dyDescent="0.25">
      <c r="A4129" s="1" t="str">
        <f>HYPERLINK("http://www.rosaceae.org/Prunus/Prunus_persica/p.persica_gdr_reftransV1_0006952","p.persica_gdr_reftransV1_0006952")</f>
        <v>p.persica_gdr_reftransV1_0006952</v>
      </c>
      <c r="B4129" s="3">
        <v>653</v>
      </c>
      <c r="C4129" s="1" t="str">
        <f>HYPERLINK("http://www.uniprot.org/uniprot/RHA2B_ARATH","RHA2B_ARATH")</f>
        <v>RHA2B_ARATH</v>
      </c>
      <c r="D4129" t="s">
        <v>1583</v>
      </c>
      <c r="E4129" s="3" t="s">
        <v>3</v>
      </c>
      <c r="F4129" s="4">
        <v>9.7800000000000007E-13</v>
      </c>
      <c r="G4129" s="3">
        <v>162</v>
      </c>
      <c r="H4129" s="3">
        <v>53</v>
      </c>
      <c r="I4129" s="3">
        <v>55</v>
      </c>
      <c r="J4129" s="3">
        <v>220</v>
      </c>
      <c r="K4129" s="3">
        <v>384</v>
      </c>
      <c r="L4129" s="3">
        <v>67</v>
      </c>
      <c r="M4129" s="3">
        <v>121</v>
      </c>
    </row>
    <row r="4130" spans="1:13" x14ac:dyDescent="0.25">
      <c r="A4130" s="1" t="str">
        <f>HYPERLINK("http://www.rosaceae.org/Prunus/Prunus_persica/p.persica_gdr_reftransV1_0007002","p.persica_gdr_reftransV1_0007002")</f>
        <v>p.persica_gdr_reftransV1_0007002</v>
      </c>
      <c r="B4130" s="3">
        <v>722</v>
      </c>
      <c r="C4130" s="1" t="str">
        <f>HYPERLINK("http://www.uniprot.org/uniprot/MLO6_ARATH","MLO6_ARATH")</f>
        <v>MLO6_ARATH</v>
      </c>
      <c r="D4130" t="s">
        <v>3109</v>
      </c>
      <c r="E4130" s="3" t="s">
        <v>3</v>
      </c>
      <c r="F4130" s="4">
        <v>9.5000000000000004E-27</v>
      </c>
      <c r="G4130" s="3">
        <v>280</v>
      </c>
      <c r="H4130" s="3">
        <v>47</v>
      </c>
      <c r="I4130" s="3">
        <v>163</v>
      </c>
      <c r="J4130" s="3">
        <v>261</v>
      </c>
      <c r="K4130" s="3">
        <v>722</v>
      </c>
      <c r="L4130" s="3">
        <v>427</v>
      </c>
      <c r="M4130" s="3">
        <v>583</v>
      </c>
    </row>
    <row r="4131" spans="1:13" x14ac:dyDescent="0.25">
      <c r="A4131" s="1" t="str">
        <f>HYPERLINK("http://www.rosaceae.org/Prunus/Prunus_persica/p.persica_gdr_reftransV1_0007102","p.persica_gdr_reftransV1_0007102")</f>
        <v>p.persica_gdr_reftransV1_0007102</v>
      </c>
      <c r="B4131" s="3">
        <v>1300</v>
      </c>
      <c r="C4131" s="1" t="str">
        <f>HYPERLINK("http://www.uniprot.org/uniprot/XTH7_ARATH","XTH7_ARATH")</f>
        <v>XTH7_ARATH</v>
      </c>
      <c r="D4131" t="s">
        <v>3677</v>
      </c>
      <c r="E4131" s="3" t="s">
        <v>3</v>
      </c>
      <c r="F4131" s="4">
        <v>3.2599999999999999E-115</v>
      </c>
      <c r="G4131" s="3">
        <v>887</v>
      </c>
      <c r="H4131" s="3">
        <v>76</v>
      </c>
      <c r="I4131" s="3">
        <v>202</v>
      </c>
      <c r="J4131" s="3">
        <v>275</v>
      </c>
      <c r="K4131" s="3">
        <v>880</v>
      </c>
      <c r="L4131" s="3">
        <v>92</v>
      </c>
      <c r="M4131" s="3">
        <v>293</v>
      </c>
    </row>
    <row r="4132" spans="1:13" x14ac:dyDescent="0.25">
      <c r="A4132" s="1" t="str">
        <f>HYPERLINK("http://www.rosaceae.org/Prunus/Prunus_persica/p.persica_gdr_reftransV1_0007152","p.persica_gdr_reftransV1_0007152")</f>
        <v>p.persica_gdr_reftransV1_0007152</v>
      </c>
      <c r="B4132" s="3">
        <v>1260</v>
      </c>
      <c r="C4132" s="1" t="str">
        <f>HYPERLINK("http://www.uniprot.org/uniprot/NIC4_ARATH","NIC4_ARATH")</f>
        <v>NIC4_ARATH</v>
      </c>
      <c r="D4132" t="s">
        <v>3678</v>
      </c>
      <c r="E4132" s="3" t="s">
        <v>3</v>
      </c>
      <c r="F4132" s="4">
        <v>4.7700000000000003E-85</v>
      </c>
      <c r="G4132" s="3">
        <v>676</v>
      </c>
      <c r="H4132" s="3">
        <v>69</v>
      </c>
      <c r="I4132" s="3">
        <v>196</v>
      </c>
      <c r="J4132" s="3">
        <v>439</v>
      </c>
      <c r="K4132" s="3">
        <v>1023</v>
      </c>
      <c r="L4132" s="3">
        <v>1</v>
      </c>
      <c r="M4132" s="3">
        <v>196</v>
      </c>
    </row>
    <row r="4133" spans="1:13" x14ac:dyDescent="0.25">
      <c r="A4133" s="1" t="str">
        <f>HYPERLINK("http://www.rosaceae.org/Prunus/Prunus_persica/p.persica_gdr_reftransV1_0007202","p.persica_gdr_reftransV1_0007202")</f>
        <v>p.persica_gdr_reftransV1_0007202</v>
      </c>
      <c r="B4133" s="3">
        <v>814</v>
      </c>
      <c r="C4133" s="1" t="str">
        <f>HYPERLINK("http://www.uniprot.org/uniprot/AX15A_SOYBN","AX15A_SOYBN")</f>
        <v>AX15A_SOYBN</v>
      </c>
      <c r="D4133" t="s">
        <v>2397</v>
      </c>
      <c r="E4133" s="3" t="s">
        <v>307</v>
      </c>
      <c r="F4133" s="4">
        <v>3.8899999999999997E-20</v>
      </c>
      <c r="G4133" s="3">
        <v>214</v>
      </c>
      <c r="H4133" s="3">
        <v>60</v>
      </c>
      <c r="I4133" s="3">
        <v>67</v>
      </c>
      <c r="J4133" s="3">
        <v>406</v>
      </c>
      <c r="K4133" s="3">
        <v>603</v>
      </c>
      <c r="L4133" s="3">
        <v>16</v>
      </c>
      <c r="M4133" s="3">
        <v>82</v>
      </c>
    </row>
    <row r="4134" spans="1:13" x14ac:dyDescent="0.25">
      <c r="A4134" s="1" t="str">
        <f>HYPERLINK("http://www.rosaceae.org/Prunus/Prunus_persica/p.persica_gdr_reftransV1_0007252","p.persica_gdr_reftransV1_0007252")</f>
        <v>p.persica_gdr_reftransV1_0007252</v>
      </c>
      <c r="B4134" s="3">
        <v>1275</v>
      </c>
      <c r="C4134" s="1" t="str">
        <f>HYPERLINK("http://www.uniprot.org/uniprot/TKPR2_ARATH","TKPR2_ARATH")</f>
        <v>TKPR2_ARATH</v>
      </c>
      <c r="D4134" t="s">
        <v>3679</v>
      </c>
      <c r="E4134" s="3" t="s">
        <v>3</v>
      </c>
      <c r="F4134" s="4">
        <v>0</v>
      </c>
      <c r="G4134" s="3">
        <v>1328</v>
      </c>
      <c r="H4134" s="3">
        <v>74</v>
      </c>
      <c r="I4134" s="3">
        <v>321</v>
      </c>
      <c r="J4134" s="3">
        <v>288</v>
      </c>
      <c r="K4134" s="3">
        <v>1244</v>
      </c>
      <c r="L4134" s="3">
        <v>1</v>
      </c>
      <c r="M4134" s="3">
        <v>321</v>
      </c>
    </row>
    <row r="4135" spans="1:13" x14ac:dyDescent="0.25">
      <c r="A4135" s="1" t="str">
        <f>HYPERLINK("http://www.rosaceae.org/Prunus/Prunus_persica/p.persica_gdr_reftransV1_0007302","p.persica_gdr_reftransV1_0007302")</f>
        <v>p.persica_gdr_reftransV1_0007302</v>
      </c>
      <c r="B4135" s="3">
        <v>565</v>
      </c>
      <c r="C4135" s="1" t="str">
        <f>HYPERLINK("http://www.uniprot.org/uniprot/HAK13_ORYSJ","HAK13_ORYSJ")</f>
        <v>HAK13_ORYSJ</v>
      </c>
      <c r="D4135" t="s">
        <v>3680</v>
      </c>
      <c r="E4135" s="3" t="s">
        <v>38</v>
      </c>
      <c r="F4135" s="4">
        <v>1.8599999999999998E-43</v>
      </c>
      <c r="G4135" s="3">
        <v>400</v>
      </c>
      <c r="H4135" s="3">
        <v>76</v>
      </c>
      <c r="I4135" s="3">
        <v>100</v>
      </c>
      <c r="J4135" s="3">
        <v>263</v>
      </c>
      <c r="K4135" s="3">
        <v>562</v>
      </c>
      <c r="L4135" s="3">
        <v>25</v>
      </c>
      <c r="M4135" s="3">
        <v>124</v>
      </c>
    </row>
    <row r="4136" spans="1:13" x14ac:dyDescent="0.25">
      <c r="A4136" s="1" t="str">
        <f>HYPERLINK("http://www.rosaceae.org/Prunus/Prunus_persica/p.persica_gdr_reftransV1_0007352","p.persica_gdr_reftransV1_0007352")</f>
        <v>p.persica_gdr_reftransV1_0007352</v>
      </c>
      <c r="B4136" s="3">
        <v>1419</v>
      </c>
      <c r="C4136" s="1" t="str">
        <f>HYPERLINK("http://www.uniprot.org/uniprot/GATL7_ARATH","GATL7_ARATH")</f>
        <v>GATL7_ARATH</v>
      </c>
      <c r="D4136" t="s">
        <v>3681</v>
      </c>
      <c r="E4136" s="3" t="s">
        <v>3</v>
      </c>
      <c r="F4136" s="4">
        <v>4.5000000000000001E-97</v>
      </c>
      <c r="G4136" s="3">
        <v>776</v>
      </c>
      <c r="H4136" s="3">
        <v>70</v>
      </c>
      <c r="I4136" s="3">
        <v>254</v>
      </c>
      <c r="J4136" s="3">
        <v>669</v>
      </c>
      <c r="K4136" s="3">
        <v>1418</v>
      </c>
      <c r="L4136" s="3">
        <v>1</v>
      </c>
      <c r="M4136" s="3">
        <v>233</v>
      </c>
    </row>
    <row r="4137" spans="1:13" x14ac:dyDescent="0.25">
      <c r="A4137" s="1" t="str">
        <f>HYPERLINK("http://www.rosaceae.org/Prunus/Prunus_persica/p.persica_gdr_reftransV1_0007452","p.persica_gdr_reftransV1_0007452")</f>
        <v>p.persica_gdr_reftransV1_0007452</v>
      </c>
      <c r="B4137" s="3">
        <v>2458</v>
      </c>
      <c r="C4137" s="1" t="str">
        <f>HYPERLINK("http://www.uniprot.org/uniprot/PP408_ARATH","PP408_ARATH")</f>
        <v>PP408_ARATH</v>
      </c>
      <c r="D4137" t="s">
        <v>3682</v>
      </c>
      <c r="E4137" s="3" t="s">
        <v>3</v>
      </c>
      <c r="F4137" s="4">
        <v>0</v>
      </c>
      <c r="G4137" s="3">
        <v>2796</v>
      </c>
      <c r="H4137" s="3">
        <v>78</v>
      </c>
      <c r="I4137" s="3">
        <v>666</v>
      </c>
      <c r="J4137" s="3">
        <v>295</v>
      </c>
      <c r="K4137" s="3">
        <v>2271</v>
      </c>
      <c r="L4137" s="3">
        <v>20</v>
      </c>
      <c r="M4137" s="3">
        <v>674</v>
      </c>
    </row>
    <row r="4138" spans="1:13" x14ac:dyDescent="0.25">
      <c r="A4138" s="1" t="str">
        <f>HYPERLINK("http://www.rosaceae.org/Prunus/Prunus_persica/p.persica_gdr_reftransV1_0007502","p.persica_gdr_reftransV1_0007502")</f>
        <v>p.persica_gdr_reftransV1_0007502</v>
      </c>
      <c r="B4138" s="3">
        <v>1507</v>
      </c>
      <c r="C4138" s="1" t="str">
        <f>HYPERLINK("http://www.uniprot.org/uniprot/WTR32_ARATH","WTR32_ARATH")</f>
        <v>WTR32_ARATH</v>
      </c>
      <c r="D4138" t="s">
        <v>3084</v>
      </c>
      <c r="E4138" s="3" t="s">
        <v>3</v>
      </c>
      <c r="F4138" s="4">
        <v>1.8500000000000001E-75</v>
      </c>
      <c r="G4138" s="3">
        <v>634</v>
      </c>
      <c r="H4138" s="3">
        <v>39</v>
      </c>
      <c r="I4138" s="3">
        <v>330</v>
      </c>
      <c r="J4138" s="3">
        <v>463</v>
      </c>
      <c r="K4138" s="3">
        <v>1434</v>
      </c>
      <c r="L4138" s="3">
        <v>4</v>
      </c>
      <c r="M4138" s="3">
        <v>333</v>
      </c>
    </row>
    <row r="4139" spans="1:13" x14ac:dyDescent="0.25">
      <c r="A4139" s="1" t="str">
        <f>HYPERLINK("http://www.rosaceae.org/Prunus/Prunus_persica/p.persica_gdr_reftransV1_0007602","p.persica_gdr_reftransV1_0007602")</f>
        <v>p.persica_gdr_reftransV1_0007602</v>
      </c>
      <c r="B4139" s="3">
        <v>1366</v>
      </c>
      <c r="C4139" s="1" t="str">
        <f>HYPERLINK("http://www.uniprot.org/uniprot/PPDEX_ARATH","PPDEX_ARATH")</f>
        <v>PPDEX_ARATH</v>
      </c>
      <c r="D4139" t="s">
        <v>3683</v>
      </c>
      <c r="E4139" s="3" t="s">
        <v>3</v>
      </c>
      <c r="F4139" s="4">
        <v>9.5000000000000004E-65</v>
      </c>
      <c r="G4139" s="3">
        <v>545</v>
      </c>
      <c r="H4139" s="3">
        <v>61</v>
      </c>
      <c r="I4139" s="3">
        <v>147</v>
      </c>
      <c r="J4139" s="3">
        <v>394</v>
      </c>
      <c r="K4139" s="3">
        <v>834</v>
      </c>
      <c r="L4139" s="3">
        <v>26</v>
      </c>
      <c r="M4139" s="3">
        <v>172</v>
      </c>
    </row>
    <row r="4140" spans="1:13" x14ac:dyDescent="0.25">
      <c r="A4140" s="1" t="str">
        <f>HYPERLINK("http://www.rosaceae.org/Prunus/Prunus_persica/p.persica_gdr_reftransV1_0007652","p.persica_gdr_reftransV1_0007652")</f>
        <v>p.persica_gdr_reftransV1_0007652</v>
      </c>
      <c r="B4140" s="3">
        <v>2174</v>
      </c>
      <c r="C4140" s="1" t="str">
        <f>HYPERLINK("http://www.uniprot.org/uniprot/MA655_ARATH","MA655_ARATH")</f>
        <v>MA655_ARATH</v>
      </c>
      <c r="D4140" t="s">
        <v>3684</v>
      </c>
      <c r="E4140" s="3" t="s">
        <v>3</v>
      </c>
      <c r="F4140" s="4">
        <v>0</v>
      </c>
      <c r="G4140" s="3">
        <v>1395</v>
      </c>
      <c r="H4140" s="3">
        <v>59</v>
      </c>
      <c r="I4140" s="3">
        <v>545</v>
      </c>
      <c r="J4140" s="3">
        <v>348</v>
      </c>
      <c r="K4140" s="3">
        <v>1973</v>
      </c>
      <c r="L4140" s="3">
        <v>12</v>
      </c>
      <c r="M4140" s="3">
        <v>550</v>
      </c>
    </row>
    <row r="4141" spans="1:13" x14ac:dyDescent="0.25">
      <c r="A4141" s="1" t="str">
        <f>HYPERLINK("http://www.rosaceae.org/Prunus/Prunus_persica/p.persica_gdr_reftransV1_0007702","p.persica_gdr_reftransV1_0007702")</f>
        <v>p.persica_gdr_reftransV1_0007702</v>
      </c>
      <c r="B4141" s="3">
        <v>1384</v>
      </c>
      <c r="C4141" s="1" t="str">
        <f>HYPERLINK("http://www.uniprot.org/uniprot/PME31_ARATH","PME31_ARATH")</f>
        <v>PME31_ARATH</v>
      </c>
      <c r="D4141" t="s">
        <v>3685</v>
      </c>
      <c r="E4141" s="3" t="s">
        <v>3</v>
      </c>
      <c r="F4141" s="4">
        <v>0</v>
      </c>
      <c r="G4141" s="3">
        <v>1363</v>
      </c>
      <c r="H4141" s="3">
        <v>81</v>
      </c>
      <c r="I4141" s="3">
        <v>312</v>
      </c>
      <c r="J4141" s="3">
        <v>301</v>
      </c>
      <c r="K4141" s="3">
        <v>1236</v>
      </c>
      <c r="L4141" s="3">
        <v>6</v>
      </c>
      <c r="M4141" s="3">
        <v>317</v>
      </c>
    </row>
    <row r="4142" spans="1:13" x14ac:dyDescent="0.25">
      <c r="A4142" s="1" t="str">
        <f>HYPERLINK("http://www.rosaceae.org/Prunus/Prunus_persica/p.persica_gdr_reftransV1_0007752","p.persica_gdr_reftransV1_0007752")</f>
        <v>p.persica_gdr_reftransV1_0007752</v>
      </c>
      <c r="B4142" s="3">
        <v>623</v>
      </c>
      <c r="C4142" s="1" t="str">
        <f>HYPERLINK("http://www.uniprot.org/uniprot/RTM2B_ARATH","RTM2B_ARATH")</f>
        <v>RTM2B_ARATH</v>
      </c>
      <c r="D4142" t="s">
        <v>3686</v>
      </c>
      <c r="E4142" s="3" t="s">
        <v>3</v>
      </c>
      <c r="F4142" s="4">
        <v>2.37E-8</v>
      </c>
      <c r="G4142" s="3">
        <v>135</v>
      </c>
      <c r="H4142" s="3">
        <v>33</v>
      </c>
      <c r="I4142" s="3">
        <v>90</v>
      </c>
      <c r="J4142" s="3">
        <v>61</v>
      </c>
      <c r="K4142" s="3">
        <v>330</v>
      </c>
      <c r="L4142" s="3">
        <v>16</v>
      </c>
      <c r="M4142" s="3">
        <v>104</v>
      </c>
    </row>
    <row r="4143" spans="1:13" x14ac:dyDescent="0.25">
      <c r="A4143" s="1" t="str">
        <f>HYPERLINK("http://www.rosaceae.org/Prunus/Prunus_persica/p.persica_gdr_reftransV1_0007852","p.persica_gdr_reftransV1_0007852")</f>
        <v>p.persica_gdr_reftransV1_0007852</v>
      </c>
      <c r="B4143" s="3">
        <v>664</v>
      </c>
      <c r="C4143" s="1" t="str">
        <f>HYPERLINK("http://www.uniprot.org/uniprot/AB17B_HUMAN","AB17B_HUMAN")</f>
        <v>AB17B_HUMAN</v>
      </c>
      <c r="D4143" t="s">
        <v>3687</v>
      </c>
      <c r="E4143" s="3" t="s">
        <v>28</v>
      </c>
      <c r="F4143" s="4">
        <v>1.14E-16</v>
      </c>
      <c r="G4143" s="3">
        <v>196</v>
      </c>
      <c r="H4143" s="3">
        <v>51</v>
      </c>
      <c r="I4143" s="3">
        <v>98</v>
      </c>
      <c r="J4143" s="3">
        <v>371</v>
      </c>
      <c r="K4143" s="3">
        <v>661</v>
      </c>
      <c r="L4143" s="3">
        <v>63</v>
      </c>
      <c r="M4143" s="3">
        <v>160</v>
      </c>
    </row>
    <row r="4144" spans="1:13" x14ac:dyDescent="0.25">
      <c r="A4144" s="1" t="str">
        <f>HYPERLINK("http://www.rosaceae.org/Prunus/Prunus_persica/p.persica_gdr_reftransV1_0007902","p.persica_gdr_reftransV1_0007902")</f>
        <v>p.persica_gdr_reftransV1_0007902</v>
      </c>
      <c r="B4144" s="3">
        <v>4524</v>
      </c>
      <c r="C4144" s="1" t="str">
        <f>HYPERLINK("http://www.uniprot.org/uniprot/CYPR4_CYNCA","CYPR4_CYNCA")</f>
        <v>CYPR4_CYNCA</v>
      </c>
      <c r="D4144" t="s">
        <v>3688</v>
      </c>
      <c r="E4144" s="3" t="s">
        <v>2181</v>
      </c>
      <c r="F4144" s="4">
        <v>0</v>
      </c>
      <c r="G4144" s="3">
        <v>1620</v>
      </c>
      <c r="H4144" s="3">
        <v>78</v>
      </c>
      <c r="I4144" s="3">
        <v>403</v>
      </c>
      <c r="J4144" s="3">
        <v>645</v>
      </c>
      <c r="K4144" s="3">
        <v>1820</v>
      </c>
      <c r="L4144" s="3">
        <v>1</v>
      </c>
      <c r="M4144" s="3">
        <v>403</v>
      </c>
    </row>
    <row r="4145" spans="1:13" x14ac:dyDescent="0.25">
      <c r="A4145" s="1" t="str">
        <f>HYPERLINK("http://www.rosaceae.org/Prunus/Prunus_persica/p.persica_gdr_reftransV1_0007952","p.persica_gdr_reftransV1_0007952")</f>
        <v>p.persica_gdr_reftransV1_0007952</v>
      </c>
      <c r="B4145" s="3">
        <v>1075</v>
      </c>
      <c r="C4145" s="1" t="str">
        <f>HYPERLINK("http://www.uniprot.org/uniprot/RR10_ARATH","RR10_ARATH")</f>
        <v>RR10_ARATH</v>
      </c>
      <c r="D4145" t="s">
        <v>3689</v>
      </c>
      <c r="E4145" s="3" t="s">
        <v>3</v>
      </c>
      <c r="F4145" s="4">
        <v>2.7499999999999999E-82</v>
      </c>
      <c r="G4145" s="3">
        <v>652</v>
      </c>
      <c r="H4145" s="3">
        <v>70</v>
      </c>
      <c r="I4145" s="3">
        <v>200</v>
      </c>
      <c r="J4145" s="3">
        <v>59</v>
      </c>
      <c r="K4145" s="3">
        <v>655</v>
      </c>
      <c r="L4145" s="3">
        <v>1</v>
      </c>
      <c r="M4145" s="3">
        <v>191</v>
      </c>
    </row>
    <row r="4146" spans="1:13" x14ac:dyDescent="0.25">
      <c r="A4146" s="1" t="str">
        <f>HYPERLINK("http://www.rosaceae.org/Prunus/Prunus_persica/p.persica_gdr_reftransV1_0008052","p.persica_gdr_reftransV1_0008052")</f>
        <v>p.persica_gdr_reftransV1_0008052</v>
      </c>
      <c r="B4146" s="3">
        <v>818</v>
      </c>
      <c r="C4146" s="1" t="str">
        <f>HYPERLINK("http://www.uniprot.org/uniprot/ERF92_ARATH","ERF92_ARATH")</f>
        <v>ERF92_ARATH</v>
      </c>
      <c r="D4146" t="s">
        <v>3690</v>
      </c>
      <c r="E4146" s="3" t="s">
        <v>3</v>
      </c>
      <c r="F4146" s="4">
        <v>1.3300000000000001E-66</v>
      </c>
      <c r="G4146" s="3">
        <v>541</v>
      </c>
      <c r="H4146" s="3">
        <v>68</v>
      </c>
      <c r="I4146" s="3">
        <v>194</v>
      </c>
      <c r="J4146" s="3">
        <v>78</v>
      </c>
      <c r="K4146" s="3">
        <v>647</v>
      </c>
      <c r="L4146" s="3">
        <v>36</v>
      </c>
      <c r="M4146" s="3">
        <v>215</v>
      </c>
    </row>
    <row r="4147" spans="1:13" x14ac:dyDescent="0.25">
      <c r="A4147" s="1" t="str">
        <f>HYPERLINK("http://www.rosaceae.org/Prunus/Prunus_persica/p.persica_gdr_reftransV1_0008102","p.persica_gdr_reftransV1_0008102")</f>
        <v>p.persica_gdr_reftransV1_0008102</v>
      </c>
      <c r="B4147" s="3">
        <v>1574</v>
      </c>
      <c r="C4147" s="1" t="str">
        <f>HYPERLINK("http://www.uniprot.org/uniprot/SKI23_ARATH","SKI23_ARATH")</f>
        <v>SKI23_ARATH</v>
      </c>
      <c r="D4147" t="s">
        <v>143</v>
      </c>
      <c r="E4147" s="3" t="s">
        <v>3</v>
      </c>
      <c r="F4147" s="4">
        <v>1.43E-9</v>
      </c>
      <c r="G4147" s="3">
        <v>154</v>
      </c>
      <c r="H4147" s="3">
        <v>23</v>
      </c>
      <c r="I4147" s="3">
        <v>449</v>
      </c>
      <c r="J4147" s="3">
        <v>145</v>
      </c>
      <c r="K4147" s="3">
        <v>1395</v>
      </c>
      <c r="L4147" s="3">
        <v>3</v>
      </c>
      <c r="M4147" s="3">
        <v>391</v>
      </c>
    </row>
    <row r="4148" spans="1:13" x14ac:dyDescent="0.25">
      <c r="A4148" s="1" t="str">
        <f>HYPERLINK("http://www.rosaceae.org/Prunus/Prunus_persica/p.persica_gdr_reftransV1_0008202","p.persica_gdr_reftransV1_0008202")</f>
        <v>p.persica_gdr_reftransV1_0008202</v>
      </c>
      <c r="B4148" s="3">
        <v>555</v>
      </c>
      <c r="C4148" s="1" t="str">
        <f>HYPERLINK("http://www.uniprot.org/uniprot/NTF2_ARATH","NTF2_ARATH")</f>
        <v>NTF2_ARATH</v>
      </c>
      <c r="D4148" t="s">
        <v>3691</v>
      </c>
      <c r="E4148" s="3" t="s">
        <v>3</v>
      </c>
      <c r="F4148" s="4">
        <v>5.2499999999999994E-54</v>
      </c>
      <c r="G4148" s="3">
        <v>441</v>
      </c>
      <c r="H4148" s="3">
        <v>67</v>
      </c>
      <c r="I4148" s="3">
        <v>120</v>
      </c>
      <c r="J4148" s="3">
        <v>123</v>
      </c>
      <c r="K4148" s="3">
        <v>482</v>
      </c>
      <c r="L4148" s="3">
        <v>7</v>
      </c>
      <c r="M4148" s="3">
        <v>126</v>
      </c>
    </row>
    <row r="4149" spans="1:13" x14ac:dyDescent="0.25">
      <c r="A4149" s="1" t="str">
        <f>HYPERLINK("http://www.rosaceae.org/Prunus/Prunus_persica/p.persica_gdr_reftransV1_0008352","p.persica_gdr_reftransV1_0008352")</f>
        <v>p.persica_gdr_reftransV1_0008352</v>
      </c>
      <c r="B4149" s="3">
        <v>2906</v>
      </c>
      <c r="C4149" s="1" t="str">
        <f>HYPERLINK("http://www.uniprot.org/uniprot/CLCC_ARATH","CLCC_ARATH")</f>
        <v>CLCC_ARATH</v>
      </c>
      <c r="D4149" t="s">
        <v>3692</v>
      </c>
      <c r="E4149" s="3" t="s">
        <v>3</v>
      </c>
      <c r="F4149" s="4">
        <v>0</v>
      </c>
      <c r="G4149" s="3">
        <v>2433</v>
      </c>
      <c r="H4149" s="3">
        <v>72</v>
      </c>
      <c r="I4149" s="3">
        <v>776</v>
      </c>
      <c r="J4149" s="3">
        <v>346</v>
      </c>
      <c r="K4149" s="3">
        <v>2667</v>
      </c>
      <c r="L4149" s="3">
        <v>1</v>
      </c>
      <c r="M4149" s="3">
        <v>775</v>
      </c>
    </row>
    <row r="4150" spans="1:13" x14ac:dyDescent="0.25">
      <c r="A4150" s="1" t="str">
        <f>HYPERLINK("http://www.rosaceae.org/Prunus/Prunus_persica/p.persica_gdr_reftransV1_0008452","p.persica_gdr_reftransV1_0008452")</f>
        <v>p.persica_gdr_reftransV1_0008452</v>
      </c>
      <c r="B4150" s="3">
        <v>2813</v>
      </c>
      <c r="C4150" s="1" t="str">
        <f>HYPERLINK("http://www.uniprot.org/uniprot/PPR32_ARATH","PPR32_ARATH")</f>
        <v>PPR32_ARATH</v>
      </c>
      <c r="D4150" t="s">
        <v>3693</v>
      </c>
      <c r="E4150" s="3" t="s">
        <v>3</v>
      </c>
      <c r="F4150" s="4">
        <v>0</v>
      </c>
      <c r="G4150" s="3">
        <v>3058</v>
      </c>
      <c r="H4150" s="3">
        <v>67</v>
      </c>
      <c r="I4150" s="3">
        <v>827</v>
      </c>
      <c r="J4150" s="3">
        <v>54</v>
      </c>
      <c r="K4150" s="3">
        <v>2534</v>
      </c>
      <c r="L4150" s="3">
        <v>1</v>
      </c>
      <c r="M4150" s="3">
        <v>809</v>
      </c>
    </row>
    <row r="4151" spans="1:13" x14ac:dyDescent="0.25">
      <c r="A4151" s="1" t="str">
        <f>HYPERLINK("http://www.rosaceae.org/Prunus/Prunus_persica/p.persica_gdr_reftransV1_0008502","p.persica_gdr_reftransV1_0008502")</f>
        <v>p.persica_gdr_reftransV1_0008502</v>
      </c>
      <c r="B4151" s="3">
        <v>1163</v>
      </c>
      <c r="C4151" s="1" t="str">
        <f>HYPERLINK("http://www.uniprot.org/uniprot/TPD1_ARATH","TPD1_ARATH")</f>
        <v>TPD1_ARATH</v>
      </c>
      <c r="D4151" t="s">
        <v>3694</v>
      </c>
      <c r="E4151" s="3" t="s">
        <v>3</v>
      </c>
      <c r="F4151" s="4">
        <v>3.5300000000000002E-45</v>
      </c>
      <c r="G4151" s="3">
        <v>403</v>
      </c>
      <c r="H4151" s="3">
        <v>62</v>
      </c>
      <c r="I4151" s="3">
        <v>122</v>
      </c>
      <c r="J4151" s="3">
        <v>558</v>
      </c>
      <c r="K4151" s="3">
        <v>905</v>
      </c>
      <c r="L4151" s="3">
        <v>48</v>
      </c>
      <c r="M4151" s="3">
        <v>168</v>
      </c>
    </row>
    <row r="4152" spans="1:13" x14ac:dyDescent="0.25">
      <c r="A4152" s="1" t="str">
        <f>HYPERLINK("http://www.rosaceae.org/Prunus/Prunus_persica/p.persica_gdr_reftransV1_0008602","p.persica_gdr_reftransV1_0008602")</f>
        <v>p.persica_gdr_reftransV1_0008602</v>
      </c>
      <c r="B4152" s="3">
        <v>3174</v>
      </c>
      <c r="C4152" s="1" t="str">
        <f>HYPERLINK("http://www.uniprot.org/uniprot/RMD5A_XENLA","RMD5A_XENLA")</f>
        <v>RMD5A_XENLA</v>
      </c>
      <c r="D4152" t="s">
        <v>3695</v>
      </c>
      <c r="E4152" s="3" t="s">
        <v>475</v>
      </c>
      <c r="F4152" s="4">
        <v>3.22E-62</v>
      </c>
      <c r="G4152" s="3">
        <v>564</v>
      </c>
      <c r="H4152" s="3">
        <v>34</v>
      </c>
      <c r="I4152" s="3">
        <v>402</v>
      </c>
      <c r="J4152" s="3">
        <v>374</v>
      </c>
      <c r="K4152" s="3">
        <v>1534</v>
      </c>
      <c r="L4152" s="3">
        <v>3</v>
      </c>
      <c r="M4152" s="3">
        <v>391</v>
      </c>
    </row>
    <row r="4153" spans="1:13" x14ac:dyDescent="0.25">
      <c r="A4153" s="1" t="str">
        <f>HYPERLINK("http://www.rosaceae.org/Prunus/Prunus_persica/p.persica_gdr_reftransV1_0008652","p.persica_gdr_reftransV1_0008652")</f>
        <v>p.persica_gdr_reftransV1_0008652</v>
      </c>
      <c r="B4153" s="3">
        <v>4334</v>
      </c>
      <c r="C4153" s="1" t="str">
        <f>HYPERLINK("http://www.uniprot.org/uniprot/UBP13_ARATH","UBP13_ARATH")</f>
        <v>UBP13_ARATH</v>
      </c>
      <c r="D4153" t="s">
        <v>3696</v>
      </c>
      <c r="E4153" s="3" t="s">
        <v>3</v>
      </c>
      <c r="F4153" s="4">
        <v>0</v>
      </c>
      <c r="G4153" s="3">
        <v>4717</v>
      </c>
      <c r="H4153" s="3">
        <v>81</v>
      </c>
      <c r="I4153" s="3">
        <v>1121</v>
      </c>
      <c r="J4153" s="3">
        <v>813</v>
      </c>
      <c r="K4153" s="3">
        <v>4169</v>
      </c>
      <c r="L4153" s="3">
        <v>1</v>
      </c>
      <c r="M4153" s="3">
        <v>1115</v>
      </c>
    </row>
    <row r="4154" spans="1:13" x14ac:dyDescent="0.25">
      <c r="A4154" s="1" t="str">
        <f>HYPERLINK("http://www.rosaceae.org/Prunus/Prunus_persica/p.persica_gdr_reftransV1_0008702","p.persica_gdr_reftransV1_0008702")</f>
        <v>p.persica_gdr_reftransV1_0008702</v>
      </c>
      <c r="B4154" s="3">
        <v>775</v>
      </c>
      <c r="C4154" s="1" t="str">
        <f>HYPERLINK("http://www.uniprot.org/uniprot/GG1_ARATH","GG1_ARATH")</f>
        <v>GG1_ARATH</v>
      </c>
      <c r="D4154" t="s">
        <v>3697</v>
      </c>
      <c r="E4154" s="3" t="s">
        <v>3</v>
      </c>
      <c r="F4154" s="4">
        <v>3.5600000000000002E-19</v>
      </c>
      <c r="G4154" s="3">
        <v>207</v>
      </c>
      <c r="H4154" s="3">
        <v>63</v>
      </c>
      <c r="I4154" s="3">
        <v>80</v>
      </c>
      <c r="J4154" s="3">
        <v>265</v>
      </c>
      <c r="K4154" s="3">
        <v>504</v>
      </c>
      <c r="L4154" s="3">
        <v>19</v>
      </c>
      <c r="M4154" s="3">
        <v>98</v>
      </c>
    </row>
    <row r="4155" spans="1:13" x14ac:dyDescent="0.25">
      <c r="A4155" s="1" t="str">
        <f>HYPERLINK("http://www.rosaceae.org/Prunus/Prunus_persica/p.persica_gdr_reftransV1_0008852","p.persica_gdr_reftransV1_0008852")</f>
        <v>p.persica_gdr_reftransV1_0008852</v>
      </c>
      <c r="B4155" s="3">
        <v>1574</v>
      </c>
      <c r="C4155" s="1" t="str">
        <f>HYPERLINK("http://www.uniprot.org/uniprot/UBC32_ARATH","UBC32_ARATH")</f>
        <v>UBC32_ARATH</v>
      </c>
      <c r="D4155" t="s">
        <v>3698</v>
      </c>
      <c r="E4155" s="3" t="s">
        <v>3</v>
      </c>
      <c r="F4155" s="4">
        <v>1.4499999999999999E-51</v>
      </c>
      <c r="G4155" s="3">
        <v>466</v>
      </c>
      <c r="H4155" s="3">
        <v>53</v>
      </c>
      <c r="I4155" s="3">
        <v>180</v>
      </c>
      <c r="J4155" s="3">
        <v>734</v>
      </c>
      <c r="K4155" s="3">
        <v>1261</v>
      </c>
      <c r="L4155" s="3">
        <v>1</v>
      </c>
      <c r="M4155" s="3">
        <v>178</v>
      </c>
    </row>
    <row r="4156" spans="1:13" x14ac:dyDescent="0.25">
      <c r="A4156" s="1" t="str">
        <f>HYPERLINK("http://www.rosaceae.org/Prunus/Prunus_persica/p.persica_gdr_reftransV1_0008952","p.persica_gdr_reftransV1_0008952")</f>
        <v>p.persica_gdr_reftransV1_0008952</v>
      </c>
      <c r="B4156" s="3">
        <v>1737</v>
      </c>
      <c r="C4156" s="1" t="str">
        <f>HYPERLINK("http://www.uniprot.org/uniprot/FBT7_ARATH","FBT7_ARATH")</f>
        <v>FBT7_ARATH</v>
      </c>
      <c r="D4156" t="s">
        <v>3699</v>
      </c>
      <c r="E4156" s="3" t="s">
        <v>3</v>
      </c>
      <c r="F4156" s="4">
        <v>3.4E-164</v>
      </c>
      <c r="G4156" s="3">
        <v>1241</v>
      </c>
      <c r="H4156" s="3">
        <v>60</v>
      </c>
      <c r="I4156" s="3">
        <v>436</v>
      </c>
      <c r="J4156" s="3">
        <v>224</v>
      </c>
      <c r="K4156" s="3">
        <v>1528</v>
      </c>
      <c r="L4156" s="3">
        <v>11</v>
      </c>
      <c r="M4156" s="3">
        <v>440</v>
      </c>
    </row>
    <row r="4157" spans="1:13" x14ac:dyDescent="0.25">
      <c r="A4157" s="1" t="str">
        <f>HYPERLINK("http://www.rosaceae.org/Prunus/Prunus_persica/p.persica_gdr_reftransV1_0009002","p.persica_gdr_reftransV1_0009002")</f>
        <v>p.persica_gdr_reftransV1_0009002</v>
      </c>
      <c r="B4157" s="3">
        <v>980</v>
      </c>
      <c r="C4157" s="1" t="str">
        <f>HYPERLINK("http://www.uniprot.org/uniprot/BOLA4_ARATH","BOLA4_ARATH")</f>
        <v>BOLA4_ARATH</v>
      </c>
      <c r="D4157" t="s">
        <v>3700</v>
      </c>
      <c r="E4157" s="3" t="s">
        <v>3</v>
      </c>
      <c r="F4157" s="4">
        <v>1.57E-44</v>
      </c>
      <c r="G4157" s="3">
        <v>394</v>
      </c>
      <c r="H4157" s="3">
        <v>77</v>
      </c>
      <c r="I4157" s="3">
        <v>94</v>
      </c>
      <c r="J4157" s="3">
        <v>286</v>
      </c>
      <c r="K4157" s="3">
        <v>567</v>
      </c>
      <c r="L4157" s="3">
        <v>84</v>
      </c>
      <c r="M4157" s="3">
        <v>177</v>
      </c>
    </row>
    <row r="4158" spans="1:13" x14ac:dyDescent="0.25">
      <c r="A4158" s="1" t="str">
        <f>HYPERLINK("http://www.rosaceae.org/Prunus/Prunus_persica/p.persica_gdr_reftransV1_0009152","p.persica_gdr_reftransV1_0009152")</f>
        <v>p.persica_gdr_reftransV1_0009152</v>
      </c>
      <c r="B4158" s="3">
        <v>6315</v>
      </c>
      <c r="C4158" s="1" t="str">
        <f>HYPERLINK("http://www.uniprot.org/uniprot/Y4102_ARATH","Y4102_ARATH")</f>
        <v>Y4102_ARATH</v>
      </c>
      <c r="D4158" t="s">
        <v>2385</v>
      </c>
      <c r="E4158" s="3" t="s">
        <v>3</v>
      </c>
      <c r="F4158" s="4">
        <v>0</v>
      </c>
      <c r="G4158" s="3">
        <v>3641</v>
      </c>
      <c r="H4158" s="3">
        <v>56</v>
      </c>
      <c r="I4158" s="3">
        <v>1320</v>
      </c>
      <c r="J4158" s="3">
        <v>209</v>
      </c>
      <c r="K4158" s="3">
        <v>4099</v>
      </c>
      <c r="L4158" s="3">
        <v>61</v>
      </c>
      <c r="M4158" s="3">
        <v>1371</v>
      </c>
    </row>
    <row r="4159" spans="1:13" x14ac:dyDescent="0.25">
      <c r="A4159" s="1" t="str">
        <f>HYPERLINK("http://www.rosaceae.org/Prunus/Prunus_persica/p.persica_gdr_reftransV1_0009202","p.persica_gdr_reftransV1_0009202")</f>
        <v>p.persica_gdr_reftransV1_0009202</v>
      </c>
      <c r="B4159" s="3">
        <v>1598</v>
      </c>
      <c r="C4159" s="1" t="str">
        <f>HYPERLINK("http://www.uniprot.org/uniprot/GPAT3_MOUSE","GPAT3_MOUSE")</f>
        <v>GPAT3_MOUSE</v>
      </c>
      <c r="D4159" t="s">
        <v>3701</v>
      </c>
      <c r="E4159" s="3" t="s">
        <v>157</v>
      </c>
      <c r="F4159" s="4">
        <v>3.8899999999999998E-74</v>
      </c>
      <c r="G4159" s="3">
        <v>633</v>
      </c>
      <c r="H4159" s="3">
        <v>40</v>
      </c>
      <c r="I4159" s="3">
        <v>348</v>
      </c>
      <c r="J4159" s="3">
        <v>194</v>
      </c>
      <c r="K4159" s="3">
        <v>1189</v>
      </c>
      <c r="L4159" s="3">
        <v>86</v>
      </c>
      <c r="M4159" s="3">
        <v>428</v>
      </c>
    </row>
    <row r="4160" spans="1:13" x14ac:dyDescent="0.25">
      <c r="A4160" s="1" t="str">
        <f>HYPERLINK("http://www.rosaceae.org/Prunus/Prunus_persica/p.persica_gdr_reftransV1_0009302","p.persica_gdr_reftransV1_0009302")</f>
        <v>p.persica_gdr_reftransV1_0009302</v>
      </c>
      <c r="B4160" s="3">
        <v>983</v>
      </c>
      <c r="C4160" s="1" t="str">
        <f>HYPERLINK("http://www.uniprot.org/uniprot/Y2179_DICDI","Y2179_DICDI")</f>
        <v>Y2179_DICDI</v>
      </c>
      <c r="D4160" t="s">
        <v>3702</v>
      </c>
      <c r="E4160" s="3" t="s">
        <v>9</v>
      </c>
      <c r="F4160" s="4">
        <v>6.6199999999999997E-12</v>
      </c>
      <c r="G4160" s="3">
        <v>160</v>
      </c>
      <c r="H4160" s="3">
        <v>32</v>
      </c>
      <c r="I4160" s="3">
        <v>118</v>
      </c>
      <c r="J4160" s="3">
        <v>357</v>
      </c>
      <c r="K4160" s="3">
        <v>698</v>
      </c>
      <c r="L4160" s="3">
        <v>24</v>
      </c>
      <c r="M4160" s="3">
        <v>141</v>
      </c>
    </row>
    <row r="4161" spans="1:13" x14ac:dyDescent="0.25">
      <c r="A4161" s="1" t="str">
        <f>HYPERLINK("http://www.rosaceae.org/Prunus/Prunus_persica/p.persica_gdr_reftransV1_0009452","p.persica_gdr_reftransV1_0009452")</f>
        <v>p.persica_gdr_reftransV1_0009452</v>
      </c>
      <c r="B4161" s="3">
        <v>3979</v>
      </c>
      <c r="C4161" s="1" t="str">
        <f>HYPERLINK("http://www.uniprot.org/uniprot/HXK4_ARATH","HXK4_ARATH")</f>
        <v>HXK4_ARATH</v>
      </c>
      <c r="D4161" t="s">
        <v>3703</v>
      </c>
      <c r="E4161" s="3" t="s">
        <v>3</v>
      </c>
      <c r="F4161" s="4">
        <v>2.9000000000000001E-163</v>
      </c>
      <c r="G4161" s="3">
        <v>1300</v>
      </c>
      <c r="H4161" s="3">
        <v>66</v>
      </c>
      <c r="I4161" s="3">
        <v>393</v>
      </c>
      <c r="J4161" s="3">
        <v>332</v>
      </c>
      <c r="K4161" s="3">
        <v>1510</v>
      </c>
      <c r="L4161" s="3">
        <v>92</v>
      </c>
      <c r="M4161" s="3">
        <v>480</v>
      </c>
    </row>
    <row r="4162" spans="1:13" x14ac:dyDescent="0.25">
      <c r="A4162" s="1" t="str">
        <f>HYPERLINK("http://www.rosaceae.org/Prunus/Prunus_persica/p.persica_gdr_reftransV1_0009602","p.persica_gdr_reftransV1_0009602")</f>
        <v>p.persica_gdr_reftransV1_0009602</v>
      </c>
      <c r="B4162" s="3">
        <v>4516</v>
      </c>
      <c r="C4162" s="1" t="str">
        <f>HYPERLINK("http://www.uniprot.org/uniprot/CKX5_ARATH","CKX5_ARATH")</f>
        <v>CKX5_ARATH</v>
      </c>
      <c r="D4162" t="s">
        <v>3704</v>
      </c>
      <c r="E4162" s="3" t="s">
        <v>3</v>
      </c>
      <c r="F4162" s="4">
        <v>0</v>
      </c>
      <c r="G4162" s="3">
        <v>2037</v>
      </c>
      <c r="H4162" s="3">
        <v>73</v>
      </c>
      <c r="I4162" s="3">
        <v>527</v>
      </c>
      <c r="J4162" s="3">
        <v>2070</v>
      </c>
      <c r="K4162" s="3">
        <v>3635</v>
      </c>
      <c r="L4162" s="3">
        <v>5</v>
      </c>
      <c r="M4162" s="3">
        <v>520</v>
      </c>
    </row>
    <row r="4163" spans="1:13" x14ac:dyDescent="0.25">
      <c r="A4163" s="1" t="str">
        <f>HYPERLINK("http://www.rosaceae.org/Prunus/Prunus_persica/p.persica_gdr_reftransV1_0009702","p.persica_gdr_reftransV1_0009702")</f>
        <v>p.persica_gdr_reftransV1_0009702</v>
      </c>
      <c r="B4163" s="3">
        <v>1028</v>
      </c>
      <c r="C4163" s="1" t="str">
        <f>HYPERLINK("http://www.uniprot.org/uniprot/RK13_ARATH","RK13_ARATH")</f>
        <v>RK13_ARATH</v>
      </c>
      <c r="D4163" t="s">
        <v>3705</v>
      </c>
      <c r="E4163" s="3" t="s">
        <v>3</v>
      </c>
      <c r="F4163" s="4">
        <v>7.5300000000000001E-107</v>
      </c>
      <c r="G4163" s="3">
        <v>818</v>
      </c>
      <c r="H4163" s="3">
        <v>73</v>
      </c>
      <c r="I4163" s="3">
        <v>213</v>
      </c>
      <c r="J4163" s="3">
        <v>198</v>
      </c>
      <c r="K4163" s="3">
        <v>824</v>
      </c>
      <c r="L4163" s="3">
        <v>25</v>
      </c>
      <c r="M4163" s="3">
        <v>231</v>
      </c>
    </row>
    <row r="4164" spans="1:13" x14ac:dyDescent="0.25">
      <c r="A4164" s="1" t="str">
        <f>HYPERLINK("http://www.rosaceae.org/Prunus/Prunus_persica/p.persica_gdr_reftransV1_0010052","p.persica_gdr_reftransV1_0010052")</f>
        <v>p.persica_gdr_reftransV1_0010052</v>
      </c>
      <c r="B4164" s="3">
        <v>597</v>
      </c>
      <c r="C4164" s="1" t="str">
        <f>HYPERLINK("http://www.uniprot.org/uniprot/PBF_MAIZE","PBF_MAIZE")</f>
        <v>PBF_MAIZE</v>
      </c>
      <c r="D4164" t="s">
        <v>3706</v>
      </c>
      <c r="E4164" s="3" t="s">
        <v>72</v>
      </c>
      <c r="F4164" s="4">
        <v>6.7699999999999996E-17</v>
      </c>
      <c r="G4164" s="3">
        <v>197</v>
      </c>
      <c r="H4164" s="3">
        <v>85</v>
      </c>
      <c r="I4164" s="3">
        <v>39</v>
      </c>
      <c r="J4164" s="3">
        <v>481</v>
      </c>
      <c r="K4164" s="3">
        <v>597</v>
      </c>
      <c r="L4164" s="3">
        <v>49</v>
      </c>
      <c r="M4164" s="3">
        <v>87</v>
      </c>
    </row>
    <row r="4165" spans="1:13" x14ac:dyDescent="0.25">
      <c r="A4165" s="1" t="str">
        <f>HYPERLINK("http://www.rosaceae.org/Prunus/Prunus_persica/p.persica_gdr_reftransV1_0010102","p.persica_gdr_reftransV1_0010102")</f>
        <v>p.persica_gdr_reftransV1_0010102</v>
      </c>
      <c r="B4165" s="3">
        <v>1902</v>
      </c>
      <c r="C4165" s="1" t="str">
        <f>HYPERLINK("http://www.uniprot.org/uniprot/MGAT3_RAT","MGAT3_RAT")</f>
        <v>MGAT3_RAT</v>
      </c>
      <c r="D4165" t="s">
        <v>3707</v>
      </c>
      <c r="E4165" s="3" t="s">
        <v>161</v>
      </c>
      <c r="F4165" s="4">
        <v>9.9199999999999996E-18</v>
      </c>
      <c r="G4165" s="3">
        <v>223</v>
      </c>
      <c r="H4165" s="3">
        <v>27</v>
      </c>
      <c r="I4165" s="3">
        <v>313</v>
      </c>
      <c r="J4165" s="3">
        <v>353</v>
      </c>
      <c r="K4165" s="3">
        <v>1177</v>
      </c>
      <c r="L4165" s="3">
        <v>206</v>
      </c>
      <c r="M4165" s="3">
        <v>502</v>
      </c>
    </row>
    <row r="4166" spans="1:13" x14ac:dyDescent="0.25">
      <c r="A4166" s="1" t="str">
        <f>HYPERLINK("http://www.rosaceae.org/Prunus/Prunus_persica/p.persica_gdr_reftransV1_0010152","p.persica_gdr_reftransV1_0010152")</f>
        <v>p.persica_gdr_reftransV1_0010152</v>
      </c>
      <c r="B4166" s="3">
        <v>897</v>
      </c>
      <c r="C4166" s="1" t="str">
        <f>HYPERLINK("http://www.uniprot.org/uniprot/UMP2_ARATH","UMP2_ARATH")</f>
        <v>UMP2_ARATH</v>
      </c>
      <c r="D4166" t="s">
        <v>3708</v>
      </c>
      <c r="E4166" s="3" t="s">
        <v>3</v>
      </c>
      <c r="F4166" s="4">
        <v>1.0099999999999999E-27</v>
      </c>
      <c r="G4166" s="3">
        <v>271</v>
      </c>
      <c r="H4166" s="3">
        <v>63</v>
      </c>
      <c r="I4166" s="3">
        <v>120</v>
      </c>
      <c r="J4166" s="3">
        <v>92</v>
      </c>
      <c r="K4166" s="3">
        <v>439</v>
      </c>
      <c r="L4166" s="3">
        <v>1</v>
      </c>
      <c r="M4166" s="3">
        <v>113</v>
      </c>
    </row>
    <row r="4167" spans="1:13" x14ac:dyDescent="0.25">
      <c r="A4167" s="1" t="str">
        <f>HYPERLINK("http://www.rosaceae.org/Prunus/Prunus_persica/p.persica_gdr_reftransV1_0010202","p.persica_gdr_reftransV1_0010202")</f>
        <v>p.persica_gdr_reftransV1_0010202</v>
      </c>
      <c r="B4167" s="3">
        <v>1318</v>
      </c>
      <c r="C4167" s="1" t="str">
        <f>HYPERLINK("http://www.uniprot.org/uniprot/RKS1_ARATH","RKS1_ARATH")</f>
        <v>RKS1_ARATH</v>
      </c>
      <c r="D4167" t="s">
        <v>3709</v>
      </c>
      <c r="E4167" s="3" t="s">
        <v>3</v>
      </c>
      <c r="F4167" s="4">
        <v>2.9599999999999999E-158</v>
      </c>
      <c r="G4167" s="3">
        <v>1222</v>
      </c>
      <c r="H4167" s="3">
        <v>54</v>
      </c>
      <c r="I4167" s="3">
        <v>440</v>
      </c>
      <c r="J4167" s="3">
        <v>1</v>
      </c>
      <c r="K4167" s="3">
        <v>1314</v>
      </c>
      <c r="L4167" s="3">
        <v>284</v>
      </c>
      <c r="M4167" s="3">
        <v>714</v>
      </c>
    </row>
    <row r="4168" spans="1:13" x14ac:dyDescent="0.25">
      <c r="A4168" s="1" t="str">
        <f>HYPERLINK("http://www.rosaceae.org/Prunus/Prunus_persica/p.persica_gdr_reftransV1_0010252","p.persica_gdr_reftransV1_0010252")</f>
        <v>p.persica_gdr_reftransV1_0010252</v>
      </c>
      <c r="B4168" s="3">
        <v>1822</v>
      </c>
      <c r="C4168" s="1" t="str">
        <f>HYPERLINK("http://www.uniprot.org/uniprot/DHQSD_ARATH","DHQSD_ARATH")</f>
        <v>DHQSD_ARATH</v>
      </c>
      <c r="D4168" t="s">
        <v>451</v>
      </c>
      <c r="E4168" s="3" t="s">
        <v>3</v>
      </c>
      <c r="F4168" s="4">
        <v>8.0999999999999992E-37</v>
      </c>
      <c r="G4168" s="3">
        <v>374</v>
      </c>
      <c r="H4168" s="3">
        <v>62</v>
      </c>
      <c r="I4168" s="3">
        <v>105</v>
      </c>
      <c r="J4168" s="3">
        <v>1</v>
      </c>
      <c r="K4168" s="3">
        <v>315</v>
      </c>
      <c r="L4168" s="3">
        <v>487</v>
      </c>
      <c r="M4168" s="3">
        <v>591</v>
      </c>
    </row>
    <row r="4169" spans="1:13" x14ac:dyDescent="0.25">
      <c r="A4169" s="1" t="str">
        <f>HYPERLINK("http://www.rosaceae.org/Prunus/Prunus_persica/p.persica_gdr_reftransV1_0010302","p.persica_gdr_reftransV1_0010302")</f>
        <v>p.persica_gdr_reftransV1_0010302</v>
      </c>
      <c r="B4169" s="3">
        <v>2294</v>
      </c>
      <c r="C4169" s="1" t="str">
        <f>HYPERLINK("http://www.uniprot.org/uniprot/GAE3_ARATH","GAE3_ARATH")</f>
        <v>GAE3_ARATH</v>
      </c>
      <c r="D4169" t="s">
        <v>3092</v>
      </c>
      <c r="E4169" s="3" t="s">
        <v>3</v>
      </c>
      <c r="F4169" s="4">
        <v>0</v>
      </c>
      <c r="G4169" s="3">
        <v>1780</v>
      </c>
      <c r="H4169" s="3">
        <v>86</v>
      </c>
      <c r="I4169" s="3">
        <v>434</v>
      </c>
      <c r="J4169" s="3">
        <v>779</v>
      </c>
      <c r="K4169" s="3">
        <v>2080</v>
      </c>
      <c r="L4169" s="3">
        <v>1</v>
      </c>
      <c r="M4169" s="3">
        <v>429</v>
      </c>
    </row>
    <row r="4170" spans="1:13" x14ac:dyDescent="0.25">
      <c r="A4170" s="1" t="str">
        <f>HYPERLINK("http://www.rosaceae.org/Prunus/Prunus_persica/p.persica_gdr_reftransV1_0010352","p.persica_gdr_reftransV1_0010352")</f>
        <v>p.persica_gdr_reftransV1_0010352</v>
      </c>
      <c r="B4170" s="3">
        <v>1830</v>
      </c>
      <c r="C4170" s="1" t="str">
        <f>HYPERLINK("http://www.uniprot.org/uniprot/GDL42_ARATH","GDL42_ARATH")</f>
        <v>GDL42_ARATH</v>
      </c>
      <c r="D4170" t="s">
        <v>3710</v>
      </c>
      <c r="E4170" s="3" t="s">
        <v>3</v>
      </c>
      <c r="F4170" s="4">
        <v>1.6399999999999999E-136</v>
      </c>
      <c r="G4170" s="3">
        <v>1052</v>
      </c>
      <c r="H4170" s="3">
        <v>58</v>
      </c>
      <c r="I4170" s="3">
        <v>345</v>
      </c>
      <c r="J4170" s="3">
        <v>568</v>
      </c>
      <c r="K4170" s="3">
        <v>1596</v>
      </c>
      <c r="L4170" s="3">
        <v>11</v>
      </c>
      <c r="M4170" s="3">
        <v>353</v>
      </c>
    </row>
    <row r="4171" spans="1:13" x14ac:dyDescent="0.25">
      <c r="A4171" s="1" t="str">
        <f>HYPERLINK("http://www.rosaceae.org/Prunus/Prunus_persica/p.persica_gdr_reftransV1_0010402","p.persica_gdr_reftransV1_0010402")</f>
        <v>p.persica_gdr_reftransV1_0010402</v>
      </c>
      <c r="B4171" s="3">
        <v>1668</v>
      </c>
      <c r="C4171" s="1" t="str">
        <f>HYPERLINK("http://www.uniprot.org/uniprot/CADH1_ARATH","CADH1_ARATH")</f>
        <v>CADH1_ARATH</v>
      </c>
      <c r="D4171" t="s">
        <v>75</v>
      </c>
      <c r="E4171" s="3" t="s">
        <v>3</v>
      </c>
      <c r="F4171" s="4">
        <v>1.92E-106</v>
      </c>
      <c r="G4171" s="3">
        <v>846</v>
      </c>
      <c r="H4171" s="3">
        <v>69</v>
      </c>
      <c r="I4171" s="3">
        <v>243</v>
      </c>
      <c r="J4171" s="3">
        <v>857</v>
      </c>
      <c r="K4171" s="3">
        <v>1585</v>
      </c>
      <c r="L4171" s="3">
        <v>1</v>
      </c>
      <c r="M4171" s="3">
        <v>239</v>
      </c>
    </row>
    <row r="4172" spans="1:13" x14ac:dyDescent="0.25">
      <c r="A4172" s="1" t="str">
        <f>HYPERLINK("http://www.rosaceae.org/Prunus/Prunus_persica/p.persica_gdr_reftransV1_0010502","p.persica_gdr_reftransV1_0010502")</f>
        <v>p.persica_gdr_reftransV1_0010502</v>
      </c>
      <c r="B4172" s="3">
        <v>1264</v>
      </c>
      <c r="C4172" s="1" t="str">
        <f>HYPERLINK("http://www.uniprot.org/uniprot/CCB2_ARATH","CCB2_ARATH")</f>
        <v>CCB2_ARATH</v>
      </c>
      <c r="D4172" t="s">
        <v>3711</v>
      </c>
      <c r="E4172" s="3" t="s">
        <v>3</v>
      </c>
      <c r="F4172" s="4">
        <v>3.5600000000000003E-107</v>
      </c>
      <c r="G4172" s="3">
        <v>831</v>
      </c>
      <c r="H4172" s="3">
        <v>60</v>
      </c>
      <c r="I4172" s="3">
        <v>272</v>
      </c>
      <c r="J4172" s="3">
        <v>266</v>
      </c>
      <c r="K4172" s="3">
        <v>1072</v>
      </c>
      <c r="L4172" s="3">
        <v>12</v>
      </c>
      <c r="M4172" s="3">
        <v>275</v>
      </c>
    </row>
    <row r="4173" spans="1:13" x14ac:dyDescent="0.25">
      <c r="A4173" s="1" t="str">
        <f>HYPERLINK("http://www.rosaceae.org/Prunus/Prunus_persica/p.persica_gdr_reftransV1_0010552","p.persica_gdr_reftransV1_0010552")</f>
        <v>p.persica_gdr_reftransV1_0010552</v>
      </c>
      <c r="B4173" s="3">
        <v>1275</v>
      </c>
      <c r="C4173" s="1" t="str">
        <f>HYPERLINK("http://www.uniprot.org/uniprot/CRR38_ARATH","CRR38_ARATH")</f>
        <v>CRR38_ARATH</v>
      </c>
      <c r="D4173" t="s">
        <v>3712</v>
      </c>
      <c r="E4173" s="3" t="s">
        <v>3</v>
      </c>
      <c r="F4173" s="4">
        <v>5.0600000000000003E-28</v>
      </c>
      <c r="G4173" s="3">
        <v>288</v>
      </c>
      <c r="H4173" s="3">
        <v>34</v>
      </c>
      <c r="I4173" s="3">
        <v>177</v>
      </c>
      <c r="J4173" s="3">
        <v>389</v>
      </c>
      <c r="K4173" s="3">
        <v>919</v>
      </c>
      <c r="L4173" s="3">
        <v>76</v>
      </c>
      <c r="M4173" s="3">
        <v>248</v>
      </c>
    </row>
    <row r="4174" spans="1:13" x14ac:dyDescent="0.25">
      <c r="A4174" s="1" t="str">
        <f>HYPERLINK("http://www.rosaceae.org/Prunus/Prunus_persica/p.persica_gdr_reftransV1_0010602","p.persica_gdr_reftransV1_0010602")</f>
        <v>p.persica_gdr_reftransV1_0010602</v>
      </c>
      <c r="B4174" s="3">
        <v>939</v>
      </c>
      <c r="C4174" s="1" t="str">
        <f>HYPERLINK("http://www.uniprot.org/uniprot/MATE9_ARATH","MATE9_ARATH")</f>
        <v>MATE9_ARATH</v>
      </c>
      <c r="D4174" t="s">
        <v>1205</v>
      </c>
      <c r="E4174" s="3" t="s">
        <v>3</v>
      </c>
      <c r="F4174" s="4">
        <v>3.7599999999999999E-65</v>
      </c>
      <c r="G4174" s="3">
        <v>556</v>
      </c>
      <c r="H4174" s="3">
        <v>55</v>
      </c>
      <c r="I4174" s="3">
        <v>193</v>
      </c>
      <c r="J4174" s="3">
        <v>360</v>
      </c>
      <c r="K4174" s="3">
        <v>938</v>
      </c>
      <c r="L4174" s="3">
        <v>284</v>
      </c>
      <c r="M4174" s="3">
        <v>476</v>
      </c>
    </row>
    <row r="4175" spans="1:13" x14ac:dyDescent="0.25">
      <c r="A4175" s="1" t="str">
        <f>HYPERLINK("http://www.rosaceae.org/Prunus/Prunus_persica/p.persica_gdr_reftransV1_0010652","p.persica_gdr_reftransV1_0010652")</f>
        <v>p.persica_gdr_reftransV1_0010652</v>
      </c>
      <c r="B4175" s="3">
        <v>1605</v>
      </c>
      <c r="C4175" s="1" t="str">
        <f>HYPERLINK("http://www.uniprot.org/uniprot/IQD31_ARATH","IQD31_ARATH")</f>
        <v>IQD31_ARATH</v>
      </c>
      <c r="D4175" t="s">
        <v>2405</v>
      </c>
      <c r="E4175" s="3" t="s">
        <v>3</v>
      </c>
      <c r="F4175" s="4">
        <v>1.3199999999999999E-50</v>
      </c>
      <c r="G4175" s="3">
        <v>476</v>
      </c>
      <c r="H4175" s="3">
        <v>43</v>
      </c>
      <c r="I4175" s="3">
        <v>364</v>
      </c>
      <c r="J4175" s="3">
        <v>373</v>
      </c>
      <c r="K4175" s="3">
        <v>1407</v>
      </c>
      <c r="L4175" s="3">
        <v>1</v>
      </c>
      <c r="M4175" s="3">
        <v>345</v>
      </c>
    </row>
    <row r="4176" spans="1:13" x14ac:dyDescent="0.25">
      <c r="A4176" s="1" t="str">
        <f>HYPERLINK("http://www.rosaceae.org/Prunus/Prunus_persica/p.persica_gdr_reftransV1_0010852","p.persica_gdr_reftransV1_0010852")</f>
        <v>p.persica_gdr_reftransV1_0010852</v>
      </c>
      <c r="B4176" s="3">
        <v>2133</v>
      </c>
      <c r="C4176" s="1" t="str">
        <f>HYPERLINK("http://www.uniprot.org/uniprot/R47BP_ARATH","R47BP_ARATH")</f>
        <v>R47BP_ARATH</v>
      </c>
      <c r="D4176" t="s">
        <v>3713</v>
      </c>
      <c r="E4176" s="3" t="s">
        <v>3</v>
      </c>
      <c r="F4176" s="4">
        <v>1.2E-168</v>
      </c>
      <c r="G4176" s="3">
        <v>1282</v>
      </c>
      <c r="H4176" s="3">
        <v>70</v>
      </c>
      <c r="I4176" s="3">
        <v>422</v>
      </c>
      <c r="J4176" s="3">
        <v>525</v>
      </c>
      <c r="K4176" s="3">
        <v>1775</v>
      </c>
      <c r="L4176" s="3">
        <v>11</v>
      </c>
      <c r="M4176" s="3">
        <v>422</v>
      </c>
    </row>
    <row r="4177" spans="1:13" x14ac:dyDescent="0.25">
      <c r="A4177" s="1" t="str">
        <f>HYPERLINK("http://www.rosaceae.org/Prunus/Prunus_persica/p.persica_gdr_reftransV1_0010952","p.persica_gdr_reftransV1_0010952")</f>
        <v>p.persica_gdr_reftransV1_0010952</v>
      </c>
      <c r="B4177" s="3">
        <v>1659</v>
      </c>
      <c r="C4177" s="1" t="str">
        <f>HYPERLINK("http://www.uniprot.org/uniprot/FATA_CORSA","FATA_CORSA")</f>
        <v>FATA_CORSA</v>
      </c>
      <c r="D4177" t="s">
        <v>3714</v>
      </c>
      <c r="E4177" s="3" t="s">
        <v>3715</v>
      </c>
      <c r="F4177" s="4">
        <v>2.83E-110</v>
      </c>
      <c r="G4177" s="3">
        <v>873</v>
      </c>
      <c r="H4177" s="3">
        <v>75</v>
      </c>
      <c r="I4177" s="3">
        <v>225</v>
      </c>
      <c r="J4177" s="3">
        <v>674</v>
      </c>
      <c r="K4177" s="3">
        <v>1342</v>
      </c>
      <c r="L4177" s="3">
        <v>63</v>
      </c>
      <c r="M4177" s="3">
        <v>287</v>
      </c>
    </row>
    <row r="4178" spans="1:13" x14ac:dyDescent="0.25">
      <c r="A4178" s="1" t="str">
        <f>HYPERLINK("http://www.rosaceae.org/Prunus/Prunus_persica/p.persica_gdr_reftransV1_0011052","p.persica_gdr_reftransV1_0011052")</f>
        <v>p.persica_gdr_reftransV1_0011052</v>
      </c>
      <c r="B4178" s="3">
        <v>2815</v>
      </c>
      <c r="C4178" s="1" t="str">
        <f>HYPERLINK("http://www.uniprot.org/uniprot/6GPD3_ARATH","6GPD3_ARATH")</f>
        <v>6GPD3_ARATH</v>
      </c>
      <c r="D4178" t="s">
        <v>3716</v>
      </c>
      <c r="E4178" s="3" t="s">
        <v>3</v>
      </c>
      <c r="F4178" s="4">
        <v>0</v>
      </c>
      <c r="G4178" s="3">
        <v>2290</v>
      </c>
      <c r="H4178" s="3">
        <v>91</v>
      </c>
      <c r="I4178" s="3">
        <v>483</v>
      </c>
      <c r="J4178" s="3">
        <v>983</v>
      </c>
      <c r="K4178" s="3">
        <v>2431</v>
      </c>
      <c r="L4178" s="3">
        <v>4</v>
      </c>
      <c r="M4178" s="3">
        <v>486</v>
      </c>
    </row>
    <row r="4179" spans="1:13" x14ac:dyDescent="0.25">
      <c r="A4179" s="1" t="str">
        <f>HYPERLINK("http://www.rosaceae.org/Prunus/Prunus_persica/p.persica_gdr_reftransV1_0011152","p.persica_gdr_reftransV1_0011152")</f>
        <v>p.persica_gdr_reftransV1_0011152</v>
      </c>
      <c r="B4179" s="3">
        <v>2391</v>
      </c>
      <c r="C4179" s="1" t="str">
        <f>HYPERLINK("http://www.uniprot.org/uniprot/NSI1_YEAST","NSI1_YEAST")</f>
        <v>NSI1_YEAST</v>
      </c>
      <c r="D4179" t="s">
        <v>3717</v>
      </c>
      <c r="E4179" s="3" t="s">
        <v>34</v>
      </c>
      <c r="F4179" s="4">
        <v>7.8099999999999999E-10</v>
      </c>
      <c r="G4179" s="3">
        <v>160</v>
      </c>
      <c r="H4179" s="3">
        <v>26</v>
      </c>
      <c r="I4179" s="3">
        <v>307</v>
      </c>
      <c r="J4179" s="3">
        <v>466</v>
      </c>
      <c r="K4179" s="3">
        <v>1263</v>
      </c>
      <c r="L4179" s="3">
        <v>271</v>
      </c>
      <c r="M4179" s="3">
        <v>565</v>
      </c>
    </row>
    <row r="4180" spans="1:13" x14ac:dyDescent="0.25">
      <c r="A4180" s="1" t="str">
        <f>HYPERLINK("http://www.rosaceae.org/Prunus/Prunus_persica/p.persica_gdr_reftransV1_0011202","p.persica_gdr_reftransV1_0011202")</f>
        <v>p.persica_gdr_reftransV1_0011202</v>
      </c>
      <c r="B4180" s="3">
        <v>6564</v>
      </c>
      <c r="C4180" s="1" t="str">
        <f>HYPERLINK("http://www.uniprot.org/uniprot/RLF_ARATH","RLF_ARATH")</f>
        <v>RLF_ARATH</v>
      </c>
      <c r="D4180" t="s">
        <v>3718</v>
      </c>
      <c r="E4180" s="3" t="s">
        <v>3</v>
      </c>
      <c r="F4180" s="4">
        <v>1.4700000000000001E-24</v>
      </c>
      <c r="G4180" s="3">
        <v>273</v>
      </c>
      <c r="H4180" s="3">
        <v>75</v>
      </c>
      <c r="I4180" s="3">
        <v>65</v>
      </c>
      <c r="J4180" s="3">
        <v>4319</v>
      </c>
      <c r="K4180" s="3">
        <v>4513</v>
      </c>
      <c r="L4180" s="3">
        <v>117</v>
      </c>
      <c r="M4180" s="3">
        <v>181</v>
      </c>
    </row>
    <row r="4181" spans="1:13" x14ac:dyDescent="0.25">
      <c r="A4181" s="1" t="str">
        <f>HYPERLINK("http://www.rosaceae.org/Prunus/Prunus_persica/p.persica_gdr_reftransV1_0011302","p.persica_gdr_reftransV1_0011302")</f>
        <v>p.persica_gdr_reftransV1_0011302</v>
      </c>
      <c r="B4181" s="3">
        <v>1452</v>
      </c>
      <c r="C4181" s="1" t="str">
        <f>HYPERLINK("http://www.uniprot.org/uniprot/PRXQ_GENTR","PRXQ_GENTR")</f>
        <v>PRXQ_GENTR</v>
      </c>
      <c r="D4181" t="s">
        <v>3719</v>
      </c>
      <c r="E4181" s="3" t="s">
        <v>3720</v>
      </c>
      <c r="F4181" s="4">
        <v>1.03E-60</v>
      </c>
      <c r="G4181" s="3">
        <v>519</v>
      </c>
      <c r="H4181" s="3">
        <v>93</v>
      </c>
      <c r="I4181" s="3">
        <v>100</v>
      </c>
      <c r="J4181" s="3">
        <v>366</v>
      </c>
      <c r="K4181" s="3">
        <v>665</v>
      </c>
      <c r="L4181" s="3">
        <v>116</v>
      </c>
      <c r="M4181" s="3">
        <v>215</v>
      </c>
    </row>
    <row r="4182" spans="1:13" x14ac:dyDescent="0.25">
      <c r="A4182" s="1" t="str">
        <f>HYPERLINK("http://www.rosaceae.org/Prunus/Prunus_persica/p.persica_gdr_reftransV1_0011602","p.persica_gdr_reftransV1_0011602")</f>
        <v>p.persica_gdr_reftransV1_0011602</v>
      </c>
      <c r="B4182" s="3">
        <v>2567</v>
      </c>
      <c r="C4182" s="1" t="str">
        <f>HYPERLINK("http://www.uniprot.org/uniprot/RBBP_ARATH","RBBP_ARATH")</f>
        <v>RBBP_ARATH</v>
      </c>
      <c r="D4182" t="s">
        <v>3721</v>
      </c>
      <c r="E4182" s="3" t="s">
        <v>3</v>
      </c>
      <c r="F4182" s="4">
        <v>0</v>
      </c>
      <c r="G4182" s="3">
        <v>1969</v>
      </c>
      <c r="H4182" s="3">
        <v>77</v>
      </c>
      <c r="I4182" s="3">
        <v>516</v>
      </c>
      <c r="J4182" s="3">
        <v>209</v>
      </c>
      <c r="K4182" s="3">
        <v>1753</v>
      </c>
      <c r="L4182" s="3">
        <v>1</v>
      </c>
      <c r="M4182" s="3">
        <v>510</v>
      </c>
    </row>
    <row r="4183" spans="1:13" x14ac:dyDescent="0.25">
      <c r="A4183" s="1" t="str">
        <f>HYPERLINK("http://www.rosaceae.org/Prunus/Prunus_persica/p.persica_gdr_reftransV1_0011702","p.persica_gdr_reftransV1_0011702")</f>
        <v>p.persica_gdr_reftransV1_0011702</v>
      </c>
      <c r="B4183" s="3">
        <v>1573</v>
      </c>
      <c r="C4183" s="1" t="str">
        <f>HYPERLINK("http://www.uniprot.org/uniprot/T2EB_DICDI","T2EB_DICDI")</f>
        <v>T2EB_DICDI</v>
      </c>
      <c r="D4183" t="s">
        <v>3722</v>
      </c>
      <c r="E4183" s="3" t="s">
        <v>9</v>
      </c>
      <c r="F4183" s="4">
        <v>2.6500000000000001E-14</v>
      </c>
      <c r="G4183" s="3">
        <v>188</v>
      </c>
      <c r="H4183" s="3">
        <v>32</v>
      </c>
      <c r="I4183" s="3">
        <v>182</v>
      </c>
      <c r="J4183" s="3">
        <v>341</v>
      </c>
      <c r="K4183" s="3">
        <v>853</v>
      </c>
      <c r="L4183" s="3">
        <v>106</v>
      </c>
      <c r="M4183" s="3">
        <v>275</v>
      </c>
    </row>
    <row r="4184" spans="1:13" x14ac:dyDescent="0.25">
      <c r="A4184" s="1" t="str">
        <f>HYPERLINK("http://www.rosaceae.org/Prunus/Prunus_persica/p.persica_gdr_reftransV1_0011802","p.persica_gdr_reftransV1_0011802")</f>
        <v>p.persica_gdr_reftransV1_0011802</v>
      </c>
      <c r="B4184" s="3">
        <v>1266</v>
      </c>
      <c r="C4184" s="1" t="str">
        <f>HYPERLINK("http://www.uniprot.org/uniprot/CNR8_MAIZE","CNR8_MAIZE")</f>
        <v>CNR8_MAIZE</v>
      </c>
      <c r="D4184" t="s">
        <v>3723</v>
      </c>
      <c r="E4184" s="3" t="s">
        <v>72</v>
      </c>
      <c r="F4184" s="4">
        <v>4.2499999999999997E-86</v>
      </c>
      <c r="G4184" s="3">
        <v>687</v>
      </c>
      <c r="H4184" s="3">
        <v>68</v>
      </c>
      <c r="I4184" s="3">
        <v>187</v>
      </c>
      <c r="J4184" s="3">
        <v>348</v>
      </c>
      <c r="K4184" s="3">
        <v>881</v>
      </c>
      <c r="L4184" s="3">
        <v>46</v>
      </c>
      <c r="M4184" s="3">
        <v>232</v>
      </c>
    </row>
    <row r="4185" spans="1:13" x14ac:dyDescent="0.25">
      <c r="A4185" s="1" t="str">
        <f>HYPERLINK("http://www.rosaceae.org/Prunus/Prunus_persica/p.persica_gdr_reftransV1_0012002","p.persica_gdr_reftransV1_0012002")</f>
        <v>p.persica_gdr_reftransV1_0012002</v>
      </c>
      <c r="B4185" s="3">
        <v>2637</v>
      </c>
      <c r="C4185" s="1" t="str">
        <f>HYPERLINK("http://www.uniprot.org/uniprot/NOM1_MOUSE","NOM1_MOUSE")</f>
        <v>NOM1_MOUSE</v>
      </c>
      <c r="D4185" t="s">
        <v>3724</v>
      </c>
      <c r="E4185" s="3" t="s">
        <v>157</v>
      </c>
      <c r="F4185" s="4">
        <v>5.1500000000000002E-79</v>
      </c>
      <c r="G4185" s="3">
        <v>714</v>
      </c>
      <c r="H4185" s="3">
        <v>33</v>
      </c>
      <c r="I4185" s="3">
        <v>508</v>
      </c>
      <c r="J4185" s="3">
        <v>920</v>
      </c>
      <c r="K4185" s="3">
        <v>2395</v>
      </c>
      <c r="L4185" s="3">
        <v>323</v>
      </c>
      <c r="M4185" s="3">
        <v>819</v>
      </c>
    </row>
    <row r="4186" spans="1:13" x14ac:dyDescent="0.25">
      <c r="A4186" s="1" t="str">
        <f>HYPERLINK("http://www.rosaceae.org/Prunus/Prunus_persica/p.persica_gdr_reftransV1_0012052","p.persica_gdr_reftransV1_0012052")</f>
        <v>p.persica_gdr_reftransV1_0012052</v>
      </c>
      <c r="B4186" s="3">
        <v>1872</v>
      </c>
      <c r="C4186" s="1" t="str">
        <f>HYPERLINK("http://www.uniprot.org/uniprot/C3H62_ORYSJ","C3H62_ORYSJ")</f>
        <v>C3H62_ORYSJ</v>
      </c>
      <c r="D4186" t="s">
        <v>1754</v>
      </c>
      <c r="E4186" s="3" t="s">
        <v>38</v>
      </c>
      <c r="F4186" s="4">
        <v>2.3499999999999999E-29</v>
      </c>
      <c r="G4186" s="3">
        <v>319</v>
      </c>
      <c r="H4186" s="3">
        <v>46</v>
      </c>
      <c r="I4186" s="3">
        <v>142</v>
      </c>
      <c r="J4186" s="3">
        <v>836</v>
      </c>
      <c r="K4186" s="3">
        <v>1261</v>
      </c>
      <c r="L4186" s="3">
        <v>214</v>
      </c>
      <c r="M4186" s="3">
        <v>341</v>
      </c>
    </row>
    <row r="4187" spans="1:13" x14ac:dyDescent="0.25">
      <c r="A4187" s="1" t="str">
        <f>HYPERLINK("http://www.rosaceae.org/Prunus/Prunus_persica/p.persica_gdr_reftransV1_0012102","p.persica_gdr_reftransV1_0012102")</f>
        <v>p.persica_gdr_reftransV1_0012102</v>
      </c>
      <c r="B4187" s="3">
        <v>840</v>
      </c>
      <c r="C4187" s="1" t="str">
        <f>HYPERLINK("http://www.uniprot.org/uniprot/ATL1_ARATH","ATL1_ARATH")</f>
        <v>ATL1_ARATH</v>
      </c>
      <c r="D4187" t="s">
        <v>3725</v>
      </c>
      <c r="E4187" s="3" t="s">
        <v>3</v>
      </c>
      <c r="F4187" s="4">
        <v>3.5199999999999999E-19</v>
      </c>
      <c r="G4187" s="3">
        <v>220</v>
      </c>
      <c r="H4187" s="3">
        <v>34</v>
      </c>
      <c r="I4187" s="3">
        <v>141</v>
      </c>
      <c r="J4187" s="3">
        <v>336</v>
      </c>
      <c r="K4187" s="3">
        <v>731</v>
      </c>
      <c r="L4187" s="3">
        <v>39</v>
      </c>
      <c r="M4187" s="3">
        <v>179</v>
      </c>
    </row>
    <row r="4188" spans="1:13" x14ac:dyDescent="0.25">
      <c r="A4188" s="1" t="str">
        <f>HYPERLINK("http://www.rosaceae.org/Prunus/Prunus_persica/p.persica_gdr_reftransV1_0012252","p.persica_gdr_reftransV1_0012252")</f>
        <v>p.persica_gdr_reftransV1_0012252</v>
      </c>
      <c r="B4188" s="3">
        <v>2751</v>
      </c>
      <c r="C4188" s="1" t="str">
        <f>HYPERLINK("http://www.uniprot.org/uniprot/B2_DAUCA","B2_DAUCA")</f>
        <v>B2_DAUCA</v>
      </c>
      <c r="D4188" t="s">
        <v>1441</v>
      </c>
      <c r="E4188" s="3" t="s">
        <v>32</v>
      </c>
      <c r="F4188" s="4">
        <v>6.88E-10</v>
      </c>
      <c r="G4188" s="3">
        <v>154</v>
      </c>
      <c r="H4188" s="3">
        <v>31</v>
      </c>
      <c r="I4188" s="3">
        <v>156</v>
      </c>
      <c r="J4188" s="3">
        <v>905</v>
      </c>
      <c r="K4188" s="3">
        <v>1351</v>
      </c>
      <c r="L4188" s="3">
        <v>50</v>
      </c>
      <c r="M4188" s="3">
        <v>202</v>
      </c>
    </row>
    <row r="4189" spans="1:13" x14ac:dyDescent="0.25">
      <c r="A4189" s="1" t="str">
        <f>HYPERLINK("http://www.rosaceae.org/Prunus/Prunus_persica/p.persica_gdr_reftransV1_0012302","p.persica_gdr_reftransV1_0012302")</f>
        <v>p.persica_gdr_reftransV1_0012302</v>
      </c>
      <c r="B4189" s="3">
        <v>1653</v>
      </c>
      <c r="C4189" s="1" t="str">
        <f>HYPERLINK("http://www.uniprot.org/uniprot/SGAT_ARATH","SGAT_ARATH")</f>
        <v>SGAT_ARATH</v>
      </c>
      <c r="D4189" t="s">
        <v>3726</v>
      </c>
      <c r="E4189" s="3" t="s">
        <v>3</v>
      </c>
      <c r="F4189" s="4">
        <v>0</v>
      </c>
      <c r="G4189" s="3">
        <v>1916</v>
      </c>
      <c r="H4189" s="3">
        <v>86</v>
      </c>
      <c r="I4189" s="3">
        <v>401</v>
      </c>
      <c r="J4189" s="3">
        <v>232</v>
      </c>
      <c r="K4189" s="3">
        <v>1434</v>
      </c>
      <c r="L4189" s="3">
        <v>1</v>
      </c>
      <c r="M4189" s="3">
        <v>401</v>
      </c>
    </row>
    <row r="4190" spans="1:13" x14ac:dyDescent="0.25">
      <c r="A4190" s="1" t="str">
        <f>HYPERLINK("http://www.rosaceae.org/Prunus/Prunus_persica/p.persica_gdr_reftransV1_0012652","p.persica_gdr_reftransV1_0012652")</f>
        <v>p.persica_gdr_reftransV1_0012652</v>
      </c>
      <c r="B4190" s="3">
        <v>806</v>
      </c>
      <c r="C4190" s="1" t="str">
        <f>HYPERLINK("http://www.uniprot.org/uniprot/PP386_ARATH","PP386_ARATH")</f>
        <v>PP386_ARATH</v>
      </c>
      <c r="D4190" t="s">
        <v>3727</v>
      </c>
      <c r="E4190" s="3" t="s">
        <v>3</v>
      </c>
      <c r="F4190" s="4">
        <v>1.0200000000000001E-110</v>
      </c>
      <c r="G4190" s="3">
        <v>869</v>
      </c>
      <c r="H4190" s="3">
        <v>64</v>
      </c>
      <c r="I4190" s="3">
        <v>247</v>
      </c>
      <c r="J4190" s="3">
        <v>7</v>
      </c>
      <c r="K4190" s="3">
        <v>747</v>
      </c>
      <c r="L4190" s="3">
        <v>384</v>
      </c>
      <c r="M4190" s="3">
        <v>623</v>
      </c>
    </row>
    <row r="4191" spans="1:13" x14ac:dyDescent="0.25">
      <c r="A4191" s="1" t="str">
        <f>HYPERLINK("http://www.rosaceae.org/Prunus/Prunus_persica/p.persica_gdr_reftransV1_0012902","p.persica_gdr_reftransV1_0012902")</f>
        <v>p.persica_gdr_reftransV1_0012902</v>
      </c>
      <c r="B4191" s="3">
        <v>3101</v>
      </c>
      <c r="C4191" s="1" t="str">
        <f>HYPERLINK("http://www.uniprot.org/uniprot/UBC5_ARATH","UBC5_ARATH")</f>
        <v>UBC5_ARATH</v>
      </c>
      <c r="D4191" t="s">
        <v>3728</v>
      </c>
      <c r="E4191" s="3" t="s">
        <v>3</v>
      </c>
      <c r="F4191" s="4">
        <v>1.9299999999999999E-55</v>
      </c>
      <c r="G4191" s="3">
        <v>496</v>
      </c>
      <c r="H4191" s="3">
        <v>92</v>
      </c>
      <c r="I4191" s="3">
        <v>97</v>
      </c>
      <c r="J4191" s="3">
        <v>1943</v>
      </c>
      <c r="K4191" s="3">
        <v>2233</v>
      </c>
      <c r="L4191" s="3">
        <v>44</v>
      </c>
      <c r="M4191" s="3">
        <v>140</v>
      </c>
    </row>
    <row r="4192" spans="1:13" x14ac:dyDescent="0.25">
      <c r="A4192" s="1" t="str">
        <f>HYPERLINK("http://www.rosaceae.org/Prunus/Prunus_persica/p.persica_gdr_reftransV1_0012952","p.persica_gdr_reftransV1_0012952")</f>
        <v>p.persica_gdr_reftransV1_0012952</v>
      </c>
      <c r="B4192" s="3">
        <v>797</v>
      </c>
      <c r="C4192" s="1" t="str">
        <f>HYPERLINK("http://www.uniprot.org/uniprot/GST23_MAIZE","GST23_MAIZE")</f>
        <v>GST23_MAIZE</v>
      </c>
      <c r="D4192" t="s">
        <v>3729</v>
      </c>
      <c r="E4192" s="3" t="s">
        <v>72</v>
      </c>
      <c r="F4192" s="4">
        <v>2.5000000000000001E-60</v>
      </c>
      <c r="G4192" s="3">
        <v>499</v>
      </c>
      <c r="H4192" s="3">
        <v>49</v>
      </c>
      <c r="I4192" s="3">
        <v>216</v>
      </c>
      <c r="J4192" s="3">
        <v>70</v>
      </c>
      <c r="K4192" s="3">
        <v>696</v>
      </c>
      <c r="L4192" s="3">
        <v>3</v>
      </c>
      <c r="M4192" s="3">
        <v>210</v>
      </c>
    </row>
    <row r="4193" spans="1:13" x14ac:dyDescent="0.25">
      <c r="A4193" s="1" t="str">
        <f>HYPERLINK("http://www.rosaceae.org/Prunus/Prunus_persica/p.persica_gdr_reftransV1_0013002","p.persica_gdr_reftransV1_0013002")</f>
        <v>p.persica_gdr_reftransV1_0013002</v>
      </c>
      <c r="B4193" s="3">
        <v>782</v>
      </c>
      <c r="C4193" s="1" t="str">
        <f>HYPERLINK("http://www.uniprot.org/uniprot/FIS1A_ARATH","FIS1A_ARATH")</f>
        <v>FIS1A_ARATH</v>
      </c>
      <c r="D4193" t="s">
        <v>3730</v>
      </c>
      <c r="E4193" s="3" t="s">
        <v>3</v>
      </c>
      <c r="F4193" s="4">
        <v>3.2700000000000002E-68</v>
      </c>
      <c r="G4193" s="3">
        <v>547</v>
      </c>
      <c r="H4193" s="3">
        <v>65</v>
      </c>
      <c r="I4193" s="3">
        <v>150</v>
      </c>
      <c r="J4193" s="3">
        <v>225</v>
      </c>
      <c r="K4193" s="3">
        <v>674</v>
      </c>
      <c r="L4193" s="3">
        <v>1</v>
      </c>
      <c r="M4193" s="3">
        <v>150</v>
      </c>
    </row>
    <row r="4194" spans="1:13" x14ac:dyDescent="0.25">
      <c r="A4194" s="1" t="str">
        <f>HYPERLINK("http://www.rosaceae.org/Prunus/Prunus_persica/p.persica_gdr_reftransV1_0013052","p.persica_gdr_reftransV1_0013052")</f>
        <v>p.persica_gdr_reftransV1_0013052</v>
      </c>
      <c r="B4194" s="3">
        <v>1727</v>
      </c>
      <c r="C4194" s="1" t="str">
        <f>HYPERLINK("http://www.uniprot.org/uniprot/KPK1_PHAVU","KPK1_PHAVU")</f>
        <v>KPK1_PHAVU</v>
      </c>
      <c r="D4194" t="s">
        <v>3731</v>
      </c>
      <c r="E4194" s="3" t="s">
        <v>2044</v>
      </c>
      <c r="F4194" s="4">
        <v>1.3500000000000001E-106</v>
      </c>
      <c r="G4194" s="3">
        <v>870</v>
      </c>
      <c r="H4194" s="3">
        <v>79</v>
      </c>
      <c r="I4194" s="3">
        <v>241</v>
      </c>
      <c r="J4194" s="3">
        <v>2</v>
      </c>
      <c r="K4194" s="3">
        <v>724</v>
      </c>
      <c r="L4194" s="3">
        <v>118</v>
      </c>
      <c r="M4194" s="3">
        <v>356</v>
      </c>
    </row>
    <row r="4195" spans="1:13" x14ac:dyDescent="0.25">
      <c r="A4195" s="1" t="str">
        <f>HYPERLINK("http://www.rosaceae.org/Prunus/Prunus_persica/p.persica_gdr_reftransV1_0013402","p.persica_gdr_reftransV1_0013402")</f>
        <v>p.persica_gdr_reftransV1_0013402</v>
      </c>
      <c r="B4195" s="3">
        <v>718</v>
      </c>
      <c r="C4195" s="1" t="str">
        <f>HYPERLINK("http://www.uniprot.org/uniprot/HXK2_ARATH","HXK2_ARATH")</f>
        <v>HXK2_ARATH</v>
      </c>
      <c r="D4195" t="s">
        <v>3732</v>
      </c>
      <c r="E4195" s="3" t="s">
        <v>3</v>
      </c>
      <c r="F4195" s="4">
        <v>7.2499999999999999E-75</v>
      </c>
      <c r="G4195" s="3">
        <v>616</v>
      </c>
      <c r="H4195" s="3">
        <v>79</v>
      </c>
      <c r="I4195" s="3">
        <v>144</v>
      </c>
      <c r="J4195" s="3">
        <v>3</v>
      </c>
      <c r="K4195" s="3">
        <v>434</v>
      </c>
      <c r="L4195" s="3">
        <v>260</v>
      </c>
      <c r="M4195" s="3">
        <v>400</v>
      </c>
    </row>
    <row r="4196" spans="1:13" x14ac:dyDescent="0.25">
      <c r="A4196" s="1" t="str">
        <f>HYPERLINK("http://www.rosaceae.org/Prunus/Prunus_persica/p.persica_gdr_reftransV1_0013502","p.persica_gdr_reftransV1_0013502")</f>
        <v>p.persica_gdr_reftransV1_0013502</v>
      </c>
      <c r="B4196" s="3">
        <v>2600</v>
      </c>
      <c r="C4196" s="1" t="str">
        <f>HYPERLINK("http://www.uniprot.org/uniprot/MATE9_ARATH","MATE9_ARATH")</f>
        <v>MATE9_ARATH</v>
      </c>
      <c r="D4196" t="s">
        <v>1205</v>
      </c>
      <c r="E4196" s="3" t="s">
        <v>3</v>
      </c>
      <c r="F4196" s="4">
        <v>1.16E-148</v>
      </c>
      <c r="G4196" s="3">
        <v>1167</v>
      </c>
      <c r="H4196" s="3">
        <v>53</v>
      </c>
      <c r="I4196" s="3">
        <v>461</v>
      </c>
      <c r="J4196" s="3">
        <v>278</v>
      </c>
      <c r="K4196" s="3">
        <v>1657</v>
      </c>
      <c r="L4196" s="3">
        <v>22</v>
      </c>
      <c r="M4196" s="3">
        <v>482</v>
      </c>
    </row>
    <row r="4197" spans="1:13" x14ac:dyDescent="0.25">
      <c r="A4197" s="1" t="str">
        <f>HYPERLINK("http://www.rosaceae.org/Prunus/Prunus_persica/p.persica_gdr_reftransV1_0013902","p.persica_gdr_reftransV1_0013902")</f>
        <v>p.persica_gdr_reftransV1_0013902</v>
      </c>
      <c r="B4197" s="3">
        <v>3139</v>
      </c>
      <c r="C4197" s="1" t="str">
        <f>HYPERLINK("http://www.uniprot.org/uniprot/SEC3A_ARATH","SEC3A_ARATH")</f>
        <v>SEC3A_ARATH</v>
      </c>
      <c r="D4197" t="s">
        <v>3733</v>
      </c>
      <c r="E4197" s="3" t="s">
        <v>3</v>
      </c>
      <c r="F4197" s="4">
        <v>0</v>
      </c>
      <c r="G4197" s="3">
        <v>3862</v>
      </c>
      <c r="H4197" s="3">
        <v>81</v>
      </c>
      <c r="I4197" s="3">
        <v>942</v>
      </c>
      <c r="J4197" s="3">
        <v>148</v>
      </c>
      <c r="K4197" s="3">
        <v>2955</v>
      </c>
      <c r="L4197" s="3">
        <v>1</v>
      </c>
      <c r="M4197" s="3">
        <v>887</v>
      </c>
    </row>
    <row r="4198" spans="1:13" x14ac:dyDescent="0.25">
      <c r="A4198" s="1" t="str">
        <f>HYPERLINK("http://www.rosaceae.org/Prunus/Prunus_persica/p.persica_gdr_reftransV1_0013952","p.persica_gdr_reftransV1_0013952")</f>
        <v>p.persica_gdr_reftransV1_0013952</v>
      </c>
      <c r="B4198" s="3">
        <v>4091</v>
      </c>
      <c r="C4198" s="1" t="str">
        <f>HYPERLINK("http://www.uniprot.org/uniprot/RDR6_ARATH","RDR6_ARATH")</f>
        <v>RDR6_ARATH</v>
      </c>
      <c r="D4198" t="s">
        <v>3734</v>
      </c>
      <c r="E4198" s="3" t="s">
        <v>3</v>
      </c>
      <c r="F4198" s="4">
        <v>0</v>
      </c>
      <c r="G4198" s="3">
        <v>4351</v>
      </c>
      <c r="H4198" s="3">
        <v>68</v>
      </c>
      <c r="I4198" s="3">
        <v>1199</v>
      </c>
      <c r="J4198" s="3">
        <v>194</v>
      </c>
      <c r="K4198" s="3">
        <v>3781</v>
      </c>
      <c r="L4198" s="3">
        <v>1</v>
      </c>
      <c r="M4198" s="3">
        <v>1196</v>
      </c>
    </row>
    <row r="4199" spans="1:13" x14ac:dyDescent="0.25">
      <c r="A4199" s="1" t="str">
        <f>HYPERLINK("http://www.rosaceae.org/Prunus/Prunus_persica/p.persica_gdr_reftransV1_0014152","p.persica_gdr_reftransV1_0014152")</f>
        <v>p.persica_gdr_reftransV1_0014152</v>
      </c>
      <c r="B4199" s="3">
        <v>1669</v>
      </c>
      <c r="C4199" s="1" t="str">
        <f>HYPERLINK("http://www.uniprot.org/uniprot/WSS1_YEAST","WSS1_YEAST")</f>
        <v>WSS1_YEAST</v>
      </c>
      <c r="D4199" t="s">
        <v>3735</v>
      </c>
      <c r="E4199" s="3" t="s">
        <v>34</v>
      </c>
      <c r="F4199" s="4">
        <v>1.8000000000000002E-30</v>
      </c>
      <c r="G4199" s="3">
        <v>310</v>
      </c>
      <c r="H4199" s="3">
        <v>37</v>
      </c>
      <c r="I4199" s="3">
        <v>209</v>
      </c>
      <c r="J4199" s="3">
        <v>213</v>
      </c>
      <c r="K4199" s="3">
        <v>818</v>
      </c>
      <c r="L4199" s="3">
        <v>29</v>
      </c>
      <c r="M4199" s="3">
        <v>227</v>
      </c>
    </row>
    <row r="4200" spans="1:13" x14ac:dyDescent="0.25">
      <c r="A4200" s="1" t="str">
        <f>HYPERLINK("http://www.rosaceae.org/Prunus/Prunus_persica/p.persica_gdr_reftransV1_0014252","p.persica_gdr_reftransV1_0014252")</f>
        <v>p.persica_gdr_reftransV1_0014252</v>
      </c>
      <c r="B4200" s="3">
        <v>1247</v>
      </c>
      <c r="C4200" s="1" t="str">
        <f>HYPERLINK("http://www.uniprot.org/uniprot/CSPLG_ARATH","CSPLG_ARATH")</f>
        <v>CSPLG_ARATH</v>
      </c>
      <c r="D4200" t="s">
        <v>3736</v>
      </c>
      <c r="E4200" s="3" t="s">
        <v>3</v>
      </c>
      <c r="F4200" s="4">
        <v>6.8799999999999994E-42</v>
      </c>
      <c r="G4200" s="3">
        <v>379</v>
      </c>
      <c r="H4200" s="3">
        <v>73</v>
      </c>
      <c r="I4200" s="3">
        <v>131</v>
      </c>
      <c r="J4200" s="3">
        <v>430</v>
      </c>
      <c r="K4200" s="3">
        <v>822</v>
      </c>
      <c r="L4200" s="3">
        <v>17</v>
      </c>
      <c r="M4200" s="3">
        <v>147</v>
      </c>
    </row>
    <row r="4201" spans="1:13" x14ac:dyDescent="0.25">
      <c r="A4201" s="1" t="str">
        <f>HYPERLINK("http://www.rosaceae.org/Prunus/Prunus_persica/p.persica_gdr_reftransV1_0014502","p.persica_gdr_reftransV1_0014502")</f>
        <v>p.persica_gdr_reftransV1_0014502</v>
      </c>
      <c r="B4201" s="3">
        <v>4765</v>
      </c>
      <c r="C4201" s="1" t="str">
        <f>HYPERLINK("http://www.uniprot.org/uniprot/CPL1_ARATH","CPL1_ARATH")</f>
        <v>CPL1_ARATH</v>
      </c>
      <c r="D4201" t="s">
        <v>740</v>
      </c>
      <c r="E4201" s="3" t="s">
        <v>3</v>
      </c>
      <c r="F4201" s="4">
        <v>0</v>
      </c>
      <c r="G4201" s="3">
        <v>2849</v>
      </c>
      <c r="H4201" s="3">
        <v>62</v>
      </c>
      <c r="I4201" s="3">
        <v>941</v>
      </c>
      <c r="J4201" s="3">
        <v>437</v>
      </c>
      <c r="K4201" s="3">
        <v>3190</v>
      </c>
      <c r="L4201" s="3">
        <v>9</v>
      </c>
      <c r="M4201" s="3">
        <v>939</v>
      </c>
    </row>
    <row r="4202" spans="1:13" x14ac:dyDescent="0.25">
      <c r="A4202" s="1" t="str">
        <f>HYPERLINK("http://www.rosaceae.org/Prunus/Prunus_persica/p.persica_gdr_reftransV1_0014652","p.persica_gdr_reftransV1_0014652")</f>
        <v>p.persica_gdr_reftransV1_0014652</v>
      </c>
      <c r="B4202" s="3">
        <v>2024</v>
      </c>
      <c r="C4202" s="1" t="str">
        <f>HYPERLINK("http://www.uniprot.org/uniprot/SUN1_ARATH","SUN1_ARATH")</f>
        <v>SUN1_ARATH</v>
      </c>
      <c r="D4202" t="s">
        <v>3737</v>
      </c>
      <c r="E4202" s="3" t="s">
        <v>3</v>
      </c>
      <c r="F4202" s="4">
        <v>4.0200000000000001E-141</v>
      </c>
      <c r="G4202" s="3">
        <v>1099</v>
      </c>
      <c r="H4202" s="3">
        <v>55</v>
      </c>
      <c r="I4202" s="3">
        <v>477</v>
      </c>
      <c r="J4202" s="3">
        <v>386</v>
      </c>
      <c r="K4202" s="3">
        <v>1753</v>
      </c>
      <c r="L4202" s="3">
        <v>1</v>
      </c>
      <c r="M4202" s="3">
        <v>462</v>
      </c>
    </row>
    <row r="4203" spans="1:13" x14ac:dyDescent="0.25">
      <c r="A4203" s="1" t="str">
        <f>HYPERLINK("http://www.rosaceae.org/Prunus/Prunus_persica/p.persica_gdr_reftransV1_0014952","p.persica_gdr_reftransV1_0014952")</f>
        <v>p.persica_gdr_reftransV1_0014952</v>
      </c>
      <c r="B4203" s="3">
        <v>2942</v>
      </c>
      <c r="C4203" s="1" t="str">
        <f>HYPERLINK("http://www.uniprot.org/uniprot/FK119_ARATH","FK119_ARATH")</f>
        <v>FK119_ARATH</v>
      </c>
      <c r="D4203" t="s">
        <v>3738</v>
      </c>
      <c r="E4203" s="3" t="s">
        <v>3</v>
      </c>
      <c r="F4203" s="4">
        <v>2.0100000000000001E-89</v>
      </c>
      <c r="G4203" s="3">
        <v>761</v>
      </c>
      <c r="H4203" s="3">
        <v>48</v>
      </c>
      <c r="I4203" s="3">
        <v>381</v>
      </c>
      <c r="J4203" s="3">
        <v>261</v>
      </c>
      <c r="K4203" s="3">
        <v>1376</v>
      </c>
      <c r="L4203" s="3">
        <v>29</v>
      </c>
      <c r="M4203" s="3">
        <v>403</v>
      </c>
    </row>
    <row r="4204" spans="1:13" x14ac:dyDescent="0.25">
      <c r="A4204" s="1" t="str">
        <f>HYPERLINK("http://www.rosaceae.org/Prunus/Prunus_persica/p.persica_gdr_reftransV1_0015002","p.persica_gdr_reftransV1_0015002")</f>
        <v>p.persica_gdr_reftransV1_0015002</v>
      </c>
      <c r="B4204" s="3">
        <v>5744</v>
      </c>
      <c r="C4204" s="1" t="str">
        <f>HYPERLINK("http://www.uniprot.org/uniprot/CALSA_ARATH","CALSA_ARATH")</f>
        <v>CALSA_ARATH</v>
      </c>
      <c r="D4204" t="s">
        <v>2475</v>
      </c>
      <c r="E4204" s="3" t="s">
        <v>3</v>
      </c>
      <c r="F4204" s="4">
        <v>0</v>
      </c>
      <c r="G4204" s="3">
        <v>3049</v>
      </c>
      <c r="H4204" s="3">
        <v>84</v>
      </c>
      <c r="I4204" s="3">
        <v>684</v>
      </c>
      <c r="J4204" s="3">
        <v>413</v>
      </c>
      <c r="K4204" s="3">
        <v>2458</v>
      </c>
      <c r="L4204" s="3">
        <v>1221</v>
      </c>
      <c r="M4204" s="3">
        <v>1904</v>
      </c>
    </row>
    <row r="4205" spans="1:13" x14ac:dyDescent="0.25">
      <c r="A4205" s="1" t="str">
        <f>HYPERLINK("http://www.rosaceae.org/Prunus/Prunus_persica/p.persica_gdr_reftransV1_0015202","p.persica_gdr_reftransV1_0015202")</f>
        <v>p.persica_gdr_reftransV1_0015202</v>
      </c>
      <c r="B4205" s="3">
        <v>2245</v>
      </c>
      <c r="C4205" s="1" t="str">
        <f>HYPERLINK("http://www.uniprot.org/uniprot/RAD17_ARATH","RAD17_ARATH")</f>
        <v>RAD17_ARATH</v>
      </c>
      <c r="D4205" t="s">
        <v>1076</v>
      </c>
      <c r="E4205" s="3" t="s">
        <v>3</v>
      </c>
      <c r="F4205" s="4">
        <v>1.0499999999999999E-180</v>
      </c>
      <c r="G4205" s="3">
        <v>1382</v>
      </c>
      <c r="H4205" s="3">
        <v>61</v>
      </c>
      <c r="I4205" s="3">
        <v>457</v>
      </c>
      <c r="J4205" s="3">
        <v>450</v>
      </c>
      <c r="K4205" s="3">
        <v>1799</v>
      </c>
      <c r="L4205" s="3">
        <v>62</v>
      </c>
      <c r="M4205" s="3">
        <v>515</v>
      </c>
    </row>
    <row r="4206" spans="1:13" x14ac:dyDescent="0.25">
      <c r="A4206" s="1" t="str">
        <f>HYPERLINK("http://www.rosaceae.org/Prunus/Prunus_persica/p.persica_gdr_reftransV1_0015352","p.persica_gdr_reftransV1_0015352")</f>
        <v>p.persica_gdr_reftransV1_0015352</v>
      </c>
      <c r="B4206" s="3">
        <v>1340</v>
      </c>
      <c r="C4206" s="1" t="str">
        <f>HYPERLINK("http://www.uniprot.org/uniprot/SOBRL_ARATH","SOBRL_ARATH")</f>
        <v>SOBRL_ARATH</v>
      </c>
      <c r="D4206" t="s">
        <v>3739</v>
      </c>
      <c r="E4206" s="3" t="s">
        <v>3</v>
      </c>
      <c r="F4206" s="4">
        <v>3.76E-118</v>
      </c>
      <c r="G4206" s="3">
        <v>905</v>
      </c>
      <c r="H4206" s="3">
        <v>68</v>
      </c>
      <c r="I4206" s="3">
        <v>250</v>
      </c>
      <c r="J4206" s="3">
        <v>136</v>
      </c>
      <c r="K4206" s="3">
        <v>861</v>
      </c>
      <c r="L4206" s="3">
        <v>6</v>
      </c>
      <c r="M4206" s="3">
        <v>255</v>
      </c>
    </row>
    <row r="4207" spans="1:13" x14ac:dyDescent="0.25">
      <c r="A4207" s="1" t="str">
        <f>HYPERLINK("http://www.rosaceae.org/Prunus/Prunus_persica/p.persica_gdr_reftransV1_0015402","p.persica_gdr_reftransV1_0015402")</f>
        <v>p.persica_gdr_reftransV1_0015402</v>
      </c>
      <c r="B4207" s="3">
        <v>2310</v>
      </c>
      <c r="C4207" s="1" t="str">
        <f>HYPERLINK("http://www.uniprot.org/uniprot/XYLT_DROPS","XYLT_DROPS")</f>
        <v>XYLT_DROPS</v>
      </c>
      <c r="D4207" t="s">
        <v>3740</v>
      </c>
      <c r="E4207" s="3" t="s">
        <v>3741</v>
      </c>
      <c r="F4207" s="4">
        <v>1.3999999999999999E-17</v>
      </c>
      <c r="G4207" s="3">
        <v>225</v>
      </c>
      <c r="H4207" s="3">
        <v>30</v>
      </c>
      <c r="I4207" s="3">
        <v>246</v>
      </c>
      <c r="J4207" s="3">
        <v>639</v>
      </c>
      <c r="K4207" s="3">
        <v>1364</v>
      </c>
      <c r="L4207" s="3">
        <v>253</v>
      </c>
      <c r="M4207" s="3">
        <v>482</v>
      </c>
    </row>
    <row r="4208" spans="1:13" x14ac:dyDescent="0.25">
      <c r="A4208" s="1" t="str">
        <f>HYPERLINK("http://www.rosaceae.org/Prunus/Prunus_persica/p.persica_gdr_reftransV1_0015502","p.persica_gdr_reftransV1_0015502")</f>
        <v>p.persica_gdr_reftransV1_0015502</v>
      </c>
      <c r="B4208" s="3">
        <v>2269</v>
      </c>
      <c r="C4208" s="1" t="str">
        <f>HYPERLINK("http://www.uniprot.org/uniprot/DCAM_IPONI","DCAM_IPONI")</f>
        <v>DCAM_IPONI</v>
      </c>
      <c r="D4208" t="s">
        <v>3742</v>
      </c>
      <c r="E4208" s="3" t="s">
        <v>3743</v>
      </c>
      <c r="F4208" s="4">
        <v>4.4999999999999996E-174</v>
      </c>
      <c r="G4208" s="3">
        <v>1315</v>
      </c>
      <c r="H4208" s="3">
        <v>69</v>
      </c>
      <c r="I4208" s="3">
        <v>358</v>
      </c>
      <c r="J4208" s="3">
        <v>301</v>
      </c>
      <c r="K4208" s="3">
        <v>1374</v>
      </c>
      <c r="L4208" s="3">
        <v>1</v>
      </c>
      <c r="M4208" s="3">
        <v>350</v>
      </c>
    </row>
    <row r="4209" spans="1:13" x14ac:dyDescent="0.25">
      <c r="A4209" s="1" t="str">
        <f>HYPERLINK("http://www.rosaceae.org/Prunus/Prunus_persica/p.persica_gdr_reftransV1_0015552","p.persica_gdr_reftransV1_0015552")</f>
        <v>p.persica_gdr_reftransV1_0015552</v>
      </c>
      <c r="B4209" s="3">
        <v>969</v>
      </c>
      <c r="C4209" s="1" t="str">
        <f>HYPERLINK("http://www.uniprot.org/uniprot/Y1816_ARATH","Y1816_ARATH")</f>
        <v>Y1816_ARATH</v>
      </c>
      <c r="D4209" t="s">
        <v>3744</v>
      </c>
      <c r="E4209" s="3" t="s">
        <v>3</v>
      </c>
      <c r="F4209" s="4">
        <v>2.0000000000000002E-31</v>
      </c>
      <c r="G4209" s="3">
        <v>307</v>
      </c>
      <c r="H4209" s="3">
        <v>39</v>
      </c>
      <c r="I4209" s="3">
        <v>139</v>
      </c>
      <c r="J4209" s="3">
        <v>386</v>
      </c>
      <c r="K4209" s="3">
        <v>796</v>
      </c>
      <c r="L4209" s="3">
        <v>63</v>
      </c>
      <c r="M4209" s="3">
        <v>201</v>
      </c>
    </row>
    <row r="4210" spans="1:13" x14ac:dyDescent="0.25">
      <c r="A4210" s="1" t="str">
        <f>HYPERLINK("http://www.rosaceae.org/Prunus/Prunus_persica/p.persica_gdr_reftransV1_0015752","p.persica_gdr_reftransV1_0015752")</f>
        <v>p.persica_gdr_reftransV1_0015752</v>
      </c>
      <c r="B4210" s="3">
        <v>4169</v>
      </c>
      <c r="C4210" s="1" t="str">
        <f>HYPERLINK("http://www.uniprot.org/uniprot/PP411_ARATH","PP411_ARATH")</f>
        <v>PP411_ARATH</v>
      </c>
      <c r="D4210" t="s">
        <v>3745</v>
      </c>
      <c r="E4210" s="3" t="s">
        <v>3</v>
      </c>
      <c r="F4210" s="4">
        <v>0</v>
      </c>
      <c r="G4210" s="3">
        <v>1883</v>
      </c>
      <c r="H4210" s="3">
        <v>63</v>
      </c>
      <c r="I4210" s="3">
        <v>552</v>
      </c>
      <c r="J4210" s="3">
        <v>2021</v>
      </c>
      <c r="K4210" s="3">
        <v>3670</v>
      </c>
      <c r="L4210" s="3">
        <v>57</v>
      </c>
      <c r="M4210" s="3">
        <v>608</v>
      </c>
    </row>
    <row r="4211" spans="1:13" x14ac:dyDescent="0.25">
      <c r="A4211" s="1" t="str">
        <f>HYPERLINK("http://www.rosaceae.org/Prunus/Prunus_persica/p.persica_gdr_reftransV1_0015802","p.persica_gdr_reftransV1_0015802")</f>
        <v>p.persica_gdr_reftransV1_0015802</v>
      </c>
      <c r="B4211" s="3">
        <v>1513</v>
      </c>
      <c r="C4211" s="1" t="str">
        <f>HYPERLINK("http://www.uniprot.org/uniprot/BBX21_ARATH","BBX21_ARATH")</f>
        <v>BBX21_ARATH</v>
      </c>
      <c r="D4211" t="s">
        <v>3746</v>
      </c>
      <c r="E4211" s="3" t="s">
        <v>3</v>
      </c>
      <c r="F4211" s="4">
        <v>1.2E-60</v>
      </c>
      <c r="G4211" s="3">
        <v>530</v>
      </c>
      <c r="H4211" s="3">
        <v>56</v>
      </c>
      <c r="I4211" s="3">
        <v>211</v>
      </c>
      <c r="J4211" s="3">
        <v>445</v>
      </c>
      <c r="K4211" s="3">
        <v>1068</v>
      </c>
      <c r="L4211" s="3">
        <v>1</v>
      </c>
      <c r="M4211" s="3">
        <v>204</v>
      </c>
    </row>
    <row r="4212" spans="1:13" x14ac:dyDescent="0.25">
      <c r="A4212" s="1" t="str">
        <f>HYPERLINK("http://www.rosaceae.org/Prunus/Prunus_persica/p.persica_gdr_reftransV1_0016102","p.persica_gdr_reftransV1_0016102")</f>
        <v>p.persica_gdr_reftransV1_0016102</v>
      </c>
      <c r="B4212" s="3">
        <v>1454</v>
      </c>
      <c r="C4212" s="1" t="str">
        <f>HYPERLINK("http://www.uniprot.org/uniprot/HMGL_IPONI","HMGL_IPONI")</f>
        <v>HMGL_IPONI</v>
      </c>
      <c r="D4212" t="s">
        <v>3747</v>
      </c>
      <c r="E4212" s="3" t="s">
        <v>3743</v>
      </c>
      <c r="F4212" s="4">
        <v>8.2800000000000002E-38</v>
      </c>
      <c r="G4212" s="3">
        <v>353</v>
      </c>
      <c r="H4212" s="3">
        <v>66</v>
      </c>
      <c r="I4212" s="3">
        <v>107</v>
      </c>
      <c r="J4212" s="3">
        <v>619</v>
      </c>
      <c r="K4212" s="3">
        <v>939</v>
      </c>
      <c r="L4212" s="3">
        <v>4</v>
      </c>
      <c r="M4212" s="3">
        <v>106</v>
      </c>
    </row>
    <row r="4213" spans="1:13" x14ac:dyDescent="0.25">
      <c r="A4213" s="1" t="str">
        <f>HYPERLINK("http://www.rosaceae.org/Prunus/Prunus_persica/p.persica_gdr_reftransV1_0016252","p.persica_gdr_reftransV1_0016252")</f>
        <v>p.persica_gdr_reftransV1_0016252</v>
      </c>
      <c r="B4213" s="3">
        <v>1373</v>
      </c>
      <c r="C4213" s="1" t="str">
        <f>HYPERLINK("http://www.uniprot.org/uniprot/TOM2A_ARATH","TOM2A_ARATH")</f>
        <v>TOM2A_ARATH</v>
      </c>
      <c r="D4213" t="s">
        <v>3748</v>
      </c>
      <c r="E4213" s="3" t="s">
        <v>3</v>
      </c>
      <c r="F4213" s="4">
        <v>9.0000000000000002E-97</v>
      </c>
      <c r="G4213" s="3">
        <v>766</v>
      </c>
      <c r="H4213" s="3">
        <v>70</v>
      </c>
      <c r="I4213" s="3">
        <v>281</v>
      </c>
      <c r="J4213" s="3">
        <v>154</v>
      </c>
      <c r="K4213" s="3">
        <v>996</v>
      </c>
      <c r="L4213" s="3">
        <v>1</v>
      </c>
      <c r="M4213" s="3">
        <v>280</v>
      </c>
    </row>
    <row r="4214" spans="1:13" x14ac:dyDescent="0.25">
      <c r="A4214" s="1" t="str">
        <f>HYPERLINK("http://www.rosaceae.org/Prunus/Prunus_persica/p.persica_gdr_reftransV1_0016402","p.persica_gdr_reftransV1_0016402")</f>
        <v>p.persica_gdr_reftransV1_0016402</v>
      </c>
      <c r="B4214" s="3">
        <v>1559</v>
      </c>
      <c r="C4214" s="1" t="str">
        <f>HYPERLINK("http://www.uniprot.org/uniprot/NIFU3_ARATH","NIFU3_ARATH")</f>
        <v>NIFU3_ARATH</v>
      </c>
      <c r="D4214" t="s">
        <v>3749</v>
      </c>
      <c r="E4214" s="3" t="s">
        <v>3</v>
      </c>
      <c r="F4214" s="4">
        <v>4.6200000000000003E-74</v>
      </c>
      <c r="G4214" s="3">
        <v>614</v>
      </c>
      <c r="H4214" s="3">
        <v>83</v>
      </c>
      <c r="I4214" s="3">
        <v>164</v>
      </c>
      <c r="J4214" s="3">
        <v>201</v>
      </c>
      <c r="K4214" s="3">
        <v>689</v>
      </c>
      <c r="L4214" s="3">
        <v>76</v>
      </c>
      <c r="M4214" s="3">
        <v>236</v>
      </c>
    </row>
    <row r="4215" spans="1:13" x14ac:dyDescent="0.25">
      <c r="A4215" s="1" t="str">
        <f>HYPERLINK("http://www.rosaceae.org/Prunus/Prunus_persica/p.persica_gdr_reftransV1_0016452","p.persica_gdr_reftransV1_0016452")</f>
        <v>p.persica_gdr_reftransV1_0016452</v>
      </c>
      <c r="B4215" s="3">
        <v>2253</v>
      </c>
      <c r="C4215" s="1" t="str">
        <f>HYPERLINK("http://www.uniprot.org/uniprot/LAX2_MEDTR","LAX2_MEDTR")</f>
        <v>LAX2_MEDTR</v>
      </c>
      <c r="D4215" t="s">
        <v>3750</v>
      </c>
      <c r="E4215" s="3" t="s">
        <v>91</v>
      </c>
      <c r="F4215" s="4">
        <v>0</v>
      </c>
      <c r="G4215" s="3">
        <v>2123</v>
      </c>
      <c r="H4215" s="3">
        <v>87</v>
      </c>
      <c r="I4215" s="3">
        <v>467</v>
      </c>
      <c r="J4215" s="3">
        <v>575</v>
      </c>
      <c r="K4215" s="3">
        <v>1975</v>
      </c>
      <c r="L4215" s="3">
        <v>1</v>
      </c>
      <c r="M4215" s="3">
        <v>467</v>
      </c>
    </row>
    <row r="4216" spans="1:13" x14ac:dyDescent="0.25">
      <c r="A4216" s="1" t="str">
        <f>HYPERLINK("http://www.rosaceae.org/Prunus/Prunus_persica/p.persica_gdr_reftransV1_0016602","p.persica_gdr_reftransV1_0016602")</f>
        <v>p.persica_gdr_reftransV1_0016602</v>
      </c>
      <c r="B4216" s="3">
        <v>3051</v>
      </c>
      <c r="C4216" s="1" t="str">
        <f>HYPERLINK("http://www.uniprot.org/uniprot/MNS1_ARATH","MNS1_ARATH")</f>
        <v>MNS1_ARATH</v>
      </c>
      <c r="D4216" t="s">
        <v>3751</v>
      </c>
      <c r="E4216" s="3" t="s">
        <v>3</v>
      </c>
      <c r="F4216" s="4">
        <v>1.17E-102</v>
      </c>
      <c r="G4216" s="3">
        <v>841</v>
      </c>
      <c r="H4216" s="3">
        <v>75</v>
      </c>
      <c r="I4216" s="3">
        <v>209</v>
      </c>
      <c r="J4216" s="3">
        <v>2426</v>
      </c>
      <c r="K4216" s="3">
        <v>3049</v>
      </c>
      <c r="L4216" s="3">
        <v>164</v>
      </c>
      <c r="M4216" s="3">
        <v>372</v>
      </c>
    </row>
    <row r="4217" spans="1:13" x14ac:dyDescent="0.25">
      <c r="A4217" s="1" t="str">
        <f>HYPERLINK("http://www.rosaceae.org/Prunus/Prunus_persica/p.persica_gdr_reftransV1_0016902","p.persica_gdr_reftransV1_0016902")</f>
        <v>p.persica_gdr_reftransV1_0016902</v>
      </c>
      <c r="B4217" s="3">
        <v>429</v>
      </c>
      <c r="C4217" s="1" t="str">
        <f>HYPERLINK("http://www.uniprot.org/uniprot/ACCH3_SOLLC","ACCH3_SOLLC")</f>
        <v>ACCH3_SOLLC</v>
      </c>
      <c r="D4217" t="s">
        <v>3752</v>
      </c>
      <c r="E4217" s="3" t="s">
        <v>64</v>
      </c>
      <c r="F4217" s="4">
        <v>4.0700000000000002E-23</v>
      </c>
      <c r="G4217" s="3">
        <v>239</v>
      </c>
      <c r="H4217" s="3">
        <v>47</v>
      </c>
      <c r="I4217" s="3">
        <v>118</v>
      </c>
      <c r="J4217" s="3">
        <v>83</v>
      </c>
      <c r="K4217" s="3">
        <v>427</v>
      </c>
      <c r="L4217" s="3">
        <v>9</v>
      </c>
      <c r="M4217" s="3">
        <v>119</v>
      </c>
    </row>
    <row r="4218" spans="1:13" x14ac:dyDescent="0.25">
      <c r="A4218" s="1" t="str">
        <f>HYPERLINK("http://www.rosaceae.org/Prunus/Prunus_persica/p.persica_gdr_reftransV1_0016952","p.persica_gdr_reftransV1_0016952")</f>
        <v>p.persica_gdr_reftransV1_0016952</v>
      </c>
      <c r="B4218" s="3">
        <v>1449</v>
      </c>
      <c r="C4218" s="1" t="str">
        <f>HYPERLINK("http://www.uniprot.org/uniprot/PP425_ARATH","PP425_ARATH")</f>
        <v>PP425_ARATH</v>
      </c>
      <c r="D4218" t="s">
        <v>2006</v>
      </c>
      <c r="E4218" s="3" t="s">
        <v>3</v>
      </c>
      <c r="F4218" s="4">
        <v>9.9200000000000009E-140</v>
      </c>
      <c r="G4218" s="3">
        <v>1088</v>
      </c>
      <c r="H4218" s="3">
        <v>46</v>
      </c>
      <c r="I4218" s="3">
        <v>426</v>
      </c>
      <c r="J4218" s="3">
        <v>7</v>
      </c>
      <c r="K4218" s="3">
        <v>1284</v>
      </c>
      <c r="L4218" s="3">
        <v>222</v>
      </c>
      <c r="M4218" s="3">
        <v>646</v>
      </c>
    </row>
    <row r="4219" spans="1:13" x14ac:dyDescent="0.25">
      <c r="A4219" s="1" t="str">
        <f>HYPERLINK("http://www.rosaceae.org/Prunus/Prunus_persica/p.persica_gdr_reftransV1_0017152","p.persica_gdr_reftransV1_0017152")</f>
        <v>p.persica_gdr_reftransV1_0017152</v>
      </c>
      <c r="B4219" s="3">
        <v>1850</v>
      </c>
      <c r="C4219" s="1" t="str">
        <f>HYPERLINK("http://www.uniprot.org/uniprot/RS15_THEAB","RS15_THEAB")</f>
        <v>RS15_THEAB</v>
      </c>
      <c r="D4219" t="s">
        <v>3753</v>
      </c>
      <c r="E4219" s="3" t="s">
        <v>3754</v>
      </c>
      <c r="F4219" s="4">
        <v>1.8400000000000001E-9</v>
      </c>
      <c r="G4219" s="3">
        <v>144</v>
      </c>
      <c r="H4219" s="3">
        <v>53</v>
      </c>
      <c r="I4219" s="3">
        <v>75</v>
      </c>
      <c r="J4219" s="3">
        <v>1190</v>
      </c>
      <c r="K4219" s="3">
        <v>1408</v>
      </c>
      <c r="L4219" s="3">
        <v>9</v>
      </c>
      <c r="M4219" s="3">
        <v>83</v>
      </c>
    </row>
    <row r="4220" spans="1:13" x14ac:dyDescent="0.25">
      <c r="A4220" s="1" t="str">
        <f>HYPERLINK("http://www.rosaceae.org/Prunus/Prunus_persica/p.persica_gdr_reftransV1_0017402","p.persica_gdr_reftransV1_0017402")</f>
        <v>p.persica_gdr_reftransV1_0017402</v>
      </c>
      <c r="B4220" s="3">
        <v>681</v>
      </c>
      <c r="C4220" s="1" t="str">
        <f>HYPERLINK("http://www.uniprot.org/uniprot/TMVRN_NICGU","TMVRN_NICGU")</f>
        <v>TMVRN_NICGU</v>
      </c>
      <c r="D4220" t="s">
        <v>151</v>
      </c>
      <c r="E4220" s="3" t="s">
        <v>152</v>
      </c>
      <c r="F4220" s="4">
        <v>1.08E-12</v>
      </c>
      <c r="G4220" s="3">
        <v>172</v>
      </c>
      <c r="H4220" s="3">
        <v>30</v>
      </c>
      <c r="I4220" s="3">
        <v>197</v>
      </c>
      <c r="J4220" s="3">
        <v>17</v>
      </c>
      <c r="K4220" s="3">
        <v>514</v>
      </c>
      <c r="L4220" s="3">
        <v>717</v>
      </c>
      <c r="M4220" s="3">
        <v>911</v>
      </c>
    </row>
    <row r="4221" spans="1:13" x14ac:dyDescent="0.25">
      <c r="A4221" s="1" t="str">
        <f>HYPERLINK("http://www.rosaceae.org/Prunus/Prunus_persica/p.persica_gdr_reftransV1_0017452","p.persica_gdr_reftransV1_0017452")</f>
        <v>p.persica_gdr_reftransV1_0017452</v>
      </c>
      <c r="B4221" s="3">
        <v>4225</v>
      </c>
      <c r="C4221" s="1" t="str">
        <f>HYPERLINK("http://www.uniprot.org/uniprot/IMB4_SCHPO","IMB4_SCHPO")</f>
        <v>IMB4_SCHPO</v>
      </c>
      <c r="D4221" t="s">
        <v>3755</v>
      </c>
      <c r="E4221" s="3" t="s">
        <v>464</v>
      </c>
      <c r="F4221" s="4">
        <v>5.4600000000000001E-86</v>
      </c>
      <c r="G4221" s="3">
        <v>790</v>
      </c>
      <c r="H4221" s="3">
        <v>27</v>
      </c>
      <c r="I4221" s="3">
        <v>1039</v>
      </c>
      <c r="J4221" s="3">
        <v>78</v>
      </c>
      <c r="K4221" s="3">
        <v>3077</v>
      </c>
      <c r="L4221" s="3">
        <v>2</v>
      </c>
      <c r="M4221" s="3">
        <v>1027</v>
      </c>
    </row>
    <row r="4222" spans="1:13" x14ac:dyDescent="0.25">
      <c r="A4222" s="1" t="str">
        <f>HYPERLINK("http://www.rosaceae.org/Prunus/Prunus_persica/p.persica_gdr_reftransV1_0017702","p.persica_gdr_reftransV1_0017702")</f>
        <v>p.persica_gdr_reftransV1_0017702</v>
      </c>
      <c r="B4222" s="3">
        <v>1697</v>
      </c>
      <c r="C4222" s="1" t="str">
        <f>HYPERLINK("http://www.uniprot.org/uniprot/GTOMC_ARATH","GTOMC_ARATH")</f>
        <v>GTOMC_ARATH</v>
      </c>
      <c r="D4222" t="s">
        <v>3756</v>
      </c>
      <c r="E4222" s="3" t="s">
        <v>3</v>
      </c>
      <c r="F4222" s="4">
        <v>1.07E-154</v>
      </c>
      <c r="G4222" s="3">
        <v>1168</v>
      </c>
      <c r="H4222" s="3">
        <v>74</v>
      </c>
      <c r="I4222" s="3">
        <v>288</v>
      </c>
      <c r="J4222" s="3">
        <v>308</v>
      </c>
      <c r="K4222" s="3">
        <v>1171</v>
      </c>
      <c r="L4222" s="3">
        <v>60</v>
      </c>
      <c r="M4222" s="3">
        <v>347</v>
      </c>
    </row>
    <row r="4223" spans="1:13" x14ac:dyDescent="0.25">
      <c r="A4223" s="1" t="str">
        <f>HYPERLINK("http://www.rosaceae.org/Prunus/Prunus_persica/p.persica_gdr_reftransV1_0017802","p.persica_gdr_reftransV1_0017802")</f>
        <v>p.persica_gdr_reftransV1_0017802</v>
      </c>
      <c r="B4223" s="3">
        <v>2513</v>
      </c>
      <c r="C4223" s="1" t="str">
        <f>HYPERLINK("http://www.uniprot.org/uniprot/PMTI_ARATH","PMTI_ARATH")</f>
        <v>PMTI_ARATH</v>
      </c>
      <c r="D4223" t="s">
        <v>3077</v>
      </c>
      <c r="E4223" s="3" t="s">
        <v>3</v>
      </c>
      <c r="F4223" s="4">
        <v>0</v>
      </c>
      <c r="G4223" s="3">
        <v>2289</v>
      </c>
      <c r="H4223" s="3">
        <v>70</v>
      </c>
      <c r="I4223" s="3">
        <v>596</v>
      </c>
      <c r="J4223" s="3">
        <v>754</v>
      </c>
      <c r="K4223" s="3">
        <v>2511</v>
      </c>
      <c r="L4223" s="3">
        <v>8</v>
      </c>
      <c r="M4223" s="3">
        <v>603</v>
      </c>
    </row>
    <row r="4224" spans="1:13" x14ac:dyDescent="0.25">
      <c r="A4224" s="1" t="str">
        <f>HYPERLINK("http://www.rosaceae.org/Prunus/Prunus_persica/p.persica_gdr_reftransV1_0017902","p.persica_gdr_reftransV1_0017902")</f>
        <v>p.persica_gdr_reftransV1_0017902</v>
      </c>
      <c r="B4224" s="3">
        <v>4080</v>
      </c>
      <c r="C4224" s="1" t="str">
        <f>HYPERLINK("http://www.uniprot.org/uniprot/CTR1_ARATH","CTR1_ARATH")</f>
        <v>CTR1_ARATH</v>
      </c>
      <c r="D4224" t="s">
        <v>3566</v>
      </c>
      <c r="E4224" s="3" t="s">
        <v>3</v>
      </c>
      <c r="F4224" s="4">
        <v>0</v>
      </c>
      <c r="G4224" s="3">
        <v>2555</v>
      </c>
      <c r="H4224" s="3">
        <v>67</v>
      </c>
      <c r="I4224" s="3">
        <v>866</v>
      </c>
      <c r="J4224" s="3">
        <v>1394</v>
      </c>
      <c r="K4224" s="3">
        <v>3901</v>
      </c>
      <c r="L4224" s="3">
        <v>1</v>
      </c>
      <c r="M4224" s="3">
        <v>818</v>
      </c>
    </row>
    <row r="4225" spans="1:13" x14ac:dyDescent="0.25">
      <c r="A4225" s="1" t="str">
        <f>HYPERLINK("http://www.rosaceae.org/Prunus/Prunus_persica/p.persica_gdr_reftransV1_0018052","p.persica_gdr_reftransV1_0018052")</f>
        <v>p.persica_gdr_reftransV1_0018052</v>
      </c>
      <c r="B4225" s="3">
        <v>2660</v>
      </c>
      <c r="C4225" s="1" t="str">
        <f>HYPERLINK("http://www.uniprot.org/uniprot/PPDEX_ARATH","PPDEX_ARATH")</f>
        <v>PPDEX_ARATH</v>
      </c>
      <c r="D4225" t="s">
        <v>3683</v>
      </c>
      <c r="E4225" s="3" t="s">
        <v>3</v>
      </c>
      <c r="F4225" s="4">
        <v>4.1499999999999998E-66</v>
      </c>
      <c r="G4225" s="3">
        <v>574</v>
      </c>
      <c r="H4225" s="3">
        <v>62</v>
      </c>
      <c r="I4225" s="3">
        <v>160</v>
      </c>
      <c r="J4225" s="3">
        <v>1826</v>
      </c>
      <c r="K4225" s="3">
        <v>2305</v>
      </c>
      <c r="L4225" s="3">
        <v>26</v>
      </c>
      <c r="M4225" s="3">
        <v>185</v>
      </c>
    </row>
    <row r="4226" spans="1:13" x14ac:dyDescent="0.25">
      <c r="A4226" s="1" t="str">
        <f>HYPERLINK("http://www.rosaceae.org/Prunus/Prunus_persica/p.persica_gdr_reftransV1_0018202","p.persica_gdr_reftransV1_0018202")</f>
        <v>p.persica_gdr_reftransV1_0018202</v>
      </c>
      <c r="B4226" s="3">
        <v>769</v>
      </c>
      <c r="C4226" s="1" t="str">
        <f>HYPERLINK("http://www.uniprot.org/uniprot/SRP14_ARATH","SRP14_ARATH")</f>
        <v>SRP14_ARATH</v>
      </c>
      <c r="D4226" t="s">
        <v>3757</v>
      </c>
      <c r="E4226" s="3" t="s">
        <v>3</v>
      </c>
      <c r="F4226" s="4">
        <v>1.9E-48</v>
      </c>
      <c r="G4226" s="3">
        <v>410</v>
      </c>
      <c r="H4226" s="3">
        <v>82</v>
      </c>
      <c r="I4226" s="3">
        <v>93</v>
      </c>
      <c r="J4226" s="3">
        <v>86</v>
      </c>
      <c r="K4226" s="3">
        <v>364</v>
      </c>
      <c r="L4226" s="3">
        <v>1</v>
      </c>
      <c r="M4226" s="3">
        <v>93</v>
      </c>
    </row>
    <row r="4227" spans="1:13" x14ac:dyDescent="0.25">
      <c r="A4227" s="1" t="str">
        <f>HYPERLINK("http://www.rosaceae.org/Prunus/Prunus_persica/p.persica_gdr_reftransV1_0018652","p.persica_gdr_reftransV1_0018652")</f>
        <v>p.persica_gdr_reftransV1_0018652</v>
      </c>
      <c r="B4227" s="3">
        <v>1894</v>
      </c>
      <c r="C4227" s="1" t="str">
        <f>HYPERLINK("http://www.uniprot.org/uniprot/ANT1_ARATH","ANT1_ARATH")</f>
        <v>ANT1_ARATH</v>
      </c>
      <c r="D4227" t="s">
        <v>3758</v>
      </c>
      <c r="E4227" s="3" t="s">
        <v>3</v>
      </c>
      <c r="F4227" s="4">
        <v>0</v>
      </c>
      <c r="G4227" s="3">
        <v>1478</v>
      </c>
      <c r="H4227" s="3">
        <v>65</v>
      </c>
      <c r="I4227" s="3">
        <v>422</v>
      </c>
      <c r="J4227" s="3">
        <v>271</v>
      </c>
      <c r="K4227" s="3">
        <v>1515</v>
      </c>
      <c r="L4227" s="3">
        <v>12</v>
      </c>
      <c r="M4227" s="3">
        <v>432</v>
      </c>
    </row>
    <row r="4228" spans="1:13" x14ac:dyDescent="0.25">
      <c r="A4228" s="1" t="str">
        <f>HYPERLINK("http://www.rosaceae.org/Prunus/Prunus_persica/p.persica_gdr_reftransV1_0018802","p.persica_gdr_reftransV1_0018802")</f>
        <v>p.persica_gdr_reftransV1_0018802</v>
      </c>
      <c r="B4228" s="3">
        <v>1400</v>
      </c>
      <c r="C4228" s="1" t="str">
        <f>HYPERLINK("http://www.uniprot.org/uniprot/BCA5_ARATH","BCA5_ARATH")</f>
        <v>BCA5_ARATH</v>
      </c>
      <c r="D4228" t="s">
        <v>3759</v>
      </c>
      <c r="E4228" s="3" t="s">
        <v>3</v>
      </c>
      <c r="F4228" s="4">
        <v>1.5199999999999999E-83</v>
      </c>
      <c r="G4228" s="3">
        <v>680</v>
      </c>
      <c r="H4228" s="3">
        <v>42</v>
      </c>
      <c r="I4228" s="3">
        <v>349</v>
      </c>
      <c r="J4228" s="3">
        <v>232</v>
      </c>
      <c r="K4228" s="3">
        <v>1263</v>
      </c>
      <c r="L4228" s="3">
        <v>42</v>
      </c>
      <c r="M4228" s="3">
        <v>300</v>
      </c>
    </row>
    <row r="4229" spans="1:13" x14ac:dyDescent="0.25">
      <c r="A4229" s="1" t="str">
        <f>HYPERLINK("http://www.rosaceae.org/Prunus/Prunus_persica/p.persica_gdr_reftransV1_0019202","p.persica_gdr_reftransV1_0019202")</f>
        <v>p.persica_gdr_reftransV1_0019202</v>
      </c>
      <c r="B4229" s="3">
        <v>3475</v>
      </c>
      <c r="C4229" s="1" t="str">
        <f>HYPERLINK("http://www.uniprot.org/uniprot/STT3B_ARATH","STT3B_ARATH")</f>
        <v>STT3B_ARATH</v>
      </c>
      <c r="D4229" t="s">
        <v>3760</v>
      </c>
      <c r="E4229" s="3" t="s">
        <v>3</v>
      </c>
      <c r="F4229" s="4">
        <v>0</v>
      </c>
      <c r="G4229" s="3">
        <v>2850</v>
      </c>
      <c r="H4229" s="3">
        <v>89</v>
      </c>
      <c r="I4229" s="3">
        <v>672</v>
      </c>
      <c r="J4229" s="3">
        <v>301</v>
      </c>
      <c r="K4229" s="3">
        <v>2307</v>
      </c>
      <c r="L4229" s="3">
        <v>2</v>
      </c>
      <c r="M4229" s="3">
        <v>673</v>
      </c>
    </row>
    <row r="4230" spans="1:13" x14ac:dyDescent="0.25">
      <c r="A4230" s="1" t="str">
        <f>HYPERLINK("http://www.rosaceae.org/Prunus/Prunus_persica/p.persica_gdr_reftransV1_0019252","p.persica_gdr_reftransV1_0019252")</f>
        <v>p.persica_gdr_reftransV1_0019252</v>
      </c>
      <c r="B4230" s="3">
        <v>3261</v>
      </c>
      <c r="C4230" s="1" t="str">
        <f>HYPERLINK("http://www.uniprot.org/uniprot/POED2_ARATH","POED2_ARATH")</f>
        <v>POED2_ARATH</v>
      </c>
      <c r="D4230" t="s">
        <v>3761</v>
      </c>
      <c r="E4230" s="3" t="s">
        <v>3</v>
      </c>
      <c r="F4230" s="4">
        <v>1.2399999999999999E-121</v>
      </c>
      <c r="G4230" s="3">
        <v>985</v>
      </c>
      <c r="H4230" s="3">
        <v>61</v>
      </c>
      <c r="I4230" s="3">
        <v>342</v>
      </c>
      <c r="J4230" s="3">
        <v>362</v>
      </c>
      <c r="K4230" s="3">
        <v>1360</v>
      </c>
      <c r="L4230" s="3">
        <v>2</v>
      </c>
      <c r="M4230" s="3">
        <v>343</v>
      </c>
    </row>
    <row r="4231" spans="1:13" x14ac:dyDescent="0.25">
      <c r="A4231" s="1" t="str">
        <f>HYPERLINK("http://www.rosaceae.org/Prunus/Prunus_persica/p.persica_gdr_reftransV1_0019352","p.persica_gdr_reftransV1_0019352")</f>
        <v>p.persica_gdr_reftransV1_0019352</v>
      </c>
      <c r="B4231" s="3">
        <v>1423</v>
      </c>
      <c r="C4231" s="1" t="str">
        <f>HYPERLINK("http://www.uniprot.org/uniprot/PAHX_ARATH","PAHX_ARATH")</f>
        <v>PAHX_ARATH</v>
      </c>
      <c r="D4231" t="s">
        <v>3762</v>
      </c>
      <c r="E4231" s="3" t="s">
        <v>3</v>
      </c>
      <c r="F4231" s="4">
        <v>1.44E-157</v>
      </c>
      <c r="G4231" s="3">
        <v>1171</v>
      </c>
      <c r="H4231" s="3">
        <v>77</v>
      </c>
      <c r="I4231" s="3">
        <v>282</v>
      </c>
      <c r="J4231" s="3">
        <v>158</v>
      </c>
      <c r="K4231" s="3">
        <v>1003</v>
      </c>
      <c r="L4231" s="3">
        <v>1</v>
      </c>
      <c r="M4231" s="3">
        <v>281</v>
      </c>
    </row>
    <row r="4232" spans="1:13" x14ac:dyDescent="0.25">
      <c r="A4232" s="1" t="str">
        <f>HYPERLINK("http://www.rosaceae.org/Prunus/Prunus_persica/p.persica_gdr_reftransV1_0020152","p.persica_gdr_reftransV1_0020152")</f>
        <v>p.persica_gdr_reftransV1_0020152</v>
      </c>
      <c r="B4232" s="3">
        <v>1504</v>
      </c>
      <c r="C4232" s="1" t="str">
        <f>HYPERLINK("http://www.uniprot.org/uniprot/Y5707_ARATH","Y5707_ARATH")</f>
        <v>Y5707_ARATH</v>
      </c>
      <c r="D4232" t="s">
        <v>2730</v>
      </c>
      <c r="E4232" s="3" t="s">
        <v>3</v>
      </c>
      <c r="F4232" s="4">
        <v>9.3700000000000002E-136</v>
      </c>
      <c r="G4232" s="3">
        <v>1042</v>
      </c>
      <c r="H4232" s="3">
        <v>62</v>
      </c>
      <c r="I4232" s="3">
        <v>325</v>
      </c>
      <c r="J4232" s="3">
        <v>537</v>
      </c>
      <c r="K4232" s="3">
        <v>1493</v>
      </c>
      <c r="L4232" s="3">
        <v>86</v>
      </c>
      <c r="M4232" s="3">
        <v>407</v>
      </c>
    </row>
    <row r="4233" spans="1:13" x14ac:dyDescent="0.25">
      <c r="A4233" s="1" t="str">
        <f>HYPERLINK("http://www.rosaceae.org/Prunus/Prunus_persica/p.persica_gdr_reftransV1_0020352","p.persica_gdr_reftransV1_0020352")</f>
        <v>p.persica_gdr_reftransV1_0020352</v>
      </c>
      <c r="B4233" s="3">
        <v>3773</v>
      </c>
      <c r="C4233" s="1" t="str">
        <f>HYPERLINK("http://www.uniprot.org/uniprot/SUCA1_SOLLC","SUCA1_SOLLC")</f>
        <v>SUCA1_SOLLC</v>
      </c>
      <c r="D4233" t="s">
        <v>3763</v>
      </c>
      <c r="E4233" s="3" t="s">
        <v>64</v>
      </c>
      <c r="F4233" s="4">
        <v>1.8000000000000002E-170</v>
      </c>
      <c r="G4233" s="3">
        <v>1327</v>
      </c>
      <c r="H4233" s="3">
        <v>85</v>
      </c>
      <c r="I4233" s="3">
        <v>335</v>
      </c>
      <c r="J4233" s="3">
        <v>158</v>
      </c>
      <c r="K4233" s="3">
        <v>1162</v>
      </c>
      <c r="L4233" s="3">
        <v>1</v>
      </c>
      <c r="M4233" s="3">
        <v>332</v>
      </c>
    </row>
    <row r="4234" spans="1:13" x14ac:dyDescent="0.25">
      <c r="A4234" s="1" t="str">
        <f>HYPERLINK("http://www.rosaceae.org/Prunus/Prunus_persica/p.persica_gdr_reftransV1_0020402","p.persica_gdr_reftransV1_0020402")</f>
        <v>p.persica_gdr_reftransV1_0020402</v>
      </c>
      <c r="B4234" s="3">
        <v>1620</v>
      </c>
      <c r="C4234" s="1" t="str">
        <f>HYPERLINK("http://www.uniprot.org/uniprot/PKS5_RUBid","PKS5_RUBid")</f>
        <v>PKS5_RUBid</v>
      </c>
      <c r="D4234" t="s">
        <v>3404</v>
      </c>
      <c r="E4234" s="3" t="s">
        <v>1545</v>
      </c>
      <c r="F4234" s="4">
        <v>0</v>
      </c>
      <c r="G4234" s="3">
        <v>1987</v>
      </c>
      <c r="H4234" s="3">
        <v>94</v>
      </c>
      <c r="I4234" s="3">
        <v>391</v>
      </c>
      <c r="J4234" s="3">
        <v>67</v>
      </c>
      <c r="K4234" s="3">
        <v>1239</v>
      </c>
      <c r="L4234" s="3">
        <v>1</v>
      </c>
      <c r="M4234" s="3">
        <v>391</v>
      </c>
    </row>
    <row r="4235" spans="1:13" x14ac:dyDescent="0.25">
      <c r="A4235" s="1" t="str">
        <f>HYPERLINK("http://www.rosaceae.org/Prunus/Prunus_persica/p.persica_gdr_reftransV1_0021002","p.persica_gdr_reftransV1_0021002")</f>
        <v>p.persica_gdr_reftransV1_0021002</v>
      </c>
      <c r="B4235" s="3">
        <v>4474</v>
      </c>
      <c r="C4235" s="1" t="str">
        <f>HYPERLINK("http://www.uniprot.org/uniprot/Y1960_ARATH","Y1960_ARATH")</f>
        <v>Y1960_ARATH</v>
      </c>
      <c r="D4235" t="s">
        <v>743</v>
      </c>
      <c r="E4235" s="3" t="s">
        <v>3</v>
      </c>
      <c r="F4235" s="4">
        <v>0</v>
      </c>
      <c r="G4235" s="3">
        <v>1462</v>
      </c>
      <c r="H4235" s="3">
        <v>76</v>
      </c>
      <c r="I4235" s="3">
        <v>398</v>
      </c>
      <c r="J4235" s="3">
        <v>2079</v>
      </c>
      <c r="K4235" s="3">
        <v>3245</v>
      </c>
      <c r="L4235" s="3">
        <v>82</v>
      </c>
      <c r="M4235" s="3">
        <v>479</v>
      </c>
    </row>
    <row r="4236" spans="1:13" x14ac:dyDescent="0.25">
      <c r="A4236" s="1" t="str">
        <f>HYPERLINK("http://www.rosaceae.org/Prunus/Prunus_persica/p.persica_gdr_reftransV1_0021052","p.persica_gdr_reftransV1_0021052")</f>
        <v>p.persica_gdr_reftransV1_0021052</v>
      </c>
      <c r="B4236" s="3">
        <v>2495</v>
      </c>
      <c r="C4236" s="1" t="str">
        <f>HYPERLINK("http://www.uniprot.org/uniprot/NAT3_ARATH","NAT3_ARATH")</f>
        <v>NAT3_ARATH</v>
      </c>
      <c r="D4236" t="s">
        <v>3764</v>
      </c>
      <c r="E4236" s="3" t="s">
        <v>3</v>
      </c>
      <c r="F4236" s="4">
        <v>6.6299999999999999E-163</v>
      </c>
      <c r="G4236" s="3">
        <v>1266</v>
      </c>
      <c r="H4236" s="3">
        <v>72</v>
      </c>
      <c r="I4236" s="3">
        <v>346</v>
      </c>
      <c r="J4236" s="3">
        <v>1261</v>
      </c>
      <c r="K4236" s="3">
        <v>2295</v>
      </c>
      <c r="L4236" s="3">
        <v>206</v>
      </c>
      <c r="M4236" s="3">
        <v>551</v>
      </c>
    </row>
    <row r="4237" spans="1:13" x14ac:dyDescent="0.25">
      <c r="A4237" s="1" t="str">
        <f>HYPERLINK("http://www.rosaceae.org/Prunus/Prunus_persica/p.persica_gdr_reftransV1_0021102","p.persica_gdr_reftransV1_0021102")</f>
        <v>p.persica_gdr_reftransV1_0021102</v>
      </c>
      <c r="B4237" s="3">
        <v>3376</v>
      </c>
      <c r="C4237" s="1" t="str">
        <f>HYPERLINK("http://www.uniprot.org/uniprot/CMTA5_ARATH","CMTA5_ARATH")</f>
        <v>CMTA5_ARATH</v>
      </c>
      <c r="D4237" t="s">
        <v>3765</v>
      </c>
      <c r="E4237" s="3" t="s">
        <v>3</v>
      </c>
      <c r="F4237" s="4">
        <v>0</v>
      </c>
      <c r="G4237" s="3">
        <v>2569</v>
      </c>
      <c r="H4237" s="3">
        <v>59</v>
      </c>
      <c r="I4237" s="3">
        <v>924</v>
      </c>
      <c r="J4237" s="3">
        <v>361</v>
      </c>
      <c r="K4237" s="3">
        <v>3078</v>
      </c>
      <c r="L4237" s="3">
        <v>8</v>
      </c>
      <c r="M4237" s="3">
        <v>916</v>
      </c>
    </row>
    <row r="4238" spans="1:13" x14ac:dyDescent="0.25">
      <c r="A4238" s="1" t="str">
        <f>HYPERLINK("http://www.rosaceae.org/Prunus/Prunus_persica/p.persica_gdr_reftransV1_0021152","p.persica_gdr_reftransV1_0021152")</f>
        <v>p.persica_gdr_reftransV1_0021152</v>
      </c>
      <c r="B4238" s="3">
        <v>1280</v>
      </c>
      <c r="C4238" s="1" t="str">
        <f>HYPERLINK("http://www.uniprot.org/uniprot/JMJ30_ARATH","JMJ30_ARATH")</f>
        <v>JMJ30_ARATH</v>
      </c>
      <c r="D4238" t="s">
        <v>3766</v>
      </c>
      <c r="E4238" s="3" t="s">
        <v>3</v>
      </c>
      <c r="F4238" s="4">
        <v>4.6800000000000001E-148</v>
      </c>
      <c r="G4238" s="3">
        <v>833</v>
      </c>
      <c r="H4238" s="3">
        <v>81</v>
      </c>
      <c r="I4238" s="3">
        <v>183</v>
      </c>
      <c r="J4238" s="3">
        <v>170</v>
      </c>
      <c r="K4238" s="3">
        <v>718</v>
      </c>
      <c r="L4238" s="3">
        <v>244</v>
      </c>
      <c r="M4238" s="3">
        <v>426</v>
      </c>
    </row>
    <row r="4239" spans="1:13" x14ac:dyDescent="0.25">
      <c r="A4239" s="1" t="str">
        <f>HYPERLINK("http://www.rosaceae.org/Prunus/Prunus_persica/p.persica_gdr_reftransV1_0021302","p.persica_gdr_reftransV1_0021302")</f>
        <v>p.persica_gdr_reftransV1_0021302</v>
      </c>
      <c r="B4239" s="3">
        <v>1533</v>
      </c>
      <c r="C4239" s="1" t="str">
        <f>HYPERLINK("http://www.uniprot.org/uniprot/CXIP4_ARATH","CXIP4_ARATH")</f>
        <v>CXIP4_ARATH</v>
      </c>
      <c r="D4239" t="s">
        <v>3767</v>
      </c>
      <c r="E4239" s="3" t="s">
        <v>3</v>
      </c>
      <c r="F4239" s="4">
        <v>5.6399999999999996E-62</v>
      </c>
      <c r="G4239" s="3">
        <v>539</v>
      </c>
      <c r="H4239" s="3">
        <v>76</v>
      </c>
      <c r="I4239" s="3">
        <v>135</v>
      </c>
      <c r="J4239" s="3">
        <v>1021</v>
      </c>
      <c r="K4239" s="3">
        <v>1422</v>
      </c>
      <c r="L4239" s="3">
        <v>1</v>
      </c>
      <c r="M4239" s="3">
        <v>130</v>
      </c>
    </row>
    <row r="4240" spans="1:13" x14ac:dyDescent="0.25">
      <c r="A4240" s="1" t="str">
        <f>HYPERLINK("http://www.rosaceae.org/Prunus/Prunus_persica/p.persica_gdr_reftransV1_0021652","p.persica_gdr_reftransV1_0021652")</f>
        <v>p.persica_gdr_reftransV1_0021652</v>
      </c>
      <c r="B4240" s="3">
        <v>2825</v>
      </c>
      <c r="C4240" s="1" t="str">
        <f>HYPERLINK("http://www.uniprot.org/uniprot/ARFI_ARATH","ARFI_ARATH")</f>
        <v>ARFI_ARATH</v>
      </c>
      <c r="D4240" t="s">
        <v>3768</v>
      </c>
      <c r="E4240" s="3" t="s">
        <v>3</v>
      </c>
      <c r="F4240" s="4">
        <v>0</v>
      </c>
      <c r="G4240" s="3">
        <v>1727</v>
      </c>
      <c r="H4240" s="3">
        <v>57</v>
      </c>
      <c r="I4240" s="3">
        <v>658</v>
      </c>
      <c r="J4240" s="3">
        <v>396</v>
      </c>
      <c r="K4240" s="3">
        <v>2360</v>
      </c>
      <c r="L4240" s="3">
        <v>5</v>
      </c>
      <c r="M4240" s="3">
        <v>610</v>
      </c>
    </row>
    <row r="4241" spans="1:13" x14ac:dyDescent="0.25">
      <c r="A4241" s="1" t="str">
        <f>HYPERLINK("http://www.rosaceae.org/Prunus/Prunus_persica/p.persica_gdr_reftransV1_0021902","p.persica_gdr_reftransV1_0021902")</f>
        <v>p.persica_gdr_reftransV1_0021902</v>
      </c>
      <c r="B4241" s="3">
        <v>459</v>
      </c>
      <c r="C4241" s="1" t="str">
        <f>HYPERLINK("http://www.uniprot.org/uniprot/CSK21_ARATH","CSK21_ARATH")</f>
        <v>CSK21_ARATH</v>
      </c>
      <c r="D4241" t="s">
        <v>3769</v>
      </c>
      <c r="E4241" s="3" t="s">
        <v>3</v>
      </c>
      <c r="F4241" s="4">
        <v>4.3300000000000001E-18</v>
      </c>
      <c r="G4241" s="3">
        <v>205</v>
      </c>
      <c r="H4241" s="3">
        <v>54</v>
      </c>
      <c r="I4241" s="3">
        <v>80</v>
      </c>
      <c r="J4241" s="3">
        <v>231</v>
      </c>
      <c r="K4241" s="3">
        <v>458</v>
      </c>
      <c r="L4241" s="3">
        <v>32</v>
      </c>
      <c r="M4241" s="3">
        <v>111</v>
      </c>
    </row>
    <row r="4242" spans="1:13" x14ac:dyDescent="0.25">
      <c r="A4242" s="1" t="str">
        <f>HYPERLINK("http://www.rosaceae.org/Prunus/Prunus_persica/p.persica_gdr_reftransV1_0022152","p.persica_gdr_reftransV1_0022152")</f>
        <v>p.persica_gdr_reftransV1_0022152</v>
      </c>
      <c r="B4242" s="3">
        <v>1671</v>
      </c>
      <c r="C4242" s="1" t="str">
        <f>HYPERLINK("http://www.uniprot.org/uniprot/PP160_ARATH","PP160_ARATH")</f>
        <v>PP160_ARATH</v>
      </c>
      <c r="D4242" t="s">
        <v>3770</v>
      </c>
      <c r="E4242" s="3" t="s">
        <v>3</v>
      </c>
      <c r="F4242" s="4">
        <v>0</v>
      </c>
      <c r="G4242" s="3">
        <v>1836</v>
      </c>
      <c r="H4242" s="3">
        <v>63</v>
      </c>
      <c r="I4242" s="3">
        <v>538</v>
      </c>
      <c r="J4242" s="3">
        <v>57</v>
      </c>
      <c r="K4242" s="3">
        <v>1670</v>
      </c>
      <c r="L4242" s="3">
        <v>86</v>
      </c>
      <c r="M4242" s="3">
        <v>623</v>
      </c>
    </row>
    <row r="4243" spans="1:13" x14ac:dyDescent="0.25">
      <c r="A4243" s="1" t="str">
        <f>HYPERLINK("http://www.rosaceae.org/Prunus/Prunus_persica/p.persica_gdr_reftransV1_0022602","p.persica_gdr_reftransV1_0022602")</f>
        <v>p.persica_gdr_reftransV1_0022602</v>
      </c>
      <c r="B4243" s="3">
        <v>3463</v>
      </c>
      <c r="C4243" s="1" t="str">
        <f>HYPERLINK("http://www.uniprot.org/uniprot/DRC7_CHLRE","DRC7_CHLRE")</f>
        <v>DRC7_CHLRE</v>
      </c>
      <c r="D4243" t="s">
        <v>3771</v>
      </c>
      <c r="E4243" s="3" t="s">
        <v>2091</v>
      </c>
      <c r="F4243" s="4">
        <v>8.3599999999999995E-21</v>
      </c>
      <c r="G4243" s="3">
        <v>256</v>
      </c>
      <c r="H4243" s="3">
        <v>36</v>
      </c>
      <c r="I4243" s="3">
        <v>180</v>
      </c>
      <c r="J4243" s="3">
        <v>235</v>
      </c>
      <c r="K4243" s="3">
        <v>768</v>
      </c>
      <c r="L4243" s="3">
        <v>344</v>
      </c>
      <c r="M4243" s="3">
        <v>517</v>
      </c>
    </row>
    <row r="4244" spans="1:13" x14ac:dyDescent="0.25">
      <c r="A4244" s="1" t="str">
        <f>HYPERLINK("http://www.rosaceae.org/Prunus/Prunus_persica/p.persica_gdr_reftransV1_0022752","p.persica_gdr_reftransV1_0022752")</f>
        <v>p.persica_gdr_reftransV1_0022752</v>
      </c>
      <c r="B4244" s="3">
        <v>2222</v>
      </c>
      <c r="C4244" s="1" t="str">
        <f>HYPERLINK("http://www.uniprot.org/uniprot/GAUT1_ARATH","GAUT1_ARATH")</f>
        <v>GAUT1_ARATH</v>
      </c>
      <c r="D4244" t="s">
        <v>3772</v>
      </c>
      <c r="E4244" s="3" t="s">
        <v>3</v>
      </c>
      <c r="F4244" s="4">
        <v>0</v>
      </c>
      <c r="G4244" s="3">
        <v>2605</v>
      </c>
      <c r="H4244" s="3">
        <v>78</v>
      </c>
      <c r="I4244" s="3">
        <v>657</v>
      </c>
      <c r="J4244" s="3">
        <v>1</v>
      </c>
      <c r="K4244" s="3">
        <v>1965</v>
      </c>
      <c r="L4244" s="3">
        <v>1</v>
      </c>
      <c r="M4244" s="3">
        <v>654</v>
      </c>
    </row>
    <row r="4245" spans="1:13" x14ac:dyDescent="0.25">
      <c r="A4245" s="1" t="str">
        <f>HYPERLINK("http://www.rosaceae.org/Prunus/Prunus_persica/p.persica_gdr_reftransV1_0022802","p.persica_gdr_reftransV1_0022802")</f>
        <v>p.persica_gdr_reftransV1_0022802</v>
      </c>
      <c r="B4245" s="3">
        <v>2513</v>
      </c>
      <c r="C4245" s="1" t="str">
        <f>HYPERLINK("http://www.uniprot.org/uniprot/HSF8_SOLPE","HSF8_SOLPE")</f>
        <v>HSF8_SOLPE</v>
      </c>
      <c r="D4245" t="s">
        <v>3773</v>
      </c>
      <c r="E4245" s="3" t="s">
        <v>3774</v>
      </c>
      <c r="F4245" s="4">
        <v>4.3899999999999998E-103</v>
      </c>
      <c r="G4245" s="3">
        <v>859</v>
      </c>
      <c r="H4245" s="3">
        <v>54</v>
      </c>
      <c r="I4245" s="3">
        <v>434</v>
      </c>
      <c r="J4245" s="3">
        <v>888</v>
      </c>
      <c r="K4245" s="3">
        <v>2111</v>
      </c>
      <c r="L4245" s="3">
        <v>101</v>
      </c>
      <c r="M4245" s="3">
        <v>516</v>
      </c>
    </row>
    <row r="4246" spans="1:13" x14ac:dyDescent="0.25">
      <c r="A4246" s="1" t="str">
        <f>HYPERLINK("http://www.rosaceae.org/Prunus/Prunus_persica/p.persica_gdr_reftransV1_0023102","p.persica_gdr_reftransV1_0023102")</f>
        <v>p.persica_gdr_reftransV1_0023102</v>
      </c>
      <c r="B4246" s="3">
        <v>1312</v>
      </c>
      <c r="C4246" s="1" t="str">
        <f>HYPERLINK("http://www.uniprot.org/uniprot/PP305_ARATH","PP305_ARATH")</f>
        <v>PP305_ARATH</v>
      </c>
      <c r="D4246" t="s">
        <v>3775</v>
      </c>
      <c r="E4246" s="3" t="s">
        <v>3</v>
      </c>
      <c r="F4246" s="4">
        <v>4.1399999999999998E-60</v>
      </c>
      <c r="G4246" s="3">
        <v>542</v>
      </c>
      <c r="H4246" s="3">
        <v>64</v>
      </c>
      <c r="I4246" s="3">
        <v>166</v>
      </c>
      <c r="J4246" s="3">
        <v>2</v>
      </c>
      <c r="K4246" s="3">
        <v>499</v>
      </c>
      <c r="L4246" s="3">
        <v>520</v>
      </c>
      <c r="M4246" s="3">
        <v>685</v>
      </c>
    </row>
    <row r="4247" spans="1:13" x14ac:dyDescent="0.25">
      <c r="A4247" s="1" t="str">
        <f>HYPERLINK("http://www.rosaceae.org/Prunus/Prunus_persica/p.persica_gdr_reftransV1_0023152","p.persica_gdr_reftransV1_0023152")</f>
        <v>p.persica_gdr_reftransV1_0023152</v>
      </c>
      <c r="B4247" s="3">
        <v>3325</v>
      </c>
      <c r="C4247" s="1" t="str">
        <f>HYPERLINK("http://www.uniprot.org/uniprot/FXL14_MOUSE","FXL14_MOUSE")</f>
        <v>FXL14_MOUSE</v>
      </c>
      <c r="D4247" t="s">
        <v>3776</v>
      </c>
      <c r="E4247" s="3" t="s">
        <v>157</v>
      </c>
      <c r="F4247" s="4">
        <v>1.9399999999999998E-8</v>
      </c>
      <c r="G4247" s="3">
        <v>148</v>
      </c>
      <c r="H4247" s="3">
        <v>37</v>
      </c>
      <c r="I4247" s="3">
        <v>140</v>
      </c>
      <c r="J4247" s="3">
        <v>1546</v>
      </c>
      <c r="K4247" s="3">
        <v>1941</v>
      </c>
      <c r="L4247" s="3">
        <v>226</v>
      </c>
      <c r="M4247" s="3">
        <v>365</v>
      </c>
    </row>
    <row r="4248" spans="1:13" x14ac:dyDescent="0.25">
      <c r="A4248" s="1" t="str">
        <f>HYPERLINK("http://www.rosaceae.org/Prunus/Prunus_persica/p.persica_gdr_reftransV1_0023252","p.persica_gdr_reftransV1_0023252")</f>
        <v>p.persica_gdr_reftransV1_0023252</v>
      </c>
      <c r="B4248" s="3">
        <v>1796</v>
      </c>
      <c r="C4248" s="1" t="str">
        <f>HYPERLINK("http://www.uniprot.org/uniprot/AL2B4_ARATH","AL2B4_ARATH")</f>
        <v>AL2B4_ARATH</v>
      </c>
      <c r="D4248" t="s">
        <v>3777</v>
      </c>
      <c r="E4248" s="3" t="s">
        <v>3</v>
      </c>
      <c r="F4248" s="4">
        <v>0</v>
      </c>
      <c r="G4248" s="3">
        <v>2320</v>
      </c>
      <c r="H4248" s="3">
        <v>83</v>
      </c>
      <c r="I4248" s="3">
        <v>508</v>
      </c>
      <c r="J4248" s="3">
        <v>202</v>
      </c>
      <c r="K4248" s="3">
        <v>1722</v>
      </c>
      <c r="L4248" s="3">
        <v>31</v>
      </c>
      <c r="M4248" s="3">
        <v>538</v>
      </c>
    </row>
    <row r="4249" spans="1:13" x14ac:dyDescent="0.25">
      <c r="A4249" s="1" t="str">
        <f>HYPERLINK("http://www.rosaceae.org/Prunus/Prunus_persica/p.persica_gdr_reftransV1_0023302","p.persica_gdr_reftransV1_0023302")</f>
        <v>p.persica_gdr_reftransV1_0023302</v>
      </c>
      <c r="B4249" s="3">
        <v>2091</v>
      </c>
      <c r="C4249" s="1" t="str">
        <f>HYPERLINK("http://www.uniprot.org/uniprot/POLAR_ARATH","POLAR_ARATH")</f>
        <v>POLAR_ARATH</v>
      </c>
      <c r="D4249" t="s">
        <v>3778</v>
      </c>
      <c r="E4249" s="3" t="s">
        <v>3</v>
      </c>
      <c r="F4249" s="4">
        <v>6.69E-12</v>
      </c>
      <c r="G4249" s="3">
        <v>173</v>
      </c>
      <c r="H4249" s="3">
        <v>45</v>
      </c>
      <c r="I4249" s="3">
        <v>85</v>
      </c>
      <c r="J4249" s="3">
        <v>397</v>
      </c>
      <c r="K4249" s="3">
        <v>651</v>
      </c>
      <c r="L4249" s="3">
        <v>247</v>
      </c>
      <c r="M4249" s="3">
        <v>329</v>
      </c>
    </row>
    <row r="4250" spans="1:13" x14ac:dyDescent="0.25">
      <c r="A4250" s="1" t="str">
        <f>HYPERLINK("http://www.rosaceae.org/Prunus/Prunus_persica/p.persica_gdr_reftransV1_0023452","p.persica_gdr_reftransV1_0023452")</f>
        <v>p.persica_gdr_reftransV1_0023452</v>
      </c>
      <c r="B4250" s="3">
        <v>1498</v>
      </c>
      <c r="C4250" s="1" t="str">
        <f>HYPERLINK("http://www.uniprot.org/uniprot/CYSK_CITLA","CYSK_CITLA")</f>
        <v>CYSK_CITLA</v>
      </c>
      <c r="D4250" t="s">
        <v>1258</v>
      </c>
      <c r="E4250" s="3" t="s">
        <v>1259</v>
      </c>
      <c r="F4250" s="4">
        <v>6.33E-137</v>
      </c>
      <c r="G4250" s="3">
        <v>1041</v>
      </c>
      <c r="H4250" s="3">
        <v>86</v>
      </c>
      <c r="I4250" s="3">
        <v>256</v>
      </c>
      <c r="J4250" s="3">
        <v>305</v>
      </c>
      <c r="K4250" s="3">
        <v>1072</v>
      </c>
      <c r="L4250" s="3">
        <v>70</v>
      </c>
      <c r="M4250" s="3">
        <v>325</v>
      </c>
    </row>
    <row r="4251" spans="1:13" x14ac:dyDescent="0.25">
      <c r="A4251" s="1" t="str">
        <f>HYPERLINK("http://www.rosaceae.org/Prunus/Prunus_persica/p.persica_gdr_reftransV1_0023552","p.persica_gdr_reftransV1_0023552")</f>
        <v>p.persica_gdr_reftransV1_0023552</v>
      </c>
      <c r="B4251" s="3">
        <v>2053</v>
      </c>
      <c r="C4251" s="1" t="str">
        <f>HYPERLINK("http://www.uniprot.org/uniprot/SPXM3_ARATH","SPXM3_ARATH")</f>
        <v>SPXM3_ARATH</v>
      </c>
      <c r="D4251" t="s">
        <v>3779</v>
      </c>
      <c r="E4251" s="3" t="s">
        <v>3</v>
      </c>
      <c r="F4251" s="4">
        <v>0</v>
      </c>
      <c r="G4251" s="3">
        <v>2077</v>
      </c>
      <c r="H4251" s="3">
        <v>69</v>
      </c>
      <c r="I4251" s="3">
        <v>592</v>
      </c>
      <c r="J4251" s="3">
        <v>1</v>
      </c>
      <c r="K4251" s="3">
        <v>1761</v>
      </c>
      <c r="L4251" s="3">
        <v>1</v>
      </c>
      <c r="M4251" s="3">
        <v>585</v>
      </c>
    </row>
    <row r="4252" spans="1:13" x14ac:dyDescent="0.25">
      <c r="A4252" s="1" t="str">
        <f>HYPERLINK("http://www.rosaceae.org/Prunus/Prunus_persica/p.persica_gdr_reftransV1_0023902","p.persica_gdr_reftransV1_0023902")</f>
        <v>p.persica_gdr_reftransV1_0023902</v>
      </c>
      <c r="B4252" s="3">
        <v>2661</v>
      </c>
      <c r="C4252" s="1" t="str">
        <f>HYPERLINK("http://www.uniprot.org/uniprot/CAN2_ARATH","CAN2_ARATH")</f>
        <v>CAN2_ARATH</v>
      </c>
      <c r="D4252" t="s">
        <v>3780</v>
      </c>
      <c r="E4252" s="3" t="s">
        <v>3</v>
      </c>
      <c r="F4252" s="4">
        <v>1.1599999999999999E-117</v>
      </c>
      <c r="G4252" s="3">
        <v>683</v>
      </c>
      <c r="H4252" s="3">
        <v>71</v>
      </c>
      <c r="I4252" s="3">
        <v>199</v>
      </c>
      <c r="J4252" s="3">
        <v>1824</v>
      </c>
      <c r="K4252" s="3">
        <v>2417</v>
      </c>
      <c r="L4252" s="3">
        <v>12</v>
      </c>
      <c r="M4252" s="3">
        <v>207</v>
      </c>
    </row>
    <row r="4253" spans="1:13" x14ac:dyDescent="0.25">
      <c r="A4253" s="1" t="str">
        <f>HYPERLINK("http://www.rosaceae.org/Prunus/Prunus_persica/p.persica_gdr_reftransV1_0024152","p.persica_gdr_reftransV1_0024152")</f>
        <v>p.persica_gdr_reftransV1_0024152</v>
      </c>
      <c r="B4253" s="3">
        <v>1982</v>
      </c>
      <c r="C4253" s="1" t="str">
        <f>HYPERLINK("http://www.uniprot.org/uniprot/4CLLA_ARATH","4CLLA_ARATH")</f>
        <v>4CLLA_ARATH</v>
      </c>
      <c r="D4253" t="s">
        <v>3781</v>
      </c>
      <c r="E4253" s="3" t="s">
        <v>3</v>
      </c>
      <c r="F4253" s="4">
        <v>0</v>
      </c>
      <c r="G4253" s="3">
        <v>1980</v>
      </c>
      <c r="H4253" s="3">
        <v>76</v>
      </c>
      <c r="I4253" s="3">
        <v>513</v>
      </c>
      <c r="J4253" s="3">
        <v>57</v>
      </c>
      <c r="K4253" s="3">
        <v>1589</v>
      </c>
      <c r="L4253" s="3">
        <v>1</v>
      </c>
      <c r="M4253" s="3">
        <v>513</v>
      </c>
    </row>
    <row r="4254" spans="1:13" x14ac:dyDescent="0.25">
      <c r="A4254" s="1" t="str">
        <f>HYPERLINK("http://www.rosaceae.org/Prunus/Prunus_persica/p.persica_gdr_reftransV1_0024202","p.persica_gdr_reftransV1_0024202")</f>
        <v>p.persica_gdr_reftransV1_0024202</v>
      </c>
      <c r="B4254" s="3">
        <v>1727</v>
      </c>
      <c r="C4254" s="1" t="str">
        <f>HYPERLINK("http://www.uniprot.org/uniprot/NAPES_ARATH","NAPES_ARATH")</f>
        <v>NAPES_ARATH</v>
      </c>
      <c r="D4254" t="s">
        <v>3782</v>
      </c>
      <c r="E4254" s="3" t="s">
        <v>3</v>
      </c>
      <c r="F4254" s="4">
        <v>2.1700000000000001E-61</v>
      </c>
      <c r="G4254" s="3">
        <v>535</v>
      </c>
      <c r="H4254" s="3">
        <v>66</v>
      </c>
      <c r="I4254" s="3">
        <v>143</v>
      </c>
      <c r="J4254" s="3">
        <v>172</v>
      </c>
      <c r="K4254" s="3">
        <v>597</v>
      </c>
      <c r="L4254" s="3">
        <v>3</v>
      </c>
      <c r="M4254" s="3">
        <v>145</v>
      </c>
    </row>
    <row r="4255" spans="1:13" x14ac:dyDescent="0.25">
      <c r="A4255" s="1" t="str">
        <f>HYPERLINK("http://www.rosaceae.org/Prunus/Prunus_persica/p.persica_gdr_reftransV1_0024552","p.persica_gdr_reftransV1_0024552")</f>
        <v>p.persica_gdr_reftransV1_0024552</v>
      </c>
      <c r="B4255" s="3">
        <v>1162</v>
      </c>
      <c r="C4255" s="1" t="str">
        <f>HYPERLINK("http://www.uniprot.org/uniprot/THADA_CANFA","THADA_CANFA")</f>
        <v>THADA_CANFA</v>
      </c>
      <c r="D4255" t="s">
        <v>3783</v>
      </c>
      <c r="E4255" s="3" t="s">
        <v>2940</v>
      </c>
      <c r="F4255" s="4">
        <v>6.2099999999999995E-14</v>
      </c>
      <c r="G4255" s="3">
        <v>189</v>
      </c>
      <c r="H4255" s="3">
        <v>27</v>
      </c>
      <c r="I4255" s="3">
        <v>350</v>
      </c>
      <c r="J4255" s="3">
        <v>145</v>
      </c>
      <c r="K4255" s="3">
        <v>1104</v>
      </c>
      <c r="L4255" s="3">
        <v>869</v>
      </c>
      <c r="M4255" s="3">
        <v>1192</v>
      </c>
    </row>
    <row r="4256" spans="1:13" x14ac:dyDescent="0.25">
      <c r="A4256" s="1" t="str">
        <f>HYPERLINK("http://www.rosaceae.org/Prunus/Prunus_persica/p.persica_gdr_reftransV1_0025002","p.persica_gdr_reftransV1_0025002")</f>
        <v>p.persica_gdr_reftransV1_0025002</v>
      </c>
      <c r="B4256" s="3">
        <v>1054</v>
      </c>
      <c r="C4256" s="1" t="str">
        <f>HYPERLINK("http://www.uniprot.org/uniprot/ATL41_ORYSJ","ATL41_ORYSJ")</f>
        <v>ATL41_ORYSJ</v>
      </c>
      <c r="D4256" t="s">
        <v>3784</v>
      </c>
      <c r="E4256" s="3" t="s">
        <v>38</v>
      </c>
      <c r="F4256" s="4">
        <v>6.0100000000000003E-45</v>
      </c>
      <c r="G4256" s="3">
        <v>414</v>
      </c>
      <c r="H4256" s="3">
        <v>51</v>
      </c>
      <c r="I4256" s="3">
        <v>178</v>
      </c>
      <c r="J4256" s="3">
        <v>562</v>
      </c>
      <c r="K4256" s="3">
        <v>1053</v>
      </c>
      <c r="L4256" s="3">
        <v>1</v>
      </c>
      <c r="M4256" s="3">
        <v>178</v>
      </c>
    </row>
    <row r="4257" spans="1:13" x14ac:dyDescent="0.25">
      <c r="A4257" s="1" t="str">
        <f>HYPERLINK("http://www.rosaceae.org/Prunus/Prunus_persica/p.persica_gdr_reftransV1_0025052","p.persica_gdr_reftransV1_0025052")</f>
        <v>p.persica_gdr_reftransV1_0025052</v>
      </c>
      <c r="B4257" s="3">
        <v>3728</v>
      </c>
      <c r="C4257" s="1" t="str">
        <f>HYPERLINK("http://www.uniprot.org/uniprot/NRDE2_HUMAN","NRDE2_HUMAN")</f>
        <v>NRDE2_HUMAN</v>
      </c>
      <c r="D4257" t="s">
        <v>3785</v>
      </c>
      <c r="E4257" s="3" t="s">
        <v>28</v>
      </c>
      <c r="F4257" s="4">
        <v>2.41E-32</v>
      </c>
      <c r="G4257" s="3">
        <v>354</v>
      </c>
      <c r="H4257" s="3">
        <v>28</v>
      </c>
      <c r="I4257" s="3">
        <v>407</v>
      </c>
      <c r="J4257" s="3">
        <v>2182</v>
      </c>
      <c r="K4257" s="3">
        <v>3300</v>
      </c>
      <c r="L4257" s="3">
        <v>166</v>
      </c>
      <c r="M4257" s="3">
        <v>553</v>
      </c>
    </row>
    <row r="4258" spans="1:13" x14ac:dyDescent="0.25">
      <c r="A4258" s="1" t="str">
        <f>HYPERLINK("http://www.rosaceae.org/Prunus/Prunus_persica/p.persica_gdr_reftransV1_0025552","p.persica_gdr_reftransV1_0025552")</f>
        <v>p.persica_gdr_reftransV1_0025552</v>
      </c>
      <c r="B4258" s="3">
        <v>5176</v>
      </c>
      <c r="C4258" s="1" t="str">
        <f>HYPERLINK("http://www.uniprot.org/uniprot/PP4R3_XENLA","PP4R3_XENLA")</f>
        <v>PP4R3_XENLA</v>
      </c>
      <c r="D4258" t="s">
        <v>3786</v>
      </c>
      <c r="E4258" s="3" t="s">
        <v>475</v>
      </c>
      <c r="F4258" s="4">
        <v>3.15E-86</v>
      </c>
      <c r="G4258" s="3">
        <v>785</v>
      </c>
      <c r="H4258" s="3">
        <v>39</v>
      </c>
      <c r="I4258" s="3">
        <v>446</v>
      </c>
      <c r="J4258" s="3">
        <v>320</v>
      </c>
      <c r="K4258" s="3">
        <v>1597</v>
      </c>
      <c r="L4258" s="3">
        <v>2</v>
      </c>
      <c r="M4258" s="3">
        <v>444</v>
      </c>
    </row>
    <row r="4259" spans="1:13" x14ac:dyDescent="0.25">
      <c r="A4259" s="1" t="str">
        <f>HYPERLINK("http://www.rosaceae.org/Prunus/Prunus_persica/p.persica_gdr_reftransV1_0025852","p.persica_gdr_reftransV1_0025852")</f>
        <v>p.persica_gdr_reftransV1_0025852</v>
      </c>
      <c r="B4259" s="3">
        <v>1440</v>
      </c>
      <c r="C4259" s="1" t="str">
        <f>HYPERLINK("http://www.uniprot.org/uniprot/WDR82_DANRE","WDR82_DANRE")</f>
        <v>WDR82_DANRE</v>
      </c>
      <c r="D4259" t="s">
        <v>3787</v>
      </c>
      <c r="E4259" s="3" t="s">
        <v>704</v>
      </c>
      <c r="F4259" s="4">
        <v>1.4099999999999999E-81</v>
      </c>
      <c r="G4259" s="3">
        <v>669</v>
      </c>
      <c r="H4259" s="3">
        <v>41</v>
      </c>
      <c r="I4259" s="3">
        <v>312</v>
      </c>
      <c r="J4259" s="3">
        <v>419</v>
      </c>
      <c r="K4259" s="3">
        <v>1348</v>
      </c>
      <c r="L4259" s="3">
        <v>2</v>
      </c>
      <c r="M4259" s="3">
        <v>309</v>
      </c>
    </row>
    <row r="4260" spans="1:13" x14ac:dyDescent="0.25">
      <c r="A4260" s="1" t="str">
        <f>HYPERLINK("http://www.rosaceae.org/Prunus/Prunus_persica/p.persica_gdr_reftransV1_0025952","p.persica_gdr_reftransV1_0025952")</f>
        <v>p.persica_gdr_reftransV1_0025952</v>
      </c>
      <c r="B4260" s="3">
        <v>1634</v>
      </c>
      <c r="C4260" s="1" t="str">
        <f>HYPERLINK("http://www.uniprot.org/uniprot/MBR1_ARATH","MBR1_ARATH")</f>
        <v>MBR1_ARATH</v>
      </c>
      <c r="D4260" t="s">
        <v>2017</v>
      </c>
      <c r="E4260" s="3" t="s">
        <v>3</v>
      </c>
      <c r="F4260" s="4">
        <v>2.0100000000000001E-28</v>
      </c>
      <c r="G4260" s="3">
        <v>309</v>
      </c>
      <c r="H4260" s="3">
        <v>58</v>
      </c>
      <c r="I4260" s="3">
        <v>111</v>
      </c>
      <c r="J4260" s="3">
        <v>258</v>
      </c>
      <c r="K4260" s="3">
        <v>584</v>
      </c>
      <c r="L4260" s="3">
        <v>594</v>
      </c>
      <c r="M4260" s="3">
        <v>701</v>
      </c>
    </row>
    <row r="4261" spans="1:13" x14ac:dyDescent="0.25">
      <c r="A4261" s="1" t="str">
        <f>HYPERLINK("http://www.rosaceae.org/Prunus/Prunus_persica/p.persica_gdr_reftransV1_0026052","p.persica_gdr_reftransV1_0026052")</f>
        <v>p.persica_gdr_reftransV1_0026052</v>
      </c>
      <c r="B4261" s="3">
        <v>1178</v>
      </c>
      <c r="C4261" s="1" t="str">
        <f>HYPERLINK("http://www.uniprot.org/uniprot/PX11D_ARATH","PX11D_ARATH")</f>
        <v>PX11D_ARATH</v>
      </c>
      <c r="D4261" t="s">
        <v>3788</v>
      </c>
      <c r="E4261" s="3" t="s">
        <v>3</v>
      </c>
      <c r="F4261" s="4">
        <v>2.5000000000000002E-131</v>
      </c>
      <c r="G4261" s="3">
        <v>985</v>
      </c>
      <c r="H4261" s="3">
        <v>85</v>
      </c>
      <c r="I4261" s="3">
        <v>233</v>
      </c>
      <c r="J4261" s="3">
        <v>258</v>
      </c>
      <c r="K4261" s="3">
        <v>956</v>
      </c>
      <c r="L4261" s="3">
        <v>3</v>
      </c>
      <c r="M4261" s="3">
        <v>235</v>
      </c>
    </row>
    <row r="4262" spans="1:13" x14ac:dyDescent="0.25">
      <c r="A4262" s="1" t="str">
        <f>HYPERLINK("http://www.rosaceae.org/Prunus/Prunus_persica/p.persica_gdr_reftransV1_0026102","p.persica_gdr_reftransV1_0026102")</f>
        <v>p.persica_gdr_reftransV1_0026102</v>
      </c>
      <c r="B4262" s="3">
        <v>2973</v>
      </c>
      <c r="C4262" s="1" t="str">
        <f>HYPERLINK("http://www.uniprot.org/uniprot/MD15A_ARATH","MD15A_ARATH")</f>
        <v>MD15A_ARATH</v>
      </c>
      <c r="D4262" t="s">
        <v>3789</v>
      </c>
      <c r="E4262" s="3" t="s">
        <v>3</v>
      </c>
      <c r="F4262" s="4">
        <v>3.4299999999999999E-34</v>
      </c>
      <c r="G4262" s="3">
        <v>368</v>
      </c>
      <c r="H4262" s="3">
        <v>67</v>
      </c>
      <c r="I4262" s="3">
        <v>102</v>
      </c>
      <c r="J4262" s="3">
        <v>2656</v>
      </c>
      <c r="K4262" s="3">
        <v>2955</v>
      </c>
      <c r="L4262" s="3">
        <v>1</v>
      </c>
      <c r="M4262" s="3">
        <v>101</v>
      </c>
    </row>
    <row r="4263" spans="1:13" x14ac:dyDescent="0.25">
      <c r="A4263" s="1" t="str">
        <f>HYPERLINK("http://www.rosaceae.org/Prunus/Prunus_persica/p.persica_gdr_reftransV1_0026202","p.persica_gdr_reftransV1_0026202")</f>
        <v>p.persica_gdr_reftransV1_0026202</v>
      </c>
      <c r="B4263" s="3">
        <v>3450</v>
      </c>
      <c r="C4263" s="1" t="str">
        <f>HYPERLINK("http://www.uniprot.org/uniprot/HMA8_ARATH","HMA8_ARATH")</f>
        <v>HMA8_ARATH</v>
      </c>
      <c r="D4263" t="s">
        <v>3790</v>
      </c>
      <c r="E4263" s="3" t="s">
        <v>3</v>
      </c>
      <c r="F4263" s="4">
        <v>0</v>
      </c>
      <c r="G4263" s="3">
        <v>1625</v>
      </c>
      <c r="H4263" s="3">
        <v>77</v>
      </c>
      <c r="I4263" s="3">
        <v>416</v>
      </c>
      <c r="J4263" s="3">
        <v>1731</v>
      </c>
      <c r="K4263" s="3">
        <v>2978</v>
      </c>
      <c r="L4263" s="3">
        <v>74</v>
      </c>
      <c r="M4263" s="3">
        <v>487</v>
      </c>
    </row>
    <row r="4264" spans="1:13" x14ac:dyDescent="0.25">
      <c r="A4264" s="1" t="str">
        <f>HYPERLINK("http://www.rosaceae.org/Prunus/Prunus_persica/p.persica_gdr_reftransV1_0026352","p.persica_gdr_reftransV1_0026352")</f>
        <v>p.persica_gdr_reftransV1_0026352</v>
      </c>
      <c r="B4264" s="3">
        <v>1739</v>
      </c>
      <c r="C4264" s="1" t="str">
        <f>HYPERLINK("http://www.uniprot.org/uniprot/BCS1_SCHPO","BCS1_SCHPO")</f>
        <v>BCS1_SCHPO</v>
      </c>
      <c r="D4264" t="s">
        <v>779</v>
      </c>
      <c r="E4264" s="3" t="s">
        <v>464</v>
      </c>
      <c r="F4264" s="4">
        <v>1.1899999999999999E-26</v>
      </c>
      <c r="G4264" s="3">
        <v>291</v>
      </c>
      <c r="H4264" s="3">
        <v>34</v>
      </c>
      <c r="I4264" s="3">
        <v>210</v>
      </c>
      <c r="J4264" s="3">
        <v>577</v>
      </c>
      <c r="K4264" s="3">
        <v>1161</v>
      </c>
      <c r="L4264" s="3">
        <v>163</v>
      </c>
      <c r="M4264" s="3">
        <v>364</v>
      </c>
    </row>
    <row r="4265" spans="1:13" x14ac:dyDescent="0.25">
      <c r="A4265" s="1" t="str">
        <f>HYPERLINK("http://www.rosaceae.org/Prunus/Prunus_persica/p.persica_gdr_reftransV1_0026552","p.persica_gdr_reftransV1_0026552")</f>
        <v>p.persica_gdr_reftransV1_0026552</v>
      </c>
      <c r="B4265" s="3">
        <v>1899</v>
      </c>
      <c r="C4265" s="1" t="str">
        <f>HYPERLINK("http://www.uniprot.org/uniprot/LEUD3_ARATH","LEUD3_ARATH")</f>
        <v>LEUD3_ARATH</v>
      </c>
      <c r="D4265" t="s">
        <v>1456</v>
      </c>
      <c r="E4265" s="3" t="s">
        <v>3</v>
      </c>
      <c r="F4265" s="4">
        <v>1.3299999999999999E-85</v>
      </c>
      <c r="G4265" s="3">
        <v>702</v>
      </c>
      <c r="H4265" s="3">
        <v>67</v>
      </c>
      <c r="I4265" s="3">
        <v>253</v>
      </c>
      <c r="J4265" s="3">
        <v>196</v>
      </c>
      <c r="K4265" s="3">
        <v>945</v>
      </c>
      <c r="L4265" s="3">
        <v>1</v>
      </c>
      <c r="M4265" s="3">
        <v>248</v>
      </c>
    </row>
    <row r="4266" spans="1:13" x14ac:dyDescent="0.25">
      <c r="A4266" s="1" t="str">
        <f>HYPERLINK("http://www.rosaceae.org/Prunus/Prunus_persica/p.persica_gdr_reftransV1_0026852","p.persica_gdr_reftransV1_0026852")</f>
        <v>p.persica_gdr_reftransV1_0026852</v>
      </c>
      <c r="B4266" s="3">
        <v>3558</v>
      </c>
      <c r="C4266" s="1" t="str">
        <f>HYPERLINK("http://www.uniprot.org/uniprot/PP416_ARATH","PP416_ARATH")</f>
        <v>PP416_ARATH</v>
      </c>
      <c r="D4266" t="s">
        <v>3791</v>
      </c>
      <c r="E4266" s="3" t="s">
        <v>3</v>
      </c>
      <c r="F4266" s="4">
        <v>0</v>
      </c>
      <c r="G4266" s="3">
        <v>1642</v>
      </c>
      <c r="H4266" s="3">
        <v>57</v>
      </c>
      <c r="I4266" s="3">
        <v>535</v>
      </c>
      <c r="J4266" s="3">
        <v>229</v>
      </c>
      <c r="K4266" s="3">
        <v>1830</v>
      </c>
      <c r="L4266" s="3">
        <v>24</v>
      </c>
      <c r="M4266" s="3">
        <v>546</v>
      </c>
    </row>
    <row r="4267" spans="1:13" x14ac:dyDescent="0.25">
      <c r="A4267" s="1" t="str">
        <f>HYPERLINK("http://www.rosaceae.org/Prunus/Prunus_persica/p.persica_gdr_reftransV1_0027752","p.persica_gdr_reftransV1_0027752")</f>
        <v>p.persica_gdr_reftransV1_0027752</v>
      </c>
      <c r="B4267" s="3">
        <v>2992</v>
      </c>
      <c r="C4267" s="1" t="str">
        <f>HYPERLINK("http://www.uniprot.org/uniprot/AT18H_ARATH","AT18H_ARATH")</f>
        <v>AT18H_ARATH</v>
      </c>
      <c r="D4267" t="s">
        <v>3792</v>
      </c>
      <c r="E4267" s="3" t="s">
        <v>3</v>
      </c>
      <c r="F4267" s="4">
        <v>0</v>
      </c>
      <c r="G4267" s="3">
        <v>1895</v>
      </c>
      <c r="H4267" s="3">
        <v>55</v>
      </c>
      <c r="I4267" s="3">
        <v>820</v>
      </c>
      <c r="J4267" s="3">
        <v>34</v>
      </c>
      <c r="K4267" s="3">
        <v>2481</v>
      </c>
      <c r="L4267" s="3">
        <v>173</v>
      </c>
      <c r="M4267" s="3">
        <v>927</v>
      </c>
    </row>
    <row r="4268" spans="1:13" x14ac:dyDescent="0.25">
      <c r="A4268" s="1" t="str">
        <f>HYPERLINK("http://www.rosaceae.org/Prunus/Prunus_persica/p.persica_gdr_reftransV1_0027852","p.persica_gdr_reftransV1_0027852")</f>
        <v>p.persica_gdr_reftransV1_0027852</v>
      </c>
      <c r="B4268" s="3">
        <v>2493</v>
      </c>
      <c r="C4268" s="1" t="str">
        <f>HYPERLINK("http://www.uniprot.org/uniprot/ZDHC1_ARATH","ZDHC1_ARATH")</f>
        <v>ZDHC1_ARATH</v>
      </c>
      <c r="D4268" t="s">
        <v>3612</v>
      </c>
      <c r="E4268" s="3" t="s">
        <v>3</v>
      </c>
      <c r="F4268" s="4">
        <v>1.6400000000000001E-89</v>
      </c>
      <c r="G4268" s="3">
        <v>770</v>
      </c>
      <c r="H4268" s="3">
        <v>74</v>
      </c>
      <c r="I4268" s="3">
        <v>284</v>
      </c>
      <c r="J4268" s="3">
        <v>3</v>
      </c>
      <c r="K4268" s="3">
        <v>830</v>
      </c>
      <c r="L4268" s="3">
        <v>219</v>
      </c>
      <c r="M4268" s="3">
        <v>500</v>
      </c>
    </row>
    <row r="4269" spans="1:13" x14ac:dyDescent="0.25">
      <c r="A4269" s="1" t="str">
        <f>HYPERLINK("http://www.rosaceae.org/Prunus/Prunus_persica/p.persica_gdr_reftransV1_0028252","p.persica_gdr_reftransV1_0028252")</f>
        <v>p.persica_gdr_reftransV1_0028252</v>
      </c>
      <c r="B4269" s="3">
        <v>1558</v>
      </c>
      <c r="C4269" s="1" t="str">
        <f>HYPERLINK("http://www.uniprot.org/uniprot/RS174_ARATH","RS174_ARATH")</f>
        <v>RS174_ARATH</v>
      </c>
      <c r="D4269" t="s">
        <v>3793</v>
      </c>
      <c r="E4269" s="3" t="s">
        <v>3</v>
      </c>
      <c r="F4269" s="4">
        <v>2.5800000000000001E-62</v>
      </c>
      <c r="G4269" s="3">
        <v>525</v>
      </c>
      <c r="H4269" s="3">
        <v>87</v>
      </c>
      <c r="I4269" s="3">
        <v>128</v>
      </c>
      <c r="J4269" s="3">
        <v>824</v>
      </c>
      <c r="K4269" s="3">
        <v>1204</v>
      </c>
      <c r="L4269" s="3">
        <v>1</v>
      </c>
      <c r="M4269" s="3">
        <v>128</v>
      </c>
    </row>
    <row r="4270" spans="1:13" x14ac:dyDescent="0.25">
      <c r="A4270" s="1" t="str">
        <f>HYPERLINK("http://www.rosaceae.org/Prunus/Prunus_persica/p.persica_gdr_reftransV1_0028352","p.persica_gdr_reftransV1_0028352")</f>
        <v>p.persica_gdr_reftransV1_0028352</v>
      </c>
      <c r="B4270" s="3">
        <v>2881</v>
      </c>
      <c r="C4270" s="1" t="str">
        <f>HYPERLINK("http://www.uniprot.org/uniprot/CERK1_ARATH","CERK1_ARATH")</f>
        <v>CERK1_ARATH</v>
      </c>
      <c r="D4270" t="s">
        <v>3794</v>
      </c>
      <c r="E4270" s="3" t="s">
        <v>3</v>
      </c>
      <c r="F4270" s="4">
        <v>4.3699999999999999E-110</v>
      </c>
      <c r="G4270" s="3">
        <v>923</v>
      </c>
      <c r="H4270" s="3">
        <v>74</v>
      </c>
      <c r="I4270" s="3">
        <v>248</v>
      </c>
      <c r="J4270" s="3">
        <v>233</v>
      </c>
      <c r="K4270" s="3">
        <v>973</v>
      </c>
      <c r="L4270" s="3">
        <v>375</v>
      </c>
      <c r="M4270" s="3">
        <v>617</v>
      </c>
    </row>
    <row r="4271" spans="1:13" x14ac:dyDescent="0.25">
      <c r="A4271" s="1" t="str">
        <f>HYPERLINK("http://www.rosaceae.org/Prunus/Prunus_persica/p.persica_gdr_reftransV1_0029102","p.persica_gdr_reftransV1_0029102")</f>
        <v>p.persica_gdr_reftransV1_0029102</v>
      </c>
      <c r="B4271" s="3">
        <v>2238</v>
      </c>
      <c r="C4271" s="1" t="str">
        <f>HYPERLINK("http://www.uniprot.org/uniprot/PP258_ARATH","PP258_ARATH")</f>
        <v>PP258_ARATH</v>
      </c>
      <c r="D4271" t="s">
        <v>45</v>
      </c>
      <c r="E4271" s="3" t="s">
        <v>3</v>
      </c>
      <c r="F4271" s="4">
        <v>0</v>
      </c>
      <c r="G4271" s="3">
        <v>1757</v>
      </c>
      <c r="H4271" s="3">
        <v>67</v>
      </c>
      <c r="I4271" s="3">
        <v>461</v>
      </c>
      <c r="J4271" s="3">
        <v>793</v>
      </c>
      <c r="K4271" s="3">
        <v>2169</v>
      </c>
      <c r="L4271" s="3">
        <v>199</v>
      </c>
      <c r="M4271" s="3">
        <v>659</v>
      </c>
    </row>
    <row r="4272" spans="1:13" x14ac:dyDescent="0.25">
      <c r="A4272" s="1" t="str">
        <f>HYPERLINK("http://www.rosaceae.org/Prunus/Prunus_persica/p.persica_gdr_reftransV1_0029452","p.persica_gdr_reftransV1_0029452")</f>
        <v>p.persica_gdr_reftransV1_0029452</v>
      </c>
      <c r="B4272" s="3">
        <v>2304</v>
      </c>
      <c r="C4272" s="1" t="str">
        <f>HYPERLINK("http://www.uniprot.org/uniprot/DNAJ2_AQUAE","DNAJ2_AQUAE")</f>
        <v>DNAJ2_AQUAE</v>
      </c>
      <c r="D4272" t="s">
        <v>3795</v>
      </c>
      <c r="E4272" s="3" t="s">
        <v>863</v>
      </c>
      <c r="F4272" s="4">
        <v>1.2100000000000001E-8</v>
      </c>
      <c r="G4272" s="3">
        <v>148</v>
      </c>
      <c r="H4272" s="3">
        <v>43</v>
      </c>
      <c r="I4272" s="3">
        <v>60</v>
      </c>
      <c r="J4272" s="3">
        <v>868</v>
      </c>
      <c r="K4272" s="3">
        <v>1047</v>
      </c>
      <c r="L4272" s="3">
        <v>10</v>
      </c>
      <c r="M4272" s="3">
        <v>69</v>
      </c>
    </row>
    <row r="4273" spans="1:13" x14ac:dyDescent="0.25">
      <c r="A4273" s="1" t="str">
        <f>HYPERLINK("http://www.rosaceae.org/Prunus/Prunus_persica/p.persica_gdr_reftransV1_0029552","p.persica_gdr_reftransV1_0029552")</f>
        <v>p.persica_gdr_reftransV1_0029552</v>
      </c>
      <c r="B4273" s="3">
        <v>1955</v>
      </c>
      <c r="C4273" s="1" t="str">
        <f>HYPERLINK("http://www.uniprot.org/uniprot/STR8_ARATH","STR8_ARATH")</f>
        <v>STR8_ARATH</v>
      </c>
      <c r="D4273" t="s">
        <v>3796</v>
      </c>
      <c r="E4273" s="3" t="s">
        <v>3</v>
      </c>
      <c r="F4273" s="4">
        <v>2.1E-175</v>
      </c>
      <c r="G4273" s="3">
        <v>1323</v>
      </c>
      <c r="H4273" s="3">
        <v>66</v>
      </c>
      <c r="I4273" s="3">
        <v>366</v>
      </c>
      <c r="J4273" s="3">
        <v>306</v>
      </c>
      <c r="K4273" s="3">
        <v>1373</v>
      </c>
      <c r="L4273" s="3">
        <v>79</v>
      </c>
      <c r="M4273" s="3">
        <v>444</v>
      </c>
    </row>
    <row r="4274" spans="1:13" x14ac:dyDescent="0.25">
      <c r="A4274" s="1" t="str">
        <f>HYPERLINK("http://www.rosaceae.org/Prunus/Prunus_persica/p.persica_gdr_reftransV1_0029602","p.persica_gdr_reftransV1_0029602")</f>
        <v>p.persica_gdr_reftransV1_0029602</v>
      </c>
      <c r="B4274" s="3">
        <v>1586</v>
      </c>
      <c r="C4274" s="1" t="str">
        <f>HYPERLINK("http://www.uniprot.org/uniprot/SIL10_ARATH","SIL10_ARATH")</f>
        <v>SIL10_ARATH</v>
      </c>
      <c r="D4274" t="s">
        <v>3797</v>
      </c>
      <c r="E4274" s="3" t="s">
        <v>3</v>
      </c>
      <c r="F4274" s="4">
        <v>2.4499999999999999E-45</v>
      </c>
      <c r="G4274" s="3">
        <v>425</v>
      </c>
      <c r="H4274" s="3">
        <v>43</v>
      </c>
      <c r="I4274" s="3">
        <v>237</v>
      </c>
      <c r="J4274" s="3">
        <v>568</v>
      </c>
      <c r="K4274" s="3">
        <v>1272</v>
      </c>
      <c r="L4274" s="3">
        <v>104</v>
      </c>
      <c r="M4274" s="3">
        <v>339</v>
      </c>
    </row>
    <row r="4275" spans="1:13" x14ac:dyDescent="0.25">
      <c r="A4275" s="1" t="str">
        <f>HYPERLINK("http://www.rosaceae.org/Prunus/Prunus_persica/p.persica_gdr_reftransV1_0029902","p.persica_gdr_reftransV1_0029902")</f>
        <v>p.persica_gdr_reftransV1_0029902</v>
      </c>
      <c r="B4275" s="3">
        <v>472</v>
      </c>
      <c r="C4275" s="1" t="str">
        <f>HYPERLINK("http://www.uniprot.org/uniprot/FAD3C_SOYBN","FAD3C_SOYBN")</f>
        <v>FAD3C_SOYBN</v>
      </c>
      <c r="D4275" t="s">
        <v>3798</v>
      </c>
      <c r="E4275" s="3" t="s">
        <v>307</v>
      </c>
      <c r="F4275" s="4">
        <v>8.61E-47</v>
      </c>
      <c r="G4275" s="3">
        <v>413</v>
      </c>
      <c r="H4275" s="3">
        <v>61</v>
      </c>
      <c r="I4275" s="3">
        <v>121</v>
      </c>
      <c r="J4275" s="3">
        <v>109</v>
      </c>
      <c r="K4275" s="3">
        <v>471</v>
      </c>
      <c r="L4275" s="3">
        <v>67</v>
      </c>
      <c r="M4275" s="3">
        <v>187</v>
      </c>
    </row>
    <row r="4276" spans="1:13" x14ac:dyDescent="0.25">
      <c r="A4276" s="1" t="str">
        <f>HYPERLINK("http://www.rosaceae.org/Prunus/Prunus_persica/p.persica_gdr_reftransV1_0030302","p.persica_gdr_reftransV1_0030302")</f>
        <v>p.persica_gdr_reftransV1_0030302</v>
      </c>
      <c r="B4276" s="3">
        <v>1192</v>
      </c>
      <c r="C4276" s="1" t="str">
        <f>HYPERLINK("http://www.uniprot.org/uniprot/NFD4_ARATH","NFD4_ARATH")</f>
        <v>NFD4_ARATH</v>
      </c>
      <c r="D4276" t="s">
        <v>404</v>
      </c>
      <c r="E4276" s="3" t="s">
        <v>3</v>
      </c>
      <c r="F4276" s="4">
        <v>2.84E-7</v>
      </c>
      <c r="G4276" s="3">
        <v>134</v>
      </c>
      <c r="H4276" s="3">
        <v>24</v>
      </c>
      <c r="I4276" s="3">
        <v>228</v>
      </c>
      <c r="J4276" s="3">
        <v>488</v>
      </c>
      <c r="K4276" s="3">
        <v>1165</v>
      </c>
      <c r="L4276" s="3">
        <v>346</v>
      </c>
      <c r="M4276" s="3">
        <v>563</v>
      </c>
    </row>
    <row r="4277" spans="1:13" x14ac:dyDescent="0.25">
      <c r="A4277" s="1" t="str">
        <f>HYPERLINK("http://www.rosaceae.org/Prunus/Prunus_persica/p.persica_gdr_reftransV1_0030402","p.persica_gdr_reftransV1_0030402")</f>
        <v>p.persica_gdr_reftransV1_0030402</v>
      </c>
      <c r="B4277" s="3">
        <v>4721</v>
      </c>
      <c r="C4277" s="1" t="str">
        <f>HYPERLINK("http://www.uniprot.org/uniprot/PUB33_ARATH","PUB33_ARATH")</f>
        <v>PUB33_ARATH</v>
      </c>
      <c r="D4277" t="s">
        <v>1298</v>
      </c>
      <c r="E4277" s="3" t="s">
        <v>3</v>
      </c>
      <c r="F4277" s="4">
        <v>1.4E-129</v>
      </c>
      <c r="G4277" s="3">
        <v>1106</v>
      </c>
      <c r="H4277" s="3">
        <v>36</v>
      </c>
      <c r="I4277" s="3">
        <v>743</v>
      </c>
      <c r="J4277" s="3">
        <v>2250</v>
      </c>
      <c r="K4277" s="3">
        <v>4364</v>
      </c>
      <c r="L4277" s="3">
        <v>45</v>
      </c>
      <c r="M4277" s="3">
        <v>773</v>
      </c>
    </row>
    <row r="4278" spans="1:13" x14ac:dyDescent="0.25">
      <c r="A4278" s="1" t="str">
        <f>HYPERLINK("http://www.rosaceae.org/Prunus/Prunus_persica/p.persica_gdr_reftransV1_0030902","p.persica_gdr_reftransV1_0030902")</f>
        <v>p.persica_gdr_reftransV1_0030902</v>
      </c>
      <c r="B4278" s="3">
        <v>421</v>
      </c>
      <c r="C4278" s="1" t="str">
        <f>HYPERLINK("http://www.uniprot.org/uniprot/TCS1_CAMSI","TCS1_CAMSI")</f>
        <v>TCS1_CAMSI</v>
      </c>
      <c r="D4278" t="s">
        <v>3799</v>
      </c>
      <c r="E4278" s="3" t="s">
        <v>3800</v>
      </c>
      <c r="F4278" s="4">
        <v>3.3300000000000001E-39</v>
      </c>
      <c r="G4278" s="3">
        <v>354</v>
      </c>
      <c r="H4278" s="3">
        <v>56</v>
      </c>
      <c r="I4278" s="3">
        <v>135</v>
      </c>
      <c r="J4278" s="3">
        <v>16</v>
      </c>
      <c r="K4278" s="3">
        <v>420</v>
      </c>
      <c r="L4278" s="3">
        <v>101</v>
      </c>
      <c r="M4278" s="3">
        <v>227</v>
      </c>
    </row>
    <row r="4279" spans="1:13" x14ac:dyDescent="0.25">
      <c r="A4279" s="1" t="str">
        <f>HYPERLINK("http://www.rosaceae.org/Prunus/Prunus_persica/p.persica_gdr_reftransV1_0031202","p.persica_gdr_reftransV1_0031202")</f>
        <v>p.persica_gdr_reftransV1_0031202</v>
      </c>
      <c r="B4279" s="3">
        <v>1753</v>
      </c>
      <c r="C4279" s="1" t="str">
        <f>HYPERLINK("http://www.uniprot.org/uniprot/TM120_DICDI","TM120_DICDI")</f>
        <v>TM120_DICDI</v>
      </c>
      <c r="D4279" t="s">
        <v>3801</v>
      </c>
      <c r="E4279" s="3" t="s">
        <v>9</v>
      </c>
      <c r="F4279" s="4">
        <v>4.9199999999999999E-23</v>
      </c>
      <c r="G4279" s="3">
        <v>260</v>
      </c>
      <c r="H4279" s="3">
        <v>36</v>
      </c>
      <c r="I4279" s="3">
        <v>187</v>
      </c>
      <c r="J4279" s="3">
        <v>674</v>
      </c>
      <c r="K4279" s="3">
        <v>1222</v>
      </c>
      <c r="L4279" s="3">
        <v>118</v>
      </c>
      <c r="M4279" s="3">
        <v>285</v>
      </c>
    </row>
    <row r="4280" spans="1:13" x14ac:dyDescent="0.25">
      <c r="A4280" s="1" t="str">
        <f>HYPERLINK("http://www.rosaceae.org/Prunus/Prunus_persica/p.persica_gdr_reftransV1_0031352","p.persica_gdr_reftransV1_0031352")</f>
        <v>p.persica_gdr_reftransV1_0031352</v>
      </c>
      <c r="B4280" s="3">
        <v>2729</v>
      </c>
      <c r="C4280" s="1" t="str">
        <f>HYPERLINK("http://www.uniprot.org/uniprot/APC2_ARATH","APC2_ARATH")</f>
        <v>APC2_ARATH</v>
      </c>
      <c r="D4280" t="s">
        <v>3802</v>
      </c>
      <c r="E4280" s="3" t="s">
        <v>3</v>
      </c>
      <c r="F4280" s="4">
        <v>0</v>
      </c>
      <c r="G4280" s="3">
        <v>1684</v>
      </c>
      <c r="H4280" s="3">
        <v>74</v>
      </c>
      <c r="I4280" s="3">
        <v>476</v>
      </c>
      <c r="J4280" s="3">
        <v>1203</v>
      </c>
      <c r="K4280" s="3">
        <v>2630</v>
      </c>
      <c r="L4280" s="3">
        <v>214</v>
      </c>
      <c r="M4280" s="3">
        <v>646</v>
      </c>
    </row>
    <row r="4281" spans="1:13" x14ac:dyDescent="0.25">
      <c r="A4281" s="1" t="str">
        <f>HYPERLINK("http://www.rosaceae.org/Prunus/Prunus_persica/p.persica_gdr_reftransV1_0031552","p.persica_gdr_reftransV1_0031552")</f>
        <v>p.persica_gdr_reftransV1_0031552</v>
      </c>
      <c r="B4281" s="3">
        <v>3780</v>
      </c>
      <c r="C4281" s="1" t="str">
        <f>HYPERLINK("http://www.uniprot.org/uniprot/YTCJ_BACSU","YTCJ_BACSU")</f>
        <v>YTCJ_BACSU</v>
      </c>
      <c r="D4281" t="s">
        <v>3803</v>
      </c>
      <c r="E4281" s="3" t="s">
        <v>1630</v>
      </c>
      <c r="F4281" s="4">
        <v>1.0900000000000001E-41</v>
      </c>
      <c r="G4281" s="3">
        <v>421</v>
      </c>
      <c r="H4281" s="3">
        <v>34</v>
      </c>
      <c r="I4281" s="3">
        <v>348</v>
      </c>
      <c r="J4281" s="3">
        <v>2544</v>
      </c>
      <c r="K4281" s="3">
        <v>3554</v>
      </c>
      <c r="L4281" s="3">
        <v>10</v>
      </c>
      <c r="M4281" s="3">
        <v>339</v>
      </c>
    </row>
    <row r="4282" spans="1:13" x14ac:dyDescent="0.25">
      <c r="A4282" s="1" t="str">
        <f>HYPERLINK("http://www.rosaceae.org/Prunus/Prunus_persica/p.persica_gdr_reftransV1_0032052","p.persica_gdr_reftransV1_0032052")</f>
        <v>p.persica_gdr_reftransV1_0032052</v>
      </c>
      <c r="B4282" s="3">
        <v>2022</v>
      </c>
      <c r="C4282" s="1" t="str">
        <f>HYPERLINK("http://www.uniprot.org/uniprot/PCP_PONAB","PCP_PONAB")</f>
        <v>PCP_PONAB</v>
      </c>
      <c r="D4282" t="s">
        <v>3804</v>
      </c>
      <c r="E4282" s="3" t="s">
        <v>176</v>
      </c>
      <c r="F4282" s="4">
        <v>7.1899999999999999E-101</v>
      </c>
      <c r="G4282" s="3">
        <v>787</v>
      </c>
      <c r="H4282" s="3">
        <v>41</v>
      </c>
      <c r="I4282" s="3">
        <v>370</v>
      </c>
      <c r="J4282" s="3">
        <v>148</v>
      </c>
      <c r="K4282" s="3">
        <v>1233</v>
      </c>
      <c r="L4282" s="3">
        <v>129</v>
      </c>
      <c r="M4282" s="3">
        <v>489</v>
      </c>
    </row>
    <row r="4283" spans="1:13" x14ac:dyDescent="0.25">
      <c r="A4283" s="1" t="str">
        <f>HYPERLINK("http://www.rosaceae.org/Prunus/Prunus_persica/p.persica_gdr_reftransV1_0032202","p.persica_gdr_reftransV1_0032202")</f>
        <v>p.persica_gdr_reftransV1_0032202</v>
      </c>
      <c r="B4283" s="3">
        <v>3141</v>
      </c>
      <c r="C4283" s="1" t="str">
        <f>HYPERLINK("http://www.uniprot.org/uniprot/RIN2_ARATH","RIN2_ARATH")</f>
        <v>RIN2_ARATH</v>
      </c>
      <c r="D4283" t="s">
        <v>3805</v>
      </c>
      <c r="E4283" s="3" t="s">
        <v>3</v>
      </c>
      <c r="F4283" s="4">
        <v>3.3099999999999998E-168</v>
      </c>
      <c r="G4283" s="3">
        <v>1026</v>
      </c>
      <c r="H4283" s="3">
        <v>73</v>
      </c>
      <c r="I4283" s="3">
        <v>266</v>
      </c>
      <c r="J4283" s="3">
        <v>910</v>
      </c>
      <c r="K4283" s="3">
        <v>1707</v>
      </c>
      <c r="L4283" s="3">
        <v>176</v>
      </c>
      <c r="M4283" s="3">
        <v>437</v>
      </c>
    </row>
    <row r="4284" spans="1:13" x14ac:dyDescent="0.25">
      <c r="A4284" s="1" t="str">
        <f>HYPERLINK("http://www.rosaceae.org/Prunus/Prunus_persica/p.persica_gdr_reftransV1_0032252","p.persica_gdr_reftransV1_0032252")</f>
        <v>p.persica_gdr_reftransV1_0032252</v>
      </c>
      <c r="B4284" s="3">
        <v>3184</v>
      </c>
      <c r="C4284" s="1" t="str">
        <f>HYPERLINK("http://www.uniprot.org/uniprot/CBPD_LOPSP","CBPD_LOPSP")</f>
        <v>CBPD_LOPSP</v>
      </c>
      <c r="D4284" t="s">
        <v>3806</v>
      </c>
      <c r="E4284" s="3" t="s">
        <v>3807</v>
      </c>
      <c r="F4284" s="4">
        <v>1.4000000000000001E-76</v>
      </c>
      <c r="G4284" s="3">
        <v>669</v>
      </c>
      <c r="H4284" s="3">
        <v>43</v>
      </c>
      <c r="I4284" s="3">
        <v>337</v>
      </c>
      <c r="J4284" s="3">
        <v>1825</v>
      </c>
      <c r="K4284" s="3">
        <v>2775</v>
      </c>
      <c r="L4284" s="3">
        <v>14</v>
      </c>
      <c r="M4284" s="3">
        <v>345</v>
      </c>
    </row>
    <row r="4285" spans="1:13" x14ac:dyDescent="0.25">
      <c r="A4285" s="1" t="str">
        <f>HYPERLINK("http://www.rosaceae.org/Prunus/Prunus_persica/p.persica_gdr_reftransV1_0032302","p.persica_gdr_reftransV1_0032302")</f>
        <v>p.persica_gdr_reftransV1_0032302</v>
      </c>
      <c r="B4285" s="3">
        <v>2872</v>
      </c>
      <c r="C4285" s="1" t="str">
        <f>HYPERLINK("http://www.uniprot.org/uniprot/TPR4_ARATH","TPR4_ARATH")</f>
        <v>TPR4_ARATH</v>
      </c>
      <c r="D4285" t="s">
        <v>3003</v>
      </c>
      <c r="E4285" s="3" t="s">
        <v>3</v>
      </c>
      <c r="F4285" s="4">
        <v>0</v>
      </c>
      <c r="G4285" s="3">
        <v>3509</v>
      </c>
      <c r="H4285" s="3">
        <v>76</v>
      </c>
      <c r="I4285" s="3">
        <v>894</v>
      </c>
      <c r="J4285" s="3">
        <v>209</v>
      </c>
      <c r="K4285" s="3">
        <v>2872</v>
      </c>
      <c r="L4285" s="3">
        <v>1</v>
      </c>
      <c r="M4285" s="3">
        <v>892</v>
      </c>
    </row>
    <row r="4286" spans="1:13" x14ac:dyDescent="0.25">
      <c r="A4286" s="1" t="str">
        <f>HYPERLINK("http://www.rosaceae.org/Prunus/Prunus_persica/p.persica_gdr_reftransV1_0032452","p.persica_gdr_reftransV1_0032452")</f>
        <v>p.persica_gdr_reftransV1_0032452</v>
      </c>
      <c r="B4286" s="3">
        <v>1498</v>
      </c>
      <c r="C4286" s="1" t="str">
        <f>HYPERLINK("http://www.uniprot.org/uniprot/RBOHC_SOLTU","RBOHC_SOLTU")</f>
        <v>RBOHC_SOLTU</v>
      </c>
      <c r="D4286" t="s">
        <v>2265</v>
      </c>
      <c r="E4286" s="3" t="s">
        <v>11</v>
      </c>
      <c r="F4286" s="4">
        <v>2.1599999999999999E-161</v>
      </c>
      <c r="G4286" s="3">
        <v>1258</v>
      </c>
      <c r="H4286" s="3">
        <v>76</v>
      </c>
      <c r="I4286" s="3">
        <v>301</v>
      </c>
      <c r="J4286" s="3">
        <v>2</v>
      </c>
      <c r="K4286" s="3">
        <v>883</v>
      </c>
      <c r="L4286" s="3">
        <v>638</v>
      </c>
      <c r="M4286" s="3">
        <v>938</v>
      </c>
    </row>
    <row r="4287" spans="1:13" x14ac:dyDescent="0.25">
      <c r="A4287" s="1" t="str">
        <f>HYPERLINK("http://www.rosaceae.org/Prunus/Prunus_persica/p.persica_gdr_reftransV1_0032502","p.persica_gdr_reftransV1_0032502")</f>
        <v>p.persica_gdr_reftransV1_0032502</v>
      </c>
      <c r="B4287" s="3">
        <v>1793</v>
      </c>
      <c r="C4287" s="1" t="str">
        <f>HYPERLINK("http://www.uniprot.org/uniprot/SKI11_ARATH","SKI11_ARATH")</f>
        <v>SKI11_ARATH</v>
      </c>
      <c r="D4287" t="s">
        <v>247</v>
      </c>
      <c r="E4287" s="3" t="s">
        <v>3</v>
      </c>
      <c r="F4287" s="4">
        <v>6.4100000000000003E-50</v>
      </c>
      <c r="G4287" s="3">
        <v>468</v>
      </c>
      <c r="H4287" s="3">
        <v>51</v>
      </c>
      <c r="I4287" s="3">
        <v>227</v>
      </c>
      <c r="J4287" s="3">
        <v>11</v>
      </c>
      <c r="K4287" s="3">
        <v>598</v>
      </c>
      <c r="L4287" s="3">
        <v>1</v>
      </c>
      <c r="M4287" s="3">
        <v>222</v>
      </c>
    </row>
    <row r="4288" spans="1:13" x14ac:dyDescent="0.25">
      <c r="A4288" s="1" t="str">
        <f>HYPERLINK("http://www.rosaceae.org/Prunus/Prunus_persica/p.persica_gdr_reftransV1_0032852","p.persica_gdr_reftransV1_0032852")</f>
        <v>p.persica_gdr_reftransV1_0032852</v>
      </c>
      <c r="B4288" s="3">
        <v>1761</v>
      </c>
      <c r="C4288" s="1" t="str">
        <f>HYPERLINK("http://www.uniprot.org/uniprot/UTP11_ORYSJ","UTP11_ORYSJ")</f>
        <v>UTP11_ORYSJ</v>
      </c>
      <c r="D4288" t="s">
        <v>3808</v>
      </c>
      <c r="E4288" s="3" t="s">
        <v>38</v>
      </c>
      <c r="F4288" s="4">
        <v>1.6600000000000001E-60</v>
      </c>
      <c r="G4288" s="3">
        <v>525</v>
      </c>
      <c r="H4288" s="3">
        <v>74</v>
      </c>
      <c r="I4288" s="3">
        <v>141</v>
      </c>
      <c r="J4288" s="3">
        <v>1014</v>
      </c>
      <c r="K4288" s="3">
        <v>1436</v>
      </c>
      <c r="L4288" s="3">
        <v>1</v>
      </c>
      <c r="M4288" s="3">
        <v>141</v>
      </c>
    </row>
    <row r="4289" spans="1:13" x14ac:dyDescent="0.25">
      <c r="A4289" s="1" t="str">
        <f>HYPERLINK("http://www.rosaceae.org/Prunus/Prunus_persica/p.persica_gdr_reftransV1_0032952","p.persica_gdr_reftransV1_0032952")</f>
        <v>p.persica_gdr_reftransV1_0032952</v>
      </c>
      <c r="B4289" s="3">
        <v>1604</v>
      </c>
      <c r="C4289" s="1" t="str">
        <f>HYPERLINK("http://www.uniprot.org/uniprot/PP334_ARATH","PP334_ARATH")</f>
        <v>PP334_ARATH</v>
      </c>
      <c r="D4289" t="s">
        <v>168</v>
      </c>
      <c r="E4289" s="3" t="s">
        <v>3</v>
      </c>
      <c r="F4289" s="4">
        <v>3.2699999999999999E-152</v>
      </c>
      <c r="G4289" s="3">
        <v>1162</v>
      </c>
      <c r="H4289" s="3">
        <v>51</v>
      </c>
      <c r="I4289" s="3">
        <v>463</v>
      </c>
      <c r="J4289" s="3">
        <v>92</v>
      </c>
      <c r="K4289" s="3">
        <v>1459</v>
      </c>
      <c r="L4289" s="3">
        <v>27</v>
      </c>
      <c r="M4289" s="3">
        <v>489</v>
      </c>
    </row>
    <row r="4290" spans="1:13" x14ac:dyDescent="0.25">
      <c r="A4290" s="1" t="str">
        <f>HYPERLINK("http://www.rosaceae.org/Prunus/Prunus_persica/p.persica_gdr_reftransV1_0033002","p.persica_gdr_reftransV1_0033002")</f>
        <v>p.persica_gdr_reftransV1_0033002</v>
      </c>
      <c r="B4290" s="3">
        <v>964</v>
      </c>
      <c r="C4290" s="1" t="str">
        <f>HYPERLINK("http://www.uniprot.org/uniprot/CX32_ARATH","CX32_ARATH")</f>
        <v>CX32_ARATH</v>
      </c>
      <c r="D4290" t="s">
        <v>1141</v>
      </c>
      <c r="E4290" s="3" t="s">
        <v>3</v>
      </c>
      <c r="F4290" s="4">
        <v>1.1599999999999999E-101</v>
      </c>
      <c r="G4290" s="3">
        <v>798</v>
      </c>
      <c r="H4290" s="3">
        <v>57</v>
      </c>
      <c r="I4290" s="3">
        <v>256</v>
      </c>
      <c r="J4290" s="3">
        <v>195</v>
      </c>
      <c r="K4290" s="3">
        <v>962</v>
      </c>
      <c r="L4290" s="3">
        <v>132</v>
      </c>
      <c r="M4290" s="3">
        <v>378</v>
      </c>
    </row>
    <row r="4291" spans="1:13" x14ac:dyDescent="0.25">
      <c r="A4291" s="1" t="str">
        <f>HYPERLINK("http://www.rosaceae.org/Prunus/Prunus_persica/p.persica_gdr_reftransV1_0033102","p.persica_gdr_reftransV1_0033102")</f>
        <v>p.persica_gdr_reftransV1_0033102</v>
      </c>
      <c r="B4291" s="3">
        <v>2994</v>
      </c>
      <c r="C4291" s="1" t="str">
        <f>HYPERLINK("http://www.uniprot.org/uniprot/PP116_ARATH","PP116_ARATH")</f>
        <v>PP116_ARATH</v>
      </c>
      <c r="D4291" t="s">
        <v>3809</v>
      </c>
      <c r="E4291" s="3" t="s">
        <v>3</v>
      </c>
      <c r="F4291" s="4">
        <v>0</v>
      </c>
      <c r="G4291" s="3">
        <v>2226</v>
      </c>
      <c r="H4291" s="3">
        <v>63</v>
      </c>
      <c r="I4291" s="3">
        <v>655</v>
      </c>
      <c r="J4291" s="3">
        <v>862</v>
      </c>
      <c r="K4291" s="3">
        <v>2826</v>
      </c>
      <c r="L4291" s="3">
        <v>6</v>
      </c>
      <c r="M4291" s="3">
        <v>660</v>
      </c>
    </row>
    <row r="4292" spans="1:13" x14ac:dyDescent="0.25">
      <c r="A4292" s="1" t="str">
        <f>HYPERLINK("http://www.rosaceae.org/Prunus/Prunus_persica/p.persica_gdr_reftransV1_0033352","p.persica_gdr_reftransV1_0033352")</f>
        <v>p.persica_gdr_reftransV1_0033352</v>
      </c>
      <c r="B4292" s="3">
        <v>2325</v>
      </c>
      <c r="C4292" s="1" t="str">
        <f>HYPERLINK("http://www.uniprot.org/uniprot/MTPC2_ARATH","MTPC2_ARATH")</f>
        <v>MTPC2_ARATH</v>
      </c>
      <c r="D4292" t="s">
        <v>3810</v>
      </c>
      <c r="E4292" s="3" t="s">
        <v>3</v>
      </c>
      <c r="F4292" s="4">
        <v>3.3699999999999999E-77</v>
      </c>
      <c r="G4292" s="3">
        <v>491</v>
      </c>
      <c r="H4292" s="3">
        <v>77</v>
      </c>
      <c r="I4292" s="3">
        <v>111</v>
      </c>
      <c r="J4292" s="3">
        <v>237</v>
      </c>
      <c r="K4292" s="3">
        <v>569</v>
      </c>
      <c r="L4292" s="3">
        <v>281</v>
      </c>
      <c r="M4292" s="3">
        <v>391</v>
      </c>
    </row>
    <row r="4293" spans="1:13" x14ac:dyDescent="0.25">
      <c r="A4293" s="1" t="str">
        <f>HYPERLINK("http://www.rosaceae.org/Prunus/Prunus_persica/p.persica_gdr_reftransV1_0033402","p.persica_gdr_reftransV1_0033402")</f>
        <v>p.persica_gdr_reftransV1_0033402</v>
      </c>
      <c r="B4293" s="3">
        <v>2207</v>
      </c>
      <c r="C4293" s="1" t="str">
        <f>HYPERLINK("http://www.uniprot.org/uniprot/CCR12_ARATH","CCR12_ARATH")</f>
        <v>CCR12_ARATH</v>
      </c>
      <c r="D4293" t="s">
        <v>3811</v>
      </c>
      <c r="E4293" s="3" t="s">
        <v>3</v>
      </c>
      <c r="F4293" s="4">
        <v>9.58E-120</v>
      </c>
      <c r="G4293" s="3">
        <v>961</v>
      </c>
      <c r="H4293" s="3">
        <v>51</v>
      </c>
      <c r="I4293" s="3">
        <v>474</v>
      </c>
      <c r="J4293" s="3">
        <v>467</v>
      </c>
      <c r="K4293" s="3">
        <v>1843</v>
      </c>
      <c r="L4293" s="3">
        <v>1</v>
      </c>
      <c r="M4293" s="3">
        <v>461</v>
      </c>
    </row>
    <row r="4294" spans="1:13" x14ac:dyDescent="0.25">
      <c r="A4294" s="1" t="str">
        <f>HYPERLINK("http://www.rosaceae.org/Prunus/Prunus_persica/p.persica_gdr_reftransV1_0033552","p.persica_gdr_reftransV1_0033552")</f>
        <v>p.persica_gdr_reftransV1_0033552</v>
      </c>
      <c r="B4294" s="3">
        <v>2582</v>
      </c>
      <c r="C4294" s="1" t="str">
        <f>HYPERLINK("http://www.uniprot.org/uniprot/S35D2_MOUSE","S35D2_MOUSE")</f>
        <v>S35D2_MOUSE</v>
      </c>
      <c r="D4294" t="s">
        <v>3812</v>
      </c>
      <c r="E4294" s="3" t="s">
        <v>157</v>
      </c>
      <c r="F4294" s="4">
        <v>7.9199999999999995E-8</v>
      </c>
      <c r="G4294" s="3">
        <v>141</v>
      </c>
      <c r="H4294" s="3">
        <v>29</v>
      </c>
      <c r="I4294" s="3">
        <v>143</v>
      </c>
      <c r="J4294" s="3">
        <v>253</v>
      </c>
      <c r="K4294" s="3">
        <v>672</v>
      </c>
      <c r="L4294" s="3">
        <v>18</v>
      </c>
      <c r="M4294" s="3">
        <v>143</v>
      </c>
    </row>
    <row r="4295" spans="1:13" x14ac:dyDescent="0.25">
      <c r="A4295" s="1" t="str">
        <f>HYPERLINK("http://www.rosaceae.org/Prunus/Prunus_persica/p.persica_gdr_reftransV1_0034102","p.persica_gdr_reftransV1_0034102")</f>
        <v>p.persica_gdr_reftransV1_0034102</v>
      </c>
      <c r="B4295" s="3">
        <v>2508</v>
      </c>
      <c r="C4295" s="1" t="str">
        <f>HYPERLINK("http://www.uniprot.org/uniprot/VEP1_ARATH","VEP1_ARATH")</f>
        <v>VEP1_ARATH</v>
      </c>
      <c r="D4295" t="s">
        <v>3813</v>
      </c>
      <c r="E4295" s="3" t="s">
        <v>3</v>
      </c>
      <c r="F4295" s="4">
        <v>9.3199999999999995E-150</v>
      </c>
      <c r="G4295" s="3">
        <v>1163</v>
      </c>
      <c r="H4295" s="3">
        <v>73</v>
      </c>
      <c r="I4295" s="3">
        <v>291</v>
      </c>
      <c r="J4295" s="3">
        <v>1634</v>
      </c>
      <c r="K4295" s="3">
        <v>2506</v>
      </c>
      <c r="L4295" s="3">
        <v>13</v>
      </c>
      <c r="M4295" s="3">
        <v>300</v>
      </c>
    </row>
    <row r="4296" spans="1:13" x14ac:dyDescent="0.25">
      <c r="A4296" s="1" t="str">
        <f>HYPERLINK("http://www.rosaceae.org/Prunus/Prunus_persica/p.persica_gdr_reftransV1_0035002","p.persica_gdr_reftransV1_0035002")</f>
        <v>p.persica_gdr_reftransV1_0035002</v>
      </c>
      <c r="B4296" s="3">
        <v>1908</v>
      </c>
      <c r="C4296" s="1" t="str">
        <f>HYPERLINK("http://www.uniprot.org/uniprot/BH121_ARATH","BH121_ARATH")</f>
        <v>BH121_ARATH</v>
      </c>
      <c r="D4296" t="s">
        <v>3814</v>
      </c>
      <c r="E4296" s="3" t="s">
        <v>3</v>
      </c>
      <c r="F4296" s="4">
        <v>3.3800000000000002E-47</v>
      </c>
      <c r="G4296" s="3">
        <v>339</v>
      </c>
      <c r="H4296" s="3">
        <v>55</v>
      </c>
      <c r="I4296" s="3">
        <v>158</v>
      </c>
      <c r="J4296" s="3">
        <v>575</v>
      </c>
      <c r="K4296" s="3">
        <v>1030</v>
      </c>
      <c r="L4296" s="3">
        <v>127</v>
      </c>
      <c r="M4296" s="3">
        <v>276</v>
      </c>
    </row>
    <row r="4297" spans="1:13" x14ac:dyDescent="0.25">
      <c r="A4297" s="1" t="str">
        <f>HYPERLINK("http://www.rosaceae.org/Prunus/Prunus_persica/p.persica_gdr_reftransV1_0035152","p.persica_gdr_reftransV1_0035152")</f>
        <v>p.persica_gdr_reftransV1_0035152</v>
      </c>
      <c r="B4297" s="3">
        <v>3355</v>
      </c>
      <c r="C4297" s="1" t="str">
        <f>HYPERLINK("http://www.uniprot.org/uniprot/C3H22_ORYSJ","C3H22_ORYSJ")</f>
        <v>C3H22_ORYSJ</v>
      </c>
      <c r="D4297" t="s">
        <v>3815</v>
      </c>
      <c r="E4297" s="3" t="s">
        <v>38</v>
      </c>
      <c r="F4297" s="4">
        <v>9.0699999999999998E-99</v>
      </c>
      <c r="G4297" s="3">
        <v>857</v>
      </c>
      <c r="H4297" s="3">
        <v>44</v>
      </c>
      <c r="I4297" s="3">
        <v>559</v>
      </c>
      <c r="J4297" s="3">
        <v>1145</v>
      </c>
      <c r="K4297" s="3">
        <v>2731</v>
      </c>
      <c r="L4297" s="3">
        <v>149</v>
      </c>
      <c r="M4297" s="3">
        <v>631</v>
      </c>
    </row>
    <row r="4298" spans="1:13" x14ac:dyDescent="0.25">
      <c r="A4298" s="1" t="str">
        <f>HYPERLINK("http://www.rosaceae.org/Prunus/Prunus_persica/p.persica_gdr_reftransV1_0035502","p.persica_gdr_reftransV1_0035502")</f>
        <v>p.persica_gdr_reftransV1_0035502</v>
      </c>
      <c r="B4298" s="3">
        <v>481</v>
      </c>
      <c r="C4298" s="1" t="str">
        <f>HYPERLINK("http://www.uniprot.org/uniprot/TBCB_ARATH","TBCB_ARATH")</f>
        <v>TBCB_ARATH</v>
      </c>
      <c r="D4298" t="s">
        <v>3816</v>
      </c>
      <c r="E4298" s="3" t="s">
        <v>3</v>
      </c>
      <c r="F4298" s="4">
        <v>2.3400000000000001E-63</v>
      </c>
      <c r="G4298" s="3">
        <v>511</v>
      </c>
      <c r="H4298" s="3">
        <v>67</v>
      </c>
      <c r="I4298" s="3">
        <v>138</v>
      </c>
      <c r="J4298" s="3">
        <v>1</v>
      </c>
      <c r="K4298" s="3">
        <v>414</v>
      </c>
      <c r="L4298" s="3">
        <v>1</v>
      </c>
      <c r="M4298" s="3">
        <v>138</v>
      </c>
    </row>
    <row r="4299" spans="1:13" x14ac:dyDescent="0.25">
      <c r="A4299" s="1" t="str">
        <f>HYPERLINK("http://www.rosaceae.org/Prunus/Prunus_persica/p.persica_gdr_reftransV1_0035652","p.persica_gdr_reftransV1_0035652")</f>
        <v>p.persica_gdr_reftransV1_0035652</v>
      </c>
      <c r="B4299" s="3">
        <v>1810</v>
      </c>
      <c r="C4299" s="1" t="str">
        <f>HYPERLINK("http://www.uniprot.org/uniprot/Y1523_ARATH","Y1523_ARATH")</f>
        <v>Y1523_ARATH</v>
      </c>
      <c r="D4299" t="s">
        <v>3817</v>
      </c>
      <c r="E4299" s="3" t="s">
        <v>3</v>
      </c>
      <c r="F4299" s="4">
        <v>0</v>
      </c>
      <c r="G4299" s="3">
        <v>1460</v>
      </c>
      <c r="H4299" s="3">
        <v>69</v>
      </c>
      <c r="I4299" s="3">
        <v>425</v>
      </c>
      <c r="J4299" s="3">
        <v>1</v>
      </c>
      <c r="K4299" s="3">
        <v>1266</v>
      </c>
      <c r="L4299" s="3">
        <v>50</v>
      </c>
      <c r="M4299" s="3">
        <v>471</v>
      </c>
    </row>
    <row r="4300" spans="1:13" x14ac:dyDescent="0.25">
      <c r="A4300" s="1" t="str">
        <f>HYPERLINK("http://www.rosaceae.org/Prunus/Prunus_persica/p.persica_gdr_reftransV1_0035752","p.persica_gdr_reftransV1_0035752")</f>
        <v>p.persica_gdr_reftransV1_0035752</v>
      </c>
      <c r="B4300" s="3">
        <v>2518</v>
      </c>
      <c r="C4300" s="1" t="str">
        <f>HYPERLINK("http://www.uniprot.org/uniprot/TI10A_ARATH","TI10A_ARATH")</f>
        <v>TI10A_ARATH</v>
      </c>
      <c r="D4300" t="s">
        <v>3818</v>
      </c>
      <c r="E4300" s="3" t="s">
        <v>3</v>
      </c>
      <c r="F4300" s="4">
        <v>2.44E-8</v>
      </c>
      <c r="G4300" s="3">
        <v>142</v>
      </c>
      <c r="H4300" s="3">
        <v>55</v>
      </c>
      <c r="I4300" s="3">
        <v>55</v>
      </c>
      <c r="J4300" s="3">
        <v>1010</v>
      </c>
      <c r="K4300" s="3">
        <v>1174</v>
      </c>
      <c r="L4300" s="3">
        <v>108</v>
      </c>
      <c r="M4300" s="3">
        <v>162</v>
      </c>
    </row>
    <row r="4301" spans="1:13" x14ac:dyDescent="0.25">
      <c r="A4301" s="1" t="str">
        <f>HYPERLINK("http://www.rosaceae.org/Prunus/Prunus_persica/p.persica_gdr_reftransV1_0036302","p.persica_gdr_reftransV1_0036302")</f>
        <v>p.persica_gdr_reftransV1_0036302</v>
      </c>
      <c r="B4301" s="3">
        <v>980</v>
      </c>
      <c r="C4301" s="1" t="str">
        <f>HYPERLINK("http://www.uniprot.org/uniprot/PR40A_ARATH","PR40A_ARATH")</f>
        <v>PR40A_ARATH</v>
      </c>
      <c r="D4301" t="s">
        <v>51</v>
      </c>
      <c r="E4301" s="3" t="s">
        <v>3</v>
      </c>
      <c r="F4301" s="4">
        <v>3.9400000000000003E-17</v>
      </c>
      <c r="G4301" s="3">
        <v>211</v>
      </c>
      <c r="H4301" s="3">
        <v>68</v>
      </c>
      <c r="I4301" s="3">
        <v>57</v>
      </c>
      <c r="J4301" s="3">
        <v>694</v>
      </c>
      <c r="K4301" s="3">
        <v>864</v>
      </c>
      <c r="L4301" s="3">
        <v>747</v>
      </c>
      <c r="M4301" s="3">
        <v>803</v>
      </c>
    </row>
    <row r="4302" spans="1:13" x14ac:dyDescent="0.25">
      <c r="A4302" s="1" t="str">
        <f>HYPERLINK("http://www.rosaceae.org/Prunus/Prunus_persica/p.persica_gdr_reftransV1_0038002","p.persica_gdr_reftransV1_0038002")</f>
        <v>p.persica_gdr_reftransV1_0038002</v>
      </c>
      <c r="B4302" s="3">
        <v>1272</v>
      </c>
      <c r="C4302" s="1" t="str">
        <f>HYPERLINK("http://www.uniprot.org/uniprot/ERF03_ARATH","ERF03_ARATH")</f>
        <v>ERF03_ARATH</v>
      </c>
      <c r="D4302" t="s">
        <v>3819</v>
      </c>
      <c r="E4302" s="3" t="s">
        <v>3</v>
      </c>
      <c r="F4302" s="4">
        <v>5.3799999999999996E-51</v>
      </c>
      <c r="G4302" s="3">
        <v>445</v>
      </c>
      <c r="H4302" s="3">
        <v>65</v>
      </c>
      <c r="I4302" s="3">
        <v>195</v>
      </c>
      <c r="J4302" s="3">
        <v>236</v>
      </c>
      <c r="K4302" s="3">
        <v>820</v>
      </c>
      <c r="L4302" s="3">
        <v>1</v>
      </c>
      <c r="M4302" s="3">
        <v>181</v>
      </c>
    </row>
    <row r="4303" spans="1:13" x14ac:dyDescent="0.25">
      <c r="A4303" s="1" t="str">
        <f>HYPERLINK("http://www.rosaceae.org/Prunus/Prunus_persica/p.persica_gdr_reftransV1_0038052","p.persica_gdr_reftransV1_0038052")</f>
        <v>p.persica_gdr_reftransV1_0038052</v>
      </c>
      <c r="B4303" s="3">
        <v>3442</v>
      </c>
      <c r="C4303" s="1" t="str">
        <f>HYPERLINK("http://www.uniprot.org/uniprot/Y5371_ARATH","Y5371_ARATH")</f>
        <v>Y5371_ARATH</v>
      </c>
      <c r="D4303" t="s">
        <v>3820</v>
      </c>
      <c r="E4303" s="3" t="s">
        <v>3</v>
      </c>
      <c r="F4303" s="4">
        <v>1.4800000000000001E-131</v>
      </c>
      <c r="G4303" s="3">
        <v>1082</v>
      </c>
      <c r="H4303" s="3">
        <v>58</v>
      </c>
      <c r="I4303" s="3">
        <v>361</v>
      </c>
      <c r="J4303" s="3">
        <v>699</v>
      </c>
      <c r="K4303" s="3">
        <v>1781</v>
      </c>
      <c r="L4303" s="3">
        <v>43</v>
      </c>
      <c r="M4303" s="3">
        <v>378</v>
      </c>
    </row>
    <row r="4304" spans="1:13" x14ac:dyDescent="0.25">
      <c r="A4304" s="1" t="str">
        <f>HYPERLINK("http://www.rosaceae.org/Prunus/Prunus_persica/p.persica_gdr_reftransV1_0038102","p.persica_gdr_reftransV1_0038102")</f>
        <v>p.persica_gdr_reftransV1_0038102</v>
      </c>
      <c r="B4304" s="3">
        <v>3800</v>
      </c>
      <c r="C4304" s="1" t="str">
        <f>HYPERLINK("http://www.uniprot.org/uniprot/RPK2_ARATH","RPK2_ARATH")</f>
        <v>RPK2_ARATH</v>
      </c>
      <c r="D4304" t="s">
        <v>3168</v>
      </c>
      <c r="E4304" s="3" t="s">
        <v>3</v>
      </c>
      <c r="F4304" s="4">
        <v>0</v>
      </c>
      <c r="G4304" s="3">
        <v>3089</v>
      </c>
      <c r="H4304" s="3">
        <v>58</v>
      </c>
      <c r="I4304" s="3">
        <v>1117</v>
      </c>
      <c r="J4304" s="3">
        <v>281</v>
      </c>
      <c r="K4304" s="3">
        <v>3586</v>
      </c>
      <c r="L4304" s="3">
        <v>45</v>
      </c>
      <c r="M4304" s="3">
        <v>1150</v>
      </c>
    </row>
    <row r="4305" spans="1:13" x14ac:dyDescent="0.25">
      <c r="A4305" s="1" t="str">
        <f>HYPERLINK("http://www.rosaceae.org/Prunus/Prunus_persica/p.persica_gdr_reftransV1_0038202","p.persica_gdr_reftransV1_0038202")</f>
        <v>p.persica_gdr_reftransV1_0038202</v>
      </c>
      <c r="B4305" s="3">
        <v>3347</v>
      </c>
      <c r="C4305" s="1" t="str">
        <f>HYPERLINK("http://www.uniprot.org/uniprot/MAON_SOLTU","MAON_SOLTU")</f>
        <v>MAON_SOLTU</v>
      </c>
      <c r="D4305" t="s">
        <v>3821</v>
      </c>
      <c r="E4305" s="3" t="s">
        <v>11</v>
      </c>
      <c r="F4305" s="4">
        <v>0</v>
      </c>
      <c r="G4305" s="3">
        <v>1522</v>
      </c>
      <c r="H4305" s="3">
        <v>85</v>
      </c>
      <c r="I4305" s="3">
        <v>407</v>
      </c>
      <c r="J4305" s="3">
        <v>334</v>
      </c>
      <c r="K4305" s="3">
        <v>1548</v>
      </c>
      <c r="L4305" s="3">
        <v>22</v>
      </c>
      <c r="M4305" s="3">
        <v>425</v>
      </c>
    </row>
    <row r="4306" spans="1:13" x14ac:dyDescent="0.25">
      <c r="A4306" s="1" t="str">
        <f>HYPERLINK("http://www.rosaceae.org/Prunus/Prunus_persica/p.persica_gdr_reftransV1_0038352","p.persica_gdr_reftransV1_0038352")</f>
        <v>p.persica_gdr_reftransV1_0038352</v>
      </c>
      <c r="B4306" s="3">
        <v>1316</v>
      </c>
      <c r="C4306" s="1" t="str">
        <f>HYPERLINK("http://www.uniprot.org/uniprot/CCMH_ORYSI","CCMH_ORYSI")</f>
        <v>CCMH_ORYSI</v>
      </c>
      <c r="D4306" t="s">
        <v>3822</v>
      </c>
      <c r="E4306" s="3" t="s">
        <v>38</v>
      </c>
      <c r="F4306" s="4">
        <v>6.7899999999999999E-80</v>
      </c>
      <c r="G4306" s="3">
        <v>639</v>
      </c>
      <c r="H4306" s="3">
        <v>76</v>
      </c>
      <c r="I4306" s="3">
        <v>153</v>
      </c>
      <c r="J4306" s="3">
        <v>296</v>
      </c>
      <c r="K4306" s="3">
        <v>754</v>
      </c>
      <c r="L4306" s="3">
        <v>1</v>
      </c>
      <c r="M4306" s="3">
        <v>148</v>
      </c>
    </row>
    <row r="4307" spans="1:13" x14ac:dyDescent="0.25">
      <c r="A4307" s="1" t="str">
        <f>HYPERLINK("http://www.rosaceae.org/Prunus/Prunus_persica/p.persica_gdr_reftransV1_0038502","p.persica_gdr_reftransV1_0038502")</f>
        <v>p.persica_gdr_reftransV1_0038502</v>
      </c>
      <c r="B4307" s="3">
        <v>1786</v>
      </c>
      <c r="C4307" s="1" t="str">
        <f>HYPERLINK("http://www.uniprot.org/uniprot/VATL_GOSHI","VATL_GOSHI")</f>
        <v>VATL_GOSHI</v>
      </c>
      <c r="D4307" t="s">
        <v>3823</v>
      </c>
      <c r="E4307" s="3" t="s">
        <v>816</v>
      </c>
      <c r="F4307" s="4">
        <v>5.6500000000000002E-47</v>
      </c>
      <c r="G4307" s="3">
        <v>424</v>
      </c>
      <c r="H4307" s="3">
        <v>98</v>
      </c>
      <c r="I4307" s="3">
        <v>123</v>
      </c>
      <c r="J4307" s="3">
        <v>1409</v>
      </c>
      <c r="K4307" s="3">
        <v>1777</v>
      </c>
      <c r="L4307" s="3">
        <v>2</v>
      </c>
      <c r="M4307" s="3">
        <v>124</v>
      </c>
    </row>
    <row r="4308" spans="1:13" x14ac:dyDescent="0.25">
      <c r="A4308" s="1" t="str">
        <f>HYPERLINK("http://www.rosaceae.org/Prunus/Prunus_persica/p.persica_gdr_reftransV1_0039002","p.persica_gdr_reftransV1_0039002")</f>
        <v>p.persica_gdr_reftransV1_0039002</v>
      </c>
      <c r="B4308" s="3">
        <v>1355</v>
      </c>
      <c r="C4308" s="1" t="str">
        <f>HYPERLINK("http://www.uniprot.org/uniprot/MGST3_MOUSE","MGST3_MOUSE")</f>
        <v>MGST3_MOUSE</v>
      </c>
      <c r="D4308" t="s">
        <v>3824</v>
      </c>
      <c r="E4308" s="3" t="s">
        <v>157</v>
      </c>
      <c r="F4308" s="4">
        <v>9.1E-17</v>
      </c>
      <c r="G4308" s="3">
        <v>200</v>
      </c>
      <c r="H4308" s="3">
        <v>46</v>
      </c>
      <c r="I4308" s="3">
        <v>114</v>
      </c>
      <c r="J4308" s="3">
        <v>126</v>
      </c>
      <c r="K4308" s="3">
        <v>467</v>
      </c>
      <c r="L4308" s="3">
        <v>1</v>
      </c>
      <c r="M4308" s="3">
        <v>112</v>
      </c>
    </row>
    <row r="4309" spans="1:13" x14ac:dyDescent="0.25">
      <c r="A4309" s="1" t="str">
        <f>HYPERLINK("http://www.rosaceae.org/Prunus/Prunus_persica/p.persica_gdr_reftransV1_0039052","p.persica_gdr_reftransV1_0039052")</f>
        <v>p.persica_gdr_reftransV1_0039052</v>
      </c>
      <c r="B4309" s="3">
        <v>3261</v>
      </c>
      <c r="C4309" s="1" t="str">
        <f>HYPERLINK("http://www.uniprot.org/uniprot/Y5520_ARATH","Y5520_ARATH")</f>
        <v>Y5520_ARATH</v>
      </c>
      <c r="D4309" t="s">
        <v>1522</v>
      </c>
      <c r="E4309" s="3" t="s">
        <v>3</v>
      </c>
      <c r="F4309" s="4">
        <v>1.01E-18</v>
      </c>
      <c r="G4309" s="3">
        <v>235</v>
      </c>
      <c r="H4309" s="3">
        <v>43</v>
      </c>
      <c r="I4309" s="3">
        <v>104</v>
      </c>
      <c r="J4309" s="3">
        <v>2282</v>
      </c>
      <c r="K4309" s="3">
        <v>2590</v>
      </c>
      <c r="L4309" s="3">
        <v>136</v>
      </c>
      <c r="M4309" s="3">
        <v>239</v>
      </c>
    </row>
    <row r="4310" spans="1:13" x14ac:dyDescent="0.25">
      <c r="A4310" s="1" t="str">
        <f>HYPERLINK("http://www.rosaceae.org/Prunus/Prunus_persica/p.persica_gdr_reftransV1_0039152","p.persica_gdr_reftransV1_0039152")</f>
        <v>p.persica_gdr_reftransV1_0039152</v>
      </c>
      <c r="B4310" s="3">
        <v>2181</v>
      </c>
      <c r="C4310" s="1" t="str">
        <f>HYPERLINK("http://www.uniprot.org/uniprot/SCW1_SCHPO","SCW1_SCHPO")</f>
        <v>SCW1_SCHPO</v>
      </c>
      <c r="D4310" t="s">
        <v>3825</v>
      </c>
      <c r="E4310" s="3" t="s">
        <v>464</v>
      </c>
      <c r="F4310" s="4">
        <v>1.3799999999999999E-15</v>
      </c>
      <c r="G4310" s="3">
        <v>207</v>
      </c>
      <c r="H4310" s="3">
        <v>44</v>
      </c>
      <c r="I4310" s="3">
        <v>87</v>
      </c>
      <c r="J4310" s="3">
        <v>1128</v>
      </c>
      <c r="K4310" s="3">
        <v>1388</v>
      </c>
      <c r="L4310" s="3">
        <v>422</v>
      </c>
      <c r="M4310" s="3">
        <v>508</v>
      </c>
    </row>
    <row r="4311" spans="1:13" x14ac:dyDescent="0.25">
      <c r="A4311" s="1" t="str">
        <f>HYPERLINK("http://www.rosaceae.org/Prunus/Prunus_persica/p.persica_gdr_reftransV1_0039202","p.persica_gdr_reftransV1_0039202")</f>
        <v>p.persica_gdr_reftransV1_0039202</v>
      </c>
      <c r="B4311" s="3">
        <v>5239</v>
      </c>
      <c r="C4311" s="1" t="str">
        <f>HYPERLINK("http://www.uniprot.org/uniprot/YGI3_SCHPO","YGI3_SCHPO")</f>
        <v>YGI3_SCHPO</v>
      </c>
      <c r="D4311" t="s">
        <v>567</v>
      </c>
      <c r="E4311" s="3" t="s">
        <v>464</v>
      </c>
      <c r="F4311" s="4">
        <v>1.0599999999999999E-23</v>
      </c>
      <c r="G4311" s="3">
        <v>274</v>
      </c>
      <c r="H4311" s="3">
        <v>45</v>
      </c>
      <c r="I4311" s="3">
        <v>119</v>
      </c>
      <c r="J4311" s="3">
        <v>4402</v>
      </c>
      <c r="K4311" s="3">
        <v>4758</v>
      </c>
      <c r="L4311" s="3">
        <v>299</v>
      </c>
      <c r="M4311" s="3">
        <v>416</v>
      </c>
    </row>
    <row r="4312" spans="1:13" x14ac:dyDescent="0.25">
      <c r="A4312" s="1" t="str">
        <f>HYPERLINK("http://www.rosaceae.org/Prunus/Prunus_persica/p.persica_gdr_reftransV1_0040102","p.persica_gdr_reftransV1_0040102")</f>
        <v>p.persica_gdr_reftransV1_0040102</v>
      </c>
      <c r="B4312" s="3">
        <v>1082</v>
      </c>
      <c r="C4312" s="1" t="str">
        <f>HYPERLINK("http://www.uniprot.org/uniprot/NET3C_ARATH","NET3C_ARATH")</f>
        <v>NET3C_ARATH</v>
      </c>
      <c r="D4312" t="s">
        <v>3826</v>
      </c>
      <c r="E4312" s="3" t="s">
        <v>3</v>
      </c>
      <c r="F4312" s="4">
        <v>9.2900000000000005E-30</v>
      </c>
      <c r="G4312" s="3">
        <v>297</v>
      </c>
      <c r="H4312" s="3">
        <v>42</v>
      </c>
      <c r="I4312" s="3">
        <v>245</v>
      </c>
      <c r="J4312" s="3">
        <v>109</v>
      </c>
      <c r="K4312" s="3">
        <v>825</v>
      </c>
      <c r="L4312" s="3">
        <v>5</v>
      </c>
      <c r="M4312" s="3">
        <v>215</v>
      </c>
    </row>
    <row r="4313" spans="1:13" x14ac:dyDescent="0.25">
      <c r="A4313" s="1" t="str">
        <f>HYPERLINK("http://www.rosaceae.org/Prunus/Prunus_persica/p.persica_gdr_reftransV1_0040202","p.persica_gdr_reftransV1_0040202")</f>
        <v>p.persica_gdr_reftransV1_0040202</v>
      </c>
      <c r="B4313" s="3">
        <v>1278</v>
      </c>
      <c r="C4313" s="1" t="str">
        <f>HYPERLINK("http://www.uniprot.org/uniprot/PAP8_ARATH","PAP8_ARATH")</f>
        <v>PAP8_ARATH</v>
      </c>
      <c r="D4313" t="s">
        <v>3827</v>
      </c>
      <c r="E4313" s="3" t="s">
        <v>3</v>
      </c>
      <c r="F4313" s="4">
        <v>3.6400000000000003E-43</v>
      </c>
      <c r="G4313" s="3">
        <v>396</v>
      </c>
      <c r="H4313" s="3">
        <v>57</v>
      </c>
      <c r="I4313" s="3">
        <v>168</v>
      </c>
      <c r="J4313" s="3">
        <v>120</v>
      </c>
      <c r="K4313" s="3">
        <v>614</v>
      </c>
      <c r="L4313" s="3">
        <v>15</v>
      </c>
      <c r="M4313" s="3">
        <v>177</v>
      </c>
    </row>
    <row r="4314" spans="1:13" x14ac:dyDescent="0.25">
      <c r="A4314" s="1" t="str">
        <f>HYPERLINK("http://www.rosaceae.org/Prunus/Prunus_persica/p.persica_gdr_reftransV1_0040502","p.persica_gdr_reftransV1_0040502")</f>
        <v>p.persica_gdr_reftransV1_0040502</v>
      </c>
      <c r="B4314" s="3">
        <v>3825</v>
      </c>
      <c r="C4314" s="1" t="str">
        <f>HYPERLINK("http://www.uniprot.org/uniprot/COPIA_DROME","COPIA_DROME")</f>
        <v>COPIA_DROME</v>
      </c>
      <c r="D4314" t="s">
        <v>478</v>
      </c>
      <c r="E4314" s="3" t="s">
        <v>5</v>
      </c>
      <c r="F4314" s="4">
        <v>8.1799999999999999E-103</v>
      </c>
      <c r="G4314" s="3">
        <v>929</v>
      </c>
      <c r="H4314" s="3">
        <v>36</v>
      </c>
      <c r="I4314" s="3">
        <v>579</v>
      </c>
      <c r="J4314" s="3">
        <v>1287</v>
      </c>
      <c r="K4314" s="3">
        <v>2978</v>
      </c>
      <c r="L4314" s="3">
        <v>829</v>
      </c>
      <c r="M4314" s="3">
        <v>1401</v>
      </c>
    </row>
    <row r="4315" spans="1:13" x14ac:dyDescent="0.25">
      <c r="A4315" s="1" t="str">
        <f>HYPERLINK("http://www.rosaceae.org/Prunus/Prunus_persica/p.persica_gdr_reftransV1_0040552","p.persica_gdr_reftransV1_0040552")</f>
        <v>p.persica_gdr_reftransV1_0040552</v>
      </c>
      <c r="B4315" s="3">
        <v>1429</v>
      </c>
      <c r="C4315" s="1" t="str">
        <f>HYPERLINK("http://www.uniprot.org/uniprot/RNG1L_ARATH","RNG1L_ARATH")</f>
        <v>RNG1L_ARATH</v>
      </c>
      <c r="D4315" t="s">
        <v>189</v>
      </c>
      <c r="E4315" s="3" t="s">
        <v>3</v>
      </c>
      <c r="F4315" s="4">
        <v>8.5000000000000007E-37</v>
      </c>
      <c r="G4315" s="3">
        <v>359</v>
      </c>
      <c r="H4315" s="3">
        <v>35</v>
      </c>
      <c r="I4315" s="3">
        <v>248</v>
      </c>
      <c r="J4315" s="3">
        <v>177</v>
      </c>
      <c r="K4315" s="3">
        <v>836</v>
      </c>
      <c r="L4315" s="3">
        <v>22</v>
      </c>
      <c r="M4315" s="3">
        <v>261</v>
      </c>
    </row>
    <row r="4316" spans="1:13" x14ac:dyDescent="0.25">
      <c r="A4316" s="1" t="str">
        <f>HYPERLINK("http://www.rosaceae.org/Prunus/Prunus_persica/p.persica_gdr_reftransV1_0040702","p.persica_gdr_reftransV1_0040702")</f>
        <v>p.persica_gdr_reftransV1_0040702</v>
      </c>
      <c r="B4316" s="3">
        <v>2783</v>
      </c>
      <c r="C4316" s="1" t="str">
        <f>HYPERLINK("http://www.uniprot.org/uniprot/RER1B_ARATH","RER1B_ARATH")</f>
        <v>RER1B_ARATH</v>
      </c>
      <c r="D4316" t="s">
        <v>3828</v>
      </c>
      <c r="E4316" s="3" t="s">
        <v>3</v>
      </c>
      <c r="F4316" s="4">
        <v>5.4700000000000001E-35</v>
      </c>
      <c r="G4316" s="3">
        <v>346</v>
      </c>
      <c r="H4316" s="3">
        <v>74</v>
      </c>
      <c r="I4316" s="3">
        <v>117</v>
      </c>
      <c r="J4316" s="3">
        <v>195</v>
      </c>
      <c r="K4316" s="3">
        <v>545</v>
      </c>
      <c r="L4316" s="3">
        <v>1</v>
      </c>
      <c r="M4316" s="3">
        <v>117</v>
      </c>
    </row>
    <row r="4317" spans="1:13" x14ac:dyDescent="0.25">
      <c r="A4317" s="1" t="str">
        <f>HYPERLINK("http://www.rosaceae.org/Prunus/Prunus_persica/p.persica_gdr_reftransV1_0041002","p.persica_gdr_reftransV1_0041002")</f>
        <v>p.persica_gdr_reftransV1_0041002</v>
      </c>
      <c r="B4317" s="3">
        <v>3061</v>
      </c>
      <c r="C4317" s="1" t="str">
        <f>HYPERLINK("http://www.uniprot.org/uniprot/SP2L_ARATH","SP2L_ARATH")</f>
        <v>SP2L_ARATH</v>
      </c>
      <c r="D4317" t="s">
        <v>3829</v>
      </c>
      <c r="E4317" s="3" t="s">
        <v>3</v>
      </c>
      <c r="F4317" s="4">
        <v>6.3600000000000002E-73</v>
      </c>
      <c r="G4317" s="3">
        <v>672</v>
      </c>
      <c r="H4317" s="3">
        <v>26</v>
      </c>
      <c r="I4317" s="3">
        <v>844</v>
      </c>
      <c r="J4317" s="3">
        <v>360</v>
      </c>
      <c r="K4317" s="3">
        <v>2735</v>
      </c>
      <c r="L4317" s="3">
        <v>34</v>
      </c>
      <c r="M4317" s="3">
        <v>794</v>
      </c>
    </row>
    <row r="4318" spans="1:13" x14ac:dyDescent="0.25">
      <c r="A4318" s="1" t="str">
        <f>HYPERLINK("http://www.rosaceae.org/Prunus/Prunus_persica/p.persica_gdr_reftransV1_0041052","p.persica_gdr_reftransV1_0041052")</f>
        <v>p.persica_gdr_reftransV1_0041052</v>
      </c>
      <c r="B4318" s="3">
        <v>10799</v>
      </c>
      <c r="C4318" s="1" t="str">
        <f>HYPERLINK("http://www.uniprot.org/uniprot/LVSC_DICDI","LVSC_DICDI")</f>
        <v>LVSC_DICDI</v>
      </c>
      <c r="D4318" t="s">
        <v>1350</v>
      </c>
      <c r="E4318" s="3" t="s">
        <v>9</v>
      </c>
      <c r="F4318" s="4">
        <v>5.5500000000000001E-176</v>
      </c>
      <c r="G4318" s="3">
        <v>1577</v>
      </c>
      <c r="H4318" s="3">
        <v>45</v>
      </c>
      <c r="I4318" s="3">
        <v>739</v>
      </c>
      <c r="J4318" s="3">
        <v>7531</v>
      </c>
      <c r="K4318" s="3">
        <v>9705</v>
      </c>
      <c r="L4318" s="3">
        <v>1769</v>
      </c>
      <c r="M4318" s="3">
        <v>2464</v>
      </c>
    </row>
    <row r="4319" spans="1:13" x14ac:dyDescent="0.25">
      <c r="A4319" s="1" t="str">
        <f>HYPERLINK("http://www.rosaceae.org/Prunus/Prunus_persica/p.persica_gdr_reftransV1_0041502","p.persica_gdr_reftransV1_0041502")</f>
        <v>p.persica_gdr_reftransV1_0041502</v>
      </c>
      <c r="B4319" s="3">
        <v>1846</v>
      </c>
      <c r="C4319" s="1" t="str">
        <f>HYPERLINK("http://www.uniprot.org/uniprot/SMG9_RAT","SMG9_RAT")</f>
        <v>SMG9_RAT</v>
      </c>
      <c r="D4319" t="s">
        <v>3830</v>
      </c>
      <c r="E4319" s="3" t="s">
        <v>161</v>
      </c>
      <c r="F4319" s="4">
        <v>1.2099999999999999E-13</v>
      </c>
      <c r="G4319" s="3">
        <v>189</v>
      </c>
      <c r="H4319" s="3">
        <v>26</v>
      </c>
      <c r="I4319" s="3">
        <v>231</v>
      </c>
      <c r="J4319" s="3">
        <v>249</v>
      </c>
      <c r="K4319" s="3">
        <v>881</v>
      </c>
      <c r="L4319" s="3">
        <v>307</v>
      </c>
      <c r="M4319" s="3">
        <v>519</v>
      </c>
    </row>
    <row r="4320" spans="1:13" x14ac:dyDescent="0.25">
      <c r="A4320" s="1" t="str">
        <f>HYPERLINK("http://www.rosaceae.org/Prunus/Prunus_persica/p.persica_gdr_reftransV1_0041802","p.persica_gdr_reftransV1_0041802")</f>
        <v>p.persica_gdr_reftransV1_0041802</v>
      </c>
      <c r="B4320" s="3">
        <v>2025</v>
      </c>
      <c r="C4320" s="1" t="str">
        <f>HYPERLINK("http://www.uniprot.org/uniprot/P4H7_ARATH","P4H7_ARATH")</f>
        <v>P4H7_ARATH</v>
      </c>
      <c r="D4320" t="s">
        <v>2390</v>
      </c>
      <c r="E4320" s="3" t="s">
        <v>3</v>
      </c>
      <c r="F4320" s="4">
        <v>3.3799999999999997E-48</v>
      </c>
      <c r="G4320" s="3">
        <v>447</v>
      </c>
      <c r="H4320" s="3">
        <v>63</v>
      </c>
      <c r="I4320" s="3">
        <v>138</v>
      </c>
      <c r="J4320" s="3">
        <v>1442</v>
      </c>
      <c r="K4320" s="3">
        <v>1852</v>
      </c>
      <c r="L4320" s="3">
        <v>1</v>
      </c>
      <c r="M4320" s="3">
        <v>136</v>
      </c>
    </row>
    <row r="4321" spans="1:13" x14ac:dyDescent="0.25">
      <c r="A4321" s="1" t="str">
        <f>HYPERLINK("http://www.rosaceae.org/Prunus/Prunus_persica/p.persica_gdr_reftransV1_0042002","p.persica_gdr_reftransV1_0042002")</f>
        <v>p.persica_gdr_reftransV1_0042002</v>
      </c>
      <c r="B4321" s="3">
        <v>3441</v>
      </c>
      <c r="C4321" s="1" t="str">
        <f>HYPERLINK("http://www.uniprot.org/uniprot/LOX31_SOLTU","LOX31_SOLTU")</f>
        <v>LOX31_SOLTU</v>
      </c>
      <c r="D4321" t="s">
        <v>3831</v>
      </c>
      <c r="E4321" s="3" t="s">
        <v>11</v>
      </c>
      <c r="F4321" s="4">
        <v>0</v>
      </c>
      <c r="G4321" s="3">
        <v>2658</v>
      </c>
      <c r="H4321" s="3">
        <v>59</v>
      </c>
      <c r="I4321" s="3">
        <v>870</v>
      </c>
      <c r="J4321" s="3">
        <v>470</v>
      </c>
      <c r="K4321" s="3">
        <v>3007</v>
      </c>
      <c r="L4321" s="3">
        <v>56</v>
      </c>
      <c r="M4321" s="3">
        <v>914</v>
      </c>
    </row>
    <row r="4322" spans="1:13" x14ac:dyDescent="0.25">
      <c r="A4322" s="1" t="str">
        <f>HYPERLINK("http://www.rosaceae.org/Prunus/Prunus_persica/p.persica_gdr_reftransV1_0042502","p.persica_gdr_reftransV1_0042502")</f>
        <v>p.persica_gdr_reftransV1_0042502</v>
      </c>
      <c r="B4322" s="3">
        <v>1661</v>
      </c>
      <c r="C4322" s="1" t="str">
        <f>HYPERLINK("http://www.uniprot.org/uniprot/NAP1_HUMAN","NAP1_HUMAN")</f>
        <v>NAP1_HUMAN</v>
      </c>
      <c r="D4322" t="s">
        <v>3832</v>
      </c>
      <c r="E4322" s="3" t="s">
        <v>28</v>
      </c>
      <c r="F4322" s="4">
        <v>1.9500000000000001E-32</v>
      </c>
      <c r="G4322" s="3">
        <v>217</v>
      </c>
      <c r="H4322" s="3">
        <v>56</v>
      </c>
      <c r="I4322" s="3">
        <v>72</v>
      </c>
      <c r="J4322" s="3">
        <v>785</v>
      </c>
      <c r="K4322" s="3">
        <v>1000</v>
      </c>
      <c r="L4322" s="3">
        <v>101</v>
      </c>
      <c r="M4322" s="3">
        <v>172</v>
      </c>
    </row>
    <row r="4323" spans="1:13" x14ac:dyDescent="0.25">
      <c r="A4323" s="1" t="str">
        <f>HYPERLINK("http://www.rosaceae.org/Prunus/Prunus_persica/p.persica_gdr_reftransV1_0043052","p.persica_gdr_reftransV1_0043052")</f>
        <v>p.persica_gdr_reftransV1_0043052</v>
      </c>
      <c r="B4323" s="3">
        <v>440</v>
      </c>
      <c r="C4323" s="1" t="str">
        <f>HYPERLINK("http://www.uniprot.org/uniprot/Y5614_ARATH","Y5614_ARATH")</f>
        <v>Y5614_ARATH</v>
      </c>
      <c r="D4323" t="s">
        <v>3631</v>
      </c>
      <c r="E4323" s="3" t="s">
        <v>3</v>
      </c>
      <c r="F4323" s="4">
        <v>2.2499999999999999E-51</v>
      </c>
      <c r="G4323" s="3">
        <v>457</v>
      </c>
      <c r="H4323" s="3">
        <v>59</v>
      </c>
      <c r="I4323" s="3">
        <v>145</v>
      </c>
      <c r="J4323" s="3">
        <v>1</v>
      </c>
      <c r="K4323" s="3">
        <v>435</v>
      </c>
      <c r="L4323" s="3">
        <v>136</v>
      </c>
      <c r="M4323" s="3">
        <v>280</v>
      </c>
    </row>
    <row r="4324" spans="1:13" x14ac:dyDescent="0.25">
      <c r="A4324" s="1" t="str">
        <f>HYPERLINK("http://www.rosaceae.org/Prunus/Prunus_persica/p.persica_gdr_reftransV1_0043102","p.persica_gdr_reftransV1_0043102")</f>
        <v>p.persica_gdr_reftransV1_0043102</v>
      </c>
      <c r="B4324" s="3">
        <v>655</v>
      </c>
      <c r="C4324" s="1" t="str">
        <f>HYPERLINK("http://www.uniprot.org/uniprot/COA5_PONAB","COA5_PONAB")</f>
        <v>COA5_PONAB</v>
      </c>
      <c r="D4324" t="s">
        <v>3518</v>
      </c>
      <c r="E4324" s="3" t="s">
        <v>176</v>
      </c>
      <c r="F4324" s="4">
        <v>8.7499999999999996E-8</v>
      </c>
      <c r="G4324" s="3">
        <v>122</v>
      </c>
      <c r="H4324" s="3">
        <v>41</v>
      </c>
      <c r="I4324" s="3">
        <v>79</v>
      </c>
      <c r="J4324" s="3">
        <v>183</v>
      </c>
      <c r="K4324" s="3">
        <v>419</v>
      </c>
      <c r="L4324" s="3">
        <v>2</v>
      </c>
      <c r="M4324" s="3">
        <v>74</v>
      </c>
    </row>
    <row r="4325" spans="1:13" x14ac:dyDescent="0.25">
      <c r="A4325" s="1" t="str">
        <f>HYPERLINK("http://www.rosaceae.org/Prunus/Prunus_persica/p.persica_gdr_reftransV1_0043152","p.persica_gdr_reftransV1_0043152")</f>
        <v>p.persica_gdr_reftransV1_0043152</v>
      </c>
      <c r="B4325" s="3">
        <v>918</v>
      </c>
      <c r="C4325" s="1" t="str">
        <f>HYPERLINK("http://www.uniprot.org/uniprot/FH11_ARATH","FH11_ARATH")</f>
        <v>FH11_ARATH</v>
      </c>
      <c r="D4325" t="s">
        <v>3628</v>
      </c>
      <c r="E4325" s="3" t="s">
        <v>3</v>
      </c>
      <c r="F4325" s="4">
        <v>7.8400000000000005E-12</v>
      </c>
      <c r="G4325" s="3">
        <v>168</v>
      </c>
      <c r="H4325" s="3">
        <v>34</v>
      </c>
      <c r="I4325" s="3">
        <v>229</v>
      </c>
      <c r="J4325" s="3">
        <v>221</v>
      </c>
      <c r="K4325" s="3">
        <v>898</v>
      </c>
      <c r="L4325" s="3">
        <v>127</v>
      </c>
      <c r="M4325" s="3">
        <v>335</v>
      </c>
    </row>
    <row r="4326" spans="1:13" x14ac:dyDescent="0.25">
      <c r="A4326" s="1" t="str">
        <f>HYPERLINK("http://www.rosaceae.org/Prunus/Prunus_persica/p.persica_gdr_reftransV1_0043252","p.persica_gdr_reftransV1_0043252")</f>
        <v>p.persica_gdr_reftransV1_0043252</v>
      </c>
      <c r="B4326" s="3">
        <v>2609</v>
      </c>
      <c r="C4326" s="1" t="str">
        <f>HYPERLINK("http://www.uniprot.org/uniprot/CMT2_ARATH","CMT2_ARATH")</f>
        <v>CMT2_ARATH</v>
      </c>
      <c r="D4326" t="s">
        <v>3833</v>
      </c>
      <c r="E4326" s="3" t="s">
        <v>3</v>
      </c>
      <c r="F4326" s="4">
        <v>0</v>
      </c>
      <c r="G4326" s="3">
        <v>2621</v>
      </c>
      <c r="H4326" s="3">
        <v>65</v>
      </c>
      <c r="I4326" s="3">
        <v>747</v>
      </c>
      <c r="J4326" s="3">
        <v>50</v>
      </c>
      <c r="K4326" s="3">
        <v>2272</v>
      </c>
      <c r="L4326" s="3">
        <v>555</v>
      </c>
      <c r="M4326" s="3">
        <v>1292</v>
      </c>
    </row>
    <row r="4327" spans="1:13" x14ac:dyDescent="0.25">
      <c r="A4327" s="1" t="str">
        <f>HYPERLINK("http://www.rosaceae.org/Prunus/Prunus_persica/p.persica_gdr_reftransV1_0043302","p.persica_gdr_reftransV1_0043302")</f>
        <v>p.persica_gdr_reftransV1_0043302</v>
      </c>
      <c r="B4327" s="3">
        <v>1705</v>
      </c>
      <c r="C4327" s="1" t="str">
        <f>HYPERLINK("http://www.uniprot.org/uniprot/C82A4_SOYBN","C82A4_SOYBN")</f>
        <v>C82A4_SOYBN</v>
      </c>
      <c r="D4327" t="s">
        <v>3834</v>
      </c>
      <c r="E4327" s="3" t="s">
        <v>307</v>
      </c>
      <c r="F4327" s="4">
        <v>1.59E-171</v>
      </c>
      <c r="G4327" s="3">
        <v>1297</v>
      </c>
      <c r="H4327" s="3">
        <v>51</v>
      </c>
      <c r="I4327" s="3">
        <v>509</v>
      </c>
      <c r="J4327" s="3">
        <v>93</v>
      </c>
      <c r="K4327" s="3">
        <v>1610</v>
      </c>
      <c r="L4327" s="3">
        <v>32</v>
      </c>
      <c r="M4327" s="3">
        <v>523</v>
      </c>
    </row>
    <row r="4328" spans="1:13" x14ac:dyDescent="0.25">
      <c r="A4328" s="1" t="str">
        <f>HYPERLINK("http://www.rosaceae.org/Prunus/Prunus_persica/p.persica_gdr_reftransV1_0043402","p.persica_gdr_reftransV1_0043402")</f>
        <v>p.persica_gdr_reftransV1_0043402</v>
      </c>
      <c r="B4328" s="3">
        <v>583</v>
      </c>
      <c r="C4328" s="1" t="str">
        <f>HYPERLINK("http://www.uniprot.org/uniprot/DRPE_CRAPL","DRPE_CRAPL")</f>
        <v>DRPE_CRAPL</v>
      </c>
      <c r="D4328" t="s">
        <v>3835</v>
      </c>
      <c r="E4328" s="3" t="s">
        <v>894</v>
      </c>
      <c r="F4328" s="4">
        <v>2.7900000000000001E-26</v>
      </c>
      <c r="G4328" s="3">
        <v>266</v>
      </c>
      <c r="H4328" s="3">
        <v>52</v>
      </c>
      <c r="I4328" s="3">
        <v>114</v>
      </c>
      <c r="J4328" s="3">
        <v>1</v>
      </c>
      <c r="K4328" s="3">
        <v>342</v>
      </c>
      <c r="L4328" s="3">
        <v>186</v>
      </c>
      <c r="M4328" s="3">
        <v>299</v>
      </c>
    </row>
    <row r="4329" spans="1:13" x14ac:dyDescent="0.25">
      <c r="A4329" s="1" t="str">
        <f>HYPERLINK("http://www.rosaceae.org/Prunus/Prunus_persica/p.persica_gdr_reftransV1_0043502","p.persica_gdr_reftransV1_0043502")</f>
        <v>p.persica_gdr_reftransV1_0043502</v>
      </c>
      <c r="B4329" s="3">
        <v>828</v>
      </c>
      <c r="C4329" s="1" t="str">
        <f>HYPERLINK("http://www.uniprot.org/uniprot/DNJA1_RAT","DNJA1_RAT")</f>
        <v>DNJA1_RAT</v>
      </c>
      <c r="D4329" t="s">
        <v>3836</v>
      </c>
      <c r="E4329" s="3" t="s">
        <v>161</v>
      </c>
      <c r="F4329" s="4">
        <v>9.1199999999999995E-10</v>
      </c>
      <c r="G4329" s="3">
        <v>150</v>
      </c>
      <c r="H4329" s="3">
        <v>41</v>
      </c>
      <c r="I4329" s="3">
        <v>63</v>
      </c>
      <c r="J4329" s="3">
        <v>208</v>
      </c>
      <c r="K4329" s="3">
        <v>396</v>
      </c>
      <c r="L4329" s="3">
        <v>6</v>
      </c>
      <c r="M4329" s="3">
        <v>65</v>
      </c>
    </row>
    <row r="4330" spans="1:13" x14ac:dyDescent="0.25">
      <c r="A4330" s="1" t="str">
        <f>HYPERLINK("http://www.rosaceae.org/Prunus/Prunus_persica/p.persica_gdr_reftransV1_0043552","p.persica_gdr_reftransV1_0043552")</f>
        <v>p.persica_gdr_reftransV1_0043552</v>
      </c>
      <c r="B4330" s="3">
        <v>777</v>
      </c>
      <c r="C4330" s="1" t="str">
        <f>HYPERLINK("http://www.uniprot.org/uniprot/XLNA_AGABI","XLNA_AGABI")</f>
        <v>XLNA_AGABI</v>
      </c>
      <c r="D4330" t="s">
        <v>3837</v>
      </c>
      <c r="E4330" s="3" t="s">
        <v>3838</v>
      </c>
      <c r="F4330" s="4">
        <v>1.1800000000000001E-10</v>
      </c>
      <c r="G4330" s="3">
        <v>155</v>
      </c>
      <c r="H4330" s="3">
        <v>28</v>
      </c>
      <c r="I4330" s="3">
        <v>193</v>
      </c>
      <c r="J4330" s="3">
        <v>3</v>
      </c>
      <c r="K4330" s="3">
        <v>521</v>
      </c>
      <c r="L4330" s="3">
        <v>135</v>
      </c>
      <c r="M4330" s="3">
        <v>323</v>
      </c>
    </row>
    <row r="4331" spans="1:13" x14ac:dyDescent="0.25">
      <c r="A4331" s="1" t="str">
        <f>HYPERLINK("http://www.rosaceae.org/Prunus/Prunus_persica/p.persica_gdr_reftransV1_0043602","p.persica_gdr_reftransV1_0043602")</f>
        <v>p.persica_gdr_reftransV1_0043602</v>
      </c>
      <c r="B4331" s="3">
        <v>1207</v>
      </c>
      <c r="C4331" s="1" t="str">
        <f>HYPERLINK("http://www.uniprot.org/uniprot/RAB7_PEA","RAB7_PEA")</f>
        <v>RAB7_PEA</v>
      </c>
      <c r="D4331" t="s">
        <v>3839</v>
      </c>
      <c r="E4331" s="3" t="s">
        <v>60</v>
      </c>
      <c r="F4331" s="4">
        <v>2.8099999999999999E-143</v>
      </c>
      <c r="G4331" s="3">
        <v>1061</v>
      </c>
      <c r="H4331" s="3">
        <v>95</v>
      </c>
      <c r="I4331" s="3">
        <v>206</v>
      </c>
      <c r="J4331" s="3">
        <v>446</v>
      </c>
      <c r="K4331" s="3">
        <v>1063</v>
      </c>
      <c r="L4331" s="3">
        <v>1</v>
      </c>
      <c r="M4331" s="3">
        <v>206</v>
      </c>
    </row>
    <row r="4332" spans="1:13" x14ac:dyDescent="0.25">
      <c r="A4332" s="1" t="str">
        <f>HYPERLINK("http://www.rosaceae.org/Prunus/Prunus_persica/p.persica_gdr_reftransV1_0043652","p.persica_gdr_reftransV1_0043652")</f>
        <v>p.persica_gdr_reftransV1_0043652</v>
      </c>
      <c r="B4332" s="3">
        <v>1309</v>
      </c>
      <c r="C4332" s="1" t="str">
        <f>HYPERLINK("http://www.uniprot.org/uniprot/CSK21_ARATH","CSK21_ARATH")</f>
        <v>CSK21_ARATH</v>
      </c>
      <c r="D4332" t="s">
        <v>3769</v>
      </c>
      <c r="E4332" s="3" t="s">
        <v>3</v>
      </c>
      <c r="F4332" s="4">
        <v>0</v>
      </c>
      <c r="G4332" s="3">
        <v>1507</v>
      </c>
      <c r="H4332" s="3">
        <v>89</v>
      </c>
      <c r="I4332" s="3">
        <v>334</v>
      </c>
      <c r="J4332" s="3">
        <v>179</v>
      </c>
      <c r="K4332" s="3">
        <v>1180</v>
      </c>
      <c r="L4332" s="3">
        <v>76</v>
      </c>
      <c r="M4332" s="3">
        <v>409</v>
      </c>
    </row>
    <row r="4333" spans="1:13" x14ac:dyDescent="0.25">
      <c r="A4333" s="1" t="str">
        <f>HYPERLINK("http://www.rosaceae.org/Prunus/Prunus_persica/p.persica_gdr_reftransV1_0043802","p.persica_gdr_reftransV1_0043802")</f>
        <v>p.persica_gdr_reftransV1_0043802</v>
      </c>
      <c r="B4333" s="3">
        <v>1392</v>
      </c>
      <c r="C4333" s="1" t="str">
        <f>HYPERLINK("http://www.uniprot.org/uniprot/NFD4_ARATH","NFD4_ARATH")</f>
        <v>NFD4_ARATH</v>
      </c>
      <c r="D4333" t="s">
        <v>404</v>
      </c>
      <c r="E4333" s="3" t="s">
        <v>3</v>
      </c>
      <c r="F4333" s="4">
        <v>1.4599999999999999E-18</v>
      </c>
      <c r="G4333" s="3">
        <v>227</v>
      </c>
      <c r="H4333" s="3">
        <v>28</v>
      </c>
      <c r="I4333" s="3">
        <v>260</v>
      </c>
      <c r="J4333" s="3">
        <v>330</v>
      </c>
      <c r="K4333" s="3">
        <v>1070</v>
      </c>
      <c r="L4333" s="3">
        <v>321</v>
      </c>
      <c r="M4333" s="3">
        <v>564</v>
      </c>
    </row>
    <row r="4334" spans="1:13" x14ac:dyDescent="0.25">
      <c r="A4334" s="1" t="str">
        <f>HYPERLINK("http://www.rosaceae.org/Prunus/Prunus_persica/p.persica_gdr_reftransV1_0043902","p.persica_gdr_reftransV1_0043902")</f>
        <v>p.persica_gdr_reftransV1_0043902</v>
      </c>
      <c r="B4334" s="3">
        <v>1870</v>
      </c>
      <c r="C4334" s="1" t="str">
        <f>HYPERLINK("http://www.uniprot.org/uniprot/HXK1_SPIOL","HXK1_SPIOL")</f>
        <v>HXK1_SPIOL</v>
      </c>
      <c r="D4334" t="s">
        <v>3840</v>
      </c>
      <c r="E4334" s="3" t="s">
        <v>131</v>
      </c>
      <c r="F4334" s="4">
        <v>0</v>
      </c>
      <c r="G4334" s="3">
        <v>2047</v>
      </c>
      <c r="H4334" s="3">
        <v>81</v>
      </c>
      <c r="I4334" s="3">
        <v>474</v>
      </c>
      <c r="J4334" s="3">
        <v>386</v>
      </c>
      <c r="K4334" s="3">
        <v>1807</v>
      </c>
      <c r="L4334" s="3">
        <v>25</v>
      </c>
      <c r="M4334" s="3">
        <v>498</v>
      </c>
    </row>
    <row r="4335" spans="1:13" x14ac:dyDescent="0.25">
      <c r="A4335" s="1" t="str">
        <f>HYPERLINK("http://www.rosaceae.org/Prunus/Prunus_persica/p.persica_gdr_reftransV1_0043952","p.persica_gdr_reftransV1_0043952")</f>
        <v>p.persica_gdr_reftransV1_0043952</v>
      </c>
      <c r="B4335" s="3">
        <v>1425</v>
      </c>
      <c r="C4335" s="1" t="str">
        <f>HYPERLINK("http://www.uniprot.org/uniprot/SH3G1_CHICK","SH3G1_CHICK")</f>
        <v>SH3G1_CHICK</v>
      </c>
      <c r="D4335" t="s">
        <v>3841</v>
      </c>
      <c r="E4335" s="3" t="s">
        <v>1278</v>
      </c>
      <c r="F4335" s="4">
        <v>4.3100000000000002E-8</v>
      </c>
      <c r="G4335" s="3">
        <v>141</v>
      </c>
      <c r="H4335" s="3">
        <v>30</v>
      </c>
      <c r="I4335" s="3">
        <v>151</v>
      </c>
      <c r="J4335" s="3">
        <v>747</v>
      </c>
      <c r="K4335" s="3">
        <v>1130</v>
      </c>
      <c r="L4335" s="3">
        <v>212</v>
      </c>
      <c r="M4335" s="3">
        <v>360</v>
      </c>
    </row>
    <row r="4336" spans="1:13" x14ac:dyDescent="0.25">
      <c r="A4336" s="1" t="str">
        <f>HYPERLINK("http://www.rosaceae.org/Prunus/Prunus_persica/p.persica_gdr_reftransV1_0044002","p.persica_gdr_reftransV1_0044002")</f>
        <v>p.persica_gdr_reftransV1_0044002</v>
      </c>
      <c r="B4336" s="3">
        <v>2965</v>
      </c>
      <c r="C4336" s="1" t="str">
        <f>HYPERLINK("http://www.uniprot.org/uniprot/ATPA_MANES","ATPA_MANES")</f>
        <v>ATPA_MANES</v>
      </c>
      <c r="D4336" t="s">
        <v>3842</v>
      </c>
      <c r="E4336" s="3" t="s">
        <v>1797</v>
      </c>
      <c r="F4336" s="4">
        <v>0</v>
      </c>
      <c r="G4336" s="3">
        <v>2380</v>
      </c>
      <c r="H4336" s="3">
        <v>96</v>
      </c>
      <c r="I4336" s="3">
        <v>507</v>
      </c>
      <c r="J4336" s="3">
        <v>22</v>
      </c>
      <c r="K4336" s="3">
        <v>1542</v>
      </c>
      <c r="L4336" s="3">
        <v>1</v>
      </c>
      <c r="M4336" s="3">
        <v>507</v>
      </c>
    </row>
    <row r="4337" spans="1:13" x14ac:dyDescent="0.25">
      <c r="A4337" s="1" t="str">
        <f>HYPERLINK("http://www.rosaceae.org/Prunus/Prunus_persica/p.persica_gdr_reftransV1_0044052","p.persica_gdr_reftransV1_0044052")</f>
        <v>p.persica_gdr_reftransV1_0044052</v>
      </c>
      <c r="B4337" s="3">
        <v>786</v>
      </c>
      <c r="C4337" s="1" t="str">
        <f>HYPERLINK("http://www.uniprot.org/uniprot/PARN_ARATH","PARN_ARATH")</f>
        <v>PARN_ARATH</v>
      </c>
      <c r="D4337" t="s">
        <v>3843</v>
      </c>
      <c r="E4337" s="3" t="s">
        <v>3</v>
      </c>
      <c r="F4337" s="4">
        <v>7.83E-91</v>
      </c>
      <c r="G4337" s="3">
        <v>739</v>
      </c>
      <c r="H4337" s="3">
        <v>61</v>
      </c>
      <c r="I4337" s="3">
        <v>226</v>
      </c>
      <c r="J4337" s="3">
        <v>107</v>
      </c>
      <c r="K4337" s="3">
        <v>784</v>
      </c>
      <c r="L4337" s="3">
        <v>36</v>
      </c>
      <c r="M4337" s="3">
        <v>258</v>
      </c>
    </row>
    <row r="4338" spans="1:13" x14ac:dyDescent="0.25">
      <c r="A4338" s="1" t="str">
        <f>HYPERLINK("http://www.rosaceae.org/Prunus/Prunus_persica/p.persica_gdr_reftransV1_0044102","p.persica_gdr_reftransV1_0044102")</f>
        <v>p.persica_gdr_reftransV1_0044102</v>
      </c>
      <c r="B4338" s="3">
        <v>728</v>
      </c>
      <c r="C4338" s="1" t="str">
        <f>HYPERLINK("http://www.uniprot.org/uniprot/NATAL_ARATH","NATAL_ARATH")</f>
        <v>NATAL_ARATH</v>
      </c>
      <c r="D4338" t="s">
        <v>3844</v>
      </c>
      <c r="E4338" s="3" t="s">
        <v>3</v>
      </c>
      <c r="F4338" s="4">
        <v>3.06E-69</v>
      </c>
      <c r="G4338" s="3">
        <v>558</v>
      </c>
      <c r="H4338" s="3">
        <v>59</v>
      </c>
      <c r="I4338" s="3">
        <v>193</v>
      </c>
      <c r="J4338" s="3">
        <v>28</v>
      </c>
      <c r="K4338" s="3">
        <v>603</v>
      </c>
      <c r="L4338" s="3">
        <v>24</v>
      </c>
      <c r="M4338" s="3">
        <v>213</v>
      </c>
    </row>
    <row r="4339" spans="1:13" x14ac:dyDescent="0.25">
      <c r="A4339" s="1" t="str">
        <f>HYPERLINK("http://www.rosaceae.org/Prunus/Prunus_persica/p.persica_gdr_reftransV1_0044202","p.persica_gdr_reftransV1_0044202")</f>
        <v>p.persica_gdr_reftransV1_0044202</v>
      </c>
      <c r="B4339" s="3">
        <v>496</v>
      </c>
      <c r="C4339" s="1" t="str">
        <f>HYPERLINK("http://www.uniprot.org/uniprot/IST1_BOVIN","IST1_BOVIN")</f>
        <v>IST1_BOVIN</v>
      </c>
      <c r="D4339" t="s">
        <v>1373</v>
      </c>
      <c r="E4339" s="3" t="s">
        <v>184</v>
      </c>
      <c r="F4339" s="4">
        <v>5.5800000000000004E-18</v>
      </c>
      <c r="G4339" s="3">
        <v>204</v>
      </c>
      <c r="H4339" s="3">
        <v>41</v>
      </c>
      <c r="I4339" s="3">
        <v>112</v>
      </c>
      <c r="J4339" s="3">
        <v>163</v>
      </c>
      <c r="K4339" s="3">
        <v>495</v>
      </c>
      <c r="L4339" s="3">
        <v>19</v>
      </c>
      <c r="M4339" s="3">
        <v>130</v>
      </c>
    </row>
    <row r="4340" spans="1:13" x14ac:dyDescent="0.25">
      <c r="A4340" s="1" t="str">
        <f>HYPERLINK("http://www.rosaceae.org/Prunus/Prunus_persica/p.persica_gdr_reftransV1_0044252","p.persica_gdr_reftransV1_0044252")</f>
        <v>p.persica_gdr_reftransV1_0044252</v>
      </c>
      <c r="B4340" s="3">
        <v>707</v>
      </c>
      <c r="C4340" s="1" t="str">
        <f>HYPERLINK("http://www.uniprot.org/uniprot/NPR3_ARATH","NPR3_ARATH")</f>
        <v>NPR3_ARATH</v>
      </c>
      <c r="D4340" t="s">
        <v>3845</v>
      </c>
      <c r="E4340" s="3" t="s">
        <v>3</v>
      </c>
      <c r="F4340" s="4">
        <v>3.7199999999999999E-38</v>
      </c>
      <c r="G4340" s="3">
        <v>362</v>
      </c>
      <c r="H4340" s="3">
        <v>55</v>
      </c>
      <c r="I4340" s="3">
        <v>137</v>
      </c>
      <c r="J4340" s="3">
        <v>290</v>
      </c>
      <c r="K4340" s="3">
        <v>685</v>
      </c>
      <c r="L4340" s="3">
        <v>425</v>
      </c>
      <c r="M4340" s="3">
        <v>561</v>
      </c>
    </row>
    <row r="4341" spans="1:13" x14ac:dyDescent="0.25">
      <c r="A4341" s="1" t="str">
        <f>HYPERLINK("http://www.rosaceae.org/Prunus/Prunus_persica/p.persica_gdr_reftransV1_0044402","p.persica_gdr_reftransV1_0044402")</f>
        <v>p.persica_gdr_reftransV1_0044402</v>
      </c>
      <c r="B4341" s="3">
        <v>1028</v>
      </c>
      <c r="C4341" s="1" t="str">
        <f>HYPERLINK("http://www.uniprot.org/uniprot/RD21A_ARATH","RD21A_ARATH")</f>
        <v>RD21A_ARATH</v>
      </c>
      <c r="D4341" t="s">
        <v>1160</v>
      </c>
      <c r="E4341" s="3" t="s">
        <v>3</v>
      </c>
      <c r="F4341" s="4">
        <v>1.08E-115</v>
      </c>
      <c r="G4341" s="3">
        <v>897</v>
      </c>
      <c r="H4341" s="3">
        <v>66</v>
      </c>
      <c r="I4341" s="3">
        <v>253</v>
      </c>
      <c r="J4341" s="3">
        <v>117</v>
      </c>
      <c r="K4341" s="3">
        <v>869</v>
      </c>
      <c r="L4341" s="3">
        <v>36</v>
      </c>
      <c r="M4341" s="3">
        <v>284</v>
      </c>
    </row>
    <row r="4342" spans="1:13" x14ac:dyDescent="0.25">
      <c r="A4342" s="1" t="str">
        <f>HYPERLINK("http://www.rosaceae.org/Prunus/Prunus_persica/p.persica_gdr_reftransV1_0044452","p.persica_gdr_reftransV1_0044452")</f>
        <v>p.persica_gdr_reftransV1_0044452</v>
      </c>
      <c r="B4342" s="3">
        <v>2126</v>
      </c>
      <c r="C4342" s="1" t="str">
        <f>HYPERLINK("http://www.uniprot.org/uniprot/TT12_ARATH","TT12_ARATH")</f>
        <v>TT12_ARATH</v>
      </c>
      <c r="D4342" t="s">
        <v>353</v>
      </c>
      <c r="E4342" s="3" t="s">
        <v>3</v>
      </c>
      <c r="F4342" s="4">
        <v>1.7299999999999999E-116</v>
      </c>
      <c r="G4342" s="3">
        <v>940</v>
      </c>
      <c r="H4342" s="3">
        <v>47</v>
      </c>
      <c r="I4342" s="3">
        <v>444</v>
      </c>
      <c r="J4342" s="3">
        <v>425</v>
      </c>
      <c r="K4342" s="3">
        <v>1753</v>
      </c>
      <c r="L4342" s="3">
        <v>51</v>
      </c>
      <c r="M4342" s="3">
        <v>494</v>
      </c>
    </row>
    <row r="4343" spans="1:13" x14ac:dyDescent="0.25">
      <c r="A4343" s="1" t="str">
        <f>HYPERLINK("http://www.rosaceae.org/Prunus/Prunus_persica/p.persica_gdr_reftransV1_0044502","p.persica_gdr_reftransV1_0044502")</f>
        <v>p.persica_gdr_reftransV1_0044502</v>
      </c>
      <c r="B4343" s="3">
        <v>916</v>
      </c>
      <c r="C4343" s="1" t="str">
        <f>HYPERLINK("http://www.uniprot.org/uniprot/TBL43_ARATH","TBL43_ARATH")</f>
        <v>TBL43_ARATH</v>
      </c>
      <c r="D4343" t="s">
        <v>3846</v>
      </c>
      <c r="E4343" s="3" t="s">
        <v>3</v>
      </c>
      <c r="F4343" s="4">
        <v>2.7199999999999998E-93</v>
      </c>
      <c r="G4343" s="3">
        <v>736</v>
      </c>
      <c r="H4343" s="3">
        <v>61</v>
      </c>
      <c r="I4343" s="3">
        <v>224</v>
      </c>
      <c r="J4343" s="3">
        <v>218</v>
      </c>
      <c r="K4343" s="3">
        <v>883</v>
      </c>
      <c r="L4343" s="3">
        <v>43</v>
      </c>
      <c r="M4343" s="3">
        <v>266</v>
      </c>
    </row>
    <row r="4344" spans="1:13" x14ac:dyDescent="0.25">
      <c r="A4344" s="1" t="str">
        <f>HYPERLINK("http://www.rosaceae.org/Prunus/Prunus_persica/p.persica_gdr_reftransV1_0044552","p.persica_gdr_reftransV1_0044552")</f>
        <v>p.persica_gdr_reftransV1_0044552</v>
      </c>
      <c r="B4344" s="3">
        <v>310</v>
      </c>
      <c r="C4344" s="1" t="str">
        <f>HYPERLINK("http://www.uniprot.org/uniprot/GRXC9_ORYSJ","GRXC9_ORYSJ")</f>
        <v>GRXC9_ORYSJ</v>
      </c>
      <c r="D4344" t="s">
        <v>3847</v>
      </c>
      <c r="E4344" s="3" t="s">
        <v>38</v>
      </c>
      <c r="F4344" s="4">
        <v>2.1599999999999999E-13</v>
      </c>
      <c r="G4344" s="3">
        <v>161</v>
      </c>
      <c r="H4344" s="3">
        <v>67</v>
      </c>
      <c r="I4344" s="3">
        <v>48</v>
      </c>
      <c r="J4344" s="3">
        <v>4</v>
      </c>
      <c r="K4344" s="3">
        <v>147</v>
      </c>
      <c r="L4344" s="3">
        <v>85</v>
      </c>
      <c r="M4344" s="3">
        <v>132</v>
      </c>
    </row>
    <row r="4345" spans="1:13" x14ac:dyDescent="0.25">
      <c r="A4345" s="1" t="str">
        <f>HYPERLINK("http://www.rosaceae.org/Prunus/Prunus_persica/p.persica_gdr_reftransV1_0044652","p.persica_gdr_reftransV1_0044652")</f>
        <v>p.persica_gdr_reftransV1_0044652</v>
      </c>
      <c r="B4345" s="3">
        <v>307</v>
      </c>
      <c r="C4345" s="1" t="str">
        <f>HYPERLINK("http://www.uniprot.org/uniprot/WRK19_ARATH","WRK19_ARATH")</f>
        <v>WRK19_ARATH</v>
      </c>
      <c r="D4345" t="s">
        <v>1314</v>
      </c>
      <c r="E4345" s="3" t="s">
        <v>3</v>
      </c>
      <c r="F4345" s="4">
        <v>2.3600000000000001E-11</v>
      </c>
      <c r="G4345" s="3">
        <v>155</v>
      </c>
      <c r="H4345" s="3">
        <v>43</v>
      </c>
      <c r="I4345" s="3">
        <v>94</v>
      </c>
      <c r="J4345" s="3">
        <v>20</v>
      </c>
      <c r="K4345" s="3">
        <v>298</v>
      </c>
      <c r="L4345" s="3">
        <v>1315</v>
      </c>
      <c r="M4345" s="3">
        <v>1405</v>
      </c>
    </row>
    <row r="4346" spans="1:13" x14ac:dyDescent="0.25">
      <c r="A4346" s="1" t="str">
        <f>HYPERLINK("http://www.rosaceae.org/Prunus/Prunus_persica/p.persica_gdr_reftransV1_0044752","p.persica_gdr_reftransV1_0044752")</f>
        <v>p.persica_gdr_reftransV1_0044752</v>
      </c>
      <c r="B4346" s="3">
        <v>585</v>
      </c>
      <c r="C4346" s="1" t="str">
        <f>HYPERLINK("http://www.uniprot.org/uniprot/UXT_DICDI","UXT_DICDI")</f>
        <v>UXT_DICDI</v>
      </c>
      <c r="D4346" t="s">
        <v>3848</v>
      </c>
      <c r="E4346" s="3" t="s">
        <v>9</v>
      </c>
      <c r="F4346" s="4">
        <v>3.4899999999999999E-23</v>
      </c>
      <c r="G4346" s="3">
        <v>237</v>
      </c>
      <c r="H4346" s="3">
        <v>42</v>
      </c>
      <c r="I4346" s="3">
        <v>111</v>
      </c>
      <c r="J4346" s="3">
        <v>217</v>
      </c>
      <c r="K4346" s="3">
        <v>549</v>
      </c>
      <c r="L4346" s="3">
        <v>51</v>
      </c>
      <c r="M4346" s="3">
        <v>161</v>
      </c>
    </row>
    <row r="4347" spans="1:13" x14ac:dyDescent="0.25">
      <c r="A4347" s="1" t="str">
        <f>HYPERLINK("http://www.rosaceae.org/Prunus/Prunus_persica/p.persica_gdr_reftransV1_0044852","p.persica_gdr_reftransV1_0044852")</f>
        <v>p.persica_gdr_reftransV1_0044852</v>
      </c>
      <c r="B4347" s="3">
        <v>1473</v>
      </c>
      <c r="C4347" s="1" t="str">
        <f>HYPERLINK("http://www.uniprot.org/uniprot/DFRA_PYRCO","DFRA_PYRCO")</f>
        <v>DFRA_PYRCO</v>
      </c>
      <c r="D4347" t="s">
        <v>3849</v>
      </c>
      <c r="E4347" s="3" t="s">
        <v>3258</v>
      </c>
      <c r="F4347" s="4">
        <v>0</v>
      </c>
      <c r="G4347" s="3">
        <v>1627</v>
      </c>
      <c r="H4347" s="3">
        <v>87</v>
      </c>
      <c r="I4347" s="3">
        <v>345</v>
      </c>
      <c r="J4347" s="3">
        <v>371</v>
      </c>
      <c r="K4347" s="3">
        <v>1402</v>
      </c>
      <c r="L4347" s="3">
        <v>1</v>
      </c>
      <c r="M4347" s="3">
        <v>345</v>
      </c>
    </row>
    <row r="4348" spans="1:13" x14ac:dyDescent="0.25">
      <c r="A4348" s="1" t="str">
        <f>HYPERLINK("http://www.rosaceae.org/Prunus/Prunus_persica/p.persica_gdr_reftransV1_0044902","p.persica_gdr_reftransV1_0044902")</f>
        <v>p.persica_gdr_reftransV1_0044902</v>
      </c>
      <c r="B4348" s="3">
        <v>2585</v>
      </c>
      <c r="C4348" s="1" t="str">
        <f>HYPERLINK("http://www.uniprot.org/uniprot/SFH13_ARATH","SFH13_ARATH")</f>
        <v>SFH13_ARATH</v>
      </c>
      <c r="D4348" t="s">
        <v>3146</v>
      </c>
      <c r="E4348" s="3" t="s">
        <v>3</v>
      </c>
      <c r="F4348" s="4">
        <v>0</v>
      </c>
      <c r="G4348" s="3">
        <v>1873</v>
      </c>
      <c r="H4348" s="3">
        <v>62</v>
      </c>
      <c r="I4348" s="3">
        <v>625</v>
      </c>
      <c r="J4348" s="3">
        <v>402</v>
      </c>
      <c r="K4348" s="3">
        <v>2264</v>
      </c>
      <c r="L4348" s="3">
        <v>1</v>
      </c>
      <c r="M4348" s="3">
        <v>625</v>
      </c>
    </row>
    <row r="4349" spans="1:13" x14ac:dyDescent="0.25">
      <c r="A4349" s="1" t="str">
        <f>HYPERLINK("http://www.rosaceae.org/Prunus/Prunus_persica/p.persica_gdr_reftransV1_0044952","p.persica_gdr_reftransV1_0044952")</f>
        <v>p.persica_gdr_reftransV1_0044952</v>
      </c>
      <c r="B4349" s="3">
        <v>1157</v>
      </c>
      <c r="C4349" s="1" t="str">
        <f>HYPERLINK("http://www.uniprot.org/uniprot/SSRB_CANFA","SSRB_CANFA")</f>
        <v>SSRB_CANFA</v>
      </c>
      <c r="D4349" t="s">
        <v>3850</v>
      </c>
      <c r="E4349" s="3" t="s">
        <v>2940</v>
      </c>
      <c r="F4349" s="4">
        <v>1.2400000000000001E-10</v>
      </c>
      <c r="G4349" s="3">
        <v>154</v>
      </c>
      <c r="H4349" s="3">
        <v>31</v>
      </c>
      <c r="I4349" s="3">
        <v>132</v>
      </c>
      <c r="J4349" s="3">
        <v>231</v>
      </c>
      <c r="K4349" s="3">
        <v>599</v>
      </c>
      <c r="L4349" s="3">
        <v>12</v>
      </c>
      <c r="M4349" s="3">
        <v>143</v>
      </c>
    </row>
    <row r="4350" spans="1:13" x14ac:dyDescent="0.25">
      <c r="A4350" s="1" t="str">
        <f>HYPERLINK("http://www.rosaceae.org/Prunus/Prunus_persica/p.persica_gdr_reftransV1_0045152","p.persica_gdr_reftransV1_0045152")</f>
        <v>p.persica_gdr_reftransV1_0045152</v>
      </c>
      <c r="B4350" s="3">
        <v>2295</v>
      </c>
      <c r="C4350" s="1" t="str">
        <f>HYPERLINK("http://www.uniprot.org/uniprot/CYPR4_CYNCA","CYPR4_CYNCA")</f>
        <v>CYPR4_CYNCA</v>
      </c>
      <c r="D4350" t="s">
        <v>3688</v>
      </c>
      <c r="E4350" s="3" t="s">
        <v>2181</v>
      </c>
      <c r="F4350" s="4">
        <v>0</v>
      </c>
      <c r="G4350" s="3">
        <v>1857</v>
      </c>
      <c r="H4350" s="3">
        <v>74</v>
      </c>
      <c r="I4350" s="3">
        <v>488</v>
      </c>
      <c r="J4350" s="3">
        <v>254</v>
      </c>
      <c r="K4350" s="3">
        <v>1699</v>
      </c>
      <c r="L4350" s="3">
        <v>3</v>
      </c>
      <c r="M4350" s="3">
        <v>486</v>
      </c>
    </row>
    <row r="4351" spans="1:13" x14ac:dyDescent="0.25">
      <c r="A4351" s="1" t="str">
        <f>HYPERLINK("http://www.rosaceae.org/Prunus/Prunus_persica/p.persica_gdr_reftransV1_0045202","p.persica_gdr_reftransV1_0045202")</f>
        <v>p.persica_gdr_reftransV1_0045202</v>
      </c>
      <c r="B4351" s="3">
        <v>1351</v>
      </c>
      <c r="C4351" s="1" t="str">
        <f>HYPERLINK("http://www.uniprot.org/uniprot/B3GTG_ARATH","B3GTG_ARATH")</f>
        <v>B3GTG_ARATH</v>
      </c>
      <c r="D4351" t="s">
        <v>3851</v>
      </c>
      <c r="E4351" s="3" t="s">
        <v>3</v>
      </c>
      <c r="F4351" s="4">
        <v>0</v>
      </c>
      <c r="G4351" s="3">
        <v>1358</v>
      </c>
      <c r="H4351" s="3">
        <v>69</v>
      </c>
      <c r="I4351" s="3">
        <v>341</v>
      </c>
      <c r="J4351" s="3">
        <v>9</v>
      </c>
      <c r="K4351" s="3">
        <v>1031</v>
      </c>
      <c r="L4351" s="3">
        <v>279</v>
      </c>
      <c r="M4351" s="3">
        <v>619</v>
      </c>
    </row>
    <row r="4352" spans="1:13" x14ac:dyDescent="0.25">
      <c r="A4352" s="1" t="str">
        <f>HYPERLINK("http://www.rosaceae.org/Prunus/Prunus_persica/p.persica_gdr_reftransV1_0045302","p.persica_gdr_reftransV1_0045302")</f>
        <v>p.persica_gdr_reftransV1_0045302</v>
      </c>
      <c r="B4352" s="3">
        <v>582</v>
      </c>
      <c r="C4352" s="1" t="str">
        <f>HYPERLINK("http://www.uniprot.org/uniprot/MORF7_ARATH","MORF7_ARATH")</f>
        <v>MORF7_ARATH</v>
      </c>
      <c r="D4352" t="s">
        <v>3852</v>
      </c>
      <c r="E4352" s="3" t="s">
        <v>3</v>
      </c>
      <c r="F4352" s="4">
        <v>1.14E-59</v>
      </c>
      <c r="G4352" s="3">
        <v>485</v>
      </c>
      <c r="H4352" s="3">
        <v>69</v>
      </c>
      <c r="I4352" s="3">
        <v>121</v>
      </c>
      <c r="J4352" s="3">
        <v>5</v>
      </c>
      <c r="K4352" s="3">
        <v>367</v>
      </c>
      <c r="L4352" s="3">
        <v>47</v>
      </c>
      <c r="M4352" s="3">
        <v>167</v>
      </c>
    </row>
    <row r="4353" spans="1:13" x14ac:dyDescent="0.25">
      <c r="A4353" s="1" t="str">
        <f>HYPERLINK("http://www.rosaceae.org/Prunus/Prunus_persica/p.persica_gdr_reftransV1_0045402","p.persica_gdr_reftransV1_0045402")</f>
        <v>p.persica_gdr_reftransV1_0045402</v>
      </c>
      <c r="B4353" s="3">
        <v>1080</v>
      </c>
      <c r="C4353" s="1" t="str">
        <f>HYPERLINK("http://www.uniprot.org/uniprot/RT04_ARATH","RT04_ARATH")</f>
        <v>RT04_ARATH</v>
      </c>
      <c r="D4353" t="s">
        <v>3853</v>
      </c>
      <c r="E4353" s="3" t="s">
        <v>3</v>
      </c>
      <c r="F4353" s="4">
        <v>0</v>
      </c>
      <c r="G4353" s="3">
        <v>1370</v>
      </c>
      <c r="H4353" s="3">
        <v>85</v>
      </c>
      <c r="I4353" s="3">
        <v>351</v>
      </c>
      <c r="J4353" s="3">
        <v>20</v>
      </c>
      <c r="K4353" s="3">
        <v>1063</v>
      </c>
      <c r="L4353" s="3">
        <v>14</v>
      </c>
      <c r="M4353" s="3">
        <v>362</v>
      </c>
    </row>
    <row r="4354" spans="1:13" x14ac:dyDescent="0.25">
      <c r="A4354" s="1" t="str">
        <f>HYPERLINK("http://www.rosaceae.org/Prunus/Prunus_persica/p.persica_gdr_reftransV1_0045502","p.persica_gdr_reftransV1_0045502")</f>
        <v>p.persica_gdr_reftransV1_0045502</v>
      </c>
      <c r="B4354" s="3">
        <v>557</v>
      </c>
      <c r="C4354" s="1" t="str">
        <f>HYPERLINK("http://www.uniprot.org/uniprot/HAT7_ARATH","HAT7_ARATH")</f>
        <v>HAT7_ARATH</v>
      </c>
      <c r="D4354" t="s">
        <v>3854</v>
      </c>
      <c r="E4354" s="3" t="s">
        <v>3</v>
      </c>
      <c r="F4354" s="4">
        <v>4.5599999999999999E-25</v>
      </c>
      <c r="G4354" s="3">
        <v>257</v>
      </c>
      <c r="H4354" s="3">
        <v>51</v>
      </c>
      <c r="I4354" s="3">
        <v>140</v>
      </c>
      <c r="J4354" s="3">
        <v>2</v>
      </c>
      <c r="K4354" s="3">
        <v>388</v>
      </c>
      <c r="L4354" s="3">
        <v>22</v>
      </c>
      <c r="M4354" s="3">
        <v>157</v>
      </c>
    </row>
    <row r="4355" spans="1:13" x14ac:dyDescent="0.25">
      <c r="A4355" s="1" t="str">
        <f>HYPERLINK("http://www.rosaceae.org/Prunus/Prunus_persica/p.persica_gdr_reftransV1_0045652","p.persica_gdr_reftransV1_0045652")</f>
        <v>p.persica_gdr_reftransV1_0045652</v>
      </c>
      <c r="B4355" s="3">
        <v>2390</v>
      </c>
      <c r="C4355" s="1" t="str">
        <f>HYPERLINK("http://www.uniprot.org/uniprot/SLK2_ARATH","SLK2_ARATH")</f>
        <v>SLK2_ARATH</v>
      </c>
      <c r="D4355" t="s">
        <v>795</v>
      </c>
      <c r="E4355" s="3" t="s">
        <v>3</v>
      </c>
      <c r="F4355" s="4">
        <v>1.04E-178</v>
      </c>
      <c r="G4355" s="3">
        <v>1393</v>
      </c>
      <c r="H4355" s="3">
        <v>71</v>
      </c>
      <c r="I4355" s="3">
        <v>393</v>
      </c>
      <c r="J4355" s="3">
        <v>846</v>
      </c>
      <c r="K4355" s="3">
        <v>2015</v>
      </c>
      <c r="L4355" s="3">
        <v>285</v>
      </c>
      <c r="M4355" s="3">
        <v>667</v>
      </c>
    </row>
    <row r="4356" spans="1:13" x14ac:dyDescent="0.25">
      <c r="A4356" s="1" t="str">
        <f>HYPERLINK("http://www.rosaceae.org/Prunus/Prunus_persica/p.persica_gdr_reftransV1_0045752","p.persica_gdr_reftransV1_0045752")</f>
        <v>p.persica_gdr_reftransV1_0045752</v>
      </c>
      <c r="B4356" s="3">
        <v>1727</v>
      </c>
      <c r="C4356" s="1" t="str">
        <f>HYPERLINK("http://www.uniprot.org/uniprot/C7A29_PANGI","C7A29_PANGI")</f>
        <v>C7A29_PANGI</v>
      </c>
      <c r="D4356" t="s">
        <v>3855</v>
      </c>
      <c r="E4356" s="3" t="s">
        <v>1477</v>
      </c>
      <c r="F4356" s="4">
        <v>0</v>
      </c>
      <c r="G4356" s="3">
        <v>1707</v>
      </c>
      <c r="H4356" s="3">
        <v>64</v>
      </c>
      <c r="I4356" s="3">
        <v>500</v>
      </c>
      <c r="J4356" s="3">
        <v>138</v>
      </c>
      <c r="K4356" s="3">
        <v>1634</v>
      </c>
      <c r="L4356" s="3">
        <v>17</v>
      </c>
      <c r="M4356" s="3">
        <v>515</v>
      </c>
    </row>
    <row r="4357" spans="1:13" x14ac:dyDescent="0.25">
      <c r="A4357" s="1" t="str">
        <f>HYPERLINK("http://www.rosaceae.org/Prunus/Prunus_persica/p.persica_gdr_reftransV1_0045852","p.persica_gdr_reftransV1_0045852")</f>
        <v>p.persica_gdr_reftransV1_0045852</v>
      </c>
      <c r="B4357" s="3">
        <v>1020</v>
      </c>
      <c r="C4357" s="1" t="str">
        <f>HYPERLINK("http://www.uniprot.org/uniprot/IAA26_ARATH","IAA26_ARATH")</f>
        <v>IAA26_ARATH</v>
      </c>
      <c r="D4357" t="s">
        <v>3856</v>
      </c>
      <c r="E4357" s="3" t="s">
        <v>3</v>
      </c>
      <c r="F4357" s="4">
        <v>6.0899999999999995E-47</v>
      </c>
      <c r="G4357" s="3">
        <v>419</v>
      </c>
      <c r="H4357" s="3">
        <v>40</v>
      </c>
      <c r="I4357" s="3">
        <v>293</v>
      </c>
      <c r="J4357" s="3">
        <v>146</v>
      </c>
      <c r="K4357" s="3">
        <v>1018</v>
      </c>
      <c r="L4357" s="3">
        <v>14</v>
      </c>
      <c r="M4357" s="3">
        <v>246</v>
      </c>
    </row>
    <row r="4358" spans="1:13" x14ac:dyDescent="0.25">
      <c r="A4358" s="1" t="str">
        <f>HYPERLINK("http://www.rosaceae.org/Prunus/Prunus_persica/p.persica_gdr_reftransV1_0045952","p.persica_gdr_reftransV1_0045952")</f>
        <v>p.persica_gdr_reftransV1_0045952</v>
      </c>
      <c r="B4358" s="3">
        <v>3136</v>
      </c>
      <c r="C4358" s="1" t="str">
        <f>HYPERLINK("http://www.uniprot.org/uniprot/ALE2_ARATH","ALE2_ARATH")</f>
        <v>ALE2_ARATH</v>
      </c>
      <c r="D4358" t="s">
        <v>3266</v>
      </c>
      <c r="E4358" s="3" t="s">
        <v>3</v>
      </c>
      <c r="F4358" s="4">
        <v>0</v>
      </c>
      <c r="G4358" s="3">
        <v>1567</v>
      </c>
      <c r="H4358" s="3">
        <v>49</v>
      </c>
      <c r="I4358" s="3">
        <v>756</v>
      </c>
      <c r="J4358" s="3">
        <v>420</v>
      </c>
      <c r="K4358" s="3">
        <v>2642</v>
      </c>
      <c r="L4358" s="3">
        <v>29</v>
      </c>
      <c r="M4358" s="3">
        <v>728</v>
      </c>
    </row>
    <row r="4359" spans="1:13" x14ac:dyDescent="0.25">
      <c r="A4359" s="1" t="str">
        <f>HYPERLINK("http://www.rosaceae.org/Prunus/Prunus_persica/p.persica_gdr_reftransV1_0046002","p.persica_gdr_reftransV1_0046002")</f>
        <v>p.persica_gdr_reftransV1_0046002</v>
      </c>
      <c r="B4359" s="3">
        <v>3184</v>
      </c>
      <c r="C4359" s="1" t="str">
        <f>HYPERLINK("http://www.uniprot.org/uniprot/CAPP1_SOYBN","CAPP1_SOYBN")</f>
        <v>CAPP1_SOYBN</v>
      </c>
      <c r="D4359" t="s">
        <v>3857</v>
      </c>
      <c r="E4359" s="3" t="s">
        <v>307</v>
      </c>
      <c r="F4359" s="4">
        <v>0</v>
      </c>
      <c r="G4359" s="3">
        <v>4554</v>
      </c>
      <c r="H4359" s="3">
        <v>89</v>
      </c>
      <c r="I4359" s="3">
        <v>968</v>
      </c>
      <c r="J4359" s="3">
        <v>167</v>
      </c>
      <c r="K4359" s="3">
        <v>3064</v>
      </c>
      <c r="L4359" s="3">
        <v>1</v>
      </c>
      <c r="M4359" s="3">
        <v>967</v>
      </c>
    </row>
    <row r="4360" spans="1:13" x14ac:dyDescent="0.25">
      <c r="A4360" s="1" t="str">
        <f>HYPERLINK("http://www.rosaceae.org/Prunus/Prunus_persica/p.persica_gdr_reftransV1_0046052","p.persica_gdr_reftransV1_0046052")</f>
        <v>p.persica_gdr_reftransV1_0046052</v>
      </c>
      <c r="B4360" s="3">
        <v>1508</v>
      </c>
      <c r="C4360" s="1" t="str">
        <f>HYPERLINK("http://www.uniprot.org/uniprot/LYSM2_DANRE","LYSM2_DANRE")</f>
        <v>LYSM2_DANRE</v>
      </c>
      <c r="D4360" t="s">
        <v>3858</v>
      </c>
      <c r="E4360" s="3" t="s">
        <v>704</v>
      </c>
      <c r="F4360" s="4">
        <v>9.2600000000000001E-7</v>
      </c>
      <c r="G4360" s="3">
        <v>126</v>
      </c>
      <c r="H4360" s="3">
        <v>36</v>
      </c>
      <c r="I4360" s="3">
        <v>81</v>
      </c>
      <c r="J4360" s="3">
        <v>1212</v>
      </c>
      <c r="K4360" s="3">
        <v>1439</v>
      </c>
      <c r="L4360" s="3">
        <v>64</v>
      </c>
      <c r="M4360" s="3">
        <v>144</v>
      </c>
    </row>
    <row r="4361" spans="1:13" x14ac:dyDescent="0.25">
      <c r="A4361" s="1" t="str">
        <f>HYPERLINK("http://www.rosaceae.org/Prunus/Prunus_persica/p.persica_gdr_reftransV1_0046152","p.persica_gdr_reftransV1_0046152")</f>
        <v>p.persica_gdr_reftransV1_0046152</v>
      </c>
      <c r="B4361" s="3">
        <v>1597</v>
      </c>
      <c r="C4361" s="1" t="str">
        <f>HYPERLINK("http://www.uniprot.org/uniprot/U74E2_ARATH","U74E2_ARATH")</f>
        <v>U74E2_ARATH</v>
      </c>
      <c r="D4361" t="s">
        <v>473</v>
      </c>
      <c r="E4361" s="3" t="s">
        <v>3</v>
      </c>
      <c r="F4361" s="4">
        <v>5.0600000000000003E-143</v>
      </c>
      <c r="G4361" s="3">
        <v>1097</v>
      </c>
      <c r="H4361" s="3">
        <v>50</v>
      </c>
      <c r="I4361" s="3">
        <v>447</v>
      </c>
      <c r="J4361" s="3">
        <v>114</v>
      </c>
      <c r="K4361" s="3">
        <v>1448</v>
      </c>
      <c r="L4361" s="3">
        <v>6</v>
      </c>
      <c r="M4361" s="3">
        <v>450</v>
      </c>
    </row>
    <row r="4362" spans="1:13" x14ac:dyDescent="0.25">
      <c r="A4362" s="1" t="str">
        <f>HYPERLINK("http://www.rosaceae.org/Prunus/Prunus_persica/p.persica_gdr_reftransV1_0046202","p.persica_gdr_reftransV1_0046202")</f>
        <v>p.persica_gdr_reftransV1_0046202</v>
      </c>
      <c r="B4362" s="3">
        <v>495</v>
      </c>
      <c r="C4362" s="1" t="str">
        <f>HYPERLINK("http://www.uniprot.org/uniprot/BGL27_ORYSJ","BGL27_ORYSJ")</f>
        <v>BGL27_ORYSJ</v>
      </c>
      <c r="D4362" t="s">
        <v>3859</v>
      </c>
      <c r="E4362" s="3" t="s">
        <v>38</v>
      </c>
      <c r="F4362" s="4">
        <v>1.88E-34</v>
      </c>
      <c r="G4362" s="3">
        <v>327</v>
      </c>
      <c r="H4362" s="3">
        <v>61</v>
      </c>
      <c r="I4362" s="3">
        <v>104</v>
      </c>
      <c r="J4362" s="3">
        <v>184</v>
      </c>
      <c r="K4362" s="3">
        <v>495</v>
      </c>
      <c r="L4362" s="3">
        <v>395</v>
      </c>
      <c r="M4362" s="3">
        <v>497</v>
      </c>
    </row>
    <row r="4363" spans="1:13" x14ac:dyDescent="0.25">
      <c r="A4363" s="1" t="str">
        <f>HYPERLINK("http://www.rosaceae.org/Prunus/Prunus_persica/p.persica_gdr_reftransV1_0046502","p.persica_gdr_reftransV1_0046502")</f>
        <v>p.persica_gdr_reftransV1_0046502</v>
      </c>
      <c r="B4363" s="3">
        <v>1078</v>
      </c>
      <c r="C4363" s="1" t="str">
        <f>HYPERLINK("http://www.uniprot.org/uniprot/DRL21_ARATH","DRL21_ARATH")</f>
        <v>DRL21_ARATH</v>
      </c>
      <c r="D4363" t="s">
        <v>3610</v>
      </c>
      <c r="E4363" s="3" t="s">
        <v>3</v>
      </c>
      <c r="F4363" s="4">
        <v>9.2199999999999997E-21</v>
      </c>
      <c r="G4363" s="3">
        <v>243</v>
      </c>
      <c r="H4363" s="3">
        <v>37</v>
      </c>
      <c r="I4363" s="3">
        <v>213</v>
      </c>
      <c r="J4363" s="3">
        <v>385</v>
      </c>
      <c r="K4363" s="3">
        <v>1005</v>
      </c>
      <c r="L4363" s="3">
        <v>1174</v>
      </c>
      <c r="M4363" s="3">
        <v>1375</v>
      </c>
    </row>
    <row r="4364" spans="1:13" x14ac:dyDescent="0.25">
      <c r="A4364" s="1" t="str">
        <f>HYPERLINK("http://www.rosaceae.org/Prunus/Prunus_persica/p.persica_gdr_reftransV1_0046702","p.persica_gdr_reftransV1_0046702")</f>
        <v>p.persica_gdr_reftransV1_0046702</v>
      </c>
      <c r="B4364" s="3">
        <v>1023</v>
      </c>
      <c r="C4364" s="1" t="str">
        <f>HYPERLINK("http://www.uniprot.org/uniprot/FK117_ARATH","FK117_ARATH")</f>
        <v>FK117_ARATH</v>
      </c>
      <c r="D4364" t="s">
        <v>3860</v>
      </c>
      <c r="E4364" s="3" t="s">
        <v>3</v>
      </c>
      <c r="F4364" s="4">
        <v>4.0599999999999997E-101</v>
      </c>
      <c r="G4364" s="3">
        <v>808</v>
      </c>
      <c r="H4364" s="3">
        <v>59</v>
      </c>
      <c r="I4364" s="3">
        <v>276</v>
      </c>
      <c r="J4364" s="3">
        <v>12</v>
      </c>
      <c r="K4364" s="3">
        <v>833</v>
      </c>
      <c r="L4364" s="3">
        <v>2</v>
      </c>
      <c r="M4364" s="3">
        <v>263</v>
      </c>
    </row>
    <row r="4365" spans="1:13" x14ac:dyDescent="0.25">
      <c r="A4365" s="1" t="str">
        <f>HYPERLINK("http://www.rosaceae.org/Prunus/Prunus_persica/p.persica_gdr_reftransV1_0046802","p.persica_gdr_reftransV1_0046802")</f>
        <v>p.persica_gdr_reftransV1_0046802</v>
      </c>
      <c r="B4365" s="3">
        <v>4484</v>
      </c>
      <c r="C4365" s="1" t="str">
        <f>HYPERLINK("http://www.uniprot.org/uniprot/YGBJ_ECOLI","YGBJ_ECOLI")</f>
        <v>YGBJ_ECOLI</v>
      </c>
      <c r="D4365" t="s">
        <v>3861</v>
      </c>
      <c r="E4365" s="3" t="s">
        <v>2372</v>
      </c>
      <c r="F4365" s="4">
        <v>7.0100000000000003E-61</v>
      </c>
      <c r="G4365" s="3">
        <v>553</v>
      </c>
      <c r="H4365" s="3">
        <v>42</v>
      </c>
      <c r="I4365" s="3">
        <v>296</v>
      </c>
      <c r="J4365" s="3">
        <v>2579</v>
      </c>
      <c r="K4365" s="3">
        <v>3457</v>
      </c>
      <c r="L4365" s="3">
        <v>8</v>
      </c>
      <c r="M4365" s="3">
        <v>301</v>
      </c>
    </row>
    <row r="4366" spans="1:13" x14ac:dyDescent="0.25">
      <c r="A4366" s="1" t="str">
        <f>HYPERLINK("http://www.rosaceae.org/Prunus/Prunus_persica/p.persica_gdr_reftransV1_0046852","p.persica_gdr_reftransV1_0046852")</f>
        <v>p.persica_gdr_reftransV1_0046852</v>
      </c>
      <c r="B4366" s="3">
        <v>1215</v>
      </c>
      <c r="C4366" s="1" t="str">
        <f>HYPERLINK("http://www.uniprot.org/uniprot/BURP3_ORYSJ","BURP3_ORYSJ")</f>
        <v>BURP3_ORYSJ</v>
      </c>
      <c r="D4366" t="s">
        <v>1863</v>
      </c>
      <c r="E4366" s="3" t="s">
        <v>38</v>
      </c>
      <c r="F4366" s="4">
        <v>1.1799999999999999E-71</v>
      </c>
      <c r="G4366" s="3">
        <v>605</v>
      </c>
      <c r="H4366" s="3">
        <v>49</v>
      </c>
      <c r="I4366" s="3">
        <v>226</v>
      </c>
      <c r="J4366" s="3">
        <v>472</v>
      </c>
      <c r="K4366" s="3">
        <v>1146</v>
      </c>
      <c r="L4366" s="3">
        <v>200</v>
      </c>
      <c r="M4366" s="3">
        <v>425</v>
      </c>
    </row>
    <row r="4367" spans="1:13" x14ac:dyDescent="0.25">
      <c r="A4367" s="1" t="str">
        <f>HYPERLINK("http://www.rosaceae.org/Prunus/Prunus_persica/p.persica_gdr_reftransV1_0046902","p.persica_gdr_reftransV1_0046902")</f>
        <v>p.persica_gdr_reftransV1_0046902</v>
      </c>
      <c r="B4367" s="3">
        <v>3348</v>
      </c>
      <c r="C4367" s="1" t="str">
        <f>HYPERLINK("http://www.uniprot.org/uniprot/XYL1_ARATH","XYL1_ARATH")</f>
        <v>XYL1_ARATH</v>
      </c>
      <c r="D4367" t="s">
        <v>3862</v>
      </c>
      <c r="E4367" s="3" t="s">
        <v>3</v>
      </c>
      <c r="F4367" s="4">
        <v>0</v>
      </c>
      <c r="G4367" s="3">
        <v>3798</v>
      </c>
      <c r="H4367" s="3">
        <v>77</v>
      </c>
      <c r="I4367" s="3">
        <v>892</v>
      </c>
      <c r="J4367" s="3">
        <v>198</v>
      </c>
      <c r="K4367" s="3">
        <v>2870</v>
      </c>
      <c r="L4367" s="3">
        <v>32</v>
      </c>
      <c r="M4367" s="3">
        <v>914</v>
      </c>
    </row>
    <row r="4368" spans="1:13" x14ac:dyDescent="0.25">
      <c r="A4368" s="1" t="str">
        <f>HYPERLINK("http://www.rosaceae.org/Prunus/Prunus_persica/p.persica_gdr_reftransV1_0046952","p.persica_gdr_reftransV1_0046952")</f>
        <v>p.persica_gdr_reftransV1_0046952</v>
      </c>
      <c r="B4368" s="3">
        <v>2128</v>
      </c>
      <c r="C4368" s="1" t="str">
        <f>HYPERLINK("http://www.uniprot.org/uniprot/DHQSD_ARATH","DHQSD_ARATH")</f>
        <v>DHQSD_ARATH</v>
      </c>
      <c r="D4368" t="s">
        <v>451</v>
      </c>
      <c r="E4368" s="3" t="s">
        <v>3</v>
      </c>
      <c r="F4368" s="4">
        <v>0</v>
      </c>
      <c r="G4368" s="3">
        <v>1697</v>
      </c>
      <c r="H4368" s="3">
        <v>66</v>
      </c>
      <c r="I4368" s="3">
        <v>530</v>
      </c>
      <c r="J4368" s="3">
        <v>110</v>
      </c>
      <c r="K4368" s="3">
        <v>1699</v>
      </c>
      <c r="L4368" s="3">
        <v>76</v>
      </c>
      <c r="M4368" s="3">
        <v>603</v>
      </c>
    </row>
    <row r="4369" spans="1:13" x14ac:dyDescent="0.25">
      <c r="A4369" s="1" t="str">
        <f>HYPERLINK("http://www.rosaceae.org/Prunus/Prunus_persica/p.persica_gdr_reftransV1_0047052","p.persica_gdr_reftransV1_0047052")</f>
        <v>p.persica_gdr_reftransV1_0047052</v>
      </c>
      <c r="B4369" s="3">
        <v>2703</v>
      </c>
      <c r="C4369" s="1" t="str">
        <f>HYPERLINK("http://www.uniprot.org/uniprot/ARMC8_BOVIN","ARMC8_BOVIN")</f>
        <v>ARMC8_BOVIN</v>
      </c>
      <c r="D4369" t="s">
        <v>3863</v>
      </c>
      <c r="E4369" s="3" t="s">
        <v>184</v>
      </c>
      <c r="F4369" s="4">
        <v>3.9800000000000001E-35</v>
      </c>
      <c r="G4369" s="3">
        <v>369</v>
      </c>
      <c r="H4369" s="3">
        <v>24</v>
      </c>
      <c r="I4369" s="3">
        <v>671</v>
      </c>
      <c r="J4369" s="3">
        <v>575</v>
      </c>
      <c r="K4369" s="3">
        <v>2506</v>
      </c>
      <c r="L4369" s="3">
        <v>27</v>
      </c>
      <c r="M4369" s="3">
        <v>671</v>
      </c>
    </row>
    <row r="4370" spans="1:13" x14ac:dyDescent="0.25">
      <c r="A4370" s="1" t="str">
        <f>HYPERLINK("http://www.rosaceae.org/Prunus/Prunus_persica/p.persica_gdr_reftransV1_0047102","p.persica_gdr_reftransV1_0047102")</f>
        <v>p.persica_gdr_reftransV1_0047102</v>
      </c>
      <c r="B4370" s="3">
        <v>1122</v>
      </c>
      <c r="C4370" s="1" t="str">
        <f>HYPERLINK("http://www.uniprot.org/uniprot/P5CR_ACTCH","P5CR_ACTCH")</f>
        <v>P5CR_ACTCH</v>
      </c>
      <c r="D4370" t="s">
        <v>3864</v>
      </c>
      <c r="E4370" s="3" t="s">
        <v>1862</v>
      </c>
      <c r="F4370" s="4">
        <v>6.41E-154</v>
      </c>
      <c r="G4370" s="3">
        <v>1136</v>
      </c>
      <c r="H4370" s="3">
        <v>80</v>
      </c>
      <c r="I4370" s="3">
        <v>269</v>
      </c>
      <c r="J4370" s="3">
        <v>222</v>
      </c>
      <c r="K4370" s="3">
        <v>1028</v>
      </c>
      <c r="L4370" s="3">
        <v>7</v>
      </c>
      <c r="M4370" s="3">
        <v>275</v>
      </c>
    </row>
    <row r="4371" spans="1:13" x14ac:dyDescent="0.25">
      <c r="A4371" s="1" t="str">
        <f>HYPERLINK("http://www.rosaceae.org/Prunus/Prunus_persica/p.persica_gdr_reftransV1_0047152","p.persica_gdr_reftransV1_0047152")</f>
        <v>p.persica_gdr_reftransV1_0047152</v>
      </c>
      <c r="B4371" s="3">
        <v>943</v>
      </c>
      <c r="C4371" s="1" t="str">
        <f>HYPERLINK("http://www.uniprot.org/uniprot/PLCD4_ARATH","PLCD4_ARATH")</f>
        <v>PLCD4_ARATH</v>
      </c>
      <c r="D4371" t="s">
        <v>3865</v>
      </c>
      <c r="E4371" s="3" t="s">
        <v>3</v>
      </c>
      <c r="F4371" s="4">
        <v>5.3199999999999995E-141</v>
      </c>
      <c r="G4371" s="3">
        <v>1074</v>
      </c>
      <c r="H4371" s="3">
        <v>70</v>
      </c>
      <c r="I4371" s="3">
        <v>310</v>
      </c>
      <c r="J4371" s="3">
        <v>37</v>
      </c>
      <c r="K4371" s="3">
        <v>942</v>
      </c>
      <c r="L4371" s="3">
        <v>280</v>
      </c>
      <c r="M4371" s="3">
        <v>589</v>
      </c>
    </row>
    <row r="4372" spans="1:13" x14ac:dyDescent="0.25">
      <c r="A4372" s="1" t="str">
        <f>HYPERLINK("http://www.rosaceae.org/Prunus/Prunus_persica/p.persica_gdr_reftransV1_0047202","p.persica_gdr_reftransV1_0047202")</f>
        <v>p.persica_gdr_reftransV1_0047202</v>
      </c>
      <c r="B4372" s="3">
        <v>1725</v>
      </c>
      <c r="C4372" s="1" t="str">
        <f>HYPERLINK("http://www.uniprot.org/uniprot/Y1480_ARATH","Y1480_ARATH")</f>
        <v>Y1480_ARATH</v>
      </c>
      <c r="D4372" t="s">
        <v>3866</v>
      </c>
      <c r="E4372" s="3" t="s">
        <v>3</v>
      </c>
      <c r="F4372" s="4">
        <v>5.44E-174</v>
      </c>
      <c r="G4372" s="3">
        <v>1301</v>
      </c>
      <c r="H4372" s="3">
        <v>62</v>
      </c>
      <c r="I4372" s="3">
        <v>403</v>
      </c>
      <c r="J4372" s="3">
        <v>115</v>
      </c>
      <c r="K4372" s="3">
        <v>1314</v>
      </c>
      <c r="L4372" s="3">
        <v>11</v>
      </c>
      <c r="M4372" s="3">
        <v>391</v>
      </c>
    </row>
    <row r="4373" spans="1:13" x14ac:dyDescent="0.25">
      <c r="A4373" s="1" t="str">
        <f>HYPERLINK("http://www.rosaceae.org/Prunus/Prunus_persica/p.persica_gdr_reftransV1_0047252","p.persica_gdr_reftransV1_0047252")</f>
        <v>p.persica_gdr_reftransV1_0047252</v>
      </c>
      <c r="B4373" s="3">
        <v>1380</v>
      </c>
      <c r="C4373" s="1" t="str">
        <f>HYPERLINK("http://www.uniprot.org/uniprot/SRC30_ARATH","SRC30_ARATH")</f>
        <v>SRC30_ARATH</v>
      </c>
      <c r="D4373" t="s">
        <v>3867</v>
      </c>
      <c r="E4373" s="3" t="s">
        <v>3</v>
      </c>
      <c r="F4373" s="4">
        <v>1.8599999999999999E-40</v>
      </c>
      <c r="G4373" s="3">
        <v>381</v>
      </c>
      <c r="H4373" s="3">
        <v>77</v>
      </c>
      <c r="I4373" s="3">
        <v>92</v>
      </c>
      <c r="J4373" s="3">
        <v>860</v>
      </c>
      <c r="K4373" s="3">
        <v>1135</v>
      </c>
      <c r="L4373" s="3">
        <v>49</v>
      </c>
      <c r="M4373" s="3">
        <v>140</v>
      </c>
    </row>
    <row r="4374" spans="1:13" x14ac:dyDescent="0.25">
      <c r="A4374" s="1" t="str">
        <f>HYPERLINK("http://www.rosaceae.org/Prunus/Prunus_persica/p.persica_gdr_reftransV1_0047402","p.persica_gdr_reftransV1_0047402")</f>
        <v>p.persica_gdr_reftransV1_0047402</v>
      </c>
      <c r="B4374" s="3">
        <v>881</v>
      </c>
      <c r="C4374" s="1" t="str">
        <f>HYPERLINK("http://www.uniprot.org/uniprot/KCR2_ARATH","KCR2_ARATH")</f>
        <v>KCR2_ARATH</v>
      </c>
      <c r="D4374" t="s">
        <v>3868</v>
      </c>
      <c r="E4374" s="3" t="s">
        <v>3</v>
      </c>
      <c r="F4374" s="4">
        <v>7.2299999999999999E-113</v>
      </c>
      <c r="G4374" s="3">
        <v>860</v>
      </c>
      <c r="H4374" s="3">
        <v>63</v>
      </c>
      <c r="I4374" s="3">
        <v>250</v>
      </c>
      <c r="J4374" s="3">
        <v>131</v>
      </c>
      <c r="K4374" s="3">
        <v>880</v>
      </c>
      <c r="L4374" s="3">
        <v>59</v>
      </c>
      <c r="M4374" s="3">
        <v>305</v>
      </c>
    </row>
    <row r="4375" spans="1:13" x14ac:dyDescent="0.25">
      <c r="A4375" s="1" t="str">
        <f>HYPERLINK("http://www.rosaceae.org/Prunus/Prunus_persica/p.persica_gdr_reftransV1_0047552","p.persica_gdr_reftransV1_0047552")</f>
        <v>p.persica_gdr_reftransV1_0047552</v>
      </c>
      <c r="B4375" s="3">
        <v>2378</v>
      </c>
      <c r="C4375" s="1" t="str">
        <f>HYPERLINK("http://www.uniprot.org/uniprot/E138_ARATH","E138_ARATH")</f>
        <v>E138_ARATH</v>
      </c>
      <c r="D4375" t="s">
        <v>3869</v>
      </c>
      <c r="E4375" s="3" t="s">
        <v>3</v>
      </c>
      <c r="F4375" s="4">
        <v>0</v>
      </c>
      <c r="G4375" s="3">
        <v>1852</v>
      </c>
      <c r="H4375" s="3">
        <v>78</v>
      </c>
      <c r="I4375" s="3">
        <v>450</v>
      </c>
      <c r="J4375" s="3">
        <v>203</v>
      </c>
      <c r="K4375" s="3">
        <v>1552</v>
      </c>
      <c r="L4375" s="3">
        <v>9</v>
      </c>
      <c r="M4375" s="3">
        <v>452</v>
      </c>
    </row>
    <row r="4376" spans="1:13" x14ac:dyDescent="0.25">
      <c r="A4376" s="1" t="str">
        <f>HYPERLINK("http://www.rosaceae.org/Prunus/Prunus_persica/p.persica_gdr_reftransV1_0047602","p.persica_gdr_reftransV1_0047602")</f>
        <v>p.persica_gdr_reftransV1_0047602</v>
      </c>
      <c r="B4376" s="3">
        <v>813</v>
      </c>
      <c r="C4376" s="1" t="str">
        <f>HYPERLINK("http://www.uniprot.org/uniprot/GRP1_SINAL","GRP1_SINAL")</f>
        <v>GRP1_SINAL</v>
      </c>
      <c r="D4376" t="s">
        <v>3870</v>
      </c>
      <c r="E4376" s="3" t="s">
        <v>3871</v>
      </c>
      <c r="F4376" s="4">
        <v>6.9599999999999997E-42</v>
      </c>
      <c r="G4376" s="3">
        <v>371</v>
      </c>
      <c r="H4376" s="3">
        <v>79</v>
      </c>
      <c r="I4376" s="3">
        <v>85</v>
      </c>
      <c r="J4376" s="3">
        <v>49</v>
      </c>
      <c r="K4376" s="3">
        <v>303</v>
      </c>
      <c r="L4376" s="3">
        <v>1</v>
      </c>
      <c r="M4376" s="3">
        <v>85</v>
      </c>
    </row>
    <row r="4377" spans="1:13" x14ac:dyDescent="0.25">
      <c r="A4377" s="1" t="str">
        <f>HYPERLINK("http://www.rosaceae.org/Prunus/Prunus_persica/p.persica_gdr_reftransV1_0047652","p.persica_gdr_reftransV1_0047652")</f>
        <v>p.persica_gdr_reftransV1_0047652</v>
      </c>
      <c r="B4377" s="3">
        <v>362</v>
      </c>
      <c r="C4377" s="1" t="str">
        <f>HYPERLINK("http://www.uniprot.org/uniprot/PLA17_ARATH","PLA17_ARATH")</f>
        <v>PLA17_ARATH</v>
      </c>
      <c r="D4377" t="s">
        <v>3872</v>
      </c>
      <c r="E4377" s="3" t="s">
        <v>3</v>
      </c>
      <c r="F4377" s="4">
        <v>8.1799999999999997E-53</v>
      </c>
      <c r="G4377" s="3">
        <v>454</v>
      </c>
      <c r="H4377" s="3">
        <v>73</v>
      </c>
      <c r="I4377" s="3">
        <v>124</v>
      </c>
      <c r="J4377" s="3">
        <v>2</v>
      </c>
      <c r="K4377" s="3">
        <v>361</v>
      </c>
      <c r="L4377" s="3">
        <v>270</v>
      </c>
      <c r="M4377" s="3">
        <v>388</v>
      </c>
    </row>
    <row r="4378" spans="1:13" x14ac:dyDescent="0.25">
      <c r="A4378" s="1" t="str">
        <f>HYPERLINK("http://www.rosaceae.org/Prunus/Prunus_persica/p.persica_gdr_reftransV1_0047702","p.persica_gdr_reftransV1_0047702")</f>
        <v>p.persica_gdr_reftransV1_0047702</v>
      </c>
      <c r="B4378" s="3">
        <v>780</v>
      </c>
      <c r="C4378" s="1" t="str">
        <f>HYPERLINK("http://www.uniprot.org/uniprot/MTP10_ARATH","MTP10_ARATH")</f>
        <v>MTP10_ARATH</v>
      </c>
      <c r="D4378" t="s">
        <v>3873</v>
      </c>
      <c r="E4378" s="3" t="s">
        <v>3</v>
      </c>
      <c r="F4378" s="4">
        <v>9.9999999999999999E-117</v>
      </c>
      <c r="G4378" s="3">
        <v>892</v>
      </c>
      <c r="H4378" s="3">
        <v>75</v>
      </c>
      <c r="I4378" s="3">
        <v>216</v>
      </c>
      <c r="J4378" s="3">
        <v>132</v>
      </c>
      <c r="K4378" s="3">
        <v>779</v>
      </c>
      <c r="L4378" s="3">
        <v>211</v>
      </c>
      <c r="M4378" s="3">
        <v>426</v>
      </c>
    </row>
    <row r="4379" spans="1:13" x14ac:dyDescent="0.25">
      <c r="A4379" s="1" t="str">
        <f>HYPERLINK("http://www.rosaceae.org/Prunus/Prunus_persica/p.persica_gdr_reftransV1_0047752","p.persica_gdr_reftransV1_0047752")</f>
        <v>p.persica_gdr_reftransV1_0047752</v>
      </c>
      <c r="B4379" s="3">
        <v>1111</v>
      </c>
      <c r="C4379" s="1" t="str">
        <f>HYPERLINK("http://www.uniprot.org/uniprot/RL18_CICAR","RL18_CICAR")</f>
        <v>RL18_CICAR</v>
      </c>
      <c r="D4379" t="s">
        <v>3874</v>
      </c>
      <c r="E4379" s="3" t="s">
        <v>944</v>
      </c>
      <c r="F4379" s="4">
        <v>3.1000000000000003E-11</v>
      </c>
      <c r="G4379" s="3">
        <v>158</v>
      </c>
      <c r="H4379" s="3">
        <v>65</v>
      </c>
      <c r="I4379" s="3">
        <v>52</v>
      </c>
      <c r="J4379" s="3">
        <v>1</v>
      </c>
      <c r="K4379" s="3">
        <v>156</v>
      </c>
      <c r="L4379" s="3">
        <v>129</v>
      </c>
      <c r="M4379" s="3">
        <v>180</v>
      </c>
    </row>
    <row r="4380" spans="1:13" x14ac:dyDescent="0.25">
      <c r="A4380" s="1" t="str">
        <f>HYPERLINK("http://www.rosaceae.org/Prunus/Prunus_persica/p.persica_gdr_reftransV1_0047802","p.persica_gdr_reftransV1_0047802")</f>
        <v>p.persica_gdr_reftransV1_0047802</v>
      </c>
      <c r="B4380" s="3">
        <v>927</v>
      </c>
      <c r="C4380" s="1" t="str">
        <f>HYPERLINK("http://www.uniprot.org/uniprot/ZAT12_ARATH","ZAT12_ARATH")</f>
        <v>ZAT12_ARATH</v>
      </c>
      <c r="D4380" t="s">
        <v>3875</v>
      </c>
      <c r="E4380" s="3" t="s">
        <v>3</v>
      </c>
      <c r="F4380" s="4">
        <v>6.5200000000000005E-29</v>
      </c>
      <c r="G4380" s="3">
        <v>284</v>
      </c>
      <c r="H4380" s="3">
        <v>50</v>
      </c>
      <c r="I4380" s="3">
        <v>147</v>
      </c>
      <c r="J4380" s="3">
        <v>341</v>
      </c>
      <c r="K4380" s="3">
        <v>754</v>
      </c>
      <c r="L4380" s="3">
        <v>10</v>
      </c>
      <c r="M4380" s="3">
        <v>141</v>
      </c>
    </row>
    <row r="4381" spans="1:13" x14ac:dyDescent="0.25">
      <c r="A4381" s="1" t="str">
        <f>HYPERLINK("http://www.rosaceae.org/Prunus/Prunus_persica/p.persica_gdr_reftransV1_0047952","p.persica_gdr_reftransV1_0047952")</f>
        <v>p.persica_gdr_reftransV1_0047952</v>
      </c>
      <c r="B4381" s="3">
        <v>765</v>
      </c>
      <c r="C4381" s="1" t="str">
        <f>HYPERLINK("http://www.uniprot.org/uniprot/RS263_ARATH","RS263_ARATH")</f>
        <v>RS263_ARATH</v>
      </c>
      <c r="D4381" t="s">
        <v>3876</v>
      </c>
      <c r="E4381" s="3" t="s">
        <v>3</v>
      </c>
      <c r="F4381" s="4">
        <v>3.88E-36</v>
      </c>
      <c r="G4381" s="3">
        <v>328</v>
      </c>
      <c r="H4381" s="3">
        <v>88</v>
      </c>
      <c r="I4381" s="3">
        <v>107</v>
      </c>
      <c r="J4381" s="3">
        <v>181</v>
      </c>
      <c r="K4381" s="3">
        <v>501</v>
      </c>
      <c r="L4381" s="3">
        <v>1</v>
      </c>
      <c r="M4381" s="3">
        <v>107</v>
      </c>
    </row>
    <row r="4382" spans="1:13" x14ac:dyDescent="0.25">
      <c r="A4382" s="1" t="str">
        <f>HYPERLINK("http://www.rosaceae.org/Prunus/Prunus_persica/p.persica_gdr_reftransV1_0048002","p.persica_gdr_reftransV1_0048002")</f>
        <v>p.persica_gdr_reftransV1_0048002</v>
      </c>
      <c r="B4382" s="3">
        <v>480</v>
      </c>
      <c r="C4382" s="1" t="str">
        <f>HYPERLINK("http://www.uniprot.org/uniprot/SHGR9_ARATH","SHGR9_ARATH")</f>
        <v>SHGR9_ARATH</v>
      </c>
      <c r="D4382" t="s">
        <v>1953</v>
      </c>
      <c r="E4382" s="3" t="s">
        <v>3</v>
      </c>
      <c r="F4382" s="4">
        <v>1.54E-15</v>
      </c>
      <c r="G4382" s="3">
        <v>184</v>
      </c>
      <c r="H4382" s="3">
        <v>51</v>
      </c>
      <c r="I4382" s="3">
        <v>78</v>
      </c>
      <c r="J4382" s="3">
        <v>22</v>
      </c>
      <c r="K4382" s="3">
        <v>252</v>
      </c>
      <c r="L4382" s="3">
        <v>93</v>
      </c>
      <c r="M4382" s="3">
        <v>170</v>
      </c>
    </row>
    <row r="4383" spans="1:13" x14ac:dyDescent="0.25">
      <c r="A4383" s="1" t="str">
        <f>HYPERLINK("http://www.rosaceae.org/Prunus/Prunus_persica/p.persica_gdr_reftransV1_0048052","p.persica_gdr_reftransV1_0048052")</f>
        <v>p.persica_gdr_reftransV1_0048052</v>
      </c>
      <c r="B4383" s="3">
        <v>438</v>
      </c>
      <c r="C4383" s="1" t="str">
        <f>HYPERLINK("http://www.uniprot.org/uniprot/PUR4_ARATH","PUR4_ARATH")</f>
        <v>PUR4_ARATH</v>
      </c>
      <c r="D4383" t="s">
        <v>2712</v>
      </c>
      <c r="E4383" s="3" t="s">
        <v>3</v>
      </c>
      <c r="F4383" s="4">
        <v>1.12E-70</v>
      </c>
      <c r="G4383" s="3">
        <v>602</v>
      </c>
      <c r="H4383" s="3">
        <v>79</v>
      </c>
      <c r="I4383" s="3">
        <v>146</v>
      </c>
      <c r="J4383" s="3">
        <v>1</v>
      </c>
      <c r="K4383" s="3">
        <v>438</v>
      </c>
      <c r="L4383" s="3">
        <v>64</v>
      </c>
      <c r="M4383" s="3">
        <v>209</v>
      </c>
    </row>
    <row r="4384" spans="1:13" x14ac:dyDescent="0.25">
      <c r="A4384" s="1" t="str">
        <f>HYPERLINK("http://www.rosaceae.org/Prunus/Prunus_persica/p.persica_gdr_reftransV1_0048102","p.persica_gdr_reftransV1_0048102")</f>
        <v>p.persica_gdr_reftransV1_0048102</v>
      </c>
      <c r="B4384" s="3">
        <v>2452</v>
      </c>
      <c r="C4384" s="1" t="str">
        <f>HYPERLINK("http://www.uniprot.org/uniprot/TBB1_LUPAL","TBB1_LUPAL")</f>
        <v>TBB1_LUPAL</v>
      </c>
      <c r="D4384" t="s">
        <v>3877</v>
      </c>
      <c r="E4384" s="3" t="s">
        <v>2143</v>
      </c>
      <c r="F4384" s="4">
        <v>0</v>
      </c>
      <c r="G4384" s="3">
        <v>2219</v>
      </c>
      <c r="H4384" s="3">
        <v>98</v>
      </c>
      <c r="I4384" s="3">
        <v>430</v>
      </c>
      <c r="J4384" s="3">
        <v>220</v>
      </c>
      <c r="K4384" s="3">
        <v>1509</v>
      </c>
      <c r="L4384" s="3">
        <v>1</v>
      </c>
      <c r="M4384" s="3">
        <v>430</v>
      </c>
    </row>
    <row r="4385" spans="1:13" x14ac:dyDescent="0.25">
      <c r="A4385" s="1" t="str">
        <f>HYPERLINK("http://www.rosaceae.org/Prunus/Prunus_persica/p.persica_gdr_reftransV1_0048152","p.persica_gdr_reftransV1_0048152")</f>
        <v>p.persica_gdr_reftransV1_0048152</v>
      </c>
      <c r="B4385" s="3">
        <v>464</v>
      </c>
      <c r="C4385" s="1" t="str">
        <f>HYPERLINK("http://www.uniprot.org/uniprot/BGAL6_ORYSJ","BGAL6_ORYSJ")</f>
        <v>BGAL6_ORYSJ</v>
      </c>
      <c r="D4385" t="s">
        <v>2991</v>
      </c>
      <c r="E4385" s="3" t="s">
        <v>38</v>
      </c>
      <c r="F4385" s="4">
        <v>1.14E-77</v>
      </c>
      <c r="G4385" s="3">
        <v>644</v>
      </c>
      <c r="H4385" s="3">
        <v>71</v>
      </c>
      <c r="I4385" s="3">
        <v>154</v>
      </c>
      <c r="J4385" s="3">
        <v>1</v>
      </c>
      <c r="K4385" s="3">
        <v>462</v>
      </c>
      <c r="L4385" s="3">
        <v>108</v>
      </c>
      <c r="M4385" s="3">
        <v>261</v>
      </c>
    </row>
    <row r="4386" spans="1:13" x14ac:dyDescent="0.25">
      <c r="A4386" s="1" t="str">
        <f>HYPERLINK("http://www.rosaceae.org/Prunus/Prunus_persica/p.persica_gdr_reftransV1_0048202","p.persica_gdr_reftransV1_0048202")</f>
        <v>p.persica_gdr_reftransV1_0048202</v>
      </c>
      <c r="B4386" s="3">
        <v>1104</v>
      </c>
      <c r="C4386" s="1" t="str">
        <f>HYPERLINK("http://www.uniprot.org/uniprot/RS16_GOSHI","RS16_GOSHI")</f>
        <v>RS16_GOSHI</v>
      </c>
      <c r="D4386" t="s">
        <v>3878</v>
      </c>
      <c r="E4386" s="3" t="s">
        <v>816</v>
      </c>
      <c r="F4386" s="4">
        <v>2.15E-91</v>
      </c>
      <c r="G4386" s="3">
        <v>709</v>
      </c>
      <c r="H4386" s="3">
        <v>95</v>
      </c>
      <c r="I4386" s="3">
        <v>145</v>
      </c>
      <c r="J4386" s="3">
        <v>450</v>
      </c>
      <c r="K4386" s="3">
        <v>884</v>
      </c>
      <c r="L4386" s="3">
        <v>1</v>
      </c>
      <c r="M4386" s="3">
        <v>145</v>
      </c>
    </row>
    <row r="4387" spans="1:13" x14ac:dyDescent="0.25">
      <c r="A4387" s="1" t="str">
        <f>HYPERLINK("http://www.rosaceae.org/Prunus/Prunus_persica/p.persica_gdr_reftransV1_0048302","p.persica_gdr_reftransV1_0048302")</f>
        <v>p.persica_gdr_reftransV1_0048302</v>
      </c>
      <c r="B4387" s="3">
        <v>809</v>
      </c>
      <c r="C4387" s="1" t="str">
        <f>HYPERLINK("http://www.uniprot.org/uniprot/RS142_MAIZE","RS142_MAIZE")</f>
        <v>RS142_MAIZE</v>
      </c>
      <c r="D4387" t="s">
        <v>3426</v>
      </c>
      <c r="E4387" s="3" t="s">
        <v>72</v>
      </c>
      <c r="F4387" s="4">
        <v>1.6399999999999999E-77</v>
      </c>
      <c r="G4387" s="3">
        <v>607</v>
      </c>
      <c r="H4387" s="3">
        <v>92</v>
      </c>
      <c r="I4387" s="3">
        <v>140</v>
      </c>
      <c r="J4387" s="3">
        <v>150</v>
      </c>
      <c r="K4387" s="3">
        <v>569</v>
      </c>
      <c r="L4387" s="3">
        <v>1</v>
      </c>
      <c r="M4387" s="3">
        <v>139</v>
      </c>
    </row>
    <row r="4388" spans="1:13" x14ac:dyDescent="0.25">
      <c r="A4388" s="1" t="str">
        <f>HYPERLINK("http://www.rosaceae.org/Prunus/Prunus_persica/p.persica_gdr_reftransV1_0048352","p.persica_gdr_reftransV1_0048352")</f>
        <v>p.persica_gdr_reftransV1_0048352</v>
      </c>
      <c r="B4388" s="3">
        <v>560</v>
      </c>
      <c r="C4388" s="1" t="str">
        <f>HYPERLINK("http://www.uniprot.org/uniprot/CSA1_ARATH","CSA1_ARATH")</f>
        <v>CSA1_ARATH</v>
      </c>
      <c r="D4388" t="s">
        <v>3569</v>
      </c>
      <c r="E4388" s="3" t="s">
        <v>3</v>
      </c>
      <c r="F4388" s="4">
        <v>7.5400000000000006E-12</v>
      </c>
      <c r="G4388" s="3">
        <v>164</v>
      </c>
      <c r="H4388" s="3">
        <v>35</v>
      </c>
      <c r="I4388" s="3">
        <v>137</v>
      </c>
      <c r="J4388" s="3">
        <v>208</v>
      </c>
      <c r="K4388" s="3">
        <v>549</v>
      </c>
      <c r="L4388" s="3">
        <v>769</v>
      </c>
      <c r="M4388" s="3">
        <v>903</v>
      </c>
    </row>
    <row r="4389" spans="1:13" x14ac:dyDescent="0.25">
      <c r="A4389" s="1" t="str">
        <f>HYPERLINK("http://www.rosaceae.org/Prunus/Prunus_persica/p.persica_gdr_reftransV1_0048452","p.persica_gdr_reftransV1_0048452")</f>
        <v>p.persica_gdr_reftransV1_0048452</v>
      </c>
      <c r="B4389" s="3">
        <v>1667</v>
      </c>
      <c r="C4389" s="1" t="str">
        <f>HYPERLINK("http://www.uniprot.org/uniprot/Y4597_ARATH","Y4597_ARATH")</f>
        <v>Y4597_ARATH</v>
      </c>
      <c r="D4389" t="s">
        <v>604</v>
      </c>
      <c r="E4389" s="3" t="s">
        <v>3</v>
      </c>
      <c r="F4389" s="4">
        <v>7.1499999999999996E-79</v>
      </c>
      <c r="G4389" s="3">
        <v>438</v>
      </c>
      <c r="H4389" s="3">
        <v>52</v>
      </c>
      <c r="I4389" s="3">
        <v>151</v>
      </c>
      <c r="J4389" s="3">
        <v>687</v>
      </c>
      <c r="K4389" s="3">
        <v>1139</v>
      </c>
      <c r="L4389" s="3">
        <v>160</v>
      </c>
      <c r="M4389" s="3">
        <v>309</v>
      </c>
    </row>
    <row r="4390" spans="1:13" x14ac:dyDescent="0.25">
      <c r="A4390" s="1" t="str">
        <f>HYPERLINK("http://www.rosaceae.org/Prunus/Prunus_persica/p.persica_gdr_reftransV1_0048502","p.persica_gdr_reftransV1_0048502")</f>
        <v>p.persica_gdr_reftransV1_0048502</v>
      </c>
      <c r="B4390" s="3">
        <v>2800</v>
      </c>
      <c r="C4390" s="1" t="str">
        <f>HYPERLINK("http://www.uniprot.org/uniprot/MBD13_ARATH","MBD13_ARATH")</f>
        <v>MBD13_ARATH</v>
      </c>
      <c r="D4390" t="s">
        <v>3879</v>
      </c>
      <c r="E4390" s="3" t="s">
        <v>3</v>
      </c>
      <c r="F4390" s="4">
        <v>3.92E-8</v>
      </c>
      <c r="G4390" s="3">
        <v>147</v>
      </c>
      <c r="H4390" s="3">
        <v>42</v>
      </c>
      <c r="I4390" s="3">
        <v>69</v>
      </c>
      <c r="J4390" s="3">
        <v>666</v>
      </c>
      <c r="K4390" s="3">
        <v>869</v>
      </c>
      <c r="L4390" s="3">
        <v>27</v>
      </c>
      <c r="M4390" s="3">
        <v>95</v>
      </c>
    </row>
    <row r="4391" spans="1:13" x14ac:dyDescent="0.25">
      <c r="A4391" s="1" t="str">
        <f>HYPERLINK("http://www.rosaceae.org/Prunus/Prunus_persica/p.persica_gdr_reftransV1_0048552","p.persica_gdr_reftransV1_0048552")</f>
        <v>p.persica_gdr_reftransV1_0048552</v>
      </c>
      <c r="B4391" s="3">
        <v>2506</v>
      </c>
      <c r="C4391" s="1" t="str">
        <f>HYPERLINK("http://www.uniprot.org/uniprot/BCAL2_ARATH","BCAL2_ARATH")</f>
        <v>BCAL2_ARATH</v>
      </c>
      <c r="D4391" t="s">
        <v>3880</v>
      </c>
      <c r="E4391" s="3" t="s">
        <v>3</v>
      </c>
      <c r="F4391" s="4">
        <v>0</v>
      </c>
      <c r="G4391" s="3">
        <v>1526</v>
      </c>
      <c r="H4391" s="3">
        <v>76</v>
      </c>
      <c r="I4391" s="3">
        <v>372</v>
      </c>
      <c r="J4391" s="3">
        <v>358</v>
      </c>
      <c r="K4391" s="3">
        <v>1473</v>
      </c>
      <c r="L4391" s="3">
        <v>1</v>
      </c>
      <c r="M4391" s="3">
        <v>372</v>
      </c>
    </row>
    <row r="4392" spans="1:13" x14ac:dyDescent="0.25">
      <c r="A4392" s="1" t="str">
        <f>HYPERLINK("http://www.rosaceae.org/Prunus/Prunus_persica/p.persica_gdr_reftransV1_0048602","p.persica_gdr_reftransV1_0048602")</f>
        <v>p.persica_gdr_reftransV1_0048602</v>
      </c>
      <c r="B4392" s="3">
        <v>318</v>
      </c>
      <c r="C4392" s="1" t="str">
        <f>HYPERLINK("http://www.uniprot.org/uniprot/B3GTJ_ARATH","B3GTJ_ARATH")</f>
        <v>B3GTJ_ARATH</v>
      </c>
      <c r="D4392" t="s">
        <v>3881</v>
      </c>
      <c r="E4392" s="3" t="s">
        <v>3</v>
      </c>
      <c r="F4392" s="4">
        <v>4.2899999999999999E-42</v>
      </c>
      <c r="G4392" s="3">
        <v>379</v>
      </c>
      <c r="H4392" s="3">
        <v>75</v>
      </c>
      <c r="I4392" s="3">
        <v>80</v>
      </c>
      <c r="J4392" s="3">
        <v>77</v>
      </c>
      <c r="K4392" s="3">
        <v>313</v>
      </c>
      <c r="L4392" s="3">
        <v>572</v>
      </c>
      <c r="M4392" s="3">
        <v>651</v>
      </c>
    </row>
    <row r="4393" spans="1:13" x14ac:dyDescent="0.25">
      <c r="A4393" s="1" t="str">
        <f>HYPERLINK("http://www.rosaceae.org/Prunus/Prunus_persica/p.persica_gdr_reftransV1_0048652","p.persica_gdr_reftransV1_0048652")</f>
        <v>p.persica_gdr_reftransV1_0048652</v>
      </c>
      <c r="B4393" s="3">
        <v>2258</v>
      </c>
      <c r="C4393" s="1" t="str">
        <f>HYPERLINK("http://www.uniprot.org/uniprot/STAR7_HUMAN","STAR7_HUMAN")</f>
        <v>STAR7_HUMAN</v>
      </c>
      <c r="D4393" t="s">
        <v>3882</v>
      </c>
      <c r="E4393" s="3" t="s">
        <v>28</v>
      </c>
      <c r="F4393" s="4">
        <v>1.18E-7</v>
      </c>
      <c r="G4393" s="3">
        <v>140</v>
      </c>
      <c r="H4393" s="3">
        <v>25</v>
      </c>
      <c r="I4393" s="3">
        <v>151</v>
      </c>
      <c r="J4393" s="3">
        <v>445</v>
      </c>
      <c r="K4393" s="3">
        <v>885</v>
      </c>
      <c r="L4393" s="3">
        <v>129</v>
      </c>
      <c r="M4393" s="3">
        <v>274</v>
      </c>
    </row>
    <row r="4394" spans="1:13" x14ac:dyDescent="0.25">
      <c r="A4394" s="1" t="str">
        <f>HYPERLINK("http://www.rosaceae.org/Prunus/Prunus_persica/p.persica_gdr_reftransV1_0048702","p.persica_gdr_reftransV1_0048702")</f>
        <v>p.persica_gdr_reftransV1_0048702</v>
      </c>
      <c r="B4394" s="3">
        <v>756</v>
      </c>
      <c r="C4394" s="1" t="str">
        <f>HYPERLINK("http://www.uniprot.org/uniprot/CRYD_ORYSJ","CRYD_ORYSJ")</f>
        <v>CRYD_ORYSJ</v>
      </c>
      <c r="D4394" t="s">
        <v>3883</v>
      </c>
      <c r="E4394" s="3" t="s">
        <v>38</v>
      </c>
      <c r="F4394" s="4">
        <v>2.9199999999999998E-75</v>
      </c>
      <c r="G4394" s="3">
        <v>625</v>
      </c>
      <c r="H4394" s="3">
        <v>84</v>
      </c>
      <c r="I4394" s="3">
        <v>134</v>
      </c>
      <c r="J4394" s="3">
        <v>78</v>
      </c>
      <c r="K4394" s="3">
        <v>479</v>
      </c>
      <c r="L4394" s="3">
        <v>435</v>
      </c>
      <c r="M4394" s="3">
        <v>566</v>
      </c>
    </row>
    <row r="4395" spans="1:13" x14ac:dyDescent="0.25">
      <c r="A4395" s="1" t="str">
        <f>HYPERLINK("http://www.rosaceae.org/Prunus/Prunus_persica/p.persica_gdr_reftransV1_0048752","p.persica_gdr_reftransV1_0048752")</f>
        <v>p.persica_gdr_reftransV1_0048752</v>
      </c>
      <c r="B4395" s="3">
        <v>669</v>
      </c>
      <c r="C4395" s="1" t="str">
        <f>HYPERLINK("http://www.uniprot.org/uniprot/R15A5_ARATH","R15A5_ARATH")</f>
        <v>R15A5_ARATH</v>
      </c>
      <c r="D4395" t="s">
        <v>3884</v>
      </c>
      <c r="E4395" s="3" t="s">
        <v>3</v>
      </c>
      <c r="F4395" s="4">
        <v>1.58E-75</v>
      </c>
      <c r="G4395" s="3">
        <v>588</v>
      </c>
      <c r="H4395" s="3">
        <v>82</v>
      </c>
      <c r="I4395" s="3">
        <v>129</v>
      </c>
      <c r="J4395" s="3">
        <v>72</v>
      </c>
      <c r="K4395" s="3">
        <v>458</v>
      </c>
      <c r="L4395" s="3">
        <v>1</v>
      </c>
      <c r="M4395" s="3">
        <v>129</v>
      </c>
    </row>
    <row r="4396" spans="1:13" x14ac:dyDescent="0.25">
      <c r="A4396" s="1" t="str">
        <f>HYPERLINK("http://www.rosaceae.org/Prunus/Prunus_persica/p.persica_gdr_reftransV1_0048802","p.persica_gdr_reftransV1_0048802")</f>
        <v>p.persica_gdr_reftransV1_0048802</v>
      </c>
      <c r="B4396" s="3">
        <v>1100</v>
      </c>
      <c r="C4396" s="1" t="str">
        <f>HYPERLINK("http://www.uniprot.org/uniprot/ADS3_ARATH","ADS3_ARATH")</f>
        <v>ADS3_ARATH</v>
      </c>
      <c r="D4396" t="s">
        <v>2103</v>
      </c>
      <c r="E4396" s="3" t="s">
        <v>3</v>
      </c>
      <c r="F4396" s="4">
        <v>5.7300000000000004E-128</v>
      </c>
      <c r="G4396" s="3">
        <v>973</v>
      </c>
      <c r="H4396" s="3">
        <v>63</v>
      </c>
      <c r="I4396" s="3">
        <v>276</v>
      </c>
      <c r="J4396" s="3">
        <v>170</v>
      </c>
      <c r="K4396" s="3">
        <v>994</v>
      </c>
      <c r="L4396" s="3">
        <v>96</v>
      </c>
      <c r="M4396" s="3">
        <v>371</v>
      </c>
    </row>
    <row r="4397" spans="1:13" x14ac:dyDescent="0.25">
      <c r="A4397" s="1" t="str">
        <f>HYPERLINK("http://www.rosaceae.org/Prunus/Prunus_persica/p.persica_gdr_reftransV1_0048902","p.persica_gdr_reftransV1_0048902")</f>
        <v>p.persica_gdr_reftransV1_0048902</v>
      </c>
      <c r="B4397" s="3">
        <v>2557</v>
      </c>
      <c r="C4397" s="1" t="str">
        <f>HYPERLINK("http://www.uniprot.org/uniprot/SYTM1_ARATH","SYTM1_ARATH")</f>
        <v>SYTM1_ARATH</v>
      </c>
      <c r="D4397" t="s">
        <v>2342</v>
      </c>
      <c r="E4397" s="3" t="s">
        <v>3</v>
      </c>
      <c r="F4397" s="4">
        <v>0</v>
      </c>
      <c r="G4397" s="3">
        <v>2763</v>
      </c>
      <c r="H4397" s="3">
        <v>75</v>
      </c>
      <c r="I4397" s="3">
        <v>672</v>
      </c>
      <c r="J4397" s="3">
        <v>337</v>
      </c>
      <c r="K4397" s="3">
        <v>2352</v>
      </c>
      <c r="L4397" s="3">
        <v>38</v>
      </c>
      <c r="M4397" s="3">
        <v>708</v>
      </c>
    </row>
    <row r="4398" spans="1:13" x14ac:dyDescent="0.25">
      <c r="A4398" s="1" t="str">
        <f>HYPERLINK("http://www.rosaceae.org/Prunus/Prunus_persica/p.persica_gdr_reftransV1_0048952","p.persica_gdr_reftransV1_0048952")</f>
        <v>p.persica_gdr_reftransV1_0048952</v>
      </c>
      <c r="B4398" s="3">
        <v>1779</v>
      </c>
      <c r="C4398" s="1" t="str">
        <f>HYPERLINK("http://www.uniprot.org/uniprot/IF411_TOBAC","IF411_TOBAC")</f>
        <v>IF411_TOBAC</v>
      </c>
      <c r="D4398" t="s">
        <v>3885</v>
      </c>
      <c r="E4398" s="3" t="s">
        <v>200</v>
      </c>
      <c r="F4398" s="4">
        <v>0</v>
      </c>
      <c r="G4398" s="3">
        <v>2093</v>
      </c>
      <c r="H4398" s="3">
        <v>95</v>
      </c>
      <c r="I4398" s="3">
        <v>410</v>
      </c>
      <c r="J4398" s="3">
        <v>395</v>
      </c>
      <c r="K4398" s="3">
        <v>1624</v>
      </c>
      <c r="L4398" s="3">
        <v>1</v>
      </c>
      <c r="M4398" s="3">
        <v>410</v>
      </c>
    </row>
    <row r="4399" spans="1:13" x14ac:dyDescent="0.25">
      <c r="A4399" s="1" t="str">
        <f>HYPERLINK("http://www.rosaceae.org/Prunus/Prunus_persica/p.persica_gdr_reftransV1_0049002","p.persica_gdr_reftransV1_0049002")</f>
        <v>p.persica_gdr_reftransV1_0049002</v>
      </c>
      <c r="B4399" s="3">
        <v>854</v>
      </c>
      <c r="C4399" s="1" t="str">
        <f>HYPERLINK("http://www.uniprot.org/uniprot/CALM_LILLO","CALM_LILLO")</f>
        <v>CALM_LILLO</v>
      </c>
      <c r="D4399" t="s">
        <v>3886</v>
      </c>
      <c r="E4399" s="3" t="s">
        <v>3887</v>
      </c>
      <c r="F4399" s="4">
        <v>2.1499999999999999E-101</v>
      </c>
      <c r="G4399" s="3">
        <v>767</v>
      </c>
      <c r="H4399" s="3">
        <v>100</v>
      </c>
      <c r="I4399" s="3">
        <v>149</v>
      </c>
      <c r="J4399" s="3">
        <v>77</v>
      </c>
      <c r="K4399" s="3">
        <v>523</v>
      </c>
      <c r="L4399" s="3">
        <v>1</v>
      </c>
      <c r="M4399" s="3">
        <v>149</v>
      </c>
    </row>
    <row r="4400" spans="1:13" x14ac:dyDescent="0.25">
      <c r="A4400" s="1" t="str">
        <f>HYPERLINK("http://www.rosaceae.org/Prunus/Prunus_persica/p.persica_gdr_reftransV1_0049202","p.persica_gdr_reftransV1_0049202")</f>
        <v>p.persica_gdr_reftransV1_0049202</v>
      </c>
      <c r="B4400" s="3">
        <v>1868</v>
      </c>
      <c r="C4400" s="1" t="str">
        <f>HYPERLINK("http://www.uniprot.org/uniprot/CRTI_SYNY3","CRTI_SYNY3")</f>
        <v>CRTI_SYNY3</v>
      </c>
      <c r="D4400" t="s">
        <v>3888</v>
      </c>
      <c r="E4400" s="3" t="s">
        <v>527</v>
      </c>
      <c r="F4400" s="4">
        <v>2.4999999999999999E-17</v>
      </c>
      <c r="G4400" s="3">
        <v>219</v>
      </c>
      <c r="H4400" s="3">
        <v>22</v>
      </c>
      <c r="I4400" s="3">
        <v>462</v>
      </c>
      <c r="J4400" s="3">
        <v>310</v>
      </c>
      <c r="K4400" s="3">
        <v>1608</v>
      </c>
      <c r="L4400" s="3">
        <v>11</v>
      </c>
      <c r="M4400" s="3">
        <v>451</v>
      </c>
    </row>
    <row r="4401" spans="1:13" x14ac:dyDescent="0.25">
      <c r="A4401" s="1" t="str">
        <f>HYPERLINK("http://www.rosaceae.org/Prunus/Prunus_persica/p.persica_gdr_reftransV1_0000071","p.persica_gdr_reftransV1_0000071")</f>
        <v>p.persica_gdr_reftransV1_0000071</v>
      </c>
      <c r="B4401" s="3">
        <v>2316</v>
      </c>
      <c r="C4401" s="1" t="str">
        <f>HYPERLINK("http://www.uniprot.org/uniprot/PP363_ARATH","PP363_ARATH")</f>
        <v>PP363_ARATH</v>
      </c>
      <c r="D4401" t="s">
        <v>3889</v>
      </c>
      <c r="E4401" s="3" t="s">
        <v>3</v>
      </c>
      <c r="F4401" s="4">
        <v>0</v>
      </c>
      <c r="G4401" s="3">
        <v>2430</v>
      </c>
      <c r="H4401" s="3">
        <v>60</v>
      </c>
      <c r="I4401" s="3">
        <v>729</v>
      </c>
      <c r="J4401" s="3">
        <v>3</v>
      </c>
      <c r="K4401" s="3">
        <v>2174</v>
      </c>
      <c r="L4401" s="3">
        <v>169</v>
      </c>
      <c r="M4401" s="3">
        <v>896</v>
      </c>
    </row>
    <row r="4402" spans="1:13" x14ac:dyDescent="0.25">
      <c r="A4402" s="1" t="str">
        <f>HYPERLINK("http://www.rosaceae.org/Prunus/Prunus_persica/p.persica_gdr_reftransV1_0000171","p.persica_gdr_reftransV1_0000171")</f>
        <v>p.persica_gdr_reftransV1_0000171</v>
      </c>
      <c r="B4402" s="3">
        <v>1349</v>
      </c>
      <c r="C4402" s="1" t="str">
        <f>HYPERLINK("http://www.uniprot.org/uniprot/Y2168_ARATH","Y2168_ARATH")</f>
        <v>Y2168_ARATH</v>
      </c>
      <c r="D4402" t="s">
        <v>1132</v>
      </c>
      <c r="E4402" s="3" t="s">
        <v>3</v>
      </c>
      <c r="F4402" s="4">
        <v>3.7499999999999999E-23</v>
      </c>
      <c r="G4402" s="3">
        <v>262</v>
      </c>
      <c r="H4402" s="3">
        <v>26</v>
      </c>
      <c r="I4402" s="3">
        <v>307</v>
      </c>
      <c r="J4402" s="3">
        <v>63</v>
      </c>
      <c r="K4402" s="3">
        <v>929</v>
      </c>
      <c r="L4402" s="3">
        <v>192</v>
      </c>
      <c r="M4402" s="3">
        <v>486</v>
      </c>
    </row>
    <row r="4403" spans="1:13" x14ac:dyDescent="0.25">
      <c r="A4403" s="1" t="str">
        <f>HYPERLINK("http://www.rosaceae.org/Prunus/Prunus_persica/p.persica_gdr_reftransV1_0000221","p.persica_gdr_reftransV1_0000221")</f>
        <v>p.persica_gdr_reftransV1_0000221</v>
      </c>
      <c r="B4403" s="3">
        <v>723</v>
      </c>
      <c r="C4403" s="1" t="str">
        <f>HYPERLINK("http://www.uniprot.org/uniprot/RL362_ARATH","RL362_ARATH")</f>
        <v>RL362_ARATH</v>
      </c>
      <c r="D4403" t="s">
        <v>3890</v>
      </c>
      <c r="E4403" s="3" t="s">
        <v>3</v>
      </c>
      <c r="F4403" s="4">
        <v>6.1500000000000002E-52</v>
      </c>
      <c r="G4403" s="3">
        <v>431</v>
      </c>
      <c r="H4403" s="3">
        <v>83</v>
      </c>
      <c r="I4403" s="3">
        <v>104</v>
      </c>
      <c r="J4403" s="3">
        <v>94</v>
      </c>
      <c r="K4403" s="3">
        <v>405</v>
      </c>
      <c r="L4403" s="3">
        <v>1</v>
      </c>
      <c r="M4403" s="3">
        <v>104</v>
      </c>
    </row>
    <row r="4404" spans="1:13" x14ac:dyDescent="0.25">
      <c r="A4404" s="1" t="str">
        <f>HYPERLINK("http://www.rosaceae.org/Prunus/Prunus_persica/p.persica_gdr_reftransV1_0000271","p.persica_gdr_reftransV1_0000271")</f>
        <v>p.persica_gdr_reftransV1_0000271</v>
      </c>
      <c r="B4404" s="3">
        <v>722</v>
      </c>
      <c r="C4404" s="1" t="str">
        <f>HYPERLINK("http://www.uniprot.org/uniprot/Y1491_ARATH","Y1491_ARATH")</f>
        <v>Y1491_ARATH</v>
      </c>
      <c r="D4404" t="s">
        <v>310</v>
      </c>
      <c r="E4404" s="3" t="s">
        <v>3</v>
      </c>
      <c r="F4404" s="4">
        <v>5.3500000000000003E-42</v>
      </c>
      <c r="G4404" s="3">
        <v>390</v>
      </c>
      <c r="H4404" s="3">
        <v>76</v>
      </c>
      <c r="I4404" s="3">
        <v>89</v>
      </c>
      <c r="J4404" s="3">
        <v>2</v>
      </c>
      <c r="K4404" s="3">
        <v>268</v>
      </c>
      <c r="L4404" s="3">
        <v>408</v>
      </c>
      <c r="M4404" s="3">
        <v>496</v>
      </c>
    </row>
    <row r="4405" spans="1:13" x14ac:dyDescent="0.25">
      <c r="A4405" s="1" t="str">
        <f>HYPERLINK("http://www.rosaceae.org/Prunus/Prunus_persica/p.persica_gdr_reftransV1_0000371","p.persica_gdr_reftransV1_0000371")</f>
        <v>p.persica_gdr_reftransV1_0000371</v>
      </c>
      <c r="B4405" s="3">
        <v>1263</v>
      </c>
      <c r="C4405" s="1" t="str">
        <f>HYPERLINK("http://www.uniprot.org/uniprot/RNZC_ARATH","RNZC_ARATH")</f>
        <v>RNZC_ARATH</v>
      </c>
      <c r="D4405" t="s">
        <v>3891</v>
      </c>
      <c r="E4405" s="3" t="s">
        <v>3</v>
      </c>
      <c r="F4405" s="4">
        <v>2.48E-177</v>
      </c>
      <c r="G4405" s="3">
        <v>1303</v>
      </c>
      <c r="H4405" s="3">
        <v>76</v>
      </c>
      <c r="I4405" s="3">
        <v>313</v>
      </c>
      <c r="J4405" s="3">
        <v>107</v>
      </c>
      <c r="K4405" s="3">
        <v>1042</v>
      </c>
      <c r="L4405" s="3">
        <v>42</v>
      </c>
      <c r="M4405" s="3">
        <v>354</v>
      </c>
    </row>
    <row r="4406" spans="1:13" x14ac:dyDescent="0.25">
      <c r="A4406" s="1" t="str">
        <f>HYPERLINK("http://www.rosaceae.org/Prunus/Prunus_persica/p.persica_gdr_reftransV1_0000421","p.persica_gdr_reftransV1_0000421")</f>
        <v>p.persica_gdr_reftransV1_0000421</v>
      </c>
      <c r="B4406" s="3">
        <v>816</v>
      </c>
      <c r="C4406" s="1" t="str">
        <f>HYPERLINK("http://www.uniprot.org/uniprot/LSH6_ARATH","LSH6_ARATH")</f>
        <v>LSH6_ARATH</v>
      </c>
      <c r="D4406" t="s">
        <v>3892</v>
      </c>
      <c r="E4406" s="3" t="s">
        <v>3</v>
      </c>
      <c r="F4406" s="4">
        <v>2.2900000000000002E-72</v>
      </c>
      <c r="G4406" s="3">
        <v>578</v>
      </c>
      <c r="H4406" s="3">
        <v>83</v>
      </c>
      <c r="I4406" s="3">
        <v>127</v>
      </c>
      <c r="J4406" s="3">
        <v>221</v>
      </c>
      <c r="K4406" s="3">
        <v>601</v>
      </c>
      <c r="L4406" s="3">
        <v>31</v>
      </c>
      <c r="M4406" s="3">
        <v>157</v>
      </c>
    </row>
    <row r="4407" spans="1:13" x14ac:dyDescent="0.25">
      <c r="A4407" s="1" t="str">
        <f>HYPERLINK("http://www.rosaceae.org/Prunus/Prunus_persica/p.persica_gdr_reftransV1_0000671","p.persica_gdr_reftransV1_0000671")</f>
        <v>p.persica_gdr_reftransV1_0000671</v>
      </c>
      <c r="B4407" s="3">
        <v>398</v>
      </c>
      <c r="C4407" s="1" t="str">
        <f>HYPERLINK("http://www.uniprot.org/uniprot/UGT6_CATRO","UGT6_CATRO")</f>
        <v>UGT6_CATRO</v>
      </c>
      <c r="D4407" t="s">
        <v>3893</v>
      </c>
      <c r="E4407" s="3" t="s">
        <v>457</v>
      </c>
      <c r="F4407" s="4">
        <v>1.1899999999999999E-56</v>
      </c>
      <c r="G4407" s="3">
        <v>480</v>
      </c>
      <c r="H4407" s="3">
        <v>68</v>
      </c>
      <c r="I4407" s="3">
        <v>131</v>
      </c>
      <c r="J4407" s="3">
        <v>4</v>
      </c>
      <c r="K4407" s="3">
        <v>396</v>
      </c>
      <c r="L4407" s="3">
        <v>181</v>
      </c>
      <c r="M4407" s="3">
        <v>310</v>
      </c>
    </row>
    <row r="4408" spans="1:13" x14ac:dyDescent="0.25">
      <c r="A4408" s="1" t="str">
        <f>HYPERLINK("http://www.rosaceae.org/Prunus/Prunus_persica/p.persica_gdr_reftransV1_0000721","p.persica_gdr_reftransV1_0000721")</f>
        <v>p.persica_gdr_reftransV1_0000721</v>
      </c>
      <c r="B4408" s="3">
        <v>2052</v>
      </c>
      <c r="C4408" s="1" t="str">
        <f>HYPERLINK("http://www.uniprot.org/uniprot/PPR76_ARATH","PPR76_ARATH")</f>
        <v>PPR76_ARATH</v>
      </c>
      <c r="D4408" t="s">
        <v>3894</v>
      </c>
      <c r="E4408" s="3" t="s">
        <v>3</v>
      </c>
      <c r="F4408" s="4">
        <v>0</v>
      </c>
      <c r="G4408" s="3">
        <v>2249</v>
      </c>
      <c r="H4408" s="3">
        <v>71</v>
      </c>
      <c r="I4408" s="3">
        <v>614</v>
      </c>
      <c r="J4408" s="3">
        <v>211</v>
      </c>
      <c r="K4408" s="3">
        <v>2052</v>
      </c>
      <c r="L4408" s="3">
        <v>48</v>
      </c>
      <c r="M4408" s="3">
        <v>650</v>
      </c>
    </row>
    <row r="4409" spans="1:13" x14ac:dyDescent="0.25">
      <c r="A4409" s="1" t="str">
        <f>HYPERLINK("http://www.rosaceae.org/Prunus/Prunus_persica/p.persica_gdr_reftransV1_0000921","p.persica_gdr_reftransV1_0000921")</f>
        <v>p.persica_gdr_reftransV1_0000921</v>
      </c>
      <c r="B4409" s="3">
        <v>1647</v>
      </c>
      <c r="C4409" s="1" t="str">
        <f>HYPERLINK("http://www.uniprot.org/uniprot/CNX2_ARATH","CNX2_ARATH")</f>
        <v>CNX2_ARATH</v>
      </c>
      <c r="D4409" t="s">
        <v>3895</v>
      </c>
      <c r="E4409" s="3" t="s">
        <v>3</v>
      </c>
      <c r="F4409" s="4">
        <v>0</v>
      </c>
      <c r="G4409" s="3">
        <v>1598</v>
      </c>
      <c r="H4409" s="3">
        <v>75</v>
      </c>
      <c r="I4409" s="3">
        <v>399</v>
      </c>
      <c r="J4409" s="3">
        <v>150</v>
      </c>
      <c r="K4409" s="3">
        <v>1346</v>
      </c>
      <c r="L4409" s="3">
        <v>1</v>
      </c>
      <c r="M4409" s="3">
        <v>390</v>
      </c>
    </row>
    <row r="4410" spans="1:13" x14ac:dyDescent="0.25">
      <c r="A4410" s="1" t="str">
        <f>HYPERLINK("http://www.rosaceae.org/Prunus/Prunus_persica/p.persica_gdr_reftransV1_0000971","p.persica_gdr_reftransV1_0000971")</f>
        <v>p.persica_gdr_reftransV1_0000971</v>
      </c>
      <c r="B4410" s="3">
        <v>671</v>
      </c>
      <c r="C4410" s="1" t="str">
        <f>HYPERLINK("http://www.uniprot.org/uniprot/C94C1_ARATH","C94C1_ARATH")</f>
        <v>C94C1_ARATH</v>
      </c>
      <c r="D4410" t="s">
        <v>1850</v>
      </c>
      <c r="E4410" s="3" t="s">
        <v>3</v>
      </c>
      <c r="F4410" s="4">
        <v>2.4800000000000001E-79</v>
      </c>
      <c r="G4410" s="3">
        <v>644</v>
      </c>
      <c r="H4410" s="3">
        <v>68</v>
      </c>
      <c r="I4410" s="3">
        <v>188</v>
      </c>
      <c r="J4410" s="3">
        <v>3</v>
      </c>
      <c r="K4410" s="3">
        <v>566</v>
      </c>
      <c r="L4410" s="3">
        <v>27</v>
      </c>
      <c r="M4410" s="3">
        <v>211</v>
      </c>
    </row>
    <row r="4411" spans="1:13" x14ac:dyDescent="0.25">
      <c r="A4411" s="1" t="str">
        <f>HYPERLINK("http://www.rosaceae.org/Prunus/Prunus_persica/p.persica_gdr_reftransV1_0001021","p.persica_gdr_reftransV1_0001021")</f>
        <v>p.persica_gdr_reftransV1_0001021</v>
      </c>
      <c r="B4411" s="3">
        <v>768</v>
      </c>
      <c r="C4411" s="1" t="str">
        <f>HYPERLINK("http://www.uniprot.org/uniprot/PTR47_ARATH","PTR47_ARATH")</f>
        <v>PTR47_ARATH</v>
      </c>
      <c r="D4411" t="s">
        <v>3896</v>
      </c>
      <c r="E4411" s="3" t="s">
        <v>3</v>
      </c>
      <c r="F4411" s="4">
        <v>5.6100000000000003E-71</v>
      </c>
      <c r="G4411" s="3">
        <v>597</v>
      </c>
      <c r="H4411" s="3">
        <v>56</v>
      </c>
      <c r="I4411" s="3">
        <v>206</v>
      </c>
      <c r="J4411" s="3">
        <v>3</v>
      </c>
      <c r="K4411" s="3">
        <v>620</v>
      </c>
      <c r="L4411" s="3">
        <v>6</v>
      </c>
      <c r="M4411" s="3">
        <v>211</v>
      </c>
    </row>
    <row r="4412" spans="1:13" x14ac:dyDescent="0.25">
      <c r="A4412" s="1" t="str">
        <f>HYPERLINK("http://www.rosaceae.org/Prunus/Prunus_persica/p.persica_gdr_reftransV1_0001071","p.persica_gdr_reftransV1_0001071")</f>
        <v>p.persica_gdr_reftransV1_0001071</v>
      </c>
      <c r="B4412" s="3">
        <v>407</v>
      </c>
      <c r="C4412" s="1" t="str">
        <f>HYPERLINK("http://www.uniprot.org/uniprot/QKY_ARATH","QKY_ARATH")</f>
        <v>QKY_ARATH</v>
      </c>
      <c r="D4412" t="s">
        <v>707</v>
      </c>
      <c r="E4412" s="3" t="s">
        <v>3</v>
      </c>
      <c r="F4412" s="4">
        <v>1.24E-39</v>
      </c>
      <c r="G4412" s="3">
        <v>369</v>
      </c>
      <c r="H4412" s="3">
        <v>52</v>
      </c>
      <c r="I4412" s="3">
        <v>137</v>
      </c>
      <c r="J4412" s="3">
        <v>8</v>
      </c>
      <c r="K4412" s="3">
        <v>406</v>
      </c>
      <c r="L4412" s="3">
        <v>3</v>
      </c>
      <c r="M4412" s="3">
        <v>137</v>
      </c>
    </row>
    <row r="4413" spans="1:13" x14ac:dyDescent="0.25">
      <c r="A4413" s="1" t="str">
        <f>HYPERLINK("http://www.rosaceae.org/Prunus/Prunus_persica/p.persica_gdr_reftransV1_0001121","p.persica_gdr_reftransV1_0001121")</f>
        <v>p.persica_gdr_reftransV1_0001121</v>
      </c>
      <c r="B4413" s="3">
        <v>2508</v>
      </c>
      <c r="C4413" s="1" t="str">
        <f>HYPERLINK("http://www.uniprot.org/uniprot/TF3C5_HUMAN","TF3C5_HUMAN")</f>
        <v>TF3C5_HUMAN</v>
      </c>
      <c r="D4413" t="s">
        <v>1697</v>
      </c>
      <c r="E4413" s="3" t="s">
        <v>28</v>
      </c>
      <c r="F4413" s="4">
        <v>3.1400000000000001E-28</v>
      </c>
      <c r="G4413" s="3">
        <v>309</v>
      </c>
      <c r="H4413" s="3">
        <v>26</v>
      </c>
      <c r="I4413" s="3">
        <v>324</v>
      </c>
      <c r="J4413" s="3">
        <v>1291</v>
      </c>
      <c r="K4413" s="3">
        <v>2220</v>
      </c>
      <c r="L4413" s="3">
        <v>24</v>
      </c>
      <c r="M4413" s="3">
        <v>324</v>
      </c>
    </row>
    <row r="4414" spans="1:13" x14ac:dyDescent="0.25">
      <c r="A4414" s="1" t="str">
        <f>HYPERLINK("http://www.rosaceae.org/Prunus/Prunus_persica/p.persica_gdr_reftransV1_0001171","p.persica_gdr_reftransV1_0001171")</f>
        <v>p.persica_gdr_reftransV1_0001171</v>
      </c>
      <c r="B4414" s="3">
        <v>3315</v>
      </c>
      <c r="C4414" s="1" t="str">
        <f>HYPERLINK("http://www.uniprot.org/uniprot/ABI3_ARATH","ABI3_ARATH")</f>
        <v>ABI3_ARATH</v>
      </c>
      <c r="D4414" t="s">
        <v>3897</v>
      </c>
      <c r="E4414" s="3" t="s">
        <v>3</v>
      </c>
      <c r="F4414" s="4">
        <v>2.0400000000000001E-137</v>
      </c>
      <c r="G4414" s="3">
        <v>1129</v>
      </c>
      <c r="H4414" s="3">
        <v>46</v>
      </c>
      <c r="I4414" s="3">
        <v>798</v>
      </c>
      <c r="J4414" s="3">
        <v>587</v>
      </c>
      <c r="K4414" s="3">
        <v>2845</v>
      </c>
      <c r="L4414" s="3">
        <v>9</v>
      </c>
      <c r="M4414" s="3">
        <v>699</v>
      </c>
    </row>
    <row r="4415" spans="1:13" x14ac:dyDescent="0.25">
      <c r="A4415" s="1" t="str">
        <f>HYPERLINK("http://www.rosaceae.org/Prunus/Prunus_persica/p.persica_gdr_reftransV1_0001271","p.persica_gdr_reftransV1_0001271")</f>
        <v>p.persica_gdr_reftransV1_0001271</v>
      </c>
      <c r="B4415" s="3">
        <v>416</v>
      </c>
      <c r="C4415" s="1" t="str">
        <f>HYPERLINK("http://www.uniprot.org/uniprot/ZEP_ARATH","ZEP_ARATH")</f>
        <v>ZEP_ARATH</v>
      </c>
      <c r="D4415" t="s">
        <v>3898</v>
      </c>
      <c r="E4415" s="3" t="s">
        <v>3</v>
      </c>
      <c r="F4415" s="4">
        <v>5.81E-51</v>
      </c>
      <c r="G4415" s="3">
        <v>447</v>
      </c>
      <c r="H4415" s="3">
        <v>60</v>
      </c>
      <c r="I4415" s="3">
        <v>138</v>
      </c>
      <c r="J4415" s="3">
        <v>2</v>
      </c>
      <c r="K4415" s="3">
        <v>415</v>
      </c>
      <c r="L4415" s="3">
        <v>160</v>
      </c>
      <c r="M4415" s="3">
        <v>297</v>
      </c>
    </row>
    <row r="4416" spans="1:13" x14ac:dyDescent="0.25">
      <c r="A4416" s="1" t="str">
        <f>HYPERLINK("http://www.rosaceae.org/Prunus/Prunus_persica/p.persica_gdr_reftransV1_0001321","p.persica_gdr_reftransV1_0001321")</f>
        <v>p.persica_gdr_reftransV1_0001321</v>
      </c>
      <c r="B4416" s="3">
        <v>342</v>
      </c>
      <c r="C4416" s="1" t="str">
        <f>HYPERLINK("http://www.uniprot.org/uniprot/MLP31_ARATH","MLP31_ARATH")</f>
        <v>MLP31_ARATH</v>
      </c>
      <c r="D4416" t="s">
        <v>722</v>
      </c>
      <c r="E4416" s="3" t="s">
        <v>3</v>
      </c>
      <c r="F4416" s="4">
        <v>4.3999999999999999E-45</v>
      </c>
      <c r="G4416" s="3">
        <v>378</v>
      </c>
      <c r="H4416" s="3">
        <v>64</v>
      </c>
      <c r="I4416" s="3">
        <v>107</v>
      </c>
      <c r="J4416" s="3">
        <v>21</v>
      </c>
      <c r="K4416" s="3">
        <v>341</v>
      </c>
      <c r="L4416" s="3">
        <v>19</v>
      </c>
      <c r="M4416" s="3">
        <v>125</v>
      </c>
    </row>
    <row r="4417" spans="1:13" x14ac:dyDescent="0.25">
      <c r="A4417" s="1" t="str">
        <f>HYPERLINK("http://www.rosaceae.org/Prunus/Prunus_persica/p.persica_gdr_reftransV1_0001421","p.persica_gdr_reftransV1_0001421")</f>
        <v>p.persica_gdr_reftransV1_0001421</v>
      </c>
      <c r="B4417" s="3">
        <v>1037</v>
      </c>
      <c r="C4417" s="1" t="str">
        <f>HYPERLINK("http://www.uniprot.org/uniprot/DNJ11_ARATH","DNJ11_ARATH")</f>
        <v>DNJ11_ARATH</v>
      </c>
      <c r="D4417" t="s">
        <v>3899</v>
      </c>
      <c r="E4417" s="3" t="s">
        <v>3</v>
      </c>
      <c r="F4417" s="4">
        <v>2.6999999999999998E-26</v>
      </c>
      <c r="G4417" s="3">
        <v>267</v>
      </c>
      <c r="H4417" s="3">
        <v>53</v>
      </c>
      <c r="I4417" s="3">
        <v>131</v>
      </c>
      <c r="J4417" s="3">
        <v>329</v>
      </c>
      <c r="K4417" s="3">
        <v>685</v>
      </c>
      <c r="L4417" s="3">
        <v>34</v>
      </c>
      <c r="M4417" s="3">
        <v>161</v>
      </c>
    </row>
    <row r="4418" spans="1:13" x14ac:dyDescent="0.25">
      <c r="A4418" s="1" t="str">
        <f>HYPERLINK("http://www.rosaceae.org/Prunus/Prunus_persica/p.persica_gdr_reftransV1_0001521","p.persica_gdr_reftransV1_0001521")</f>
        <v>p.persica_gdr_reftransV1_0001521</v>
      </c>
      <c r="B4418" s="3">
        <v>531</v>
      </c>
      <c r="C4418" s="1" t="str">
        <f>HYPERLINK("http://www.uniprot.org/uniprot/NAC42_ARATH","NAC42_ARATH")</f>
        <v>NAC42_ARATH</v>
      </c>
      <c r="D4418" t="s">
        <v>85</v>
      </c>
      <c r="E4418" s="3" t="s">
        <v>3</v>
      </c>
      <c r="F4418" s="4">
        <v>4.2000000000000003E-21</v>
      </c>
      <c r="G4418" s="3">
        <v>226</v>
      </c>
      <c r="H4418" s="3">
        <v>50</v>
      </c>
      <c r="I4418" s="3">
        <v>107</v>
      </c>
      <c r="J4418" s="3">
        <v>198</v>
      </c>
      <c r="K4418" s="3">
        <v>509</v>
      </c>
      <c r="L4418" s="3">
        <v>114</v>
      </c>
      <c r="M4418" s="3">
        <v>200</v>
      </c>
    </row>
    <row r="4419" spans="1:13" x14ac:dyDescent="0.25">
      <c r="A4419" s="1" t="str">
        <f>HYPERLINK("http://www.rosaceae.org/Prunus/Prunus_persica/p.persica_gdr_reftransV1_0001721","p.persica_gdr_reftransV1_0001721")</f>
        <v>p.persica_gdr_reftransV1_0001721</v>
      </c>
      <c r="B4419" s="3">
        <v>1096</v>
      </c>
      <c r="C4419" s="1" t="str">
        <f>HYPERLINK("http://www.uniprot.org/uniprot/EXOS5_ORYSJ","EXOS5_ORYSJ")</f>
        <v>EXOS5_ORYSJ</v>
      </c>
      <c r="D4419" t="s">
        <v>2941</v>
      </c>
      <c r="E4419" s="3" t="s">
        <v>38</v>
      </c>
      <c r="F4419" s="4">
        <v>5.1500000000000002E-79</v>
      </c>
      <c r="G4419" s="3">
        <v>635</v>
      </c>
      <c r="H4419" s="3">
        <v>73</v>
      </c>
      <c r="I4419" s="3">
        <v>162</v>
      </c>
      <c r="J4419" s="3">
        <v>199</v>
      </c>
      <c r="K4419" s="3">
        <v>684</v>
      </c>
      <c r="L4419" s="3">
        <v>1</v>
      </c>
      <c r="M4419" s="3">
        <v>162</v>
      </c>
    </row>
    <row r="4420" spans="1:13" x14ac:dyDescent="0.25">
      <c r="A4420" s="1" t="str">
        <f>HYPERLINK("http://www.rosaceae.org/Prunus/Prunus_persica/p.persica_gdr_reftransV1_0001771","p.persica_gdr_reftransV1_0001771")</f>
        <v>p.persica_gdr_reftransV1_0001771</v>
      </c>
      <c r="B4420" s="3">
        <v>386</v>
      </c>
      <c r="C4420" s="1" t="str">
        <f>HYPERLINK("http://www.uniprot.org/uniprot/DIOX1_PAPSO","DIOX1_PAPSO")</f>
        <v>DIOX1_PAPSO</v>
      </c>
      <c r="D4420" t="s">
        <v>3900</v>
      </c>
      <c r="E4420" s="3" t="s">
        <v>2250</v>
      </c>
      <c r="F4420" s="4">
        <v>3.0500000000000001E-25</v>
      </c>
      <c r="G4420" s="3">
        <v>253</v>
      </c>
      <c r="H4420" s="3">
        <v>52</v>
      </c>
      <c r="I4420" s="3">
        <v>92</v>
      </c>
      <c r="J4420" s="3">
        <v>109</v>
      </c>
      <c r="K4420" s="3">
        <v>384</v>
      </c>
      <c r="L4420" s="3">
        <v>247</v>
      </c>
      <c r="M4420" s="3">
        <v>336</v>
      </c>
    </row>
    <row r="4421" spans="1:13" x14ac:dyDescent="0.25">
      <c r="A4421" s="1" t="str">
        <f>HYPERLINK("http://www.rosaceae.org/Prunus/Prunus_persica/p.persica_gdr_reftransV1_0001871","p.persica_gdr_reftransV1_0001871")</f>
        <v>p.persica_gdr_reftransV1_0001871</v>
      </c>
      <c r="B4421" s="3">
        <v>1549</v>
      </c>
      <c r="C4421" s="1" t="str">
        <f>HYPERLINK("http://www.uniprot.org/uniprot/FB95_ARATH","FB95_ARATH")</f>
        <v>FB95_ARATH</v>
      </c>
      <c r="D4421" t="s">
        <v>3901</v>
      </c>
      <c r="E4421" s="3" t="s">
        <v>3</v>
      </c>
      <c r="F4421" s="4">
        <v>1.0599999999999999E-71</v>
      </c>
      <c r="G4421" s="3">
        <v>605</v>
      </c>
      <c r="H4421" s="3">
        <v>42</v>
      </c>
      <c r="I4421" s="3">
        <v>303</v>
      </c>
      <c r="J4421" s="3">
        <v>401</v>
      </c>
      <c r="K4421" s="3">
        <v>1309</v>
      </c>
      <c r="L4421" s="3">
        <v>64</v>
      </c>
      <c r="M4421" s="3">
        <v>316</v>
      </c>
    </row>
    <row r="4422" spans="1:13" x14ac:dyDescent="0.25">
      <c r="A4422" s="1" t="str">
        <f>HYPERLINK("http://www.rosaceae.org/Prunus/Prunus_persica/p.persica_gdr_reftransV1_0001971","p.persica_gdr_reftransV1_0001971")</f>
        <v>p.persica_gdr_reftransV1_0001971</v>
      </c>
      <c r="B4422" s="3">
        <v>1412</v>
      </c>
      <c r="C4422" s="1" t="str">
        <f>HYPERLINK("http://www.uniprot.org/uniprot/LPPD_ARATH","LPPD_ARATH")</f>
        <v>LPPD_ARATH</v>
      </c>
      <c r="D4422" t="s">
        <v>3902</v>
      </c>
      <c r="E4422" s="3" t="s">
        <v>3</v>
      </c>
      <c r="F4422" s="4">
        <v>0</v>
      </c>
      <c r="G4422" s="3">
        <v>1379</v>
      </c>
      <c r="H4422" s="3">
        <v>71</v>
      </c>
      <c r="I4422" s="3">
        <v>407</v>
      </c>
      <c r="J4422" s="3">
        <v>155</v>
      </c>
      <c r="K4422" s="3">
        <v>1372</v>
      </c>
      <c r="L4422" s="3">
        <v>7</v>
      </c>
      <c r="M4422" s="3">
        <v>413</v>
      </c>
    </row>
    <row r="4423" spans="1:13" x14ac:dyDescent="0.25">
      <c r="A4423" s="1" t="str">
        <f>HYPERLINK("http://www.rosaceae.org/Prunus/Prunus_persica/p.persica_gdr_reftransV1_0002021","p.persica_gdr_reftransV1_0002021")</f>
        <v>p.persica_gdr_reftransV1_0002021</v>
      </c>
      <c r="B4423" s="3">
        <v>323</v>
      </c>
      <c r="C4423" s="1" t="str">
        <f>HYPERLINK("http://www.uniprot.org/uniprot/UBC1_MAGO7","UBC1_MAGO7")</f>
        <v>UBC1_MAGO7</v>
      </c>
      <c r="D4423" t="s">
        <v>3903</v>
      </c>
      <c r="E4423" s="3" t="s">
        <v>3904</v>
      </c>
      <c r="F4423" s="4">
        <v>3.1599999999999999E-14</v>
      </c>
      <c r="G4423" s="3">
        <v>167</v>
      </c>
      <c r="H4423" s="3">
        <v>100</v>
      </c>
      <c r="I4423" s="3">
        <v>31</v>
      </c>
      <c r="J4423" s="3">
        <v>1</v>
      </c>
      <c r="K4423" s="3">
        <v>93</v>
      </c>
      <c r="L4423" s="3">
        <v>1</v>
      </c>
      <c r="M4423" s="3">
        <v>31</v>
      </c>
    </row>
    <row r="4424" spans="1:13" x14ac:dyDescent="0.25">
      <c r="A4424" s="1" t="str">
        <f>HYPERLINK("http://www.rosaceae.org/Prunus/Prunus_persica/p.persica_gdr_reftransV1_0002071","p.persica_gdr_reftransV1_0002071")</f>
        <v>p.persica_gdr_reftransV1_0002071</v>
      </c>
      <c r="B4424" s="3">
        <v>383</v>
      </c>
      <c r="C4424" s="1" t="str">
        <f>HYPERLINK("http://www.uniprot.org/uniprot/UBC1_COLGL","UBC1_COLGL")</f>
        <v>UBC1_COLGL</v>
      </c>
      <c r="D4424" t="s">
        <v>3905</v>
      </c>
      <c r="E4424" s="3" t="s">
        <v>3906</v>
      </c>
      <c r="F4424" s="4">
        <v>3.5699999999999997E-83</v>
      </c>
      <c r="G4424" s="3">
        <v>629</v>
      </c>
      <c r="H4424" s="3">
        <v>98</v>
      </c>
      <c r="I4424" s="3">
        <v>120</v>
      </c>
      <c r="J4424" s="3">
        <v>23</v>
      </c>
      <c r="K4424" s="3">
        <v>382</v>
      </c>
      <c r="L4424" s="3">
        <v>28</v>
      </c>
      <c r="M4424" s="3">
        <v>147</v>
      </c>
    </row>
    <row r="4425" spans="1:13" x14ac:dyDescent="0.25">
      <c r="A4425" s="1" t="str">
        <f>HYPERLINK("http://www.rosaceae.org/Prunus/Prunus_persica/p.persica_gdr_reftransV1_0002171","p.persica_gdr_reftransV1_0002171")</f>
        <v>p.persica_gdr_reftransV1_0002171</v>
      </c>
      <c r="B4425" s="3">
        <v>458</v>
      </c>
      <c r="C4425" s="1" t="str">
        <f>HYPERLINK("http://www.uniprot.org/uniprot/CB60C_ARATH","CB60C_ARATH")</f>
        <v>CB60C_ARATH</v>
      </c>
      <c r="D4425" t="s">
        <v>3907</v>
      </c>
      <c r="E4425" s="3" t="s">
        <v>3</v>
      </c>
      <c r="F4425" s="4">
        <v>6.0900000000000004E-31</v>
      </c>
      <c r="G4425" s="3">
        <v>303</v>
      </c>
      <c r="H4425" s="3">
        <v>76</v>
      </c>
      <c r="I4425" s="3">
        <v>88</v>
      </c>
      <c r="J4425" s="3">
        <v>51</v>
      </c>
      <c r="K4425" s="3">
        <v>308</v>
      </c>
      <c r="L4425" s="3">
        <v>1</v>
      </c>
      <c r="M4425" s="3">
        <v>87</v>
      </c>
    </row>
    <row r="4426" spans="1:13" x14ac:dyDescent="0.25">
      <c r="A4426" s="1" t="str">
        <f>HYPERLINK("http://www.rosaceae.org/Prunus/Prunus_persica/p.persica_gdr_reftransV1_0002221","p.persica_gdr_reftransV1_0002221")</f>
        <v>p.persica_gdr_reftransV1_0002221</v>
      </c>
      <c r="B4426" s="3">
        <v>1298</v>
      </c>
      <c r="C4426" s="1" t="str">
        <f>HYPERLINK("http://www.uniprot.org/uniprot/BH066_ARATH","BH066_ARATH")</f>
        <v>BH066_ARATH</v>
      </c>
      <c r="D4426" t="s">
        <v>3908</v>
      </c>
      <c r="E4426" s="3" t="s">
        <v>3</v>
      </c>
      <c r="F4426" s="4">
        <v>1.24E-14</v>
      </c>
      <c r="G4426" s="3">
        <v>192</v>
      </c>
      <c r="H4426" s="3">
        <v>34</v>
      </c>
      <c r="I4426" s="3">
        <v>134</v>
      </c>
      <c r="J4426" s="3">
        <v>658</v>
      </c>
      <c r="K4426" s="3">
        <v>1023</v>
      </c>
      <c r="L4426" s="3">
        <v>149</v>
      </c>
      <c r="M4426" s="3">
        <v>282</v>
      </c>
    </row>
    <row r="4427" spans="1:13" x14ac:dyDescent="0.25">
      <c r="A4427" s="1" t="str">
        <f>HYPERLINK("http://www.rosaceae.org/Prunus/Prunus_persica/p.persica_gdr_reftransV1_0002371","p.persica_gdr_reftransV1_0002371")</f>
        <v>p.persica_gdr_reftransV1_0002371</v>
      </c>
      <c r="B4427" s="3">
        <v>1313</v>
      </c>
      <c r="C4427" s="1" t="str">
        <f>HYPERLINK("http://www.uniprot.org/uniprot/SYP51_ARATH","SYP51_ARATH")</f>
        <v>SYP51_ARATH</v>
      </c>
      <c r="D4427" t="s">
        <v>3909</v>
      </c>
      <c r="E4427" s="3" t="s">
        <v>3</v>
      </c>
      <c r="F4427" s="4">
        <v>4.15E-95</v>
      </c>
      <c r="G4427" s="3">
        <v>748</v>
      </c>
      <c r="H4427" s="3">
        <v>70</v>
      </c>
      <c r="I4427" s="3">
        <v>205</v>
      </c>
      <c r="J4427" s="3">
        <v>313</v>
      </c>
      <c r="K4427" s="3">
        <v>924</v>
      </c>
      <c r="L4427" s="3">
        <v>8</v>
      </c>
      <c r="M4427" s="3">
        <v>211</v>
      </c>
    </row>
    <row r="4428" spans="1:13" x14ac:dyDescent="0.25">
      <c r="A4428" s="1" t="str">
        <f>HYPERLINK("http://www.rosaceae.org/Prunus/Prunus_persica/p.persica_gdr_reftransV1_0002421","p.persica_gdr_reftransV1_0002421")</f>
        <v>p.persica_gdr_reftransV1_0002421</v>
      </c>
      <c r="B4428" s="3">
        <v>1582</v>
      </c>
      <c r="C4428" s="1" t="str">
        <f>HYPERLINK("http://www.uniprot.org/uniprot/NPHP3_HUMAN","NPHP3_HUMAN")</f>
        <v>NPHP3_HUMAN</v>
      </c>
      <c r="D4428" t="s">
        <v>3910</v>
      </c>
      <c r="E4428" s="3" t="s">
        <v>28</v>
      </c>
      <c r="F4428" s="4">
        <v>4.8500000000000002E-7</v>
      </c>
      <c r="G4428" s="3">
        <v>135</v>
      </c>
      <c r="H4428" s="3">
        <v>29</v>
      </c>
      <c r="I4428" s="3">
        <v>122</v>
      </c>
      <c r="J4428" s="3">
        <v>526</v>
      </c>
      <c r="K4428" s="3">
        <v>891</v>
      </c>
      <c r="L4428" s="3">
        <v>1176</v>
      </c>
      <c r="M4428" s="3">
        <v>1296</v>
      </c>
    </row>
    <row r="4429" spans="1:13" x14ac:dyDescent="0.25">
      <c r="A4429" s="1" t="str">
        <f>HYPERLINK("http://www.rosaceae.org/Prunus/Prunus_persica/p.persica_gdr_reftransV1_0002521","p.persica_gdr_reftransV1_0002521")</f>
        <v>p.persica_gdr_reftransV1_0002521</v>
      </c>
      <c r="B4429" s="3">
        <v>1694</v>
      </c>
      <c r="C4429" s="1" t="str">
        <f>HYPERLINK("http://www.uniprot.org/uniprot/SPL17_ORYSJ","SPL17_ORYSJ")</f>
        <v>SPL17_ORYSJ</v>
      </c>
      <c r="D4429" t="s">
        <v>3911</v>
      </c>
      <c r="E4429" s="3" t="s">
        <v>38</v>
      </c>
      <c r="F4429" s="4">
        <v>1.0800000000000001E-62</v>
      </c>
      <c r="G4429" s="3">
        <v>552</v>
      </c>
      <c r="H4429" s="3">
        <v>41</v>
      </c>
      <c r="I4429" s="3">
        <v>389</v>
      </c>
      <c r="J4429" s="3">
        <v>405</v>
      </c>
      <c r="K4429" s="3">
        <v>1469</v>
      </c>
      <c r="L4429" s="3">
        <v>19</v>
      </c>
      <c r="M4429" s="3">
        <v>393</v>
      </c>
    </row>
    <row r="4430" spans="1:13" x14ac:dyDescent="0.25">
      <c r="A4430" s="1" t="str">
        <f>HYPERLINK("http://www.rosaceae.org/Prunus/Prunus_persica/p.persica_gdr_reftransV1_0002571","p.persica_gdr_reftransV1_0002571")</f>
        <v>p.persica_gdr_reftransV1_0002571</v>
      </c>
      <c r="B4430" s="3">
        <v>379</v>
      </c>
      <c r="C4430" s="1" t="str">
        <f>HYPERLINK("http://www.uniprot.org/uniprot/RADL6_ARATH","RADL6_ARATH")</f>
        <v>RADL6_ARATH</v>
      </c>
      <c r="D4430" t="s">
        <v>3912</v>
      </c>
      <c r="E4430" s="3" t="s">
        <v>3</v>
      </c>
      <c r="F4430" s="4">
        <v>1.19E-32</v>
      </c>
      <c r="G4430" s="3">
        <v>290</v>
      </c>
      <c r="H4430" s="3">
        <v>60</v>
      </c>
      <c r="I4430" s="3">
        <v>92</v>
      </c>
      <c r="J4430" s="3">
        <v>19</v>
      </c>
      <c r="K4430" s="3">
        <v>294</v>
      </c>
      <c r="L4430" s="3">
        <v>12</v>
      </c>
      <c r="M4430" s="3">
        <v>97</v>
      </c>
    </row>
    <row r="4431" spans="1:13" x14ac:dyDescent="0.25">
      <c r="A4431" s="1" t="str">
        <f>HYPERLINK("http://www.rosaceae.org/Prunus/Prunus_persica/p.persica_gdr_reftransV1_0002621","p.persica_gdr_reftransV1_0002621")</f>
        <v>p.persica_gdr_reftransV1_0002621</v>
      </c>
      <c r="B4431" s="3">
        <v>1098</v>
      </c>
      <c r="C4431" s="1" t="str">
        <f>HYPERLINK("http://www.uniprot.org/uniprot/MAD27_ORYSJ","MAD27_ORYSJ")</f>
        <v>MAD27_ORYSJ</v>
      </c>
      <c r="D4431" t="s">
        <v>3913</v>
      </c>
      <c r="E4431" s="3" t="s">
        <v>38</v>
      </c>
      <c r="F4431" s="4">
        <v>7.8599999999999998E-100</v>
      </c>
      <c r="G4431" s="3">
        <v>774</v>
      </c>
      <c r="H4431" s="3">
        <v>63</v>
      </c>
      <c r="I4431" s="3">
        <v>245</v>
      </c>
      <c r="J4431" s="3">
        <v>90</v>
      </c>
      <c r="K4431" s="3">
        <v>824</v>
      </c>
      <c r="L4431" s="3">
        <v>1</v>
      </c>
      <c r="M4431" s="3">
        <v>239</v>
      </c>
    </row>
    <row r="4432" spans="1:13" x14ac:dyDescent="0.25">
      <c r="A4432" s="1" t="str">
        <f>HYPERLINK("http://www.rosaceae.org/Prunus/Prunus_persica/p.persica_gdr_reftransV1_0002721","p.persica_gdr_reftransV1_0002721")</f>
        <v>p.persica_gdr_reftransV1_0002721</v>
      </c>
      <c r="B4432" s="3">
        <v>952</v>
      </c>
      <c r="C4432" s="1" t="str">
        <f>HYPERLINK("http://www.uniprot.org/uniprot/Y4844_ARATH","Y4844_ARATH")</f>
        <v>Y4844_ARATH</v>
      </c>
      <c r="D4432" t="s">
        <v>3914</v>
      </c>
      <c r="E4432" s="3" t="s">
        <v>3</v>
      </c>
      <c r="F4432" s="4">
        <v>1.19E-43</v>
      </c>
      <c r="G4432" s="3">
        <v>385</v>
      </c>
      <c r="H4432" s="3">
        <v>69</v>
      </c>
      <c r="I4432" s="3">
        <v>118</v>
      </c>
      <c r="J4432" s="3">
        <v>394</v>
      </c>
      <c r="K4432" s="3">
        <v>747</v>
      </c>
      <c r="L4432" s="3">
        <v>17</v>
      </c>
      <c r="M4432" s="3">
        <v>134</v>
      </c>
    </row>
    <row r="4433" spans="1:13" x14ac:dyDescent="0.25">
      <c r="A4433" s="1" t="str">
        <f>HYPERLINK("http://www.rosaceae.org/Prunus/Prunus_persica/p.persica_gdr_reftransV1_0002821","p.persica_gdr_reftransV1_0002821")</f>
        <v>p.persica_gdr_reftransV1_0002821</v>
      </c>
      <c r="B4433" s="3">
        <v>311</v>
      </c>
      <c r="C4433" s="1" t="str">
        <f>HYPERLINK("http://www.uniprot.org/uniprot/U73D1_ARATH","U73D1_ARATH")</f>
        <v>U73D1_ARATH</v>
      </c>
      <c r="D4433" t="s">
        <v>3915</v>
      </c>
      <c r="E4433" s="3" t="s">
        <v>3</v>
      </c>
      <c r="F4433" s="4">
        <v>1.6499999999999999E-34</v>
      </c>
      <c r="G4433" s="3">
        <v>320</v>
      </c>
      <c r="H4433" s="3">
        <v>55</v>
      </c>
      <c r="I4433" s="3">
        <v>104</v>
      </c>
      <c r="J4433" s="3">
        <v>2</v>
      </c>
      <c r="K4433" s="3">
        <v>310</v>
      </c>
      <c r="L4433" s="3">
        <v>32</v>
      </c>
      <c r="M4433" s="3">
        <v>135</v>
      </c>
    </row>
    <row r="4434" spans="1:13" x14ac:dyDescent="0.25">
      <c r="A4434" s="1" t="str">
        <f>HYPERLINK("http://www.rosaceae.org/Prunus/Prunus_persica/p.persica_gdr_reftransV1_0002921","p.persica_gdr_reftransV1_0002921")</f>
        <v>p.persica_gdr_reftransV1_0002921</v>
      </c>
      <c r="B4434" s="3">
        <v>3241</v>
      </c>
      <c r="C4434" s="1" t="str">
        <f>HYPERLINK("http://www.uniprot.org/uniprot/SUVH6_ARATH","SUVH6_ARATH")</f>
        <v>SUVH6_ARATH</v>
      </c>
      <c r="D4434" t="s">
        <v>3916</v>
      </c>
      <c r="E4434" s="3" t="s">
        <v>3</v>
      </c>
      <c r="F4434" s="4">
        <v>0</v>
      </c>
      <c r="G4434" s="3">
        <v>1679</v>
      </c>
      <c r="H4434" s="3">
        <v>66</v>
      </c>
      <c r="I4434" s="3">
        <v>523</v>
      </c>
      <c r="J4434" s="3">
        <v>1085</v>
      </c>
      <c r="K4434" s="3">
        <v>2608</v>
      </c>
      <c r="L4434" s="3">
        <v>270</v>
      </c>
      <c r="M4434" s="3">
        <v>790</v>
      </c>
    </row>
    <row r="4435" spans="1:13" x14ac:dyDescent="0.25">
      <c r="A4435" s="1" t="str">
        <f>HYPERLINK("http://www.rosaceae.org/Prunus/Prunus_persica/p.persica_gdr_reftransV1_0002971","p.persica_gdr_reftransV1_0002971")</f>
        <v>p.persica_gdr_reftransV1_0002971</v>
      </c>
      <c r="B4435" s="3">
        <v>2632</v>
      </c>
      <c r="C4435" s="1" t="str">
        <f>HYPERLINK("http://www.uniprot.org/uniprot/CPRF1_PETCR","CPRF1_PETCR")</f>
        <v>CPRF1_PETCR</v>
      </c>
      <c r="D4435" t="s">
        <v>3917</v>
      </c>
      <c r="E4435" s="3" t="s">
        <v>1040</v>
      </c>
      <c r="F4435" s="4">
        <v>3.9300000000000002E-49</v>
      </c>
      <c r="G4435" s="3">
        <v>422</v>
      </c>
      <c r="H4435" s="3">
        <v>62</v>
      </c>
      <c r="I4435" s="3">
        <v>147</v>
      </c>
      <c r="J4435" s="3">
        <v>1838</v>
      </c>
      <c r="K4435" s="3">
        <v>2269</v>
      </c>
      <c r="L4435" s="3">
        <v>266</v>
      </c>
      <c r="M4435" s="3">
        <v>411</v>
      </c>
    </row>
    <row r="4436" spans="1:13" x14ac:dyDescent="0.25">
      <c r="A4436" s="1" t="str">
        <f>HYPERLINK("http://www.rosaceae.org/Prunus/Prunus_persica/p.persica_gdr_reftransV1_0003021","p.persica_gdr_reftransV1_0003021")</f>
        <v>p.persica_gdr_reftransV1_0003021</v>
      </c>
      <c r="B4436" s="3">
        <v>567</v>
      </c>
      <c r="C4436" s="1" t="str">
        <f>HYPERLINK("http://www.uniprot.org/uniprot/DRL21_ARATH","DRL21_ARATH")</f>
        <v>DRL21_ARATH</v>
      </c>
      <c r="D4436" t="s">
        <v>3610</v>
      </c>
      <c r="E4436" s="3" t="s">
        <v>3</v>
      </c>
      <c r="F4436" s="4">
        <v>6.1399999999999999E-34</v>
      </c>
      <c r="G4436" s="3">
        <v>334</v>
      </c>
      <c r="H4436" s="3">
        <v>41</v>
      </c>
      <c r="I4436" s="3">
        <v>188</v>
      </c>
      <c r="J4436" s="3">
        <v>3</v>
      </c>
      <c r="K4436" s="3">
        <v>566</v>
      </c>
      <c r="L4436" s="3">
        <v>437</v>
      </c>
      <c r="M4436" s="3">
        <v>618</v>
      </c>
    </row>
    <row r="4437" spans="1:13" x14ac:dyDescent="0.25">
      <c r="A4437" s="1" t="str">
        <f>HYPERLINK("http://www.rosaceae.org/Prunus/Prunus_persica/p.persica_gdr_reftransV1_0003071","p.persica_gdr_reftransV1_0003071")</f>
        <v>p.persica_gdr_reftransV1_0003071</v>
      </c>
      <c r="B4437" s="3">
        <v>1127</v>
      </c>
      <c r="C4437" s="1" t="str">
        <f>HYPERLINK("http://www.uniprot.org/uniprot/PP151_ARATH","PP151_ARATH")</f>
        <v>PP151_ARATH</v>
      </c>
      <c r="D4437" t="s">
        <v>1204</v>
      </c>
      <c r="E4437" s="3" t="s">
        <v>3</v>
      </c>
      <c r="F4437" s="4">
        <v>8.2E-175</v>
      </c>
      <c r="G4437" s="3">
        <v>1314</v>
      </c>
      <c r="H4437" s="3">
        <v>70</v>
      </c>
      <c r="I4437" s="3">
        <v>365</v>
      </c>
      <c r="J4437" s="3">
        <v>38</v>
      </c>
      <c r="K4437" s="3">
        <v>1126</v>
      </c>
      <c r="L4437" s="3">
        <v>6</v>
      </c>
      <c r="M4437" s="3">
        <v>370</v>
      </c>
    </row>
    <row r="4438" spans="1:13" x14ac:dyDescent="0.25">
      <c r="A4438" s="1" t="str">
        <f>HYPERLINK("http://www.rosaceae.org/Prunus/Prunus_persica/p.persica_gdr_reftransV1_0003171","p.persica_gdr_reftransV1_0003171")</f>
        <v>p.persica_gdr_reftransV1_0003171</v>
      </c>
      <c r="B4438" s="3">
        <v>1485</v>
      </c>
      <c r="C4438" s="1" t="str">
        <f>HYPERLINK("http://www.uniprot.org/uniprot/AROD2_ARATH","AROD2_ARATH")</f>
        <v>AROD2_ARATH</v>
      </c>
      <c r="D4438" t="s">
        <v>3918</v>
      </c>
      <c r="E4438" s="3" t="s">
        <v>3</v>
      </c>
      <c r="F4438" s="4">
        <v>0</v>
      </c>
      <c r="G4438" s="3">
        <v>1350</v>
      </c>
      <c r="H4438" s="3">
        <v>85</v>
      </c>
      <c r="I4438" s="3">
        <v>305</v>
      </c>
      <c r="J4438" s="3">
        <v>182</v>
      </c>
      <c r="K4438" s="3">
        <v>1096</v>
      </c>
      <c r="L4438" s="3">
        <v>79</v>
      </c>
      <c r="M4438" s="3">
        <v>381</v>
      </c>
    </row>
    <row r="4439" spans="1:13" x14ac:dyDescent="0.25">
      <c r="A4439" s="1" t="str">
        <f>HYPERLINK("http://www.rosaceae.org/Prunus/Prunus_persica/p.persica_gdr_reftransV1_0003221","p.persica_gdr_reftransV1_0003221")</f>
        <v>p.persica_gdr_reftransV1_0003221</v>
      </c>
      <c r="B4439" s="3">
        <v>2598</v>
      </c>
      <c r="C4439" s="1" t="str">
        <f>HYPERLINK("http://www.uniprot.org/uniprot/TYW1_ARATH","TYW1_ARATH")</f>
        <v>TYW1_ARATH</v>
      </c>
      <c r="D4439" t="s">
        <v>2005</v>
      </c>
      <c r="E4439" s="3" t="s">
        <v>3</v>
      </c>
      <c r="F4439" s="4">
        <v>0</v>
      </c>
      <c r="G4439" s="3">
        <v>2331</v>
      </c>
      <c r="H4439" s="3">
        <v>76</v>
      </c>
      <c r="I4439" s="3">
        <v>593</v>
      </c>
      <c r="J4439" s="3">
        <v>472</v>
      </c>
      <c r="K4439" s="3">
        <v>2250</v>
      </c>
      <c r="L4439" s="3">
        <v>49</v>
      </c>
      <c r="M4439" s="3">
        <v>638</v>
      </c>
    </row>
    <row r="4440" spans="1:13" x14ac:dyDescent="0.25">
      <c r="A4440" s="1" t="str">
        <f>HYPERLINK("http://www.rosaceae.org/Prunus/Prunus_persica/p.persica_gdr_reftransV1_0003271","p.persica_gdr_reftransV1_0003271")</f>
        <v>p.persica_gdr_reftransV1_0003271</v>
      </c>
      <c r="B4440" s="3">
        <v>1209</v>
      </c>
      <c r="C4440" s="1" t="str">
        <f>HYPERLINK("http://www.uniprot.org/uniprot/ILL5_ORYSJ","ILL5_ORYSJ")</f>
        <v>ILL5_ORYSJ</v>
      </c>
      <c r="D4440" t="s">
        <v>3919</v>
      </c>
      <c r="E4440" s="3" t="s">
        <v>38</v>
      </c>
      <c r="F4440" s="4">
        <v>2.1200000000000001E-124</v>
      </c>
      <c r="G4440" s="3">
        <v>958</v>
      </c>
      <c r="H4440" s="3">
        <v>67</v>
      </c>
      <c r="I4440" s="3">
        <v>270</v>
      </c>
      <c r="J4440" s="3">
        <v>211</v>
      </c>
      <c r="K4440" s="3">
        <v>1020</v>
      </c>
      <c r="L4440" s="3">
        <v>145</v>
      </c>
      <c r="M4440" s="3">
        <v>414</v>
      </c>
    </row>
    <row r="4441" spans="1:13" x14ac:dyDescent="0.25">
      <c r="A4441" s="1" t="str">
        <f>HYPERLINK("http://www.rosaceae.org/Prunus/Prunus_persica/p.persica_gdr_reftransV1_0003471","p.persica_gdr_reftransV1_0003471")</f>
        <v>p.persica_gdr_reftransV1_0003471</v>
      </c>
      <c r="B4441" s="3">
        <v>1963</v>
      </c>
      <c r="C4441" s="1" t="str">
        <f>HYPERLINK("http://www.uniprot.org/uniprot/BH126_ARATH","BH126_ARATH")</f>
        <v>BH126_ARATH</v>
      </c>
      <c r="D4441" t="s">
        <v>3920</v>
      </c>
      <c r="E4441" s="3" t="s">
        <v>3</v>
      </c>
      <c r="F4441" s="4">
        <v>5.3599999999999999E-21</v>
      </c>
      <c r="G4441" s="3">
        <v>240</v>
      </c>
      <c r="H4441" s="3">
        <v>43</v>
      </c>
      <c r="I4441" s="3">
        <v>129</v>
      </c>
      <c r="J4441" s="3">
        <v>842</v>
      </c>
      <c r="K4441" s="3">
        <v>1225</v>
      </c>
      <c r="L4441" s="3">
        <v>75</v>
      </c>
      <c r="M4441" s="3">
        <v>196</v>
      </c>
    </row>
    <row r="4442" spans="1:13" x14ac:dyDescent="0.25">
      <c r="A4442" s="1" t="str">
        <f>HYPERLINK("http://www.rosaceae.org/Prunus/Prunus_persica/p.persica_gdr_reftransV1_0003521","p.persica_gdr_reftransV1_0003521")</f>
        <v>p.persica_gdr_reftransV1_0003521</v>
      </c>
      <c r="B4442" s="3">
        <v>784</v>
      </c>
      <c r="C4442" s="1" t="str">
        <f>HYPERLINK("http://www.uniprot.org/uniprot/LOR15_ARATH","LOR15_ARATH")</f>
        <v>LOR15_ARATH</v>
      </c>
      <c r="D4442" t="s">
        <v>2655</v>
      </c>
      <c r="E4442" s="3" t="s">
        <v>3</v>
      </c>
      <c r="F4442" s="4">
        <v>8.1400000000000005E-88</v>
      </c>
      <c r="G4442" s="3">
        <v>681</v>
      </c>
      <c r="H4442" s="3">
        <v>63</v>
      </c>
      <c r="I4442" s="3">
        <v>185</v>
      </c>
      <c r="J4442" s="3">
        <v>187</v>
      </c>
      <c r="K4442" s="3">
        <v>741</v>
      </c>
      <c r="L4442" s="3">
        <v>27</v>
      </c>
      <c r="M4442" s="3">
        <v>211</v>
      </c>
    </row>
    <row r="4443" spans="1:13" x14ac:dyDescent="0.25">
      <c r="A4443" s="1" t="str">
        <f>HYPERLINK("http://www.rosaceae.org/Prunus/Prunus_persica/p.persica_gdr_reftransV1_0003671","p.persica_gdr_reftransV1_0003671")</f>
        <v>p.persica_gdr_reftransV1_0003671</v>
      </c>
      <c r="B4443" s="3">
        <v>1134</v>
      </c>
      <c r="C4443" s="1" t="str">
        <f>HYPERLINK("http://www.uniprot.org/uniprot/DRPE_CRAPL","DRPE_CRAPL")</f>
        <v>DRPE_CRAPL</v>
      </c>
      <c r="D4443" t="s">
        <v>3835</v>
      </c>
      <c r="E4443" s="3" t="s">
        <v>894</v>
      </c>
      <c r="F4443" s="4">
        <v>5.52E-123</v>
      </c>
      <c r="G4443" s="3">
        <v>935</v>
      </c>
      <c r="H4443" s="3">
        <v>62</v>
      </c>
      <c r="I4443" s="3">
        <v>300</v>
      </c>
      <c r="J4443" s="3">
        <v>193</v>
      </c>
      <c r="K4443" s="3">
        <v>1092</v>
      </c>
      <c r="L4443" s="3">
        <v>4</v>
      </c>
      <c r="M4443" s="3">
        <v>299</v>
      </c>
    </row>
    <row r="4444" spans="1:13" x14ac:dyDescent="0.25">
      <c r="A4444" s="1" t="str">
        <f>HYPERLINK("http://www.rosaceae.org/Prunus/Prunus_persica/p.persica_gdr_reftransV1_0003721","p.persica_gdr_reftransV1_0003721")</f>
        <v>p.persica_gdr_reftransV1_0003721</v>
      </c>
      <c r="B4444" s="3">
        <v>2535</v>
      </c>
      <c r="C4444" s="1" t="str">
        <f>HYPERLINK("http://www.uniprot.org/uniprot/YODA_ARATH","YODA_ARATH")</f>
        <v>YODA_ARATH</v>
      </c>
      <c r="D4444" t="s">
        <v>2168</v>
      </c>
      <c r="E4444" s="3" t="s">
        <v>3</v>
      </c>
      <c r="F4444" s="4">
        <v>2.4600000000000001E-130</v>
      </c>
      <c r="G4444" s="3">
        <v>1075</v>
      </c>
      <c r="H4444" s="3">
        <v>71</v>
      </c>
      <c r="I4444" s="3">
        <v>273</v>
      </c>
      <c r="J4444" s="3">
        <v>923</v>
      </c>
      <c r="K4444" s="3">
        <v>1741</v>
      </c>
      <c r="L4444" s="3">
        <v>385</v>
      </c>
      <c r="M4444" s="3">
        <v>657</v>
      </c>
    </row>
    <row r="4445" spans="1:13" x14ac:dyDescent="0.25">
      <c r="A4445" s="1" t="str">
        <f>HYPERLINK("http://www.rosaceae.org/Prunus/Prunus_persica/p.persica_gdr_reftransV1_0003771","p.persica_gdr_reftransV1_0003771")</f>
        <v>p.persica_gdr_reftransV1_0003771</v>
      </c>
      <c r="B4445" s="3">
        <v>377</v>
      </c>
      <c r="C4445" s="1" t="str">
        <f>HYPERLINK("http://www.uniprot.org/uniprot/UBC32_ARATH","UBC32_ARATH")</f>
        <v>UBC32_ARATH</v>
      </c>
      <c r="D4445" t="s">
        <v>3698</v>
      </c>
      <c r="E4445" s="3" t="s">
        <v>3</v>
      </c>
      <c r="F4445" s="4">
        <v>1.23E-34</v>
      </c>
      <c r="G4445" s="3">
        <v>318</v>
      </c>
      <c r="H4445" s="3">
        <v>52</v>
      </c>
      <c r="I4445" s="3">
        <v>122</v>
      </c>
      <c r="J4445" s="3">
        <v>1</v>
      </c>
      <c r="K4445" s="3">
        <v>354</v>
      </c>
      <c r="L4445" s="3">
        <v>56</v>
      </c>
      <c r="M4445" s="3">
        <v>177</v>
      </c>
    </row>
    <row r="4446" spans="1:13" x14ac:dyDescent="0.25">
      <c r="A4446" s="1" t="str">
        <f>HYPERLINK("http://www.rosaceae.org/Prunus/Prunus_persica/p.persica_gdr_reftransV1_0003871","p.persica_gdr_reftransV1_0003871")</f>
        <v>p.persica_gdr_reftransV1_0003871</v>
      </c>
      <c r="B4446" s="3">
        <v>3873</v>
      </c>
      <c r="C4446" s="1" t="str">
        <f>HYPERLINK("http://www.uniprot.org/uniprot/PLST2_ARATH","PLST2_ARATH")</f>
        <v>PLST2_ARATH</v>
      </c>
      <c r="D4446" t="s">
        <v>3921</v>
      </c>
      <c r="E4446" s="3" t="s">
        <v>3</v>
      </c>
      <c r="F4446" s="4">
        <v>0</v>
      </c>
      <c r="G4446" s="3">
        <v>1740</v>
      </c>
      <c r="H4446" s="3">
        <v>76</v>
      </c>
      <c r="I4446" s="3">
        <v>503</v>
      </c>
      <c r="J4446" s="3">
        <v>2028</v>
      </c>
      <c r="K4446" s="3">
        <v>3524</v>
      </c>
      <c r="L4446" s="3">
        <v>1</v>
      </c>
      <c r="M4446" s="3">
        <v>492</v>
      </c>
    </row>
    <row r="4447" spans="1:13" x14ac:dyDescent="0.25">
      <c r="A4447" s="1" t="str">
        <f>HYPERLINK("http://www.rosaceae.org/Prunus/Prunus_persica/p.persica_gdr_reftransV1_0003921","p.persica_gdr_reftransV1_0003921")</f>
        <v>p.persica_gdr_reftransV1_0003921</v>
      </c>
      <c r="B4447" s="3">
        <v>413</v>
      </c>
      <c r="C4447" s="1" t="str">
        <f>HYPERLINK("http://www.uniprot.org/uniprot/PHL1_ARATH","PHL1_ARATH")</f>
        <v>PHL1_ARATH</v>
      </c>
      <c r="D4447" t="s">
        <v>2239</v>
      </c>
      <c r="E4447" s="3" t="s">
        <v>3</v>
      </c>
      <c r="F4447" s="4">
        <v>1.4699999999999999E-32</v>
      </c>
      <c r="G4447" s="3">
        <v>309</v>
      </c>
      <c r="H4447" s="3">
        <v>54</v>
      </c>
      <c r="I4447" s="3">
        <v>110</v>
      </c>
      <c r="J4447" s="3">
        <v>2</v>
      </c>
      <c r="K4447" s="3">
        <v>319</v>
      </c>
      <c r="L4447" s="3">
        <v>223</v>
      </c>
      <c r="M4447" s="3">
        <v>332</v>
      </c>
    </row>
    <row r="4448" spans="1:13" x14ac:dyDescent="0.25">
      <c r="A4448" s="1" t="str">
        <f>HYPERLINK("http://www.rosaceae.org/Prunus/Prunus_persica/p.persica_gdr_reftransV1_0003971","p.persica_gdr_reftransV1_0003971")</f>
        <v>p.persica_gdr_reftransV1_0003971</v>
      </c>
      <c r="B4448" s="3">
        <v>502</v>
      </c>
      <c r="C4448" s="1" t="str">
        <f>HYPERLINK("http://www.uniprot.org/uniprot/SNC1_ARATH","SNC1_ARATH")</f>
        <v>SNC1_ARATH</v>
      </c>
      <c r="D4448" t="s">
        <v>3922</v>
      </c>
      <c r="E4448" s="3" t="s">
        <v>3</v>
      </c>
      <c r="F4448" s="4">
        <v>1.7800000000000001E-14</v>
      </c>
      <c r="G4448" s="3">
        <v>184</v>
      </c>
      <c r="H4448" s="3">
        <v>37</v>
      </c>
      <c r="I4448" s="3">
        <v>165</v>
      </c>
      <c r="J4448" s="3">
        <v>1</v>
      </c>
      <c r="K4448" s="3">
        <v>483</v>
      </c>
      <c r="L4448" s="3">
        <v>140</v>
      </c>
      <c r="M4448" s="3">
        <v>295</v>
      </c>
    </row>
    <row r="4449" spans="1:13" x14ac:dyDescent="0.25">
      <c r="A4449" s="1" t="str">
        <f>HYPERLINK("http://www.rosaceae.org/Prunus/Prunus_persica/p.persica_gdr_reftransV1_0004021","p.persica_gdr_reftransV1_0004021")</f>
        <v>p.persica_gdr_reftransV1_0004021</v>
      </c>
      <c r="B4449" s="3">
        <v>1838</v>
      </c>
      <c r="C4449" s="1" t="str">
        <f>HYPERLINK("http://www.uniprot.org/uniprot/C7351_ARATH","C7351_ARATH")</f>
        <v>C7351_ARATH</v>
      </c>
      <c r="D4449" t="s">
        <v>3923</v>
      </c>
      <c r="E4449" s="3" t="s">
        <v>3</v>
      </c>
      <c r="F4449" s="4">
        <v>0</v>
      </c>
      <c r="G4449" s="3">
        <v>1856</v>
      </c>
      <c r="H4449" s="3">
        <v>73</v>
      </c>
      <c r="I4449" s="3">
        <v>499</v>
      </c>
      <c r="J4449" s="3">
        <v>227</v>
      </c>
      <c r="K4449" s="3">
        <v>1714</v>
      </c>
      <c r="L4449" s="3">
        <v>19</v>
      </c>
      <c r="M4449" s="3">
        <v>516</v>
      </c>
    </row>
    <row r="4450" spans="1:13" x14ac:dyDescent="0.25">
      <c r="A4450" s="1" t="str">
        <f>HYPERLINK("http://www.rosaceae.org/Prunus/Prunus_persica/p.persica_gdr_reftransV1_0004171","p.persica_gdr_reftransV1_0004171")</f>
        <v>p.persica_gdr_reftransV1_0004171</v>
      </c>
      <c r="B4450" s="3">
        <v>661</v>
      </c>
      <c r="C4450" s="1" t="str">
        <f>HYPERLINK("http://www.uniprot.org/uniprot/DIP5_YEAST","DIP5_YEAST")</f>
        <v>DIP5_YEAST</v>
      </c>
      <c r="D4450" t="s">
        <v>3924</v>
      </c>
      <c r="E4450" s="3" t="s">
        <v>34</v>
      </c>
      <c r="F4450" s="4">
        <v>4.9000000000000002E-63</v>
      </c>
      <c r="G4450" s="3">
        <v>539</v>
      </c>
      <c r="H4450" s="3">
        <v>51</v>
      </c>
      <c r="I4450" s="3">
        <v>209</v>
      </c>
      <c r="J4450" s="3">
        <v>23</v>
      </c>
      <c r="K4450" s="3">
        <v>649</v>
      </c>
      <c r="L4450" s="3">
        <v>372</v>
      </c>
      <c r="M4450" s="3">
        <v>577</v>
      </c>
    </row>
    <row r="4451" spans="1:13" x14ac:dyDescent="0.25">
      <c r="A4451" s="1" t="str">
        <f>HYPERLINK("http://www.rosaceae.org/Prunus/Prunus_persica/p.persica_gdr_reftransV1_0004221","p.persica_gdr_reftransV1_0004221")</f>
        <v>p.persica_gdr_reftransV1_0004221</v>
      </c>
      <c r="B4451" s="3">
        <v>1357</v>
      </c>
      <c r="C4451" s="1" t="str">
        <f>HYPERLINK("http://www.uniprot.org/uniprot/TCP20_ARATH","TCP20_ARATH")</f>
        <v>TCP20_ARATH</v>
      </c>
      <c r="D4451" t="s">
        <v>3925</v>
      </c>
      <c r="E4451" s="3" t="s">
        <v>3</v>
      </c>
      <c r="F4451" s="4">
        <v>3.2799999999999998E-54</v>
      </c>
      <c r="G4451" s="3">
        <v>480</v>
      </c>
      <c r="H4451" s="3">
        <v>49</v>
      </c>
      <c r="I4451" s="3">
        <v>257</v>
      </c>
      <c r="J4451" s="3">
        <v>484</v>
      </c>
      <c r="K4451" s="3">
        <v>1215</v>
      </c>
      <c r="L4451" s="3">
        <v>37</v>
      </c>
      <c r="M4451" s="3">
        <v>274</v>
      </c>
    </row>
    <row r="4452" spans="1:13" x14ac:dyDescent="0.25">
      <c r="A4452" s="1" t="str">
        <f>HYPERLINK("http://www.rosaceae.org/Prunus/Prunus_persica/p.persica_gdr_reftransV1_0004271","p.persica_gdr_reftransV1_0004271")</f>
        <v>p.persica_gdr_reftransV1_0004271</v>
      </c>
      <c r="B4452" s="3">
        <v>5182</v>
      </c>
      <c r="C4452" s="1" t="str">
        <f>HYPERLINK("http://www.uniprot.org/uniprot/R13L1_ARATH","R13L1_ARATH")</f>
        <v>R13L1_ARATH</v>
      </c>
      <c r="D4452" t="s">
        <v>100</v>
      </c>
      <c r="E4452" s="3" t="s">
        <v>3</v>
      </c>
      <c r="F4452" s="4">
        <v>0</v>
      </c>
      <c r="G4452" s="3">
        <v>1501</v>
      </c>
      <c r="H4452" s="3">
        <v>39</v>
      </c>
      <c r="I4452" s="3">
        <v>1002</v>
      </c>
      <c r="J4452" s="3">
        <v>1995</v>
      </c>
      <c r="K4452" s="3">
        <v>4877</v>
      </c>
      <c r="L4452" s="3">
        <v>3</v>
      </c>
      <c r="M4452" s="3">
        <v>987</v>
      </c>
    </row>
    <row r="4453" spans="1:13" x14ac:dyDescent="0.25">
      <c r="A4453" s="1" t="str">
        <f>HYPERLINK("http://www.rosaceae.org/Prunus/Prunus_persica/p.persica_gdr_reftransV1_0004321","p.persica_gdr_reftransV1_0004321")</f>
        <v>p.persica_gdr_reftransV1_0004321</v>
      </c>
      <c r="B4453" s="3">
        <v>1445</v>
      </c>
      <c r="C4453" s="1" t="str">
        <f>HYPERLINK("http://www.uniprot.org/uniprot/SEC22_ARATH","SEC22_ARATH")</f>
        <v>SEC22_ARATH</v>
      </c>
      <c r="D4453" t="s">
        <v>1734</v>
      </c>
      <c r="E4453" s="3" t="s">
        <v>3</v>
      </c>
      <c r="F4453" s="4">
        <v>1.14E-143</v>
      </c>
      <c r="G4453" s="3">
        <v>1073</v>
      </c>
      <c r="H4453" s="3">
        <v>93</v>
      </c>
      <c r="I4453" s="3">
        <v>213</v>
      </c>
      <c r="J4453" s="3">
        <v>566</v>
      </c>
      <c r="K4453" s="3">
        <v>1204</v>
      </c>
      <c r="L4453" s="3">
        <v>1</v>
      </c>
      <c r="M4453" s="3">
        <v>213</v>
      </c>
    </row>
    <row r="4454" spans="1:13" x14ac:dyDescent="0.25">
      <c r="A4454" s="1" t="str">
        <f>HYPERLINK("http://www.rosaceae.org/Prunus/Prunus_persica/p.persica_gdr_reftransV1_0004421","p.persica_gdr_reftransV1_0004421")</f>
        <v>p.persica_gdr_reftransV1_0004421</v>
      </c>
      <c r="B4454" s="3">
        <v>1975</v>
      </c>
      <c r="C4454" s="1" t="str">
        <f>HYPERLINK("http://www.uniprot.org/uniprot/Y3913_ARATH","Y3913_ARATH")</f>
        <v>Y3913_ARATH</v>
      </c>
      <c r="D4454" t="s">
        <v>1707</v>
      </c>
      <c r="E4454" s="3" t="s">
        <v>3</v>
      </c>
      <c r="F4454" s="4">
        <v>1.7199999999999999E-24</v>
      </c>
      <c r="G4454" s="3">
        <v>277</v>
      </c>
      <c r="H4454" s="3">
        <v>40</v>
      </c>
      <c r="I4454" s="3">
        <v>129</v>
      </c>
      <c r="J4454" s="3">
        <v>1190</v>
      </c>
      <c r="K4454" s="3">
        <v>1573</v>
      </c>
      <c r="L4454" s="3">
        <v>364</v>
      </c>
      <c r="M4454" s="3">
        <v>492</v>
      </c>
    </row>
    <row r="4455" spans="1:13" x14ac:dyDescent="0.25">
      <c r="A4455" s="1" t="str">
        <f>HYPERLINK("http://www.rosaceae.org/Prunus/Prunus_persica/p.persica_gdr_reftransV1_0004471","p.persica_gdr_reftransV1_0004471")</f>
        <v>p.persica_gdr_reftransV1_0004471</v>
      </c>
      <c r="B4455" s="3">
        <v>1142</v>
      </c>
      <c r="C4455" s="1" t="str">
        <f>HYPERLINK("http://www.uniprot.org/uniprot/CCS_ARATH","CCS_ARATH")</f>
        <v>CCS_ARATH</v>
      </c>
      <c r="D4455" t="s">
        <v>3926</v>
      </c>
      <c r="E4455" s="3" t="s">
        <v>3</v>
      </c>
      <c r="F4455" s="4">
        <v>8.4700000000000003E-133</v>
      </c>
      <c r="G4455" s="3">
        <v>1001</v>
      </c>
      <c r="H4455" s="3">
        <v>68</v>
      </c>
      <c r="I4455" s="3">
        <v>284</v>
      </c>
      <c r="J4455" s="3">
        <v>146</v>
      </c>
      <c r="K4455" s="3">
        <v>991</v>
      </c>
      <c r="L4455" s="3">
        <v>44</v>
      </c>
      <c r="M4455" s="3">
        <v>320</v>
      </c>
    </row>
    <row r="4456" spans="1:13" x14ac:dyDescent="0.25">
      <c r="A4456" s="1" t="str">
        <f>HYPERLINK("http://www.rosaceae.org/Prunus/Prunus_persica/p.persica_gdr_reftransV1_0004571","p.persica_gdr_reftransV1_0004571")</f>
        <v>p.persica_gdr_reftransV1_0004571</v>
      </c>
      <c r="B4456" s="3">
        <v>1735</v>
      </c>
      <c r="C4456" s="1" t="str">
        <f>HYPERLINK("http://www.uniprot.org/uniprot/PPAF_SOYBN","PPAF_SOYBN")</f>
        <v>PPAF_SOYBN</v>
      </c>
      <c r="D4456" t="s">
        <v>3927</v>
      </c>
      <c r="E4456" s="3" t="s">
        <v>307</v>
      </c>
      <c r="F4456" s="4">
        <v>0</v>
      </c>
      <c r="G4456" s="3">
        <v>2073</v>
      </c>
      <c r="H4456" s="3">
        <v>84</v>
      </c>
      <c r="I4456" s="3">
        <v>444</v>
      </c>
      <c r="J4456" s="3">
        <v>227</v>
      </c>
      <c r="K4456" s="3">
        <v>1555</v>
      </c>
      <c r="L4456" s="3">
        <v>17</v>
      </c>
      <c r="M4456" s="3">
        <v>460</v>
      </c>
    </row>
    <row r="4457" spans="1:13" x14ac:dyDescent="0.25">
      <c r="A4457" s="1" t="str">
        <f>HYPERLINK("http://www.rosaceae.org/Prunus/Prunus_persica/p.persica_gdr_reftransV1_0004671","p.persica_gdr_reftransV1_0004671")</f>
        <v>p.persica_gdr_reftransV1_0004671</v>
      </c>
      <c r="B4457" s="3">
        <v>2969</v>
      </c>
      <c r="C4457" s="1" t="str">
        <f>HYPERLINK("http://www.uniprot.org/uniprot/VP52A_ARATH","VP52A_ARATH")</f>
        <v>VP52A_ARATH</v>
      </c>
      <c r="D4457" t="s">
        <v>2977</v>
      </c>
      <c r="E4457" s="3" t="s">
        <v>3</v>
      </c>
      <c r="F4457" s="4">
        <v>0</v>
      </c>
      <c r="G4457" s="3">
        <v>1663</v>
      </c>
      <c r="H4457" s="3">
        <v>81</v>
      </c>
      <c r="I4457" s="3">
        <v>385</v>
      </c>
      <c r="J4457" s="3">
        <v>1651</v>
      </c>
      <c r="K4457" s="3">
        <v>2805</v>
      </c>
      <c r="L4457" s="3">
        <v>1</v>
      </c>
      <c r="M4457" s="3">
        <v>385</v>
      </c>
    </row>
    <row r="4458" spans="1:13" x14ac:dyDescent="0.25">
      <c r="A4458" s="1" t="str">
        <f>HYPERLINK("http://www.rosaceae.org/Prunus/Prunus_persica/p.persica_gdr_reftransV1_0004721","p.persica_gdr_reftransV1_0004721")</f>
        <v>p.persica_gdr_reftransV1_0004721</v>
      </c>
      <c r="B4458" s="3">
        <v>2266</v>
      </c>
      <c r="C4458" s="1" t="str">
        <f>HYPERLINK("http://www.uniprot.org/uniprot/TPS7_ARATH","TPS7_ARATH")</f>
        <v>TPS7_ARATH</v>
      </c>
      <c r="D4458" t="s">
        <v>3928</v>
      </c>
      <c r="E4458" s="3" t="s">
        <v>3</v>
      </c>
      <c r="F4458" s="4">
        <v>0</v>
      </c>
      <c r="G4458" s="3">
        <v>2762</v>
      </c>
      <c r="H4458" s="3">
        <v>77</v>
      </c>
      <c r="I4458" s="3">
        <v>647</v>
      </c>
      <c r="J4458" s="3">
        <v>2</v>
      </c>
      <c r="K4458" s="3">
        <v>1942</v>
      </c>
      <c r="L4458" s="3">
        <v>192</v>
      </c>
      <c r="M4458" s="3">
        <v>836</v>
      </c>
    </row>
    <row r="4459" spans="1:13" x14ac:dyDescent="0.25">
      <c r="A4459" s="1" t="str">
        <f>HYPERLINK("http://www.rosaceae.org/Prunus/Prunus_persica/p.persica_gdr_reftransV1_0004771","p.persica_gdr_reftransV1_0004771")</f>
        <v>p.persica_gdr_reftransV1_0004771</v>
      </c>
      <c r="B4459" s="3">
        <v>3396</v>
      </c>
      <c r="C4459" s="1" t="str">
        <f>HYPERLINK("http://www.uniprot.org/uniprot/TMVRN_NICGU","TMVRN_NICGU")</f>
        <v>TMVRN_NICGU</v>
      </c>
      <c r="D4459" t="s">
        <v>151</v>
      </c>
      <c r="E4459" s="3" t="s">
        <v>152</v>
      </c>
      <c r="F4459" s="4">
        <v>3.5500000000000002E-98</v>
      </c>
      <c r="G4459" s="3">
        <v>880</v>
      </c>
      <c r="H4459" s="3">
        <v>34</v>
      </c>
      <c r="I4459" s="3">
        <v>816</v>
      </c>
      <c r="J4459" s="3">
        <v>7</v>
      </c>
      <c r="K4459" s="3">
        <v>2283</v>
      </c>
      <c r="L4459" s="3">
        <v>160</v>
      </c>
      <c r="M4459" s="3">
        <v>892</v>
      </c>
    </row>
    <row r="4460" spans="1:13" x14ac:dyDescent="0.25">
      <c r="A4460" s="1" t="str">
        <f>HYPERLINK("http://www.rosaceae.org/Prunus/Prunus_persica/p.persica_gdr_reftransV1_0004971","p.persica_gdr_reftransV1_0004971")</f>
        <v>p.persica_gdr_reftransV1_0004971</v>
      </c>
      <c r="B4460" s="3">
        <v>1247</v>
      </c>
      <c r="C4460" s="1" t="str">
        <f>HYPERLINK("http://www.uniprot.org/uniprot/RTM2_ARATH","RTM2_ARATH")</f>
        <v>RTM2_ARATH</v>
      </c>
      <c r="D4460" t="s">
        <v>3929</v>
      </c>
      <c r="E4460" s="3" t="s">
        <v>3</v>
      </c>
      <c r="F4460" s="4">
        <v>4.6500000000000003E-19</v>
      </c>
      <c r="G4460" s="3">
        <v>225</v>
      </c>
      <c r="H4460" s="3">
        <v>55</v>
      </c>
      <c r="I4460" s="3">
        <v>67</v>
      </c>
      <c r="J4460" s="3">
        <v>4</v>
      </c>
      <c r="K4460" s="3">
        <v>204</v>
      </c>
      <c r="L4460" s="3">
        <v>43</v>
      </c>
      <c r="M4460" s="3">
        <v>109</v>
      </c>
    </row>
    <row r="4461" spans="1:13" x14ac:dyDescent="0.25">
      <c r="A4461" s="1" t="str">
        <f>HYPERLINK("http://www.rosaceae.org/Prunus/Prunus_persica/p.persica_gdr_reftransV1_0005121","p.persica_gdr_reftransV1_0005121")</f>
        <v>p.persica_gdr_reftransV1_0005121</v>
      </c>
      <c r="B4461" s="3">
        <v>666</v>
      </c>
      <c r="C4461" s="1" t="str">
        <f>HYPERLINK("http://www.uniprot.org/uniprot/PYL4_ARATH","PYL4_ARATH")</f>
        <v>PYL4_ARATH</v>
      </c>
      <c r="D4461" t="s">
        <v>3930</v>
      </c>
      <c r="E4461" s="3" t="s">
        <v>3</v>
      </c>
      <c r="F4461" s="4">
        <v>1.5800000000000001E-61</v>
      </c>
      <c r="G4461" s="3">
        <v>502</v>
      </c>
      <c r="H4461" s="3">
        <v>79</v>
      </c>
      <c r="I4461" s="3">
        <v>140</v>
      </c>
      <c r="J4461" s="3">
        <v>1</v>
      </c>
      <c r="K4461" s="3">
        <v>417</v>
      </c>
      <c r="L4461" s="3">
        <v>35</v>
      </c>
      <c r="M4461" s="3">
        <v>173</v>
      </c>
    </row>
    <row r="4462" spans="1:13" x14ac:dyDescent="0.25">
      <c r="A4462" s="1" t="str">
        <f>HYPERLINK("http://www.rosaceae.org/Prunus/Prunus_persica/p.persica_gdr_reftransV1_0005171","p.persica_gdr_reftransV1_0005171")</f>
        <v>p.persica_gdr_reftransV1_0005171</v>
      </c>
      <c r="B4462" s="3">
        <v>1574</v>
      </c>
      <c r="C4462" s="1" t="str">
        <f>HYPERLINK("http://www.uniprot.org/uniprot/TIC32_PEA","TIC32_PEA")</f>
        <v>TIC32_PEA</v>
      </c>
      <c r="D4462" t="s">
        <v>3931</v>
      </c>
      <c r="E4462" s="3" t="s">
        <v>60</v>
      </c>
      <c r="F4462" s="4">
        <v>4.2600000000000002E-120</v>
      </c>
      <c r="G4462" s="3">
        <v>931</v>
      </c>
      <c r="H4462" s="3">
        <v>81</v>
      </c>
      <c r="I4462" s="3">
        <v>218</v>
      </c>
      <c r="J4462" s="3">
        <v>814</v>
      </c>
      <c r="K4462" s="3">
        <v>1464</v>
      </c>
      <c r="L4462" s="3">
        <v>1</v>
      </c>
      <c r="M4462" s="3">
        <v>218</v>
      </c>
    </row>
    <row r="4463" spans="1:13" x14ac:dyDescent="0.25">
      <c r="A4463" s="1" t="str">
        <f>HYPERLINK("http://www.rosaceae.org/Prunus/Prunus_persica/p.persica_gdr_reftransV1_0005221","p.persica_gdr_reftransV1_0005221")</f>
        <v>p.persica_gdr_reftransV1_0005221</v>
      </c>
      <c r="B4463" s="3">
        <v>1608</v>
      </c>
      <c r="C4463" s="1" t="str">
        <f>HYPERLINK("http://www.uniprot.org/uniprot/ASHR1_ARATH","ASHR1_ARATH")</f>
        <v>ASHR1_ARATH</v>
      </c>
      <c r="D4463" t="s">
        <v>3932</v>
      </c>
      <c r="E4463" s="3" t="s">
        <v>3</v>
      </c>
      <c r="F4463" s="4">
        <v>0</v>
      </c>
      <c r="G4463" s="3">
        <v>1799</v>
      </c>
      <c r="H4463" s="3">
        <v>67</v>
      </c>
      <c r="I4463" s="3">
        <v>475</v>
      </c>
      <c r="J4463" s="3">
        <v>98</v>
      </c>
      <c r="K4463" s="3">
        <v>1522</v>
      </c>
      <c r="L4463" s="3">
        <v>1</v>
      </c>
      <c r="M4463" s="3">
        <v>475</v>
      </c>
    </row>
    <row r="4464" spans="1:13" x14ac:dyDescent="0.25">
      <c r="A4464" s="1" t="str">
        <f>HYPERLINK("http://www.rosaceae.org/Prunus/Prunus_persica/p.persica_gdr_reftransV1_0005271","p.persica_gdr_reftransV1_0005271")</f>
        <v>p.persica_gdr_reftransV1_0005271</v>
      </c>
      <c r="B4464" s="3">
        <v>1998</v>
      </c>
      <c r="C4464" s="1" t="str">
        <f>HYPERLINK("http://www.uniprot.org/uniprot/PLST3_ARATH","PLST3_ARATH")</f>
        <v>PLST3_ARATH</v>
      </c>
      <c r="D4464" t="s">
        <v>1054</v>
      </c>
      <c r="E4464" s="3" t="s">
        <v>3</v>
      </c>
      <c r="F4464" s="4">
        <v>0</v>
      </c>
      <c r="G4464" s="3">
        <v>1743</v>
      </c>
      <c r="H4464" s="3">
        <v>71</v>
      </c>
      <c r="I4464" s="3">
        <v>486</v>
      </c>
      <c r="J4464" s="3">
        <v>411</v>
      </c>
      <c r="K4464" s="3">
        <v>1862</v>
      </c>
      <c r="L4464" s="3">
        <v>11</v>
      </c>
      <c r="M4464" s="3">
        <v>491</v>
      </c>
    </row>
    <row r="4465" spans="1:13" x14ac:dyDescent="0.25">
      <c r="A4465" s="1" t="str">
        <f>HYPERLINK("http://www.rosaceae.org/Prunus/Prunus_persica/p.persica_gdr_reftransV1_0005321","p.persica_gdr_reftransV1_0005321")</f>
        <v>p.persica_gdr_reftransV1_0005321</v>
      </c>
      <c r="B4465" s="3">
        <v>2778</v>
      </c>
      <c r="C4465" s="1" t="str">
        <f>HYPERLINK("http://www.uniprot.org/uniprot/WDTC1_HUMAN","WDTC1_HUMAN")</f>
        <v>WDTC1_HUMAN</v>
      </c>
      <c r="D4465" t="s">
        <v>671</v>
      </c>
      <c r="E4465" s="3" t="s">
        <v>28</v>
      </c>
      <c r="F4465" s="4">
        <v>9.6199999999999999E-48</v>
      </c>
      <c r="G4465" s="3">
        <v>469</v>
      </c>
      <c r="H4465" s="3">
        <v>30</v>
      </c>
      <c r="I4465" s="3">
        <v>501</v>
      </c>
      <c r="J4465" s="3">
        <v>1136</v>
      </c>
      <c r="K4465" s="3">
        <v>2518</v>
      </c>
      <c r="L4465" s="3">
        <v>33</v>
      </c>
      <c r="M4465" s="3">
        <v>487</v>
      </c>
    </row>
    <row r="4466" spans="1:13" x14ac:dyDescent="0.25">
      <c r="A4466" s="1" t="str">
        <f>HYPERLINK("http://www.rosaceae.org/Prunus/Prunus_persica/p.persica_gdr_reftransV1_0005371","p.persica_gdr_reftransV1_0005371")</f>
        <v>p.persica_gdr_reftransV1_0005371</v>
      </c>
      <c r="B4466" s="3">
        <v>1272</v>
      </c>
      <c r="C4466" s="1" t="str">
        <f>HYPERLINK("http://www.uniprot.org/uniprot/HidM_GLYEC","HidM_GLYEC")</f>
        <v>HidM_GLYEC</v>
      </c>
      <c r="D4466" t="s">
        <v>1581</v>
      </c>
      <c r="E4466" s="3" t="s">
        <v>1582</v>
      </c>
      <c r="F4466" s="4">
        <v>5.5500000000000003E-132</v>
      </c>
      <c r="G4466" s="3">
        <v>1001</v>
      </c>
      <c r="H4466" s="3">
        <v>61</v>
      </c>
      <c r="I4466" s="3">
        <v>321</v>
      </c>
      <c r="J4466" s="3">
        <v>94</v>
      </c>
      <c r="K4466" s="3">
        <v>1056</v>
      </c>
      <c r="L4466" s="3">
        <v>11</v>
      </c>
      <c r="M4466" s="3">
        <v>328</v>
      </c>
    </row>
    <row r="4467" spans="1:13" x14ac:dyDescent="0.25">
      <c r="A4467" s="1" t="str">
        <f>HYPERLINK("http://www.rosaceae.org/Prunus/Prunus_persica/p.persica_gdr_reftransV1_0005471","p.persica_gdr_reftransV1_0005471")</f>
        <v>p.persica_gdr_reftransV1_0005471</v>
      </c>
      <c r="B4467" s="3">
        <v>2411</v>
      </c>
      <c r="C4467" s="1" t="str">
        <f>HYPERLINK("http://www.uniprot.org/uniprot/AAE17_ARATH","AAE17_ARATH")</f>
        <v>AAE17_ARATH</v>
      </c>
      <c r="D4467" t="s">
        <v>3495</v>
      </c>
      <c r="E4467" s="3" t="s">
        <v>3</v>
      </c>
      <c r="F4467" s="4">
        <v>0</v>
      </c>
      <c r="G4467" s="3">
        <v>1539</v>
      </c>
      <c r="H4467" s="3">
        <v>67</v>
      </c>
      <c r="I4467" s="3">
        <v>441</v>
      </c>
      <c r="J4467" s="3">
        <v>62</v>
      </c>
      <c r="K4467" s="3">
        <v>1381</v>
      </c>
      <c r="L4467" s="3">
        <v>1</v>
      </c>
      <c r="M4467" s="3">
        <v>435</v>
      </c>
    </row>
    <row r="4468" spans="1:13" x14ac:dyDescent="0.25">
      <c r="A4468" s="1" t="str">
        <f>HYPERLINK("http://www.rosaceae.org/Prunus/Prunus_persica/p.persica_gdr_reftransV1_0005621","p.persica_gdr_reftransV1_0005621")</f>
        <v>p.persica_gdr_reftransV1_0005621</v>
      </c>
      <c r="B4468" s="3">
        <v>555</v>
      </c>
      <c r="C4468" s="1" t="str">
        <f>HYPERLINK("http://www.uniprot.org/uniprot/YUC8_ARATH","YUC8_ARATH")</f>
        <v>YUC8_ARATH</v>
      </c>
      <c r="D4468" t="s">
        <v>3933</v>
      </c>
      <c r="E4468" s="3" t="s">
        <v>3</v>
      </c>
      <c r="F4468" s="4">
        <v>1.6700000000000001E-81</v>
      </c>
      <c r="G4468" s="3">
        <v>649</v>
      </c>
      <c r="H4468" s="3">
        <v>74</v>
      </c>
      <c r="I4468" s="3">
        <v>170</v>
      </c>
      <c r="J4468" s="3">
        <v>44</v>
      </c>
      <c r="K4468" s="3">
        <v>553</v>
      </c>
      <c r="L4468" s="3">
        <v>148</v>
      </c>
      <c r="M4468" s="3">
        <v>317</v>
      </c>
    </row>
    <row r="4469" spans="1:13" x14ac:dyDescent="0.25">
      <c r="A4469" s="1" t="str">
        <f>HYPERLINK("http://www.rosaceae.org/Prunus/Prunus_persica/p.persica_gdr_reftransV1_0005721","p.persica_gdr_reftransV1_0005721")</f>
        <v>p.persica_gdr_reftransV1_0005721</v>
      </c>
      <c r="B4469" s="3">
        <v>1506</v>
      </c>
      <c r="C4469" s="1" t="str">
        <f>HYPERLINK("http://www.uniprot.org/uniprot/GAT1_ARATH","GAT1_ARATH")</f>
        <v>GAT1_ARATH</v>
      </c>
      <c r="D4469" t="s">
        <v>1377</v>
      </c>
      <c r="E4469" s="3" t="s">
        <v>3</v>
      </c>
      <c r="F4469" s="4">
        <v>0</v>
      </c>
      <c r="G4469" s="3">
        <v>1380</v>
      </c>
      <c r="H4469" s="3">
        <v>61</v>
      </c>
      <c r="I4469" s="3">
        <v>434</v>
      </c>
      <c r="J4469" s="3">
        <v>62</v>
      </c>
      <c r="K4469" s="3">
        <v>1357</v>
      </c>
      <c r="L4469" s="3">
        <v>18</v>
      </c>
      <c r="M4469" s="3">
        <v>451</v>
      </c>
    </row>
    <row r="4470" spans="1:13" x14ac:dyDescent="0.25">
      <c r="A4470" s="1" t="str">
        <f>HYPERLINK("http://www.rosaceae.org/Prunus/Prunus_persica/p.persica_gdr_reftransV1_0005871","p.persica_gdr_reftransV1_0005871")</f>
        <v>p.persica_gdr_reftransV1_0005871</v>
      </c>
      <c r="B4470" s="3">
        <v>760</v>
      </c>
      <c r="C4470" s="1" t="str">
        <f>HYPERLINK("http://www.uniprot.org/uniprot/ML328_ARATH","ML328_ARATH")</f>
        <v>ML328_ARATH</v>
      </c>
      <c r="D4470" t="s">
        <v>46</v>
      </c>
      <c r="E4470" s="3" t="s">
        <v>3</v>
      </c>
      <c r="F4470" s="4">
        <v>3.76E-34</v>
      </c>
      <c r="G4470" s="3">
        <v>316</v>
      </c>
      <c r="H4470" s="3">
        <v>44</v>
      </c>
      <c r="I4470" s="3">
        <v>145</v>
      </c>
      <c r="J4470" s="3">
        <v>231</v>
      </c>
      <c r="K4470" s="3">
        <v>665</v>
      </c>
      <c r="L4470" s="3">
        <v>6</v>
      </c>
      <c r="M4470" s="3">
        <v>150</v>
      </c>
    </row>
    <row r="4471" spans="1:13" x14ac:dyDescent="0.25">
      <c r="A4471" s="1" t="str">
        <f>HYPERLINK("http://www.rosaceae.org/Prunus/Prunus_persica/p.persica_gdr_reftransV1_0006121","p.persica_gdr_reftransV1_0006121")</f>
        <v>p.persica_gdr_reftransV1_0006121</v>
      </c>
      <c r="B4471" s="3">
        <v>1432</v>
      </c>
      <c r="C4471" s="1" t="str">
        <f>HYPERLINK("http://www.uniprot.org/uniprot/VESTR_MEDSA","VESTR_MEDSA")</f>
        <v>VESTR_MEDSA</v>
      </c>
      <c r="D4471" t="s">
        <v>3934</v>
      </c>
      <c r="E4471" s="3" t="s">
        <v>515</v>
      </c>
      <c r="F4471" s="4">
        <v>7.3600000000000001E-41</v>
      </c>
      <c r="G4471" s="3">
        <v>253</v>
      </c>
      <c r="H4471" s="3">
        <v>31</v>
      </c>
      <c r="I4471" s="3">
        <v>261</v>
      </c>
      <c r="J4471" s="3">
        <v>363</v>
      </c>
      <c r="K4471" s="3">
        <v>1121</v>
      </c>
      <c r="L4471" s="3">
        <v>84</v>
      </c>
      <c r="M4471" s="3">
        <v>324</v>
      </c>
    </row>
    <row r="4472" spans="1:13" x14ac:dyDescent="0.25">
      <c r="A4472" s="1" t="str">
        <f>HYPERLINK("http://www.rosaceae.org/Prunus/Prunus_persica/p.persica_gdr_reftransV1_0006171","p.persica_gdr_reftransV1_0006171")</f>
        <v>p.persica_gdr_reftransV1_0006171</v>
      </c>
      <c r="B4472" s="3">
        <v>3802</v>
      </c>
      <c r="C4472" s="1" t="str">
        <f>HYPERLINK("http://www.uniprot.org/uniprot/Y1137_ARATH","Y1137_ARATH")</f>
        <v>Y1137_ARATH</v>
      </c>
      <c r="D4472" t="s">
        <v>3935</v>
      </c>
      <c r="E4472" s="3" t="s">
        <v>3</v>
      </c>
      <c r="F4472" s="4">
        <v>1.37E-130</v>
      </c>
      <c r="G4472" s="3">
        <v>1099</v>
      </c>
      <c r="H4472" s="3">
        <v>59</v>
      </c>
      <c r="I4472" s="3">
        <v>346</v>
      </c>
      <c r="J4472" s="3">
        <v>389</v>
      </c>
      <c r="K4472" s="3">
        <v>1423</v>
      </c>
      <c r="L4472" s="3">
        <v>471</v>
      </c>
      <c r="M4472" s="3">
        <v>814</v>
      </c>
    </row>
    <row r="4473" spans="1:13" x14ac:dyDescent="0.25">
      <c r="A4473" s="1" t="str">
        <f>HYPERLINK("http://www.rosaceae.org/Prunus/Prunus_persica/p.persica_gdr_reftransV1_0006271","p.persica_gdr_reftransV1_0006271")</f>
        <v>p.persica_gdr_reftransV1_0006271</v>
      </c>
      <c r="B4473" s="3">
        <v>923</v>
      </c>
      <c r="C4473" s="1" t="str">
        <f>HYPERLINK("http://www.uniprot.org/uniprot/TIO_ARATH","TIO_ARATH")</f>
        <v>TIO_ARATH</v>
      </c>
      <c r="D4473" t="s">
        <v>3936</v>
      </c>
      <c r="E4473" s="3" t="s">
        <v>3</v>
      </c>
      <c r="F4473" s="4">
        <v>7.8400000000000002E-158</v>
      </c>
      <c r="G4473" s="3">
        <v>1238</v>
      </c>
      <c r="H4473" s="3">
        <v>90</v>
      </c>
      <c r="I4473" s="3">
        <v>252</v>
      </c>
      <c r="J4473" s="3">
        <v>168</v>
      </c>
      <c r="K4473" s="3">
        <v>923</v>
      </c>
      <c r="L4473" s="3">
        <v>1</v>
      </c>
      <c r="M4473" s="3">
        <v>252</v>
      </c>
    </row>
    <row r="4474" spans="1:13" x14ac:dyDescent="0.25">
      <c r="A4474" s="1" t="str">
        <f>HYPERLINK("http://www.rosaceae.org/Prunus/Prunus_persica/p.persica_gdr_reftransV1_0006321","p.persica_gdr_reftransV1_0006321")</f>
        <v>p.persica_gdr_reftransV1_0006321</v>
      </c>
      <c r="B4474" s="3">
        <v>671</v>
      </c>
      <c r="C4474" s="1" t="str">
        <f>HYPERLINK("http://www.uniprot.org/uniprot/ARG7_VIGRR","ARG7_VIGRR")</f>
        <v>ARG7_VIGRR</v>
      </c>
      <c r="D4474" t="s">
        <v>3937</v>
      </c>
      <c r="E4474" s="3" t="s">
        <v>2261</v>
      </c>
      <c r="F4474" s="4">
        <v>8.6200000000000001E-14</v>
      </c>
      <c r="G4474" s="3">
        <v>167</v>
      </c>
      <c r="H4474" s="3">
        <v>48</v>
      </c>
      <c r="I4474" s="3">
        <v>69</v>
      </c>
      <c r="J4474" s="3">
        <v>157</v>
      </c>
      <c r="K4474" s="3">
        <v>360</v>
      </c>
      <c r="L4474" s="3">
        <v>24</v>
      </c>
      <c r="M4474" s="3">
        <v>92</v>
      </c>
    </row>
    <row r="4475" spans="1:13" x14ac:dyDescent="0.25">
      <c r="A4475" s="1" t="str">
        <f>HYPERLINK("http://www.rosaceae.org/Prunus/Prunus_persica/p.persica_gdr_reftransV1_0006621","p.persica_gdr_reftransV1_0006621")</f>
        <v>p.persica_gdr_reftransV1_0006621</v>
      </c>
      <c r="B4475" s="3">
        <v>2106</v>
      </c>
      <c r="C4475" s="1" t="str">
        <f>HYPERLINK("http://www.uniprot.org/uniprot/NFD4_ARATH","NFD4_ARATH")</f>
        <v>NFD4_ARATH</v>
      </c>
      <c r="D4475" t="s">
        <v>404</v>
      </c>
      <c r="E4475" s="3" t="s">
        <v>3</v>
      </c>
      <c r="F4475" s="4">
        <v>1.13E-13</v>
      </c>
      <c r="G4475" s="3">
        <v>191</v>
      </c>
      <c r="H4475" s="3">
        <v>30</v>
      </c>
      <c r="I4475" s="3">
        <v>179</v>
      </c>
      <c r="J4475" s="3">
        <v>1418</v>
      </c>
      <c r="K4475" s="3">
        <v>1951</v>
      </c>
      <c r="L4475" s="3">
        <v>43</v>
      </c>
      <c r="M4475" s="3">
        <v>219</v>
      </c>
    </row>
    <row r="4476" spans="1:13" x14ac:dyDescent="0.25">
      <c r="A4476" s="1" t="str">
        <f>HYPERLINK("http://www.rosaceae.org/Prunus/Prunus_persica/p.persica_gdr_reftransV1_0006771","p.persica_gdr_reftransV1_0006771")</f>
        <v>p.persica_gdr_reftransV1_0006771</v>
      </c>
      <c r="B4476" s="3">
        <v>822</v>
      </c>
      <c r="C4476" s="1" t="str">
        <f>HYPERLINK("http://www.uniprot.org/uniprot/Y1869_ARATH","Y1869_ARATH")</f>
        <v>Y1869_ARATH</v>
      </c>
      <c r="D4476" t="s">
        <v>3938</v>
      </c>
      <c r="E4476" s="3" t="s">
        <v>3</v>
      </c>
      <c r="F4476" s="4">
        <v>7.4399999999999998E-38</v>
      </c>
      <c r="G4476" s="3">
        <v>355</v>
      </c>
      <c r="H4476" s="3">
        <v>66</v>
      </c>
      <c r="I4476" s="3">
        <v>125</v>
      </c>
      <c r="J4476" s="3">
        <v>109</v>
      </c>
      <c r="K4476" s="3">
        <v>477</v>
      </c>
      <c r="L4476" s="3">
        <v>43</v>
      </c>
      <c r="M4476" s="3">
        <v>166</v>
      </c>
    </row>
    <row r="4477" spans="1:13" x14ac:dyDescent="0.25">
      <c r="A4477" s="1" t="str">
        <f>HYPERLINK("http://www.rosaceae.org/Prunus/Prunus_persica/p.persica_gdr_reftransV1_0006821","p.persica_gdr_reftransV1_0006821")</f>
        <v>p.persica_gdr_reftransV1_0006821</v>
      </c>
      <c r="B4477" s="3">
        <v>1497</v>
      </c>
      <c r="C4477" s="1" t="str">
        <f>HYPERLINK("http://www.uniprot.org/uniprot/CAX5_ARATH","CAX5_ARATH")</f>
        <v>CAX5_ARATH</v>
      </c>
      <c r="D4477" t="s">
        <v>3939</v>
      </c>
      <c r="E4477" s="3" t="s">
        <v>3</v>
      </c>
      <c r="F4477" s="4">
        <v>0</v>
      </c>
      <c r="G4477" s="3">
        <v>1401</v>
      </c>
      <c r="H4477" s="3">
        <v>79</v>
      </c>
      <c r="I4477" s="3">
        <v>351</v>
      </c>
      <c r="J4477" s="3">
        <v>443</v>
      </c>
      <c r="K4477" s="3">
        <v>1495</v>
      </c>
      <c r="L4477" s="3">
        <v>86</v>
      </c>
      <c r="M4477" s="3">
        <v>436</v>
      </c>
    </row>
    <row r="4478" spans="1:13" x14ac:dyDescent="0.25">
      <c r="A4478" s="1" t="str">
        <f>HYPERLINK("http://www.rosaceae.org/Prunus/Prunus_persica/p.persica_gdr_reftransV1_0006921","p.persica_gdr_reftransV1_0006921")</f>
        <v>p.persica_gdr_reftransV1_0006921</v>
      </c>
      <c r="B4478" s="3">
        <v>1028</v>
      </c>
      <c r="C4478" s="1" t="str">
        <f>HYPERLINK("http://www.uniprot.org/uniprot/BRG3_ARATH","BRG3_ARATH")</f>
        <v>BRG3_ARATH</v>
      </c>
      <c r="D4478" t="s">
        <v>3940</v>
      </c>
      <c r="E4478" s="3" t="s">
        <v>3</v>
      </c>
      <c r="F4478" s="4">
        <v>4.4900000000000001E-30</v>
      </c>
      <c r="G4478" s="3">
        <v>305</v>
      </c>
      <c r="H4478" s="3">
        <v>33</v>
      </c>
      <c r="I4478" s="3">
        <v>210</v>
      </c>
      <c r="J4478" s="3">
        <v>303</v>
      </c>
      <c r="K4478" s="3">
        <v>881</v>
      </c>
      <c r="L4478" s="3">
        <v>127</v>
      </c>
      <c r="M4478" s="3">
        <v>331</v>
      </c>
    </row>
    <row r="4479" spans="1:13" x14ac:dyDescent="0.25">
      <c r="A4479" s="1" t="str">
        <f>HYPERLINK("http://www.rosaceae.org/Prunus/Prunus_persica/p.persica_gdr_reftransV1_0007021","p.persica_gdr_reftransV1_0007021")</f>
        <v>p.persica_gdr_reftransV1_0007021</v>
      </c>
      <c r="B4479" s="3">
        <v>1938</v>
      </c>
      <c r="C4479" s="1" t="str">
        <f>HYPERLINK("http://www.uniprot.org/uniprot/Y5262_ARATH","Y5262_ARATH")</f>
        <v>Y5262_ARATH</v>
      </c>
      <c r="D4479" t="s">
        <v>399</v>
      </c>
      <c r="E4479" s="3" t="s">
        <v>3</v>
      </c>
      <c r="F4479" s="4">
        <v>5.3699999999999997E-28</v>
      </c>
      <c r="G4479" s="3">
        <v>305</v>
      </c>
      <c r="H4479" s="3">
        <v>28</v>
      </c>
      <c r="I4479" s="3">
        <v>413</v>
      </c>
      <c r="J4479" s="3">
        <v>497</v>
      </c>
      <c r="K4479" s="3">
        <v>1603</v>
      </c>
      <c r="L4479" s="3">
        <v>7</v>
      </c>
      <c r="M4479" s="3">
        <v>414</v>
      </c>
    </row>
    <row r="4480" spans="1:13" x14ac:dyDescent="0.25">
      <c r="A4480" s="1" t="str">
        <f>HYPERLINK("http://www.rosaceae.org/Prunus/Prunus_persica/p.persica_gdr_reftransV1_0007121","p.persica_gdr_reftransV1_0007121")</f>
        <v>p.persica_gdr_reftransV1_0007121</v>
      </c>
      <c r="B4480" s="3">
        <v>1134</v>
      </c>
      <c r="C4480" s="1" t="str">
        <f>HYPERLINK("http://www.uniprot.org/uniprot/GPDL2_ARATH","GPDL2_ARATH")</f>
        <v>GPDL2_ARATH</v>
      </c>
      <c r="D4480" t="s">
        <v>3941</v>
      </c>
      <c r="E4480" s="3" t="s">
        <v>3</v>
      </c>
      <c r="F4480" s="4">
        <v>2.3199999999999999E-82</v>
      </c>
      <c r="G4480" s="3">
        <v>709</v>
      </c>
      <c r="H4480" s="3">
        <v>52</v>
      </c>
      <c r="I4480" s="3">
        <v>267</v>
      </c>
      <c r="J4480" s="3">
        <v>1</v>
      </c>
      <c r="K4480" s="3">
        <v>786</v>
      </c>
      <c r="L4480" s="3">
        <v>835</v>
      </c>
      <c r="M4480" s="3">
        <v>1098</v>
      </c>
    </row>
    <row r="4481" spans="1:13" x14ac:dyDescent="0.25">
      <c r="A4481" s="1" t="str">
        <f>HYPERLINK("http://www.rosaceae.org/Prunus/Prunus_persica/p.persica_gdr_reftransV1_0007171","p.persica_gdr_reftransV1_0007171")</f>
        <v>p.persica_gdr_reftransV1_0007171</v>
      </c>
      <c r="B4481" s="3">
        <v>774</v>
      </c>
      <c r="C4481" s="1" t="str">
        <f>HYPERLINK("http://www.uniprot.org/uniprot/RBG6_ARATH","RBG6_ARATH")</f>
        <v>RBG6_ARATH</v>
      </c>
      <c r="D4481" t="s">
        <v>2524</v>
      </c>
      <c r="E4481" s="3" t="s">
        <v>3</v>
      </c>
      <c r="F4481" s="4">
        <v>1.1E-13</v>
      </c>
      <c r="G4481" s="3">
        <v>171</v>
      </c>
      <c r="H4481" s="3">
        <v>46</v>
      </c>
      <c r="I4481" s="3">
        <v>72</v>
      </c>
      <c r="J4481" s="3">
        <v>222</v>
      </c>
      <c r="K4481" s="3">
        <v>437</v>
      </c>
      <c r="L4481" s="3">
        <v>36</v>
      </c>
      <c r="M4481" s="3">
        <v>107</v>
      </c>
    </row>
    <row r="4482" spans="1:13" x14ac:dyDescent="0.25">
      <c r="A4482" s="1" t="str">
        <f>HYPERLINK("http://www.rosaceae.org/Prunus/Prunus_persica/p.persica_gdr_reftransV1_0007271","p.persica_gdr_reftransV1_0007271")</f>
        <v>p.persica_gdr_reftransV1_0007271</v>
      </c>
      <c r="B4482" s="3">
        <v>2321</v>
      </c>
      <c r="C4482" s="1" t="str">
        <f>HYPERLINK("http://www.uniprot.org/uniprot/SIGF_ARATH","SIGF_ARATH")</f>
        <v>SIGF_ARATH</v>
      </c>
      <c r="D4482" t="s">
        <v>3942</v>
      </c>
      <c r="E4482" s="3" t="s">
        <v>3</v>
      </c>
      <c r="F4482" s="4">
        <v>5.6500000000000003E-173</v>
      </c>
      <c r="G4482" s="3">
        <v>1328</v>
      </c>
      <c r="H4482" s="3">
        <v>54</v>
      </c>
      <c r="I4482" s="3">
        <v>575</v>
      </c>
      <c r="J4482" s="3">
        <v>184</v>
      </c>
      <c r="K4482" s="3">
        <v>1902</v>
      </c>
      <c r="L4482" s="3">
        <v>1</v>
      </c>
      <c r="M4482" s="3">
        <v>547</v>
      </c>
    </row>
    <row r="4483" spans="1:13" x14ac:dyDescent="0.25">
      <c r="A4483" s="1" t="str">
        <f>HYPERLINK("http://www.rosaceae.org/Prunus/Prunus_persica/p.persica_gdr_reftransV1_0007321","p.persica_gdr_reftransV1_0007321")</f>
        <v>p.persica_gdr_reftransV1_0007321</v>
      </c>
      <c r="B4483" s="3">
        <v>1856</v>
      </c>
      <c r="C4483" s="1" t="str">
        <f>HYPERLINK("http://www.uniprot.org/uniprot/CB13_SOLLC","CB13_SOLLC")</f>
        <v>CB13_SOLLC</v>
      </c>
      <c r="D4483" t="s">
        <v>3943</v>
      </c>
      <c r="E4483" s="3" t="s">
        <v>64</v>
      </c>
      <c r="F4483" s="4">
        <v>1.9E-104</v>
      </c>
      <c r="G4483" s="3">
        <v>830</v>
      </c>
      <c r="H4483" s="3">
        <v>86</v>
      </c>
      <c r="I4483" s="3">
        <v>222</v>
      </c>
      <c r="J4483" s="3">
        <v>921</v>
      </c>
      <c r="K4483" s="3">
        <v>1580</v>
      </c>
      <c r="L4483" s="3">
        <v>52</v>
      </c>
      <c r="M4483" s="3">
        <v>273</v>
      </c>
    </row>
    <row r="4484" spans="1:13" x14ac:dyDescent="0.25">
      <c r="A4484" s="1" t="str">
        <f>HYPERLINK("http://www.rosaceae.org/Prunus/Prunus_persica/p.persica_gdr_reftransV1_0007371","p.persica_gdr_reftransV1_0007371")</f>
        <v>p.persica_gdr_reftransV1_0007371</v>
      </c>
      <c r="B4484" s="3">
        <v>719</v>
      </c>
      <c r="C4484" s="1" t="str">
        <f>HYPERLINK("http://www.uniprot.org/uniprot/H2AV1_ARATH","H2AV1_ARATH")</f>
        <v>H2AV1_ARATH</v>
      </c>
      <c r="D4484" t="s">
        <v>3944</v>
      </c>
      <c r="E4484" s="3" t="s">
        <v>3</v>
      </c>
      <c r="F4484" s="4">
        <v>2.4199999999999999E-66</v>
      </c>
      <c r="G4484" s="3">
        <v>529</v>
      </c>
      <c r="H4484" s="3">
        <v>88</v>
      </c>
      <c r="I4484" s="3">
        <v>128</v>
      </c>
      <c r="J4484" s="3">
        <v>2</v>
      </c>
      <c r="K4484" s="3">
        <v>385</v>
      </c>
      <c r="L4484" s="3">
        <v>9</v>
      </c>
      <c r="M4484" s="3">
        <v>136</v>
      </c>
    </row>
    <row r="4485" spans="1:13" x14ac:dyDescent="0.25">
      <c r="A4485" s="1" t="str">
        <f>HYPERLINK("http://www.rosaceae.org/Prunus/Prunus_persica/p.persica_gdr_reftransV1_0007521","p.persica_gdr_reftransV1_0007521")</f>
        <v>p.persica_gdr_reftransV1_0007521</v>
      </c>
      <c r="B4485" s="3">
        <v>2030</v>
      </c>
      <c r="C4485" s="1" t="str">
        <f>HYPERLINK("http://www.uniprot.org/uniprot/SWI3A_ARATH","SWI3A_ARATH")</f>
        <v>SWI3A_ARATH</v>
      </c>
      <c r="D4485" t="s">
        <v>3945</v>
      </c>
      <c r="E4485" s="3" t="s">
        <v>3</v>
      </c>
      <c r="F4485" s="4">
        <v>4.6200000000000003E-130</v>
      </c>
      <c r="G4485" s="3">
        <v>1029</v>
      </c>
      <c r="H4485" s="3">
        <v>49</v>
      </c>
      <c r="I4485" s="3">
        <v>547</v>
      </c>
      <c r="J4485" s="3">
        <v>120</v>
      </c>
      <c r="K4485" s="3">
        <v>1751</v>
      </c>
      <c r="L4485" s="3">
        <v>9</v>
      </c>
      <c r="M4485" s="3">
        <v>512</v>
      </c>
    </row>
    <row r="4486" spans="1:13" x14ac:dyDescent="0.25">
      <c r="A4486" s="1" t="str">
        <f>HYPERLINK("http://www.rosaceae.org/Prunus/Prunus_persica/p.persica_gdr_reftransV1_0007721","p.persica_gdr_reftransV1_0007721")</f>
        <v>p.persica_gdr_reftransV1_0007721</v>
      </c>
      <c r="B4486" s="3">
        <v>2231</v>
      </c>
      <c r="C4486" s="1" t="str">
        <f>HYPERLINK("http://www.uniprot.org/uniprot/TCPD_ARATH","TCPD_ARATH")</f>
        <v>TCPD_ARATH</v>
      </c>
      <c r="D4486" t="s">
        <v>3946</v>
      </c>
      <c r="E4486" s="3" t="s">
        <v>3</v>
      </c>
      <c r="F4486" s="4">
        <v>0</v>
      </c>
      <c r="G4486" s="3">
        <v>2573</v>
      </c>
      <c r="H4486" s="3">
        <v>91</v>
      </c>
      <c r="I4486" s="3">
        <v>538</v>
      </c>
      <c r="J4486" s="3">
        <v>212</v>
      </c>
      <c r="K4486" s="3">
        <v>1825</v>
      </c>
      <c r="L4486" s="3">
        <v>1</v>
      </c>
      <c r="M4486" s="3">
        <v>536</v>
      </c>
    </row>
    <row r="4487" spans="1:13" x14ac:dyDescent="0.25">
      <c r="A4487" s="1" t="str">
        <f>HYPERLINK("http://www.rosaceae.org/Prunus/Prunus_persica/p.persica_gdr_reftransV1_0007771","p.persica_gdr_reftransV1_0007771")</f>
        <v>p.persica_gdr_reftransV1_0007771</v>
      </c>
      <c r="B4487" s="3">
        <v>1205</v>
      </c>
      <c r="C4487" s="1" t="str">
        <f>HYPERLINK("http://www.uniprot.org/uniprot/PMT2_ARATH","PMT2_ARATH")</f>
        <v>PMT2_ARATH</v>
      </c>
      <c r="D4487" t="s">
        <v>2767</v>
      </c>
      <c r="E4487" s="3" t="s">
        <v>3</v>
      </c>
      <c r="F4487" s="4">
        <v>3.01E-163</v>
      </c>
      <c r="G4487" s="3">
        <v>1233</v>
      </c>
      <c r="H4487" s="3">
        <v>78</v>
      </c>
      <c r="I4487" s="3">
        <v>290</v>
      </c>
      <c r="J4487" s="3">
        <v>3</v>
      </c>
      <c r="K4487" s="3">
        <v>854</v>
      </c>
      <c r="L4487" s="3">
        <v>1</v>
      </c>
      <c r="M4487" s="3">
        <v>290</v>
      </c>
    </row>
    <row r="4488" spans="1:13" x14ac:dyDescent="0.25">
      <c r="A4488" s="1" t="str">
        <f>HYPERLINK("http://www.rosaceae.org/Prunus/Prunus_persica/p.persica_gdr_reftransV1_0007821","p.persica_gdr_reftransV1_0007821")</f>
        <v>p.persica_gdr_reftransV1_0007821</v>
      </c>
      <c r="B4488" s="3">
        <v>1339</v>
      </c>
      <c r="C4488" s="1" t="str">
        <f>HYPERLINK("http://www.uniprot.org/uniprot/WTR14_ARATH","WTR14_ARATH")</f>
        <v>WTR14_ARATH</v>
      </c>
      <c r="D4488" t="s">
        <v>3195</v>
      </c>
      <c r="E4488" s="3" t="s">
        <v>3</v>
      </c>
      <c r="F4488" s="4">
        <v>6.0800000000000002E-89</v>
      </c>
      <c r="G4488" s="3">
        <v>721</v>
      </c>
      <c r="H4488" s="3">
        <v>40</v>
      </c>
      <c r="I4488" s="3">
        <v>363</v>
      </c>
      <c r="J4488" s="3">
        <v>216</v>
      </c>
      <c r="K4488" s="3">
        <v>1286</v>
      </c>
      <c r="L4488" s="3">
        <v>1</v>
      </c>
      <c r="M4488" s="3">
        <v>360</v>
      </c>
    </row>
    <row r="4489" spans="1:13" x14ac:dyDescent="0.25">
      <c r="A4489" s="1" t="str">
        <f>HYPERLINK("http://www.rosaceae.org/Prunus/Prunus_persica/p.persica_gdr_reftransV1_0007971","p.persica_gdr_reftransV1_0007971")</f>
        <v>p.persica_gdr_reftransV1_0007971</v>
      </c>
      <c r="B4489" s="3">
        <v>2407</v>
      </c>
      <c r="C4489" s="1" t="str">
        <f>HYPERLINK("http://www.uniprot.org/uniprot/SDHA1_ARATH","SDHA1_ARATH")</f>
        <v>SDHA1_ARATH</v>
      </c>
      <c r="D4489" t="s">
        <v>3947</v>
      </c>
      <c r="E4489" s="3" t="s">
        <v>3</v>
      </c>
      <c r="F4489" s="4">
        <v>0</v>
      </c>
      <c r="G4489" s="3">
        <v>2915</v>
      </c>
      <c r="H4489" s="3">
        <v>91</v>
      </c>
      <c r="I4489" s="3">
        <v>634</v>
      </c>
      <c r="J4489" s="3">
        <v>350</v>
      </c>
      <c r="K4489" s="3">
        <v>2248</v>
      </c>
      <c r="L4489" s="3">
        <v>1</v>
      </c>
      <c r="M4489" s="3">
        <v>634</v>
      </c>
    </row>
    <row r="4490" spans="1:13" x14ac:dyDescent="0.25">
      <c r="A4490" s="1" t="str">
        <f>HYPERLINK("http://www.rosaceae.org/Prunus/Prunus_persica/p.persica_gdr_reftransV1_0008021","p.persica_gdr_reftransV1_0008021")</f>
        <v>p.persica_gdr_reftransV1_0008021</v>
      </c>
      <c r="B4490" s="3">
        <v>1464</v>
      </c>
      <c r="C4490" s="1" t="str">
        <f>HYPERLINK("http://www.uniprot.org/uniprot/GRXC6_ARATH","GRXC6_ARATH")</f>
        <v>GRXC6_ARATH</v>
      </c>
      <c r="D4490" t="s">
        <v>3948</v>
      </c>
      <c r="E4490" s="3" t="s">
        <v>3</v>
      </c>
      <c r="F4490" s="4">
        <v>5.3799999999999999E-46</v>
      </c>
      <c r="G4490" s="3">
        <v>411</v>
      </c>
      <c r="H4490" s="3">
        <v>61</v>
      </c>
      <c r="I4490" s="3">
        <v>153</v>
      </c>
      <c r="J4490" s="3">
        <v>119</v>
      </c>
      <c r="K4490" s="3">
        <v>577</v>
      </c>
      <c r="L4490" s="3">
        <v>6</v>
      </c>
      <c r="M4490" s="3">
        <v>144</v>
      </c>
    </row>
    <row r="4491" spans="1:13" x14ac:dyDescent="0.25">
      <c r="A4491" s="1" t="str">
        <f>HYPERLINK("http://www.rosaceae.org/Prunus/Prunus_persica/p.persica_gdr_reftransV1_0008071","p.persica_gdr_reftransV1_0008071")</f>
        <v>p.persica_gdr_reftransV1_0008071</v>
      </c>
      <c r="B4491" s="3">
        <v>3955</v>
      </c>
      <c r="C4491" s="1" t="str">
        <f>HYPERLINK("http://www.uniprot.org/uniprot/ETO1_ARATH","ETO1_ARATH")</f>
        <v>ETO1_ARATH</v>
      </c>
      <c r="D4491" t="s">
        <v>3949</v>
      </c>
      <c r="E4491" s="3" t="s">
        <v>3</v>
      </c>
      <c r="F4491" s="4">
        <v>0</v>
      </c>
      <c r="G4491" s="3">
        <v>3633</v>
      </c>
      <c r="H4491" s="3">
        <v>74</v>
      </c>
      <c r="I4491" s="3">
        <v>972</v>
      </c>
      <c r="J4491" s="3">
        <v>492</v>
      </c>
      <c r="K4491" s="3">
        <v>3368</v>
      </c>
      <c r="L4491" s="3">
        <v>1</v>
      </c>
      <c r="M4491" s="3">
        <v>946</v>
      </c>
    </row>
    <row r="4492" spans="1:13" x14ac:dyDescent="0.25">
      <c r="A4492" s="1" t="str">
        <f>HYPERLINK("http://www.rosaceae.org/Prunus/Prunus_persica/p.persica_gdr_reftransV1_0008171","p.persica_gdr_reftransV1_0008171")</f>
        <v>p.persica_gdr_reftransV1_0008171</v>
      </c>
      <c r="B4492" s="3">
        <v>4118</v>
      </c>
      <c r="C4492" s="1" t="str">
        <f>HYPERLINK("http://www.uniprot.org/uniprot/PUS3_ARATH","PUS3_ARATH")</f>
        <v>PUS3_ARATH</v>
      </c>
      <c r="D4492" t="s">
        <v>3950</v>
      </c>
      <c r="E4492" s="3" t="s">
        <v>3</v>
      </c>
      <c r="F4492" s="4">
        <v>0</v>
      </c>
      <c r="G4492" s="3">
        <v>1394</v>
      </c>
      <c r="H4492" s="3">
        <v>76</v>
      </c>
      <c r="I4492" s="3">
        <v>344</v>
      </c>
      <c r="J4492" s="3">
        <v>390</v>
      </c>
      <c r="K4492" s="3">
        <v>1418</v>
      </c>
      <c r="L4492" s="3">
        <v>135</v>
      </c>
      <c r="M4492" s="3">
        <v>478</v>
      </c>
    </row>
    <row r="4493" spans="1:13" x14ac:dyDescent="0.25">
      <c r="A4493" s="1" t="str">
        <f>HYPERLINK("http://www.rosaceae.org/Prunus/Prunus_persica/p.persica_gdr_reftransV1_0008371","p.persica_gdr_reftransV1_0008371")</f>
        <v>p.persica_gdr_reftransV1_0008371</v>
      </c>
      <c r="B4493" s="3">
        <v>2439</v>
      </c>
      <c r="C4493" s="1" t="str">
        <f>HYPERLINK("http://www.uniprot.org/uniprot/NDA1_ARATH","NDA1_ARATH")</f>
        <v>NDA1_ARATH</v>
      </c>
      <c r="D4493" t="s">
        <v>2884</v>
      </c>
      <c r="E4493" s="3" t="s">
        <v>3</v>
      </c>
      <c r="F4493" s="4">
        <v>0</v>
      </c>
      <c r="G4493" s="3">
        <v>1769</v>
      </c>
      <c r="H4493" s="3">
        <v>68</v>
      </c>
      <c r="I4493" s="3">
        <v>495</v>
      </c>
      <c r="J4493" s="3">
        <v>781</v>
      </c>
      <c r="K4493" s="3">
        <v>2253</v>
      </c>
      <c r="L4493" s="3">
        <v>16</v>
      </c>
      <c r="M4493" s="3">
        <v>510</v>
      </c>
    </row>
    <row r="4494" spans="1:13" x14ac:dyDescent="0.25">
      <c r="A4494" s="1" t="str">
        <f>HYPERLINK("http://www.rosaceae.org/Prunus/Prunus_persica/p.persica_gdr_reftransV1_0008571","p.persica_gdr_reftransV1_0008571")</f>
        <v>p.persica_gdr_reftransV1_0008571</v>
      </c>
      <c r="B4494" s="3">
        <v>1307</v>
      </c>
      <c r="C4494" s="1" t="str">
        <f>HYPERLINK("http://www.uniprot.org/uniprot/RL361_ARATH","RL361_ARATH")</f>
        <v>RL361_ARATH</v>
      </c>
      <c r="D4494" t="s">
        <v>3951</v>
      </c>
      <c r="E4494" s="3" t="s">
        <v>3</v>
      </c>
      <c r="F4494" s="4">
        <v>1.7699999999999999E-48</v>
      </c>
      <c r="G4494" s="3">
        <v>423</v>
      </c>
      <c r="H4494" s="3">
        <v>83</v>
      </c>
      <c r="I4494" s="3">
        <v>101</v>
      </c>
      <c r="J4494" s="3">
        <v>87</v>
      </c>
      <c r="K4494" s="3">
        <v>389</v>
      </c>
      <c r="L4494" s="3">
        <v>1</v>
      </c>
      <c r="M4494" s="3">
        <v>101</v>
      </c>
    </row>
    <row r="4495" spans="1:13" x14ac:dyDescent="0.25">
      <c r="A4495" s="1" t="str">
        <f>HYPERLINK("http://www.rosaceae.org/Prunus/Prunus_persica/p.persica_gdr_reftransV1_0008621","p.persica_gdr_reftransV1_0008621")</f>
        <v>p.persica_gdr_reftransV1_0008621</v>
      </c>
      <c r="B4495" s="3">
        <v>2743</v>
      </c>
      <c r="C4495" s="1" t="str">
        <f>HYPERLINK("http://www.uniprot.org/uniprot/MORF8_ARATH","MORF8_ARATH")</f>
        <v>MORF8_ARATH</v>
      </c>
      <c r="D4495" t="s">
        <v>3952</v>
      </c>
      <c r="E4495" s="3" t="s">
        <v>3</v>
      </c>
      <c r="F4495" s="4">
        <v>1.5500000000000001E-80</v>
      </c>
      <c r="G4495" s="3">
        <v>695</v>
      </c>
      <c r="H4495" s="3">
        <v>85</v>
      </c>
      <c r="I4495" s="3">
        <v>177</v>
      </c>
      <c r="J4495" s="3">
        <v>333</v>
      </c>
      <c r="K4495" s="3">
        <v>863</v>
      </c>
      <c r="L4495" s="3">
        <v>61</v>
      </c>
      <c r="M4495" s="3">
        <v>237</v>
      </c>
    </row>
    <row r="4496" spans="1:13" x14ac:dyDescent="0.25">
      <c r="A4496" s="1" t="str">
        <f>HYPERLINK("http://www.rosaceae.org/Prunus/Prunus_persica/p.persica_gdr_reftransV1_0008871","p.persica_gdr_reftransV1_0008871")</f>
        <v>p.persica_gdr_reftransV1_0008871</v>
      </c>
      <c r="B4496" s="3">
        <v>2016</v>
      </c>
      <c r="C4496" s="1" t="str">
        <f>HYPERLINK("http://www.uniprot.org/uniprot/PP315_ARATH","PP315_ARATH")</f>
        <v>PP315_ARATH</v>
      </c>
      <c r="D4496" t="s">
        <v>3953</v>
      </c>
      <c r="E4496" s="3" t="s">
        <v>3</v>
      </c>
      <c r="F4496" s="4">
        <v>9.6399999999999994E-156</v>
      </c>
      <c r="G4496" s="3">
        <v>1199</v>
      </c>
      <c r="H4496" s="3">
        <v>60</v>
      </c>
      <c r="I4496" s="3">
        <v>365</v>
      </c>
      <c r="J4496" s="3">
        <v>2</v>
      </c>
      <c r="K4496" s="3">
        <v>1096</v>
      </c>
      <c r="L4496" s="3">
        <v>128</v>
      </c>
      <c r="M4496" s="3">
        <v>492</v>
      </c>
    </row>
    <row r="4497" spans="1:13" x14ac:dyDescent="0.25">
      <c r="A4497" s="1" t="str">
        <f>HYPERLINK("http://www.rosaceae.org/Prunus/Prunus_persica/p.persica_gdr_reftransV1_0008921","p.persica_gdr_reftransV1_0008921")</f>
        <v>p.persica_gdr_reftransV1_0008921</v>
      </c>
      <c r="B4497" s="3">
        <v>1875</v>
      </c>
      <c r="C4497" s="1" t="str">
        <f>HYPERLINK("http://www.uniprot.org/uniprot/RF2B_ORYSJ","RF2B_ORYSJ")</f>
        <v>RF2B_ORYSJ</v>
      </c>
      <c r="D4497" t="s">
        <v>2975</v>
      </c>
      <c r="E4497" s="3" t="s">
        <v>38</v>
      </c>
      <c r="F4497" s="4">
        <v>3.2700000000000001E-93</v>
      </c>
      <c r="G4497" s="3">
        <v>760</v>
      </c>
      <c r="H4497" s="3">
        <v>53</v>
      </c>
      <c r="I4497" s="3">
        <v>334</v>
      </c>
      <c r="J4497" s="3">
        <v>457</v>
      </c>
      <c r="K4497" s="3">
        <v>1422</v>
      </c>
      <c r="L4497" s="3">
        <v>17</v>
      </c>
      <c r="M4497" s="3">
        <v>314</v>
      </c>
    </row>
    <row r="4498" spans="1:13" x14ac:dyDescent="0.25">
      <c r="A4498" s="1" t="str">
        <f>HYPERLINK("http://www.rosaceae.org/Prunus/Prunus_persica/p.persica_gdr_reftransV1_0008971","p.persica_gdr_reftransV1_0008971")</f>
        <v>p.persica_gdr_reftransV1_0008971</v>
      </c>
      <c r="B4498" s="3">
        <v>408</v>
      </c>
      <c r="C4498" s="1" t="str">
        <f>HYPERLINK("http://www.uniprot.org/uniprot/RL191_ARATH","RL191_ARATH")</f>
        <v>RL191_ARATH</v>
      </c>
      <c r="D4498" t="s">
        <v>3954</v>
      </c>
      <c r="E4498" s="3" t="s">
        <v>3</v>
      </c>
      <c r="F4498" s="4">
        <v>1.5E-37</v>
      </c>
      <c r="G4498" s="3">
        <v>333</v>
      </c>
      <c r="H4498" s="3">
        <v>89</v>
      </c>
      <c r="I4498" s="3">
        <v>90</v>
      </c>
      <c r="J4498" s="3">
        <v>1</v>
      </c>
      <c r="K4498" s="3">
        <v>270</v>
      </c>
      <c r="L4498" s="3">
        <v>1</v>
      </c>
      <c r="M4498" s="3">
        <v>90</v>
      </c>
    </row>
    <row r="4499" spans="1:13" x14ac:dyDescent="0.25">
      <c r="A4499" s="1" t="str">
        <f>HYPERLINK("http://www.rosaceae.org/Prunus/Prunus_persica/p.persica_gdr_reftransV1_0009021","p.persica_gdr_reftransV1_0009021")</f>
        <v>p.persica_gdr_reftransV1_0009021</v>
      </c>
      <c r="B4499" s="3">
        <v>3053</v>
      </c>
      <c r="C4499" s="1" t="str">
        <f>HYPERLINK("http://www.uniprot.org/uniprot/Y5241_ARATH","Y5241_ARATH")</f>
        <v>Y5241_ARATH</v>
      </c>
      <c r="D4499" t="s">
        <v>1898</v>
      </c>
      <c r="E4499" s="3" t="s">
        <v>3</v>
      </c>
      <c r="F4499" s="4">
        <v>0</v>
      </c>
      <c r="G4499" s="3">
        <v>2569</v>
      </c>
      <c r="H4499" s="3">
        <v>64</v>
      </c>
      <c r="I4499" s="3">
        <v>808</v>
      </c>
      <c r="J4499" s="3">
        <v>369</v>
      </c>
      <c r="K4499" s="3">
        <v>2756</v>
      </c>
      <c r="L4499" s="3">
        <v>28</v>
      </c>
      <c r="M4499" s="3">
        <v>824</v>
      </c>
    </row>
    <row r="4500" spans="1:13" x14ac:dyDescent="0.25">
      <c r="A4500" s="1" t="str">
        <f>HYPERLINK("http://www.rosaceae.org/Prunus/Prunus_persica/p.persica_gdr_reftransV1_0009071","p.persica_gdr_reftransV1_0009071")</f>
        <v>p.persica_gdr_reftransV1_0009071</v>
      </c>
      <c r="B4500" s="3">
        <v>2154</v>
      </c>
      <c r="C4500" s="1" t="str">
        <f>HYPERLINK("http://www.uniprot.org/uniprot/PP348_ARATH","PP348_ARATH")</f>
        <v>PP348_ARATH</v>
      </c>
      <c r="D4500" t="s">
        <v>1620</v>
      </c>
      <c r="E4500" s="3" t="s">
        <v>3</v>
      </c>
      <c r="F4500" s="4">
        <v>0</v>
      </c>
      <c r="G4500" s="3">
        <v>2280</v>
      </c>
      <c r="H4500" s="3">
        <v>67</v>
      </c>
      <c r="I4500" s="3">
        <v>620</v>
      </c>
      <c r="J4500" s="3">
        <v>1</v>
      </c>
      <c r="K4500" s="3">
        <v>1857</v>
      </c>
      <c r="L4500" s="3">
        <v>209</v>
      </c>
      <c r="M4500" s="3">
        <v>823</v>
      </c>
    </row>
    <row r="4501" spans="1:13" x14ac:dyDescent="0.25">
      <c r="A4501" s="1" t="str">
        <f>HYPERLINK("http://www.rosaceae.org/Prunus/Prunus_persica/p.persica_gdr_reftransV1_0009121","p.persica_gdr_reftransV1_0009121")</f>
        <v>p.persica_gdr_reftransV1_0009121</v>
      </c>
      <c r="B4501" s="3">
        <v>1846</v>
      </c>
      <c r="C4501" s="1" t="str">
        <f>HYPERLINK("http://www.uniprot.org/uniprot/SKI23_ARATH","SKI23_ARATH")</f>
        <v>SKI23_ARATH</v>
      </c>
      <c r="D4501" t="s">
        <v>143</v>
      </c>
      <c r="E4501" s="3" t="s">
        <v>3</v>
      </c>
      <c r="F4501" s="4">
        <v>9.57E-98</v>
      </c>
      <c r="G4501" s="3">
        <v>797</v>
      </c>
      <c r="H4501" s="3">
        <v>50</v>
      </c>
      <c r="I4501" s="3">
        <v>403</v>
      </c>
      <c r="J4501" s="3">
        <v>85</v>
      </c>
      <c r="K4501" s="3">
        <v>1263</v>
      </c>
      <c r="L4501" s="3">
        <v>1</v>
      </c>
      <c r="M4501" s="3">
        <v>391</v>
      </c>
    </row>
    <row r="4502" spans="1:13" x14ac:dyDescent="0.25">
      <c r="A4502" s="1" t="str">
        <f>HYPERLINK("http://www.rosaceae.org/Prunus/Prunus_persica/p.persica_gdr_reftransV1_0009271","p.persica_gdr_reftransV1_0009271")</f>
        <v>p.persica_gdr_reftransV1_0009271</v>
      </c>
      <c r="B4502" s="3">
        <v>1145</v>
      </c>
      <c r="C4502" s="1" t="str">
        <f>HYPERLINK("http://www.uniprot.org/uniprot/ILL4_ARATH","ILL4_ARATH")</f>
        <v>ILL4_ARATH</v>
      </c>
      <c r="D4502" t="s">
        <v>3955</v>
      </c>
      <c r="E4502" s="3" t="s">
        <v>3</v>
      </c>
      <c r="F4502" s="4">
        <v>1.6700000000000001E-67</v>
      </c>
      <c r="G4502" s="3">
        <v>575</v>
      </c>
      <c r="H4502" s="3">
        <v>60</v>
      </c>
      <c r="I4502" s="3">
        <v>178</v>
      </c>
      <c r="J4502" s="3">
        <v>2</v>
      </c>
      <c r="K4502" s="3">
        <v>535</v>
      </c>
      <c r="L4502" s="3">
        <v>264</v>
      </c>
      <c r="M4502" s="3">
        <v>440</v>
      </c>
    </row>
    <row r="4503" spans="1:13" x14ac:dyDescent="0.25">
      <c r="A4503" s="1" t="str">
        <f>HYPERLINK("http://www.rosaceae.org/Prunus/Prunus_persica/p.persica_gdr_reftransV1_0009371","p.persica_gdr_reftransV1_0009371")</f>
        <v>p.persica_gdr_reftransV1_0009371</v>
      </c>
      <c r="B4503" s="3">
        <v>2564</v>
      </c>
      <c r="C4503" s="1" t="str">
        <f>HYPERLINK("http://www.uniprot.org/uniprot/KPYA_RICCO","KPYA_RICCO")</f>
        <v>KPYA_RICCO</v>
      </c>
      <c r="D4503" t="s">
        <v>3956</v>
      </c>
      <c r="E4503" s="3" t="s">
        <v>421</v>
      </c>
      <c r="F4503" s="4">
        <v>0</v>
      </c>
      <c r="G4503" s="3">
        <v>1605</v>
      </c>
      <c r="H4503" s="3">
        <v>60</v>
      </c>
      <c r="I4503" s="3">
        <v>508</v>
      </c>
      <c r="J4503" s="3">
        <v>524</v>
      </c>
      <c r="K4503" s="3">
        <v>2038</v>
      </c>
      <c r="L4503" s="3">
        <v>84</v>
      </c>
      <c r="M4503" s="3">
        <v>582</v>
      </c>
    </row>
    <row r="4504" spans="1:13" x14ac:dyDescent="0.25">
      <c r="A4504" s="1" t="str">
        <f>HYPERLINK("http://www.rosaceae.org/Prunus/Prunus_persica/p.persica_gdr_reftransV1_0009671","p.persica_gdr_reftransV1_0009671")</f>
        <v>p.persica_gdr_reftransV1_0009671</v>
      </c>
      <c r="B4504" s="3">
        <v>2154</v>
      </c>
      <c r="C4504" s="1" t="str">
        <f>HYPERLINK("http://www.uniprot.org/uniprot/CX32_ARATH","CX32_ARATH")</f>
        <v>CX32_ARATH</v>
      </c>
      <c r="D4504" t="s">
        <v>1141</v>
      </c>
      <c r="E4504" s="3" t="s">
        <v>3</v>
      </c>
      <c r="F4504" s="4">
        <v>3.12E-21</v>
      </c>
      <c r="G4504" s="3">
        <v>249</v>
      </c>
      <c r="H4504" s="3">
        <v>35</v>
      </c>
      <c r="I4504" s="3">
        <v>170</v>
      </c>
      <c r="J4504" s="3">
        <v>1</v>
      </c>
      <c r="K4504" s="3">
        <v>486</v>
      </c>
      <c r="L4504" s="3">
        <v>18</v>
      </c>
      <c r="M4504" s="3">
        <v>152</v>
      </c>
    </row>
    <row r="4505" spans="1:13" x14ac:dyDescent="0.25">
      <c r="A4505" s="1" t="str">
        <f>HYPERLINK("http://www.rosaceae.org/Prunus/Prunus_persica/p.persica_gdr_reftransV1_0009771","p.persica_gdr_reftransV1_0009771")</f>
        <v>p.persica_gdr_reftransV1_0009771</v>
      </c>
      <c r="B4505" s="3">
        <v>4455</v>
      </c>
      <c r="C4505" s="1" t="str">
        <f>HYPERLINK("http://www.uniprot.org/uniprot/USPAL_ARATH","USPAL_ARATH")</f>
        <v>USPAL_ARATH</v>
      </c>
      <c r="D4505" t="s">
        <v>430</v>
      </c>
      <c r="E4505" s="3" t="s">
        <v>3</v>
      </c>
      <c r="F4505" s="4">
        <v>6.5600000000000005E-7</v>
      </c>
      <c r="G4505" s="3">
        <v>131</v>
      </c>
      <c r="H4505" s="3">
        <v>42</v>
      </c>
      <c r="I4505" s="3">
        <v>50</v>
      </c>
      <c r="J4505" s="3">
        <v>2430</v>
      </c>
      <c r="K4505" s="3">
        <v>2579</v>
      </c>
      <c r="L4505" s="3">
        <v>110</v>
      </c>
      <c r="M4505" s="3">
        <v>159</v>
      </c>
    </row>
    <row r="4506" spans="1:13" x14ac:dyDescent="0.25">
      <c r="A4506" s="1" t="str">
        <f>HYPERLINK("http://www.rosaceae.org/Prunus/Prunus_persica/p.persica_gdr_reftransV1_0009871","p.persica_gdr_reftransV1_0009871")</f>
        <v>p.persica_gdr_reftransV1_0009871</v>
      </c>
      <c r="B4506" s="3">
        <v>5195</v>
      </c>
      <c r="C4506" s="1" t="str">
        <f>HYPERLINK("http://www.uniprot.org/uniprot/PHL1_ARATH","PHL1_ARATH")</f>
        <v>PHL1_ARATH</v>
      </c>
      <c r="D4506" t="s">
        <v>2239</v>
      </c>
      <c r="E4506" s="3" t="s">
        <v>3</v>
      </c>
      <c r="F4506" s="4">
        <v>2.2799999999999998E-18</v>
      </c>
      <c r="G4506" s="3">
        <v>230</v>
      </c>
      <c r="H4506" s="3">
        <v>59</v>
      </c>
      <c r="I4506" s="3">
        <v>93</v>
      </c>
      <c r="J4506" s="3">
        <v>3653</v>
      </c>
      <c r="K4506" s="3">
        <v>3922</v>
      </c>
      <c r="L4506" s="3">
        <v>257</v>
      </c>
      <c r="M4506" s="3">
        <v>349</v>
      </c>
    </row>
    <row r="4507" spans="1:13" x14ac:dyDescent="0.25">
      <c r="A4507" s="1" t="str">
        <f>HYPERLINK("http://www.rosaceae.org/Prunus/Prunus_persica/p.persica_gdr_reftransV1_0009971","p.persica_gdr_reftransV1_0009971")</f>
        <v>p.persica_gdr_reftransV1_0009971</v>
      </c>
      <c r="B4507" s="3">
        <v>2210</v>
      </c>
      <c r="C4507" s="1" t="str">
        <f>HYPERLINK("http://www.uniprot.org/uniprot/PPIL2_ARATH","PPIL2_ARATH")</f>
        <v>PPIL2_ARATH</v>
      </c>
      <c r="D4507" t="s">
        <v>3957</v>
      </c>
      <c r="E4507" s="3" t="s">
        <v>3</v>
      </c>
      <c r="F4507" s="4">
        <v>0</v>
      </c>
      <c r="G4507" s="3">
        <v>2062</v>
      </c>
      <c r="H4507" s="3">
        <v>75</v>
      </c>
      <c r="I4507" s="3">
        <v>599</v>
      </c>
      <c r="J4507" s="3">
        <v>180</v>
      </c>
      <c r="K4507" s="3">
        <v>1961</v>
      </c>
      <c r="L4507" s="3">
        <v>1</v>
      </c>
      <c r="M4507" s="3">
        <v>595</v>
      </c>
    </row>
    <row r="4508" spans="1:13" x14ac:dyDescent="0.25">
      <c r="A4508" s="1" t="str">
        <f>HYPERLINK("http://www.rosaceae.org/Prunus/Prunus_persica/p.persica_gdr_reftransV1_0010021","p.persica_gdr_reftransV1_0010021")</f>
        <v>p.persica_gdr_reftransV1_0010021</v>
      </c>
      <c r="B4508" s="3">
        <v>1950</v>
      </c>
      <c r="C4508" s="1" t="str">
        <f>HYPERLINK("http://www.uniprot.org/uniprot/Y2241_ARATH","Y2241_ARATH")</f>
        <v>Y2241_ARATH</v>
      </c>
      <c r="D4508" t="s">
        <v>3958</v>
      </c>
      <c r="E4508" s="3" t="s">
        <v>3</v>
      </c>
      <c r="F4508" s="4">
        <v>1.4100000000000001E-106</v>
      </c>
      <c r="G4508" s="3">
        <v>901</v>
      </c>
      <c r="H4508" s="3">
        <v>38</v>
      </c>
      <c r="I4508" s="3">
        <v>587</v>
      </c>
      <c r="J4508" s="3">
        <v>242</v>
      </c>
      <c r="K4508" s="3">
        <v>1948</v>
      </c>
      <c r="L4508" s="3">
        <v>380</v>
      </c>
      <c r="M4508" s="3">
        <v>955</v>
      </c>
    </row>
    <row r="4509" spans="1:13" x14ac:dyDescent="0.25">
      <c r="A4509" s="1" t="str">
        <f>HYPERLINK("http://www.rosaceae.org/Prunus/Prunus_persica/p.persica_gdr_reftransV1_0010071","p.persica_gdr_reftransV1_0010071")</f>
        <v>p.persica_gdr_reftransV1_0010071</v>
      </c>
      <c r="B4509" s="3">
        <v>1741</v>
      </c>
      <c r="C4509" s="1" t="str">
        <f>HYPERLINK("http://www.uniprot.org/uniprot/SKI30_ARATH","SKI30_ARATH")</f>
        <v>SKI30_ARATH</v>
      </c>
      <c r="D4509" t="s">
        <v>3959</v>
      </c>
      <c r="E4509" s="3" t="s">
        <v>3</v>
      </c>
      <c r="F4509" s="4">
        <v>5.3299999999999999E-178</v>
      </c>
      <c r="G4509" s="3">
        <v>1324</v>
      </c>
      <c r="H4509" s="3">
        <v>71</v>
      </c>
      <c r="I4509" s="3">
        <v>342</v>
      </c>
      <c r="J4509" s="3">
        <v>461</v>
      </c>
      <c r="K4509" s="3">
        <v>1486</v>
      </c>
      <c r="L4509" s="3">
        <v>11</v>
      </c>
      <c r="M4509" s="3">
        <v>352</v>
      </c>
    </row>
    <row r="4510" spans="1:13" x14ac:dyDescent="0.25">
      <c r="A4510" s="1" t="str">
        <f>HYPERLINK("http://www.rosaceae.org/Prunus/Prunus_persica/p.persica_gdr_reftransV1_0010221","p.persica_gdr_reftransV1_0010221")</f>
        <v>p.persica_gdr_reftransV1_0010221</v>
      </c>
      <c r="B4510" s="3">
        <v>3231</v>
      </c>
      <c r="C4510" s="1" t="str">
        <f>HYPERLINK("http://www.uniprot.org/uniprot/RNP1_ARATH","RNP1_ARATH")</f>
        <v>RNP1_ARATH</v>
      </c>
      <c r="D4510" t="s">
        <v>2083</v>
      </c>
      <c r="E4510" s="3" t="s">
        <v>3</v>
      </c>
      <c r="F4510" s="4">
        <v>2.5899999999999999E-99</v>
      </c>
      <c r="G4510" s="3">
        <v>836</v>
      </c>
      <c r="H4510" s="3">
        <v>69</v>
      </c>
      <c r="I4510" s="3">
        <v>241</v>
      </c>
      <c r="J4510" s="3">
        <v>2303</v>
      </c>
      <c r="K4510" s="3">
        <v>3025</v>
      </c>
      <c r="L4510" s="3">
        <v>1</v>
      </c>
      <c r="M4510" s="3">
        <v>232</v>
      </c>
    </row>
    <row r="4511" spans="1:13" x14ac:dyDescent="0.25">
      <c r="A4511" s="1" t="str">
        <f>HYPERLINK("http://www.rosaceae.org/Prunus/Prunus_persica/p.persica_gdr_reftransV1_0010421","p.persica_gdr_reftransV1_0010421")</f>
        <v>p.persica_gdr_reftransV1_0010421</v>
      </c>
      <c r="B4511" s="3">
        <v>1693</v>
      </c>
      <c r="C4511" s="1" t="str">
        <f>HYPERLINK("http://www.uniprot.org/uniprot/ATG10_ARATH","ATG10_ARATH")</f>
        <v>ATG10_ARATH</v>
      </c>
      <c r="D4511" t="s">
        <v>3960</v>
      </c>
      <c r="E4511" s="3" t="s">
        <v>3</v>
      </c>
      <c r="F4511" s="4">
        <v>1.33E-51</v>
      </c>
      <c r="G4511" s="3">
        <v>461</v>
      </c>
      <c r="H4511" s="3">
        <v>67</v>
      </c>
      <c r="I4511" s="3">
        <v>138</v>
      </c>
      <c r="J4511" s="3">
        <v>1279</v>
      </c>
      <c r="K4511" s="3">
        <v>1692</v>
      </c>
      <c r="L4511" s="3">
        <v>90</v>
      </c>
      <c r="M4511" s="3">
        <v>225</v>
      </c>
    </row>
    <row r="4512" spans="1:13" x14ac:dyDescent="0.25">
      <c r="A4512" s="1" t="str">
        <f>HYPERLINK("http://www.rosaceae.org/Prunus/Prunus_persica/p.persica_gdr_reftransV1_0010471","p.persica_gdr_reftransV1_0010471")</f>
        <v>p.persica_gdr_reftransV1_0010471</v>
      </c>
      <c r="B4512" s="3">
        <v>1497</v>
      </c>
      <c r="C4512" s="1" t="str">
        <f>HYPERLINK("http://www.uniprot.org/uniprot/ACCH4_ARATH","ACCH4_ARATH")</f>
        <v>ACCH4_ARATH</v>
      </c>
      <c r="D4512" t="s">
        <v>3961</v>
      </c>
      <c r="E4512" s="3" t="s">
        <v>3</v>
      </c>
      <c r="F4512" s="4">
        <v>8.7700000000000002E-66</v>
      </c>
      <c r="G4512" s="3">
        <v>566</v>
      </c>
      <c r="H4512" s="3">
        <v>45</v>
      </c>
      <c r="I4512" s="3">
        <v>280</v>
      </c>
      <c r="J4512" s="3">
        <v>64</v>
      </c>
      <c r="K4512" s="3">
        <v>903</v>
      </c>
      <c r="L4512" s="3">
        <v>5</v>
      </c>
      <c r="M4512" s="3">
        <v>277</v>
      </c>
    </row>
    <row r="4513" spans="1:13" x14ac:dyDescent="0.25">
      <c r="A4513" s="1" t="str">
        <f>HYPERLINK("http://www.rosaceae.org/Prunus/Prunus_persica/p.persica_gdr_reftransV1_0010521","p.persica_gdr_reftransV1_0010521")</f>
        <v>p.persica_gdr_reftransV1_0010521</v>
      </c>
      <c r="B4513" s="3">
        <v>1250</v>
      </c>
      <c r="C4513" s="1" t="str">
        <f>HYPERLINK("http://www.uniprot.org/uniprot/PYRG2_XENLA","PYRG2_XENLA")</f>
        <v>PYRG2_XENLA</v>
      </c>
      <c r="D4513" t="s">
        <v>3962</v>
      </c>
      <c r="E4513" s="3" t="s">
        <v>475</v>
      </c>
      <c r="F4513" s="4">
        <v>5.3699999999999996E-78</v>
      </c>
      <c r="G4513" s="3">
        <v>660</v>
      </c>
      <c r="H4513" s="3">
        <v>64</v>
      </c>
      <c r="I4513" s="3">
        <v>191</v>
      </c>
      <c r="J4513" s="3">
        <v>3</v>
      </c>
      <c r="K4513" s="3">
        <v>572</v>
      </c>
      <c r="L4513" s="3">
        <v>367</v>
      </c>
      <c r="M4513" s="3">
        <v>557</v>
      </c>
    </row>
    <row r="4514" spans="1:13" x14ac:dyDescent="0.25">
      <c r="A4514" s="1" t="str">
        <f>HYPERLINK("http://www.rosaceae.org/Prunus/Prunus_persica/p.persica_gdr_reftransV1_0010571","p.persica_gdr_reftransV1_0010571")</f>
        <v>p.persica_gdr_reftransV1_0010571</v>
      </c>
      <c r="B4514" s="3">
        <v>1967</v>
      </c>
      <c r="C4514" s="1" t="str">
        <f>HYPERLINK("http://www.uniprot.org/uniprot/BLH8_ARATH","BLH8_ARATH")</f>
        <v>BLH8_ARATH</v>
      </c>
      <c r="D4514" t="s">
        <v>3963</v>
      </c>
      <c r="E4514" s="3" t="s">
        <v>3</v>
      </c>
      <c r="F4514" s="4">
        <v>4.2300000000000003E-89</v>
      </c>
      <c r="G4514" s="3">
        <v>755</v>
      </c>
      <c r="H4514" s="3">
        <v>42</v>
      </c>
      <c r="I4514" s="3">
        <v>446</v>
      </c>
      <c r="J4514" s="3">
        <v>265</v>
      </c>
      <c r="K4514" s="3">
        <v>1599</v>
      </c>
      <c r="L4514" s="3">
        <v>251</v>
      </c>
      <c r="M4514" s="3">
        <v>584</v>
      </c>
    </row>
    <row r="4515" spans="1:13" x14ac:dyDescent="0.25">
      <c r="A4515" s="1" t="str">
        <f>HYPERLINK("http://www.rosaceae.org/Prunus/Prunus_persica/p.persica_gdr_reftransV1_0010721","p.persica_gdr_reftransV1_0010721")</f>
        <v>p.persica_gdr_reftransV1_0010721</v>
      </c>
      <c r="B4515" s="3">
        <v>1727</v>
      </c>
      <c r="C4515" s="1" t="str">
        <f>HYPERLINK("http://www.uniprot.org/uniprot/MSI1_SOLLC","MSI1_SOLLC")</f>
        <v>MSI1_SOLLC</v>
      </c>
      <c r="D4515" t="s">
        <v>3964</v>
      </c>
      <c r="E4515" s="3" t="s">
        <v>64</v>
      </c>
      <c r="F4515" s="4">
        <v>0</v>
      </c>
      <c r="G4515" s="3">
        <v>2120</v>
      </c>
      <c r="H4515" s="3">
        <v>95</v>
      </c>
      <c r="I4515" s="3">
        <v>420</v>
      </c>
      <c r="J4515" s="3">
        <v>305</v>
      </c>
      <c r="K4515" s="3">
        <v>1564</v>
      </c>
      <c r="L4515" s="3">
        <v>1</v>
      </c>
      <c r="M4515" s="3">
        <v>420</v>
      </c>
    </row>
    <row r="4516" spans="1:13" x14ac:dyDescent="0.25">
      <c r="A4516" s="1" t="str">
        <f>HYPERLINK("http://www.rosaceae.org/Prunus/Prunus_persica/p.persica_gdr_reftransV1_0011121","p.persica_gdr_reftransV1_0011121")</f>
        <v>p.persica_gdr_reftransV1_0011121</v>
      </c>
      <c r="B4516" s="3">
        <v>2601</v>
      </c>
      <c r="C4516" s="1" t="str">
        <f>HYPERLINK("http://www.uniprot.org/uniprot/RH32_ARATH","RH32_ARATH")</f>
        <v>RH32_ARATH</v>
      </c>
      <c r="D4516" t="s">
        <v>3965</v>
      </c>
      <c r="E4516" s="3" t="s">
        <v>3</v>
      </c>
      <c r="F4516" s="4">
        <v>0</v>
      </c>
      <c r="G4516" s="3">
        <v>2113</v>
      </c>
      <c r="H4516" s="3">
        <v>64</v>
      </c>
      <c r="I4516" s="3">
        <v>639</v>
      </c>
      <c r="J4516" s="3">
        <v>122</v>
      </c>
      <c r="K4516" s="3">
        <v>2023</v>
      </c>
      <c r="L4516" s="3">
        <v>7</v>
      </c>
      <c r="M4516" s="3">
        <v>639</v>
      </c>
    </row>
    <row r="4517" spans="1:13" x14ac:dyDescent="0.25">
      <c r="A4517" s="1" t="str">
        <f>HYPERLINK("http://www.rosaceae.org/Prunus/Prunus_persica/p.persica_gdr_reftransV1_0011221","p.persica_gdr_reftransV1_0011221")</f>
        <v>p.persica_gdr_reftransV1_0011221</v>
      </c>
      <c r="B4517" s="3">
        <v>1853</v>
      </c>
      <c r="C4517" s="1" t="str">
        <f>HYPERLINK("http://www.uniprot.org/uniprot/FABG_CUPLA","FABG_CUPLA")</f>
        <v>FABG_CUPLA</v>
      </c>
      <c r="D4517" t="s">
        <v>2949</v>
      </c>
      <c r="E4517" s="3" t="s">
        <v>2950</v>
      </c>
      <c r="F4517" s="4">
        <v>5.3499999999999998E-160</v>
      </c>
      <c r="G4517" s="3">
        <v>1205</v>
      </c>
      <c r="H4517" s="3">
        <v>80</v>
      </c>
      <c r="I4517" s="3">
        <v>318</v>
      </c>
      <c r="J4517" s="3">
        <v>269</v>
      </c>
      <c r="K4517" s="3">
        <v>1213</v>
      </c>
      <c r="L4517" s="3">
        <v>10</v>
      </c>
      <c r="M4517" s="3">
        <v>320</v>
      </c>
    </row>
    <row r="4518" spans="1:13" x14ac:dyDescent="0.25">
      <c r="A4518" s="1" t="str">
        <f>HYPERLINK("http://www.rosaceae.org/Prunus/Prunus_persica/p.persica_gdr_reftransV1_0011271","p.persica_gdr_reftransV1_0011271")</f>
        <v>p.persica_gdr_reftransV1_0011271</v>
      </c>
      <c r="B4518" s="3">
        <v>534</v>
      </c>
      <c r="C4518" s="1" t="str">
        <f>HYPERLINK("http://www.uniprot.org/uniprot/JMT_BRARP","JMT_BRARP")</f>
        <v>JMT_BRARP</v>
      </c>
      <c r="D4518" t="s">
        <v>3966</v>
      </c>
      <c r="E4518" s="3" t="s">
        <v>3967</v>
      </c>
      <c r="F4518" s="4">
        <v>2.0900000000000001E-41</v>
      </c>
      <c r="G4518" s="3">
        <v>375</v>
      </c>
      <c r="H4518" s="3">
        <v>51</v>
      </c>
      <c r="I4518" s="3">
        <v>150</v>
      </c>
      <c r="J4518" s="3">
        <v>5</v>
      </c>
      <c r="K4518" s="3">
        <v>424</v>
      </c>
      <c r="L4518" s="3">
        <v>242</v>
      </c>
      <c r="M4518" s="3">
        <v>390</v>
      </c>
    </row>
    <row r="4519" spans="1:13" x14ac:dyDescent="0.25">
      <c r="A4519" s="1" t="str">
        <f>HYPERLINK("http://www.rosaceae.org/Prunus/Prunus_persica/p.persica_gdr_reftransV1_0011371","p.persica_gdr_reftransV1_0011371")</f>
        <v>p.persica_gdr_reftransV1_0011371</v>
      </c>
      <c r="B4519" s="3">
        <v>1369</v>
      </c>
      <c r="C4519" s="1" t="str">
        <f>HYPERLINK("http://www.uniprot.org/uniprot/ORC6_ARATH","ORC6_ARATH")</f>
        <v>ORC6_ARATH</v>
      </c>
      <c r="D4519" t="s">
        <v>3968</v>
      </c>
      <c r="E4519" s="3" t="s">
        <v>3</v>
      </c>
      <c r="F4519" s="4">
        <v>1.87E-98</v>
      </c>
      <c r="G4519" s="3">
        <v>777</v>
      </c>
      <c r="H4519" s="3">
        <v>74</v>
      </c>
      <c r="I4519" s="3">
        <v>254</v>
      </c>
      <c r="J4519" s="3">
        <v>173</v>
      </c>
      <c r="K4519" s="3">
        <v>934</v>
      </c>
      <c r="L4519" s="3">
        <v>1</v>
      </c>
      <c r="M4519" s="3">
        <v>252</v>
      </c>
    </row>
    <row r="4520" spans="1:13" x14ac:dyDescent="0.25">
      <c r="A4520" s="1" t="str">
        <f>HYPERLINK("http://www.rosaceae.org/Prunus/Prunus_persica/p.persica_gdr_reftransV1_0011421","p.persica_gdr_reftransV1_0011421")</f>
        <v>p.persica_gdr_reftransV1_0011421</v>
      </c>
      <c r="B4520" s="3">
        <v>1310</v>
      </c>
      <c r="C4520" s="1" t="str">
        <f>HYPERLINK("http://www.uniprot.org/uniprot/IMP2L_DANRE","IMP2L_DANRE")</f>
        <v>IMP2L_DANRE</v>
      </c>
      <c r="D4520" t="s">
        <v>3969</v>
      </c>
      <c r="E4520" s="3" t="s">
        <v>704</v>
      </c>
      <c r="F4520" s="4">
        <v>4.5699999999999997E-28</v>
      </c>
      <c r="G4520" s="3">
        <v>283</v>
      </c>
      <c r="H4520" s="3">
        <v>39</v>
      </c>
      <c r="I4520" s="3">
        <v>163</v>
      </c>
      <c r="J4520" s="3">
        <v>422</v>
      </c>
      <c r="K4520" s="3">
        <v>907</v>
      </c>
      <c r="L4520" s="3">
        <v>8</v>
      </c>
      <c r="M4520" s="3">
        <v>165</v>
      </c>
    </row>
    <row r="4521" spans="1:13" x14ac:dyDescent="0.25">
      <c r="A4521" s="1" t="str">
        <f>HYPERLINK("http://www.rosaceae.org/Prunus/Prunus_persica/p.persica_gdr_reftransV1_0011471","p.persica_gdr_reftransV1_0011471")</f>
        <v>p.persica_gdr_reftransV1_0011471</v>
      </c>
      <c r="B4521" s="3">
        <v>1425</v>
      </c>
      <c r="C4521" s="1" t="str">
        <f>HYPERLINK("http://www.uniprot.org/uniprot/MIFH_BRUMA","MIFH_BRUMA")</f>
        <v>MIFH_BRUMA</v>
      </c>
      <c r="D4521" t="s">
        <v>3970</v>
      </c>
      <c r="E4521" s="3" t="s">
        <v>3971</v>
      </c>
      <c r="F4521" s="4">
        <v>1.49E-22</v>
      </c>
      <c r="G4521" s="3">
        <v>240</v>
      </c>
      <c r="H4521" s="3">
        <v>43</v>
      </c>
      <c r="I4521" s="3">
        <v>115</v>
      </c>
      <c r="J4521" s="3">
        <v>732</v>
      </c>
      <c r="K4521" s="3">
        <v>1076</v>
      </c>
      <c r="L4521" s="3">
        <v>1</v>
      </c>
      <c r="M4521" s="3">
        <v>114</v>
      </c>
    </row>
    <row r="4522" spans="1:13" x14ac:dyDescent="0.25">
      <c r="A4522" s="1" t="str">
        <f>HYPERLINK("http://www.rosaceae.org/Prunus/Prunus_persica/p.persica_gdr_reftransV1_0011521","p.persica_gdr_reftransV1_0011521")</f>
        <v>p.persica_gdr_reftransV1_0011521</v>
      </c>
      <c r="B4522" s="3">
        <v>3082</v>
      </c>
      <c r="C4522" s="1" t="str">
        <f>HYPERLINK("http://www.uniprot.org/uniprot/EIF2D_RAT","EIF2D_RAT")</f>
        <v>EIF2D_RAT</v>
      </c>
      <c r="D4522" t="s">
        <v>3972</v>
      </c>
      <c r="E4522" s="3" t="s">
        <v>161</v>
      </c>
      <c r="F4522" s="4">
        <v>1.19E-73</v>
      </c>
      <c r="G4522" s="3">
        <v>662</v>
      </c>
      <c r="H4522" s="3">
        <v>33</v>
      </c>
      <c r="I4522" s="3">
        <v>616</v>
      </c>
      <c r="J4522" s="3">
        <v>1158</v>
      </c>
      <c r="K4522" s="3">
        <v>2984</v>
      </c>
      <c r="L4522" s="3">
        <v>1</v>
      </c>
      <c r="M4522" s="3">
        <v>563</v>
      </c>
    </row>
    <row r="4523" spans="1:13" x14ac:dyDescent="0.25">
      <c r="A4523" s="1" t="str">
        <f>HYPERLINK("http://www.rosaceae.org/Prunus/Prunus_persica/p.persica_gdr_reftransV1_0011571","p.persica_gdr_reftransV1_0011571")</f>
        <v>p.persica_gdr_reftransV1_0011571</v>
      </c>
      <c r="B4523" s="3">
        <v>600</v>
      </c>
      <c r="C4523" s="1" t="str">
        <f>HYPERLINK("http://www.uniprot.org/uniprot/CAAT4_ARATH","CAAT4_ARATH")</f>
        <v>CAAT4_ARATH</v>
      </c>
      <c r="D4523" t="s">
        <v>3973</v>
      </c>
      <c r="E4523" s="3" t="s">
        <v>3</v>
      </c>
      <c r="F4523" s="4">
        <v>9.8800000000000004E-69</v>
      </c>
      <c r="G4523" s="3">
        <v>475</v>
      </c>
      <c r="H4523" s="3">
        <v>74</v>
      </c>
      <c r="I4523" s="3">
        <v>122</v>
      </c>
      <c r="J4523" s="3">
        <v>235</v>
      </c>
      <c r="K4523" s="3">
        <v>600</v>
      </c>
      <c r="L4523" s="3">
        <v>98</v>
      </c>
      <c r="M4523" s="3">
        <v>219</v>
      </c>
    </row>
    <row r="4524" spans="1:13" x14ac:dyDescent="0.25">
      <c r="A4524" s="1" t="str">
        <f>HYPERLINK("http://www.rosaceae.org/Prunus/Prunus_persica/p.persica_gdr_reftransV1_0011721","p.persica_gdr_reftransV1_0011721")</f>
        <v>p.persica_gdr_reftransV1_0011721</v>
      </c>
      <c r="B4524" s="3">
        <v>5626</v>
      </c>
      <c r="C4524" s="1" t="str">
        <f>HYPERLINK("http://www.uniprot.org/uniprot/FUBP1_MOUSE","FUBP1_MOUSE")</f>
        <v>FUBP1_MOUSE</v>
      </c>
      <c r="D4524" t="s">
        <v>3974</v>
      </c>
      <c r="E4524" s="3" t="s">
        <v>157</v>
      </c>
      <c r="F4524" s="4">
        <v>3.9000000000000001E-20</v>
      </c>
      <c r="G4524" s="3">
        <v>250</v>
      </c>
      <c r="H4524" s="3">
        <v>34</v>
      </c>
      <c r="I4524" s="3">
        <v>251</v>
      </c>
      <c r="J4524" s="3">
        <v>4666</v>
      </c>
      <c r="K4524" s="3">
        <v>5391</v>
      </c>
      <c r="L4524" s="3">
        <v>25</v>
      </c>
      <c r="M4524" s="3">
        <v>253</v>
      </c>
    </row>
    <row r="4525" spans="1:13" x14ac:dyDescent="0.25">
      <c r="A4525" s="1" t="str">
        <f>HYPERLINK("http://www.rosaceae.org/Prunus/Prunus_persica/p.persica_gdr_reftransV1_0011971","p.persica_gdr_reftransV1_0011971")</f>
        <v>p.persica_gdr_reftransV1_0011971</v>
      </c>
      <c r="B4525" s="3">
        <v>1990</v>
      </c>
      <c r="C4525" s="1" t="str">
        <f>HYPERLINK("http://www.uniprot.org/uniprot/C14A1_ARATH","C14A1_ARATH")</f>
        <v>C14A1_ARATH</v>
      </c>
      <c r="D4525" t="s">
        <v>3975</v>
      </c>
      <c r="E4525" s="3" t="s">
        <v>3</v>
      </c>
      <c r="F4525" s="4">
        <v>5.8199999999999998E-136</v>
      </c>
      <c r="G4525" s="3">
        <v>1069</v>
      </c>
      <c r="H4525" s="3">
        <v>57</v>
      </c>
      <c r="I4525" s="3">
        <v>369</v>
      </c>
      <c r="J4525" s="3">
        <v>95</v>
      </c>
      <c r="K4525" s="3">
        <v>1156</v>
      </c>
      <c r="L4525" s="3">
        <v>27</v>
      </c>
      <c r="M4525" s="3">
        <v>395</v>
      </c>
    </row>
    <row r="4526" spans="1:13" x14ac:dyDescent="0.25">
      <c r="A4526" s="1" t="str">
        <f>HYPERLINK("http://www.rosaceae.org/Prunus/Prunus_persica/p.persica_gdr_reftransV1_0012071","p.persica_gdr_reftransV1_0012071")</f>
        <v>p.persica_gdr_reftransV1_0012071</v>
      </c>
      <c r="B4526" s="3">
        <v>2157</v>
      </c>
      <c r="C4526" s="1" t="str">
        <f>HYPERLINK("http://www.uniprot.org/uniprot/P2C55_ARATH","P2C55_ARATH")</f>
        <v>P2C55_ARATH</v>
      </c>
      <c r="D4526" t="s">
        <v>1366</v>
      </c>
      <c r="E4526" s="3" t="s">
        <v>3</v>
      </c>
      <c r="F4526" s="4">
        <v>1.9800000000000001E-132</v>
      </c>
      <c r="G4526" s="3">
        <v>1044</v>
      </c>
      <c r="H4526" s="3">
        <v>62</v>
      </c>
      <c r="I4526" s="3">
        <v>372</v>
      </c>
      <c r="J4526" s="3">
        <v>670</v>
      </c>
      <c r="K4526" s="3">
        <v>1761</v>
      </c>
      <c r="L4526" s="3">
        <v>92</v>
      </c>
      <c r="M4526" s="3">
        <v>461</v>
      </c>
    </row>
    <row r="4527" spans="1:13" x14ac:dyDescent="0.25">
      <c r="A4527" s="1" t="str">
        <f>HYPERLINK("http://www.rosaceae.org/Prunus/Prunus_persica/p.persica_gdr_reftransV1_0012221","p.persica_gdr_reftransV1_0012221")</f>
        <v>p.persica_gdr_reftransV1_0012221</v>
      </c>
      <c r="B4527" s="3">
        <v>2607</v>
      </c>
      <c r="C4527" s="1" t="str">
        <f>HYPERLINK("http://www.uniprot.org/uniprot/4CLL9_ARATH","4CLL9_ARATH")</f>
        <v>4CLL9_ARATH</v>
      </c>
      <c r="D4527" t="s">
        <v>3976</v>
      </c>
      <c r="E4527" s="3" t="s">
        <v>3</v>
      </c>
      <c r="F4527" s="4">
        <v>0</v>
      </c>
      <c r="G4527" s="3">
        <v>1697</v>
      </c>
      <c r="H4527" s="3">
        <v>60</v>
      </c>
      <c r="I4527" s="3">
        <v>566</v>
      </c>
      <c r="J4527" s="3">
        <v>598</v>
      </c>
      <c r="K4527" s="3">
        <v>2268</v>
      </c>
      <c r="L4527" s="3">
        <v>1</v>
      </c>
      <c r="M4527" s="3">
        <v>562</v>
      </c>
    </row>
    <row r="4528" spans="1:13" x14ac:dyDescent="0.25">
      <c r="A4528" s="1" t="str">
        <f>HYPERLINK("http://www.rosaceae.org/Prunus/Prunus_persica/p.persica_gdr_reftransV1_0012521","p.persica_gdr_reftransV1_0012521")</f>
        <v>p.persica_gdr_reftransV1_0012521</v>
      </c>
      <c r="B4528" s="3">
        <v>1182</v>
      </c>
      <c r="C4528" s="1" t="str">
        <f>HYPERLINK("http://www.uniprot.org/uniprot/F206A_XENLA","F206A_XENLA")</f>
        <v>F206A_XENLA</v>
      </c>
      <c r="D4528" t="s">
        <v>3977</v>
      </c>
      <c r="E4528" s="3" t="s">
        <v>475</v>
      </c>
      <c r="F4528" s="4">
        <v>1.2499999999999999E-25</v>
      </c>
      <c r="G4528" s="3">
        <v>265</v>
      </c>
      <c r="H4528" s="3">
        <v>35</v>
      </c>
      <c r="I4528" s="3">
        <v>164</v>
      </c>
      <c r="J4528" s="3">
        <v>292</v>
      </c>
      <c r="K4528" s="3">
        <v>774</v>
      </c>
      <c r="L4528" s="3">
        <v>4</v>
      </c>
      <c r="M4528" s="3">
        <v>167</v>
      </c>
    </row>
    <row r="4529" spans="1:13" x14ac:dyDescent="0.25">
      <c r="A4529" s="1" t="str">
        <f>HYPERLINK("http://www.rosaceae.org/Prunus/Prunus_persica/p.persica_gdr_reftransV1_0012571","p.persica_gdr_reftransV1_0012571")</f>
        <v>p.persica_gdr_reftransV1_0012571</v>
      </c>
      <c r="B4529" s="3">
        <v>1737</v>
      </c>
      <c r="C4529" s="1" t="str">
        <f>HYPERLINK("http://www.uniprot.org/uniprot/RLP12_ARATH","RLP12_ARATH")</f>
        <v>RLP12_ARATH</v>
      </c>
      <c r="D4529" t="s">
        <v>1219</v>
      </c>
      <c r="E4529" s="3" t="s">
        <v>3</v>
      </c>
      <c r="F4529" s="4">
        <v>6.9100000000000002E-19</v>
      </c>
      <c r="G4529" s="3">
        <v>234</v>
      </c>
      <c r="H4529" s="3">
        <v>38</v>
      </c>
      <c r="I4529" s="3">
        <v>185</v>
      </c>
      <c r="J4529" s="3">
        <v>372</v>
      </c>
      <c r="K4529" s="3">
        <v>920</v>
      </c>
      <c r="L4529" s="3">
        <v>106</v>
      </c>
      <c r="M4529" s="3">
        <v>289</v>
      </c>
    </row>
    <row r="4530" spans="1:13" x14ac:dyDescent="0.25">
      <c r="A4530" s="1" t="str">
        <f>HYPERLINK("http://www.rosaceae.org/Prunus/Prunus_persica/p.persica_gdr_reftransV1_0012621","p.persica_gdr_reftransV1_0012621")</f>
        <v>p.persica_gdr_reftransV1_0012621</v>
      </c>
      <c r="B4530" s="3">
        <v>3098</v>
      </c>
      <c r="C4530" s="1" t="str">
        <f>HYPERLINK("http://www.uniprot.org/uniprot/IQD32_ARATH","IQD32_ARATH")</f>
        <v>IQD32_ARATH</v>
      </c>
      <c r="D4530" t="s">
        <v>3978</v>
      </c>
      <c r="E4530" s="3" t="s">
        <v>3</v>
      </c>
      <c r="F4530" s="4">
        <v>5.9500000000000001E-102</v>
      </c>
      <c r="G4530" s="3">
        <v>883</v>
      </c>
      <c r="H4530" s="3">
        <v>38</v>
      </c>
      <c r="I4530" s="3">
        <v>683</v>
      </c>
      <c r="J4530" s="3">
        <v>454</v>
      </c>
      <c r="K4530" s="3">
        <v>2448</v>
      </c>
      <c r="L4530" s="3">
        <v>209</v>
      </c>
      <c r="M4530" s="3">
        <v>794</v>
      </c>
    </row>
    <row r="4531" spans="1:13" x14ac:dyDescent="0.25">
      <c r="A4531" s="1" t="str">
        <f>HYPERLINK("http://www.rosaceae.org/Prunus/Prunus_persica/p.persica_gdr_reftransV1_0012971","p.persica_gdr_reftransV1_0012971")</f>
        <v>p.persica_gdr_reftransV1_0012971</v>
      </c>
      <c r="B4531" s="3">
        <v>1245</v>
      </c>
      <c r="C4531" s="1" t="str">
        <f>HYPERLINK("http://www.uniprot.org/uniprot/KRP2_ARATH","KRP2_ARATH")</f>
        <v>KRP2_ARATH</v>
      </c>
      <c r="D4531" t="s">
        <v>3979</v>
      </c>
      <c r="E4531" s="3" t="s">
        <v>3</v>
      </c>
      <c r="F4531" s="4">
        <v>6.5499999999999998E-8</v>
      </c>
      <c r="G4531" s="3">
        <v>134</v>
      </c>
      <c r="H4531" s="3">
        <v>38</v>
      </c>
      <c r="I4531" s="3">
        <v>143</v>
      </c>
      <c r="J4531" s="3">
        <v>494</v>
      </c>
      <c r="K4531" s="3">
        <v>886</v>
      </c>
      <c r="L4531" s="3">
        <v>89</v>
      </c>
      <c r="M4531" s="3">
        <v>209</v>
      </c>
    </row>
    <row r="4532" spans="1:13" x14ac:dyDescent="0.25">
      <c r="A4532" s="1" t="str">
        <f>HYPERLINK("http://www.rosaceae.org/Prunus/Prunus_persica/p.persica_gdr_reftransV1_0013071","p.persica_gdr_reftransV1_0013071")</f>
        <v>p.persica_gdr_reftransV1_0013071</v>
      </c>
      <c r="B4532" s="3">
        <v>4458</v>
      </c>
      <c r="C4532" s="1" t="str">
        <f>HYPERLINK("http://www.uniprot.org/uniprot/YGSA_SCHPO","YGSA_SCHPO")</f>
        <v>YGSA_SCHPO</v>
      </c>
      <c r="D4532" t="s">
        <v>2355</v>
      </c>
      <c r="E4532" s="3" t="s">
        <v>464</v>
      </c>
      <c r="F4532" s="4">
        <v>7.4399999999999997E-22</v>
      </c>
      <c r="G4532" s="3">
        <v>267</v>
      </c>
      <c r="H4532" s="3">
        <v>29</v>
      </c>
      <c r="I4532" s="3">
        <v>353</v>
      </c>
      <c r="J4532" s="3">
        <v>3401</v>
      </c>
      <c r="K4532" s="3">
        <v>4456</v>
      </c>
      <c r="L4532" s="3">
        <v>1263</v>
      </c>
      <c r="M4532" s="3">
        <v>1529</v>
      </c>
    </row>
    <row r="4533" spans="1:13" x14ac:dyDescent="0.25">
      <c r="A4533" s="1" t="str">
        <f>HYPERLINK("http://www.rosaceae.org/Prunus/Prunus_persica/p.persica_gdr_reftransV1_0013471","p.persica_gdr_reftransV1_0013471")</f>
        <v>p.persica_gdr_reftransV1_0013471</v>
      </c>
      <c r="B4533" s="3">
        <v>1471</v>
      </c>
      <c r="C4533" s="1" t="str">
        <f>HYPERLINK("http://www.uniprot.org/uniprot/MPP10_HUMAN","MPP10_HUMAN")</f>
        <v>MPP10_HUMAN</v>
      </c>
      <c r="D4533" t="s">
        <v>3980</v>
      </c>
      <c r="E4533" s="3" t="s">
        <v>28</v>
      </c>
      <c r="F4533" s="4">
        <v>4.8199999999999999E-45</v>
      </c>
      <c r="G4533" s="3">
        <v>434</v>
      </c>
      <c r="H4533" s="3">
        <v>47</v>
      </c>
      <c r="I4533" s="3">
        <v>220</v>
      </c>
      <c r="J4533" s="3">
        <v>503</v>
      </c>
      <c r="K4533" s="3">
        <v>1135</v>
      </c>
      <c r="L4533" s="3">
        <v>358</v>
      </c>
      <c r="M4533" s="3">
        <v>570</v>
      </c>
    </row>
    <row r="4534" spans="1:13" x14ac:dyDescent="0.25">
      <c r="A4534" s="1" t="str">
        <f>HYPERLINK("http://www.rosaceae.org/Prunus/Prunus_persica/p.persica_gdr_reftransV1_0013521","p.persica_gdr_reftransV1_0013521")</f>
        <v>p.persica_gdr_reftransV1_0013521</v>
      </c>
      <c r="B4534" s="3">
        <v>693</v>
      </c>
      <c r="C4534" s="1" t="str">
        <f>HYPERLINK("http://www.uniprot.org/uniprot/RL35_EUPES","RL35_EUPES")</f>
        <v>RL35_EUPES</v>
      </c>
      <c r="D4534" t="s">
        <v>3981</v>
      </c>
      <c r="E4534" s="3" t="s">
        <v>1191</v>
      </c>
      <c r="F4534" s="4">
        <v>1.3600000000000001E-72</v>
      </c>
      <c r="G4534" s="3">
        <v>568</v>
      </c>
      <c r="H4534" s="3">
        <v>94</v>
      </c>
      <c r="I4534" s="3">
        <v>122</v>
      </c>
      <c r="J4534" s="3">
        <v>66</v>
      </c>
      <c r="K4534" s="3">
        <v>431</v>
      </c>
      <c r="L4534" s="3">
        <v>1</v>
      </c>
      <c r="M4534" s="3">
        <v>122</v>
      </c>
    </row>
    <row r="4535" spans="1:13" x14ac:dyDescent="0.25">
      <c r="A4535" s="1" t="str">
        <f>HYPERLINK("http://www.rosaceae.org/Prunus/Prunus_persica/p.persica_gdr_reftransV1_0013571","p.persica_gdr_reftransV1_0013571")</f>
        <v>p.persica_gdr_reftransV1_0013571</v>
      </c>
      <c r="B4535" s="3">
        <v>1066</v>
      </c>
      <c r="C4535" s="1" t="str">
        <f>HYPERLINK("http://www.uniprot.org/uniprot/BBX32_ARATH","BBX32_ARATH")</f>
        <v>BBX32_ARATH</v>
      </c>
      <c r="D4535" t="s">
        <v>3982</v>
      </c>
      <c r="E4535" s="3" t="s">
        <v>3</v>
      </c>
      <c r="F4535" s="4">
        <v>1.51E-10</v>
      </c>
      <c r="G4535" s="3">
        <v>154</v>
      </c>
      <c r="H4535" s="3">
        <v>51</v>
      </c>
      <c r="I4535" s="3">
        <v>59</v>
      </c>
      <c r="J4535" s="3">
        <v>221</v>
      </c>
      <c r="K4535" s="3">
        <v>397</v>
      </c>
      <c r="L4535" s="3">
        <v>5</v>
      </c>
      <c r="M4535" s="3">
        <v>63</v>
      </c>
    </row>
    <row r="4536" spans="1:13" x14ac:dyDescent="0.25">
      <c r="A4536" s="1" t="str">
        <f>HYPERLINK("http://www.rosaceae.org/Prunus/Prunus_persica/p.persica_gdr_reftransV1_0013621","p.persica_gdr_reftransV1_0013621")</f>
        <v>p.persica_gdr_reftransV1_0013621</v>
      </c>
      <c r="B4536" s="3">
        <v>449</v>
      </c>
      <c r="C4536" s="1" t="str">
        <f>HYPERLINK("http://www.uniprot.org/uniprot/QKY_ARATH","QKY_ARATH")</f>
        <v>QKY_ARATH</v>
      </c>
      <c r="D4536" t="s">
        <v>707</v>
      </c>
      <c r="E4536" s="3" t="s">
        <v>3</v>
      </c>
      <c r="F4536" s="4">
        <v>2.6E-14</v>
      </c>
      <c r="G4536" s="3">
        <v>181</v>
      </c>
      <c r="H4536" s="3">
        <v>39</v>
      </c>
      <c r="I4536" s="3">
        <v>115</v>
      </c>
      <c r="J4536" s="3">
        <v>131</v>
      </c>
      <c r="K4536" s="3">
        <v>448</v>
      </c>
      <c r="L4536" s="3">
        <v>328</v>
      </c>
      <c r="M4536" s="3">
        <v>434</v>
      </c>
    </row>
    <row r="4537" spans="1:13" x14ac:dyDescent="0.25">
      <c r="A4537" s="1" t="str">
        <f>HYPERLINK("http://www.rosaceae.org/Prunus/Prunus_persica/p.persica_gdr_reftransV1_0013771","p.persica_gdr_reftransV1_0013771")</f>
        <v>p.persica_gdr_reftransV1_0013771</v>
      </c>
      <c r="B4537" s="3">
        <v>1261</v>
      </c>
      <c r="C4537" s="1" t="str">
        <f>HYPERLINK("http://www.uniprot.org/uniprot/YU88_ARATH","YU88_ARATH")</f>
        <v>YU88_ARATH</v>
      </c>
      <c r="D4537" t="s">
        <v>3041</v>
      </c>
      <c r="E4537" s="3" t="s">
        <v>3</v>
      </c>
      <c r="F4537" s="4">
        <v>2.8099999999999999E-143</v>
      </c>
      <c r="G4537" s="3">
        <v>1084</v>
      </c>
      <c r="H4537" s="3">
        <v>71</v>
      </c>
      <c r="I4537" s="3">
        <v>312</v>
      </c>
      <c r="J4537" s="3">
        <v>329</v>
      </c>
      <c r="K4537" s="3">
        <v>1261</v>
      </c>
      <c r="L4537" s="3">
        <v>99</v>
      </c>
      <c r="M4537" s="3">
        <v>410</v>
      </c>
    </row>
    <row r="4538" spans="1:13" x14ac:dyDescent="0.25">
      <c r="A4538" s="1" t="str">
        <f>HYPERLINK("http://www.rosaceae.org/Prunus/Prunus_persica/p.persica_gdr_reftransV1_0013821","p.persica_gdr_reftransV1_0013821")</f>
        <v>p.persica_gdr_reftransV1_0013821</v>
      </c>
      <c r="B4538" s="3">
        <v>3406</v>
      </c>
      <c r="C4538" s="1" t="str">
        <f>HYPERLINK("http://www.uniprot.org/uniprot/IMP4_RAT","IMP4_RAT")</f>
        <v>IMP4_RAT</v>
      </c>
      <c r="D4538" t="s">
        <v>3983</v>
      </c>
      <c r="E4538" s="3" t="s">
        <v>161</v>
      </c>
      <c r="F4538" s="4">
        <v>2.8399999999999998E-54</v>
      </c>
      <c r="G4538" s="3">
        <v>499</v>
      </c>
      <c r="H4538" s="3">
        <v>54</v>
      </c>
      <c r="I4538" s="3">
        <v>188</v>
      </c>
      <c r="J4538" s="3">
        <v>2670</v>
      </c>
      <c r="K4538" s="3">
        <v>3233</v>
      </c>
      <c r="L4538" s="3">
        <v>12</v>
      </c>
      <c r="M4538" s="3">
        <v>196</v>
      </c>
    </row>
    <row r="4539" spans="1:13" x14ac:dyDescent="0.25">
      <c r="A4539" s="1" t="str">
        <f>HYPERLINK("http://www.rosaceae.org/Prunus/Prunus_persica/p.persica_gdr_reftransV1_0014171","p.persica_gdr_reftransV1_0014171")</f>
        <v>p.persica_gdr_reftransV1_0014171</v>
      </c>
      <c r="B4539" s="3">
        <v>1746</v>
      </c>
      <c r="C4539" s="1" t="str">
        <f>HYPERLINK("http://www.uniprot.org/uniprot/5BPOR_DIGLA","5BPOR_DIGLA")</f>
        <v>5BPOR_DIGLA</v>
      </c>
      <c r="D4539" t="s">
        <v>1647</v>
      </c>
      <c r="E4539" s="3" t="s">
        <v>1648</v>
      </c>
      <c r="F4539" s="4">
        <v>0</v>
      </c>
      <c r="G4539" s="3">
        <v>1408</v>
      </c>
      <c r="H4539" s="3">
        <v>68</v>
      </c>
      <c r="I4539" s="3">
        <v>378</v>
      </c>
      <c r="J4539" s="3">
        <v>303</v>
      </c>
      <c r="K4539" s="3">
        <v>1433</v>
      </c>
      <c r="L4539" s="3">
        <v>16</v>
      </c>
      <c r="M4539" s="3">
        <v>389</v>
      </c>
    </row>
    <row r="4540" spans="1:13" x14ac:dyDescent="0.25">
      <c r="A4540" s="1" t="str">
        <f>HYPERLINK("http://www.rosaceae.org/Prunus/Prunus_persica/p.persica_gdr_reftransV1_0014221","p.persica_gdr_reftransV1_0014221")</f>
        <v>p.persica_gdr_reftransV1_0014221</v>
      </c>
      <c r="B4540" s="3">
        <v>1019</v>
      </c>
      <c r="C4540" s="1" t="str">
        <f>HYPERLINK("http://www.uniprot.org/uniprot/EMC2_DANRE","EMC2_DANRE")</f>
        <v>EMC2_DANRE</v>
      </c>
      <c r="D4540" t="s">
        <v>3984</v>
      </c>
      <c r="E4540" s="3" t="s">
        <v>704</v>
      </c>
      <c r="F4540" s="4">
        <v>1.0699999999999999E-49</v>
      </c>
      <c r="G4540" s="3">
        <v>440</v>
      </c>
      <c r="H4540" s="3">
        <v>43</v>
      </c>
      <c r="I4540" s="3">
        <v>218</v>
      </c>
      <c r="J4540" s="3">
        <v>159</v>
      </c>
      <c r="K4540" s="3">
        <v>812</v>
      </c>
      <c r="L4540" s="3">
        <v>23</v>
      </c>
      <c r="M4540" s="3">
        <v>237</v>
      </c>
    </row>
    <row r="4541" spans="1:13" x14ac:dyDescent="0.25">
      <c r="A4541" s="1" t="str">
        <f>HYPERLINK("http://www.rosaceae.org/Prunus/Prunus_persica/p.persica_gdr_reftransV1_0014371","p.persica_gdr_reftransV1_0014371")</f>
        <v>p.persica_gdr_reftransV1_0014371</v>
      </c>
      <c r="B4541" s="3">
        <v>2965</v>
      </c>
      <c r="C4541" s="1" t="str">
        <f>HYPERLINK("http://www.uniprot.org/uniprot/FRL4A_ARATH","FRL4A_ARATH")</f>
        <v>FRL4A_ARATH</v>
      </c>
      <c r="D4541" t="s">
        <v>3985</v>
      </c>
      <c r="E4541" s="3" t="s">
        <v>3</v>
      </c>
      <c r="F4541" s="4">
        <v>2.9599999999999999E-137</v>
      </c>
      <c r="G4541" s="3">
        <v>1103</v>
      </c>
      <c r="H4541" s="3">
        <v>74</v>
      </c>
      <c r="I4541" s="3">
        <v>306</v>
      </c>
      <c r="J4541" s="3">
        <v>1956</v>
      </c>
      <c r="K4541" s="3">
        <v>2855</v>
      </c>
      <c r="L4541" s="3">
        <v>1</v>
      </c>
      <c r="M4541" s="3">
        <v>304</v>
      </c>
    </row>
    <row r="4542" spans="1:13" x14ac:dyDescent="0.25">
      <c r="A4542" s="1" t="str">
        <f>HYPERLINK("http://www.rosaceae.org/Prunus/Prunus_persica/p.persica_gdr_reftransV1_0014521","p.persica_gdr_reftransV1_0014521")</f>
        <v>p.persica_gdr_reftransV1_0014521</v>
      </c>
      <c r="B4542" s="3">
        <v>4766</v>
      </c>
      <c r="C4542" s="1" t="str">
        <f>HYPERLINK("http://www.uniprot.org/uniprot/FD6E2_SOYBN","FD6E2_SOYBN")</f>
        <v>FD6E2_SOYBN</v>
      </c>
      <c r="D4542" t="s">
        <v>3986</v>
      </c>
      <c r="E4542" s="3" t="s">
        <v>307</v>
      </c>
      <c r="F4542" s="4">
        <v>0</v>
      </c>
      <c r="G4542" s="3">
        <v>1671</v>
      </c>
      <c r="H4542" s="3">
        <v>81</v>
      </c>
      <c r="I4542" s="3">
        <v>383</v>
      </c>
      <c r="J4542" s="3">
        <v>2765</v>
      </c>
      <c r="K4542" s="3">
        <v>3910</v>
      </c>
      <c r="L4542" s="3">
        <v>1</v>
      </c>
      <c r="M4542" s="3">
        <v>383</v>
      </c>
    </row>
    <row r="4543" spans="1:13" x14ac:dyDescent="0.25">
      <c r="A4543" s="1" t="str">
        <f>HYPERLINK("http://www.rosaceae.org/Prunus/Prunus_persica/p.persica_gdr_reftransV1_0014621","p.persica_gdr_reftransV1_0014621")</f>
        <v>p.persica_gdr_reftransV1_0014621</v>
      </c>
      <c r="B4543" s="3">
        <v>2117</v>
      </c>
      <c r="C4543" s="1" t="str">
        <f>HYPERLINK("http://www.uniprot.org/uniprot/U496A_ARATH","U496A_ARATH")</f>
        <v>U496A_ARATH</v>
      </c>
      <c r="D4543" t="s">
        <v>3987</v>
      </c>
      <c r="E4543" s="3" t="s">
        <v>3</v>
      </c>
      <c r="F4543" s="4">
        <v>1.81E-173</v>
      </c>
      <c r="G4543" s="3">
        <v>1308</v>
      </c>
      <c r="H4543" s="3">
        <v>76</v>
      </c>
      <c r="I4543" s="3">
        <v>355</v>
      </c>
      <c r="J4543" s="3">
        <v>293</v>
      </c>
      <c r="K4543" s="3">
        <v>1354</v>
      </c>
      <c r="L4543" s="3">
        <v>16</v>
      </c>
      <c r="M4543" s="3">
        <v>369</v>
      </c>
    </row>
    <row r="4544" spans="1:13" x14ac:dyDescent="0.25">
      <c r="A4544" s="1" t="str">
        <f>HYPERLINK("http://www.rosaceae.org/Prunus/Prunus_persica/p.persica_gdr_reftransV1_0014671","p.persica_gdr_reftransV1_0014671")</f>
        <v>p.persica_gdr_reftransV1_0014671</v>
      </c>
      <c r="B4544" s="3">
        <v>870</v>
      </c>
      <c r="C4544" s="1" t="str">
        <f>HYPERLINK("http://www.uniprot.org/uniprot/UGFGT_MEDTR","UGFGT_MEDTR")</f>
        <v>UGFGT_MEDTR</v>
      </c>
      <c r="D4544" t="s">
        <v>403</v>
      </c>
      <c r="E4544" s="3" t="s">
        <v>91</v>
      </c>
      <c r="F4544" s="4">
        <v>4.14E-78</v>
      </c>
      <c r="G4544" s="3">
        <v>640</v>
      </c>
      <c r="H4544" s="3">
        <v>54</v>
      </c>
      <c r="I4544" s="3">
        <v>236</v>
      </c>
      <c r="J4544" s="3">
        <v>120</v>
      </c>
      <c r="K4544" s="3">
        <v>824</v>
      </c>
      <c r="L4544" s="3">
        <v>15</v>
      </c>
      <c r="M4544" s="3">
        <v>250</v>
      </c>
    </row>
    <row r="4545" spans="1:13" x14ac:dyDescent="0.25">
      <c r="A4545" s="1" t="str">
        <f>HYPERLINK("http://www.rosaceae.org/Prunus/Prunus_persica/p.persica_gdr_reftransV1_0014771","p.persica_gdr_reftransV1_0014771")</f>
        <v>p.persica_gdr_reftransV1_0014771</v>
      </c>
      <c r="B4545" s="3">
        <v>2156</v>
      </c>
      <c r="C4545" s="1" t="str">
        <f>HYPERLINK("http://www.uniprot.org/uniprot/Y1491_ARATH","Y1491_ARATH")</f>
        <v>Y1491_ARATH</v>
      </c>
      <c r="D4545" t="s">
        <v>310</v>
      </c>
      <c r="E4545" s="3" t="s">
        <v>3</v>
      </c>
      <c r="F4545" s="4">
        <v>3.8300000000000002E-78</v>
      </c>
      <c r="G4545" s="3">
        <v>679</v>
      </c>
      <c r="H4545" s="3">
        <v>36</v>
      </c>
      <c r="I4545" s="3">
        <v>435</v>
      </c>
      <c r="J4545" s="3">
        <v>431</v>
      </c>
      <c r="K4545" s="3">
        <v>1720</v>
      </c>
      <c r="L4545" s="3">
        <v>62</v>
      </c>
      <c r="M4545" s="3">
        <v>475</v>
      </c>
    </row>
    <row r="4546" spans="1:13" x14ac:dyDescent="0.25">
      <c r="A4546" s="1" t="str">
        <f>HYPERLINK("http://www.rosaceae.org/Prunus/Prunus_persica/p.persica_gdr_reftransV1_0014821","p.persica_gdr_reftransV1_0014821")</f>
        <v>p.persica_gdr_reftransV1_0014821</v>
      </c>
      <c r="B4546" s="3">
        <v>2139</v>
      </c>
      <c r="C4546" s="1" t="str">
        <f>HYPERLINK("http://www.uniprot.org/uniprot/MINP1_DICDI","MINP1_DICDI")</f>
        <v>MINP1_DICDI</v>
      </c>
      <c r="D4546" t="s">
        <v>3988</v>
      </c>
      <c r="E4546" s="3" t="s">
        <v>9</v>
      </c>
      <c r="F4546" s="4">
        <v>2.38E-42</v>
      </c>
      <c r="G4546" s="3">
        <v>420</v>
      </c>
      <c r="H4546" s="3">
        <v>27</v>
      </c>
      <c r="I4546" s="3">
        <v>460</v>
      </c>
      <c r="J4546" s="3">
        <v>643</v>
      </c>
      <c r="K4546" s="3">
        <v>1860</v>
      </c>
      <c r="L4546" s="3">
        <v>102</v>
      </c>
      <c r="M4546" s="3">
        <v>539</v>
      </c>
    </row>
    <row r="4547" spans="1:13" x14ac:dyDescent="0.25">
      <c r="A4547" s="1" t="str">
        <f>HYPERLINK("http://www.rosaceae.org/Prunus/Prunus_persica/p.persica_gdr_reftransV1_0014921","p.persica_gdr_reftransV1_0014921")</f>
        <v>p.persica_gdr_reftransV1_0014921</v>
      </c>
      <c r="B4547" s="3">
        <v>6645</v>
      </c>
      <c r="C4547" s="1" t="str">
        <f>HYPERLINK("http://www.uniprot.org/uniprot/KEG_ARATH","KEG_ARATH")</f>
        <v>KEG_ARATH</v>
      </c>
      <c r="D4547" t="s">
        <v>2459</v>
      </c>
      <c r="E4547" s="3" t="s">
        <v>3</v>
      </c>
      <c r="F4547" s="4">
        <v>0</v>
      </c>
      <c r="G4547" s="3">
        <v>3944</v>
      </c>
      <c r="H4547" s="3">
        <v>81</v>
      </c>
      <c r="I4547" s="3">
        <v>922</v>
      </c>
      <c r="J4547" s="3">
        <v>421</v>
      </c>
      <c r="K4547" s="3">
        <v>3186</v>
      </c>
      <c r="L4547" s="3">
        <v>703</v>
      </c>
      <c r="M4547" s="3">
        <v>1624</v>
      </c>
    </row>
    <row r="4548" spans="1:13" x14ac:dyDescent="0.25">
      <c r="A4548" s="1" t="str">
        <f>HYPERLINK("http://www.rosaceae.org/Prunus/Prunus_persica/p.persica_gdr_reftransV1_0015271","p.persica_gdr_reftransV1_0015271")</f>
        <v>p.persica_gdr_reftransV1_0015271</v>
      </c>
      <c r="B4548" s="3">
        <v>1600</v>
      </c>
      <c r="C4548" s="1" t="str">
        <f>HYPERLINK("http://www.uniprot.org/uniprot/DHAS_PROMA","DHAS_PROMA")</f>
        <v>DHAS_PROMA</v>
      </c>
      <c r="D4548" t="s">
        <v>3989</v>
      </c>
      <c r="E4548" s="3" t="s">
        <v>3990</v>
      </c>
      <c r="F4548" s="4">
        <v>3.4399999999999998E-110</v>
      </c>
      <c r="G4548" s="3">
        <v>868</v>
      </c>
      <c r="H4548" s="3">
        <v>51</v>
      </c>
      <c r="I4548" s="3">
        <v>348</v>
      </c>
      <c r="J4548" s="3">
        <v>204</v>
      </c>
      <c r="K4548" s="3">
        <v>1235</v>
      </c>
      <c r="L4548" s="3">
        <v>1</v>
      </c>
      <c r="M4548" s="3">
        <v>340</v>
      </c>
    </row>
    <row r="4549" spans="1:13" x14ac:dyDescent="0.25">
      <c r="A4549" s="1" t="str">
        <f>HYPERLINK("http://www.rosaceae.org/Prunus/Prunus_persica/p.persica_gdr_reftransV1_0015521","p.persica_gdr_reftransV1_0015521")</f>
        <v>p.persica_gdr_reftransV1_0015521</v>
      </c>
      <c r="B4549" s="3">
        <v>1308</v>
      </c>
      <c r="C4549" s="1" t="str">
        <f>HYPERLINK("http://www.uniprot.org/uniprot/FKB19_ARATH","FKB19_ARATH")</f>
        <v>FKB19_ARATH</v>
      </c>
      <c r="D4549" t="s">
        <v>3991</v>
      </c>
      <c r="E4549" s="3" t="s">
        <v>3</v>
      </c>
      <c r="F4549" s="4">
        <v>7.9900000000000001E-105</v>
      </c>
      <c r="G4549" s="3">
        <v>815</v>
      </c>
      <c r="H4549" s="3">
        <v>58</v>
      </c>
      <c r="I4549" s="3">
        <v>305</v>
      </c>
      <c r="J4549" s="3">
        <v>116</v>
      </c>
      <c r="K4549" s="3">
        <v>1027</v>
      </c>
      <c r="L4549" s="3">
        <v>1</v>
      </c>
      <c r="M4549" s="3">
        <v>256</v>
      </c>
    </row>
    <row r="4550" spans="1:13" x14ac:dyDescent="0.25">
      <c r="A4550" s="1" t="str">
        <f>HYPERLINK("http://www.rosaceae.org/Prunus/Prunus_persica/p.persica_gdr_reftransV1_0015571","p.persica_gdr_reftransV1_0015571")</f>
        <v>p.persica_gdr_reftransV1_0015571</v>
      </c>
      <c r="B4550" s="3">
        <v>2772</v>
      </c>
      <c r="C4550" s="1" t="str">
        <f>HYPERLINK("http://www.uniprot.org/uniprot/PUB10_ARATH","PUB10_ARATH")</f>
        <v>PUB10_ARATH</v>
      </c>
      <c r="D4550" t="s">
        <v>3992</v>
      </c>
      <c r="E4550" s="3" t="s">
        <v>3</v>
      </c>
      <c r="F4550" s="4">
        <v>0</v>
      </c>
      <c r="G4550" s="3">
        <v>1737</v>
      </c>
      <c r="H4550" s="3">
        <v>59</v>
      </c>
      <c r="I4550" s="3">
        <v>664</v>
      </c>
      <c r="J4550" s="3">
        <v>370</v>
      </c>
      <c r="K4550" s="3">
        <v>2304</v>
      </c>
      <c r="L4550" s="3">
        <v>26</v>
      </c>
      <c r="M4550" s="3">
        <v>620</v>
      </c>
    </row>
    <row r="4551" spans="1:13" x14ac:dyDescent="0.25">
      <c r="A4551" s="1" t="str">
        <f>HYPERLINK("http://www.rosaceae.org/Prunus/Prunus_persica/p.persica_gdr_reftransV1_0015621","p.persica_gdr_reftransV1_0015621")</f>
        <v>p.persica_gdr_reftransV1_0015621</v>
      </c>
      <c r="B4551" s="3">
        <v>1467</v>
      </c>
      <c r="C4551" s="1" t="str">
        <f>HYPERLINK("http://www.uniprot.org/uniprot/BH082_ARATH","BH082_ARATH")</f>
        <v>BH082_ARATH</v>
      </c>
      <c r="D4551" t="s">
        <v>3993</v>
      </c>
      <c r="E4551" s="3" t="s">
        <v>3</v>
      </c>
      <c r="F4551" s="4">
        <v>4.7699999999999998E-54</v>
      </c>
      <c r="G4551" s="3">
        <v>480</v>
      </c>
      <c r="H4551" s="3">
        <v>57</v>
      </c>
      <c r="I4551" s="3">
        <v>192</v>
      </c>
      <c r="J4551" s="3">
        <v>171</v>
      </c>
      <c r="K4551" s="3">
        <v>719</v>
      </c>
      <c r="L4551" s="3">
        <v>65</v>
      </c>
      <c r="M4551" s="3">
        <v>251</v>
      </c>
    </row>
    <row r="4552" spans="1:13" x14ac:dyDescent="0.25">
      <c r="A4552" s="1" t="str">
        <f>HYPERLINK("http://www.rosaceae.org/Prunus/Prunus_persica/p.persica_gdr_reftransV1_0015821","p.persica_gdr_reftransV1_0015821")</f>
        <v>p.persica_gdr_reftransV1_0015821</v>
      </c>
      <c r="B4552" s="3">
        <v>1512</v>
      </c>
      <c r="C4552" s="1" t="str">
        <f>HYPERLINK("http://www.uniprot.org/uniprot/ELM1_ARATH","ELM1_ARATH")</f>
        <v>ELM1_ARATH</v>
      </c>
      <c r="D4552" t="s">
        <v>3188</v>
      </c>
      <c r="E4552" s="3" t="s">
        <v>3</v>
      </c>
      <c r="F4552" s="4">
        <v>6.5E-150</v>
      </c>
      <c r="G4552" s="3">
        <v>1138</v>
      </c>
      <c r="H4552" s="3">
        <v>68</v>
      </c>
      <c r="I4552" s="3">
        <v>301</v>
      </c>
      <c r="J4552" s="3">
        <v>324</v>
      </c>
      <c r="K4552" s="3">
        <v>1226</v>
      </c>
      <c r="L4552" s="3">
        <v>125</v>
      </c>
      <c r="M4552" s="3">
        <v>425</v>
      </c>
    </row>
    <row r="4553" spans="1:13" x14ac:dyDescent="0.25">
      <c r="A4553" s="1" t="str">
        <f>HYPERLINK("http://www.rosaceae.org/Prunus/Prunus_persica/p.persica_gdr_reftransV1_0015971","p.persica_gdr_reftransV1_0015971")</f>
        <v>p.persica_gdr_reftransV1_0015971</v>
      </c>
      <c r="B4553" s="3">
        <v>3574</v>
      </c>
      <c r="C4553" s="1" t="str">
        <f>HYPERLINK("http://www.uniprot.org/uniprot/S40A3_ARATH","S40A3_ARATH")</f>
        <v>S40A3_ARATH</v>
      </c>
      <c r="D4553" t="s">
        <v>3994</v>
      </c>
      <c r="E4553" s="3" t="s">
        <v>3</v>
      </c>
      <c r="F4553" s="4">
        <v>0</v>
      </c>
      <c r="G4553" s="3">
        <v>1447</v>
      </c>
      <c r="H4553" s="3">
        <v>70</v>
      </c>
      <c r="I4553" s="3">
        <v>429</v>
      </c>
      <c r="J4553" s="3">
        <v>1157</v>
      </c>
      <c r="K4553" s="3">
        <v>2440</v>
      </c>
      <c r="L4553" s="3">
        <v>56</v>
      </c>
      <c r="M4553" s="3">
        <v>482</v>
      </c>
    </row>
    <row r="4554" spans="1:13" x14ac:dyDescent="0.25">
      <c r="A4554" s="1" t="str">
        <f>HYPERLINK("http://www.rosaceae.org/Prunus/Prunus_persica/p.persica_gdr_reftransV1_0016021","p.persica_gdr_reftransV1_0016021")</f>
        <v>p.persica_gdr_reftransV1_0016021</v>
      </c>
      <c r="B4554" s="3">
        <v>438</v>
      </c>
      <c r="C4554" s="1" t="str">
        <f>HYPERLINK("http://www.uniprot.org/uniprot/NADHK_ARATH","NADHK_ARATH")</f>
        <v>NADHK_ARATH</v>
      </c>
      <c r="D4554" t="s">
        <v>1893</v>
      </c>
      <c r="E4554" s="3" t="s">
        <v>3</v>
      </c>
      <c r="F4554" s="4">
        <v>1.2E-37</v>
      </c>
      <c r="G4554" s="3">
        <v>342</v>
      </c>
      <c r="H4554" s="3">
        <v>68</v>
      </c>
      <c r="I4554" s="3">
        <v>123</v>
      </c>
      <c r="J4554" s="3">
        <v>70</v>
      </c>
      <c r="K4554" s="3">
        <v>438</v>
      </c>
      <c r="L4554" s="3">
        <v>1</v>
      </c>
      <c r="M4554" s="3">
        <v>120</v>
      </c>
    </row>
    <row r="4555" spans="1:13" x14ac:dyDescent="0.25">
      <c r="A4555" s="1" t="str">
        <f>HYPERLINK("http://www.rosaceae.org/Prunus/Prunus_persica/p.persica_gdr_reftransV1_0016521","p.persica_gdr_reftransV1_0016521")</f>
        <v>p.persica_gdr_reftransV1_0016521</v>
      </c>
      <c r="B4555" s="3">
        <v>1905</v>
      </c>
      <c r="C4555" s="1" t="str">
        <f>HYPERLINK("http://www.uniprot.org/uniprot/DNJ19_ARATH","DNJ19_ARATH")</f>
        <v>DNJ19_ARATH</v>
      </c>
      <c r="D4555" t="s">
        <v>3995</v>
      </c>
      <c r="E4555" s="3" t="s">
        <v>3</v>
      </c>
      <c r="F4555" s="4">
        <v>0</v>
      </c>
      <c r="G4555" s="3">
        <v>1397</v>
      </c>
      <c r="H4555" s="3">
        <v>78</v>
      </c>
      <c r="I4555" s="3">
        <v>331</v>
      </c>
      <c r="J4555" s="3">
        <v>372</v>
      </c>
      <c r="K4555" s="3">
        <v>1364</v>
      </c>
      <c r="L4555" s="3">
        <v>17</v>
      </c>
      <c r="M4555" s="3">
        <v>346</v>
      </c>
    </row>
    <row r="4556" spans="1:13" x14ac:dyDescent="0.25">
      <c r="A4556" s="1" t="str">
        <f>HYPERLINK("http://www.rosaceae.org/Prunus/Prunus_persica/p.persica_gdr_reftransV1_0016671","p.persica_gdr_reftransV1_0016671")</f>
        <v>p.persica_gdr_reftransV1_0016671</v>
      </c>
      <c r="B4556" s="3">
        <v>2319</v>
      </c>
      <c r="C4556" s="1" t="str">
        <f>HYPERLINK("http://www.uniprot.org/uniprot/AX15A_SOYBN","AX15A_SOYBN")</f>
        <v>AX15A_SOYBN</v>
      </c>
      <c r="D4556" t="s">
        <v>2397</v>
      </c>
      <c r="E4556" s="3" t="s">
        <v>307</v>
      </c>
      <c r="F4556" s="4">
        <v>6.9100000000000004E-17</v>
      </c>
      <c r="G4556" s="3">
        <v>201</v>
      </c>
      <c r="H4556" s="3">
        <v>60</v>
      </c>
      <c r="I4556" s="3">
        <v>68</v>
      </c>
      <c r="J4556" s="3">
        <v>504</v>
      </c>
      <c r="K4556" s="3">
        <v>704</v>
      </c>
      <c r="L4556" s="3">
        <v>10</v>
      </c>
      <c r="M4556" s="3">
        <v>77</v>
      </c>
    </row>
    <row r="4557" spans="1:13" x14ac:dyDescent="0.25">
      <c r="A4557" s="1" t="str">
        <f>HYPERLINK("http://www.rosaceae.org/Prunus/Prunus_persica/p.persica_gdr_reftransV1_0016771","p.persica_gdr_reftransV1_0016771")</f>
        <v>p.persica_gdr_reftransV1_0016771</v>
      </c>
      <c r="B4557" s="3">
        <v>839</v>
      </c>
      <c r="C4557" s="1" t="str">
        <f>HYPERLINK("http://www.uniprot.org/uniprot/ARI8_ARATH","ARI8_ARATH")</f>
        <v>ARI8_ARATH</v>
      </c>
      <c r="D4557" t="s">
        <v>973</v>
      </c>
      <c r="E4557" s="3" t="s">
        <v>3</v>
      </c>
      <c r="F4557" s="4">
        <v>3.13E-31</v>
      </c>
      <c r="G4557" s="3">
        <v>315</v>
      </c>
      <c r="H4557" s="3">
        <v>50</v>
      </c>
      <c r="I4557" s="3">
        <v>133</v>
      </c>
      <c r="J4557" s="3">
        <v>1</v>
      </c>
      <c r="K4557" s="3">
        <v>318</v>
      </c>
      <c r="L4557" s="3">
        <v>431</v>
      </c>
      <c r="M4557" s="3">
        <v>563</v>
      </c>
    </row>
    <row r="4558" spans="1:13" x14ac:dyDescent="0.25">
      <c r="A4558" s="1" t="str">
        <f>HYPERLINK("http://www.rosaceae.org/Prunus/Prunus_persica/p.persica_gdr_reftransV1_0016871","p.persica_gdr_reftransV1_0016871")</f>
        <v>p.persica_gdr_reftransV1_0016871</v>
      </c>
      <c r="B4558" s="3">
        <v>8582</v>
      </c>
      <c r="C4558" s="1" t="str">
        <f>HYPERLINK("http://www.uniprot.org/uniprot/DMXL1_MOUSE","DMXL1_MOUSE")</f>
        <v>DMXL1_MOUSE</v>
      </c>
      <c r="D4558" t="s">
        <v>3996</v>
      </c>
      <c r="E4558" s="3" t="s">
        <v>157</v>
      </c>
      <c r="F4558" s="4">
        <v>5.0000000000000003E-33</v>
      </c>
      <c r="G4558" s="3">
        <v>366</v>
      </c>
      <c r="H4558" s="3">
        <v>29</v>
      </c>
      <c r="I4558" s="3">
        <v>394</v>
      </c>
      <c r="J4558" s="3">
        <v>3483</v>
      </c>
      <c r="K4558" s="3">
        <v>4547</v>
      </c>
      <c r="L4558" s="3">
        <v>1498</v>
      </c>
      <c r="M4558" s="3">
        <v>1884</v>
      </c>
    </row>
    <row r="4559" spans="1:13" x14ac:dyDescent="0.25">
      <c r="A4559" s="1" t="str">
        <f>HYPERLINK("http://www.rosaceae.org/Prunus/Prunus_persica/p.persica_gdr_reftransV1_0017271","p.persica_gdr_reftransV1_0017271")</f>
        <v>p.persica_gdr_reftransV1_0017271</v>
      </c>
      <c r="B4559" s="3">
        <v>2703</v>
      </c>
      <c r="C4559" s="1" t="str">
        <f>HYPERLINK("http://www.uniprot.org/uniprot/CCC12_ARATH","CCC12_ARATH")</f>
        <v>CCC12_ARATH</v>
      </c>
      <c r="D4559" t="s">
        <v>3997</v>
      </c>
      <c r="E4559" s="3" t="s">
        <v>3</v>
      </c>
      <c r="F4559" s="4">
        <v>2.3400000000000002E-44</v>
      </c>
      <c r="G4559" s="3">
        <v>420</v>
      </c>
      <c r="H4559" s="3">
        <v>77</v>
      </c>
      <c r="I4559" s="3">
        <v>96</v>
      </c>
      <c r="J4559" s="3">
        <v>1090</v>
      </c>
      <c r="K4559" s="3">
        <v>1377</v>
      </c>
      <c r="L4559" s="3">
        <v>75</v>
      </c>
      <c r="M4559" s="3">
        <v>170</v>
      </c>
    </row>
    <row r="4560" spans="1:13" x14ac:dyDescent="0.25">
      <c r="A4560" s="1" t="str">
        <f>HYPERLINK("http://www.rosaceae.org/Prunus/Prunus_persica/p.persica_gdr_reftransV1_0017321","p.persica_gdr_reftransV1_0017321")</f>
        <v>p.persica_gdr_reftransV1_0017321</v>
      </c>
      <c r="B4560" s="3">
        <v>922</v>
      </c>
      <c r="C4560" s="1" t="str">
        <f>HYPERLINK("http://www.uniprot.org/uniprot/LIPB_ARATH","LIPB_ARATH")</f>
        <v>LIPB_ARATH</v>
      </c>
      <c r="D4560" t="s">
        <v>3998</v>
      </c>
      <c r="E4560" s="3" t="s">
        <v>3</v>
      </c>
      <c r="F4560" s="4">
        <v>3.5299999999999997E-133</v>
      </c>
      <c r="G4560" s="3">
        <v>988</v>
      </c>
      <c r="H4560" s="3">
        <v>77</v>
      </c>
      <c r="I4560" s="3">
        <v>235</v>
      </c>
      <c r="J4560" s="3">
        <v>27</v>
      </c>
      <c r="K4560" s="3">
        <v>731</v>
      </c>
      <c r="L4560" s="3">
        <v>1</v>
      </c>
      <c r="M4560" s="3">
        <v>235</v>
      </c>
    </row>
    <row r="4561" spans="1:13" x14ac:dyDescent="0.25">
      <c r="A4561" s="1" t="str">
        <f>HYPERLINK("http://www.rosaceae.org/Prunus/Prunus_persica/p.persica_gdr_reftransV1_0017471","p.persica_gdr_reftransV1_0017471")</f>
        <v>p.persica_gdr_reftransV1_0017471</v>
      </c>
      <c r="B4561" s="3">
        <v>2212</v>
      </c>
      <c r="C4561" s="1" t="str">
        <f>HYPERLINK("http://www.uniprot.org/uniprot/Y4230_ARATH","Y4230_ARATH")</f>
        <v>Y4230_ARATH</v>
      </c>
      <c r="D4561" t="s">
        <v>3999</v>
      </c>
      <c r="E4561" s="3" t="s">
        <v>3</v>
      </c>
      <c r="F4561" s="4">
        <v>1.34E-106</v>
      </c>
      <c r="G4561" s="3">
        <v>901</v>
      </c>
      <c r="H4561" s="3">
        <v>47</v>
      </c>
      <c r="I4561" s="3">
        <v>422</v>
      </c>
      <c r="J4561" s="3">
        <v>26</v>
      </c>
      <c r="K4561" s="3">
        <v>1255</v>
      </c>
      <c r="L4561" s="3">
        <v>40</v>
      </c>
      <c r="M4561" s="3">
        <v>426</v>
      </c>
    </row>
    <row r="4562" spans="1:13" x14ac:dyDescent="0.25">
      <c r="A4562" s="1" t="str">
        <f>HYPERLINK("http://www.rosaceae.org/Prunus/Prunus_persica/p.persica_gdr_reftransV1_0017521","p.persica_gdr_reftransV1_0017521")</f>
        <v>p.persica_gdr_reftransV1_0017521</v>
      </c>
      <c r="B4562" s="3">
        <v>2044</v>
      </c>
      <c r="C4562" s="1" t="str">
        <f>HYPERLINK("http://www.uniprot.org/uniprot/HT1_ARATH","HT1_ARATH")</f>
        <v>HT1_ARATH</v>
      </c>
      <c r="D4562" t="s">
        <v>1169</v>
      </c>
      <c r="E4562" s="3" t="s">
        <v>3</v>
      </c>
      <c r="F4562" s="4">
        <v>1.34E-28</v>
      </c>
      <c r="G4562" s="3">
        <v>306</v>
      </c>
      <c r="H4562" s="3">
        <v>42</v>
      </c>
      <c r="I4562" s="3">
        <v>133</v>
      </c>
      <c r="J4562" s="3">
        <v>2</v>
      </c>
      <c r="K4562" s="3">
        <v>400</v>
      </c>
      <c r="L4562" s="3">
        <v>170</v>
      </c>
      <c r="M4562" s="3">
        <v>301</v>
      </c>
    </row>
    <row r="4563" spans="1:13" x14ac:dyDescent="0.25">
      <c r="A4563" s="1" t="str">
        <f>HYPERLINK("http://www.rosaceae.org/Prunus/Prunus_persica/p.persica_gdr_reftransV1_0017621","p.persica_gdr_reftransV1_0017621")</f>
        <v>p.persica_gdr_reftransV1_0017621</v>
      </c>
      <c r="B4563" s="3">
        <v>2553</v>
      </c>
      <c r="C4563" s="1" t="str">
        <f>HYPERLINK("http://www.uniprot.org/uniprot/CNGC4_ARATH","CNGC4_ARATH")</f>
        <v>CNGC4_ARATH</v>
      </c>
      <c r="D4563" t="s">
        <v>4000</v>
      </c>
      <c r="E4563" s="3" t="s">
        <v>3</v>
      </c>
      <c r="F4563" s="4">
        <v>0</v>
      </c>
      <c r="G4563" s="3">
        <v>1756</v>
      </c>
      <c r="H4563" s="3">
        <v>71</v>
      </c>
      <c r="I4563" s="3">
        <v>480</v>
      </c>
      <c r="J4563" s="3">
        <v>256</v>
      </c>
      <c r="K4563" s="3">
        <v>1677</v>
      </c>
      <c r="L4563" s="3">
        <v>59</v>
      </c>
      <c r="M4563" s="3">
        <v>533</v>
      </c>
    </row>
    <row r="4564" spans="1:13" x14ac:dyDescent="0.25">
      <c r="A4564" s="1" t="str">
        <f>HYPERLINK("http://www.rosaceae.org/Prunus/Prunus_persica/p.persica_gdr_reftransV1_0017771","p.persica_gdr_reftransV1_0017771")</f>
        <v>p.persica_gdr_reftransV1_0017771</v>
      </c>
      <c r="B4564" s="3">
        <v>950</v>
      </c>
      <c r="C4564" s="1" t="str">
        <f>HYPERLINK("http://www.uniprot.org/uniprot/Y1465_ARATH","Y1465_ARATH")</f>
        <v>Y1465_ARATH</v>
      </c>
      <c r="D4564" t="s">
        <v>1913</v>
      </c>
      <c r="E4564" s="3" t="s">
        <v>3</v>
      </c>
      <c r="F4564" s="4">
        <v>6.6100000000000001E-9</v>
      </c>
      <c r="G4564" s="3">
        <v>140</v>
      </c>
      <c r="H4564" s="3">
        <v>36</v>
      </c>
      <c r="I4564" s="3">
        <v>129</v>
      </c>
      <c r="J4564" s="3">
        <v>182</v>
      </c>
      <c r="K4564" s="3">
        <v>559</v>
      </c>
      <c r="L4564" s="3">
        <v>88</v>
      </c>
      <c r="M4564" s="3">
        <v>214</v>
      </c>
    </row>
    <row r="4565" spans="1:13" x14ac:dyDescent="0.25">
      <c r="A4565" s="1" t="str">
        <f>HYPERLINK("http://www.rosaceae.org/Prunus/Prunus_persica/p.persica_gdr_reftransV1_0017821","p.persica_gdr_reftransV1_0017821")</f>
        <v>p.persica_gdr_reftransV1_0017821</v>
      </c>
      <c r="B4565" s="3">
        <v>1094</v>
      </c>
      <c r="C4565" s="1" t="str">
        <f>HYPERLINK("http://www.uniprot.org/uniprot/PGPS1_ARATH","PGPS1_ARATH")</f>
        <v>PGPS1_ARATH</v>
      </c>
      <c r="D4565" t="s">
        <v>4001</v>
      </c>
      <c r="E4565" s="3" t="s">
        <v>3</v>
      </c>
      <c r="F4565" s="4">
        <v>6.6199999999999997E-80</v>
      </c>
      <c r="G4565" s="3">
        <v>646</v>
      </c>
      <c r="H4565" s="3">
        <v>83</v>
      </c>
      <c r="I4565" s="3">
        <v>169</v>
      </c>
      <c r="J4565" s="3">
        <v>583</v>
      </c>
      <c r="K4565" s="3">
        <v>1089</v>
      </c>
      <c r="L4565" s="3">
        <v>126</v>
      </c>
      <c r="M4565" s="3">
        <v>291</v>
      </c>
    </row>
    <row r="4566" spans="1:13" x14ac:dyDescent="0.25">
      <c r="A4566" s="1" t="str">
        <f>HYPERLINK("http://www.rosaceae.org/Prunus/Prunus_persica/p.persica_gdr_reftransV1_0017871","p.persica_gdr_reftransV1_0017871")</f>
        <v>p.persica_gdr_reftransV1_0017871</v>
      </c>
      <c r="B4566" s="3">
        <v>2183</v>
      </c>
      <c r="C4566" s="1" t="str">
        <f>HYPERLINK("http://www.uniprot.org/uniprot/RS5_PSEFS","RS5_PSEFS")</f>
        <v>RS5_PSEFS</v>
      </c>
      <c r="D4566" t="s">
        <v>4002</v>
      </c>
      <c r="E4566" s="3" t="s">
        <v>700</v>
      </c>
      <c r="F4566" s="4">
        <v>3.8400000000000003E-27</v>
      </c>
      <c r="G4566" s="3">
        <v>283</v>
      </c>
      <c r="H4566" s="3">
        <v>38</v>
      </c>
      <c r="I4566" s="3">
        <v>157</v>
      </c>
      <c r="J4566" s="3">
        <v>559</v>
      </c>
      <c r="K4566" s="3">
        <v>1029</v>
      </c>
      <c r="L4566" s="3">
        <v>11</v>
      </c>
      <c r="M4566" s="3">
        <v>166</v>
      </c>
    </row>
    <row r="4567" spans="1:13" x14ac:dyDescent="0.25">
      <c r="A4567" s="1" t="str">
        <f>HYPERLINK("http://www.rosaceae.org/Prunus/Prunus_persica/p.persica_gdr_reftransV1_0018121","p.persica_gdr_reftransV1_0018121")</f>
        <v>p.persica_gdr_reftransV1_0018121</v>
      </c>
      <c r="B4567" s="3">
        <v>2062</v>
      </c>
      <c r="C4567" s="1" t="str">
        <f>HYPERLINK("http://www.uniprot.org/uniprot/TM45B_DANRE","TM45B_DANRE")</f>
        <v>TM45B_DANRE</v>
      </c>
      <c r="D4567" t="s">
        <v>4003</v>
      </c>
      <c r="E4567" s="3" t="s">
        <v>704</v>
      </c>
      <c r="F4567" s="4">
        <v>5.3699999999999999E-11</v>
      </c>
      <c r="G4567" s="3">
        <v>163</v>
      </c>
      <c r="H4567" s="3">
        <v>26</v>
      </c>
      <c r="I4567" s="3">
        <v>223</v>
      </c>
      <c r="J4567" s="3">
        <v>845</v>
      </c>
      <c r="K4567" s="3">
        <v>1501</v>
      </c>
      <c r="L4567" s="3">
        <v>1</v>
      </c>
      <c r="M4567" s="3">
        <v>218</v>
      </c>
    </row>
    <row r="4568" spans="1:13" x14ac:dyDescent="0.25">
      <c r="A4568" s="1" t="str">
        <f>HYPERLINK("http://www.rosaceae.org/Prunus/Prunus_persica/p.persica_gdr_reftransV1_0018271","p.persica_gdr_reftransV1_0018271")</f>
        <v>p.persica_gdr_reftransV1_0018271</v>
      </c>
      <c r="B4568" s="3">
        <v>1549</v>
      </c>
      <c r="C4568" s="1" t="str">
        <f>HYPERLINK("http://www.uniprot.org/uniprot/SR140_PONAB","SR140_PONAB")</f>
        <v>SR140_PONAB</v>
      </c>
      <c r="D4568" t="s">
        <v>4004</v>
      </c>
      <c r="E4568" s="3" t="s">
        <v>176</v>
      </c>
      <c r="F4568" s="4">
        <v>1.4900000000000001E-47</v>
      </c>
      <c r="G4568" s="3">
        <v>461</v>
      </c>
      <c r="H4568" s="3">
        <v>34</v>
      </c>
      <c r="I4568" s="3">
        <v>389</v>
      </c>
      <c r="J4568" s="3">
        <v>127</v>
      </c>
      <c r="K4568" s="3">
        <v>1191</v>
      </c>
      <c r="L4568" s="3">
        <v>116</v>
      </c>
      <c r="M4568" s="3">
        <v>481</v>
      </c>
    </row>
    <row r="4569" spans="1:13" x14ac:dyDescent="0.25">
      <c r="A4569" s="1" t="str">
        <f>HYPERLINK("http://www.rosaceae.org/Prunus/Prunus_persica/p.persica_gdr_reftransV1_0018371","p.persica_gdr_reftransV1_0018371")</f>
        <v>p.persica_gdr_reftransV1_0018371</v>
      </c>
      <c r="B4569" s="3">
        <v>1644</v>
      </c>
      <c r="C4569" s="1" t="str">
        <f>HYPERLINK("http://www.uniprot.org/uniprot/GDI_ARATH","GDI_ARATH")</f>
        <v>GDI_ARATH</v>
      </c>
      <c r="D4569" t="s">
        <v>4005</v>
      </c>
      <c r="E4569" s="3" t="s">
        <v>3</v>
      </c>
      <c r="F4569" s="4">
        <v>0</v>
      </c>
      <c r="G4569" s="3">
        <v>2068</v>
      </c>
      <c r="H4569" s="3">
        <v>86</v>
      </c>
      <c r="I4569" s="3">
        <v>444</v>
      </c>
      <c r="J4569" s="3">
        <v>253</v>
      </c>
      <c r="K4569" s="3">
        <v>1584</v>
      </c>
      <c r="L4569" s="3">
        <v>1</v>
      </c>
      <c r="M4569" s="3">
        <v>444</v>
      </c>
    </row>
    <row r="4570" spans="1:13" x14ac:dyDescent="0.25">
      <c r="A4570" s="1" t="str">
        <f>HYPERLINK("http://www.rosaceae.org/Prunus/Prunus_persica/p.persica_gdr_reftransV1_0018421","p.persica_gdr_reftransV1_0018421")</f>
        <v>p.persica_gdr_reftransV1_0018421</v>
      </c>
      <c r="B4570" s="3">
        <v>3209</v>
      </c>
      <c r="C4570" s="1" t="str">
        <f>HYPERLINK("http://www.uniprot.org/uniprot/TMCO4_HUMAN","TMCO4_HUMAN")</f>
        <v>TMCO4_HUMAN</v>
      </c>
      <c r="D4570" t="s">
        <v>4006</v>
      </c>
      <c r="E4570" s="3" t="s">
        <v>28</v>
      </c>
      <c r="F4570" s="4">
        <v>2.48E-54</v>
      </c>
      <c r="G4570" s="3">
        <v>522</v>
      </c>
      <c r="H4570" s="3">
        <v>42</v>
      </c>
      <c r="I4570" s="3">
        <v>281</v>
      </c>
      <c r="J4570" s="3">
        <v>1749</v>
      </c>
      <c r="K4570" s="3">
        <v>2576</v>
      </c>
      <c r="L4570" s="3">
        <v>241</v>
      </c>
      <c r="M4570" s="3">
        <v>516</v>
      </c>
    </row>
    <row r="4571" spans="1:13" x14ac:dyDescent="0.25">
      <c r="A4571" s="1" t="str">
        <f>HYPERLINK("http://www.rosaceae.org/Prunus/Prunus_persica/p.persica_gdr_reftransV1_0018471","p.persica_gdr_reftransV1_0018471")</f>
        <v>p.persica_gdr_reftransV1_0018471</v>
      </c>
      <c r="B4571" s="3">
        <v>1802</v>
      </c>
      <c r="C4571" s="1" t="str">
        <f>HYPERLINK("http://www.uniprot.org/uniprot/BUB1_ARATH","BUB1_ARATH")</f>
        <v>BUB1_ARATH</v>
      </c>
      <c r="D4571" t="s">
        <v>4007</v>
      </c>
      <c r="E4571" s="3" t="s">
        <v>3</v>
      </c>
      <c r="F4571" s="4">
        <v>0</v>
      </c>
      <c r="G4571" s="3">
        <v>1049</v>
      </c>
      <c r="H4571" s="3">
        <v>66</v>
      </c>
      <c r="I4571" s="3">
        <v>284</v>
      </c>
      <c r="J4571" s="3">
        <v>109</v>
      </c>
      <c r="K4571" s="3">
        <v>960</v>
      </c>
      <c r="L4571" s="3">
        <v>252</v>
      </c>
      <c r="M4571" s="3">
        <v>524</v>
      </c>
    </row>
    <row r="4572" spans="1:13" x14ac:dyDescent="0.25">
      <c r="A4572" s="1" t="str">
        <f>HYPERLINK("http://www.rosaceae.org/Prunus/Prunus_persica/p.persica_gdr_reftransV1_0018871","p.persica_gdr_reftransV1_0018871")</f>
        <v>p.persica_gdr_reftransV1_0018871</v>
      </c>
      <c r="B4572" s="3">
        <v>3237</v>
      </c>
      <c r="C4572" s="1" t="str">
        <f>HYPERLINK("http://www.uniprot.org/uniprot/BLH6_ARATH","BLH6_ARATH")</f>
        <v>BLH6_ARATH</v>
      </c>
      <c r="D4572" t="s">
        <v>4008</v>
      </c>
      <c r="E4572" s="3" t="s">
        <v>3</v>
      </c>
      <c r="F4572" s="4">
        <v>3.2399999999999999E-113</v>
      </c>
      <c r="G4572" s="3">
        <v>944</v>
      </c>
      <c r="H4572" s="3">
        <v>65</v>
      </c>
      <c r="I4572" s="3">
        <v>310</v>
      </c>
      <c r="J4572" s="3">
        <v>1407</v>
      </c>
      <c r="K4572" s="3">
        <v>2333</v>
      </c>
      <c r="L4572" s="3">
        <v>118</v>
      </c>
      <c r="M4572" s="3">
        <v>399</v>
      </c>
    </row>
    <row r="4573" spans="1:13" x14ac:dyDescent="0.25">
      <c r="A4573" s="1" t="str">
        <f>HYPERLINK("http://www.rosaceae.org/Prunus/Prunus_persica/p.persica_gdr_reftransV1_0018921","p.persica_gdr_reftransV1_0018921")</f>
        <v>p.persica_gdr_reftransV1_0018921</v>
      </c>
      <c r="B4573" s="3">
        <v>761</v>
      </c>
      <c r="C4573" s="1" t="str">
        <f>HYPERLINK("http://www.uniprot.org/uniprot/H4_SOYBN","H4_SOYBN")</f>
        <v>H4_SOYBN</v>
      </c>
      <c r="D4573" t="s">
        <v>4009</v>
      </c>
      <c r="E4573" s="3" t="s">
        <v>307</v>
      </c>
      <c r="F4573" s="4">
        <v>1.63E-41</v>
      </c>
      <c r="G4573" s="3">
        <v>362</v>
      </c>
      <c r="H4573" s="3">
        <v>89</v>
      </c>
      <c r="I4573" s="3">
        <v>82</v>
      </c>
      <c r="J4573" s="3">
        <v>218</v>
      </c>
      <c r="K4573" s="3">
        <v>463</v>
      </c>
      <c r="L4573" s="3">
        <v>22</v>
      </c>
      <c r="M4573" s="3">
        <v>103</v>
      </c>
    </row>
    <row r="4574" spans="1:13" x14ac:dyDescent="0.25">
      <c r="A4574" s="1" t="str">
        <f>HYPERLINK("http://www.rosaceae.org/Prunus/Prunus_persica/p.persica_gdr_reftransV1_0018971","p.persica_gdr_reftransV1_0018971")</f>
        <v>p.persica_gdr_reftransV1_0018971</v>
      </c>
      <c r="B4574" s="3">
        <v>1639</v>
      </c>
      <c r="C4574" s="1" t="str">
        <f>HYPERLINK("http://www.uniprot.org/uniprot/ARGC_ARATH","ARGC_ARATH")</f>
        <v>ARGC_ARATH</v>
      </c>
      <c r="D4574" t="s">
        <v>4010</v>
      </c>
      <c r="E4574" s="3" t="s">
        <v>3</v>
      </c>
      <c r="F4574" s="4">
        <v>0</v>
      </c>
      <c r="G4574" s="3">
        <v>1572</v>
      </c>
      <c r="H4574" s="3">
        <v>81</v>
      </c>
      <c r="I4574" s="3">
        <v>348</v>
      </c>
      <c r="J4574" s="3">
        <v>308</v>
      </c>
      <c r="K4574" s="3">
        <v>1351</v>
      </c>
      <c r="L4574" s="3">
        <v>54</v>
      </c>
      <c r="M4574" s="3">
        <v>401</v>
      </c>
    </row>
    <row r="4575" spans="1:13" x14ac:dyDescent="0.25">
      <c r="A4575" s="1" t="str">
        <f>HYPERLINK("http://www.rosaceae.org/Prunus/Prunus_persica/p.persica_gdr_reftransV1_0019021","p.persica_gdr_reftransV1_0019021")</f>
        <v>p.persica_gdr_reftransV1_0019021</v>
      </c>
      <c r="B4575" s="3">
        <v>446</v>
      </c>
      <c r="C4575" s="1" t="str">
        <f>HYPERLINK("http://www.uniprot.org/uniprot/UGT2_GARJA","UGT2_GARJA")</f>
        <v>UGT2_GARJA</v>
      </c>
      <c r="D4575" t="s">
        <v>927</v>
      </c>
      <c r="E4575" s="3" t="s">
        <v>624</v>
      </c>
      <c r="F4575" s="4">
        <v>2.4600000000000001E-48</v>
      </c>
      <c r="G4575" s="3">
        <v>424</v>
      </c>
      <c r="H4575" s="3">
        <v>50</v>
      </c>
      <c r="I4575" s="3">
        <v>147</v>
      </c>
      <c r="J4575" s="3">
        <v>12</v>
      </c>
      <c r="K4575" s="3">
        <v>446</v>
      </c>
      <c r="L4575" s="3">
        <v>26</v>
      </c>
      <c r="M4575" s="3">
        <v>172</v>
      </c>
    </row>
    <row r="4576" spans="1:13" x14ac:dyDescent="0.25">
      <c r="A4576" s="1" t="str">
        <f>HYPERLINK("http://www.rosaceae.org/Prunus/Prunus_persica/p.persica_gdr_reftransV1_0019171","p.persica_gdr_reftransV1_0019171")</f>
        <v>p.persica_gdr_reftransV1_0019171</v>
      </c>
      <c r="B4576" s="3">
        <v>3528</v>
      </c>
      <c r="C4576" s="1" t="str">
        <f>HYPERLINK("http://www.uniprot.org/uniprot/TBL8_ARATH","TBL8_ARATH")</f>
        <v>TBL8_ARATH</v>
      </c>
      <c r="D4576" t="s">
        <v>4011</v>
      </c>
      <c r="E4576" s="3" t="s">
        <v>3</v>
      </c>
      <c r="F4576" s="4">
        <v>1.2599999999999999E-37</v>
      </c>
      <c r="G4576" s="3">
        <v>384</v>
      </c>
      <c r="H4576" s="3">
        <v>74</v>
      </c>
      <c r="I4576" s="3">
        <v>93</v>
      </c>
      <c r="J4576" s="3">
        <v>3020</v>
      </c>
      <c r="K4576" s="3">
        <v>3298</v>
      </c>
      <c r="L4576" s="3">
        <v>316</v>
      </c>
      <c r="M4576" s="3">
        <v>408</v>
      </c>
    </row>
    <row r="4577" spans="1:13" x14ac:dyDescent="0.25">
      <c r="A4577" s="1" t="str">
        <f>HYPERLINK("http://www.rosaceae.org/Prunus/Prunus_persica/p.persica_gdr_reftransV1_0019221","p.persica_gdr_reftransV1_0019221")</f>
        <v>p.persica_gdr_reftransV1_0019221</v>
      </c>
      <c r="B4577" s="3">
        <v>1794</v>
      </c>
      <c r="C4577" s="1" t="str">
        <f>HYPERLINK("http://www.uniprot.org/uniprot/TADA_ARATH","TADA_ARATH")</f>
        <v>TADA_ARATH</v>
      </c>
      <c r="D4577" t="s">
        <v>1488</v>
      </c>
      <c r="E4577" s="3" t="s">
        <v>3</v>
      </c>
      <c r="F4577" s="4">
        <v>4.11E-103</v>
      </c>
      <c r="G4577" s="3">
        <v>885</v>
      </c>
      <c r="H4577" s="3">
        <v>65</v>
      </c>
      <c r="I4577" s="3">
        <v>292</v>
      </c>
      <c r="J4577" s="3">
        <v>795</v>
      </c>
      <c r="K4577" s="3">
        <v>1652</v>
      </c>
      <c r="L4577" s="3">
        <v>1020</v>
      </c>
      <c r="M4577" s="3">
        <v>1307</v>
      </c>
    </row>
    <row r="4578" spans="1:13" x14ac:dyDescent="0.25">
      <c r="A4578" s="1" t="str">
        <f>HYPERLINK("http://www.rosaceae.org/Prunus/Prunus_persica/p.persica_gdr_reftransV1_0019421","p.persica_gdr_reftransV1_0019421")</f>
        <v>p.persica_gdr_reftransV1_0019421</v>
      </c>
      <c r="B4578" s="3">
        <v>1801</v>
      </c>
      <c r="C4578" s="1" t="str">
        <f>HYPERLINK("http://www.uniprot.org/uniprot/RHO1_PEA","RHO1_PEA")</f>
        <v>RHO1_PEA</v>
      </c>
      <c r="D4578" t="s">
        <v>4012</v>
      </c>
      <c r="E4578" s="3" t="s">
        <v>60</v>
      </c>
      <c r="F4578" s="4">
        <v>2.4300000000000002E-77</v>
      </c>
      <c r="G4578" s="3">
        <v>638</v>
      </c>
      <c r="H4578" s="3">
        <v>100</v>
      </c>
      <c r="I4578" s="3">
        <v>120</v>
      </c>
      <c r="J4578" s="3">
        <v>818</v>
      </c>
      <c r="K4578" s="3">
        <v>1177</v>
      </c>
      <c r="L4578" s="3">
        <v>1</v>
      </c>
      <c r="M4578" s="3">
        <v>120</v>
      </c>
    </row>
    <row r="4579" spans="1:13" x14ac:dyDescent="0.25">
      <c r="A4579" s="1" t="str">
        <f>HYPERLINK("http://www.rosaceae.org/Prunus/Prunus_persica/p.persica_gdr_reftransV1_0019471","p.persica_gdr_reftransV1_0019471")</f>
        <v>p.persica_gdr_reftransV1_0019471</v>
      </c>
      <c r="B4579" s="3">
        <v>1308</v>
      </c>
      <c r="C4579" s="1" t="str">
        <f>HYPERLINK("http://www.uniprot.org/uniprot/PP147_ARATH","PP147_ARATH")</f>
        <v>PP147_ARATH</v>
      </c>
      <c r="D4579" t="s">
        <v>1396</v>
      </c>
      <c r="E4579" s="3" t="s">
        <v>3</v>
      </c>
      <c r="F4579" s="4">
        <v>7.2199999999999996E-174</v>
      </c>
      <c r="G4579" s="3">
        <v>1309</v>
      </c>
      <c r="H4579" s="3">
        <v>75</v>
      </c>
      <c r="I4579" s="3">
        <v>304</v>
      </c>
      <c r="J4579" s="3">
        <v>1</v>
      </c>
      <c r="K4579" s="3">
        <v>912</v>
      </c>
      <c r="L4579" s="3">
        <v>327</v>
      </c>
      <c r="M4579" s="3">
        <v>630</v>
      </c>
    </row>
    <row r="4580" spans="1:13" x14ac:dyDescent="0.25">
      <c r="A4580" s="1" t="str">
        <f>HYPERLINK("http://www.rosaceae.org/Prunus/Prunus_persica/p.persica_gdr_reftransV1_0019571","p.persica_gdr_reftransV1_0019571")</f>
        <v>p.persica_gdr_reftransV1_0019571</v>
      </c>
      <c r="B4580" s="3">
        <v>1221</v>
      </c>
      <c r="C4580" s="1" t="str">
        <f>HYPERLINK("http://www.uniprot.org/uniprot/TAR4_ARATH","TAR4_ARATH")</f>
        <v>TAR4_ARATH</v>
      </c>
      <c r="D4580" t="s">
        <v>2545</v>
      </c>
      <c r="E4580" s="3" t="s">
        <v>3</v>
      </c>
      <c r="F4580" s="4">
        <v>1.8599999999999999E-109</v>
      </c>
      <c r="G4580" s="3">
        <v>862</v>
      </c>
      <c r="H4580" s="3">
        <v>54</v>
      </c>
      <c r="I4580" s="3">
        <v>318</v>
      </c>
      <c r="J4580" s="3">
        <v>3</v>
      </c>
      <c r="K4580" s="3">
        <v>947</v>
      </c>
      <c r="L4580" s="3">
        <v>145</v>
      </c>
      <c r="M4580" s="3">
        <v>461</v>
      </c>
    </row>
    <row r="4581" spans="1:13" x14ac:dyDescent="0.25">
      <c r="A4581" s="1" t="str">
        <f>HYPERLINK("http://www.rosaceae.org/Prunus/Prunus_persica/p.persica_gdr_reftransV1_0019771","p.persica_gdr_reftransV1_0019771")</f>
        <v>p.persica_gdr_reftransV1_0019771</v>
      </c>
      <c r="B4581" s="3">
        <v>1956</v>
      </c>
      <c r="C4581" s="1" t="str">
        <f>HYPERLINK("http://www.uniprot.org/uniprot/LCYE_ARATH","LCYE_ARATH")</f>
        <v>LCYE_ARATH</v>
      </c>
      <c r="D4581" t="s">
        <v>3336</v>
      </c>
      <c r="E4581" s="3" t="s">
        <v>3</v>
      </c>
      <c r="F4581" s="4">
        <v>0</v>
      </c>
      <c r="G4581" s="3">
        <v>2005</v>
      </c>
      <c r="H4581" s="3">
        <v>75</v>
      </c>
      <c r="I4581" s="3">
        <v>535</v>
      </c>
      <c r="J4581" s="3">
        <v>228</v>
      </c>
      <c r="K4581" s="3">
        <v>1811</v>
      </c>
      <c r="L4581" s="3">
        <v>1</v>
      </c>
      <c r="M4581" s="3">
        <v>524</v>
      </c>
    </row>
    <row r="4582" spans="1:13" x14ac:dyDescent="0.25">
      <c r="A4582" s="1" t="str">
        <f>HYPERLINK("http://www.rosaceae.org/Prunus/Prunus_persica/p.persica_gdr_reftransV1_0019871","p.persica_gdr_reftransV1_0019871")</f>
        <v>p.persica_gdr_reftransV1_0019871</v>
      </c>
      <c r="B4582" s="3">
        <v>497</v>
      </c>
      <c r="C4582" s="1" t="str">
        <f>HYPERLINK("http://www.uniprot.org/uniprot/PHBP_MEDTR","PHBP_MEDTR")</f>
        <v>PHBP_MEDTR</v>
      </c>
      <c r="D4582" t="s">
        <v>4013</v>
      </c>
      <c r="E4582" s="3" t="s">
        <v>91</v>
      </c>
      <c r="F4582" s="4">
        <v>1.15E-36</v>
      </c>
      <c r="G4582" s="3">
        <v>326</v>
      </c>
      <c r="H4582" s="3">
        <v>45</v>
      </c>
      <c r="I4582" s="3">
        <v>148</v>
      </c>
      <c r="J4582" s="3">
        <v>64</v>
      </c>
      <c r="K4582" s="3">
        <v>495</v>
      </c>
      <c r="L4582" s="3">
        <v>1</v>
      </c>
      <c r="M4582" s="3">
        <v>148</v>
      </c>
    </row>
    <row r="4583" spans="1:13" x14ac:dyDescent="0.25">
      <c r="A4583" s="1" t="str">
        <f>HYPERLINK("http://www.rosaceae.org/Prunus/Prunus_persica/p.persica_gdr_reftransV1_0019971","p.persica_gdr_reftransV1_0019971")</f>
        <v>p.persica_gdr_reftransV1_0019971</v>
      </c>
      <c r="B4583" s="3">
        <v>1508</v>
      </c>
      <c r="C4583" s="1" t="str">
        <f>HYPERLINK("http://www.uniprot.org/uniprot/THO7A_ARATH","THO7A_ARATH")</f>
        <v>THO7A_ARATH</v>
      </c>
      <c r="D4583" t="s">
        <v>4014</v>
      </c>
      <c r="E4583" s="3" t="s">
        <v>3</v>
      </c>
      <c r="F4583" s="4">
        <v>1.88E-55</v>
      </c>
      <c r="G4583" s="3">
        <v>485</v>
      </c>
      <c r="H4583" s="3">
        <v>51</v>
      </c>
      <c r="I4583" s="3">
        <v>258</v>
      </c>
      <c r="J4583" s="3">
        <v>558</v>
      </c>
      <c r="K4583" s="3">
        <v>1298</v>
      </c>
      <c r="L4583" s="3">
        <v>1</v>
      </c>
      <c r="M4583" s="3">
        <v>216</v>
      </c>
    </row>
    <row r="4584" spans="1:13" x14ac:dyDescent="0.25">
      <c r="A4584" s="1" t="str">
        <f>HYPERLINK("http://www.rosaceae.org/Prunus/Prunus_persica/p.persica_gdr_reftransV1_0020021","p.persica_gdr_reftransV1_0020021")</f>
        <v>p.persica_gdr_reftransV1_0020021</v>
      </c>
      <c r="B4584" s="3">
        <v>2084</v>
      </c>
      <c r="C4584" s="1" t="str">
        <f>HYPERLINK("http://www.uniprot.org/uniprot/YNBB_BACSU","YNBB_BACSU")</f>
        <v>YNBB_BACSU</v>
      </c>
      <c r="D4584" t="s">
        <v>4015</v>
      </c>
      <c r="E4584" s="3" t="s">
        <v>1630</v>
      </c>
      <c r="F4584" s="4">
        <v>7.9399999999999996E-116</v>
      </c>
      <c r="G4584" s="3">
        <v>926</v>
      </c>
      <c r="H4584" s="3">
        <v>44</v>
      </c>
      <c r="I4584" s="3">
        <v>379</v>
      </c>
      <c r="J4584" s="3">
        <v>625</v>
      </c>
      <c r="K4584" s="3">
        <v>1761</v>
      </c>
      <c r="L4584" s="3">
        <v>27</v>
      </c>
      <c r="M4584" s="3">
        <v>403</v>
      </c>
    </row>
    <row r="4585" spans="1:13" x14ac:dyDescent="0.25">
      <c r="A4585" s="1" t="str">
        <f>HYPERLINK("http://www.rosaceae.org/Prunus/Prunus_persica/p.persica_gdr_reftransV1_0020121","p.persica_gdr_reftransV1_0020121")</f>
        <v>p.persica_gdr_reftransV1_0020121</v>
      </c>
      <c r="B4585" s="3">
        <v>1603</v>
      </c>
      <c r="C4585" s="1" t="str">
        <f>HYPERLINK("http://www.uniprot.org/uniprot/DXS2_ORYSJ","DXS2_ORYSJ")</f>
        <v>DXS2_ORYSJ</v>
      </c>
      <c r="D4585" t="s">
        <v>4016</v>
      </c>
      <c r="E4585" s="3" t="s">
        <v>38</v>
      </c>
      <c r="F4585" s="4">
        <v>0</v>
      </c>
      <c r="G4585" s="3">
        <v>2008</v>
      </c>
      <c r="H4585" s="3">
        <v>83</v>
      </c>
      <c r="I4585" s="3">
        <v>475</v>
      </c>
      <c r="J4585" s="3">
        <v>201</v>
      </c>
      <c r="K4585" s="3">
        <v>1601</v>
      </c>
      <c r="L4585" s="3">
        <v>20</v>
      </c>
      <c r="M4585" s="3">
        <v>491</v>
      </c>
    </row>
    <row r="4586" spans="1:13" x14ac:dyDescent="0.25">
      <c r="A4586" s="1" t="str">
        <f>HYPERLINK("http://www.rosaceae.org/Prunus/Prunus_persica/p.persica_gdr_reftransV1_0020271","p.persica_gdr_reftransV1_0020271")</f>
        <v>p.persica_gdr_reftransV1_0020271</v>
      </c>
      <c r="B4586" s="3">
        <v>1637</v>
      </c>
      <c r="C4586" s="1" t="str">
        <f>HYPERLINK("http://www.uniprot.org/uniprot/FB330_ARATH","FB330_ARATH")</f>
        <v>FB330_ARATH</v>
      </c>
      <c r="D4586" t="s">
        <v>4017</v>
      </c>
      <c r="E4586" s="3" t="s">
        <v>3</v>
      </c>
      <c r="F4586" s="4">
        <v>1.17E-97</v>
      </c>
      <c r="G4586" s="3">
        <v>786</v>
      </c>
      <c r="H4586" s="3">
        <v>66</v>
      </c>
      <c r="I4586" s="3">
        <v>238</v>
      </c>
      <c r="J4586" s="3">
        <v>23</v>
      </c>
      <c r="K4586" s="3">
        <v>736</v>
      </c>
      <c r="L4586" s="3">
        <v>1</v>
      </c>
      <c r="M4586" s="3">
        <v>238</v>
      </c>
    </row>
    <row r="4587" spans="1:13" x14ac:dyDescent="0.25">
      <c r="A4587" s="1" t="str">
        <f>HYPERLINK("http://www.rosaceae.org/Prunus/Prunus_persica/p.persica_gdr_reftransV1_0020371","p.persica_gdr_reftransV1_0020371")</f>
        <v>p.persica_gdr_reftransV1_0020371</v>
      </c>
      <c r="B4587" s="3">
        <v>1844</v>
      </c>
      <c r="C4587" s="1" t="str">
        <f>HYPERLINK("http://www.uniprot.org/uniprot/M2K5_ARATH","M2K5_ARATH")</f>
        <v>M2K5_ARATH</v>
      </c>
      <c r="D4587" t="s">
        <v>4018</v>
      </c>
      <c r="E4587" s="3" t="s">
        <v>3</v>
      </c>
      <c r="F4587" s="4">
        <v>3.5500000000000002E-154</v>
      </c>
      <c r="G4587" s="3">
        <v>1169</v>
      </c>
      <c r="H4587" s="3">
        <v>78</v>
      </c>
      <c r="I4587" s="3">
        <v>303</v>
      </c>
      <c r="J4587" s="3">
        <v>739</v>
      </c>
      <c r="K4587" s="3">
        <v>1638</v>
      </c>
      <c r="L4587" s="3">
        <v>23</v>
      </c>
      <c r="M4587" s="3">
        <v>325</v>
      </c>
    </row>
    <row r="4588" spans="1:13" x14ac:dyDescent="0.25">
      <c r="A4588" s="1" t="str">
        <f>HYPERLINK("http://www.rosaceae.org/Prunus/Prunus_persica/p.persica_gdr_reftransV1_0020471","p.persica_gdr_reftransV1_0020471")</f>
        <v>p.persica_gdr_reftransV1_0020471</v>
      </c>
      <c r="B4588" s="3">
        <v>2098</v>
      </c>
      <c r="C4588" s="1" t="str">
        <f>HYPERLINK("http://www.uniprot.org/uniprot/YDQ4_SCHPO","YDQ4_SCHPO")</f>
        <v>YDQ4_SCHPO</v>
      </c>
      <c r="D4588" t="s">
        <v>2900</v>
      </c>
      <c r="E4588" s="3" t="s">
        <v>464</v>
      </c>
      <c r="F4588" s="4">
        <v>6.4099999999999998E-7</v>
      </c>
      <c r="G4588" s="3">
        <v>134</v>
      </c>
      <c r="H4588" s="3">
        <v>27</v>
      </c>
      <c r="I4588" s="3">
        <v>151</v>
      </c>
      <c r="J4588" s="3">
        <v>477</v>
      </c>
      <c r="K4588" s="3">
        <v>911</v>
      </c>
      <c r="L4588" s="3">
        <v>33</v>
      </c>
      <c r="M4588" s="3">
        <v>181</v>
      </c>
    </row>
    <row r="4589" spans="1:13" x14ac:dyDescent="0.25">
      <c r="A4589" s="1" t="str">
        <f>HYPERLINK("http://www.rosaceae.org/Prunus/Prunus_persica/p.persica_gdr_reftransV1_0020521","p.persica_gdr_reftransV1_0020521")</f>
        <v>p.persica_gdr_reftransV1_0020521</v>
      </c>
      <c r="B4589" s="3">
        <v>1213</v>
      </c>
      <c r="C4589" s="1" t="str">
        <f>HYPERLINK("http://www.uniprot.org/uniprot/ACL5_ARATH","ACL5_ARATH")</f>
        <v>ACL5_ARATH</v>
      </c>
      <c r="D4589" t="s">
        <v>3526</v>
      </c>
      <c r="E4589" s="3" t="s">
        <v>3</v>
      </c>
      <c r="F4589" s="4">
        <v>9.2699999999999999E-153</v>
      </c>
      <c r="G4589" s="3">
        <v>1138</v>
      </c>
      <c r="H4589" s="3">
        <v>64</v>
      </c>
      <c r="I4589" s="3">
        <v>323</v>
      </c>
      <c r="J4589" s="3">
        <v>173</v>
      </c>
      <c r="K4589" s="3">
        <v>1138</v>
      </c>
      <c r="L4589" s="3">
        <v>13</v>
      </c>
      <c r="M4589" s="3">
        <v>335</v>
      </c>
    </row>
    <row r="4590" spans="1:13" x14ac:dyDescent="0.25">
      <c r="A4590" s="1" t="str">
        <f>HYPERLINK("http://www.rosaceae.org/Prunus/Prunus_persica/p.persica_gdr_reftransV1_0020721","p.persica_gdr_reftransV1_0020721")</f>
        <v>p.persica_gdr_reftransV1_0020721</v>
      </c>
      <c r="B4590" s="3">
        <v>4596</v>
      </c>
      <c r="C4590" s="1" t="str">
        <f>HYPERLINK("http://www.uniprot.org/uniprot/Y1591_ARATH","Y1591_ARATH")</f>
        <v>Y1591_ARATH</v>
      </c>
      <c r="D4590" t="s">
        <v>4019</v>
      </c>
      <c r="E4590" s="3" t="s">
        <v>3</v>
      </c>
      <c r="F4590" s="4">
        <v>0</v>
      </c>
      <c r="G4590" s="3">
        <v>3040</v>
      </c>
      <c r="H4590" s="3">
        <v>70</v>
      </c>
      <c r="I4590" s="3">
        <v>1000</v>
      </c>
      <c r="J4590" s="3">
        <v>1408</v>
      </c>
      <c r="K4590" s="3">
        <v>4353</v>
      </c>
      <c r="L4590" s="3">
        <v>1</v>
      </c>
      <c r="M4590" s="3">
        <v>971</v>
      </c>
    </row>
    <row r="4591" spans="1:13" x14ac:dyDescent="0.25">
      <c r="A4591" s="1" t="str">
        <f>HYPERLINK("http://www.rosaceae.org/Prunus/Prunus_persica/p.persica_gdr_reftransV1_0020971","p.persica_gdr_reftransV1_0020971")</f>
        <v>p.persica_gdr_reftransV1_0020971</v>
      </c>
      <c r="B4591" s="3">
        <v>2393</v>
      </c>
      <c r="C4591" s="1" t="str">
        <f>HYPERLINK("http://www.uniprot.org/uniprot/PUB50_ARATH","PUB50_ARATH")</f>
        <v>PUB50_ARATH</v>
      </c>
      <c r="D4591" t="s">
        <v>2130</v>
      </c>
      <c r="E4591" s="3" t="s">
        <v>3</v>
      </c>
      <c r="F4591" s="4">
        <v>0</v>
      </c>
      <c r="G4591" s="3">
        <v>1611</v>
      </c>
      <c r="H4591" s="3">
        <v>45</v>
      </c>
      <c r="I4591" s="3">
        <v>757</v>
      </c>
      <c r="J4591" s="3">
        <v>139</v>
      </c>
      <c r="K4591" s="3">
        <v>2376</v>
      </c>
      <c r="L4591" s="3">
        <v>61</v>
      </c>
      <c r="M4591" s="3">
        <v>760</v>
      </c>
    </row>
    <row r="4592" spans="1:13" x14ac:dyDescent="0.25">
      <c r="A4592" s="1" t="str">
        <f>HYPERLINK("http://www.rosaceae.org/Prunus/Prunus_persica/p.persica_gdr_reftransV1_0021321","p.persica_gdr_reftransV1_0021321")</f>
        <v>p.persica_gdr_reftransV1_0021321</v>
      </c>
      <c r="B4592" s="3">
        <v>4055</v>
      </c>
      <c r="C4592" s="1" t="str">
        <f>HYPERLINK("http://www.uniprot.org/uniprot/SFH8_ARATH","SFH8_ARATH")</f>
        <v>SFH8_ARATH</v>
      </c>
      <c r="D4592" t="s">
        <v>4020</v>
      </c>
      <c r="E4592" s="3" t="s">
        <v>3</v>
      </c>
      <c r="F4592" s="4">
        <v>5.25E-158</v>
      </c>
      <c r="G4592" s="3">
        <v>1278</v>
      </c>
      <c r="H4592" s="3">
        <v>62</v>
      </c>
      <c r="I4592" s="3">
        <v>411</v>
      </c>
      <c r="J4592" s="3">
        <v>2841</v>
      </c>
      <c r="K4592" s="3">
        <v>4055</v>
      </c>
      <c r="L4592" s="3">
        <v>216</v>
      </c>
      <c r="M4592" s="3">
        <v>620</v>
      </c>
    </row>
    <row r="4593" spans="1:13" x14ac:dyDescent="0.25">
      <c r="A4593" s="1" t="str">
        <f>HYPERLINK("http://www.rosaceae.org/Prunus/Prunus_persica/p.persica_gdr_reftransV1_0021421","p.persica_gdr_reftransV1_0021421")</f>
        <v>p.persica_gdr_reftransV1_0021421</v>
      </c>
      <c r="B4593" s="3">
        <v>2590</v>
      </c>
      <c r="C4593" s="1" t="str">
        <f>HYPERLINK("http://www.uniprot.org/uniprot/PP450_ARATH","PP450_ARATH")</f>
        <v>PP450_ARATH</v>
      </c>
      <c r="D4593" t="s">
        <v>4021</v>
      </c>
      <c r="E4593" s="3" t="s">
        <v>3</v>
      </c>
      <c r="F4593" s="4">
        <v>0</v>
      </c>
      <c r="G4593" s="3">
        <v>1822</v>
      </c>
      <c r="H4593" s="3">
        <v>58</v>
      </c>
      <c r="I4593" s="3">
        <v>657</v>
      </c>
      <c r="J4593" s="3">
        <v>231</v>
      </c>
      <c r="K4593" s="3">
        <v>2159</v>
      </c>
      <c r="L4593" s="3">
        <v>2</v>
      </c>
      <c r="M4593" s="3">
        <v>649</v>
      </c>
    </row>
    <row r="4594" spans="1:13" x14ac:dyDescent="0.25">
      <c r="A4594" s="1" t="str">
        <f>HYPERLINK("http://www.rosaceae.org/Prunus/Prunus_persica/p.persica_gdr_reftransV1_0021771","p.persica_gdr_reftransV1_0021771")</f>
        <v>p.persica_gdr_reftransV1_0021771</v>
      </c>
      <c r="B4594" s="3">
        <v>726</v>
      </c>
      <c r="C4594" s="1" t="str">
        <f>HYPERLINK("http://www.uniprot.org/uniprot/PP224_ARATH","PP224_ARATH")</f>
        <v>PP224_ARATH</v>
      </c>
      <c r="D4594" t="s">
        <v>3342</v>
      </c>
      <c r="E4594" s="3" t="s">
        <v>3</v>
      </c>
      <c r="F4594" s="4">
        <v>4.1000000000000003E-118</v>
      </c>
      <c r="G4594" s="3">
        <v>921</v>
      </c>
      <c r="H4594" s="3">
        <v>69</v>
      </c>
      <c r="I4594" s="3">
        <v>238</v>
      </c>
      <c r="J4594" s="3">
        <v>3</v>
      </c>
      <c r="K4594" s="3">
        <v>716</v>
      </c>
      <c r="L4594" s="3">
        <v>342</v>
      </c>
      <c r="M4594" s="3">
        <v>579</v>
      </c>
    </row>
    <row r="4595" spans="1:13" x14ac:dyDescent="0.25">
      <c r="A4595" s="1" t="str">
        <f>HYPERLINK("http://www.rosaceae.org/Prunus/Prunus_persica/p.persica_gdr_reftransV1_0022321","p.persica_gdr_reftransV1_0022321")</f>
        <v>p.persica_gdr_reftransV1_0022321</v>
      </c>
      <c r="B4595" s="3">
        <v>1598</v>
      </c>
      <c r="C4595" s="1" t="str">
        <f>HYPERLINK("http://www.uniprot.org/uniprot/NOL9_ARATH","NOL9_ARATH")</f>
        <v>NOL9_ARATH</v>
      </c>
      <c r="D4595" t="s">
        <v>4022</v>
      </c>
      <c r="E4595" s="3" t="s">
        <v>3</v>
      </c>
      <c r="F4595" s="4">
        <v>3.8499999999999999E-166</v>
      </c>
      <c r="G4595" s="3">
        <v>1242</v>
      </c>
      <c r="H4595" s="3">
        <v>63</v>
      </c>
      <c r="I4595" s="3">
        <v>373</v>
      </c>
      <c r="J4595" s="3">
        <v>364</v>
      </c>
      <c r="K4595" s="3">
        <v>1476</v>
      </c>
      <c r="L4595" s="3">
        <v>5</v>
      </c>
      <c r="M4595" s="3">
        <v>368</v>
      </c>
    </row>
    <row r="4596" spans="1:13" x14ac:dyDescent="0.25">
      <c r="A4596" s="1" t="str">
        <f>HYPERLINK("http://www.rosaceae.org/Prunus/Prunus_persica/p.persica_gdr_reftransV1_0022371","p.persica_gdr_reftransV1_0022371")</f>
        <v>p.persica_gdr_reftransV1_0022371</v>
      </c>
      <c r="B4596" s="3">
        <v>658</v>
      </c>
      <c r="C4596" s="1" t="str">
        <f>HYPERLINK("http://www.uniprot.org/uniprot/RS272_ARATH","RS272_ARATH")</f>
        <v>RS272_ARATH</v>
      </c>
      <c r="D4596" t="s">
        <v>4023</v>
      </c>
      <c r="E4596" s="3" t="s">
        <v>3</v>
      </c>
      <c r="F4596" s="4">
        <v>1.48E-44</v>
      </c>
      <c r="G4596" s="3">
        <v>378</v>
      </c>
      <c r="H4596" s="3">
        <v>95</v>
      </c>
      <c r="I4596" s="3">
        <v>86</v>
      </c>
      <c r="J4596" s="3">
        <v>306</v>
      </c>
      <c r="K4596" s="3">
        <v>563</v>
      </c>
      <c r="L4596" s="3">
        <v>1</v>
      </c>
      <c r="M4596" s="3">
        <v>86</v>
      </c>
    </row>
    <row r="4597" spans="1:13" x14ac:dyDescent="0.25">
      <c r="A4597" s="1" t="str">
        <f>HYPERLINK("http://www.rosaceae.org/Prunus/Prunus_persica/p.persica_gdr_reftransV1_0022421","p.persica_gdr_reftransV1_0022421")</f>
        <v>p.persica_gdr_reftransV1_0022421</v>
      </c>
      <c r="B4597" s="3">
        <v>502</v>
      </c>
      <c r="C4597" s="1" t="str">
        <f>HYPERLINK("http://www.uniprot.org/uniprot/UCRI2_TOBAC","UCRI2_TOBAC")</f>
        <v>UCRI2_TOBAC</v>
      </c>
      <c r="D4597" t="s">
        <v>730</v>
      </c>
      <c r="E4597" s="3" t="s">
        <v>200</v>
      </c>
      <c r="F4597" s="4">
        <v>2.1299999999999999E-29</v>
      </c>
      <c r="G4597" s="3">
        <v>284</v>
      </c>
      <c r="H4597" s="3">
        <v>50</v>
      </c>
      <c r="I4597" s="3">
        <v>125</v>
      </c>
      <c r="J4597" s="3">
        <v>135</v>
      </c>
      <c r="K4597" s="3">
        <v>500</v>
      </c>
      <c r="L4597" s="3">
        <v>1</v>
      </c>
      <c r="M4597" s="3">
        <v>118</v>
      </c>
    </row>
    <row r="4598" spans="1:13" x14ac:dyDescent="0.25">
      <c r="A4598" s="1" t="str">
        <f>HYPERLINK("http://www.rosaceae.org/Prunus/Prunus_persica/p.persica_gdr_reftransV1_0022621","p.persica_gdr_reftransV1_0022621")</f>
        <v>p.persica_gdr_reftransV1_0022621</v>
      </c>
      <c r="B4598" s="3">
        <v>2388</v>
      </c>
      <c r="C4598" s="1" t="str">
        <f>HYPERLINK("http://www.uniprot.org/uniprot/MATE9_ARATH","MATE9_ARATH")</f>
        <v>MATE9_ARATH</v>
      </c>
      <c r="D4598" t="s">
        <v>1205</v>
      </c>
      <c r="E4598" s="3" t="s">
        <v>3</v>
      </c>
      <c r="F4598" s="4">
        <v>5.6999999999999999E-91</v>
      </c>
      <c r="G4598" s="3">
        <v>770</v>
      </c>
      <c r="H4598" s="3">
        <v>43</v>
      </c>
      <c r="I4598" s="3">
        <v>401</v>
      </c>
      <c r="J4598" s="3">
        <v>897</v>
      </c>
      <c r="K4598" s="3">
        <v>2078</v>
      </c>
      <c r="L4598" s="3">
        <v>1</v>
      </c>
      <c r="M4598" s="3">
        <v>395</v>
      </c>
    </row>
    <row r="4599" spans="1:13" x14ac:dyDescent="0.25">
      <c r="A4599" s="1" t="str">
        <f>HYPERLINK("http://www.rosaceae.org/Prunus/Prunus_persica/p.persica_gdr_reftransV1_0022821","p.persica_gdr_reftransV1_0022821")</f>
        <v>p.persica_gdr_reftransV1_0022821</v>
      </c>
      <c r="B4599" s="3">
        <v>904</v>
      </c>
      <c r="C4599" s="1" t="str">
        <f>HYPERLINK("http://www.uniprot.org/uniprot/RBG6_ARATH","RBG6_ARATH")</f>
        <v>RBG6_ARATH</v>
      </c>
      <c r="D4599" t="s">
        <v>2524</v>
      </c>
      <c r="E4599" s="3" t="s">
        <v>3</v>
      </c>
      <c r="F4599" s="4">
        <v>1.4000000000000001E-13</v>
      </c>
      <c r="G4599" s="3">
        <v>172</v>
      </c>
      <c r="H4599" s="3">
        <v>50</v>
      </c>
      <c r="I4599" s="3">
        <v>72</v>
      </c>
      <c r="J4599" s="3">
        <v>468</v>
      </c>
      <c r="K4599" s="3">
        <v>683</v>
      </c>
      <c r="L4599" s="3">
        <v>36</v>
      </c>
      <c r="M4599" s="3">
        <v>107</v>
      </c>
    </row>
    <row r="4600" spans="1:13" x14ac:dyDescent="0.25">
      <c r="A4600" s="1" t="str">
        <f>HYPERLINK("http://www.rosaceae.org/Prunus/Prunus_persica/p.persica_gdr_reftransV1_0022971","p.persica_gdr_reftransV1_0022971")</f>
        <v>p.persica_gdr_reftransV1_0022971</v>
      </c>
      <c r="B4600" s="3">
        <v>1729</v>
      </c>
      <c r="C4600" s="1" t="str">
        <f>HYPERLINK("http://www.uniprot.org/uniprot/GNL2_ARATH","GNL2_ARATH")</f>
        <v>GNL2_ARATH</v>
      </c>
      <c r="D4600" t="s">
        <v>4024</v>
      </c>
      <c r="E4600" s="3" t="s">
        <v>3</v>
      </c>
      <c r="F4600" s="4">
        <v>0</v>
      </c>
      <c r="G4600" s="3">
        <v>1722</v>
      </c>
      <c r="H4600" s="3">
        <v>63</v>
      </c>
      <c r="I4600" s="3">
        <v>510</v>
      </c>
      <c r="J4600" s="3">
        <v>26</v>
      </c>
      <c r="K4600" s="3">
        <v>1549</v>
      </c>
      <c r="L4600" s="3">
        <v>863</v>
      </c>
      <c r="M4600" s="3">
        <v>1372</v>
      </c>
    </row>
    <row r="4601" spans="1:13" x14ac:dyDescent="0.25">
      <c r="A4601" s="1" t="str">
        <f>HYPERLINK("http://www.rosaceae.org/Prunus/Prunus_persica/p.persica_gdr_reftransV1_0023171","p.persica_gdr_reftransV1_0023171")</f>
        <v>p.persica_gdr_reftransV1_0023171</v>
      </c>
      <c r="B4601" s="3">
        <v>655</v>
      </c>
      <c r="C4601" s="1" t="str">
        <f>HYPERLINK("http://www.uniprot.org/uniprot/RD22_ARATH","RD22_ARATH")</f>
        <v>RD22_ARATH</v>
      </c>
      <c r="D4601" t="s">
        <v>370</v>
      </c>
      <c r="E4601" s="3" t="s">
        <v>3</v>
      </c>
      <c r="F4601" s="4">
        <v>1.3599999999999999E-71</v>
      </c>
      <c r="G4601" s="3">
        <v>584</v>
      </c>
      <c r="H4601" s="3">
        <v>58</v>
      </c>
      <c r="I4601" s="3">
        <v>187</v>
      </c>
      <c r="J4601" s="3">
        <v>1</v>
      </c>
      <c r="K4601" s="3">
        <v>558</v>
      </c>
      <c r="L4601" s="3">
        <v>205</v>
      </c>
      <c r="M4601" s="3">
        <v>389</v>
      </c>
    </row>
    <row r="4602" spans="1:13" x14ac:dyDescent="0.25">
      <c r="A4602" s="1" t="str">
        <f>HYPERLINK("http://www.rosaceae.org/Prunus/Prunus_persica/p.persica_gdr_reftransV1_0023321","p.persica_gdr_reftransV1_0023321")</f>
        <v>p.persica_gdr_reftransV1_0023321</v>
      </c>
      <c r="B4602" s="3">
        <v>1704</v>
      </c>
      <c r="C4602" s="1" t="str">
        <f>HYPERLINK("http://www.uniprot.org/uniprot/LOFG2_ARATH","LOFG2_ARATH")</f>
        <v>LOFG2_ARATH</v>
      </c>
      <c r="D4602" t="s">
        <v>4025</v>
      </c>
      <c r="E4602" s="3" t="s">
        <v>3</v>
      </c>
      <c r="F4602" s="4">
        <v>7.2199999999999996E-125</v>
      </c>
      <c r="G4602" s="3">
        <v>973</v>
      </c>
      <c r="H4602" s="3">
        <v>72</v>
      </c>
      <c r="I4602" s="3">
        <v>266</v>
      </c>
      <c r="J4602" s="3">
        <v>596</v>
      </c>
      <c r="K4602" s="3">
        <v>1372</v>
      </c>
      <c r="L4602" s="3">
        <v>106</v>
      </c>
      <c r="M4602" s="3">
        <v>370</v>
      </c>
    </row>
    <row r="4603" spans="1:13" x14ac:dyDescent="0.25">
      <c r="A4603" s="1" t="str">
        <f>HYPERLINK("http://www.rosaceae.org/Prunus/Prunus_persica/p.persica_gdr_reftransV1_0023471","p.persica_gdr_reftransV1_0023471")</f>
        <v>p.persica_gdr_reftransV1_0023471</v>
      </c>
      <c r="B4603" s="3">
        <v>1029</v>
      </c>
      <c r="C4603" s="1" t="str">
        <f>HYPERLINK("http://www.uniprot.org/uniprot/OP24B_ARATH","OP24B_ARATH")</f>
        <v>OP24B_ARATH</v>
      </c>
      <c r="D4603" t="s">
        <v>4026</v>
      </c>
      <c r="E4603" s="3" t="s">
        <v>3</v>
      </c>
      <c r="F4603" s="4">
        <v>8.5399999999999999E-108</v>
      </c>
      <c r="G4603" s="3">
        <v>821</v>
      </c>
      <c r="H4603" s="3">
        <v>69</v>
      </c>
      <c r="I4603" s="3">
        <v>214</v>
      </c>
      <c r="J4603" s="3">
        <v>287</v>
      </c>
      <c r="K4603" s="3">
        <v>928</v>
      </c>
      <c r="L4603" s="3">
        <v>1</v>
      </c>
      <c r="M4603" s="3">
        <v>213</v>
      </c>
    </row>
    <row r="4604" spans="1:13" x14ac:dyDescent="0.25">
      <c r="A4604" s="1" t="str">
        <f>HYPERLINK("http://www.rosaceae.org/Prunus/Prunus_persica/p.persica_gdr_reftransV1_0023671","p.persica_gdr_reftransV1_0023671")</f>
        <v>p.persica_gdr_reftransV1_0023671</v>
      </c>
      <c r="B4604" s="3">
        <v>2873</v>
      </c>
      <c r="C4604" s="1" t="str">
        <f>HYPERLINK("http://www.uniprot.org/uniprot/VPS36_ARATH","VPS36_ARATH")</f>
        <v>VPS36_ARATH</v>
      </c>
      <c r="D4604" t="s">
        <v>2782</v>
      </c>
      <c r="E4604" s="3" t="s">
        <v>3</v>
      </c>
      <c r="F4604" s="4">
        <v>4.2199999999999999E-105</v>
      </c>
      <c r="G4604" s="3">
        <v>873</v>
      </c>
      <c r="H4604" s="3">
        <v>65</v>
      </c>
      <c r="I4604" s="3">
        <v>326</v>
      </c>
      <c r="J4604" s="3">
        <v>1719</v>
      </c>
      <c r="K4604" s="3">
        <v>2690</v>
      </c>
      <c r="L4604" s="3">
        <v>14</v>
      </c>
      <c r="M4604" s="3">
        <v>326</v>
      </c>
    </row>
    <row r="4605" spans="1:13" x14ac:dyDescent="0.25">
      <c r="A4605" s="1" t="str">
        <f>HYPERLINK("http://www.rosaceae.org/Prunus/Prunus_persica/p.persica_gdr_reftransV1_0024121","p.persica_gdr_reftransV1_0024121")</f>
        <v>p.persica_gdr_reftransV1_0024121</v>
      </c>
      <c r="B4605" s="3">
        <v>903</v>
      </c>
      <c r="C4605" s="1" t="str">
        <f>HYPERLINK("http://www.uniprot.org/uniprot/UBP13_ARATH","UBP13_ARATH")</f>
        <v>UBP13_ARATH</v>
      </c>
      <c r="D4605" t="s">
        <v>3696</v>
      </c>
      <c r="E4605" s="3" t="s">
        <v>3</v>
      </c>
      <c r="F4605" s="4">
        <v>2.55E-16</v>
      </c>
      <c r="G4605" s="3">
        <v>204</v>
      </c>
      <c r="H4605" s="3">
        <v>35</v>
      </c>
      <c r="I4605" s="3">
        <v>130</v>
      </c>
      <c r="J4605" s="3">
        <v>347</v>
      </c>
      <c r="K4605" s="3">
        <v>733</v>
      </c>
      <c r="L4605" s="3">
        <v>55</v>
      </c>
      <c r="M4605" s="3">
        <v>181</v>
      </c>
    </row>
    <row r="4606" spans="1:13" x14ac:dyDescent="0.25">
      <c r="A4606" s="1" t="str">
        <f>HYPERLINK("http://www.rosaceae.org/Prunus/Prunus_persica/p.persica_gdr_reftransV1_0024271","p.persica_gdr_reftransV1_0024271")</f>
        <v>p.persica_gdr_reftransV1_0024271</v>
      </c>
      <c r="B4606" s="3">
        <v>2783</v>
      </c>
      <c r="C4606" s="1" t="str">
        <f>HYPERLINK("http://www.uniprot.org/uniprot/CSCLE_ARATH","CSCLE_ARATH")</f>
        <v>CSCLE_ARATH</v>
      </c>
      <c r="D4606" t="s">
        <v>4027</v>
      </c>
      <c r="E4606" s="3" t="s">
        <v>3</v>
      </c>
      <c r="F4606" s="4">
        <v>0</v>
      </c>
      <c r="G4606" s="3">
        <v>2884</v>
      </c>
      <c r="H4606" s="3">
        <v>76</v>
      </c>
      <c r="I4606" s="3">
        <v>785</v>
      </c>
      <c r="J4606" s="3">
        <v>308</v>
      </c>
      <c r="K4606" s="3">
        <v>2659</v>
      </c>
      <c r="L4606" s="3">
        <v>36</v>
      </c>
      <c r="M4606" s="3">
        <v>814</v>
      </c>
    </row>
    <row r="4607" spans="1:13" x14ac:dyDescent="0.25">
      <c r="A4607" s="1" t="str">
        <f>HYPERLINK("http://www.rosaceae.org/Prunus/Prunus_persica/p.persica_gdr_reftransV1_0024371","p.persica_gdr_reftransV1_0024371")</f>
        <v>p.persica_gdr_reftransV1_0024371</v>
      </c>
      <c r="B4607" s="3">
        <v>1112</v>
      </c>
      <c r="C4607" s="1" t="str">
        <f>HYPERLINK("http://www.uniprot.org/uniprot/SOMT2_SOYBN","SOMT2_SOYBN")</f>
        <v>SOMT2_SOYBN</v>
      </c>
      <c r="D4607" t="s">
        <v>4028</v>
      </c>
      <c r="E4607" s="3" t="s">
        <v>307</v>
      </c>
      <c r="F4607" s="4">
        <v>3.05E-67</v>
      </c>
      <c r="G4607" s="3">
        <v>442</v>
      </c>
      <c r="H4607" s="3">
        <v>49</v>
      </c>
      <c r="I4607" s="3">
        <v>178</v>
      </c>
      <c r="J4607" s="3">
        <v>577</v>
      </c>
      <c r="K4607" s="3">
        <v>1110</v>
      </c>
      <c r="L4607" s="3">
        <v>87</v>
      </c>
      <c r="M4607" s="3">
        <v>259</v>
      </c>
    </row>
    <row r="4608" spans="1:13" x14ac:dyDescent="0.25">
      <c r="A4608" s="1" t="str">
        <f>HYPERLINK("http://www.rosaceae.org/Prunus/Prunus_persica/p.persica_gdr_reftransV1_0024471","p.persica_gdr_reftransV1_0024471")</f>
        <v>p.persica_gdr_reftransV1_0024471</v>
      </c>
      <c r="B4608" s="3">
        <v>1814</v>
      </c>
      <c r="C4608" s="1" t="str">
        <f>HYPERLINK("http://www.uniprot.org/uniprot/P4H12_ARATH","P4H12_ARATH")</f>
        <v>P4H12_ARATH</v>
      </c>
      <c r="D4608" t="s">
        <v>4029</v>
      </c>
      <c r="E4608" s="3" t="s">
        <v>3</v>
      </c>
      <c r="F4608" s="4">
        <v>2.5299999999999998E-56</v>
      </c>
      <c r="G4608" s="3">
        <v>502</v>
      </c>
      <c r="H4608" s="3">
        <v>54</v>
      </c>
      <c r="I4608" s="3">
        <v>194</v>
      </c>
      <c r="J4608" s="3">
        <v>579</v>
      </c>
      <c r="K4608" s="3">
        <v>1160</v>
      </c>
      <c r="L4608" s="3">
        <v>105</v>
      </c>
      <c r="M4608" s="3">
        <v>291</v>
      </c>
    </row>
    <row r="4609" spans="1:13" x14ac:dyDescent="0.25">
      <c r="A4609" s="1" t="str">
        <f>HYPERLINK("http://www.rosaceae.org/Prunus/Prunus_persica/p.persica_gdr_reftransV1_0024521","p.persica_gdr_reftransV1_0024521")</f>
        <v>p.persica_gdr_reftransV1_0024521</v>
      </c>
      <c r="B4609" s="3">
        <v>3524</v>
      </c>
      <c r="C4609" s="1" t="str">
        <f>HYPERLINK("http://www.uniprot.org/uniprot/NADK2_ARATH","NADK2_ARATH")</f>
        <v>NADK2_ARATH</v>
      </c>
      <c r="D4609" t="s">
        <v>4030</v>
      </c>
      <c r="E4609" s="3" t="s">
        <v>3</v>
      </c>
      <c r="F4609" s="4">
        <v>0</v>
      </c>
      <c r="G4609" s="3">
        <v>3192</v>
      </c>
      <c r="H4609" s="3">
        <v>66</v>
      </c>
      <c r="I4609" s="3">
        <v>972</v>
      </c>
      <c r="J4609" s="3">
        <v>260</v>
      </c>
      <c r="K4609" s="3">
        <v>3136</v>
      </c>
      <c r="L4609" s="3">
        <v>59</v>
      </c>
      <c r="M4609" s="3">
        <v>985</v>
      </c>
    </row>
    <row r="4610" spans="1:13" x14ac:dyDescent="0.25">
      <c r="A4610" s="1" t="str">
        <f>HYPERLINK("http://www.rosaceae.org/Prunus/Prunus_persica/p.persica_gdr_reftransV1_0024721","p.persica_gdr_reftransV1_0024721")</f>
        <v>p.persica_gdr_reftransV1_0024721</v>
      </c>
      <c r="B4610" s="3">
        <v>1149</v>
      </c>
      <c r="C4610" s="1" t="str">
        <f>HYPERLINK("http://www.uniprot.org/uniprot/Y5486_ARATH","Y5486_ARATH")</f>
        <v>Y5486_ARATH</v>
      </c>
      <c r="D4610" t="s">
        <v>4031</v>
      </c>
      <c r="E4610" s="3" t="s">
        <v>3</v>
      </c>
      <c r="F4610" s="4">
        <v>1.94E-68</v>
      </c>
      <c r="G4610" s="3">
        <v>555</v>
      </c>
      <c r="H4610" s="3">
        <v>88</v>
      </c>
      <c r="I4610" s="3">
        <v>120</v>
      </c>
      <c r="J4610" s="3">
        <v>156</v>
      </c>
      <c r="K4610" s="3">
        <v>512</v>
      </c>
      <c r="L4610" s="3">
        <v>1</v>
      </c>
      <c r="M4610" s="3">
        <v>120</v>
      </c>
    </row>
    <row r="4611" spans="1:13" x14ac:dyDescent="0.25">
      <c r="A4611" s="1" t="str">
        <f>HYPERLINK("http://www.rosaceae.org/Prunus/Prunus_persica/p.persica_gdr_reftransV1_0024871","p.persica_gdr_reftransV1_0024871")</f>
        <v>p.persica_gdr_reftransV1_0024871</v>
      </c>
      <c r="B4611" s="3">
        <v>4014</v>
      </c>
      <c r="C4611" s="1" t="str">
        <f>HYPERLINK("http://www.uniprot.org/uniprot/AHK3_ARATH","AHK3_ARATH")</f>
        <v>AHK3_ARATH</v>
      </c>
      <c r="D4611" t="s">
        <v>4032</v>
      </c>
      <c r="E4611" s="3" t="s">
        <v>3</v>
      </c>
      <c r="F4611" s="4">
        <v>0</v>
      </c>
      <c r="G4611" s="3">
        <v>3745</v>
      </c>
      <c r="H4611" s="3">
        <v>71</v>
      </c>
      <c r="I4611" s="3">
        <v>1047</v>
      </c>
      <c r="J4611" s="3">
        <v>798</v>
      </c>
      <c r="K4611" s="3">
        <v>3896</v>
      </c>
      <c r="L4611" s="3">
        <v>1</v>
      </c>
      <c r="M4611" s="3">
        <v>1032</v>
      </c>
    </row>
    <row r="4612" spans="1:13" x14ac:dyDescent="0.25">
      <c r="A4612" s="1" t="str">
        <f>HYPERLINK("http://www.rosaceae.org/Prunus/Prunus_persica/p.persica_gdr_reftransV1_0025121","p.persica_gdr_reftransV1_0025121")</f>
        <v>p.persica_gdr_reftransV1_0025121</v>
      </c>
      <c r="B4612" s="3">
        <v>4374</v>
      </c>
      <c r="C4612" s="1" t="str">
        <f>HYPERLINK("http://www.uniprot.org/uniprot/SIZ1_ARATH","SIZ1_ARATH")</f>
        <v>SIZ1_ARATH</v>
      </c>
      <c r="D4612" t="s">
        <v>2178</v>
      </c>
      <c r="E4612" s="3" t="s">
        <v>3</v>
      </c>
      <c r="F4612" s="4">
        <v>3.9900000000000001E-116</v>
      </c>
      <c r="G4612" s="3">
        <v>1009</v>
      </c>
      <c r="H4612" s="3">
        <v>61</v>
      </c>
      <c r="I4612" s="3">
        <v>313</v>
      </c>
      <c r="J4612" s="3">
        <v>2996</v>
      </c>
      <c r="K4612" s="3">
        <v>3934</v>
      </c>
      <c r="L4612" s="3">
        <v>1</v>
      </c>
      <c r="M4612" s="3">
        <v>311</v>
      </c>
    </row>
    <row r="4613" spans="1:13" x14ac:dyDescent="0.25">
      <c r="A4613" s="1" t="str">
        <f>HYPERLINK("http://www.rosaceae.org/Prunus/Prunus_persica/p.persica_gdr_reftransV1_0025171","p.persica_gdr_reftransV1_0025171")</f>
        <v>p.persica_gdr_reftransV1_0025171</v>
      </c>
      <c r="B4613" s="3">
        <v>1132</v>
      </c>
      <c r="C4613" s="1" t="str">
        <f>HYPERLINK("http://www.uniprot.org/uniprot/ZAT5_ARATH","ZAT5_ARATH")</f>
        <v>ZAT5_ARATH</v>
      </c>
      <c r="D4613" t="s">
        <v>4033</v>
      </c>
      <c r="E4613" s="3" t="s">
        <v>3</v>
      </c>
      <c r="F4613" s="4">
        <v>9.0800000000000005E-46</v>
      </c>
      <c r="G4613" s="3">
        <v>415</v>
      </c>
      <c r="H4613" s="3">
        <v>45</v>
      </c>
      <c r="I4613" s="3">
        <v>316</v>
      </c>
      <c r="J4613" s="3">
        <v>54</v>
      </c>
      <c r="K4613" s="3">
        <v>962</v>
      </c>
      <c r="L4613" s="3">
        <v>1</v>
      </c>
      <c r="M4613" s="3">
        <v>286</v>
      </c>
    </row>
    <row r="4614" spans="1:13" x14ac:dyDescent="0.25">
      <c r="A4614" s="1" t="str">
        <f>HYPERLINK("http://www.rosaceae.org/Prunus/Prunus_persica/p.persica_gdr_reftransV1_0025271","p.persica_gdr_reftransV1_0025271")</f>
        <v>p.persica_gdr_reftransV1_0025271</v>
      </c>
      <c r="B4614" s="3">
        <v>1178</v>
      </c>
      <c r="C4614" s="1" t="str">
        <f>HYPERLINK("http://www.uniprot.org/uniprot/CB24_PEA","CB24_PEA")</f>
        <v>CB24_PEA</v>
      </c>
      <c r="D4614" t="s">
        <v>1931</v>
      </c>
      <c r="E4614" s="3" t="s">
        <v>60</v>
      </c>
      <c r="F4614" s="4">
        <v>1.8900000000000001E-157</v>
      </c>
      <c r="G4614" s="3">
        <v>1159</v>
      </c>
      <c r="H4614" s="3">
        <v>88</v>
      </c>
      <c r="I4614" s="3">
        <v>254</v>
      </c>
      <c r="J4614" s="3">
        <v>239</v>
      </c>
      <c r="K4614" s="3">
        <v>1000</v>
      </c>
      <c r="L4614" s="3">
        <v>1</v>
      </c>
      <c r="M4614" s="3">
        <v>251</v>
      </c>
    </row>
    <row r="4615" spans="1:13" x14ac:dyDescent="0.25">
      <c r="A4615" s="1" t="str">
        <f>HYPERLINK("http://www.rosaceae.org/Prunus/Prunus_persica/p.persica_gdr_reftransV1_0025471","p.persica_gdr_reftransV1_0025471")</f>
        <v>p.persica_gdr_reftransV1_0025471</v>
      </c>
      <c r="B4615" s="3">
        <v>1971</v>
      </c>
      <c r="C4615" s="1" t="str">
        <f>HYPERLINK("http://www.uniprot.org/uniprot/PPR20_ARATH","PPR20_ARATH")</f>
        <v>PPR20_ARATH</v>
      </c>
      <c r="D4615" t="s">
        <v>4034</v>
      </c>
      <c r="E4615" s="3" t="s">
        <v>3</v>
      </c>
      <c r="F4615" s="4">
        <v>1.8099999999999999E-146</v>
      </c>
      <c r="G4615" s="3">
        <v>1132</v>
      </c>
      <c r="H4615" s="3">
        <v>61</v>
      </c>
      <c r="I4615" s="3">
        <v>352</v>
      </c>
      <c r="J4615" s="3">
        <v>1</v>
      </c>
      <c r="K4615" s="3">
        <v>1053</v>
      </c>
      <c r="L4615" s="3">
        <v>108</v>
      </c>
      <c r="M4615" s="3">
        <v>459</v>
      </c>
    </row>
    <row r="4616" spans="1:13" x14ac:dyDescent="0.25">
      <c r="A4616" s="1" t="str">
        <f>HYPERLINK("http://www.rosaceae.org/Prunus/Prunus_persica/p.persica_gdr_reftransV1_0025521","p.persica_gdr_reftransV1_0025521")</f>
        <v>p.persica_gdr_reftransV1_0025521</v>
      </c>
      <c r="B4616" s="3">
        <v>1083</v>
      </c>
      <c r="C4616" s="1" t="str">
        <f>HYPERLINK("http://www.uniprot.org/uniprot/Y5645_ARATH","Y5645_ARATH")</f>
        <v>Y5645_ARATH</v>
      </c>
      <c r="D4616" t="s">
        <v>4035</v>
      </c>
      <c r="E4616" s="3" t="s">
        <v>3</v>
      </c>
      <c r="F4616" s="4">
        <v>2.3700000000000002E-12</v>
      </c>
      <c r="G4616" s="3">
        <v>167</v>
      </c>
      <c r="H4616" s="3">
        <v>32</v>
      </c>
      <c r="I4616" s="3">
        <v>191</v>
      </c>
      <c r="J4616" s="3">
        <v>418</v>
      </c>
      <c r="K4616" s="3">
        <v>963</v>
      </c>
      <c r="L4616" s="3">
        <v>11</v>
      </c>
      <c r="M4616" s="3">
        <v>195</v>
      </c>
    </row>
    <row r="4617" spans="1:13" x14ac:dyDescent="0.25">
      <c r="A4617" s="1" t="str">
        <f>HYPERLINK("http://www.rosaceae.org/Prunus/Prunus_persica/p.persica_gdr_reftransV1_0026571","p.persica_gdr_reftransV1_0026571")</f>
        <v>p.persica_gdr_reftransV1_0026571</v>
      </c>
      <c r="B4617" s="3">
        <v>3464</v>
      </c>
      <c r="C4617" s="1" t="str">
        <f>HYPERLINK("http://www.uniprot.org/uniprot/F8H_ARATH","F8H_ARATH")</f>
        <v>F8H_ARATH</v>
      </c>
      <c r="D4617" t="s">
        <v>4036</v>
      </c>
      <c r="E4617" s="3" t="s">
        <v>3</v>
      </c>
      <c r="F4617" s="4">
        <v>4.3999999999999997E-15</v>
      </c>
      <c r="G4617" s="3">
        <v>204</v>
      </c>
      <c r="H4617" s="3">
        <v>34</v>
      </c>
      <c r="I4617" s="3">
        <v>172</v>
      </c>
      <c r="J4617" s="3">
        <v>1641</v>
      </c>
      <c r="K4617" s="3">
        <v>2123</v>
      </c>
      <c r="L4617" s="3">
        <v>111</v>
      </c>
      <c r="M4617" s="3">
        <v>253</v>
      </c>
    </row>
    <row r="4618" spans="1:13" x14ac:dyDescent="0.25">
      <c r="A4618" s="1" t="str">
        <f>HYPERLINK("http://www.rosaceae.org/Prunus/Prunus_persica/p.persica_gdr_reftransV1_0026621","p.persica_gdr_reftransV1_0026621")</f>
        <v>p.persica_gdr_reftransV1_0026621</v>
      </c>
      <c r="B4618" s="3">
        <v>1791</v>
      </c>
      <c r="C4618" s="1" t="str">
        <f>HYPERLINK("http://www.uniprot.org/uniprot/AAR2_CAEEL","AAR2_CAEEL")</f>
        <v>AAR2_CAEEL</v>
      </c>
      <c r="D4618" t="s">
        <v>4037</v>
      </c>
      <c r="E4618" s="3" t="s">
        <v>281</v>
      </c>
      <c r="F4618" s="4">
        <v>6.0499999999999999E-40</v>
      </c>
      <c r="G4618" s="3">
        <v>387</v>
      </c>
      <c r="H4618" s="3">
        <v>30</v>
      </c>
      <c r="I4618" s="3">
        <v>372</v>
      </c>
      <c r="J4618" s="3">
        <v>499</v>
      </c>
      <c r="K4618" s="3">
        <v>1581</v>
      </c>
      <c r="L4618" s="3">
        <v>5</v>
      </c>
      <c r="M4618" s="3">
        <v>354</v>
      </c>
    </row>
    <row r="4619" spans="1:13" x14ac:dyDescent="0.25">
      <c r="A4619" s="1" t="str">
        <f>HYPERLINK("http://www.rosaceae.org/Prunus/Prunus_persica/p.persica_gdr_reftransV1_0026671","p.persica_gdr_reftransV1_0026671")</f>
        <v>p.persica_gdr_reftransV1_0026671</v>
      </c>
      <c r="B4619" s="3">
        <v>1532</v>
      </c>
      <c r="C4619" s="1" t="str">
        <f>HYPERLINK("http://www.uniprot.org/uniprot/DHRSX_HUMAN","DHRSX_HUMAN")</f>
        <v>DHRSX_HUMAN</v>
      </c>
      <c r="D4619" t="s">
        <v>4038</v>
      </c>
      <c r="E4619" s="3" t="s">
        <v>28</v>
      </c>
      <c r="F4619" s="4">
        <v>2.7899999999999999E-20</v>
      </c>
      <c r="G4619" s="3">
        <v>236</v>
      </c>
      <c r="H4619" s="3">
        <v>34</v>
      </c>
      <c r="I4619" s="3">
        <v>276</v>
      </c>
      <c r="J4619" s="3">
        <v>291</v>
      </c>
      <c r="K4619" s="3">
        <v>1094</v>
      </c>
      <c r="L4619" s="3">
        <v>70</v>
      </c>
      <c r="M4619" s="3">
        <v>322</v>
      </c>
    </row>
    <row r="4620" spans="1:13" x14ac:dyDescent="0.25">
      <c r="A4620" s="1" t="str">
        <f>HYPERLINK("http://www.rosaceae.org/Prunus/Prunus_persica/p.persica_gdr_reftransV1_0026821","p.persica_gdr_reftransV1_0026821")</f>
        <v>p.persica_gdr_reftransV1_0026821</v>
      </c>
      <c r="B4620" s="3">
        <v>4365</v>
      </c>
      <c r="C4620" s="1" t="str">
        <f>HYPERLINK("http://www.uniprot.org/uniprot/PUB6_ARATH","PUB6_ARATH")</f>
        <v>PUB6_ARATH</v>
      </c>
      <c r="D4620" t="s">
        <v>2536</v>
      </c>
      <c r="E4620" s="3" t="s">
        <v>3</v>
      </c>
      <c r="F4620" s="4">
        <v>1.5E-51</v>
      </c>
      <c r="G4620" s="3">
        <v>508</v>
      </c>
      <c r="H4620" s="3">
        <v>33</v>
      </c>
      <c r="I4620" s="3">
        <v>409</v>
      </c>
      <c r="J4620" s="3">
        <v>1271</v>
      </c>
      <c r="K4620" s="3">
        <v>2431</v>
      </c>
      <c r="L4620" s="3">
        <v>115</v>
      </c>
      <c r="M4620" s="3">
        <v>503</v>
      </c>
    </row>
    <row r="4621" spans="1:13" x14ac:dyDescent="0.25">
      <c r="A4621" s="1" t="str">
        <f>HYPERLINK("http://www.rosaceae.org/Prunus/Prunus_persica/p.persica_gdr_reftransV1_0027021","p.persica_gdr_reftransV1_0027021")</f>
        <v>p.persica_gdr_reftransV1_0027021</v>
      </c>
      <c r="B4621" s="3">
        <v>1410</v>
      </c>
      <c r="C4621" s="1" t="str">
        <f>HYPERLINK("http://www.uniprot.org/uniprot/RSMB_MOUSE","RSMB_MOUSE")</f>
        <v>RSMB_MOUSE</v>
      </c>
      <c r="D4621" t="s">
        <v>4039</v>
      </c>
      <c r="E4621" s="3" t="s">
        <v>157</v>
      </c>
      <c r="F4621" s="4">
        <v>1.67E-21</v>
      </c>
      <c r="G4621" s="3">
        <v>240</v>
      </c>
      <c r="H4621" s="3">
        <v>64</v>
      </c>
      <c r="I4621" s="3">
        <v>90</v>
      </c>
      <c r="J4621" s="3">
        <v>1001</v>
      </c>
      <c r="K4621" s="3">
        <v>1270</v>
      </c>
      <c r="L4621" s="3">
        <v>1</v>
      </c>
      <c r="M4621" s="3">
        <v>89</v>
      </c>
    </row>
    <row r="4622" spans="1:13" x14ac:dyDescent="0.25">
      <c r="A4622" s="1" t="str">
        <f>HYPERLINK("http://www.rosaceae.org/Prunus/Prunus_persica/p.persica_gdr_reftransV1_0027321","p.persica_gdr_reftransV1_0027321")</f>
        <v>p.persica_gdr_reftransV1_0027321</v>
      </c>
      <c r="B4622" s="3">
        <v>2114</v>
      </c>
      <c r="C4622" s="1" t="str">
        <f>HYPERLINK("http://www.uniprot.org/uniprot/FBW4_ARATH","FBW4_ARATH")</f>
        <v>FBW4_ARATH</v>
      </c>
      <c r="D4622" t="s">
        <v>4040</v>
      </c>
      <c r="E4622" s="3" t="s">
        <v>3</v>
      </c>
      <c r="F4622" s="4">
        <v>7.1100000000000004E-71</v>
      </c>
      <c r="G4622" s="3">
        <v>622</v>
      </c>
      <c r="H4622" s="3">
        <v>54</v>
      </c>
      <c r="I4622" s="3">
        <v>225</v>
      </c>
      <c r="J4622" s="3">
        <v>1201</v>
      </c>
      <c r="K4622" s="3">
        <v>1866</v>
      </c>
      <c r="L4622" s="3">
        <v>228</v>
      </c>
      <c r="M4622" s="3">
        <v>452</v>
      </c>
    </row>
    <row r="4623" spans="1:13" x14ac:dyDescent="0.25">
      <c r="A4623" s="1" t="str">
        <f>HYPERLINK("http://www.rosaceae.org/Prunus/Prunus_persica/p.persica_gdr_reftransV1_0027371","p.persica_gdr_reftransV1_0027371")</f>
        <v>p.persica_gdr_reftransV1_0027371</v>
      </c>
      <c r="B4623" s="3">
        <v>1963</v>
      </c>
      <c r="C4623" s="1" t="str">
        <f>HYPERLINK("http://www.uniprot.org/uniprot/FUM1_ARATH","FUM1_ARATH")</f>
        <v>FUM1_ARATH</v>
      </c>
      <c r="D4623" t="s">
        <v>4041</v>
      </c>
      <c r="E4623" s="3" t="s">
        <v>3</v>
      </c>
      <c r="F4623" s="4">
        <v>0</v>
      </c>
      <c r="G4623" s="3">
        <v>2348</v>
      </c>
      <c r="H4623" s="3">
        <v>90</v>
      </c>
      <c r="I4623" s="3">
        <v>493</v>
      </c>
      <c r="J4623" s="3">
        <v>173</v>
      </c>
      <c r="K4623" s="3">
        <v>1651</v>
      </c>
      <c r="L4623" s="3">
        <v>1</v>
      </c>
      <c r="M4623" s="3">
        <v>492</v>
      </c>
    </row>
    <row r="4624" spans="1:13" x14ac:dyDescent="0.25">
      <c r="A4624" s="1" t="str">
        <f>HYPERLINK("http://www.rosaceae.org/Prunus/Prunus_persica/p.persica_gdr_reftransV1_0027421","p.persica_gdr_reftransV1_0027421")</f>
        <v>p.persica_gdr_reftransV1_0027421</v>
      </c>
      <c r="B4624" s="3">
        <v>3836</v>
      </c>
      <c r="C4624" s="1" t="str">
        <f>HYPERLINK("http://www.uniprot.org/uniprot/CGEP_ARATH","CGEP_ARATH")</f>
        <v>CGEP_ARATH</v>
      </c>
      <c r="D4624" t="s">
        <v>4042</v>
      </c>
      <c r="E4624" s="3" t="s">
        <v>3</v>
      </c>
      <c r="F4624" s="4">
        <v>0</v>
      </c>
      <c r="G4624" s="3">
        <v>3400</v>
      </c>
      <c r="H4624" s="3">
        <v>81</v>
      </c>
      <c r="I4624" s="3">
        <v>811</v>
      </c>
      <c r="J4624" s="3">
        <v>1258</v>
      </c>
      <c r="K4624" s="3">
        <v>3681</v>
      </c>
      <c r="L4624" s="3">
        <v>59</v>
      </c>
      <c r="M4624" s="3">
        <v>863</v>
      </c>
    </row>
    <row r="4625" spans="1:13" x14ac:dyDescent="0.25">
      <c r="A4625" s="1" t="str">
        <f>HYPERLINK("http://www.rosaceae.org/Prunus/Prunus_persica/p.persica_gdr_reftransV1_0027971","p.persica_gdr_reftransV1_0027971")</f>
        <v>p.persica_gdr_reftransV1_0027971</v>
      </c>
      <c r="B4625" s="3">
        <v>471</v>
      </c>
      <c r="C4625" s="1" t="str">
        <f>HYPERLINK("http://www.uniprot.org/uniprot/GCS1_ARATH","GCS1_ARATH")</f>
        <v>GCS1_ARATH</v>
      </c>
      <c r="D4625" t="s">
        <v>4043</v>
      </c>
      <c r="E4625" s="3" t="s">
        <v>3</v>
      </c>
      <c r="F4625" s="4">
        <v>8.8800000000000008E-9</v>
      </c>
      <c r="G4625" s="3">
        <v>137</v>
      </c>
      <c r="H4625" s="3">
        <v>41</v>
      </c>
      <c r="I4625" s="3">
        <v>93</v>
      </c>
      <c r="J4625" s="3">
        <v>1</v>
      </c>
      <c r="K4625" s="3">
        <v>270</v>
      </c>
      <c r="L4625" s="3">
        <v>34</v>
      </c>
      <c r="M4625" s="3">
        <v>125</v>
      </c>
    </row>
    <row r="4626" spans="1:13" x14ac:dyDescent="0.25">
      <c r="A4626" s="1" t="str">
        <f>HYPERLINK("http://www.rosaceae.org/Prunus/Prunus_persica/p.persica_gdr_reftransV1_0028121","p.persica_gdr_reftransV1_0028121")</f>
        <v>p.persica_gdr_reftransV1_0028121</v>
      </c>
      <c r="B4626" s="3">
        <v>1709</v>
      </c>
      <c r="C4626" s="1" t="str">
        <f>HYPERLINK("http://www.uniprot.org/uniprot/CYP59_ARATH","CYP59_ARATH")</f>
        <v>CYP59_ARATH</v>
      </c>
      <c r="D4626" t="s">
        <v>4044</v>
      </c>
      <c r="E4626" s="3" t="s">
        <v>3</v>
      </c>
      <c r="F4626" s="4">
        <v>1.87E-31</v>
      </c>
      <c r="G4626" s="3">
        <v>329</v>
      </c>
      <c r="H4626" s="3">
        <v>82</v>
      </c>
      <c r="I4626" s="3">
        <v>74</v>
      </c>
      <c r="J4626" s="3">
        <v>55</v>
      </c>
      <c r="K4626" s="3">
        <v>276</v>
      </c>
      <c r="L4626" s="3">
        <v>272</v>
      </c>
      <c r="M4626" s="3">
        <v>342</v>
      </c>
    </row>
    <row r="4627" spans="1:13" x14ac:dyDescent="0.25">
      <c r="A4627" s="1" t="str">
        <f>HYPERLINK("http://www.rosaceae.org/Prunus/Prunus_persica/p.persica_gdr_reftransV1_0028521","p.persica_gdr_reftransV1_0028521")</f>
        <v>p.persica_gdr_reftransV1_0028521</v>
      </c>
      <c r="B4627" s="3">
        <v>2293</v>
      </c>
      <c r="C4627" s="1" t="str">
        <f>HYPERLINK("http://www.uniprot.org/uniprot/BH078_ARATH","BH078_ARATH")</f>
        <v>BH078_ARATH</v>
      </c>
      <c r="D4627" t="s">
        <v>4045</v>
      </c>
      <c r="E4627" s="3" t="s">
        <v>3</v>
      </c>
      <c r="F4627" s="4">
        <v>5.6999999999999998E-40</v>
      </c>
      <c r="G4627" s="3">
        <v>239</v>
      </c>
      <c r="H4627" s="3">
        <v>33</v>
      </c>
      <c r="I4627" s="3">
        <v>319</v>
      </c>
      <c r="J4627" s="3">
        <v>527</v>
      </c>
      <c r="K4627" s="3">
        <v>1462</v>
      </c>
      <c r="L4627" s="3">
        <v>84</v>
      </c>
      <c r="M4627" s="3">
        <v>318</v>
      </c>
    </row>
    <row r="4628" spans="1:13" x14ac:dyDescent="0.25">
      <c r="A4628" s="1" t="str">
        <f>HYPERLINK("http://www.rosaceae.org/Prunus/Prunus_persica/p.persica_gdr_reftransV1_0029171","p.persica_gdr_reftransV1_0029171")</f>
        <v>p.persica_gdr_reftransV1_0029171</v>
      </c>
      <c r="B4628" s="3">
        <v>2422</v>
      </c>
      <c r="C4628" s="1" t="str">
        <f>HYPERLINK("http://www.uniprot.org/uniprot/TIC62_ARATH","TIC62_ARATH")</f>
        <v>TIC62_ARATH</v>
      </c>
      <c r="D4628" t="s">
        <v>4046</v>
      </c>
      <c r="E4628" s="3" t="s">
        <v>3</v>
      </c>
      <c r="F4628" s="4">
        <v>2.0599999999999998E-152</v>
      </c>
      <c r="G4628" s="3">
        <v>1202</v>
      </c>
      <c r="H4628" s="3">
        <v>56</v>
      </c>
      <c r="I4628" s="3">
        <v>477</v>
      </c>
      <c r="J4628" s="3">
        <v>66</v>
      </c>
      <c r="K4628" s="3">
        <v>1478</v>
      </c>
      <c r="L4628" s="3">
        <v>5</v>
      </c>
      <c r="M4628" s="3">
        <v>448</v>
      </c>
    </row>
    <row r="4629" spans="1:13" x14ac:dyDescent="0.25">
      <c r="A4629" s="1" t="str">
        <f>HYPERLINK("http://www.rosaceae.org/Prunus/Prunus_persica/p.persica_gdr_reftransV1_0029371","p.persica_gdr_reftransV1_0029371")</f>
        <v>p.persica_gdr_reftransV1_0029371</v>
      </c>
      <c r="B4629" s="3">
        <v>1988</v>
      </c>
      <c r="C4629" s="1" t="str">
        <f>HYPERLINK("http://www.uniprot.org/uniprot/Y1385_ARATH","Y1385_ARATH")</f>
        <v>Y1385_ARATH</v>
      </c>
      <c r="D4629" t="s">
        <v>119</v>
      </c>
      <c r="E4629" s="3" t="s">
        <v>3</v>
      </c>
      <c r="F4629" s="4">
        <v>8.92E-20</v>
      </c>
      <c r="G4629" s="3">
        <v>240</v>
      </c>
      <c r="H4629" s="3">
        <v>23</v>
      </c>
      <c r="I4629" s="3">
        <v>450</v>
      </c>
      <c r="J4629" s="3">
        <v>503</v>
      </c>
      <c r="K4629" s="3">
        <v>1753</v>
      </c>
      <c r="L4629" s="3">
        <v>133</v>
      </c>
      <c r="M4629" s="3">
        <v>524</v>
      </c>
    </row>
    <row r="4630" spans="1:13" x14ac:dyDescent="0.25">
      <c r="A4630" s="1" t="str">
        <f>HYPERLINK("http://www.rosaceae.org/Prunus/Prunus_persica/p.persica_gdr_reftransV1_0029521","p.persica_gdr_reftransV1_0029521")</f>
        <v>p.persica_gdr_reftransV1_0029521</v>
      </c>
      <c r="B4630" s="3">
        <v>1121</v>
      </c>
      <c r="C4630" s="1" t="str">
        <f>HYPERLINK("http://www.uniprot.org/uniprot/NU5C_MANES","NU5C_MANES")</f>
        <v>NU5C_MANES</v>
      </c>
      <c r="D4630" t="s">
        <v>4047</v>
      </c>
      <c r="E4630" s="3" t="s">
        <v>1797</v>
      </c>
      <c r="F4630" s="4">
        <v>3.5899999999999997E-151</v>
      </c>
      <c r="G4630" s="3">
        <v>896</v>
      </c>
      <c r="H4630" s="3">
        <v>84</v>
      </c>
      <c r="I4630" s="3">
        <v>197</v>
      </c>
      <c r="J4630" s="3">
        <v>484</v>
      </c>
      <c r="K4630" s="3">
        <v>1074</v>
      </c>
      <c r="L4630" s="3">
        <v>312</v>
      </c>
      <c r="M4630" s="3">
        <v>508</v>
      </c>
    </row>
    <row r="4631" spans="1:13" x14ac:dyDescent="0.25">
      <c r="A4631" s="1" t="str">
        <f>HYPERLINK("http://www.rosaceae.org/Prunus/Prunus_persica/p.persica_gdr_reftransV1_0030321","p.persica_gdr_reftransV1_0030321")</f>
        <v>p.persica_gdr_reftransV1_0030321</v>
      </c>
      <c r="B4631" s="3">
        <v>4974</v>
      </c>
      <c r="C4631" s="1" t="str">
        <f>HYPERLINK("http://www.uniprot.org/uniprot/ASCC3_BOVIN","ASCC3_BOVIN")</f>
        <v>ASCC3_BOVIN</v>
      </c>
      <c r="D4631" t="s">
        <v>4048</v>
      </c>
      <c r="E4631" s="3" t="s">
        <v>184</v>
      </c>
      <c r="F4631" s="4">
        <v>0</v>
      </c>
      <c r="G4631" s="3">
        <v>1770</v>
      </c>
      <c r="H4631" s="3">
        <v>62</v>
      </c>
      <c r="I4631" s="3">
        <v>551</v>
      </c>
      <c r="J4631" s="3">
        <v>2118</v>
      </c>
      <c r="K4631" s="3">
        <v>3767</v>
      </c>
      <c r="L4631" s="3">
        <v>426</v>
      </c>
      <c r="M4631" s="3">
        <v>976</v>
      </c>
    </row>
    <row r="4632" spans="1:13" x14ac:dyDescent="0.25">
      <c r="A4632" s="1" t="str">
        <f>HYPERLINK("http://www.rosaceae.org/Prunus/Prunus_persica/p.persica_gdr_reftransV1_0030421","p.persica_gdr_reftransV1_0030421")</f>
        <v>p.persica_gdr_reftransV1_0030421</v>
      </c>
      <c r="B4632" s="3">
        <v>1721</v>
      </c>
      <c r="C4632" s="1" t="str">
        <f>HYPERLINK("http://www.uniprot.org/uniprot/PYRC_ARATH","PYRC_ARATH")</f>
        <v>PYRC_ARATH</v>
      </c>
      <c r="D4632" t="s">
        <v>4049</v>
      </c>
      <c r="E4632" s="3" t="s">
        <v>3</v>
      </c>
      <c r="F4632" s="4">
        <v>0</v>
      </c>
      <c r="G4632" s="3">
        <v>1621</v>
      </c>
      <c r="H4632" s="3">
        <v>79</v>
      </c>
      <c r="I4632" s="3">
        <v>375</v>
      </c>
      <c r="J4632" s="3">
        <v>257</v>
      </c>
      <c r="K4632" s="3">
        <v>1378</v>
      </c>
      <c r="L4632" s="3">
        <v>1</v>
      </c>
      <c r="M4632" s="3">
        <v>375</v>
      </c>
    </row>
    <row r="4633" spans="1:13" x14ac:dyDescent="0.25">
      <c r="A4633" s="1" t="str">
        <f>HYPERLINK("http://www.rosaceae.org/Prunus/Prunus_persica/p.persica_gdr_reftransV1_0030871","p.persica_gdr_reftransV1_0030871")</f>
        <v>p.persica_gdr_reftransV1_0030871</v>
      </c>
      <c r="B4633" s="3">
        <v>2743</v>
      </c>
      <c r="C4633" s="1" t="str">
        <f>HYPERLINK("http://www.uniprot.org/uniprot/CDPKS_ARATH","CDPKS_ARATH")</f>
        <v>CDPKS_ARATH</v>
      </c>
      <c r="D4633" t="s">
        <v>4050</v>
      </c>
      <c r="E4633" s="3" t="s">
        <v>3</v>
      </c>
      <c r="F4633" s="4">
        <v>0</v>
      </c>
      <c r="G4633" s="3">
        <v>1775</v>
      </c>
      <c r="H4633" s="3">
        <v>82</v>
      </c>
      <c r="I4633" s="3">
        <v>399</v>
      </c>
      <c r="J4633" s="3">
        <v>1049</v>
      </c>
      <c r="K4633" s="3">
        <v>2245</v>
      </c>
      <c r="L4633" s="3">
        <v>16</v>
      </c>
      <c r="M4633" s="3">
        <v>414</v>
      </c>
    </row>
    <row r="4634" spans="1:13" x14ac:dyDescent="0.25">
      <c r="A4634" s="1" t="str">
        <f>HYPERLINK("http://www.rosaceae.org/Prunus/Prunus_persica/p.persica_gdr_reftransV1_0030921","p.persica_gdr_reftransV1_0030921")</f>
        <v>p.persica_gdr_reftransV1_0030921</v>
      </c>
      <c r="B4634" s="3">
        <v>1443</v>
      </c>
      <c r="C4634" s="1" t="str">
        <f>HYPERLINK("http://www.uniprot.org/uniprot/H2AV1_ARATH","H2AV1_ARATH")</f>
        <v>H2AV1_ARATH</v>
      </c>
      <c r="D4634" t="s">
        <v>3944</v>
      </c>
      <c r="E4634" s="3" t="s">
        <v>3</v>
      </c>
      <c r="F4634" s="4">
        <v>1.98E-63</v>
      </c>
      <c r="G4634" s="3">
        <v>530</v>
      </c>
      <c r="H4634" s="3">
        <v>93</v>
      </c>
      <c r="I4634" s="3">
        <v>109</v>
      </c>
      <c r="J4634" s="3">
        <v>675</v>
      </c>
      <c r="K4634" s="3">
        <v>1001</v>
      </c>
      <c r="L4634" s="3">
        <v>28</v>
      </c>
      <c r="M4634" s="3">
        <v>136</v>
      </c>
    </row>
    <row r="4635" spans="1:13" x14ac:dyDescent="0.25">
      <c r="A4635" s="1" t="str">
        <f>HYPERLINK("http://www.rosaceae.org/Prunus/Prunus_persica/p.persica_gdr_reftransV1_0031171","p.persica_gdr_reftransV1_0031171")</f>
        <v>p.persica_gdr_reftransV1_0031171</v>
      </c>
      <c r="B4635" s="3">
        <v>1436</v>
      </c>
      <c r="C4635" s="1" t="str">
        <f>HYPERLINK("http://www.uniprot.org/uniprot/ARIA_ARATH","ARIA_ARATH")</f>
        <v>ARIA_ARATH</v>
      </c>
      <c r="D4635" t="s">
        <v>2658</v>
      </c>
      <c r="E4635" s="3" t="s">
        <v>3</v>
      </c>
      <c r="F4635" s="4">
        <v>0</v>
      </c>
      <c r="G4635" s="3">
        <v>1405</v>
      </c>
      <c r="H4635" s="3">
        <v>70</v>
      </c>
      <c r="I4635" s="3">
        <v>445</v>
      </c>
      <c r="J4635" s="3">
        <v>2</v>
      </c>
      <c r="K4635" s="3">
        <v>1330</v>
      </c>
      <c r="L4635" s="3">
        <v>11</v>
      </c>
      <c r="M4635" s="3">
        <v>448</v>
      </c>
    </row>
    <row r="4636" spans="1:13" x14ac:dyDescent="0.25">
      <c r="A4636" s="1" t="str">
        <f>HYPERLINK("http://www.rosaceae.org/Prunus/Prunus_persica/p.persica_gdr_reftransV1_0031471","p.persica_gdr_reftransV1_0031471")</f>
        <v>p.persica_gdr_reftransV1_0031471</v>
      </c>
      <c r="B4636" s="3">
        <v>1494</v>
      </c>
      <c r="C4636" s="1" t="str">
        <f>HYPERLINK("http://www.uniprot.org/uniprot/CSE_ARATH","CSE_ARATH")</f>
        <v>CSE_ARATH</v>
      </c>
      <c r="D4636" t="s">
        <v>584</v>
      </c>
      <c r="E4636" s="3" t="s">
        <v>3</v>
      </c>
      <c r="F4636" s="4">
        <v>0</v>
      </c>
      <c r="G4636" s="3">
        <v>1409</v>
      </c>
      <c r="H4636" s="3">
        <v>80</v>
      </c>
      <c r="I4636" s="3">
        <v>310</v>
      </c>
      <c r="J4636" s="3">
        <v>337</v>
      </c>
      <c r="K4636" s="3">
        <v>1266</v>
      </c>
      <c r="L4636" s="3">
        <v>21</v>
      </c>
      <c r="M4636" s="3">
        <v>330</v>
      </c>
    </row>
    <row r="4637" spans="1:13" x14ac:dyDescent="0.25">
      <c r="A4637" s="1" t="str">
        <f>HYPERLINK("http://www.rosaceae.org/Prunus/Prunus_persica/p.persica_gdr_reftransV1_0031571","p.persica_gdr_reftransV1_0031571")</f>
        <v>p.persica_gdr_reftransV1_0031571</v>
      </c>
      <c r="B4637" s="3">
        <v>4864</v>
      </c>
      <c r="C4637" s="1" t="str">
        <f>HYPERLINK("http://www.uniprot.org/uniprot/PGDH_BOVIN","PGDH_BOVIN")</f>
        <v>PGDH_BOVIN</v>
      </c>
      <c r="D4637" t="s">
        <v>4051</v>
      </c>
      <c r="E4637" s="3" t="s">
        <v>184</v>
      </c>
      <c r="F4637" s="4">
        <v>7.6599999999999995E-30</v>
      </c>
      <c r="G4637" s="3">
        <v>316</v>
      </c>
      <c r="H4637" s="3">
        <v>33</v>
      </c>
      <c r="I4637" s="3">
        <v>279</v>
      </c>
      <c r="J4637" s="3">
        <v>248</v>
      </c>
      <c r="K4637" s="3">
        <v>1006</v>
      </c>
      <c r="L4637" s="3">
        <v>5</v>
      </c>
      <c r="M4637" s="3">
        <v>260</v>
      </c>
    </row>
    <row r="4638" spans="1:13" x14ac:dyDescent="0.25">
      <c r="A4638" s="1" t="str">
        <f>HYPERLINK("http://www.rosaceae.org/Prunus/Prunus_persica/p.persica_gdr_reftransV1_0031771","p.persica_gdr_reftransV1_0031771")</f>
        <v>p.persica_gdr_reftransV1_0031771</v>
      </c>
      <c r="B4638" s="3">
        <v>2751</v>
      </c>
      <c r="C4638" s="1" t="str">
        <f>HYPERLINK("http://www.uniprot.org/uniprot/RCH2_ARATH","RCH2_ARATH")</f>
        <v>RCH2_ARATH</v>
      </c>
      <c r="D4638" t="s">
        <v>4052</v>
      </c>
      <c r="E4638" s="3" t="s">
        <v>3</v>
      </c>
      <c r="F4638" s="4">
        <v>0</v>
      </c>
      <c r="G4638" s="3">
        <v>2286</v>
      </c>
      <c r="H4638" s="3">
        <v>55</v>
      </c>
      <c r="I4638" s="3">
        <v>853</v>
      </c>
      <c r="J4638" s="3">
        <v>239</v>
      </c>
      <c r="K4638" s="3">
        <v>2749</v>
      </c>
      <c r="L4638" s="3">
        <v>234</v>
      </c>
      <c r="M4638" s="3">
        <v>1081</v>
      </c>
    </row>
    <row r="4639" spans="1:13" x14ac:dyDescent="0.25">
      <c r="A4639" s="1" t="str">
        <f>HYPERLINK("http://www.rosaceae.org/Prunus/Prunus_persica/p.persica_gdr_reftransV1_0032121","p.persica_gdr_reftransV1_0032121")</f>
        <v>p.persica_gdr_reftransV1_0032121</v>
      </c>
      <c r="B4639" s="3">
        <v>602</v>
      </c>
      <c r="C4639" s="1" t="str">
        <f>HYPERLINK("http://www.uniprot.org/uniprot/UBC8_ARATH","UBC8_ARATH")</f>
        <v>UBC8_ARATH</v>
      </c>
      <c r="D4639" t="s">
        <v>4053</v>
      </c>
      <c r="E4639" s="3" t="s">
        <v>3</v>
      </c>
      <c r="F4639" s="4">
        <v>5.9899999999999999E-61</v>
      </c>
      <c r="G4639" s="3">
        <v>490</v>
      </c>
      <c r="H4639" s="3">
        <v>97</v>
      </c>
      <c r="I4639" s="3">
        <v>95</v>
      </c>
      <c r="J4639" s="3">
        <v>69</v>
      </c>
      <c r="K4639" s="3">
        <v>353</v>
      </c>
      <c r="L4639" s="3">
        <v>54</v>
      </c>
      <c r="M4639" s="3">
        <v>148</v>
      </c>
    </row>
    <row r="4640" spans="1:13" x14ac:dyDescent="0.25">
      <c r="A4640" s="1" t="str">
        <f>HYPERLINK("http://www.rosaceae.org/Prunus/Prunus_persica/p.persica_gdr_reftransV1_0032171","p.persica_gdr_reftransV1_0032171")</f>
        <v>p.persica_gdr_reftransV1_0032171</v>
      </c>
      <c r="B4640" s="3">
        <v>1345</v>
      </c>
      <c r="C4640" s="1" t="str">
        <f>HYPERLINK("http://www.uniprot.org/uniprot/EDR2_ARATH","EDR2_ARATH")</f>
        <v>EDR2_ARATH</v>
      </c>
      <c r="D4640" t="s">
        <v>4054</v>
      </c>
      <c r="E4640" s="3" t="s">
        <v>3</v>
      </c>
      <c r="F4640" s="4">
        <v>4.1600000000000002E-7</v>
      </c>
      <c r="G4640" s="3">
        <v>134</v>
      </c>
      <c r="H4640" s="3">
        <v>41</v>
      </c>
      <c r="I4640" s="3">
        <v>76</v>
      </c>
      <c r="J4640" s="3">
        <v>392</v>
      </c>
      <c r="K4640" s="3">
        <v>619</v>
      </c>
      <c r="L4640" s="3">
        <v>500</v>
      </c>
      <c r="M4640" s="3">
        <v>574</v>
      </c>
    </row>
    <row r="4641" spans="1:13" x14ac:dyDescent="0.25">
      <c r="A4641" s="1" t="str">
        <f>HYPERLINK("http://www.rosaceae.org/Prunus/Prunus_persica/p.persica_gdr_reftransV1_0032371","p.persica_gdr_reftransV1_0032371")</f>
        <v>p.persica_gdr_reftransV1_0032371</v>
      </c>
      <c r="B4641" s="3">
        <v>2680</v>
      </c>
      <c r="C4641" s="1" t="str">
        <f>HYPERLINK("http://www.uniprot.org/uniprot/PEL1_ARATH","PEL1_ARATH")</f>
        <v>PEL1_ARATH</v>
      </c>
      <c r="D4641" t="s">
        <v>4055</v>
      </c>
      <c r="E4641" s="3" t="s">
        <v>3</v>
      </c>
      <c r="F4641" s="4">
        <v>1.1399999999999999E-139</v>
      </c>
      <c r="G4641" s="3">
        <v>1098</v>
      </c>
      <c r="H4641" s="3">
        <v>81</v>
      </c>
      <c r="I4641" s="3">
        <v>258</v>
      </c>
      <c r="J4641" s="3">
        <v>1791</v>
      </c>
      <c r="K4641" s="3">
        <v>2558</v>
      </c>
      <c r="L4641" s="3">
        <v>1</v>
      </c>
      <c r="M4641" s="3">
        <v>257</v>
      </c>
    </row>
    <row r="4642" spans="1:13" x14ac:dyDescent="0.25">
      <c r="A4642" s="1" t="str">
        <f>HYPERLINK("http://www.rosaceae.org/Prunus/Prunus_persica/p.persica_gdr_reftransV1_0032471","p.persica_gdr_reftransV1_0032471")</f>
        <v>p.persica_gdr_reftransV1_0032471</v>
      </c>
      <c r="B4642" s="3">
        <v>1803</v>
      </c>
      <c r="C4642" s="1" t="str">
        <f>HYPERLINK("http://www.uniprot.org/uniprot/RH2_ORYSJ","RH2_ORYSJ")</f>
        <v>RH2_ORYSJ</v>
      </c>
      <c r="D4642" t="s">
        <v>4056</v>
      </c>
      <c r="E4642" s="3" t="s">
        <v>38</v>
      </c>
      <c r="F4642" s="4">
        <v>0</v>
      </c>
      <c r="G4642" s="3">
        <v>1915</v>
      </c>
      <c r="H4642" s="3">
        <v>88</v>
      </c>
      <c r="I4642" s="3">
        <v>404</v>
      </c>
      <c r="J4642" s="3">
        <v>328</v>
      </c>
      <c r="K4642" s="3">
        <v>1536</v>
      </c>
      <c r="L4642" s="3">
        <v>1</v>
      </c>
      <c r="M4642" s="3">
        <v>404</v>
      </c>
    </row>
    <row r="4643" spans="1:13" x14ac:dyDescent="0.25">
      <c r="A4643" s="1" t="str">
        <f>HYPERLINK("http://www.rosaceae.org/Prunus/Prunus_persica/p.persica_gdr_reftransV1_0032521","p.persica_gdr_reftransV1_0032521")</f>
        <v>p.persica_gdr_reftransV1_0032521</v>
      </c>
      <c r="B4643" s="3">
        <v>1843</v>
      </c>
      <c r="C4643" s="1" t="str">
        <f>HYPERLINK("http://www.uniprot.org/uniprot/P2C38_ARATH","P2C38_ARATH")</f>
        <v>P2C38_ARATH</v>
      </c>
      <c r="D4643" t="s">
        <v>4057</v>
      </c>
      <c r="E4643" s="3" t="s">
        <v>3</v>
      </c>
      <c r="F4643" s="4">
        <v>0</v>
      </c>
      <c r="G4643" s="3">
        <v>1411</v>
      </c>
      <c r="H4643" s="3">
        <v>77</v>
      </c>
      <c r="I4643" s="3">
        <v>383</v>
      </c>
      <c r="J4643" s="3">
        <v>257</v>
      </c>
      <c r="K4643" s="3">
        <v>1402</v>
      </c>
      <c r="L4643" s="3">
        <v>4</v>
      </c>
      <c r="M4643" s="3">
        <v>378</v>
      </c>
    </row>
    <row r="4644" spans="1:13" x14ac:dyDescent="0.25">
      <c r="A4644" s="1" t="str">
        <f>HYPERLINK("http://www.rosaceae.org/Prunus/Prunus_persica/p.persica_gdr_reftransV1_0032671","p.persica_gdr_reftransV1_0032671")</f>
        <v>p.persica_gdr_reftransV1_0032671</v>
      </c>
      <c r="B4644" s="3">
        <v>1412</v>
      </c>
      <c r="C4644" s="1" t="str">
        <f>HYPERLINK("http://www.uniprot.org/uniprot/Y3184_XANCP","Y3184_XANCP")</f>
        <v>Y3184_XANCP</v>
      </c>
      <c r="D4644" t="s">
        <v>4058</v>
      </c>
      <c r="E4644" s="3" t="s">
        <v>4059</v>
      </c>
      <c r="F4644" s="4">
        <v>8.56E-44</v>
      </c>
      <c r="G4644" s="3">
        <v>398</v>
      </c>
      <c r="H4644" s="3">
        <v>56</v>
      </c>
      <c r="I4644" s="3">
        <v>140</v>
      </c>
      <c r="J4644" s="3">
        <v>339</v>
      </c>
      <c r="K4644" s="3">
        <v>752</v>
      </c>
      <c r="L4644" s="3">
        <v>19</v>
      </c>
      <c r="M4644" s="3">
        <v>158</v>
      </c>
    </row>
    <row r="4645" spans="1:13" x14ac:dyDescent="0.25">
      <c r="A4645" s="1" t="str">
        <f>HYPERLINK("http://www.rosaceae.org/Prunus/Prunus_persica/p.persica_gdr_reftransV1_0032921","p.persica_gdr_reftransV1_0032921")</f>
        <v>p.persica_gdr_reftransV1_0032921</v>
      </c>
      <c r="B4645" s="3">
        <v>2359</v>
      </c>
      <c r="C4645" s="1" t="str">
        <f>HYPERLINK("http://www.uniprot.org/uniprot/NOC4B_XENLA","NOC4B_XENLA")</f>
        <v>NOC4B_XENLA</v>
      </c>
      <c r="D4645" t="s">
        <v>4060</v>
      </c>
      <c r="E4645" s="3" t="s">
        <v>475</v>
      </c>
      <c r="F4645" s="4">
        <v>2.8099999999999999E-47</v>
      </c>
      <c r="G4645" s="3">
        <v>456</v>
      </c>
      <c r="H4645" s="3">
        <v>31</v>
      </c>
      <c r="I4645" s="3">
        <v>429</v>
      </c>
      <c r="J4645" s="3">
        <v>812</v>
      </c>
      <c r="K4645" s="3">
        <v>2059</v>
      </c>
      <c r="L4645" s="3">
        <v>98</v>
      </c>
      <c r="M4645" s="3">
        <v>452</v>
      </c>
    </row>
    <row r="4646" spans="1:13" x14ac:dyDescent="0.25">
      <c r="A4646" s="1" t="str">
        <f>HYPERLINK("http://www.rosaceae.org/Prunus/Prunus_persica/p.persica_gdr_reftransV1_0033371","p.persica_gdr_reftransV1_0033371")</f>
        <v>p.persica_gdr_reftransV1_0033371</v>
      </c>
      <c r="B4646" s="3">
        <v>2783</v>
      </c>
      <c r="C4646" s="1" t="str">
        <f>HYPERLINK("http://www.uniprot.org/uniprot/SBT17_ARATH","SBT17_ARATH")</f>
        <v>SBT17_ARATH</v>
      </c>
      <c r="D4646" t="s">
        <v>218</v>
      </c>
      <c r="E4646" s="3" t="s">
        <v>3</v>
      </c>
      <c r="F4646" s="4">
        <v>0</v>
      </c>
      <c r="G4646" s="3">
        <v>1126</v>
      </c>
      <c r="H4646" s="3">
        <v>51</v>
      </c>
      <c r="I4646" s="3">
        <v>441</v>
      </c>
      <c r="J4646" s="3">
        <v>322</v>
      </c>
      <c r="K4646" s="3">
        <v>1629</v>
      </c>
      <c r="L4646" s="3">
        <v>351</v>
      </c>
      <c r="M4646" s="3">
        <v>757</v>
      </c>
    </row>
    <row r="4647" spans="1:13" x14ac:dyDescent="0.25">
      <c r="A4647" s="1" t="str">
        <f>HYPERLINK("http://www.rosaceae.org/Prunus/Prunus_persica/p.persica_gdr_reftransV1_0033421","p.persica_gdr_reftransV1_0033421")</f>
        <v>p.persica_gdr_reftransV1_0033421</v>
      </c>
      <c r="B4647" s="3">
        <v>752</v>
      </c>
      <c r="C4647" s="1" t="str">
        <f>HYPERLINK("http://www.uniprot.org/uniprot/ASPR_CUCPE","ASPR_CUCPE")</f>
        <v>ASPR_CUCPE</v>
      </c>
      <c r="D4647" t="s">
        <v>4061</v>
      </c>
      <c r="E4647" s="3" t="s">
        <v>2469</v>
      </c>
      <c r="F4647" s="4">
        <v>3.49E-31</v>
      </c>
      <c r="G4647" s="3">
        <v>311</v>
      </c>
      <c r="H4647" s="3">
        <v>60</v>
      </c>
      <c r="I4647" s="3">
        <v>98</v>
      </c>
      <c r="J4647" s="3">
        <v>10</v>
      </c>
      <c r="K4647" s="3">
        <v>303</v>
      </c>
      <c r="L4647" s="3">
        <v>20</v>
      </c>
      <c r="M4647" s="3">
        <v>116</v>
      </c>
    </row>
    <row r="4648" spans="1:13" x14ac:dyDescent="0.25">
      <c r="A4648" s="1" t="str">
        <f>HYPERLINK("http://www.rosaceae.org/Prunus/Prunus_persica/p.persica_gdr_reftransV1_0033471","p.persica_gdr_reftransV1_0033471")</f>
        <v>p.persica_gdr_reftransV1_0033471</v>
      </c>
      <c r="B4648" s="3">
        <v>4291</v>
      </c>
      <c r="C4648" s="1" t="str">
        <f>HYPERLINK("http://www.uniprot.org/uniprot/K1468_XENTR","K1468_XENTR")</f>
        <v>K1468_XENTR</v>
      </c>
      <c r="D4648" t="s">
        <v>4062</v>
      </c>
      <c r="E4648" s="3" t="s">
        <v>173</v>
      </c>
      <c r="F4648" s="4">
        <v>9.9799999999999997E-46</v>
      </c>
      <c r="G4648" s="3">
        <v>452</v>
      </c>
      <c r="H4648" s="3">
        <v>53</v>
      </c>
      <c r="I4648" s="3">
        <v>169</v>
      </c>
      <c r="J4648" s="3">
        <v>2173</v>
      </c>
      <c r="K4648" s="3">
        <v>2667</v>
      </c>
      <c r="L4648" s="3">
        <v>500</v>
      </c>
      <c r="M4648" s="3">
        <v>668</v>
      </c>
    </row>
    <row r="4649" spans="1:13" x14ac:dyDescent="0.25">
      <c r="A4649" s="1" t="str">
        <f>HYPERLINK("http://www.rosaceae.org/Prunus/Prunus_persica/p.persica_gdr_reftransV1_0033721","p.persica_gdr_reftransV1_0033721")</f>
        <v>p.persica_gdr_reftransV1_0033721</v>
      </c>
      <c r="B4649" s="3">
        <v>3408</v>
      </c>
      <c r="C4649" s="1" t="str">
        <f>HYPERLINK("http://www.uniprot.org/uniprot/SUC3_ARATH","SUC3_ARATH")</f>
        <v>SUC3_ARATH</v>
      </c>
      <c r="D4649" t="s">
        <v>4063</v>
      </c>
      <c r="E4649" s="3" t="s">
        <v>3</v>
      </c>
      <c r="F4649" s="4">
        <v>4.0300000000000001E-151</v>
      </c>
      <c r="G4649" s="3">
        <v>1214</v>
      </c>
      <c r="H4649" s="3">
        <v>70</v>
      </c>
      <c r="I4649" s="3">
        <v>338</v>
      </c>
      <c r="J4649" s="3">
        <v>1954</v>
      </c>
      <c r="K4649" s="3">
        <v>2967</v>
      </c>
      <c r="L4649" s="3">
        <v>265</v>
      </c>
      <c r="M4649" s="3">
        <v>594</v>
      </c>
    </row>
    <row r="4650" spans="1:13" x14ac:dyDescent="0.25">
      <c r="A4650" s="1" t="str">
        <f>HYPERLINK("http://www.rosaceae.org/Prunus/Prunus_persica/p.persica_gdr_reftransV1_0034071","p.persica_gdr_reftransV1_0034071")</f>
        <v>p.persica_gdr_reftransV1_0034071</v>
      </c>
      <c r="B4650" s="3">
        <v>2679</v>
      </c>
      <c r="C4650" s="1" t="str">
        <f>HYPERLINK("http://www.uniprot.org/uniprot/IM30_PEA","IM30_PEA")</f>
        <v>IM30_PEA</v>
      </c>
      <c r="D4650" t="s">
        <v>4064</v>
      </c>
      <c r="E4650" s="3" t="s">
        <v>60</v>
      </c>
      <c r="F4650" s="4">
        <v>7.2100000000000004E-82</v>
      </c>
      <c r="G4650" s="3">
        <v>697</v>
      </c>
      <c r="H4650" s="3">
        <v>71</v>
      </c>
      <c r="I4650" s="3">
        <v>203</v>
      </c>
      <c r="J4650" s="3">
        <v>112</v>
      </c>
      <c r="K4650" s="3">
        <v>717</v>
      </c>
      <c r="L4650" s="3">
        <v>1</v>
      </c>
      <c r="M4650" s="3">
        <v>186</v>
      </c>
    </row>
    <row r="4651" spans="1:13" x14ac:dyDescent="0.25">
      <c r="A4651" s="1" t="str">
        <f>HYPERLINK("http://www.rosaceae.org/Prunus/Prunus_persica/p.persica_gdr_reftransV1_0034471","p.persica_gdr_reftransV1_0034471")</f>
        <v>p.persica_gdr_reftransV1_0034471</v>
      </c>
      <c r="B4651" s="3">
        <v>2145</v>
      </c>
      <c r="C4651" s="1" t="str">
        <f>HYPERLINK("http://www.uniprot.org/uniprot/Y4837_ARATH","Y4837_ARATH")</f>
        <v>Y4837_ARATH</v>
      </c>
      <c r="D4651" t="s">
        <v>1335</v>
      </c>
      <c r="E4651" s="3" t="s">
        <v>3</v>
      </c>
      <c r="F4651" s="4">
        <v>1.8000000000000002E-36</v>
      </c>
      <c r="G4651" s="3">
        <v>375</v>
      </c>
      <c r="H4651" s="3">
        <v>28</v>
      </c>
      <c r="I4651" s="3">
        <v>453</v>
      </c>
      <c r="J4651" s="3">
        <v>855</v>
      </c>
      <c r="K4651" s="3">
        <v>2087</v>
      </c>
      <c r="L4651" s="3">
        <v>34</v>
      </c>
      <c r="M4651" s="3">
        <v>471</v>
      </c>
    </row>
    <row r="4652" spans="1:13" x14ac:dyDescent="0.25">
      <c r="A4652" s="1" t="str">
        <f>HYPERLINK("http://www.rosaceae.org/Prunus/Prunus_persica/p.persica_gdr_reftransV1_0034621","p.persica_gdr_reftransV1_0034621")</f>
        <v>p.persica_gdr_reftransV1_0034621</v>
      </c>
      <c r="B4652" s="3">
        <v>437</v>
      </c>
      <c r="C4652" s="1" t="str">
        <f>HYPERLINK("http://www.uniprot.org/uniprot/VESTR_MEDSA","VESTR_MEDSA")</f>
        <v>VESTR_MEDSA</v>
      </c>
      <c r="D4652" t="s">
        <v>3934</v>
      </c>
      <c r="E4652" s="3" t="s">
        <v>515</v>
      </c>
      <c r="F4652" s="4">
        <v>3.5200000000000001E-25</v>
      </c>
      <c r="G4652" s="3">
        <v>254</v>
      </c>
      <c r="H4652" s="3">
        <v>55</v>
      </c>
      <c r="I4652" s="3">
        <v>109</v>
      </c>
      <c r="J4652" s="3">
        <v>61</v>
      </c>
      <c r="K4652" s="3">
        <v>384</v>
      </c>
      <c r="L4652" s="3">
        <v>72</v>
      </c>
      <c r="M4652" s="3">
        <v>180</v>
      </c>
    </row>
    <row r="4653" spans="1:13" x14ac:dyDescent="0.25">
      <c r="A4653" s="1" t="str">
        <f>HYPERLINK("http://www.rosaceae.org/Prunus/Prunus_persica/p.persica_gdr_reftransV1_0034771","p.persica_gdr_reftransV1_0034771")</f>
        <v>p.persica_gdr_reftransV1_0034771</v>
      </c>
      <c r="B4653" s="3">
        <v>1655</v>
      </c>
      <c r="C4653" s="1" t="str">
        <f>HYPERLINK("http://www.uniprot.org/uniprot/ARI8_ARATH","ARI8_ARATH")</f>
        <v>ARI8_ARATH</v>
      </c>
      <c r="D4653" t="s">
        <v>973</v>
      </c>
      <c r="E4653" s="3" t="s">
        <v>3</v>
      </c>
      <c r="F4653" s="4">
        <v>1.5E-162</v>
      </c>
      <c r="G4653" s="3">
        <v>1240</v>
      </c>
      <c r="H4653" s="3">
        <v>57</v>
      </c>
      <c r="I4653" s="3">
        <v>427</v>
      </c>
      <c r="J4653" s="3">
        <v>406</v>
      </c>
      <c r="K4653" s="3">
        <v>1653</v>
      </c>
      <c r="L4653" s="3">
        <v>51</v>
      </c>
      <c r="M4653" s="3">
        <v>461</v>
      </c>
    </row>
    <row r="4654" spans="1:13" x14ac:dyDescent="0.25">
      <c r="A4654" s="1" t="str">
        <f>HYPERLINK("http://www.rosaceae.org/Prunus/Prunus_persica/p.persica_gdr_reftransV1_0034921","p.persica_gdr_reftransV1_0034921")</f>
        <v>p.persica_gdr_reftransV1_0034921</v>
      </c>
      <c r="B4654" s="3">
        <v>2601</v>
      </c>
      <c r="C4654" s="1" t="str">
        <f>HYPERLINK("http://www.uniprot.org/uniprot/AB26B_ARATH","AB26B_ARATH")</f>
        <v>AB26B_ARATH</v>
      </c>
      <c r="D4654" t="s">
        <v>4065</v>
      </c>
      <c r="E4654" s="3" t="s">
        <v>3</v>
      </c>
      <c r="F4654" s="4">
        <v>0</v>
      </c>
      <c r="G4654" s="3">
        <v>1417</v>
      </c>
      <c r="H4654" s="3">
        <v>59</v>
      </c>
      <c r="I4654" s="3">
        <v>488</v>
      </c>
      <c r="J4654" s="3">
        <v>437</v>
      </c>
      <c r="K4654" s="3">
        <v>1900</v>
      </c>
      <c r="L4654" s="3">
        <v>85</v>
      </c>
      <c r="M4654" s="3">
        <v>538</v>
      </c>
    </row>
    <row r="4655" spans="1:13" x14ac:dyDescent="0.25">
      <c r="A4655" s="1" t="str">
        <f>HYPERLINK("http://www.rosaceae.org/Prunus/Prunus_persica/p.persica_gdr_reftransV1_0035471","p.persica_gdr_reftransV1_0035471")</f>
        <v>p.persica_gdr_reftransV1_0035471</v>
      </c>
      <c r="B4655" s="3">
        <v>734</v>
      </c>
      <c r="C4655" s="1" t="str">
        <f>HYPERLINK("http://www.uniprot.org/uniprot/RNG1L_ARATH","RNG1L_ARATH")</f>
        <v>RNG1L_ARATH</v>
      </c>
      <c r="D4655" t="s">
        <v>189</v>
      </c>
      <c r="E4655" s="3" t="s">
        <v>3</v>
      </c>
      <c r="F4655" s="4">
        <v>1.18E-13</v>
      </c>
      <c r="G4655" s="3">
        <v>176</v>
      </c>
      <c r="H4655" s="3">
        <v>45</v>
      </c>
      <c r="I4655" s="3">
        <v>69</v>
      </c>
      <c r="J4655" s="3">
        <v>349</v>
      </c>
      <c r="K4655" s="3">
        <v>555</v>
      </c>
      <c r="L4655" s="3">
        <v>199</v>
      </c>
      <c r="M4655" s="3">
        <v>263</v>
      </c>
    </row>
    <row r="4656" spans="1:13" x14ac:dyDescent="0.25">
      <c r="A4656" s="1" t="str">
        <f>HYPERLINK("http://www.rosaceae.org/Prunus/Prunus_persica/p.persica_gdr_reftransV1_0035721","p.persica_gdr_reftransV1_0035721")</f>
        <v>p.persica_gdr_reftransV1_0035721</v>
      </c>
      <c r="B4656" s="3">
        <v>2213</v>
      </c>
      <c r="C4656" s="1" t="str">
        <f>HYPERLINK("http://www.uniprot.org/uniprot/UAH_ARATH","UAH_ARATH")</f>
        <v>UAH_ARATH</v>
      </c>
      <c r="D4656" t="s">
        <v>1782</v>
      </c>
      <c r="E4656" s="3" t="s">
        <v>3</v>
      </c>
      <c r="F4656" s="4">
        <v>0</v>
      </c>
      <c r="G4656" s="3">
        <v>1526</v>
      </c>
      <c r="H4656" s="3">
        <v>71</v>
      </c>
      <c r="I4656" s="3">
        <v>448</v>
      </c>
      <c r="J4656" s="3">
        <v>137</v>
      </c>
      <c r="K4656" s="3">
        <v>1471</v>
      </c>
      <c r="L4656" s="3">
        <v>26</v>
      </c>
      <c r="M4656" s="3">
        <v>431</v>
      </c>
    </row>
    <row r="4657" spans="1:13" x14ac:dyDescent="0.25">
      <c r="A4657" s="1" t="str">
        <f>HYPERLINK("http://www.rosaceae.org/Prunus/Prunus_persica/p.persica_gdr_reftransV1_0035871","p.persica_gdr_reftransV1_0035871")</f>
        <v>p.persica_gdr_reftransV1_0035871</v>
      </c>
      <c r="B4657" s="3">
        <v>2721</v>
      </c>
      <c r="C4657" s="1" t="str">
        <f>HYPERLINK("http://www.uniprot.org/uniprot/P2A10_ARATH","P2A10_ARATH")</f>
        <v>P2A10_ARATH</v>
      </c>
      <c r="D4657" t="s">
        <v>4066</v>
      </c>
      <c r="E4657" s="3" t="s">
        <v>3</v>
      </c>
      <c r="F4657" s="4">
        <v>9.3000000000000007E-114</v>
      </c>
      <c r="G4657" s="3">
        <v>927</v>
      </c>
      <c r="H4657" s="3">
        <v>52</v>
      </c>
      <c r="I4657" s="3">
        <v>410</v>
      </c>
      <c r="J4657" s="3">
        <v>1126</v>
      </c>
      <c r="K4657" s="3">
        <v>2346</v>
      </c>
      <c r="L4657" s="3">
        <v>6</v>
      </c>
      <c r="M4657" s="3">
        <v>401</v>
      </c>
    </row>
    <row r="4658" spans="1:13" x14ac:dyDescent="0.25">
      <c r="A4658" s="1" t="str">
        <f>HYPERLINK("http://www.rosaceae.org/Prunus/Prunus_persica/p.persica_gdr_reftransV1_0035921","p.persica_gdr_reftransV1_0035921")</f>
        <v>p.persica_gdr_reftransV1_0035921</v>
      </c>
      <c r="B4658" s="3">
        <v>3729</v>
      </c>
      <c r="C4658" s="1" t="str">
        <f>HYPERLINK("http://www.uniprot.org/uniprot/FBL25_ARATH","FBL25_ARATH")</f>
        <v>FBL25_ARATH</v>
      </c>
      <c r="D4658" t="s">
        <v>4067</v>
      </c>
      <c r="E4658" s="3" t="s">
        <v>3</v>
      </c>
      <c r="F4658" s="4">
        <v>3.0999999999999999E-15</v>
      </c>
      <c r="G4658" s="3">
        <v>200</v>
      </c>
      <c r="H4658" s="3">
        <v>26</v>
      </c>
      <c r="I4658" s="3">
        <v>270</v>
      </c>
      <c r="J4658" s="3">
        <v>2137</v>
      </c>
      <c r="K4658" s="3">
        <v>2934</v>
      </c>
      <c r="L4658" s="3">
        <v>20</v>
      </c>
      <c r="M4658" s="3">
        <v>256</v>
      </c>
    </row>
    <row r="4659" spans="1:13" x14ac:dyDescent="0.25">
      <c r="A4659" s="1" t="str">
        <f>HYPERLINK("http://www.rosaceae.org/Prunus/Prunus_persica/p.persica_gdr_reftransV1_0036471","p.persica_gdr_reftransV1_0036471")</f>
        <v>p.persica_gdr_reftransV1_0036471</v>
      </c>
      <c r="B4659" s="3">
        <v>1338</v>
      </c>
      <c r="C4659" s="1" t="str">
        <f>HYPERLINK("http://www.uniprot.org/uniprot/MD22B_ARATH","MD22B_ARATH")</f>
        <v>MD22B_ARATH</v>
      </c>
      <c r="D4659" t="s">
        <v>4068</v>
      </c>
      <c r="E4659" s="3" t="s">
        <v>3</v>
      </c>
      <c r="F4659" s="4">
        <v>9.3499999999999998E-42</v>
      </c>
      <c r="G4659" s="3">
        <v>380</v>
      </c>
      <c r="H4659" s="3">
        <v>80</v>
      </c>
      <c r="I4659" s="3">
        <v>115</v>
      </c>
      <c r="J4659" s="3">
        <v>153</v>
      </c>
      <c r="K4659" s="3">
        <v>497</v>
      </c>
      <c r="L4659" s="3">
        <v>35</v>
      </c>
      <c r="M4659" s="3">
        <v>149</v>
      </c>
    </row>
    <row r="4660" spans="1:13" x14ac:dyDescent="0.25">
      <c r="A4660" s="1" t="str">
        <f>HYPERLINK("http://www.rosaceae.org/Prunus/Prunus_persica/p.persica_gdr_reftransV1_0036771","p.persica_gdr_reftransV1_0036771")</f>
        <v>p.persica_gdr_reftransV1_0036771</v>
      </c>
      <c r="B4660" s="3">
        <v>1616</v>
      </c>
      <c r="C4660" s="1" t="str">
        <f>HYPERLINK("http://www.uniprot.org/uniprot/PYRH_TRIEI","PYRH_TRIEI")</f>
        <v>PYRH_TRIEI</v>
      </c>
      <c r="D4660" t="s">
        <v>4069</v>
      </c>
      <c r="E4660" s="3" t="s">
        <v>4070</v>
      </c>
      <c r="F4660" s="4">
        <v>1E-54</v>
      </c>
      <c r="G4660" s="3">
        <v>483</v>
      </c>
      <c r="H4660" s="3">
        <v>56</v>
      </c>
      <c r="I4660" s="3">
        <v>176</v>
      </c>
      <c r="J4660" s="3">
        <v>834</v>
      </c>
      <c r="K4660" s="3">
        <v>1355</v>
      </c>
      <c r="L4660" s="3">
        <v>47</v>
      </c>
      <c r="M4660" s="3">
        <v>216</v>
      </c>
    </row>
    <row r="4661" spans="1:13" x14ac:dyDescent="0.25">
      <c r="A4661" s="1" t="str">
        <f>HYPERLINK("http://www.rosaceae.org/Prunus/Prunus_persica/p.persica_gdr_reftransV1_0036821","p.persica_gdr_reftransV1_0036821")</f>
        <v>p.persica_gdr_reftransV1_0036821</v>
      </c>
      <c r="B4661" s="3">
        <v>4046</v>
      </c>
      <c r="C4661" s="1" t="str">
        <f>HYPERLINK("http://www.uniprot.org/uniprot/RKF1_ARATH","RKF1_ARATH")</f>
        <v>RKF1_ARATH</v>
      </c>
      <c r="D4661" t="s">
        <v>4071</v>
      </c>
      <c r="E4661" s="3" t="s">
        <v>3</v>
      </c>
      <c r="F4661" s="4">
        <v>0</v>
      </c>
      <c r="G4661" s="3">
        <v>2085</v>
      </c>
      <c r="H4661" s="3">
        <v>60</v>
      </c>
      <c r="I4661" s="3">
        <v>690</v>
      </c>
      <c r="J4661" s="3">
        <v>1633</v>
      </c>
      <c r="K4661" s="3">
        <v>3678</v>
      </c>
      <c r="L4661" s="3">
        <v>295</v>
      </c>
      <c r="M4661" s="3">
        <v>981</v>
      </c>
    </row>
    <row r="4662" spans="1:13" x14ac:dyDescent="0.25">
      <c r="A4662" s="1" t="str">
        <f>HYPERLINK("http://www.rosaceae.org/Prunus/Prunus_persica/p.persica_gdr_reftransV1_0037421","p.persica_gdr_reftransV1_0037421")</f>
        <v>p.persica_gdr_reftransV1_0037421</v>
      </c>
      <c r="B4662" s="3">
        <v>2262</v>
      </c>
      <c r="C4662" s="1" t="str">
        <f>HYPERLINK("http://www.uniprot.org/uniprot/EF118_ARATH","EF118_ARATH")</f>
        <v>EF118_ARATH</v>
      </c>
      <c r="D4662" t="s">
        <v>4072</v>
      </c>
      <c r="E4662" s="3" t="s">
        <v>3</v>
      </c>
      <c r="F4662" s="4">
        <v>1.6800000000000001E-22</v>
      </c>
      <c r="G4662" s="3">
        <v>257</v>
      </c>
      <c r="H4662" s="3">
        <v>33</v>
      </c>
      <c r="I4662" s="3">
        <v>335</v>
      </c>
      <c r="J4662" s="3">
        <v>894</v>
      </c>
      <c r="K4662" s="3">
        <v>1832</v>
      </c>
      <c r="L4662" s="3">
        <v>31</v>
      </c>
      <c r="M4662" s="3">
        <v>316</v>
      </c>
    </row>
    <row r="4663" spans="1:13" x14ac:dyDescent="0.25">
      <c r="A4663" s="1" t="str">
        <f>HYPERLINK("http://www.rosaceae.org/Prunus/Prunus_persica/p.persica_gdr_reftransV1_0037671","p.persica_gdr_reftransV1_0037671")</f>
        <v>p.persica_gdr_reftransV1_0037671</v>
      </c>
      <c r="B4663" s="3">
        <v>4855</v>
      </c>
      <c r="C4663" s="1" t="str">
        <f>HYPERLINK("http://www.uniprot.org/uniprot/REV1_ARATH","REV1_ARATH")</f>
        <v>REV1_ARATH</v>
      </c>
      <c r="D4663" t="s">
        <v>4073</v>
      </c>
      <c r="E4663" s="3" t="s">
        <v>3</v>
      </c>
      <c r="F4663" s="4">
        <v>0</v>
      </c>
      <c r="G4663" s="3">
        <v>2250</v>
      </c>
      <c r="H4663" s="3">
        <v>63</v>
      </c>
      <c r="I4663" s="3">
        <v>731</v>
      </c>
      <c r="J4663" s="3">
        <v>2401</v>
      </c>
      <c r="K4663" s="3">
        <v>4539</v>
      </c>
      <c r="L4663" s="3">
        <v>33</v>
      </c>
      <c r="M4663" s="3">
        <v>747</v>
      </c>
    </row>
    <row r="4664" spans="1:13" x14ac:dyDescent="0.25">
      <c r="A4664" s="1" t="str">
        <f>HYPERLINK("http://www.rosaceae.org/Prunus/Prunus_persica/p.persica_gdr_reftransV1_0037721","p.persica_gdr_reftransV1_0037721")</f>
        <v>p.persica_gdr_reftransV1_0037721</v>
      </c>
      <c r="B4664" s="3">
        <v>4674</v>
      </c>
      <c r="C4664" s="1" t="str">
        <f>HYPERLINK("http://www.uniprot.org/uniprot/CLV2_ARATH","CLV2_ARATH")</f>
        <v>CLV2_ARATH</v>
      </c>
      <c r="D4664" t="s">
        <v>4074</v>
      </c>
      <c r="E4664" s="3" t="s">
        <v>3</v>
      </c>
      <c r="F4664" s="4">
        <v>0</v>
      </c>
      <c r="G4664" s="3">
        <v>2060</v>
      </c>
      <c r="H4664" s="3">
        <v>64</v>
      </c>
      <c r="I4664" s="3">
        <v>700</v>
      </c>
      <c r="J4664" s="3">
        <v>515</v>
      </c>
      <c r="K4664" s="3">
        <v>2608</v>
      </c>
      <c r="L4664" s="3">
        <v>25</v>
      </c>
      <c r="M4664" s="3">
        <v>720</v>
      </c>
    </row>
    <row r="4665" spans="1:13" x14ac:dyDescent="0.25">
      <c r="A4665" s="1" t="str">
        <f>HYPERLINK("http://www.rosaceae.org/Prunus/Prunus_persica/p.persica_gdr_reftransV1_0037771","p.persica_gdr_reftransV1_0037771")</f>
        <v>p.persica_gdr_reftransV1_0037771</v>
      </c>
      <c r="B4665" s="3">
        <v>1030</v>
      </c>
      <c r="C4665" s="1" t="str">
        <f>HYPERLINK("http://www.uniprot.org/uniprot/CP20A_ARATH","CP20A_ARATH")</f>
        <v>CP20A_ARATH</v>
      </c>
      <c r="D4665" t="s">
        <v>4075</v>
      </c>
      <c r="E4665" s="3" t="s">
        <v>3</v>
      </c>
      <c r="F4665" s="4">
        <v>1.5499999999999999E-72</v>
      </c>
      <c r="G4665" s="3">
        <v>586</v>
      </c>
      <c r="H4665" s="3">
        <v>86</v>
      </c>
      <c r="I4665" s="3">
        <v>139</v>
      </c>
      <c r="J4665" s="3">
        <v>485</v>
      </c>
      <c r="K4665" s="3">
        <v>901</v>
      </c>
      <c r="L4665" s="3">
        <v>21</v>
      </c>
      <c r="M4665" s="3">
        <v>159</v>
      </c>
    </row>
    <row r="4666" spans="1:13" x14ac:dyDescent="0.25">
      <c r="A4666" s="1" t="str">
        <f>HYPERLINK("http://www.rosaceae.org/Prunus/Prunus_persica/p.persica_gdr_reftransV1_0037921","p.persica_gdr_reftransV1_0037921")</f>
        <v>p.persica_gdr_reftransV1_0037921</v>
      </c>
      <c r="B4666" s="3">
        <v>2127</v>
      </c>
      <c r="C4666" s="1" t="str">
        <f>HYPERLINK("http://www.uniprot.org/uniprot/PP216_ARATH","PP216_ARATH")</f>
        <v>PP216_ARATH</v>
      </c>
      <c r="D4666" t="s">
        <v>4076</v>
      </c>
      <c r="E4666" s="3" t="s">
        <v>3</v>
      </c>
      <c r="F4666" s="4">
        <v>0</v>
      </c>
      <c r="G4666" s="3">
        <v>1787</v>
      </c>
      <c r="H4666" s="3">
        <v>74</v>
      </c>
      <c r="I4666" s="3">
        <v>454</v>
      </c>
      <c r="J4666" s="3">
        <v>667</v>
      </c>
      <c r="K4666" s="3">
        <v>2028</v>
      </c>
      <c r="L4666" s="3">
        <v>22</v>
      </c>
      <c r="M4666" s="3">
        <v>466</v>
      </c>
    </row>
    <row r="4667" spans="1:13" x14ac:dyDescent="0.25">
      <c r="A4667" s="1" t="str">
        <f>HYPERLINK("http://www.rosaceae.org/Prunus/Prunus_persica/p.persica_gdr_reftransV1_0038271","p.persica_gdr_reftransV1_0038271")</f>
        <v>p.persica_gdr_reftransV1_0038271</v>
      </c>
      <c r="B4667" s="3">
        <v>2161</v>
      </c>
      <c r="C4667" s="1" t="str">
        <f>HYPERLINK("http://www.uniprot.org/uniprot/FRL4A_ARATH","FRL4A_ARATH")</f>
        <v>FRL4A_ARATH</v>
      </c>
      <c r="D4667" t="s">
        <v>3985</v>
      </c>
      <c r="E4667" s="3" t="s">
        <v>3</v>
      </c>
      <c r="F4667" s="4">
        <v>1.6800000000000001E-49</v>
      </c>
      <c r="G4667" s="3">
        <v>472</v>
      </c>
      <c r="H4667" s="3">
        <v>32</v>
      </c>
      <c r="I4667" s="3">
        <v>428</v>
      </c>
      <c r="J4667" s="3">
        <v>361</v>
      </c>
      <c r="K4667" s="3">
        <v>1593</v>
      </c>
      <c r="L4667" s="3">
        <v>91</v>
      </c>
      <c r="M4667" s="3">
        <v>486</v>
      </c>
    </row>
    <row r="4668" spans="1:13" x14ac:dyDescent="0.25">
      <c r="A4668" s="1" t="str">
        <f>HYPERLINK("http://www.rosaceae.org/Prunus/Prunus_persica/p.persica_gdr_reftransV1_0038321","p.persica_gdr_reftransV1_0038321")</f>
        <v>p.persica_gdr_reftransV1_0038321</v>
      </c>
      <c r="B4668" s="3">
        <v>1672</v>
      </c>
      <c r="C4668" s="1" t="str">
        <f>HYPERLINK("http://www.uniprot.org/uniprot/TRB2_ARATH","TRB2_ARATH")</f>
        <v>TRB2_ARATH</v>
      </c>
      <c r="D4668" t="s">
        <v>4077</v>
      </c>
      <c r="E4668" s="3" t="s">
        <v>3</v>
      </c>
      <c r="F4668" s="4">
        <v>2.1099999999999998E-68</v>
      </c>
      <c r="G4668" s="3">
        <v>584</v>
      </c>
      <c r="H4668" s="3">
        <v>53</v>
      </c>
      <c r="I4668" s="3">
        <v>240</v>
      </c>
      <c r="J4668" s="3">
        <v>394</v>
      </c>
      <c r="K4668" s="3">
        <v>1104</v>
      </c>
      <c r="L4668" s="3">
        <v>1</v>
      </c>
      <c r="M4668" s="3">
        <v>240</v>
      </c>
    </row>
    <row r="4669" spans="1:13" x14ac:dyDescent="0.25">
      <c r="A4669" s="1" t="str">
        <f>HYPERLINK("http://www.rosaceae.org/Prunus/Prunus_persica/p.persica_gdr_reftransV1_0038371","p.persica_gdr_reftransV1_0038371")</f>
        <v>p.persica_gdr_reftransV1_0038371</v>
      </c>
      <c r="B4669" s="3">
        <v>1762</v>
      </c>
      <c r="C4669" s="1" t="str">
        <f>HYPERLINK("http://www.uniprot.org/uniprot/NUDT4_ARATH","NUDT4_ARATH")</f>
        <v>NUDT4_ARATH</v>
      </c>
      <c r="D4669" t="s">
        <v>2689</v>
      </c>
      <c r="E4669" s="3" t="s">
        <v>3</v>
      </c>
      <c r="F4669" s="4">
        <v>5.8899999999999999E-24</v>
      </c>
      <c r="G4669" s="3">
        <v>226</v>
      </c>
      <c r="H4669" s="3">
        <v>44</v>
      </c>
      <c r="I4669" s="3">
        <v>104</v>
      </c>
      <c r="J4669" s="3">
        <v>704</v>
      </c>
      <c r="K4669" s="3">
        <v>1015</v>
      </c>
      <c r="L4669" s="3">
        <v>101</v>
      </c>
      <c r="M4669" s="3">
        <v>173</v>
      </c>
    </row>
    <row r="4670" spans="1:13" x14ac:dyDescent="0.25">
      <c r="A4670" s="1" t="str">
        <f>HYPERLINK("http://www.rosaceae.org/Prunus/Prunus_persica/p.persica_gdr_reftransV1_0038671","p.persica_gdr_reftransV1_0038671")</f>
        <v>p.persica_gdr_reftransV1_0038671</v>
      </c>
      <c r="B4670" s="3">
        <v>2330</v>
      </c>
      <c r="C4670" s="1" t="str">
        <f>HYPERLINK("http://www.uniprot.org/uniprot/VRN1_ARATH","VRN1_ARATH")</f>
        <v>VRN1_ARATH</v>
      </c>
      <c r="D4670" t="s">
        <v>4078</v>
      </c>
      <c r="E4670" s="3" t="s">
        <v>3</v>
      </c>
      <c r="F4670" s="4">
        <v>3.73E-16</v>
      </c>
      <c r="G4670" s="3">
        <v>207</v>
      </c>
      <c r="H4670" s="3">
        <v>39</v>
      </c>
      <c r="I4670" s="3">
        <v>102</v>
      </c>
      <c r="J4670" s="3">
        <v>172</v>
      </c>
      <c r="K4670" s="3">
        <v>477</v>
      </c>
      <c r="L4670" s="3">
        <v>4</v>
      </c>
      <c r="M4670" s="3">
        <v>105</v>
      </c>
    </row>
    <row r="4671" spans="1:13" x14ac:dyDescent="0.25">
      <c r="A4671" s="1" t="str">
        <f>HYPERLINK("http://www.rosaceae.org/Prunus/Prunus_persica/p.persica_gdr_reftransV1_0038921","p.persica_gdr_reftransV1_0038921")</f>
        <v>p.persica_gdr_reftransV1_0038921</v>
      </c>
      <c r="B4671" s="3">
        <v>1768</v>
      </c>
      <c r="C4671" s="1" t="str">
        <f>HYPERLINK("http://www.uniprot.org/uniprot/BI1_ARATH","BI1_ARATH")</f>
        <v>BI1_ARATH</v>
      </c>
      <c r="D4671" t="s">
        <v>4079</v>
      </c>
      <c r="E4671" s="3" t="s">
        <v>3</v>
      </c>
      <c r="F4671" s="4">
        <v>2.2399999999999998E-49</v>
      </c>
      <c r="G4671" s="3">
        <v>448</v>
      </c>
      <c r="H4671" s="3">
        <v>68</v>
      </c>
      <c r="I4671" s="3">
        <v>117</v>
      </c>
      <c r="J4671" s="3">
        <v>148</v>
      </c>
      <c r="K4671" s="3">
        <v>498</v>
      </c>
      <c r="L4671" s="3">
        <v>1</v>
      </c>
      <c r="M4671" s="3">
        <v>116</v>
      </c>
    </row>
    <row r="4672" spans="1:13" x14ac:dyDescent="0.25">
      <c r="A4672" s="1" t="str">
        <f>HYPERLINK("http://www.rosaceae.org/Prunus/Prunus_persica/p.persica_gdr_reftransV1_0039421","p.persica_gdr_reftransV1_0039421")</f>
        <v>p.persica_gdr_reftransV1_0039421</v>
      </c>
      <c r="B4672" s="3">
        <v>2226</v>
      </c>
      <c r="C4672" s="1" t="str">
        <f>HYPERLINK("http://www.uniprot.org/uniprot/MNMA_BORHD","MNMA_BORHD")</f>
        <v>MNMA_BORHD</v>
      </c>
      <c r="D4672" t="s">
        <v>4080</v>
      </c>
      <c r="E4672" s="3" t="s">
        <v>4081</v>
      </c>
      <c r="F4672" s="4">
        <v>4.3100000000000001E-64</v>
      </c>
      <c r="G4672" s="3">
        <v>568</v>
      </c>
      <c r="H4672" s="3">
        <v>50</v>
      </c>
      <c r="I4672" s="3">
        <v>215</v>
      </c>
      <c r="J4672" s="3">
        <v>286</v>
      </c>
      <c r="K4672" s="3">
        <v>927</v>
      </c>
      <c r="L4672" s="3">
        <v>1</v>
      </c>
      <c r="M4672" s="3">
        <v>208</v>
      </c>
    </row>
    <row r="4673" spans="1:13" x14ac:dyDescent="0.25">
      <c r="A4673" s="1" t="str">
        <f>HYPERLINK("http://www.rosaceae.org/Prunus/Prunus_persica/p.persica_gdr_reftransV1_0039571","p.persica_gdr_reftransV1_0039571")</f>
        <v>p.persica_gdr_reftransV1_0039571</v>
      </c>
      <c r="B4673" s="3">
        <v>3190</v>
      </c>
      <c r="C4673" s="1" t="str">
        <f>HYPERLINK("http://www.uniprot.org/uniprot/Y7797_ORYSJ","Y7797_ORYSJ")</f>
        <v>Y7797_ORYSJ</v>
      </c>
      <c r="D4673" t="s">
        <v>4082</v>
      </c>
      <c r="E4673" s="3" t="s">
        <v>38</v>
      </c>
      <c r="F4673" s="4">
        <v>0</v>
      </c>
      <c r="G4673" s="3">
        <v>2055</v>
      </c>
      <c r="H4673" s="3">
        <v>51</v>
      </c>
      <c r="I4673" s="3">
        <v>918</v>
      </c>
      <c r="J4673" s="3">
        <v>359</v>
      </c>
      <c r="K4673" s="3">
        <v>2896</v>
      </c>
      <c r="L4673" s="3">
        <v>15</v>
      </c>
      <c r="M4673" s="3">
        <v>913</v>
      </c>
    </row>
    <row r="4674" spans="1:13" x14ac:dyDescent="0.25">
      <c r="A4674" s="1" t="str">
        <f>HYPERLINK("http://www.rosaceae.org/Prunus/Prunus_persica/p.persica_gdr_reftransV1_0039671","p.persica_gdr_reftransV1_0039671")</f>
        <v>p.persica_gdr_reftransV1_0039671</v>
      </c>
      <c r="B4674" s="3">
        <v>3022</v>
      </c>
      <c r="C4674" s="1" t="str">
        <f>HYPERLINK("http://www.uniprot.org/uniprot/ODBB2_ARATH","ODBB2_ARATH")</f>
        <v>ODBB2_ARATH</v>
      </c>
      <c r="D4674" t="s">
        <v>4083</v>
      </c>
      <c r="E4674" s="3" t="s">
        <v>3</v>
      </c>
      <c r="F4674" s="4">
        <v>7.5699999999999998E-88</v>
      </c>
      <c r="G4674" s="3">
        <v>747</v>
      </c>
      <c r="H4674" s="3">
        <v>93</v>
      </c>
      <c r="I4674" s="3">
        <v>146</v>
      </c>
      <c r="J4674" s="3">
        <v>167</v>
      </c>
      <c r="K4674" s="3">
        <v>604</v>
      </c>
      <c r="L4674" s="3">
        <v>34</v>
      </c>
      <c r="M4674" s="3">
        <v>179</v>
      </c>
    </row>
    <row r="4675" spans="1:13" x14ac:dyDescent="0.25">
      <c r="A4675" s="1" t="str">
        <f>HYPERLINK("http://www.rosaceae.org/Prunus/Prunus_persica/p.persica_gdr_reftransV1_0039821","p.persica_gdr_reftransV1_0039821")</f>
        <v>p.persica_gdr_reftransV1_0039821</v>
      </c>
      <c r="B4675" s="3">
        <v>2542</v>
      </c>
      <c r="C4675" s="1" t="str">
        <f>HYPERLINK("http://www.uniprot.org/uniprot/GTE4_ARATH","GTE4_ARATH")</f>
        <v>GTE4_ARATH</v>
      </c>
      <c r="D4675" t="s">
        <v>4084</v>
      </c>
      <c r="E4675" s="3" t="s">
        <v>3</v>
      </c>
      <c r="F4675" s="4">
        <v>2.2399999999999998E-93</v>
      </c>
      <c r="G4675" s="3">
        <v>810</v>
      </c>
      <c r="H4675" s="3">
        <v>49</v>
      </c>
      <c r="I4675" s="3">
        <v>433</v>
      </c>
      <c r="J4675" s="3">
        <v>617</v>
      </c>
      <c r="K4675" s="3">
        <v>1891</v>
      </c>
      <c r="L4675" s="3">
        <v>268</v>
      </c>
      <c r="M4675" s="3">
        <v>690</v>
      </c>
    </row>
    <row r="4676" spans="1:13" x14ac:dyDescent="0.25">
      <c r="A4676" s="1" t="str">
        <f>HYPERLINK("http://www.rosaceae.org/Prunus/Prunus_persica/p.persica_gdr_reftransV1_0039971","p.persica_gdr_reftransV1_0039971")</f>
        <v>p.persica_gdr_reftransV1_0039971</v>
      </c>
      <c r="B4676" s="3">
        <v>2052</v>
      </c>
      <c r="C4676" s="1" t="str">
        <f>HYPERLINK("http://www.uniprot.org/uniprot/BPA1_ARATH","BPA1_ARATH")</f>
        <v>BPA1_ARATH</v>
      </c>
      <c r="D4676" t="s">
        <v>4085</v>
      </c>
      <c r="E4676" s="3" t="s">
        <v>3</v>
      </c>
      <c r="F4676" s="4">
        <v>5.9400000000000003E-34</v>
      </c>
      <c r="G4676" s="3">
        <v>339</v>
      </c>
      <c r="H4676" s="3">
        <v>50</v>
      </c>
      <c r="I4676" s="3">
        <v>132</v>
      </c>
      <c r="J4676" s="3">
        <v>527</v>
      </c>
      <c r="K4676" s="3">
        <v>922</v>
      </c>
      <c r="L4676" s="3">
        <v>97</v>
      </c>
      <c r="M4676" s="3">
        <v>228</v>
      </c>
    </row>
    <row r="4677" spans="1:13" x14ac:dyDescent="0.25">
      <c r="A4677" s="1" t="str">
        <f>HYPERLINK("http://www.rosaceae.org/Prunus/Prunus_persica/p.persica_gdr_reftransV1_0040121","p.persica_gdr_reftransV1_0040121")</f>
        <v>p.persica_gdr_reftransV1_0040121</v>
      </c>
      <c r="B4677" s="3">
        <v>2907</v>
      </c>
      <c r="C4677" s="1" t="str">
        <f>HYPERLINK("http://www.uniprot.org/uniprot/UBA3_ARATH","UBA3_ARATH")</f>
        <v>UBA3_ARATH</v>
      </c>
      <c r="D4677" t="s">
        <v>4086</v>
      </c>
      <c r="E4677" s="3" t="s">
        <v>3</v>
      </c>
      <c r="F4677" s="4">
        <v>1.1800000000000001E-140</v>
      </c>
      <c r="G4677" s="3">
        <v>1118</v>
      </c>
      <c r="H4677" s="3">
        <v>75</v>
      </c>
      <c r="I4677" s="3">
        <v>291</v>
      </c>
      <c r="J4677" s="3">
        <v>1662</v>
      </c>
      <c r="K4677" s="3">
        <v>2531</v>
      </c>
      <c r="L4677" s="3">
        <v>161</v>
      </c>
      <c r="M4677" s="3">
        <v>451</v>
      </c>
    </row>
    <row r="4678" spans="1:13" x14ac:dyDescent="0.25">
      <c r="A4678" s="1" t="str">
        <f>HYPERLINK("http://www.rosaceae.org/Prunus/Prunus_persica/p.persica_gdr_reftransV1_0040171","p.persica_gdr_reftransV1_0040171")</f>
        <v>p.persica_gdr_reftransV1_0040171</v>
      </c>
      <c r="B4678" s="3">
        <v>4359</v>
      </c>
      <c r="C4678" s="1" t="str">
        <f>HYPERLINK("http://www.uniprot.org/uniprot/RENT2_ARATH","RENT2_ARATH")</f>
        <v>RENT2_ARATH</v>
      </c>
      <c r="D4678" t="s">
        <v>4087</v>
      </c>
      <c r="E4678" s="3" t="s">
        <v>3</v>
      </c>
      <c r="F4678" s="4">
        <v>0</v>
      </c>
      <c r="G4678" s="3">
        <v>4073</v>
      </c>
      <c r="H4678" s="3">
        <v>72</v>
      </c>
      <c r="I4678" s="3">
        <v>1170</v>
      </c>
      <c r="J4678" s="3">
        <v>715</v>
      </c>
      <c r="K4678" s="3">
        <v>4164</v>
      </c>
      <c r="L4678" s="3">
        <v>1</v>
      </c>
      <c r="M4678" s="3">
        <v>1151</v>
      </c>
    </row>
    <row r="4679" spans="1:13" x14ac:dyDescent="0.25">
      <c r="A4679" s="1" t="str">
        <f>HYPERLINK("http://www.rosaceae.org/Prunus/Prunus_persica/p.persica_gdr_reftransV1_0040221","p.persica_gdr_reftransV1_0040221")</f>
        <v>p.persica_gdr_reftransV1_0040221</v>
      </c>
      <c r="B4679" s="3">
        <v>1965</v>
      </c>
      <c r="C4679" s="1" t="str">
        <f>HYPERLINK("http://www.uniprot.org/uniprot/PP338_ARATH","PP338_ARATH")</f>
        <v>PP338_ARATH</v>
      </c>
      <c r="D4679" t="s">
        <v>4088</v>
      </c>
      <c r="E4679" s="3" t="s">
        <v>3</v>
      </c>
      <c r="F4679" s="4">
        <v>0</v>
      </c>
      <c r="G4679" s="3">
        <v>1550</v>
      </c>
      <c r="H4679" s="3">
        <v>65</v>
      </c>
      <c r="I4679" s="3">
        <v>431</v>
      </c>
      <c r="J4679" s="3">
        <v>450</v>
      </c>
      <c r="K4679" s="3">
        <v>1742</v>
      </c>
      <c r="L4679" s="3">
        <v>90</v>
      </c>
      <c r="M4679" s="3">
        <v>520</v>
      </c>
    </row>
    <row r="4680" spans="1:13" x14ac:dyDescent="0.25">
      <c r="A4680" s="1" t="str">
        <f>HYPERLINK("http://www.rosaceae.org/Prunus/Prunus_persica/p.persica_gdr_reftransV1_0040271","p.persica_gdr_reftransV1_0040271")</f>
        <v>p.persica_gdr_reftransV1_0040271</v>
      </c>
      <c r="B4680" s="3">
        <v>1151</v>
      </c>
      <c r="C4680" s="1" t="str">
        <f>HYPERLINK("http://www.uniprot.org/uniprot/idM2L_ARATH","idM2L_ARATH")</f>
        <v>idM2L_ARATH</v>
      </c>
      <c r="D4680" t="s">
        <v>4089</v>
      </c>
      <c r="E4680" s="3" t="s">
        <v>3</v>
      </c>
      <c r="F4680" s="4">
        <v>4.5300000000000003E-61</v>
      </c>
      <c r="G4680" s="3">
        <v>513</v>
      </c>
      <c r="H4680" s="3">
        <v>57</v>
      </c>
      <c r="I4680" s="3">
        <v>184</v>
      </c>
      <c r="J4680" s="3">
        <v>470</v>
      </c>
      <c r="K4680" s="3">
        <v>1009</v>
      </c>
      <c r="L4680" s="3">
        <v>22</v>
      </c>
      <c r="M4680" s="3">
        <v>201</v>
      </c>
    </row>
    <row r="4681" spans="1:13" x14ac:dyDescent="0.25">
      <c r="A4681" s="1" t="str">
        <f>HYPERLINK("http://www.rosaceae.org/Prunus/Prunus_persica/p.persica_gdr_reftransV1_0040371","p.persica_gdr_reftransV1_0040371")</f>
        <v>p.persica_gdr_reftransV1_0040371</v>
      </c>
      <c r="B4681" s="3">
        <v>3488</v>
      </c>
      <c r="C4681" s="1" t="str">
        <f>HYPERLINK("http://www.uniprot.org/uniprot/PLY12_ARATH","PLY12_ARATH")</f>
        <v>PLY12_ARATH</v>
      </c>
      <c r="D4681" t="s">
        <v>3581</v>
      </c>
      <c r="E4681" s="3" t="s">
        <v>3</v>
      </c>
      <c r="F4681" s="4">
        <v>0</v>
      </c>
      <c r="G4681" s="3">
        <v>1410</v>
      </c>
      <c r="H4681" s="3">
        <v>73</v>
      </c>
      <c r="I4681" s="3">
        <v>368</v>
      </c>
      <c r="J4681" s="3">
        <v>865</v>
      </c>
      <c r="K4681" s="3">
        <v>1965</v>
      </c>
      <c r="L4681" s="3">
        <v>48</v>
      </c>
      <c r="M4681" s="3">
        <v>415</v>
      </c>
    </row>
    <row r="4682" spans="1:13" x14ac:dyDescent="0.25">
      <c r="A4682" s="1" t="str">
        <f>HYPERLINK("http://www.rosaceae.org/Prunus/Prunus_persica/p.persica_gdr_reftransV1_0041021","p.persica_gdr_reftransV1_0041021")</f>
        <v>p.persica_gdr_reftransV1_0041021</v>
      </c>
      <c r="B4682" s="3">
        <v>2441</v>
      </c>
      <c r="C4682" s="1" t="str">
        <f>HYPERLINK("http://www.uniprot.org/uniprot/DHRS7_HUMAN","DHRS7_HUMAN")</f>
        <v>DHRS7_HUMAN</v>
      </c>
      <c r="D4682" t="s">
        <v>4090</v>
      </c>
      <c r="E4682" s="3" t="s">
        <v>28</v>
      </c>
      <c r="F4682" s="4">
        <v>5.1400000000000002E-19</v>
      </c>
      <c r="G4682" s="3">
        <v>230</v>
      </c>
      <c r="H4682" s="3">
        <v>38</v>
      </c>
      <c r="I4682" s="3">
        <v>133</v>
      </c>
      <c r="J4682" s="3">
        <v>1586</v>
      </c>
      <c r="K4682" s="3">
        <v>1963</v>
      </c>
      <c r="L4682" s="3">
        <v>186</v>
      </c>
      <c r="M4682" s="3">
        <v>318</v>
      </c>
    </row>
    <row r="4683" spans="1:13" x14ac:dyDescent="0.25">
      <c r="A4683" s="1" t="str">
        <f>HYPERLINK("http://www.rosaceae.org/Prunus/Prunus_persica/p.persica_gdr_reftransV1_0041321","p.persica_gdr_reftransV1_0041321")</f>
        <v>p.persica_gdr_reftransV1_0041321</v>
      </c>
      <c r="B4683" s="3">
        <v>1832</v>
      </c>
      <c r="C4683" s="1" t="str">
        <f>HYPERLINK("http://www.uniprot.org/uniprot/SDIR1_ARATH","SDIR1_ARATH")</f>
        <v>SDIR1_ARATH</v>
      </c>
      <c r="D4683" t="s">
        <v>535</v>
      </c>
      <c r="E4683" s="3" t="s">
        <v>3</v>
      </c>
      <c r="F4683" s="4">
        <v>1.3900000000000001E-89</v>
      </c>
      <c r="G4683" s="3">
        <v>729</v>
      </c>
      <c r="H4683" s="3">
        <v>75</v>
      </c>
      <c r="I4683" s="3">
        <v>240</v>
      </c>
      <c r="J4683" s="3">
        <v>278</v>
      </c>
      <c r="K4683" s="3">
        <v>994</v>
      </c>
      <c r="L4683" s="3">
        <v>1</v>
      </c>
      <c r="M4683" s="3">
        <v>234</v>
      </c>
    </row>
    <row r="4684" spans="1:13" x14ac:dyDescent="0.25">
      <c r="A4684" s="1" t="str">
        <f>HYPERLINK("http://www.rosaceae.org/Prunus/Prunus_persica/p.persica_gdr_reftransV1_0041371","p.persica_gdr_reftransV1_0041371")</f>
        <v>p.persica_gdr_reftransV1_0041371</v>
      </c>
      <c r="B4684" s="3">
        <v>1345</v>
      </c>
      <c r="C4684" s="1" t="str">
        <f>HYPERLINK("http://www.uniprot.org/uniprot/GOLS2_SOLLC","GOLS2_SOLLC")</f>
        <v>GOLS2_SOLLC</v>
      </c>
      <c r="D4684" t="s">
        <v>3235</v>
      </c>
      <c r="E4684" s="3" t="s">
        <v>64</v>
      </c>
      <c r="F4684" s="4">
        <v>1.75E-180</v>
      </c>
      <c r="G4684" s="3">
        <v>1325</v>
      </c>
      <c r="H4684" s="3">
        <v>77</v>
      </c>
      <c r="I4684" s="3">
        <v>318</v>
      </c>
      <c r="J4684" s="3">
        <v>217</v>
      </c>
      <c r="K4684" s="3">
        <v>1170</v>
      </c>
      <c r="L4684" s="3">
        <v>24</v>
      </c>
      <c r="M4684" s="3">
        <v>337</v>
      </c>
    </row>
    <row r="4685" spans="1:13" x14ac:dyDescent="0.25">
      <c r="A4685" s="1" t="str">
        <f>HYPERLINK("http://www.rosaceae.org/Prunus/Prunus_persica/p.persica_gdr_reftransV1_0042271","p.persica_gdr_reftransV1_0042271")</f>
        <v>p.persica_gdr_reftransV1_0042271</v>
      </c>
      <c r="B4685" s="3">
        <v>1212</v>
      </c>
      <c r="C4685" s="1" t="str">
        <f>HYPERLINK("http://www.uniprot.org/uniprot/ACR9_ARATH","ACR9_ARATH")</f>
        <v>ACR9_ARATH</v>
      </c>
      <c r="D4685" t="s">
        <v>4091</v>
      </c>
      <c r="E4685" s="3" t="s">
        <v>3</v>
      </c>
      <c r="F4685" s="4">
        <v>6.0099999999999996E-59</v>
      </c>
      <c r="G4685" s="3">
        <v>517</v>
      </c>
      <c r="H4685" s="3">
        <v>59</v>
      </c>
      <c r="I4685" s="3">
        <v>181</v>
      </c>
      <c r="J4685" s="3">
        <v>523</v>
      </c>
      <c r="K4685" s="3">
        <v>1065</v>
      </c>
      <c r="L4685" s="3">
        <v>1</v>
      </c>
      <c r="M4685" s="3">
        <v>175</v>
      </c>
    </row>
    <row r="4686" spans="1:13" x14ac:dyDescent="0.25">
      <c r="A4686" s="1" t="str">
        <f>HYPERLINK("http://www.rosaceae.org/Prunus/Prunus_persica/p.persica_gdr_reftransV1_0042371","p.persica_gdr_reftransV1_0042371")</f>
        <v>p.persica_gdr_reftransV1_0042371</v>
      </c>
      <c r="B4686" s="3">
        <v>872</v>
      </c>
      <c r="C4686" s="1" t="str">
        <f>HYPERLINK("http://www.uniprot.org/uniprot/NDADA_ARATH","NDADA_ARATH")</f>
        <v>NDADA_ARATH</v>
      </c>
      <c r="D4686" t="s">
        <v>4092</v>
      </c>
      <c r="E4686" s="3" t="s">
        <v>3</v>
      </c>
      <c r="F4686" s="4">
        <v>3.7299999999999998E-84</v>
      </c>
      <c r="G4686" s="3">
        <v>653</v>
      </c>
      <c r="H4686" s="3">
        <v>85</v>
      </c>
      <c r="I4686" s="3">
        <v>143</v>
      </c>
      <c r="J4686" s="3">
        <v>98</v>
      </c>
      <c r="K4686" s="3">
        <v>526</v>
      </c>
      <c r="L4686" s="3">
        <v>1</v>
      </c>
      <c r="M4686" s="3">
        <v>143</v>
      </c>
    </row>
    <row r="4687" spans="1:13" x14ac:dyDescent="0.25">
      <c r="A4687" s="1" t="str">
        <f>HYPERLINK("http://www.rosaceae.org/Prunus/Prunus_persica/p.persica_gdr_reftransV1_0042571","p.persica_gdr_reftransV1_0042571")</f>
        <v>p.persica_gdr_reftransV1_0042571</v>
      </c>
      <c r="B4687" s="3">
        <v>659</v>
      </c>
      <c r="C4687" s="1" t="str">
        <f>HYPERLINK("http://www.uniprot.org/uniprot/CRK29_ARATH","CRK29_ARATH")</f>
        <v>CRK29_ARATH</v>
      </c>
      <c r="D4687" t="s">
        <v>4093</v>
      </c>
      <c r="E4687" s="3" t="s">
        <v>3</v>
      </c>
      <c r="F4687" s="4">
        <v>5.7100000000000002E-33</v>
      </c>
      <c r="G4687" s="3">
        <v>325</v>
      </c>
      <c r="H4687" s="3">
        <v>63</v>
      </c>
      <c r="I4687" s="3">
        <v>96</v>
      </c>
      <c r="J4687" s="3">
        <v>2</v>
      </c>
      <c r="K4687" s="3">
        <v>283</v>
      </c>
      <c r="L4687" s="3">
        <v>526</v>
      </c>
      <c r="M4687" s="3">
        <v>621</v>
      </c>
    </row>
    <row r="4688" spans="1:13" x14ac:dyDescent="0.25">
      <c r="A4688" s="1" t="str">
        <f>HYPERLINK("http://www.rosaceae.org/Prunus/Prunus_persica/p.persica_gdr_reftransV1_0043121","p.persica_gdr_reftransV1_0043121")</f>
        <v>p.persica_gdr_reftransV1_0043121</v>
      </c>
      <c r="B4688" s="3">
        <v>1871</v>
      </c>
      <c r="C4688" s="1" t="str">
        <f>HYPERLINK("http://www.uniprot.org/uniprot/PP374_ARATH","PP374_ARATH")</f>
        <v>PP374_ARATH</v>
      </c>
      <c r="D4688" t="s">
        <v>4094</v>
      </c>
      <c r="E4688" s="3" t="s">
        <v>3</v>
      </c>
      <c r="F4688" s="4">
        <v>0</v>
      </c>
      <c r="G4688" s="3">
        <v>1800</v>
      </c>
      <c r="H4688" s="3">
        <v>60</v>
      </c>
      <c r="I4688" s="3">
        <v>563</v>
      </c>
      <c r="J4688" s="3">
        <v>61</v>
      </c>
      <c r="K4688" s="3">
        <v>1743</v>
      </c>
      <c r="L4688" s="3">
        <v>15</v>
      </c>
      <c r="M4688" s="3">
        <v>576</v>
      </c>
    </row>
    <row r="4689" spans="1:13" x14ac:dyDescent="0.25">
      <c r="A4689" s="1" t="str">
        <f>HYPERLINK("http://www.rosaceae.org/Prunus/Prunus_persica/p.persica_gdr_reftransV1_0043221","p.persica_gdr_reftransV1_0043221")</f>
        <v>p.persica_gdr_reftransV1_0043221</v>
      </c>
      <c r="B4689" s="3">
        <v>905</v>
      </c>
      <c r="C4689" s="1" t="str">
        <f>HYPERLINK("http://www.uniprot.org/uniprot/ADR2_ARATH","ADR2_ARATH")</f>
        <v>ADR2_ARATH</v>
      </c>
      <c r="D4689" t="s">
        <v>4095</v>
      </c>
      <c r="E4689" s="3" t="s">
        <v>3</v>
      </c>
      <c r="F4689" s="4">
        <v>1.0399999999999999E-51</v>
      </c>
      <c r="G4689" s="3">
        <v>476</v>
      </c>
      <c r="H4689" s="3">
        <v>39</v>
      </c>
      <c r="I4689" s="3">
        <v>301</v>
      </c>
      <c r="J4689" s="3">
        <v>5</v>
      </c>
      <c r="K4689" s="3">
        <v>889</v>
      </c>
      <c r="L4689" s="3">
        <v>113</v>
      </c>
      <c r="M4689" s="3">
        <v>404</v>
      </c>
    </row>
    <row r="4690" spans="1:13" x14ac:dyDescent="0.25">
      <c r="A4690" s="1" t="str">
        <f>HYPERLINK("http://www.rosaceae.org/Prunus/Prunus_persica/p.persica_gdr_reftransV1_0043271","p.persica_gdr_reftransV1_0043271")</f>
        <v>p.persica_gdr_reftransV1_0043271</v>
      </c>
      <c r="B4690" s="3">
        <v>1500</v>
      </c>
      <c r="C4690" s="1" t="str">
        <f>HYPERLINK("http://www.uniprot.org/uniprot/PGLR4_ARATH","PGLR4_ARATH")</f>
        <v>PGLR4_ARATH</v>
      </c>
      <c r="D4690" t="s">
        <v>4096</v>
      </c>
      <c r="E4690" s="3" t="s">
        <v>3</v>
      </c>
      <c r="F4690" s="4">
        <v>0</v>
      </c>
      <c r="G4690" s="3">
        <v>1714</v>
      </c>
      <c r="H4690" s="3">
        <v>70</v>
      </c>
      <c r="I4690" s="3">
        <v>469</v>
      </c>
      <c r="J4690" s="3">
        <v>34</v>
      </c>
      <c r="K4690" s="3">
        <v>1437</v>
      </c>
      <c r="L4690" s="3">
        <v>1</v>
      </c>
      <c r="M4690" s="3">
        <v>463</v>
      </c>
    </row>
    <row r="4691" spans="1:13" x14ac:dyDescent="0.25">
      <c r="A4691" s="1" t="str">
        <f>HYPERLINK("http://www.rosaceae.org/Prunus/Prunus_persica/p.persica_gdr_reftransV1_0043321","p.persica_gdr_reftransV1_0043321")</f>
        <v>p.persica_gdr_reftransV1_0043321</v>
      </c>
      <c r="B4691" s="3">
        <v>1053</v>
      </c>
      <c r="C4691" s="1" t="str">
        <f>HYPERLINK("http://www.uniprot.org/uniprot/GLNB_ARATH","GLNB_ARATH")</f>
        <v>GLNB_ARATH</v>
      </c>
      <c r="D4691" t="s">
        <v>4097</v>
      </c>
      <c r="E4691" s="3" t="s">
        <v>3</v>
      </c>
      <c r="F4691" s="4">
        <v>4.5000000000000003E-81</v>
      </c>
      <c r="G4691" s="3">
        <v>643</v>
      </c>
      <c r="H4691" s="3">
        <v>69</v>
      </c>
      <c r="I4691" s="3">
        <v>188</v>
      </c>
      <c r="J4691" s="3">
        <v>102</v>
      </c>
      <c r="K4691" s="3">
        <v>656</v>
      </c>
      <c r="L4691" s="3">
        <v>3</v>
      </c>
      <c r="M4691" s="3">
        <v>190</v>
      </c>
    </row>
    <row r="4692" spans="1:13" x14ac:dyDescent="0.25">
      <c r="A4692" s="1" t="str">
        <f>HYPERLINK("http://www.rosaceae.org/Prunus/Prunus_persica/p.persica_gdr_reftransV1_0043371","p.persica_gdr_reftransV1_0043371")</f>
        <v>p.persica_gdr_reftransV1_0043371</v>
      </c>
      <c r="B4692" s="3">
        <v>496</v>
      </c>
      <c r="C4692" s="1" t="str">
        <f>HYPERLINK("http://www.uniprot.org/uniprot/Y4862_ARATH","Y4862_ARATH")</f>
        <v>Y4862_ARATH</v>
      </c>
      <c r="D4692" t="s">
        <v>1186</v>
      </c>
      <c r="E4692" s="3" t="s">
        <v>3</v>
      </c>
      <c r="F4692" s="4">
        <v>6.9100000000000002E-18</v>
      </c>
      <c r="G4692" s="3">
        <v>210</v>
      </c>
      <c r="H4692" s="3">
        <v>39</v>
      </c>
      <c r="I4692" s="3">
        <v>137</v>
      </c>
      <c r="J4692" s="3">
        <v>140</v>
      </c>
      <c r="K4692" s="3">
        <v>496</v>
      </c>
      <c r="L4692" s="3">
        <v>674</v>
      </c>
      <c r="M4692" s="3">
        <v>810</v>
      </c>
    </row>
    <row r="4693" spans="1:13" x14ac:dyDescent="0.25">
      <c r="A4693" s="1" t="str">
        <f>HYPERLINK("http://www.rosaceae.org/Prunus/Prunus_persica/p.persica_gdr_reftransV1_0043471","p.persica_gdr_reftransV1_0043471")</f>
        <v>p.persica_gdr_reftransV1_0043471</v>
      </c>
      <c r="B4693" s="3">
        <v>534</v>
      </c>
      <c r="C4693" s="1" t="str">
        <f>HYPERLINK("http://www.uniprot.org/uniprot/M810_ARATH","M810_ARATH")</f>
        <v>M810_ARATH</v>
      </c>
      <c r="D4693" t="s">
        <v>92</v>
      </c>
      <c r="E4693" s="3" t="s">
        <v>3</v>
      </c>
      <c r="F4693" s="4">
        <v>1.4600000000000001E-44</v>
      </c>
      <c r="G4693" s="3">
        <v>387</v>
      </c>
      <c r="H4693" s="3">
        <v>58</v>
      </c>
      <c r="I4693" s="3">
        <v>130</v>
      </c>
      <c r="J4693" s="3">
        <v>108</v>
      </c>
      <c r="K4693" s="3">
        <v>494</v>
      </c>
      <c r="L4693" s="3">
        <v>96</v>
      </c>
      <c r="M4693" s="3">
        <v>225</v>
      </c>
    </row>
    <row r="4694" spans="1:13" x14ac:dyDescent="0.25">
      <c r="A4694" s="1" t="str">
        <f>HYPERLINK("http://www.rosaceae.org/Prunus/Prunus_persica/p.persica_gdr_reftransV1_0043571","p.persica_gdr_reftransV1_0043571")</f>
        <v>p.persica_gdr_reftransV1_0043571</v>
      </c>
      <c r="B4694" s="3">
        <v>379</v>
      </c>
      <c r="C4694" s="1" t="str">
        <f>HYPERLINK("http://www.uniprot.org/uniprot/AMS_ARATH","AMS_ARATH")</f>
        <v>AMS_ARATH</v>
      </c>
      <c r="D4694" t="s">
        <v>3027</v>
      </c>
      <c r="E4694" s="3" t="s">
        <v>3</v>
      </c>
      <c r="F4694" s="4">
        <v>8.6900000000000004E-9</v>
      </c>
      <c r="G4694" s="3">
        <v>135</v>
      </c>
      <c r="H4694" s="3">
        <v>48</v>
      </c>
      <c r="I4694" s="3">
        <v>50</v>
      </c>
      <c r="J4694" s="3">
        <v>221</v>
      </c>
      <c r="K4694" s="3">
        <v>370</v>
      </c>
      <c r="L4694" s="3">
        <v>105</v>
      </c>
      <c r="M4694" s="3">
        <v>154</v>
      </c>
    </row>
    <row r="4695" spans="1:13" x14ac:dyDescent="0.25">
      <c r="A4695" s="1" t="str">
        <f>HYPERLINK("http://www.rosaceae.org/Prunus/Prunus_persica/p.persica_gdr_reftransV1_0043621","p.persica_gdr_reftransV1_0043621")</f>
        <v>p.persica_gdr_reftransV1_0043621</v>
      </c>
      <c r="B4695" s="3">
        <v>1807</v>
      </c>
      <c r="C4695" s="1" t="str">
        <f>HYPERLINK("http://www.uniprot.org/uniprot/Y5370_ARATH","Y5370_ARATH")</f>
        <v>Y5370_ARATH</v>
      </c>
      <c r="D4695" t="s">
        <v>4098</v>
      </c>
      <c r="E4695" s="3" t="s">
        <v>3</v>
      </c>
      <c r="F4695" s="4">
        <v>1.0999999999999999E-164</v>
      </c>
      <c r="G4695" s="3">
        <v>1251</v>
      </c>
      <c r="H4695" s="3">
        <v>54</v>
      </c>
      <c r="I4695" s="3">
        <v>468</v>
      </c>
      <c r="J4695" s="3">
        <v>234</v>
      </c>
      <c r="K4695" s="3">
        <v>1625</v>
      </c>
      <c r="L4695" s="3">
        <v>31</v>
      </c>
      <c r="M4695" s="3">
        <v>479</v>
      </c>
    </row>
    <row r="4696" spans="1:13" x14ac:dyDescent="0.25">
      <c r="A4696" s="1" t="str">
        <f>HYPERLINK("http://www.rosaceae.org/Prunus/Prunus_persica/p.persica_gdr_reftransV1_0043721","p.persica_gdr_reftransV1_0043721")</f>
        <v>p.persica_gdr_reftransV1_0043721</v>
      </c>
      <c r="B4696" s="3">
        <v>834</v>
      </c>
      <c r="C4696" s="1" t="str">
        <f>HYPERLINK("http://www.uniprot.org/uniprot/PIN4_BOVIN","PIN4_BOVIN")</f>
        <v>PIN4_BOVIN</v>
      </c>
      <c r="D4696" t="s">
        <v>4099</v>
      </c>
      <c r="E4696" s="3" t="s">
        <v>184</v>
      </c>
      <c r="F4696" s="4">
        <v>6.4200000000000002E-24</v>
      </c>
      <c r="G4696" s="3">
        <v>245</v>
      </c>
      <c r="H4696" s="3">
        <v>50</v>
      </c>
      <c r="I4696" s="3">
        <v>110</v>
      </c>
      <c r="J4696" s="3">
        <v>282</v>
      </c>
      <c r="K4696" s="3">
        <v>593</v>
      </c>
      <c r="L4696" s="3">
        <v>33</v>
      </c>
      <c r="M4696" s="3">
        <v>131</v>
      </c>
    </row>
    <row r="4697" spans="1:13" x14ac:dyDescent="0.25">
      <c r="A4697" s="1" t="str">
        <f>HYPERLINK("http://www.rosaceae.org/Prunus/Prunus_persica/p.persica_gdr_reftransV1_0043771","p.persica_gdr_reftransV1_0043771")</f>
        <v>p.persica_gdr_reftransV1_0043771</v>
      </c>
      <c r="B4697" s="3">
        <v>2116</v>
      </c>
      <c r="C4697" s="1" t="str">
        <f>HYPERLINK("http://www.uniprot.org/uniprot/CNGC1_ARATH","CNGC1_ARATH")</f>
        <v>CNGC1_ARATH</v>
      </c>
      <c r="D4697" t="s">
        <v>241</v>
      </c>
      <c r="E4697" s="3" t="s">
        <v>3</v>
      </c>
      <c r="F4697" s="4">
        <v>1.35E-19</v>
      </c>
      <c r="G4697" s="3">
        <v>241</v>
      </c>
      <c r="H4697" s="3">
        <v>32</v>
      </c>
      <c r="I4697" s="3">
        <v>219</v>
      </c>
      <c r="J4697" s="3">
        <v>1474</v>
      </c>
      <c r="K4697" s="3">
        <v>2115</v>
      </c>
      <c r="L4697" s="3">
        <v>399</v>
      </c>
      <c r="M4697" s="3">
        <v>603</v>
      </c>
    </row>
    <row r="4698" spans="1:13" x14ac:dyDescent="0.25">
      <c r="A4698" s="1" t="str">
        <f>HYPERLINK("http://www.rosaceae.org/Prunus/Prunus_persica/p.persica_gdr_reftransV1_0043821","p.persica_gdr_reftransV1_0043821")</f>
        <v>p.persica_gdr_reftransV1_0043821</v>
      </c>
      <c r="B4698" s="3">
        <v>800</v>
      </c>
      <c r="C4698" s="1" t="str">
        <f>HYPERLINK("http://www.uniprot.org/uniprot/TLPH_ARATH","TLPH_ARATH")</f>
        <v>TLPH_ARATH</v>
      </c>
      <c r="D4698" t="s">
        <v>790</v>
      </c>
      <c r="E4698" s="3" t="s">
        <v>3</v>
      </c>
      <c r="F4698" s="4">
        <v>8.9200000000000004E-68</v>
      </c>
      <c r="G4698" s="3">
        <v>551</v>
      </c>
      <c r="H4698" s="3">
        <v>60</v>
      </c>
      <c r="I4698" s="3">
        <v>181</v>
      </c>
      <c r="J4698" s="3">
        <v>31</v>
      </c>
      <c r="K4698" s="3">
        <v>561</v>
      </c>
      <c r="L4698" s="3">
        <v>64</v>
      </c>
      <c r="M4698" s="3">
        <v>243</v>
      </c>
    </row>
    <row r="4699" spans="1:13" x14ac:dyDescent="0.25">
      <c r="A4699" s="1" t="str">
        <f>HYPERLINK("http://www.rosaceae.org/Prunus/Prunus_persica/p.persica_gdr_reftransV1_0043871","p.persica_gdr_reftransV1_0043871")</f>
        <v>p.persica_gdr_reftransV1_0043871</v>
      </c>
      <c r="B4699" s="3">
        <v>1331</v>
      </c>
      <c r="C4699" s="1" t="str">
        <f>HYPERLINK("http://www.uniprot.org/uniprot/RSMB_MACEU","RSMB_MACEU")</f>
        <v>RSMB_MACEU</v>
      </c>
      <c r="D4699" t="s">
        <v>4100</v>
      </c>
      <c r="E4699" s="3" t="s">
        <v>4101</v>
      </c>
      <c r="F4699" s="4">
        <v>4.33E-31</v>
      </c>
      <c r="G4699" s="3">
        <v>310</v>
      </c>
      <c r="H4699" s="3">
        <v>60</v>
      </c>
      <c r="I4699" s="3">
        <v>93</v>
      </c>
      <c r="J4699" s="3">
        <v>120</v>
      </c>
      <c r="K4699" s="3">
        <v>398</v>
      </c>
      <c r="L4699" s="3">
        <v>1</v>
      </c>
      <c r="M4699" s="3">
        <v>91</v>
      </c>
    </row>
    <row r="4700" spans="1:13" x14ac:dyDescent="0.25">
      <c r="A4700" s="1" t="str">
        <f>HYPERLINK("http://www.rosaceae.org/Prunus/Prunus_persica/p.persica_gdr_reftransV1_0043921","p.persica_gdr_reftransV1_0043921")</f>
        <v>p.persica_gdr_reftransV1_0043921</v>
      </c>
      <c r="B4700" s="3">
        <v>1473</v>
      </c>
      <c r="C4700" s="1" t="str">
        <f>HYPERLINK("http://www.uniprot.org/uniprot/SHR_ARATH","SHR_ARATH")</f>
        <v>SHR_ARATH</v>
      </c>
      <c r="D4700" t="s">
        <v>4102</v>
      </c>
      <c r="E4700" s="3" t="s">
        <v>3</v>
      </c>
      <c r="F4700" s="4">
        <v>1.15E-135</v>
      </c>
      <c r="G4700" s="3">
        <v>1051</v>
      </c>
      <c r="H4700" s="3">
        <v>53</v>
      </c>
      <c r="I4700" s="3">
        <v>405</v>
      </c>
      <c r="J4700" s="3">
        <v>177</v>
      </c>
      <c r="K4700" s="3">
        <v>1343</v>
      </c>
      <c r="L4700" s="3">
        <v>138</v>
      </c>
      <c r="M4700" s="3">
        <v>529</v>
      </c>
    </row>
    <row r="4701" spans="1:13" x14ac:dyDescent="0.25">
      <c r="A4701" s="1" t="str">
        <f>HYPERLINK("http://www.rosaceae.org/Prunus/Prunus_persica/p.persica_gdr_reftransV1_0043971","p.persica_gdr_reftransV1_0043971")</f>
        <v>p.persica_gdr_reftransV1_0043971</v>
      </c>
      <c r="B4701" s="3">
        <v>1659</v>
      </c>
      <c r="C4701" s="1" t="str">
        <f>HYPERLINK("http://www.uniprot.org/uniprot/OTU_ARATH","OTU_ARATH")</f>
        <v>OTU_ARATH</v>
      </c>
      <c r="D4701" t="s">
        <v>2595</v>
      </c>
      <c r="E4701" s="3" t="s">
        <v>3</v>
      </c>
      <c r="F4701" s="4">
        <v>1.7099999999999999E-57</v>
      </c>
      <c r="G4701" s="3">
        <v>509</v>
      </c>
      <c r="H4701" s="3">
        <v>53</v>
      </c>
      <c r="I4701" s="3">
        <v>167</v>
      </c>
      <c r="J4701" s="3">
        <v>704</v>
      </c>
      <c r="K4701" s="3">
        <v>1204</v>
      </c>
      <c r="L4701" s="3">
        <v>139</v>
      </c>
      <c r="M4701" s="3">
        <v>303</v>
      </c>
    </row>
    <row r="4702" spans="1:13" x14ac:dyDescent="0.25">
      <c r="A4702" s="1" t="str">
        <f>HYPERLINK("http://www.rosaceae.org/Prunus/Prunus_persica/p.persica_gdr_reftransV1_0044021","p.persica_gdr_reftransV1_0044021")</f>
        <v>p.persica_gdr_reftransV1_0044021</v>
      </c>
      <c r="B4702" s="3">
        <v>2894</v>
      </c>
      <c r="C4702" s="1" t="str">
        <f>HYPERLINK("http://www.uniprot.org/uniprot/QKY_ARATH","QKY_ARATH")</f>
        <v>QKY_ARATH</v>
      </c>
      <c r="D4702" t="s">
        <v>707</v>
      </c>
      <c r="E4702" s="3" t="s">
        <v>3</v>
      </c>
      <c r="F4702" s="4">
        <v>0</v>
      </c>
      <c r="G4702" s="3">
        <v>1948</v>
      </c>
      <c r="H4702" s="3">
        <v>51</v>
      </c>
      <c r="I4702" s="3">
        <v>800</v>
      </c>
      <c r="J4702" s="3">
        <v>142</v>
      </c>
      <c r="K4702" s="3">
        <v>2463</v>
      </c>
      <c r="L4702" s="3">
        <v>294</v>
      </c>
      <c r="M4702" s="3">
        <v>1081</v>
      </c>
    </row>
    <row r="4703" spans="1:13" x14ac:dyDescent="0.25">
      <c r="A4703" s="1" t="str">
        <f>HYPERLINK("http://www.rosaceae.org/Prunus/Prunus_persica/p.persica_gdr_reftransV1_0044121","p.persica_gdr_reftransV1_0044121")</f>
        <v>p.persica_gdr_reftransV1_0044121</v>
      </c>
      <c r="B4703" s="3">
        <v>1098</v>
      </c>
      <c r="C4703" s="1" t="str">
        <f>HYPERLINK("http://www.uniprot.org/uniprot/RL83_ARATH","RL83_ARATH")</f>
        <v>RL83_ARATH</v>
      </c>
      <c r="D4703" t="s">
        <v>309</v>
      </c>
      <c r="E4703" s="3" t="s">
        <v>3</v>
      </c>
      <c r="F4703" s="4">
        <v>8.5500000000000001E-173</v>
      </c>
      <c r="G4703" s="3">
        <v>1258</v>
      </c>
      <c r="H4703" s="3">
        <v>94</v>
      </c>
      <c r="I4703" s="3">
        <v>249</v>
      </c>
      <c r="J4703" s="3">
        <v>80</v>
      </c>
      <c r="K4703" s="3">
        <v>826</v>
      </c>
      <c r="L4703" s="3">
        <v>1</v>
      </c>
      <c r="M4703" s="3">
        <v>249</v>
      </c>
    </row>
    <row r="4704" spans="1:13" x14ac:dyDescent="0.25">
      <c r="A4704" s="1" t="str">
        <f>HYPERLINK("http://www.rosaceae.org/Prunus/Prunus_persica/p.persica_gdr_reftransV1_0044171","p.persica_gdr_reftransV1_0044171")</f>
        <v>p.persica_gdr_reftransV1_0044171</v>
      </c>
      <c r="B4704" s="3">
        <v>1421</v>
      </c>
      <c r="C4704" s="1" t="str">
        <f>HYPERLINK("http://www.uniprot.org/uniprot/CLT2_ARATH","CLT2_ARATH")</f>
        <v>CLT2_ARATH</v>
      </c>
      <c r="D4704" t="s">
        <v>4103</v>
      </c>
      <c r="E4704" s="3" t="s">
        <v>3</v>
      </c>
      <c r="F4704" s="4">
        <v>4.4799999999999996E-93</v>
      </c>
      <c r="G4704" s="3">
        <v>595</v>
      </c>
      <c r="H4704" s="3">
        <v>66</v>
      </c>
      <c r="I4704" s="3">
        <v>234</v>
      </c>
      <c r="J4704" s="3">
        <v>582</v>
      </c>
      <c r="K4704" s="3">
        <v>1280</v>
      </c>
      <c r="L4704" s="3">
        <v>198</v>
      </c>
      <c r="M4704" s="3">
        <v>431</v>
      </c>
    </row>
    <row r="4705" spans="1:13" x14ac:dyDescent="0.25">
      <c r="A4705" s="1" t="str">
        <f>HYPERLINK("http://www.rosaceae.org/Prunus/Prunus_persica/p.persica_gdr_reftransV1_0044221","p.persica_gdr_reftransV1_0044221")</f>
        <v>p.persica_gdr_reftransV1_0044221</v>
      </c>
      <c r="B4705" s="3">
        <v>962</v>
      </c>
      <c r="C4705" s="1" t="str">
        <f>HYPERLINK("http://www.uniprot.org/uniprot/MYB23_ARATH","MYB23_ARATH")</f>
        <v>MYB23_ARATH</v>
      </c>
      <c r="D4705" t="s">
        <v>4104</v>
      </c>
      <c r="E4705" s="3" t="s">
        <v>3</v>
      </c>
      <c r="F4705" s="4">
        <v>1.21E-48</v>
      </c>
      <c r="G4705" s="3">
        <v>425</v>
      </c>
      <c r="H4705" s="3">
        <v>41</v>
      </c>
      <c r="I4705" s="3">
        <v>228</v>
      </c>
      <c r="J4705" s="3">
        <v>176</v>
      </c>
      <c r="K4705" s="3">
        <v>823</v>
      </c>
      <c r="L4705" s="3">
        <v>3</v>
      </c>
      <c r="M4705" s="3">
        <v>219</v>
      </c>
    </row>
    <row r="4706" spans="1:13" x14ac:dyDescent="0.25">
      <c r="A4706" s="1" t="str">
        <f>HYPERLINK("http://www.rosaceae.org/Prunus/Prunus_persica/p.persica_gdr_reftransV1_0044271","p.persica_gdr_reftransV1_0044271")</f>
        <v>p.persica_gdr_reftransV1_0044271</v>
      </c>
      <c r="B4706" s="3">
        <v>1182</v>
      </c>
      <c r="C4706" s="1" t="str">
        <f>HYPERLINK("http://www.uniprot.org/uniprot/MCM10_MOUSE","MCM10_MOUSE")</f>
        <v>MCM10_MOUSE</v>
      </c>
      <c r="D4706" t="s">
        <v>4105</v>
      </c>
      <c r="E4706" s="3" t="s">
        <v>157</v>
      </c>
      <c r="F4706" s="4">
        <v>1.0500000000000001E-27</v>
      </c>
      <c r="G4706" s="3">
        <v>299</v>
      </c>
      <c r="H4706" s="3">
        <v>32</v>
      </c>
      <c r="I4706" s="3">
        <v>208</v>
      </c>
      <c r="J4706" s="3">
        <v>564</v>
      </c>
      <c r="K4706" s="3">
        <v>1169</v>
      </c>
      <c r="L4706" s="3">
        <v>253</v>
      </c>
      <c r="M4706" s="3">
        <v>460</v>
      </c>
    </row>
    <row r="4707" spans="1:13" x14ac:dyDescent="0.25">
      <c r="A4707" s="1" t="str">
        <f>HYPERLINK("http://www.rosaceae.org/Prunus/Prunus_persica/p.persica_gdr_reftransV1_0044371","p.persica_gdr_reftransV1_0044371")</f>
        <v>p.persica_gdr_reftransV1_0044371</v>
      </c>
      <c r="B4707" s="3">
        <v>650</v>
      </c>
      <c r="C4707" s="1" t="str">
        <f>HYPERLINK("http://www.uniprot.org/uniprot/NAC14_ARATH","NAC14_ARATH")</f>
        <v>NAC14_ARATH</v>
      </c>
      <c r="D4707" t="s">
        <v>4106</v>
      </c>
      <c r="E4707" s="3" t="s">
        <v>3</v>
      </c>
      <c r="F4707" s="4">
        <v>4.9899999999999999E-13</v>
      </c>
      <c r="G4707" s="3">
        <v>173</v>
      </c>
      <c r="H4707" s="3">
        <v>57</v>
      </c>
      <c r="I4707" s="3">
        <v>60</v>
      </c>
      <c r="J4707" s="3">
        <v>403</v>
      </c>
      <c r="K4707" s="3">
        <v>576</v>
      </c>
      <c r="L4707" s="3">
        <v>24</v>
      </c>
      <c r="M4707" s="3">
        <v>82</v>
      </c>
    </row>
    <row r="4708" spans="1:13" x14ac:dyDescent="0.25">
      <c r="A4708" s="1" t="str">
        <f>HYPERLINK("http://www.rosaceae.org/Prunus/Prunus_persica/p.persica_gdr_reftransV1_0044521","p.persica_gdr_reftransV1_0044521")</f>
        <v>p.persica_gdr_reftransV1_0044521</v>
      </c>
      <c r="B4708" s="3">
        <v>1167</v>
      </c>
      <c r="C4708" s="1" t="str">
        <f>HYPERLINK("http://www.uniprot.org/uniprot/CX5B1_ARATH","CX5B1_ARATH")</f>
        <v>CX5B1_ARATH</v>
      </c>
      <c r="D4708" t="s">
        <v>4107</v>
      </c>
      <c r="E4708" s="3" t="s">
        <v>3</v>
      </c>
      <c r="F4708" s="4">
        <v>7.13E-40</v>
      </c>
      <c r="G4708" s="3">
        <v>366</v>
      </c>
      <c r="H4708" s="3">
        <v>75</v>
      </c>
      <c r="I4708" s="3">
        <v>105</v>
      </c>
      <c r="J4708" s="3">
        <v>482</v>
      </c>
      <c r="K4708" s="3">
        <v>796</v>
      </c>
      <c r="L4708" s="3">
        <v>55</v>
      </c>
      <c r="M4708" s="3">
        <v>158</v>
      </c>
    </row>
    <row r="4709" spans="1:13" x14ac:dyDescent="0.25">
      <c r="A4709" s="1" t="str">
        <f>HYPERLINK("http://www.rosaceae.org/Prunus/Prunus_persica/p.persica_gdr_reftransV1_0044571","p.persica_gdr_reftransV1_0044571")</f>
        <v>p.persica_gdr_reftransV1_0044571</v>
      </c>
      <c r="B4709" s="3">
        <v>512</v>
      </c>
      <c r="C4709" s="1" t="str">
        <f>HYPERLINK("http://www.uniprot.org/uniprot/MYC3_ARATH","MYC3_ARATH")</f>
        <v>MYC3_ARATH</v>
      </c>
      <c r="D4709" t="s">
        <v>4108</v>
      </c>
      <c r="E4709" s="3" t="s">
        <v>3</v>
      </c>
      <c r="F4709" s="4">
        <v>1.04E-33</v>
      </c>
      <c r="G4709" s="3">
        <v>324</v>
      </c>
      <c r="H4709" s="3">
        <v>43</v>
      </c>
      <c r="I4709" s="3">
        <v>167</v>
      </c>
      <c r="J4709" s="3">
        <v>16</v>
      </c>
      <c r="K4709" s="3">
        <v>510</v>
      </c>
      <c r="L4709" s="3">
        <v>428</v>
      </c>
      <c r="M4709" s="3">
        <v>587</v>
      </c>
    </row>
    <row r="4710" spans="1:13" x14ac:dyDescent="0.25">
      <c r="A4710" s="1" t="str">
        <f>HYPERLINK("http://www.rosaceae.org/Prunus/Prunus_persica/p.persica_gdr_reftransV1_0044621","p.persica_gdr_reftransV1_0044621")</f>
        <v>p.persica_gdr_reftransV1_0044621</v>
      </c>
      <c r="B4710" s="3">
        <v>1732</v>
      </c>
      <c r="C4710" s="1" t="str">
        <f>HYPERLINK("http://www.uniprot.org/uniprot/SCR_PEA","SCR_PEA")</f>
        <v>SCR_PEA</v>
      </c>
      <c r="D4710" t="s">
        <v>4109</v>
      </c>
      <c r="E4710" s="3" t="s">
        <v>60</v>
      </c>
      <c r="F4710" s="4">
        <v>0</v>
      </c>
      <c r="G4710" s="3">
        <v>1745</v>
      </c>
      <c r="H4710" s="3">
        <v>88</v>
      </c>
      <c r="I4710" s="3">
        <v>363</v>
      </c>
      <c r="J4710" s="3">
        <v>478</v>
      </c>
      <c r="K4710" s="3">
        <v>1563</v>
      </c>
      <c r="L4710" s="3">
        <v>453</v>
      </c>
      <c r="M4710" s="3">
        <v>813</v>
      </c>
    </row>
    <row r="4711" spans="1:13" x14ac:dyDescent="0.25">
      <c r="A4711" s="1" t="str">
        <f>HYPERLINK("http://www.rosaceae.org/Prunus/Prunus_persica/p.persica_gdr_reftransV1_0044721","p.persica_gdr_reftransV1_0044721")</f>
        <v>p.persica_gdr_reftransV1_0044721</v>
      </c>
      <c r="B4711" s="3">
        <v>1194</v>
      </c>
      <c r="C4711" s="1" t="str">
        <f>HYPERLINK("http://www.uniprot.org/uniprot/MORF9_ARATH","MORF9_ARATH")</f>
        <v>MORF9_ARATH</v>
      </c>
      <c r="D4711" t="s">
        <v>4110</v>
      </c>
      <c r="E4711" s="3" t="s">
        <v>3</v>
      </c>
      <c r="F4711" s="4">
        <v>5.1700000000000003E-77</v>
      </c>
      <c r="G4711" s="3">
        <v>624</v>
      </c>
      <c r="H4711" s="3">
        <v>93</v>
      </c>
      <c r="I4711" s="3">
        <v>120</v>
      </c>
      <c r="J4711" s="3">
        <v>508</v>
      </c>
      <c r="K4711" s="3">
        <v>867</v>
      </c>
      <c r="L4711" s="3">
        <v>74</v>
      </c>
      <c r="M4711" s="3">
        <v>193</v>
      </c>
    </row>
    <row r="4712" spans="1:13" x14ac:dyDescent="0.25">
      <c r="A4712" s="1" t="str">
        <f>HYPERLINK("http://www.rosaceae.org/Prunus/Prunus_persica/p.persica_gdr_reftransV1_0044771","p.persica_gdr_reftransV1_0044771")</f>
        <v>p.persica_gdr_reftransV1_0044771</v>
      </c>
      <c r="B4712" s="3">
        <v>1915</v>
      </c>
      <c r="C4712" s="1" t="str">
        <f>HYPERLINK("http://www.uniprot.org/uniprot/ASPG2_ARATH","ASPG2_ARATH")</f>
        <v>ASPG2_ARATH</v>
      </c>
      <c r="D4712" t="s">
        <v>437</v>
      </c>
      <c r="E4712" s="3" t="s">
        <v>3</v>
      </c>
      <c r="F4712" s="4">
        <v>3.3400000000000002E-57</v>
      </c>
      <c r="G4712" s="3">
        <v>523</v>
      </c>
      <c r="H4712" s="3">
        <v>33</v>
      </c>
      <c r="I4712" s="3">
        <v>431</v>
      </c>
      <c r="J4712" s="3">
        <v>261</v>
      </c>
      <c r="K4712" s="3">
        <v>1496</v>
      </c>
      <c r="L4712" s="3">
        <v>61</v>
      </c>
      <c r="M4712" s="3">
        <v>470</v>
      </c>
    </row>
    <row r="4713" spans="1:13" x14ac:dyDescent="0.25">
      <c r="A4713" s="1" t="str">
        <f>HYPERLINK("http://www.rosaceae.org/Prunus/Prunus_persica/p.persica_gdr_reftransV1_0044871","p.persica_gdr_reftransV1_0044871")</f>
        <v>p.persica_gdr_reftransV1_0044871</v>
      </c>
      <c r="B4713" s="3">
        <v>462</v>
      </c>
      <c r="C4713" s="1" t="str">
        <f>HYPERLINK("http://www.uniprot.org/uniprot/ELMOA_DICDI","ELMOA_DICDI")</f>
        <v>ELMOA_DICDI</v>
      </c>
      <c r="D4713" t="s">
        <v>4111</v>
      </c>
      <c r="E4713" s="3" t="s">
        <v>9</v>
      </c>
      <c r="F4713" s="4">
        <v>8.8199999999999996E-17</v>
      </c>
      <c r="G4713" s="3">
        <v>200</v>
      </c>
      <c r="H4713" s="3">
        <v>42</v>
      </c>
      <c r="I4713" s="3">
        <v>78</v>
      </c>
      <c r="J4713" s="3">
        <v>204</v>
      </c>
      <c r="K4713" s="3">
        <v>437</v>
      </c>
      <c r="L4713" s="3">
        <v>375</v>
      </c>
      <c r="M4713" s="3">
        <v>452</v>
      </c>
    </row>
    <row r="4714" spans="1:13" x14ac:dyDescent="0.25">
      <c r="A4714" s="1" t="str">
        <f>HYPERLINK("http://www.rosaceae.org/Prunus/Prunus_persica/p.persica_gdr_reftransV1_0044921","p.persica_gdr_reftransV1_0044921")</f>
        <v>p.persica_gdr_reftransV1_0044921</v>
      </c>
      <c r="B4714" s="3">
        <v>1945</v>
      </c>
      <c r="C4714" s="1" t="str">
        <f>HYPERLINK("http://www.uniprot.org/uniprot/FH18_ARATH","FH18_ARATH")</f>
        <v>FH18_ARATH</v>
      </c>
      <c r="D4714" t="s">
        <v>4112</v>
      </c>
      <c r="E4714" s="3" t="s">
        <v>3</v>
      </c>
      <c r="F4714" s="4">
        <v>0</v>
      </c>
      <c r="G4714" s="3">
        <v>1664</v>
      </c>
      <c r="H4714" s="3">
        <v>80</v>
      </c>
      <c r="I4714" s="3">
        <v>394</v>
      </c>
      <c r="J4714" s="3">
        <v>316</v>
      </c>
      <c r="K4714" s="3">
        <v>1497</v>
      </c>
      <c r="L4714" s="3">
        <v>693</v>
      </c>
      <c r="M4714" s="3">
        <v>1084</v>
      </c>
    </row>
    <row r="4715" spans="1:13" x14ac:dyDescent="0.25">
      <c r="A4715" s="1" t="str">
        <f>HYPERLINK("http://www.rosaceae.org/Prunus/Prunus_persica/p.persica_gdr_reftransV1_0044971","p.persica_gdr_reftransV1_0044971")</f>
        <v>p.persica_gdr_reftransV1_0044971</v>
      </c>
      <c r="B4715" s="3">
        <v>457</v>
      </c>
      <c r="C4715" s="1" t="str">
        <f>HYPERLINK("http://www.uniprot.org/uniprot/AAP2_ARATH","AAP2_ARATH")</f>
        <v>AAP2_ARATH</v>
      </c>
      <c r="D4715" t="s">
        <v>1419</v>
      </c>
      <c r="E4715" s="3" t="s">
        <v>3</v>
      </c>
      <c r="F4715" s="4">
        <v>6.7099999999999995E-73</v>
      </c>
      <c r="G4715" s="3">
        <v>593</v>
      </c>
      <c r="H4715" s="3">
        <v>71</v>
      </c>
      <c r="I4715" s="3">
        <v>148</v>
      </c>
      <c r="J4715" s="3">
        <v>13</v>
      </c>
      <c r="K4715" s="3">
        <v>456</v>
      </c>
      <c r="L4715" s="3">
        <v>23</v>
      </c>
      <c r="M4715" s="3">
        <v>169</v>
      </c>
    </row>
    <row r="4716" spans="1:13" x14ac:dyDescent="0.25">
      <c r="A4716" s="1" t="str">
        <f>HYPERLINK("http://www.rosaceae.org/Prunus/Prunus_persica/p.persica_gdr_reftransV1_0045021","p.persica_gdr_reftransV1_0045021")</f>
        <v>p.persica_gdr_reftransV1_0045021</v>
      </c>
      <c r="B4716" s="3">
        <v>922</v>
      </c>
      <c r="C4716" s="1" t="str">
        <f>HYPERLINK("http://www.uniprot.org/uniprot/PDF1_ARATH","PDF1_ARATH")</f>
        <v>PDF1_ARATH</v>
      </c>
      <c r="D4716" t="s">
        <v>4113</v>
      </c>
      <c r="E4716" s="3" t="s">
        <v>3</v>
      </c>
      <c r="F4716" s="4">
        <v>3.3599999999999999E-32</v>
      </c>
      <c r="G4716" s="3">
        <v>317</v>
      </c>
      <c r="H4716" s="3">
        <v>59</v>
      </c>
      <c r="I4716" s="3">
        <v>149</v>
      </c>
      <c r="J4716" s="3">
        <v>115</v>
      </c>
      <c r="K4716" s="3">
        <v>549</v>
      </c>
      <c r="L4716" s="3">
        <v>165</v>
      </c>
      <c r="M4716" s="3">
        <v>305</v>
      </c>
    </row>
    <row r="4717" spans="1:13" x14ac:dyDescent="0.25">
      <c r="A4717" s="1" t="str">
        <f>HYPERLINK("http://www.rosaceae.org/Prunus/Prunus_persica/p.persica_gdr_reftransV1_0045071","p.persica_gdr_reftransV1_0045071")</f>
        <v>p.persica_gdr_reftransV1_0045071</v>
      </c>
      <c r="B4717" s="3">
        <v>2497</v>
      </c>
      <c r="C4717" s="1" t="str">
        <f>HYPERLINK("http://www.uniprot.org/uniprot/BHLHW_PEA","BHLHW_PEA")</f>
        <v>BHLHW_PEA</v>
      </c>
      <c r="D4717" t="s">
        <v>4114</v>
      </c>
      <c r="E4717" s="3" t="s">
        <v>60</v>
      </c>
      <c r="F4717" s="4">
        <v>0</v>
      </c>
      <c r="G4717" s="3">
        <v>1979</v>
      </c>
      <c r="H4717" s="3">
        <v>61</v>
      </c>
      <c r="I4717" s="3">
        <v>716</v>
      </c>
      <c r="J4717" s="3">
        <v>239</v>
      </c>
      <c r="K4717" s="3">
        <v>2347</v>
      </c>
      <c r="L4717" s="3">
        <v>1</v>
      </c>
      <c r="M4717" s="3">
        <v>651</v>
      </c>
    </row>
    <row r="4718" spans="1:13" x14ac:dyDescent="0.25">
      <c r="A4718" s="1" t="str">
        <f>HYPERLINK("http://www.rosaceae.org/Prunus/Prunus_persica/p.persica_gdr_reftransV1_0045121","p.persica_gdr_reftransV1_0045121")</f>
        <v>p.persica_gdr_reftransV1_0045121</v>
      </c>
      <c r="B4718" s="3">
        <v>1185</v>
      </c>
      <c r="C4718" s="1" t="str">
        <f>HYPERLINK("http://www.uniprot.org/uniprot/5NT3A_MOUSE","5NT3A_MOUSE")</f>
        <v>5NT3A_MOUSE</v>
      </c>
      <c r="D4718" t="s">
        <v>4115</v>
      </c>
      <c r="E4718" s="3" t="s">
        <v>157</v>
      </c>
      <c r="F4718" s="4">
        <v>1.71E-47</v>
      </c>
      <c r="G4718" s="3">
        <v>431</v>
      </c>
      <c r="H4718" s="3">
        <v>39</v>
      </c>
      <c r="I4718" s="3">
        <v>263</v>
      </c>
      <c r="J4718" s="3">
        <v>233</v>
      </c>
      <c r="K4718" s="3">
        <v>1009</v>
      </c>
      <c r="L4718" s="3">
        <v>67</v>
      </c>
      <c r="M4718" s="3">
        <v>313</v>
      </c>
    </row>
    <row r="4719" spans="1:13" x14ac:dyDescent="0.25">
      <c r="A4719" s="1" t="str">
        <f>HYPERLINK("http://www.rosaceae.org/Prunus/Prunus_persica/p.persica_gdr_reftransV1_0045171","p.persica_gdr_reftransV1_0045171")</f>
        <v>p.persica_gdr_reftransV1_0045171</v>
      </c>
      <c r="B4719" s="3">
        <v>1286</v>
      </c>
      <c r="C4719" s="1" t="str">
        <f>HYPERLINK("http://www.uniprot.org/uniprot/RAC7_ARATH","RAC7_ARATH")</f>
        <v>RAC7_ARATH</v>
      </c>
      <c r="D4719" t="s">
        <v>4116</v>
      </c>
      <c r="E4719" s="3" t="s">
        <v>3</v>
      </c>
      <c r="F4719" s="4">
        <v>1.9800000000000001E-131</v>
      </c>
      <c r="G4719" s="3">
        <v>986</v>
      </c>
      <c r="H4719" s="3">
        <v>90</v>
      </c>
      <c r="I4719" s="3">
        <v>204</v>
      </c>
      <c r="J4719" s="3">
        <v>396</v>
      </c>
      <c r="K4719" s="3">
        <v>1004</v>
      </c>
      <c r="L4719" s="3">
        <v>1</v>
      </c>
      <c r="M4719" s="3">
        <v>202</v>
      </c>
    </row>
    <row r="4720" spans="1:13" x14ac:dyDescent="0.25">
      <c r="A4720" s="1" t="str">
        <f>HYPERLINK("http://www.rosaceae.org/Prunus/Prunus_persica/p.persica_gdr_reftransV1_0045221","p.persica_gdr_reftransV1_0045221")</f>
        <v>p.persica_gdr_reftransV1_0045221</v>
      </c>
      <c r="B4720" s="3">
        <v>1636</v>
      </c>
      <c r="C4720" s="1" t="str">
        <f>HYPERLINK("http://www.uniprot.org/uniprot/PAH2_ARATH","PAH2_ARATH")</f>
        <v>PAH2_ARATH</v>
      </c>
      <c r="D4720" t="s">
        <v>128</v>
      </c>
      <c r="E4720" s="3" t="s">
        <v>3</v>
      </c>
      <c r="F4720" s="4">
        <v>2.9500000000000001E-157</v>
      </c>
      <c r="G4720" s="3">
        <v>1234</v>
      </c>
      <c r="H4720" s="3">
        <v>73</v>
      </c>
      <c r="I4720" s="3">
        <v>314</v>
      </c>
      <c r="J4720" s="3">
        <v>249</v>
      </c>
      <c r="K4720" s="3">
        <v>1190</v>
      </c>
      <c r="L4720" s="3">
        <v>629</v>
      </c>
      <c r="M4720" s="3">
        <v>929</v>
      </c>
    </row>
    <row r="4721" spans="1:13" x14ac:dyDescent="0.25">
      <c r="A4721" s="1" t="str">
        <f>HYPERLINK("http://www.rosaceae.org/Prunus/Prunus_persica/p.persica_gdr_reftransV1_0045371","p.persica_gdr_reftransV1_0045371")</f>
        <v>p.persica_gdr_reftransV1_0045371</v>
      </c>
      <c r="B4721" s="3">
        <v>2240</v>
      </c>
      <c r="C4721" s="1" t="str">
        <f>HYPERLINK("http://www.uniprot.org/uniprot/RPS6C_ARATH","RPS6C_ARATH")</f>
        <v>RPS6C_ARATH</v>
      </c>
      <c r="D4721" t="s">
        <v>4117</v>
      </c>
      <c r="E4721" s="3" t="s">
        <v>3</v>
      </c>
      <c r="F4721" s="4">
        <v>5.3599999999999998E-20</v>
      </c>
      <c r="G4721" s="3">
        <v>246</v>
      </c>
      <c r="H4721" s="3">
        <v>33</v>
      </c>
      <c r="I4721" s="3">
        <v>181</v>
      </c>
      <c r="J4721" s="3">
        <v>1274</v>
      </c>
      <c r="K4721" s="3">
        <v>1777</v>
      </c>
      <c r="L4721" s="3">
        <v>534</v>
      </c>
      <c r="M4721" s="3">
        <v>714</v>
      </c>
    </row>
    <row r="4722" spans="1:13" x14ac:dyDescent="0.25">
      <c r="A4722" s="1" t="str">
        <f>HYPERLINK("http://www.rosaceae.org/Prunus/Prunus_persica/p.persica_gdr_reftransV1_0045571","p.persica_gdr_reftransV1_0045571")</f>
        <v>p.persica_gdr_reftransV1_0045571</v>
      </c>
      <c r="B4722" s="3">
        <v>2352</v>
      </c>
      <c r="C4722" s="1" t="str">
        <f>HYPERLINK("http://www.uniprot.org/uniprot/IQD14_ARATH","IQD14_ARATH")</f>
        <v>IQD14_ARATH</v>
      </c>
      <c r="D4722" t="s">
        <v>4118</v>
      </c>
      <c r="E4722" s="3" t="s">
        <v>3</v>
      </c>
      <c r="F4722" s="4">
        <v>2.0799999999999999E-11</v>
      </c>
      <c r="G4722" s="3">
        <v>173</v>
      </c>
      <c r="H4722" s="3">
        <v>34</v>
      </c>
      <c r="I4722" s="3">
        <v>158</v>
      </c>
      <c r="J4722" s="3">
        <v>1302</v>
      </c>
      <c r="K4722" s="3">
        <v>1769</v>
      </c>
      <c r="L4722" s="3">
        <v>316</v>
      </c>
      <c r="M4722" s="3">
        <v>449</v>
      </c>
    </row>
    <row r="4723" spans="1:13" x14ac:dyDescent="0.25">
      <c r="A4723" s="1" t="str">
        <f>HYPERLINK("http://www.rosaceae.org/Prunus/Prunus_persica/p.persica_gdr_reftransV1_0045621","p.persica_gdr_reftransV1_0045621")</f>
        <v>p.persica_gdr_reftransV1_0045621</v>
      </c>
      <c r="B4723" s="3">
        <v>1924</v>
      </c>
      <c r="C4723" s="1" t="str">
        <f>HYPERLINK("http://www.uniprot.org/uniprot/RHF2A_ARATH","RHF2A_ARATH")</f>
        <v>RHF2A_ARATH</v>
      </c>
      <c r="D4723" t="s">
        <v>4119</v>
      </c>
      <c r="E4723" s="3" t="s">
        <v>3</v>
      </c>
      <c r="F4723" s="4">
        <v>9.7500000000000004E-121</v>
      </c>
      <c r="G4723" s="3">
        <v>951</v>
      </c>
      <c r="H4723" s="3">
        <v>57</v>
      </c>
      <c r="I4723" s="3">
        <v>388</v>
      </c>
      <c r="J4723" s="3">
        <v>402</v>
      </c>
      <c r="K4723" s="3">
        <v>1547</v>
      </c>
      <c r="L4723" s="3">
        <v>6</v>
      </c>
      <c r="M4723" s="3">
        <v>374</v>
      </c>
    </row>
    <row r="4724" spans="1:13" x14ac:dyDescent="0.25">
      <c r="A4724" s="1" t="str">
        <f>HYPERLINK("http://www.rosaceae.org/Prunus/Prunus_persica/p.persica_gdr_reftransV1_0045771","p.persica_gdr_reftransV1_0045771")</f>
        <v>p.persica_gdr_reftransV1_0045771</v>
      </c>
      <c r="B4724" s="3">
        <v>1191</v>
      </c>
      <c r="C4724" s="1" t="str">
        <f>HYPERLINK("http://www.uniprot.org/uniprot/ATHB6_ARATH","ATHB6_ARATH")</f>
        <v>ATHB6_ARATH</v>
      </c>
      <c r="D4724" t="s">
        <v>3015</v>
      </c>
      <c r="E4724" s="3" t="s">
        <v>3</v>
      </c>
      <c r="F4724" s="4">
        <v>1.61E-58</v>
      </c>
      <c r="G4724" s="3">
        <v>506</v>
      </c>
      <c r="H4724" s="3">
        <v>69</v>
      </c>
      <c r="I4724" s="3">
        <v>153</v>
      </c>
      <c r="J4724" s="3">
        <v>617</v>
      </c>
      <c r="K4724" s="3">
        <v>1057</v>
      </c>
      <c r="L4724" s="3">
        <v>1</v>
      </c>
      <c r="M4724" s="3">
        <v>151</v>
      </c>
    </row>
    <row r="4725" spans="1:13" x14ac:dyDescent="0.25">
      <c r="A4725" s="1" t="str">
        <f>HYPERLINK("http://www.rosaceae.org/Prunus/Prunus_persica/p.persica_gdr_reftransV1_0045821","p.persica_gdr_reftransV1_0045821")</f>
        <v>p.persica_gdr_reftransV1_0045821</v>
      </c>
      <c r="B4725" s="3">
        <v>1635</v>
      </c>
      <c r="C4725" s="1" t="str">
        <f>HYPERLINK("http://www.uniprot.org/uniprot/EP1G_DAUCA","EP1G_DAUCA")</f>
        <v>EP1G_DAUCA</v>
      </c>
      <c r="D4725" t="s">
        <v>31</v>
      </c>
      <c r="E4725" s="3" t="s">
        <v>32</v>
      </c>
      <c r="F4725" s="4">
        <v>2.5600000000000001E-89</v>
      </c>
      <c r="G4725" s="3">
        <v>733</v>
      </c>
      <c r="H4725" s="3">
        <v>43</v>
      </c>
      <c r="I4725" s="3">
        <v>373</v>
      </c>
      <c r="J4725" s="3">
        <v>390</v>
      </c>
      <c r="K4725" s="3">
        <v>1445</v>
      </c>
      <c r="L4725" s="3">
        <v>26</v>
      </c>
      <c r="M4725" s="3">
        <v>373</v>
      </c>
    </row>
    <row r="4726" spans="1:13" x14ac:dyDescent="0.25">
      <c r="A4726" s="1" t="str">
        <f>HYPERLINK("http://www.rosaceae.org/Prunus/Prunus_persica/p.persica_gdr_reftransV1_0046021","p.persica_gdr_reftransV1_0046021")</f>
        <v>p.persica_gdr_reftransV1_0046021</v>
      </c>
      <c r="B4726" s="3">
        <v>1714</v>
      </c>
      <c r="C4726" s="1" t="str">
        <f>HYPERLINK("http://www.uniprot.org/uniprot/BTR1_ARATH","BTR1_ARATH")</f>
        <v>BTR1_ARATH</v>
      </c>
      <c r="D4726" t="s">
        <v>4120</v>
      </c>
      <c r="E4726" s="3" t="s">
        <v>3</v>
      </c>
      <c r="F4726" s="4">
        <v>8.7799999999999993E-120</v>
      </c>
      <c r="G4726" s="3">
        <v>932</v>
      </c>
      <c r="H4726" s="3">
        <v>64</v>
      </c>
      <c r="I4726" s="3">
        <v>332</v>
      </c>
      <c r="J4726" s="3">
        <v>264</v>
      </c>
      <c r="K4726" s="3">
        <v>1259</v>
      </c>
      <c r="L4726" s="3">
        <v>1</v>
      </c>
      <c r="M4726" s="3">
        <v>310</v>
      </c>
    </row>
    <row r="4727" spans="1:13" x14ac:dyDescent="0.25">
      <c r="A4727" s="1" t="str">
        <f>HYPERLINK("http://www.rosaceae.org/Prunus/Prunus_persica/p.persica_gdr_reftransV1_0046121","p.persica_gdr_reftransV1_0046121")</f>
        <v>p.persica_gdr_reftransV1_0046121</v>
      </c>
      <c r="B4727" s="3">
        <v>1898</v>
      </c>
      <c r="C4727" s="1" t="str">
        <f>HYPERLINK("http://www.uniprot.org/uniprot/C93A3_SOYBN","C93A3_SOYBN")</f>
        <v>C93A3_SOYBN</v>
      </c>
      <c r="D4727" t="s">
        <v>4121</v>
      </c>
      <c r="E4727" s="3" t="s">
        <v>307</v>
      </c>
      <c r="F4727" s="4">
        <v>1.7400000000000001E-110</v>
      </c>
      <c r="G4727" s="3">
        <v>893</v>
      </c>
      <c r="H4727" s="3">
        <v>40</v>
      </c>
      <c r="I4727" s="3">
        <v>460</v>
      </c>
      <c r="J4727" s="3">
        <v>213</v>
      </c>
      <c r="K4727" s="3">
        <v>1559</v>
      </c>
      <c r="L4727" s="3">
        <v>52</v>
      </c>
      <c r="M4727" s="3">
        <v>505</v>
      </c>
    </row>
    <row r="4728" spans="1:13" x14ac:dyDescent="0.25">
      <c r="A4728" s="1" t="str">
        <f>HYPERLINK("http://www.rosaceae.org/Prunus/Prunus_persica/p.persica_gdr_reftransV1_0046171","p.persica_gdr_reftransV1_0046171")</f>
        <v>p.persica_gdr_reftransV1_0046171</v>
      </c>
      <c r="B4728" s="3">
        <v>471</v>
      </c>
      <c r="C4728" s="1" t="str">
        <f>HYPERLINK("http://www.uniprot.org/uniprot/E131_ARATH","E131_ARATH")</f>
        <v>E131_ARATH</v>
      </c>
      <c r="D4728" t="s">
        <v>4122</v>
      </c>
      <c r="E4728" s="3" t="s">
        <v>3</v>
      </c>
      <c r="F4728" s="4">
        <v>4.0799999999999999E-25</v>
      </c>
      <c r="G4728" s="3">
        <v>259</v>
      </c>
      <c r="H4728" s="3">
        <v>53</v>
      </c>
      <c r="I4728" s="3">
        <v>85</v>
      </c>
      <c r="J4728" s="3">
        <v>106</v>
      </c>
      <c r="K4728" s="3">
        <v>360</v>
      </c>
      <c r="L4728" s="3">
        <v>379</v>
      </c>
      <c r="M4728" s="3">
        <v>463</v>
      </c>
    </row>
    <row r="4729" spans="1:13" x14ac:dyDescent="0.25">
      <c r="A4729" s="1" t="str">
        <f>HYPERLINK("http://www.rosaceae.org/Prunus/Prunus_persica/p.persica_gdr_reftransV1_0046221","p.persica_gdr_reftransV1_0046221")</f>
        <v>p.persica_gdr_reftransV1_0046221</v>
      </c>
      <c r="B4729" s="3">
        <v>1238</v>
      </c>
      <c r="C4729" s="1" t="str">
        <f>HYPERLINK("http://www.uniprot.org/uniprot/RAA5E_ARATH","RAA5E_ARATH")</f>
        <v>RAA5E_ARATH</v>
      </c>
      <c r="D4729" t="s">
        <v>4123</v>
      </c>
      <c r="E4729" s="3" t="s">
        <v>3</v>
      </c>
      <c r="F4729" s="4">
        <v>1.8599999999999999E-121</v>
      </c>
      <c r="G4729" s="3">
        <v>919</v>
      </c>
      <c r="H4729" s="3">
        <v>86</v>
      </c>
      <c r="I4729" s="3">
        <v>207</v>
      </c>
      <c r="J4729" s="3">
        <v>439</v>
      </c>
      <c r="K4729" s="3">
        <v>1059</v>
      </c>
      <c r="L4729" s="3">
        <v>11</v>
      </c>
      <c r="M4729" s="3">
        <v>216</v>
      </c>
    </row>
    <row r="4730" spans="1:13" x14ac:dyDescent="0.25">
      <c r="A4730" s="1" t="str">
        <f>HYPERLINK("http://www.rosaceae.org/Prunus/Prunus_persica/p.persica_gdr_reftransV1_0046271","p.persica_gdr_reftransV1_0046271")</f>
        <v>p.persica_gdr_reftransV1_0046271</v>
      </c>
      <c r="B4730" s="3">
        <v>3263</v>
      </c>
      <c r="C4730" s="1" t="str">
        <f>HYPERLINK("http://www.uniprot.org/uniprot/ATB14_ARATH","ATB14_ARATH")</f>
        <v>ATB14_ARATH</v>
      </c>
      <c r="D4730" t="s">
        <v>4124</v>
      </c>
      <c r="E4730" s="3" t="s">
        <v>3</v>
      </c>
      <c r="F4730" s="4">
        <v>0</v>
      </c>
      <c r="G4730" s="3">
        <v>3490</v>
      </c>
      <c r="H4730" s="3">
        <v>81</v>
      </c>
      <c r="I4730" s="3">
        <v>849</v>
      </c>
      <c r="J4730" s="3">
        <v>432</v>
      </c>
      <c r="K4730" s="3">
        <v>2969</v>
      </c>
      <c r="L4730" s="3">
        <v>11</v>
      </c>
      <c r="M4730" s="3">
        <v>852</v>
      </c>
    </row>
    <row r="4731" spans="1:13" x14ac:dyDescent="0.25">
      <c r="A4731" s="1" t="str">
        <f>HYPERLINK("http://www.rosaceae.org/Prunus/Prunus_persica/p.persica_gdr_reftransV1_0046321","p.persica_gdr_reftransV1_0046321")</f>
        <v>p.persica_gdr_reftransV1_0046321</v>
      </c>
      <c r="B4731" s="3">
        <v>1521</v>
      </c>
      <c r="C4731" s="1" t="str">
        <f>HYPERLINK("http://www.uniprot.org/uniprot/RGAP3_ARATH","RGAP3_ARATH")</f>
        <v>RGAP3_ARATH</v>
      </c>
      <c r="D4731" t="s">
        <v>4125</v>
      </c>
      <c r="E4731" s="3" t="s">
        <v>3</v>
      </c>
      <c r="F4731" s="4">
        <v>6.95E-149</v>
      </c>
      <c r="G4731" s="3">
        <v>1134</v>
      </c>
      <c r="H4731" s="3">
        <v>60</v>
      </c>
      <c r="I4731" s="3">
        <v>393</v>
      </c>
      <c r="J4731" s="3">
        <v>203</v>
      </c>
      <c r="K4731" s="3">
        <v>1372</v>
      </c>
      <c r="L4731" s="3">
        <v>71</v>
      </c>
      <c r="M4731" s="3">
        <v>430</v>
      </c>
    </row>
    <row r="4732" spans="1:13" x14ac:dyDescent="0.25">
      <c r="A4732" s="1" t="str">
        <f>HYPERLINK("http://www.rosaceae.org/Prunus/Prunus_persica/p.persica_gdr_reftransV1_0046421","p.persica_gdr_reftransV1_0046421")</f>
        <v>p.persica_gdr_reftransV1_0046421</v>
      </c>
      <c r="B4732" s="3">
        <v>3014</v>
      </c>
      <c r="C4732" s="1" t="str">
        <f>HYPERLINK("http://www.uniprot.org/uniprot/KEA2_ARATH","KEA2_ARATH")</f>
        <v>KEA2_ARATH</v>
      </c>
      <c r="D4732" t="s">
        <v>4126</v>
      </c>
      <c r="E4732" s="3" t="s">
        <v>3</v>
      </c>
      <c r="F4732" s="4">
        <v>0</v>
      </c>
      <c r="G4732" s="3">
        <v>2939</v>
      </c>
      <c r="H4732" s="3">
        <v>73</v>
      </c>
      <c r="I4732" s="3">
        <v>956</v>
      </c>
      <c r="J4732" s="3">
        <v>150</v>
      </c>
      <c r="K4732" s="3">
        <v>3014</v>
      </c>
      <c r="L4732" s="3">
        <v>98</v>
      </c>
      <c r="M4732" s="3">
        <v>1014</v>
      </c>
    </row>
    <row r="4733" spans="1:13" x14ac:dyDescent="0.25">
      <c r="A4733" s="1" t="str">
        <f>HYPERLINK("http://www.rosaceae.org/Prunus/Prunus_persica/p.persica_gdr_reftransV1_0046521","p.persica_gdr_reftransV1_0046521")</f>
        <v>p.persica_gdr_reftransV1_0046521</v>
      </c>
      <c r="B4733" s="3">
        <v>1709</v>
      </c>
      <c r="C4733" s="1" t="str">
        <f>HYPERLINK("http://www.uniprot.org/uniprot/PDCD2_BOVIN","PDCD2_BOVIN")</f>
        <v>PDCD2_BOVIN</v>
      </c>
      <c r="D4733" t="s">
        <v>4127</v>
      </c>
      <c r="E4733" s="3" t="s">
        <v>184</v>
      </c>
      <c r="F4733" s="4">
        <v>2.1599999999999999E-57</v>
      </c>
      <c r="G4733" s="3">
        <v>512</v>
      </c>
      <c r="H4733" s="3">
        <v>36</v>
      </c>
      <c r="I4733" s="3">
        <v>367</v>
      </c>
      <c r="J4733" s="3">
        <v>310</v>
      </c>
      <c r="K4733" s="3">
        <v>1377</v>
      </c>
      <c r="L4733" s="3">
        <v>11</v>
      </c>
      <c r="M4733" s="3">
        <v>338</v>
      </c>
    </row>
    <row r="4734" spans="1:13" x14ac:dyDescent="0.25">
      <c r="A4734" s="1" t="str">
        <f>HYPERLINK("http://www.rosaceae.org/Prunus/Prunus_persica/p.persica_gdr_reftransV1_0046571","p.persica_gdr_reftransV1_0046571")</f>
        <v>p.persica_gdr_reftransV1_0046571</v>
      </c>
      <c r="B4734" s="3">
        <v>397</v>
      </c>
      <c r="C4734" s="1" t="str">
        <f>HYPERLINK("http://www.uniprot.org/uniprot/TBL41_ARATH","TBL41_ARATH")</f>
        <v>TBL41_ARATH</v>
      </c>
      <c r="D4734" t="s">
        <v>4128</v>
      </c>
      <c r="E4734" s="3" t="s">
        <v>3</v>
      </c>
      <c r="F4734" s="4">
        <v>1.8199999999999999E-39</v>
      </c>
      <c r="G4734" s="3">
        <v>355</v>
      </c>
      <c r="H4734" s="3">
        <v>66</v>
      </c>
      <c r="I4734" s="3">
        <v>105</v>
      </c>
      <c r="J4734" s="3">
        <v>86</v>
      </c>
      <c r="K4734" s="3">
        <v>397</v>
      </c>
      <c r="L4734" s="3">
        <v>242</v>
      </c>
      <c r="M4734" s="3">
        <v>346</v>
      </c>
    </row>
    <row r="4735" spans="1:13" x14ac:dyDescent="0.25">
      <c r="A4735" s="1" t="str">
        <f>HYPERLINK("http://www.rosaceae.org/Prunus/Prunus_persica/p.persica_gdr_reftransV1_0046671","p.persica_gdr_reftransV1_0046671")</f>
        <v>p.persica_gdr_reftransV1_0046671</v>
      </c>
      <c r="B4735" s="3">
        <v>846</v>
      </c>
      <c r="C4735" s="1" t="str">
        <f>HYPERLINK("http://www.uniprot.org/uniprot/MA654_ARATH","MA654_ARATH")</f>
        <v>MA654_ARATH</v>
      </c>
      <c r="D4735" t="s">
        <v>4129</v>
      </c>
      <c r="E4735" s="3" t="s">
        <v>3</v>
      </c>
      <c r="F4735" s="4">
        <v>7.3599999999999997E-14</v>
      </c>
      <c r="G4735" s="3">
        <v>183</v>
      </c>
      <c r="H4735" s="3">
        <v>37</v>
      </c>
      <c r="I4735" s="3">
        <v>192</v>
      </c>
      <c r="J4735" s="3">
        <v>273</v>
      </c>
      <c r="K4735" s="3">
        <v>845</v>
      </c>
      <c r="L4735" s="3">
        <v>519</v>
      </c>
      <c r="M4735" s="3">
        <v>676</v>
      </c>
    </row>
    <row r="4736" spans="1:13" x14ac:dyDescent="0.25">
      <c r="A4736" s="1" t="str">
        <f>HYPERLINK("http://www.rosaceae.org/Prunus/Prunus_persica/p.persica_gdr_reftransV1_0046721","p.persica_gdr_reftransV1_0046721")</f>
        <v>p.persica_gdr_reftransV1_0046721</v>
      </c>
      <c r="B4736" s="3">
        <v>2515</v>
      </c>
      <c r="C4736" s="1" t="str">
        <f>HYPERLINK("http://www.uniprot.org/uniprot/AB2E_ARATH","AB2E_ARATH")</f>
        <v>AB2E_ARATH</v>
      </c>
      <c r="D4736" t="s">
        <v>4130</v>
      </c>
      <c r="E4736" s="3" t="s">
        <v>3</v>
      </c>
      <c r="F4736" s="4">
        <v>0</v>
      </c>
      <c r="G4736" s="3">
        <v>3029</v>
      </c>
      <c r="H4736" s="3">
        <v>93</v>
      </c>
      <c r="I4736" s="3">
        <v>605</v>
      </c>
      <c r="J4736" s="3">
        <v>462</v>
      </c>
      <c r="K4736" s="3">
        <v>2276</v>
      </c>
      <c r="L4736" s="3">
        <v>1</v>
      </c>
      <c r="M4736" s="3">
        <v>605</v>
      </c>
    </row>
    <row r="4737" spans="1:13" x14ac:dyDescent="0.25">
      <c r="A4737" s="1" t="str">
        <f>HYPERLINK("http://www.rosaceae.org/Prunus/Prunus_persica/p.persica_gdr_reftransV1_0046771","p.persica_gdr_reftransV1_0046771")</f>
        <v>p.persica_gdr_reftransV1_0046771</v>
      </c>
      <c r="B4737" s="3">
        <v>1079</v>
      </c>
      <c r="C4737" s="1" t="str">
        <f>HYPERLINK("http://www.uniprot.org/uniprot/RL211_ARATH","RL211_ARATH")</f>
        <v>RL211_ARATH</v>
      </c>
      <c r="D4737" t="s">
        <v>4131</v>
      </c>
      <c r="E4737" s="3" t="s">
        <v>3</v>
      </c>
      <c r="F4737" s="4">
        <v>2.63E-98</v>
      </c>
      <c r="G4737" s="3">
        <v>756</v>
      </c>
      <c r="H4737" s="3">
        <v>85</v>
      </c>
      <c r="I4737" s="3">
        <v>162</v>
      </c>
      <c r="J4737" s="3">
        <v>245</v>
      </c>
      <c r="K4737" s="3">
        <v>730</v>
      </c>
      <c r="L4737" s="3">
        <v>3</v>
      </c>
      <c r="M4737" s="3">
        <v>164</v>
      </c>
    </row>
    <row r="4738" spans="1:13" x14ac:dyDescent="0.25">
      <c r="A4738" s="1" t="str">
        <f>HYPERLINK("http://www.rosaceae.org/Prunus/Prunus_persica/p.persica_gdr_reftransV1_0046821","p.persica_gdr_reftransV1_0046821")</f>
        <v>p.persica_gdr_reftransV1_0046821</v>
      </c>
      <c r="B4738" s="3">
        <v>440</v>
      </c>
      <c r="C4738" s="1" t="str">
        <f>HYPERLINK("http://www.uniprot.org/uniprot/C78A5_ARATH","C78A5_ARATH")</f>
        <v>C78A5_ARATH</v>
      </c>
      <c r="D4738" t="s">
        <v>656</v>
      </c>
      <c r="E4738" s="3" t="s">
        <v>3</v>
      </c>
      <c r="F4738" s="4">
        <v>2.2999999999999999E-49</v>
      </c>
      <c r="G4738" s="3">
        <v>432</v>
      </c>
      <c r="H4738" s="3">
        <v>62</v>
      </c>
      <c r="I4738" s="3">
        <v>139</v>
      </c>
      <c r="J4738" s="3">
        <v>2</v>
      </c>
      <c r="K4738" s="3">
        <v>412</v>
      </c>
      <c r="L4738" s="3">
        <v>144</v>
      </c>
      <c r="M4738" s="3">
        <v>279</v>
      </c>
    </row>
    <row r="4739" spans="1:13" x14ac:dyDescent="0.25">
      <c r="A4739" s="1" t="str">
        <f>HYPERLINK("http://www.rosaceae.org/Prunus/Prunus_persica/p.persica_gdr_reftransV1_0046871","p.persica_gdr_reftransV1_0046871")</f>
        <v>p.persica_gdr_reftransV1_0046871</v>
      </c>
      <c r="B4739" s="3">
        <v>1859</v>
      </c>
      <c r="C4739" s="1" t="str">
        <f>HYPERLINK("http://www.uniprot.org/uniprot/Y5694_ARATH","Y5694_ARATH")</f>
        <v>Y5694_ARATH</v>
      </c>
      <c r="D4739" t="s">
        <v>4132</v>
      </c>
      <c r="E4739" s="3" t="s">
        <v>3</v>
      </c>
      <c r="F4739" s="4">
        <v>0</v>
      </c>
      <c r="G4739" s="3">
        <v>1640</v>
      </c>
      <c r="H4739" s="3">
        <v>61</v>
      </c>
      <c r="I4739" s="3">
        <v>529</v>
      </c>
      <c r="J4739" s="3">
        <v>3</v>
      </c>
      <c r="K4739" s="3">
        <v>1565</v>
      </c>
      <c r="L4739" s="3">
        <v>348</v>
      </c>
      <c r="M4739" s="3">
        <v>865</v>
      </c>
    </row>
    <row r="4740" spans="1:13" x14ac:dyDescent="0.25">
      <c r="A4740" s="1" t="str">
        <f>HYPERLINK("http://www.rosaceae.org/Prunus/Prunus_persica/p.persica_gdr_reftransV1_0046971","p.persica_gdr_reftransV1_0046971")</f>
        <v>p.persica_gdr_reftransV1_0046971</v>
      </c>
      <c r="B4740" s="3">
        <v>1595</v>
      </c>
      <c r="C4740" s="1" t="str">
        <f>HYPERLINK("http://www.uniprot.org/uniprot/PCS1L_ARATH","PCS1L_ARATH")</f>
        <v>PCS1L_ARATH</v>
      </c>
      <c r="D4740" t="s">
        <v>1572</v>
      </c>
      <c r="E4740" s="3" t="s">
        <v>3</v>
      </c>
      <c r="F4740" s="4">
        <v>1.05E-168</v>
      </c>
      <c r="G4740" s="3">
        <v>1268</v>
      </c>
      <c r="H4740" s="3">
        <v>69</v>
      </c>
      <c r="I4740" s="3">
        <v>411</v>
      </c>
      <c r="J4740" s="3">
        <v>337</v>
      </c>
      <c r="K4740" s="3">
        <v>1548</v>
      </c>
      <c r="L4740" s="3">
        <v>44</v>
      </c>
      <c r="M4740" s="3">
        <v>452</v>
      </c>
    </row>
    <row r="4741" spans="1:13" x14ac:dyDescent="0.25">
      <c r="A4741" s="1" t="str">
        <f>HYPERLINK("http://www.rosaceae.org/Prunus/Prunus_persica/p.persica_gdr_reftransV1_0047071","p.persica_gdr_reftransV1_0047071")</f>
        <v>p.persica_gdr_reftransV1_0047071</v>
      </c>
      <c r="B4741" s="3">
        <v>378</v>
      </c>
      <c r="C4741" s="1" t="str">
        <f>HYPERLINK("http://www.uniprot.org/uniprot/Y1796_ARATH","Y1796_ARATH")</f>
        <v>Y1796_ARATH</v>
      </c>
      <c r="D4741" t="s">
        <v>215</v>
      </c>
      <c r="E4741" s="3" t="s">
        <v>3</v>
      </c>
      <c r="F4741" s="4">
        <v>7.1499999999999995E-32</v>
      </c>
      <c r="G4741" s="3">
        <v>308</v>
      </c>
      <c r="H4741" s="3">
        <v>54</v>
      </c>
      <c r="I4741" s="3">
        <v>97</v>
      </c>
      <c r="J4741" s="3">
        <v>27</v>
      </c>
      <c r="K4741" s="3">
        <v>317</v>
      </c>
      <c r="L4741" s="3">
        <v>317</v>
      </c>
      <c r="M4741" s="3">
        <v>413</v>
      </c>
    </row>
    <row r="4742" spans="1:13" x14ac:dyDescent="0.25">
      <c r="A4742" s="1" t="str">
        <f>HYPERLINK("http://www.rosaceae.org/Prunus/Prunus_persica/p.persica_gdr_reftransV1_0047121","p.persica_gdr_reftransV1_0047121")</f>
        <v>p.persica_gdr_reftransV1_0047121</v>
      </c>
      <c r="B4742" s="3">
        <v>2108</v>
      </c>
      <c r="C4742" s="1" t="str">
        <f>HYPERLINK("http://www.uniprot.org/uniprot/CDT1A_ARATH","CDT1A_ARATH")</f>
        <v>CDT1A_ARATH</v>
      </c>
      <c r="D4742" t="s">
        <v>522</v>
      </c>
      <c r="E4742" s="3" t="s">
        <v>3</v>
      </c>
      <c r="F4742" s="4">
        <v>1.3399999999999999E-47</v>
      </c>
      <c r="G4742" s="3">
        <v>459</v>
      </c>
      <c r="H4742" s="3">
        <v>45</v>
      </c>
      <c r="I4742" s="3">
        <v>239</v>
      </c>
      <c r="J4742" s="3">
        <v>1241</v>
      </c>
      <c r="K4742" s="3">
        <v>1930</v>
      </c>
      <c r="L4742" s="3">
        <v>327</v>
      </c>
      <c r="M4742" s="3">
        <v>560</v>
      </c>
    </row>
    <row r="4743" spans="1:13" x14ac:dyDescent="0.25">
      <c r="A4743" s="1" t="str">
        <f>HYPERLINK("http://www.rosaceae.org/Prunus/Prunus_persica/p.persica_gdr_reftransV1_0047221","p.persica_gdr_reftransV1_0047221")</f>
        <v>p.persica_gdr_reftransV1_0047221</v>
      </c>
      <c r="B4743" s="3">
        <v>1724</v>
      </c>
      <c r="C4743" s="1" t="str">
        <f>HYPERLINK("http://www.uniprot.org/uniprot/MYOB3_ARATH","MYOB3_ARATH")</f>
        <v>MYOB3_ARATH</v>
      </c>
      <c r="D4743" t="s">
        <v>1900</v>
      </c>
      <c r="E4743" s="3" t="s">
        <v>3</v>
      </c>
      <c r="F4743" s="4">
        <v>2.4100000000000001E-15</v>
      </c>
      <c r="G4743" s="3">
        <v>204</v>
      </c>
      <c r="H4743" s="3">
        <v>49</v>
      </c>
      <c r="I4743" s="3">
        <v>98</v>
      </c>
      <c r="J4743" s="3">
        <v>426</v>
      </c>
      <c r="K4743" s="3">
        <v>719</v>
      </c>
      <c r="L4743" s="3">
        <v>356</v>
      </c>
      <c r="M4743" s="3">
        <v>453</v>
      </c>
    </row>
    <row r="4744" spans="1:13" x14ac:dyDescent="0.25">
      <c r="A4744" s="1" t="str">
        <f>HYPERLINK("http://www.rosaceae.org/Prunus/Prunus_persica/p.persica_gdr_reftransV1_0047321","p.persica_gdr_reftransV1_0047321")</f>
        <v>p.persica_gdr_reftransV1_0047321</v>
      </c>
      <c r="B4744" s="3">
        <v>1301</v>
      </c>
      <c r="C4744" s="1" t="str">
        <f>HYPERLINK("http://www.uniprot.org/uniprot/ETHE1_ARATH","ETHE1_ARATH")</f>
        <v>ETHE1_ARATH</v>
      </c>
      <c r="D4744" t="s">
        <v>1661</v>
      </c>
      <c r="E4744" s="3" t="s">
        <v>3</v>
      </c>
      <c r="F4744" s="4">
        <v>5.7999999999999997E-102</v>
      </c>
      <c r="G4744" s="3">
        <v>799</v>
      </c>
      <c r="H4744" s="3">
        <v>83</v>
      </c>
      <c r="I4744" s="3">
        <v>189</v>
      </c>
      <c r="J4744" s="3">
        <v>497</v>
      </c>
      <c r="K4744" s="3">
        <v>1063</v>
      </c>
      <c r="L4744" s="3">
        <v>51</v>
      </c>
      <c r="M4744" s="3">
        <v>239</v>
      </c>
    </row>
    <row r="4745" spans="1:13" x14ac:dyDescent="0.25">
      <c r="A4745" s="1" t="str">
        <f>HYPERLINK("http://www.rosaceae.org/Prunus/Prunus_persica/p.persica_gdr_reftransV1_0047471","p.persica_gdr_reftransV1_0047471")</f>
        <v>p.persica_gdr_reftransV1_0047471</v>
      </c>
      <c r="B4745" s="3">
        <v>890</v>
      </c>
      <c r="C4745" s="1" t="str">
        <f>HYPERLINK("http://www.uniprot.org/uniprot/HSP11_DAUCA","HSP11_DAUCA")</f>
        <v>HSP11_DAUCA</v>
      </c>
      <c r="D4745" t="s">
        <v>4133</v>
      </c>
      <c r="E4745" s="3" t="s">
        <v>32</v>
      </c>
      <c r="F4745" s="4">
        <v>5.8799999999999997E-76</v>
      </c>
      <c r="G4745" s="3">
        <v>600</v>
      </c>
      <c r="H4745" s="3">
        <v>76</v>
      </c>
      <c r="I4745" s="3">
        <v>165</v>
      </c>
      <c r="J4745" s="3">
        <v>209</v>
      </c>
      <c r="K4745" s="3">
        <v>703</v>
      </c>
      <c r="L4745" s="3">
        <v>1</v>
      </c>
      <c r="M4745" s="3">
        <v>157</v>
      </c>
    </row>
    <row r="4746" spans="1:13" x14ac:dyDescent="0.25">
      <c r="A4746" s="1" t="str">
        <f>HYPERLINK("http://www.rosaceae.org/Prunus/Prunus_persica/p.persica_gdr_reftransV1_0047521","p.persica_gdr_reftransV1_0047521")</f>
        <v>p.persica_gdr_reftransV1_0047521</v>
      </c>
      <c r="B4746" s="3">
        <v>1755</v>
      </c>
      <c r="C4746" s="1" t="str">
        <f>HYPERLINK("http://www.uniprot.org/uniprot/ARGI1_ARATH","ARGI1_ARATH")</f>
        <v>ARGI1_ARATH</v>
      </c>
      <c r="D4746" t="s">
        <v>3119</v>
      </c>
      <c r="E4746" s="3" t="s">
        <v>3</v>
      </c>
      <c r="F4746" s="4">
        <v>3.2999999999999999E-151</v>
      </c>
      <c r="G4746" s="3">
        <v>1146</v>
      </c>
      <c r="H4746" s="3">
        <v>86</v>
      </c>
      <c r="I4746" s="3">
        <v>252</v>
      </c>
      <c r="J4746" s="3">
        <v>375</v>
      </c>
      <c r="K4746" s="3">
        <v>1121</v>
      </c>
      <c r="L4746" s="3">
        <v>4</v>
      </c>
      <c r="M4746" s="3">
        <v>255</v>
      </c>
    </row>
    <row r="4747" spans="1:13" x14ac:dyDescent="0.25">
      <c r="A4747" s="1" t="str">
        <f>HYPERLINK("http://www.rosaceae.org/Prunus/Prunus_persica/p.persica_gdr_reftransV1_0047571","p.persica_gdr_reftransV1_0047571")</f>
        <v>p.persica_gdr_reftransV1_0047571</v>
      </c>
      <c r="B4747" s="3">
        <v>1791</v>
      </c>
      <c r="C4747" s="1" t="str">
        <f>HYPERLINK("http://www.uniprot.org/uniprot/COX10_ARATH","COX10_ARATH")</f>
        <v>COX10_ARATH</v>
      </c>
      <c r="D4747" t="s">
        <v>4134</v>
      </c>
      <c r="E4747" s="3" t="s">
        <v>3</v>
      </c>
      <c r="F4747" s="4">
        <v>7.2799999999999997E-154</v>
      </c>
      <c r="G4747" s="3">
        <v>1173</v>
      </c>
      <c r="H4747" s="3">
        <v>71</v>
      </c>
      <c r="I4747" s="3">
        <v>337</v>
      </c>
      <c r="J4747" s="3">
        <v>420</v>
      </c>
      <c r="K4747" s="3">
        <v>1424</v>
      </c>
      <c r="L4747" s="3">
        <v>93</v>
      </c>
      <c r="M4747" s="3">
        <v>418</v>
      </c>
    </row>
    <row r="4748" spans="1:13" x14ac:dyDescent="0.25">
      <c r="A4748" s="1" t="str">
        <f>HYPERLINK("http://www.rosaceae.org/Prunus/Prunus_persica/p.persica_gdr_reftransV1_0047721","p.persica_gdr_reftransV1_0047721")</f>
        <v>p.persica_gdr_reftransV1_0047721</v>
      </c>
      <c r="B4748" s="3">
        <v>683</v>
      </c>
      <c r="C4748" s="1" t="str">
        <f>HYPERLINK("http://www.uniprot.org/uniprot/NAC14_ARATH","NAC14_ARATH")</f>
        <v>NAC14_ARATH</v>
      </c>
      <c r="D4748" t="s">
        <v>4106</v>
      </c>
      <c r="E4748" s="3" t="s">
        <v>3</v>
      </c>
      <c r="F4748" s="4">
        <v>1.4499999999999999E-13</v>
      </c>
      <c r="G4748" s="3">
        <v>178</v>
      </c>
      <c r="H4748" s="3">
        <v>56</v>
      </c>
      <c r="I4748" s="3">
        <v>61</v>
      </c>
      <c r="J4748" s="3">
        <v>104</v>
      </c>
      <c r="K4748" s="3">
        <v>280</v>
      </c>
      <c r="L4748" s="3">
        <v>23</v>
      </c>
      <c r="M4748" s="3">
        <v>82</v>
      </c>
    </row>
    <row r="4749" spans="1:13" x14ac:dyDescent="0.25">
      <c r="A4749" s="1" t="str">
        <f>HYPERLINK("http://www.rosaceae.org/Prunus/Prunus_persica/p.persica_gdr_reftransV1_0047771","p.persica_gdr_reftransV1_0047771")</f>
        <v>p.persica_gdr_reftransV1_0047771</v>
      </c>
      <c r="B4749" s="3">
        <v>1315</v>
      </c>
      <c r="C4749" s="1" t="str">
        <f>HYPERLINK("http://www.uniprot.org/uniprot/ABRB_ABRPR","ABRB_ABRPR")</f>
        <v>ABRB_ABRPR</v>
      </c>
      <c r="D4749" t="s">
        <v>4135</v>
      </c>
      <c r="E4749" s="3" t="s">
        <v>4136</v>
      </c>
      <c r="F4749" s="4">
        <v>1.6299999999999998E-27</v>
      </c>
      <c r="G4749" s="3">
        <v>294</v>
      </c>
      <c r="H4749" s="3">
        <v>35</v>
      </c>
      <c r="I4749" s="3">
        <v>301</v>
      </c>
      <c r="J4749" s="3">
        <v>342</v>
      </c>
      <c r="K4749" s="3">
        <v>1244</v>
      </c>
      <c r="L4749" s="3">
        <v>5</v>
      </c>
      <c r="M4749" s="3">
        <v>266</v>
      </c>
    </row>
    <row r="4750" spans="1:13" x14ac:dyDescent="0.25">
      <c r="A4750" s="1" t="str">
        <f>HYPERLINK("http://www.rosaceae.org/Prunus/Prunus_persica/p.persica_gdr_reftransV1_0047821","p.persica_gdr_reftransV1_0047821")</f>
        <v>p.persica_gdr_reftransV1_0047821</v>
      </c>
      <c r="B4750" s="3">
        <v>872</v>
      </c>
      <c r="C4750" s="1" t="str">
        <f>HYPERLINK("http://www.uniprot.org/uniprot/Y1322_ARATH","Y1322_ARATH")</f>
        <v>Y1322_ARATH</v>
      </c>
      <c r="D4750" t="s">
        <v>4137</v>
      </c>
      <c r="E4750" s="3" t="s">
        <v>3</v>
      </c>
      <c r="F4750" s="4">
        <v>3.81E-53</v>
      </c>
      <c r="G4750" s="3">
        <v>447</v>
      </c>
      <c r="H4750" s="3">
        <v>60</v>
      </c>
      <c r="I4750" s="3">
        <v>149</v>
      </c>
      <c r="J4750" s="3">
        <v>299</v>
      </c>
      <c r="K4750" s="3">
        <v>745</v>
      </c>
      <c r="L4750" s="3">
        <v>1</v>
      </c>
      <c r="M4750" s="3">
        <v>143</v>
      </c>
    </row>
    <row r="4751" spans="1:13" x14ac:dyDescent="0.25">
      <c r="A4751" s="1" t="str">
        <f>HYPERLINK("http://www.rosaceae.org/Prunus/Prunus_persica/p.persica_gdr_reftransV1_0047971","p.persica_gdr_reftransV1_0047971")</f>
        <v>p.persica_gdr_reftransV1_0047971</v>
      </c>
      <c r="B4751" s="3">
        <v>1342</v>
      </c>
      <c r="C4751" s="1" t="str">
        <f>HYPERLINK("http://www.uniprot.org/uniprot/WRK29_ARATH","WRK29_ARATH")</f>
        <v>WRK29_ARATH</v>
      </c>
      <c r="D4751" t="s">
        <v>4138</v>
      </c>
      <c r="E4751" s="3" t="s">
        <v>3</v>
      </c>
      <c r="F4751" s="4">
        <v>5.7600000000000001E-37</v>
      </c>
      <c r="G4751" s="3">
        <v>358</v>
      </c>
      <c r="H4751" s="3">
        <v>42</v>
      </c>
      <c r="I4751" s="3">
        <v>306</v>
      </c>
      <c r="J4751" s="3">
        <v>436</v>
      </c>
      <c r="K4751" s="3">
        <v>1278</v>
      </c>
      <c r="L4751" s="3">
        <v>1</v>
      </c>
      <c r="M4751" s="3">
        <v>291</v>
      </c>
    </row>
    <row r="4752" spans="1:13" x14ac:dyDescent="0.25">
      <c r="A4752" s="1" t="str">
        <f>HYPERLINK("http://www.rosaceae.org/Prunus/Prunus_persica/p.persica_gdr_reftransV1_0048021","p.persica_gdr_reftransV1_0048021")</f>
        <v>p.persica_gdr_reftransV1_0048021</v>
      </c>
      <c r="B4752" s="3">
        <v>1069</v>
      </c>
      <c r="C4752" s="1" t="str">
        <f>HYPERLINK("http://www.uniprot.org/uniprot/CP123_ARATH","CP123_ARATH")</f>
        <v>CP123_ARATH</v>
      </c>
      <c r="D4752" t="s">
        <v>4139</v>
      </c>
      <c r="E4752" s="3" t="s">
        <v>3</v>
      </c>
      <c r="F4752" s="4">
        <v>5.1699999999999996E-34</v>
      </c>
      <c r="G4752" s="3">
        <v>320</v>
      </c>
      <c r="H4752" s="3">
        <v>70</v>
      </c>
      <c r="I4752" s="3">
        <v>84</v>
      </c>
      <c r="J4752" s="3">
        <v>228</v>
      </c>
      <c r="K4752" s="3">
        <v>476</v>
      </c>
      <c r="L4752" s="3">
        <v>51</v>
      </c>
      <c r="M4752" s="3">
        <v>134</v>
      </c>
    </row>
    <row r="4753" spans="1:13" x14ac:dyDescent="0.25">
      <c r="A4753" s="1" t="str">
        <f>HYPERLINK("http://www.rosaceae.org/Prunus/Prunus_persica/p.persica_gdr_reftransV1_0048121","p.persica_gdr_reftransV1_0048121")</f>
        <v>p.persica_gdr_reftransV1_0048121</v>
      </c>
      <c r="B4753" s="3">
        <v>1536</v>
      </c>
      <c r="C4753" s="1" t="str">
        <f>HYPERLINK("http://www.uniprot.org/uniprot/SCP18_ARATH","SCP18_ARATH")</f>
        <v>SCP18_ARATH</v>
      </c>
      <c r="D4753" t="s">
        <v>2438</v>
      </c>
      <c r="E4753" s="3" t="s">
        <v>3</v>
      </c>
      <c r="F4753" s="4">
        <v>3.7600000000000002E-143</v>
      </c>
      <c r="G4753" s="3">
        <v>1097</v>
      </c>
      <c r="H4753" s="3">
        <v>49</v>
      </c>
      <c r="I4753" s="3">
        <v>453</v>
      </c>
      <c r="J4753" s="3">
        <v>61</v>
      </c>
      <c r="K4753" s="3">
        <v>1416</v>
      </c>
      <c r="L4753" s="3">
        <v>25</v>
      </c>
      <c r="M4753" s="3">
        <v>464</v>
      </c>
    </row>
    <row r="4754" spans="1:13" x14ac:dyDescent="0.25">
      <c r="A4754" s="1" t="str">
        <f>HYPERLINK("http://www.rosaceae.org/Prunus/Prunus_persica/p.persica_gdr_reftransV1_0048171","p.persica_gdr_reftransV1_0048171")</f>
        <v>p.persica_gdr_reftransV1_0048171</v>
      </c>
      <c r="B4754" s="3">
        <v>531</v>
      </c>
      <c r="C4754" s="1" t="str">
        <f>HYPERLINK("http://www.uniprot.org/uniprot/Y3475_ARATH","Y3475_ARATH")</f>
        <v>Y3475_ARATH</v>
      </c>
      <c r="D4754" t="s">
        <v>827</v>
      </c>
      <c r="E4754" s="3" t="s">
        <v>3</v>
      </c>
      <c r="F4754" s="4">
        <v>1.18E-26</v>
      </c>
      <c r="G4754" s="3">
        <v>277</v>
      </c>
      <c r="H4754" s="3">
        <v>39</v>
      </c>
      <c r="I4754" s="3">
        <v>163</v>
      </c>
      <c r="J4754" s="3">
        <v>59</v>
      </c>
      <c r="K4754" s="3">
        <v>526</v>
      </c>
      <c r="L4754" s="3">
        <v>562</v>
      </c>
      <c r="M4754" s="3">
        <v>724</v>
      </c>
    </row>
    <row r="4755" spans="1:13" x14ac:dyDescent="0.25">
      <c r="A4755" s="1" t="str">
        <f>HYPERLINK("http://www.rosaceae.org/Prunus/Prunus_persica/p.persica_gdr_reftransV1_0048221","p.persica_gdr_reftransV1_0048221")</f>
        <v>p.persica_gdr_reftransV1_0048221</v>
      </c>
      <c r="B4755" s="3">
        <v>2725</v>
      </c>
      <c r="C4755" s="1" t="str">
        <f>HYPERLINK("http://www.uniprot.org/uniprot/RH31_ARATH","RH31_ARATH")</f>
        <v>RH31_ARATH</v>
      </c>
      <c r="D4755" t="s">
        <v>4140</v>
      </c>
      <c r="E4755" s="3" t="s">
        <v>3</v>
      </c>
      <c r="F4755" s="4">
        <v>0</v>
      </c>
      <c r="G4755" s="3">
        <v>2185</v>
      </c>
      <c r="H4755" s="3">
        <v>75</v>
      </c>
      <c r="I4755" s="3">
        <v>553</v>
      </c>
      <c r="J4755" s="3">
        <v>150</v>
      </c>
      <c r="K4755" s="3">
        <v>1766</v>
      </c>
      <c r="L4755" s="3">
        <v>166</v>
      </c>
      <c r="M4755" s="3">
        <v>716</v>
      </c>
    </row>
    <row r="4756" spans="1:13" x14ac:dyDescent="0.25">
      <c r="A4756" s="1" t="str">
        <f>HYPERLINK("http://www.rosaceae.org/Prunus/Prunus_persica/p.persica_gdr_reftransV1_0048271","p.persica_gdr_reftransV1_0048271")</f>
        <v>p.persica_gdr_reftransV1_0048271</v>
      </c>
      <c r="B4756" s="3">
        <v>3792</v>
      </c>
      <c r="C4756" s="1" t="str">
        <f>HYPERLINK("http://www.uniprot.org/uniprot/PR35B_ARATH","PR35B_ARATH")</f>
        <v>PR35B_ARATH</v>
      </c>
      <c r="D4756" t="s">
        <v>4141</v>
      </c>
      <c r="E4756" s="3" t="s">
        <v>3</v>
      </c>
      <c r="F4756" s="4">
        <v>0</v>
      </c>
      <c r="G4756" s="3">
        <v>1755</v>
      </c>
      <c r="H4756" s="3">
        <v>45</v>
      </c>
      <c r="I4756" s="3">
        <v>1022</v>
      </c>
      <c r="J4756" s="3">
        <v>220</v>
      </c>
      <c r="K4756" s="3">
        <v>3234</v>
      </c>
      <c r="L4756" s="3">
        <v>1</v>
      </c>
      <c r="M4756" s="3">
        <v>990</v>
      </c>
    </row>
    <row r="4757" spans="1:13" x14ac:dyDescent="0.25">
      <c r="A4757" s="1" t="str">
        <f>HYPERLINK("http://www.rosaceae.org/Prunus/Prunus_persica/p.persica_gdr_reftransV1_0048421","p.persica_gdr_reftransV1_0048421")</f>
        <v>p.persica_gdr_reftransV1_0048421</v>
      </c>
      <c r="B4757" s="3">
        <v>1205</v>
      </c>
      <c r="C4757" s="1" t="str">
        <f>HYPERLINK("http://www.uniprot.org/uniprot/DRL45_ARATH","DRL45_ARATH")</f>
        <v>DRL45_ARATH</v>
      </c>
      <c r="D4757" t="s">
        <v>4142</v>
      </c>
      <c r="E4757" s="3" t="s">
        <v>3</v>
      </c>
      <c r="F4757" s="4">
        <v>1.0399999999999999E-31</v>
      </c>
      <c r="G4757" s="3">
        <v>332</v>
      </c>
      <c r="H4757" s="3">
        <v>33</v>
      </c>
      <c r="I4757" s="3">
        <v>382</v>
      </c>
      <c r="J4757" s="3">
        <v>103</v>
      </c>
      <c r="K4757" s="3">
        <v>1203</v>
      </c>
      <c r="L4757" s="3">
        <v>498</v>
      </c>
      <c r="M4757" s="3">
        <v>868</v>
      </c>
    </row>
    <row r="4758" spans="1:13" x14ac:dyDescent="0.25">
      <c r="A4758" s="1" t="str">
        <f>HYPERLINK("http://www.rosaceae.org/Prunus/Prunus_persica/p.persica_gdr_reftransV1_0048471","p.persica_gdr_reftransV1_0048471")</f>
        <v>p.persica_gdr_reftransV1_0048471</v>
      </c>
      <c r="B4758" s="3">
        <v>821</v>
      </c>
      <c r="C4758" s="1" t="str">
        <f>HYPERLINK("http://www.uniprot.org/uniprot/EMC6_DICDI","EMC6_DICDI")</f>
        <v>EMC6_DICDI</v>
      </c>
      <c r="D4758" t="s">
        <v>4143</v>
      </c>
      <c r="E4758" s="3" t="s">
        <v>9</v>
      </c>
      <c r="F4758" s="4">
        <v>1.2300000000000001E-9</v>
      </c>
      <c r="G4758" s="3">
        <v>141</v>
      </c>
      <c r="H4758" s="3">
        <v>38</v>
      </c>
      <c r="I4758" s="3">
        <v>94</v>
      </c>
      <c r="J4758" s="3">
        <v>347</v>
      </c>
      <c r="K4758" s="3">
        <v>628</v>
      </c>
      <c r="L4758" s="3">
        <v>30</v>
      </c>
      <c r="M4758" s="3">
        <v>123</v>
      </c>
    </row>
    <row r="4759" spans="1:13" x14ac:dyDescent="0.25">
      <c r="A4759" s="1" t="str">
        <f>HYPERLINK("http://www.rosaceae.org/Prunus/Prunus_persica/p.persica_gdr_reftransV1_0048521","p.persica_gdr_reftransV1_0048521")</f>
        <v>p.persica_gdr_reftransV1_0048521</v>
      </c>
      <c r="B4759" s="3">
        <v>1315</v>
      </c>
      <c r="C4759" s="1" t="str">
        <f>HYPERLINK("http://www.uniprot.org/uniprot/BH113_ARATH","BH113_ARATH")</f>
        <v>BH113_ARATH</v>
      </c>
      <c r="D4759" t="s">
        <v>1287</v>
      </c>
      <c r="E4759" s="3" t="s">
        <v>3</v>
      </c>
      <c r="F4759" s="4">
        <v>2.1000000000000002E-30</v>
      </c>
      <c r="G4759" s="3">
        <v>307</v>
      </c>
      <c r="H4759" s="3">
        <v>54</v>
      </c>
      <c r="I4759" s="3">
        <v>124</v>
      </c>
      <c r="J4759" s="3">
        <v>541</v>
      </c>
      <c r="K4759" s="3">
        <v>888</v>
      </c>
      <c r="L4759" s="3">
        <v>132</v>
      </c>
      <c r="M4759" s="3">
        <v>255</v>
      </c>
    </row>
    <row r="4760" spans="1:13" x14ac:dyDescent="0.25">
      <c r="A4760" s="1" t="str">
        <f>HYPERLINK("http://www.rosaceae.org/Prunus/Prunus_persica/p.persica_gdr_reftransV1_0048571","p.persica_gdr_reftransV1_0048571")</f>
        <v>p.persica_gdr_reftransV1_0048571</v>
      </c>
      <c r="B4760" s="3">
        <v>1024</v>
      </c>
      <c r="C4760" s="1" t="str">
        <f>HYPERLINK("http://www.uniprot.org/uniprot/PX11D_ARATH","PX11D_ARATH")</f>
        <v>PX11D_ARATH</v>
      </c>
      <c r="D4760" t="s">
        <v>3788</v>
      </c>
      <c r="E4760" s="3" t="s">
        <v>3</v>
      </c>
      <c r="F4760" s="4">
        <v>3.9799999999999998E-132</v>
      </c>
      <c r="G4760" s="3">
        <v>985</v>
      </c>
      <c r="H4760" s="3">
        <v>85</v>
      </c>
      <c r="I4760" s="3">
        <v>233</v>
      </c>
      <c r="J4760" s="3">
        <v>82</v>
      </c>
      <c r="K4760" s="3">
        <v>780</v>
      </c>
      <c r="L4760" s="3">
        <v>3</v>
      </c>
      <c r="M4760" s="3">
        <v>235</v>
      </c>
    </row>
    <row r="4761" spans="1:13" x14ac:dyDescent="0.25">
      <c r="A4761" s="1" t="str">
        <f>HYPERLINK("http://www.rosaceae.org/Prunus/Prunus_persica/p.persica_gdr_reftransV1_0048671","p.persica_gdr_reftransV1_0048671")</f>
        <v>p.persica_gdr_reftransV1_0048671</v>
      </c>
      <c r="B4761" s="3">
        <v>2434</v>
      </c>
      <c r="C4761" s="1" t="str">
        <f>HYPERLINK("http://www.uniprot.org/uniprot/HIPL1_ARATH","HIPL1_ARATH")</f>
        <v>HIPL1_ARATH</v>
      </c>
      <c r="D4761" t="s">
        <v>4144</v>
      </c>
      <c r="E4761" s="3" t="s">
        <v>3</v>
      </c>
      <c r="F4761" s="4">
        <v>0</v>
      </c>
      <c r="G4761" s="3">
        <v>2387</v>
      </c>
      <c r="H4761" s="3">
        <v>70</v>
      </c>
      <c r="I4761" s="3">
        <v>644</v>
      </c>
      <c r="J4761" s="3">
        <v>160</v>
      </c>
      <c r="K4761" s="3">
        <v>2085</v>
      </c>
      <c r="L4761" s="3">
        <v>20</v>
      </c>
      <c r="M4761" s="3">
        <v>656</v>
      </c>
    </row>
    <row r="4762" spans="1:13" x14ac:dyDescent="0.25">
      <c r="A4762" s="1" t="str">
        <f>HYPERLINK("http://www.rosaceae.org/Prunus/Prunus_persica/p.persica_gdr_reftransV1_0048721","p.persica_gdr_reftransV1_0048721")</f>
        <v>p.persica_gdr_reftransV1_0048721</v>
      </c>
      <c r="B4762" s="3">
        <v>581</v>
      </c>
      <c r="C4762" s="1" t="str">
        <f>HYPERLINK("http://www.uniprot.org/uniprot/LBD1_ARATH","LBD1_ARATH")</f>
        <v>LBD1_ARATH</v>
      </c>
      <c r="D4762" t="s">
        <v>4145</v>
      </c>
      <c r="E4762" s="3" t="s">
        <v>3</v>
      </c>
      <c r="F4762" s="4">
        <v>9.2599999999999994E-70</v>
      </c>
      <c r="G4762" s="3">
        <v>552</v>
      </c>
      <c r="H4762" s="3">
        <v>66</v>
      </c>
      <c r="I4762" s="3">
        <v>166</v>
      </c>
      <c r="J4762" s="3">
        <v>69</v>
      </c>
      <c r="K4762" s="3">
        <v>548</v>
      </c>
      <c r="L4762" s="3">
        <v>29</v>
      </c>
      <c r="M4762" s="3">
        <v>189</v>
      </c>
    </row>
    <row r="4763" spans="1:13" x14ac:dyDescent="0.25">
      <c r="A4763" s="1" t="str">
        <f>HYPERLINK("http://www.rosaceae.org/Prunus/Prunus_persica/p.persica_gdr_reftransV1_0048771","p.persica_gdr_reftransV1_0048771")</f>
        <v>p.persica_gdr_reftransV1_0048771</v>
      </c>
      <c r="B4763" s="3">
        <v>1763</v>
      </c>
      <c r="C4763" s="1" t="str">
        <f>HYPERLINK("http://www.uniprot.org/uniprot/SRC28_ARATH","SRC28_ARATH")</f>
        <v>SRC28_ARATH</v>
      </c>
      <c r="D4763" t="s">
        <v>1652</v>
      </c>
      <c r="E4763" s="3" t="s">
        <v>3</v>
      </c>
      <c r="F4763" s="4">
        <v>4.4600000000000001E-44</v>
      </c>
      <c r="G4763" s="3">
        <v>409</v>
      </c>
      <c r="H4763" s="3">
        <v>83</v>
      </c>
      <c r="I4763" s="3">
        <v>89</v>
      </c>
      <c r="J4763" s="3">
        <v>293</v>
      </c>
      <c r="K4763" s="3">
        <v>559</v>
      </c>
      <c r="L4763" s="3">
        <v>45</v>
      </c>
      <c r="M4763" s="3">
        <v>133</v>
      </c>
    </row>
    <row r="4764" spans="1:13" x14ac:dyDescent="0.25">
      <c r="A4764" s="1" t="str">
        <f>HYPERLINK("http://www.rosaceae.org/Prunus/Prunus_persica/p.persica_gdr_reftransV1_0048871","p.persica_gdr_reftransV1_0048871")</f>
        <v>p.persica_gdr_reftransV1_0048871</v>
      </c>
      <c r="B4764" s="3">
        <v>1809</v>
      </c>
      <c r="C4764" s="1" t="str">
        <f>HYPERLINK("http://www.uniprot.org/uniprot/CPR30_ARATH","CPR30_ARATH")</f>
        <v>CPR30_ARATH</v>
      </c>
      <c r="D4764" t="s">
        <v>1594</v>
      </c>
      <c r="E4764" s="3" t="s">
        <v>3</v>
      </c>
      <c r="F4764" s="4">
        <v>3.0000000000000001E-27</v>
      </c>
      <c r="G4764" s="3">
        <v>295</v>
      </c>
      <c r="H4764" s="3">
        <v>28</v>
      </c>
      <c r="I4764" s="3">
        <v>415</v>
      </c>
      <c r="J4764" s="3">
        <v>455</v>
      </c>
      <c r="K4764" s="3">
        <v>1633</v>
      </c>
      <c r="L4764" s="3">
        <v>4</v>
      </c>
      <c r="M4764" s="3">
        <v>380</v>
      </c>
    </row>
    <row r="4765" spans="1:13" x14ac:dyDescent="0.25">
      <c r="A4765" s="1" t="str">
        <f>HYPERLINK("http://www.rosaceae.org/Prunus/Prunus_persica/p.persica_gdr_reftransV1_0048971","p.persica_gdr_reftransV1_0048971")</f>
        <v>p.persica_gdr_reftransV1_0048971</v>
      </c>
      <c r="B4765" s="3">
        <v>3382</v>
      </c>
      <c r="C4765" s="1" t="str">
        <f>HYPERLINK("http://www.uniprot.org/uniprot/NACK1_TOBAC","NACK1_TOBAC")</f>
        <v>NACK1_TOBAC</v>
      </c>
      <c r="D4765" t="s">
        <v>4146</v>
      </c>
      <c r="E4765" s="3" t="s">
        <v>200</v>
      </c>
      <c r="F4765" s="4">
        <v>2.17E-147</v>
      </c>
      <c r="G4765" s="3">
        <v>1218</v>
      </c>
      <c r="H4765" s="3">
        <v>61</v>
      </c>
      <c r="I4765" s="3">
        <v>431</v>
      </c>
      <c r="J4765" s="3">
        <v>291</v>
      </c>
      <c r="K4765" s="3">
        <v>1556</v>
      </c>
      <c r="L4765" s="3">
        <v>17</v>
      </c>
      <c r="M4765" s="3">
        <v>433</v>
      </c>
    </row>
    <row r="4766" spans="1:13" x14ac:dyDescent="0.25">
      <c r="A4766" s="1" t="str">
        <f>HYPERLINK("http://www.rosaceae.org/Prunus/Prunus_persica/p.persica_gdr_reftransV1_0049071","p.persica_gdr_reftransV1_0049071")</f>
        <v>p.persica_gdr_reftransV1_0049071</v>
      </c>
      <c r="B4766" s="3">
        <v>492</v>
      </c>
      <c r="C4766" s="1" t="str">
        <f>HYPERLINK("http://www.uniprot.org/uniprot/PHO1A_ARATH","PHO1A_ARATH")</f>
        <v>PHO1A_ARATH</v>
      </c>
      <c r="D4766" t="s">
        <v>4147</v>
      </c>
      <c r="E4766" s="3" t="s">
        <v>3</v>
      </c>
      <c r="F4766" s="4">
        <v>4.3999999999999998E-59</v>
      </c>
      <c r="G4766" s="3">
        <v>510</v>
      </c>
      <c r="H4766" s="3">
        <v>66</v>
      </c>
      <c r="I4766" s="3">
        <v>163</v>
      </c>
      <c r="J4766" s="3">
        <v>3</v>
      </c>
      <c r="K4766" s="3">
        <v>491</v>
      </c>
      <c r="L4766" s="3">
        <v>237</v>
      </c>
      <c r="M4766" s="3">
        <v>396</v>
      </c>
    </row>
    <row r="4767" spans="1:13" x14ac:dyDescent="0.25">
      <c r="A4767" s="1" t="str">
        <f>HYPERLINK("http://www.rosaceae.org/Prunus/Prunus_persica/p.persica_gdr_reftransV1_0049121","p.persica_gdr_reftransV1_0049121")</f>
        <v>p.persica_gdr_reftransV1_0049121</v>
      </c>
      <c r="B4767" s="3">
        <v>2692</v>
      </c>
      <c r="C4767" s="1" t="str">
        <f>HYPERLINK("http://www.uniprot.org/uniprot/CHX18_ARATH","CHX18_ARATH")</f>
        <v>CHX18_ARATH</v>
      </c>
      <c r="D4767" t="s">
        <v>543</v>
      </c>
      <c r="E4767" s="3" t="s">
        <v>3</v>
      </c>
      <c r="F4767" s="4">
        <v>0</v>
      </c>
      <c r="G4767" s="3">
        <v>2724</v>
      </c>
      <c r="H4767" s="3">
        <v>70</v>
      </c>
      <c r="I4767" s="3">
        <v>798</v>
      </c>
      <c r="J4767" s="3">
        <v>194</v>
      </c>
      <c r="K4767" s="3">
        <v>2560</v>
      </c>
      <c r="L4767" s="3">
        <v>1</v>
      </c>
      <c r="M4767" s="3">
        <v>792</v>
      </c>
    </row>
    <row r="4768" spans="1:13" x14ac:dyDescent="0.25">
      <c r="A4768" s="1" t="str">
        <f>HYPERLINK("http://www.rosaceae.org/Prunus/Prunus_persica/p.persica_gdr_reftransV1_0049171","p.persica_gdr_reftransV1_0049171")</f>
        <v>p.persica_gdr_reftransV1_0049171</v>
      </c>
      <c r="B4768" s="3">
        <v>489</v>
      </c>
      <c r="C4768" s="1" t="str">
        <f>HYPERLINK("http://www.uniprot.org/uniprot/PPR32_ARATH","PPR32_ARATH")</f>
        <v>PPR32_ARATH</v>
      </c>
      <c r="D4768" t="s">
        <v>3693</v>
      </c>
      <c r="E4768" s="3" t="s">
        <v>3</v>
      </c>
      <c r="F4768" s="4">
        <v>1.7900000000000001E-20</v>
      </c>
      <c r="G4768" s="3">
        <v>228</v>
      </c>
      <c r="H4768" s="3">
        <v>31</v>
      </c>
      <c r="I4768" s="3">
        <v>153</v>
      </c>
      <c r="J4768" s="3">
        <v>3</v>
      </c>
      <c r="K4768" s="3">
        <v>452</v>
      </c>
      <c r="L4768" s="3">
        <v>208</v>
      </c>
      <c r="M4768" s="3">
        <v>360</v>
      </c>
    </row>
    <row r="4769" spans="1:13" x14ac:dyDescent="0.25">
      <c r="A4769" s="1" t="str">
        <f>HYPERLINK("http://www.rosaceae.org/Prunus/Prunus_persica/p.persica_gdr_reftransV1_0000022","p.persica_gdr_reftransV1_0000022")</f>
        <v>p.persica_gdr_reftransV1_0000022</v>
      </c>
      <c r="B4769" s="3">
        <v>2117</v>
      </c>
      <c r="C4769" s="1" t="str">
        <f>HYPERLINK("http://www.uniprot.org/uniprot/LRP1C_ARATH","LRP1C_ARATH")</f>
        <v>LRP1C_ARATH</v>
      </c>
      <c r="D4769" t="s">
        <v>4148</v>
      </c>
      <c r="E4769" s="3" t="s">
        <v>3</v>
      </c>
      <c r="F4769" s="4">
        <v>5.2799999999999999E-63</v>
      </c>
      <c r="G4769" s="3">
        <v>571</v>
      </c>
      <c r="H4769" s="3">
        <v>38</v>
      </c>
      <c r="I4769" s="3">
        <v>418</v>
      </c>
      <c r="J4769" s="3">
        <v>205</v>
      </c>
      <c r="K4769" s="3">
        <v>1401</v>
      </c>
      <c r="L4769" s="3">
        <v>112</v>
      </c>
      <c r="M4769" s="3">
        <v>496</v>
      </c>
    </row>
    <row r="4770" spans="1:13" x14ac:dyDescent="0.25">
      <c r="A4770" s="1" t="str">
        <f>HYPERLINK("http://www.rosaceae.org/Prunus/Prunus_persica/p.persica_gdr_reftransV1_0000072","p.persica_gdr_reftransV1_0000072")</f>
        <v>p.persica_gdr_reftransV1_0000072</v>
      </c>
      <c r="B4770" s="3">
        <v>3407</v>
      </c>
      <c r="C4770" s="1" t="str">
        <f>HYPERLINK("http://www.uniprot.org/uniprot/ATM_ARATH","ATM_ARATH")</f>
        <v>ATM_ARATH</v>
      </c>
      <c r="D4770" t="s">
        <v>2500</v>
      </c>
      <c r="E4770" s="3" t="s">
        <v>3</v>
      </c>
      <c r="F4770" s="4">
        <v>4.3700000000000002E-11</v>
      </c>
      <c r="G4770" s="3">
        <v>174</v>
      </c>
      <c r="H4770" s="3">
        <v>33</v>
      </c>
      <c r="I4770" s="3">
        <v>107</v>
      </c>
      <c r="J4770" s="3">
        <v>775</v>
      </c>
      <c r="K4770" s="3">
        <v>1092</v>
      </c>
      <c r="L4770" s="3">
        <v>101</v>
      </c>
      <c r="M4770" s="3">
        <v>199</v>
      </c>
    </row>
    <row r="4771" spans="1:13" x14ac:dyDescent="0.25">
      <c r="A4771" s="1" t="str">
        <f>HYPERLINK("http://www.rosaceae.org/Prunus/Prunus_persica/p.persica_gdr_reftransV1_0000122","p.persica_gdr_reftransV1_0000122")</f>
        <v>p.persica_gdr_reftransV1_0000122</v>
      </c>
      <c r="B4771" s="3">
        <v>2488</v>
      </c>
      <c r="C4771" s="1" t="str">
        <f>HYPERLINK("http://www.uniprot.org/uniprot/SEOB_ARATH","SEOB_ARATH")</f>
        <v>SEOB_ARATH</v>
      </c>
      <c r="D4771" t="s">
        <v>4149</v>
      </c>
      <c r="E4771" s="3" t="s">
        <v>3</v>
      </c>
      <c r="F4771" s="4">
        <v>2.33E-124</v>
      </c>
      <c r="G4771" s="3">
        <v>1022</v>
      </c>
      <c r="H4771" s="3">
        <v>35</v>
      </c>
      <c r="I4771" s="3">
        <v>735</v>
      </c>
      <c r="J4771" s="3">
        <v>143</v>
      </c>
      <c r="K4771" s="3">
        <v>2281</v>
      </c>
      <c r="L4771" s="3">
        <v>34</v>
      </c>
      <c r="M4771" s="3">
        <v>729</v>
      </c>
    </row>
    <row r="4772" spans="1:13" x14ac:dyDescent="0.25">
      <c r="A4772" s="1" t="str">
        <f>HYPERLINK("http://www.rosaceae.org/Prunus/Prunus_persica/p.persica_gdr_reftransV1_0000172","p.persica_gdr_reftransV1_0000172")</f>
        <v>p.persica_gdr_reftransV1_0000172</v>
      </c>
      <c r="B4772" s="3">
        <v>1090</v>
      </c>
      <c r="C4772" s="1" t="str">
        <f>HYPERLINK("http://www.uniprot.org/uniprot/ELOA_DICDI","ELOA_DICDI")</f>
        <v>ELOA_DICDI</v>
      </c>
      <c r="D4772" t="s">
        <v>4150</v>
      </c>
      <c r="E4772" s="3" t="s">
        <v>9</v>
      </c>
      <c r="F4772" s="4">
        <v>1.8899999999999999E-19</v>
      </c>
      <c r="G4772" s="3">
        <v>222</v>
      </c>
      <c r="H4772" s="3">
        <v>38</v>
      </c>
      <c r="I4772" s="3">
        <v>167</v>
      </c>
      <c r="J4772" s="3">
        <v>480</v>
      </c>
      <c r="K4772" s="3">
        <v>956</v>
      </c>
      <c r="L4772" s="3">
        <v>102</v>
      </c>
      <c r="M4772" s="3">
        <v>260</v>
      </c>
    </row>
    <row r="4773" spans="1:13" x14ac:dyDescent="0.25">
      <c r="A4773" s="1" t="str">
        <f>HYPERLINK("http://www.rosaceae.org/Prunus/Prunus_persica/p.persica_gdr_reftransV1_0000222","p.persica_gdr_reftransV1_0000222")</f>
        <v>p.persica_gdr_reftransV1_0000222</v>
      </c>
      <c r="B4773" s="3">
        <v>531</v>
      </c>
      <c r="C4773" s="1" t="str">
        <f>HYPERLINK("http://www.uniprot.org/uniprot/RLK1_ARATH","RLK1_ARATH")</f>
        <v>RLK1_ARATH</v>
      </c>
      <c r="D4773" t="s">
        <v>806</v>
      </c>
      <c r="E4773" s="3" t="s">
        <v>3</v>
      </c>
      <c r="F4773" s="4">
        <v>1.7300000000000001E-11</v>
      </c>
      <c r="G4773" s="3">
        <v>160</v>
      </c>
      <c r="H4773" s="3">
        <v>39</v>
      </c>
      <c r="I4773" s="3">
        <v>111</v>
      </c>
      <c r="J4773" s="3">
        <v>33</v>
      </c>
      <c r="K4773" s="3">
        <v>335</v>
      </c>
      <c r="L4773" s="3">
        <v>138</v>
      </c>
      <c r="M4773" s="3">
        <v>248</v>
      </c>
    </row>
    <row r="4774" spans="1:13" x14ac:dyDescent="0.25">
      <c r="A4774" s="1" t="str">
        <f>HYPERLINK("http://www.rosaceae.org/Prunus/Prunus_persica/p.persica_gdr_reftransV1_0000272","p.persica_gdr_reftransV1_0000272")</f>
        <v>p.persica_gdr_reftransV1_0000272</v>
      </c>
      <c r="B4774" s="3">
        <v>3722</v>
      </c>
      <c r="C4774" s="1" t="str">
        <f>HYPERLINK("http://www.uniprot.org/uniprot/PAPS4_ARATH","PAPS4_ARATH")</f>
        <v>PAPS4_ARATH</v>
      </c>
      <c r="D4774" t="s">
        <v>4151</v>
      </c>
      <c r="E4774" s="3" t="s">
        <v>3</v>
      </c>
      <c r="F4774" s="4">
        <v>0</v>
      </c>
      <c r="G4774" s="3">
        <v>2257</v>
      </c>
      <c r="H4774" s="3">
        <v>78</v>
      </c>
      <c r="I4774" s="3">
        <v>548</v>
      </c>
      <c r="J4774" s="3">
        <v>1520</v>
      </c>
      <c r="K4774" s="3">
        <v>3157</v>
      </c>
      <c r="L4774" s="3">
        <v>19</v>
      </c>
      <c r="M4774" s="3">
        <v>563</v>
      </c>
    </row>
    <row r="4775" spans="1:13" x14ac:dyDescent="0.25">
      <c r="A4775" s="1" t="str">
        <f>HYPERLINK("http://www.rosaceae.org/Prunus/Prunus_persica/p.persica_gdr_reftransV1_0000322","p.persica_gdr_reftransV1_0000322")</f>
        <v>p.persica_gdr_reftransV1_0000322</v>
      </c>
      <c r="B4775" s="3">
        <v>1218</v>
      </c>
      <c r="C4775" s="1" t="str">
        <f>HYPERLINK("http://www.uniprot.org/uniprot/ALG13_RAT","ALG13_RAT")</f>
        <v>ALG13_RAT</v>
      </c>
      <c r="D4775" t="s">
        <v>4152</v>
      </c>
      <c r="E4775" s="3" t="s">
        <v>161</v>
      </c>
      <c r="F4775" s="4">
        <v>1.0099999999999999E-27</v>
      </c>
      <c r="G4775" s="3">
        <v>279</v>
      </c>
      <c r="H4775" s="3">
        <v>38</v>
      </c>
      <c r="I4775" s="3">
        <v>151</v>
      </c>
      <c r="J4775" s="3">
        <v>393</v>
      </c>
      <c r="K4775" s="3">
        <v>845</v>
      </c>
      <c r="L4775" s="3">
        <v>18</v>
      </c>
      <c r="M4775" s="3">
        <v>163</v>
      </c>
    </row>
    <row r="4776" spans="1:13" x14ac:dyDescent="0.25">
      <c r="A4776" s="1" t="str">
        <f>HYPERLINK("http://www.rosaceae.org/Prunus/Prunus_persica/p.persica_gdr_reftransV1_0000372","p.persica_gdr_reftransV1_0000372")</f>
        <v>p.persica_gdr_reftransV1_0000372</v>
      </c>
      <c r="B4776" s="3">
        <v>1831</v>
      </c>
      <c r="C4776" s="1" t="str">
        <f>HYPERLINK("http://www.uniprot.org/uniprot/ATL72_ARATH","ATL72_ARATH")</f>
        <v>ATL72_ARATH</v>
      </c>
      <c r="D4776" t="s">
        <v>4153</v>
      </c>
      <c r="E4776" s="3" t="s">
        <v>3</v>
      </c>
      <c r="F4776" s="4">
        <v>1.8999999999999999E-40</v>
      </c>
      <c r="G4776" s="3">
        <v>378</v>
      </c>
      <c r="H4776" s="3">
        <v>63</v>
      </c>
      <c r="I4776" s="3">
        <v>152</v>
      </c>
      <c r="J4776" s="3">
        <v>1040</v>
      </c>
      <c r="K4776" s="3">
        <v>1465</v>
      </c>
      <c r="L4776" s="3">
        <v>13</v>
      </c>
      <c r="M4776" s="3">
        <v>164</v>
      </c>
    </row>
    <row r="4777" spans="1:13" x14ac:dyDescent="0.25">
      <c r="A4777" s="1" t="str">
        <f>HYPERLINK("http://www.rosaceae.org/Prunus/Prunus_persica/p.persica_gdr_reftransV1_0000422","p.persica_gdr_reftransV1_0000422")</f>
        <v>p.persica_gdr_reftransV1_0000422</v>
      </c>
      <c r="B4777" s="3">
        <v>445</v>
      </c>
      <c r="C4777" s="1" t="str">
        <f>HYPERLINK("http://www.uniprot.org/uniprot/HIBC7_ARATH","HIBC7_ARATH")</f>
        <v>HIBC7_ARATH</v>
      </c>
      <c r="D4777" t="s">
        <v>4154</v>
      </c>
      <c r="E4777" s="3" t="s">
        <v>3</v>
      </c>
      <c r="F4777" s="4">
        <v>2.3200000000000001E-35</v>
      </c>
      <c r="G4777" s="3">
        <v>330</v>
      </c>
      <c r="H4777" s="3">
        <v>57</v>
      </c>
      <c r="I4777" s="3">
        <v>114</v>
      </c>
      <c r="J4777" s="3">
        <v>61</v>
      </c>
      <c r="K4777" s="3">
        <v>396</v>
      </c>
      <c r="L4777" s="3">
        <v>3</v>
      </c>
      <c r="M4777" s="3">
        <v>116</v>
      </c>
    </row>
    <row r="4778" spans="1:13" x14ac:dyDescent="0.25">
      <c r="A4778" s="1" t="str">
        <f>HYPERLINK("http://www.rosaceae.org/Prunus/Prunus_persica/p.persica_gdr_reftransV1_0000472","p.persica_gdr_reftransV1_0000472")</f>
        <v>p.persica_gdr_reftransV1_0000472</v>
      </c>
      <c r="B4778" s="3">
        <v>1281</v>
      </c>
      <c r="C4778" s="1" t="str">
        <f>HYPERLINK("http://www.uniprot.org/uniprot/RMLCD_ARATH","RMLCD_ARATH")</f>
        <v>RMLCD_ARATH</v>
      </c>
      <c r="D4778" t="s">
        <v>4155</v>
      </c>
      <c r="E4778" s="3" t="s">
        <v>3</v>
      </c>
      <c r="F4778" s="4">
        <v>0</v>
      </c>
      <c r="G4778" s="3">
        <v>1374</v>
      </c>
      <c r="H4778" s="3">
        <v>88</v>
      </c>
      <c r="I4778" s="3">
        <v>283</v>
      </c>
      <c r="J4778" s="3">
        <v>322</v>
      </c>
      <c r="K4778" s="3">
        <v>1170</v>
      </c>
      <c r="L4778" s="3">
        <v>15</v>
      </c>
      <c r="M4778" s="3">
        <v>297</v>
      </c>
    </row>
    <row r="4779" spans="1:13" x14ac:dyDescent="0.25">
      <c r="A4779" s="1" t="str">
        <f>HYPERLINK("http://www.rosaceae.org/Prunus/Prunus_persica/p.persica_gdr_reftransV1_0000522","p.persica_gdr_reftransV1_0000522")</f>
        <v>p.persica_gdr_reftransV1_0000522</v>
      </c>
      <c r="B4779" s="3">
        <v>2293</v>
      </c>
      <c r="C4779" s="1" t="str">
        <f>HYPERLINK("http://www.uniprot.org/uniprot/WDR83_RAT","WDR83_RAT")</f>
        <v>WDR83_RAT</v>
      </c>
      <c r="D4779" t="s">
        <v>4156</v>
      </c>
      <c r="E4779" s="3" t="s">
        <v>161</v>
      </c>
      <c r="F4779" s="4">
        <v>4.2999999999999997E-102</v>
      </c>
      <c r="G4779" s="3">
        <v>829</v>
      </c>
      <c r="H4779" s="3">
        <v>50</v>
      </c>
      <c r="I4779" s="3">
        <v>296</v>
      </c>
      <c r="J4779" s="3">
        <v>1175</v>
      </c>
      <c r="K4779" s="3">
        <v>2062</v>
      </c>
      <c r="L4779" s="3">
        <v>10</v>
      </c>
      <c r="M4779" s="3">
        <v>304</v>
      </c>
    </row>
    <row r="4780" spans="1:13" x14ac:dyDescent="0.25">
      <c r="A4780" s="1" t="str">
        <f>HYPERLINK("http://www.rosaceae.org/Prunus/Prunus_persica/p.persica_gdr_reftransV1_0000572","p.persica_gdr_reftransV1_0000572")</f>
        <v>p.persica_gdr_reftransV1_0000572</v>
      </c>
      <c r="B4780" s="3">
        <v>395</v>
      </c>
      <c r="C4780" s="1" t="str">
        <f>HYPERLINK("http://www.uniprot.org/uniprot/SKI19_ARATH","SKI19_ARATH")</f>
        <v>SKI19_ARATH</v>
      </c>
      <c r="D4780" t="s">
        <v>4157</v>
      </c>
      <c r="E4780" s="3" t="s">
        <v>3</v>
      </c>
      <c r="F4780" s="4">
        <v>8.8399999999999999E-24</v>
      </c>
      <c r="G4780" s="3">
        <v>242</v>
      </c>
      <c r="H4780" s="3">
        <v>54</v>
      </c>
      <c r="I4780" s="3">
        <v>92</v>
      </c>
      <c r="J4780" s="3">
        <v>3</v>
      </c>
      <c r="K4780" s="3">
        <v>260</v>
      </c>
      <c r="L4780" s="3">
        <v>2</v>
      </c>
      <c r="M4780" s="3">
        <v>93</v>
      </c>
    </row>
    <row r="4781" spans="1:13" x14ac:dyDescent="0.25">
      <c r="A4781" s="1" t="str">
        <f>HYPERLINK("http://www.rosaceae.org/Prunus/Prunus_persica/p.persica_gdr_reftransV1_0000622","p.persica_gdr_reftransV1_0000622")</f>
        <v>p.persica_gdr_reftransV1_0000622</v>
      </c>
      <c r="B4781" s="3">
        <v>774</v>
      </c>
      <c r="C4781" s="1" t="str">
        <f>HYPERLINK("http://www.uniprot.org/uniprot/FRS5_ARATH","FRS5_ARATH")</f>
        <v>FRS5_ARATH</v>
      </c>
      <c r="D4781" t="s">
        <v>908</v>
      </c>
      <c r="E4781" s="3" t="s">
        <v>3</v>
      </c>
      <c r="F4781" s="4">
        <v>8.5899999999999995E-77</v>
      </c>
      <c r="G4781" s="3">
        <v>647</v>
      </c>
      <c r="H4781" s="3">
        <v>54</v>
      </c>
      <c r="I4781" s="3">
        <v>254</v>
      </c>
      <c r="J4781" s="3">
        <v>65</v>
      </c>
      <c r="K4781" s="3">
        <v>772</v>
      </c>
      <c r="L4781" s="3">
        <v>2</v>
      </c>
      <c r="M4781" s="3">
        <v>254</v>
      </c>
    </row>
    <row r="4782" spans="1:13" x14ac:dyDescent="0.25">
      <c r="A4782" s="1" t="str">
        <f>HYPERLINK("http://www.rosaceae.org/Prunus/Prunus_persica/p.persica_gdr_reftransV1_0000672","p.persica_gdr_reftransV1_0000672")</f>
        <v>p.persica_gdr_reftransV1_0000672</v>
      </c>
      <c r="B4782" s="3">
        <v>3147</v>
      </c>
      <c r="C4782" s="1" t="str">
        <f>HYPERLINK("http://www.uniprot.org/uniprot/Y5519_ARATH","Y5519_ARATH")</f>
        <v>Y5519_ARATH</v>
      </c>
      <c r="D4782" t="s">
        <v>1826</v>
      </c>
      <c r="E4782" s="3" t="s">
        <v>3</v>
      </c>
      <c r="F4782" s="4">
        <v>3.8899999999999999E-23</v>
      </c>
      <c r="G4782" s="3">
        <v>272</v>
      </c>
      <c r="H4782" s="3">
        <v>45</v>
      </c>
      <c r="I4782" s="3">
        <v>123</v>
      </c>
      <c r="J4782" s="3">
        <v>1996</v>
      </c>
      <c r="K4782" s="3">
        <v>2334</v>
      </c>
      <c r="L4782" s="3">
        <v>428</v>
      </c>
      <c r="M4782" s="3">
        <v>546</v>
      </c>
    </row>
    <row r="4783" spans="1:13" x14ac:dyDescent="0.25">
      <c r="A4783" s="1" t="str">
        <f>HYPERLINK("http://www.rosaceae.org/Prunus/Prunus_persica/p.persica_gdr_reftransV1_0000722","p.persica_gdr_reftransV1_0000722")</f>
        <v>p.persica_gdr_reftransV1_0000722</v>
      </c>
      <c r="B4783" s="3">
        <v>1568</v>
      </c>
      <c r="C4783" s="1" t="str">
        <f>HYPERLINK("http://www.uniprot.org/uniprot/MET18_BOVIN","MET18_BOVIN")</f>
        <v>MET18_BOVIN</v>
      </c>
      <c r="D4783" t="s">
        <v>4158</v>
      </c>
      <c r="E4783" s="3" t="s">
        <v>184</v>
      </c>
      <c r="F4783" s="4">
        <v>5.2300000000000001E-12</v>
      </c>
      <c r="G4783" s="3">
        <v>173</v>
      </c>
      <c r="H4783" s="3">
        <v>28</v>
      </c>
      <c r="I4783" s="3">
        <v>148</v>
      </c>
      <c r="J4783" s="3">
        <v>526</v>
      </c>
      <c r="K4783" s="3">
        <v>957</v>
      </c>
      <c r="L4783" s="3">
        <v>131</v>
      </c>
      <c r="M4783" s="3">
        <v>274</v>
      </c>
    </row>
    <row r="4784" spans="1:13" x14ac:dyDescent="0.25">
      <c r="A4784" s="1" t="str">
        <f>HYPERLINK("http://www.rosaceae.org/Prunus/Prunus_persica/p.persica_gdr_reftransV1_0000772","p.persica_gdr_reftransV1_0000772")</f>
        <v>p.persica_gdr_reftransV1_0000772</v>
      </c>
      <c r="B4784" s="3">
        <v>1477</v>
      </c>
      <c r="C4784" s="1" t="str">
        <f>HYPERLINK("http://www.uniprot.org/uniprot/BUB1_ARATH","BUB1_ARATH")</f>
        <v>BUB1_ARATH</v>
      </c>
      <c r="D4784" t="s">
        <v>4007</v>
      </c>
      <c r="E4784" s="3" t="s">
        <v>3</v>
      </c>
      <c r="F4784" s="4">
        <v>0</v>
      </c>
      <c r="G4784" s="3">
        <v>1405</v>
      </c>
      <c r="H4784" s="3">
        <v>62</v>
      </c>
      <c r="I4784" s="3">
        <v>418</v>
      </c>
      <c r="J4784" s="3">
        <v>236</v>
      </c>
      <c r="K4784" s="3">
        <v>1477</v>
      </c>
      <c r="L4784" s="3">
        <v>118</v>
      </c>
      <c r="M4784" s="3">
        <v>524</v>
      </c>
    </row>
    <row r="4785" spans="1:13" x14ac:dyDescent="0.25">
      <c r="A4785" s="1" t="str">
        <f>HYPERLINK("http://www.rosaceae.org/Prunus/Prunus_persica/p.persica_gdr_reftransV1_0000822","p.persica_gdr_reftransV1_0000822")</f>
        <v>p.persica_gdr_reftransV1_0000822</v>
      </c>
      <c r="B4785" s="3">
        <v>1759</v>
      </c>
      <c r="C4785" s="1" t="str">
        <f>HYPERLINK("http://www.uniprot.org/uniprot/HBPL1_ARATH","HBPL1_ARATH")</f>
        <v>HBPL1_ARATH</v>
      </c>
      <c r="D4785" t="s">
        <v>4159</v>
      </c>
      <c r="E4785" s="3" t="s">
        <v>3</v>
      </c>
      <c r="F4785" s="4">
        <v>1.1999999999999999E-12</v>
      </c>
      <c r="G4785" s="3">
        <v>146</v>
      </c>
      <c r="H4785" s="3">
        <v>42</v>
      </c>
      <c r="I4785" s="3">
        <v>76</v>
      </c>
      <c r="J4785" s="3">
        <v>691</v>
      </c>
      <c r="K4785" s="3">
        <v>900</v>
      </c>
      <c r="L4785" s="3">
        <v>108</v>
      </c>
      <c r="M4785" s="3">
        <v>183</v>
      </c>
    </row>
    <row r="4786" spans="1:13" x14ac:dyDescent="0.25">
      <c r="A4786" s="1" t="str">
        <f>HYPERLINK("http://www.rosaceae.org/Prunus/Prunus_persica/p.persica_gdr_reftransV1_0000872","p.persica_gdr_reftransV1_0000872")</f>
        <v>p.persica_gdr_reftransV1_0000872</v>
      </c>
      <c r="B4786" s="3">
        <v>1397</v>
      </c>
      <c r="C4786" s="1" t="str">
        <f>HYPERLINK("http://www.uniprot.org/uniprot/PUS5_ARATH","PUS5_ARATH")</f>
        <v>PUS5_ARATH</v>
      </c>
      <c r="D4786" t="s">
        <v>4160</v>
      </c>
      <c r="E4786" s="3" t="s">
        <v>3</v>
      </c>
      <c r="F4786" s="4">
        <v>5.2800000000000003E-130</v>
      </c>
      <c r="G4786" s="3">
        <v>875</v>
      </c>
      <c r="H4786" s="3">
        <v>71</v>
      </c>
      <c r="I4786" s="3">
        <v>242</v>
      </c>
      <c r="J4786" s="3">
        <v>180</v>
      </c>
      <c r="K4786" s="3">
        <v>899</v>
      </c>
      <c r="L4786" s="3">
        <v>5</v>
      </c>
      <c r="M4786" s="3">
        <v>245</v>
      </c>
    </row>
    <row r="4787" spans="1:13" x14ac:dyDescent="0.25">
      <c r="A4787" s="1" t="str">
        <f>HYPERLINK("http://www.rosaceae.org/Prunus/Prunus_persica/p.persica_gdr_reftransV1_0000972","p.persica_gdr_reftransV1_0000972")</f>
        <v>p.persica_gdr_reftransV1_0000972</v>
      </c>
      <c r="B4787" s="3">
        <v>781</v>
      </c>
      <c r="C4787" s="1" t="str">
        <f>HYPERLINK("http://www.uniprot.org/uniprot/PGR5_ARATH","PGR5_ARATH")</f>
        <v>PGR5_ARATH</v>
      </c>
      <c r="D4787" t="s">
        <v>4161</v>
      </c>
      <c r="E4787" s="3" t="s">
        <v>3</v>
      </c>
      <c r="F4787" s="4">
        <v>1.4999999999999999E-56</v>
      </c>
      <c r="G4787" s="3">
        <v>466</v>
      </c>
      <c r="H4787" s="3">
        <v>75</v>
      </c>
      <c r="I4787" s="3">
        <v>131</v>
      </c>
      <c r="J4787" s="3">
        <v>237</v>
      </c>
      <c r="K4787" s="3">
        <v>614</v>
      </c>
      <c r="L4787" s="3">
        <v>3</v>
      </c>
      <c r="M4787" s="3">
        <v>133</v>
      </c>
    </row>
    <row r="4788" spans="1:13" x14ac:dyDescent="0.25">
      <c r="A4788" s="1" t="str">
        <f>HYPERLINK("http://www.rosaceae.org/Prunus/Prunus_persica/p.persica_gdr_reftransV1_0001022","p.persica_gdr_reftransV1_0001022")</f>
        <v>p.persica_gdr_reftransV1_0001022</v>
      </c>
      <c r="B4788" s="3">
        <v>1492</v>
      </c>
      <c r="C4788" s="1" t="str">
        <f>HYPERLINK("http://www.uniprot.org/uniprot/SYM_ORYSJ","SYM_ORYSJ")</f>
        <v>SYM_ORYSJ</v>
      </c>
      <c r="D4788" t="s">
        <v>4162</v>
      </c>
      <c r="E4788" s="3" t="s">
        <v>38</v>
      </c>
      <c r="F4788" s="4">
        <v>2.0399999999999999E-42</v>
      </c>
      <c r="G4788" s="3">
        <v>417</v>
      </c>
      <c r="H4788" s="3">
        <v>54</v>
      </c>
      <c r="I4788" s="3">
        <v>154</v>
      </c>
      <c r="J4788" s="3">
        <v>752</v>
      </c>
      <c r="K4788" s="3">
        <v>1213</v>
      </c>
      <c r="L4788" s="3">
        <v>637</v>
      </c>
      <c r="M4788" s="3">
        <v>790</v>
      </c>
    </row>
    <row r="4789" spans="1:13" x14ac:dyDescent="0.25">
      <c r="A4789" s="1" t="str">
        <f>HYPERLINK("http://www.rosaceae.org/Prunus/Prunus_persica/p.persica_gdr_reftransV1_0001172","p.persica_gdr_reftransV1_0001172")</f>
        <v>p.persica_gdr_reftransV1_0001172</v>
      </c>
      <c r="B4789" s="3">
        <v>837</v>
      </c>
      <c r="C4789" s="1" t="str">
        <f>HYPERLINK("http://www.uniprot.org/uniprot/PR1_SAMNI","PR1_SAMNI")</f>
        <v>PR1_SAMNI</v>
      </c>
      <c r="D4789" t="s">
        <v>4163</v>
      </c>
      <c r="E4789" s="3" t="s">
        <v>4164</v>
      </c>
      <c r="F4789" s="4">
        <v>1.1499999999999999E-47</v>
      </c>
      <c r="G4789" s="3">
        <v>411</v>
      </c>
      <c r="H4789" s="3">
        <v>56</v>
      </c>
      <c r="I4789" s="3">
        <v>139</v>
      </c>
      <c r="J4789" s="3">
        <v>302</v>
      </c>
      <c r="K4789" s="3">
        <v>715</v>
      </c>
      <c r="L4789" s="3">
        <v>29</v>
      </c>
      <c r="M4789" s="3">
        <v>167</v>
      </c>
    </row>
    <row r="4790" spans="1:13" x14ac:dyDescent="0.25">
      <c r="A4790" s="1" t="str">
        <f>HYPERLINK("http://www.rosaceae.org/Prunus/Prunus_persica/p.persica_gdr_reftransV1_0001222","p.persica_gdr_reftransV1_0001222")</f>
        <v>p.persica_gdr_reftransV1_0001222</v>
      </c>
      <c r="B4790" s="3">
        <v>1679</v>
      </c>
      <c r="C4790" s="1" t="str">
        <f>HYPERLINK("http://www.uniprot.org/uniprot/P2C76_ARATH","P2C76_ARATH")</f>
        <v>P2C76_ARATH</v>
      </c>
      <c r="D4790" t="s">
        <v>4165</v>
      </c>
      <c r="E4790" s="3" t="s">
        <v>3</v>
      </c>
      <c r="F4790" s="4">
        <v>1.9599999999999999E-151</v>
      </c>
      <c r="G4790" s="3">
        <v>1152</v>
      </c>
      <c r="H4790" s="3">
        <v>70</v>
      </c>
      <c r="I4790" s="3">
        <v>355</v>
      </c>
      <c r="J4790" s="3">
        <v>306</v>
      </c>
      <c r="K4790" s="3">
        <v>1328</v>
      </c>
      <c r="L4790" s="3">
        <v>1</v>
      </c>
      <c r="M4790" s="3">
        <v>353</v>
      </c>
    </row>
    <row r="4791" spans="1:13" x14ac:dyDescent="0.25">
      <c r="A4791" s="1" t="str">
        <f>HYPERLINK("http://www.rosaceae.org/Prunus/Prunus_persica/p.persica_gdr_reftransV1_0001272","p.persica_gdr_reftransV1_0001272")</f>
        <v>p.persica_gdr_reftransV1_0001272</v>
      </c>
      <c r="B4791" s="3">
        <v>1559</v>
      </c>
      <c r="C4791" s="1" t="str">
        <f>HYPERLINK("http://www.uniprot.org/uniprot/PAE8_ARATH","PAE8_ARATH")</f>
        <v>PAE8_ARATH</v>
      </c>
      <c r="D4791" t="s">
        <v>258</v>
      </c>
      <c r="E4791" s="3" t="s">
        <v>3</v>
      </c>
      <c r="F4791" s="4">
        <v>0</v>
      </c>
      <c r="G4791" s="3">
        <v>1529</v>
      </c>
      <c r="H4791" s="3">
        <v>68</v>
      </c>
      <c r="I4791" s="3">
        <v>389</v>
      </c>
      <c r="J4791" s="3">
        <v>264</v>
      </c>
      <c r="K4791" s="3">
        <v>1430</v>
      </c>
      <c r="L4791" s="3">
        <v>3</v>
      </c>
      <c r="M4791" s="3">
        <v>391</v>
      </c>
    </row>
    <row r="4792" spans="1:13" x14ac:dyDescent="0.25">
      <c r="A4792" s="1" t="str">
        <f>HYPERLINK("http://www.rosaceae.org/Prunus/Prunus_persica/p.persica_gdr_reftransV1_0001322","p.persica_gdr_reftransV1_0001322")</f>
        <v>p.persica_gdr_reftransV1_0001322</v>
      </c>
      <c r="B4792" s="3">
        <v>3117</v>
      </c>
      <c r="C4792" s="1" t="str">
        <f>HYPERLINK("http://www.uniprot.org/uniprot/NT5D_DICDI","NT5D_DICDI")</f>
        <v>NT5D_DICDI</v>
      </c>
      <c r="D4792" t="s">
        <v>1679</v>
      </c>
      <c r="E4792" s="3" t="s">
        <v>9</v>
      </c>
      <c r="F4792" s="4">
        <v>6.0599999999999996E-109</v>
      </c>
      <c r="G4792" s="3">
        <v>917</v>
      </c>
      <c r="H4792" s="3">
        <v>41</v>
      </c>
      <c r="I4792" s="3">
        <v>463</v>
      </c>
      <c r="J4792" s="3">
        <v>1433</v>
      </c>
      <c r="K4792" s="3">
        <v>2812</v>
      </c>
      <c r="L4792" s="3">
        <v>137</v>
      </c>
      <c r="M4792" s="3">
        <v>591</v>
      </c>
    </row>
    <row r="4793" spans="1:13" x14ac:dyDescent="0.25">
      <c r="A4793" s="1" t="str">
        <f>HYPERLINK("http://www.rosaceae.org/Prunus/Prunus_persica/p.persica_gdr_reftransV1_0001422","p.persica_gdr_reftransV1_0001422")</f>
        <v>p.persica_gdr_reftransV1_0001422</v>
      </c>
      <c r="B4793" s="3">
        <v>4845</v>
      </c>
      <c r="C4793" s="1" t="str">
        <f>HYPERLINK("http://www.uniprot.org/uniprot/RSE1_USTMA","RSE1_USTMA")</f>
        <v>RSE1_USTMA</v>
      </c>
      <c r="D4793" t="s">
        <v>4166</v>
      </c>
      <c r="E4793" s="3" t="s">
        <v>833</v>
      </c>
      <c r="F4793" s="4">
        <v>3.57E-25</v>
      </c>
      <c r="G4793" s="3">
        <v>295</v>
      </c>
      <c r="H4793" s="3">
        <v>21</v>
      </c>
      <c r="I4793" s="3">
        <v>901</v>
      </c>
      <c r="J4793" s="3">
        <v>1561</v>
      </c>
      <c r="K4793" s="3">
        <v>4203</v>
      </c>
      <c r="L4793" s="3">
        <v>412</v>
      </c>
      <c r="M4793" s="3">
        <v>1196</v>
      </c>
    </row>
    <row r="4794" spans="1:13" x14ac:dyDescent="0.25">
      <c r="A4794" s="1" t="str">
        <f>HYPERLINK("http://www.rosaceae.org/Prunus/Prunus_persica/p.persica_gdr_reftransV1_0001572","p.persica_gdr_reftransV1_0001572")</f>
        <v>p.persica_gdr_reftransV1_0001572</v>
      </c>
      <c r="B4794" s="3">
        <v>1317</v>
      </c>
      <c r="C4794" s="1" t="str">
        <f>HYPERLINK("http://www.uniprot.org/uniprot/GCP2_ARATH","GCP2_ARATH")</f>
        <v>GCP2_ARATH</v>
      </c>
      <c r="D4794" t="s">
        <v>1808</v>
      </c>
      <c r="E4794" s="3" t="s">
        <v>3</v>
      </c>
      <c r="F4794" s="4">
        <v>2.7200000000000001E-169</v>
      </c>
      <c r="G4794" s="3">
        <v>1285</v>
      </c>
      <c r="H4794" s="3">
        <v>62</v>
      </c>
      <c r="I4794" s="3">
        <v>394</v>
      </c>
      <c r="J4794" s="3">
        <v>140</v>
      </c>
      <c r="K4794" s="3">
        <v>1315</v>
      </c>
      <c r="L4794" s="3">
        <v>317</v>
      </c>
      <c r="M4794" s="3">
        <v>702</v>
      </c>
    </row>
    <row r="4795" spans="1:13" x14ac:dyDescent="0.25">
      <c r="A4795" s="1" t="str">
        <f>HYPERLINK("http://www.rosaceae.org/Prunus/Prunus_persica/p.persica_gdr_reftransV1_0001622","p.persica_gdr_reftransV1_0001622")</f>
        <v>p.persica_gdr_reftransV1_0001622</v>
      </c>
      <c r="B4795" s="3">
        <v>2747</v>
      </c>
      <c r="C4795" s="1" t="str">
        <f>HYPERLINK("http://www.uniprot.org/uniprot/POD1_ARATH","POD1_ARATH")</f>
        <v>POD1_ARATH</v>
      </c>
      <c r="D4795" t="s">
        <v>4167</v>
      </c>
      <c r="E4795" s="3" t="s">
        <v>3</v>
      </c>
      <c r="F4795" s="4">
        <v>0</v>
      </c>
      <c r="G4795" s="3">
        <v>1735</v>
      </c>
      <c r="H4795" s="3">
        <v>59</v>
      </c>
      <c r="I4795" s="3">
        <v>628</v>
      </c>
      <c r="J4795" s="3">
        <v>251</v>
      </c>
      <c r="K4795" s="3">
        <v>2074</v>
      </c>
      <c r="L4795" s="3">
        <v>1</v>
      </c>
      <c r="M4795" s="3">
        <v>624</v>
      </c>
    </row>
    <row r="4796" spans="1:13" x14ac:dyDescent="0.25">
      <c r="A4796" s="1" t="str">
        <f>HYPERLINK("http://www.rosaceae.org/Prunus/Prunus_persica/p.persica_gdr_reftransV1_0001722","p.persica_gdr_reftransV1_0001722")</f>
        <v>p.persica_gdr_reftransV1_0001722</v>
      </c>
      <c r="B4796" s="3">
        <v>766</v>
      </c>
      <c r="C4796" s="1" t="str">
        <f>HYPERLINK("http://www.uniprot.org/uniprot/BTF3_HUMAN","BTF3_HUMAN")</f>
        <v>BTF3_HUMAN</v>
      </c>
      <c r="D4796" t="s">
        <v>409</v>
      </c>
      <c r="E4796" s="3" t="s">
        <v>28</v>
      </c>
      <c r="F4796" s="4">
        <v>2.4400000000000001E-45</v>
      </c>
      <c r="G4796" s="3">
        <v>396</v>
      </c>
      <c r="H4796" s="3">
        <v>54</v>
      </c>
      <c r="I4796" s="3">
        <v>151</v>
      </c>
      <c r="J4796" s="3">
        <v>64</v>
      </c>
      <c r="K4796" s="3">
        <v>513</v>
      </c>
      <c r="L4796" s="3">
        <v>46</v>
      </c>
      <c r="M4796" s="3">
        <v>194</v>
      </c>
    </row>
    <row r="4797" spans="1:13" x14ac:dyDescent="0.25">
      <c r="A4797" s="1" t="str">
        <f>HYPERLINK("http://www.rosaceae.org/Prunus/Prunus_persica/p.persica_gdr_reftransV1_0001822","p.persica_gdr_reftransV1_0001822")</f>
        <v>p.persica_gdr_reftransV1_0001822</v>
      </c>
      <c r="B4797" s="3">
        <v>1028</v>
      </c>
      <c r="C4797" s="1" t="str">
        <f>HYPERLINK("http://www.uniprot.org/uniprot/P5CR_ACTCH","P5CR_ACTCH")</f>
        <v>P5CR_ACTCH</v>
      </c>
      <c r="D4797" t="s">
        <v>3864</v>
      </c>
      <c r="E4797" s="3" t="s">
        <v>1862</v>
      </c>
      <c r="F4797" s="4">
        <v>5.7899999999999997E-104</v>
      </c>
      <c r="G4797" s="3">
        <v>569</v>
      </c>
      <c r="H4797" s="3">
        <v>81</v>
      </c>
      <c r="I4797" s="3">
        <v>139</v>
      </c>
      <c r="J4797" s="3">
        <v>197</v>
      </c>
      <c r="K4797" s="3">
        <v>613</v>
      </c>
      <c r="L4797" s="3">
        <v>137</v>
      </c>
      <c r="M4797" s="3">
        <v>275</v>
      </c>
    </row>
    <row r="4798" spans="1:13" x14ac:dyDescent="0.25">
      <c r="A4798" s="1" t="str">
        <f>HYPERLINK("http://www.rosaceae.org/Prunus/Prunus_persica/p.persica_gdr_reftransV1_0001922","p.persica_gdr_reftransV1_0001922")</f>
        <v>p.persica_gdr_reftransV1_0001922</v>
      </c>
      <c r="B4798" s="3">
        <v>995</v>
      </c>
      <c r="C4798" s="1" t="str">
        <f>HYPERLINK("http://www.uniprot.org/uniprot/TBL43_ARATH","TBL43_ARATH")</f>
        <v>TBL43_ARATH</v>
      </c>
      <c r="D4798" t="s">
        <v>3846</v>
      </c>
      <c r="E4798" s="3" t="s">
        <v>3</v>
      </c>
      <c r="F4798" s="4">
        <v>8.0000000000000004E-128</v>
      </c>
      <c r="G4798" s="3">
        <v>968</v>
      </c>
      <c r="H4798" s="3">
        <v>57</v>
      </c>
      <c r="I4798" s="3">
        <v>289</v>
      </c>
      <c r="J4798" s="3">
        <v>3</v>
      </c>
      <c r="K4798" s="3">
        <v>863</v>
      </c>
      <c r="L4798" s="3">
        <v>43</v>
      </c>
      <c r="M4798" s="3">
        <v>330</v>
      </c>
    </row>
    <row r="4799" spans="1:13" x14ac:dyDescent="0.25">
      <c r="A4799" s="1" t="str">
        <f>HYPERLINK("http://www.rosaceae.org/Prunus/Prunus_persica/p.persica_gdr_reftransV1_0001972","p.persica_gdr_reftransV1_0001972")</f>
        <v>p.persica_gdr_reftransV1_0001972</v>
      </c>
      <c r="B4799" s="3">
        <v>504</v>
      </c>
      <c r="C4799" s="1" t="str">
        <f>HYPERLINK("http://www.uniprot.org/uniprot/EFR_ARATH","EFR_ARATH")</f>
        <v>EFR_ARATH</v>
      </c>
      <c r="D4799" t="s">
        <v>692</v>
      </c>
      <c r="E4799" s="3" t="s">
        <v>3</v>
      </c>
      <c r="F4799" s="4">
        <v>5.66E-39</v>
      </c>
      <c r="G4799" s="3">
        <v>368</v>
      </c>
      <c r="H4799" s="3">
        <v>48</v>
      </c>
      <c r="I4799" s="3">
        <v>165</v>
      </c>
      <c r="J4799" s="3">
        <v>3</v>
      </c>
      <c r="K4799" s="3">
        <v>497</v>
      </c>
      <c r="L4799" s="3">
        <v>335</v>
      </c>
      <c r="M4799" s="3">
        <v>498</v>
      </c>
    </row>
    <row r="4800" spans="1:13" x14ac:dyDescent="0.25">
      <c r="A4800" s="1" t="str">
        <f>HYPERLINK("http://www.rosaceae.org/Prunus/Prunus_persica/p.persica_gdr_reftransV1_0002122","p.persica_gdr_reftransV1_0002122")</f>
        <v>p.persica_gdr_reftransV1_0002122</v>
      </c>
      <c r="B4800" s="3">
        <v>1307</v>
      </c>
      <c r="C4800" s="1" t="str">
        <f>HYPERLINK("http://www.uniprot.org/uniprot/RGA1_SOLBU","RGA1_SOLBU")</f>
        <v>RGA1_SOLBU</v>
      </c>
      <c r="D4800" t="s">
        <v>559</v>
      </c>
      <c r="E4800" s="3" t="s">
        <v>560</v>
      </c>
      <c r="F4800" s="4">
        <v>4.0300000000000001E-67</v>
      </c>
      <c r="G4800" s="3">
        <v>600</v>
      </c>
      <c r="H4800" s="3">
        <v>38</v>
      </c>
      <c r="I4800" s="3">
        <v>426</v>
      </c>
      <c r="J4800" s="3">
        <v>39</v>
      </c>
      <c r="K4800" s="3">
        <v>1304</v>
      </c>
      <c r="L4800" s="3">
        <v>6</v>
      </c>
      <c r="M4800" s="3">
        <v>421</v>
      </c>
    </row>
    <row r="4801" spans="1:13" x14ac:dyDescent="0.25">
      <c r="A4801" s="1" t="str">
        <f>HYPERLINK("http://www.rosaceae.org/Prunus/Prunus_persica/p.persica_gdr_reftransV1_0002222","p.persica_gdr_reftransV1_0002222")</f>
        <v>p.persica_gdr_reftransV1_0002222</v>
      </c>
      <c r="B4801" s="3">
        <v>690</v>
      </c>
      <c r="C4801" s="1" t="str">
        <f>HYPERLINK("http://www.uniprot.org/uniprot/HSP70_SOYBN","HSP70_SOYBN")</f>
        <v>HSP70_SOYBN</v>
      </c>
      <c r="D4801" t="s">
        <v>4168</v>
      </c>
      <c r="E4801" s="3" t="s">
        <v>307</v>
      </c>
      <c r="F4801" s="4">
        <v>6.7999999999999998E-62</v>
      </c>
      <c r="G4801" s="3">
        <v>534</v>
      </c>
      <c r="H4801" s="3">
        <v>76</v>
      </c>
      <c r="I4801" s="3">
        <v>170</v>
      </c>
      <c r="J4801" s="3">
        <v>188</v>
      </c>
      <c r="K4801" s="3">
        <v>688</v>
      </c>
      <c r="L4801" s="3">
        <v>487</v>
      </c>
      <c r="M4801" s="3">
        <v>645</v>
      </c>
    </row>
    <row r="4802" spans="1:13" x14ac:dyDescent="0.25">
      <c r="A4802" s="1" t="str">
        <f>HYPERLINK("http://www.rosaceae.org/Prunus/Prunus_persica/p.persica_gdr_reftransV1_0002422","p.persica_gdr_reftransV1_0002422")</f>
        <v>p.persica_gdr_reftransV1_0002422</v>
      </c>
      <c r="B4802" s="3">
        <v>1032</v>
      </c>
      <c r="C4802" s="1" t="str">
        <f>HYPERLINK("http://www.uniprot.org/uniprot/NC100_ARATH","NC100_ARATH")</f>
        <v>NC100_ARATH</v>
      </c>
      <c r="D4802" t="s">
        <v>1980</v>
      </c>
      <c r="E4802" s="3" t="s">
        <v>3</v>
      </c>
      <c r="F4802" s="4">
        <v>8.5300000000000003E-48</v>
      </c>
      <c r="G4802" s="3">
        <v>430</v>
      </c>
      <c r="H4802" s="3">
        <v>62</v>
      </c>
      <c r="I4802" s="3">
        <v>130</v>
      </c>
      <c r="J4802" s="3">
        <v>1</v>
      </c>
      <c r="K4802" s="3">
        <v>378</v>
      </c>
      <c r="L4802" s="3">
        <v>68</v>
      </c>
      <c r="M4802" s="3">
        <v>195</v>
      </c>
    </row>
    <row r="4803" spans="1:13" x14ac:dyDescent="0.25">
      <c r="A4803" s="1" t="str">
        <f>HYPERLINK("http://www.rosaceae.org/Prunus/Prunus_persica/p.persica_gdr_reftransV1_0002472","p.persica_gdr_reftransV1_0002472")</f>
        <v>p.persica_gdr_reftransV1_0002472</v>
      </c>
      <c r="B4803" s="3">
        <v>2936</v>
      </c>
      <c r="C4803" s="1" t="str">
        <f>HYPERLINK("http://www.uniprot.org/uniprot/NDHM_VITVI","NDHM_VITVI")</f>
        <v>NDHM_VITVI</v>
      </c>
      <c r="D4803" t="s">
        <v>4169</v>
      </c>
      <c r="E4803" s="3" t="s">
        <v>362</v>
      </c>
      <c r="F4803" s="4">
        <v>7.1099999999999997E-82</v>
      </c>
      <c r="G4803" s="3">
        <v>689</v>
      </c>
      <c r="H4803" s="3">
        <v>92</v>
      </c>
      <c r="I4803" s="3">
        <v>134</v>
      </c>
      <c r="J4803" s="3">
        <v>2224</v>
      </c>
      <c r="K4803" s="3">
        <v>2625</v>
      </c>
      <c r="L4803" s="3">
        <v>66</v>
      </c>
      <c r="M4803" s="3">
        <v>199</v>
      </c>
    </row>
    <row r="4804" spans="1:13" x14ac:dyDescent="0.25">
      <c r="A4804" s="1" t="str">
        <f>HYPERLINK("http://www.rosaceae.org/Prunus/Prunus_persica/p.persica_gdr_reftransV1_0002722","p.persica_gdr_reftransV1_0002722")</f>
        <v>p.persica_gdr_reftransV1_0002722</v>
      </c>
      <c r="B4804" s="3">
        <v>1157</v>
      </c>
      <c r="C4804" s="1" t="str">
        <f>HYPERLINK("http://www.uniprot.org/uniprot/MYB1_MAIZE","MYB1_MAIZE")</f>
        <v>MYB1_MAIZE</v>
      </c>
      <c r="D4804" t="s">
        <v>4170</v>
      </c>
      <c r="E4804" s="3" t="s">
        <v>72</v>
      </c>
      <c r="F4804" s="4">
        <v>1.44E-62</v>
      </c>
      <c r="G4804" s="3">
        <v>535</v>
      </c>
      <c r="H4804" s="3">
        <v>72</v>
      </c>
      <c r="I4804" s="3">
        <v>132</v>
      </c>
      <c r="J4804" s="3">
        <v>749</v>
      </c>
      <c r="K4804" s="3">
        <v>1144</v>
      </c>
      <c r="L4804" s="3">
        <v>1</v>
      </c>
      <c r="M4804" s="3">
        <v>132</v>
      </c>
    </row>
    <row r="4805" spans="1:13" x14ac:dyDescent="0.25">
      <c r="A4805" s="1" t="str">
        <f>HYPERLINK("http://www.rosaceae.org/Prunus/Prunus_persica/p.persica_gdr_reftransV1_0002822","p.persica_gdr_reftransV1_0002822")</f>
        <v>p.persica_gdr_reftransV1_0002822</v>
      </c>
      <c r="B4805" s="3">
        <v>1411</v>
      </c>
      <c r="C4805" s="1" t="str">
        <f>HYPERLINK("http://www.uniprot.org/uniprot/FLA7_ARATH","FLA7_ARATH")</f>
        <v>FLA7_ARATH</v>
      </c>
      <c r="D4805" t="s">
        <v>4171</v>
      </c>
      <c r="E4805" s="3" t="s">
        <v>3</v>
      </c>
      <c r="F4805" s="4">
        <v>6.6300000000000001E-81</v>
      </c>
      <c r="G4805" s="3">
        <v>658</v>
      </c>
      <c r="H4805" s="3">
        <v>70</v>
      </c>
      <c r="I4805" s="3">
        <v>196</v>
      </c>
      <c r="J4805" s="3">
        <v>474</v>
      </c>
      <c r="K4805" s="3">
        <v>1055</v>
      </c>
      <c r="L4805" s="3">
        <v>1</v>
      </c>
      <c r="M4805" s="3">
        <v>196</v>
      </c>
    </row>
    <row r="4806" spans="1:13" x14ac:dyDescent="0.25">
      <c r="A4806" s="1" t="str">
        <f>HYPERLINK("http://www.rosaceae.org/Prunus/Prunus_persica/p.persica_gdr_reftransV1_0002922","p.persica_gdr_reftransV1_0002922")</f>
        <v>p.persica_gdr_reftransV1_0002922</v>
      </c>
      <c r="B4806" s="3">
        <v>1829</v>
      </c>
      <c r="C4806" s="1" t="str">
        <f>HYPERLINK("http://www.uniprot.org/uniprot/GME1_ORYSI","GME1_ORYSI")</f>
        <v>GME1_ORYSI</v>
      </c>
      <c r="D4806" t="s">
        <v>4172</v>
      </c>
      <c r="E4806" s="3" t="s">
        <v>38</v>
      </c>
      <c r="F4806" s="4">
        <v>0</v>
      </c>
      <c r="G4806" s="3">
        <v>1888</v>
      </c>
      <c r="H4806" s="3">
        <v>92</v>
      </c>
      <c r="I4806" s="3">
        <v>378</v>
      </c>
      <c r="J4806" s="3">
        <v>503</v>
      </c>
      <c r="K4806" s="3">
        <v>1630</v>
      </c>
      <c r="L4806" s="3">
        <v>1</v>
      </c>
      <c r="M4806" s="3">
        <v>378</v>
      </c>
    </row>
    <row r="4807" spans="1:13" x14ac:dyDescent="0.25">
      <c r="A4807" s="1" t="str">
        <f>HYPERLINK("http://www.rosaceae.org/Prunus/Prunus_persica/p.persica_gdr_reftransV1_0003072","p.persica_gdr_reftransV1_0003072")</f>
        <v>p.persica_gdr_reftransV1_0003072</v>
      </c>
      <c r="B4807" s="3">
        <v>781</v>
      </c>
      <c r="C4807" s="1" t="str">
        <f>HYPERLINK("http://www.uniprot.org/uniprot/TLP3_ARATH","TLP3_ARATH")</f>
        <v>TLP3_ARATH</v>
      </c>
      <c r="D4807" t="s">
        <v>4173</v>
      </c>
      <c r="E4807" s="3" t="s">
        <v>3</v>
      </c>
      <c r="F4807" s="4">
        <v>3.8400000000000001E-78</v>
      </c>
      <c r="G4807" s="3">
        <v>633</v>
      </c>
      <c r="H4807" s="3">
        <v>82</v>
      </c>
      <c r="I4807" s="3">
        <v>159</v>
      </c>
      <c r="J4807" s="3">
        <v>104</v>
      </c>
      <c r="K4807" s="3">
        <v>565</v>
      </c>
      <c r="L4807" s="3">
        <v>249</v>
      </c>
      <c r="M4807" s="3">
        <v>406</v>
      </c>
    </row>
    <row r="4808" spans="1:13" x14ac:dyDescent="0.25">
      <c r="A4808" s="1" t="str">
        <f>HYPERLINK("http://www.rosaceae.org/Prunus/Prunus_persica/p.persica_gdr_reftransV1_0003172","p.persica_gdr_reftransV1_0003172")</f>
        <v>p.persica_gdr_reftransV1_0003172</v>
      </c>
      <c r="B4808" s="3">
        <v>1445</v>
      </c>
      <c r="C4808" s="1" t="str">
        <f>HYPERLINK("http://www.uniprot.org/uniprot/HYES_PIG","HYES_PIG")</f>
        <v>HYES_PIG</v>
      </c>
      <c r="D4808" t="s">
        <v>4174</v>
      </c>
      <c r="E4808" s="3" t="s">
        <v>1126</v>
      </c>
      <c r="F4808" s="4">
        <v>1.5799999999999999E-17</v>
      </c>
      <c r="G4808" s="3">
        <v>219</v>
      </c>
      <c r="H4808" s="3">
        <v>28</v>
      </c>
      <c r="I4808" s="3">
        <v>226</v>
      </c>
      <c r="J4808" s="3">
        <v>302</v>
      </c>
      <c r="K4808" s="3">
        <v>937</v>
      </c>
      <c r="L4808" s="3">
        <v>337</v>
      </c>
      <c r="M4808" s="3">
        <v>543</v>
      </c>
    </row>
    <row r="4809" spans="1:13" x14ac:dyDescent="0.25">
      <c r="A4809" s="1" t="str">
        <f>HYPERLINK("http://www.rosaceae.org/Prunus/Prunus_persica/p.persica_gdr_reftransV1_0003272","p.persica_gdr_reftransV1_0003272")</f>
        <v>p.persica_gdr_reftransV1_0003272</v>
      </c>
      <c r="B4809" s="3">
        <v>1587</v>
      </c>
      <c r="C4809" s="1" t="str">
        <f>HYPERLINK("http://www.uniprot.org/uniprot/HDHD3_DANRE","HDHD3_DANRE")</f>
        <v>HDHD3_DANRE</v>
      </c>
      <c r="D4809" t="s">
        <v>4175</v>
      </c>
      <c r="E4809" s="3" t="s">
        <v>704</v>
      </c>
      <c r="F4809" s="4">
        <v>1.4500000000000001E-29</v>
      </c>
      <c r="G4809" s="3">
        <v>301</v>
      </c>
      <c r="H4809" s="3">
        <v>34</v>
      </c>
      <c r="I4809" s="3">
        <v>213</v>
      </c>
      <c r="J4809" s="3">
        <v>618</v>
      </c>
      <c r="K4809" s="3">
        <v>1256</v>
      </c>
      <c r="L4809" s="3">
        <v>5</v>
      </c>
      <c r="M4809" s="3">
        <v>211</v>
      </c>
    </row>
    <row r="4810" spans="1:13" x14ac:dyDescent="0.25">
      <c r="A4810" s="1" t="str">
        <f>HYPERLINK("http://www.rosaceae.org/Prunus/Prunus_persica/p.persica_gdr_reftransV1_0003422","p.persica_gdr_reftransV1_0003422")</f>
        <v>p.persica_gdr_reftransV1_0003422</v>
      </c>
      <c r="B4810" s="3">
        <v>1178</v>
      </c>
      <c r="C4810" s="1" t="str">
        <f>HYPERLINK("http://www.uniprot.org/uniprot/APT5_ARATH","APT5_ARATH")</f>
        <v>APT5_ARATH</v>
      </c>
      <c r="D4810" t="s">
        <v>1107</v>
      </c>
      <c r="E4810" s="3" t="s">
        <v>3</v>
      </c>
      <c r="F4810" s="4">
        <v>2.91E-105</v>
      </c>
      <c r="G4810" s="3">
        <v>807</v>
      </c>
      <c r="H4810" s="3">
        <v>77</v>
      </c>
      <c r="I4810" s="3">
        <v>205</v>
      </c>
      <c r="J4810" s="3">
        <v>285</v>
      </c>
      <c r="K4810" s="3">
        <v>899</v>
      </c>
      <c r="L4810" s="3">
        <v>1</v>
      </c>
      <c r="M4810" s="3">
        <v>191</v>
      </c>
    </row>
    <row r="4811" spans="1:13" x14ac:dyDescent="0.25">
      <c r="A4811" s="1" t="str">
        <f>HYPERLINK("http://www.rosaceae.org/Prunus/Prunus_persica/p.persica_gdr_reftransV1_0003522","p.persica_gdr_reftransV1_0003522")</f>
        <v>p.persica_gdr_reftransV1_0003522</v>
      </c>
      <c r="B4811" s="3">
        <v>5378</v>
      </c>
      <c r="C4811" s="1" t="str">
        <f>HYPERLINK("http://www.uniprot.org/uniprot/TSS_ARATH","TSS_ARATH")</f>
        <v>TSS_ARATH</v>
      </c>
      <c r="D4811" t="s">
        <v>2404</v>
      </c>
      <c r="E4811" s="3" t="s">
        <v>3</v>
      </c>
      <c r="F4811" s="4">
        <v>0</v>
      </c>
      <c r="G4811" s="3">
        <v>3441</v>
      </c>
      <c r="H4811" s="3">
        <v>54</v>
      </c>
      <c r="I4811" s="3">
        <v>1431</v>
      </c>
      <c r="J4811" s="3">
        <v>225</v>
      </c>
      <c r="K4811" s="3">
        <v>4295</v>
      </c>
      <c r="L4811" s="3">
        <v>1</v>
      </c>
      <c r="M4811" s="3">
        <v>1391</v>
      </c>
    </row>
    <row r="4812" spans="1:13" x14ac:dyDescent="0.25">
      <c r="A4812" s="1" t="str">
        <f>HYPERLINK("http://www.rosaceae.org/Prunus/Prunus_persica/p.persica_gdr_reftransV1_0003572","p.persica_gdr_reftransV1_0003572")</f>
        <v>p.persica_gdr_reftransV1_0003572</v>
      </c>
      <c r="B4812" s="3">
        <v>2287</v>
      </c>
      <c r="C4812" s="1" t="str">
        <f>HYPERLINK("http://www.uniprot.org/uniprot/P4H3_ARATH","P4H3_ARATH")</f>
        <v>P4H3_ARATH</v>
      </c>
      <c r="D4812" t="s">
        <v>4176</v>
      </c>
      <c r="E4812" s="3" t="s">
        <v>3</v>
      </c>
      <c r="F4812" s="4">
        <v>5.0000000000000002E-63</v>
      </c>
      <c r="G4812" s="3">
        <v>555</v>
      </c>
      <c r="H4812" s="3">
        <v>75</v>
      </c>
      <c r="I4812" s="3">
        <v>157</v>
      </c>
      <c r="J4812" s="3">
        <v>137</v>
      </c>
      <c r="K4812" s="3">
        <v>607</v>
      </c>
      <c r="L4812" s="3">
        <v>1</v>
      </c>
      <c r="M4812" s="3">
        <v>157</v>
      </c>
    </row>
    <row r="4813" spans="1:13" x14ac:dyDescent="0.25">
      <c r="A4813" s="1" t="str">
        <f>HYPERLINK("http://www.rosaceae.org/Prunus/Prunus_persica/p.persica_gdr_reftransV1_0003622","p.persica_gdr_reftransV1_0003622")</f>
        <v>p.persica_gdr_reftransV1_0003622</v>
      </c>
      <c r="B4813" s="3">
        <v>1914</v>
      </c>
      <c r="C4813" s="1" t="str">
        <f>HYPERLINK("http://www.uniprot.org/uniprot/HSFA1_ORYSJ","HSFA1_ORYSJ")</f>
        <v>HSFA1_ORYSJ</v>
      </c>
      <c r="D4813" t="s">
        <v>3568</v>
      </c>
      <c r="E4813" s="3" t="s">
        <v>38</v>
      </c>
      <c r="F4813" s="4">
        <v>7.5200000000000003E-131</v>
      </c>
      <c r="G4813" s="3">
        <v>1031</v>
      </c>
      <c r="H4813" s="3">
        <v>53</v>
      </c>
      <c r="I4813" s="3">
        <v>499</v>
      </c>
      <c r="J4813" s="3">
        <v>88</v>
      </c>
      <c r="K4813" s="3">
        <v>1560</v>
      </c>
      <c r="L4813" s="3">
        <v>24</v>
      </c>
      <c r="M4813" s="3">
        <v>501</v>
      </c>
    </row>
    <row r="4814" spans="1:13" x14ac:dyDescent="0.25">
      <c r="A4814" s="1" t="str">
        <f>HYPERLINK("http://www.rosaceae.org/Prunus/Prunus_persica/p.persica_gdr_reftransV1_0003672","p.persica_gdr_reftransV1_0003672")</f>
        <v>p.persica_gdr_reftransV1_0003672</v>
      </c>
      <c r="B4814" s="3">
        <v>1532</v>
      </c>
      <c r="C4814" s="1" t="str">
        <f>HYPERLINK("http://www.uniprot.org/uniprot/STAD6_ARATH","STAD6_ARATH")</f>
        <v>STAD6_ARATH</v>
      </c>
      <c r="D4814" t="s">
        <v>4177</v>
      </c>
      <c r="E4814" s="3" t="s">
        <v>3</v>
      </c>
      <c r="F4814" s="4">
        <v>0</v>
      </c>
      <c r="G4814" s="3">
        <v>1556</v>
      </c>
      <c r="H4814" s="3">
        <v>79</v>
      </c>
      <c r="I4814" s="3">
        <v>360</v>
      </c>
      <c r="J4814" s="3">
        <v>191</v>
      </c>
      <c r="K4814" s="3">
        <v>1264</v>
      </c>
      <c r="L4814" s="3">
        <v>30</v>
      </c>
      <c r="M4814" s="3">
        <v>389</v>
      </c>
    </row>
    <row r="4815" spans="1:13" x14ac:dyDescent="0.25">
      <c r="A4815" s="1" t="str">
        <f>HYPERLINK("http://www.rosaceae.org/Prunus/Prunus_persica/p.persica_gdr_reftransV1_0003722","p.persica_gdr_reftransV1_0003722")</f>
        <v>p.persica_gdr_reftransV1_0003722</v>
      </c>
      <c r="B4815" s="3">
        <v>1115</v>
      </c>
      <c r="C4815" s="1" t="str">
        <f>HYPERLINK("http://www.uniprot.org/uniprot/MSL8_ARATH","MSL8_ARATH")</f>
        <v>MSL8_ARATH</v>
      </c>
      <c r="D4815" t="s">
        <v>4178</v>
      </c>
      <c r="E4815" s="3" t="s">
        <v>3</v>
      </c>
      <c r="F4815" s="4">
        <v>4.6E-98</v>
      </c>
      <c r="G4815" s="3">
        <v>812</v>
      </c>
      <c r="H4815" s="3">
        <v>60</v>
      </c>
      <c r="I4815" s="3">
        <v>280</v>
      </c>
      <c r="J4815" s="3">
        <v>279</v>
      </c>
      <c r="K4815" s="3">
        <v>1109</v>
      </c>
      <c r="L4815" s="3">
        <v>222</v>
      </c>
      <c r="M4815" s="3">
        <v>501</v>
      </c>
    </row>
    <row r="4816" spans="1:13" x14ac:dyDescent="0.25">
      <c r="A4816" s="1" t="str">
        <f>HYPERLINK("http://www.rosaceae.org/Prunus/Prunus_persica/p.persica_gdr_reftransV1_0003922","p.persica_gdr_reftransV1_0003922")</f>
        <v>p.persica_gdr_reftransV1_0003922</v>
      </c>
      <c r="B4816" s="3">
        <v>3489</v>
      </c>
      <c r="C4816" s="1" t="str">
        <f>HYPERLINK("http://www.uniprot.org/uniprot/MD33A_ARATH","MD33A_ARATH")</f>
        <v>MD33A_ARATH</v>
      </c>
      <c r="D4816" t="s">
        <v>4179</v>
      </c>
      <c r="E4816" s="3" t="s">
        <v>3</v>
      </c>
      <c r="F4816" s="4">
        <v>0</v>
      </c>
      <c r="G4816" s="3">
        <v>2180</v>
      </c>
      <c r="H4816" s="3">
        <v>43</v>
      </c>
      <c r="I4816" s="3">
        <v>1149</v>
      </c>
      <c r="J4816" s="3">
        <v>104</v>
      </c>
      <c r="K4816" s="3">
        <v>3487</v>
      </c>
      <c r="L4816" s="3">
        <v>192</v>
      </c>
      <c r="M4816" s="3">
        <v>1304</v>
      </c>
    </row>
    <row r="4817" spans="1:13" x14ac:dyDescent="0.25">
      <c r="A4817" s="1" t="str">
        <f>HYPERLINK("http://www.rosaceae.org/Prunus/Prunus_persica/p.persica_gdr_reftransV1_0003972","p.persica_gdr_reftransV1_0003972")</f>
        <v>p.persica_gdr_reftransV1_0003972</v>
      </c>
      <c r="B4817" s="3">
        <v>1075</v>
      </c>
      <c r="C4817" s="1" t="str">
        <f>HYPERLINK("http://www.uniprot.org/uniprot/PGML4_ARATH","PGML4_ARATH")</f>
        <v>PGML4_ARATH</v>
      </c>
      <c r="D4817" t="s">
        <v>2382</v>
      </c>
      <c r="E4817" s="3" t="s">
        <v>3</v>
      </c>
      <c r="F4817" s="4">
        <v>3.8E-109</v>
      </c>
      <c r="G4817" s="3">
        <v>834</v>
      </c>
      <c r="H4817" s="3">
        <v>66</v>
      </c>
      <c r="I4817" s="3">
        <v>229</v>
      </c>
      <c r="J4817" s="3">
        <v>161</v>
      </c>
      <c r="K4817" s="3">
        <v>847</v>
      </c>
      <c r="L4817" s="3">
        <v>4</v>
      </c>
      <c r="M4817" s="3">
        <v>230</v>
      </c>
    </row>
    <row r="4818" spans="1:13" x14ac:dyDescent="0.25">
      <c r="A4818" s="1" t="str">
        <f>HYPERLINK("http://www.rosaceae.org/Prunus/Prunus_persica/p.persica_gdr_reftransV1_0004022","p.persica_gdr_reftransV1_0004022")</f>
        <v>p.persica_gdr_reftransV1_0004022</v>
      </c>
      <c r="B4818" s="3">
        <v>755</v>
      </c>
      <c r="C4818" s="1" t="str">
        <f>HYPERLINK("http://www.uniprot.org/uniprot/TPS1_ARATH","TPS1_ARATH")</f>
        <v>TPS1_ARATH</v>
      </c>
      <c r="D4818" t="s">
        <v>250</v>
      </c>
      <c r="E4818" s="3" t="s">
        <v>3</v>
      </c>
      <c r="F4818" s="4">
        <v>3.9200000000000001E-143</v>
      </c>
      <c r="G4818" s="3">
        <v>1108</v>
      </c>
      <c r="H4818" s="3">
        <v>83</v>
      </c>
      <c r="I4818" s="3">
        <v>246</v>
      </c>
      <c r="J4818" s="3">
        <v>17</v>
      </c>
      <c r="K4818" s="3">
        <v>754</v>
      </c>
      <c r="L4818" s="3">
        <v>572</v>
      </c>
      <c r="M4818" s="3">
        <v>817</v>
      </c>
    </row>
    <row r="4819" spans="1:13" x14ac:dyDescent="0.25">
      <c r="A4819" s="1" t="str">
        <f>HYPERLINK("http://www.rosaceae.org/Prunus/Prunus_persica/p.persica_gdr_reftransV1_0004072","p.persica_gdr_reftransV1_0004072")</f>
        <v>p.persica_gdr_reftransV1_0004072</v>
      </c>
      <c r="B4819" s="3">
        <v>559</v>
      </c>
      <c r="C4819" s="1" t="str">
        <f>HYPERLINK("http://www.uniprot.org/uniprot/TMVRN_NICGU","TMVRN_NICGU")</f>
        <v>TMVRN_NICGU</v>
      </c>
      <c r="D4819" t="s">
        <v>151</v>
      </c>
      <c r="E4819" s="3" t="s">
        <v>152</v>
      </c>
      <c r="F4819" s="4">
        <v>1.31E-31</v>
      </c>
      <c r="G4819" s="3">
        <v>315</v>
      </c>
      <c r="H4819" s="3">
        <v>43</v>
      </c>
      <c r="I4819" s="3">
        <v>145</v>
      </c>
      <c r="J4819" s="3">
        <v>66</v>
      </c>
      <c r="K4819" s="3">
        <v>497</v>
      </c>
      <c r="L4819" s="3">
        <v>59</v>
      </c>
      <c r="M4819" s="3">
        <v>203</v>
      </c>
    </row>
    <row r="4820" spans="1:13" x14ac:dyDescent="0.25">
      <c r="A4820" s="1" t="str">
        <f>HYPERLINK("http://www.rosaceae.org/Prunus/Prunus_persica/p.persica_gdr_reftransV1_0004122","p.persica_gdr_reftransV1_0004122")</f>
        <v>p.persica_gdr_reftransV1_0004122</v>
      </c>
      <c r="B4820" s="3">
        <v>2375</v>
      </c>
      <c r="C4820" s="1" t="str">
        <f>HYPERLINK("http://www.uniprot.org/uniprot/ILVB3_BRANA","ILVB3_BRANA")</f>
        <v>ILVB3_BRANA</v>
      </c>
      <c r="D4820" t="s">
        <v>4180</v>
      </c>
      <c r="E4820" s="3" t="s">
        <v>776</v>
      </c>
      <c r="F4820" s="4">
        <v>0</v>
      </c>
      <c r="G4820" s="3">
        <v>2837</v>
      </c>
      <c r="H4820" s="3">
        <v>83</v>
      </c>
      <c r="I4820" s="3">
        <v>633</v>
      </c>
      <c r="J4820" s="3">
        <v>168</v>
      </c>
      <c r="K4820" s="3">
        <v>2060</v>
      </c>
      <c r="L4820" s="3">
        <v>24</v>
      </c>
      <c r="M4820" s="3">
        <v>652</v>
      </c>
    </row>
    <row r="4821" spans="1:13" x14ac:dyDescent="0.25">
      <c r="A4821" s="1" t="str">
        <f>HYPERLINK("http://www.rosaceae.org/Prunus/Prunus_persica/p.persica_gdr_reftransV1_0004172","p.persica_gdr_reftransV1_0004172")</f>
        <v>p.persica_gdr_reftransV1_0004172</v>
      </c>
      <c r="B4821" s="3">
        <v>492</v>
      </c>
      <c r="C4821" s="1" t="str">
        <f>HYPERLINK("http://www.uniprot.org/uniprot/VQ17_ARATH","VQ17_ARATH")</f>
        <v>VQ17_ARATH</v>
      </c>
      <c r="D4821" t="s">
        <v>4181</v>
      </c>
      <c r="E4821" s="3" t="s">
        <v>3</v>
      </c>
      <c r="F4821" s="4">
        <v>8.0499999999999997E-33</v>
      </c>
      <c r="G4821" s="3">
        <v>301</v>
      </c>
      <c r="H4821" s="3">
        <v>48</v>
      </c>
      <c r="I4821" s="3">
        <v>160</v>
      </c>
      <c r="J4821" s="3">
        <v>32</v>
      </c>
      <c r="K4821" s="3">
        <v>481</v>
      </c>
      <c r="L4821" s="3">
        <v>13</v>
      </c>
      <c r="M4821" s="3">
        <v>162</v>
      </c>
    </row>
    <row r="4822" spans="1:13" x14ac:dyDescent="0.25">
      <c r="A4822" s="1" t="str">
        <f>HYPERLINK("http://www.rosaceae.org/Prunus/Prunus_persica/p.persica_gdr_reftransV1_0004222","p.persica_gdr_reftransV1_0004222")</f>
        <v>p.persica_gdr_reftransV1_0004222</v>
      </c>
      <c r="B4822" s="3">
        <v>580</v>
      </c>
      <c r="C4822" s="1" t="str">
        <f>HYPERLINK("http://www.uniprot.org/uniprot/MUS81_ARATH","MUS81_ARATH")</f>
        <v>MUS81_ARATH</v>
      </c>
      <c r="D4822" t="s">
        <v>412</v>
      </c>
      <c r="E4822" s="3" t="s">
        <v>3</v>
      </c>
      <c r="F4822" s="4">
        <v>2.1299999999999999E-55</v>
      </c>
      <c r="G4822" s="3">
        <v>485</v>
      </c>
      <c r="H4822" s="3">
        <v>55</v>
      </c>
      <c r="I4822" s="3">
        <v>178</v>
      </c>
      <c r="J4822" s="3">
        <v>2</v>
      </c>
      <c r="K4822" s="3">
        <v>529</v>
      </c>
      <c r="L4822" s="3">
        <v>70</v>
      </c>
      <c r="M4822" s="3">
        <v>239</v>
      </c>
    </row>
    <row r="4823" spans="1:13" x14ac:dyDescent="0.25">
      <c r="A4823" s="1" t="str">
        <f>HYPERLINK("http://www.rosaceae.org/Prunus/Prunus_persica/p.persica_gdr_reftransV1_0004472","p.persica_gdr_reftransV1_0004472")</f>
        <v>p.persica_gdr_reftransV1_0004472</v>
      </c>
      <c r="B4823" s="3">
        <v>1148</v>
      </c>
      <c r="C4823" s="1" t="str">
        <f>HYPERLINK("http://www.uniprot.org/uniprot/NU2M_ARATH","NU2M_ARATH")</f>
        <v>NU2M_ARATH</v>
      </c>
      <c r="D4823" t="s">
        <v>4182</v>
      </c>
      <c r="E4823" s="3" t="s">
        <v>3</v>
      </c>
      <c r="F4823" s="4">
        <v>9.9999999999999998E-171</v>
      </c>
      <c r="G4823" s="3">
        <v>1270</v>
      </c>
      <c r="H4823" s="3">
        <v>99</v>
      </c>
      <c r="I4823" s="3">
        <v>252</v>
      </c>
      <c r="J4823" s="3">
        <v>393</v>
      </c>
      <c r="K4823" s="3">
        <v>1148</v>
      </c>
      <c r="L4823" s="3">
        <v>194</v>
      </c>
      <c r="M4823" s="3">
        <v>445</v>
      </c>
    </row>
    <row r="4824" spans="1:13" x14ac:dyDescent="0.25">
      <c r="A4824" s="1" t="str">
        <f>HYPERLINK("http://www.rosaceae.org/Prunus/Prunus_persica/p.persica_gdr_reftransV1_0004572","p.persica_gdr_reftransV1_0004572")</f>
        <v>p.persica_gdr_reftransV1_0004572</v>
      </c>
      <c r="B4824" s="3">
        <v>1000</v>
      </c>
      <c r="C4824" s="1" t="str">
        <f>HYPERLINK("http://www.uniprot.org/uniprot/Y8359_ORYSI","Y8359_ORYSI")</f>
        <v>Y8359_ORYSI</v>
      </c>
      <c r="D4824" t="s">
        <v>4183</v>
      </c>
      <c r="E4824" s="3" t="s">
        <v>38</v>
      </c>
      <c r="F4824" s="4">
        <v>1.6599999999999999E-46</v>
      </c>
      <c r="G4824" s="3">
        <v>411</v>
      </c>
      <c r="H4824" s="3">
        <v>72</v>
      </c>
      <c r="I4824" s="3">
        <v>130</v>
      </c>
      <c r="J4824" s="3">
        <v>147</v>
      </c>
      <c r="K4824" s="3">
        <v>536</v>
      </c>
      <c r="L4824" s="3">
        <v>1</v>
      </c>
      <c r="M4824" s="3">
        <v>126</v>
      </c>
    </row>
    <row r="4825" spans="1:13" x14ac:dyDescent="0.25">
      <c r="A4825" s="1" t="str">
        <f>HYPERLINK("http://www.rosaceae.org/Prunus/Prunus_persica/p.persica_gdr_reftransV1_0004622","p.persica_gdr_reftransV1_0004622")</f>
        <v>p.persica_gdr_reftransV1_0004622</v>
      </c>
      <c r="B4825" s="3">
        <v>1883</v>
      </c>
      <c r="C4825" s="1" t="str">
        <f>HYPERLINK("http://www.uniprot.org/uniprot/C77A3_SOYBN","C77A3_SOYBN")</f>
        <v>C77A3_SOYBN</v>
      </c>
      <c r="D4825" t="s">
        <v>2109</v>
      </c>
      <c r="E4825" s="3" t="s">
        <v>307</v>
      </c>
      <c r="F4825" s="4">
        <v>0</v>
      </c>
      <c r="G4825" s="3">
        <v>2194</v>
      </c>
      <c r="H4825" s="3">
        <v>79</v>
      </c>
      <c r="I4825" s="3">
        <v>505</v>
      </c>
      <c r="J4825" s="3">
        <v>172</v>
      </c>
      <c r="K4825" s="3">
        <v>1686</v>
      </c>
      <c r="L4825" s="3">
        <v>2</v>
      </c>
      <c r="M4825" s="3">
        <v>506</v>
      </c>
    </row>
    <row r="4826" spans="1:13" x14ac:dyDescent="0.25">
      <c r="A4826" s="1" t="str">
        <f>HYPERLINK("http://www.rosaceae.org/Prunus/Prunus_persica/p.persica_gdr_reftransV1_0004822","p.persica_gdr_reftransV1_0004822")</f>
        <v>p.persica_gdr_reftransV1_0004822</v>
      </c>
      <c r="B4826" s="3">
        <v>696</v>
      </c>
      <c r="C4826" s="1" t="str">
        <f>HYPERLINK("http://www.uniprot.org/uniprot/CND2_ARATH","CND2_ARATH")</f>
        <v>CND2_ARATH</v>
      </c>
      <c r="D4826" t="s">
        <v>4184</v>
      </c>
      <c r="E4826" s="3" t="s">
        <v>3</v>
      </c>
      <c r="F4826" s="4">
        <v>2.8399999999999999E-85</v>
      </c>
      <c r="G4826" s="3">
        <v>697</v>
      </c>
      <c r="H4826" s="3">
        <v>67</v>
      </c>
      <c r="I4826" s="3">
        <v>229</v>
      </c>
      <c r="J4826" s="3">
        <v>1</v>
      </c>
      <c r="K4826" s="3">
        <v>678</v>
      </c>
      <c r="L4826" s="3">
        <v>55</v>
      </c>
      <c r="M4826" s="3">
        <v>280</v>
      </c>
    </row>
    <row r="4827" spans="1:13" x14ac:dyDescent="0.25">
      <c r="A4827" s="1" t="str">
        <f>HYPERLINK("http://www.rosaceae.org/Prunus/Prunus_persica/p.persica_gdr_reftransV1_0004872","p.persica_gdr_reftransV1_0004872")</f>
        <v>p.persica_gdr_reftransV1_0004872</v>
      </c>
      <c r="B4827" s="3">
        <v>1533</v>
      </c>
      <c r="C4827" s="1" t="str">
        <f>HYPERLINK("http://www.uniprot.org/uniprot/AKR2_ORYSJ","AKR2_ORYSJ")</f>
        <v>AKR2_ORYSJ</v>
      </c>
      <c r="D4827" t="s">
        <v>4185</v>
      </c>
      <c r="E4827" s="3" t="s">
        <v>38</v>
      </c>
      <c r="F4827" s="4">
        <v>0</v>
      </c>
      <c r="G4827" s="3">
        <v>1416</v>
      </c>
      <c r="H4827" s="3">
        <v>84</v>
      </c>
      <c r="I4827" s="3">
        <v>340</v>
      </c>
      <c r="J4827" s="3">
        <v>261</v>
      </c>
      <c r="K4827" s="3">
        <v>1274</v>
      </c>
      <c r="L4827" s="3">
        <v>11</v>
      </c>
      <c r="M4827" s="3">
        <v>350</v>
      </c>
    </row>
    <row r="4828" spans="1:13" x14ac:dyDescent="0.25">
      <c r="A4828" s="1" t="str">
        <f>HYPERLINK("http://www.rosaceae.org/Prunus/Prunus_persica/p.persica_gdr_reftransV1_0004922","p.persica_gdr_reftransV1_0004922")</f>
        <v>p.persica_gdr_reftransV1_0004922</v>
      </c>
      <c r="B4828" s="3">
        <v>6017</v>
      </c>
      <c r="C4828" s="1" t="str">
        <f>HYPERLINK("http://www.uniprot.org/uniprot/CALS7_ARATH","CALS7_ARATH")</f>
        <v>CALS7_ARATH</v>
      </c>
      <c r="D4828" t="s">
        <v>4186</v>
      </c>
      <c r="E4828" s="3" t="s">
        <v>3</v>
      </c>
      <c r="F4828" s="4">
        <v>0</v>
      </c>
      <c r="G4828" s="3">
        <v>7545</v>
      </c>
      <c r="H4828" s="3">
        <v>74</v>
      </c>
      <c r="I4828" s="3">
        <v>1936</v>
      </c>
      <c r="J4828" s="3">
        <v>8</v>
      </c>
      <c r="K4828" s="3">
        <v>5773</v>
      </c>
      <c r="L4828" s="3">
        <v>1</v>
      </c>
      <c r="M4828" s="3">
        <v>1929</v>
      </c>
    </row>
    <row r="4829" spans="1:13" x14ac:dyDescent="0.25">
      <c r="A4829" s="1" t="str">
        <f>HYPERLINK("http://www.rosaceae.org/Prunus/Prunus_persica/p.persica_gdr_reftransV1_0004972","p.persica_gdr_reftransV1_0004972")</f>
        <v>p.persica_gdr_reftransV1_0004972</v>
      </c>
      <c r="B4829" s="3">
        <v>1291</v>
      </c>
      <c r="C4829" s="1" t="str">
        <f>HYPERLINK("http://www.uniprot.org/uniprot/DPH5_ARATH","DPH5_ARATH")</f>
        <v>DPH5_ARATH</v>
      </c>
      <c r="D4829" t="s">
        <v>4187</v>
      </c>
      <c r="E4829" s="3" t="s">
        <v>3</v>
      </c>
      <c r="F4829" s="4">
        <v>1.8100000000000001E-151</v>
      </c>
      <c r="G4829" s="3">
        <v>1126</v>
      </c>
      <c r="H4829" s="3">
        <v>81</v>
      </c>
      <c r="I4829" s="3">
        <v>277</v>
      </c>
      <c r="J4829" s="3">
        <v>93</v>
      </c>
      <c r="K4829" s="3">
        <v>920</v>
      </c>
      <c r="L4829" s="3">
        <v>1</v>
      </c>
      <c r="M4829" s="3">
        <v>277</v>
      </c>
    </row>
    <row r="4830" spans="1:13" x14ac:dyDescent="0.25">
      <c r="A4830" s="1" t="str">
        <f>HYPERLINK("http://www.rosaceae.org/Prunus/Prunus_persica/p.persica_gdr_reftransV1_0005022","p.persica_gdr_reftransV1_0005022")</f>
        <v>p.persica_gdr_reftransV1_0005022</v>
      </c>
      <c r="B4830" s="3">
        <v>1894</v>
      </c>
      <c r="C4830" s="1" t="str">
        <f>HYPERLINK("http://www.uniprot.org/uniprot/C7A52_PANGI","C7A52_PANGI")</f>
        <v>C7A52_PANGI</v>
      </c>
      <c r="D4830" t="s">
        <v>4188</v>
      </c>
      <c r="E4830" s="3" t="s">
        <v>1477</v>
      </c>
      <c r="F4830" s="4">
        <v>8.7299999999999997E-159</v>
      </c>
      <c r="G4830" s="3">
        <v>1214</v>
      </c>
      <c r="H4830" s="3">
        <v>49</v>
      </c>
      <c r="I4830" s="3">
        <v>495</v>
      </c>
      <c r="J4830" s="3">
        <v>348</v>
      </c>
      <c r="K4830" s="3">
        <v>1793</v>
      </c>
      <c r="L4830" s="3">
        <v>1</v>
      </c>
      <c r="M4830" s="3">
        <v>479</v>
      </c>
    </row>
    <row r="4831" spans="1:13" x14ac:dyDescent="0.25">
      <c r="A4831" s="1" t="str">
        <f>HYPERLINK("http://www.rosaceae.org/Prunus/Prunus_persica/p.persica_gdr_reftransV1_0005122","p.persica_gdr_reftransV1_0005122")</f>
        <v>p.persica_gdr_reftransV1_0005122</v>
      </c>
      <c r="B4831" s="3">
        <v>2468</v>
      </c>
      <c r="C4831" s="1" t="str">
        <f>HYPERLINK("http://www.uniprot.org/uniprot/LAX2_MEDTR","LAX2_MEDTR")</f>
        <v>LAX2_MEDTR</v>
      </c>
      <c r="D4831" t="s">
        <v>3750</v>
      </c>
      <c r="E4831" s="3" t="s">
        <v>91</v>
      </c>
      <c r="F4831" s="4">
        <v>0</v>
      </c>
      <c r="G4831" s="3">
        <v>2197</v>
      </c>
      <c r="H4831" s="3">
        <v>89</v>
      </c>
      <c r="I4831" s="3">
        <v>470</v>
      </c>
      <c r="J4831" s="3">
        <v>309</v>
      </c>
      <c r="K4831" s="3">
        <v>1718</v>
      </c>
      <c r="L4831" s="3">
        <v>1</v>
      </c>
      <c r="M4831" s="3">
        <v>467</v>
      </c>
    </row>
    <row r="4832" spans="1:13" x14ac:dyDescent="0.25">
      <c r="A4832" s="1" t="str">
        <f>HYPERLINK("http://www.rosaceae.org/Prunus/Prunus_persica/p.persica_gdr_reftransV1_0005222","p.persica_gdr_reftransV1_0005222")</f>
        <v>p.persica_gdr_reftransV1_0005222</v>
      </c>
      <c r="B4832" s="3">
        <v>2233</v>
      </c>
      <c r="C4832" s="1" t="str">
        <f>HYPERLINK("http://www.uniprot.org/uniprot/MMSA_ARATH","MMSA_ARATH")</f>
        <v>MMSA_ARATH</v>
      </c>
      <c r="D4832" t="s">
        <v>4189</v>
      </c>
      <c r="E4832" s="3" t="s">
        <v>3</v>
      </c>
      <c r="F4832" s="4">
        <v>0</v>
      </c>
      <c r="G4832" s="3">
        <v>2349</v>
      </c>
      <c r="H4832" s="3">
        <v>83</v>
      </c>
      <c r="I4832" s="3">
        <v>527</v>
      </c>
      <c r="J4832" s="3">
        <v>521</v>
      </c>
      <c r="K4832" s="3">
        <v>2101</v>
      </c>
      <c r="L4832" s="3">
        <v>82</v>
      </c>
      <c r="M4832" s="3">
        <v>606</v>
      </c>
    </row>
    <row r="4833" spans="1:13" x14ac:dyDescent="0.25">
      <c r="A4833" s="1" t="str">
        <f>HYPERLINK("http://www.rosaceae.org/Prunus/Prunus_persica/p.persica_gdr_reftransV1_0005272","p.persica_gdr_reftransV1_0005272")</f>
        <v>p.persica_gdr_reftransV1_0005272</v>
      </c>
      <c r="B4833" s="3">
        <v>473</v>
      </c>
      <c r="C4833" s="1" t="str">
        <f>HYPERLINK("http://www.uniprot.org/uniprot/SD25_ARATH","SD25_ARATH")</f>
        <v>SD25_ARATH</v>
      </c>
      <c r="D4833" t="s">
        <v>4190</v>
      </c>
      <c r="E4833" s="3" t="s">
        <v>3</v>
      </c>
      <c r="F4833" s="4">
        <v>8.1900000000000004E-54</v>
      </c>
      <c r="G4833" s="3">
        <v>472</v>
      </c>
      <c r="H4833" s="3">
        <v>58</v>
      </c>
      <c r="I4833" s="3">
        <v>157</v>
      </c>
      <c r="J4833" s="3">
        <v>1</v>
      </c>
      <c r="K4833" s="3">
        <v>471</v>
      </c>
      <c r="L4833" s="3">
        <v>61</v>
      </c>
      <c r="M4833" s="3">
        <v>215</v>
      </c>
    </row>
    <row r="4834" spans="1:13" x14ac:dyDescent="0.25">
      <c r="A4834" s="1" t="str">
        <f>HYPERLINK("http://www.rosaceae.org/Prunus/Prunus_persica/p.persica_gdr_reftransV1_0005372","p.persica_gdr_reftransV1_0005372")</f>
        <v>p.persica_gdr_reftransV1_0005372</v>
      </c>
      <c r="B4834" s="3">
        <v>742</v>
      </c>
      <c r="C4834" s="1" t="str">
        <f>HYPERLINK("http://www.uniprot.org/uniprot/RL341_ARATH","RL341_ARATH")</f>
        <v>RL341_ARATH</v>
      </c>
      <c r="D4834" t="s">
        <v>4191</v>
      </c>
      <c r="E4834" s="3" t="s">
        <v>3</v>
      </c>
      <c r="F4834" s="4">
        <v>7.11E-59</v>
      </c>
      <c r="G4834" s="3">
        <v>479</v>
      </c>
      <c r="H4834" s="3">
        <v>95</v>
      </c>
      <c r="I4834" s="3">
        <v>96</v>
      </c>
      <c r="J4834" s="3">
        <v>64</v>
      </c>
      <c r="K4834" s="3">
        <v>351</v>
      </c>
      <c r="L4834" s="3">
        <v>1</v>
      </c>
      <c r="M4834" s="3">
        <v>96</v>
      </c>
    </row>
    <row r="4835" spans="1:13" x14ac:dyDescent="0.25">
      <c r="A4835" s="1" t="str">
        <f>HYPERLINK("http://www.rosaceae.org/Prunus/Prunus_persica/p.persica_gdr_reftransV1_0005422","p.persica_gdr_reftransV1_0005422")</f>
        <v>p.persica_gdr_reftransV1_0005422</v>
      </c>
      <c r="B4835" s="3">
        <v>1727</v>
      </c>
      <c r="C4835" s="1" t="str">
        <f>HYPERLINK("http://www.uniprot.org/uniprot/C2GR1_ARATH","C2GR1_ARATH")</f>
        <v>C2GR1_ARATH</v>
      </c>
      <c r="D4835" t="s">
        <v>4192</v>
      </c>
      <c r="E4835" s="3" t="s">
        <v>3</v>
      </c>
      <c r="F4835" s="4">
        <v>1.81E-12</v>
      </c>
      <c r="G4835" s="3">
        <v>181</v>
      </c>
      <c r="H4835" s="3">
        <v>25</v>
      </c>
      <c r="I4835" s="3">
        <v>228</v>
      </c>
      <c r="J4835" s="3">
        <v>645</v>
      </c>
      <c r="K4835" s="3">
        <v>1292</v>
      </c>
      <c r="L4835" s="3">
        <v>534</v>
      </c>
      <c r="M4835" s="3">
        <v>751</v>
      </c>
    </row>
    <row r="4836" spans="1:13" x14ac:dyDescent="0.25">
      <c r="A4836" s="1" t="str">
        <f>HYPERLINK("http://www.rosaceae.org/Prunus/Prunus_persica/p.persica_gdr_reftransV1_0005522","p.persica_gdr_reftransV1_0005522")</f>
        <v>p.persica_gdr_reftransV1_0005522</v>
      </c>
      <c r="B4836" s="3">
        <v>2186</v>
      </c>
      <c r="C4836" s="1" t="str">
        <f>HYPERLINK("http://www.uniprot.org/uniprot/Y1105_ARATH","Y1105_ARATH")</f>
        <v>Y1105_ARATH</v>
      </c>
      <c r="D4836" t="s">
        <v>2829</v>
      </c>
      <c r="E4836" s="3" t="s">
        <v>3</v>
      </c>
      <c r="F4836" s="4">
        <v>0</v>
      </c>
      <c r="G4836" s="3">
        <v>2055</v>
      </c>
      <c r="H4836" s="3">
        <v>66</v>
      </c>
      <c r="I4836" s="3">
        <v>624</v>
      </c>
      <c r="J4836" s="3">
        <v>83</v>
      </c>
      <c r="K4836" s="3">
        <v>1951</v>
      </c>
      <c r="L4836" s="3">
        <v>29</v>
      </c>
      <c r="M4836" s="3">
        <v>625</v>
      </c>
    </row>
    <row r="4837" spans="1:13" x14ac:dyDescent="0.25">
      <c r="A4837" s="1" t="str">
        <f>HYPERLINK("http://www.rosaceae.org/Prunus/Prunus_persica/p.persica_gdr_reftransV1_0005922","p.persica_gdr_reftransV1_0005922")</f>
        <v>p.persica_gdr_reftransV1_0005922</v>
      </c>
      <c r="B4837" s="3">
        <v>312</v>
      </c>
      <c r="C4837" s="1" t="str">
        <f>HYPERLINK("http://www.uniprot.org/uniprot/TMVRN_NICGU","TMVRN_NICGU")</f>
        <v>TMVRN_NICGU</v>
      </c>
      <c r="D4837" t="s">
        <v>151</v>
      </c>
      <c r="E4837" s="3" t="s">
        <v>152</v>
      </c>
      <c r="F4837" s="4">
        <v>5.1000000000000005E-13</v>
      </c>
      <c r="G4837" s="3">
        <v>167</v>
      </c>
      <c r="H4837" s="3">
        <v>36</v>
      </c>
      <c r="I4837" s="3">
        <v>104</v>
      </c>
      <c r="J4837" s="3">
        <v>3</v>
      </c>
      <c r="K4837" s="3">
        <v>311</v>
      </c>
      <c r="L4837" s="3">
        <v>124</v>
      </c>
      <c r="M4837" s="3">
        <v>225</v>
      </c>
    </row>
    <row r="4838" spans="1:13" x14ac:dyDescent="0.25">
      <c r="A4838" s="1" t="str">
        <f>HYPERLINK("http://www.rosaceae.org/Prunus/Prunus_persica/p.persica_gdr_reftransV1_0006072","p.persica_gdr_reftransV1_0006072")</f>
        <v>p.persica_gdr_reftransV1_0006072</v>
      </c>
      <c r="B4838" s="3">
        <v>1153</v>
      </c>
      <c r="C4838" s="1" t="str">
        <f>HYPERLINK("http://www.uniprot.org/uniprot/GPDL2_ARATH","GPDL2_ARATH")</f>
        <v>GPDL2_ARATH</v>
      </c>
      <c r="D4838" t="s">
        <v>3941</v>
      </c>
      <c r="E4838" s="3" t="s">
        <v>3</v>
      </c>
      <c r="F4838" s="4">
        <v>2.88E-30</v>
      </c>
      <c r="G4838" s="3">
        <v>320</v>
      </c>
      <c r="H4838" s="3">
        <v>53</v>
      </c>
      <c r="I4838" s="3">
        <v>103</v>
      </c>
      <c r="J4838" s="3">
        <v>848</v>
      </c>
      <c r="K4838" s="3">
        <v>1153</v>
      </c>
      <c r="L4838" s="3">
        <v>784</v>
      </c>
      <c r="M4838" s="3">
        <v>886</v>
      </c>
    </row>
    <row r="4839" spans="1:13" x14ac:dyDescent="0.25">
      <c r="A4839" s="1" t="str">
        <f>HYPERLINK("http://www.rosaceae.org/Prunus/Prunus_persica/p.persica_gdr_reftransV1_0006222","p.persica_gdr_reftransV1_0006222")</f>
        <v>p.persica_gdr_reftransV1_0006222</v>
      </c>
      <c r="B4839" s="3">
        <v>423</v>
      </c>
      <c r="C4839" s="1" t="str">
        <f>HYPERLINK("http://www.uniprot.org/uniprot/RPM1_ARATH","RPM1_ARATH")</f>
        <v>RPM1_ARATH</v>
      </c>
      <c r="D4839" t="s">
        <v>453</v>
      </c>
      <c r="E4839" s="3" t="s">
        <v>3</v>
      </c>
      <c r="F4839" s="4">
        <v>1.11E-20</v>
      </c>
      <c r="G4839" s="3">
        <v>228</v>
      </c>
      <c r="H4839" s="3">
        <v>35</v>
      </c>
      <c r="I4839" s="3">
        <v>149</v>
      </c>
      <c r="J4839" s="3">
        <v>2</v>
      </c>
      <c r="K4839" s="3">
        <v>421</v>
      </c>
      <c r="L4839" s="3">
        <v>312</v>
      </c>
      <c r="M4839" s="3">
        <v>451</v>
      </c>
    </row>
    <row r="4840" spans="1:13" x14ac:dyDescent="0.25">
      <c r="A4840" s="1" t="str">
        <f>HYPERLINK("http://www.rosaceae.org/Prunus/Prunus_persica/p.persica_gdr_reftransV1_0006272","p.persica_gdr_reftransV1_0006272")</f>
        <v>p.persica_gdr_reftransV1_0006272</v>
      </c>
      <c r="B4840" s="3">
        <v>333</v>
      </c>
      <c r="C4840" s="1" t="str">
        <f>HYPERLINK("http://www.uniprot.org/uniprot/OML5_ORYSJ","OML5_ORYSJ")</f>
        <v>OML5_ORYSJ</v>
      </c>
      <c r="D4840" t="s">
        <v>4193</v>
      </c>
      <c r="E4840" s="3" t="s">
        <v>38</v>
      </c>
      <c r="F4840" s="4">
        <v>5.8599999999999996E-16</v>
      </c>
      <c r="G4840" s="3">
        <v>190</v>
      </c>
      <c r="H4840" s="3">
        <v>41</v>
      </c>
      <c r="I4840" s="3">
        <v>111</v>
      </c>
      <c r="J4840" s="3">
        <v>43</v>
      </c>
      <c r="K4840" s="3">
        <v>333</v>
      </c>
      <c r="L4840" s="3">
        <v>92</v>
      </c>
      <c r="M4840" s="3">
        <v>202</v>
      </c>
    </row>
    <row r="4841" spans="1:13" x14ac:dyDescent="0.25">
      <c r="A4841" s="1" t="str">
        <f>HYPERLINK("http://www.rosaceae.org/Prunus/Prunus_persica/p.persica_gdr_reftransV1_0006422","p.persica_gdr_reftransV1_0006422")</f>
        <v>p.persica_gdr_reftransV1_0006422</v>
      </c>
      <c r="B4841" s="3">
        <v>556</v>
      </c>
      <c r="C4841" s="1" t="str">
        <f>HYPERLINK("http://www.uniprot.org/uniprot/MD15A_ARATH","MD15A_ARATH")</f>
        <v>MD15A_ARATH</v>
      </c>
      <c r="D4841" t="s">
        <v>3789</v>
      </c>
      <c r="E4841" s="3" t="s">
        <v>3</v>
      </c>
      <c r="F4841" s="4">
        <v>8.5700000000000003E-42</v>
      </c>
      <c r="G4841" s="3">
        <v>392</v>
      </c>
      <c r="H4841" s="3">
        <v>49</v>
      </c>
      <c r="I4841" s="3">
        <v>196</v>
      </c>
      <c r="J4841" s="3">
        <v>3</v>
      </c>
      <c r="K4841" s="3">
        <v>548</v>
      </c>
      <c r="L4841" s="3">
        <v>1112</v>
      </c>
      <c r="M4841" s="3">
        <v>1307</v>
      </c>
    </row>
    <row r="4842" spans="1:13" x14ac:dyDescent="0.25">
      <c r="A4842" s="1" t="str">
        <f>HYPERLINK("http://www.rosaceae.org/Prunus/Prunus_persica/p.persica_gdr_reftransV1_0006472","p.persica_gdr_reftransV1_0006472")</f>
        <v>p.persica_gdr_reftransV1_0006472</v>
      </c>
      <c r="B4842" s="3">
        <v>2742</v>
      </c>
      <c r="C4842" s="1" t="str">
        <f>HYPERLINK("http://www.uniprot.org/uniprot/CSLE1_ARATH","CSLE1_ARATH")</f>
        <v>CSLE1_ARATH</v>
      </c>
      <c r="D4842" t="s">
        <v>4194</v>
      </c>
      <c r="E4842" s="3" t="s">
        <v>3</v>
      </c>
      <c r="F4842" s="4">
        <v>0</v>
      </c>
      <c r="G4842" s="3">
        <v>1181</v>
      </c>
      <c r="H4842" s="3">
        <v>50</v>
      </c>
      <c r="I4842" s="3">
        <v>515</v>
      </c>
      <c r="J4842" s="3">
        <v>1037</v>
      </c>
      <c r="K4842" s="3">
        <v>2581</v>
      </c>
      <c r="L4842" s="3">
        <v>293</v>
      </c>
      <c r="M4842" s="3">
        <v>726</v>
      </c>
    </row>
    <row r="4843" spans="1:13" x14ac:dyDescent="0.25">
      <c r="A4843" s="1" t="str">
        <f>HYPERLINK("http://www.rosaceae.org/Prunus/Prunus_persica/p.persica_gdr_reftransV1_0006572","p.persica_gdr_reftransV1_0006572")</f>
        <v>p.persica_gdr_reftransV1_0006572</v>
      </c>
      <c r="B4843" s="3">
        <v>942</v>
      </c>
      <c r="C4843" s="1" t="str">
        <f>HYPERLINK("http://www.uniprot.org/uniprot/MED7A_ARATH","MED7A_ARATH")</f>
        <v>MED7A_ARATH</v>
      </c>
      <c r="D4843" t="s">
        <v>4195</v>
      </c>
      <c r="E4843" s="3" t="s">
        <v>3</v>
      </c>
      <c r="F4843" s="4">
        <v>1.5699999999999999E-75</v>
      </c>
      <c r="G4843" s="3">
        <v>600</v>
      </c>
      <c r="H4843" s="3">
        <v>83</v>
      </c>
      <c r="I4843" s="3">
        <v>166</v>
      </c>
      <c r="J4843" s="3">
        <v>235</v>
      </c>
      <c r="K4843" s="3">
        <v>732</v>
      </c>
      <c r="L4843" s="3">
        <v>1</v>
      </c>
      <c r="M4843" s="3">
        <v>166</v>
      </c>
    </row>
    <row r="4844" spans="1:13" x14ac:dyDescent="0.25">
      <c r="A4844" s="1" t="str">
        <f>HYPERLINK("http://www.rosaceae.org/Prunus/Prunus_persica/p.persica_gdr_reftransV1_0006672","p.persica_gdr_reftransV1_0006672")</f>
        <v>p.persica_gdr_reftransV1_0006672</v>
      </c>
      <c r="B4844" s="3">
        <v>1199</v>
      </c>
      <c r="C4844" s="1" t="str">
        <f>HYPERLINK("http://www.uniprot.org/uniprot/RNS1_ARATH","RNS1_ARATH")</f>
        <v>RNS1_ARATH</v>
      </c>
      <c r="D4844" t="s">
        <v>4196</v>
      </c>
      <c r="E4844" s="3" t="s">
        <v>3</v>
      </c>
      <c r="F4844" s="4">
        <v>3.3199999999999999E-106</v>
      </c>
      <c r="G4844" s="3">
        <v>818</v>
      </c>
      <c r="H4844" s="3">
        <v>78</v>
      </c>
      <c r="I4844" s="3">
        <v>203</v>
      </c>
      <c r="J4844" s="3">
        <v>477</v>
      </c>
      <c r="K4844" s="3">
        <v>1085</v>
      </c>
      <c r="L4844" s="3">
        <v>28</v>
      </c>
      <c r="M4844" s="3">
        <v>230</v>
      </c>
    </row>
    <row r="4845" spans="1:13" x14ac:dyDescent="0.25">
      <c r="A4845" s="1" t="str">
        <f>HYPERLINK("http://www.rosaceae.org/Prunus/Prunus_persica/p.persica_gdr_reftransV1_0006722","p.persica_gdr_reftransV1_0006722")</f>
        <v>p.persica_gdr_reftransV1_0006722</v>
      </c>
      <c r="B4845" s="3">
        <v>574</v>
      </c>
      <c r="C4845" s="1" t="str">
        <f>HYPERLINK("http://www.uniprot.org/uniprot/CXE15_ARATH","CXE15_ARATH")</f>
        <v>CXE15_ARATH</v>
      </c>
      <c r="D4845" t="s">
        <v>4197</v>
      </c>
      <c r="E4845" s="3" t="s">
        <v>3</v>
      </c>
      <c r="F4845" s="4">
        <v>3.6500000000000003E-30</v>
      </c>
      <c r="G4845" s="3">
        <v>294</v>
      </c>
      <c r="H4845" s="3">
        <v>45</v>
      </c>
      <c r="I4845" s="3">
        <v>150</v>
      </c>
      <c r="J4845" s="3">
        <v>6</v>
      </c>
      <c r="K4845" s="3">
        <v>446</v>
      </c>
      <c r="L4845" s="3">
        <v>12</v>
      </c>
      <c r="M4845" s="3">
        <v>157</v>
      </c>
    </row>
    <row r="4846" spans="1:13" x14ac:dyDescent="0.25">
      <c r="A4846" s="1" t="str">
        <f>HYPERLINK("http://www.rosaceae.org/Prunus/Prunus_persica/p.persica_gdr_reftransV1_0006872","p.persica_gdr_reftransV1_0006872")</f>
        <v>p.persica_gdr_reftransV1_0006872</v>
      </c>
      <c r="B4846" s="3">
        <v>1081</v>
      </c>
      <c r="C4846" s="1" t="str">
        <f>HYPERLINK("http://www.uniprot.org/uniprot/TRM32_ARATH","TRM32_ARATH")</f>
        <v>TRM32_ARATH</v>
      </c>
      <c r="D4846" t="s">
        <v>4198</v>
      </c>
      <c r="E4846" s="3" t="s">
        <v>3</v>
      </c>
      <c r="F4846" s="4">
        <v>3.7499999999999998E-14</v>
      </c>
      <c r="G4846" s="3">
        <v>188</v>
      </c>
      <c r="H4846" s="3">
        <v>41</v>
      </c>
      <c r="I4846" s="3">
        <v>104</v>
      </c>
      <c r="J4846" s="3">
        <v>774</v>
      </c>
      <c r="K4846" s="3">
        <v>1079</v>
      </c>
      <c r="L4846" s="3">
        <v>397</v>
      </c>
      <c r="M4846" s="3">
        <v>491</v>
      </c>
    </row>
    <row r="4847" spans="1:13" x14ac:dyDescent="0.25">
      <c r="A4847" s="1" t="str">
        <f>HYPERLINK("http://www.rosaceae.org/Prunus/Prunus_persica/p.persica_gdr_reftransV1_0006922","p.persica_gdr_reftransV1_0006922")</f>
        <v>p.persica_gdr_reftransV1_0006922</v>
      </c>
      <c r="B4847" s="3">
        <v>2219</v>
      </c>
      <c r="C4847" s="1" t="str">
        <f>HYPERLINK("http://www.uniprot.org/uniprot/MOCOS_MOUSE","MOCOS_MOUSE")</f>
        <v>MOCOS_MOUSE</v>
      </c>
      <c r="D4847" t="s">
        <v>4199</v>
      </c>
      <c r="E4847" s="3" t="s">
        <v>157</v>
      </c>
      <c r="F4847" s="4">
        <v>1.6200000000000001E-19</v>
      </c>
      <c r="G4847" s="3">
        <v>241</v>
      </c>
      <c r="H4847" s="3">
        <v>26</v>
      </c>
      <c r="I4847" s="3">
        <v>443</v>
      </c>
      <c r="J4847" s="3">
        <v>838</v>
      </c>
      <c r="K4847" s="3">
        <v>2067</v>
      </c>
      <c r="L4847" s="3">
        <v>79</v>
      </c>
      <c r="M4847" s="3">
        <v>463</v>
      </c>
    </row>
    <row r="4848" spans="1:13" x14ac:dyDescent="0.25">
      <c r="A4848" s="1" t="str">
        <f>HYPERLINK("http://www.rosaceae.org/Prunus/Prunus_persica/p.persica_gdr_reftransV1_0006972","p.persica_gdr_reftransV1_0006972")</f>
        <v>p.persica_gdr_reftransV1_0006972</v>
      </c>
      <c r="B4848" s="3">
        <v>431</v>
      </c>
      <c r="C4848" s="1" t="str">
        <f>HYPERLINK("http://www.uniprot.org/uniprot/C81D1_ARATH","C81D1_ARATH")</f>
        <v>C81D1_ARATH</v>
      </c>
      <c r="D4848" t="s">
        <v>4200</v>
      </c>
      <c r="E4848" s="3" t="s">
        <v>3</v>
      </c>
      <c r="F4848" s="4">
        <v>3.0800000000000002E-64</v>
      </c>
      <c r="G4848" s="3">
        <v>534</v>
      </c>
      <c r="H4848" s="3">
        <v>66</v>
      </c>
      <c r="I4848" s="3">
        <v>143</v>
      </c>
      <c r="J4848" s="3">
        <v>3</v>
      </c>
      <c r="K4848" s="3">
        <v>431</v>
      </c>
      <c r="L4848" s="3">
        <v>347</v>
      </c>
      <c r="M4848" s="3">
        <v>488</v>
      </c>
    </row>
    <row r="4849" spans="1:13" x14ac:dyDescent="0.25">
      <c r="A4849" s="1" t="str">
        <f>HYPERLINK("http://www.rosaceae.org/Prunus/Prunus_persica/p.persica_gdr_reftransV1_0007072","p.persica_gdr_reftransV1_0007072")</f>
        <v>p.persica_gdr_reftransV1_0007072</v>
      </c>
      <c r="B4849" s="3">
        <v>1447</v>
      </c>
      <c r="C4849" s="1" t="str">
        <f>HYPERLINK("http://www.uniprot.org/uniprot/ADHL3_ARATH","ADHL3_ARATH")</f>
        <v>ADHL3_ARATH</v>
      </c>
      <c r="D4849" t="s">
        <v>4201</v>
      </c>
      <c r="E4849" s="3" t="s">
        <v>3</v>
      </c>
      <c r="F4849" s="4">
        <v>0</v>
      </c>
      <c r="G4849" s="3">
        <v>1528</v>
      </c>
      <c r="H4849" s="3">
        <v>74</v>
      </c>
      <c r="I4849" s="3">
        <v>385</v>
      </c>
      <c r="J4849" s="3">
        <v>105</v>
      </c>
      <c r="K4849" s="3">
        <v>1235</v>
      </c>
      <c r="L4849" s="3">
        <v>4</v>
      </c>
      <c r="M4849" s="3">
        <v>388</v>
      </c>
    </row>
    <row r="4850" spans="1:13" x14ac:dyDescent="0.25">
      <c r="A4850" s="1" t="str">
        <f>HYPERLINK("http://www.rosaceae.org/Prunus/Prunus_persica/p.persica_gdr_reftransV1_0007122","p.persica_gdr_reftransV1_0007122")</f>
        <v>p.persica_gdr_reftransV1_0007122</v>
      </c>
      <c r="B4850" s="3">
        <v>699</v>
      </c>
      <c r="C4850" s="1" t="str">
        <f>HYPERLINK("http://www.uniprot.org/uniprot/DIR2_ARATH","DIR2_ARATH")</f>
        <v>DIR2_ARATH</v>
      </c>
      <c r="D4850" t="s">
        <v>2283</v>
      </c>
      <c r="E4850" s="3" t="s">
        <v>3</v>
      </c>
      <c r="F4850" s="4">
        <v>1.3299999999999999E-25</v>
      </c>
      <c r="G4850" s="3">
        <v>258</v>
      </c>
      <c r="H4850" s="3">
        <v>40</v>
      </c>
      <c r="I4850" s="3">
        <v>142</v>
      </c>
      <c r="J4850" s="3">
        <v>222</v>
      </c>
      <c r="K4850" s="3">
        <v>638</v>
      </c>
      <c r="L4850" s="3">
        <v>41</v>
      </c>
      <c r="M4850" s="3">
        <v>181</v>
      </c>
    </row>
    <row r="4851" spans="1:13" x14ac:dyDescent="0.25">
      <c r="A4851" s="1" t="str">
        <f>HYPERLINK("http://www.rosaceae.org/Prunus/Prunus_persica/p.persica_gdr_reftransV1_0007172","p.persica_gdr_reftransV1_0007172")</f>
        <v>p.persica_gdr_reftransV1_0007172</v>
      </c>
      <c r="B4851" s="3">
        <v>1533</v>
      </c>
      <c r="C4851" s="1" t="str">
        <f>HYPERLINK("http://www.uniprot.org/uniprot/BRG2_ARATH","BRG2_ARATH")</f>
        <v>BRG2_ARATH</v>
      </c>
      <c r="D4851" t="s">
        <v>4202</v>
      </c>
      <c r="E4851" s="3" t="s">
        <v>3</v>
      </c>
      <c r="F4851" s="4">
        <v>6.8600000000000004E-24</v>
      </c>
      <c r="G4851" s="3">
        <v>264</v>
      </c>
      <c r="H4851" s="3">
        <v>31</v>
      </c>
      <c r="I4851" s="3">
        <v>217</v>
      </c>
      <c r="J4851" s="3">
        <v>743</v>
      </c>
      <c r="K4851" s="3">
        <v>1351</v>
      </c>
      <c r="L4851" s="3">
        <v>144</v>
      </c>
      <c r="M4851" s="3">
        <v>354</v>
      </c>
    </row>
    <row r="4852" spans="1:13" x14ac:dyDescent="0.25">
      <c r="A4852" s="1" t="str">
        <f>HYPERLINK("http://www.rosaceae.org/Prunus/Prunus_persica/p.persica_gdr_reftransV1_0007222","p.persica_gdr_reftransV1_0007222")</f>
        <v>p.persica_gdr_reftransV1_0007222</v>
      </c>
      <c r="B4852" s="3">
        <v>732</v>
      </c>
      <c r="C4852" s="1" t="str">
        <f>HYPERLINK("http://www.uniprot.org/uniprot/Y5241_ARATH","Y5241_ARATH")</f>
        <v>Y5241_ARATH</v>
      </c>
      <c r="D4852" t="s">
        <v>1898</v>
      </c>
      <c r="E4852" s="3" t="s">
        <v>3</v>
      </c>
      <c r="F4852" s="4">
        <v>6.0000000000000006E-39</v>
      </c>
      <c r="G4852" s="3">
        <v>374</v>
      </c>
      <c r="H4852" s="3">
        <v>39</v>
      </c>
      <c r="I4852" s="3">
        <v>273</v>
      </c>
      <c r="J4852" s="3">
        <v>15</v>
      </c>
      <c r="K4852" s="3">
        <v>731</v>
      </c>
      <c r="L4852" s="3">
        <v>290</v>
      </c>
      <c r="M4852" s="3">
        <v>559</v>
      </c>
    </row>
    <row r="4853" spans="1:13" x14ac:dyDescent="0.25">
      <c r="A4853" s="1" t="str">
        <f>HYPERLINK("http://www.rosaceae.org/Prunus/Prunus_persica/p.persica_gdr_reftransV1_0007372","p.persica_gdr_reftransV1_0007372")</f>
        <v>p.persica_gdr_reftransV1_0007372</v>
      </c>
      <c r="B4853" s="3">
        <v>1504</v>
      </c>
      <c r="C4853" s="1" t="str">
        <f>HYPERLINK("http://www.uniprot.org/uniprot/DIM1C_ARATH","DIM1C_ARATH")</f>
        <v>DIM1C_ARATH</v>
      </c>
      <c r="D4853" t="s">
        <v>4203</v>
      </c>
      <c r="E4853" s="3" t="s">
        <v>3</v>
      </c>
      <c r="F4853" s="4">
        <v>1.34E-150</v>
      </c>
      <c r="G4853" s="3">
        <v>1134</v>
      </c>
      <c r="H4853" s="3">
        <v>73</v>
      </c>
      <c r="I4853" s="3">
        <v>290</v>
      </c>
      <c r="J4853" s="3">
        <v>254</v>
      </c>
      <c r="K4853" s="3">
        <v>1123</v>
      </c>
      <c r="L4853" s="3">
        <v>53</v>
      </c>
      <c r="M4853" s="3">
        <v>342</v>
      </c>
    </row>
    <row r="4854" spans="1:13" x14ac:dyDescent="0.25">
      <c r="A4854" s="1" t="str">
        <f>HYPERLINK("http://www.rosaceae.org/Prunus/Prunus_persica/p.persica_gdr_reftransV1_0007422","p.persica_gdr_reftransV1_0007422")</f>
        <v>p.persica_gdr_reftransV1_0007422</v>
      </c>
      <c r="B4854" s="3">
        <v>3511</v>
      </c>
      <c r="C4854" s="1" t="str">
        <f>HYPERLINK("http://www.uniprot.org/uniprot/TYW23_ARATH","TYW23_ARATH")</f>
        <v>TYW23_ARATH</v>
      </c>
      <c r="D4854" t="s">
        <v>4204</v>
      </c>
      <c r="E4854" s="3" t="s">
        <v>3</v>
      </c>
      <c r="F4854" s="4">
        <v>0</v>
      </c>
      <c r="G4854" s="3">
        <v>3050</v>
      </c>
      <c r="H4854" s="3">
        <v>61</v>
      </c>
      <c r="I4854" s="3">
        <v>1031</v>
      </c>
      <c r="J4854" s="3">
        <v>367</v>
      </c>
      <c r="K4854" s="3">
        <v>3435</v>
      </c>
      <c r="L4854" s="3">
        <v>8</v>
      </c>
      <c r="M4854" s="3">
        <v>995</v>
      </c>
    </row>
    <row r="4855" spans="1:13" x14ac:dyDescent="0.25">
      <c r="A4855" s="1" t="str">
        <f>HYPERLINK("http://www.rosaceae.org/Prunus/Prunus_persica/p.persica_gdr_reftransV1_0007622","p.persica_gdr_reftransV1_0007622")</f>
        <v>p.persica_gdr_reftransV1_0007622</v>
      </c>
      <c r="B4855" s="3">
        <v>1821</v>
      </c>
      <c r="C4855" s="1" t="str">
        <f>HYPERLINK("http://www.uniprot.org/uniprot/YZ37_SYNY3","YZ37_SYNY3")</f>
        <v>YZ37_SYNY3</v>
      </c>
      <c r="D4855" t="s">
        <v>4205</v>
      </c>
      <c r="E4855" s="3" t="s">
        <v>527</v>
      </c>
      <c r="F4855" s="4">
        <v>1.39E-35</v>
      </c>
      <c r="G4855" s="3">
        <v>353</v>
      </c>
      <c r="H4855" s="3">
        <v>33</v>
      </c>
      <c r="I4855" s="3">
        <v>341</v>
      </c>
      <c r="J4855" s="3">
        <v>228</v>
      </c>
      <c r="K4855" s="3">
        <v>1235</v>
      </c>
      <c r="L4855" s="3">
        <v>4</v>
      </c>
      <c r="M4855" s="3">
        <v>329</v>
      </c>
    </row>
    <row r="4856" spans="1:13" x14ac:dyDescent="0.25">
      <c r="A4856" s="1" t="str">
        <f>HYPERLINK("http://www.rosaceae.org/Prunus/Prunus_persica/p.persica_gdr_reftransV1_0007772","p.persica_gdr_reftransV1_0007772")</f>
        <v>p.persica_gdr_reftransV1_0007772</v>
      </c>
      <c r="B4856" s="3">
        <v>475</v>
      </c>
      <c r="C4856" s="1" t="str">
        <f>HYPERLINK("http://www.uniprot.org/uniprot/RGA2_SOLBU","RGA2_SOLBU")</f>
        <v>RGA2_SOLBU</v>
      </c>
      <c r="D4856" t="s">
        <v>925</v>
      </c>
      <c r="E4856" s="3" t="s">
        <v>560</v>
      </c>
      <c r="F4856" s="4">
        <v>5.2499999999999995E-7</v>
      </c>
      <c r="G4856" s="3">
        <v>123</v>
      </c>
      <c r="H4856" s="3">
        <v>36</v>
      </c>
      <c r="I4856" s="3">
        <v>103</v>
      </c>
      <c r="J4856" s="3">
        <v>88</v>
      </c>
      <c r="K4856" s="3">
        <v>390</v>
      </c>
      <c r="L4856" s="3">
        <v>842</v>
      </c>
      <c r="M4856" s="3">
        <v>941</v>
      </c>
    </row>
    <row r="4857" spans="1:13" x14ac:dyDescent="0.25">
      <c r="A4857" s="1" t="str">
        <f>HYPERLINK("http://www.rosaceae.org/Prunus/Prunus_persica/p.persica_gdr_reftransV1_0008072","p.persica_gdr_reftransV1_0008072")</f>
        <v>p.persica_gdr_reftransV1_0008072</v>
      </c>
      <c r="B4857" s="3">
        <v>821</v>
      </c>
      <c r="C4857" s="1" t="str">
        <f>HYPERLINK("http://www.uniprot.org/uniprot/FER_MASLA","FER_MASLA")</f>
        <v>FER_MASLA</v>
      </c>
      <c r="D4857" t="s">
        <v>4206</v>
      </c>
      <c r="E4857" s="3" t="s">
        <v>4207</v>
      </c>
      <c r="F4857" s="4">
        <v>2.34E-22</v>
      </c>
      <c r="G4857" s="3">
        <v>231</v>
      </c>
      <c r="H4857" s="3">
        <v>48</v>
      </c>
      <c r="I4857" s="3">
        <v>98</v>
      </c>
      <c r="J4857" s="3">
        <v>357</v>
      </c>
      <c r="K4857" s="3">
        <v>641</v>
      </c>
      <c r="L4857" s="3">
        <v>1</v>
      </c>
      <c r="M4857" s="3">
        <v>98</v>
      </c>
    </row>
    <row r="4858" spans="1:13" x14ac:dyDescent="0.25">
      <c r="A4858" s="1" t="str">
        <f>HYPERLINK("http://www.rosaceae.org/Prunus/Prunus_persica/p.persica_gdr_reftransV1_0008272","p.persica_gdr_reftransV1_0008272")</f>
        <v>p.persica_gdr_reftransV1_0008272</v>
      </c>
      <c r="B4858" s="3">
        <v>2120</v>
      </c>
      <c r="C4858" s="1" t="str">
        <f>HYPERLINK("http://www.uniprot.org/uniprot/BCS1B_DICDI","BCS1B_DICDI")</f>
        <v>BCS1B_DICDI</v>
      </c>
      <c r="D4858" t="s">
        <v>2777</v>
      </c>
      <c r="E4858" s="3" t="s">
        <v>9</v>
      </c>
      <c r="F4858" s="4">
        <v>7.7500000000000006E-30</v>
      </c>
      <c r="G4858" s="3">
        <v>318</v>
      </c>
      <c r="H4858" s="3">
        <v>32</v>
      </c>
      <c r="I4858" s="3">
        <v>308</v>
      </c>
      <c r="J4858" s="3">
        <v>587</v>
      </c>
      <c r="K4858" s="3">
        <v>1501</v>
      </c>
      <c r="L4858" s="3">
        <v>168</v>
      </c>
      <c r="M4858" s="3">
        <v>457</v>
      </c>
    </row>
    <row r="4859" spans="1:13" x14ac:dyDescent="0.25">
      <c r="A4859" s="1" t="str">
        <f>HYPERLINK("http://www.rosaceae.org/Prunus/Prunus_persica/p.persica_gdr_reftransV1_0008372","p.persica_gdr_reftransV1_0008372")</f>
        <v>p.persica_gdr_reftransV1_0008372</v>
      </c>
      <c r="B4859" s="3">
        <v>728</v>
      </c>
      <c r="C4859" s="1" t="str">
        <f>HYPERLINK("http://www.uniprot.org/uniprot/LEC_LATSP","LEC_LATSP")</f>
        <v>LEC_LATSP</v>
      </c>
      <c r="D4859" t="s">
        <v>4208</v>
      </c>
      <c r="E4859" s="3" t="s">
        <v>4209</v>
      </c>
      <c r="F4859" s="4">
        <v>3.3800000000000002E-16</v>
      </c>
      <c r="G4859" s="3">
        <v>192</v>
      </c>
      <c r="H4859" s="3">
        <v>41</v>
      </c>
      <c r="I4859" s="3">
        <v>115</v>
      </c>
      <c r="J4859" s="3">
        <v>2</v>
      </c>
      <c r="K4859" s="3">
        <v>337</v>
      </c>
      <c r="L4859" s="3">
        <v>131</v>
      </c>
      <c r="M4859" s="3">
        <v>235</v>
      </c>
    </row>
    <row r="4860" spans="1:13" x14ac:dyDescent="0.25">
      <c r="A4860" s="1" t="str">
        <f>HYPERLINK("http://www.rosaceae.org/Prunus/Prunus_persica/p.persica_gdr_reftransV1_0008472","p.persica_gdr_reftransV1_0008472")</f>
        <v>p.persica_gdr_reftransV1_0008472</v>
      </c>
      <c r="B4860" s="3">
        <v>1608</v>
      </c>
      <c r="C4860" s="1" t="str">
        <f>HYPERLINK("http://www.uniprot.org/uniprot/EXP13_ARATH","EXP13_ARATH")</f>
        <v>EXP13_ARATH</v>
      </c>
      <c r="D4860" t="s">
        <v>4210</v>
      </c>
      <c r="E4860" s="3" t="s">
        <v>3</v>
      </c>
      <c r="F4860" s="4">
        <v>5.2700000000000003E-142</v>
      </c>
      <c r="G4860" s="3">
        <v>1072</v>
      </c>
      <c r="H4860" s="3">
        <v>86</v>
      </c>
      <c r="I4860" s="3">
        <v>225</v>
      </c>
      <c r="J4860" s="3">
        <v>663</v>
      </c>
      <c r="K4860" s="3">
        <v>1337</v>
      </c>
      <c r="L4860" s="3">
        <v>39</v>
      </c>
      <c r="M4860" s="3">
        <v>263</v>
      </c>
    </row>
    <row r="4861" spans="1:13" x14ac:dyDescent="0.25">
      <c r="A4861" s="1" t="str">
        <f>HYPERLINK("http://www.rosaceae.org/Prunus/Prunus_persica/p.persica_gdr_reftransV1_0008672","p.persica_gdr_reftransV1_0008672")</f>
        <v>p.persica_gdr_reftransV1_0008672</v>
      </c>
      <c r="B4861" s="3">
        <v>1214</v>
      </c>
      <c r="C4861" s="1" t="str">
        <f>HYPERLINK("http://www.uniprot.org/uniprot/RMLCD_ARATH","RMLCD_ARATH")</f>
        <v>RMLCD_ARATH</v>
      </c>
      <c r="D4861" t="s">
        <v>4155</v>
      </c>
      <c r="E4861" s="3" t="s">
        <v>3</v>
      </c>
      <c r="F4861" s="4">
        <v>1.17E-89</v>
      </c>
      <c r="G4861" s="3">
        <v>715</v>
      </c>
      <c r="H4861" s="3">
        <v>92</v>
      </c>
      <c r="I4861" s="3">
        <v>147</v>
      </c>
      <c r="J4861" s="3">
        <v>290</v>
      </c>
      <c r="K4861" s="3">
        <v>730</v>
      </c>
      <c r="L4861" s="3">
        <v>151</v>
      </c>
      <c r="M4861" s="3">
        <v>297</v>
      </c>
    </row>
    <row r="4862" spans="1:13" x14ac:dyDescent="0.25">
      <c r="A4862" s="1" t="str">
        <f>HYPERLINK("http://www.rosaceae.org/Prunus/Prunus_persica/p.persica_gdr_reftransV1_0008872","p.persica_gdr_reftransV1_0008872")</f>
        <v>p.persica_gdr_reftransV1_0008872</v>
      </c>
      <c r="B4862" s="3">
        <v>2939</v>
      </c>
      <c r="C4862" s="1" t="str">
        <f>HYPERLINK("http://www.uniprot.org/uniprot/SD31_ARATH","SD31_ARATH")</f>
        <v>SD31_ARATH</v>
      </c>
      <c r="D4862" t="s">
        <v>4211</v>
      </c>
      <c r="E4862" s="3" t="s">
        <v>3</v>
      </c>
      <c r="F4862" s="4">
        <v>0</v>
      </c>
      <c r="G4862" s="3">
        <v>1963</v>
      </c>
      <c r="H4862" s="3">
        <v>54</v>
      </c>
      <c r="I4862" s="3">
        <v>739</v>
      </c>
      <c r="J4862" s="3">
        <v>496</v>
      </c>
      <c r="K4862" s="3">
        <v>2661</v>
      </c>
      <c r="L4862" s="3">
        <v>16</v>
      </c>
      <c r="M4862" s="3">
        <v>746</v>
      </c>
    </row>
    <row r="4863" spans="1:13" x14ac:dyDescent="0.25">
      <c r="A4863" s="1" t="str">
        <f>HYPERLINK("http://www.rosaceae.org/Prunus/Prunus_persica/p.persica_gdr_reftransV1_0008922","p.persica_gdr_reftransV1_0008922")</f>
        <v>p.persica_gdr_reftransV1_0008922</v>
      </c>
      <c r="B4863" s="3">
        <v>980</v>
      </c>
      <c r="C4863" s="1" t="str">
        <f>HYPERLINK("http://www.uniprot.org/uniprot/HST_TOBAC","HST_TOBAC")</f>
        <v>HST_TOBAC</v>
      </c>
      <c r="D4863" t="s">
        <v>3020</v>
      </c>
      <c r="E4863" s="3" t="s">
        <v>200</v>
      </c>
      <c r="F4863" s="4">
        <v>7.8400000000000001E-65</v>
      </c>
      <c r="G4863" s="3">
        <v>486</v>
      </c>
      <c r="H4863" s="3">
        <v>44</v>
      </c>
      <c r="I4863" s="3">
        <v>254</v>
      </c>
      <c r="J4863" s="3">
        <v>252</v>
      </c>
      <c r="K4863" s="3">
        <v>980</v>
      </c>
      <c r="L4863" s="3">
        <v>71</v>
      </c>
      <c r="M4863" s="3">
        <v>313</v>
      </c>
    </row>
    <row r="4864" spans="1:13" x14ac:dyDescent="0.25">
      <c r="A4864" s="1" t="str">
        <f>HYPERLINK("http://www.rosaceae.org/Prunus/Prunus_persica/p.persica_gdr_reftransV1_0008972","p.persica_gdr_reftransV1_0008972")</f>
        <v>p.persica_gdr_reftransV1_0008972</v>
      </c>
      <c r="B4864" s="3">
        <v>1776</v>
      </c>
      <c r="C4864" s="1" t="str">
        <f>HYPERLINK("http://www.uniprot.org/uniprot/DRL4_ARATH","DRL4_ARATH")</f>
        <v>DRL4_ARATH</v>
      </c>
      <c r="D4864" t="s">
        <v>2765</v>
      </c>
      <c r="E4864" s="3" t="s">
        <v>3</v>
      </c>
      <c r="F4864" s="4">
        <v>4.4700000000000003E-140</v>
      </c>
      <c r="G4864" s="3">
        <v>1117</v>
      </c>
      <c r="H4864" s="3">
        <v>43</v>
      </c>
      <c r="I4864" s="3">
        <v>539</v>
      </c>
      <c r="J4864" s="3">
        <v>166</v>
      </c>
      <c r="K4864" s="3">
        <v>1776</v>
      </c>
      <c r="L4864" s="3">
        <v>1</v>
      </c>
      <c r="M4864" s="3">
        <v>530</v>
      </c>
    </row>
    <row r="4865" spans="1:13" x14ac:dyDescent="0.25">
      <c r="A4865" s="1" t="str">
        <f>HYPERLINK("http://www.rosaceae.org/Prunus/Prunus_persica/p.persica_gdr_reftransV1_0009022","p.persica_gdr_reftransV1_0009022")</f>
        <v>p.persica_gdr_reftransV1_0009022</v>
      </c>
      <c r="B4865" s="3">
        <v>1425</v>
      </c>
      <c r="C4865" s="1" t="str">
        <f>HYPERLINK("http://www.uniprot.org/uniprot/SBT4E_ARATH","SBT4E_ARATH")</f>
        <v>SBT4E_ARATH</v>
      </c>
      <c r="D4865" t="s">
        <v>4212</v>
      </c>
      <c r="E4865" s="3" t="s">
        <v>3</v>
      </c>
      <c r="F4865" s="4">
        <v>5.9400000000000004E-173</v>
      </c>
      <c r="G4865" s="3">
        <v>1317</v>
      </c>
      <c r="H4865" s="3">
        <v>63</v>
      </c>
      <c r="I4865" s="3">
        <v>394</v>
      </c>
      <c r="J4865" s="3">
        <v>242</v>
      </c>
      <c r="K4865" s="3">
        <v>1423</v>
      </c>
      <c r="L4865" s="3">
        <v>354</v>
      </c>
      <c r="M4865" s="3">
        <v>746</v>
      </c>
    </row>
    <row r="4866" spans="1:13" x14ac:dyDescent="0.25">
      <c r="A4866" s="1" t="str">
        <f>HYPERLINK("http://www.rosaceae.org/Prunus/Prunus_persica/p.persica_gdr_reftransV1_0009172","p.persica_gdr_reftransV1_0009172")</f>
        <v>p.persica_gdr_reftransV1_0009172</v>
      </c>
      <c r="B4866" s="3">
        <v>1692</v>
      </c>
      <c r="C4866" s="1" t="str">
        <f>HYPERLINK("http://www.uniprot.org/uniprot/CEMA_RHDSA","CEMA_RHDSA")</f>
        <v>CEMA_RHDSA</v>
      </c>
      <c r="D4866" t="s">
        <v>4213</v>
      </c>
      <c r="E4866" s="3" t="s">
        <v>4214</v>
      </c>
      <c r="F4866" s="4">
        <v>1.29E-40</v>
      </c>
      <c r="G4866" s="3">
        <v>386</v>
      </c>
      <c r="H4866" s="3">
        <v>35</v>
      </c>
      <c r="I4866" s="3">
        <v>238</v>
      </c>
      <c r="J4866" s="3">
        <v>649</v>
      </c>
      <c r="K4866" s="3">
        <v>1353</v>
      </c>
      <c r="L4866" s="3">
        <v>46</v>
      </c>
      <c r="M4866" s="3">
        <v>277</v>
      </c>
    </row>
    <row r="4867" spans="1:13" x14ac:dyDescent="0.25">
      <c r="A4867" s="1" t="str">
        <f>HYPERLINK("http://www.rosaceae.org/Prunus/Prunus_persica/p.persica_gdr_reftransV1_0009672","p.persica_gdr_reftransV1_0009672")</f>
        <v>p.persica_gdr_reftransV1_0009672</v>
      </c>
      <c r="B4867" s="3">
        <v>580</v>
      </c>
      <c r="C4867" s="1" t="str">
        <f>HYPERLINK("http://www.uniprot.org/uniprot/PP228_ARATH","PP228_ARATH")</f>
        <v>PP228_ARATH</v>
      </c>
      <c r="D4867" t="s">
        <v>4215</v>
      </c>
      <c r="E4867" s="3" t="s">
        <v>3</v>
      </c>
      <c r="F4867" s="4">
        <v>6.3399999999999998E-53</v>
      </c>
      <c r="G4867" s="3">
        <v>468</v>
      </c>
      <c r="H4867" s="3">
        <v>55</v>
      </c>
      <c r="I4867" s="3">
        <v>194</v>
      </c>
      <c r="J4867" s="3">
        <v>2</v>
      </c>
      <c r="K4867" s="3">
        <v>574</v>
      </c>
      <c r="L4867" s="3">
        <v>166</v>
      </c>
      <c r="M4867" s="3">
        <v>357</v>
      </c>
    </row>
    <row r="4868" spans="1:13" x14ac:dyDescent="0.25">
      <c r="A4868" s="1" t="str">
        <f>HYPERLINK("http://www.rosaceae.org/Prunus/Prunus_persica/p.persica_gdr_reftransV1_0009722","p.persica_gdr_reftransV1_0009722")</f>
        <v>p.persica_gdr_reftransV1_0009722</v>
      </c>
      <c r="B4868" s="3">
        <v>3440</v>
      </c>
      <c r="C4868" s="1" t="str">
        <f>HYPERLINK("http://www.uniprot.org/uniprot/HBS1L_BOVIN","HBS1L_BOVIN")</f>
        <v>HBS1L_BOVIN</v>
      </c>
      <c r="D4868" t="s">
        <v>4216</v>
      </c>
      <c r="E4868" s="3" t="s">
        <v>184</v>
      </c>
      <c r="F4868" s="4">
        <v>4.4800000000000004E-81</v>
      </c>
      <c r="G4868" s="3">
        <v>728</v>
      </c>
      <c r="H4868" s="3">
        <v>51</v>
      </c>
      <c r="I4868" s="3">
        <v>259</v>
      </c>
      <c r="J4868" s="3">
        <v>1522</v>
      </c>
      <c r="K4868" s="3">
        <v>2298</v>
      </c>
      <c r="L4868" s="3">
        <v>263</v>
      </c>
      <c r="M4868" s="3">
        <v>519</v>
      </c>
    </row>
    <row r="4869" spans="1:13" x14ac:dyDescent="0.25">
      <c r="A4869" s="1" t="str">
        <f>HYPERLINK("http://www.rosaceae.org/Prunus/Prunus_persica/p.persica_gdr_reftransV1_0009822","p.persica_gdr_reftransV1_0009822")</f>
        <v>p.persica_gdr_reftransV1_0009822</v>
      </c>
      <c r="B4869" s="3">
        <v>3168</v>
      </c>
      <c r="C4869" s="1" t="str">
        <f>HYPERLINK("http://www.uniprot.org/uniprot/PP434_ARATH","PP434_ARATH")</f>
        <v>PP434_ARATH</v>
      </c>
      <c r="D4869" t="s">
        <v>4217</v>
      </c>
      <c r="E4869" s="3" t="s">
        <v>3</v>
      </c>
      <c r="F4869" s="4">
        <v>4.11E-123</v>
      </c>
      <c r="G4869" s="3">
        <v>1046</v>
      </c>
      <c r="H4869" s="3">
        <v>38</v>
      </c>
      <c r="I4869" s="3">
        <v>663</v>
      </c>
      <c r="J4869" s="3">
        <v>1</v>
      </c>
      <c r="K4869" s="3">
        <v>1944</v>
      </c>
      <c r="L4869" s="3">
        <v>427</v>
      </c>
      <c r="M4869" s="3">
        <v>971</v>
      </c>
    </row>
    <row r="4870" spans="1:13" x14ac:dyDescent="0.25">
      <c r="A4870" s="1" t="str">
        <f>HYPERLINK("http://www.rosaceae.org/Prunus/Prunus_persica/p.persica_gdr_reftransV1_0009922","p.persica_gdr_reftransV1_0009922")</f>
        <v>p.persica_gdr_reftransV1_0009922</v>
      </c>
      <c r="B4870" s="3">
        <v>2225</v>
      </c>
      <c r="C4870" s="1" t="str">
        <f>HYPERLINK("http://www.uniprot.org/uniprot/SNF12_ARATH","SNF12_ARATH")</f>
        <v>SNF12_ARATH</v>
      </c>
      <c r="D4870" t="s">
        <v>2602</v>
      </c>
      <c r="E4870" s="3" t="s">
        <v>3</v>
      </c>
      <c r="F4870" s="4">
        <v>0</v>
      </c>
      <c r="G4870" s="3">
        <v>1675</v>
      </c>
      <c r="H4870" s="3">
        <v>69</v>
      </c>
      <c r="I4870" s="3">
        <v>441</v>
      </c>
      <c r="J4870" s="3">
        <v>661</v>
      </c>
      <c r="K4870" s="3">
        <v>1968</v>
      </c>
      <c r="L4870" s="3">
        <v>93</v>
      </c>
      <c r="M4870" s="3">
        <v>533</v>
      </c>
    </row>
    <row r="4871" spans="1:13" x14ac:dyDescent="0.25">
      <c r="A4871" s="1" t="str">
        <f>HYPERLINK("http://www.rosaceae.org/Prunus/Prunus_persica/p.persica_gdr_reftransV1_0010072","p.persica_gdr_reftransV1_0010072")</f>
        <v>p.persica_gdr_reftransV1_0010072</v>
      </c>
      <c r="B4871" s="3">
        <v>2330</v>
      </c>
      <c r="C4871" s="1" t="str">
        <f>HYPERLINK("http://www.uniprot.org/uniprot/IF4G1_ORYSJ","IF4G1_ORYSJ")</f>
        <v>IF4G1_ORYSJ</v>
      </c>
      <c r="D4871" t="s">
        <v>4218</v>
      </c>
      <c r="E4871" s="3" t="s">
        <v>38</v>
      </c>
      <c r="F4871" s="4">
        <v>0</v>
      </c>
      <c r="G4871" s="3">
        <v>1290</v>
      </c>
      <c r="H4871" s="3">
        <v>70</v>
      </c>
      <c r="I4871" s="3">
        <v>393</v>
      </c>
      <c r="J4871" s="3">
        <v>1183</v>
      </c>
      <c r="K4871" s="3">
        <v>2328</v>
      </c>
      <c r="L4871" s="3">
        <v>237</v>
      </c>
      <c r="M4871" s="3">
        <v>621</v>
      </c>
    </row>
    <row r="4872" spans="1:13" x14ac:dyDescent="0.25">
      <c r="A4872" s="1" t="str">
        <f>HYPERLINK("http://www.rosaceae.org/Prunus/Prunus_persica/p.persica_gdr_reftransV1_0010122","p.persica_gdr_reftransV1_0010122")</f>
        <v>p.persica_gdr_reftransV1_0010122</v>
      </c>
      <c r="B4872" s="3">
        <v>531</v>
      </c>
      <c r="C4872" s="1" t="str">
        <f>HYPERLINK("http://www.uniprot.org/uniprot/TLPH_ARATH","TLPH_ARATH")</f>
        <v>TLPH_ARATH</v>
      </c>
      <c r="D4872" t="s">
        <v>790</v>
      </c>
      <c r="E4872" s="3" t="s">
        <v>3</v>
      </c>
      <c r="F4872" s="4">
        <v>1.1000000000000001E-25</v>
      </c>
      <c r="G4872" s="3">
        <v>258</v>
      </c>
      <c r="H4872" s="3">
        <v>46</v>
      </c>
      <c r="I4872" s="3">
        <v>114</v>
      </c>
      <c r="J4872" s="3">
        <v>190</v>
      </c>
      <c r="K4872" s="3">
        <v>531</v>
      </c>
      <c r="L4872" s="3">
        <v>17</v>
      </c>
      <c r="M4872" s="3">
        <v>125</v>
      </c>
    </row>
    <row r="4873" spans="1:13" x14ac:dyDescent="0.25">
      <c r="A4873" s="1" t="str">
        <f>HYPERLINK("http://www.rosaceae.org/Prunus/Prunus_persica/p.persica_gdr_reftransV1_0010222","p.persica_gdr_reftransV1_0010222")</f>
        <v>p.persica_gdr_reftransV1_0010222</v>
      </c>
      <c r="B4873" s="3">
        <v>953</v>
      </c>
      <c r="C4873" s="1" t="str">
        <f>HYPERLINK("http://www.uniprot.org/uniprot/PLA2A_ARATH","PLA2A_ARATH")</f>
        <v>PLA2A_ARATH</v>
      </c>
      <c r="D4873" t="s">
        <v>4219</v>
      </c>
      <c r="E4873" s="3" t="s">
        <v>3</v>
      </c>
      <c r="F4873" s="4">
        <v>1.28E-67</v>
      </c>
      <c r="G4873" s="3">
        <v>546</v>
      </c>
      <c r="H4873" s="3">
        <v>67</v>
      </c>
      <c r="I4873" s="3">
        <v>146</v>
      </c>
      <c r="J4873" s="3">
        <v>169</v>
      </c>
      <c r="K4873" s="3">
        <v>606</v>
      </c>
      <c r="L4873" s="3">
        <v>5</v>
      </c>
      <c r="M4873" s="3">
        <v>148</v>
      </c>
    </row>
    <row r="4874" spans="1:13" x14ac:dyDescent="0.25">
      <c r="A4874" s="1" t="str">
        <f>HYPERLINK("http://www.rosaceae.org/Prunus/Prunus_persica/p.persica_gdr_reftransV1_0010522","p.persica_gdr_reftransV1_0010522")</f>
        <v>p.persica_gdr_reftransV1_0010522</v>
      </c>
      <c r="B4874" s="3">
        <v>2110</v>
      </c>
      <c r="C4874" s="1" t="str">
        <f>HYPERLINK("http://www.uniprot.org/uniprot/RCD1_ARATH","RCD1_ARATH")</f>
        <v>RCD1_ARATH</v>
      </c>
      <c r="D4874" t="s">
        <v>4220</v>
      </c>
      <c r="E4874" s="3" t="s">
        <v>3</v>
      </c>
      <c r="F4874" s="4">
        <v>2.54E-50</v>
      </c>
      <c r="G4874" s="3">
        <v>481</v>
      </c>
      <c r="H4874" s="3">
        <v>27</v>
      </c>
      <c r="I4874" s="3">
        <v>493</v>
      </c>
      <c r="J4874" s="3">
        <v>378</v>
      </c>
      <c r="K4874" s="3">
        <v>1607</v>
      </c>
      <c r="L4874" s="3">
        <v>77</v>
      </c>
      <c r="M4874" s="3">
        <v>567</v>
      </c>
    </row>
    <row r="4875" spans="1:13" x14ac:dyDescent="0.25">
      <c r="A4875" s="1" t="str">
        <f>HYPERLINK("http://www.rosaceae.org/Prunus/Prunus_persica/p.persica_gdr_reftransV1_0010622","p.persica_gdr_reftransV1_0010622")</f>
        <v>p.persica_gdr_reftransV1_0010622</v>
      </c>
      <c r="B4875" s="3">
        <v>2138</v>
      </c>
      <c r="C4875" s="1" t="str">
        <f>HYPERLINK("http://www.uniprot.org/uniprot/GMK2_ARATH","GMK2_ARATH")</f>
        <v>GMK2_ARATH</v>
      </c>
      <c r="D4875" t="s">
        <v>4221</v>
      </c>
      <c r="E4875" s="3" t="s">
        <v>3</v>
      </c>
      <c r="F4875" s="4">
        <v>3.3100000000000002E-175</v>
      </c>
      <c r="G4875" s="3">
        <v>1322</v>
      </c>
      <c r="H4875" s="3">
        <v>58</v>
      </c>
      <c r="I4875" s="3">
        <v>455</v>
      </c>
      <c r="J4875" s="3">
        <v>249</v>
      </c>
      <c r="K4875" s="3">
        <v>1601</v>
      </c>
      <c r="L4875" s="3">
        <v>1</v>
      </c>
      <c r="M4875" s="3">
        <v>388</v>
      </c>
    </row>
    <row r="4876" spans="1:13" x14ac:dyDescent="0.25">
      <c r="A4876" s="1" t="str">
        <f>HYPERLINK("http://www.rosaceae.org/Prunus/Prunus_persica/p.persica_gdr_reftransV1_0010672","p.persica_gdr_reftransV1_0010672")</f>
        <v>p.persica_gdr_reftransV1_0010672</v>
      </c>
      <c r="B4876" s="3">
        <v>1609</v>
      </c>
      <c r="C4876" s="1" t="str">
        <f>HYPERLINK("http://www.uniprot.org/uniprot/IPYR4_ARATH","IPYR4_ARATH")</f>
        <v>IPYR4_ARATH</v>
      </c>
      <c r="D4876" t="s">
        <v>3609</v>
      </c>
      <c r="E4876" s="3" t="s">
        <v>3</v>
      </c>
      <c r="F4876" s="4">
        <v>1.79E-112</v>
      </c>
      <c r="G4876" s="3">
        <v>871</v>
      </c>
      <c r="H4876" s="3">
        <v>75</v>
      </c>
      <c r="I4876" s="3">
        <v>223</v>
      </c>
      <c r="J4876" s="3">
        <v>872</v>
      </c>
      <c r="K4876" s="3">
        <v>1540</v>
      </c>
      <c r="L4876" s="3">
        <v>20</v>
      </c>
      <c r="M4876" s="3">
        <v>216</v>
      </c>
    </row>
    <row r="4877" spans="1:13" x14ac:dyDescent="0.25">
      <c r="A4877" s="1" t="str">
        <f>HYPERLINK("http://www.rosaceae.org/Prunus/Prunus_persica/p.persica_gdr_reftransV1_0010722","p.persica_gdr_reftransV1_0010722")</f>
        <v>p.persica_gdr_reftransV1_0010722</v>
      </c>
      <c r="B4877" s="3">
        <v>1950</v>
      </c>
      <c r="C4877" s="1" t="str">
        <f>HYPERLINK("http://www.uniprot.org/uniprot/UFOG5_MANES","UFOG5_MANES")</f>
        <v>UFOG5_MANES</v>
      </c>
      <c r="D4877" t="s">
        <v>4222</v>
      </c>
      <c r="E4877" s="3" t="s">
        <v>1797</v>
      </c>
      <c r="F4877" s="4">
        <v>1.06E-166</v>
      </c>
      <c r="G4877" s="3">
        <v>1269</v>
      </c>
      <c r="H4877" s="3">
        <v>57</v>
      </c>
      <c r="I4877" s="3">
        <v>475</v>
      </c>
      <c r="J4877" s="3">
        <v>281</v>
      </c>
      <c r="K4877" s="3">
        <v>1702</v>
      </c>
      <c r="L4877" s="3">
        <v>7</v>
      </c>
      <c r="M4877" s="3">
        <v>474</v>
      </c>
    </row>
    <row r="4878" spans="1:13" x14ac:dyDescent="0.25">
      <c r="A4878" s="1" t="str">
        <f>HYPERLINK("http://www.rosaceae.org/Prunus/Prunus_persica/p.persica_gdr_reftransV1_0010822","p.persica_gdr_reftransV1_0010822")</f>
        <v>p.persica_gdr_reftransV1_0010822</v>
      </c>
      <c r="B4878" s="3">
        <v>967</v>
      </c>
      <c r="C4878" s="1" t="str">
        <f>HYPERLINK("http://www.uniprot.org/uniprot/MSH7_ARATH","MSH7_ARATH")</f>
        <v>MSH7_ARATH</v>
      </c>
      <c r="D4878" t="s">
        <v>3659</v>
      </c>
      <c r="E4878" s="3" t="s">
        <v>3</v>
      </c>
      <c r="F4878" s="4">
        <v>6.2400000000000003E-152</v>
      </c>
      <c r="G4878" s="3">
        <v>1187</v>
      </c>
      <c r="H4878" s="3">
        <v>71</v>
      </c>
      <c r="I4878" s="3">
        <v>319</v>
      </c>
      <c r="J4878" s="3">
        <v>11</v>
      </c>
      <c r="K4878" s="3">
        <v>964</v>
      </c>
      <c r="L4878" s="3">
        <v>162</v>
      </c>
      <c r="M4878" s="3">
        <v>476</v>
      </c>
    </row>
    <row r="4879" spans="1:13" x14ac:dyDescent="0.25">
      <c r="A4879" s="1" t="str">
        <f>HYPERLINK("http://www.rosaceae.org/Prunus/Prunus_persica/p.persica_gdr_reftransV1_0010872","p.persica_gdr_reftransV1_0010872")</f>
        <v>p.persica_gdr_reftransV1_0010872</v>
      </c>
      <c r="B4879" s="3">
        <v>1839</v>
      </c>
      <c r="C4879" s="1" t="str">
        <f>HYPERLINK("http://www.uniprot.org/uniprot/WTR35_ARATH","WTR35_ARATH")</f>
        <v>WTR35_ARATH</v>
      </c>
      <c r="D4879" t="s">
        <v>4223</v>
      </c>
      <c r="E4879" s="3" t="s">
        <v>3</v>
      </c>
      <c r="F4879" s="4">
        <v>5.2499999999999997E-180</v>
      </c>
      <c r="G4879" s="3">
        <v>1345</v>
      </c>
      <c r="H4879" s="3">
        <v>73</v>
      </c>
      <c r="I4879" s="3">
        <v>387</v>
      </c>
      <c r="J4879" s="3">
        <v>272</v>
      </c>
      <c r="K4879" s="3">
        <v>1423</v>
      </c>
      <c r="L4879" s="3">
        <v>17</v>
      </c>
      <c r="M4879" s="3">
        <v>398</v>
      </c>
    </row>
    <row r="4880" spans="1:13" x14ac:dyDescent="0.25">
      <c r="A4880" s="1" t="str">
        <f>HYPERLINK("http://www.rosaceae.org/Prunus/Prunus_persica/p.persica_gdr_reftransV1_0011022","p.persica_gdr_reftransV1_0011022")</f>
        <v>p.persica_gdr_reftransV1_0011022</v>
      </c>
      <c r="B4880" s="3">
        <v>1945</v>
      </c>
      <c r="C4880" s="1" t="str">
        <f>HYPERLINK("http://www.uniprot.org/uniprot/ERG24_ARATH","ERG24_ARATH")</f>
        <v>ERG24_ARATH</v>
      </c>
      <c r="D4880" t="s">
        <v>2132</v>
      </c>
      <c r="E4880" s="3" t="s">
        <v>3</v>
      </c>
      <c r="F4880" s="4">
        <v>5.2599999999999998E-150</v>
      </c>
      <c r="G4880" s="3">
        <v>1146</v>
      </c>
      <c r="H4880" s="3">
        <v>85</v>
      </c>
      <c r="I4880" s="3">
        <v>290</v>
      </c>
      <c r="J4880" s="3">
        <v>280</v>
      </c>
      <c r="K4880" s="3">
        <v>1149</v>
      </c>
      <c r="L4880" s="3">
        <v>80</v>
      </c>
      <c r="M4880" s="3">
        <v>369</v>
      </c>
    </row>
    <row r="4881" spans="1:13" x14ac:dyDescent="0.25">
      <c r="A4881" s="1" t="str">
        <f>HYPERLINK("http://www.rosaceae.org/Prunus/Prunus_persica/p.persica_gdr_reftransV1_0011172","p.persica_gdr_reftransV1_0011172")</f>
        <v>p.persica_gdr_reftransV1_0011172</v>
      </c>
      <c r="B4881" s="3">
        <v>954</v>
      </c>
      <c r="C4881" s="1" t="str">
        <f>HYPERLINK("http://www.uniprot.org/uniprot/RNS3_ARATH","RNS3_ARATH")</f>
        <v>RNS3_ARATH</v>
      </c>
      <c r="D4881" t="s">
        <v>4224</v>
      </c>
      <c r="E4881" s="3" t="s">
        <v>3</v>
      </c>
      <c r="F4881" s="4">
        <v>6.4600000000000005E-110</v>
      </c>
      <c r="G4881" s="3">
        <v>834</v>
      </c>
      <c r="H4881" s="3">
        <v>65</v>
      </c>
      <c r="I4881" s="3">
        <v>220</v>
      </c>
      <c r="J4881" s="3">
        <v>162</v>
      </c>
      <c r="K4881" s="3">
        <v>821</v>
      </c>
      <c r="L4881" s="3">
        <v>3</v>
      </c>
      <c r="M4881" s="3">
        <v>222</v>
      </c>
    </row>
    <row r="4882" spans="1:13" x14ac:dyDescent="0.25">
      <c r="A4882" s="1" t="str">
        <f>HYPERLINK("http://www.rosaceae.org/Prunus/Prunus_persica/p.persica_gdr_reftransV1_0011222","p.persica_gdr_reftransV1_0011222")</f>
        <v>p.persica_gdr_reftransV1_0011222</v>
      </c>
      <c r="B4882" s="3">
        <v>1014</v>
      </c>
      <c r="C4882" s="1" t="str">
        <f>HYPERLINK("http://www.uniprot.org/uniprot/E131_ARATH","E131_ARATH")</f>
        <v>E131_ARATH</v>
      </c>
      <c r="D4882" t="s">
        <v>4122</v>
      </c>
      <c r="E4882" s="3" t="s">
        <v>3</v>
      </c>
      <c r="F4882" s="4">
        <v>3.0800000000000001E-24</v>
      </c>
      <c r="G4882" s="3">
        <v>265</v>
      </c>
      <c r="H4882" s="3">
        <v>57</v>
      </c>
      <c r="I4882" s="3">
        <v>86</v>
      </c>
      <c r="J4882" s="3">
        <v>442</v>
      </c>
      <c r="K4882" s="3">
        <v>696</v>
      </c>
      <c r="L4882" s="3">
        <v>381</v>
      </c>
      <c r="M4882" s="3">
        <v>466</v>
      </c>
    </row>
    <row r="4883" spans="1:13" x14ac:dyDescent="0.25">
      <c r="A4883" s="1" t="str">
        <f>HYPERLINK("http://www.rosaceae.org/Prunus/Prunus_persica/p.persica_gdr_reftransV1_0011372","p.persica_gdr_reftransV1_0011372")</f>
        <v>p.persica_gdr_reftransV1_0011372</v>
      </c>
      <c r="B4883" s="3">
        <v>696</v>
      </c>
      <c r="C4883" s="1" t="str">
        <f>HYPERLINK("http://www.uniprot.org/uniprot/RS12_HORVU","RS12_HORVU")</f>
        <v>RS12_HORVU</v>
      </c>
      <c r="D4883" t="s">
        <v>823</v>
      </c>
      <c r="E4883" s="3" t="s">
        <v>769</v>
      </c>
      <c r="F4883" s="4">
        <v>2.03E-40</v>
      </c>
      <c r="G4883" s="3">
        <v>356</v>
      </c>
      <c r="H4883" s="3">
        <v>79</v>
      </c>
      <c r="I4883" s="3">
        <v>84</v>
      </c>
      <c r="J4883" s="3">
        <v>277</v>
      </c>
      <c r="K4883" s="3">
        <v>528</v>
      </c>
      <c r="L4883" s="3">
        <v>20</v>
      </c>
      <c r="M4883" s="3">
        <v>103</v>
      </c>
    </row>
    <row r="4884" spans="1:13" x14ac:dyDescent="0.25">
      <c r="A4884" s="1" t="str">
        <f>HYPERLINK("http://www.rosaceae.org/Prunus/Prunus_persica/p.persica_gdr_reftransV1_0011422","p.persica_gdr_reftransV1_0011422")</f>
        <v>p.persica_gdr_reftransV1_0011422</v>
      </c>
      <c r="B4884" s="3">
        <v>1694</v>
      </c>
      <c r="C4884" s="1" t="str">
        <f>HYPERLINK("http://www.uniprot.org/uniprot/ZED1_ARATH","ZED1_ARATH")</f>
        <v>ZED1_ARATH</v>
      </c>
      <c r="D4884" t="s">
        <v>195</v>
      </c>
      <c r="E4884" s="3" t="s">
        <v>3</v>
      </c>
      <c r="F4884" s="4">
        <v>1.68E-73</v>
      </c>
      <c r="G4884" s="3">
        <v>622</v>
      </c>
      <c r="H4884" s="3">
        <v>44</v>
      </c>
      <c r="I4884" s="3">
        <v>325</v>
      </c>
      <c r="J4884" s="3">
        <v>601</v>
      </c>
      <c r="K4884" s="3">
        <v>1542</v>
      </c>
      <c r="L4884" s="3">
        <v>13</v>
      </c>
      <c r="M4884" s="3">
        <v>332</v>
      </c>
    </row>
    <row r="4885" spans="1:13" x14ac:dyDescent="0.25">
      <c r="A4885" s="1" t="str">
        <f>HYPERLINK("http://www.rosaceae.org/Prunus/Prunus_persica/p.persica_gdr_reftransV1_0011672","p.persica_gdr_reftransV1_0011672")</f>
        <v>p.persica_gdr_reftransV1_0011672</v>
      </c>
      <c r="B4885" s="3">
        <v>522</v>
      </c>
      <c r="C4885" s="1" t="str">
        <f>HYPERLINK("http://www.uniprot.org/uniprot/5BPOR_DIGLA","5BPOR_DIGLA")</f>
        <v>5BPOR_DIGLA</v>
      </c>
      <c r="D4885" t="s">
        <v>1647</v>
      </c>
      <c r="E4885" s="3" t="s">
        <v>1648</v>
      </c>
      <c r="F4885" s="4">
        <v>4.8599999999999999E-32</v>
      </c>
      <c r="G4885" s="3">
        <v>308</v>
      </c>
      <c r="H4885" s="3">
        <v>61</v>
      </c>
      <c r="I4885" s="3">
        <v>112</v>
      </c>
      <c r="J4885" s="3">
        <v>1</v>
      </c>
      <c r="K4885" s="3">
        <v>333</v>
      </c>
      <c r="L4885" s="3">
        <v>279</v>
      </c>
      <c r="M4885" s="3">
        <v>389</v>
      </c>
    </row>
    <row r="4886" spans="1:13" x14ac:dyDescent="0.25">
      <c r="A4886" s="1" t="str">
        <f>HYPERLINK("http://www.rosaceae.org/Prunus/Prunus_persica/p.persica_gdr_reftransV1_0011822","p.persica_gdr_reftransV1_0011822")</f>
        <v>p.persica_gdr_reftransV1_0011822</v>
      </c>
      <c r="B4886" s="3">
        <v>1841</v>
      </c>
      <c r="C4886" s="1" t="str">
        <f>HYPERLINK("http://www.uniprot.org/uniprot/AP2L4_ARATH","AP2L4_ARATH")</f>
        <v>AP2L4_ARATH</v>
      </c>
      <c r="D4886" t="s">
        <v>4225</v>
      </c>
      <c r="E4886" s="3" t="s">
        <v>3</v>
      </c>
      <c r="F4886" s="4">
        <v>3.2999999999999999E-153</v>
      </c>
      <c r="G4886" s="3">
        <v>1170</v>
      </c>
      <c r="H4886" s="3">
        <v>65</v>
      </c>
      <c r="I4886" s="3">
        <v>437</v>
      </c>
      <c r="J4886" s="3">
        <v>124</v>
      </c>
      <c r="K4886" s="3">
        <v>1392</v>
      </c>
      <c r="L4886" s="3">
        <v>1</v>
      </c>
      <c r="M4886" s="3">
        <v>425</v>
      </c>
    </row>
    <row r="4887" spans="1:13" x14ac:dyDescent="0.25">
      <c r="A4887" s="1" t="str">
        <f>HYPERLINK("http://www.rosaceae.org/Prunus/Prunus_persica/p.persica_gdr_reftransV1_0011922","p.persica_gdr_reftransV1_0011922")</f>
        <v>p.persica_gdr_reftransV1_0011922</v>
      </c>
      <c r="B4887" s="3">
        <v>976</v>
      </c>
      <c r="C4887" s="1" t="str">
        <f>HYPERLINK("http://www.uniprot.org/uniprot/TRNK1_HUMAN","TRNK1_HUMAN")</f>
        <v>TRNK1_HUMAN</v>
      </c>
      <c r="D4887" t="s">
        <v>4226</v>
      </c>
      <c r="E4887" s="3" t="s">
        <v>28</v>
      </c>
      <c r="F4887" s="4">
        <v>6.2999999999999996E-25</v>
      </c>
      <c r="G4887" s="3">
        <v>276</v>
      </c>
      <c r="H4887" s="3">
        <v>28</v>
      </c>
      <c r="I4887" s="3">
        <v>319</v>
      </c>
      <c r="J4887" s="3">
        <v>26</v>
      </c>
      <c r="K4887" s="3">
        <v>889</v>
      </c>
      <c r="L4887" s="3">
        <v>1145</v>
      </c>
      <c r="M4887" s="3">
        <v>1442</v>
      </c>
    </row>
    <row r="4888" spans="1:13" x14ac:dyDescent="0.25">
      <c r="A4888" s="1" t="str">
        <f>HYPERLINK("http://www.rosaceae.org/Prunus/Prunus_persica/p.persica_gdr_reftransV1_0012072","p.persica_gdr_reftransV1_0012072")</f>
        <v>p.persica_gdr_reftransV1_0012072</v>
      </c>
      <c r="B4888" s="3">
        <v>1908</v>
      </c>
      <c r="C4888" s="1" t="str">
        <f>HYPERLINK("http://www.uniprot.org/uniprot/SAP18_ARATH","SAP18_ARATH")</f>
        <v>SAP18_ARATH</v>
      </c>
      <c r="D4888" t="s">
        <v>4227</v>
      </c>
      <c r="E4888" s="3" t="s">
        <v>3</v>
      </c>
      <c r="F4888" s="4">
        <v>5.89E-44</v>
      </c>
      <c r="G4888" s="3">
        <v>401</v>
      </c>
      <c r="H4888" s="3">
        <v>70</v>
      </c>
      <c r="I4888" s="3">
        <v>111</v>
      </c>
      <c r="J4888" s="3">
        <v>1095</v>
      </c>
      <c r="K4888" s="3">
        <v>1424</v>
      </c>
      <c r="L4888" s="3">
        <v>41</v>
      </c>
      <c r="M4888" s="3">
        <v>151</v>
      </c>
    </row>
    <row r="4889" spans="1:13" x14ac:dyDescent="0.25">
      <c r="A4889" s="1" t="str">
        <f>HYPERLINK("http://www.rosaceae.org/Prunus/Prunus_persica/p.persica_gdr_reftransV1_0012322","p.persica_gdr_reftransV1_0012322")</f>
        <v>p.persica_gdr_reftransV1_0012322</v>
      </c>
      <c r="B4889" s="3">
        <v>1460</v>
      </c>
      <c r="C4889" s="1" t="str">
        <f>HYPERLINK("http://www.uniprot.org/uniprot/GIS2_YEAST","GIS2_YEAST")</f>
        <v>GIS2_YEAST</v>
      </c>
      <c r="D4889" t="s">
        <v>4228</v>
      </c>
      <c r="E4889" s="3" t="s">
        <v>34</v>
      </c>
      <c r="F4889" s="4">
        <v>2.2600000000000001E-20</v>
      </c>
      <c r="G4889" s="3">
        <v>228</v>
      </c>
      <c r="H4889" s="3">
        <v>34</v>
      </c>
      <c r="I4889" s="3">
        <v>149</v>
      </c>
      <c r="J4889" s="3">
        <v>618</v>
      </c>
      <c r="K4889" s="3">
        <v>1031</v>
      </c>
      <c r="L4889" s="3">
        <v>6</v>
      </c>
      <c r="M4889" s="3">
        <v>153</v>
      </c>
    </row>
    <row r="4890" spans="1:13" x14ac:dyDescent="0.25">
      <c r="A4890" s="1" t="str">
        <f>HYPERLINK("http://www.rosaceae.org/Prunus/Prunus_persica/p.persica_gdr_reftransV1_0012372","p.persica_gdr_reftransV1_0012372")</f>
        <v>p.persica_gdr_reftransV1_0012372</v>
      </c>
      <c r="B4890" s="3">
        <v>1699</v>
      </c>
      <c r="C4890" s="1" t="str">
        <f>HYPERLINK("http://www.uniprot.org/uniprot/BRX_ARATH","BRX_ARATH")</f>
        <v>BRX_ARATH</v>
      </c>
      <c r="D4890" t="s">
        <v>4229</v>
      </c>
      <c r="E4890" s="3" t="s">
        <v>3</v>
      </c>
      <c r="F4890" s="4">
        <v>2.1700000000000001E-122</v>
      </c>
      <c r="G4890" s="3">
        <v>952</v>
      </c>
      <c r="H4890" s="3">
        <v>64</v>
      </c>
      <c r="I4890" s="3">
        <v>373</v>
      </c>
      <c r="J4890" s="3">
        <v>151</v>
      </c>
      <c r="K4890" s="3">
        <v>1254</v>
      </c>
      <c r="L4890" s="3">
        <v>1</v>
      </c>
      <c r="M4890" s="3">
        <v>344</v>
      </c>
    </row>
    <row r="4891" spans="1:13" x14ac:dyDescent="0.25">
      <c r="A4891" s="1" t="str">
        <f>HYPERLINK("http://www.rosaceae.org/Prunus/Prunus_persica/p.persica_gdr_reftransV1_0012522","p.persica_gdr_reftransV1_0012522")</f>
        <v>p.persica_gdr_reftransV1_0012522</v>
      </c>
      <c r="B4891" s="3">
        <v>1652</v>
      </c>
      <c r="C4891" s="1" t="str">
        <f>HYPERLINK("http://www.uniprot.org/uniprot/FB238_ARATH","FB238_ARATH")</f>
        <v>FB238_ARATH</v>
      </c>
      <c r="D4891" t="s">
        <v>4230</v>
      </c>
      <c r="E4891" s="3" t="s">
        <v>3</v>
      </c>
      <c r="F4891" s="4">
        <v>7.0100000000000004E-18</v>
      </c>
      <c r="G4891" s="3">
        <v>221</v>
      </c>
      <c r="H4891" s="3">
        <v>27</v>
      </c>
      <c r="I4891" s="3">
        <v>383</v>
      </c>
      <c r="J4891" s="3">
        <v>215</v>
      </c>
      <c r="K4891" s="3">
        <v>1318</v>
      </c>
      <c r="L4891" s="3">
        <v>32</v>
      </c>
      <c r="M4891" s="3">
        <v>385</v>
      </c>
    </row>
    <row r="4892" spans="1:13" x14ac:dyDescent="0.25">
      <c r="A4892" s="1" t="str">
        <f>HYPERLINK("http://www.rosaceae.org/Prunus/Prunus_persica/p.persica_gdr_reftransV1_0012572","p.persica_gdr_reftransV1_0012572")</f>
        <v>p.persica_gdr_reftransV1_0012572</v>
      </c>
      <c r="B4892" s="3">
        <v>2074</v>
      </c>
      <c r="C4892" s="1" t="str">
        <f>HYPERLINK("http://www.uniprot.org/uniprot/DJB13_HUMAN","DJB13_HUMAN")</f>
        <v>DJB13_HUMAN</v>
      </c>
      <c r="D4892" t="s">
        <v>4231</v>
      </c>
      <c r="E4892" s="3" t="s">
        <v>28</v>
      </c>
      <c r="F4892" s="4">
        <v>5.3599999999999998E-39</v>
      </c>
      <c r="G4892" s="3">
        <v>380</v>
      </c>
      <c r="H4892" s="3">
        <v>50</v>
      </c>
      <c r="I4892" s="3">
        <v>138</v>
      </c>
      <c r="J4892" s="3">
        <v>314</v>
      </c>
      <c r="K4892" s="3">
        <v>727</v>
      </c>
      <c r="L4892" s="3">
        <v>177</v>
      </c>
      <c r="M4892" s="3">
        <v>314</v>
      </c>
    </row>
    <row r="4893" spans="1:13" x14ac:dyDescent="0.25">
      <c r="A4893" s="1" t="str">
        <f>HYPERLINK("http://www.rosaceae.org/Prunus/Prunus_persica/p.persica_gdr_reftransV1_0012772","p.persica_gdr_reftransV1_0012772")</f>
        <v>p.persica_gdr_reftransV1_0012772</v>
      </c>
      <c r="B4893" s="3">
        <v>2971</v>
      </c>
      <c r="C4893" s="1" t="str">
        <f>HYPERLINK("http://www.uniprot.org/uniprot/PQQL_HAEIN","PQQL_HAEIN")</f>
        <v>PQQL_HAEIN</v>
      </c>
      <c r="D4893" t="s">
        <v>4232</v>
      </c>
      <c r="E4893" s="3" t="s">
        <v>2553</v>
      </c>
      <c r="F4893" s="4">
        <v>5.0599999999999998E-65</v>
      </c>
      <c r="G4893" s="3">
        <v>613</v>
      </c>
      <c r="H4893" s="3">
        <v>24</v>
      </c>
      <c r="I4893" s="3">
        <v>847</v>
      </c>
      <c r="J4893" s="3">
        <v>250</v>
      </c>
      <c r="K4893" s="3">
        <v>2730</v>
      </c>
      <c r="L4893" s="3">
        <v>33</v>
      </c>
      <c r="M4893" s="3">
        <v>840</v>
      </c>
    </row>
    <row r="4894" spans="1:13" x14ac:dyDescent="0.25">
      <c r="A4894" s="1" t="str">
        <f>HYPERLINK("http://www.rosaceae.org/Prunus/Prunus_persica/p.persica_gdr_reftransV1_0012822","p.persica_gdr_reftransV1_0012822")</f>
        <v>p.persica_gdr_reftransV1_0012822</v>
      </c>
      <c r="B4894" s="3">
        <v>1109</v>
      </c>
      <c r="C4894" s="1" t="str">
        <f>HYPERLINK("http://www.uniprot.org/uniprot/FAP1_ARATH","FAP1_ARATH")</f>
        <v>FAP1_ARATH</v>
      </c>
      <c r="D4894" t="s">
        <v>4233</v>
      </c>
      <c r="E4894" s="3" t="s">
        <v>3</v>
      </c>
      <c r="F4894" s="4">
        <v>1.9100000000000001E-84</v>
      </c>
      <c r="G4894" s="3">
        <v>675</v>
      </c>
      <c r="H4894" s="3">
        <v>61</v>
      </c>
      <c r="I4894" s="3">
        <v>235</v>
      </c>
      <c r="J4894" s="3">
        <v>195</v>
      </c>
      <c r="K4894" s="3">
        <v>896</v>
      </c>
      <c r="L4894" s="3">
        <v>46</v>
      </c>
      <c r="M4894" s="3">
        <v>275</v>
      </c>
    </row>
    <row r="4895" spans="1:13" x14ac:dyDescent="0.25">
      <c r="A4895" s="1" t="str">
        <f>HYPERLINK("http://www.rosaceae.org/Prunus/Prunus_persica/p.persica_gdr_reftransV1_0012922","p.persica_gdr_reftransV1_0012922")</f>
        <v>p.persica_gdr_reftransV1_0012922</v>
      </c>
      <c r="B4895" s="3">
        <v>1309</v>
      </c>
      <c r="C4895" s="1" t="str">
        <f>HYPERLINK("http://www.uniprot.org/uniprot/SODM_CAPAN","SODM_CAPAN")</f>
        <v>SODM_CAPAN</v>
      </c>
      <c r="D4895" t="s">
        <v>4234</v>
      </c>
      <c r="E4895" s="3" t="s">
        <v>588</v>
      </c>
      <c r="F4895" s="4">
        <v>2.0399999999999999E-63</v>
      </c>
      <c r="G4895" s="3">
        <v>535</v>
      </c>
      <c r="H4895" s="3">
        <v>76</v>
      </c>
      <c r="I4895" s="3">
        <v>128</v>
      </c>
      <c r="J4895" s="3">
        <v>170</v>
      </c>
      <c r="K4895" s="3">
        <v>553</v>
      </c>
      <c r="L4895" s="3">
        <v>26</v>
      </c>
      <c r="M4895" s="3">
        <v>153</v>
      </c>
    </row>
    <row r="4896" spans="1:13" x14ac:dyDescent="0.25">
      <c r="A4896" s="1" t="str">
        <f>HYPERLINK("http://www.rosaceae.org/Prunus/Prunus_persica/p.persica_gdr_reftransV1_0013022","p.persica_gdr_reftransV1_0013022")</f>
        <v>p.persica_gdr_reftransV1_0013022</v>
      </c>
      <c r="B4896" s="3">
        <v>2138</v>
      </c>
      <c r="C4896" s="1" t="str">
        <f>HYPERLINK("http://www.uniprot.org/uniprot/TGD1_ARATH","TGD1_ARATH")</f>
        <v>TGD1_ARATH</v>
      </c>
      <c r="D4896" t="s">
        <v>4235</v>
      </c>
      <c r="E4896" s="3" t="s">
        <v>3</v>
      </c>
      <c r="F4896" s="4">
        <v>2.13E-164</v>
      </c>
      <c r="G4896" s="3">
        <v>1246</v>
      </c>
      <c r="H4896" s="3">
        <v>69</v>
      </c>
      <c r="I4896" s="3">
        <v>353</v>
      </c>
      <c r="J4896" s="3">
        <v>296</v>
      </c>
      <c r="K4896" s="3">
        <v>1348</v>
      </c>
      <c r="L4896" s="3">
        <v>2</v>
      </c>
      <c r="M4896" s="3">
        <v>348</v>
      </c>
    </row>
    <row r="4897" spans="1:13" x14ac:dyDescent="0.25">
      <c r="A4897" s="1" t="str">
        <f>HYPERLINK("http://www.rosaceae.org/Prunus/Prunus_persica/p.persica_gdr_reftransV1_0013072","p.persica_gdr_reftransV1_0013072")</f>
        <v>p.persica_gdr_reftransV1_0013072</v>
      </c>
      <c r="B4897" s="3">
        <v>865</v>
      </c>
      <c r="C4897" s="1" t="str">
        <f>HYPERLINK("http://www.uniprot.org/uniprot/BL1S1_ARATH","BL1S1_ARATH")</f>
        <v>BL1S1_ARATH</v>
      </c>
      <c r="D4897" t="s">
        <v>4236</v>
      </c>
      <c r="E4897" s="3" t="s">
        <v>3</v>
      </c>
      <c r="F4897" s="4">
        <v>4.26E-43</v>
      </c>
      <c r="G4897" s="3">
        <v>379</v>
      </c>
      <c r="H4897" s="3">
        <v>68</v>
      </c>
      <c r="I4897" s="3">
        <v>114</v>
      </c>
      <c r="J4897" s="3">
        <v>365</v>
      </c>
      <c r="K4897" s="3">
        <v>706</v>
      </c>
      <c r="L4897" s="3">
        <v>36</v>
      </c>
      <c r="M4897" s="3">
        <v>149</v>
      </c>
    </row>
    <row r="4898" spans="1:13" x14ac:dyDescent="0.25">
      <c r="A4898" s="1" t="str">
        <f>HYPERLINK("http://www.rosaceae.org/Prunus/Prunus_persica/p.persica_gdr_reftransV1_0013772","p.persica_gdr_reftransV1_0013772")</f>
        <v>p.persica_gdr_reftransV1_0013772</v>
      </c>
      <c r="B4898" s="3">
        <v>1973</v>
      </c>
      <c r="C4898" s="1" t="str">
        <f>HYPERLINK("http://www.uniprot.org/uniprot/BCS1_SCHPO","BCS1_SCHPO")</f>
        <v>BCS1_SCHPO</v>
      </c>
      <c r="D4898" t="s">
        <v>779</v>
      </c>
      <c r="E4898" s="3" t="s">
        <v>464</v>
      </c>
      <c r="F4898" s="4">
        <v>4.7399999999999999E-27</v>
      </c>
      <c r="G4898" s="3">
        <v>295</v>
      </c>
      <c r="H4898" s="3">
        <v>35</v>
      </c>
      <c r="I4898" s="3">
        <v>220</v>
      </c>
      <c r="J4898" s="3">
        <v>672</v>
      </c>
      <c r="K4898" s="3">
        <v>1319</v>
      </c>
      <c r="L4898" s="3">
        <v>197</v>
      </c>
      <c r="M4898" s="3">
        <v>385</v>
      </c>
    </row>
    <row r="4899" spans="1:13" x14ac:dyDescent="0.25">
      <c r="A4899" s="1" t="str">
        <f>HYPERLINK("http://www.rosaceae.org/Prunus/Prunus_persica/p.persica_gdr_reftransV1_0014072","p.persica_gdr_reftransV1_0014072")</f>
        <v>p.persica_gdr_reftransV1_0014072</v>
      </c>
      <c r="B4899" s="3">
        <v>2571</v>
      </c>
      <c r="C4899" s="1" t="str">
        <f>HYPERLINK("http://www.uniprot.org/uniprot/SYGM1_ARATH","SYGM1_ARATH")</f>
        <v>SYGM1_ARATH</v>
      </c>
      <c r="D4899" t="s">
        <v>4237</v>
      </c>
      <c r="E4899" s="3" t="s">
        <v>3</v>
      </c>
      <c r="F4899" s="4">
        <v>0</v>
      </c>
      <c r="G4899" s="3">
        <v>3029</v>
      </c>
      <c r="H4899" s="3">
        <v>78</v>
      </c>
      <c r="I4899" s="3">
        <v>744</v>
      </c>
      <c r="J4899" s="3">
        <v>287</v>
      </c>
      <c r="K4899" s="3">
        <v>2491</v>
      </c>
      <c r="L4899" s="3">
        <v>1</v>
      </c>
      <c r="M4899" s="3">
        <v>729</v>
      </c>
    </row>
    <row r="4900" spans="1:13" x14ac:dyDescent="0.25">
      <c r="A4900" s="1" t="str">
        <f>HYPERLINK("http://www.rosaceae.org/Prunus/Prunus_persica/p.persica_gdr_reftransV1_0014322","p.persica_gdr_reftransV1_0014322")</f>
        <v>p.persica_gdr_reftransV1_0014322</v>
      </c>
      <c r="B4900" s="3">
        <v>1489</v>
      </c>
      <c r="C4900" s="1" t="str">
        <f>HYPERLINK("http://www.uniprot.org/uniprot/PABP8_ARATH","PABP8_ARATH")</f>
        <v>PABP8_ARATH</v>
      </c>
      <c r="D4900" t="s">
        <v>4238</v>
      </c>
      <c r="E4900" s="3" t="s">
        <v>3</v>
      </c>
      <c r="F4900" s="4">
        <v>0</v>
      </c>
      <c r="G4900" s="3">
        <v>1443</v>
      </c>
      <c r="H4900" s="3">
        <v>73</v>
      </c>
      <c r="I4900" s="3">
        <v>443</v>
      </c>
      <c r="J4900" s="3">
        <v>2</v>
      </c>
      <c r="K4900" s="3">
        <v>1297</v>
      </c>
      <c r="L4900" s="3">
        <v>234</v>
      </c>
      <c r="M4900" s="3">
        <v>670</v>
      </c>
    </row>
    <row r="4901" spans="1:13" x14ac:dyDescent="0.25">
      <c r="A4901" s="1" t="str">
        <f>HYPERLINK("http://www.rosaceae.org/Prunus/Prunus_persica/p.persica_gdr_reftransV1_0014472","p.persica_gdr_reftransV1_0014472")</f>
        <v>p.persica_gdr_reftransV1_0014472</v>
      </c>
      <c r="B4901" s="3">
        <v>2785</v>
      </c>
      <c r="C4901" s="1" t="str">
        <f>HYPERLINK("http://www.uniprot.org/uniprot/SRF8_ARATH","SRF8_ARATH")</f>
        <v>SRF8_ARATH</v>
      </c>
      <c r="D4901" t="s">
        <v>4239</v>
      </c>
      <c r="E4901" s="3" t="s">
        <v>3</v>
      </c>
      <c r="F4901" s="4">
        <v>0</v>
      </c>
      <c r="G4901" s="3">
        <v>2547</v>
      </c>
      <c r="H4901" s="3">
        <v>73</v>
      </c>
      <c r="I4901" s="3">
        <v>705</v>
      </c>
      <c r="J4901" s="3">
        <v>97</v>
      </c>
      <c r="K4901" s="3">
        <v>2208</v>
      </c>
      <c r="L4901" s="3">
        <v>8</v>
      </c>
      <c r="M4901" s="3">
        <v>701</v>
      </c>
    </row>
    <row r="4902" spans="1:13" x14ac:dyDescent="0.25">
      <c r="A4902" s="1" t="str">
        <f>HYPERLINK("http://www.rosaceae.org/Prunus/Prunus_persica/p.persica_gdr_reftransV1_0014772","p.persica_gdr_reftransV1_0014772")</f>
        <v>p.persica_gdr_reftransV1_0014772</v>
      </c>
      <c r="B4902" s="3">
        <v>2848</v>
      </c>
      <c r="C4902" s="1" t="str">
        <f>HYPERLINK("http://www.uniprot.org/uniprot/QWRF2_ARATH","QWRF2_ARATH")</f>
        <v>QWRF2_ARATH</v>
      </c>
      <c r="D4902" t="s">
        <v>4240</v>
      </c>
      <c r="E4902" s="3" t="s">
        <v>3</v>
      </c>
      <c r="F4902" s="4">
        <v>2.2500000000000001E-150</v>
      </c>
      <c r="G4902" s="3">
        <v>1201</v>
      </c>
      <c r="H4902" s="3">
        <v>52</v>
      </c>
      <c r="I4902" s="3">
        <v>605</v>
      </c>
      <c r="J4902" s="3">
        <v>544</v>
      </c>
      <c r="K4902" s="3">
        <v>2244</v>
      </c>
      <c r="L4902" s="3">
        <v>84</v>
      </c>
      <c r="M4902" s="3">
        <v>659</v>
      </c>
    </row>
    <row r="4903" spans="1:13" x14ac:dyDescent="0.25">
      <c r="A4903" s="1" t="str">
        <f>HYPERLINK("http://www.rosaceae.org/Prunus/Prunus_persica/p.persica_gdr_reftransV1_0014922","p.persica_gdr_reftransV1_0014922")</f>
        <v>p.persica_gdr_reftransV1_0014922</v>
      </c>
      <c r="B4903" s="3">
        <v>1204</v>
      </c>
      <c r="C4903" s="1" t="str">
        <f>HYPERLINK("http://www.uniprot.org/uniprot/LOR6_ARATH","LOR6_ARATH")</f>
        <v>LOR6_ARATH</v>
      </c>
      <c r="D4903" t="s">
        <v>4241</v>
      </c>
      <c r="E4903" s="3" t="s">
        <v>3</v>
      </c>
      <c r="F4903" s="4">
        <v>4.9999999999999996E-72</v>
      </c>
      <c r="G4903" s="3">
        <v>587</v>
      </c>
      <c r="H4903" s="3">
        <v>57</v>
      </c>
      <c r="I4903" s="3">
        <v>200</v>
      </c>
      <c r="J4903" s="3">
        <v>422</v>
      </c>
      <c r="K4903" s="3">
        <v>1018</v>
      </c>
      <c r="L4903" s="3">
        <v>1</v>
      </c>
      <c r="M4903" s="3">
        <v>191</v>
      </c>
    </row>
    <row r="4904" spans="1:13" x14ac:dyDescent="0.25">
      <c r="A4904" s="1" t="str">
        <f>HYPERLINK("http://www.rosaceae.org/Prunus/Prunus_persica/p.persica_gdr_reftransV1_0014972","p.persica_gdr_reftransV1_0014972")</f>
        <v>p.persica_gdr_reftransV1_0014972</v>
      </c>
      <c r="B4904" s="3">
        <v>2772</v>
      </c>
      <c r="C4904" s="1" t="str">
        <f>HYPERLINK("http://www.uniprot.org/uniprot/UVR8_ARATH","UVR8_ARATH")</f>
        <v>UVR8_ARATH</v>
      </c>
      <c r="D4904" t="s">
        <v>2154</v>
      </c>
      <c r="E4904" s="3" t="s">
        <v>3</v>
      </c>
      <c r="F4904" s="4">
        <v>1.3800000000000001E-20</v>
      </c>
      <c r="G4904" s="3">
        <v>246</v>
      </c>
      <c r="H4904" s="3">
        <v>27</v>
      </c>
      <c r="I4904" s="3">
        <v>338</v>
      </c>
      <c r="J4904" s="3">
        <v>1038</v>
      </c>
      <c r="K4904" s="3">
        <v>1898</v>
      </c>
      <c r="L4904" s="3">
        <v>68</v>
      </c>
      <c r="M4904" s="3">
        <v>374</v>
      </c>
    </row>
    <row r="4905" spans="1:13" x14ac:dyDescent="0.25">
      <c r="A4905" s="1" t="str">
        <f>HYPERLINK("http://www.rosaceae.org/Prunus/Prunus_persica/p.persica_gdr_reftransV1_0015122","p.persica_gdr_reftransV1_0015122")</f>
        <v>p.persica_gdr_reftransV1_0015122</v>
      </c>
      <c r="B4905" s="3">
        <v>3240</v>
      </c>
      <c r="C4905" s="1" t="str">
        <f>HYPERLINK("http://www.uniprot.org/uniprot/Y5102_ARATH","Y5102_ARATH")</f>
        <v>Y5102_ARATH</v>
      </c>
      <c r="D4905" t="s">
        <v>968</v>
      </c>
      <c r="E4905" s="3" t="s">
        <v>3</v>
      </c>
      <c r="F4905" s="4">
        <v>4.3600000000000003E-121</v>
      </c>
      <c r="G4905" s="3">
        <v>987</v>
      </c>
      <c r="H4905" s="3">
        <v>76</v>
      </c>
      <c r="I4905" s="3">
        <v>236</v>
      </c>
      <c r="J4905" s="3">
        <v>2086</v>
      </c>
      <c r="K4905" s="3">
        <v>2793</v>
      </c>
      <c r="L4905" s="3">
        <v>119</v>
      </c>
      <c r="M4905" s="3">
        <v>354</v>
      </c>
    </row>
    <row r="4906" spans="1:13" x14ac:dyDescent="0.25">
      <c r="A4906" s="1" t="str">
        <f>HYPERLINK("http://www.rosaceae.org/Prunus/Prunus_persica/p.persica_gdr_reftransV1_0015322","p.persica_gdr_reftransV1_0015322")</f>
        <v>p.persica_gdr_reftransV1_0015322</v>
      </c>
      <c r="B4906" s="3">
        <v>3106</v>
      </c>
      <c r="C4906" s="1" t="str">
        <f>HYPERLINK("http://www.uniprot.org/uniprot/C19L2_MOUSE","C19L2_MOUSE")</f>
        <v>C19L2_MOUSE</v>
      </c>
      <c r="D4906" t="s">
        <v>4242</v>
      </c>
      <c r="E4906" s="3" t="s">
        <v>157</v>
      </c>
      <c r="F4906" s="4">
        <v>1.7200000000000001E-56</v>
      </c>
      <c r="G4906" s="3">
        <v>546</v>
      </c>
      <c r="H4906" s="3">
        <v>43</v>
      </c>
      <c r="I4906" s="3">
        <v>253</v>
      </c>
      <c r="J4906" s="3">
        <v>2282</v>
      </c>
      <c r="K4906" s="3">
        <v>3040</v>
      </c>
      <c r="L4906" s="3">
        <v>644</v>
      </c>
      <c r="M4906" s="3">
        <v>883</v>
      </c>
    </row>
    <row r="4907" spans="1:13" x14ac:dyDescent="0.25">
      <c r="A4907" s="1" t="str">
        <f>HYPERLINK("http://www.rosaceae.org/Prunus/Prunus_persica/p.persica_gdr_reftransV1_0015372","p.persica_gdr_reftransV1_0015372")</f>
        <v>p.persica_gdr_reftransV1_0015372</v>
      </c>
      <c r="B4907" s="3">
        <v>1642</v>
      </c>
      <c r="C4907" s="1" t="str">
        <f>HYPERLINK("http://www.uniprot.org/uniprot/ETFA_ARATH","ETFA_ARATH")</f>
        <v>ETFA_ARATH</v>
      </c>
      <c r="D4907" t="s">
        <v>4243</v>
      </c>
      <c r="E4907" s="3" t="s">
        <v>3</v>
      </c>
      <c r="F4907" s="4">
        <v>2.8500000000000001E-144</v>
      </c>
      <c r="G4907" s="3">
        <v>1098</v>
      </c>
      <c r="H4907" s="3">
        <v>80</v>
      </c>
      <c r="I4907" s="3">
        <v>268</v>
      </c>
      <c r="J4907" s="3">
        <v>623</v>
      </c>
      <c r="K4907" s="3">
        <v>1426</v>
      </c>
      <c r="L4907" s="3">
        <v>96</v>
      </c>
      <c r="M4907" s="3">
        <v>363</v>
      </c>
    </row>
    <row r="4908" spans="1:13" x14ac:dyDescent="0.25">
      <c r="A4908" s="1" t="str">
        <f>HYPERLINK("http://www.rosaceae.org/Prunus/Prunus_persica/p.persica_gdr_reftransV1_0015422","p.persica_gdr_reftransV1_0015422")</f>
        <v>p.persica_gdr_reftransV1_0015422</v>
      </c>
      <c r="B4908" s="3">
        <v>6333</v>
      </c>
      <c r="C4908" s="1" t="str">
        <f>HYPERLINK("http://www.uniprot.org/uniprot/LOX6_ARATH","LOX6_ARATH")</f>
        <v>LOX6_ARATH</v>
      </c>
      <c r="D4908" t="s">
        <v>4244</v>
      </c>
      <c r="E4908" s="3" t="s">
        <v>3</v>
      </c>
      <c r="F4908" s="4">
        <v>0</v>
      </c>
      <c r="G4908" s="3">
        <v>1320</v>
      </c>
      <c r="H4908" s="3">
        <v>59</v>
      </c>
      <c r="I4908" s="3">
        <v>454</v>
      </c>
      <c r="J4908" s="3">
        <v>1298</v>
      </c>
      <c r="K4908" s="3">
        <v>2644</v>
      </c>
      <c r="L4908" s="3">
        <v>133</v>
      </c>
      <c r="M4908" s="3">
        <v>580</v>
      </c>
    </row>
    <row r="4909" spans="1:13" x14ac:dyDescent="0.25">
      <c r="A4909" s="1" t="str">
        <f>HYPERLINK("http://www.rosaceae.org/Prunus/Prunus_persica/p.persica_gdr_reftransV1_0015572","p.persica_gdr_reftransV1_0015572")</f>
        <v>p.persica_gdr_reftransV1_0015572</v>
      </c>
      <c r="B4909" s="3">
        <v>652</v>
      </c>
      <c r="C4909" s="1" t="str">
        <f>HYPERLINK("http://www.uniprot.org/uniprot/CYT6_ARATH","CYT6_ARATH")</f>
        <v>CYT6_ARATH</v>
      </c>
      <c r="D4909" t="s">
        <v>4245</v>
      </c>
      <c r="E4909" s="3" t="s">
        <v>3</v>
      </c>
      <c r="F4909" s="4">
        <v>5.3199999999999995E-38</v>
      </c>
      <c r="G4909" s="3">
        <v>345</v>
      </c>
      <c r="H4909" s="3">
        <v>64</v>
      </c>
      <c r="I4909" s="3">
        <v>103</v>
      </c>
      <c r="J4909" s="3">
        <v>53</v>
      </c>
      <c r="K4909" s="3">
        <v>361</v>
      </c>
      <c r="L4909" s="3">
        <v>33</v>
      </c>
      <c r="M4909" s="3">
        <v>135</v>
      </c>
    </row>
    <row r="4910" spans="1:13" x14ac:dyDescent="0.25">
      <c r="A4910" s="1" t="str">
        <f>HYPERLINK("http://www.rosaceae.org/Prunus/Prunus_persica/p.persica_gdr_reftransV1_0015622","p.persica_gdr_reftransV1_0015622")</f>
        <v>p.persica_gdr_reftransV1_0015622</v>
      </c>
      <c r="B4910" s="3">
        <v>1261</v>
      </c>
      <c r="C4910" s="1" t="str">
        <f>HYPERLINK("http://www.uniprot.org/uniprot/PP311_ARATH","PP311_ARATH")</f>
        <v>PP311_ARATH</v>
      </c>
      <c r="D4910" t="s">
        <v>4246</v>
      </c>
      <c r="E4910" s="3" t="s">
        <v>3</v>
      </c>
      <c r="F4910" s="4">
        <v>2.2000000000000001E-133</v>
      </c>
      <c r="G4910" s="3">
        <v>1045</v>
      </c>
      <c r="H4910" s="3">
        <v>53</v>
      </c>
      <c r="I4910" s="3">
        <v>389</v>
      </c>
      <c r="J4910" s="3">
        <v>97</v>
      </c>
      <c r="K4910" s="3">
        <v>1260</v>
      </c>
      <c r="L4910" s="3">
        <v>19</v>
      </c>
      <c r="M4910" s="3">
        <v>404</v>
      </c>
    </row>
    <row r="4911" spans="1:13" x14ac:dyDescent="0.25">
      <c r="A4911" s="1" t="str">
        <f>HYPERLINK("http://www.rosaceae.org/Prunus/Prunus_persica/p.persica_gdr_reftransV1_0015872","p.persica_gdr_reftransV1_0015872")</f>
        <v>p.persica_gdr_reftransV1_0015872</v>
      </c>
      <c r="B4911" s="3">
        <v>1366</v>
      </c>
      <c r="C4911" s="1" t="str">
        <f>HYPERLINK("http://www.uniprot.org/uniprot/NLTP8_ARATH","NLTP8_ARATH")</f>
        <v>NLTP8_ARATH</v>
      </c>
      <c r="D4911" t="s">
        <v>4247</v>
      </c>
      <c r="E4911" s="3" t="s">
        <v>3</v>
      </c>
      <c r="F4911" s="4">
        <v>5.1100000000000001E-8</v>
      </c>
      <c r="G4911" s="3">
        <v>133</v>
      </c>
      <c r="H4911" s="3">
        <v>53</v>
      </c>
      <c r="I4911" s="3">
        <v>99</v>
      </c>
      <c r="J4911" s="3">
        <v>252</v>
      </c>
      <c r="K4911" s="3">
        <v>548</v>
      </c>
      <c r="L4911" s="3">
        <v>15</v>
      </c>
      <c r="M4911" s="3">
        <v>113</v>
      </c>
    </row>
    <row r="4912" spans="1:13" x14ac:dyDescent="0.25">
      <c r="A4912" s="1" t="str">
        <f>HYPERLINK("http://www.rosaceae.org/Prunus/Prunus_persica/p.persica_gdr_reftransV1_0015972","p.persica_gdr_reftransV1_0015972")</f>
        <v>p.persica_gdr_reftransV1_0015972</v>
      </c>
      <c r="B4912" s="3">
        <v>5409</v>
      </c>
      <c r="C4912" s="1" t="str">
        <f>HYPERLINK("http://www.uniprot.org/uniprot/ATXR7_ARATH","ATXR7_ARATH")</f>
        <v>ATXR7_ARATH</v>
      </c>
      <c r="D4912" t="s">
        <v>4248</v>
      </c>
      <c r="E4912" s="3" t="s">
        <v>3</v>
      </c>
      <c r="F4912" s="4">
        <v>5.7200000000000003E-105</v>
      </c>
      <c r="G4912" s="3">
        <v>958</v>
      </c>
      <c r="H4912" s="3">
        <v>71</v>
      </c>
      <c r="I4912" s="3">
        <v>256</v>
      </c>
      <c r="J4912" s="3">
        <v>2711</v>
      </c>
      <c r="K4912" s="3">
        <v>3478</v>
      </c>
      <c r="L4912" s="3">
        <v>1146</v>
      </c>
      <c r="M4912" s="3">
        <v>1397</v>
      </c>
    </row>
    <row r="4913" spans="1:13" x14ac:dyDescent="0.25">
      <c r="A4913" s="1" t="str">
        <f>HYPERLINK("http://www.rosaceae.org/Prunus/Prunus_persica/p.persica_gdr_reftransV1_0016022","p.persica_gdr_reftransV1_0016022")</f>
        <v>p.persica_gdr_reftransV1_0016022</v>
      </c>
      <c r="B4913" s="3">
        <v>1720</v>
      </c>
      <c r="C4913" s="1" t="str">
        <f>HYPERLINK("http://www.uniprot.org/uniprot/RUS4_ARATH","RUS4_ARATH")</f>
        <v>RUS4_ARATH</v>
      </c>
      <c r="D4913" t="s">
        <v>4249</v>
      </c>
      <c r="E4913" s="3" t="s">
        <v>3</v>
      </c>
      <c r="F4913" s="4">
        <v>0</v>
      </c>
      <c r="G4913" s="3">
        <v>1469</v>
      </c>
      <c r="H4913" s="3">
        <v>62</v>
      </c>
      <c r="I4913" s="3">
        <v>488</v>
      </c>
      <c r="J4913" s="3">
        <v>227</v>
      </c>
      <c r="K4913" s="3">
        <v>1681</v>
      </c>
      <c r="L4913" s="3">
        <v>64</v>
      </c>
      <c r="M4913" s="3">
        <v>515</v>
      </c>
    </row>
    <row r="4914" spans="1:13" x14ac:dyDescent="0.25">
      <c r="A4914" s="1" t="str">
        <f>HYPERLINK("http://www.rosaceae.org/Prunus/Prunus_persica/p.persica_gdr_reftransV1_0016422","p.persica_gdr_reftransV1_0016422")</f>
        <v>p.persica_gdr_reftransV1_0016422</v>
      </c>
      <c r="B4914" s="3">
        <v>1521</v>
      </c>
      <c r="C4914" s="1" t="str">
        <f>HYPERLINK("http://www.uniprot.org/uniprot/RRP15_BOVIN","RRP15_BOVIN")</f>
        <v>RRP15_BOVIN</v>
      </c>
      <c r="D4914" t="s">
        <v>4250</v>
      </c>
      <c r="E4914" s="3" t="s">
        <v>184</v>
      </c>
      <c r="F4914" s="4">
        <v>1.1300000000000001E-7</v>
      </c>
      <c r="G4914" s="3">
        <v>136</v>
      </c>
      <c r="H4914" s="3">
        <v>37</v>
      </c>
      <c r="I4914" s="3">
        <v>133</v>
      </c>
      <c r="J4914" s="3">
        <v>825</v>
      </c>
      <c r="K4914" s="3">
        <v>1187</v>
      </c>
      <c r="L4914" s="3">
        <v>151</v>
      </c>
      <c r="M4914" s="3">
        <v>279</v>
      </c>
    </row>
    <row r="4915" spans="1:13" x14ac:dyDescent="0.25">
      <c r="A4915" s="1" t="str">
        <f>HYPERLINK("http://www.rosaceae.org/Prunus/Prunus_persica/p.persica_gdr_reftransV1_0016522","p.persica_gdr_reftransV1_0016522")</f>
        <v>p.persica_gdr_reftransV1_0016522</v>
      </c>
      <c r="B4915" s="3">
        <v>1016</v>
      </c>
      <c r="C4915" s="1" t="str">
        <f>HYPERLINK("http://www.uniprot.org/uniprot/TMVRN_NICGU","TMVRN_NICGU")</f>
        <v>TMVRN_NICGU</v>
      </c>
      <c r="D4915" t="s">
        <v>151</v>
      </c>
      <c r="E4915" s="3" t="s">
        <v>152</v>
      </c>
      <c r="F4915" s="4">
        <v>4.0399999999999998E-41</v>
      </c>
      <c r="G4915" s="3">
        <v>401</v>
      </c>
      <c r="H4915" s="3">
        <v>55</v>
      </c>
      <c r="I4915" s="3">
        <v>143</v>
      </c>
      <c r="J4915" s="3">
        <v>50</v>
      </c>
      <c r="K4915" s="3">
        <v>475</v>
      </c>
      <c r="L4915" s="3">
        <v>11</v>
      </c>
      <c r="M4915" s="3">
        <v>153</v>
      </c>
    </row>
    <row r="4916" spans="1:13" x14ac:dyDescent="0.25">
      <c r="A4916" s="1" t="str">
        <f>HYPERLINK("http://www.rosaceae.org/Prunus/Prunus_persica/p.persica_gdr_reftransV1_0016672","p.persica_gdr_reftransV1_0016672")</f>
        <v>p.persica_gdr_reftransV1_0016672</v>
      </c>
      <c r="B4916" s="3">
        <v>344</v>
      </c>
      <c r="C4916" s="1" t="str">
        <f>HYPERLINK("http://www.uniprot.org/uniprot/PP429_ARATH","PP429_ARATH")</f>
        <v>PP429_ARATH</v>
      </c>
      <c r="D4916" t="s">
        <v>2967</v>
      </c>
      <c r="E4916" s="3" t="s">
        <v>3</v>
      </c>
      <c r="F4916" s="4">
        <v>5.2499999999999997E-14</v>
      </c>
      <c r="G4916" s="3">
        <v>174</v>
      </c>
      <c r="H4916" s="3">
        <v>39</v>
      </c>
      <c r="I4916" s="3">
        <v>69</v>
      </c>
      <c r="J4916" s="3">
        <v>119</v>
      </c>
      <c r="K4916" s="3">
        <v>325</v>
      </c>
      <c r="L4916" s="3">
        <v>138</v>
      </c>
      <c r="M4916" s="3">
        <v>206</v>
      </c>
    </row>
    <row r="4917" spans="1:13" x14ac:dyDescent="0.25">
      <c r="A4917" s="1" t="str">
        <f>HYPERLINK("http://www.rosaceae.org/Prunus/Prunus_persica/p.persica_gdr_reftransV1_0017122","p.persica_gdr_reftransV1_0017122")</f>
        <v>p.persica_gdr_reftransV1_0017122</v>
      </c>
      <c r="B4917" s="3">
        <v>1970</v>
      </c>
      <c r="C4917" s="1" t="str">
        <f>HYPERLINK("http://www.uniprot.org/uniprot/SAMC1_ARATH","SAMC1_ARATH")</f>
        <v>SAMC1_ARATH</v>
      </c>
      <c r="D4917" t="s">
        <v>4251</v>
      </c>
      <c r="E4917" s="3" t="s">
        <v>3</v>
      </c>
      <c r="F4917" s="4">
        <v>8.5399999999999999E-26</v>
      </c>
      <c r="G4917" s="3">
        <v>281</v>
      </c>
      <c r="H4917" s="3">
        <v>38</v>
      </c>
      <c r="I4917" s="3">
        <v>170</v>
      </c>
      <c r="J4917" s="3">
        <v>624</v>
      </c>
      <c r="K4917" s="3">
        <v>1133</v>
      </c>
      <c r="L4917" s="3">
        <v>56</v>
      </c>
      <c r="M4917" s="3">
        <v>212</v>
      </c>
    </row>
    <row r="4918" spans="1:13" x14ac:dyDescent="0.25">
      <c r="A4918" s="1" t="str">
        <f>HYPERLINK("http://www.rosaceae.org/Prunus/Prunus_persica/p.persica_gdr_reftransV1_0017172","p.persica_gdr_reftransV1_0017172")</f>
        <v>p.persica_gdr_reftransV1_0017172</v>
      </c>
      <c r="B4918" s="3">
        <v>1625</v>
      </c>
      <c r="C4918" s="1" t="str">
        <f>HYPERLINK("http://www.uniprot.org/uniprot/GALAK_ARATH","GALAK_ARATH")</f>
        <v>GALAK_ARATH</v>
      </c>
      <c r="D4918" t="s">
        <v>4252</v>
      </c>
      <c r="E4918" s="3" t="s">
        <v>3</v>
      </c>
      <c r="F4918" s="4">
        <v>3.0400000000000001E-138</v>
      </c>
      <c r="G4918" s="3">
        <v>963</v>
      </c>
      <c r="H4918" s="3">
        <v>66</v>
      </c>
      <c r="I4918" s="3">
        <v>346</v>
      </c>
      <c r="J4918" s="3">
        <v>385</v>
      </c>
      <c r="K4918" s="3">
        <v>1413</v>
      </c>
      <c r="L4918" s="3">
        <v>86</v>
      </c>
      <c r="M4918" s="3">
        <v>423</v>
      </c>
    </row>
    <row r="4919" spans="1:13" x14ac:dyDescent="0.25">
      <c r="A4919" s="1" t="str">
        <f>HYPERLINK("http://www.rosaceae.org/Prunus/Prunus_persica/p.persica_gdr_reftransV1_0017322","p.persica_gdr_reftransV1_0017322")</f>
        <v>p.persica_gdr_reftransV1_0017322</v>
      </c>
      <c r="B4919" s="3">
        <v>2031</v>
      </c>
      <c r="C4919" s="1" t="str">
        <f>HYPERLINK("http://www.uniprot.org/uniprot/RSMH_PARUW","RSMH_PARUW")</f>
        <v>RSMH_PARUW</v>
      </c>
      <c r="D4919" t="s">
        <v>4253</v>
      </c>
      <c r="E4919" s="3" t="s">
        <v>4254</v>
      </c>
      <c r="F4919" s="4">
        <v>2.8700000000000001E-67</v>
      </c>
      <c r="G4919" s="3">
        <v>584</v>
      </c>
      <c r="H4919" s="3">
        <v>40</v>
      </c>
      <c r="I4919" s="3">
        <v>346</v>
      </c>
      <c r="J4919" s="3">
        <v>599</v>
      </c>
      <c r="K4919" s="3">
        <v>1630</v>
      </c>
      <c r="L4919" s="3">
        <v>8</v>
      </c>
      <c r="M4919" s="3">
        <v>313</v>
      </c>
    </row>
    <row r="4920" spans="1:13" x14ac:dyDescent="0.25">
      <c r="A4920" s="1" t="str">
        <f>HYPERLINK("http://www.rosaceae.org/Prunus/Prunus_persica/p.persica_gdr_reftransV1_0017372","p.persica_gdr_reftransV1_0017372")</f>
        <v>p.persica_gdr_reftransV1_0017372</v>
      </c>
      <c r="B4920" s="3">
        <v>1344</v>
      </c>
      <c r="C4920" s="1" t="str">
        <f>HYPERLINK("http://www.uniprot.org/uniprot/CML22_ARATH","CML22_ARATH")</f>
        <v>CML22_ARATH</v>
      </c>
      <c r="D4920" t="s">
        <v>4255</v>
      </c>
      <c r="E4920" s="3" t="s">
        <v>3</v>
      </c>
      <c r="F4920" s="4">
        <v>1.5199999999999999E-54</v>
      </c>
      <c r="G4920" s="3">
        <v>472</v>
      </c>
      <c r="H4920" s="3">
        <v>59</v>
      </c>
      <c r="I4920" s="3">
        <v>192</v>
      </c>
      <c r="J4920" s="3">
        <v>340</v>
      </c>
      <c r="K4920" s="3">
        <v>900</v>
      </c>
      <c r="L4920" s="3">
        <v>2</v>
      </c>
      <c r="M4920" s="3">
        <v>193</v>
      </c>
    </row>
    <row r="4921" spans="1:13" x14ac:dyDescent="0.25">
      <c r="A4921" s="1" t="str">
        <f>HYPERLINK("http://www.rosaceae.org/Prunus/Prunus_persica/p.persica_gdr_reftransV1_0017422","p.persica_gdr_reftransV1_0017422")</f>
        <v>p.persica_gdr_reftransV1_0017422</v>
      </c>
      <c r="B4921" s="3">
        <v>6019</v>
      </c>
      <c r="C4921" s="1" t="str">
        <f>HYPERLINK("http://www.uniprot.org/uniprot/SAC9_ARATH","SAC9_ARATH")</f>
        <v>SAC9_ARATH</v>
      </c>
      <c r="D4921" t="s">
        <v>4256</v>
      </c>
      <c r="E4921" s="3" t="s">
        <v>3</v>
      </c>
      <c r="F4921" s="4">
        <v>0</v>
      </c>
      <c r="G4921" s="3">
        <v>5446</v>
      </c>
      <c r="H4921" s="3">
        <v>69</v>
      </c>
      <c r="I4921" s="3">
        <v>1547</v>
      </c>
      <c r="J4921" s="3">
        <v>847</v>
      </c>
      <c r="K4921" s="3">
        <v>5463</v>
      </c>
      <c r="L4921" s="3">
        <v>7</v>
      </c>
      <c r="M4921" s="3">
        <v>1537</v>
      </c>
    </row>
    <row r="4922" spans="1:13" x14ac:dyDescent="0.25">
      <c r="A4922" s="1" t="str">
        <f>HYPERLINK("http://www.rosaceae.org/Prunus/Prunus_persica/p.persica_gdr_reftransV1_0017472","p.persica_gdr_reftransV1_0017472")</f>
        <v>p.persica_gdr_reftransV1_0017472</v>
      </c>
      <c r="B4922" s="3">
        <v>2596</v>
      </c>
      <c r="C4922" s="1" t="str">
        <f>HYPERLINK("http://www.uniprot.org/uniprot/KASC2_ARATH","KASC2_ARATH")</f>
        <v>KASC2_ARATH</v>
      </c>
      <c r="D4922" t="s">
        <v>3629</v>
      </c>
      <c r="E4922" s="3" t="s">
        <v>3</v>
      </c>
      <c r="F4922" s="4">
        <v>0</v>
      </c>
      <c r="G4922" s="3">
        <v>1917</v>
      </c>
      <c r="H4922" s="3">
        <v>75</v>
      </c>
      <c r="I4922" s="3">
        <v>555</v>
      </c>
      <c r="J4922" s="3">
        <v>422</v>
      </c>
      <c r="K4922" s="3">
        <v>2086</v>
      </c>
      <c r="L4922" s="3">
        <v>11</v>
      </c>
      <c r="M4922" s="3">
        <v>541</v>
      </c>
    </row>
    <row r="4923" spans="1:13" x14ac:dyDescent="0.25">
      <c r="A4923" s="1" t="str">
        <f>HYPERLINK("http://www.rosaceae.org/Prunus/Prunus_persica/p.persica_gdr_reftransV1_0017572","p.persica_gdr_reftransV1_0017572")</f>
        <v>p.persica_gdr_reftransV1_0017572</v>
      </c>
      <c r="B4923" s="3">
        <v>5010</v>
      </c>
      <c r="C4923" s="1" t="str">
        <f>HYPERLINK("http://www.uniprot.org/uniprot/PDR1_TOBAC","PDR1_TOBAC")</f>
        <v>PDR1_TOBAC</v>
      </c>
      <c r="D4923" t="s">
        <v>498</v>
      </c>
      <c r="E4923" s="3" t="s">
        <v>200</v>
      </c>
      <c r="F4923" s="4">
        <v>0</v>
      </c>
      <c r="G4923" s="3">
        <v>3867</v>
      </c>
      <c r="H4923" s="3">
        <v>72</v>
      </c>
      <c r="I4923" s="3">
        <v>1023</v>
      </c>
      <c r="J4923" s="3">
        <v>154</v>
      </c>
      <c r="K4923" s="3">
        <v>3216</v>
      </c>
      <c r="L4923" s="3">
        <v>77</v>
      </c>
      <c r="M4923" s="3">
        <v>1086</v>
      </c>
    </row>
    <row r="4924" spans="1:13" x14ac:dyDescent="0.25">
      <c r="A4924" s="1" t="str">
        <f>HYPERLINK("http://www.rosaceae.org/Prunus/Prunus_persica/p.persica_gdr_reftransV1_0017672","p.persica_gdr_reftransV1_0017672")</f>
        <v>p.persica_gdr_reftransV1_0017672</v>
      </c>
      <c r="B4924" s="3">
        <v>3241</v>
      </c>
      <c r="C4924" s="1" t="str">
        <f>HYPERLINK("http://www.uniprot.org/uniprot/CRS1_ORYSJ","CRS1_ORYSJ")</f>
        <v>CRS1_ORYSJ</v>
      </c>
      <c r="D4924" t="s">
        <v>4257</v>
      </c>
      <c r="E4924" s="3" t="s">
        <v>38</v>
      </c>
      <c r="F4924" s="4">
        <v>1.05E-119</v>
      </c>
      <c r="G4924" s="3">
        <v>1005</v>
      </c>
      <c r="H4924" s="3">
        <v>40</v>
      </c>
      <c r="I4924" s="3">
        <v>579</v>
      </c>
      <c r="J4924" s="3">
        <v>831</v>
      </c>
      <c r="K4924" s="3">
        <v>2549</v>
      </c>
      <c r="L4924" s="3">
        <v>139</v>
      </c>
      <c r="M4924" s="3">
        <v>708</v>
      </c>
    </row>
    <row r="4925" spans="1:13" x14ac:dyDescent="0.25">
      <c r="A4925" s="1" t="str">
        <f>HYPERLINK("http://www.rosaceae.org/Prunus/Prunus_persica/p.persica_gdr_reftransV1_0017872","p.persica_gdr_reftransV1_0017872")</f>
        <v>p.persica_gdr_reftransV1_0017872</v>
      </c>
      <c r="B4925" s="3">
        <v>1640</v>
      </c>
      <c r="C4925" s="1" t="str">
        <f>HYPERLINK("http://www.uniprot.org/uniprot/CHLG_ARATH","CHLG_ARATH")</f>
        <v>CHLG_ARATH</v>
      </c>
      <c r="D4925" t="s">
        <v>4258</v>
      </c>
      <c r="E4925" s="3" t="s">
        <v>3</v>
      </c>
      <c r="F4925" s="4">
        <v>0</v>
      </c>
      <c r="G4925" s="3">
        <v>1554</v>
      </c>
      <c r="H4925" s="3">
        <v>81</v>
      </c>
      <c r="I4925" s="3">
        <v>389</v>
      </c>
      <c r="J4925" s="3">
        <v>338</v>
      </c>
      <c r="K4925" s="3">
        <v>1459</v>
      </c>
      <c r="L4925" s="3">
        <v>1</v>
      </c>
      <c r="M4925" s="3">
        <v>387</v>
      </c>
    </row>
    <row r="4926" spans="1:13" x14ac:dyDescent="0.25">
      <c r="A4926" s="1" t="str">
        <f>HYPERLINK("http://www.rosaceae.org/Prunus/Prunus_persica/p.persica_gdr_reftransV1_0018072","p.persica_gdr_reftransV1_0018072")</f>
        <v>p.persica_gdr_reftransV1_0018072</v>
      </c>
      <c r="B4926" s="3">
        <v>509</v>
      </c>
      <c r="C4926" s="1" t="str">
        <f>HYPERLINK("http://www.uniprot.org/uniprot/DYL2_SCHMA","DYL2_SCHMA")</f>
        <v>DYL2_SCHMA</v>
      </c>
      <c r="D4926" t="s">
        <v>4259</v>
      </c>
      <c r="E4926" s="3" t="s">
        <v>4260</v>
      </c>
      <c r="F4926" s="4">
        <v>9.1300000000000004E-16</v>
      </c>
      <c r="G4926" s="3">
        <v>179</v>
      </c>
      <c r="H4926" s="3">
        <v>44</v>
      </c>
      <c r="I4926" s="3">
        <v>90</v>
      </c>
      <c r="J4926" s="3">
        <v>79</v>
      </c>
      <c r="K4926" s="3">
        <v>348</v>
      </c>
      <c r="L4926" s="3">
        <v>1</v>
      </c>
      <c r="M4926" s="3">
        <v>88</v>
      </c>
    </row>
    <row r="4927" spans="1:13" x14ac:dyDescent="0.25">
      <c r="A4927" s="1" t="str">
        <f>HYPERLINK("http://www.rosaceae.org/Prunus/Prunus_persica/p.persica_gdr_reftransV1_0018322","p.persica_gdr_reftransV1_0018322")</f>
        <v>p.persica_gdr_reftransV1_0018322</v>
      </c>
      <c r="B4927" s="3">
        <v>1285</v>
      </c>
      <c r="C4927" s="1" t="str">
        <f>HYPERLINK("http://www.uniprot.org/uniprot/JOSL_ARATH","JOSL_ARATH")</f>
        <v>JOSL_ARATH</v>
      </c>
      <c r="D4927" t="s">
        <v>4261</v>
      </c>
      <c r="E4927" s="3" t="s">
        <v>3</v>
      </c>
      <c r="F4927" s="4">
        <v>4.66E-78</v>
      </c>
      <c r="G4927" s="3">
        <v>645</v>
      </c>
      <c r="H4927" s="3">
        <v>70</v>
      </c>
      <c r="I4927" s="3">
        <v>164</v>
      </c>
      <c r="J4927" s="3">
        <v>239</v>
      </c>
      <c r="K4927" s="3">
        <v>730</v>
      </c>
      <c r="L4927" s="3">
        <v>2</v>
      </c>
      <c r="M4927" s="3">
        <v>164</v>
      </c>
    </row>
    <row r="4928" spans="1:13" x14ac:dyDescent="0.25">
      <c r="A4928" s="1" t="str">
        <f>HYPERLINK("http://www.rosaceae.org/Prunus/Prunus_persica/p.persica_gdr_reftransV1_0018572","p.persica_gdr_reftransV1_0018572")</f>
        <v>p.persica_gdr_reftransV1_0018572</v>
      </c>
      <c r="B4928" s="3">
        <v>2839</v>
      </c>
      <c r="C4928" s="1" t="str">
        <f>HYPERLINK("http://www.uniprot.org/uniprot/FBL91_ARATH","FBL91_ARATH")</f>
        <v>FBL91_ARATH</v>
      </c>
      <c r="D4928" t="s">
        <v>4262</v>
      </c>
      <c r="E4928" s="3" t="s">
        <v>3</v>
      </c>
      <c r="F4928" s="4">
        <v>2.5700000000000001E-65</v>
      </c>
      <c r="G4928" s="3">
        <v>596</v>
      </c>
      <c r="H4928" s="3">
        <v>41</v>
      </c>
      <c r="I4928" s="3">
        <v>309</v>
      </c>
      <c r="J4928" s="3">
        <v>1704</v>
      </c>
      <c r="K4928" s="3">
        <v>2627</v>
      </c>
      <c r="L4928" s="3">
        <v>6</v>
      </c>
      <c r="M4928" s="3">
        <v>301</v>
      </c>
    </row>
    <row r="4929" spans="1:13" x14ac:dyDescent="0.25">
      <c r="A4929" s="1" t="str">
        <f>HYPERLINK("http://www.rosaceae.org/Prunus/Prunus_persica/p.persica_gdr_reftransV1_0018972","p.persica_gdr_reftransV1_0018972")</f>
        <v>p.persica_gdr_reftransV1_0018972</v>
      </c>
      <c r="B4929" s="3">
        <v>1289</v>
      </c>
      <c r="C4929" s="1" t="str">
        <f>HYPERLINK("http://www.uniprot.org/uniprot/DER11_MAIZE","DER11_MAIZE")</f>
        <v>DER11_MAIZE</v>
      </c>
      <c r="D4929" t="s">
        <v>4263</v>
      </c>
      <c r="E4929" s="3" t="s">
        <v>72</v>
      </c>
      <c r="F4929" s="4">
        <v>1.5999999999999999E-87</v>
      </c>
      <c r="G4929" s="3">
        <v>698</v>
      </c>
      <c r="H4929" s="3">
        <v>60</v>
      </c>
      <c r="I4929" s="3">
        <v>243</v>
      </c>
      <c r="J4929" s="3">
        <v>512</v>
      </c>
      <c r="K4929" s="3">
        <v>1228</v>
      </c>
      <c r="L4929" s="3">
        <v>1</v>
      </c>
      <c r="M4929" s="3">
        <v>242</v>
      </c>
    </row>
    <row r="4930" spans="1:13" x14ac:dyDescent="0.25">
      <c r="A4930" s="1" t="str">
        <f>HYPERLINK("http://www.rosaceae.org/Prunus/Prunus_persica/p.persica_gdr_reftransV1_0019072","p.persica_gdr_reftransV1_0019072")</f>
        <v>p.persica_gdr_reftransV1_0019072</v>
      </c>
      <c r="B4930" s="3">
        <v>3671</v>
      </c>
      <c r="C4930" s="1" t="str">
        <f>HYPERLINK("http://www.uniprot.org/uniprot/B561A_ARATH","B561A_ARATH")</f>
        <v>B561A_ARATH</v>
      </c>
      <c r="D4930" t="s">
        <v>4264</v>
      </c>
      <c r="E4930" s="3" t="s">
        <v>3</v>
      </c>
      <c r="F4930" s="4">
        <v>0</v>
      </c>
      <c r="G4930" s="3">
        <v>3009</v>
      </c>
      <c r="H4930" s="3">
        <v>65</v>
      </c>
      <c r="I4930" s="3">
        <v>884</v>
      </c>
      <c r="J4930" s="3">
        <v>433</v>
      </c>
      <c r="K4930" s="3">
        <v>3066</v>
      </c>
      <c r="L4930" s="3">
        <v>24</v>
      </c>
      <c r="M4930" s="3">
        <v>906</v>
      </c>
    </row>
    <row r="4931" spans="1:13" x14ac:dyDescent="0.25">
      <c r="A4931" s="1" t="str">
        <f>HYPERLINK("http://www.rosaceae.org/Prunus/Prunus_persica/p.persica_gdr_reftransV1_0019172","p.persica_gdr_reftransV1_0019172")</f>
        <v>p.persica_gdr_reftransV1_0019172</v>
      </c>
      <c r="B4931" s="3">
        <v>1555</v>
      </c>
      <c r="C4931" s="1" t="str">
        <f>HYPERLINK("http://www.uniprot.org/uniprot/Y1501_ARATH","Y1501_ARATH")</f>
        <v>Y1501_ARATH</v>
      </c>
      <c r="D4931" t="s">
        <v>4265</v>
      </c>
      <c r="E4931" s="3" t="s">
        <v>3</v>
      </c>
      <c r="F4931" s="4">
        <v>5.1400000000000002E-19</v>
      </c>
      <c r="G4931" s="3">
        <v>234</v>
      </c>
      <c r="H4931" s="3">
        <v>30</v>
      </c>
      <c r="I4931" s="3">
        <v>359</v>
      </c>
      <c r="J4931" s="3">
        <v>43</v>
      </c>
      <c r="K4931" s="3">
        <v>1107</v>
      </c>
      <c r="L4931" s="3">
        <v>281</v>
      </c>
      <c r="M4931" s="3">
        <v>636</v>
      </c>
    </row>
    <row r="4932" spans="1:13" x14ac:dyDescent="0.25">
      <c r="A4932" s="1" t="str">
        <f>HYPERLINK("http://www.rosaceae.org/Prunus/Prunus_persica/p.persica_gdr_reftransV1_0019222","p.persica_gdr_reftransV1_0019222")</f>
        <v>p.persica_gdr_reftransV1_0019222</v>
      </c>
      <c r="B4932" s="3">
        <v>1231</v>
      </c>
      <c r="C4932" s="1" t="str">
        <f>HYPERLINK("http://www.uniprot.org/uniprot/TBL43_ARATH","TBL43_ARATH")</f>
        <v>TBL43_ARATH</v>
      </c>
      <c r="D4932" t="s">
        <v>3846</v>
      </c>
      <c r="E4932" s="3" t="s">
        <v>3</v>
      </c>
      <c r="F4932" s="4">
        <v>2.5199999999999999E-129</v>
      </c>
      <c r="G4932" s="3">
        <v>986</v>
      </c>
      <c r="H4932" s="3">
        <v>53</v>
      </c>
      <c r="I4932" s="3">
        <v>329</v>
      </c>
      <c r="J4932" s="3">
        <v>90</v>
      </c>
      <c r="K4932" s="3">
        <v>1064</v>
      </c>
      <c r="L4932" s="3">
        <v>43</v>
      </c>
      <c r="M4932" s="3">
        <v>365</v>
      </c>
    </row>
    <row r="4933" spans="1:13" x14ac:dyDescent="0.25">
      <c r="A4933" s="1" t="str">
        <f>HYPERLINK("http://www.rosaceae.org/Prunus/Prunus_persica/p.persica_gdr_reftransV1_0019322","p.persica_gdr_reftransV1_0019322")</f>
        <v>p.persica_gdr_reftransV1_0019322</v>
      </c>
      <c r="B4933" s="3">
        <v>2414</v>
      </c>
      <c r="C4933" s="1" t="str">
        <f>HYPERLINK("http://www.uniprot.org/uniprot/ELF3_ARATH","ELF3_ARATH")</f>
        <v>ELF3_ARATH</v>
      </c>
      <c r="D4933" t="s">
        <v>1968</v>
      </c>
      <c r="E4933" s="3" t="s">
        <v>3</v>
      </c>
      <c r="F4933" s="4">
        <v>1.6100000000000001E-41</v>
      </c>
      <c r="G4933" s="3">
        <v>419</v>
      </c>
      <c r="H4933" s="3">
        <v>36</v>
      </c>
      <c r="I4933" s="3">
        <v>418</v>
      </c>
      <c r="J4933" s="3">
        <v>1101</v>
      </c>
      <c r="K4933" s="3">
        <v>2225</v>
      </c>
      <c r="L4933" s="3">
        <v>312</v>
      </c>
      <c r="M4933" s="3">
        <v>688</v>
      </c>
    </row>
    <row r="4934" spans="1:13" x14ac:dyDescent="0.25">
      <c r="A4934" s="1" t="str">
        <f>HYPERLINK("http://www.rosaceae.org/Prunus/Prunus_persica/p.persica_gdr_reftransV1_0019622","p.persica_gdr_reftransV1_0019622")</f>
        <v>p.persica_gdr_reftransV1_0019622</v>
      </c>
      <c r="B4934" s="3">
        <v>2664</v>
      </c>
      <c r="C4934" s="1" t="str">
        <f>HYPERLINK("http://www.uniprot.org/uniprot/SSDH_ARATH","SSDH_ARATH")</f>
        <v>SSDH_ARATH</v>
      </c>
      <c r="D4934" t="s">
        <v>4266</v>
      </c>
      <c r="E4934" s="3" t="s">
        <v>3</v>
      </c>
      <c r="F4934" s="4">
        <v>0</v>
      </c>
      <c r="G4934" s="3">
        <v>1408</v>
      </c>
      <c r="H4934" s="3">
        <v>82</v>
      </c>
      <c r="I4934" s="3">
        <v>361</v>
      </c>
      <c r="J4934" s="3">
        <v>335</v>
      </c>
      <c r="K4934" s="3">
        <v>1417</v>
      </c>
      <c r="L4934" s="3">
        <v>32</v>
      </c>
      <c r="M4934" s="3">
        <v>392</v>
      </c>
    </row>
    <row r="4935" spans="1:13" x14ac:dyDescent="0.25">
      <c r="A4935" s="1" t="str">
        <f>HYPERLINK("http://www.rosaceae.org/Prunus/Prunus_persica/p.persica_gdr_reftransV1_0019922","p.persica_gdr_reftransV1_0019922")</f>
        <v>p.persica_gdr_reftransV1_0019922</v>
      </c>
      <c r="B4935" s="3">
        <v>1488</v>
      </c>
      <c r="C4935" s="1" t="str">
        <f>HYPERLINK("http://www.uniprot.org/uniprot/GPPL2_ARATH","GPPL2_ARATH")</f>
        <v>GPPL2_ARATH</v>
      </c>
      <c r="D4935" t="s">
        <v>4267</v>
      </c>
      <c r="E4935" s="3" t="s">
        <v>3</v>
      </c>
      <c r="F4935" s="4">
        <v>1.8899999999999999E-16</v>
      </c>
      <c r="G4935" s="3">
        <v>206</v>
      </c>
      <c r="H4935" s="3">
        <v>31</v>
      </c>
      <c r="I4935" s="3">
        <v>173</v>
      </c>
      <c r="J4935" s="3">
        <v>286</v>
      </c>
      <c r="K4935" s="3">
        <v>783</v>
      </c>
      <c r="L4935" s="3">
        <v>78</v>
      </c>
      <c r="M4935" s="3">
        <v>245</v>
      </c>
    </row>
    <row r="4936" spans="1:13" x14ac:dyDescent="0.25">
      <c r="A4936" s="1" t="str">
        <f>HYPERLINK("http://www.rosaceae.org/Prunus/Prunus_persica/p.persica_gdr_reftransV1_0019972","p.persica_gdr_reftransV1_0019972")</f>
        <v>p.persica_gdr_reftransV1_0019972</v>
      </c>
      <c r="B4936" s="3">
        <v>1756</v>
      </c>
      <c r="C4936" s="1" t="str">
        <f>HYPERLINK("http://www.uniprot.org/uniprot/SMT1_ARATH","SMT1_ARATH")</f>
        <v>SMT1_ARATH</v>
      </c>
      <c r="D4936" t="s">
        <v>4268</v>
      </c>
      <c r="E4936" s="3" t="s">
        <v>3</v>
      </c>
      <c r="F4936" s="4">
        <v>0</v>
      </c>
      <c r="G4936" s="3">
        <v>1586</v>
      </c>
      <c r="H4936" s="3">
        <v>86</v>
      </c>
      <c r="I4936" s="3">
        <v>335</v>
      </c>
      <c r="J4936" s="3">
        <v>237</v>
      </c>
      <c r="K4936" s="3">
        <v>1241</v>
      </c>
      <c r="L4936" s="3">
        <v>1</v>
      </c>
      <c r="M4936" s="3">
        <v>335</v>
      </c>
    </row>
    <row r="4937" spans="1:13" x14ac:dyDescent="0.25">
      <c r="A4937" s="1" t="str">
        <f>HYPERLINK("http://www.rosaceae.org/Prunus/Prunus_persica/p.persica_gdr_reftransV1_0020172","p.persica_gdr_reftransV1_0020172")</f>
        <v>p.persica_gdr_reftransV1_0020172</v>
      </c>
      <c r="B4937" s="3">
        <v>2105</v>
      </c>
      <c r="C4937" s="1" t="str">
        <f>HYPERLINK("http://www.uniprot.org/uniprot/PUS10_HUMAN","PUS10_HUMAN")</f>
        <v>PUS10_HUMAN</v>
      </c>
      <c r="D4937" t="s">
        <v>4269</v>
      </c>
      <c r="E4937" s="3" t="s">
        <v>28</v>
      </c>
      <c r="F4937" s="4">
        <v>1.12E-57</v>
      </c>
      <c r="G4937" s="3">
        <v>445</v>
      </c>
      <c r="H4937" s="3">
        <v>30</v>
      </c>
      <c r="I4937" s="3">
        <v>496</v>
      </c>
      <c r="J4937" s="3">
        <v>590</v>
      </c>
      <c r="K4937" s="3">
        <v>1924</v>
      </c>
      <c r="L4937" s="3">
        <v>15</v>
      </c>
      <c r="M4937" s="3">
        <v>474</v>
      </c>
    </row>
    <row r="4938" spans="1:13" x14ac:dyDescent="0.25">
      <c r="A4938" s="1" t="str">
        <f>HYPERLINK("http://www.rosaceae.org/Prunus/Prunus_persica/p.persica_gdr_reftransV1_0020222","p.persica_gdr_reftransV1_0020222")</f>
        <v>p.persica_gdr_reftransV1_0020222</v>
      </c>
      <c r="B4938" s="3">
        <v>2018</v>
      </c>
      <c r="C4938" s="1" t="str">
        <f>HYPERLINK("http://www.uniprot.org/uniprot/DRIP2_ARATH","DRIP2_ARATH")</f>
        <v>DRIP2_ARATH</v>
      </c>
      <c r="D4938" t="s">
        <v>4270</v>
      </c>
      <c r="E4938" s="3" t="s">
        <v>3</v>
      </c>
      <c r="F4938" s="4">
        <v>8.7700000000000002E-150</v>
      </c>
      <c r="G4938" s="3">
        <v>1152</v>
      </c>
      <c r="H4938" s="3">
        <v>58</v>
      </c>
      <c r="I4938" s="3">
        <v>428</v>
      </c>
      <c r="J4938" s="3">
        <v>405</v>
      </c>
      <c r="K4938" s="3">
        <v>1679</v>
      </c>
      <c r="L4938" s="3">
        <v>4</v>
      </c>
      <c r="M4938" s="3">
        <v>415</v>
      </c>
    </row>
    <row r="4939" spans="1:13" x14ac:dyDescent="0.25">
      <c r="A4939" s="1" t="str">
        <f>HYPERLINK("http://www.rosaceae.org/Prunus/Prunus_persica/p.persica_gdr_reftransV1_0020272","p.persica_gdr_reftransV1_0020272")</f>
        <v>p.persica_gdr_reftransV1_0020272</v>
      </c>
      <c r="B4939" s="3">
        <v>2585</v>
      </c>
      <c r="C4939" s="1" t="str">
        <f>HYPERLINK("http://www.uniprot.org/uniprot/CNG18_ARATH","CNG18_ARATH")</f>
        <v>CNG18_ARATH</v>
      </c>
      <c r="D4939" t="s">
        <v>4271</v>
      </c>
      <c r="E4939" s="3" t="s">
        <v>3</v>
      </c>
      <c r="F4939" s="4">
        <v>0</v>
      </c>
      <c r="G4939" s="3">
        <v>2440</v>
      </c>
      <c r="H4939" s="3">
        <v>67</v>
      </c>
      <c r="I4939" s="3">
        <v>686</v>
      </c>
      <c r="J4939" s="3">
        <v>169</v>
      </c>
      <c r="K4939" s="3">
        <v>2205</v>
      </c>
      <c r="L4939" s="3">
        <v>32</v>
      </c>
      <c r="M4939" s="3">
        <v>705</v>
      </c>
    </row>
    <row r="4940" spans="1:13" x14ac:dyDescent="0.25">
      <c r="A4940" s="1" t="str">
        <f>HYPERLINK("http://www.rosaceae.org/Prunus/Prunus_persica/p.persica_gdr_reftransV1_0020522","p.persica_gdr_reftransV1_0020522")</f>
        <v>p.persica_gdr_reftransV1_0020522</v>
      </c>
      <c r="B4940" s="3">
        <v>1215</v>
      </c>
      <c r="C4940" s="1" t="str">
        <f>HYPERLINK("http://www.uniprot.org/uniprot/DAO_ORYSJ","DAO_ORYSJ")</f>
        <v>DAO_ORYSJ</v>
      </c>
      <c r="D4940" t="s">
        <v>4272</v>
      </c>
      <c r="E4940" s="3" t="s">
        <v>38</v>
      </c>
      <c r="F4940" s="4">
        <v>1.1700000000000001E-107</v>
      </c>
      <c r="G4940" s="3">
        <v>835</v>
      </c>
      <c r="H4940" s="3">
        <v>57</v>
      </c>
      <c r="I4940" s="3">
        <v>297</v>
      </c>
      <c r="J4940" s="3">
        <v>207</v>
      </c>
      <c r="K4940" s="3">
        <v>1085</v>
      </c>
      <c r="L4940" s="3">
        <v>4</v>
      </c>
      <c r="M4940" s="3">
        <v>298</v>
      </c>
    </row>
    <row r="4941" spans="1:13" x14ac:dyDescent="0.25">
      <c r="A4941" s="1" t="str">
        <f>HYPERLINK("http://www.rosaceae.org/Prunus/Prunus_persica/p.persica_gdr_reftransV1_0020672","p.persica_gdr_reftransV1_0020672")</f>
        <v>p.persica_gdr_reftransV1_0020672</v>
      </c>
      <c r="B4941" s="3">
        <v>1877</v>
      </c>
      <c r="C4941" s="1" t="str">
        <f>HYPERLINK("http://www.uniprot.org/uniprot/FH18_ARATH","FH18_ARATH")</f>
        <v>FH18_ARATH</v>
      </c>
      <c r="D4941" t="s">
        <v>4112</v>
      </c>
      <c r="E4941" s="3" t="s">
        <v>3</v>
      </c>
      <c r="F4941" s="4">
        <v>1.16E-120</v>
      </c>
      <c r="G4941" s="3">
        <v>1004</v>
      </c>
      <c r="H4941" s="3">
        <v>51</v>
      </c>
      <c r="I4941" s="3">
        <v>416</v>
      </c>
      <c r="J4941" s="3">
        <v>684</v>
      </c>
      <c r="K4941" s="3">
        <v>1877</v>
      </c>
      <c r="L4941" s="3">
        <v>160</v>
      </c>
      <c r="M4941" s="3">
        <v>532</v>
      </c>
    </row>
    <row r="4942" spans="1:13" x14ac:dyDescent="0.25">
      <c r="A4942" s="1" t="str">
        <f>HYPERLINK("http://www.rosaceae.org/Prunus/Prunus_persica/p.persica_gdr_reftransV1_0020972","p.persica_gdr_reftransV1_0020972")</f>
        <v>p.persica_gdr_reftransV1_0020972</v>
      </c>
      <c r="B4942" s="3">
        <v>3587</v>
      </c>
      <c r="C4942" s="1" t="str">
        <f>HYPERLINK("http://www.uniprot.org/uniprot/GP210_ARATH","GP210_ARATH")</f>
        <v>GP210_ARATH</v>
      </c>
      <c r="D4942" t="s">
        <v>2756</v>
      </c>
      <c r="E4942" s="3" t="s">
        <v>3</v>
      </c>
      <c r="F4942" s="4">
        <v>0</v>
      </c>
      <c r="G4942" s="3">
        <v>3485</v>
      </c>
      <c r="H4942" s="3">
        <v>57</v>
      </c>
      <c r="I4942" s="3">
        <v>1195</v>
      </c>
      <c r="J4942" s="3">
        <v>2</v>
      </c>
      <c r="K4942" s="3">
        <v>3586</v>
      </c>
      <c r="L4942" s="3">
        <v>292</v>
      </c>
      <c r="M4942" s="3">
        <v>1454</v>
      </c>
    </row>
    <row r="4943" spans="1:13" x14ac:dyDescent="0.25">
      <c r="A4943" s="1" t="str">
        <f>HYPERLINK("http://www.rosaceae.org/Prunus/Prunus_persica/p.persica_gdr_reftransV1_0021072","p.persica_gdr_reftransV1_0021072")</f>
        <v>p.persica_gdr_reftransV1_0021072</v>
      </c>
      <c r="B4943" s="3">
        <v>1745</v>
      </c>
      <c r="C4943" s="1" t="str">
        <f>HYPERLINK("http://www.uniprot.org/uniprot/CC130_RAT","CC130_RAT")</f>
        <v>CC130_RAT</v>
      </c>
      <c r="D4943" t="s">
        <v>4273</v>
      </c>
      <c r="E4943" s="3" t="s">
        <v>161</v>
      </c>
      <c r="F4943" s="4">
        <v>1.47E-55</v>
      </c>
      <c r="G4943" s="3">
        <v>503</v>
      </c>
      <c r="H4943" s="3">
        <v>52</v>
      </c>
      <c r="I4943" s="3">
        <v>192</v>
      </c>
      <c r="J4943" s="3">
        <v>1029</v>
      </c>
      <c r="K4943" s="3">
        <v>1598</v>
      </c>
      <c r="L4943" s="3">
        <v>1</v>
      </c>
      <c r="M4943" s="3">
        <v>191</v>
      </c>
    </row>
    <row r="4944" spans="1:13" x14ac:dyDescent="0.25">
      <c r="A4944" s="1" t="str">
        <f>HYPERLINK("http://www.rosaceae.org/Prunus/Prunus_persica/p.persica_gdr_reftransV1_0021172","p.persica_gdr_reftransV1_0021172")</f>
        <v>p.persica_gdr_reftransV1_0021172</v>
      </c>
      <c r="B4944" s="3">
        <v>3480</v>
      </c>
      <c r="C4944" s="1" t="str">
        <f>HYPERLINK("http://www.uniprot.org/uniprot/SCL4_ARATH","SCL4_ARATH")</f>
        <v>SCL4_ARATH</v>
      </c>
      <c r="D4944" t="s">
        <v>4274</v>
      </c>
      <c r="E4944" s="3" t="s">
        <v>3</v>
      </c>
      <c r="F4944" s="4">
        <v>0</v>
      </c>
      <c r="G4944" s="3">
        <v>1543</v>
      </c>
      <c r="H4944" s="3">
        <v>62</v>
      </c>
      <c r="I4944" s="3">
        <v>609</v>
      </c>
      <c r="J4944" s="3">
        <v>1404</v>
      </c>
      <c r="K4944" s="3">
        <v>3206</v>
      </c>
      <c r="L4944" s="3">
        <v>1</v>
      </c>
      <c r="M4944" s="3">
        <v>584</v>
      </c>
    </row>
    <row r="4945" spans="1:13" x14ac:dyDescent="0.25">
      <c r="A4945" s="1" t="str">
        <f>HYPERLINK("http://www.rosaceae.org/Prunus/Prunus_persica/p.persica_gdr_reftransV1_0021472","p.persica_gdr_reftransV1_0021472")</f>
        <v>p.persica_gdr_reftransV1_0021472</v>
      </c>
      <c r="B4945" s="3">
        <v>957</v>
      </c>
      <c r="C4945" s="1" t="str">
        <f>HYPERLINK("http://www.uniprot.org/uniprot/E138_ARATH","E138_ARATH")</f>
        <v>E138_ARATH</v>
      </c>
      <c r="D4945" t="s">
        <v>3869</v>
      </c>
      <c r="E4945" s="3" t="s">
        <v>3</v>
      </c>
      <c r="F4945" s="4">
        <v>1.6899999999999999E-85</v>
      </c>
      <c r="G4945" s="3">
        <v>694</v>
      </c>
      <c r="H4945" s="3">
        <v>55</v>
      </c>
      <c r="I4945" s="3">
        <v>242</v>
      </c>
      <c r="J4945" s="3">
        <v>231</v>
      </c>
      <c r="K4945" s="3">
        <v>956</v>
      </c>
      <c r="L4945" s="3">
        <v>212</v>
      </c>
      <c r="M4945" s="3">
        <v>452</v>
      </c>
    </row>
    <row r="4946" spans="1:13" x14ac:dyDescent="0.25">
      <c r="A4946" s="1" t="str">
        <f>HYPERLINK("http://www.rosaceae.org/Prunus/Prunus_persica/p.persica_gdr_reftransV1_0021622","p.persica_gdr_reftransV1_0021622")</f>
        <v>p.persica_gdr_reftransV1_0021622</v>
      </c>
      <c r="B4946" s="3">
        <v>2119</v>
      </c>
      <c r="C4946" s="1" t="str">
        <f>HYPERLINK("http://www.uniprot.org/uniprot/SCAB1_ARATH","SCAB1_ARATH")</f>
        <v>SCAB1_ARATH</v>
      </c>
      <c r="D4946" t="s">
        <v>3378</v>
      </c>
      <c r="E4946" s="3" t="s">
        <v>3</v>
      </c>
      <c r="F4946" s="4">
        <v>0</v>
      </c>
      <c r="G4946" s="3">
        <v>2023</v>
      </c>
      <c r="H4946" s="3">
        <v>80</v>
      </c>
      <c r="I4946" s="3">
        <v>498</v>
      </c>
      <c r="J4946" s="3">
        <v>321</v>
      </c>
      <c r="K4946" s="3">
        <v>1814</v>
      </c>
      <c r="L4946" s="3">
        <v>1</v>
      </c>
      <c r="M4946" s="3">
        <v>496</v>
      </c>
    </row>
    <row r="4947" spans="1:13" x14ac:dyDescent="0.25">
      <c r="A4947" s="1" t="str">
        <f>HYPERLINK("http://www.rosaceae.org/Prunus/Prunus_persica/p.persica_gdr_reftransV1_0021672","p.persica_gdr_reftransV1_0021672")</f>
        <v>p.persica_gdr_reftransV1_0021672</v>
      </c>
      <c r="B4947" s="3">
        <v>1597</v>
      </c>
      <c r="C4947" s="1" t="str">
        <f>HYPERLINK("http://www.uniprot.org/uniprot/UBP5_ARATH","UBP5_ARATH")</f>
        <v>UBP5_ARATH</v>
      </c>
      <c r="D4947" t="s">
        <v>4275</v>
      </c>
      <c r="E4947" s="3" t="s">
        <v>3</v>
      </c>
      <c r="F4947" s="4">
        <v>4.65E-149</v>
      </c>
      <c r="G4947" s="3">
        <v>738</v>
      </c>
      <c r="H4947" s="3">
        <v>75</v>
      </c>
      <c r="I4947" s="3">
        <v>182</v>
      </c>
      <c r="J4947" s="3">
        <v>679</v>
      </c>
      <c r="K4947" s="3">
        <v>1224</v>
      </c>
      <c r="L4947" s="3">
        <v>22</v>
      </c>
      <c r="M4947" s="3">
        <v>203</v>
      </c>
    </row>
    <row r="4948" spans="1:13" x14ac:dyDescent="0.25">
      <c r="A4948" s="1" t="str">
        <f>HYPERLINK("http://www.rosaceae.org/Prunus/Prunus_persica/p.persica_gdr_reftransV1_0021722","p.persica_gdr_reftransV1_0021722")</f>
        <v>p.persica_gdr_reftransV1_0021722</v>
      </c>
      <c r="B4948" s="3">
        <v>2104</v>
      </c>
      <c r="C4948" s="1" t="str">
        <f>HYPERLINK("http://www.uniprot.org/uniprot/PSMD3_DAUCA","PSMD3_DAUCA")</f>
        <v>PSMD3_DAUCA</v>
      </c>
      <c r="D4948" t="s">
        <v>4276</v>
      </c>
      <c r="E4948" s="3" t="s">
        <v>32</v>
      </c>
      <c r="F4948" s="4">
        <v>6.2600000000000002E-149</v>
      </c>
      <c r="G4948" s="3">
        <v>1156</v>
      </c>
      <c r="H4948" s="3">
        <v>91</v>
      </c>
      <c r="I4948" s="3">
        <v>251</v>
      </c>
      <c r="J4948" s="3">
        <v>520</v>
      </c>
      <c r="K4948" s="3">
        <v>1272</v>
      </c>
      <c r="L4948" s="3">
        <v>239</v>
      </c>
      <c r="M4948" s="3">
        <v>489</v>
      </c>
    </row>
    <row r="4949" spans="1:13" x14ac:dyDescent="0.25">
      <c r="A4949" s="1" t="str">
        <f>HYPERLINK("http://www.rosaceae.org/Prunus/Prunus_persica/p.persica_gdr_reftransV1_0021772","p.persica_gdr_reftransV1_0021772")</f>
        <v>p.persica_gdr_reftransV1_0021772</v>
      </c>
      <c r="B4949" s="3">
        <v>3440</v>
      </c>
      <c r="C4949" s="1" t="str">
        <f>HYPERLINK("http://www.uniprot.org/uniprot/GLYT3_ARATH","GLYT3_ARATH")</f>
        <v>GLYT3_ARATH</v>
      </c>
      <c r="D4949" t="s">
        <v>2169</v>
      </c>
      <c r="E4949" s="3" t="s">
        <v>3</v>
      </c>
      <c r="F4949" s="4">
        <v>6.2900000000000001E-61</v>
      </c>
      <c r="G4949" s="3">
        <v>566</v>
      </c>
      <c r="H4949" s="3">
        <v>52</v>
      </c>
      <c r="I4949" s="3">
        <v>221</v>
      </c>
      <c r="J4949" s="3">
        <v>2142</v>
      </c>
      <c r="K4949" s="3">
        <v>2804</v>
      </c>
      <c r="L4949" s="3">
        <v>298</v>
      </c>
      <c r="M4949" s="3">
        <v>512</v>
      </c>
    </row>
    <row r="4950" spans="1:13" x14ac:dyDescent="0.25">
      <c r="A4950" s="1" t="str">
        <f>HYPERLINK("http://www.rosaceae.org/Prunus/Prunus_persica/p.persica_gdr_reftransV1_0022122","p.persica_gdr_reftransV1_0022122")</f>
        <v>p.persica_gdr_reftransV1_0022122</v>
      </c>
      <c r="B4950" s="3">
        <v>430</v>
      </c>
      <c r="C4950" s="1" t="str">
        <f>HYPERLINK("http://www.uniprot.org/uniprot/PP237_ARATH","PP237_ARATH")</f>
        <v>PP237_ARATH</v>
      </c>
      <c r="D4950" t="s">
        <v>4277</v>
      </c>
      <c r="E4950" s="3" t="s">
        <v>3</v>
      </c>
      <c r="F4950" s="4">
        <v>6.5200000000000004E-48</v>
      </c>
      <c r="G4950" s="3">
        <v>425</v>
      </c>
      <c r="H4950" s="3">
        <v>52</v>
      </c>
      <c r="I4950" s="3">
        <v>141</v>
      </c>
      <c r="J4950" s="3">
        <v>5</v>
      </c>
      <c r="K4950" s="3">
        <v>427</v>
      </c>
      <c r="L4950" s="3">
        <v>366</v>
      </c>
      <c r="M4950" s="3">
        <v>506</v>
      </c>
    </row>
    <row r="4951" spans="1:13" x14ac:dyDescent="0.25">
      <c r="A4951" s="1" t="str">
        <f>HYPERLINK("http://www.rosaceae.org/Prunus/Prunus_persica/p.persica_gdr_reftransV1_0022322","p.persica_gdr_reftransV1_0022322")</f>
        <v>p.persica_gdr_reftransV1_0022322</v>
      </c>
      <c r="B4951" s="3">
        <v>1836</v>
      </c>
      <c r="C4951" s="1" t="str">
        <f>HYPERLINK("http://www.uniprot.org/uniprot/BAG1_ARATH","BAG1_ARATH")</f>
        <v>BAG1_ARATH</v>
      </c>
      <c r="D4951" t="s">
        <v>4278</v>
      </c>
      <c r="E4951" s="3" t="s">
        <v>3</v>
      </c>
      <c r="F4951" s="4">
        <v>8.7200000000000007E-74</v>
      </c>
      <c r="G4951" s="3">
        <v>628</v>
      </c>
      <c r="H4951" s="3">
        <v>50</v>
      </c>
      <c r="I4951" s="3">
        <v>289</v>
      </c>
      <c r="J4951" s="3">
        <v>560</v>
      </c>
      <c r="K4951" s="3">
        <v>1369</v>
      </c>
      <c r="L4951" s="3">
        <v>39</v>
      </c>
      <c r="M4951" s="3">
        <v>315</v>
      </c>
    </row>
    <row r="4952" spans="1:13" x14ac:dyDescent="0.25">
      <c r="A4952" s="1" t="str">
        <f>HYPERLINK("http://www.rosaceae.org/Prunus/Prunus_persica/p.persica_gdr_reftransV1_0022372","p.persica_gdr_reftransV1_0022372")</f>
        <v>p.persica_gdr_reftransV1_0022372</v>
      </c>
      <c r="B4952" s="3">
        <v>1671</v>
      </c>
      <c r="C4952" s="1" t="str">
        <f>HYPERLINK("http://www.uniprot.org/uniprot/PEP_ARATH","PEP_ARATH")</f>
        <v>PEP_ARATH</v>
      </c>
      <c r="D4952" t="s">
        <v>2953</v>
      </c>
      <c r="E4952" s="3" t="s">
        <v>3</v>
      </c>
      <c r="F4952" s="4">
        <v>3.0999999999999998E-21</v>
      </c>
      <c r="G4952" s="3">
        <v>250</v>
      </c>
      <c r="H4952" s="3">
        <v>35</v>
      </c>
      <c r="I4952" s="3">
        <v>175</v>
      </c>
      <c r="J4952" s="3">
        <v>920</v>
      </c>
      <c r="K4952" s="3">
        <v>1429</v>
      </c>
      <c r="L4952" s="3">
        <v>73</v>
      </c>
      <c r="M4952" s="3">
        <v>239</v>
      </c>
    </row>
    <row r="4953" spans="1:13" x14ac:dyDescent="0.25">
      <c r="A4953" s="1" t="str">
        <f>HYPERLINK("http://www.rosaceae.org/Prunus/Prunus_persica/p.persica_gdr_reftransV1_0022422","p.persica_gdr_reftransV1_0022422")</f>
        <v>p.persica_gdr_reftransV1_0022422</v>
      </c>
      <c r="B4953" s="3">
        <v>2463</v>
      </c>
      <c r="C4953" s="1" t="str">
        <f>HYPERLINK("http://www.uniprot.org/uniprot/ACLB1_ORYSJ","ACLB1_ORYSJ")</f>
        <v>ACLB1_ORYSJ</v>
      </c>
      <c r="D4953" t="s">
        <v>4279</v>
      </c>
      <c r="E4953" s="3" t="s">
        <v>38</v>
      </c>
      <c r="F4953" s="4">
        <v>0</v>
      </c>
      <c r="G4953" s="3">
        <v>2982</v>
      </c>
      <c r="H4953" s="3">
        <v>93</v>
      </c>
      <c r="I4953" s="3">
        <v>608</v>
      </c>
      <c r="J4953" s="3">
        <v>361</v>
      </c>
      <c r="K4953" s="3">
        <v>2184</v>
      </c>
      <c r="L4953" s="3">
        <v>1</v>
      </c>
      <c r="M4953" s="3">
        <v>608</v>
      </c>
    </row>
    <row r="4954" spans="1:13" x14ac:dyDescent="0.25">
      <c r="A4954" s="1" t="str">
        <f>HYPERLINK("http://www.rosaceae.org/Prunus/Prunus_persica/p.persica_gdr_reftransV1_0022822","p.persica_gdr_reftransV1_0022822")</f>
        <v>p.persica_gdr_reftransV1_0022822</v>
      </c>
      <c r="B4954" s="3">
        <v>3652</v>
      </c>
      <c r="C4954" s="1" t="str">
        <f>HYPERLINK("http://www.uniprot.org/uniprot/HSL1_ARATH","HSL1_ARATH")</f>
        <v>HSL1_ARATH</v>
      </c>
      <c r="D4954" t="s">
        <v>4280</v>
      </c>
      <c r="E4954" s="3" t="s">
        <v>3</v>
      </c>
      <c r="F4954" s="4">
        <v>0</v>
      </c>
      <c r="G4954" s="3">
        <v>3761</v>
      </c>
      <c r="H4954" s="3">
        <v>71</v>
      </c>
      <c r="I4954" s="3">
        <v>982</v>
      </c>
      <c r="J4954" s="3">
        <v>558</v>
      </c>
      <c r="K4954" s="3">
        <v>3482</v>
      </c>
      <c r="L4954" s="3">
        <v>16</v>
      </c>
      <c r="M4954" s="3">
        <v>996</v>
      </c>
    </row>
    <row r="4955" spans="1:13" x14ac:dyDescent="0.25">
      <c r="A4955" s="1" t="str">
        <f>HYPERLINK("http://www.rosaceae.org/Prunus/Prunus_persica/p.persica_gdr_reftransV1_0022922","p.persica_gdr_reftransV1_0022922")</f>
        <v>p.persica_gdr_reftransV1_0022922</v>
      </c>
      <c r="B4955" s="3">
        <v>774</v>
      </c>
      <c r="C4955" s="1" t="str">
        <f>HYPERLINK("http://www.uniprot.org/uniprot/PUR8_HAEIN","PUR8_HAEIN")</f>
        <v>PUR8_HAEIN</v>
      </c>
      <c r="D4955" t="s">
        <v>4281</v>
      </c>
      <c r="E4955" s="3" t="s">
        <v>2553</v>
      </c>
      <c r="F4955" s="4">
        <v>2.7799999999999999E-42</v>
      </c>
      <c r="G4955" s="3">
        <v>391</v>
      </c>
      <c r="H4955" s="3">
        <v>58</v>
      </c>
      <c r="I4955" s="3">
        <v>130</v>
      </c>
      <c r="J4955" s="3">
        <v>2</v>
      </c>
      <c r="K4955" s="3">
        <v>391</v>
      </c>
      <c r="L4955" s="3">
        <v>1</v>
      </c>
      <c r="M4955" s="3">
        <v>130</v>
      </c>
    </row>
    <row r="4956" spans="1:13" x14ac:dyDescent="0.25">
      <c r="A4956" s="1" t="str">
        <f>HYPERLINK("http://www.rosaceae.org/Prunus/Prunus_persica/p.persica_gdr_reftransV1_0022972","p.persica_gdr_reftransV1_0022972")</f>
        <v>p.persica_gdr_reftransV1_0022972</v>
      </c>
      <c r="B4956" s="3">
        <v>1396</v>
      </c>
      <c r="C4956" s="1" t="str">
        <f>HYPERLINK("http://www.uniprot.org/uniprot/CLPP5_ARATH","CLPP5_ARATH")</f>
        <v>CLPP5_ARATH</v>
      </c>
      <c r="D4956" t="s">
        <v>4282</v>
      </c>
      <c r="E4956" s="3" t="s">
        <v>3</v>
      </c>
      <c r="F4956" s="4">
        <v>2.52E-177</v>
      </c>
      <c r="G4956" s="3">
        <v>1302</v>
      </c>
      <c r="H4956" s="3">
        <v>85</v>
      </c>
      <c r="I4956" s="3">
        <v>297</v>
      </c>
      <c r="J4956" s="3">
        <v>387</v>
      </c>
      <c r="K4956" s="3">
        <v>1268</v>
      </c>
      <c r="L4956" s="3">
        <v>1</v>
      </c>
      <c r="M4956" s="3">
        <v>295</v>
      </c>
    </row>
    <row r="4957" spans="1:13" x14ac:dyDescent="0.25">
      <c r="A4957" s="1" t="str">
        <f>HYPERLINK("http://www.rosaceae.org/Prunus/Prunus_persica/p.persica_gdr_reftransV1_0023172","p.persica_gdr_reftransV1_0023172")</f>
        <v>p.persica_gdr_reftransV1_0023172</v>
      </c>
      <c r="B4957" s="3">
        <v>471</v>
      </c>
      <c r="C4957" s="1" t="str">
        <f>HYPERLINK("http://www.uniprot.org/uniprot/RLK1_ARATH","RLK1_ARATH")</f>
        <v>RLK1_ARATH</v>
      </c>
      <c r="D4957" t="s">
        <v>806</v>
      </c>
      <c r="E4957" s="3" t="s">
        <v>3</v>
      </c>
      <c r="F4957" s="4">
        <v>5.5300000000000002E-29</v>
      </c>
      <c r="G4957" s="3">
        <v>292</v>
      </c>
      <c r="H4957" s="3">
        <v>43</v>
      </c>
      <c r="I4957" s="3">
        <v>122</v>
      </c>
      <c r="J4957" s="3">
        <v>1</v>
      </c>
      <c r="K4957" s="3">
        <v>357</v>
      </c>
      <c r="L4957" s="3">
        <v>697</v>
      </c>
      <c r="M4957" s="3">
        <v>815</v>
      </c>
    </row>
    <row r="4958" spans="1:13" x14ac:dyDescent="0.25">
      <c r="A4958" s="1" t="str">
        <f>HYPERLINK("http://www.rosaceae.org/Prunus/Prunus_persica/p.persica_gdr_reftransV1_0023272","p.persica_gdr_reftransV1_0023272")</f>
        <v>p.persica_gdr_reftransV1_0023272</v>
      </c>
      <c r="B4958" s="3">
        <v>2290</v>
      </c>
      <c r="C4958" s="1" t="str">
        <f>HYPERLINK("http://www.uniprot.org/uniprot/IPT2_ARATH","IPT2_ARATH")</f>
        <v>IPT2_ARATH</v>
      </c>
      <c r="D4958" t="s">
        <v>4283</v>
      </c>
      <c r="E4958" s="3" t="s">
        <v>3</v>
      </c>
      <c r="F4958" s="4">
        <v>3.1599999999999998E-78</v>
      </c>
      <c r="G4958" s="3">
        <v>678</v>
      </c>
      <c r="H4958" s="3">
        <v>52</v>
      </c>
      <c r="I4958" s="3">
        <v>272</v>
      </c>
      <c r="J4958" s="3">
        <v>1218</v>
      </c>
      <c r="K4958" s="3">
        <v>2033</v>
      </c>
      <c r="L4958" s="3">
        <v>214</v>
      </c>
      <c r="M4958" s="3">
        <v>461</v>
      </c>
    </row>
    <row r="4959" spans="1:13" x14ac:dyDescent="0.25">
      <c r="A4959" s="1" t="str">
        <f>HYPERLINK("http://www.rosaceae.org/Prunus/Prunus_persica/p.persica_gdr_reftransV1_0023422","p.persica_gdr_reftransV1_0023422")</f>
        <v>p.persica_gdr_reftransV1_0023422</v>
      </c>
      <c r="B4959" s="3">
        <v>3452</v>
      </c>
      <c r="C4959" s="1" t="str">
        <f>HYPERLINK("http://www.uniprot.org/uniprot/GAUT4_ARATH","GAUT4_ARATH")</f>
        <v>GAUT4_ARATH</v>
      </c>
      <c r="D4959" t="s">
        <v>4284</v>
      </c>
      <c r="E4959" s="3" t="s">
        <v>3</v>
      </c>
      <c r="F4959" s="4">
        <v>0</v>
      </c>
      <c r="G4959" s="3">
        <v>2352</v>
      </c>
      <c r="H4959" s="3">
        <v>68</v>
      </c>
      <c r="I4959" s="3">
        <v>662</v>
      </c>
      <c r="J4959" s="3">
        <v>424</v>
      </c>
      <c r="K4959" s="3">
        <v>2397</v>
      </c>
      <c r="L4959" s="3">
        <v>1</v>
      </c>
      <c r="M4959" s="3">
        <v>616</v>
      </c>
    </row>
    <row r="4960" spans="1:13" x14ac:dyDescent="0.25">
      <c r="A4960" s="1" t="str">
        <f>HYPERLINK("http://www.rosaceae.org/Prunus/Prunus_persica/p.persica_gdr_reftransV1_0023472","p.persica_gdr_reftransV1_0023472")</f>
        <v>p.persica_gdr_reftransV1_0023472</v>
      </c>
      <c r="B4960" s="3">
        <v>2105</v>
      </c>
      <c r="C4960" s="1" t="str">
        <f>HYPERLINK("http://www.uniprot.org/uniprot/RNZC_ARATH","RNZC_ARATH")</f>
        <v>RNZC_ARATH</v>
      </c>
      <c r="D4960" t="s">
        <v>3891</v>
      </c>
      <c r="E4960" s="3" t="s">
        <v>3</v>
      </c>
      <c r="F4960" s="4">
        <v>1.7199999999999998E-157</v>
      </c>
      <c r="G4960" s="3">
        <v>1199</v>
      </c>
      <c r="H4960" s="3">
        <v>76</v>
      </c>
      <c r="I4960" s="3">
        <v>286</v>
      </c>
      <c r="J4960" s="3">
        <v>1010</v>
      </c>
      <c r="K4960" s="3">
        <v>1864</v>
      </c>
      <c r="L4960" s="3">
        <v>42</v>
      </c>
      <c r="M4960" s="3">
        <v>327</v>
      </c>
    </row>
    <row r="4961" spans="1:13" x14ac:dyDescent="0.25">
      <c r="A4961" s="1" t="str">
        <f>HYPERLINK("http://www.rosaceae.org/Prunus/Prunus_persica/p.persica_gdr_reftransV1_0023572","p.persica_gdr_reftransV1_0023572")</f>
        <v>p.persica_gdr_reftransV1_0023572</v>
      </c>
      <c r="B4961" s="3">
        <v>2121</v>
      </c>
      <c r="C4961" s="1" t="str">
        <f>HYPERLINK("http://www.uniprot.org/uniprot/PE191_ARATH","PE191_ARATH")</f>
        <v>PE191_ARATH</v>
      </c>
      <c r="D4961" t="s">
        <v>4285</v>
      </c>
      <c r="E4961" s="3" t="s">
        <v>3</v>
      </c>
      <c r="F4961" s="4">
        <v>3.4799999999999999E-86</v>
      </c>
      <c r="G4961" s="3">
        <v>710</v>
      </c>
      <c r="H4961" s="3">
        <v>72</v>
      </c>
      <c r="I4961" s="3">
        <v>187</v>
      </c>
      <c r="J4961" s="3">
        <v>743</v>
      </c>
      <c r="K4961" s="3">
        <v>1300</v>
      </c>
      <c r="L4961" s="3">
        <v>49</v>
      </c>
      <c r="M4961" s="3">
        <v>234</v>
      </c>
    </row>
    <row r="4962" spans="1:13" x14ac:dyDescent="0.25">
      <c r="A4962" s="1" t="str">
        <f>HYPERLINK("http://www.rosaceae.org/Prunus/Prunus_persica/p.persica_gdr_reftransV1_0023722","p.persica_gdr_reftransV1_0023722")</f>
        <v>p.persica_gdr_reftransV1_0023722</v>
      </c>
      <c r="B4962" s="3">
        <v>2553</v>
      </c>
      <c r="C4962" s="1" t="str">
        <f>HYPERLINK("http://www.uniprot.org/uniprot/ULP1D_ARATH","ULP1D_ARATH")</f>
        <v>ULP1D_ARATH</v>
      </c>
      <c r="D4962" t="s">
        <v>4286</v>
      </c>
      <c r="E4962" s="3" t="s">
        <v>3</v>
      </c>
      <c r="F4962" s="4">
        <v>3.2799999999999999E-96</v>
      </c>
      <c r="G4962" s="3">
        <v>601</v>
      </c>
      <c r="H4962" s="3">
        <v>59</v>
      </c>
      <c r="I4962" s="3">
        <v>176</v>
      </c>
      <c r="J4962" s="3">
        <v>1123</v>
      </c>
      <c r="K4962" s="3">
        <v>1650</v>
      </c>
      <c r="L4962" s="3">
        <v>303</v>
      </c>
      <c r="M4962" s="3">
        <v>477</v>
      </c>
    </row>
    <row r="4963" spans="1:13" x14ac:dyDescent="0.25">
      <c r="A4963" s="1" t="str">
        <f>HYPERLINK("http://www.rosaceae.org/Prunus/Prunus_persica/p.persica_gdr_reftransV1_0024022","p.persica_gdr_reftransV1_0024022")</f>
        <v>p.persica_gdr_reftransV1_0024022</v>
      </c>
      <c r="B4963" s="3">
        <v>996</v>
      </c>
      <c r="C4963" s="1" t="str">
        <f>HYPERLINK("http://www.uniprot.org/uniprot/UBC7_ARATH","UBC7_ARATH")</f>
        <v>UBC7_ARATH</v>
      </c>
      <c r="D4963" t="s">
        <v>4287</v>
      </c>
      <c r="E4963" s="3" t="s">
        <v>3</v>
      </c>
      <c r="F4963" s="4">
        <v>4.8699999999999998E-59</v>
      </c>
      <c r="G4963" s="3">
        <v>492</v>
      </c>
      <c r="H4963" s="3">
        <v>87</v>
      </c>
      <c r="I4963" s="3">
        <v>99</v>
      </c>
      <c r="J4963" s="3">
        <v>594</v>
      </c>
      <c r="K4963" s="3">
        <v>890</v>
      </c>
      <c r="L4963" s="3">
        <v>17</v>
      </c>
      <c r="M4963" s="3">
        <v>115</v>
      </c>
    </row>
    <row r="4964" spans="1:13" x14ac:dyDescent="0.25">
      <c r="A4964" s="1" t="str">
        <f>HYPERLINK("http://www.rosaceae.org/Prunus/Prunus_persica/p.persica_gdr_reftransV1_0024272","p.persica_gdr_reftransV1_0024272")</f>
        <v>p.persica_gdr_reftransV1_0024272</v>
      </c>
      <c r="B4964" s="3">
        <v>1416</v>
      </c>
      <c r="C4964" s="1" t="str">
        <f>HYPERLINK("http://www.uniprot.org/uniprot/PP251_ARATH","PP251_ARATH")</f>
        <v>PP251_ARATH</v>
      </c>
      <c r="D4964" t="s">
        <v>1144</v>
      </c>
      <c r="E4964" s="3" t="s">
        <v>3</v>
      </c>
      <c r="F4964" s="4">
        <v>6.5600000000000005E-86</v>
      </c>
      <c r="G4964" s="3">
        <v>727</v>
      </c>
      <c r="H4964" s="3">
        <v>38</v>
      </c>
      <c r="I4964" s="3">
        <v>379</v>
      </c>
      <c r="J4964" s="3">
        <v>8</v>
      </c>
      <c r="K4964" s="3">
        <v>1141</v>
      </c>
      <c r="L4964" s="3">
        <v>240</v>
      </c>
      <c r="M4964" s="3">
        <v>613</v>
      </c>
    </row>
    <row r="4965" spans="1:13" x14ac:dyDescent="0.25">
      <c r="A4965" s="1" t="str">
        <f>HYPERLINK("http://www.rosaceae.org/Prunus/Prunus_persica/p.persica_gdr_reftransV1_0024322","p.persica_gdr_reftransV1_0024322")</f>
        <v>p.persica_gdr_reftransV1_0024322</v>
      </c>
      <c r="B4965" s="3">
        <v>2008</v>
      </c>
      <c r="C4965" s="1" t="str">
        <f>HYPERLINK("http://www.uniprot.org/uniprot/PUS4_ARATH","PUS4_ARATH")</f>
        <v>PUS4_ARATH</v>
      </c>
      <c r="D4965" t="s">
        <v>4288</v>
      </c>
      <c r="E4965" s="3" t="s">
        <v>3</v>
      </c>
      <c r="F4965" s="4">
        <v>1.5799999999999999E-89</v>
      </c>
      <c r="G4965" s="3">
        <v>751</v>
      </c>
      <c r="H4965" s="3">
        <v>58</v>
      </c>
      <c r="I4965" s="3">
        <v>297</v>
      </c>
      <c r="J4965" s="3">
        <v>926</v>
      </c>
      <c r="K4965" s="3">
        <v>1813</v>
      </c>
      <c r="L4965" s="3">
        <v>29</v>
      </c>
      <c r="M4965" s="3">
        <v>306</v>
      </c>
    </row>
    <row r="4966" spans="1:13" x14ac:dyDescent="0.25">
      <c r="A4966" s="1" t="str">
        <f>HYPERLINK("http://www.rosaceae.org/Prunus/Prunus_persica/p.persica_gdr_reftransV1_0024422","p.persica_gdr_reftransV1_0024422")</f>
        <v>p.persica_gdr_reftransV1_0024422</v>
      </c>
      <c r="B4966" s="3">
        <v>1338</v>
      </c>
      <c r="C4966" s="1" t="str">
        <f>HYPERLINK("http://www.uniprot.org/uniprot/ILR1_ARATH","ILR1_ARATH")</f>
        <v>ILR1_ARATH</v>
      </c>
      <c r="D4966" t="s">
        <v>397</v>
      </c>
      <c r="E4966" s="3" t="s">
        <v>3</v>
      </c>
      <c r="F4966" s="4">
        <v>8.9600000000000004E-120</v>
      </c>
      <c r="G4966" s="3">
        <v>933</v>
      </c>
      <c r="H4966" s="3">
        <v>56</v>
      </c>
      <c r="I4966" s="3">
        <v>352</v>
      </c>
      <c r="J4966" s="3">
        <v>2</v>
      </c>
      <c r="K4966" s="3">
        <v>1057</v>
      </c>
      <c r="L4966" s="3">
        <v>125</v>
      </c>
      <c r="M4966" s="3">
        <v>430</v>
      </c>
    </row>
    <row r="4967" spans="1:13" x14ac:dyDescent="0.25">
      <c r="A4967" s="1" t="str">
        <f>HYPERLINK("http://www.rosaceae.org/Prunus/Prunus_persica/p.persica_gdr_reftransV1_0024472","p.persica_gdr_reftransV1_0024472")</f>
        <v>p.persica_gdr_reftransV1_0024472</v>
      </c>
      <c r="B4967" s="3">
        <v>603</v>
      </c>
      <c r="C4967" s="1" t="str">
        <f>HYPERLINK("http://www.uniprot.org/uniprot/PIRL5_ORYSJ","PIRL5_ORYSJ")</f>
        <v>PIRL5_ORYSJ</v>
      </c>
      <c r="D4967" t="s">
        <v>4289</v>
      </c>
      <c r="E4967" s="3" t="s">
        <v>38</v>
      </c>
      <c r="F4967" s="4">
        <v>1.24E-29</v>
      </c>
      <c r="G4967" s="3">
        <v>296</v>
      </c>
      <c r="H4967" s="3">
        <v>60</v>
      </c>
      <c r="I4967" s="3">
        <v>110</v>
      </c>
      <c r="J4967" s="3">
        <v>3</v>
      </c>
      <c r="K4967" s="3">
        <v>332</v>
      </c>
      <c r="L4967" s="3">
        <v>438</v>
      </c>
      <c r="M4967" s="3">
        <v>543</v>
      </c>
    </row>
    <row r="4968" spans="1:13" x14ac:dyDescent="0.25">
      <c r="A4968" s="1" t="str">
        <f>HYPERLINK("http://www.rosaceae.org/Prunus/Prunus_persica/p.persica_gdr_reftransV1_0024672","p.persica_gdr_reftransV1_0024672")</f>
        <v>p.persica_gdr_reftransV1_0024672</v>
      </c>
      <c r="B4968" s="3">
        <v>4044</v>
      </c>
      <c r="C4968" s="1" t="str">
        <f>HYPERLINK("http://www.uniprot.org/uniprot/RLP12_ARATH","RLP12_ARATH")</f>
        <v>RLP12_ARATH</v>
      </c>
      <c r="D4968" t="s">
        <v>1219</v>
      </c>
      <c r="E4968" s="3" t="s">
        <v>3</v>
      </c>
      <c r="F4968" s="4">
        <v>1.1500000000000001E-64</v>
      </c>
      <c r="G4968" s="3">
        <v>615</v>
      </c>
      <c r="H4968" s="3">
        <v>30</v>
      </c>
      <c r="I4968" s="3">
        <v>825</v>
      </c>
      <c r="J4968" s="3">
        <v>708</v>
      </c>
      <c r="K4968" s="3">
        <v>3125</v>
      </c>
      <c r="L4968" s="3">
        <v>34</v>
      </c>
      <c r="M4968" s="3">
        <v>753</v>
      </c>
    </row>
    <row r="4969" spans="1:13" x14ac:dyDescent="0.25">
      <c r="A4969" s="1" t="str">
        <f>HYPERLINK("http://www.rosaceae.org/Prunus/Prunus_persica/p.persica_gdr_reftransV1_0024772","p.persica_gdr_reftransV1_0024772")</f>
        <v>p.persica_gdr_reftransV1_0024772</v>
      </c>
      <c r="B4969" s="3">
        <v>1437</v>
      </c>
      <c r="C4969" s="1" t="str">
        <f>HYPERLINK("http://www.uniprot.org/uniprot/AGD12_ARATH","AGD12_ARATH")</f>
        <v>AGD12_ARATH</v>
      </c>
      <c r="D4969" t="s">
        <v>4290</v>
      </c>
      <c r="E4969" s="3" t="s">
        <v>3</v>
      </c>
      <c r="F4969" s="4">
        <v>5.6300000000000003E-171</v>
      </c>
      <c r="G4969" s="3">
        <v>1266</v>
      </c>
      <c r="H4969" s="3">
        <v>74</v>
      </c>
      <c r="I4969" s="3">
        <v>340</v>
      </c>
      <c r="J4969" s="3">
        <v>232</v>
      </c>
      <c r="K4969" s="3">
        <v>1236</v>
      </c>
      <c r="L4969" s="3">
        <v>1</v>
      </c>
      <c r="M4969" s="3">
        <v>337</v>
      </c>
    </row>
    <row r="4970" spans="1:13" x14ac:dyDescent="0.25">
      <c r="A4970" s="1" t="str">
        <f>HYPERLINK("http://www.rosaceae.org/Prunus/Prunus_persica/p.persica_gdr_reftransV1_0024972","p.persica_gdr_reftransV1_0024972")</f>
        <v>p.persica_gdr_reftransV1_0024972</v>
      </c>
      <c r="B4970" s="3">
        <v>5152</v>
      </c>
      <c r="C4970" s="1" t="str">
        <f>HYPERLINK("http://www.uniprot.org/uniprot/IST1_MOUSE","IST1_MOUSE")</f>
        <v>IST1_MOUSE</v>
      </c>
      <c r="D4970" t="s">
        <v>4291</v>
      </c>
      <c r="E4970" s="3" t="s">
        <v>157</v>
      </c>
      <c r="F4970" s="4">
        <v>4.9600000000000001E-13</v>
      </c>
      <c r="G4970" s="3">
        <v>186</v>
      </c>
      <c r="H4970" s="3">
        <v>39</v>
      </c>
      <c r="I4970" s="3">
        <v>93</v>
      </c>
      <c r="J4970" s="3">
        <v>253</v>
      </c>
      <c r="K4970" s="3">
        <v>531</v>
      </c>
      <c r="L4970" s="3">
        <v>1</v>
      </c>
      <c r="M4970" s="3">
        <v>93</v>
      </c>
    </row>
    <row r="4971" spans="1:13" x14ac:dyDescent="0.25">
      <c r="A4971" s="1" t="str">
        <f>HYPERLINK("http://www.rosaceae.org/Prunus/Prunus_persica/p.persica_gdr_reftransV1_0025022","p.persica_gdr_reftransV1_0025022")</f>
        <v>p.persica_gdr_reftransV1_0025022</v>
      </c>
      <c r="B4971" s="3">
        <v>1104</v>
      </c>
      <c r="C4971" s="1" t="str">
        <f>HYPERLINK("http://www.uniprot.org/uniprot/PER21_ARATH","PER21_ARATH")</f>
        <v>PER21_ARATH</v>
      </c>
      <c r="D4971" t="s">
        <v>4292</v>
      </c>
      <c r="E4971" s="3" t="s">
        <v>3</v>
      </c>
      <c r="F4971" s="4">
        <v>1.2499999999999999E-164</v>
      </c>
      <c r="G4971" s="3">
        <v>1211</v>
      </c>
      <c r="H4971" s="3">
        <v>76</v>
      </c>
      <c r="I4971" s="3">
        <v>302</v>
      </c>
      <c r="J4971" s="3">
        <v>112</v>
      </c>
      <c r="K4971" s="3">
        <v>1014</v>
      </c>
      <c r="L4971" s="3">
        <v>26</v>
      </c>
      <c r="M4971" s="3">
        <v>327</v>
      </c>
    </row>
    <row r="4972" spans="1:13" x14ac:dyDescent="0.25">
      <c r="A4972" s="1" t="str">
        <f>HYPERLINK("http://www.rosaceae.org/Prunus/Prunus_persica/p.persica_gdr_reftransV1_0025072","p.persica_gdr_reftransV1_0025072")</f>
        <v>p.persica_gdr_reftransV1_0025072</v>
      </c>
      <c r="B4972" s="3">
        <v>3192</v>
      </c>
      <c r="C4972" s="1" t="str">
        <f>HYPERLINK("http://www.uniprot.org/uniprot/AROD2_ARATH","AROD2_ARATH")</f>
        <v>AROD2_ARATH</v>
      </c>
      <c r="D4972" t="s">
        <v>3918</v>
      </c>
      <c r="E4972" s="3" t="s">
        <v>3</v>
      </c>
      <c r="F4972" s="4">
        <v>1.5699999999999999E-72</v>
      </c>
      <c r="G4972" s="3">
        <v>639</v>
      </c>
      <c r="H4972" s="3">
        <v>94</v>
      </c>
      <c r="I4972" s="3">
        <v>126</v>
      </c>
      <c r="J4972" s="3">
        <v>776</v>
      </c>
      <c r="K4972" s="3">
        <v>1153</v>
      </c>
      <c r="L4972" s="3">
        <v>104</v>
      </c>
      <c r="M4972" s="3">
        <v>229</v>
      </c>
    </row>
    <row r="4973" spans="1:13" x14ac:dyDescent="0.25">
      <c r="A4973" s="1" t="str">
        <f>HYPERLINK("http://www.rosaceae.org/Prunus/Prunus_persica/p.persica_gdr_reftransV1_0025272","p.persica_gdr_reftransV1_0025272")</f>
        <v>p.persica_gdr_reftransV1_0025272</v>
      </c>
      <c r="B4973" s="3">
        <v>1658</v>
      </c>
      <c r="C4973" s="1" t="str">
        <f>HYPERLINK("http://www.uniprot.org/uniprot/GPPL1_ARATH","GPPL1_ARATH")</f>
        <v>GPPL1_ARATH</v>
      </c>
      <c r="D4973" t="s">
        <v>4293</v>
      </c>
      <c r="E4973" s="3" t="s">
        <v>3</v>
      </c>
      <c r="F4973" s="4">
        <v>2.5099999999999999E-119</v>
      </c>
      <c r="G4973" s="3">
        <v>928</v>
      </c>
      <c r="H4973" s="3">
        <v>82</v>
      </c>
      <c r="I4973" s="3">
        <v>202</v>
      </c>
      <c r="J4973" s="3">
        <v>778</v>
      </c>
      <c r="K4973" s="3">
        <v>1383</v>
      </c>
      <c r="L4973" s="3">
        <v>64</v>
      </c>
      <c r="M4973" s="3">
        <v>265</v>
      </c>
    </row>
    <row r="4974" spans="1:13" x14ac:dyDescent="0.25">
      <c r="A4974" s="1" t="str">
        <f>HYPERLINK("http://www.rosaceae.org/Prunus/Prunus_persica/p.persica_gdr_reftransV1_0025472","p.persica_gdr_reftransV1_0025472")</f>
        <v>p.persica_gdr_reftransV1_0025472</v>
      </c>
      <c r="B4974" s="3">
        <v>1567</v>
      </c>
      <c r="C4974" s="1" t="str">
        <f>HYPERLINK("http://www.uniprot.org/uniprot/STIP1_CAEEL","STIP1_CAEEL")</f>
        <v>STIP1_CAEEL</v>
      </c>
      <c r="D4974" t="s">
        <v>4294</v>
      </c>
      <c r="E4974" s="3" t="s">
        <v>281</v>
      </c>
      <c r="F4974" s="4">
        <v>5.1299999999999999E-19</v>
      </c>
      <c r="G4974" s="3">
        <v>226</v>
      </c>
      <c r="H4974" s="3">
        <v>42</v>
      </c>
      <c r="I4974" s="3">
        <v>106</v>
      </c>
      <c r="J4974" s="3">
        <v>1054</v>
      </c>
      <c r="K4974" s="3">
        <v>1371</v>
      </c>
      <c r="L4974" s="3">
        <v>144</v>
      </c>
      <c r="M4974" s="3">
        <v>249</v>
      </c>
    </row>
    <row r="4975" spans="1:13" x14ac:dyDescent="0.25">
      <c r="A4975" s="1" t="str">
        <f>HYPERLINK("http://www.rosaceae.org/Prunus/Prunus_persica/p.persica_gdr_reftransV1_0025522","p.persica_gdr_reftransV1_0025522")</f>
        <v>p.persica_gdr_reftransV1_0025522</v>
      </c>
      <c r="B4975" s="3">
        <v>2004</v>
      </c>
      <c r="C4975" s="1" t="str">
        <f>HYPERLINK("http://www.uniprot.org/uniprot/ACOX4_ARATH","ACOX4_ARATH")</f>
        <v>ACOX4_ARATH</v>
      </c>
      <c r="D4975" t="s">
        <v>4295</v>
      </c>
      <c r="E4975" s="3" t="s">
        <v>3</v>
      </c>
      <c r="F4975" s="4">
        <v>0</v>
      </c>
      <c r="G4975" s="3">
        <v>1943</v>
      </c>
      <c r="H4975" s="3">
        <v>83</v>
      </c>
      <c r="I4975" s="3">
        <v>418</v>
      </c>
      <c r="J4975" s="3">
        <v>211</v>
      </c>
      <c r="K4975" s="3">
        <v>1464</v>
      </c>
      <c r="L4975" s="3">
        <v>14</v>
      </c>
      <c r="M4975" s="3">
        <v>431</v>
      </c>
    </row>
    <row r="4976" spans="1:13" x14ac:dyDescent="0.25">
      <c r="A4976" s="1" t="str">
        <f>HYPERLINK("http://www.rosaceae.org/Prunus/Prunus_persica/p.persica_gdr_reftransV1_0025622","p.persica_gdr_reftransV1_0025622")</f>
        <v>p.persica_gdr_reftransV1_0025622</v>
      </c>
      <c r="B4976" s="3">
        <v>966</v>
      </c>
      <c r="C4976" s="1" t="str">
        <f>HYPERLINK("http://www.uniprot.org/uniprot/PROF_PRUPE","PROF_PRUPE")</f>
        <v>PROF_PRUPE</v>
      </c>
      <c r="D4976" t="s">
        <v>4296</v>
      </c>
      <c r="E4976" s="3" t="s">
        <v>784</v>
      </c>
      <c r="F4976" s="4">
        <v>3.0299999999999998E-76</v>
      </c>
      <c r="G4976" s="3">
        <v>602</v>
      </c>
      <c r="H4976" s="3">
        <v>99</v>
      </c>
      <c r="I4976" s="3">
        <v>129</v>
      </c>
      <c r="J4976" s="3">
        <v>184</v>
      </c>
      <c r="K4976" s="3">
        <v>570</v>
      </c>
      <c r="L4976" s="3">
        <v>3</v>
      </c>
      <c r="M4976" s="3">
        <v>131</v>
      </c>
    </row>
    <row r="4977" spans="1:13" x14ac:dyDescent="0.25">
      <c r="A4977" s="1" t="str">
        <f>HYPERLINK("http://www.rosaceae.org/Prunus/Prunus_persica/p.persica_gdr_reftransV1_0026022","p.persica_gdr_reftransV1_0026022")</f>
        <v>p.persica_gdr_reftransV1_0026022</v>
      </c>
      <c r="B4977" s="3">
        <v>1500</v>
      </c>
      <c r="C4977" s="1" t="str">
        <f>HYPERLINK("http://www.uniprot.org/uniprot/RBL8_ARATH","RBL8_ARATH")</f>
        <v>RBL8_ARATH</v>
      </c>
      <c r="D4977" t="s">
        <v>4297</v>
      </c>
      <c r="E4977" s="3" t="s">
        <v>3</v>
      </c>
      <c r="F4977" s="4">
        <v>9.3099999999999992E-90</v>
      </c>
      <c r="G4977" s="3">
        <v>729</v>
      </c>
      <c r="H4977" s="3">
        <v>51</v>
      </c>
      <c r="I4977" s="3">
        <v>347</v>
      </c>
      <c r="J4977" s="3">
        <v>343</v>
      </c>
      <c r="K4977" s="3">
        <v>1380</v>
      </c>
      <c r="L4977" s="3">
        <v>10</v>
      </c>
      <c r="M4977" s="3">
        <v>349</v>
      </c>
    </row>
    <row r="4978" spans="1:13" x14ac:dyDescent="0.25">
      <c r="A4978" s="1" t="str">
        <f>HYPERLINK("http://www.rosaceae.org/Prunus/Prunus_persica/p.persica_gdr_reftransV1_0026222","p.persica_gdr_reftransV1_0026222")</f>
        <v>p.persica_gdr_reftransV1_0026222</v>
      </c>
      <c r="B4978" s="3">
        <v>1252</v>
      </c>
      <c r="C4978" s="1" t="str">
        <f>HYPERLINK("http://www.uniprot.org/uniprot/RL9_SOLUE","RL9_SOLUE")</f>
        <v>RL9_SOLUE</v>
      </c>
      <c r="D4978" t="s">
        <v>4298</v>
      </c>
      <c r="E4978" s="3" t="s">
        <v>4299</v>
      </c>
      <c r="F4978" s="4">
        <v>2.3600000000000001E-10</v>
      </c>
      <c r="G4978" s="3">
        <v>151</v>
      </c>
      <c r="H4978" s="3">
        <v>29</v>
      </c>
      <c r="I4978" s="3">
        <v>162</v>
      </c>
      <c r="J4978" s="3">
        <v>274</v>
      </c>
      <c r="K4978" s="3">
        <v>759</v>
      </c>
      <c r="L4978" s="3">
        <v>1</v>
      </c>
      <c r="M4978" s="3">
        <v>136</v>
      </c>
    </row>
    <row r="4979" spans="1:13" x14ac:dyDescent="0.25">
      <c r="A4979" s="1" t="str">
        <f>HYPERLINK("http://www.rosaceae.org/Prunus/Prunus_persica/p.persica_gdr_reftransV1_0026372","p.persica_gdr_reftransV1_0026372")</f>
        <v>p.persica_gdr_reftransV1_0026372</v>
      </c>
      <c r="B4979" s="3">
        <v>1096</v>
      </c>
      <c r="C4979" s="1" t="str">
        <f>HYPERLINK("http://www.uniprot.org/uniprot/APK3_ARATH","APK3_ARATH")</f>
        <v>APK3_ARATH</v>
      </c>
      <c r="D4979" t="s">
        <v>4300</v>
      </c>
      <c r="E4979" s="3" t="s">
        <v>3</v>
      </c>
      <c r="F4979" s="4">
        <v>9.5800000000000003E-128</v>
      </c>
      <c r="G4979" s="3">
        <v>955</v>
      </c>
      <c r="H4979" s="3">
        <v>84</v>
      </c>
      <c r="I4979" s="3">
        <v>208</v>
      </c>
      <c r="J4979" s="3">
        <v>266</v>
      </c>
      <c r="K4979" s="3">
        <v>889</v>
      </c>
      <c r="L4979" s="3">
        <v>1</v>
      </c>
      <c r="M4979" s="3">
        <v>208</v>
      </c>
    </row>
    <row r="4980" spans="1:13" x14ac:dyDescent="0.25">
      <c r="A4980" s="1" t="str">
        <f>HYPERLINK("http://www.rosaceae.org/Prunus/Prunus_persica/p.persica_gdr_reftransV1_0026422","p.persica_gdr_reftransV1_0026422")</f>
        <v>p.persica_gdr_reftransV1_0026422</v>
      </c>
      <c r="B4980" s="3">
        <v>1481</v>
      </c>
      <c r="C4980" s="1" t="str">
        <f>HYPERLINK("http://www.uniprot.org/uniprot/TBL41_ARATH","TBL41_ARATH")</f>
        <v>TBL41_ARATH</v>
      </c>
      <c r="D4980" t="s">
        <v>4128</v>
      </c>
      <c r="E4980" s="3" t="s">
        <v>3</v>
      </c>
      <c r="F4980" s="4">
        <v>3.3399999999999999E-159</v>
      </c>
      <c r="G4980" s="3">
        <v>1191</v>
      </c>
      <c r="H4980" s="3">
        <v>68</v>
      </c>
      <c r="I4980" s="3">
        <v>313</v>
      </c>
      <c r="J4980" s="3">
        <v>378</v>
      </c>
      <c r="K4980" s="3">
        <v>1313</v>
      </c>
      <c r="L4980" s="3">
        <v>34</v>
      </c>
      <c r="M4980" s="3">
        <v>346</v>
      </c>
    </row>
    <row r="4981" spans="1:13" x14ac:dyDescent="0.25">
      <c r="A4981" s="1" t="str">
        <f>HYPERLINK("http://www.rosaceae.org/Prunus/Prunus_persica/p.persica_gdr_reftransV1_0026472","p.persica_gdr_reftransV1_0026472")</f>
        <v>p.persica_gdr_reftransV1_0026472</v>
      </c>
      <c r="B4981" s="3">
        <v>683</v>
      </c>
      <c r="C4981" s="1" t="str">
        <f>HYPERLINK("http://www.uniprot.org/uniprot/Y5126_ARATH","Y5126_ARATH")</f>
        <v>Y5126_ARATH</v>
      </c>
      <c r="D4981" t="s">
        <v>4301</v>
      </c>
      <c r="E4981" s="3" t="s">
        <v>3</v>
      </c>
      <c r="F4981" s="4">
        <v>8.5799999999999998E-60</v>
      </c>
      <c r="G4981" s="3">
        <v>511</v>
      </c>
      <c r="H4981" s="3">
        <v>60</v>
      </c>
      <c r="I4981" s="3">
        <v>162</v>
      </c>
      <c r="J4981" s="3">
        <v>197</v>
      </c>
      <c r="K4981" s="3">
        <v>682</v>
      </c>
      <c r="L4981" s="3">
        <v>248</v>
      </c>
      <c r="M4981" s="3">
        <v>407</v>
      </c>
    </row>
    <row r="4982" spans="1:13" x14ac:dyDescent="0.25">
      <c r="A4982" s="1" t="str">
        <f>HYPERLINK("http://www.rosaceae.org/Prunus/Prunus_persica/p.persica_gdr_reftransV1_0026522","p.persica_gdr_reftransV1_0026522")</f>
        <v>p.persica_gdr_reftransV1_0026522</v>
      </c>
      <c r="B4982" s="3">
        <v>3188</v>
      </c>
      <c r="C4982" s="1" t="str">
        <f>HYPERLINK("http://www.uniprot.org/uniprot/ATG7_ARATH","ATG7_ARATH")</f>
        <v>ATG7_ARATH</v>
      </c>
      <c r="D4982" t="s">
        <v>4302</v>
      </c>
      <c r="E4982" s="3" t="s">
        <v>3</v>
      </c>
      <c r="F4982" s="4">
        <v>0</v>
      </c>
      <c r="G4982" s="3">
        <v>1256</v>
      </c>
      <c r="H4982" s="3">
        <v>72</v>
      </c>
      <c r="I4982" s="3">
        <v>354</v>
      </c>
      <c r="J4982" s="3">
        <v>1154</v>
      </c>
      <c r="K4982" s="3">
        <v>2212</v>
      </c>
      <c r="L4982" s="3">
        <v>301</v>
      </c>
      <c r="M4982" s="3">
        <v>641</v>
      </c>
    </row>
    <row r="4983" spans="1:13" x14ac:dyDescent="0.25">
      <c r="A4983" s="1" t="str">
        <f>HYPERLINK("http://www.rosaceae.org/Prunus/Prunus_persica/p.persica_gdr_reftransV1_0026872","p.persica_gdr_reftransV1_0026872")</f>
        <v>p.persica_gdr_reftransV1_0026872</v>
      </c>
      <c r="B4983" s="3">
        <v>2409</v>
      </c>
      <c r="C4983" s="1" t="str">
        <f>HYPERLINK("http://www.uniprot.org/uniprot/E131_ARATH","E131_ARATH")</f>
        <v>E131_ARATH</v>
      </c>
      <c r="D4983" t="s">
        <v>4122</v>
      </c>
      <c r="E4983" s="3" t="s">
        <v>3</v>
      </c>
      <c r="F4983" s="4">
        <v>3.9400000000000002E-23</v>
      </c>
      <c r="G4983" s="3">
        <v>268</v>
      </c>
      <c r="H4983" s="3">
        <v>56</v>
      </c>
      <c r="I4983" s="3">
        <v>87</v>
      </c>
      <c r="J4983" s="3">
        <v>1340</v>
      </c>
      <c r="K4983" s="3">
        <v>1597</v>
      </c>
      <c r="L4983" s="3">
        <v>379</v>
      </c>
      <c r="M4983" s="3">
        <v>465</v>
      </c>
    </row>
    <row r="4984" spans="1:13" x14ac:dyDescent="0.25">
      <c r="A4984" s="1" t="str">
        <f>HYPERLINK("http://www.rosaceae.org/Prunus/Prunus_persica/p.persica_gdr_reftransV1_0026972","p.persica_gdr_reftransV1_0026972")</f>
        <v>p.persica_gdr_reftransV1_0026972</v>
      </c>
      <c r="B4984" s="3">
        <v>3044</v>
      </c>
      <c r="C4984" s="1" t="str">
        <f>HYPERLINK("http://www.uniprot.org/uniprot/RN170_DANRE","RN170_DANRE")</f>
        <v>RN170_DANRE</v>
      </c>
      <c r="D4984" t="s">
        <v>4303</v>
      </c>
      <c r="E4984" s="3" t="s">
        <v>704</v>
      </c>
      <c r="F4984" s="4">
        <v>3.8199999999999998E-14</v>
      </c>
      <c r="G4984" s="3">
        <v>190</v>
      </c>
      <c r="H4984" s="3">
        <v>45</v>
      </c>
      <c r="I4984" s="3">
        <v>96</v>
      </c>
      <c r="J4984" s="3">
        <v>1986</v>
      </c>
      <c r="K4984" s="3">
        <v>2255</v>
      </c>
      <c r="L4984" s="3">
        <v>84</v>
      </c>
      <c r="M4984" s="3">
        <v>179</v>
      </c>
    </row>
    <row r="4985" spans="1:13" x14ac:dyDescent="0.25">
      <c r="A4985" s="1" t="str">
        <f>HYPERLINK("http://www.rosaceae.org/Prunus/Prunus_persica/p.persica_gdr_reftransV1_0027022","p.persica_gdr_reftransV1_0027022")</f>
        <v>p.persica_gdr_reftransV1_0027022</v>
      </c>
      <c r="B4985" s="3">
        <v>2223</v>
      </c>
      <c r="C4985" s="1" t="str">
        <f>HYPERLINK("http://www.uniprot.org/uniprot/OST48_ORYSJ","OST48_ORYSJ")</f>
        <v>OST48_ORYSJ</v>
      </c>
      <c r="D4985" t="s">
        <v>4304</v>
      </c>
      <c r="E4985" s="3" t="s">
        <v>38</v>
      </c>
      <c r="F4985" s="4">
        <v>0</v>
      </c>
      <c r="G4985" s="3">
        <v>1585</v>
      </c>
      <c r="H4985" s="3">
        <v>76</v>
      </c>
      <c r="I4985" s="3">
        <v>412</v>
      </c>
      <c r="J4985" s="3">
        <v>210</v>
      </c>
      <c r="K4985" s="3">
        <v>1445</v>
      </c>
      <c r="L4985" s="3">
        <v>30</v>
      </c>
      <c r="M4985" s="3">
        <v>437</v>
      </c>
    </row>
    <row r="4986" spans="1:13" x14ac:dyDescent="0.25">
      <c r="A4986" s="1" t="str">
        <f>HYPERLINK("http://www.rosaceae.org/Prunus/Prunus_persica/p.persica_gdr_reftransV1_0027122","p.persica_gdr_reftransV1_0027122")</f>
        <v>p.persica_gdr_reftransV1_0027122</v>
      </c>
      <c r="B4986" s="3">
        <v>4439</v>
      </c>
      <c r="C4986" s="1" t="str">
        <f>HYPERLINK("http://www.uniprot.org/uniprot/P2C19_ARATH","P2C19_ARATH")</f>
        <v>P2C19_ARATH</v>
      </c>
      <c r="D4986" t="s">
        <v>4305</v>
      </c>
      <c r="E4986" s="3" t="s">
        <v>3</v>
      </c>
      <c r="F4986" s="4">
        <v>0</v>
      </c>
      <c r="G4986" s="3">
        <v>2005</v>
      </c>
      <c r="H4986" s="3">
        <v>68</v>
      </c>
      <c r="I4986" s="3">
        <v>590</v>
      </c>
      <c r="J4986" s="3">
        <v>1978</v>
      </c>
      <c r="K4986" s="3">
        <v>3741</v>
      </c>
      <c r="L4986" s="3">
        <v>478</v>
      </c>
      <c r="M4986" s="3">
        <v>1067</v>
      </c>
    </row>
    <row r="4987" spans="1:13" x14ac:dyDescent="0.25">
      <c r="A4987" s="1" t="str">
        <f>HYPERLINK("http://www.rosaceae.org/Prunus/Prunus_persica/p.persica_gdr_reftransV1_0027222","p.persica_gdr_reftransV1_0027222")</f>
        <v>p.persica_gdr_reftransV1_0027222</v>
      </c>
      <c r="B4987" s="3">
        <v>2921</v>
      </c>
      <c r="C4987" s="1" t="str">
        <f>HYPERLINK("http://www.uniprot.org/uniprot/BAMS_BETPL","BAMS_BETPL")</f>
        <v>BAMS_BETPL</v>
      </c>
      <c r="D4987" t="s">
        <v>4306</v>
      </c>
      <c r="E4987" s="3" t="s">
        <v>2061</v>
      </c>
      <c r="F4987" s="4">
        <v>0</v>
      </c>
      <c r="G4987" s="3">
        <v>2346</v>
      </c>
      <c r="H4987" s="3">
        <v>93</v>
      </c>
      <c r="I4987" s="3">
        <v>456</v>
      </c>
      <c r="J4987" s="3">
        <v>3</v>
      </c>
      <c r="K4987" s="3">
        <v>1370</v>
      </c>
      <c r="L4987" s="3">
        <v>73</v>
      </c>
      <c r="M4987" s="3">
        <v>528</v>
      </c>
    </row>
    <row r="4988" spans="1:13" x14ac:dyDescent="0.25">
      <c r="A4988" s="1" t="str">
        <f>HYPERLINK("http://www.rosaceae.org/Prunus/Prunus_persica/p.persica_gdr_reftransV1_0027622","p.persica_gdr_reftransV1_0027622")</f>
        <v>p.persica_gdr_reftransV1_0027622</v>
      </c>
      <c r="B4988" s="3">
        <v>1968</v>
      </c>
      <c r="C4988" s="1" t="str">
        <f>HYPERLINK("http://www.uniprot.org/uniprot/TTC4_DICDI","TTC4_DICDI")</f>
        <v>TTC4_DICDI</v>
      </c>
      <c r="D4988" t="s">
        <v>4307</v>
      </c>
      <c r="E4988" s="3" t="s">
        <v>9</v>
      </c>
      <c r="F4988" s="4">
        <v>1.2900000000000001E-22</v>
      </c>
      <c r="G4988" s="3">
        <v>259</v>
      </c>
      <c r="H4988" s="3">
        <v>29</v>
      </c>
      <c r="I4988" s="3">
        <v>248</v>
      </c>
      <c r="J4988" s="3">
        <v>486</v>
      </c>
      <c r="K4988" s="3">
        <v>1193</v>
      </c>
      <c r="L4988" s="3">
        <v>60</v>
      </c>
      <c r="M4988" s="3">
        <v>306</v>
      </c>
    </row>
    <row r="4989" spans="1:13" x14ac:dyDescent="0.25">
      <c r="A4989" s="1" t="str">
        <f>HYPERLINK("http://www.rosaceae.org/Prunus/Prunus_persica/p.persica_gdr_reftransV1_0027672","p.persica_gdr_reftransV1_0027672")</f>
        <v>p.persica_gdr_reftransV1_0027672</v>
      </c>
      <c r="B4989" s="3">
        <v>1706</v>
      </c>
      <c r="C4989" s="1" t="str">
        <f>HYPERLINK("http://www.uniprot.org/uniprot/SYP43_ARATH","SYP43_ARATH")</f>
        <v>SYP43_ARATH</v>
      </c>
      <c r="D4989" t="s">
        <v>4308</v>
      </c>
      <c r="E4989" s="3" t="s">
        <v>3</v>
      </c>
      <c r="F4989" s="4">
        <v>1.0699999999999999E-174</v>
      </c>
      <c r="G4989" s="3">
        <v>1299</v>
      </c>
      <c r="H4989" s="3">
        <v>76</v>
      </c>
      <c r="I4989" s="3">
        <v>333</v>
      </c>
      <c r="J4989" s="3">
        <v>278</v>
      </c>
      <c r="K4989" s="3">
        <v>1249</v>
      </c>
      <c r="L4989" s="3">
        <v>1</v>
      </c>
      <c r="M4989" s="3">
        <v>331</v>
      </c>
    </row>
    <row r="4990" spans="1:13" x14ac:dyDescent="0.25">
      <c r="A4990" s="1" t="str">
        <f>HYPERLINK("http://www.rosaceae.org/Prunus/Prunus_persica/p.persica_gdr_reftransV1_0027822","p.persica_gdr_reftransV1_0027822")</f>
        <v>p.persica_gdr_reftransV1_0027822</v>
      </c>
      <c r="B4990" s="3">
        <v>513</v>
      </c>
      <c r="C4990" s="1" t="str">
        <f>HYPERLINK("http://www.uniprot.org/uniprot/Y4294_ARATH","Y4294_ARATH")</f>
        <v>Y4294_ARATH</v>
      </c>
      <c r="D4990" t="s">
        <v>4309</v>
      </c>
      <c r="E4990" s="3" t="s">
        <v>3</v>
      </c>
      <c r="F4990" s="4">
        <v>3.0100000000000002E-37</v>
      </c>
      <c r="G4990" s="3">
        <v>356</v>
      </c>
      <c r="H4990" s="3">
        <v>80</v>
      </c>
      <c r="I4990" s="3">
        <v>99</v>
      </c>
      <c r="J4990" s="3">
        <v>3</v>
      </c>
      <c r="K4990" s="3">
        <v>299</v>
      </c>
      <c r="L4990" s="3">
        <v>1</v>
      </c>
      <c r="M4990" s="3">
        <v>99</v>
      </c>
    </row>
    <row r="4991" spans="1:13" x14ac:dyDescent="0.25">
      <c r="A4991" s="1" t="str">
        <f>HYPERLINK("http://www.rosaceae.org/Prunus/Prunus_persica/p.persica_gdr_reftransV1_0027872","p.persica_gdr_reftransV1_0027872")</f>
        <v>p.persica_gdr_reftransV1_0027872</v>
      </c>
      <c r="B4991" s="3">
        <v>2018</v>
      </c>
      <c r="C4991" s="1" t="str">
        <f>HYPERLINK("http://www.uniprot.org/uniprot/EF4L4_ARATH","EF4L4_ARATH")</f>
        <v>EF4L4_ARATH</v>
      </c>
      <c r="D4991" t="s">
        <v>4310</v>
      </c>
      <c r="E4991" s="3" t="s">
        <v>3</v>
      </c>
      <c r="F4991" s="4">
        <v>3.4200000000000001E-39</v>
      </c>
      <c r="G4991" s="3">
        <v>364</v>
      </c>
      <c r="H4991" s="3">
        <v>73</v>
      </c>
      <c r="I4991" s="3">
        <v>114</v>
      </c>
      <c r="J4991" s="3">
        <v>1156</v>
      </c>
      <c r="K4991" s="3">
        <v>1497</v>
      </c>
      <c r="L4991" s="3">
        <v>1</v>
      </c>
      <c r="M4991" s="3">
        <v>114</v>
      </c>
    </row>
    <row r="4992" spans="1:13" x14ac:dyDescent="0.25">
      <c r="A4992" s="1" t="str">
        <f>HYPERLINK("http://www.rosaceae.org/Prunus/Prunus_persica/p.persica_gdr_reftransV1_0028072","p.persica_gdr_reftransV1_0028072")</f>
        <v>p.persica_gdr_reftransV1_0028072</v>
      </c>
      <c r="B4992" s="3">
        <v>2238</v>
      </c>
      <c r="C4992" s="1" t="str">
        <f>HYPERLINK("http://www.uniprot.org/uniprot/CIPKB_ARATH","CIPKB_ARATH")</f>
        <v>CIPKB_ARATH</v>
      </c>
      <c r="D4992" t="s">
        <v>4311</v>
      </c>
      <c r="E4992" s="3" t="s">
        <v>3</v>
      </c>
      <c r="F4992" s="4">
        <v>6.5100000000000004E-174</v>
      </c>
      <c r="G4992" s="3">
        <v>1321</v>
      </c>
      <c r="H4992" s="3">
        <v>64</v>
      </c>
      <c r="I4992" s="3">
        <v>431</v>
      </c>
      <c r="J4992" s="3">
        <v>742</v>
      </c>
      <c r="K4992" s="3">
        <v>2013</v>
      </c>
      <c r="L4992" s="3">
        <v>1</v>
      </c>
      <c r="M4992" s="3">
        <v>421</v>
      </c>
    </row>
    <row r="4993" spans="1:13" x14ac:dyDescent="0.25">
      <c r="A4993" s="1" t="str">
        <f>HYPERLINK("http://www.rosaceae.org/Prunus/Prunus_persica/p.persica_gdr_reftransV1_0028172","p.persica_gdr_reftransV1_0028172")</f>
        <v>p.persica_gdr_reftransV1_0028172</v>
      </c>
      <c r="B4993" s="3">
        <v>3503</v>
      </c>
      <c r="C4993" s="1" t="str">
        <f>HYPERLINK("http://www.uniprot.org/uniprot/ALE2_ARATH","ALE2_ARATH")</f>
        <v>ALE2_ARATH</v>
      </c>
      <c r="D4993" t="s">
        <v>3266</v>
      </c>
      <c r="E4993" s="3" t="s">
        <v>3</v>
      </c>
      <c r="F4993" s="4">
        <v>6.3199999999999996E-113</v>
      </c>
      <c r="G4993" s="3">
        <v>964</v>
      </c>
      <c r="H4993" s="3">
        <v>63</v>
      </c>
      <c r="I4993" s="3">
        <v>295</v>
      </c>
      <c r="J4993" s="3">
        <v>2105</v>
      </c>
      <c r="K4993" s="3">
        <v>2989</v>
      </c>
      <c r="L4993" s="3">
        <v>333</v>
      </c>
      <c r="M4993" s="3">
        <v>619</v>
      </c>
    </row>
    <row r="4994" spans="1:13" x14ac:dyDescent="0.25">
      <c r="A4994" s="1" t="str">
        <f>HYPERLINK("http://www.rosaceae.org/Prunus/Prunus_persica/p.persica_gdr_reftransV1_0028322","p.persica_gdr_reftransV1_0028322")</f>
        <v>p.persica_gdr_reftransV1_0028322</v>
      </c>
      <c r="B4994" s="3">
        <v>1599</v>
      </c>
      <c r="C4994" s="1" t="str">
        <f>HYPERLINK("http://www.uniprot.org/uniprot/DPH5_ARATH","DPH5_ARATH")</f>
        <v>DPH5_ARATH</v>
      </c>
      <c r="D4994" t="s">
        <v>4187</v>
      </c>
      <c r="E4994" s="3" t="s">
        <v>3</v>
      </c>
      <c r="F4994" s="4">
        <v>2.2600000000000001E-110</v>
      </c>
      <c r="G4994" s="3">
        <v>611</v>
      </c>
      <c r="H4994" s="3">
        <v>82</v>
      </c>
      <c r="I4994" s="3">
        <v>158</v>
      </c>
      <c r="J4994" s="3">
        <v>78</v>
      </c>
      <c r="K4994" s="3">
        <v>551</v>
      </c>
      <c r="L4994" s="3">
        <v>1</v>
      </c>
      <c r="M4994" s="3">
        <v>158</v>
      </c>
    </row>
    <row r="4995" spans="1:13" x14ac:dyDescent="0.25">
      <c r="A4995" s="1" t="str">
        <f>HYPERLINK("http://www.rosaceae.org/Prunus/Prunus_persica/p.persica_gdr_reftransV1_0028522","p.persica_gdr_reftransV1_0028522")</f>
        <v>p.persica_gdr_reftransV1_0028522</v>
      </c>
      <c r="B4995" s="3">
        <v>1091</v>
      </c>
      <c r="C4995" s="1" t="str">
        <f>HYPERLINK("http://www.uniprot.org/uniprot/DCL_SOLLC","DCL_SOLLC")</f>
        <v>DCL_SOLLC</v>
      </c>
      <c r="D4995" t="s">
        <v>4312</v>
      </c>
      <c r="E4995" s="3" t="s">
        <v>64</v>
      </c>
      <c r="F4995" s="4">
        <v>2.7400000000000001E-74</v>
      </c>
      <c r="G4995" s="3">
        <v>602</v>
      </c>
      <c r="H4995" s="3">
        <v>65</v>
      </c>
      <c r="I4995" s="3">
        <v>186</v>
      </c>
      <c r="J4995" s="3">
        <v>327</v>
      </c>
      <c r="K4995" s="3">
        <v>848</v>
      </c>
      <c r="L4995" s="3">
        <v>43</v>
      </c>
      <c r="M4995" s="3">
        <v>222</v>
      </c>
    </row>
    <row r="4996" spans="1:13" x14ac:dyDescent="0.25">
      <c r="A4996" s="1" t="str">
        <f>HYPERLINK("http://www.rosaceae.org/Prunus/Prunus_persica/p.persica_gdr_reftransV1_0029022","p.persica_gdr_reftransV1_0029022")</f>
        <v>p.persica_gdr_reftransV1_0029022</v>
      </c>
      <c r="B4996" s="3">
        <v>526</v>
      </c>
      <c r="C4996" s="1" t="str">
        <f>HYPERLINK("http://www.uniprot.org/uniprot/CAPSD_BYDVM","CAPSD_BYDVM")</f>
        <v>CAPSD_BYDVM</v>
      </c>
      <c r="D4996" t="s">
        <v>4313</v>
      </c>
      <c r="E4996" s="3" t="s">
        <v>4314</v>
      </c>
      <c r="F4996" s="4">
        <v>8.58E-38</v>
      </c>
      <c r="G4996" s="3">
        <v>338</v>
      </c>
      <c r="H4996" s="3">
        <v>47</v>
      </c>
      <c r="I4996" s="3">
        <v>137</v>
      </c>
      <c r="J4996" s="3">
        <v>96</v>
      </c>
      <c r="K4996" s="3">
        <v>506</v>
      </c>
      <c r="L4996" s="3">
        <v>63</v>
      </c>
      <c r="M4996" s="3">
        <v>199</v>
      </c>
    </row>
    <row r="4997" spans="1:13" x14ac:dyDescent="0.25">
      <c r="A4997" s="1" t="str">
        <f>HYPERLINK("http://www.rosaceae.org/Prunus/Prunus_persica/p.persica_gdr_reftransV1_0029422","p.persica_gdr_reftransV1_0029422")</f>
        <v>p.persica_gdr_reftransV1_0029422</v>
      </c>
      <c r="B4997" s="3">
        <v>3674</v>
      </c>
      <c r="C4997" s="1" t="str">
        <f>HYPERLINK("http://www.uniprot.org/uniprot/DEGP9_ARATH","DEGP9_ARATH")</f>
        <v>DEGP9_ARATH</v>
      </c>
      <c r="D4997" t="s">
        <v>1437</v>
      </c>
      <c r="E4997" s="3" t="s">
        <v>3</v>
      </c>
      <c r="F4997" s="4">
        <v>0</v>
      </c>
      <c r="G4997" s="3">
        <v>1956</v>
      </c>
      <c r="H4997" s="3">
        <v>84</v>
      </c>
      <c r="I4997" s="3">
        <v>446</v>
      </c>
      <c r="J4997" s="3">
        <v>1983</v>
      </c>
      <c r="K4997" s="3">
        <v>3305</v>
      </c>
      <c r="L4997" s="3">
        <v>77</v>
      </c>
      <c r="M4997" s="3">
        <v>522</v>
      </c>
    </row>
    <row r="4998" spans="1:13" x14ac:dyDescent="0.25">
      <c r="A4998" s="1" t="str">
        <f>HYPERLINK("http://www.rosaceae.org/Prunus/Prunus_persica/p.persica_gdr_reftransV1_0029472","p.persica_gdr_reftransV1_0029472")</f>
        <v>p.persica_gdr_reftransV1_0029472</v>
      </c>
      <c r="B4998" s="3">
        <v>2259</v>
      </c>
      <c r="C4998" s="1" t="str">
        <f>HYPERLINK("http://www.uniprot.org/uniprot/AK1_ARATH","AK1_ARATH")</f>
        <v>AK1_ARATH</v>
      </c>
      <c r="D4998" t="s">
        <v>4315</v>
      </c>
      <c r="E4998" s="3" t="s">
        <v>3</v>
      </c>
      <c r="F4998" s="4">
        <v>1.22E-155</v>
      </c>
      <c r="G4998" s="3">
        <v>1212</v>
      </c>
      <c r="H4998" s="3">
        <v>81</v>
      </c>
      <c r="I4998" s="3">
        <v>279</v>
      </c>
      <c r="J4998" s="3">
        <v>12</v>
      </c>
      <c r="K4998" s="3">
        <v>848</v>
      </c>
      <c r="L4998" s="3">
        <v>71</v>
      </c>
      <c r="M4998" s="3">
        <v>349</v>
      </c>
    </row>
    <row r="4999" spans="1:13" x14ac:dyDescent="0.25">
      <c r="A4999" s="1" t="str">
        <f>HYPERLINK("http://www.rosaceae.org/Prunus/Prunus_persica/p.persica_gdr_reftransV1_0029622","p.persica_gdr_reftransV1_0029622")</f>
        <v>p.persica_gdr_reftransV1_0029622</v>
      </c>
      <c r="B4999" s="3">
        <v>5607</v>
      </c>
      <c r="C4999" s="1" t="str">
        <f>HYPERLINK("http://www.uniprot.org/uniprot/NTPCR_BOVIN","NTPCR_BOVIN")</f>
        <v>NTPCR_BOVIN</v>
      </c>
      <c r="D4999" t="s">
        <v>1454</v>
      </c>
      <c r="E4999" s="3" t="s">
        <v>184</v>
      </c>
      <c r="F4999" s="4">
        <v>1.48E-11</v>
      </c>
      <c r="G4999" s="3">
        <v>170</v>
      </c>
      <c r="H4999" s="3">
        <v>56</v>
      </c>
      <c r="I4999" s="3">
        <v>63</v>
      </c>
      <c r="J4999" s="3">
        <v>44</v>
      </c>
      <c r="K4999" s="3">
        <v>232</v>
      </c>
      <c r="L4999" s="3">
        <v>3</v>
      </c>
      <c r="M4999" s="3">
        <v>63</v>
      </c>
    </row>
    <row r="5000" spans="1:13" x14ac:dyDescent="0.25">
      <c r="A5000" s="1" t="str">
        <f>HYPERLINK("http://www.rosaceae.org/Prunus/Prunus_persica/p.persica_gdr_reftransV1_0030322","p.persica_gdr_reftransV1_0030322")</f>
        <v>p.persica_gdr_reftransV1_0030322</v>
      </c>
      <c r="B5000" s="3">
        <v>3633</v>
      </c>
      <c r="C5000" s="1" t="str">
        <f>HYPERLINK("http://www.uniprot.org/uniprot/DEN6A_MOUSE","DEN6A_MOUSE")</f>
        <v>DEN6A_MOUSE</v>
      </c>
      <c r="D5000" t="s">
        <v>4316</v>
      </c>
      <c r="E5000" s="3" t="s">
        <v>157</v>
      </c>
      <c r="F5000" s="4">
        <v>1.59E-74</v>
      </c>
      <c r="G5000" s="3">
        <v>674</v>
      </c>
      <c r="H5000" s="3">
        <v>33</v>
      </c>
      <c r="I5000" s="3">
        <v>628</v>
      </c>
      <c r="J5000" s="3">
        <v>1164</v>
      </c>
      <c r="K5000" s="3">
        <v>3023</v>
      </c>
      <c r="L5000" s="3">
        <v>53</v>
      </c>
      <c r="M5000" s="3">
        <v>600</v>
      </c>
    </row>
    <row r="5001" spans="1:13" x14ac:dyDescent="0.25">
      <c r="A5001" s="1" t="str">
        <f>HYPERLINK("http://www.rosaceae.org/Prunus/Prunus_persica/p.persica_gdr_reftransV1_0030372","p.persica_gdr_reftransV1_0030372")</f>
        <v>p.persica_gdr_reftransV1_0030372</v>
      </c>
      <c r="B5001" s="3">
        <v>940</v>
      </c>
      <c r="C5001" s="1" t="str">
        <f>HYPERLINK("http://www.uniprot.org/uniprot/6PGD2_ARATH","6PGD2_ARATH")</f>
        <v>6PGD2_ARATH</v>
      </c>
      <c r="D5001" t="s">
        <v>4317</v>
      </c>
      <c r="E5001" s="3" t="s">
        <v>3</v>
      </c>
      <c r="F5001" s="4">
        <v>1.5799999999999999E-77</v>
      </c>
      <c r="G5001" s="3">
        <v>641</v>
      </c>
      <c r="H5001" s="3">
        <v>89</v>
      </c>
      <c r="I5001" s="3">
        <v>129</v>
      </c>
      <c r="J5001" s="3">
        <v>1</v>
      </c>
      <c r="K5001" s="3">
        <v>387</v>
      </c>
      <c r="L5001" s="3">
        <v>358</v>
      </c>
      <c r="M5001" s="3">
        <v>486</v>
      </c>
    </row>
    <row r="5002" spans="1:13" x14ac:dyDescent="0.25">
      <c r="A5002" s="1" t="str">
        <f>HYPERLINK("http://www.rosaceae.org/Prunus/Prunus_persica/p.persica_gdr_reftransV1_0030422","p.persica_gdr_reftransV1_0030422")</f>
        <v>p.persica_gdr_reftransV1_0030422</v>
      </c>
      <c r="B5002" s="3">
        <v>2110</v>
      </c>
      <c r="C5002" s="1" t="str">
        <f>HYPERLINK("http://www.uniprot.org/uniprot/C14C2_ORYSJ","C14C2_ORYSJ")</f>
        <v>C14C2_ORYSJ</v>
      </c>
      <c r="D5002" t="s">
        <v>1022</v>
      </c>
      <c r="E5002" s="3" t="s">
        <v>38</v>
      </c>
      <c r="F5002" s="4">
        <v>0</v>
      </c>
      <c r="G5002" s="3">
        <v>1414</v>
      </c>
      <c r="H5002" s="3">
        <v>51</v>
      </c>
      <c r="I5002" s="3">
        <v>522</v>
      </c>
      <c r="J5002" s="3">
        <v>256</v>
      </c>
      <c r="K5002" s="3">
        <v>1800</v>
      </c>
      <c r="L5002" s="3">
        <v>1</v>
      </c>
      <c r="M5002" s="3">
        <v>522</v>
      </c>
    </row>
    <row r="5003" spans="1:13" x14ac:dyDescent="0.25">
      <c r="A5003" s="1" t="str">
        <f>HYPERLINK("http://www.rosaceae.org/Prunus/Prunus_persica/p.persica_gdr_reftransV1_0030922","p.persica_gdr_reftransV1_0030922")</f>
        <v>p.persica_gdr_reftransV1_0030922</v>
      </c>
      <c r="B5003" s="3">
        <v>4554</v>
      </c>
      <c r="C5003" s="1" t="str">
        <f>HYPERLINK("http://www.uniprot.org/uniprot/KIN17_MOUSE","KIN17_MOUSE")</f>
        <v>KIN17_MOUSE</v>
      </c>
      <c r="D5003" t="s">
        <v>4318</v>
      </c>
      <c r="E5003" s="3" t="s">
        <v>157</v>
      </c>
      <c r="F5003" s="4">
        <v>3.4500000000000001E-105</v>
      </c>
      <c r="G5003" s="3">
        <v>887</v>
      </c>
      <c r="H5003" s="3">
        <v>45</v>
      </c>
      <c r="I5003" s="3">
        <v>396</v>
      </c>
      <c r="J5003" s="3">
        <v>194</v>
      </c>
      <c r="K5003" s="3">
        <v>1369</v>
      </c>
      <c r="L5003" s="3">
        <v>1</v>
      </c>
      <c r="M5003" s="3">
        <v>391</v>
      </c>
    </row>
    <row r="5004" spans="1:13" x14ac:dyDescent="0.25">
      <c r="A5004" s="1" t="str">
        <f>HYPERLINK("http://www.rosaceae.org/Prunus/Prunus_persica/p.persica_gdr_reftransV1_0030972","p.persica_gdr_reftransV1_0030972")</f>
        <v>p.persica_gdr_reftransV1_0030972</v>
      </c>
      <c r="B5004" s="3">
        <v>1384</v>
      </c>
      <c r="C5004" s="1" t="str">
        <f>HYPERLINK("http://www.uniprot.org/uniprot/GMPAB_DANRE","GMPAB_DANRE")</f>
        <v>GMPAB_DANRE</v>
      </c>
      <c r="D5004" t="s">
        <v>4319</v>
      </c>
      <c r="E5004" s="3" t="s">
        <v>704</v>
      </c>
      <c r="F5004" s="4">
        <v>6.6199999999999997E-40</v>
      </c>
      <c r="G5004" s="3">
        <v>387</v>
      </c>
      <c r="H5004" s="3">
        <v>39</v>
      </c>
      <c r="I5004" s="3">
        <v>239</v>
      </c>
      <c r="J5004" s="3">
        <v>1</v>
      </c>
      <c r="K5004" s="3">
        <v>711</v>
      </c>
      <c r="L5004" s="3">
        <v>102</v>
      </c>
      <c r="M5004" s="3">
        <v>301</v>
      </c>
    </row>
    <row r="5005" spans="1:13" x14ac:dyDescent="0.25">
      <c r="A5005" s="1" t="str">
        <f>HYPERLINK("http://www.rosaceae.org/Prunus/Prunus_persica/p.persica_gdr_reftransV1_0031472","p.persica_gdr_reftransV1_0031472")</f>
        <v>p.persica_gdr_reftransV1_0031472</v>
      </c>
      <c r="B5005" s="3">
        <v>2119</v>
      </c>
      <c r="C5005" s="1" t="str">
        <f>HYPERLINK("http://www.uniprot.org/uniprot/MACP1_ARATH","MACP1_ARATH")</f>
        <v>MACP1_ARATH</v>
      </c>
      <c r="D5005" t="s">
        <v>4320</v>
      </c>
      <c r="E5005" s="3" t="s">
        <v>3</v>
      </c>
      <c r="F5005" s="4">
        <v>2.4499999999999998E-164</v>
      </c>
      <c r="G5005" s="3">
        <v>1272</v>
      </c>
      <c r="H5005" s="3">
        <v>45</v>
      </c>
      <c r="I5005" s="3">
        <v>617</v>
      </c>
      <c r="J5005" s="3">
        <v>226</v>
      </c>
      <c r="K5005" s="3">
        <v>2019</v>
      </c>
      <c r="L5005" s="3">
        <v>12</v>
      </c>
      <c r="M5005" s="3">
        <v>618</v>
      </c>
    </row>
    <row r="5006" spans="1:13" x14ac:dyDescent="0.25">
      <c r="A5006" s="1" t="str">
        <f>HYPERLINK("http://www.rosaceae.org/Prunus/Prunus_persica/p.persica_gdr_reftransV1_0031722","p.persica_gdr_reftransV1_0031722")</f>
        <v>p.persica_gdr_reftransV1_0031722</v>
      </c>
      <c r="B5006" s="3">
        <v>4608</v>
      </c>
      <c r="C5006" s="1" t="str">
        <f>HYPERLINK("http://www.uniprot.org/uniprot/IP5P3_ARATH","IP5P3_ARATH")</f>
        <v>IP5P3_ARATH</v>
      </c>
      <c r="D5006" t="s">
        <v>4321</v>
      </c>
      <c r="E5006" s="3" t="s">
        <v>3</v>
      </c>
      <c r="F5006" s="4">
        <v>5.3299999999999997E-134</v>
      </c>
      <c r="G5006" s="3">
        <v>1122</v>
      </c>
      <c r="H5006" s="3">
        <v>60</v>
      </c>
      <c r="I5006" s="3">
        <v>400</v>
      </c>
      <c r="J5006" s="3">
        <v>2512</v>
      </c>
      <c r="K5006" s="3">
        <v>3678</v>
      </c>
      <c r="L5006" s="3">
        <v>162</v>
      </c>
      <c r="M5006" s="3">
        <v>551</v>
      </c>
    </row>
    <row r="5007" spans="1:13" x14ac:dyDescent="0.25">
      <c r="A5007" s="1" t="str">
        <f>HYPERLINK("http://www.rosaceae.org/Prunus/Prunus_persica/p.persica_gdr_reftransV1_0031972","p.persica_gdr_reftransV1_0031972")</f>
        <v>p.persica_gdr_reftransV1_0031972</v>
      </c>
      <c r="B5007" s="3">
        <v>1517</v>
      </c>
      <c r="C5007" s="1" t="str">
        <f>HYPERLINK("http://www.uniprot.org/uniprot/PPA1_SOLLC","PPA1_SOLLC")</f>
        <v>PPA1_SOLLC</v>
      </c>
      <c r="D5007" t="s">
        <v>4322</v>
      </c>
      <c r="E5007" s="3" t="s">
        <v>64</v>
      </c>
      <c r="F5007" s="4">
        <v>9.6599999999999996E-118</v>
      </c>
      <c r="G5007" s="3">
        <v>907</v>
      </c>
      <c r="H5007" s="3">
        <v>67</v>
      </c>
      <c r="I5007" s="3">
        <v>246</v>
      </c>
      <c r="J5007" s="3">
        <v>329</v>
      </c>
      <c r="K5007" s="3">
        <v>1066</v>
      </c>
      <c r="L5007" s="3">
        <v>17</v>
      </c>
      <c r="M5007" s="3">
        <v>254</v>
      </c>
    </row>
    <row r="5008" spans="1:13" x14ac:dyDescent="0.25">
      <c r="A5008" s="1" t="str">
        <f>HYPERLINK("http://www.rosaceae.org/Prunus/Prunus_persica/p.persica_gdr_reftransV1_0032122","p.persica_gdr_reftransV1_0032122")</f>
        <v>p.persica_gdr_reftransV1_0032122</v>
      </c>
      <c r="B5008" s="3">
        <v>872</v>
      </c>
      <c r="C5008" s="1" t="str">
        <f>HYPERLINK("http://www.uniprot.org/uniprot/ACD11_ARATH","ACD11_ARATH")</f>
        <v>ACD11_ARATH</v>
      </c>
      <c r="D5008" t="s">
        <v>4323</v>
      </c>
      <c r="E5008" s="3" t="s">
        <v>3</v>
      </c>
      <c r="F5008" s="4">
        <v>7.8600000000000004E-60</v>
      </c>
      <c r="G5008" s="3">
        <v>497</v>
      </c>
      <c r="H5008" s="3">
        <v>69</v>
      </c>
      <c r="I5008" s="3">
        <v>127</v>
      </c>
      <c r="J5008" s="3">
        <v>1</v>
      </c>
      <c r="K5008" s="3">
        <v>378</v>
      </c>
      <c r="L5008" s="3">
        <v>80</v>
      </c>
      <c r="M5008" s="3">
        <v>206</v>
      </c>
    </row>
    <row r="5009" spans="1:13" x14ac:dyDescent="0.25">
      <c r="A5009" s="1" t="str">
        <f>HYPERLINK("http://www.rosaceae.org/Prunus/Prunus_persica/p.persica_gdr_reftransV1_0032422","p.persica_gdr_reftransV1_0032422")</f>
        <v>p.persica_gdr_reftransV1_0032422</v>
      </c>
      <c r="B5009" s="3">
        <v>1057</v>
      </c>
      <c r="C5009" s="1" t="str">
        <f>HYPERLINK("http://www.uniprot.org/uniprot/PER25_ARATH","PER25_ARATH")</f>
        <v>PER25_ARATH</v>
      </c>
      <c r="D5009" t="s">
        <v>4324</v>
      </c>
      <c r="E5009" s="3" t="s">
        <v>3</v>
      </c>
      <c r="F5009" s="4">
        <v>3.9800000000000002E-160</v>
      </c>
      <c r="G5009" s="3">
        <v>1180</v>
      </c>
      <c r="H5009" s="3">
        <v>79</v>
      </c>
      <c r="I5009" s="3">
        <v>273</v>
      </c>
      <c r="J5009" s="3">
        <v>234</v>
      </c>
      <c r="K5009" s="3">
        <v>1052</v>
      </c>
      <c r="L5009" s="3">
        <v>56</v>
      </c>
      <c r="M5009" s="3">
        <v>328</v>
      </c>
    </row>
    <row r="5010" spans="1:13" x14ac:dyDescent="0.25">
      <c r="A5010" s="1" t="str">
        <f>HYPERLINK("http://www.rosaceae.org/Prunus/Prunus_persica/p.persica_gdr_reftransV1_0032922","p.persica_gdr_reftransV1_0032922")</f>
        <v>p.persica_gdr_reftransV1_0032922</v>
      </c>
      <c r="B5010" s="3">
        <v>2096</v>
      </c>
      <c r="C5010" s="1" t="str">
        <f>HYPERLINK("http://www.uniprot.org/uniprot/HAKAI_CHICK","HAKAI_CHICK")</f>
        <v>HAKAI_CHICK</v>
      </c>
      <c r="D5010" t="s">
        <v>4325</v>
      </c>
      <c r="E5010" s="3" t="s">
        <v>1278</v>
      </c>
      <c r="F5010" s="4">
        <v>7.8999999999999997E-13</v>
      </c>
      <c r="G5010" s="3">
        <v>183</v>
      </c>
      <c r="H5010" s="3">
        <v>36</v>
      </c>
      <c r="I5010" s="3">
        <v>94</v>
      </c>
      <c r="J5010" s="3">
        <v>608</v>
      </c>
      <c r="K5010" s="3">
        <v>859</v>
      </c>
      <c r="L5010" s="3">
        <v>98</v>
      </c>
      <c r="M5010" s="3">
        <v>190</v>
      </c>
    </row>
    <row r="5011" spans="1:13" x14ac:dyDescent="0.25">
      <c r="A5011" s="1" t="str">
        <f>HYPERLINK("http://www.rosaceae.org/Prunus/Prunus_persica/p.persica_gdr_reftransV1_0033022","p.persica_gdr_reftransV1_0033022")</f>
        <v>p.persica_gdr_reftransV1_0033022</v>
      </c>
      <c r="B5011" s="3">
        <v>3350</v>
      </c>
      <c r="C5011" s="1" t="str">
        <f>HYPERLINK("http://www.uniprot.org/uniprot/DNJ10_ARATH","DNJ10_ARATH")</f>
        <v>DNJ10_ARATH</v>
      </c>
      <c r="D5011" t="s">
        <v>1099</v>
      </c>
      <c r="E5011" s="3" t="s">
        <v>3</v>
      </c>
      <c r="F5011" s="4">
        <v>5.05E-180</v>
      </c>
      <c r="G5011" s="3">
        <v>1389</v>
      </c>
      <c r="H5011" s="3">
        <v>71</v>
      </c>
      <c r="I5011" s="3">
        <v>395</v>
      </c>
      <c r="J5011" s="3">
        <v>1989</v>
      </c>
      <c r="K5011" s="3">
        <v>3152</v>
      </c>
      <c r="L5011" s="3">
        <v>1</v>
      </c>
      <c r="M5011" s="3">
        <v>361</v>
      </c>
    </row>
    <row r="5012" spans="1:13" x14ac:dyDescent="0.25">
      <c r="A5012" s="1" t="str">
        <f>HYPERLINK("http://www.rosaceae.org/Prunus/Prunus_persica/p.persica_gdr_reftransV1_0033622","p.persica_gdr_reftransV1_0033622")</f>
        <v>p.persica_gdr_reftransV1_0033622</v>
      </c>
      <c r="B5012" s="3">
        <v>3214</v>
      </c>
      <c r="C5012" s="1" t="str">
        <f>HYPERLINK("http://www.uniprot.org/uniprot/PLT5_ARATH","PLT5_ARATH")</f>
        <v>PLT5_ARATH</v>
      </c>
      <c r="D5012" t="s">
        <v>133</v>
      </c>
      <c r="E5012" s="3" t="s">
        <v>3</v>
      </c>
      <c r="F5012" s="4">
        <v>2.24E-152</v>
      </c>
      <c r="G5012" s="3">
        <v>1213</v>
      </c>
      <c r="H5012" s="3">
        <v>66</v>
      </c>
      <c r="I5012" s="3">
        <v>345</v>
      </c>
      <c r="J5012" s="3">
        <v>470</v>
      </c>
      <c r="K5012" s="3">
        <v>1501</v>
      </c>
      <c r="L5012" s="3">
        <v>162</v>
      </c>
      <c r="M5012" s="3">
        <v>505</v>
      </c>
    </row>
    <row r="5013" spans="1:13" x14ac:dyDescent="0.25">
      <c r="A5013" s="1" t="str">
        <f>HYPERLINK("http://www.rosaceae.org/Prunus/Prunus_persica/p.persica_gdr_reftransV1_0034122","p.persica_gdr_reftransV1_0034122")</f>
        <v>p.persica_gdr_reftransV1_0034122</v>
      </c>
      <c r="B5013" s="3">
        <v>1738</v>
      </c>
      <c r="C5013" s="1" t="str">
        <f>HYPERLINK("http://www.uniprot.org/uniprot/M310_ARATH","M310_ARATH")</f>
        <v>M310_ARATH</v>
      </c>
      <c r="D5013" t="s">
        <v>118</v>
      </c>
      <c r="E5013" s="3" t="s">
        <v>3</v>
      </c>
      <c r="F5013" s="4">
        <v>2.6699999999999999E-29</v>
      </c>
      <c r="G5013" s="3">
        <v>295</v>
      </c>
      <c r="H5013" s="3">
        <v>37</v>
      </c>
      <c r="I5013" s="3">
        <v>143</v>
      </c>
      <c r="J5013" s="3">
        <v>409</v>
      </c>
      <c r="K5013" s="3">
        <v>834</v>
      </c>
      <c r="L5013" s="3">
        <v>2</v>
      </c>
      <c r="M5013" s="3">
        <v>144</v>
      </c>
    </row>
    <row r="5014" spans="1:13" x14ac:dyDescent="0.25">
      <c r="A5014" s="1" t="str">
        <f>HYPERLINK("http://www.rosaceae.org/Prunus/Prunus_persica/p.persica_gdr_reftransV1_0034372","p.persica_gdr_reftransV1_0034372")</f>
        <v>p.persica_gdr_reftransV1_0034372</v>
      </c>
      <c r="B5014" s="3">
        <v>3252</v>
      </c>
      <c r="C5014" s="1" t="str">
        <f>HYPERLINK("http://www.uniprot.org/uniprot/UNC50_DICDI","UNC50_DICDI")</f>
        <v>UNC50_DICDI</v>
      </c>
      <c r="D5014" t="s">
        <v>4326</v>
      </c>
      <c r="E5014" s="3" t="s">
        <v>9</v>
      </c>
      <c r="F5014" s="4">
        <v>3.5600000000000002E-23</v>
      </c>
      <c r="G5014" s="3">
        <v>262</v>
      </c>
      <c r="H5014" s="3">
        <v>48</v>
      </c>
      <c r="I5014" s="3">
        <v>103</v>
      </c>
      <c r="J5014" s="3">
        <v>230</v>
      </c>
      <c r="K5014" s="3">
        <v>535</v>
      </c>
      <c r="L5014" s="3">
        <v>32</v>
      </c>
      <c r="M5014" s="3">
        <v>134</v>
      </c>
    </row>
    <row r="5015" spans="1:13" x14ac:dyDescent="0.25">
      <c r="A5015" s="1" t="str">
        <f>HYPERLINK("http://www.rosaceae.org/Prunus/Prunus_persica/p.persica_gdr_reftransV1_0034672","p.persica_gdr_reftransV1_0034672")</f>
        <v>p.persica_gdr_reftransV1_0034672</v>
      </c>
      <c r="B5015" s="3">
        <v>2840</v>
      </c>
      <c r="C5015" s="1" t="str">
        <f>HYPERLINK("http://www.uniprot.org/uniprot/NAT2_ARATH","NAT2_ARATH")</f>
        <v>NAT2_ARATH</v>
      </c>
      <c r="D5015" t="s">
        <v>4327</v>
      </c>
      <c r="E5015" s="3" t="s">
        <v>3</v>
      </c>
      <c r="F5015" s="4">
        <v>0</v>
      </c>
      <c r="G5015" s="3">
        <v>2284</v>
      </c>
      <c r="H5015" s="3">
        <v>85</v>
      </c>
      <c r="I5015" s="3">
        <v>494</v>
      </c>
      <c r="J5015" s="3">
        <v>338</v>
      </c>
      <c r="K5015" s="3">
        <v>1819</v>
      </c>
      <c r="L5015" s="3">
        <v>31</v>
      </c>
      <c r="M5015" s="3">
        <v>524</v>
      </c>
    </row>
    <row r="5016" spans="1:13" x14ac:dyDescent="0.25">
      <c r="A5016" s="1" t="str">
        <f>HYPERLINK("http://www.rosaceae.org/Prunus/Prunus_persica/p.persica_gdr_reftransV1_0034872","p.persica_gdr_reftransV1_0034872")</f>
        <v>p.persica_gdr_reftransV1_0034872</v>
      </c>
      <c r="B5016" s="3">
        <v>1905</v>
      </c>
      <c r="C5016" s="1" t="str">
        <f>HYPERLINK("http://www.uniprot.org/uniprot/C3H14_ORYSJ","C3H14_ORYSJ")</f>
        <v>C3H14_ORYSJ</v>
      </c>
      <c r="D5016" t="s">
        <v>4328</v>
      </c>
      <c r="E5016" s="3" t="s">
        <v>38</v>
      </c>
      <c r="F5016" s="4">
        <v>1.09E-77</v>
      </c>
      <c r="G5016" s="3">
        <v>652</v>
      </c>
      <c r="H5016" s="3">
        <v>60</v>
      </c>
      <c r="I5016" s="3">
        <v>256</v>
      </c>
      <c r="J5016" s="3">
        <v>1089</v>
      </c>
      <c r="K5016" s="3">
        <v>1847</v>
      </c>
      <c r="L5016" s="3">
        <v>42</v>
      </c>
      <c r="M5016" s="3">
        <v>296</v>
      </c>
    </row>
    <row r="5017" spans="1:13" x14ac:dyDescent="0.25">
      <c r="A5017" s="1" t="str">
        <f>HYPERLINK("http://www.rosaceae.org/Prunus/Prunus_persica/p.persica_gdr_reftransV1_0035172","p.persica_gdr_reftransV1_0035172")</f>
        <v>p.persica_gdr_reftransV1_0035172</v>
      </c>
      <c r="B5017" s="3">
        <v>1635</v>
      </c>
      <c r="C5017" s="1" t="str">
        <f>HYPERLINK("http://www.uniprot.org/uniprot/RSZ33_ARATH","RSZ33_ARATH")</f>
        <v>RSZ33_ARATH</v>
      </c>
      <c r="D5017" t="s">
        <v>4329</v>
      </c>
      <c r="E5017" s="3" t="s">
        <v>3</v>
      </c>
      <c r="F5017" s="4">
        <v>1.5200000000000001E-55</v>
      </c>
      <c r="G5017" s="3">
        <v>493</v>
      </c>
      <c r="H5017" s="3">
        <v>68</v>
      </c>
      <c r="I5017" s="3">
        <v>135</v>
      </c>
      <c r="J5017" s="3">
        <v>715</v>
      </c>
      <c r="K5017" s="3">
        <v>1107</v>
      </c>
      <c r="L5017" s="3">
        <v>9</v>
      </c>
      <c r="M5017" s="3">
        <v>143</v>
      </c>
    </row>
    <row r="5018" spans="1:13" x14ac:dyDescent="0.25">
      <c r="A5018" s="1" t="str">
        <f>HYPERLINK("http://www.rosaceae.org/Prunus/Prunus_persica/p.persica_gdr_reftransV1_0035322","p.persica_gdr_reftransV1_0035322")</f>
        <v>p.persica_gdr_reftransV1_0035322</v>
      </c>
      <c r="B5018" s="3">
        <v>4354</v>
      </c>
      <c r="C5018" s="1" t="str">
        <f>HYPERLINK("http://www.uniprot.org/uniprot/VPS54_ARATH","VPS54_ARATH")</f>
        <v>VPS54_ARATH</v>
      </c>
      <c r="D5018" t="s">
        <v>1431</v>
      </c>
      <c r="E5018" s="3" t="s">
        <v>3</v>
      </c>
      <c r="F5018" s="4">
        <v>0</v>
      </c>
      <c r="G5018" s="3">
        <v>2686</v>
      </c>
      <c r="H5018" s="3">
        <v>68</v>
      </c>
      <c r="I5018" s="3">
        <v>889</v>
      </c>
      <c r="J5018" s="3">
        <v>1221</v>
      </c>
      <c r="K5018" s="3">
        <v>3881</v>
      </c>
      <c r="L5018" s="3">
        <v>81</v>
      </c>
      <c r="M5018" s="3">
        <v>959</v>
      </c>
    </row>
    <row r="5019" spans="1:13" x14ac:dyDescent="0.25">
      <c r="A5019" s="1" t="str">
        <f>HYPERLINK("http://www.rosaceae.org/Prunus/Prunus_persica/p.persica_gdr_reftransV1_0035522","p.persica_gdr_reftransV1_0035522")</f>
        <v>p.persica_gdr_reftransV1_0035522</v>
      </c>
      <c r="B5019" s="3">
        <v>2132</v>
      </c>
      <c r="C5019" s="1" t="str">
        <f>HYPERLINK("http://www.uniprot.org/uniprot/RR1_SPIOL","RR1_SPIOL")</f>
        <v>RR1_SPIOL</v>
      </c>
      <c r="D5019" t="s">
        <v>619</v>
      </c>
      <c r="E5019" s="3" t="s">
        <v>131</v>
      </c>
      <c r="F5019" s="4">
        <v>3.7600000000000002E-20</v>
      </c>
      <c r="G5019" s="3">
        <v>240</v>
      </c>
      <c r="H5019" s="3">
        <v>31</v>
      </c>
      <c r="I5019" s="3">
        <v>180</v>
      </c>
      <c r="J5019" s="3">
        <v>903</v>
      </c>
      <c r="K5019" s="3">
        <v>1442</v>
      </c>
      <c r="L5019" s="3">
        <v>174</v>
      </c>
      <c r="M5019" s="3">
        <v>335</v>
      </c>
    </row>
    <row r="5020" spans="1:13" x14ac:dyDescent="0.25">
      <c r="A5020" s="1" t="str">
        <f>HYPERLINK("http://www.rosaceae.org/Prunus/Prunus_persica/p.persica_gdr_reftransV1_0035772","p.persica_gdr_reftransV1_0035772")</f>
        <v>p.persica_gdr_reftransV1_0035772</v>
      </c>
      <c r="B5020" s="3">
        <v>2665</v>
      </c>
      <c r="C5020" s="1" t="str">
        <f>HYPERLINK("http://www.uniprot.org/uniprot/VATH_ARATH","VATH_ARATH")</f>
        <v>VATH_ARATH</v>
      </c>
      <c r="D5020" t="s">
        <v>4330</v>
      </c>
      <c r="E5020" s="3" t="s">
        <v>3</v>
      </c>
      <c r="F5020" s="4">
        <v>2.6400000000000002E-112</v>
      </c>
      <c r="G5020" s="3">
        <v>918</v>
      </c>
      <c r="H5020" s="3">
        <v>73</v>
      </c>
      <c r="I5020" s="3">
        <v>235</v>
      </c>
      <c r="J5020" s="3">
        <v>200</v>
      </c>
      <c r="K5020" s="3">
        <v>904</v>
      </c>
      <c r="L5020" s="3">
        <v>1</v>
      </c>
      <c r="M5020" s="3">
        <v>224</v>
      </c>
    </row>
    <row r="5021" spans="1:13" x14ac:dyDescent="0.25">
      <c r="A5021" s="1" t="str">
        <f>HYPERLINK("http://www.rosaceae.org/Prunus/Prunus_persica/p.persica_gdr_reftransV1_0036372","p.persica_gdr_reftransV1_0036372")</f>
        <v>p.persica_gdr_reftransV1_0036372</v>
      </c>
      <c r="B5021" s="3">
        <v>3249</v>
      </c>
      <c r="C5021" s="1" t="str">
        <f>HYPERLINK("http://www.uniprot.org/uniprot/SIPL5_ARATH","SIPL5_ARATH")</f>
        <v>SIPL5_ARATH</v>
      </c>
      <c r="D5021" t="s">
        <v>4331</v>
      </c>
      <c r="E5021" s="3" t="s">
        <v>3</v>
      </c>
      <c r="F5021" s="4">
        <v>1.2000000000000001E-100</v>
      </c>
      <c r="G5021" s="3">
        <v>857</v>
      </c>
      <c r="H5021" s="3">
        <v>63</v>
      </c>
      <c r="I5021" s="3">
        <v>249</v>
      </c>
      <c r="J5021" s="3">
        <v>266</v>
      </c>
      <c r="K5021" s="3">
        <v>1009</v>
      </c>
      <c r="L5021" s="3">
        <v>289</v>
      </c>
      <c r="M5021" s="3">
        <v>536</v>
      </c>
    </row>
    <row r="5022" spans="1:13" x14ac:dyDescent="0.25">
      <c r="A5022" s="1" t="str">
        <f>HYPERLINK("http://www.rosaceae.org/Prunus/Prunus_persica/p.persica_gdr_reftransV1_0036472","p.persica_gdr_reftransV1_0036472")</f>
        <v>p.persica_gdr_reftransV1_0036472</v>
      </c>
      <c r="B5022" s="3">
        <v>3128</v>
      </c>
      <c r="C5022" s="1" t="str">
        <f>HYPERLINK("http://www.uniprot.org/uniprot/CTSL2_DICDI","CTSL2_DICDI")</f>
        <v>CTSL2_DICDI</v>
      </c>
      <c r="D5022" t="s">
        <v>4332</v>
      </c>
      <c r="E5022" s="3" t="s">
        <v>9</v>
      </c>
      <c r="F5022" s="4">
        <v>3.2599999999999999E-55</v>
      </c>
      <c r="G5022" s="3">
        <v>525</v>
      </c>
      <c r="H5022" s="3">
        <v>61</v>
      </c>
      <c r="I5022" s="3">
        <v>174</v>
      </c>
      <c r="J5022" s="3">
        <v>2200</v>
      </c>
      <c r="K5022" s="3">
        <v>2721</v>
      </c>
      <c r="L5022" s="3">
        <v>395</v>
      </c>
      <c r="M5022" s="3">
        <v>567</v>
      </c>
    </row>
    <row r="5023" spans="1:13" x14ac:dyDescent="0.25">
      <c r="A5023" s="1" t="str">
        <f>HYPERLINK("http://www.rosaceae.org/Prunus/Prunus_persica/p.persica_gdr_reftransV1_0036572","p.persica_gdr_reftransV1_0036572")</f>
        <v>p.persica_gdr_reftransV1_0036572</v>
      </c>
      <c r="B5023" s="3">
        <v>3034</v>
      </c>
      <c r="C5023" s="1" t="str">
        <f>HYPERLINK("http://www.uniprot.org/uniprot/MCRS1_MOUSE","MCRS1_MOUSE")</f>
        <v>MCRS1_MOUSE</v>
      </c>
      <c r="D5023" t="s">
        <v>4333</v>
      </c>
      <c r="E5023" s="3" t="s">
        <v>157</v>
      </c>
      <c r="F5023" s="4">
        <v>9.8299999999999995E-14</v>
      </c>
      <c r="G5023" s="3">
        <v>192</v>
      </c>
      <c r="H5023" s="3">
        <v>29</v>
      </c>
      <c r="I5023" s="3">
        <v>237</v>
      </c>
      <c r="J5023" s="3">
        <v>312</v>
      </c>
      <c r="K5023" s="3">
        <v>971</v>
      </c>
      <c r="L5023" s="3">
        <v>240</v>
      </c>
      <c r="M5023" s="3">
        <v>460</v>
      </c>
    </row>
    <row r="5024" spans="1:13" x14ac:dyDescent="0.25">
      <c r="A5024" s="1" t="str">
        <f>HYPERLINK("http://www.rosaceae.org/Prunus/Prunus_persica/p.persica_gdr_reftransV1_0036872","p.persica_gdr_reftransV1_0036872")</f>
        <v>p.persica_gdr_reftransV1_0036872</v>
      </c>
      <c r="B5024" s="3">
        <v>1406</v>
      </c>
      <c r="C5024" s="1" t="str">
        <f>HYPERLINK("http://www.uniprot.org/uniprot/NIPL2_ARATH","NIPL2_ARATH")</f>
        <v>NIPL2_ARATH</v>
      </c>
      <c r="D5024" t="s">
        <v>4334</v>
      </c>
      <c r="E5024" s="3" t="s">
        <v>3</v>
      </c>
      <c r="F5024" s="4">
        <v>4.4800000000000002E-35</v>
      </c>
      <c r="G5024" s="3">
        <v>339</v>
      </c>
      <c r="H5024" s="3">
        <v>50</v>
      </c>
      <c r="I5024" s="3">
        <v>179</v>
      </c>
      <c r="J5024" s="3">
        <v>334</v>
      </c>
      <c r="K5024" s="3">
        <v>870</v>
      </c>
      <c r="L5024" s="3">
        <v>44</v>
      </c>
      <c r="M5024" s="3">
        <v>221</v>
      </c>
    </row>
    <row r="5025" spans="1:13" x14ac:dyDescent="0.25">
      <c r="A5025" s="1" t="str">
        <f>HYPERLINK("http://www.rosaceae.org/Prunus/Prunus_persica/p.persica_gdr_reftransV1_0037072","p.persica_gdr_reftransV1_0037072")</f>
        <v>p.persica_gdr_reftransV1_0037072</v>
      </c>
      <c r="B5025" s="3">
        <v>2696</v>
      </c>
      <c r="C5025" s="1" t="str">
        <f>HYPERLINK("http://www.uniprot.org/uniprot/GLYT2_ARATH","GLYT2_ARATH")</f>
        <v>GLYT2_ARATH</v>
      </c>
      <c r="D5025" t="s">
        <v>4335</v>
      </c>
      <c r="E5025" s="3" t="s">
        <v>3</v>
      </c>
      <c r="F5025" s="4">
        <v>2.4800000000000001E-126</v>
      </c>
      <c r="G5025" s="3">
        <v>1017</v>
      </c>
      <c r="H5025" s="3">
        <v>53</v>
      </c>
      <c r="I5025" s="3">
        <v>401</v>
      </c>
      <c r="J5025" s="3">
        <v>161</v>
      </c>
      <c r="K5025" s="3">
        <v>1348</v>
      </c>
      <c r="L5025" s="3">
        <v>125</v>
      </c>
      <c r="M5025" s="3">
        <v>470</v>
      </c>
    </row>
    <row r="5026" spans="1:13" x14ac:dyDescent="0.25">
      <c r="A5026" s="1" t="str">
        <f>HYPERLINK("http://www.rosaceae.org/Prunus/Prunus_persica/p.persica_gdr_reftransV1_0037572","p.persica_gdr_reftransV1_0037572")</f>
        <v>p.persica_gdr_reftransV1_0037572</v>
      </c>
      <c r="B5026" s="3">
        <v>2117</v>
      </c>
      <c r="C5026" s="1" t="str">
        <f>HYPERLINK("http://www.uniprot.org/uniprot/BH113_ARATH","BH113_ARATH")</f>
        <v>BH113_ARATH</v>
      </c>
      <c r="D5026" t="s">
        <v>1287</v>
      </c>
      <c r="E5026" s="3" t="s">
        <v>3</v>
      </c>
      <c r="F5026" s="4">
        <v>1.9899999999999999E-29</v>
      </c>
      <c r="G5026" s="3">
        <v>307</v>
      </c>
      <c r="H5026" s="3">
        <v>53</v>
      </c>
      <c r="I5026" s="3">
        <v>124</v>
      </c>
      <c r="J5026" s="3">
        <v>429</v>
      </c>
      <c r="K5026" s="3">
        <v>776</v>
      </c>
      <c r="L5026" s="3">
        <v>132</v>
      </c>
      <c r="M5026" s="3">
        <v>255</v>
      </c>
    </row>
    <row r="5027" spans="1:13" x14ac:dyDescent="0.25">
      <c r="A5027" s="1" t="str">
        <f>HYPERLINK("http://www.rosaceae.org/Prunus/Prunus_persica/p.persica_gdr_reftransV1_0037822","p.persica_gdr_reftransV1_0037822")</f>
        <v>p.persica_gdr_reftransV1_0037822</v>
      </c>
      <c r="B5027" s="3">
        <v>2707</v>
      </c>
      <c r="C5027" s="1" t="str">
        <f>HYPERLINK("http://www.uniprot.org/uniprot/Y1670_ARATH","Y1670_ARATH")</f>
        <v>Y1670_ARATH</v>
      </c>
      <c r="D5027" t="s">
        <v>3135</v>
      </c>
      <c r="E5027" s="3" t="s">
        <v>3</v>
      </c>
      <c r="F5027" s="4">
        <v>4.9199999999999999E-138</v>
      </c>
      <c r="G5027" s="3">
        <v>1133</v>
      </c>
      <c r="H5027" s="3">
        <v>43</v>
      </c>
      <c r="I5027" s="3">
        <v>628</v>
      </c>
      <c r="J5027" s="3">
        <v>644</v>
      </c>
      <c r="K5027" s="3">
        <v>2461</v>
      </c>
      <c r="L5027" s="3">
        <v>250</v>
      </c>
      <c r="M5027" s="3">
        <v>854</v>
      </c>
    </row>
    <row r="5028" spans="1:13" x14ac:dyDescent="0.25">
      <c r="A5028" s="1" t="str">
        <f>HYPERLINK("http://www.rosaceae.org/Prunus/Prunus_persica/p.persica_gdr_reftransV1_0038172","p.persica_gdr_reftransV1_0038172")</f>
        <v>p.persica_gdr_reftransV1_0038172</v>
      </c>
      <c r="B5028" s="3">
        <v>2021</v>
      </c>
      <c r="C5028" s="1" t="str">
        <f>HYPERLINK("http://www.uniprot.org/uniprot/MBD13_ARATH","MBD13_ARATH")</f>
        <v>MBD13_ARATH</v>
      </c>
      <c r="D5028" t="s">
        <v>3879</v>
      </c>
      <c r="E5028" s="3" t="s">
        <v>3</v>
      </c>
      <c r="F5028" s="4">
        <v>9.6399999999999998E-11</v>
      </c>
      <c r="G5028" s="3">
        <v>167</v>
      </c>
      <c r="H5028" s="3">
        <v>53</v>
      </c>
      <c r="I5028" s="3">
        <v>55</v>
      </c>
      <c r="J5028" s="3">
        <v>289</v>
      </c>
      <c r="K5028" s="3">
        <v>450</v>
      </c>
      <c r="L5028" s="3">
        <v>29</v>
      </c>
      <c r="M5028" s="3">
        <v>83</v>
      </c>
    </row>
    <row r="5029" spans="1:13" x14ac:dyDescent="0.25">
      <c r="A5029" s="1" t="str">
        <f>HYPERLINK("http://www.rosaceae.org/Prunus/Prunus_persica/p.persica_gdr_reftransV1_0038572","p.persica_gdr_reftransV1_0038572")</f>
        <v>p.persica_gdr_reftransV1_0038572</v>
      </c>
      <c r="B5029" s="3">
        <v>2008</v>
      </c>
      <c r="C5029" s="1" t="str">
        <f>HYPERLINK("http://www.uniprot.org/uniprot/DNJ13_ARATH","DNJ13_ARATH")</f>
        <v>DNJ13_ARATH</v>
      </c>
      <c r="D5029" t="s">
        <v>4336</v>
      </c>
      <c r="E5029" s="3" t="s">
        <v>3</v>
      </c>
      <c r="F5029" s="4">
        <v>0</v>
      </c>
      <c r="G5029" s="3">
        <v>1909</v>
      </c>
      <c r="H5029" s="3">
        <v>68</v>
      </c>
      <c r="I5029" s="3">
        <v>527</v>
      </c>
      <c r="J5029" s="3">
        <v>247</v>
      </c>
      <c r="K5029" s="3">
        <v>1827</v>
      </c>
      <c r="L5029" s="3">
        <v>10</v>
      </c>
      <c r="M5029" s="3">
        <v>536</v>
      </c>
    </row>
    <row r="5030" spans="1:13" x14ac:dyDescent="0.25">
      <c r="A5030" s="1" t="str">
        <f>HYPERLINK("http://www.rosaceae.org/Prunus/Prunus_persica/p.persica_gdr_reftransV1_0039322","p.persica_gdr_reftransV1_0039322")</f>
        <v>p.persica_gdr_reftransV1_0039322</v>
      </c>
      <c r="B5030" s="3">
        <v>1935</v>
      </c>
      <c r="C5030" s="1" t="str">
        <f>HYPERLINK("http://www.uniprot.org/uniprot/BRTL3_ARATH","BRTL3_ARATH")</f>
        <v>BRTL3_ARATH</v>
      </c>
      <c r="D5030" t="s">
        <v>4337</v>
      </c>
      <c r="E5030" s="3" t="s">
        <v>3</v>
      </c>
      <c r="F5030" s="4">
        <v>5.5600000000000001E-173</v>
      </c>
      <c r="G5030" s="3">
        <v>1304</v>
      </c>
      <c r="H5030" s="3">
        <v>76</v>
      </c>
      <c r="I5030" s="3">
        <v>338</v>
      </c>
      <c r="J5030" s="3">
        <v>398</v>
      </c>
      <c r="K5030" s="3">
        <v>1411</v>
      </c>
      <c r="L5030" s="3">
        <v>98</v>
      </c>
      <c r="M5030" s="3">
        <v>427</v>
      </c>
    </row>
    <row r="5031" spans="1:13" x14ac:dyDescent="0.25">
      <c r="A5031" s="1" t="str">
        <f>HYPERLINK("http://www.rosaceae.org/Prunus/Prunus_persica/p.persica_gdr_reftransV1_0039472","p.persica_gdr_reftransV1_0039472")</f>
        <v>p.persica_gdr_reftransV1_0039472</v>
      </c>
      <c r="B5031" s="3">
        <v>1227</v>
      </c>
      <c r="C5031" s="1" t="str">
        <f>HYPERLINK("http://www.uniprot.org/uniprot/TENAE_SOYBN","TENAE_SOYBN")</f>
        <v>TENAE_SOYBN</v>
      </c>
      <c r="D5031" t="s">
        <v>4338</v>
      </c>
      <c r="E5031" s="3" t="s">
        <v>307</v>
      </c>
      <c r="F5031" s="4">
        <v>5.9200000000000004E-106</v>
      </c>
      <c r="G5031" s="3">
        <v>817</v>
      </c>
      <c r="H5031" s="3">
        <v>62</v>
      </c>
      <c r="I5031" s="3">
        <v>239</v>
      </c>
      <c r="J5031" s="3">
        <v>404</v>
      </c>
      <c r="K5031" s="3">
        <v>1120</v>
      </c>
      <c r="L5031" s="3">
        <v>1</v>
      </c>
      <c r="M5031" s="3">
        <v>228</v>
      </c>
    </row>
    <row r="5032" spans="1:13" x14ac:dyDescent="0.25">
      <c r="A5032" s="1" t="str">
        <f>HYPERLINK("http://www.rosaceae.org/Prunus/Prunus_persica/p.persica_gdr_reftransV1_0039522","p.persica_gdr_reftransV1_0039522")</f>
        <v>p.persica_gdr_reftransV1_0039522</v>
      </c>
      <c r="B5032" s="3">
        <v>1337</v>
      </c>
      <c r="C5032" s="1" t="str">
        <f>HYPERLINK("http://www.uniprot.org/uniprot/EIF3F_ARATH","EIF3F_ARATH")</f>
        <v>EIF3F_ARATH</v>
      </c>
      <c r="D5032" t="s">
        <v>4339</v>
      </c>
      <c r="E5032" s="3" t="s">
        <v>3</v>
      </c>
      <c r="F5032" s="4">
        <v>1.8200000000000001E-113</v>
      </c>
      <c r="G5032" s="3">
        <v>877</v>
      </c>
      <c r="H5032" s="3">
        <v>76</v>
      </c>
      <c r="I5032" s="3">
        <v>213</v>
      </c>
      <c r="J5032" s="3">
        <v>584</v>
      </c>
      <c r="K5032" s="3">
        <v>1204</v>
      </c>
      <c r="L5032" s="3">
        <v>3</v>
      </c>
      <c r="M5032" s="3">
        <v>215</v>
      </c>
    </row>
    <row r="5033" spans="1:13" x14ac:dyDescent="0.25">
      <c r="A5033" s="1" t="str">
        <f>HYPERLINK("http://www.rosaceae.org/Prunus/Prunus_persica/p.persica_gdr_reftransV1_0039622","p.persica_gdr_reftransV1_0039622")</f>
        <v>p.persica_gdr_reftransV1_0039622</v>
      </c>
      <c r="B5033" s="3">
        <v>2163</v>
      </c>
      <c r="C5033" s="1" t="str">
        <f>HYPERLINK("http://www.uniprot.org/uniprot/AIM32_DEBHA","AIM32_DEBHA")</f>
        <v>AIM32_DEBHA</v>
      </c>
      <c r="D5033" t="s">
        <v>350</v>
      </c>
      <c r="E5033" s="3" t="s">
        <v>351</v>
      </c>
      <c r="F5033" s="4">
        <v>9.5300000000000003E-17</v>
      </c>
      <c r="G5033" s="3">
        <v>209</v>
      </c>
      <c r="H5033" s="3">
        <v>45</v>
      </c>
      <c r="I5033" s="3">
        <v>100</v>
      </c>
      <c r="J5033" s="3">
        <v>1083</v>
      </c>
      <c r="K5033" s="3">
        <v>1382</v>
      </c>
      <c r="L5033" s="3">
        <v>178</v>
      </c>
      <c r="M5033" s="3">
        <v>273</v>
      </c>
    </row>
    <row r="5034" spans="1:13" x14ac:dyDescent="0.25">
      <c r="A5034" s="1" t="str">
        <f>HYPERLINK("http://www.rosaceae.org/Prunus/Prunus_persica/p.persica_gdr_reftransV1_0039772","p.persica_gdr_reftransV1_0039772")</f>
        <v>p.persica_gdr_reftransV1_0039772</v>
      </c>
      <c r="B5034" s="3">
        <v>1624</v>
      </c>
      <c r="C5034" s="1" t="str">
        <f>HYPERLINK("http://www.uniprot.org/uniprot/ALKB8_XENTR","ALKB8_XENTR")</f>
        <v>ALKB8_XENTR</v>
      </c>
      <c r="D5034" t="s">
        <v>4340</v>
      </c>
      <c r="E5034" s="3" t="s">
        <v>173</v>
      </c>
      <c r="F5034" s="4">
        <v>4.7499999999999997E-42</v>
      </c>
      <c r="G5034" s="3">
        <v>413</v>
      </c>
      <c r="H5034" s="3">
        <v>33</v>
      </c>
      <c r="I5034" s="3">
        <v>352</v>
      </c>
      <c r="J5034" s="3">
        <v>507</v>
      </c>
      <c r="K5034" s="3">
        <v>1493</v>
      </c>
      <c r="L5034" s="3">
        <v>42</v>
      </c>
      <c r="M5034" s="3">
        <v>351</v>
      </c>
    </row>
    <row r="5035" spans="1:13" x14ac:dyDescent="0.25">
      <c r="A5035" s="1" t="str">
        <f>HYPERLINK("http://www.rosaceae.org/Prunus/Prunus_persica/p.persica_gdr_reftransV1_0039922","p.persica_gdr_reftransV1_0039922")</f>
        <v>p.persica_gdr_reftransV1_0039922</v>
      </c>
      <c r="B5035" s="3">
        <v>2637</v>
      </c>
      <c r="C5035" s="1" t="str">
        <f>HYPERLINK("http://www.uniprot.org/uniprot/NCASE_ARATH","NCASE_ARATH")</f>
        <v>NCASE_ARATH</v>
      </c>
      <c r="D5035" t="s">
        <v>4341</v>
      </c>
      <c r="E5035" s="3" t="s">
        <v>3</v>
      </c>
      <c r="F5035" s="4">
        <v>1.78E-124</v>
      </c>
      <c r="G5035" s="3">
        <v>1028</v>
      </c>
      <c r="H5035" s="3">
        <v>70</v>
      </c>
      <c r="I5035" s="3">
        <v>303</v>
      </c>
      <c r="J5035" s="3">
        <v>5</v>
      </c>
      <c r="K5035" s="3">
        <v>913</v>
      </c>
      <c r="L5035" s="3">
        <v>211</v>
      </c>
      <c r="M5035" s="3">
        <v>500</v>
      </c>
    </row>
    <row r="5036" spans="1:13" x14ac:dyDescent="0.25">
      <c r="A5036" s="1" t="str">
        <f>HYPERLINK("http://www.rosaceae.org/Prunus/Prunus_persica/p.persica_gdr_reftransV1_0039972","p.persica_gdr_reftransV1_0039972")</f>
        <v>p.persica_gdr_reftransV1_0039972</v>
      </c>
      <c r="B5036" s="3">
        <v>1312</v>
      </c>
      <c r="C5036" s="1" t="str">
        <f>HYPERLINK("http://www.uniprot.org/uniprot/3HBH1_PSEAC","3HBH1_PSEAC")</f>
        <v>3HBH1_PSEAC</v>
      </c>
      <c r="D5036" t="s">
        <v>3102</v>
      </c>
      <c r="E5036" s="3" t="s">
        <v>3103</v>
      </c>
      <c r="F5036" s="4">
        <v>1.2200000000000001E-19</v>
      </c>
      <c r="G5036" s="3">
        <v>232</v>
      </c>
      <c r="H5036" s="3">
        <v>28</v>
      </c>
      <c r="I5036" s="3">
        <v>373</v>
      </c>
      <c r="J5036" s="3">
        <v>214</v>
      </c>
      <c r="K5036" s="3">
        <v>1266</v>
      </c>
      <c r="L5036" s="3">
        <v>2</v>
      </c>
      <c r="M5036" s="3">
        <v>339</v>
      </c>
    </row>
    <row r="5037" spans="1:13" x14ac:dyDescent="0.25">
      <c r="A5037" s="1" t="str">
        <f>HYPERLINK("http://www.rosaceae.org/Prunus/Prunus_persica/p.persica_gdr_reftransV1_0040122","p.persica_gdr_reftransV1_0040122")</f>
        <v>p.persica_gdr_reftransV1_0040122</v>
      </c>
      <c r="B5037" s="3">
        <v>428</v>
      </c>
      <c r="C5037" s="1" t="str">
        <f>HYPERLINK("http://www.uniprot.org/uniprot/AIR12_ARATH","AIR12_ARATH")</f>
        <v>AIR12_ARATH</v>
      </c>
      <c r="D5037" t="s">
        <v>4342</v>
      </c>
      <c r="E5037" s="3" t="s">
        <v>3</v>
      </c>
      <c r="F5037" s="4">
        <v>4.1900000000000001E-20</v>
      </c>
      <c r="G5037" s="3">
        <v>215</v>
      </c>
      <c r="H5037" s="3">
        <v>42</v>
      </c>
      <c r="I5037" s="3">
        <v>125</v>
      </c>
      <c r="J5037" s="3">
        <v>1</v>
      </c>
      <c r="K5037" s="3">
        <v>339</v>
      </c>
      <c r="L5037" s="3">
        <v>110</v>
      </c>
      <c r="M5037" s="3">
        <v>232</v>
      </c>
    </row>
    <row r="5038" spans="1:13" x14ac:dyDescent="0.25">
      <c r="A5038" s="1" t="str">
        <f>HYPERLINK("http://www.rosaceae.org/Prunus/Prunus_persica/p.persica_gdr_reftransV1_0040472","p.persica_gdr_reftransV1_0040472")</f>
        <v>p.persica_gdr_reftransV1_0040472</v>
      </c>
      <c r="B5038" s="3">
        <v>3215</v>
      </c>
      <c r="C5038" s="1" t="str">
        <f>HYPERLINK("http://www.uniprot.org/uniprot/FH5_ARATH","FH5_ARATH")</f>
        <v>FH5_ARATH</v>
      </c>
      <c r="D5038" t="s">
        <v>4343</v>
      </c>
      <c r="E5038" s="3" t="s">
        <v>3</v>
      </c>
      <c r="F5038" s="4">
        <v>1.63E-156</v>
      </c>
      <c r="G5038" s="3">
        <v>1273</v>
      </c>
      <c r="H5038" s="3">
        <v>70</v>
      </c>
      <c r="I5038" s="3">
        <v>363</v>
      </c>
      <c r="J5038" s="3">
        <v>665</v>
      </c>
      <c r="K5038" s="3">
        <v>1750</v>
      </c>
      <c r="L5038" s="3">
        <v>537</v>
      </c>
      <c r="M5038" s="3">
        <v>892</v>
      </c>
    </row>
    <row r="5039" spans="1:13" x14ac:dyDescent="0.25">
      <c r="A5039" s="1" t="str">
        <f>HYPERLINK("http://www.rosaceae.org/Prunus/Prunus_persica/p.persica_gdr_reftransV1_0040872","p.persica_gdr_reftransV1_0040872")</f>
        <v>p.persica_gdr_reftransV1_0040872</v>
      </c>
      <c r="B5039" s="3">
        <v>1631</v>
      </c>
      <c r="C5039" s="1" t="str">
        <f>HYPERLINK("http://www.uniprot.org/uniprot/YERG_SCHPO","YERG_SCHPO")</f>
        <v>YERG_SCHPO</v>
      </c>
      <c r="D5039" t="s">
        <v>1673</v>
      </c>
      <c r="E5039" s="3" t="s">
        <v>464</v>
      </c>
      <c r="F5039" s="4">
        <v>1.45E-37</v>
      </c>
      <c r="G5039" s="3">
        <v>305</v>
      </c>
      <c r="H5039" s="3">
        <v>34</v>
      </c>
      <c r="I5039" s="3">
        <v>188</v>
      </c>
      <c r="J5039" s="3">
        <v>205</v>
      </c>
      <c r="K5039" s="3">
        <v>762</v>
      </c>
      <c r="L5039" s="3">
        <v>102</v>
      </c>
      <c r="M5039" s="3">
        <v>280</v>
      </c>
    </row>
    <row r="5040" spans="1:13" x14ac:dyDescent="0.25">
      <c r="A5040" s="1" t="str">
        <f>HYPERLINK("http://www.rosaceae.org/Prunus/Prunus_persica/p.persica_gdr_reftransV1_0041822","p.persica_gdr_reftransV1_0041822")</f>
        <v>p.persica_gdr_reftransV1_0041822</v>
      </c>
      <c r="B5040" s="3">
        <v>1332</v>
      </c>
      <c r="C5040" s="1" t="str">
        <f>HYPERLINK("http://www.uniprot.org/uniprot/PSMF1_ARATH","PSMF1_ARATH")</f>
        <v>PSMF1_ARATH</v>
      </c>
      <c r="D5040" t="s">
        <v>4344</v>
      </c>
      <c r="E5040" s="3" t="s">
        <v>3</v>
      </c>
      <c r="F5040" s="4">
        <v>4.8300000000000004E-103</v>
      </c>
      <c r="G5040" s="3">
        <v>808</v>
      </c>
      <c r="H5040" s="3">
        <v>58</v>
      </c>
      <c r="I5040" s="3">
        <v>312</v>
      </c>
      <c r="J5040" s="3">
        <v>321</v>
      </c>
      <c r="K5040" s="3">
        <v>1241</v>
      </c>
      <c r="L5040" s="3">
        <v>1</v>
      </c>
      <c r="M5040" s="3">
        <v>302</v>
      </c>
    </row>
    <row r="5041" spans="1:13" x14ac:dyDescent="0.25">
      <c r="A5041" s="1" t="str">
        <f>HYPERLINK("http://www.rosaceae.org/Prunus/Prunus_persica/p.persica_gdr_reftransV1_0041872","p.persica_gdr_reftransV1_0041872")</f>
        <v>p.persica_gdr_reftransV1_0041872</v>
      </c>
      <c r="B5041" s="3">
        <v>1310</v>
      </c>
      <c r="C5041" s="1" t="str">
        <f>HYPERLINK("http://www.uniprot.org/uniprot/KINB2_ARATH","KINB2_ARATH")</f>
        <v>KINB2_ARATH</v>
      </c>
      <c r="D5041" t="s">
        <v>4345</v>
      </c>
      <c r="E5041" s="3" t="s">
        <v>3</v>
      </c>
      <c r="F5041" s="4">
        <v>5.4400000000000003E-143</v>
      </c>
      <c r="G5041" s="3">
        <v>1071</v>
      </c>
      <c r="H5041" s="3">
        <v>71</v>
      </c>
      <c r="I5041" s="3">
        <v>290</v>
      </c>
      <c r="J5041" s="3">
        <v>248</v>
      </c>
      <c r="K5041" s="3">
        <v>1111</v>
      </c>
      <c r="L5041" s="3">
        <v>1</v>
      </c>
      <c r="M5041" s="3">
        <v>289</v>
      </c>
    </row>
    <row r="5042" spans="1:13" x14ac:dyDescent="0.25">
      <c r="A5042" s="1" t="str">
        <f>HYPERLINK("http://www.rosaceae.org/Prunus/Prunus_persica/p.persica_gdr_reftransV1_0042722","p.persica_gdr_reftransV1_0042722")</f>
        <v>p.persica_gdr_reftransV1_0042722</v>
      </c>
      <c r="B5042" s="3">
        <v>1627</v>
      </c>
      <c r="C5042" s="1" t="str">
        <f>HYPERLINK("http://www.uniprot.org/uniprot/SC24B_ARATH","SC24B_ARATH")</f>
        <v>SC24B_ARATH</v>
      </c>
      <c r="D5042" t="s">
        <v>1073</v>
      </c>
      <c r="E5042" s="3" t="s">
        <v>3</v>
      </c>
      <c r="F5042" s="4">
        <v>1.85E-151</v>
      </c>
      <c r="G5042" s="3">
        <v>1205</v>
      </c>
      <c r="H5042" s="3">
        <v>70</v>
      </c>
      <c r="I5042" s="3">
        <v>335</v>
      </c>
      <c r="J5042" s="3">
        <v>625</v>
      </c>
      <c r="K5042" s="3">
        <v>1626</v>
      </c>
      <c r="L5042" s="3">
        <v>757</v>
      </c>
      <c r="M5042" s="3">
        <v>1079</v>
      </c>
    </row>
    <row r="5043" spans="1:13" x14ac:dyDescent="0.25">
      <c r="A5043" s="1" t="str">
        <f>HYPERLINK("http://www.rosaceae.org/Prunus/Prunus_persica/p.persica_gdr_reftransV1_0042822","p.persica_gdr_reftransV1_0042822")</f>
        <v>p.persica_gdr_reftransV1_0042822</v>
      </c>
      <c r="B5043" s="3">
        <v>2442</v>
      </c>
      <c r="C5043" s="1" t="str">
        <f>HYPERLINK("http://www.uniprot.org/uniprot/ADNT1_ARATH","ADNT1_ARATH")</f>
        <v>ADNT1_ARATH</v>
      </c>
      <c r="D5043" t="s">
        <v>786</v>
      </c>
      <c r="E5043" s="3" t="s">
        <v>3</v>
      </c>
      <c r="F5043" s="4">
        <v>5.32E-40</v>
      </c>
      <c r="G5043" s="3">
        <v>393</v>
      </c>
      <c r="H5043" s="3">
        <v>40</v>
      </c>
      <c r="I5043" s="3">
        <v>283</v>
      </c>
      <c r="J5043" s="3">
        <v>846</v>
      </c>
      <c r="K5043" s="3">
        <v>1646</v>
      </c>
      <c r="L5043" s="3">
        <v>9</v>
      </c>
      <c r="M5043" s="3">
        <v>275</v>
      </c>
    </row>
    <row r="5044" spans="1:13" x14ac:dyDescent="0.25">
      <c r="A5044" s="1" t="str">
        <f>HYPERLINK("http://www.rosaceae.org/Prunus/Prunus_persica/p.persica_gdr_reftransV1_0042922","p.persica_gdr_reftransV1_0042922")</f>
        <v>p.persica_gdr_reftransV1_0042922</v>
      </c>
      <c r="B5044" s="3">
        <v>2621</v>
      </c>
      <c r="C5044" s="1" t="str">
        <f>HYPERLINK("http://www.uniprot.org/uniprot/VPS2A_ARATH","VPS2A_ARATH")</f>
        <v>VPS2A_ARATH</v>
      </c>
      <c r="D5044" t="s">
        <v>4346</v>
      </c>
      <c r="E5044" s="3" t="s">
        <v>3</v>
      </c>
      <c r="F5044" s="4">
        <v>8.8399999999999997E-42</v>
      </c>
      <c r="G5044" s="3">
        <v>398</v>
      </c>
      <c r="H5044" s="3">
        <v>85</v>
      </c>
      <c r="I5044" s="3">
        <v>139</v>
      </c>
      <c r="J5044" s="3">
        <v>1618</v>
      </c>
      <c r="K5044" s="3">
        <v>2031</v>
      </c>
      <c r="L5044" s="3">
        <v>87</v>
      </c>
      <c r="M5044" s="3">
        <v>225</v>
      </c>
    </row>
    <row r="5045" spans="1:13" x14ac:dyDescent="0.25">
      <c r="A5045" s="1" t="str">
        <f>HYPERLINK("http://www.rosaceae.org/Prunus/Prunus_persica/p.persica_gdr_reftransV1_0043072","p.persica_gdr_reftransV1_0043072")</f>
        <v>p.persica_gdr_reftransV1_0043072</v>
      </c>
      <c r="B5045" s="3">
        <v>1455</v>
      </c>
      <c r="C5045" s="1" t="str">
        <f>HYPERLINK("http://www.uniprot.org/uniprot/ZAT10_ARATH","ZAT10_ARATH")</f>
        <v>ZAT10_ARATH</v>
      </c>
      <c r="D5045" t="s">
        <v>4347</v>
      </c>
      <c r="E5045" s="3" t="s">
        <v>3</v>
      </c>
      <c r="F5045" s="4">
        <v>4.8900000000000002E-43</v>
      </c>
      <c r="G5045" s="3">
        <v>397</v>
      </c>
      <c r="H5045" s="3">
        <v>45</v>
      </c>
      <c r="I5045" s="3">
        <v>263</v>
      </c>
      <c r="J5045" s="3">
        <v>406</v>
      </c>
      <c r="K5045" s="3">
        <v>1182</v>
      </c>
      <c r="L5045" s="3">
        <v>1</v>
      </c>
      <c r="M5045" s="3">
        <v>219</v>
      </c>
    </row>
    <row r="5046" spans="1:13" x14ac:dyDescent="0.25">
      <c r="A5046" s="1" t="str">
        <f>HYPERLINK("http://www.rosaceae.org/Prunus/Prunus_persica/p.persica_gdr_reftransV1_0043122","p.persica_gdr_reftransV1_0043122")</f>
        <v>p.persica_gdr_reftransV1_0043122</v>
      </c>
      <c r="B5046" s="3">
        <v>458</v>
      </c>
      <c r="C5046" s="1" t="str">
        <f>HYPERLINK("http://www.uniprot.org/uniprot/MLO4_ARATH","MLO4_ARATH")</f>
        <v>MLO4_ARATH</v>
      </c>
      <c r="D5046" t="s">
        <v>930</v>
      </c>
      <c r="E5046" s="3" t="s">
        <v>3</v>
      </c>
      <c r="F5046" s="4">
        <v>3.7300000000000002E-54</v>
      </c>
      <c r="G5046" s="3">
        <v>469</v>
      </c>
      <c r="H5046" s="3">
        <v>82</v>
      </c>
      <c r="I5046" s="3">
        <v>125</v>
      </c>
      <c r="J5046" s="3">
        <v>3</v>
      </c>
      <c r="K5046" s="3">
        <v>374</v>
      </c>
      <c r="L5046" s="3">
        <v>310</v>
      </c>
      <c r="M5046" s="3">
        <v>434</v>
      </c>
    </row>
    <row r="5047" spans="1:13" x14ac:dyDescent="0.25">
      <c r="A5047" s="1" t="str">
        <f>HYPERLINK("http://www.rosaceae.org/Prunus/Prunus_persica/p.persica_gdr_reftransV1_0043172","p.persica_gdr_reftransV1_0043172")</f>
        <v>p.persica_gdr_reftransV1_0043172</v>
      </c>
      <c r="B5047" s="3">
        <v>1742</v>
      </c>
      <c r="C5047" s="1" t="str">
        <f>HYPERLINK("http://www.uniprot.org/uniprot/OML2_ORYSJ","OML2_ORYSJ")</f>
        <v>OML2_ORYSJ</v>
      </c>
      <c r="D5047" t="s">
        <v>4348</v>
      </c>
      <c r="E5047" s="3" t="s">
        <v>38</v>
      </c>
      <c r="F5047" s="4">
        <v>6.0299999999999997E-180</v>
      </c>
      <c r="G5047" s="3">
        <v>1383</v>
      </c>
      <c r="H5047" s="3">
        <v>57</v>
      </c>
      <c r="I5047" s="3">
        <v>513</v>
      </c>
      <c r="J5047" s="3">
        <v>2</v>
      </c>
      <c r="K5047" s="3">
        <v>1513</v>
      </c>
      <c r="L5047" s="3">
        <v>332</v>
      </c>
      <c r="M5047" s="3">
        <v>818</v>
      </c>
    </row>
    <row r="5048" spans="1:13" x14ac:dyDescent="0.25">
      <c r="A5048" s="1" t="str">
        <f>HYPERLINK("http://www.rosaceae.org/Prunus/Prunus_persica/p.persica_gdr_reftransV1_0043272","p.persica_gdr_reftransV1_0043272")</f>
        <v>p.persica_gdr_reftransV1_0043272</v>
      </c>
      <c r="B5048" s="3">
        <v>302</v>
      </c>
      <c r="C5048" s="1" t="str">
        <f>HYPERLINK("http://www.uniprot.org/uniprot/Y3236_ARATH","Y3236_ARATH")</f>
        <v>Y3236_ARATH</v>
      </c>
      <c r="D5048" t="s">
        <v>1074</v>
      </c>
      <c r="E5048" s="3" t="s">
        <v>3</v>
      </c>
      <c r="F5048" s="4">
        <v>1.0399999999999999E-44</v>
      </c>
      <c r="G5048" s="3">
        <v>395</v>
      </c>
      <c r="H5048" s="3">
        <v>77</v>
      </c>
      <c r="I5048" s="3">
        <v>99</v>
      </c>
      <c r="J5048" s="3">
        <v>6</v>
      </c>
      <c r="K5048" s="3">
        <v>302</v>
      </c>
      <c r="L5048" s="3">
        <v>353</v>
      </c>
      <c r="M5048" s="3">
        <v>451</v>
      </c>
    </row>
    <row r="5049" spans="1:13" x14ac:dyDescent="0.25">
      <c r="A5049" s="1" t="str">
        <f>HYPERLINK("http://www.rosaceae.org/Prunus/Prunus_persica/p.persica_gdr_reftransV1_0043422","p.persica_gdr_reftransV1_0043422")</f>
        <v>p.persica_gdr_reftransV1_0043422</v>
      </c>
      <c r="B5049" s="3">
        <v>2134</v>
      </c>
      <c r="C5049" s="1" t="str">
        <f>HYPERLINK("http://www.uniprot.org/uniprot/DIM_PEA","DIM_PEA")</f>
        <v>DIM_PEA</v>
      </c>
      <c r="D5049" t="s">
        <v>4349</v>
      </c>
      <c r="E5049" s="3" t="s">
        <v>60</v>
      </c>
      <c r="F5049" s="4">
        <v>0</v>
      </c>
      <c r="G5049" s="3">
        <v>2633</v>
      </c>
      <c r="H5049" s="3">
        <v>85</v>
      </c>
      <c r="I5049" s="3">
        <v>567</v>
      </c>
      <c r="J5049" s="3">
        <v>248</v>
      </c>
      <c r="K5049" s="3">
        <v>1948</v>
      </c>
      <c r="L5049" s="3">
        <v>1</v>
      </c>
      <c r="M5049" s="3">
        <v>567</v>
      </c>
    </row>
    <row r="5050" spans="1:13" x14ac:dyDescent="0.25">
      <c r="A5050" s="1" t="str">
        <f>HYPERLINK("http://www.rosaceae.org/Prunus/Prunus_persica/p.persica_gdr_reftransV1_0043472","p.persica_gdr_reftransV1_0043472")</f>
        <v>p.persica_gdr_reftransV1_0043472</v>
      </c>
      <c r="B5050" s="3">
        <v>659</v>
      </c>
      <c r="C5050" s="1" t="str">
        <f>HYPERLINK("http://www.uniprot.org/uniprot/VA0E1_ARATH","VA0E1_ARATH")</f>
        <v>VA0E1_ARATH</v>
      </c>
      <c r="D5050" t="s">
        <v>4350</v>
      </c>
      <c r="E5050" s="3" t="s">
        <v>3</v>
      </c>
      <c r="F5050" s="4">
        <v>1E-35</v>
      </c>
      <c r="G5050" s="3">
        <v>317</v>
      </c>
      <c r="H5050" s="3">
        <v>86</v>
      </c>
      <c r="I5050" s="3">
        <v>70</v>
      </c>
      <c r="J5050" s="3">
        <v>140</v>
      </c>
      <c r="K5050" s="3">
        <v>349</v>
      </c>
      <c r="L5050" s="3">
        <v>1</v>
      </c>
      <c r="M5050" s="3">
        <v>70</v>
      </c>
    </row>
    <row r="5051" spans="1:13" x14ac:dyDescent="0.25">
      <c r="A5051" s="1" t="str">
        <f>HYPERLINK("http://www.rosaceae.org/Prunus/Prunus_persica/p.persica_gdr_reftransV1_0043522","p.persica_gdr_reftransV1_0043522")</f>
        <v>p.persica_gdr_reftransV1_0043522</v>
      </c>
      <c r="B5051" s="3">
        <v>2214</v>
      </c>
      <c r="C5051" s="1" t="str">
        <f>HYPERLINK("http://www.uniprot.org/uniprot/ZDHC1_ARATH","ZDHC1_ARATH")</f>
        <v>ZDHC1_ARATH</v>
      </c>
      <c r="D5051" t="s">
        <v>3612</v>
      </c>
      <c r="E5051" s="3" t="s">
        <v>3</v>
      </c>
      <c r="F5051" s="4">
        <v>1.1499999999999999E-160</v>
      </c>
      <c r="G5051" s="3">
        <v>940</v>
      </c>
      <c r="H5051" s="3">
        <v>70</v>
      </c>
      <c r="I5051" s="3">
        <v>380</v>
      </c>
      <c r="J5051" s="3">
        <v>724</v>
      </c>
      <c r="K5051" s="3">
        <v>1797</v>
      </c>
      <c r="L5051" s="3">
        <v>219</v>
      </c>
      <c r="M5051" s="3">
        <v>595</v>
      </c>
    </row>
    <row r="5052" spans="1:13" x14ac:dyDescent="0.25">
      <c r="A5052" s="1" t="str">
        <f>HYPERLINK("http://www.rosaceae.org/Prunus/Prunus_persica/p.persica_gdr_reftransV1_0043572","p.persica_gdr_reftransV1_0043572")</f>
        <v>p.persica_gdr_reftransV1_0043572</v>
      </c>
      <c r="B5052" s="3">
        <v>3069</v>
      </c>
      <c r="C5052" s="1" t="str">
        <f>HYPERLINK("http://www.uniprot.org/uniprot/BIG1_ARATH","BIG1_ARATH")</f>
        <v>BIG1_ARATH</v>
      </c>
      <c r="D5052" t="s">
        <v>4351</v>
      </c>
      <c r="E5052" s="3" t="s">
        <v>3</v>
      </c>
      <c r="F5052" s="4">
        <v>0</v>
      </c>
      <c r="G5052" s="3">
        <v>3656</v>
      </c>
      <c r="H5052" s="3">
        <v>69</v>
      </c>
      <c r="I5052" s="3">
        <v>1009</v>
      </c>
      <c r="J5052" s="3">
        <v>65</v>
      </c>
      <c r="K5052" s="3">
        <v>3067</v>
      </c>
      <c r="L5052" s="3">
        <v>693</v>
      </c>
      <c r="M5052" s="3">
        <v>1687</v>
      </c>
    </row>
    <row r="5053" spans="1:13" x14ac:dyDescent="0.25">
      <c r="A5053" s="1" t="str">
        <f>HYPERLINK("http://www.rosaceae.org/Prunus/Prunus_persica/p.persica_gdr_reftransV1_0043622","p.persica_gdr_reftransV1_0043622")</f>
        <v>p.persica_gdr_reftransV1_0043622</v>
      </c>
      <c r="B5053" s="3">
        <v>1093</v>
      </c>
      <c r="C5053" s="1" t="str">
        <f>HYPERLINK("http://www.uniprot.org/uniprot/VTI12_ARATH","VTI12_ARATH")</f>
        <v>VTI12_ARATH</v>
      </c>
      <c r="D5053" t="s">
        <v>1064</v>
      </c>
      <c r="E5053" s="3" t="s">
        <v>3</v>
      </c>
      <c r="F5053" s="4">
        <v>2.3000000000000001E-113</v>
      </c>
      <c r="G5053" s="3">
        <v>861</v>
      </c>
      <c r="H5053" s="3">
        <v>73</v>
      </c>
      <c r="I5053" s="3">
        <v>222</v>
      </c>
      <c r="J5053" s="3">
        <v>187</v>
      </c>
      <c r="K5053" s="3">
        <v>852</v>
      </c>
      <c r="L5053" s="3">
        <v>1</v>
      </c>
      <c r="M5053" s="3">
        <v>222</v>
      </c>
    </row>
    <row r="5054" spans="1:13" x14ac:dyDescent="0.25">
      <c r="A5054" s="1" t="str">
        <f>HYPERLINK("http://www.rosaceae.org/Prunus/Prunus_persica/p.persica_gdr_reftransV1_0043672","p.persica_gdr_reftransV1_0043672")</f>
        <v>p.persica_gdr_reftransV1_0043672</v>
      </c>
      <c r="B5054" s="3">
        <v>652</v>
      </c>
      <c r="C5054" s="1" t="str">
        <f>HYPERLINK("http://www.uniprot.org/uniprot/NLTP3_PRUDU","NLTP3_PRUDU")</f>
        <v>NLTP3_PRUDU</v>
      </c>
      <c r="D5054" t="s">
        <v>417</v>
      </c>
      <c r="E5054" s="3" t="s">
        <v>418</v>
      </c>
      <c r="F5054" s="4">
        <v>6.7599999999999997E-58</v>
      </c>
      <c r="G5054" s="3">
        <v>470</v>
      </c>
      <c r="H5054" s="3">
        <v>100</v>
      </c>
      <c r="I5054" s="3">
        <v>123</v>
      </c>
      <c r="J5054" s="3">
        <v>166</v>
      </c>
      <c r="K5054" s="3">
        <v>534</v>
      </c>
      <c r="L5054" s="3">
        <v>1</v>
      </c>
      <c r="M5054" s="3">
        <v>123</v>
      </c>
    </row>
    <row r="5055" spans="1:13" x14ac:dyDescent="0.25">
      <c r="A5055" s="1" t="str">
        <f>HYPERLINK("http://www.rosaceae.org/Prunus/Prunus_persica/p.persica_gdr_reftransV1_0043772","p.persica_gdr_reftransV1_0043772")</f>
        <v>p.persica_gdr_reftransV1_0043772</v>
      </c>
      <c r="B5055" s="3">
        <v>463</v>
      </c>
      <c r="C5055" s="1" t="str">
        <f>HYPERLINK("http://www.uniprot.org/uniprot/CCJ18_ARATH","CCJ18_ARATH")</f>
        <v>CCJ18_ARATH</v>
      </c>
      <c r="D5055" t="s">
        <v>4352</v>
      </c>
      <c r="E5055" s="3" t="s">
        <v>3</v>
      </c>
      <c r="F5055" s="4">
        <v>2.2399999999999999E-29</v>
      </c>
      <c r="G5055" s="3">
        <v>281</v>
      </c>
      <c r="H5055" s="3">
        <v>64</v>
      </c>
      <c r="I5055" s="3">
        <v>91</v>
      </c>
      <c r="J5055" s="3">
        <v>45</v>
      </c>
      <c r="K5055" s="3">
        <v>317</v>
      </c>
      <c r="L5055" s="3">
        <v>139</v>
      </c>
      <c r="M5055" s="3">
        <v>229</v>
      </c>
    </row>
    <row r="5056" spans="1:13" x14ac:dyDescent="0.25">
      <c r="A5056" s="1" t="str">
        <f>HYPERLINK("http://www.rosaceae.org/Prunus/Prunus_persica/p.persica_gdr_reftransV1_0043822","p.persica_gdr_reftransV1_0043822")</f>
        <v>p.persica_gdr_reftransV1_0043822</v>
      </c>
      <c r="B5056" s="3">
        <v>588</v>
      </c>
      <c r="C5056" s="1" t="str">
        <f>HYPERLINK("http://www.uniprot.org/uniprot/EPFL3_ARATH","EPFL3_ARATH")</f>
        <v>EPFL3_ARATH</v>
      </c>
      <c r="D5056" t="s">
        <v>4353</v>
      </c>
      <c r="E5056" s="3" t="s">
        <v>3</v>
      </c>
      <c r="F5056" s="4">
        <v>7.81E-12</v>
      </c>
      <c r="G5056" s="3">
        <v>152</v>
      </c>
      <c r="H5056" s="3">
        <v>40</v>
      </c>
      <c r="I5056" s="3">
        <v>81</v>
      </c>
      <c r="J5056" s="3">
        <v>213</v>
      </c>
      <c r="K5056" s="3">
        <v>449</v>
      </c>
      <c r="L5056" s="3">
        <v>29</v>
      </c>
      <c r="M5056" s="3">
        <v>104</v>
      </c>
    </row>
    <row r="5057" spans="1:13" x14ac:dyDescent="0.25">
      <c r="A5057" s="1" t="str">
        <f>HYPERLINK("http://www.rosaceae.org/Prunus/Prunus_persica/p.persica_gdr_reftransV1_0043922","p.persica_gdr_reftransV1_0043922")</f>
        <v>p.persica_gdr_reftransV1_0043922</v>
      </c>
      <c r="B5057" s="3">
        <v>1178</v>
      </c>
      <c r="C5057" s="1" t="str">
        <f>HYPERLINK("http://www.uniprot.org/uniprot/GLO2C_ARATH","GLO2C_ARATH")</f>
        <v>GLO2C_ARATH</v>
      </c>
      <c r="D5057" t="s">
        <v>4354</v>
      </c>
      <c r="E5057" s="3" t="s">
        <v>3</v>
      </c>
      <c r="F5057" s="4">
        <v>7.4199999999999998E-151</v>
      </c>
      <c r="G5057" s="3">
        <v>1116</v>
      </c>
      <c r="H5057" s="3">
        <v>74</v>
      </c>
      <c r="I5057" s="3">
        <v>258</v>
      </c>
      <c r="J5057" s="3">
        <v>72</v>
      </c>
      <c r="K5057" s="3">
        <v>845</v>
      </c>
      <c r="L5057" s="3">
        <v>1</v>
      </c>
      <c r="M5057" s="3">
        <v>258</v>
      </c>
    </row>
    <row r="5058" spans="1:13" x14ac:dyDescent="0.25">
      <c r="A5058" s="1" t="str">
        <f>HYPERLINK("http://www.rosaceae.org/Prunus/Prunus_persica/p.persica_gdr_reftransV1_0044072","p.persica_gdr_reftransV1_0044072")</f>
        <v>p.persica_gdr_reftransV1_0044072</v>
      </c>
      <c r="B5058" s="3">
        <v>1240</v>
      </c>
      <c r="C5058" s="1" t="str">
        <f>HYPERLINK("http://www.uniprot.org/uniprot/YAB5_ARATH","YAB5_ARATH")</f>
        <v>YAB5_ARATH</v>
      </c>
      <c r="D5058" t="s">
        <v>2799</v>
      </c>
      <c r="E5058" s="3" t="s">
        <v>3</v>
      </c>
      <c r="F5058" s="4">
        <v>2.68E-77</v>
      </c>
      <c r="G5058" s="3">
        <v>620</v>
      </c>
      <c r="H5058" s="3">
        <v>77</v>
      </c>
      <c r="I5058" s="3">
        <v>165</v>
      </c>
      <c r="J5058" s="3">
        <v>390</v>
      </c>
      <c r="K5058" s="3">
        <v>881</v>
      </c>
      <c r="L5058" s="3">
        <v>6</v>
      </c>
      <c r="M5058" s="3">
        <v>163</v>
      </c>
    </row>
    <row r="5059" spans="1:13" x14ac:dyDescent="0.25">
      <c r="A5059" s="1" t="str">
        <f>HYPERLINK("http://www.rosaceae.org/Prunus/Prunus_persica/p.persica_gdr_reftransV1_0044122","p.persica_gdr_reftransV1_0044122")</f>
        <v>p.persica_gdr_reftransV1_0044122</v>
      </c>
      <c r="B5059" s="3">
        <v>4033</v>
      </c>
      <c r="C5059" s="1" t="str">
        <f>HYPERLINK("http://www.uniprot.org/uniprot/AB2B_ARATH","AB2B_ARATH")</f>
        <v>AB2B_ARATH</v>
      </c>
      <c r="D5059" t="s">
        <v>3608</v>
      </c>
      <c r="E5059" s="3" t="s">
        <v>3</v>
      </c>
      <c r="F5059" s="4">
        <v>0</v>
      </c>
      <c r="G5059" s="3">
        <v>5157</v>
      </c>
      <c r="H5059" s="3">
        <v>82</v>
      </c>
      <c r="I5059" s="3">
        <v>1215</v>
      </c>
      <c r="J5059" s="3">
        <v>61</v>
      </c>
      <c r="K5059" s="3">
        <v>3705</v>
      </c>
      <c r="L5059" s="3">
        <v>59</v>
      </c>
      <c r="M5059" s="3">
        <v>1267</v>
      </c>
    </row>
    <row r="5060" spans="1:13" x14ac:dyDescent="0.25">
      <c r="A5060" s="1" t="str">
        <f>HYPERLINK("http://www.rosaceae.org/Prunus/Prunus_persica/p.persica_gdr_reftransV1_0044172","p.persica_gdr_reftransV1_0044172")</f>
        <v>p.persica_gdr_reftransV1_0044172</v>
      </c>
      <c r="B5060" s="3">
        <v>841</v>
      </c>
      <c r="C5060" s="1" t="str">
        <f>HYPERLINK("http://www.uniprot.org/uniprot/B561J_ARATH","B561J_ARATH")</f>
        <v>B561J_ARATH</v>
      </c>
      <c r="D5060" t="s">
        <v>4355</v>
      </c>
      <c r="E5060" s="3" t="s">
        <v>3</v>
      </c>
      <c r="F5060" s="4">
        <v>1.0800000000000001E-73</v>
      </c>
      <c r="G5060" s="3">
        <v>605</v>
      </c>
      <c r="H5060" s="3">
        <v>47</v>
      </c>
      <c r="I5060" s="3">
        <v>251</v>
      </c>
      <c r="J5060" s="3">
        <v>109</v>
      </c>
      <c r="K5060" s="3">
        <v>840</v>
      </c>
      <c r="L5060" s="3">
        <v>25</v>
      </c>
      <c r="M5060" s="3">
        <v>275</v>
      </c>
    </row>
    <row r="5061" spans="1:13" x14ac:dyDescent="0.25">
      <c r="A5061" s="1" t="str">
        <f>HYPERLINK("http://www.rosaceae.org/Prunus/Prunus_persica/p.persica_gdr_reftransV1_0044222","p.persica_gdr_reftransV1_0044222")</f>
        <v>p.persica_gdr_reftransV1_0044222</v>
      </c>
      <c r="B5061" s="3">
        <v>1146</v>
      </c>
      <c r="C5061" s="1" t="str">
        <f>HYPERLINK("http://www.uniprot.org/uniprot/GOLS1_AJURE","GOLS1_AJURE")</f>
        <v>GOLS1_AJURE</v>
      </c>
      <c r="D5061" t="s">
        <v>4356</v>
      </c>
      <c r="E5061" s="3" t="s">
        <v>4357</v>
      </c>
      <c r="F5061" s="4">
        <v>0</v>
      </c>
      <c r="G5061" s="3">
        <v>1494</v>
      </c>
      <c r="H5061" s="3">
        <v>81</v>
      </c>
      <c r="I5061" s="3">
        <v>333</v>
      </c>
      <c r="J5061" s="3">
        <v>1</v>
      </c>
      <c r="K5061" s="3">
        <v>999</v>
      </c>
      <c r="L5061" s="3">
        <v>3</v>
      </c>
      <c r="M5061" s="3">
        <v>330</v>
      </c>
    </row>
    <row r="5062" spans="1:13" x14ac:dyDescent="0.25">
      <c r="A5062" s="1" t="str">
        <f>HYPERLINK("http://www.rosaceae.org/Prunus/Prunus_persica/p.persica_gdr_reftransV1_0044272","p.persica_gdr_reftransV1_0044272")</f>
        <v>p.persica_gdr_reftransV1_0044272</v>
      </c>
      <c r="B5062" s="3">
        <v>1941</v>
      </c>
      <c r="C5062" s="1" t="str">
        <f>HYPERLINK("http://www.uniprot.org/uniprot/SKI17_ARATH","SKI17_ARATH")</f>
        <v>SKI17_ARATH</v>
      </c>
      <c r="D5062" t="s">
        <v>4358</v>
      </c>
      <c r="E5062" s="3" t="s">
        <v>3</v>
      </c>
      <c r="F5062" s="4">
        <v>1.5700000000000001E-86</v>
      </c>
      <c r="G5062" s="3">
        <v>729</v>
      </c>
      <c r="H5062" s="3">
        <v>44</v>
      </c>
      <c r="I5062" s="3">
        <v>423</v>
      </c>
      <c r="J5062" s="3">
        <v>114</v>
      </c>
      <c r="K5062" s="3">
        <v>1364</v>
      </c>
      <c r="L5062" s="3">
        <v>28</v>
      </c>
      <c r="M5062" s="3">
        <v>419</v>
      </c>
    </row>
    <row r="5063" spans="1:13" x14ac:dyDescent="0.25">
      <c r="A5063" s="1" t="str">
        <f>HYPERLINK("http://www.rosaceae.org/Prunus/Prunus_persica/p.persica_gdr_reftransV1_0044322","p.persica_gdr_reftransV1_0044322")</f>
        <v>p.persica_gdr_reftransV1_0044322</v>
      </c>
      <c r="B5063" s="3">
        <v>746</v>
      </c>
      <c r="C5063" s="1" t="str">
        <f>HYPERLINK("http://www.uniprot.org/uniprot/KAT3_ARATH","KAT3_ARATH")</f>
        <v>KAT3_ARATH</v>
      </c>
      <c r="D5063" t="s">
        <v>4359</v>
      </c>
      <c r="E5063" s="3" t="s">
        <v>3</v>
      </c>
      <c r="F5063" s="4">
        <v>2.5700000000000002E-57</v>
      </c>
      <c r="G5063" s="3">
        <v>504</v>
      </c>
      <c r="H5063" s="3">
        <v>51</v>
      </c>
      <c r="I5063" s="3">
        <v>210</v>
      </c>
      <c r="J5063" s="3">
        <v>150</v>
      </c>
      <c r="K5063" s="3">
        <v>737</v>
      </c>
      <c r="L5063" s="3">
        <v>457</v>
      </c>
      <c r="M5063" s="3">
        <v>662</v>
      </c>
    </row>
    <row r="5064" spans="1:13" x14ac:dyDescent="0.25">
      <c r="A5064" s="1" t="str">
        <f>HYPERLINK("http://www.rosaceae.org/Prunus/Prunus_persica/p.persica_gdr_reftransV1_0044372","p.persica_gdr_reftransV1_0044372")</f>
        <v>p.persica_gdr_reftransV1_0044372</v>
      </c>
      <c r="B5064" s="3">
        <v>671</v>
      </c>
      <c r="C5064" s="1" t="str">
        <f>HYPERLINK("http://www.uniprot.org/uniprot/NTL9_ARATH","NTL9_ARATH")</f>
        <v>NTL9_ARATH</v>
      </c>
      <c r="D5064" t="s">
        <v>3428</v>
      </c>
      <c r="E5064" s="3" t="s">
        <v>3</v>
      </c>
      <c r="F5064" s="4">
        <v>9.8099999999999997E-37</v>
      </c>
      <c r="G5064" s="3">
        <v>349</v>
      </c>
      <c r="H5064" s="3">
        <v>48</v>
      </c>
      <c r="I5064" s="3">
        <v>164</v>
      </c>
      <c r="J5064" s="3">
        <v>189</v>
      </c>
      <c r="K5064" s="3">
        <v>665</v>
      </c>
      <c r="L5064" s="3">
        <v>13</v>
      </c>
      <c r="M5064" s="3">
        <v>167</v>
      </c>
    </row>
    <row r="5065" spans="1:13" x14ac:dyDescent="0.25">
      <c r="A5065" s="1" t="str">
        <f>HYPERLINK("http://www.rosaceae.org/Prunus/Prunus_persica/p.persica_gdr_reftransV1_0044472","p.persica_gdr_reftransV1_0044472")</f>
        <v>p.persica_gdr_reftransV1_0044472</v>
      </c>
      <c r="B5065" s="3">
        <v>1224</v>
      </c>
      <c r="C5065" s="1" t="str">
        <f>HYPERLINK("http://www.uniprot.org/uniprot/PRXQ_POPJC","PRXQ_POPJC")</f>
        <v>PRXQ_POPJC</v>
      </c>
      <c r="D5065" t="s">
        <v>4360</v>
      </c>
      <c r="E5065" s="3" t="s">
        <v>4361</v>
      </c>
      <c r="F5065" s="4">
        <v>1.1800000000000001E-101</v>
      </c>
      <c r="G5065" s="3">
        <v>787</v>
      </c>
      <c r="H5065" s="3">
        <v>81</v>
      </c>
      <c r="I5065" s="3">
        <v>214</v>
      </c>
      <c r="J5065" s="3">
        <v>381</v>
      </c>
      <c r="K5065" s="3">
        <v>1022</v>
      </c>
      <c r="L5065" s="3">
        <v>1</v>
      </c>
      <c r="M5065" s="3">
        <v>211</v>
      </c>
    </row>
    <row r="5066" spans="1:13" x14ac:dyDescent="0.25">
      <c r="A5066" s="1" t="str">
        <f>HYPERLINK("http://www.rosaceae.org/Prunus/Prunus_persica/p.persica_gdr_reftransV1_0044672","p.persica_gdr_reftransV1_0044672")</f>
        <v>p.persica_gdr_reftransV1_0044672</v>
      </c>
      <c r="B5066" s="3">
        <v>307</v>
      </c>
      <c r="C5066" s="1" t="str">
        <f>HYPERLINK("http://www.uniprot.org/uniprot/ACTS_ORYLA","ACTS_ORYLA")</f>
        <v>ACTS_ORYLA</v>
      </c>
      <c r="D5066" t="s">
        <v>4362</v>
      </c>
      <c r="E5066" s="3" t="s">
        <v>4363</v>
      </c>
      <c r="F5066" s="4">
        <v>9.4900000000000006E-70</v>
      </c>
      <c r="G5066" s="3">
        <v>557</v>
      </c>
      <c r="H5066" s="3">
        <v>100</v>
      </c>
      <c r="I5066" s="3">
        <v>101</v>
      </c>
      <c r="J5066" s="3">
        <v>3</v>
      </c>
      <c r="K5066" s="3">
        <v>305</v>
      </c>
      <c r="L5066" s="3">
        <v>34</v>
      </c>
      <c r="M5066" s="3">
        <v>134</v>
      </c>
    </row>
    <row r="5067" spans="1:13" x14ac:dyDescent="0.25">
      <c r="A5067" s="1" t="str">
        <f>HYPERLINK("http://www.rosaceae.org/Prunus/Prunus_persica/p.persica_gdr_reftransV1_0044722","p.persica_gdr_reftransV1_0044722")</f>
        <v>p.persica_gdr_reftransV1_0044722</v>
      </c>
      <c r="B5067" s="3">
        <v>1607</v>
      </c>
      <c r="C5067" s="1" t="str">
        <f>HYPERLINK("http://www.uniprot.org/uniprot/6PGL4_ORYSJ","6PGL4_ORYSJ")</f>
        <v>6PGL4_ORYSJ</v>
      </c>
      <c r="D5067" t="s">
        <v>4364</v>
      </c>
      <c r="E5067" s="3" t="s">
        <v>38</v>
      </c>
      <c r="F5067" s="4">
        <v>1.9499999999999998E-127</v>
      </c>
      <c r="G5067" s="3">
        <v>981</v>
      </c>
      <c r="H5067" s="3">
        <v>75</v>
      </c>
      <c r="I5067" s="3">
        <v>251</v>
      </c>
      <c r="J5067" s="3">
        <v>349</v>
      </c>
      <c r="K5067" s="3">
        <v>1095</v>
      </c>
      <c r="L5067" s="3">
        <v>71</v>
      </c>
      <c r="M5067" s="3">
        <v>321</v>
      </c>
    </row>
    <row r="5068" spans="1:13" x14ac:dyDescent="0.25">
      <c r="A5068" s="1" t="str">
        <f>HYPERLINK("http://www.rosaceae.org/Prunus/Prunus_persica/p.persica_gdr_reftransV1_0044822","p.persica_gdr_reftransV1_0044822")</f>
        <v>p.persica_gdr_reftransV1_0044822</v>
      </c>
      <c r="B5068" s="3">
        <v>1153</v>
      </c>
      <c r="C5068" s="1" t="str">
        <f>HYPERLINK("http://www.uniprot.org/uniprot/GUN23_ORYSJ","GUN23_ORYSJ")</f>
        <v>GUN23_ORYSJ</v>
      </c>
      <c r="D5068" t="s">
        <v>4365</v>
      </c>
      <c r="E5068" s="3" t="s">
        <v>38</v>
      </c>
      <c r="F5068" s="4">
        <v>4.5600000000000003E-169</v>
      </c>
      <c r="G5068" s="3">
        <v>1261</v>
      </c>
      <c r="H5068" s="3">
        <v>74</v>
      </c>
      <c r="I5068" s="3">
        <v>302</v>
      </c>
      <c r="J5068" s="3">
        <v>49</v>
      </c>
      <c r="K5068" s="3">
        <v>954</v>
      </c>
      <c r="L5068" s="3">
        <v>207</v>
      </c>
      <c r="M5068" s="3">
        <v>508</v>
      </c>
    </row>
    <row r="5069" spans="1:13" x14ac:dyDescent="0.25">
      <c r="A5069" s="1" t="str">
        <f>HYPERLINK("http://www.rosaceae.org/Prunus/Prunus_persica/p.persica_gdr_reftransV1_0044872","p.persica_gdr_reftransV1_0044872")</f>
        <v>p.persica_gdr_reftransV1_0044872</v>
      </c>
      <c r="B5069" s="3">
        <v>374</v>
      </c>
      <c r="C5069" s="1" t="str">
        <f>HYPERLINK("http://www.uniprot.org/uniprot/UFOG7_FRAAN","UFOG7_FRAAN")</f>
        <v>UFOG7_FRAAN</v>
      </c>
      <c r="D5069" t="s">
        <v>2824</v>
      </c>
      <c r="E5069" s="3" t="s">
        <v>15</v>
      </c>
      <c r="F5069" s="4">
        <v>7.0800000000000005E-24</v>
      </c>
      <c r="G5069" s="3">
        <v>246</v>
      </c>
      <c r="H5069" s="3">
        <v>57</v>
      </c>
      <c r="I5069" s="3">
        <v>81</v>
      </c>
      <c r="J5069" s="3">
        <v>129</v>
      </c>
      <c r="K5069" s="3">
        <v>371</v>
      </c>
      <c r="L5069" s="3">
        <v>9</v>
      </c>
      <c r="M5069" s="3">
        <v>82</v>
      </c>
    </row>
    <row r="5070" spans="1:13" x14ac:dyDescent="0.25">
      <c r="A5070" s="1" t="str">
        <f>HYPERLINK("http://www.rosaceae.org/Prunus/Prunus_persica/p.persica_gdr_reftransV1_0044922","p.persica_gdr_reftransV1_0044922")</f>
        <v>p.persica_gdr_reftransV1_0044922</v>
      </c>
      <c r="B5070" s="3">
        <v>338</v>
      </c>
      <c r="C5070" s="1" t="str">
        <f>HYPERLINK("http://www.uniprot.org/uniprot/MNR1_CAPAN","MNR1_CAPAN")</f>
        <v>MNR1_CAPAN</v>
      </c>
      <c r="D5070" t="s">
        <v>2808</v>
      </c>
      <c r="E5070" s="3" t="s">
        <v>588</v>
      </c>
      <c r="F5070" s="4">
        <v>1.6100000000000001E-30</v>
      </c>
      <c r="G5070" s="3">
        <v>288</v>
      </c>
      <c r="H5070" s="3">
        <v>60</v>
      </c>
      <c r="I5070" s="3">
        <v>99</v>
      </c>
      <c r="J5070" s="3">
        <v>49</v>
      </c>
      <c r="K5070" s="3">
        <v>336</v>
      </c>
      <c r="L5070" s="3">
        <v>3</v>
      </c>
      <c r="M5070" s="3">
        <v>100</v>
      </c>
    </row>
    <row r="5071" spans="1:13" x14ac:dyDescent="0.25">
      <c r="A5071" s="1" t="str">
        <f>HYPERLINK("http://www.rosaceae.org/Prunus/Prunus_persica/p.persica_gdr_reftransV1_0044972","p.persica_gdr_reftransV1_0044972")</f>
        <v>p.persica_gdr_reftransV1_0044972</v>
      </c>
      <c r="B5071" s="3">
        <v>400</v>
      </c>
      <c r="C5071" s="1" t="str">
        <f>HYPERLINK("http://www.uniprot.org/uniprot/RL38_ARATH","RL38_ARATH")</f>
        <v>RL38_ARATH</v>
      </c>
      <c r="D5071" t="s">
        <v>4366</v>
      </c>
      <c r="E5071" s="3" t="s">
        <v>3</v>
      </c>
      <c r="F5071" s="4">
        <v>8.5300000000000004E-40</v>
      </c>
      <c r="G5071" s="3">
        <v>336</v>
      </c>
      <c r="H5071" s="3">
        <v>96</v>
      </c>
      <c r="I5071" s="3">
        <v>69</v>
      </c>
      <c r="J5071" s="3">
        <v>106</v>
      </c>
      <c r="K5071" s="3">
        <v>312</v>
      </c>
      <c r="L5071" s="3">
        <v>1</v>
      </c>
      <c r="M5071" s="3">
        <v>69</v>
      </c>
    </row>
    <row r="5072" spans="1:13" x14ac:dyDescent="0.25">
      <c r="A5072" s="1" t="str">
        <f>HYPERLINK("http://www.rosaceae.org/Prunus/Prunus_persica/p.persica_gdr_reftransV1_0045072","p.persica_gdr_reftransV1_0045072")</f>
        <v>p.persica_gdr_reftransV1_0045072</v>
      </c>
      <c r="B5072" s="3">
        <v>1473</v>
      </c>
      <c r="C5072" s="1" t="str">
        <f>HYPERLINK("http://www.uniprot.org/uniprot/SAE1A_ARATH","SAE1A_ARATH")</f>
        <v>SAE1A_ARATH</v>
      </c>
      <c r="D5072" t="s">
        <v>4367</v>
      </c>
      <c r="E5072" s="3" t="s">
        <v>3</v>
      </c>
      <c r="F5072" s="4">
        <v>1.37E-172</v>
      </c>
      <c r="G5072" s="3">
        <v>1276</v>
      </c>
      <c r="H5072" s="3">
        <v>73</v>
      </c>
      <c r="I5072" s="3">
        <v>317</v>
      </c>
      <c r="J5072" s="3">
        <v>381</v>
      </c>
      <c r="K5072" s="3">
        <v>1331</v>
      </c>
      <c r="L5072" s="3">
        <v>1</v>
      </c>
      <c r="M5072" s="3">
        <v>317</v>
      </c>
    </row>
    <row r="5073" spans="1:13" x14ac:dyDescent="0.25">
      <c r="A5073" s="1" t="str">
        <f>HYPERLINK("http://www.rosaceae.org/Prunus/Prunus_persica/p.persica_gdr_reftransV1_0045472","p.persica_gdr_reftransV1_0045472")</f>
        <v>p.persica_gdr_reftransV1_0045472</v>
      </c>
      <c r="B5073" s="3">
        <v>2309</v>
      </c>
      <c r="C5073" s="1" t="str">
        <f>HYPERLINK("http://www.uniprot.org/uniprot/Y1491_ARATH","Y1491_ARATH")</f>
        <v>Y1491_ARATH</v>
      </c>
      <c r="D5073" t="s">
        <v>310</v>
      </c>
      <c r="E5073" s="3" t="s">
        <v>3</v>
      </c>
      <c r="F5073" s="4">
        <v>4.74E-75</v>
      </c>
      <c r="G5073" s="3">
        <v>660</v>
      </c>
      <c r="H5073" s="3">
        <v>35</v>
      </c>
      <c r="I5073" s="3">
        <v>458</v>
      </c>
      <c r="J5073" s="3">
        <v>480</v>
      </c>
      <c r="K5073" s="3">
        <v>1826</v>
      </c>
      <c r="L5073" s="3">
        <v>55</v>
      </c>
      <c r="M5073" s="3">
        <v>475</v>
      </c>
    </row>
    <row r="5074" spans="1:13" x14ac:dyDescent="0.25">
      <c r="A5074" s="1" t="str">
        <f>HYPERLINK("http://www.rosaceae.org/Prunus/Prunus_persica/p.persica_gdr_reftransV1_0045522","p.persica_gdr_reftransV1_0045522")</f>
        <v>p.persica_gdr_reftransV1_0045522</v>
      </c>
      <c r="B5074" s="3">
        <v>1621</v>
      </c>
      <c r="C5074" s="1" t="str">
        <f>HYPERLINK("http://www.uniprot.org/uniprot/APX8_ORYSJ","APX8_ORYSJ")</f>
        <v>APX8_ORYSJ</v>
      </c>
      <c r="D5074" t="s">
        <v>4368</v>
      </c>
      <c r="E5074" s="3" t="s">
        <v>38</v>
      </c>
      <c r="F5074" s="4">
        <v>7.6199999999999994E-158</v>
      </c>
      <c r="G5074" s="3">
        <v>1081</v>
      </c>
      <c r="H5074" s="3">
        <v>83</v>
      </c>
      <c r="I5074" s="3">
        <v>233</v>
      </c>
      <c r="J5074" s="3">
        <v>602</v>
      </c>
      <c r="K5074" s="3">
        <v>1300</v>
      </c>
      <c r="L5074" s="3">
        <v>90</v>
      </c>
      <c r="M5074" s="3">
        <v>322</v>
      </c>
    </row>
    <row r="5075" spans="1:13" x14ac:dyDescent="0.25">
      <c r="A5075" s="1" t="str">
        <f>HYPERLINK("http://www.rosaceae.org/Prunus/Prunus_persica/p.persica_gdr_reftransV1_0045572","p.persica_gdr_reftransV1_0045572")</f>
        <v>p.persica_gdr_reftransV1_0045572</v>
      </c>
      <c r="B5075" s="3">
        <v>1199</v>
      </c>
      <c r="C5075" s="1" t="str">
        <f>HYPERLINK("http://www.uniprot.org/uniprot/HIBC8_ARATH","HIBC8_ARATH")</f>
        <v>HIBC8_ARATH</v>
      </c>
      <c r="D5075" t="s">
        <v>4369</v>
      </c>
      <c r="E5075" s="3" t="s">
        <v>3</v>
      </c>
      <c r="F5075" s="4">
        <v>4.0600000000000001E-164</v>
      </c>
      <c r="G5075" s="3">
        <v>1217</v>
      </c>
      <c r="H5075" s="3">
        <v>67</v>
      </c>
      <c r="I5075" s="3">
        <v>342</v>
      </c>
      <c r="J5075" s="3">
        <v>261</v>
      </c>
      <c r="K5075" s="3">
        <v>1199</v>
      </c>
      <c r="L5075" s="3">
        <v>45</v>
      </c>
      <c r="M5075" s="3">
        <v>386</v>
      </c>
    </row>
    <row r="5076" spans="1:13" x14ac:dyDescent="0.25">
      <c r="A5076" s="1" t="str">
        <f>HYPERLINK("http://www.rosaceae.org/Prunus/Prunus_persica/p.persica_gdr_reftransV1_0045672","p.persica_gdr_reftransV1_0045672")</f>
        <v>p.persica_gdr_reftransV1_0045672</v>
      </c>
      <c r="B5076" s="3">
        <v>2904</v>
      </c>
      <c r="C5076" s="1" t="str">
        <f>HYPERLINK("http://www.uniprot.org/uniprot/GDL88_ARATH","GDL88_ARATH")</f>
        <v>GDL88_ARATH</v>
      </c>
      <c r="D5076" t="s">
        <v>4370</v>
      </c>
      <c r="E5076" s="3" t="s">
        <v>3</v>
      </c>
      <c r="F5076" s="4">
        <v>7.9400000000000002E-67</v>
      </c>
      <c r="G5076" s="3">
        <v>583</v>
      </c>
      <c r="H5076" s="3">
        <v>79</v>
      </c>
      <c r="I5076" s="3">
        <v>131</v>
      </c>
      <c r="J5076" s="3">
        <v>1763</v>
      </c>
      <c r="K5076" s="3">
        <v>2155</v>
      </c>
      <c r="L5076" s="3">
        <v>1</v>
      </c>
      <c r="M5076" s="3">
        <v>131</v>
      </c>
    </row>
    <row r="5077" spans="1:13" x14ac:dyDescent="0.25">
      <c r="A5077" s="1" t="str">
        <f>HYPERLINK("http://www.rosaceae.org/Prunus/Prunus_persica/p.persica_gdr_reftransV1_0045772","p.persica_gdr_reftransV1_0045772")</f>
        <v>p.persica_gdr_reftransV1_0045772</v>
      </c>
      <c r="B5077" s="3">
        <v>1231</v>
      </c>
      <c r="C5077" s="1" t="str">
        <f>HYPERLINK("http://www.uniprot.org/uniprot/SURE_THEM4","SURE_THEM4")</f>
        <v>SURE_THEM4</v>
      </c>
      <c r="D5077" t="s">
        <v>4371</v>
      </c>
      <c r="E5077" s="3" t="s">
        <v>4372</v>
      </c>
      <c r="F5077" s="4">
        <v>8.2499999999999998E-37</v>
      </c>
      <c r="G5077" s="3">
        <v>352</v>
      </c>
      <c r="H5077" s="3">
        <v>34</v>
      </c>
      <c r="I5077" s="3">
        <v>290</v>
      </c>
      <c r="J5077" s="3">
        <v>276</v>
      </c>
      <c r="K5077" s="3">
        <v>1124</v>
      </c>
      <c r="L5077" s="3">
        <v>3</v>
      </c>
      <c r="M5077" s="3">
        <v>243</v>
      </c>
    </row>
    <row r="5078" spans="1:13" x14ac:dyDescent="0.25">
      <c r="A5078" s="1" t="str">
        <f>HYPERLINK("http://www.rosaceae.org/Prunus/Prunus_persica/p.persica_gdr_reftransV1_0045822","p.persica_gdr_reftransV1_0045822")</f>
        <v>p.persica_gdr_reftransV1_0045822</v>
      </c>
      <c r="B5078" s="3">
        <v>459</v>
      </c>
      <c r="C5078" s="1" t="str">
        <f>HYPERLINK("http://www.uniprot.org/uniprot/SYFB_ARATH","SYFB_ARATH")</f>
        <v>SYFB_ARATH</v>
      </c>
      <c r="D5078" t="s">
        <v>4373</v>
      </c>
      <c r="E5078" s="3" t="s">
        <v>3</v>
      </c>
      <c r="F5078" s="4">
        <v>1.0799999999999999E-64</v>
      </c>
      <c r="G5078" s="3">
        <v>543</v>
      </c>
      <c r="H5078" s="3">
        <v>67</v>
      </c>
      <c r="I5078" s="3">
        <v>156</v>
      </c>
      <c r="J5078" s="3">
        <v>2</v>
      </c>
      <c r="K5078" s="3">
        <v>457</v>
      </c>
      <c r="L5078" s="3">
        <v>287</v>
      </c>
      <c r="M5078" s="3">
        <v>441</v>
      </c>
    </row>
    <row r="5079" spans="1:13" x14ac:dyDescent="0.25">
      <c r="A5079" s="1" t="str">
        <f>HYPERLINK("http://www.rosaceae.org/Prunus/Prunus_persica/p.persica_gdr_reftransV1_0045872","p.persica_gdr_reftransV1_0045872")</f>
        <v>p.persica_gdr_reftransV1_0045872</v>
      </c>
      <c r="B5079" s="3">
        <v>1244</v>
      </c>
      <c r="C5079" s="1" t="str">
        <f>HYPERLINK("http://www.uniprot.org/uniprot/BAG3_ARATH","BAG3_ARATH")</f>
        <v>BAG3_ARATH</v>
      </c>
      <c r="D5079" t="s">
        <v>4374</v>
      </c>
      <c r="E5079" s="3" t="s">
        <v>3</v>
      </c>
      <c r="F5079" s="4">
        <v>5.8500000000000003E-34</v>
      </c>
      <c r="G5079" s="3">
        <v>335</v>
      </c>
      <c r="H5079" s="3">
        <v>40</v>
      </c>
      <c r="I5079" s="3">
        <v>196</v>
      </c>
      <c r="J5079" s="3">
        <v>268</v>
      </c>
      <c r="K5079" s="3">
        <v>855</v>
      </c>
      <c r="L5079" s="3">
        <v>21</v>
      </c>
      <c r="M5079" s="3">
        <v>216</v>
      </c>
    </row>
    <row r="5080" spans="1:13" x14ac:dyDescent="0.25">
      <c r="A5080" s="1" t="str">
        <f>HYPERLINK("http://www.rosaceae.org/Prunus/Prunus_persica/p.persica_gdr_reftransV1_0045922","p.persica_gdr_reftransV1_0045922")</f>
        <v>p.persica_gdr_reftransV1_0045922</v>
      </c>
      <c r="B5080" s="3">
        <v>2990</v>
      </c>
      <c r="C5080" s="1" t="str">
        <f>HYPERLINK("http://www.uniprot.org/uniprot/YTHD2_MOUSE","YTHD2_MOUSE")</f>
        <v>YTHD2_MOUSE</v>
      </c>
      <c r="D5080" t="s">
        <v>2788</v>
      </c>
      <c r="E5080" s="3" t="s">
        <v>157</v>
      </c>
      <c r="F5080" s="4">
        <v>6.8499999999999997E-54</v>
      </c>
      <c r="G5080" s="3">
        <v>514</v>
      </c>
      <c r="H5080" s="3">
        <v>58</v>
      </c>
      <c r="I5080" s="3">
        <v>171</v>
      </c>
      <c r="J5080" s="3">
        <v>1534</v>
      </c>
      <c r="K5080" s="3">
        <v>2046</v>
      </c>
      <c r="L5080" s="3">
        <v>398</v>
      </c>
      <c r="M5080" s="3">
        <v>565</v>
      </c>
    </row>
    <row r="5081" spans="1:13" x14ac:dyDescent="0.25">
      <c r="A5081" s="1" t="str">
        <f>HYPERLINK("http://www.rosaceae.org/Prunus/Prunus_persica/p.persica_gdr_reftransV1_0045972","p.persica_gdr_reftransV1_0045972")</f>
        <v>p.persica_gdr_reftransV1_0045972</v>
      </c>
      <c r="B5081" s="3">
        <v>663</v>
      </c>
      <c r="C5081" s="1" t="str">
        <f>HYPERLINK("http://www.uniprot.org/uniprot/MOC2A_ARATH","MOC2A_ARATH")</f>
        <v>MOC2A_ARATH</v>
      </c>
      <c r="D5081" t="s">
        <v>4375</v>
      </c>
      <c r="E5081" s="3" t="s">
        <v>3</v>
      </c>
      <c r="F5081" s="4">
        <v>3.88E-24</v>
      </c>
      <c r="G5081" s="3">
        <v>241</v>
      </c>
      <c r="H5081" s="3">
        <v>59</v>
      </c>
      <c r="I5081" s="3">
        <v>75</v>
      </c>
      <c r="J5081" s="3">
        <v>173</v>
      </c>
      <c r="K5081" s="3">
        <v>397</v>
      </c>
      <c r="L5081" s="3">
        <v>14</v>
      </c>
      <c r="M5081" s="3">
        <v>88</v>
      </c>
    </row>
    <row r="5082" spans="1:13" x14ac:dyDescent="0.25">
      <c r="A5082" s="1" t="str">
        <f>HYPERLINK("http://www.rosaceae.org/Prunus/Prunus_persica/p.persica_gdr_reftransV1_0046072","p.persica_gdr_reftransV1_0046072")</f>
        <v>p.persica_gdr_reftransV1_0046072</v>
      </c>
      <c r="B5082" s="3">
        <v>2120</v>
      </c>
      <c r="C5082" s="1" t="str">
        <f>HYPERLINK("http://www.uniprot.org/uniprot/HS901_ARATH","HS901_ARATH")</f>
        <v>HS901_ARATH</v>
      </c>
      <c r="D5082" t="s">
        <v>4376</v>
      </c>
      <c r="E5082" s="3" t="s">
        <v>3</v>
      </c>
      <c r="F5082" s="4">
        <v>2.3000000000000001E-146</v>
      </c>
      <c r="G5082" s="3">
        <v>1158</v>
      </c>
      <c r="H5082" s="3">
        <v>44</v>
      </c>
      <c r="I5082" s="3">
        <v>595</v>
      </c>
      <c r="J5082" s="3">
        <v>376</v>
      </c>
      <c r="K5082" s="3">
        <v>2118</v>
      </c>
      <c r="L5082" s="3">
        <v>114</v>
      </c>
      <c r="M5082" s="3">
        <v>693</v>
      </c>
    </row>
    <row r="5083" spans="1:13" x14ac:dyDescent="0.25">
      <c r="A5083" s="1" t="str">
        <f>HYPERLINK("http://www.rosaceae.org/Prunus/Prunus_persica/p.persica_gdr_reftransV1_0046122","p.persica_gdr_reftransV1_0046122")</f>
        <v>p.persica_gdr_reftransV1_0046122</v>
      </c>
      <c r="B5083" s="3">
        <v>816</v>
      </c>
      <c r="C5083" s="1" t="str">
        <f>HYPERLINK("http://www.uniprot.org/uniprot/TOM92_ARATH","TOM92_ARATH")</f>
        <v>TOM92_ARATH</v>
      </c>
      <c r="D5083" t="s">
        <v>4377</v>
      </c>
      <c r="E5083" s="3" t="s">
        <v>3</v>
      </c>
      <c r="F5083" s="4">
        <v>7.3499999999999996E-20</v>
      </c>
      <c r="G5083" s="3">
        <v>213</v>
      </c>
      <c r="H5083" s="3">
        <v>67</v>
      </c>
      <c r="I5083" s="3">
        <v>75</v>
      </c>
      <c r="J5083" s="3">
        <v>208</v>
      </c>
      <c r="K5083" s="3">
        <v>432</v>
      </c>
      <c r="L5083" s="3">
        <v>15</v>
      </c>
      <c r="M5083" s="3">
        <v>89</v>
      </c>
    </row>
    <row r="5084" spans="1:13" x14ac:dyDescent="0.25">
      <c r="A5084" s="1" t="str">
        <f>HYPERLINK("http://www.rosaceae.org/Prunus/Prunus_persica/p.persica_gdr_reftransV1_0046272","p.persica_gdr_reftransV1_0046272")</f>
        <v>p.persica_gdr_reftransV1_0046272</v>
      </c>
      <c r="B5084" s="3">
        <v>1609</v>
      </c>
      <c r="C5084" s="1" t="str">
        <f>HYPERLINK("http://www.uniprot.org/uniprot/UBP13_ARATH","UBP13_ARATH")</f>
        <v>UBP13_ARATH</v>
      </c>
      <c r="D5084" t="s">
        <v>3696</v>
      </c>
      <c r="E5084" s="3" t="s">
        <v>3</v>
      </c>
      <c r="F5084" s="4">
        <v>0</v>
      </c>
      <c r="G5084" s="3">
        <v>2178</v>
      </c>
      <c r="H5084" s="3">
        <v>81</v>
      </c>
      <c r="I5084" s="3">
        <v>523</v>
      </c>
      <c r="J5084" s="3">
        <v>39</v>
      </c>
      <c r="K5084" s="3">
        <v>1607</v>
      </c>
      <c r="L5084" s="3">
        <v>455</v>
      </c>
      <c r="M5084" s="3">
        <v>976</v>
      </c>
    </row>
    <row r="5085" spans="1:13" x14ac:dyDescent="0.25">
      <c r="A5085" s="1" t="str">
        <f>HYPERLINK("http://www.rosaceae.org/Prunus/Prunus_persica/p.persica_gdr_reftransV1_0046322","p.persica_gdr_reftransV1_0046322")</f>
        <v>p.persica_gdr_reftransV1_0046322</v>
      </c>
      <c r="B5085" s="3">
        <v>412</v>
      </c>
      <c r="C5085" s="1" t="str">
        <f>HYPERLINK("http://www.uniprot.org/uniprot/APL_ARATH","APL_ARATH")</f>
        <v>APL_ARATH</v>
      </c>
      <c r="D5085" t="s">
        <v>1317</v>
      </c>
      <c r="E5085" s="3" t="s">
        <v>3</v>
      </c>
      <c r="F5085" s="4">
        <v>6.7100000000000003E-25</v>
      </c>
      <c r="G5085" s="3">
        <v>252</v>
      </c>
      <c r="H5085" s="3">
        <v>66</v>
      </c>
      <c r="I5085" s="3">
        <v>71</v>
      </c>
      <c r="J5085" s="3">
        <v>83</v>
      </c>
      <c r="K5085" s="3">
        <v>295</v>
      </c>
      <c r="L5085" s="3">
        <v>28</v>
      </c>
      <c r="M5085" s="3">
        <v>98</v>
      </c>
    </row>
    <row r="5086" spans="1:13" x14ac:dyDescent="0.25">
      <c r="A5086" s="1" t="str">
        <f>HYPERLINK("http://www.rosaceae.org/Prunus/Prunus_persica/p.persica_gdr_reftransV1_0046472","p.persica_gdr_reftransV1_0046472")</f>
        <v>p.persica_gdr_reftransV1_0046472</v>
      </c>
      <c r="B5086" s="3">
        <v>1604</v>
      </c>
      <c r="C5086" s="1" t="str">
        <f>HYPERLINK("http://www.uniprot.org/uniprot/FENR1_PEA","FENR1_PEA")</f>
        <v>FENR1_PEA</v>
      </c>
      <c r="D5086" t="s">
        <v>4378</v>
      </c>
      <c r="E5086" s="3" t="s">
        <v>60</v>
      </c>
      <c r="F5086" s="4">
        <v>0</v>
      </c>
      <c r="G5086" s="3">
        <v>1538</v>
      </c>
      <c r="H5086" s="3">
        <v>87</v>
      </c>
      <c r="I5086" s="3">
        <v>336</v>
      </c>
      <c r="J5086" s="3">
        <v>275</v>
      </c>
      <c r="K5086" s="3">
        <v>1282</v>
      </c>
      <c r="L5086" s="3">
        <v>29</v>
      </c>
      <c r="M5086" s="3">
        <v>360</v>
      </c>
    </row>
    <row r="5087" spans="1:13" x14ac:dyDescent="0.25">
      <c r="A5087" s="1" t="str">
        <f>HYPERLINK("http://www.rosaceae.org/Prunus/Prunus_persica/p.persica_gdr_reftransV1_0046522","p.persica_gdr_reftransV1_0046522")</f>
        <v>p.persica_gdr_reftransV1_0046522</v>
      </c>
      <c r="B5087" s="3">
        <v>2091</v>
      </c>
      <c r="C5087" s="1" t="str">
        <f>HYPERLINK("http://www.uniprot.org/uniprot/T2FA_ARATH","T2FA_ARATH")</f>
        <v>T2FA_ARATH</v>
      </c>
      <c r="D5087" t="s">
        <v>997</v>
      </c>
      <c r="E5087" s="3" t="s">
        <v>3</v>
      </c>
      <c r="F5087" s="4">
        <v>2.43E-62</v>
      </c>
      <c r="G5087" s="3">
        <v>573</v>
      </c>
      <c r="H5087" s="3">
        <v>60</v>
      </c>
      <c r="I5087" s="3">
        <v>364</v>
      </c>
      <c r="J5087" s="3">
        <v>1038</v>
      </c>
      <c r="K5087" s="3">
        <v>2090</v>
      </c>
      <c r="L5087" s="3">
        <v>185</v>
      </c>
      <c r="M5087" s="3">
        <v>543</v>
      </c>
    </row>
    <row r="5088" spans="1:13" x14ac:dyDescent="0.25">
      <c r="A5088" s="1" t="str">
        <f>HYPERLINK("http://www.rosaceae.org/Prunus/Prunus_persica/p.persica_gdr_reftransV1_0046572","p.persica_gdr_reftransV1_0046572")</f>
        <v>p.persica_gdr_reftransV1_0046572</v>
      </c>
      <c r="B5088" s="3">
        <v>1605</v>
      </c>
      <c r="C5088" s="1" t="str">
        <f>HYPERLINK("http://www.uniprot.org/uniprot/BPM3_ARATH","BPM3_ARATH")</f>
        <v>BPM3_ARATH</v>
      </c>
      <c r="D5088" t="s">
        <v>4379</v>
      </c>
      <c r="E5088" s="3" t="s">
        <v>3</v>
      </c>
      <c r="F5088" s="4">
        <v>7.5300000000000001E-66</v>
      </c>
      <c r="G5088" s="3">
        <v>573</v>
      </c>
      <c r="H5088" s="3">
        <v>67</v>
      </c>
      <c r="I5088" s="3">
        <v>172</v>
      </c>
      <c r="J5088" s="3">
        <v>680</v>
      </c>
      <c r="K5088" s="3">
        <v>1195</v>
      </c>
      <c r="L5088" s="3">
        <v>198</v>
      </c>
      <c r="M5088" s="3">
        <v>369</v>
      </c>
    </row>
    <row r="5089" spans="1:13" x14ac:dyDescent="0.25">
      <c r="A5089" s="1" t="str">
        <f>HYPERLINK("http://www.rosaceae.org/Prunus/Prunus_persica/p.persica_gdr_reftransV1_0046622","p.persica_gdr_reftransV1_0046622")</f>
        <v>p.persica_gdr_reftransV1_0046622</v>
      </c>
      <c r="B5089" s="3">
        <v>2126</v>
      </c>
      <c r="C5089" s="1" t="str">
        <f>HYPERLINK("http://www.uniprot.org/uniprot/NFD4_ARATH","NFD4_ARATH")</f>
        <v>NFD4_ARATH</v>
      </c>
      <c r="D5089" t="s">
        <v>404</v>
      </c>
      <c r="E5089" s="3" t="s">
        <v>3</v>
      </c>
      <c r="F5089" s="4">
        <v>4.3400000000000001E-45</v>
      </c>
      <c r="G5089" s="3">
        <v>440</v>
      </c>
      <c r="H5089" s="3">
        <v>30</v>
      </c>
      <c r="I5089" s="3">
        <v>562</v>
      </c>
      <c r="J5089" s="3">
        <v>291</v>
      </c>
      <c r="K5089" s="3">
        <v>1934</v>
      </c>
      <c r="L5089" s="3">
        <v>29</v>
      </c>
      <c r="M5089" s="3">
        <v>565</v>
      </c>
    </row>
    <row r="5090" spans="1:13" x14ac:dyDescent="0.25">
      <c r="A5090" s="1" t="str">
        <f>HYPERLINK("http://www.rosaceae.org/Prunus/Prunus_persica/p.persica_gdr_reftransV1_0046672","p.persica_gdr_reftransV1_0046672")</f>
        <v>p.persica_gdr_reftransV1_0046672</v>
      </c>
      <c r="B5090" s="3">
        <v>1563</v>
      </c>
      <c r="C5090" s="1" t="str">
        <f>HYPERLINK("http://www.uniprot.org/uniprot/EF1G_PRUAV","EF1G_PRUAV")</f>
        <v>EF1G_PRUAV</v>
      </c>
      <c r="D5090" t="s">
        <v>4380</v>
      </c>
      <c r="E5090" s="3" t="s">
        <v>1404</v>
      </c>
      <c r="F5090" s="4">
        <v>0</v>
      </c>
      <c r="G5090" s="3">
        <v>1782</v>
      </c>
      <c r="H5090" s="3">
        <v>95</v>
      </c>
      <c r="I5090" s="3">
        <v>418</v>
      </c>
      <c r="J5090" s="3">
        <v>212</v>
      </c>
      <c r="K5090" s="3">
        <v>1465</v>
      </c>
      <c r="L5090" s="3">
        <v>1</v>
      </c>
      <c r="M5090" s="3">
        <v>418</v>
      </c>
    </row>
    <row r="5091" spans="1:13" x14ac:dyDescent="0.25">
      <c r="A5091" s="1" t="str">
        <f>HYPERLINK("http://www.rosaceae.org/Prunus/Prunus_persica/p.persica_gdr_reftransV1_0046772","p.persica_gdr_reftransV1_0046772")</f>
        <v>p.persica_gdr_reftransV1_0046772</v>
      </c>
      <c r="B5091" s="3">
        <v>1979</v>
      </c>
      <c r="C5091" s="1" t="str">
        <f>HYPERLINK("http://www.uniprot.org/uniprot/BH123_ARATH","BH123_ARATH")</f>
        <v>BH123_ARATH</v>
      </c>
      <c r="D5091" t="s">
        <v>4381</v>
      </c>
      <c r="E5091" s="3" t="s">
        <v>3</v>
      </c>
      <c r="F5091" s="4">
        <v>8.21E-84</v>
      </c>
      <c r="G5091" s="3">
        <v>709</v>
      </c>
      <c r="H5091" s="3">
        <v>49</v>
      </c>
      <c r="I5091" s="3">
        <v>435</v>
      </c>
      <c r="J5091" s="3">
        <v>389</v>
      </c>
      <c r="K5091" s="3">
        <v>1498</v>
      </c>
      <c r="L5091" s="3">
        <v>53</v>
      </c>
      <c r="M5091" s="3">
        <v>454</v>
      </c>
    </row>
    <row r="5092" spans="1:13" x14ac:dyDescent="0.25">
      <c r="A5092" s="1" t="str">
        <f>HYPERLINK("http://www.rosaceae.org/Prunus/Prunus_persica/p.persica_gdr_reftransV1_0046822","p.persica_gdr_reftransV1_0046822")</f>
        <v>p.persica_gdr_reftransV1_0046822</v>
      </c>
      <c r="B5092" s="3">
        <v>1084</v>
      </c>
      <c r="C5092" s="1" t="str">
        <f>HYPERLINK("http://www.uniprot.org/uniprot/GBF1_ARATH","GBF1_ARATH")</f>
        <v>GBF1_ARATH</v>
      </c>
      <c r="D5092" t="s">
        <v>1052</v>
      </c>
      <c r="E5092" s="3" t="s">
        <v>3</v>
      </c>
      <c r="F5092" s="4">
        <v>2.9600000000000001E-10</v>
      </c>
      <c r="G5092" s="3">
        <v>155</v>
      </c>
      <c r="H5092" s="3">
        <v>40</v>
      </c>
      <c r="I5092" s="3">
        <v>162</v>
      </c>
      <c r="J5092" s="3">
        <v>231</v>
      </c>
      <c r="K5092" s="3">
        <v>686</v>
      </c>
      <c r="L5092" s="3">
        <v>128</v>
      </c>
      <c r="M5092" s="3">
        <v>272</v>
      </c>
    </row>
    <row r="5093" spans="1:13" x14ac:dyDescent="0.25">
      <c r="A5093" s="1" t="str">
        <f>HYPERLINK("http://www.rosaceae.org/Prunus/Prunus_persica/p.persica_gdr_reftransV1_0046872","p.persica_gdr_reftransV1_0046872")</f>
        <v>p.persica_gdr_reftransV1_0046872</v>
      </c>
      <c r="B5093" s="3">
        <v>1861</v>
      </c>
      <c r="C5093" s="1" t="str">
        <f>HYPERLINK("http://www.uniprot.org/uniprot/IX10L_ARATH","IX10L_ARATH")</f>
        <v>IX10L_ARATH</v>
      </c>
      <c r="D5093" t="s">
        <v>4382</v>
      </c>
      <c r="E5093" s="3" t="s">
        <v>3</v>
      </c>
      <c r="F5093" s="4">
        <v>0</v>
      </c>
      <c r="G5093" s="3">
        <v>1903</v>
      </c>
      <c r="H5093" s="3">
        <v>89</v>
      </c>
      <c r="I5093" s="3">
        <v>416</v>
      </c>
      <c r="J5093" s="3">
        <v>397</v>
      </c>
      <c r="K5093" s="3">
        <v>1635</v>
      </c>
      <c r="L5093" s="3">
        <v>1</v>
      </c>
      <c r="M5093" s="3">
        <v>415</v>
      </c>
    </row>
    <row r="5094" spans="1:13" x14ac:dyDescent="0.25">
      <c r="A5094" s="1" t="str">
        <f>HYPERLINK("http://www.rosaceae.org/Prunus/Prunus_persica/p.persica_gdr_reftransV1_0046972","p.persica_gdr_reftransV1_0046972")</f>
        <v>p.persica_gdr_reftransV1_0046972</v>
      </c>
      <c r="B5094" s="3">
        <v>2920</v>
      </c>
      <c r="C5094" s="1" t="str">
        <f>HYPERLINK("http://www.uniprot.org/uniprot/SBT17_ARATH","SBT17_ARATH")</f>
        <v>SBT17_ARATH</v>
      </c>
      <c r="D5094" t="s">
        <v>218</v>
      </c>
      <c r="E5094" s="3" t="s">
        <v>3</v>
      </c>
      <c r="F5094" s="4">
        <v>0</v>
      </c>
      <c r="G5094" s="3">
        <v>2117</v>
      </c>
      <c r="H5094" s="3">
        <v>55</v>
      </c>
      <c r="I5094" s="3">
        <v>768</v>
      </c>
      <c r="J5094" s="3">
        <v>274</v>
      </c>
      <c r="K5094" s="3">
        <v>2568</v>
      </c>
      <c r="L5094" s="3">
        <v>11</v>
      </c>
      <c r="M5094" s="3">
        <v>756</v>
      </c>
    </row>
    <row r="5095" spans="1:13" x14ac:dyDescent="0.25">
      <c r="A5095" s="1" t="str">
        <f>HYPERLINK("http://www.rosaceae.org/Prunus/Prunus_persica/p.persica_gdr_reftransV1_0047072","p.persica_gdr_reftransV1_0047072")</f>
        <v>p.persica_gdr_reftransV1_0047072</v>
      </c>
      <c r="B5095" s="3">
        <v>1361</v>
      </c>
      <c r="C5095" s="1" t="str">
        <f>HYPERLINK("http://www.uniprot.org/uniprot/GDL87_ARATH","GDL87_ARATH")</f>
        <v>GDL87_ARATH</v>
      </c>
      <c r="D5095" t="s">
        <v>150</v>
      </c>
      <c r="E5095" s="3" t="s">
        <v>3</v>
      </c>
      <c r="F5095" s="4">
        <v>1.3999999999999999E-118</v>
      </c>
      <c r="G5095" s="3">
        <v>920</v>
      </c>
      <c r="H5095" s="3">
        <v>54</v>
      </c>
      <c r="I5095" s="3">
        <v>341</v>
      </c>
      <c r="J5095" s="3">
        <v>221</v>
      </c>
      <c r="K5095" s="3">
        <v>1222</v>
      </c>
      <c r="L5095" s="3">
        <v>37</v>
      </c>
      <c r="M5095" s="3">
        <v>376</v>
      </c>
    </row>
    <row r="5096" spans="1:13" x14ac:dyDescent="0.25">
      <c r="A5096" s="1" t="str">
        <f>HYPERLINK("http://www.rosaceae.org/Prunus/Prunus_persica/p.persica_gdr_reftransV1_0047222","p.persica_gdr_reftransV1_0047222")</f>
        <v>p.persica_gdr_reftransV1_0047222</v>
      </c>
      <c r="B5096" s="3">
        <v>473</v>
      </c>
      <c r="C5096" s="1" t="str">
        <f>HYPERLINK("http://www.uniprot.org/uniprot/SM3L3_ARATH","SM3L3_ARATH")</f>
        <v>SM3L3_ARATH</v>
      </c>
      <c r="D5096" t="s">
        <v>44</v>
      </c>
      <c r="E5096" s="3" t="s">
        <v>3</v>
      </c>
      <c r="F5096" s="4">
        <v>1.91E-57</v>
      </c>
      <c r="G5096" s="3">
        <v>505</v>
      </c>
      <c r="H5096" s="3">
        <v>62</v>
      </c>
      <c r="I5096" s="3">
        <v>149</v>
      </c>
      <c r="J5096" s="3">
        <v>12</v>
      </c>
      <c r="K5096" s="3">
        <v>458</v>
      </c>
      <c r="L5096" s="3">
        <v>436</v>
      </c>
      <c r="M5096" s="3">
        <v>584</v>
      </c>
    </row>
    <row r="5097" spans="1:13" x14ac:dyDescent="0.25">
      <c r="A5097" s="1" t="str">
        <f>HYPERLINK("http://www.rosaceae.org/Prunus/Prunus_persica/p.persica_gdr_reftransV1_0047272","p.persica_gdr_reftransV1_0047272")</f>
        <v>p.persica_gdr_reftransV1_0047272</v>
      </c>
      <c r="B5097" s="3">
        <v>779</v>
      </c>
      <c r="C5097" s="1" t="str">
        <f>HYPERLINK("http://www.uniprot.org/uniprot/UMP2_ARATH","UMP2_ARATH")</f>
        <v>UMP2_ARATH</v>
      </c>
      <c r="D5097" t="s">
        <v>3708</v>
      </c>
      <c r="E5097" s="3" t="s">
        <v>3</v>
      </c>
      <c r="F5097" s="4">
        <v>4.9899999999999996E-28</v>
      </c>
      <c r="G5097" s="3">
        <v>271</v>
      </c>
      <c r="H5097" s="3">
        <v>63</v>
      </c>
      <c r="I5097" s="3">
        <v>120</v>
      </c>
      <c r="J5097" s="3">
        <v>115</v>
      </c>
      <c r="K5097" s="3">
        <v>462</v>
      </c>
      <c r="L5097" s="3">
        <v>1</v>
      </c>
      <c r="M5097" s="3">
        <v>113</v>
      </c>
    </row>
    <row r="5098" spans="1:13" x14ac:dyDescent="0.25">
      <c r="A5098" s="1" t="str">
        <f>HYPERLINK("http://www.rosaceae.org/Prunus/Prunus_persica/p.persica_gdr_reftransV1_0047372","p.persica_gdr_reftransV1_0047372")</f>
        <v>p.persica_gdr_reftransV1_0047372</v>
      </c>
      <c r="B5098" s="3">
        <v>1236</v>
      </c>
      <c r="C5098" s="1" t="str">
        <f>HYPERLINK("http://www.uniprot.org/uniprot/BLT_ARATH","BLT_ARATH")</f>
        <v>BLT_ARATH</v>
      </c>
      <c r="D5098" t="s">
        <v>4383</v>
      </c>
      <c r="E5098" s="3" t="s">
        <v>3</v>
      </c>
      <c r="F5098" s="4">
        <v>7.8899999999999997E-13</v>
      </c>
      <c r="G5098" s="3">
        <v>175</v>
      </c>
      <c r="H5098" s="3">
        <v>43</v>
      </c>
      <c r="I5098" s="3">
        <v>196</v>
      </c>
      <c r="J5098" s="3">
        <v>567</v>
      </c>
      <c r="K5098" s="3">
        <v>1127</v>
      </c>
      <c r="L5098" s="3">
        <v>8</v>
      </c>
      <c r="M5098" s="3">
        <v>173</v>
      </c>
    </row>
    <row r="5099" spans="1:13" x14ac:dyDescent="0.25">
      <c r="A5099" s="1" t="str">
        <f>HYPERLINK("http://www.rosaceae.org/Prunus/Prunus_persica/p.persica_gdr_reftransV1_0047422","p.persica_gdr_reftransV1_0047422")</f>
        <v>p.persica_gdr_reftransV1_0047422</v>
      </c>
      <c r="B5099" s="3">
        <v>1216</v>
      </c>
      <c r="C5099" s="1" t="str">
        <f>HYPERLINK("http://www.uniprot.org/uniprot/CYP23_ARATH","CYP23_ARATH")</f>
        <v>CYP23_ARATH</v>
      </c>
      <c r="D5099" t="s">
        <v>1726</v>
      </c>
      <c r="E5099" s="3" t="s">
        <v>3</v>
      </c>
      <c r="F5099" s="4">
        <v>2.72E-125</v>
      </c>
      <c r="G5099" s="3">
        <v>945</v>
      </c>
      <c r="H5099" s="3">
        <v>75</v>
      </c>
      <c r="I5099" s="3">
        <v>237</v>
      </c>
      <c r="J5099" s="3">
        <v>73</v>
      </c>
      <c r="K5099" s="3">
        <v>783</v>
      </c>
      <c r="L5099" s="3">
        <v>5</v>
      </c>
      <c r="M5099" s="3">
        <v>226</v>
      </c>
    </row>
    <row r="5100" spans="1:13" x14ac:dyDescent="0.25">
      <c r="A5100" s="1" t="str">
        <f>HYPERLINK("http://www.rosaceae.org/Prunus/Prunus_persica/p.persica_gdr_reftransV1_0047622","p.persica_gdr_reftransV1_0047622")</f>
        <v>p.persica_gdr_reftransV1_0047622</v>
      </c>
      <c r="B5100" s="3">
        <v>4282</v>
      </c>
      <c r="C5100" s="1" t="str">
        <f>HYPERLINK("http://www.uniprot.org/uniprot/NLP8_ARATH","NLP8_ARATH")</f>
        <v>NLP8_ARATH</v>
      </c>
      <c r="D5100" t="s">
        <v>4384</v>
      </c>
      <c r="E5100" s="3" t="s">
        <v>3</v>
      </c>
      <c r="F5100" s="4">
        <v>0</v>
      </c>
      <c r="G5100" s="3">
        <v>2172</v>
      </c>
      <c r="H5100" s="3">
        <v>52</v>
      </c>
      <c r="I5100" s="3">
        <v>988</v>
      </c>
      <c r="J5100" s="3">
        <v>836</v>
      </c>
      <c r="K5100" s="3">
        <v>3712</v>
      </c>
      <c r="L5100" s="3">
        <v>1</v>
      </c>
      <c r="M5100" s="3">
        <v>947</v>
      </c>
    </row>
    <row r="5101" spans="1:13" x14ac:dyDescent="0.25">
      <c r="A5101" s="1" t="str">
        <f>HYPERLINK("http://www.rosaceae.org/Prunus/Prunus_persica/p.persica_gdr_reftransV1_0047722","p.persica_gdr_reftransV1_0047722")</f>
        <v>p.persica_gdr_reftransV1_0047722</v>
      </c>
      <c r="B5101" s="3">
        <v>729</v>
      </c>
      <c r="C5101" s="1" t="str">
        <f>HYPERLINK("http://www.uniprot.org/uniprot/RCE1_ARATH","RCE1_ARATH")</f>
        <v>RCE1_ARATH</v>
      </c>
      <c r="D5101" t="s">
        <v>279</v>
      </c>
      <c r="E5101" s="3" t="s">
        <v>3</v>
      </c>
      <c r="F5101" s="4">
        <v>8.6400000000000002E-108</v>
      </c>
      <c r="G5101" s="3">
        <v>808</v>
      </c>
      <c r="H5101" s="3">
        <v>86</v>
      </c>
      <c r="I5101" s="3">
        <v>184</v>
      </c>
      <c r="J5101" s="3">
        <v>60</v>
      </c>
      <c r="K5101" s="3">
        <v>608</v>
      </c>
      <c r="L5101" s="3">
        <v>1</v>
      </c>
      <c r="M5101" s="3">
        <v>184</v>
      </c>
    </row>
    <row r="5102" spans="1:13" x14ac:dyDescent="0.25">
      <c r="A5102" s="1" t="str">
        <f>HYPERLINK("http://www.rosaceae.org/Prunus/Prunus_persica/p.persica_gdr_reftransV1_0047822","p.persica_gdr_reftransV1_0047822")</f>
        <v>p.persica_gdr_reftransV1_0047822</v>
      </c>
      <c r="B5102" s="3">
        <v>1365</v>
      </c>
      <c r="C5102" s="1" t="str">
        <f>HYPERLINK("http://www.uniprot.org/uniprot/RAD51_SOLLC","RAD51_SOLLC")</f>
        <v>RAD51_SOLLC</v>
      </c>
      <c r="D5102" t="s">
        <v>4385</v>
      </c>
      <c r="E5102" s="3" t="s">
        <v>64</v>
      </c>
      <c r="F5102" s="4">
        <v>0</v>
      </c>
      <c r="G5102" s="3">
        <v>1651</v>
      </c>
      <c r="H5102" s="3">
        <v>92</v>
      </c>
      <c r="I5102" s="3">
        <v>342</v>
      </c>
      <c r="J5102" s="3">
        <v>198</v>
      </c>
      <c r="K5102" s="3">
        <v>1217</v>
      </c>
      <c r="L5102" s="3">
        <v>1</v>
      </c>
      <c r="M5102" s="3">
        <v>342</v>
      </c>
    </row>
    <row r="5103" spans="1:13" x14ac:dyDescent="0.25">
      <c r="A5103" s="1" t="str">
        <f>HYPERLINK("http://www.rosaceae.org/Prunus/Prunus_persica/p.persica_gdr_reftransV1_0047872","p.persica_gdr_reftransV1_0047872")</f>
        <v>p.persica_gdr_reftransV1_0047872</v>
      </c>
      <c r="B5103" s="3">
        <v>1436</v>
      </c>
      <c r="C5103" s="1" t="str">
        <f>HYPERLINK("http://www.uniprot.org/uniprot/RGA4_SOLBU","RGA4_SOLBU")</f>
        <v>RGA4_SOLBU</v>
      </c>
      <c r="D5103" t="s">
        <v>1657</v>
      </c>
      <c r="E5103" s="3" t="s">
        <v>560</v>
      </c>
      <c r="F5103" s="4">
        <v>1.0700000000000001E-34</v>
      </c>
      <c r="G5103" s="3">
        <v>359</v>
      </c>
      <c r="H5103" s="3">
        <v>32</v>
      </c>
      <c r="I5103" s="3">
        <v>376</v>
      </c>
      <c r="J5103" s="3">
        <v>323</v>
      </c>
      <c r="K5103" s="3">
        <v>1432</v>
      </c>
      <c r="L5103" s="3">
        <v>619</v>
      </c>
      <c r="M5103" s="3">
        <v>964</v>
      </c>
    </row>
    <row r="5104" spans="1:13" x14ac:dyDescent="0.25">
      <c r="A5104" s="1" t="str">
        <f>HYPERLINK("http://www.rosaceae.org/Prunus/Prunus_persica/p.persica_gdr_reftransV1_0048122","p.persica_gdr_reftransV1_0048122")</f>
        <v>p.persica_gdr_reftransV1_0048122</v>
      </c>
      <c r="B5104" s="3">
        <v>719</v>
      </c>
      <c r="C5104" s="1" t="str">
        <f>HYPERLINK("http://www.uniprot.org/uniprot/WRK19_ARATH","WRK19_ARATH")</f>
        <v>WRK19_ARATH</v>
      </c>
      <c r="D5104" t="s">
        <v>1314</v>
      </c>
      <c r="E5104" s="3" t="s">
        <v>3</v>
      </c>
      <c r="F5104" s="4">
        <v>2.3500000000000001E-21</v>
      </c>
      <c r="G5104" s="3">
        <v>243</v>
      </c>
      <c r="H5104" s="3">
        <v>37</v>
      </c>
      <c r="I5104" s="3">
        <v>137</v>
      </c>
      <c r="J5104" s="3">
        <v>298</v>
      </c>
      <c r="K5104" s="3">
        <v>708</v>
      </c>
      <c r="L5104" s="3">
        <v>1030</v>
      </c>
      <c r="M5104" s="3">
        <v>1164</v>
      </c>
    </row>
    <row r="5105" spans="1:13" x14ac:dyDescent="0.25">
      <c r="A5105" s="1" t="str">
        <f>HYPERLINK("http://www.rosaceae.org/Prunus/Prunus_persica/p.persica_gdr_reftransV1_0048172","p.persica_gdr_reftransV1_0048172")</f>
        <v>p.persica_gdr_reftransV1_0048172</v>
      </c>
      <c r="B5105" s="3">
        <v>678</v>
      </c>
      <c r="C5105" s="1" t="str">
        <f>HYPERLINK("http://www.uniprot.org/uniprot/YAB5_ORYSJ","YAB5_ORYSJ")</f>
        <v>YAB5_ORYSJ</v>
      </c>
      <c r="D5105" t="s">
        <v>4386</v>
      </c>
      <c r="E5105" s="3" t="s">
        <v>38</v>
      </c>
      <c r="F5105" s="4">
        <v>5.6400000000000004E-21</v>
      </c>
      <c r="G5105" s="3">
        <v>228</v>
      </c>
      <c r="H5105" s="3">
        <v>57</v>
      </c>
      <c r="I5105" s="3">
        <v>87</v>
      </c>
      <c r="J5105" s="3">
        <v>307</v>
      </c>
      <c r="K5105" s="3">
        <v>549</v>
      </c>
      <c r="L5105" s="3">
        <v>32</v>
      </c>
      <c r="M5105" s="3">
        <v>118</v>
      </c>
    </row>
    <row r="5106" spans="1:13" x14ac:dyDescent="0.25">
      <c r="A5106" s="1" t="str">
        <f>HYPERLINK("http://www.rosaceae.org/Prunus/Prunus_persica/p.persica_gdr_reftransV1_0048222","p.persica_gdr_reftransV1_0048222")</f>
        <v>p.persica_gdr_reftransV1_0048222</v>
      </c>
      <c r="B5106" s="3">
        <v>1553</v>
      </c>
      <c r="C5106" s="1" t="str">
        <f>HYPERLINK("http://www.uniprot.org/uniprot/AS1_ARATH","AS1_ARATH")</f>
        <v>AS1_ARATH</v>
      </c>
      <c r="D5106" t="s">
        <v>331</v>
      </c>
      <c r="E5106" s="3" t="s">
        <v>3</v>
      </c>
      <c r="F5106" s="4">
        <v>2.0699999999999999E-140</v>
      </c>
      <c r="G5106" s="3">
        <v>1070</v>
      </c>
      <c r="H5106" s="3">
        <v>66</v>
      </c>
      <c r="I5106" s="3">
        <v>370</v>
      </c>
      <c r="J5106" s="3">
        <v>229</v>
      </c>
      <c r="K5106" s="3">
        <v>1260</v>
      </c>
      <c r="L5106" s="3">
        <v>1</v>
      </c>
      <c r="M5106" s="3">
        <v>361</v>
      </c>
    </row>
    <row r="5107" spans="1:13" x14ac:dyDescent="0.25">
      <c r="A5107" s="1" t="str">
        <f>HYPERLINK("http://www.rosaceae.org/Prunus/Prunus_persica/p.persica_gdr_reftransV1_0048272","p.persica_gdr_reftransV1_0048272")</f>
        <v>p.persica_gdr_reftransV1_0048272</v>
      </c>
      <c r="B5107" s="3">
        <v>529</v>
      </c>
      <c r="C5107" s="1" t="str">
        <f>HYPERLINK("http://www.uniprot.org/uniprot/DIRL1_ARATH","DIRL1_ARATH")</f>
        <v>DIRL1_ARATH</v>
      </c>
      <c r="D5107" t="s">
        <v>4387</v>
      </c>
      <c r="E5107" s="3" t="s">
        <v>3</v>
      </c>
      <c r="F5107" s="4">
        <v>3.3100000000000001E-15</v>
      </c>
      <c r="G5107" s="3">
        <v>176</v>
      </c>
      <c r="H5107" s="3">
        <v>42</v>
      </c>
      <c r="I5107" s="3">
        <v>77</v>
      </c>
      <c r="J5107" s="3">
        <v>67</v>
      </c>
      <c r="K5107" s="3">
        <v>291</v>
      </c>
      <c r="L5107" s="3">
        <v>20</v>
      </c>
      <c r="M5107" s="3">
        <v>96</v>
      </c>
    </row>
    <row r="5108" spans="1:13" x14ac:dyDescent="0.25">
      <c r="A5108" s="1" t="str">
        <f>HYPERLINK("http://www.rosaceae.org/Prunus/Prunus_persica/p.persica_gdr_reftransV1_0048372","p.persica_gdr_reftransV1_0048372")</f>
        <v>p.persica_gdr_reftransV1_0048372</v>
      </c>
      <c r="B5108" s="3">
        <v>995</v>
      </c>
      <c r="C5108" s="1" t="str">
        <f>HYPERLINK("http://www.uniprot.org/uniprot/EXOL2_ARATH","EXOL2_ARATH")</f>
        <v>EXOL2_ARATH</v>
      </c>
      <c r="D5108" t="s">
        <v>2512</v>
      </c>
      <c r="E5108" s="3" t="s">
        <v>3</v>
      </c>
      <c r="F5108" s="4">
        <v>1.0399999999999999E-44</v>
      </c>
      <c r="G5108" s="3">
        <v>406</v>
      </c>
      <c r="H5108" s="3">
        <v>42</v>
      </c>
      <c r="I5108" s="3">
        <v>206</v>
      </c>
      <c r="J5108" s="3">
        <v>80</v>
      </c>
      <c r="K5108" s="3">
        <v>673</v>
      </c>
      <c r="L5108" s="3">
        <v>101</v>
      </c>
      <c r="M5108" s="3">
        <v>303</v>
      </c>
    </row>
    <row r="5109" spans="1:13" x14ac:dyDescent="0.25">
      <c r="A5109" s="1" t="str">
        <f>HYPERLINK("http://www.rosaceae.org/Prunus/Prunus_persica/p.persica_gdr_reftransV1_0048422","p.persica_gdr_reftransV1_0048422")</f>
        <v>p.persica_gdr_reftransV1_0048422</v>
      </c>
      <c r="B5109" s="3">
        <v>2593</v>
      </c>
      <c r="C5109" s="1" t="str">
        <f>HYPERLINK("http://www.uniprot.org/uniprot/SHKC_DICDI","SHKC_DICDI")</f>
        <v>SHKC_DICDI</v>
      </c>
      <c r="D5109" t="s">
        <v>4388</v>
      </c>
      <c r="E5109" s="3" t="s">
        <v>9</v>
      </c>
      <c r="F5109" s="4">
        <v>7.4599999999999994E-39</v>
      </c>
      <c r="G5109" s="3">
        <v>393</v>
      </c>
      <c r="H5109" s="3">
        <v>33</v>
      </c>
      <c r="I5109" s="3">
        <v>299</v>
      </c>
      <c r="J5109" s="3">
        <v>1051</v>
      </c>
      <c r="K5109" s="3">
        <v>1911</v>
      </c>
      <c r="L5109" s="3">
        <v>18</v>
      </c>
      <c r="M5109" s="3">
        <v>309</v>
      </c>
    </row>
    <row r="5110" spans="1:13" x14ac:dyDescent="0.25">
      <c r="A5110" s="1" t="str">
        <f>HYPERLINK("http://www.rosaceae.org/Prunus/Prunus_persica/p.persica_gdr_reftransV1_0048522","p.persica_gdr_reftransV1_0048522")</f>
        <v>p.persica_gdr_reftransV1_0048522</v>
      </c>
      <c r="B5110" s="3">
        <v>445</v>
      </c>
      <c r="C5110" s="1" t="str">
        <f>HYPERLINK("http://www.uniprot.org/uniprot/DOT3_ARATH","DOT3_ARATH")</f>
        <v>DOT3_ARATH</v>
      </c>
      <c r="D5110" t="s">
        <v>4389</v>
      </c>
      <c r="E5110" s="3" t="s">
        <v>3</v>
      </c>
      <c r="F5110" s="4">
        <v>1.27E-27</v>
      </c>
      <c r="G5110" s="3">
        <v>278</v>
      </c>
      <c r="H5110" s="3">
        <v>60</v>
      </c>
      <c r="I5110" s="3">
        <v>108</v>
      </c>
      <c r="J5110" s="3">
        <v>143</v>
      </c>
      <c r="K5110" s="3">
        <v>445</v>
      </c>
      <c r="L5110" s="3">
        <v>471</v>
      </c>
      <c r="M5110" s="3">
        <v>578</v>
      </c>
    </row>
    <row r="5111" spans="1:13" x14ac:dyDescent="0.25">
      <c r="A5111" s="1" t="str">
        <f>HYPERLINK("http://www.rosaceae.org/Prunus/Prunus_persica/p.persica_gdr_reftransV1_0048572","p.persica_gdr_reftransV1_0048572")</f>
        <v>p.persica_gdr_reftransV1_0048572</v>
      </c>
      <c r="B5111" s="3">
        <v>1891</v>
      </c>
      <c r="C5111" s="1" t="str">
        <f>HYPERLINK("http://www.uniprot.org/uniprot/ERDL6_ARATH","ERDL6_ARATH")</f>
        <v>ERDL6_ARATH</v>
      </c>
      <c r="D5111" t="s">
        <v>4390</v>
      </c>
      <c r="E5111" s="3" t="s">
        <v>3</v>
      </c>
      <c r="F5111" s="4">
        <v>0</v>
      </c>
      <c r="G5111" s="3">
        <v>2025</v>
      </c>
      <c r="H5111" s="3">
        <v>83</v>
      </c>
      <c r="I5111" s="3">
        <v>487</v>
      </c>
      <c r="J5111" s="3">
        <v>128</v>
      </c>
      <c r="K5111" s="3">
        <v>1585</v>
      </c>
      <c r="L5111" s="3">
        <v>1</v>
      </c>
      <c r="M5111" s="3">
        <v>487</v>
      </c>
    </row>
    <row r="5112" spans="1:13" x14ac:dyDescent="0.25">
      <c r="A5112" s="1" t="str">
        <f>HYPERLINK("http://www.rosaceae.org/Prunus/Prunus_persica/p.persica_gdr_reftransV1_0048622","p.persica_gdr_reftransV1_0048622")</f>
        <v>p.persica_gdr_reftransV1_0048622</v>
      </c>
      <c r="B5112" s="3">
        <v>1686</v>
      </c>
      <c r="C5112" s="1" t="str">
        <f>HYPERLINK("http://www.uniprot.org/uniprot/CML49_ARATH","CML49_ARATH")</f>
        <v>CML49_ARATH</v>
      </c>
      <c r="D5112" t="s">
        <v>4391</v>
      </c>
      <c r="E5112" s="3" t="s">
        <v>3</v>
      </c>
      <c r="F5112" s="4">
        <v>3.3999999999999999E-105</v>
      </c>
      <c r="G5112" s="3">
        <v>836</v>
      </c>
      <c r="H5112" s="3">
        <v>81</v>
      </c>
      <c r="I5112" s="3">
        <v>183</v>
      </c>
      <c r="J5112" s="3">
        <v>787</v>
      </c>
      <c r="K5112" s="3">
        <v>1335</v>
      </c>
      <c r="L5112" s="3">
        <v>153</v>
      </c>
      <c r="M5112" s="3">
        <v>335</v>
      </c>
    </row>
    <row r="5113" spans="1:13" x14ac:dyDescent="0.25">
      <c r="A5113" s="1" t="str">
        <f>HYPERLINK("http://www.rosaceae.org/Prunus/Prunus_persica/p.persica_gdr_reftransV1_0048672","p.persica_gdr_reftransV1_0048672")</f>
        <v>p.persica_gdr_reftransV1_0048672</v>
      </c>
      <c r="B5113" s="3">
        <v>2007</v>
      </c>
      <c r="C5113" s="1" t="str">
        <f>HYPERLINK("http://www.uniprot.org/uniprot/MCMBP_ARATH","MCMBP_ARATH")</f>
        <v>MCMBP_ARATH</v>
      </c>
      <c r="D5113" t="s">
        <v>3462</v>
      </c>
      <c r="E5113" s="3" t="s">
        <v>3</v>
      </c>
      <c r="F5113" s="4">
        <v>0</v>
      </c>
      <c r="G5113" s="3">
        <v>1795</v>
      </c>
      <c r="H5113" s="3">
        <v>60</v>
      </c>
      <c r="I5113" s="3">
        <v>588</v>
      </c>
      <c r="J5113" s="3">
        <v>201</v>
      </c>
      <c r="K5113" s="3">
        <v>1955</v>
      </c>
      <c r="L5113" s="3">
        <v>1</v>
      </c>
      <c r="M5113" s="3">
        <v>577</v>
      </c>
    </row>
    <row r="5114" spans="1:13" x14ac:dyDescent="0.25">
      <c r="A5114" s="1" t="str">
        <f>HYPERLINK("http://www.rosaceae.org/Prunus/Prunus_persica/p.persica_gdr_reftransV1_0048722","p.persica_gdr_reftransV1_0048722")</f>
        <v>p.persica_gdr_reftransV1_0048722</v>
      </c>
      <c r="B5114" s="3">
        <v>3210</v>
      </c>
      <c r="C5114" s="1" t="str">
        <f>HYPERLINK("http://www.uniprot.org/uniprot/DJB14_XENTR","DJB14_XENTR")</f>
        <v>DJB14_XENTR</v>
      </c>
      <c r="D5114" t="s">
        <v>4392</v>
      </c>
      <c r="E5114" s="3" t="s">
        <v>173</v>
      </c>
      <c r="F5114" s="4">
        <v>3.1500000000000001E-12</v>
      </c>
      <c r="G5114" s="3">
        <v>178</v>
      </c>
      <c r="H5114" s="3">
        <v>32</v>
      </c>
      <c r="I5114" s="3">
        <v>167</v>
      </c>
      <c r="J5114" s="3">
        <v>2572</v>
      </c>
      <c r="K5114" s="3">
        <v>2952</v>
      </c>
      <c r="L5114" s="3">
        <v>1</v>
      </c>
      <c r="M5114" s="3">
        <v>167</v>
      </c>
    </row>
    <row r="5115" spans="1:13" x14ac:dyDescent="0.25">
      <c r="A5115" s="1" t="str">
        <f>HYPERLINK("http://www.rosaceae.org/Prunus/Prunus_persica/p.persica_gdr_reftransV1_0048822","p.persica_gdr_reftransV1_0048822")</f>
        <v>p.persica_gdr_reftransV1_0048822</v>
      </c>
      <c r="B5115" s="3">
        <v>2504</v>
      </c>
      <c r="C5115" s="1" t="str">
        <f>HYPERLINK("http://www.uniprot.org/uniprot/4CLL7_ARATH","4CLL7_ARATH")</f>
        <v>4CLL7_ARATH</v>
      </c>
      <c r="D5115" t="s">
        <v>4393</v>
      </c>
      <c r="E5115" s="3" t="s">
        <v>3</v>
      </c>
      <c r="F5115" s="4">
        <v>0</v>
      </c>
      <c r="G5115" s="3">
        <v>1953</v>
      </c>
      <c r="H5115" s="3">
        <v>69</v>
      </c>
      <c r="I5115" s="3">
        <v>509</v>
      </c>
      <c r="J5115" s="3">
        <v>620</v>
      </c>
      <c r="K5115" s="3">
        <v>2140</v>
      </c>
      <c r="L5115" s="3">
        <v>1</v>
      </c>
      <c r="M5115" s="3">
        <v>509</v>
      </c>
    </row>
    <row r="5116" spans="1:13" x14ac:dyDescent="0.25">
      <c r="A5116" s="1" t="str">
        <f>HYPERLINK("http://www.rosaceae.org/Prunus/Prunus_persica/p.persica_gdr_reftransV1_0048872","p.persica_gdr_reftransV1_0048872")</f>
        <v>p.persica_gdr_reftransV1_0048872</v>
      </c>
      <c r="B5116" s="3">
        <v>1716</v>
      </c>
      <c r="C5116" s="1" t="str">
        <f>HYPERLINK("http://www.uniprot.org/uniprot/WRK40_ARATH","WRK40_ARATH")</f>
        <v>WRK40_ARATH</v>
      </c>
      <c r="D5116" t="s">
        <v>4394</v>
      </c>
      <c r="E5116" s="3" t="s">
        <v>3</v>
      </c>
      <c r="F5116" s="4">
        <v>6.7300000000000001E-82</v>
      </c>
      <c r="G5116" s="3">
        <v>677</v>
      </c>
      <c r="H5116" s="3">
        <v>50</v>
      </c>
      <c r="I5116" s="3">
        <v>329</v>
      </c>
      <c r="J5116" s="3">
        <v>416</v>
      </c>
      <c r="K5116" s="3">
        <v>1381</v>
      </c>
      <c r="L5116" s="3">
        <v>1</v>
      </c>
      <c r="M5116" s="3">
        <v>298</v>
      </c>
    </row>
    <row r="5117" spans="1:13" x14ac:dyDescent="0.25">
      <c r="A5117" s="1" t="str">
        <f>HYPERLINK("http://www.rosaceae.org/Prunus/Prunus_persica/p.persica_gdr_reftransV1_0048972","p.persica_gdr_reftransV1_0048972")</f>
        <v>p.persica_gdr_reftransV1_0048972</v>
      </c>
      <c r="B5117" s="3">
        <v>1346</v>
      </c>
      <c r="C5117" s="1" t="str">
        <f>HYPERLINK("http://www.uniprot.org/uniprot/DR100_ARATH","DR100_ARATH")</f>
        <v>DR100_ARATH</v>
      </c>
      <c r="D5117" t="s">
        <v>4395</v>
      </c>
      <c r="E5117" s="3" t="s">
        <v>3</v>
      </c>
      <c r="F5117" s="4">
        <v>3.3799999999999999E-141</v>
      </c>
      <c r="G5117" s="3">
        <v>1069</v>
      </c>
      <c r="H5117" s="3">
        <v>60</v>
      </c>
      <c r="I5117" s="3">
        <v>346</v>
      </c>
      <c r="J5117" s="3">
        <v>223</v>
      </c>
      <c r="K5117" s="3">
        <v>1254</v>
      </c>
      <c r="L5117" s="3">
        <v>25</v>
      </c>
      <c r="M5117" s="3">
        <v>370</v>
      </c>
    </row>
    <row r="5118" spans="1:13" x14ac:dyDescent="0.25">
      <c r="A5118" s="1" t="str">
        <f>HYPERLINK("http://www.rosaceae.org/Prunus/Prunus_persica/p.persica_gdr_reftransV1_0049022","p.persica_gdr_reftransV1_0049022")</f>
        <v>p.persica_gdr_reftransV1_0049022</v>
      </c>
      <c r="B5118" s="3">
        <v>2438</v>
      </c>
      <c r="C5118" s="1" t="str">
        <f>HYPERLINK("http://www.uniprot.org/uniprot/PYRG_DICDI","PYRG_DICDI")</f>
        <v>PYRG_DICDI</v>
      </c>
      <c r="D5118" t="s">
        <v>4396</v>
      </c>
      <c r="E5118" s="3" t="s">
        <v>9</v>
      </c>
      <c r="F5118" s="4">
        <v>0</v>
      </c>
      <c r="G5118" s="3">
        <v>1506</v>
      </c>
      <c r="H5118" s="3">
        <v>56</v>
      </c>
      <c r="I5118" s="3">
        <v>595</v>
      </c>
      <c r="J5118" s="3">
        <v>422</v>
      </c>
      <c r="K5118" s="3">
        <v>2161</v>
      </c>
      <c r="L5118" s="3">
        <v>1</v>
      </c>
      <c r="M5118" s="3">
        <v>567</v>
      </c>
    </row>
    <row r="5119" spans="1:13" x14ac:dyDescent="0.25">
      <c r="A5119" s="1" t="str">
        <f>HYPERLINK("http://www.rosaceae.org/Prunus/Prunus_persica/p.persica_gdr_reftransV1_0049072","p.persica_gdr_reftransV1_0049072")</f>
        <v>p.persica_gdr_reftransV1_0049072</v>
      </c>
      <c r="B5119" s="3">
        <v>1929</v>
      </c>
      <c r="C5119" s="1" t="str">
        <f>HYPERLINK("http://www.uniprot.org/uniprot/GRPE_RHOP5","GRPE_RHOP5")</f>
        <v>GRPE_RHOP5</v>
      </c>
      <c r="D5119" t="s">
        <v>4397</v>
      </c>
      <c r="E5119" s="3" t="s">
        <v>4398</v>
      </c>
      <c r="F5119" s="4">
        <v>3.3900000000000001E-33</v>
      </c>
      <c r="G5119" s="3">
        <v>329</v>
      </c>
      <c r="H5119" s="3">
        <v>45</v>
      </c>
      <c r="I5119" s="3">
        <v>148</v>
      </c>
      <c r="J5119" s="3">
        <v>774</v>
      </c>
      <c r="K5119" s="3">
        <v>1217</v>
      </c>
      <c r="L5119" s="3">
        <v>48</v>
      </c>
      <c r="M5119" s="3">
        <v>187</v>
      </c>
    </row>
    <row r="5120" spans="1:13" x14ac:dyDescent="0.25">
      <c r="A5120" s="1" t="str">
        <f>HYPERLINK("http://www.rosaceae.org/Prunus/Prunus_persica/p.persica_gdr_reftransV1_0049122","p.persica_gdr_reftransV1_0049122")</f>
        <v>p.persica_gdr_reftransV1_0049122</v>
      </c>
      <c r="B5120" s="3">
        <v>366</v>
      </c>
      <c r="C5120" s="1" t="str">
        <f>HYPERLINK("http://www.uniprot.org/uniprot/idM1_ARATH","idM1_ARATH")</f>
        <v>idM1_ARATH</v>
      </c>
      <c r="D5120" t="s">
        <v>1345</v>
      </c>
      <c r="E5120" s="3" t="s">
        <v>3</v>
      </c>
      <c r="F5120" s="4">
        <v>1.0299999999999999E-11</v>
      </c>
      <c r="G5120" s="3">
        <v>159</v>
      </c>
      <c r="H5120" s="3">
        <v>36</v>
      </c>
      <c r="I5120" s="3">
        <v>107</v>
      </c>
      <c r="J5120" s="3">
        <v>44</v>
      </c>
      <c r="K5120" s="3">
        <v>364</v>
      </c>
      <c r="L5120" s="3">
        <v>932</v>
      </c>
      <c r="M5120" s="3">
        <v>1038</v>
      </c>
    </row>
    <row r="5121" spans="1:13" x14ac:dyDescent="0.25">
      <c r="A5121" s="1" t="str">
        <f>HYPERLINK("http://www.rosaceae.org/Prunus/Prunus_persica/p.persica_gdr_reftransV1_0049172","p.persica_gdr_reftransV1_0049172")</f>
        <v>p.persica_gdr_reftransV1_0049172</v>
      </c>
      <c r="B5121" s="3">
        <v>1340</v>
      </c>
      <c r="C5121" s="1" t="str">
        <f>HYPERLINK("http://www.uniprot.org/uniprot/TF2B2_ARATH","TF2B2_ARATH")</f>
        <v>TF2B2_ARATH</v>
      </c>
      <c r="D5121" t="s">
        <v>4399</v>
      </c>
      <c r="E5121" s="3" t="s">
        <v>3</v>
      </c>
      <c r="F5121" s="4">
        <v>0</v>
      </c>
      <c r="G5121" s="3">
        <v>1526</v>
      </c>
      <c r="H5121" s="3">
        <v>94</v>
      </c>
      <c r="I5121" s="3">
        <v>312</v>
      </c>
      <c r="J5121" s="3">
        <v>154</v>
      </c>
      <c r="K5121" s="3">
        <v>1089</v>
      </c>
      <c r="L5121" s="3">
        <v>1</v>
      </c>
      <c r="M5121" s="3">
        <v>312</v>
      </c>
    </row>
    <row r="5122" spans="1:13" x14ac:dyDescent="0.25">
      <c r="A5122" s="1" t="str">
        <f>HYPERLINK("http://www.rosaceae.org/Prunus/Prunus_persica/p.persica_gdr_reftransV1_0000023","p.persica_gdr_reftransV1_0000023")</f>
        <v>p.persica_gdr_reftransV1_0000023</v>
      </c>
      <c r="B5122" s="3">
        <v>1765</v>
      </c>
      <c r="C5122" s="1" t="str">
        <f>HYPERLINK("http://www.uniprot.org/uniprot/AAH_ARATH","AAH_ARATH")</f>
        <v>AAH_ARATH</v>
      </c>
      <c r="D5122" t="s">
        <v>1704</v>
      </c>
      <c r="E5122" s="3" t="s">
        <v>3</v>
      </c>
      <c r="F5122" s="4">
        <v>0</v>
      </c>
      <c r="G5122" s="3">
        <v>1823</v>
      </c>
      <c r="H5122" s="3">
        <v>75</v>
      </c>
      <c r="I5122" s="3">
        <v>452</v>
      </c>
      <c r="J5122" s="3">
        <v>251</v>
      </c>
      <c r="K5122" s="3">
        <v>1606</v>
      </c>
      <c r="L5122" s="3">
        <v>76</v>
      </c>
      <c r="M5122" s="3">
        <v>525</v>
      </c>
    </row>
    <row r="5123" spans="1:13" x14ac:dyDescent="0.25">
      <c r="A5123" s="1" t="str">
        <f>HYPERLINK("http://www.rosaceae.org/Prunus/Prunus_persica/p.persica_gdr_reftransV1_0000123","p.persica_gdr_reftransV1_0000123")</f>
        <v>p.persica_gdr_reftransV1_0000123</v>
      </c>
      <c r="B5123" s="3">
        <v>783</v>
      </c>
      <c r="C5123" s="1" t="str">
        <f>HYPERLINK("http://www.uniprot.org/uniprot/CDC25_ARATH","CDC25_ARATH")</f>
        <v>CDC25_ARATH</v>
      </c>
      <c r="D5123" t="s">
        <v>3217</v>
      </c>
      <c r="E5123" s="3" t="s">
        <v>3</v>
      </c>
      <c r="F5123" s="4">
        <v>7.9499999999999999E-69</v>
      </c>
      <c r="G5123" s="3">
        <v>549</v>
      </c>
      <c r="H5123" s="3">
        <v>75</v>
      </c>
      <c r="I5123" s="3">
        <v>130</v>
      </c>
      <c r="J5123" s="3">
        <v>248</v>
      </c>
      <c r="K5123" s="3">
        <v>637</v>
      </c>
      <c r="L5123" s="3">
        <v>15</v>
      </c>
      <c r="M5123" s="3">
        <v>144</v>
      </c>
    </row>
    <row r="5124" spans="1:13" x14ac:dyDescent="0.25">
      <c r="A5124" s="1" t="str">
        <f>HYPERLINK("http://www.rosaceae.org/Prunus/Prunus_persica/p.persica_gdr_reftransV1_0000223","p.persica_gdr_reftransV1_0000223")</f>
        <v>p.persica_gdr_reftransV1_0000223</v>
      </c>
      <c r="B5124" s="3">
        <v>1997</v>
      </c>
      <c r="C5124" s="1" t="str">
        <f>HYPERLINK("http://www.uniprot.org/uniprot/4CL1_TOBAC","4CL1_TOBAC")</f>
        <v>4CL1_TOBAC</v>
      </c>
      <c r="D5124" t="s">
        <v>4400</v>
      </c>
      <c r="E5124" s="3" t="s">
        <v>200</v>
      </c>
      <c r="F5124" s="4">
        <v>0</v>
      </c>
      <c r="G5124" s="3">
        <v>2109</v>
      </c>
      <c r="H5124" s="3">
        <v>73</v>
      </c>
      <c r="I5124" s="3">
        <v>556</v>
      </c>
      <c r="J5124" s="3">
        <v>84</v>
      </c>
      <c r="K5124" s="3">
        <v>1736</v>
      </c>
      <c r="L5124" s="3">
        <v>1</v>
      </c>
      <c r="M5124" s="3">
        <v>547</v>
      </c>
    </row>
    <row r="5125" spans="1:13" x14ac:dyDescent="0.25">
      <c r="A5125" s="1" t="str">
        <f>HYPERLINK("http://www.rosaceae.org/Prunus/Prunus_persica/p.persica_gdr_reftransV1_0000323","p.persica_gdr_reftransV1_0000323")</f>
        <v>p.persica_gdr_reftransV1_0000323</v>
      </c>
      <c r="B5125" s="3">
        <v>1715</v>
      </c>
      <c r="C5125" s="1" t="str">
        <f>HYPERLINK("http://www.uniprot.org/uniprot/MLO12_ARATH","MLO12_ARATH")</f>
        <v>MLO12_ARATH</v>
      </c>
      <c r="D5125" t="s">
        <v>4401</v>
      </c>
      <c r="E5125" s="3" t="s">
        <v>3</v>
      </c>
      <c r="F5125" s="4">
        <v>3.9699999999999997E-149</v>
      </c>
      <c r="G5125" s="3">
        <v>1153</v>
      </c>
      <c r="H5125" s="3">
        <v>49</v>
      </c>
      <c r="I5125" s="3">
        <v>492</v>
      </c>
      <c r="J5125" s="3">
        <v>270</v>
      </c>
      <c r="K5125" s="3">
        <v>1649</v>
      </c>
      <c r="L5125" s="3">
        <v>7</v>
      </c>
      <c r="M5125" s="3">
        <v>495</v>
      </c>
    </row>
    <row r="5126" spans="1:13" x14ac:dyDescent="0.25">
      <c r="A5126" s="1" t="str">
        <f>HYPERLINK("http://www.rosaceae.org/Prunus/Prunus_persica/p.persica_gdr_reftransV1_0000423","p.persica_gdr_reftransV1_0000423")</f>
        <v>p.persica_gdr_reftransV1_0000423</v>
      </c>
      <c r="B5126" s="3">
        <v>1830</v>
      </c>
      <c r="C5126" s="1" t="str">
        <f>HYPERLINK("http://www.uniprot.org/uniprot/Y1491_ARATH","Y1491_ARATH")</f>
        <v>Y1491_ARATH</v>
      </c>
      <c r="D5126" t="s">
        <v>310</v>
      </c>
      <c r="E5126" s="3" t="s">
        <v>3</v>
      </c>
      <c r="F5126" s="4">
        <v>1.0099999999999999E-54</v>
      </c>
      <c r="G5126" s="3">
        <v>507</v>
      </c>
      <c r="H5126" s="3">
        <v>33</v>
      </c>
      <c r="I5126" s="3">
        <v>437</v>
      </c>
      <c r="J5126" s="3">
        <v>358</v>
      </c>
      <c r="K5126" s="3">
        <v>1659</v>
      </c>
      <c r="L5126" s="3">
        <v>59</v>
      </c>
      <c r="M5126" s="3">
        <v>447</v>
      </c>
    </row>
    <row r="5127" spans="1:13" x14ac:dyDescent="0.25">
      <c r="A5127" s="1" t="str">
        <f>HYPERLINK("http://www.rosaceae.org/Prunus/Prunus_persica/p.persica_gdr_reftransV1_0000473","p.persica_gdr_reftransV1_0000473")</f>
        <v>p.persica_gdr_reftransV1_0000473</v>
      </c>
      <c r="B5127" s="3">
        <v>1229</v>
      </c>
      <c r="C5127" s="1" t="str">
        <f>HYPERLINK("http://www.uniprot.org/uniprot/ARF_VIGUN","ARF_VIGUN")</f>
        <v>ARF_VIGUN</v>
      </c>
      <c r="D5127" t="s">
        <v>1008</v>
      </c>
      <c r="E5127" s="3" t="s">
        <v>1009</v>
      </c>
      <c r="F5127" s="4">
        <v>3.7699999999999996E-127</v>
      </c>
      <c r="G5127" s="3">
        <v>953</v>
      </c>
      <c r="H5127" s="3">
        <v>98</v>
      </c>
      <c r="I5127" s="3">
        <v>181</v>
      </c>
      <c r="J5127" s="3">
        <v>447</v>
      </c>
      <c r="K5127" s="3">
        <v>989</v>
      </c>
      <c r="L5127" s="3">
        <v>1</v>
      </c>
      <c r="M5127" s="3">
        <v>181</v>
      </c>
    </row>
    <row r="5128" spans="1:13" x14ac:dyDescent="0.25">
      <c r="A5128" s="1" t="str">
        <f>HYPERLINK("http://www.rosaceae.org/Prunus/Prunus_persica/p.persica_gdr_reftransV1_0000523","p.persica_gdr_reftransV1_0000523")</f>
        <v>p.persica_gdr_reftransV1_0000523</v>
      </c>
      <c r="B5128" s="3">
        <v>1904</v>
      </c>
      <c r="C5128" s="1" t="str">
        <f>HYPERLINK("http://www.uniprot.org/uniprot/HMT3_ARATH","HMT3_ARATH")</f>
        <v>HMT3_ARATH</v>
      </c>
      <c r="D5128" t="s">
        <v>4402</v>
      </c>
      <c r="E5128" s="3" t="s">
        <v>3</v>
      </c>
      <c r="F5128" s="4">
        <v>2.8000000000000001E-164</v>
      </c>
      <c r="G5128" s="3">
        <v>1238</v>
      </c>
      <c r="H5128" s="3">
        <v>71</v>
      </c>
      <c r="I5128" s="3">
        <v>335</v>
      </c>
      <c r="J5128" s="3">
        <v>672</v>
      </c>
      <c r="K5128" s="3">
        <v>1640</v>
      </c>
      <c r="L5128" s="3">
        <v>7</v>
      </c>
      <c r="M5128" s="3">
        <v>340</v>
      </c>
    </row>
    <row r="5129" spans="1:13" x14ac:dyDescent="0.25">
      <c r="A5129" s="1" t="str">
        <f>HYPERLINK("http://www.rosaceae.org/Prunus/Prunus_persica/p.persica_gdr_reftransV1_0000573","p.persica_gdr_reftransV1_0000573")</f>
        <v>p.persica_gdr_reftransV1_0000573</v>
      </c>
      <c r="B5129" s="3">
        <v>2328</v>
      </c>
      <c r="C5129" s="1" t="str">
        <f>HYPERLINK("http://www.uniprot.org/uniprot/PP211_ARATH","PP211_ARATH")</f>
        <v>PP211_ARATH</v>
      </c>
      <c r="D5129" t="s">
        <v>4403</v>
      </c>
      <c r="E5129" s="3" t="s">
        <v>3</v>
      </c>
      <c r="F5129" s="4">
        <v>0</v>
      </c>
      <c r="G5129" s="3">
        <v>1510</v>
      </c>
      <c r="H5129" s="3">
        <v>57</v>
      </c>
      <c r="I5129" s="3">
        <v>507</v>
      </c>
      <c r="J5129" s="3">
        <v>148</v>
      </c>
      <c r="K5129" s="3">
        <v>1665</v>
      </c>
      <c r="L5129" s="3">
        <v>1</v>
      </c>
      <c r="M5129" s="3">
        <v>501</v>
      </c>
    </row>
    <row r="5130" spans="1:13" x14ac:dyDescent="0.25">
      <c r="A5130" s="1" t="str">
        <f>HYPERLINK("http://www.rosaceae.org/Prunus/Prunus_persica/p.persica_gdr_reftransV1_0000723","p.persica_gdr_reftransV1_0000723")</f>
        <v>p.persica_gdr_reftransV1_0000723</v>
      </c>
      <c r="B5130" s="3">
        <v>339</v>
      </c>
      <c r="C5130" s="1" t="str">
        <f>HYPERLINK("http://www.uniprot.org/uniprot/U82A1_ARATH","U82A1_ARATH")</f>
        <v>U82A1_ARATH</v>
      </c>
      <c r="D5130" t="s">
        <v>4404</v>
      </c>
      <c r="E5130" s="3" t="s">
        <v>3</v>
      </c>
      <c r="F5130" s="4">
        <v>5.0400000000000001E-38</v>
      </c>
      <c r="G5130" s="3">
        <v>346</v>
      </c>
      <c r="H5130" s="3">
        <v>61</v>
      </c>
      <c r="I5130" s="3">
        <v>101</v>
      </c>
      <c r="J5130" s="3">
        <v>3</v>
      </c>
      <c r="K5130" s="3">
        <v>305</v>
      </c>
      <c r="L5130" s="3">
        <v>361</v>
      </c>
      <c r="M5130" s="3">
        <v>460</v>
      </c>
    </row>
    <row r="5131" spans="1:13" x14ac:dyDescent="0.25">
      <c r="A5131" s="1" t="str">
        <f>HYPERLINK("http://www.rosaceae.org/Prunus/Prunus_persica/p.persica_gdr_reftransV1_0000973","p.persica_gdr_reftransV1_0000973")</f>
        <v>p.persica_gdr_reftransV1_0000973</v>
      </c>
      <c r="B5131" s="3">
        <v>1378</v>
      </c>
      <c r="C5131" s="1" t="str">
        <f>HYPERLINK("http://www.uniprot.org/uniprot/SDHB2_ARATH","SDHB2_ARATH")</f>
        <v>SDHB2_ARATH</v>
      </c>
      <c r="D5131" t="s">
        <v>4405</v>
      </c>
      <c r="E5131" s="3" t="s">
        <v>3</v>
      </c>
      <c r="F5131" s="4">
        <v>8.9000000000000002E-157</v>
      </c>
      <c r="G5131" s="3">
        <v>1164</v>
      </c>
      <c r="H5131" s="3">
        <v>83</v>
      </c>
      <c r="I5131" s="3">
        <v>258</v>
      </c>
      <c r="J5131" s="3">
        <v>408</v>
      </c>
      <c r="K5131" s="3">
        <v>1181</v>
      </c>
      <c r="L5131" s="3">
        <v>22</v>
      </c>
      <c r="M5131" s="3">
        <v>277</v>
      </c>
    </row>
    <row r="5132" spans="1:13" x14ac:dyDescent="0.25">
      <c r="A5132" s="1" t="str">
        <f>HYPERLINK("http://www.rosaceae.org/Prunus/Prunus_persica/p.persica_gdr_reftransV1_0001023","p.persica_gdr_reftransV1_0001023")</f>
        <v>p.persica_gdr_reftransV1_0001023</v>
      </c>
      <c r="B5132" s="3">
        <v>423</v>
      </c>
      <c r="C5132" s="1" t="str">
        <f>HYPERLINK("http://www.uniprot.org/uniprot/LRE_ARATH","LRE_ARATH")</f>
        <v>LRE_ARATH</v>
      </c>
      <c r="D5132" t="s">
        <v>4406</v>
      </c>
      <c r="E5132" s="3" t="s">
        <v>3</v>
      </c>
      <c r="F5132" s="4">
        <v>8.9099999999999995E-28</v>
      </c>
      <c r="G5132" s="3">
        <v>264</v>
      </c>
      <c r="H5132" s="3">
        <v>50</v>
      </c>
      <c r="I5132" s="3">
        <v>105</v>
      </c>
      <c r="J5132" s="3">
        <v>132</v>
      </c>
      <c r="K5132" s="3">
        <v>422</v>
      </c>
      <c r="L5132" s="3">
        <v>61</v>
      </c>
      <c r="M5132" s="3">
        <v>165</v>
      </c>
    </row>
    <row r="5133" spans="1:13" x14ac:dyDescent="0.25">
      <c r="A5133" s="1" t="str">
        <f>HYPERLINK("http://www.rosaceae.org/Prunus/Prunus_persica/p.persica_gdr_reftransV1_0001073","p.persica_gdr_reftransV1_0001073")</f>
        <v>p.persica_gdr_reftransV1_0001073</v>
      </c>
      <c r="B5133" s="3">
        <v>574</v>
      </c>
      <c r="C5133" s="1" t="str">
        <f>HYPERLINK("http://www.uniprot.org/uniprot/H2B2_ARATH","H2B2_ARATH")</f>
        <v>H2B2_ARATH</v>
      </c>
      <c r="D5133" t="s">
        <v>4407</v>
      </c>
      <c r="E5133" s="3" t="s">
        <v>3</v>
      </c>
      <c r="F5133" s="4">
        <v>1.3100000000000001E-36</v>
      </c>
      <c r="G5133" s="3">
        <v>334</v>
      </c>
      <c r="H5133" s="3">
        <v>69</v>
      </c>
      <c r="I5133" s="3">
        <v>86</v>
      </c>
      <c r="J5133" s="3">
        <v>217</v>
      </c>
      <c r="K5133" s="3">
        <v>474</v>
      </c>
      <c r="L5133" s="3">
        <v>151</v>
      </c>
      <c r="M5133" s="3">
        <v>236</v>
      </c>
    </row>
    <row r="5134" spans="1:13" x14ac:dyDescent="0.25">
      <c r="A5134" s="1" t="str">
        <f>HYPERLINK("http://www.rosaceae.org/Prunus/Prunus_persica/p.persica_gdr_reftransV1_0001123","p.persica_gdr_reftransV1_0001123")</f>
        <v>p.persica_gdr_reftransV1_0001123</v>
      </c>
      <c r="B5134" s="3">
        <v>2505</v>
      </c>
      <c r="C5134" s="1" t="str">
        <f>HYPERLINK("http://www.uniprot.org/uniprot/Y1497_ARATH","Y1497_ARATH")</f>
        <v>Y1497_ARATH</v>
      </c>
      <c r="D5134" t="s">
        <v>4408</v>
      </c>
      <c r="E5134" s="3" t="s">
        <v>3</v>
      </c>
      <c r="F5134" s="4">
        <v>0</v>
      </c>
      <c r="G5134" s="3">
        <v>949</v>
      </c>
      <c r="H5134" s="3">
        <v>60</v>
      </c>
      <c r="I5134" s="3">
        <v>379</v>
      </c>
      <c r="J5134" s="3">
        <v>1260</v>
      </c>
      <c r="K5134" s="3">
        <v>2390</v>
      </c>
      <c r="L5134" s="3">
        <v>23</v>
      </c>
      <c r="M5134" s="3">
        <v>400</v>
      </c>
    </row>
    <row r="5135" spans="1:13" x14ac:dyDescent="0.25">
      <c r="A5135" s="1" t="str">
        <f>HYPERLINK("http://www.rosaceae.org/Prunus/Prunus_persica/p.persica_gdr_reftransV1_0001173","p.persica_gdr_reftransV1_0001173")</f>
        <v>p.persica_gdr_reftransV1_0001173</v>
      </c>
      <c r="B5135" s="3">
        <v>1132</v>
      </c>
      <c r="C5135" s="1" t="str">
        <f>HYPERLINK("http://www.uniprot.org/uniprot/idM1_ARATH","idM1_ARATH")</f>
        <v>idM1_ARATH</v>
      </c>
      <c r="D5135" t="s">
        <v>1345</v>
      </c>
      <c r="E5135" s="3" t="s">
        <v>3</v>
      </c>
      <c r="F5135" s="4">
        <v>3.3500000000000001E-12</v>
      </c>
      <c r="G5135" s="3">
        <v>175</v>
      </c>
      <c r="H5135" s="3">
        <v>51</v>
      </c>
      <c r="I5135" s="3">
        <v>70</v>
      </c>
      <c r="J5135" s="3">
        <v>661</v>
      </c>
      <c r="K5135" s="3">
        <v>867</v>
      </c>
      <c r="L5135" s="3">
        <v>887</v>
      </c>
      <c r="M5135" s="3">
        <v>956</v>
      </c>
    </row>
    <row r="5136" spans="1:13" x14ac:dyDescent="0.25">
      <c r="A5136" s="1" t="str">
        <f>HYPERLINK("http://www.rosaceae.org/Prunus/Prunus_persica/p.persica_gdr_reftransV1_0001373","p.persica_gdr_reftransV1_0001373")</f>
        <v>p.persica_gdr_reftransV1_0001373</v>
      </c>
      <c r="B5136" s="3">
        <v>1175</v>
      </c>
      <c r="C5136" s="1" t="str">
        <f>HYPERLINK("http://www.uniprot.org/uniprot/TCP15_ARATH","TCP15_ARATH")</f>
        <v>TCP15_ARATH</v>
      </c>
      <c r="D5136" t="s">
        <v>4409</v>
      </c>
      <c r="E5136" s="3" t="s">
        <v>3</v>
      </c>
      <c r="F5136" s="4">
        <v>8.6699999999999999E-41</v>
      </c>
      <c r="G5136" s="3">
        <v>384</v>
      </c>
      <c r="H5136" s="3">
        <v>68</v>
      </c>
      <c r="I5136" s="3">
        <v>124</v>
      </c>
      <c r="J5136" s="3">
        <v>77</v>
      </c>
      <c r="K5136" s="3">
        <v>433</v>
      </c>
      <c r="L5136" s="3">
        <v>10</v>
      </c>
      <c r="M5136" s="3">
        <v>117</v>
      </c>
    </row>
    <row r="5137" spans="1:13" x14ac:dyDescent="0.25">
      <c r="A5137" s="1" t="str">
        <f>HYPERLINK("http://www.rosaceae.org/Prunus/Prunus_persica/p.persica_gdr_reftransV1_0001423","p.persica_gdr_reftransV1_0001423")</f>
        <v>p.persica_gdr_reftransV1_0001423</v>
      </c>
      <c r="B5137" s="3">
        <v>1407</v>
      </c>
      <c r="C5137" s="1" t="str">
        <f>HYPERLINK("http://www.uniprot.org/uniprot/SERK1_ARATH","SERK1_ARATH")</f>
        <v>SERK1_ARATH</v>
      </c>
      <c r="D5137" t="s">
        <v>1676</v>
      </c>
      <c r="E5137" s="3" t="s">
        <v>3</v>
      </c>
      <c r="F5137" s="4">
        <v>2.0799999999999999E-66</v>
      </c>
      <c r="G5137" s="3">
        <v>587</v>
      </c>
      <c r="H5137" s="3">
        <v>65</v>
      </c>
      <c r="I5137" s="3">
        <v>182</v>
      </c>
      <c r="J5137" s="3">
        <v>338</v>
      </c>
      <c r="K5137" s="3">
        <v>883</v>
      </c>
      <c r="L5137" s="3">
        <v>23</v>
      </c>
      <c r="M5137" s="3">
        <v>204</v>
      </c>
    </row>
    <row r="5138" spans="1:13" x14ac:dyDescent="0.25">
      <c r="A5138" s="1" t="str">
        <f>HYPERLINK("http://www.rosaceae.org/Prunus/Prunus_persica/p.persica_gdr_reftransV1_0001523","p.persica_gdr_reftransV1_0001523")</f>
        <v>p.persica_gdr_reftransV1_0001523</v>
      </c>
      <c r="B5138" s="3">
        <v>466</v>
      </c>
      <c r="C5138" s="1" t="str">
        <f>HYPERLINK("http://www.uniprot.org/uniprot/AB14B_ARATH","AB14B_ARATH")</f>
        <v>AB14B_ARATH</v>
      </c>
      <c r="D5138" t="s">
        <v>4410</v>
      </c>
      <c r="E5138" s="3" t="s">
        <v>3</v>
      </c>
      <c r="F5138" s="4">
        <v>3.2899999999999998E-35</v>
      </c>
      <c r="G5138" s="3">
        <v>339</v>
      </c>
      <c r="H5138" s="3">
        <v>45</v>
      </c>
      <c r="I5138" s="3">
        <v>170</v>
      </c>
      <c r="J5138" s="3">
        <v>2</v>
      </c>
      <c r="K5138" s="3">
        <v>463</v>
      </c>
      <c r="L5138" s="3">
        <v>569</v>
      </c>
      <c r="M5138" s="3">
        <v>732</v>
      </c>
    </row>
    <row r="5139" spans="1:13" x14ac:dyDescent="0.25">
      <c r="A5139" s="1" t="str">
        <f>HYPERLINK("http://www.rosaceae.org/Prunus/Prunus_persica/p.persica_gdr_reftransV1_0001573","p.persica_gdr_reftransV1_0001573")</f>
        <v>p.persica_gdr_reftransV1_0001573</v>
      </c>
      <c r="B5139" s="3">
        <v>1438</v>
      </c>
      <c r="C5139" s="1" t="str">
        <f>HYPERLINK("http://www.uniprot.org/uniprot/CTPA3_ARATH","CTPA3_ARATH")</f>
        <v>CTPA3_ARATH</v>
      </c>
      <c r="D5139" t="s">
        <v>4411</v>
      </c>
      <c r="E5139" s="3" t="s">
        <v>3</v>
      </c>
      <c r="F5139" s="4">
        <v>0</v>
      </c>
      <c r="G5139" s="3">
        <v>1779</v>
      </c>
      <c r="H5139" s="3">
        <v>79</v>
      </c>
      <c r="I5139" s="3">
        <v>436</v>
      </c>
      <c r="J5139" s="3">
        <v>2</v>
      </c>
      <c r="K5139" s="3">
        <v>1306</v>
      </c>
      <c r="L5139" s="3">
        <v>84</v>
      </c>
      <c r="M5139" s="3">
        <v>519</v>
      </c>
    </row>
    <row r="5140" spans="1:13" x14ac:dyDescent="0.25">
      <c r="A5140" s="1" t="str">
        <f>HYPERLINK("http://www.rosaceae.org/Prunus/Prunus_persica/p.persica_gdr_reftransV1_0001623","p.persica_gdr_reftransV1_0001623")</f>
        <v>p.persica_gdr_reftransV1_0001623</v>
      </c>
      <c r="B5140" s="3">
        <v>6205</v>
      </c>
      <c r="C5140" s="1" t="str">
        <f>HYPERLINK("http://www.uniprot.org/uniprot/TRRAP_HUMAN","TRRAP_HUMAN")</f>
        <v>TRRAP_HUMAN</v>
      </c>
      <c r="D5140" t="s">
        <v>1611</v>
      </c>
      <c r="E5140" s="3" t="s">
        <v>28</v>
      </c>
      <c r="F5140" s="4">
        <v>0</v>
      </c>
      <c r="G5140" s="3">
        <v>1602</v>
      </c>
      <c r="H5140" s="3">
        <v>28</v>
      </c>
      <c r="I5140" s="3">
        <v>2166</v>
      </c>
      <c r="J5140" s="3">
        <v>7</v>
      </c>
      <c r="K5140" s="3">
        <v>6096</v>
      </c>
      <c r="L5140" s="3">
        <v>277</v>
      </c>
      <c r="M5140" s="3">
        <v>2303</v>
      </c>
    </row>
    <row r="5141" spans="1:13" x14ac:dyDescent="0.25">
      <c r="A5141" s="1" t="str">
        <f>HYPERLINK("http://www.rosaceae.org/Prunus/Prunus_persica/p.persica_gdr_reftransV1_0001673","p.persica_gdr_reftransV1_0001673")</f>
        <v>p.persica_gdr_reftransV1_0001673</v>
      </c>
      <c r="B5141" s="3">
        <v>1644</v>
      </c>
      <c r="C5141" s="1" t="str">
        <f>HYPERLINK("http://www.uniprot.org/uniprot/NDUF7_DICDI","NDUF7_DICDI")</f>
        <v>NDUF7_DICDI</v>
      </c>
      <c r="D5141" t="s">
        <v>4412</v>
      </c>
      <c r="E5141" s="3" t="s">
        <v>9</v>
      </c>
      <c r="F5141" s="4">
        <v>1.3199999999999999E-80</v>
      </c>
      <c r="G5141" s="3">
        <v>540</v>
      </c>
      <c r="H5141" s="3">
        <v>50</v>
      </c>
      <c r="I5141" s="3">
        <v>205</v>
      </c>
      <c r="J5141" s="3">
        <v>315</v>
      </c>
      <c r="K5141" s="3">
        <v>908</v>
      </c>
      <c r="L5141" s="3">
        <v>91</v>
      </c>
      <c r="M5141" s="3">
        <v>289</v>
      </c>
    </row>
    <row r="5142" spans="1:13" x14ac:dyDescent="0.25">
      <c r="A5142" s="1" t="str">
        <f>HYPERLINK("http://www.rosaceae.org/Prunus/Prunus_persica/p.persica_gdr_reftransV1_0001723","p.persica_gdr_reftransV1_0001723")</f>
        <v>p.persica_gdr_reftransV1_0001723</v>
      </c>
      <c r="B5142" s="3">
        <v>353</v>
      </c>
      <c r="C5142" s="1" t="str">
        <f>HYPERLINK("http://www.uniprot.org/uniprot/PER3_ARATH","PER3_ARATH")</f>
        <v>PER3_ARATH</v>
      </c>
      <c r="D5142" t="s">
        <v>4413</v>
      </c>
      <c r="E5142" s="3" t="s">
        <v>3</v>
      </c>
      <c r="F5142" s="4">
        <v>7.5600000000000002E-48</v>
      </c>
      <c r="G5142" s="3">
        <v>408</v>
      </c>
      <c r="H5142" s="3">
        <v>71</v>
      </c>
      <c r="I5142" s="3">
        <v>117</v>
      </c>
      <c r="J5142" s="3">
        <v>1</v>
      </c>
      <c r="K5142" s="3">
        <v>351</v>
      </c>
      <c r="L5142" s="3">
        <v>210</v>
      </c>
      <c r="M5142" s="3">
        <v>326</v>
      </c>
    </row>
    <row r="5143" spans="1:13" x14ac:dyDescent="0.25">
      <c r="A5143" s="1" t="str">
        <f>HYPERLINK("http://www.rosaceae.org/Prunus/Prunus_persica/p.persica_gdr_reftransV1_0001823","p.persica_gdr_reftransV1_0001823")</f>
        <v>p.persica_gdr_reftransV1_0001823</v>
      </c>
      <c r="B5143" s="3">
        <v>499</v>
      </c>
      <c r="C5143" s="1" t="str">
        <f>HYPERLINK("http://www.uniprot.org/uniprot/NU5C_GOSHI","NU5C_GOSHI")</f>
        <v>NU5C_GOSHI</v>
      </c>
      <c r="D5143" t="s">
        <v>4414</v>
      </c>
      <c r="E5143" s="3" t="s">
        <v>816</v>
      </c>
      <c r="F5143" s="4">
        <v>4.4699999999999998E-78</v>
      </c>
      <c r="G5143" s="3">
        <v>644</v>
      </c>
      <c r="H5143" s="3">
        <v>92</v>
      </c>
      <c r="I5143" s="3">
        <v>166</v>
      </c>
      <c r="J5143" s="3">
        <v>1</v>
      </c>
      <c r="K5143" s="3">
        <v>498</v>
      </c>
      <c r="L5143" s="3">
        <v>162</v>
      </c>
      <c r="M5143" s="3">
        <v>327</v>
      </c>
    </row>
    <row r="5144" spans="1:13" x14ac:dyDescent="0.25">
      <c r="A5144" s="1" t="str">
        <f>HYPERLINK("http://www.rosaceae.org/Prunus/Prunus_persica/p.persica_gdr_reftransV1_0001873","p.persica_gdr_reftransV1_0001873")</f>
        <v>p.persica_gdr_reftransV1_0001873</v>
      </c>
      <c r="B5144" s="3">
        <v>1834</v>
      </c>
      <c r="C5144" s="1" t="str">
        <f>HYPERLINK("http://www.uniprot.org/uniprot/HDA14_ARATH","HDA14_ARATH")</f>
        <v>HDA14_ARATH</v>
      </c>
      <c r="D5144" t="s">
        <v>3541</v>
      </c>
      <c r="E5144" s="3" t="s">
        <v>3</v>
      </c>
      <c r="F5144" s="4">
        <v>3.09E-139</v>
      </c>
      <c r="G5144" s="3">
        <v>1076</v>
      </c>
      <c r="H5144" s="3">
        <v>80</v>
      </c>
      <c r="I5144" s="3">
        <v>244</v>
      </c>
      <c r="J5144" s="3">
        <v>875</v>
      </c>
      <c r="K5144" s="3">
        <v>1606</v>
      </c>
      <c r="L5144" s="3">
        <v>180</v>
      </c>
      <c r="M5144" s="3">
        <v>423</v>
      </c>
    </row>
    <row r="5145" spans="1:13" x14ac:dyDescent="0.25">
      <c r="A5145" s="1" t="str">
        <f>HYPERLINK("http://www.rosaceae.org/Prunus/Prunus_persica/p.persica_gdr_reftransV1_0001973","p.persica_gdr_reftransV1_0001973")</f>
        <v>p.persica_gdr_reftransV1_0001973</v>
      </c>
      <c r="B5145" s="3">
        <v>1833</v>
      </c>
      <c r="C5145" s="1" t="str">
        <f>HYPERLINK("http://www.uniprot.org/uniprot/ANK1_HUMAN","ANK1_HUMAN")</f>
        <v>ANK1_HUMAN</v>
      </c>
      <c r="D5145" t="s">
        <v>4415</v>
      </c>
      <c r="E5145" s="3" t="s">
        <v>28</v>
      </c>
      <c r="F5145" s="4">
        <v>7.8099999999999996E-22</v>
      </c>
      <c r="G5145" s="3">
        <v>260</v>
      </c>
      <c r="H5145" s="3">
        <v>29</v>
      </c>
      <c r="I5145" s="3">
        <v>343</v>
      </c>
      <c r="J5145" s="3">
        <v>416</v>
      </c>
      <c r="K5145" s="3">
        <v>1435</v>
      </c>
      <c r="L5145" s="3">
        <v>263</v>
      </c>
      <c r="M5145" s="3">
        <v>588</v>
      </c>
    </row>
    <row r="5146" spans="1:13" x14ac:dyDescent="0.25">
      <c r="A5146" s="1" t="str">
        <f>HYPERLINK("http://www.rosaceae.org/Prunus/Prunus_persica/p.persica_gdr_reftransV1_0002023","p.persica_gdr_reftransV1_0002023")</f>
        <v>p.persica_gdr_reftransV1_0002023</v>
      </c>
      <c r="B5146" s="3">
        <v>316</v>
      </c>
      <c r="C5146" s="1" t="str">
        <f>HYPERLINK("http://www.uniprot.org/uniprot/PP432_ARATH","PP432_ARATH")</f>
        <v>PP432_ARATH</v>
      </c>
      <c r="D5146" t="s">
        <v>4416</v>
      </c>
      <c r="E5146" s="3" t="s">
        <v>3</v>
      </c>
      <c r="F5146" s="4">
        <v>4.7700000000000001E-39</v>
      </c>
      <c r="G5146" s="3">
        <v>362</v>
      </c>
      <c r="H5146" s="3">
        <v>67</v>
      </c>
      <c r="I5146" s="3">
        <v>102</v>
      </c>
      <c r="J5146" s="3">
        <v>3</v>
      </c>
      <c r="K5146" s="3">
        <v>308</v>
      </c>
      <c r="L5146" s="3">
        <v>15</v>
      </c>
      <c r="M5146" s="3">
        <v>116</v>
      </c>
    </row>
    <row r="5147" spans="1:13" x14ac:dyDescent="0.25">
      <c r="A5147" s="1" t="str">
        <f>HYPERLINK("http://www.rosaceae.org/Prunus/Prunus_persica/p.persica_gdr_reftransV1_0002073","p.persica_gdr_reftransV1_0002073")</f>
        <v>p.persica_gdr_reftransV1_0002073</v>
      </c>
      <c r="B5147" s="3">
        <v>1332</v>
      </c>
      <c r="C5147" s="1" t="str">
        <f>HYPERLINK("http://www.uniprot.org/uniprot/TAO1_ARATH","TAO1_ARATH")</f>
        <v>TAO1_ARATH</v>
      </c>
      <c r="D5147" t="s">
        <v>4417</v>
      </c>
      <c r="E5147" s="3" t="s">
        <v>3</v>
      </c>
      <c r="F5147" s="4">
        <v>7.2800000000000005E-45</v>
      </c>
      <c r="G5147" s="3">
        <v>437</v>
      </c>
      <c r="H5147" s="3">
        <v>35</v>
      </c>
      <c r="I5147" s="3">
        <v>418</v>
      </c>
      <c r="J5147" s="3">
        <v>203</v>
      </c>
      <c r="K5147" s="3">
        <v>1330</v>
      </c>
      <c r="L5147" s="3">
        <v>503</v>
      </c>
      <c r="M5147" s="3">
        <v>919</v>
      </c>
    </row>
    <row r="5148" spans="1:13" x14ac:dyDescent="0.25">
      <c r="A5148" s="1" t="str">
        <f>HYPERLINK("http://www.rosaceae.org/Prunus/Prunus_persica/p.persica_gdr_reftransV1_0002123","p.persica_gdr_reftransV1_0002123")</f>
        <v>p.persica_gdr_reftransV1_0002123</v>
      </c>
      <c r="B5148" s="3">
        <v>1966</v>
      </c>
      <c r="C5148" s="1" t="str">
        <f>HYPERLINK("http://www.uniprot.org/uniprot/RL37_SOLLC","RL37_SOLLC")</f>
        <v>RL37_SOLLC</v>
      </c>
      <c r="D5148" t="s">
        <v>4418</v>
      </c>
      <c r="E5148" s="3" t="s">
        <v>64</v>
      </c>
      <c r="F5148" s="4">
        <v>6.3600000000000005E-20</v>
      </c>
      <c r="G5148" s="3">
        <v>221</v>
      </c>
      <c r="H5148" s="3">
        <v>80</v>
      </c>
      <c r="I5148" s="3">
        <v>54</v>
      </c>
      <c r="J5148" s="3">
        <v>1801</v>
      </c>
      <c r="K5148" s="3">
        <v>1962</v>
      </c>
      <c r="L5148" s="3">
        <v>5</v>
      </c>
      <c r="M5148" s="3">
        <v>58</v>
      </c>
    </row>
    <row r="5149" spans="1:13" x14ac:dyDescent="0.25">
      <c r="A5149" s="1" t="str">
        <f>HYPERLINK("http://www.rosaceae.org/Prunus/Prunus_persica/p.persica_gdr_reftransV1_0002173","p.persica_gdr_reftransV1_0002173")</f>
        <v>p.persica_gdr_reftransV1_0002173</v>
      </c>
      <c r="B5149" s="3">
        <v>1440</v>
      </c>
      <c r="C5149" s="1" t="str">
        <f>HYPERLINK("http://www.uniprot.org/uniprot/GDL6_ARATH","GDL6_ARATH")</f>
        <v>GDL6_ARATH</v>
      </c>
      <c r="D5149" t="s">
        <v>2638</v>
      </c>
      <c r="E5149" s="3" t="s">
        <v>3</v>
      </c>
      <c r="F5149" s="4">
        <v>7.3500000000000003E-133</v>
      </c>
      <c r="G5149" s="3">
        <v>1018</v>
      </c>
      <c r="H5149" s="3">
        <v>56</v>
      </c>
      <c r="I5149" s="3">
        <v>350</v>
      </c>
      <c r="J5149" s="3">
        <v>362</v>
      </c>
      <c r="K5149" s="3">
        <v>1390</v>
      </c>
      <c r="L5149" s="3">
        <v>32</v>
      </c>
      <c r="M5149" s="3">
        <v>376</v>
      </c>
    </row>
    <row r="5150" spans="1:13" x14ac:dyDescent="0.25">
      <c r="A5150" s="1" t="str">
        <f>HYPERLINK("http://www.rosaceae.org/Prunus/Prunus_persica/p.persica_gdr_reftransV1_0002223","p.persica_gdr_reftransV1_0002223")</f>
        <v>p.persica_gdr_reftransV1_0002223</v>
      </c>
      <c r="B5150" s="3">
        <v>311</v>
      </c>
      <c r="C5150" s="1" t="str">
        <f>HYPERLINK("http://www.uniprot.org/uniprot/CCMFC_ARATH","CCMFC_ARATH")</f>
        <v>CCMFC_ARATH</v>
      </c>
      <c r="D5150" t="s">
        <v>2626</v>
      </c>
      <c r="E5150" s="3" t="s">
        <v>3</v>
      </c>
      <c r="F5150" s="4">
        <v>5.8700000000000001E-28</v>
      </c>
      <c r="G5150" s="3">
        <v>272</v>
      </c>
      <c r="H5150" s="3">
        <v>88</v>
      </c>
      <c r="I5150" s="3">
        <v>105</v>
      </c>
      <c r="J5150" s="3">
        <v>2</v>
      </c>
      <c r="K5150" s="3">
        <v>310</v>
      </c>
      <c r="L5150" s="3">
        <v>82</v>
      </c>
      <c r="M5150" s="3">
        <v>186</v>
      </c>
    </row>
    <row r="5151" spans="1:13" x14ac:dyDescent="0.25">
      <c r="A5151" s="1" t="str">
        <f>HYPERLINK("http://www.rosaceae.org/Prunus/Prunus_persica/p.persica_gdr_reftransV1_0002323","p.persica_gdr_reftransV1_0002323")</f>
        <v>p.persica_gdr_reftransV1_0002323</v>
      </c>
      <c r="B5151" s="3">
        <v>992</v>
      </c>
      <c r="C5151" s="1" t="str">
        <f>HYPERLINK("http://www.uniprot.org/uniprot/TMVRN_NICGU","TMVRN_NICGU")</f>
        <v>TMVRN_NICGU</v>
      </c>
      <c r="D5151" t="s">
        <v>151</v>
      </c>
      <c r="E5151" s="3" t="s">
        <v>152</v>
      </c>
      <c r="F5151" s="4">
        <v>2.4400000000000001E-54</v>
      </c>
      <c r="G5151" s="3">
        <v>499</v>
      </c>
      <c r="H5151" s="3">
        <v>52</v>
      </c>
      <c r="I5151" s="3">
        <v>223</v>
      </c>
      <c r="J5151" s="3">
        <v>1</v>
      </c>
      <c r="K5151" s="3">
        <v>657</v>
      </c>
      <c r="L5151" s="3">
        <v>9</v>
      </c>
      <c r="M5151" s="3">
        <v>228</v>
      </c>
    </row>
    <row r="5152" spans="1:13" x14ac:dyDescent="0.25">
      <c r="A5152" s="1" t="str">
        <f>HYPERLINK("http://www.rosaceae.org/Prunus/Prunus_persica/p.persica_gdr_reftransV1_0002423","p.persica_gdr_reftransV1_0002423")</f>
        <v>p.persica_gdr_reftransV1_0002423</v>
      </c>
      <c r="B5152" s="3">
        <v>2730</v>
      </c>
      <c r="C5152" s="1" t="str">
        <f>HYPERLINK("http://www.uniprot.org/uniprot/SBT17_ARATH","SBT17_ARATH")</f>
        <v>SBT17_ARATH</v>
      </c>
      <c r="D5152" t="s">
        <v>218</v>
      </c>
      <c r="E5152" s="3" t="s">
        <v>3</v>
      </c>
      <c r="F5152" s="4">
        <v>0</v>
      </c>
      <c r="G5152" s="3">
        <v>2121</v>
      </c>
      <c r="H5152" s="3">
        <v>57</v>
      </c>
      <c r="I5152" s="3">
        <v>748</v>
      </c>
      <c r="J5152" s="3">
        <v>162</v>
      </c>
      <c r="K5152" s="3">
        <v>2381</v>
      </c>
      <c r="L5152" s="3">
        <v>25</v>
      </c>
      <c r="M5152" s="3">
        <v>757</v>
      </c>
    </row>
    <row r="5153" spans="1:13" x14ac:dyDescent="0.25">
      <c r="A5153" s="1" t="str">
        <f>HYPERLINK("http://www.rosaceae.org/Prunus/Prunus_persica/p.persica_gdr_reftransV1_0002473","p.persica_gdr_reftransV1_0002473")</f>
        <v>p.persica_gdr_reftransV1_0002473</v>
      </c>
      <c r="B5153" s="3">
        <v>355</v>
      </c>
      <c r="C5153" s="1" t="str">
        <f>HYPERLINK("http://www.uniprot.org/uniprot/HQD2_CANAL","HQD2_CANAL")</f>
        <v>HQD2_CANAL</v>
      </c>
      <c r="D5153" t="s">
        <v>4419</v>
      </c>
      <c r="E5153" s="3" t="s">
        <v>4420</v>
      </c>
      <c r="F5153" s="4">
        <v>8.4500000000000005E-12</v>
      </c>
      <c r="G5153" s="3">
        <v>154</v>
      </c>
      <c r="H5153" s="3">
        <v>40</v>
      </c>
      <c r="I5153" s="3">
        <v>75</v>
      </c>
      <c r="J5153" s="3">
        <v>1</v>
      </c>
      <c r="K5153" s="3">
        <v>225</v>
      </c>
      <c r="L5153" s="3">
        <v>201</v>
      </c>
      <c r="M5153" s="3">
        <v>275</v>
      </c>
    </row>
    <row r="5154" spans="1:13" x14ac:dyDescent="0.25">
      <c r="A5154" s="1" t="str">
        <f>HYPERLINK("http://www.rosaceae.org/Prunus/Prunus_persica/p.persica_gdr_reftransV1_0002523","p.persica_gdr_reftransV1_0002523")</f>
        <v>p.persica_gdr_reftransV1_0002523</v>
      </c>
      <c r="B5154" s="3">
        <v>458</v>
      </c>
      <c r="C5154" s="1" t="str">
        <f>HYPERLINK("http://www.uniprot.org/uniprot/GSTXA_TOBAC","GSTXA_TOBAC")</f>
        <v>GSTXA_TOBAC</v>
      </c>
      <c r="D5154" t="s">
        <v>4421</v>
      </c>
      <c r="E5154" s="3" t="s">
        <v>200</v>
      </c>
      <c r="F5154" s="4">
        <v>1.0700000000000001E-53</v>
      </c>
      <c r="G5154" s="3">
        <v>444</v>
      </c>
      <c r="H5154" s="3">
        <v>61</v>
      </c>
      <c r="I5154" s="3">
        <v>152</v>
      </c>
      <c r="J5154" s="3">
        <v>1</v>
      </c>
      <c r="K5154" s="3">
        <v>456</v>
      </c>
      <c r="L5154" s="3">
        <v>19</v>
      </c>
      <c r="M5154" s="3">
        <v>168</v>
      </c>
    </row>
    <row r="5155" spans="1:13" x14ac:dyDescent="0.25">
      <c r="A5155" s="1" t="str">
        <f>HYPERLINK("http://www.rosaceae.org/Prunus/Prunus_persica/p.persica_gdr_reftransV1_0002573","p.persica_gdr_reftransV1_0002573")</f>
        <v>p.persica_gdr_reftransV1_0002573</v>
      </c>
      <c r="B5155" s="3">
        <v>4817</v>
      </c>
      <c r="C5155" s="1" t="str">
        <f>HYPERLINK("http://www.uniprot.org/uniprot/POK2_ARATH","POK2_ARATH")</f>
        <v>POK2_ARATH</v>
      </c>
      <c r="D5155" t="s">
        <v>3327</v>
      </c>
      <c r="E5155" s="3" t="s">
        <v>3</v>
      </c>
      <c r="F5155" s="4">
        <v>1.9799999999999999E-177</v>
      </c>
      <c r="G5155" s="3">
        <v>1538</v>
      </c>
      <c r="H5155" s="3">
        <v>48</v>
      </c>
      <c r="I5155" s="3">
        <v>922</v>
      </c>
      <c r="J5155" s="3">
        <v>2014</v>
      </c>
      <c r="K5155" s="3">
        <v>4776</v>
      </c>
      <c r="L5155" s="3">
        <v>1866</v>
      </c>
      <c r="M5155" s="3">
        <v>2771</v>
      </c>
    </row>
    <row r="5156" spans="1:13" x14ac:dyDescent="0.25">
      <c r="A5156" s="1" t="str">
        <f>HYPERLINK("http://www.rosaceae.org/Prunus/Prunus_persica/p.persica_gdr_reftransV1_0002723","p.persica_gdr_reftransV1_0002723")</f>
        <v>p.persica_gdr_reftransV1_0002723</v>
      </c>
      <c r="B5156" s="3">
        <v>319</v>
      </c>
      <c r="C5156" s="1" t="str">
        <f>HYPERLINK("http://www.uniprot.org/uniprot/E138_ARATH","E138_ARATH")</f>
        <v>E138_ARATH</v>
      </c>
      <c r="D5156" t="s">
        <v>3869</v>
      </c>
      <c r="E5156" s="3" t="s">
        <v>3</v>
      </c>
      <c r="F5156" s="4">
        <v>1.09E-33</v>
      </c>
      <c r="G5156" s="3">
        <v>314</v>
      </c>
      <c r="H5156" s="3">
        <v>61</v>
      </c>
      <c r="I5156" s="3">
        <v>105</v>
      </c>
      <c r="J5156" s="3">
        <v>5</v>
      </c>
      <c r="K5156" s="3">
        <v>319</v>
      </c>
      <c r="L5156" s="3">
        <v>79</v>
      </c>
      <c r="M5156" s="3">
        <v>182</v>
      </c>
    </row>
    <row r="5157" spans="1:13" x14ac:dyDescent="0.25">
      <c r="A5157" s="1" t="str">
        <f>HYPERLINK("http://www.rosaceae.org/Prunus/Prunus_persica/p.persica_gdr_reftransV1_0002973","p.persica_gdr_reftransV1_0002973")</f>
        <v>p.persica_gdr_reftransV1_0002973</v>
      </c>
      <c r="B5157" s="3">
        <v>1256</v>
      </c>
      <c r="C5157" s="1" t="str">
        <f>HYPERLINK("http://www.uniprot.org/uniprot/E6_GOSHI","E6_GOSHI")</f>
        <v>E6_GOSHI</v>
      </c>
      <c r="D5157" t="s">
        <v>3536</v>
      </c>
      <c r="E5157" s="3" t="s">
        <v>816</v>
      </c>
      <c r="F5157" s="4">
        <v>8.0999999999999998E-12</v>
      </c>
      <c r="G5157" s="3">
        <v>166</v>
      </c>
      <c r="H5157" s="3">
        <v>38</v>
      </c>
      <c r="I5157" s="3">
        <v>197</v>
      </c>
      <c r="J5157" s="3">
        <v>286</v>
      </c>
      <c r="K5157" s="3">
        <v>852</v>
      </c>
      <c r="L5157" s="3">
        <v>61</v>
      </c>
      <c r="M5157" s="3">
        <v>208</v>
      </c>
    </row>
    <row r="5158" spans="1:13" x14ac:dyDescent="0.25">
      <c r="A5158" s="1" t="str">
        <f>HYPERLINK("http://www.rosaceae.org/Prunus/Prunus_persica/p.persica_gdr_reftransV1_0003023","p.persica_gdr_reftransV1_0003023")</f>
        <v>p.persica_gdr_reftransV1_0003023</v>
      </c>
      <c r="B5158" s="3">
        <v>406</v>
      </c>
      <c r="C5158" s="1" t="str">
        <f>HYPERLINK("http://www.uniprot.org/uniprot/IQD1_ARATH","IQD1_ARATH")</f>
        <v>IQD1_ARATH</v>
      </c>
      <c r="D5158" t="s">
        <v>4422</v>
      </c>
      <c r="E5158" s="3" t="s">
        <v>3</v>
      </c>
      <c r="F5158" s="4">
        <v>2.21E-11</v>
      </c>
      <c r="G5158" s="3">
        <v>155</v>
      </c>
      <c r="H5158" s="3">
        <v>41</v>
      </c>
      <c r="I5158" s="3">
        <v>76</v>
      </c>
      <c r="J5158" s="3">
        <v>176</v>
      </c>
      <c r="K5158" s="3">
        <v>400</v>
      </c>
      <c r="L5158" s="3">
        <v>105</v>
      </c>
      <c r="M5158" s="3">
        <v>180</v>
      </c>
    </row>
    <row r="5159" spans="1:13" x14ac:dyDescent="0.25">
      <c r="A5159" s="1" t="str">
        <f>HYPERLINK("http://www.rosaceae.org/Prunus/Prunus_persica/p.persica_gdr_reftransV1_0003073","p.persica_gdr_reftransV1_0003073")</f>
        <v>p.persica_gdr_reftransV1_0003073</v>
      </c>
      <c r="B5159" s="3">
        <v>1326</v>
      </c>
      <c r="C5159" s="1" t="str">
        <f>HYPERLINK("http://www.uniprot.org/uniprot/DIOX2_PAPSO","DIOX2_PAPSO")</f>
        <v>DIOX2_PAPSO</v>
      </c>
      <c r="D5159" t="s">
        <v>2249</v>
      </c>
      <c r="E5159" s="3" t="s">
        <v>2250</v>
      </c>
      <c r="F5159" s="4">
        <v>3.66E-66</v>
      </c>
      <c r="G5159" s="3">
        <v>565</v>
      </c>
      <c r="H5159" s="3">
        <v>36</v>
      </c>
      <c r="I5159" s="3">
        <v>358</v>
      </c>
      <c r="J5159" s="3">
        <v>164</v>
      </c>
      <c r="K5159" s="3">
        <v>1213</v>
      </c>
      <c r="L5159" s="3">
        <v>18</v>
      </c>
      <c r="M5159" s="3">
        <v>364</v>
      </c>
    </row>
    <row r="5160" spans="1:13" x14ac:dyDescent="0.25">
      <c r="A5160" s="1" t="str">
        <f>HYPERLINK("http://www.rosaceae.org/Prunus/Prunus_persica/p.persica_gdr_reftransV1_0003173","p.persica_gdr_reftransV1_0003173")</f>
        <v>p.persica_gdr_reftransV1_0003173</v>
      </c>
      <c r="B5160" s="3">
        <v>1548</v>
      </c>
      <c r="C5160" s="1" t="str">
        <f>HYPERLINK("http://www.uniprot.org/uniprot/GATL1_ARATH","GATL1_ARATH")</f>
        <v>GATL1_ARATH</v>
      </c>
      <c r="D5160" t="s">
        <v>4423</v>
      </c>
      <c r="E5160" s="3" t="s">
        <v>3</v>
      </c>
      <c r="F5160" s="4">
        <v>2.03E-173</v>
      </c>
      <c r="G5160" s="3">
        <v>1287</v>
      </c>
      <c r="H5160" s="3">
        <v>80</v>
      </c>
      <c r="I5160" s="3">
        <v>330</v>
      </c>
      <c r="J5160" s="3">
        <v>173</v>
      </c>
      <c r="K5160" s="3">
        <v>1162</v>
      </c>
      <c r="L5160" s="3">
        <v>27</v>
      </c>
      <c r="M5160" s="3">
        <v>351</v>
      </c>
    </row>
    <row r="5161" spans="1:13" x14ac:dyDescent="0.25">
      <c r="A5161" s="1" t="str">
        <f>HYPERLINK("http://www.rosaceae.org/Prunus/Prunus_persica/p.persica_gdr_reftransV1_0003223","p.persica_gdr_reftransV1_0003223")</f>
        <v>p.persica_gdr_reftransV1_0003223</v>
      </c>
      <c r="B5161" s="3">
        <v>527</v>
      </c>
      <c r="C5161" s="1" t="str">
        <f>HYPERLINK("http://www.uniprot.org/uniprot/ALDH_DAVTA","ALDH_DAVTA")</f>
        <v>ALDH_DAVTA</v>
      </c>
      <c r="D5161" t="s">
        <v>4424</v>
      </c>
      <c r="E5161" s="3" t="s">
        <v>4425</v>
      </c>
      <c r="F5161" s="4">
        <v>4.1899999999999999E-64</v>
      </c>
      <c r="G5161" s="3">
        <v>536</v>
      </c>
      <c r="H5161" s="3">
        <v>77</v>
      </c>
      <c r="I5161" s="3">
        <v>128</v>
      </c>
      <c r="J5161" s="3">
        <v>142</v>
      </c>
      <c r="K5161" s="3">
        <v>525</v>
      </c>
      <c r="L5161" s="3">
        <v>363</v>
      </c>
      <c r="M5161" s="3">
        <v>490</v>
      </c>
    </row>
    <row r="5162" spans="1:13" x14ac:dyDescent="0.25">
      <c r="A5162" s="1" t="str">
        <f>HYPERLINK("http://www.rosaceae.org/Prunus/Prunus_persica/p.persica_gdr_reftransV1_0003273","p.persica_gdr_reftransV1_0003273")</f>
        <v>p.persica_gdr_reftransV1_0003273</v>
      </c>
      <c r="B5162" s="3">
        <v>553</v>
      </c>
      <c r="C5162" s="1" t="str">
        <f>HYPERLINK("http://www.uniprot.org/uniprot/MCA1_ARATH","MCA1_ARATH")</f>
        <v>MCA1_ARATH</v>
      </c>
      <c r="D5162" t="s">
        <v>962</v>
      </c>
      <c r="E5162" s="3" t="s">
        <v>3</v>
      </c>
      <c r="F5162" s="4">
        <v>4.9299999999999996E-84</v>
      </c>
      <c r="G5162" s="3">
        <v>661</v>
      </c>
      <c r="H5162" s="3">
        <v>75</v>
      </c>
      <c r="I5162" s="3">
        <v>162</v>
      </c>
      <c r="J5162" s="3">
        <v>3</v>
      </c>
      <c r="K5162" s="3">
        <v>488</v>
      </c>
      <c r="L5162" s="3">
        <v>124</v>
      </c>
      <c r="M5162" s="3">
        <v>285</v>
      </c>
    </row>
    <row r="5163" spans="1:13" x14ac:dyDescent="0.25">
      <c r="A5163" s="1" t="str">
        <f>HYPERLINK("http://www.rosaceae.org/Prunus/Prunus_persica/p.persica_gdr_reftransV1_0003323","p.persica_gdr_reftransV1_0003323")</f>
        <v>p.persica_gdr_reftransV1_0003323</v>
      </c>
      <c r="B5163" s="3">
        <v>1366</v>
      </c>
      <c r="C5163" s="1" t="str">
        <f>HYPERLINK("http://www.uniprot.org/uniprot/YERG_SCHPO","YERG_SCHPO")</f>
        <v>YERG_SCHPO</v>
      </c>
      <c r="D5163" t="s">
        <v>1673</v>
      </c>
      <c r="E5163" s="3" t="s">
        <v>464</v>
      </c>
      <c r="F5163" s="4">
        <v>8.3799999999999997E-45</v>
      </c>
      <c r="G5163" s="3">
        <v>334</v>
      </c>
      <c r="H5163" s="3">
        <v>40</v>
      </c>
      <c r="I5163" s="3">
        <v>171</v>
      </c>
      <c r="J5163" s="3">
        <v>289</v>
      </c>
      <c r="K5163" s="3">
        <v>795</v>
      </c>
      <c r="L5163" s="3">
        <v>142</v>
      </c>
      <c r="M5163" s="3">
        <v>304</v>
      </c>
    </row>
    <row r="5164" spans="1:13" x14ac:dyDescent="0.25">
      <c r="A5164" s="1" t="str">
        <f>HYPERLINK("http://www.rosaceae.org/Prunus/Prunus_persica/p.persica_gdr_reftransV1_0003373","p.persica_gdr_reftransV1_0003373")</f>
        <v>p.persica_gdr_reftransV1_0003373</v>
      </c>
      <c r="B5164" s="3">
        <v>631</v>
      </c>
      <c r="C5164" s="1" t="str">
        <f>HYPERLINK("http://www.uniprot.org/uniprot/PER1_ARAHY","PER1_ARAHY")</f>
        <v>PER1_ARAHY</v>
      </c>
      <c r="D5164" t="s">
        <v>4426</v>
      </c>
      <c r="E5164" s="3" t="s">
        <v>4427</v>
      </c>
      <c r="F5164" s="4">
        <v>1.0100000000000001E-106</v>
      </c>
      <c r="G5164" s="3">
        <v>810</v>
      </c>
      <c r="H5164" s="3">
        <v>72</v>
      </c>
      <c r="I5164" s="3">
        <v>210</v>
      </c>
      <c r="J5164" s="3">
        <v>2</v>
      </c>
      <c r="K5164" s="3">
        <v>631</v>
      </c>
      <c r="L5164" s="3">
        <v>59</v>
      </c>
      <c r="M5164" s="3">
        <v>267</v>
      </c>
    </row>
    <row r="5165" spans="1:13" x14ac:dyDescent="0.25">
      <c r="A5165" s="1" t="str">
        <f>HYPERLINK("http://www.rosaceae.org/Prunus/Prunus_persica/p.persica_gdr_reftransV1_0003423","p.persica_gdr_reftransV1_0003423")</f>
        <v>p.persica_gdr_reftransV1_0003423</v>
      </c>
      <c r="B5165" s="3">
        <v>2209</v>
      </c>
      <c r="C5165" s="1" t="str">
        <f>HYPERLINK("http://www.uniprot.org/uniprot/COP1_ARATH","COP1_ARATH")</f>
        <v>COP1_ARATH</v>
      </c>
      <c r="D5165" t="s">
        <v>4428</v>
      </c>
      <c r="E5165" s="3" t="s">
        <v>3</v>
      </c>
      <c r="F5165" s="4">
        <v>0</v>
      </c>
      <c r="G5165" s="3">
        <v>1897</v>
      </c>
      <c r="H5165" s="3">
        <v>68</v>
      </c>
      <c r="I5165" s="3">
        <v>549</v>
      </c>
      <c r="J5165" s="3">
        <v>430</v>
      </c>
      <c r="K5165" s="3">
        <v>2031</v>
      </c>
      <c r="L5165" s="3">
        <v>131</v>
      </c>
      <c r="M5165" s="3">
        <v>675</v>
      </c>
    </row>
    <row r="5166" spans="1:13" x14ac:dyDescent="0.25">
      <c r="A5166" s="1" t="str">
        <f>HYPERLINK("http://www.rosaceae.org/Prunus/Prunus_persica/p.persica_gdr_reftransV1_0003473","p.persica_gdr_reftransV1_0003473")</f>
        <v>p.persica_gdr_reftransV1_0003473</v>
      </c>
      <c r="B5166" s="3">
        <v>3942</v>
      </c>
      <c r="C5166" s="1" t="str">
        <f>HYPERLINK("http://www.uniprot.org/uniprot/SAC3_ARATH","SAC3_ARATH")</f>
        <v>SAC3_ARATH</v>
      </c>
      <c r="D5166" t="s">
        <v>4429</v>
      </c>
      <c r="E5166" s="3" t="s">
        <v>3</v>
      </c>
      <c r="F5166" s="4">
        <v>0</v>
      </c>
      <c r="G5166" s="3">
        <v>2706</v>
      </c>
      <c r="H5166" s="3">
        <v>66</v>
      </c>
      <c r="I5166" s="3">
        <v>818</v>
      </c>
      <c r="J5166" s="3">
        <v>661</v>
      </c>
      <c r="K5166" s="3">
        <v>3111</v>
      </c>
      <c r="L5166" s="3">
        <v>15</v>
      </c>
      <c r="M5166" s="3">
        <v>818</v>
      </c>
    </row>
    <row r="5167" spans="1:13" x14ac:dyDescent="0.25">
      <c r="A5167" s="1" t="str">
        <f>HYPERLINK("http://www.rosaceae.org/Prunus/Prunus_persica/p.persica_gdr_reftransV1_0003623","p.persica_gdr_reftransV1_0003623")</f>
        <v>p.persica_gdr_reftransV1_0003623</v>
      </c>
      <c r="B5167" s="3">
        <v>3340</v>
      </c>
      <c r="C5167" s="1" t="str">
        <f>HYPERLINK("http://www.uniprot.org/uniprot/LHY_ARATH","LHY_ARATH")</f>
        <v>LHY_ARATH</v>
      </c>
      <c r="D5167" t="s">
        <v>77</v>
      </c>
      <c r="E5167" s="3" t="s">
        <v>3</v>
      </c>
      <c r="F5167" s="4">
        <v>5.1099999999999998E-106</v>
      </c>
      <c r="G5167" s="3">
        <v>905</v>
      </c>
      <c r="H5167" s="3">
        <v>43</v>
      </c>
      <c r="I5167" s="3">
        <v>783</v>
      </c>
      <c r="J5167" s="3">
        <v>735</v>
      </c>
      <c r="K5167" s="3">
        <v>3038</v>
      </c>
      <c r="L5167" s="3">
        <v>1</v>
      </c>
      <c r="M5167" s="3">
        <v>645</v>
      </c>
    </row>
    <row r="5168" spans="1:13" x14ac:dyDescent="0.25">
      <c r="A5168" s="1" t="str">
        <f>HYPERLINK("http://www.rosaceae.org/Prunus/Prunus_persica/p.persica_gdr_reftransV1_0003823","p.persica_gdr_reftransV1_0003823")</f>
        <v>p.persica_gdr_reftransV1_0003823</v>
      </c>
      <c r="B5168" s="3">
        <v>1933</v>
      </c>
      <c r="C5168" s="1" t="str">
        <f>HYPERLINK("http://www.uniprot.org/uniprot/BH123_ARATH","BH123_ARATH")</f>
        <v>BH123_ARATH</v>
      </c>
      <c r="D5168" t="s">
        <v>4381</v>
      </c>
      <c r="E5168" s="3" t="s">
        <v>3</v>
      </c>
      <c r="F5168" s="4">
        <v>1.26E-49</v>
      </c>
      <c r="G5168" s="3">
        <v>467</v>
      </c>
      <c r="H5168" s="3">
        <v>71</v>
      </c>
      <c r="I5168" s="3">
        <v>130</v>
      </c>
      <c r="J5168" s="3">
        <v>391</v>
      </c>
      <c r="K5168" s="3">
        <v>777</v>
      </c>
      <c r="L5168" s="3">
        <v>327</v>
      </c>
      <c r="M5168" s="3">
        <v>454</v>
      </c>
    </row>
    <row r="5169" spans="1:13" x14ac:dyDescent="0.25">
      <c r="A5169" s="1" t="str">
        <f>HYPERLINK("http://www.rosaceae.org/Prunus/Prunus_persica/p.persica_gdr_reftransV1_0003923","p.persica_gdr_reftransV1_0003923")</f>
        <v>p.persica_gdr_reftransV1_0003923</v>
      </c>
      <c r="B5169" s="3">
        <v>1370</v>
      </c>
      <c r="C5169" s="1" t="str">
        <f>HYPERLINK("http://www.uniprot.org/uniprot/NGBR_HUMAN","NGBR_HUMAN")</f>
        <v>NGBR_HUMAN</v>
      </c>
      <c r="D5169" t="s">
        <v>4430</v>
      </c>
      <c r="E5169" s="3" t="s">
        <v>28</v>
      </c>
      <c r="F5169" s="4">
        <v>5.7000000000000002E-17</v>
      </c>
      <c r="G5169" s="3">
        <v>208</v>
      </c>
      <c r="H5169" s="3">
        <v>27</v>
      </c>
      <c r="I5169" s="3">
        <v>198</v>
      </c>
      <c r="J5169" s="3">
        <v>172</v>
      </c>
      <c r="K5169" s="3">
        <v>714</v>
      </c>
      <c r="L5169" s="3">
        <v>104</v>
      </c>
      <c r="M5169" s="3">
        <v>293</v>
      </c>
    </row>
    <row r="5170" spans="1:13" x14ac:dyDescent="0.25">
      <c r="A5170" s="1" t="str">
        <f>HYPERLINK("http://www.rosaceae.org/Prunus/Prunus_persica/p.persica_gdr_reftransV1_0003973","p.persica_gdr_reftransV1_0003973")</f>
        <v>p.persica_gdr_reftransV1_0003973</v>
      </c>
      <c r="B5170" s="3">
        <v>568</v>
      </c>
      <c r="C5170" s="1" t="str">
        <f>HYPERLINK("http://www.uniprot.org/uniprot/MYB4_ORYSJ","MYB4_ORYSJ")</f>
        <v>MYB4_ORYSJ</v>
      </c>
      <c r="D5170" t="s">
        <v>2801</v>
      </c>
      <c r="E5170" s="3" t="s">
        <v>38</v>
      </c>
      <c r="F5170" s="4">
        <v>7.0199999999999999E-61</v>
      </c>
      <c r="G5170" s="3">
        <v>498</v>
      </c>
      <c r="H5170" s="3">
        <v>78</v>
      </c>
      <c r="I5170" s="3">
        <v>114</v>
      </c>
      <c r="J5170" s="3">
        <v>225</v>
      </c>
      <c r="K5170" s="3">
        <v>566</v>
      </c>
      <c r="L5170" s="3">
        <v>1</v>
      </c>
      <c r="M5170" s="3">
        <v>114</v>
      </c>
    </row>
    <row r="5171" spans="1:13" x14ac:dyDescent="0.25">
      <c r="A5171" s="1" t="str">
        <f>HYPERLINK("http://www.rosaceae.org/Prunus/Prunus_persica/p.persica_gdr_reftransV1_0004023","p.persica_gdr_reftransV1_0004023")</f>
        <v>p.persica_gdr_reftransV1_0004023</v>
      </c>
      <c r="B5171" s="3">
        <v>502</v>
      </c>
      <c r="C5171" s="1" t="str">
        <f>HYPERLINK("http://www.uniprot.org/uniprot/CX6B1_ARATH","CX6B1_ARATH")</f>
        <v>CX6B1_ARATH</v>
      </c>
      <c r="D5171" t="s">
        <v>4431</v>
      </c>
      <c r="E5171" s="3" t="s">
        <v>3</v>
      </c>
      <c r="F5171" s="4">
        <v>1.6200000000000001E-15</v>
      </c>
      <c r="G5171" s="3">
        <v>182</v>
      </c>
      <c r="H5171" s="3">
        <v>41</v>
      </c>
      <c r="I5171" s="3">
        <v>75</v>
      </c>
      <c r="J5171" s="3">
        <v>204</v>
      </c>
      <c r="K5171" s="3">
        <v>398</v>
      </c>
      <c r="L5171" s="3">
        <v>116</v>
      </c>
      <c r="M5171" s="3">
        <v>190</v>
      </c>
    </row>
    <row r="5172" spans="1:13" x14ac:dyDescent="0.25">
      <c r="A5172" s="1" t="str">
        <f>HYPERLINK("http://www.rosaceae.org/Prunus/Prunus_persica/p.persica_gdr_reftransV1_0004123","p.persica_gdr_reftransV1_0004123")</f>
        <v>p.persica_gdr_reftransV1_0004123</v>
      </c>
      <c r="B5172" s="3">
        <v>1210</v>
      </c>
      <c r="C5172" s="1" t="str">
        <f>HYPERLINK("http://www.uniprot.org/uniprot/PGIP_PYRCO","PGIP_PYRCO")</f>
        <v>PGIP_PYRCO</v>
      </c>
      <c r="D5172" t="s">
        <v>4432</v>
      </c>
      <c r="E5172" s="3" t="s">
        <v>3258</v>
      </c>
      <c r="F5172" s="4">
        <v>0</v>
      </c>
      <c r="G5172" s="3">
        <v>1384</v>
      </c>
      <c r="H5172" s="3">
        <v>83</v>
      </c>
      <c r="I5172" s="3">
        <v>311</v>
      </c>
      <c r="J5172" s="3">
        <v>207</v>
      </c>
      <c r="K5172" s="3">
        <v>1139</v>
      </c>
      <c r="L5172" s="3">
        <v>20</v>
      </c>
      <c r="M5172" s="3">
        <v>330</v>
      </c>
    </row>
    <row r="5173" spans="1:13" x14ac:dyDescent="0.25">
      <c r="A5173" s="1" t="str">
        <f>HYPERLINK("http://www.rosaceae.org/Prunus/Prunus_persica/p.persica_gdr_reftransV1_0004173","p.persica_gdr_reftransV1_0004173")</f>
        <v>p.persica_gdr_reftransV1_0004173</v>
      </c>
      <c r="B5173" s="3">
        <v>3600</v>
      </c>
      <c r="C5173" s="1" t="str">
        <f>HYPERLINK("http://www.uniprot.org/uniprot/CAPP4_ARATH","CAPP4_ARATH")</f>
        <v>CAPP4_ARATH</v>
      </c>
      <c r="D5173" t="s">
        <v>4433</v>
      </c>
      <c r="E5173" s="3" t="s">
        <v>3</v>
      </c>
      <c r="F5173" s="4">
        <v>0</v>
      </c>
      <c r="G5173" s="3">
        <v>4063</v>
      </c>
      <c r="H5173" s="3">
        <v>76</v>
      </c>
      <c r="I5173" s="3">
        <v>1050</v>
      </c>
      <c r="J5173" s="3">
        <v>267</v>
      </c>
      <c r="K5173" s="3">
        <v>3404</v>
      </c>
      <c r="L5173" s="3">
        <v>1</v>
      </c>
      <c r="M5173" s="3">
        <v>1032</v>
      </c>
    </row>
    <row r="5174" spans="1:13" x14ac:dyDescent="0.25">
      <c r="A5174" s="1" t="str">
        <f>HYPERLINK("http://www.rosaceae.org/Prunus/Prunus_persica/p.persica_gdr_reftransV1_0004373","p.persica_gdr_reftransV1_0004373")</f>
        <v>p.persica_gdr_reftransV1_0004373</v>
      </c>
      <c r="B5174" s="3">
        <v>1637</v>
      </c>
      <c r="C5174" s="1" t="str">
        <f>HYPERLINK("http://www.uniprot.org/uniprot/CIPK5_ORYSJ","CIPK5_ORYSJ")</f>
        <v>CIPK5_ORYSJ</v>
      </c>
      <c r="D5174" t="s">
        <v>4434</v>
      </c>
      <c r="E5174" s="3" t="s">
        <v>38</v>
      </c>
      <c r="F5174" s="4">
        <v>4.1900000000000002E-61</v>
      </c>
      <c r="G5174" s="3">
        <v>545</v>
      </c>
      <c r="H5174" s="3">
        <v>83</v>
      </c>
      <c r="I5174" s="3">
        <v>120</v>
      </c>
      <c r="J5174" s="3">
        <v>1276</v>
      </c>
      <c r="K5174" s="3">
        <v>1635</v>
      </c>
      <c r="L5174" s="3">
        <v>5</v>
      </c>
      <c r="M5174" s="3">
        <v>124</v>
      </c>
    </row>
    <row r="5175" spans="1:13" x14ac:dyDescent="0.25">
      <c r="A5175" s="1" t="str">
        <f>HYPERLINK("http://www.rosaceae.org/Prunus/Prunus_persica/p.persica_gdr_reftransV1_0004473","p.persica_gdr_reftransV1_0004473")</f>
        <v>p.persica_gdr_reftransV1_0004473</v>
      </c>
      <c r="B5175" s="3">
        <v>1153</v>
      </c>
      <c r="C5175" s="1" t="str">
        <f>HYPERLINK("http://www.uniprot.org/uniprot/FAN1_ORYSJ","FAN1_ORYSJ")</f>
        <v>FAN1_ORYSJ</v>
      </c>
      <c r="D5175" t="s">
        <v>4435</v>
      </c>
      <c r="E5175" s="3" t="s">
        <v>38</v>
      </c>
      <c r="F5175" s="4">
        <v>2.2899999999999999E-59</v>
      </c>
      <c r="G5175" s="3">
        <v>538</v>
      </c>
      <c r="H5175" s="3">
        <v>55</v>
      </c>
      <c r="I5175" s="3">
        <v>213</v>
      </c>
      <c r="J5175" s="3">
        <v>1</v>
      </c>
      <c r="K5175" s="3">
        <v>633</v>
      </c>
      <c r="L5175" s="3">
        <v>792</v>
      </c>
      <c r="M5175" s="3">
        <v>960</v>
      </c>
    </row>
    <row r="5176" spans="1:13" x14ac:dyDescent="0.25">
      <c r="A5176" s="1" t="str">
        <f>HYPERLINK("http://www.rosaceae.org/Prunus/Prunus_persica/p.persica_gdr_reftransV1_0004523","p.persica_gdr_reftransV1_0004523")</f>
        <v>p.persica_gdr_reftransV1_0004523</v>
      </c>
      <c r="B5176" s="3">
        <v>464</v>
      </c>
      <c r="C5176" s="1" t="str">
        <f>HYPERLINK("http://www.uniprot.org/uniprot/CNG15_ARATH","CNG15_ARATH")</f>
        <v>CNG15_ARATH</v>
      </c>
      <c r="D5176" t="s">
        <v>3621</v>
      </c>
      <c r="E5176" s="3" t="s">
        <v>3</v>
      </c>
      <c r="F5176" s="4">
        <v>2.66E-56</v>
      </c>
      <c r="G5176" s="3">
        <v>487</v>
      </c>
      <c r="H5176" s="3">
        <v>65</v>
      </c>
      <c r="I5176" s="3">
        <v>154</v>
      </c>
      <c r="J5176" s="3">
        <v>3</v>
      </c>
      <c r="K5176" s="3">
        <v>464</v>
      </c>
      <c r="L5176" s="3">
        <v>11</v>
      </c>
      <c r="M5176" s="3">
        <v>156</v>
      </c>
    </row>
    <row r="5177" spans="1:13" x14ac:dyDescent="0.25">
      <c r="A5177" s="1" t="str">
        <f>HYPERLINK("http://www.rosaceae.org/Prunus/Prunus_persica/p.persica_gdr_reftransV1_0004573","p.persica_gdr_reftransV1_0004573")</f>
        <v>p.persica_gdr_reftransV1_0004573</v>
      </c>
      <c r="B5177" s="3">
        <v>1733</v>
      </c>
      <c r="C5177" s="1" t="str">
        <f>HYPERLINK("http://www.uniprot.org/uniprot/FBL42_ARATH","FBL42_ARATH")</f>
        <v>FBL42_ARATH</v>
      </c>
      <c r="D5177" t="s">
        <v>4436</v>
      </c>
      <c r="E5177" s="3" t="s">
        <v>3</v>
      </c>
      <c r="F5177" s="4">
        <v>1.2400000000000001E-10</v>
      </c>
      <c r="G5177" s="3">
        <v>164</v>
      </c>
      <c r="H5177" s="3">
        <v>29</v>
      </c>
      <c r="I5177" s="3">
        <v>241</v>
      </c>
      <c r="J5177" s="3">
        <v>242</v>
      </c>
      <c r="K5177" s="3">
        <v>907</v>
      </c>
      <c r="L5177" s="3">
        <v>37</v>
      </c>
      <c r="M5177" s="3">
        <v>257</v>
      </c>
    </row>
    <row r="5178" spans="1:13" x14ac:dyDescent="0.25">
      <c r="A5178" s="1" t="str">
        <f>HYPERLINK("http://www.rosaceae.org/Prunus/Prunus_persica/p.persica_gdr_reftransV1_0004673","p.persica_gdr_reftransV1_0004673")</f>
        <v>p.persica_gdr_reftransV1_0004673</v>
      </c>
      <c r="B5178" s="3">
        <v>486</v>
      </c>
      <c r="C5178" s="1" t="str">
        <f>HYPERLINK("http://www.uniprot.org/uniprot/XTH2_SOYBN","XTH2_SOYBN")</f>
        <v>XTH2_SOYBN</v>
      </c>
      <c r="D5178" t="s">
        <v>4437</v>
      </c>
      <c r="E5178" s="3" t="s">
        <v>307</v>
      </c>
      <c r="F5178" s="4">
        <v>4.7899999999999999E-54</v>
      </c>
      <c r="G5178" s="3">
        <v>452</v>
      </c>
      <c r="H5178" s="3">
        <v>80</v>
      </c>
      <c r="I5178" s="3">
        <v>111</v>
      </c>
      <c r="J5178" s="3">
        <v>2</v>
      </c>
      <c r="K5178" s="3">
        <v>322</v>
      </c>
      <c r="L5178" s="3">
        <v>172</v>
      </c>
      <c r="M5178" s="3">
        <v>282</v>
      </c>
    </row>
    <row r="5179" spans="1:13" x14ac:dyDescent="0.25">
      <c r="A5179" s="1" t="str">
        <f>HYPERLINK("http://www.rosaceae.org/Prunus/Prunus_persica/p.persica_gdr_reftransV1_0004723","p.persica_gdr_reftransV1_0004723")</f>
        <v>p.persica_gdr_reftransV1_0004723</v>
      </c>
      <c r="B5179" s="3">
        <v>889</v>
      </c>
      <c r="C5179" s="1" t="str">
        <f>HYPERLINK("http://www.uniprot.org/uniprot/GRC13_ARATH","GRC13_ARATH")</f>
        <v>GRC13_ARATH</v>
      </c>
      <c r="D5179" t="s">
        <v>4438</v>
      </c>
      <c r="E5179" s="3" t="s">
        <v>3</v>
      </c>
      <c r="F5179" s="4">
        <v>2.2000000000000002E-47</v>
      </c>
      <c r="G5179" s="3">
        <v>405</v>
      </c>
      <c r="H5179" s="3">
        <v>73</v>
      </c>
      <c r="I5179" s="3">
        <v>99</v>
      </c>
      <c r="J5179" s="3">
        <v>250</v>
      </c>
      <c r="K5179" s="3">
        <v>546</v>
      </c>
      <c r="L5179" s="3">
        <v>1</v>
      </c>
      <c r="M5179" s="3">
        <v>99</v>
      </c>
    </row>
    <row r="5180" spans="1:13" x14ac:dyDescent="0.25">
      <c r="A5180" s="1" t="str">
        <f>HYPERLINK("http://www.rosaceae.org/Prunus/Prunus_persica/p.persica_gdr_reftransV1_0004773","p.persica_gdr_reftransV1_0004773")</f>
        <v>p.persica_gdr_reftransV1_0004773</v>
      </c>
      <c r="B5180" s="3">
        <v>3290</v>
      </c>
      <c r="C5180" s="1" t="str">
        <f>HYPERLINK("http://www.uniprot.org/uniprot/LOG1_ARATH","LOG1_ARATH")</f>
        <v>LOG1_ARATH</v>
      </c>
      <c r="D5180" t="s">
        <v>1922</v>
      </c>
      <c r="E5180" s="3" t="s">
        <v>3</v>
      </c>
      <c r="F5180" s="4">
        <v>1.19E-123</v>
      </c>
      <c r="G5180" s="3">
        <v>986</v>
      </c>
      <c r="H5180" s="3">
        <v>88</v>
      </c>
      <c r="I5180" s="3">
        <v>210</v>
      </c>
      <c r="J5180" s="3">
        <v>201</v>
      </c>
      <c r="K5180" s="3">
        <v>830</v>
      </c>
      <c r="L5180" s="3">
        <v>4</v>
      </c>
      <c r="M5180" s="3">
        <v>213</v>
      </c>
    </row>
    <row r="5181" spans="1:13" x14ac:dyDescent="0.25">
      <c r="A5181" s="1" t="str">
        <f>HYPERLINK("http://www.rosaceae.org/Prunus/Prunus_persica/p.persica_gdr_reftransV1_0004823","p.persica_gdr_reftransV1_0004823")</f>
        <v>p.persica_gdr_reftransV1_0004823</v>
      </c>
      <c r="B5181" s="3">
        <v>2043</v>
      </c>
      <c r="C5181" s="1" t="str">
        <f>HYPERLINK("http://www.uniprot.org/uniprot/PGLR_VITVI","PGLR_VITVI")</f>
        <v>PGLR_VITVI</v>
      </c>
      <c r="D5181" t="s">
        <v>2366</v>
      </c>
      <c r="E5181" s="3" t="s">
        <v>362</v>
      </c>
      <c r="F5181" s="4">
        <v>8.7900000000000004E-62</v>
      </c>
      <c r="G5181" s="3">
        <v>559</v>
      </c>
      <c r="H5181" s="3">
        <v>42</v>
      </c>
      <c r="I5181" s="3">
        <v>274</v>
      </c>
      <c r="J5181" s="3">
        <v>140</v>
      </c>
      <c r="K5181" s="3">
        <v>919</v>
      </c>
      <c r="L5181" s="3">
        <v>194</v>
      </c>
      <c r="M5181" s="3">
        <v>467</v>
      </c>
    </row>
    <row r="5182" spans="1:13" x14ac:dyDescent="0.25">
      <c r="A5182" s="1" t="str">
        <f>HYPERLINK("http://www.rosaceae.org/Prunus/Prunus_persica/p.persica_gdr_reftransV1_0004923","p.persica_gdr_reftransV1_0004923")</f>
        <v>p.persica_gdr_reftransV1_0004923</v>
      </c>
      <c r="B5182" s="3">
        <v>1495</v>
      </c>
      <c r="C5182" s="1" t="str">
        <f>HYPERLINK("http://www.uniprot.org/uniprot/CDC28_SCHPO","CDC28_SCHPO")</f>
        <v>CDC28_SCHPO</v>
      </c>
      <c r="D5182" t="s">
        <v>4439</v>
      </c>
      <c r="E5182" s="3" t="s">
        <v>464</v>
      </c>
      <c r="F5182" s="4">
        <v>1.1399999999999999E-10</v>
      </c>
      <c r="G5182" s="3">
        <v>165</v>
      </c>
      <c r="H5182" s="3">
        <v>48</v>
      </c>
      <c r="I5182" s="3">
        <v>80</v>
      </c>
      <c r="J5182" s="3">
        <v>1248</v>
      </c>
      <c r="K5182" s="3">
        <v>1487</v>
      </c>
      <c r="L5182" s="3">
        <v>234</v>
      </c>
      <c r="M5182" s="3">
        <v>313</v>
      </c>
    </row>
    <row r="5183" spans="1:13" x14ac:dyDescent="0.25">
      <c r="A5183" s="1" t="str">
        <f>HYPERLINK("http://www.rosaceae.org/Prunus/Prunus_persica/p.persica_gdr_reftransV1_0004973","p.persica_gdr_reftransV1_0004973")</f>
        <v>p.persica_gdr_reftransV1_0004973</v>
      </c>
      <c r="B5183" s="3">
        <v>709</v>
      </c>
      <c r="C5183" s="1" t="str">
        <f>HYPERLINK("http://www.uniprot.org/uniprot/SDE3_ARATH","SDE3_ARATH")</f>
        <v>SDE3_ARATH</v>
      </c>
      <c r="D5183" t="s">
        <v>697</v>
      </c>
      <c r="E5183" s="3" t="s">
        <v>3</v>
      </c>
      <c r="F5183" s="4">
        <v>6.2100000000000004E-23</v>
      </c>
      <c r="G5183" s="3">
        <v>254</v>
      </c>
      <c r="H5183" s="3">
        <v>36</v>
      </c>
      <c r="I5183" s="3">
        <v>149</v>
      </c>
      <c r="J5183" s="3">
        <v>9</v>
      </c>
      <c r="K5183" s="3">
        <v>443</v>
      </c>
      <c r="L5183" s="3">
        <v>458</v>
      </c>
      <c r="M5183" s="3">
        <v>606</v>
      </c>
    </row>
    <row r="5184" spans="1:13" x14ac:dyDescent="0.25">
      <c r="A5184" s="1" t="str">
        <f>HYPERLINK("http://www.rosaceae.org/Prunus/Prunus_persica/p.persica_gdr_reftransV1_0005023","p.persica_gdr_reftransV1_0005023")</f>
        <v>p.persica_gdr_reftransV1_0005023</v>
      </c>
      <c r="B5184" s="3">
        <v>1234</v>
      </c>
      <c r="C5184" s="1" t="str">
        <f>HYPERLINK("http://www.uniprot.org/uniprot/BAG4_ARATH","BAG4_ARATH")</f>
        <v>BAG4_ARATH</v>
      </c>
      <c r="D5184" t="s">
        <v>4440</v>
      </c>
      <c r="E5184" s="3" t="s">
        <v>3</v>
      </c>
      <c r="F5184" s="4">
        <v>2.7400000000000001E-47</v>
      </c>
      <c r="G5184" s="3">
        <v>426</v>
      </c>
      <c r="H5184" s="3">
        <v>46</v>
      </c>
      <c r="I5184" s="3">
        <v>263</v>
      </c>
      <c r="J5184" s="3">
        <v>271</v>
      </c>
      <c r="K5184" s="3">
        <v>1011</v>
      </c>
      <c r="L5184" s="3">
        <v>10</v>
      </c>
      <c r="M5184" s="3">
        <v>269</v>
      </c>
    </row>
    <row r="5185" spans="1:13" x14ac:dyDescent="0.25">
      <c r="A5185" s="1" t="str">
        <f>HYPERLINK("http://www.rosaceae.org/Prunus/Prunus_persica/p.persica_gdr_reftransV1_0005123","p.persica_gdr_reftransV1_0005123")</f>
        <v>p.persica_gdr_reftransV1_0005123</v>
      </c>
      <c r="B5185" s="3">
        <v>1815</v>
      </c>
      <c r="C5185" s="1" t="str">
        <f>HYPERLINK("http://www.uniprot.org/uniprot/Y1148_ARATH","Y1148_ARATH")</f>
        <v>Y1148_ARATH</v>
      </c>
      <c r="D5185" t="s">
        <v>4441</v>
      </c>
      <c r="E5185" s="3" t="s">
        <v>3</v>
      </c>
      <c r="F5185" s="4">
        <v>0</v>
      </c>
      <c r="G5185" s="3">
        <v>1455</v>
      </c>
      <c r="H5185" s="3">
        <v>50</v>
      </c>
      <c r="I5185" s="3">
        <v>606</v>
      </c>
      <c r="J5185" s="3">
        <v>2</v>
      </c>
      <c r="K5185" s="3">
        <v>1813</v>
      </c>
      <c r="L5185" s="3">
        <v>65</v>
      </c>
      <c r="M5185" s="3">
        <v>649</v>
      </c>
    </row>
    <row r="5186" spans="1:13" x14ac:dyDescent="0.25">
      <c r="A5186" s="1" t="str">
        <f>HYPERLINK("http://www.rosaceae.org/Prunus/Prunus_persica/p.persica_gdr_reftransV1_0005223","p.persica_gdr_reftransV1_0005223")</f>
        <v>p.persica_gdr_reftransV1_0005223</v>
      </c>
      <c r="B5186" s="3">
        <v>2389</v>
      </c>
      <c r="C5186" s="1" t="str">
        <f>HYPERLINK("http://www.uniprot.org/uniprot/P5CS_ACTDE","P5CS_ACTDE")</f>
        <v>P5CS_ACTDE</v>
      </c>
      <c r="D5186" t="s">
        <v>4442</v>
      </c>
      <c r="E5186" s="3" t="s">
        <v>2188</v>
      </c>
      <c r="F5186" s="4">
        <v>0</v>
      </c>
      <c r="G5186" s="3">
        <v>2892</v>
      </c>
      <c r="H5186" s="3">
        <v>81</v>
      </c>
      <c r="I5186" s="3">
        <v>713</v>
      </c>
      <c r="J5186" s="3">
        <v>144</v>
      </c>
      <c r="K5186" s="3">
        <v>2282</v>
      </c>
      <c r="L5186" s="3">
        <v>1</v>
      </c>
      <c r="M5186" s="3">
        <v>713</v>
      </c>
    </row>
    <row r="5187" spans="1:13" x14ac:dyDescent="0.25">
      <c r="A5187" s="1" t="str">
        <f>HYPERLINK("http://www.rosaceae.org/Prunus/Prunus_persica/p.persica_gdr_reftransV1_0005423","p.persica_gdr_reftransV1_0005423")</f>
        <v>p.persica_gdr_reftransV1_0005423</v>
      </c>
      <c r="B5187" s="3">
        <v>2298</v>
      </c>
      <c r="C5187" s="1" t="str">
        <f>HYPERLINK("http://www.uniprot.org/uniprot/SGS3_ARATH","SGS3_ARATH")</f>
        <v>SGS3_ARATH</v>
      </c>
      <c r="D5187" t="s">
        <v>4443</v>
      </c>
      <c r="E5187" s="3" t="s">
        <v>3</v>
      </c>
      <c r="F5187" s="4">
        <v>0</v>
      </c>
      <c r="G5187" s="3">
        <v>1550</v>
      </c>
      <c r="H5187" s="3">
        <v>56</v>
      </c>
      <c r="I5187" s="3">
        <v>628</v>
      </c>
      <c r="J5187" s="3">
        <v>265</v>
      </c>
      <c r="K5187" s="3">
        <v>2133</v>
      </c>
      <c r="L5187" s="3">
        <v>6</v>
      </c>
      <c r="M5187" s="3">
        <v>621</v>
      </c>
    </row>
    <row r="5188" spans="1:13" x14ac:dyDescent="0.25">
      <c r="A5188" s="1" t="str">
        <f>HYPERLINK("http://www.rosaceae.org/Prunus/Prunus_persica/p.persica_gdr_reftransV1_0005523","p.persica_gdr_reftransV1_0005523")</f>
        <v>p.persica_gdr_reftransV1_0005523</v>
      </c>
      <c r="B5188" s="3">
        <v>4223</v>
      </c>
      <c r="C5188" s="1" t="str">
        <f>HYPERLINK("http://www.uniprot.org/uniprot/MD33A_ARATH","MD33A_ARATH")</f>
        <v>MD33A_ARATH</v>
      </c>
      <c r="D5188" t="s">
        <v>4179</v>
      </c>
      <c r="E5188" s="3" t="s">
        <v>3</v>
      </c>
      <c r="F5188" s="4">
        <v>0</v>
      </c>
      <c r="G5188" s="3">
        <v>2781</v>
      </c>
      <c r="H5188" s="3">
        <v>74</v>
      </c>
      <c r="I5188" s="3">
        <v>751</v>
      </c>
      <c r="J5188" s="3">
        <v>1790</v>
      </c>
      <c r="K5188" s="3">
        <v>4039</v>
      </c>
      <c r="L5188" s="3">
        <v>556</v>
      </c>
      <c r="M5188" s="3">
        <v>1305</v>
      </c>
    </row>
    <row r="5189" spans="1:13" x14ac:dyDescent="0.25">
      <c r="A5189" s="1" t="str">
        <f>HYPERLINK("http://www.rosaceae.org/Prunus/Prunus_persica/p.persica_gdr_reftransV1_0005573","p.persica_gdr_reftransV1_0005573")</f>
        <v>p.persica_gdr_reftransV1_0005573</v>
      </c>
      <c r="B5189" s="3">
        <v>707</v>
      </c>
      <c r="C5189" s="1" t="str">
        <f>HYPERLINK("http://www.uniprot.org/uniprot/U74F2_ARATH","U74F2_ARATH")</f>
        <v>U74F2_ARATH</v>
      </c>
      <c r="D5189" t="s">
        <v>4444</v>
      </c>
      <c r="E5189" s="3" t="s">
        <v>3</v>
      </c>
      <c r="F5189" s="4">
        <v>3.5300000000000001E-56</v>
      </c>
      <c r="G5189" s="3">
        <v>485</v>
      </c>
      <c r="H5189" s="3">
        <v>47</v>
      </c>
      <c r="I5189" s="3">
        <v>214</v>
      </c>
      <c r="J5189" s="3">
        <v>59</v>
      </c>
      <c r="K5189" s="3">
        <v>694</v>
      </c>
      <c r="L5189" s="3">
        <v>5</v>
      </c>
      <c r="M5189" s="3">
        <v>206</v>
      </c>
    </row>
    <row r="5190" spans="1:13" x14ac:dyDescent="0.25">
      <c r="A5190" s="1" t="str">
        <f>HYPERLINK("http://www.rosaceae.org/Prunus/Prunus_persica/p.persica_gdr_reftransV1_0005673","p.persica_gdr_reftransV1_0005673")</f>
        <v>p.persica_gdr_reftransV1_0005673</v>
      </c>
      <c r="B5190" s="3">
        <v>515</v>
      </c>
      <c r="C5190" s="1" t="str">
        <f>HYPERLINK("http://www.uniprot.org/uniprot/RP8HA_ARATH","RP8HA_ARATH")</f>
        <v>RP8HA_ARATH</v>
      </c>
      <c r="D5190" t="s">
        <v>4445</v>
      </c>
      <c r="E5190" s="3" t="s">
        <v>3</v>
      </c>
      <c r="F5190" s="4">
        <v>2.6800000000000001E-11</v>
      </c>
      <c r="G5190" s="3">
        <v>158</v>
      </c>
      <c r="H5190" s="3">
        <v>33</v>
      </c>
      <c r="I5190" s="3">
        <v>150</v>
      </c>
      <c r="J5190" s="3">
        <v>9</v>
      </c>
      <c r="K5190" s="3">
        <v>452</v>
      </c>
      <c r="L5190" s="3">
        <v>712</v>
      </c>
      <c r="M5190" s="3">
        <v>858</v>
      </c>
    </row>
    <row r="5191" spans="1:13" x14ac:dyDescent="0.25">
      <c r="A5191" s="1" t="str">
        <f>HYPERLINK("http://www.rosaceae.org/Prunus/Prunus_persica/p.persica_gdr_reftransV1_0005723","p.persica_gdr_reftransV1_0005723")</f>
        <v>p.persica_gdr_reftransV1_0005723</v>
      </c>
      <c r="B5191" s="3">
        <v>343</v>
      </c>
      <c r="C5191" s="1" t="str">
        <f>HYPERLINK("http://www.uniprot.org/uniprot/HSP70_CHLRE","HSP70_CHLRE")</f>
        <v>HSP70_CHLRE</v>
      </c>
      <c r="D5191" t="s">
        <v>4446</v>
      </c>
      <c r="E5191" s="3" t="s">
        <v>2091</v>
      </c>
      <c r="F5191" s="4">
        <v>1.1300000000000001E-16</v>
      </c>
      <c r="G5191" s="3">
        <v>195</v>
      </c>
      <c r="H5191" s="3">
        <v>45</v>
      </c>
      <c r="I5191" s="3">
        <v>115</v>
      </c>
      <c r="J5191" s="3">
        <v>1</v>
      </c>
      <c r="K5191" s="3">
        <v>342</v>
      </c>
      <c r="L5191" s="3">
        <v>381</v>
      </c>
      <c r="M5191" s="3">
        <v>493</v>
      </c>
    </row>
    <row r="5192" spans="1:13" x14ac:dyDescent="0.25">
      <c r="A5192" s="1" t="str">
        <f>HYPERLINK("http://www.rosaceae.org/Prunus/Prunus_persica/p.persica_gdr_reftransV1_0005773","p.persica_gdr_reftransV1_0005773")</f>
        <v>p.persica_gdr_reftransV1_0005773</v>
      </c>
      <c r="B5192" s="3">
        <v>538</v>
      </c>
      <c r="C5192" s="1" t="str">
        <f>HYPERLINK("http://www.uniprot.org/uniprot/TMVRN_NICGU","TMVRN_NICGU")</f>
        <v>TMVRN_NICGU</v>
      </c>
      <c r="D5192" t="s">
        <v>151</v>
      </c>
      <c r="E5192" s="3" t="s">
        <v>152</v>
      </c>
      <c r="F5192" s="4">
        <v>2.0100000000000001E-33</v>
      </c>
      <c r="G5192" s="3">
        <v>328</v>
      </c>
      <c r="H5192" s="3">
        <v>39</v>
      </c>
      <c r="I5192" s="3">
        <v>161</v>
      </c>
      <c r="J5192" s="3">
        <v>31</v>
      </c>
      <c r="K5192" s="3">
        <v>510</v>
      </c>
      <c r="L5192" s="3">
        <v>340</v>
      </c>
      <c r="M5192" s="3">
        <v>500</v>
      </c>
    </row>
    <row r="5193" spans="1:13" x14ac:dyDescent="0.25">
      <c r="A5193" s="1" t="str">
        <f>HYPERLINK("http://www.rosaceae.org/Prunus/Prunus_persica/p.persica_gdr_reftransV1_0005873","p.persica_gdr_reftransV1_0005873")</f>
        <v>p.persica_gdr_reftransV1_0005873</v>
      </c>
      <c r="B5193" s="3">
        <v>1880</v>
      </c>
      <c r="C5193" s="1" t="str">
        <f>HYPERLINK("http://www.uniprot.org/uniprot/CR26L_ARATH","CR26L_ARATH")</f>
        <v>CR26L_ARATH</v>
      </c>
      <c r="D5193" t="s">
        <v>4447</v>
      </c>
      <c r="E5193" s="3" t="s">
        <v>3</v>
      </c>
      <c r="F5193" s="4">
        <v>6.5500000000000003E-52</v>
      </c>
      <c r="G5193" s="3">
        <v>481</v>
      </c>
      <c r="H5193" s="3">
        <v>40</v>
      </c>
      <c r="I5193" s="3">
        <v>261</v>
      </c>
      <c r="J5193" s="3">
        <v>834</v>
      </c>
      <c r="K5193" s="3">
        <v>1601</v>
      </c>
      <c r="L5193" s="3">
        <v>141</v>
      </c>
      <c r="M5193" s="3">
        <v>386</v>
      </c>
    </row>
    <row r="5194" spans="1:13" x14ac:dyDescent="0.25">
      <c r="A5194" s="1" t="str">
        <f>HYPERLINK("http://www.rosaceae.org/Prunus/Prunus_persica/p.persica_gdr_reftransV1_0006073","p.persica_gdr_reftransV1_0006073")</f>
        <v>p.persica_gdr_reftransV1_0006073</v>
      </c>
      <c r="B5194" s="3">
        <v>732</v>
      </c>
      <c r="C5194" s="1" t="str">
        <f>HYPERLINK("http://www.uniprot.org/uniprot/GSTU7_ARATH","GSTU7_ARATH")</f>
        <v>GSTU7_ARATH</v>
      </c>
      <c r="D5194" t="s">
        <v>4448</v>
      </c>
      <c r="E5194" s="3" t="s">
        <v>3</v>
      </c>
      <c r="F5194" s="4">
        <v>3E-43</v>
      </c>
      <c r="G5194" s="3">
        <v>383</v>
      </c>
      <c r="H5194" s="3">
        <v>65</v>
      </c>
      <c r="I5194" s="3">
        <v>106</v>
      </c>
      <c r="J5194" s="3">
        <v>263</v>
      </c>
      <c r="K5194" s="3">
        <v>580</v>
      </c>
      <c r="L5194" s="3">
        <v>9</v>
      </c>
      <c r="M5194" s="3">
        <v>114</v>
      </c>
    </row>
    <row r="5195" spans="1:13" x14ac:dyDescent="0.25">
      <c r="A5195" s="1" t="str">
        <f>HYPERLINK("http://www.rosaceae.org/Prunus/Prunus_persica/p.persica_gdr_reftransV1_0006123","p.persica_gdr_reftransV1_0006123")</f>
        <v>p.persica_gdr_reftransV1_0006123</v>
      </c>
      <c r="B5195" s="3">
        <v>1093</v>
      </c>
      <c r="C5195" s="1" t="str">
        <f>HYPERLINK("http://www.uniprot.org/uniprot/OPF13_ARATH","OPF13_ARATH")</f>
        <v>OPF13_ARATH</v>
      </c>
      <c r="D5195" t="s">
        <v>4449</v>
      </c>
      <c r="E5195" s="3" t="s">
        <v>3</v>
      </c>
      <c r="F5195" s="4">
        <v>4.9799999999999999E-38</v>
      </c>
      <c r="G5195" s="3">
        <v>358</v>
      </c>
      <c r="H5195" s="3">
        <v>48</v>
      </c>
      <c r="I5195" s="3">
        <v>190</v>
      </c>
      <c r="J5195" s="3">
        <v>320</v>
      </c>
      <c r="K5195" s="3">
        <v>829</v>
      </c>
      <c r="L5195" s="3">
        <v>27</v>
      </c>
      <c r="M5195" s="3">
        <v>213</v>
      </c>
    </row>
    <row r="5196" spans="1:13" x14ac:dyDescent="0.25">
      <c r="A5196" s="1" t="str">
        <f>HYPERLINK("http://www.rosaceae.org/Prunus/Prunus_persica/p.persica_gdr_reftransV1_0006223","p.persica_gdr_reftransV1_0006223")</f>
        <v>p.persica_gdr_reftransV1_0006223</v>
      </c>
      <c r="B5196" s="3">
        <v>588</v>
      </c>
      <c r="C5196" s="1" t="str">
        <f>HYPERLINK("http://www.uniprot.org/uniprot/TIF3B_ARATH","TIF3B_ARATH")</f>
        <v>TIF3B_ARATH</v>
      </c>
      <c r="D5196" t="s">
        <v>4450</v>
      </c>
      <c r="E5196" s="3" t="s">
        <v>3</v>
      </c>
      <c r="F5196" s="4">
        <v>6.1099999999999997E-16</v>
      </c>
      <c r="G5196" s="3">
        <v>187</v>
      </c>
      <c r="H5196" s="3">
        <v>38</v>
      </c>
      <c r="I5196" s="3">
        <v>118</v>
      </c>
      <c r="J5196" s="3">
        <v>284</v>
      </c>
      <c r="K5196" s="3">
        <v>580</v>
      </c>
      <c r="L5196" s="3">
        <v>57</v>
      </c>
      <c r="M5196" s="3">
        <v>172</v>
      </c>
    </row>
    <row r="5197" spans="1:13" x14ac:dyDescent="0.25">
      <c r="A5197" s="1" t="str">
        <f>HYPERLINK("http://www.rosaceae.org/Prunus/Prunus_persica/p.persica_gdr_reftransV1_0006273","p.persica_gdr_reftransV1_0006273")</f>
        <v>p.persica_gdr_reftransV1_0006273</v>
      </c>
      <c r="B5197" s="3">
        <v>507</v>
      </c>
      <c r="C5197" s="1" t="str">
        <f>HYPERLINK("http://www.uniprot.org/uniprot/PP198_ARATH","PP198_ARATH")</f>
        <v>PP198_ARATH</v>
      </c>
      <c r="D5197" t="s">
        <v>4451</v>
      </c>
      <c r="E5197" s="3" t="s">
        <v>3</v>
      </c>
      <c r="F5197" s="4">
        <v>2.0699999999999999E-31</v>
      </c>
      <c r="G5197" s="3">
        <v>309</v>
      </c>
      <c r="H5197" s="3">
        <v>47</v>
      </c>
      <c r="I5197" s="3">
        <v>122</v>
      </c>
      <c r="J5197" s="3">
        <v>137</v>
      </c>
      <c r="K5197" s="3">
        <v>502</v>
      </c>
      <c r="L5197" s="3">
        <v>1</v>
      </c>
      <c r="M5197" s="3">
        <v>122</v>
      </c>
    </row>
    <row r="5198" spans="1:13" x14ac:dyDescent="0.25">
      <c r="A5198" s="1" t="str">
        <f>HYPERLINK("http://www.rosaceae.org/Prunus/Prunus_persica/p.persica_gdr_reftransV1_0006373","p.persica_gdr_reftransV1_0006373")</f>
        <v>p.persica_gdr_reftransV1_0006373</v>
      </c>
      <c r="B5198" s="3">
        <v>407</v>
      </c>
      <c r="C5198" s="1" t="str">
        <f>HYPERLINK("http://www.uniprot.org/uniprot/GUN9_ORYSJ","GUN9_ORYSJ")</f>
        <v>GUN9_ORYSJ</v>
      </c>
      <c r="D5198" t="s">
        <v>4452</v>
      </c>
      <c r="E5198" s="3" t="s">
        <v>38</v>
      </c>
      <c r="F5198" s="4">
        <v>9.2900000000000002E-53</v>
      </c>
      <c r="G5198" s="3">
        <v>458</v>
      </c>
      <c r="H5198" s="3">
        <v>72</v>
      </c>
      <c r="I5198" s="3">
        <v>135</v>
      </c>
      <c r="J5198" s="3">
        <v>1</v>
      </c>
      <c r="K5198" s="3">
        <v>399</v>
      </c>
      <c r="L5198" s="3">
        <v>310</v>
      </c>
      <c r="M5198" s="3">
        <v>438</v>
      </c>
    </row>
    <row r="5199" spans="1:13" x14ac:dyDescent="0.25">
      <c r="A5199" s="1" t="str">
        <f>HYPERLINK("http://www.rosaceae.org/Prunus/Prunus_persica/p.persica_gdr_reftransV1_0006423","p.persica_gdr_reftransV1_0006423")</f>
        <v>p.persica_gdr_reftransV1_0006423</v>
      </c>
      <c r="B5199" s="3">
        <v>822</v>
      </c>
      <c r="C5199" s="1" t="str">
        <f>HYPERLINK("http://www.uniprot.org/uniprot/POLX_TOBAC","POLX_TOBAC")</f>
        <v>POLX_TOBAC</v>
      </c>
      <c r="D5199" t="s">
        <v>1253</v>
      </c>
      <c r="E5199" s="3" t="s">
        <v>200</v>
      </c>
      <c r="F5199" s="4">
        <v>7.0299999999999995E-10</v>
      </c>
      <c r="G5199" s="3">
        <v>152</v>
      </c>
      <c r="H5199" s="3">
        <v>31</v>
      </c>
      <c r="I5199" s="3">
        <v>134</v>
      </c>
      <c r="J5199" s="3">
        <v>17</v>
      </c>
      <c r="K5199" s="3">
        <v>400</v>
      </c>
      <c r="L5199" s="3">
        <v>232</v>
      </c>
      <c r="M5199" s="3">
        <v>365</v>
      </c>
    </row>
    <row r="5200" spans="1:13" x14ac:dyDescent="0.25">
      <c r="A5200" s="1" t="str">
        <f>HYPERLINK("http://www.rosaceae.org/Prunus/Prunus_persica/p.persica_gdr_reftransV1_0006523","p.persica_gdr_reftransV1_0006523")</f>
        <v>p.persica_gdr_reftransV1_0006523</v>
      </c>
      <c r="B5200" s="3">
        <v>340</v>
      </c>
      <c r="C5200" s="1" t="str">
        <f>HYPERLINK("http://www.uniprot.org/uniprot/POT11_ARATH","POT11_ARATH")</f>
        <v>POT11_ARATH</v>
      </c>
      <c r="D5200" t="s">
        <v>2268</v>
      </c>
      <c r="E5200" s="3" t="s">
        <v>3</v>
      </c>
      <c r="F5200" s="4">
        <v>1.1E-54</v>
      </c>
      <c r="G5200" s="3">
        <v>472</v>
      </c>
      <c r="H5200" s="3">
        <v>77</v>
      </c>
      <c r="I5200" s="3">
        <v>113</v>
      </c>
      <c r="J5200" s="3">
        <v>1</v>
      </c>
      <c r="K5200" s="3">
        <v>339</v>
      </c>
      <c r="L5200" s="3">
        <v>482</v>
      </c>
      <c r="M5200" s="3">
        <v>594</v>
      </c>
    </row>
    <row r="5201" spans="1:13" x14ac:dyDescent="0.25">
      <c r="A5201" s="1" t="str">
        <f>HYPERLINK("http://www.rosaceae.org/Prunus/Prunus_persica/p.persica_gdr_reftransV1_0006573","p.persica_gdr_reftransV1_0006573")</f>
        <v>p.persica_gdr_reftransV1_0006573</v>
      </c>
      <c r="B5201" s="3">
        <v>535</v>
      </c>
      <c r="C5201" s="1" t="str">
        <f>HYPERLINK("http://www.uniprot.org/uniprot/GLR29_ARATH","GLR29_ARATH")</f>
        <v>GLR29_ARATH</v>
      </c>
      <c r="D5201" t="s">
        <v>4453</v>
      </c>
      <c r="E5201" s="3" t="s">
        <v>3</v>
      </c>
      <c r="F5201" s="4">
        <v>1.44E-11</v>
      </c>
      <c r="G5201" s="3">
        <v>161</v>
      </c>
      <c r="H5201" s="3">
        <v>46</v>
      </c>
      <c r="I5201" s="3">
        <v>100</v>
      </c>
      <c r="J5201" s="3">
        <v>3</v>
      </c>
      <c r="K5201" s="3">
        <v>290</v>
      </c>
      <c r="L5201" s="3">
        <v>802</v>
      </c>
      <c r="M5201" s="3">
        <v>899</v>
      </c>
    </row>
    <row r="5202" spans="1:13" x14ac:dyDescent="0.25">
      <c r="A5202" s="1" t="str">
        <f>HYPERLINK("http://www.rosaceae.org/Prunus/Prunus_persica/p.persica_gdr_reftransV1_0006623","p.persica_gdr_reftransV1_0006623")</f>
        <v>p.persica_gdr_reftransV1_0006623</v>
      </c>
      <c r="B5202" s="3">
        <v>583</v>
      </c>
      <c r="C5202" s="1" t="str">
        <f>HYPERLINK("http://www.uniprot.org/uniprot/ERG1_PANGI","ERG1_PANGI")</f>
        <v>ERG1_PANGI</v>
      </c>
      <c r="D5202" t="s">
        <v>1476</v>
      </c>
      <c r="E5202" s="3" t="s">
        <v>1477</v>
      </c>
      <c r="F5202" s="4">
        <v>9.4800000000000004E-108</v>
      </c>
      <c r="G5202" s="3">
        <v>835</v>
      </c>
      <c r="H5202" s="3">
        <v>79</v>
      </c>
      <c r="I5202" s="3">
        <v>193</v>
      </c>
      <c r="J5202" s="3">
        <v>3</v>
      </c>
      <c r="K5202" s="3">
        <v>581</v>
      </c>
      <c r="L5202" s="3">
        <v>165</v>
      </c>
      <c r="M5202" s="3">
        <v>356</v>
      </c>
    </row>
    <row r="5203" spans="1:13" x14ac:dyDescent="0.25">
      <c r="A5203" s="1" t="str">
        <f>HYPERLINK("http://www.rosaceae.org/Prunus/Prunus_persica/p.persica_gdr_reftransV1_0006673","p.persica_gdr_reftransV1_0006673")</f>
        <v>p.persica_gdr_reftransV1_0006673</v>
      </c>
      <c r="B5203" s="3">
        <v>543</v>
      </c>
      <c r="C5203" s="1" t="str">
        <f>HYPERLINK("http://www.uniprot.org/uniprot/ADPG2_ARATH","ADPG2_ARATH")</f>
        <v>ADPG2_ARATH</v>
      </c>
      <c r="D5203" t="s">
        <v>4454</v>
      </c>
      <c r="E5203" s="3" t="s">
        <v>3</v>
      </c>
      <c r="F5203" s="4">
        <v>1.8299999999999999E-18</v>
      </c>
      <c r="G5203" s="3">
        <v>211</v>
      </c>
      <c r="H5203" s="3">
        <v>44</v>
      </c>
      <c r="I5203" s="3">
        <v>109</v>
      </c>
      <c r="J5203" s="3">
        <v>1</v>
      </c>
      <c r="K5203" s="3">
        <v>327</v>
      </c>
      <c r="L5203" s="3">
        <v>327</v>
      </c>
      <c r="M5203" s="3">
        <v>428</v>
      </c>
    </row>
    <row r="5204" spans="1:13" x14ac:dyDescent="0.25">
      <c r="A5204" s="1" t="str">
        <f>HYPERLINK("http://www.rosaceae.org/Prunus/Prunus_persica/p.persica_gdr_reftransV1_0006723","p.persica_gdr_reftransV1_0006723")</f>
        <v>p.persica_gdr_reftransV1_0006723</v>
      </c>
      <c r="B5204" s="3">
        <v>1877</v>
      </c>
      <c r="C5204" s="1" t="str">
        <f>HYPERLINK("http://www.uniprot.org/uniprot/C71AQ_ARATH","C71AQ_ARATH")</f>
        <v>C71AQ_ARATH</v>
      </c>
      <c r="D5204" t="s">
        <v>2158</v>
      </c>
      <c r="E5204" s="3" t="s">
        <v>3</v>
      </c>
      <c r="F5204" s="4">
        <v>3.5400000000000001E-157</v>
      </c>
      <c r="G5204" s="3">
        <v>1204</v>
      </c>
      <c r="H5204" s="3">
        <v>55</v>
      </c>
      <c r="I5204" s="3">
        <v>460</v>
      </c>
      <c r="J5204" s="3">
        <v>322</v>
      </c>
      <c r="K5204" s="3">
        <v>1698</v>
      </c>
      <c r="L5204" s="3">
        <v>38</v>
      </c>
      <c r="M5204" s="3">
        <v>485</v>
      </c>
    </row>
    <row r="5205" spans="1:13" x14ac:dyDescent="0.25">
      <c r="A5205" s="1" t="str">
        <f>HYPERLINK("http://www.rosaceae.org/Prunus/Prunus_persica/p.persica_gdr_reftransV1_0006873","p.persica_gdr_reftransV1_0006873")</f>
        <v>p.persica_gdr_reftransV1_0006873</v>
      </c>
      <c r="B5205" s="3">
        <v>1881</v>
      </c>
      <c r="C5205" s="1" t="str">
        <f>HYPERLINK("http://www.uniprot.org/uniprot/U496K_ARATH","U496K_ARATH")</f>
        <v>U496K_ARATH</v>
      </c>
      <c r="D5205" t="s">
        <v>4455</v>
      </c>
      <c r="E5205" s="3" t="s">
        <v>3</v>
      </c>
      <c r="F5205" s="4">
        <v>4.9599999999999998E-57</v>
      </c>
      <c r="G5205" s="3">
        <v>516</v>
      </c>
      <c r="H5205" s="3">
        <v>38</v>
      </c>
      <c r="I5205" s="3">
        <v>421</v>
      </c>
      <c r="J5205" s="3">
        <v>380</v>
      </c>
      <c r="K5205" s="3">
        <v>1600</v>
      </c>
      <c r="L5205" s="3">
        <v>1</v>
      </c>
      <c r="M5205" s="3">
        <v>387</v>
      </c>
    </row>
    <row r="5206" spans="1:13" x14ac:dyDescent="0.25">
      <c r="A5206" s="1" t="str">
        <f>HYPERLINK("http://www.rosaceae.org/Prunus/Prunus_persica/p.persica_gdr_reftransV1_0006973","p.persica_gdr_reftransV1_0006973")</f>
        <v>p.persica_gdr_reftransV1_0006973</v>
      </c>
      <c r="B5206" s="3">
        <v>792</v>
      </c>
      <c r="C5206" s="1" t="str">
        <f>HYPERLINK("http://www.uniprot.org/uniprot/WUN1_SOLTU","WUN1_SOLTU")</f>
        <v>WUN1_SOLTU</v>
      </c>
      <c r="D5206" t="s">
        <v>4456</v>
      </c>
      <c r="E5206" s="3" t="s">
        <v>11</v>
      </c>
      <c r="F5206" s="4">
        <v>1.3999999999999999E-9</v>
      </c>
      <c r="G5206" s="3">
        <v>139</v>
      </c>
      <c r="H5206" s="3">
        <v>45</v>
      </c>
      <c r="I5206" s="3">
        <v>66</v>
      </c>
      <c r="J5206" s="3">
        <v>213</v>
      </c>
      <c r="K5206" s="3">
        <v>401</v>
      </c>
      <c r="L5206" s="3">
        <v>1</v>
      </c>
      <c r="M5206" s="3">
        <v>66</v>
      </c>
    </row>
    <row r="5207" spans="1:13" x14ac:dyDescent="0.25">
      <c r="A5207" s="1" t="str">
        <f>HYPERLINK("http://www.rosaceae.org/Prunus/Prunus_persica/p.persica_gdr_reftransV1_0007123","p.persica_gdr_reftransV1_0007123")</f>
        <v>p.persica_gdr_reftransV1_0007123</v>
      </c>
      <c r="B5207" s="3">
        <v>835</v>
      </c>
      <c r="C5207" s="1" t="str">
        <f>HYPERLINK("http://www.uniprot.org/uniprot/OFP6_ARATH","OFP6_ARATH")</f>
        <v>OFP6_ARATH</v>
      </c>
      <c r="D5207" t="s">
        <v>4457</v>
      </c>
      <c r="E5207" s="3" t="s">
        <v>3</v>
      </c>
      <c r="F5207" s="4">
        <v>2.0899999999999999E-22</v>
      </c>
      <c r="G5207" s="3">
        <v>236</v>
      </c>
      <c r="H5207" s="3">
        <v>65</v>
      </c>
      <c r="I5207" s="3">
        <v>63</v>
      </c>
      <c r="J5207" s="3">
        <v>262</v>
      </c>
      <c r="K5207" s="3">
        <v>450</v>
      </c>
      <c r="L5207" s="3">
        <v>67</v>
      </c>
      <c r="M5207" s="3">
        <v>129</v>
      </c>
    </row>
    <row r="5208" spans="1:13" x14ac:dyDescent="0.25">
      <c r="A5208" s="1" t="str">
        <f>HYPERLINK("http://www.rosaceae.org/Prunus/Prunus_persica/p.persica_gdr_reftransV1_0007173","p.persica_gdr_reftransV1_0007173")</f>
        <v>p.persica_gdr_reftransV1_0007173</v>
      </c>
      <c r="B5208" s="3">
        <v>1193</v>
      </c>
      <c r="C5208" s="1" t="str">
        <f>HYPERLINK("http://www.uniprot.org/uniprot/PP180_ARATH","PP180_ARATH")</f>
        <v>PP180_ARATH</v>
      </c>
      <c r="D5208" t="s">
        <v>2739</v>
      </c>
      <c r="E5208" s="3" t="s">
        <v>3</v>
      </c>
      <c r="F5208" s="4">
        <v>1.05E-153</v>
      </c>
      <c r="G5208" s="3">
        <v>1170</v>
      </c>
      <c r="H5208" s="3">
        <v>57</v>
      </c>
      <c r="I5208" s="3">
        <v>384</v>
      </c>
      <c r="J5208" s="3">
        <v>2</v>
      </c>
      <c r="K5208" s="3">
        <v>1153</v>
      </c>
      <c r="L5208" s="3">
        <v>241</v>
      </c>
      <c r="M5208" s="3">
        <v>624</v>
      </c>
    </row>
    <row r="5209" spans="1:13" x14ac:dyDescent="0.25">
      <c r="A5209" s="1" t="str">
        <f>HYPERLINK("http://www.rosaceae.org/Prunus/Prunus_persica/p.persica_gdr_reftransV1_0007223","p.persica_gdr_reftransV1_0007223")</f>
        <v>p.persica_gdr_reftransV1_0007223</v>
      </c>
      <c r="B5209" s="3">
        <v>1837</v>
      </c>
      <c r="C5209" s="1" t="str">
        <f>HYPERLINK("http://www.uniprot.org/uniprot/C3H25_ORYSJ","C3H25_ORYSJ")</f>
        <v>C3H25_ORYSJ</v>
      </c>
      <c r="D5209" t="s">
        <v>4458</v>
      </c>
      <c r="E5209" s="3" t="s">
        <v>38</v>
      </c>
      <c r="F5209" s="4">
        <v>5.3800000000000003E-83</v>
      </c>
      <c r="G5209" s="3">
        <v>688</v>
      </c>
      <c r="H5209" s="3">
        <v>59</v>
      </c>
      <c r="I5209" s="3">
        <v>279</v>
      </c>
      <c r="J5209" s="3">
        <v>929</v>
      </c>
      <c r="K5209" s="3">
        <v>1753</v>
      </c>
      <c r="L5209" s="3">
        <v>1</v>
      </c>
      <c r="M5209" s="3">
        <v>268</v>
      </c>
    </row>
    <row r="5210" spans="1:13" x14ac:dyDescent="0.25">
      <c r="A5210" s="1" t="str">
        <f>HYPERLINK("http://www.rosaceae.org/Prunus/Prunus_persica/p.persica_gdr_reftransV1_0007373","p.persica_gdr_reftransV1_0007373")</f>
        <v>p.persica_gdr_reftransV1_0007373</v>
      </c>
      <c r="B5210" s="3">
        <v>1249</v>
      </c>
      <c r="C5210" s="1" t="str">
        <f>HYPERLINK("http://www.uniprot.org/uniprot/FLA11_ARATH","FLA11_ARATH")</f>
        <v>FLA11_ARATH</v>
      </c>
      <c r="D5210" t="s">
        <v>4459</v>
      </c>
      <c r="E5210" s="3" t="s">
        <v>3</v>
      </c>
      <c r="F5210" s="4">
        <v>6.9100000000000001E-53</v>
      </c>
      <c r="G5210" s="3">
        <v>463</v>
      </c>
      <c r="H5210" s="3">
        <v>61</v>
      </c>
      <c r="I5210" s="3">
        <v>153</v>
      </c>
      <c r="J5210" s="3">
        <v>472</v>
      </c>
      <c r="K5210" s="3">
        <v>921</v>
      </c>
      <c r="L5210" s="3">
        <v>33</v>
      </c>
      <c r="M5210" s="3">
        <v>185</v>
      </c>
    </row>
    <row r="5211" spans="1:13" x14ac:dyDescent="0.25">
      <c r="A5211" s="1" t="str">
        <f>HYPERLINK("http://www.rosaceae.org/Prunus/Prunus_persica/p.persica_gdr_reftransV1_0007423","p.persica_gdr_reftransV1_0007423")</f>
        <v>p.persica_gdr_reftransV1_0007423</v>
      </c>
      <c r="B5211" s="3">
        <v>1973</v>
      </c>
      <c r="C5211" s="1" t="str">
        <f>HYPERLINK("http://www.uniprot.org/uniprot/DIV_ANTMA","DIV_ANTMA")</f>
        <v>DIV_ANTMA</v>
      </c>
      <c r="D5211" t="s">
        <v>4460</v>
      </c>
      <c r="E5211" s="3" t="s">
        <v>1408</v>
      </c>
      <c r="F5211" s="4">
        <v>1.6199999999999999E-92</v>
      </c>
      <c r="G5211" s="3">
        <v>755</v>
      </c>
      <c r="H5211" s="3">
        <v>53</v>
      </c>
      <c r="I5211" s="3">
        <v>303</v>
      </c>
      <c r="J5211" s="3">
        <v>789</v>
      </c>
      <c r="K5211" s="3">
        <v>1646</v>
      </c>
      <c r="L5211" s="3">
        <v>1</v>
      </c>
      <c r="M5211" s="3">
        <v>303</v>
      </c>
    </row>
    <row r="5212" spans="1:13" x14ac:dyDescent="0.25">
      <c r="A5212" s="1" t="str">
        <f>HYPERLINK("http://www.rosaceae.org/Prunus/Prunus_persica/p.persica_gdr_reftransV1_0007823","p.persica_gdr_reftransV1_0007823")</f>
        <v>p.persica_gdr_reftransV1_0007823</v>
      </c>
      <c r="B5212" s="3">
        <v>1640</v>
      </c>
      <c r="C5212" s="1" t="str">
        <f>HYPERLINK("http://www.uniprot.org/uniprot/RER4_ARATH","RER4_ARATH")</f>
        <v>RER4_ARATH</v>
      </c>
      <c r="D5212" t="s">
        <v>4461</v>
      </c>
      <c r="E5212" s="3" t="s">
        <v>3</v>
      </c>
      <c r="F5212" s="4">
        <v>2.3900000000000001E-169</v>
      </c>
      <c r="G5212" s="3">
        <v>1267</v>
      </c>
      <c r="H5212" s="3">
        <v>81</v>
      </c>
      <c r="I5212" s="3">
        <v>287</v>
      </c>
      <c r="J5212" s="3">
        <v>483</v>
      </c>
      <c r="K5212" s="3">
        <v>1343</v>
      </c>
      <c r="L5212" s="3">
        <v>100</v>
      </c>
      <c r="M5212" s="3">
        <v>386</v>
      </c>
    </row>
    <row r="5213" spans="1:13" x14ac:dyDescent="0.25">
      <c r="A5213" s="1" t="str">
        <f>HYPERLINK("http://www.rosaceae.org/Prunus/Prunus_persica/p.persica_gdr_reftransV1_0007873","p.persica_gdr_reftransV1_0007873")</f>
        <v>p.persica_gdr_reftransV1_0007873</v>
      </c>
      <c r="B5213" s="3">
        <v>1340</v>
      </c>
      <c r="C5213" s="1" t="str">
        <f>HYPERLINK("http://www.uniprot.org/uniprot/ALAXL_PYRHO","ALAXL_PYRHO")</f>
        <v>ALAXL_PYRHO</v>
      </c>
      <c r="D5213" t="s">
        <v>4462</v>
      </c>
      <c r="E5213" s="3" t="s">
        <v>1733</v>
      </c>
      <c r="F5213" s="4">
        <v>1.38E-18</v>
      </c>
      <c r="G5213" s="3">
        <v>224</v>
      </c>
      <c r="H5213" s="3">
        <v>32</v>
      </c>
      <c r="I5213" s="3">
        <v>220</v>
      </c>
      <c r="J5213" s="3">
        <v>406</v>
      </c>
      <c r="K5213" s="3">
        <v>1056</v>
      </c>
      <c r="L5213" s="3">
        <v>23</v>
      </c>
      <c r="M5213" s="3">
        <v>224</v>
      </c>
    </row>
    <row r="5214" spans="1:13" x14ac:dyDescent="0.25">
      <c r="A5214" s="1" t="str">
        <f>HYPERLINK("http://www.rosaceae.org/Prunus/Prunus_persica/p.persica_gdr_reftransV1_0007973","p.persica_gdr_reftransV1_0007973")</f>
        <v>p.persica_gdr_reftransV1_0007973</v>
      </c>
      <c r="B5214" s="3">
        <v>682</v>
      </c>
      <c r="C5214" s="1" t="str">
        <f>HYPERLINK("http://www.uniprot.org/uniprot/RPOC1_POPTR","RPOC1_POPTR")</f>
        <v>RPOC1_POPTR</v>
      </c>
      <c r="D5214" t="s">
        <v>4463</v>
      </c>
      <c r="E5214" s="3" t="s">
        <v>340</v>
      </c>
      <c r="F5214" s="4">
        <v>4.0900000000000002E-98</v>
      </c>
      <c r="G5214" s="3">
        <v>785</v>
      </c>
      <c r="H5214" s="3">
        <v>94</v>
      </c>
      <c r="I5214" s="3">
        <v>151</v>
      </c>
      <c r="J5214" s="3">
        <v>227</v>
      </c>
      <c r="K5214" s="3">
        <v>679</v>
      </c>
      <c r="L5214" s="3">
        <v>1</v>
      </c>
      <c r="M5214" s="3">
        <v>151</v>
      </c>
    </row>
    <row r="5215" spans="1:13" x14ac:dyDescent="0.25">
      <c r="A5215" s="1" t="str">
        <f>HYPERLINK("http://www.rosaceae.org/Prunus/Prunus_persica/p.persica_gdr_reftransV1_0008073","p.persica_gdr_reftransV1_0008073")</f>
        <v>p.persica_gdr_reftransV1_0008073</v>
      </c>
      <c r="B5215" s="3">
        <v>1147</v>
      </c>
      <c r="C5215" s="1" t="str">
        <f>HYPERLINK("http://www.uniprot.org/uniprot/RAA2A_ARATH","RAA2A_ARATH")</f>
        <v>RAA2A_ARATH</v>
      </c>
      <c r="D5215" t="s">
        <v>4464</v>
      </c>
      <c r="E5215" s="3" t="s">
        <v>3</v>
      </c>
      <c r="F5215" s="4">
        <v>3.2099999999999999E-136</v>
      </c>
      <c r="G5215" s="3">
        <v>1014</v>
      </c>
      <c r="H5215" s="3">
        <v>91</v>
      </c>
      <c r="I5215" s="3">
        <v>211</v>
      </c>
      <c r="J5215" s="3">
        <v>438</v>
      </c>
      <c r="K5215" s="3">
        <v>1067</v>
      </c>
      <c r="L5215" s="3">
        <v>1</v>
      </c>
      <c r="M5215" s="3">
        <v>211</v>
      </c>
    </row>
    <row r="5216" spans="1:13" x14ac:dyDescent="0.25">
      <c r="A5216" s="1" t="str">
        <f>HYPERLINK("http://www.rosaceae.org/Prunus/Prunus_persica/p.persica_gdr_reftransV1_0008273","p.persica_gdr_reftransV1_0008273")</f>
        <v>p.persica_gdr_reftransV1_0008273</v>
      </c>
      <c r="B5216" s="3">
        <v>2248</v>
      </c>
      <c r="C5216" s="1" t="str">
        <f>HYPERLINK("http://www.uniprot.org/uniprot/PEX22_ARATH","PEX22_ARATH")</f>
        <v>PEX22_ARATH</v>
      </c>
      <c r="D5216" t="s">
        <v>4465</v>
      </c>
      <c r="E5216" s="3" t="s">
        <v>3</v>
      </c>
      <c r="F5216" s="4">
        <v>1.64E-92</v>
      </c>
      <c r="G5216" s="3">
        <v>759</v>
      </c>
      <c r="H5216" s="3">
        <v>79</v>
      </c>
      <c r="I5216" s="3">
        <v>179</v>
      </c>
      <c r="J5216" s="3">
        <v>382</v>
      </c>
      <c r="K5216" s="3">
        <v>918</v>
      </c>
      <c r="L5216" s="3">
        <v>105</v>
      </c>
      <c r="M5216" s="3">
        <v>283</v>
      </c>
    </row>
    <row r="5217" spans="1:13" x14ac:dyDescent="0.25">
      <c r="A5217" s="1" t="str">
        <f>HYPERLINK("http://www.rosaceae.org/Prunus/Prunus_persica/p.persica_gdr_reftransV1_0008673","p.persica_gdr_reftransV1_0008673")</f>
        <v>p.persica_gdr_reftransV1_0008673</v>
      </c>
      <c r="B5217" s="3">
        <v>868</v>
      </c>
      <c r="C5217" s="1" t="str">
        <f>HYPERLINK("http://www.uniprot.org/uniprot/GRC11_ARATH","GRC11_ARATH")</f>
        <v>GRC11_ARATH</v>
      </c>
      <c r="D5217" t="s">
        <v>4466</v>
      </c>
      <c r="E5217" s="3" t="s">
        <v>3</v>
      </c>
      <c r="F5217" s="4">
        <v>1.18E-51</v>
      </c>
      <c r="G5217" s="3">
        <v>433</v>
      </c>
      <c r="H5217" s="3">
        <v>77</v>
      </c>
      <c r="I5217" s="3">
        <v>103</v>
      </c>
      <c r="J5217" s="3">
        <v>271</v>
      </c>
      <c r="K5217" s="3">
        <v>576</v>
      </c>
      <c r="L5217" s="3">
        <v>1</v>
      </c>
      <c r="M5217" s="3">
        <v>103</v>
      </c>
    </row>
    <row r="5218" spans="1:13" x14ac:dyDescent="0.25">
      <c r="A5218" s="1" t="str">
        <f>HYPERLINK("http://www.rosaceae.org/Prunus/Prunus_persica/p.persica_gdr_reftransV1_0008823","p.persica_gdr_reftransV1_0008823")</f>
        <v>p.persica_gdr_reftransV1_0008823</v>
      </c>
      <c r="B5218" s="3">
        <v>1402</v>
      </c>
      <c r="C5218" s="1" t="str">
        <f>HYPERLINK("http://www.uniprot.org/uniprot/PGLR_VITVI","PGLR_VITVI")</f>
        <v>PGLR_VITVI</v>
      </c>
      <c r="D5218" t="s">
        <v>2366</v>
      </c>
      <c r="E5218" s="3" t="s">
        <v>362</v>
      </c>
      <c r="F5218" s="4">
        <v>0</v>
      </c>
      <c r="G5218" s="3">
        <v>1476</v>
      </c>
      <c r="H5218" s="3">
        <v>68</v>
      </c>
      <c r="I5218" s="3">
        <v>389</v>
      </c>
      <c r="J5218" s="3">
        <v>6</v>
      </c>
      <c r="K5218" s="3">
        <v>1166</v>
      </c>
      <c r="L5218" s="3">
        <v>102</v>
      </c>
      <c r="M5218" s="3">
        <v>490</v>
      </c>
    </row>
    <row r="5219" spans="1:13" x14ac:dyDescent="0.25">
      <c r="A5219" s="1" t="str">
        <f>HYPERLINK("http://www.rosaceae.org/Prunus/Prunus_persica/p.persica_gdr_reftransV1_0008923","p.persica_gdr_reftransV1_0008923")</f>
        <v>p.persica_gdr_reftransV1_0008923</v>
      </c>
      <c r="B5219" s="3">
        <v>1599</v>
      </c>
      <c r="C5219" s="1" t="str">
        <f>HYPERLINK("http://www.uniprot.org/uniprot/SR43C_ARATH","SR43C_ARATH")</f>
        <v>SR43C_ARATH</v>
      </c>
      <c r="D5219" t="s">
        <v>4467</v>
      </c>
      <c r="E5219" s="3" t="s">
        <v>3</v>
      </c>
      <c r="F5219" s="4">
        <v>1.55E-136</v>
      </c>
      <c r="G5219" s="3">
        <v>1046</v>
      </c>
      <c r="H5219" s="3">
        <v>69</v>
      </c>
      <c r="I5219" s="3">
        <v>292</v>
      </c>
      <c r="J5219" s="3">
        <v>502</v>
      </c>
      <c r="K5219" s="3">
        <v>1374</v>
      </c>
      <c r="L5219" s="3">
        <v>83</v>
      </c>
      <c r="M5219" s="3">
        <v>369</v>
      </c>
    </row>
    <row r="5220" spans="1:13" x14ac:dyDescent="0.25">
      <c r="A5220" s="1" t="str">
        <f>HYPERLINK("http://www.rosaceae.org/Prunus/Prunus_persica/p.persica_gdr_reftransV1_0009123","p.persica_gdr_reftransV1_0009123")</f>
        <v>p.persica_gdr_reftransV1_0009123</v>
      </c>
      <c r="B5220" s="3">
        <v>1138</v>
      </c>
      <c r="C5220" s="1" t="str">
        <f>HYPERLINK("http://www.uniprot.org/uniprot/TET6_ARATH","TET6_ARATH")</f>
        <v>TET6_ARATH</v>
      </c>
      <c r="D5220" t="s">
        <v>4468</v>
      </c>
      <c r="E5220" s="3" t="s">
        <v>3</v>
      </c>
      <c r="F5220" s="4">
        <v>2.3899999999999999E-130</v>
      </c>
      <c r="G5220" s="3">
        <v>981</v>
      </c>
      <c r="H5220" s="3">
        <v>71</v>
      </c>
      <c r="I5220" s="3">
        <v>283</v>
      </c>
      <c r="J5220" s="3">
        <v>253</v>
      </c>
      <c r="K5220" s="3">
        <v>1098</v>
      </c>
      <c r="L5220" s="3">
        <v>1</v>
      </c>
      <c r="M5220" s="3">
        <v>282</v>
      </c>
    </row>
    <row r="5221" spans="1:13" x14ac:dyDescent="0.25">
      <c r="A5221" s="1" t="str">
        <f>HYPERLINK("http://www.rosaceae.org/Prunus/Prunus_persica/p.persica_gdr_reftransV1_0009173","p.persica_gdr_reftransV1_0009173")</f>
        <v>p.persica_gdr_reftransV1_0009173</v>
      </c>
      <c r="B5221" s="3">
        <v>2504</v>
      </c>
      <c r="C5221" s="1" t="str">
        <f>HYPERLINK("http://www.uniprot.org/uniprot/BH013_ARATH","BH013_ARATH")</f>
        <v>BH013_ARATH</v>
      </c>
      <c r="D5221" t="s">
        <v>4469</v>
      </c>
      <c r="E5221" s="3" t="s">
        <v>3</v>
      </c>
      <c r="F5221" s="4">
        <v>0</v>
      </c>
      <c r="G5221" s="3">
        <v>1537</v>
      </c>
      <c r="H5221" s="3">
        <v>55</v>
      </c>
      <c r="I5221" s="3">
        <v>631</v>
      </c>
      <c r="J5221" s="3">
        <v>298</v>
      </c>
      <c r="K5221" s="3">
        <v>2088</v>
      </c>
      <c r="L5221" s="3">
        <v>1</v>
      </c>
      <c r="M5221" s="3">
        <v>574</v>
      </c>
    </row>
    <row r="5222" spans="1:13" x14ac:dyDescent="0.25">
      <c r="A5222" s="1" t="str">
        <f>HYPERLINK("http://www.rosaceae.org/Prunus/Prunus_persica/p.persica_gdr_reftransV1_0009223","p.persica_gdr_reftransV1_0009223")</f>
        <v>p.persica_gdr_reftransV1_0009223</v>
      </c>
      <c r="B5222" s="3">
        <v>2951</v>
      </c>
      <c r="C5222" s="1" t="str">
        <f>HYPERLINK("http://www.uniprot.org/uniprot/WNK2_ARATH","WNK2_ARATH")</f>
        <v>WNK2_ARATH</v>
      </c>
      <c r="D5222" t="s">
        <v>4470</v>
      </c>
      <c r="E5222" s="3" t="s">
        <v>3</v>
      </c>
      <c r="F5222" s="4">
        <v>3.38E-165</v>
      </c>
      <c r="G5222" s="3">
        <v>812</v>
      </c>
      <c r="H5222" s="3">
        <v>81</v>
      </c>
      <c r="I5222" s="3">
        <v>182</v>
      </c>
      <c r="J5222" s="3">
        <v>2181</v>
      </c>
      <c r="K5222" s="3">
        <v>2726</v>
      </c>
      <c r="L5222" s="3">
        <v>12</v>
      </c>
      <c r="M5222" s="3">
        <v>193</v>
      </c>
    </row>
    <row r="5223" spans="1:13" x14ac:dyDescent="0.25">
      <c r="A5223" s="1" t="str">
        <f>HYPERLINK("http://www.rosaceae.org/Prunus/Prunus_persica/p.persica_gdr_reftransV1_0009523","p.persica_gdr_reftransV1_0009523")</f>
        <v>p.persica_gdr_reftransV1_0009523</v>
      </c>
      <c r="B5223" s="3">
        <v>5026</v>
      </c>
      <c r="C5223" s="1" t="str">
        <f>HYPERLINK("http://www.uniprot.org/uniprot/C3H56_ORYSJ","C3H56_ORYSJ")</f>
        <v>C3H56_ORYSJ</v>
      </c>
      <c r="D5223" t="s">
        <v>4471</v>
      </c>
      <c r="E5223" s="3" t="s">
        <v>38</v>
      </c>
      <c r="F5223" s="4">
        <v>4.7999999999999998E-80</v>
      </c>
      <c r="G5223" s="3">
        <v>703</v>
      </c>
      <c r="H5223" s="3">
        <v>53</v>
      </c>
      <c r="I5223" s="3">
        <v>292</v>
      </c>
      <c r="J5223" s="3">
        <v>606</v>
      </c>
      <c r="K5223" s="3">
        <v>1358</v>
      </c>
      <c r="L5223" s="3">
        <v>1</v>
      </c>
      <c r="M5223" s="3">
        <v>275</v>
      </c>
    </row>
    <row r="5224" spans="1:13" x14ac:dyDescent="0.25">
      <c r="A5224" s="1" t="str">
        <f>HYPERLINK("http://www.rosaceae.org/Prunus/Prunus_persica/p.persica_gdr_reftransV1_0009573","p.persica_gdr_reftransV1_0009573")</f>
        <v>p.persica_gdr_reftransV1_0009573</v>
      </c>
      <c r="B5224" s="3">
        <v>1969</v>
      </c>
      <c r="C5224" s="1" t="str">
        <f>HYPERLINK("http://www.uniprot.org/uniprot/RNP1_ARATH","RNP1_ARATH")</f>
        <v>RNP1_ARATH</v>
      </c>
      <c r="D5224" t="s">
        <v>2083</v>
      </c>
      <c r="E5224" s="3" t="s">
        <v>3</v>
      </c>
      <c r="F5224" s="4">
        <v>5.9599999999999995E-41</v>
      </c>
      <c r="G5224" s="3">
        <v>399</v>
      </c>
      <c r="H5224" s="3">
        <v>42</v>
      </c>
      <c r="I5224" s="3">
        <v>186</v>
      </c>
      <c r="J5224" s="3">
        <v>427</v>
      </c>
      <c r="K5224" s="3">
        <v>936</v>
      </c>
      <c r="L5224" s="3">
        <v>7</v>
      </c>
      <c r="M5224" s="3">
        <v>191</v>
      </c>
    </row>
    <row r="5225" spans="1:13" x14ac:dyDescent="0.25">
      <c r="A5225" s="1" t="str">
        <f>HYPERLINK("http://www.rosaceae.org/Prunus/Prunus_persica/p.persica_gdr_reftransV1_0009673","p.persica_gdr_reftransV1_0009673")</f>
        <v>p.persica_gdr_reftransV1_0009673</v>
      </c>
      <c r="B5225" s="3">
        <v>2852</v>
      </c>
      <c r="C5225" s="1" t="str">
        <f>HYPERLINK("http://www.uniprot.org/uniprot/XB32_ORYSJ","XB32_ORYSJ")</f>
        <v>XB32_ORYSJ</v>
      </c>
      <c r="D5225" t="s">
        <v>4472</v>
      </c>
      <c r="E5225" s="3" t="s">
        <v>38</v>
      </c>
      <c r="F5225" s="4">
        <v>2.5799999999999998E-168</v>
      </c>
      <c r="G5225" s="3">
        <v>1015</v>
      </c>
      <c r="H5225" s="3">
        <v>76</v>
      </c>
      <c r="I5225" s="3">
        <v>242</v>
      </c>
      <c r="J5225" s="3">
        <v>1085</v>
      </c>
      <c r="K5225" s="3">
        <v>1810</v>
      </c>
      <c r="L5225" s="3">
        <v>1</v>
      </c>
      <c r="M5225" s="3">
        <v>242</v>
      </c>
    </row>
    <row r="5226" spans="1:13" x14ac:dyDescent="0.25">
      <c r="A5226" s="1" t="str">
        <f>HYPERLINK("http://www.rosaceae.org/Prunus/Prunus_persica/p.persica_gdr_reftransV1_0009973","p.persica_gdr_reftransV1_0009973")</f>
        <v>p.persica_gdr_reftransV1_0009973</v>
      </c>
      <c r="B5226" s="3">
        <v>2074</v>
      </c>
      <c r="C5226" s="1" t="str">
        <f>HYPERLINK("http://www.uniprot.org/uniprot/KASC1_ARATH","KASC1_ARATH")</f>
        <v>KASC1_ARATH</v>
      </c>
      <c r="D5226" t="s">
        <v>3001</v>
      </c>
      <c r="E5226" s="3" t="s">
        <v>3</v>
      </c>
      <c r="F5226" s="4">
        <v>0</v>
      </c>
      <c r="G5226" s="3">
        <v>2054</v>
      </c>
      <c r="H5226" s="3">
        <v>83</v>
      </c>
      <c r="I5226" s="3">
        <v>474</v>
      </c>
      <c r="J5226" s="3">
        <v>375</v>
      </c>
      <c r="K5226" s="3">
        <v>1787</v>
      </c>
      <c r="L5226" s="3">
        <v>1</v>
      </c>
      <c r="M5226" s="3">
        <v>473</v>
      </c>
    </row>
    <row r="5227" spans="1:13" x14ac:dyDescent="0.25">
      <c r="A5227" s="1" t="str">
        <f>HYPERLINK("http://www.rosaceae.org/Prunus/Prunus_persica/p.persica_gdr_reftransV1_0010123","p.persica_gdr_reftransV1_0010123")</f>
        <v>p.persica_gdr_reftransV1_0010123</v>
      </c>
      <c r="B5227" s="3">
        <v>2021</v>
      </c>
      <c r="C5227" s="1" t="str">
        <f>HYPERLINK("http://www.uniprot.org/uniprot/Gid1C_ARATH","Gid1C_ARATH")</f>
        <v>Gid1C_ARATH</v>
      </c>
      <c r="D5227" t="s">
        <v>4473</v>
      </c>
      <c r="E5227" s="3" t="s">
        <v>3</v>
      </c>
      <c r="F5227" s="4">
        <v>0</v>
      </c>
      <c r="G5227" s="3">
        <v>1510</v>
      </c>
      <c r="H5227" s="3">
        <v>80</v>
      </c>
      <c r="I5227" s="3">
        <v>344</v>
      </c>
      <c r="J5227" s="3">
        <v>625</v>
      </c>
      <c r="K5227" s="3">
        <v>1656</v>
      </c>
      <c r="L5227" s="3">
        <v>1</v>
      </c>
      <c r="M5227" s="3">
        <v>343</v>
      </c>
    </row>
    <row r="5228" spans="1:13" x14ac:dyDescent="0.25">
      <c r="A5228" s="1" t="str">
        <f>HYPERLINK("http://www.rosaceae.org/Prunus/Prunus_persica/p.persica_gdr_reftransV1_0010173","p.persica_gdr_reftransV1_0010173")</f>
        <v>p.persica_gdr_reftransV1_0010173</v>
      </c>
      <c r="B5228" s="3">
        <v>2291</v>
      </c>
      <c r="C5228" s="1" t="str">
        <f>HYPERLINK("http://www.uniprot.org/uniprot/TM10A_HUMAN","TM10A_HUMAN")</f>
        <v>TM10A_HUMAN</v>
      </c>
      <c r="D5228" t="s">
        <v>4474</v>
      </c>
      <c r="E5228" s="3" t="s">
        <v>28</v>
      </c>
      <c r="F5228" s="4">
        <v>3.1E-20</v>
      </c>
      <c r="G5228" s="3">
        <v>239</v>
      </c>
      <c r="H5228" s="3">
        <v>41</v>
      </c>
      <c r="I5228" s="3">
        <v>104</v>
      </c>
      <c r="J5228" s="3">
        <v>1</v>
      </c>
      <c r="K5228" s="3">
        <v>291</v>
      </c>
      <c r="L5228" s="3">
        <v>208</v>
      </c>
      <c r="M5228" s="3">
        <v>311</v>
      </c>
    </row>
    <row r="5229" spans="1:13" x14ac:dyDescent="0.25">
      <c r="A5229" s="1" t="str">
        <f>HYPERLINK("http://www.rosaceae.org/Prunus/Prunus_persica/p.persica_gdr_reftransV1_0010223","p.persica_gdr_reftransV1_0010223")</f>
        <v>p.persica_gdr_reftransV1_0010223</v>
      </c>
      <c r="B5229" s="3">
        <v>1995</v>
      </c>
      <c r="C5229" s="1" t="str">
        <f>HYPERLINK("http://www.uniprot.org/uniprot/MCES1_ARATH","MCES1_ARATH")</f>
        <v>MCES1_ARATH</v>
      </c>
      <c r="D5229" t="s">
        <v>4475</v>
      </c>
      <c r="E5229" s="3" t="s">
        <v>3</v>
      </c>
      <c r="F5229" s="4">
        <v>2.1400000000000002E-143</v>
      </c>
      <c r="G5229" s="3">
        <v>1104</v>
      </c>
      <c r="H5229" s="3">
        <v>84</v>
      </c>
      <c r="I5229" s="3">
        <v>250</v>
      </c>
      <c r="J5229" s="3">
        <v>405</v>
      </c>
      <c r="K5229" s="3">
        <v>1154</v>
      </c>
      <c r="L5229" s="3">
        <v>119</v>
      </c>
      <c r="M5229" s="3">
        <v>368</v>
      </c>
    </row>
    <row r="5230" spans="1:13" x14ac:dyDescent="0.25">
      <c r="A5230" s="1" t="str">
        <f>HYPERLINK("http://www.rosaceae.org/Prunus/Prunus_persica/p.persica_gdr_reftransV1_0010373","p.persica_gdr_reftransV1_0010373")</f>
        <v>p.persica_gdr_reftransV1_0010373</v>
      </c>
      <c r="B5230" s="3">
        <v>2859</v>
      </c>
      <c r="C5230" s="1" t="str">
        <f>HYPERLINK("http://www.uniprot.org/uniprot/RSLE2_ORYSJ","RSLE2_ORYSJ")</f>
        <v>RSLE2_ORYSJ</v>
      </c>
      <c r="D5230" t="s">
        <v>4476</v>
      </c>
      <c r="E5230" s="3" t="s">
        <v>38</v>
      </c>
      <c r="F5230" s="4">
        <v>1.5000000000000001E-71</v>
      </c>
      <c r="G5230" s="3">
        <v>453</v>
      </c>
      <c r="H5230" s="3">
        <v>30</v>
      </c>
      <c r="I5230" s="3">
        <v>432</v>
      </c>
      <c r="J5230" s="3">
        <v>1205</v>
      </c>
      <c r="K5230" s="3">
        <v>2413</v>
      </c>
      <c r="L5230" s="3">
        <v>66</v>
      </c>
      <c r="M5230" s="3">
        <v>460</v>
      </c>
    </row>
    <row r="5231" spans="1:13" x14ac:dyDescent="0.25">
      <c r="A5231" s="1" t="str">
        <f>HYPERLINK("http://www.rosaceae.org/Prunus/Prunus_persica/p.persica_gdr_reftransV1_0010523","p.persica_gdr_reftransV1_0010523")</f>
        <v>p.persica_gdr_reftransV1_0010523</v>
      </c>
      <c r="B5231" s="3">
        <v>1168</v>
      </c>
      <c r="C5231" s="1" t="str">
        <f>HYPERLINK("http://www.uniprot.org/uniprot/TI202_ARATH","TI202_ARATH")</f>
        <v>TI202_ARATH</v>
      </c>
      <c r="D5231" t="s">
        <v>4477</v>
      </c>
      <c r="E5231" s="3" t="s">
        <v>3</v>
      </c>
      <c r="F5231" s="4">
        <v>1.5600000000000001E-41</v>
      </c>
      <c r="G5231" s="3">
        <v>380</v>
      </c>
      <c r="H5231" s="3">
        <v>62</v>
      </c>
      <c r="I5231" s="3">
        <v>190</v>
      </c>
      <c r="J5231" s="3">
        <v>297</v>
      </c>
      <c r="K5231" s="3">
        <v>851</v>
      </c>
      <c r="L5231" s="3">
        <v>23</v>
      </c>
      <c r="M5231" s="3">
        <v>207</v>
      </c>
    </row>
    <row r="5232" spans="1:13" x14ac:dyDescent="0.25">
      <c r="A5232" s="1" t="str">
        <f>HYPERLINK("http://www.rosaceae.org/Prunus/Prunus_persica/p.persica_gdr_reftransV1_0010573","p.persica_gdr_reftransV1_0010573")</f>
        <v>p.persica_gdr_reftransV1_0010573</v>
      </c>
      <c r="B5232" s="3">
        <v>772</v>
      </c>
      <c r="C5232" s="1" t="str">
        <f>HYPERLINK("http://www.uniprot.org/uniprot/IAA4_PEA","IAA4_PEA")</f>
        <v>IAA4_PEA</v>
      </c>
      <c r="D5232" t="s">
        <v>4478</v>
      </c>
      <c r="E5232" s="3" t="s">
        <v>60</v>
      </c>
      <c r="F5232" s="4">
        <v>1.6199999999999999E-60</v>
      </c>
      <c r="G5232" s="3">
        <v>497</v>
      </c>
      <c r="H5232" s="3">
        <v>66</v>
      </c>
      <c r="I5232" s="3">
        <v>157</v>
      </c>
      <c r="J5232" s="3">
        <v>318</v>
      </c>
      <c r="K5232" s="3">
        <v>770</v>
      </c>
      <c r="L5232" s="3">
        <v>1</v>
      </c>
      <c r="M5232" s="3">
        <v>153</v>
      </c>
    </row>
    <row r="5233" spans="1:13" x14ac:dyDescent="0.25">
      <c r="A5233" s="1" t="str">
        <f>HYPERLINK("http://www.rosaceae.org/Prunus/Prunus_persica/p.persica_gdr_reftransV1_0010673","p.persica_gdr_reftransV1_0010673")</f>
        <v>p.persica_gdr_reftransV1_0010673</v>
      </c>
      <c r="B5233" s="3">
        <v>1365</v>
      </c>
      <c r="C5233" s="1" t="str">
        <f>HYPERLINK("http://www.uniprot.org/uniprot/DDPS6_ARATH","DDPS6_ARATH")</f>
        <v>DDPS6_ARATH</v>
      </c>
      <c r="D5233" t="s">
        <v>4479</v>
      </c>
      <c r="E5233" s="3" t="s">
        <v>3</v>
      </c>
      <c r="F5233" s="4">
        <v>4.1499999999999999E-120</v>
      </c>
      <c r="G5233" s="3">
        <v>922</v>
      </c>
      <c r="H5233" s="3">
        <v>61</v>
      </c>
      <c r="I5233" s="3">
        <v>284</v>
      </c>
      <c r="J5233" s="3">
        <v>222</v>
      </c>
      <c r="K5233" s="3">
        <v>1073</v>
      </c>
      <c r="L5233" s="3">
        <v>12</v>
      </c>
      <c r="M5233" s="3">
        <v>294</v>
      </c>
    </row>
    <row r="5234" spans="1:13" x14ac:dyDescent="0.25">
      <c r="A5234" s="1" t="str">
        <f>HYPERLINK("http://www.rosaceae.org/Prunus/Prunus_persica/p.persica_gdr_reftransV1_0010723","p.persica_gdr_reftransV1_0010723")</f>
        <v>p.persica_gdr_reftransV1_0010723</v>
      </c>
      <c r="B5234" s="3">
        <v>704</v>
      </c>
      <c r="C5234" s="1" t="str">
        <f>HYPERLINK("http://www.uniprot.org/uniprot/RLF33_ARATH","RLF33_ARATH")</f>
        <v>RLF33_ARATH</v>
      </c>
      <c r="D5234" t="s">
        <v>4480</v>
      </c>
      <c r="E5234" s="3" t="s">
        <v>3</v>
      </c>
      <c r="F5234" s="4">
        <v>2.12E-38</v>
      </c>
      <c r="G5234" s="3">
        <v>340</v>
      </c>
      <c r="H5234" s="3">
        <v>62</v>
      </c>
      <c r="I5234" s="3">
        <v>105</v>
      </c>
      <c r="J5234" s="3">
        <v>255</v>
      </c>
      <c r="K5234" s="3">
        <v>545</v>
      </c>
      <c r="L5234" s="3">
        <v>11</v>
      </c>
      <c r="M5234" s="3">
        <v>115</v>
      </c>
    </row>
    <row r="5235" spans="1:13" x14ac:dyDescent="0.25">
      <c r="A5235" s="1" t="str">
        <f>HYPERLINK("http://www.rosaceae.org/Prunus/Prunus_persica/p.persica_gdr_reftransV1_0010773","p.persica_gdr_reftransV1_0010773")</f>
        <v>p.persica_gdr_reftransV1_0010773</v>
      </c>
      <c r="B5235" s="3">
        <v>904</v>
      </c>
      <c r="C5235" s="1" t="str">
        <f>HYPERLINK("http://www.uniprot.org/uniprot/PSMD3_DAUCA","PSMD3_DAUCA")</f>
        <v>PSMD3_DAUCA</v>
      </c>
      <c r="D5235" t="s">
        <v>4276</v>
      </c>
      <c r="E5235" s="3" t="s">
        <v>32</v>
      </c>
      <c r="F5235" s="4">
        <v>6.7499999999999996E-99</v>
      </c>
      <c r="G5235" s="3">
        <v>783</v>
      </c>
      <c r="H5235" s="3">
        <v>76</v>
      </c>
      <c r="I5235" s="3">
        <v>203</v>
      </c>
      <c r="J5235" s="3">
        <v>173</v>
      </c>
      <c r="K5235" s="3">
        <v>781</v>
      </c>
      <c r="L5235" s="3">
        <v>1</v>
      </c>
      <c r="M5235" s="3">
        <v>202</v>
      </c>
    </row>
    <row r="5236" spans="1:13" x14ac:dyDescent="0.25">
      <c r="A5236" s="1" t="str">
        <f>HYPERLINK("http://www.rosaceae.org/Prunus/Prunus_persica/p.persica_gdr_reftransV1_0010823","p.persica_gdr_reftransV1_0010823")</f>
        <v>p.persica_gdr_reftransV1_0010823</v>
      </c>
      <c r="B5236" s="3">
        <v>3060</v>
      </c>
      <c r="C5236" s="1" t="str">
        <f>HYPERLINK("http://www.uniprot.org/uniprot/RBOHA_SOLTU","RBOHA_SOLTU")</f>
        <v>RBOHA_SOLTU</v>
      </c>
      <c r="D5236" t="s">
        <v>2766</v>
      </c>
      <c r="E5236" s="3" t="s">
        <v>11</v>
      </c>
      <c r="F5236" s="4">
        <v>0</v>
      </c>
      <c r="G5236" s="3">
        <v>3481</v>
      </c>
      <c r="H5236" s="3">
        <v>86</v>
      </c>
      <c r="I5236" s="3">
        <v>740</v>
      </c>
      <c r="J5236" s="3">
        <v>843</v>
      </c>
      <c r="K5236" s="3">
        <v>3059</v>
      </c>
      <c r="L5236" s="3">
        <v>224</v>
      </c>
      <c r="M5236" s="3">
        <v>963</v>
      </c>
    </row>
    <row r="5237" spans="1:13" x14ac:dyDescent="0.25">
      <c r="A5237" s="1" t="str">
        <f>HYPERLINK("http://www.rosaceae.org/Prunus/Prunus_persica/p.persica_gdr_reftransV1_0010923","p.persica_gdr_reftransV1_0010923")</f>
        <v>p.persica_gdr_reftransV1_0010923</v>
      </c>
      <c r="B5237" s="3">
        <v>2494</v>
      </c>
      <c r="C5237" s="1" t="str">
        <f>HYPERLINK("http://www.uniprot.org/uniprot/CSK2P_ARATH","CSK2P_ARATH")</f>
        <v>CSK2P_ARATH</v>
      </c>
      <c r="D5237" t="s">
        <v>4481</v>
      </c>
      <c r="E5237" s="3" t="s">
        <v>3</v>
      </c>
      <c r="F5237" s="4">
        <v>3.7900000000000001E-137</v>
      </c>
      <c r="G5237" s="3">
        <v>1082</v>
      </c>
      <c r="H5237" s="3">
        <v>90</v>
      </c>
      <c r="I5237" s="3">
        <v>245</v>
      </c>
      <c r="J5237" s="3">
        <v>1442</v>
      </c>
      <c r="K5237" s="3">
        <v>2176</v>
      </c>
      <c r="L5237" s="3">
        <v>83</v>
      </c>
      <c r="M5237" s="3">
        <v>327</v>
      </c>
    </row>
    <row r="5238" spans="1:13" x14ac:dyDescent="0.25">
      <c r="A5238" s="1" t="str">
        <f>HYPERLINK("http://www.rosaceae.org/Prunus/Prunus_persica/p.persica_gdr_reftransV1_0010973","p.persica_gdr_reftransV1_0010973")</f>
        <v>p.persica_gdr_reftransV1_0010973</v>
      </c>
      <c r="B5238" s="3">
        <v>3151</v>
      </c>
      <c r="C5238" s="1" t="str">
        <f>HYPERLINK("http://www.uniprot.org/uniprot/PXMP2_BOVIN","PXMP2_BOVIN")</f>
        <v>PXMP2_BOVIN</v>
      </c>
      <c r="D5238" t="s">
        <v>3571</v>
      </c>
      <c r="E5238" s="3" t="s">
        <v>184</v>
      </c>
      <c r="F5238" s="4">
        <v>5.0199999999999999E-11</v>
      </c>
      <c r="G5238" s="3">
        <v>163</v>
      </c>
      <c r="H5238" s="3">
        <v>29</v>
      </c>
      <c r="I5238" s="3">
        <v>138</v>
      </c>
      <c r="J5238" s="3">
        <v>608</v>
      </c>
      <c r="K5238" s="3">
        <v>1006</v>
      </c>
      <c r="L5238" s="3">
        <v>18</v>
      </c>
      <c r="M5238" s="3">
        <v>155</v>
      </c>
    </row>
    <row r="5239" spans="1:13" x14ac:dyDescent="0.25">
      <c r="A5239" s="1" t="str">
        <f>HYPERLINK("http://www.rosaceae.org/Prunus/Prunus_persica/p.persica_gdr_reftransV1_0011073","p.persica_gdr_reftransV1_0011073")</f>
        <v>p.persica_gdr_reftransV1_0011073</v>
      </c>
      <c r="B5239" s="3">
        <v>1982</v>
      </c>
      <c r="C5239" s="1" t="str">
        <f>HYPERLINK("http://www.uniprot.org/uniprot/NCS1_ARATH","NCS1_ARATH")</f>
        <v>NCS1_ARATH</v>
      </c>
      <c r="D5239" t="s">
        <v>4482</v>
      </c>
      <c r="E5239" s="3" t="s">
        <v>3</v>
      </c>
      <c r="F5239" s="4">
        <v>0</v>
      </c>
      <c r="G5239" s="3">
        <v>1885</v>
      </c>
      <c r="H5239" s="3">
        <v>76</v>
      </c>
      <c r="I5239" s="3">
        <v>508</v>
      </c>
      <c r="J5239" s="3">
        <v>282</v>
      </c>
      <c r="K5239" s="3">
        <v>1790</v>
      </c>
      <c r="L5239" s="3">
        <v>82</v>
      </c>
      <c r="M5239" s="3">
        <v>588</v>
      </c>
    </row>
    <row r="5240" spans="1:13" x14ac:dyDescent="0.25">
      <c r="A5240" s="1" t="str">
        <f>HYPERLINK("http://www.rosaceae.org/Prunus/Prunus_persica/p.persica_gdr_reftransV1_0011273","p.persica_gdr_reftransV1_0011273")</f>
        <v>p.persica_gdr_reftransV1_0011273</v>
      </c>
      <c r="B5240" s="3">
        <v>1232</v>
      </c>
      <c r="C5240" s="1" t="str">
        <f>HYPERLINK("http://www.uniprot.org/uniprot/LYPA2_HUMAN","LYPA2_HUMAN")</f>
        <v>LYPA2_HUMAN</v>
      </c>
      <c r="D5240" t="s">
        <v>765</v>
      </c>
      <c r="E5240" s="3" t="s">
        <v>28</v>
      </c>
      <c r="F5240" s="4">
        <v>3.3599999999999999E-31</v>
      </c>
      <c r="G5240" s="3">
        <v>310</v>
      </c>
      <c r="H5240" s="3">
        <v>35</v>
      </c>
      <c r="I5240" s="3">
        <v>226</v>
      </c>
      <c r="J5240" s="3">
        <v>269</v>
      </c>
      <c r="K5240" s="3">
        <v>925</v>
      </c>
      <c r="L5240" s="3">
        <v>22</v>
      </c>
      <c r="M5240" s="3">
        <v>228</v>
      </c>
    </row>
    <row r="5241" spans="1:13" x14ac:dyDescent="0.25">
      <c r="A5241" s="1" t="str">
        <f>HYPERLINK("http://www.rosaceae.org/Prunus/Prunus_persica/p.persica_gdr_reftransV1_0011373","p.persica_gdr_reftransV1_0011373")</f>
        <v>p.persica_gdr_reftransV1_0011373</v>
      </c>
      <c r="B5241" s="3">
        <v>2886</v>
      </c>
      <c r="C5241" s="1" t="str">
        <f>HYPERLINK("http://www.uniprot.org/uniprot/Y4885_ARATH","Y4885_ARATH")</f>
        <v>Y4885_ARATH</v>
      </c>
      <c r="D5241" t="s">
        <v>468</v>
      </c>
      <c r="E5241" s="3" t="s">
        <v>3</v>
      </c>
      <c r="F5241" s="4">
        <v>0</v>
      </c>
      <c r="G5241" s="3">
        <v>2278</v>
      </c>
      <c r="H5241" s="3">
        <v>51</v>
      </c>
      <c r="I5241" s="3">
        <v>898</v>
      </c>
      <c r="J5241" s="3">
        <v>2</v>
      </c>
      <c r="K5241" s="3">
        <v>2587</v>
      </c>
      <c r="L5241" s="3">
        <v>150</v>
      </c>
      <c r="M5241" s="3">
        <v>1045</v>
      </c>
    </row>
    <row r="5242" spans="1:13" x14ac:dyDescent="0.25">
      <c r="A5242" s="1" t="str">
        <f>HYPERLINK("http://www.rosaceae.org/Prunus/Prunus_persica/p.persica_gdr_reftransV1_0011523","p.persica_gdr_reftransV1_0011523")</f>
        <v>p.persica_gdr_reftransV1_0011523</v>
      </c>
      <c r="B5242" s="3">
        <v>3392</v>
      </c>
      <c r="C5242" s="1" t="str">
        <f>HYPERLINK("http://www.uniprot.org/uniprot/HSL2_ARATH","HSL2_ARATH")</f>
        <v>HSL2_ARATH</v>
      </c>
      <c r="D5242" t="s">
        <v>634</v>
      </c>
      <c r="E5242" s="3" t="s">
        <v>3</v>
      </c>
      <c r="F5242" s="4">
        <v>0</v>
      </c>
      <c r="G5242" s="3">
        <v>2302</v>
      </c>
      <c r="H5242" s="3">
        <v>57</v>
      </c>
      <c r="I5242" s="3">
        <v>844</v>
      </c>
      <c r="J5242" s="3">
        <v>465</v>
      </c>
      <c r="K5242" s="3">
        <v>2960</v>
      </c>
      <c r="L5242" s="3">
        <v>26</v>
      </c>
      <c r="M5242" s="3">
        <v>867</v>
      </c>
    </row>
    <row r="5243" spans="1:13" x14ac:dyDescent="0.25">
      <c r="A5243" s="1" t="str">
        <f>HYPERLINK("http://www.rosaceae.org/Prunus/Prunus_persica/p.persica_gdr_reftransV1_0011573","p.persica_gdr_reftransV1_0011573")</f>
        <v>p.persica_gdr_reftransV1_0011573</v>
      </c>
      <c r="B5243" s="3">
        <v>1055</v>
      </c>
      <c r="C5243" s="1" t="str">
        <f>HYPERLINK("http://www.uniprot.org/uniprot/idM1_ARATH","idM1_ARATH")</f>
        <v>idM1_ARATH</v>
      </c>
      <c r="D5243" t="s">
        <v>1345</v>
      </c>
      <c r="E5243" s="3" t="s">
        <v>3</v>
      </c>
      <c r="F5243" s="4">
        <v>7.1100000000000008E-15</v>
      </c>
      <c r="G5243" s="3">
        <v>195</v>
      </c>
      <c r="H5243" s="3">
        <v>42</v>
      </c>
      <c r="I5243" s="3">
        <v>119</v>
      </c>
      <c r="J5243" s="3">
        <v>119</v>
      </c>
      <c r="K5243" s="3">
        <v>475</v>
      </c>
      <c r="L5243" s="3">
        <v>905</v>
      </c>
      <c r="M5243" s="3">
        <v>1023</v>
      </c>
    </row>
    <row r="5244" spans="1:13" x14ac:dyDescent="0.25">
      <c r="A5244" s="1" t="str">
        <f>HYPERLINK("http://www.rosaceae.org/Prunus/Prunus_persica/p.persica_gdr_reftransV1_0011623","p.persica_gdr_reftransV1_0011623")</f>
        <v>p.persica_gdr_reftransV1_0011623</v>
      </c>
      <c r="B5244" s="3">
        <v>1792</v>
      </c>
      <c r="C5244" s="1" t="str">
        <f>HYPERLINK("http://www.uniprot.org/uniprot/BCAT3_ARATH","BCAT3_ARATH")</f>
        <v>BCAT3_ARATH</v>
      </c>
      <c r="D5244" t="s">
        <v>4483</v>
      </c>
      <c r="E5244" s="3" t="s">
        <v>3</v>
      </c>
      <c r="F5244" s="4">
        <v>0</v>
      </c>
      <c r="G5244" s="3">
        <v>1509</v>
      </c>
      <c r="H5244" s="3">
        <v>74</v>
      </c>
      <c r="I5244" s="3">
        <v>414</v>
      </c>
      <c r="J5244" s="3">
        <v>276</v>
      </c>
      <c r="K5244" s="3">
        <v>1514</v>
      </c>
      <c r="L5244" s="3">
        <v>1</v>
      </c>
      <c r="M5244" s="3">
        <v>412</v>
      </c>
    </row>
    <row r="5245" spans="1:13" x14ac:dyDescent="0.25">
      <c r="A5245" s="1" t="str">
        <f>HYPERLINK("http://www.rosaceae.org/Prunus/Prunus_persica/p.persica_gdr_reftransV1_0011673","p.persica_gdr_reftransV1_0011673")</f>
        <v>p.persica_gdr_reftransV1_0011673</v>
      </c>
      <c r="B5245" s="3">
        <v>2093</v>
      </c>
      <c r="C5245" s="1" t="str">
        <f>HYPERLINK("http://www.uniprot.org/uniprot/VATB2_ARATH","VATB2_ARATH")</f>
        <v>VATB2_ARATH</v>
      </c>
      <c r="D5245" t="s">
        <v>4484</v>
      </c>
      <c r="E5245" s="3" t="s">
        <v>3</v>
      </c>
      <c r="F5245" s="4">
        <v>0</v>
      </c>
      <c r="G5245" s="3">
        <v>2461</v>
      </c>
      <c r="H5245" s="3">
        <v>95</v>
      </c>
      <c r="I5245" s="3">
        <v>490</v>
      </c>
      <c r="J5245" s="3">
        <v>123</v>
      </c>
      <c r="K5245" s="3">
        <v>1592</v>
      </c>
      <c r="L5245" s="3">
        <v>1</v>
      </c>
      <c r="M5245" s="3">
        <v>487</v>
      </c>
    </row>
    <row r="5246" spans="1:13" x14ac:dyDescent="0.25">
      <c r="A5246" s="1" t="str">
        <f>HYPERLINK("http://www.rosaceae.org/Prunus/Prunus_persica/p.persica_gdr_reftransV1_0011973","p.persica_gdr_reftransV1_0011973")</f>
        <v>p.persica_gdr_reftransV1_0011973</v>
      </c>
      <c r="B5246" s="3">
        <v>1010</v>
      </c>
      <c r="C5246" s="1" t="str">
        <f>HYPERLINK("http://www.uniprot.org/uniprot/MFDX2_ARATH","MFDX2_ARATH")</f>
        <v>MFDX2_ARATH</v>
      </c>
      <c r="D5246" t="s">
        <v>4485</v>
      </c>
      <c r="E5246" s="3" t="s">
        <v>3</v>
      </c>
      <c r="F5246" s="4">
        <v>3.2299999999999999E-38</v>
      </c>
      <c r="G5246" s="3">
        <v>353</v>
      </c>
      <c r="H5246" s="3">
        <v>57</v>
      </c>
      <c r="I5246" s="3">
        <v>135</v>
      </c>
      <c r="J5246" s="3">
        <v>96</v>
      </c>
      <c r="K5246" s="3">
        <v>500</v>
      </c>
      <c r="L5246" s="3">
        <v>1</v>
      </c>
      <c r="M5246" s="3">
        <v>133</v>
      </c>
    </row>
    <row r="5247" spans="1:13" x14ac:dyDescent="0.25">
      <c r="A5247" s="1" t="str">
        <f>HYPERLINK("http://www.rosaceae.org/Prunus/Prunus_persica/p.persica_gdr_reftransV1_0012023","p.persica_gdr_reftransV1_0012023")</f>
        <v>p.persica_gdr_reftransV1_0012023</v>
      </c>
      <c r="B5247" s="3">
        <v>4049</v>
      </c>
      <c r="C5247" s="1" t="str">
        <f>HYPERLINK("http://www.uniprot.org/uniprot/PPA27_ARATH","PPA27_ARATH")</f>
        <v>PPA27_ARATH</v>
      </c>
      <c r="D5247" t="s">
        <v>1364</v>
      </c>
      <c r="E5247" s="3" t="s">
        <v>3</v>
      </c>
      <c r="F5247" s="4">
        <v>0</v>
      </c>
      <c r="G5247" s="3">
        <v>2554</v>
      </c>
      <c r="H5247" s="3">
        <v>76</v>
      </c>
      <c r="I5247" s="3">
        <v>613</v>
      </c>
      <c r="J5247" s="3">
        <v>385</v>
      </c>
      <c r="K5247" s="3">
        <v>2223</v>
      </c>
      <c r="L5247" s="3">
        <v>3</v>
      </c>
      <c r="M5247" s="3">
        <v>611</v>
      </c>
    </row>
    <row r="5248" spans="1:13" x14ac:dyDescent="0.25">
      <c r="A5248" s="1" t="str">
        <f>HYPERLINK("http://www.rosaceae.org/Prunus/Prunus_persica/p.persica_gdr_reftransV1_0012173","p.persica_gdr_reftransV1_0012173")</f>
        <v>p.persica_gdr_reftransV1_0012173</v>
      </c>
      <c r="B5248" s="3">
        <v>3726</v>
      </c>
      <c r="C5248" s="1" t="str">
        <f>HYPERLINK("http://www.uniprot.org/uniprot/YBR6_SCHPO","YBR6_SCHPO")</f>
        <v>YBR6_SCHPO</v>
      </c>
      <c r="D5248" t="s">
        <v>4486</v>
      </c>
      <c r="E5248" s="3" t="s">
        <v>464</v>
      </c>
      <c r="F5248" s="4">
        <v>2.6200000000000003E-10</v>
      </c>
      <c r="G5248" s="3">
        <v>167</v>
      </c>
      <c r="H5248" s="3">
        <v>35</v>
      </c>
      <c r="I5248" s="3">
        <v>82</v>
      </c>
      <c r="J5248" s="3">
        <v>2422</v>
      </c>
      <c r="K5248" s="3">
        <v>2667</v>
      </c>
      <c r="L5248" s="3">
        <v>347</v>
      </c>
      <c r="M5248" s="3">
        <v>428</v>
      </c>
    </row>
    <row r="5249" spans="1:13" x14ac:dyDescent="0.25">
      <c r="A5249" s="1" t="str">
        <f>HYPERLINK("http://www.rosaceae.org/Prunus/Prunus_persica/p.persica_gdr_reftransV1_0012273","p.persica_gdr_reftransV1_0012273")</f>
        <v>p.persica_gdr_reftransV1_0012273</v>
      </c>
      <c r="B5249" s="3">
        <v>973</v>
      </c>
      <c r="C5249" s="1" t="str">
        <f>HYPERLINK("http://www.uniprot.org/uniprot/CNR10_MAIZE","CNR10_MAIZE")</f>
        <v>CNR10_MAIZE</v>
      </c>
      <c r="D5249" t="s">
        <v>4487</v>
      </c>
      <c r="E5249" s="3" t="s">
        <v>72</v>
      </c>
      <c r="F5249" s="4">
        <v>3.5099999999999997E-27</v>
      </c>
      <c r="G5249" s="3">
        <v>272</v>
      </c>
      <c r="H5249" s="3">
        <v>56</v>
      </c>
      <c r="I5249" s="3">
        <v>126</v>
      </c>
      <c r="J5249" s="3">
        <v>188</v>
      </c>
      <c r="K5249" s="3">
        <v>562</v>
      </c>
      <c r="L5249" s="3">
        <v>29</v>
      </c>
      <c r="M5249" s="3">
        <v>151</v>
      </c>
    </row>
    <row r="5250" spans="1:13" x14ac:dyDescent="0.25">
      <c r="A5250" s="1" t="str">
        <f>HYPERLINK("http://www.rosaceae.org/Prunus/Prunus_persica/p.persica_gdr_reftransV1_0012373","p.persica_gdr_reftransV1_0012373")</f>
        <v>p.persica_gdr_reftransV1_0012373</v>
      </c>
      <c r="B5250" s="3">
        <v>1202</v>
      </c>
      <c r="C5250" s="1" t="str">
        <f>HYPERLINK("http://www.uniprot.org/uniprot/AAE1_ARATH","AAE1_ARATH")</f>
        <v>AAE1_ARATH</v>
      </c>
      <c r="D5250" t="s">
        <v>4488</v>
      </c>
      <c r="E5250" s="3" t="s">
        <v>3</v>
      </c>
      <c r="F5250" s="4">
        <v>1.8700000000000001E-118</v>
      </c>
      <c r="G5250" s="3">
        <v>930</v>
      </c>
      <c r="H5250" s="3">
        <v>47</v>
      </c>
      <c r="I5250" s="3">
        <v>376</v>
      </c>
      <c r="J5250" s="3">
        <v>113</v>
      </c>
      <c r="K5250" s="3">
        <v>1201</v>
      </c>
      <c r="L5250" s="3">
        <v>69</v>
      </c>
      <c r="M5250" s="3">
        <v>438</v>
      </c>
    </row>
    <row r="5251" spans="1:13" x14ac:dyDescent="0.25">
      <c r="A5251" s="1" t="str">
        <f>HYPERLINK("http://www.rosaceae.org/Prunus/Prunus_persica/p.persica_gdr_reftransV1_0012473","p.persica_gdr_reftransV1_0012473")</f>
        <v>p.persica_gdr_reftransV1_0012473</v>
      </c>
      <c r="B5251" s="3">
        <v>2779</v>
      </c>
      <c r="C5251" s="1" t="str">
        <f>HYPERLINK("http://www.uniprot.org/uniprot/DSLE_ARATH","DSLE_ARATH")</f>
        <v>DSLE_ARATH</v>
      </c>
      <c r="D5251" t="s">
        <v>1940</v>
      </c>
      <c r="E5251" s="3" t="s">
        <v>3</v>
      </c>
      <c r="F5251" s="4">
        <v>9.7700000000000006E-37</v>
      </c>
      <c r="G5251" s="3">
        <v>383</v>
      </c>
      <c r="H5251" s="3">
        <v>24</v>
      </c>
      <c r="I5251" s="3">
        <v>640</v>
      </c>
      <c r="J5251" s="3">
        <v>476</v>
      </c>
      <c r="K5251" s="3">
        <v>2254</v>
      </c>
      <c r="L5251" s="3">
        <v>54</v>
      </c>
      <c r="M5251" s="3">
        <v>674</v>
      </c>
    </row>
    <row r="5252" spans="1:13" x14ac:dyDescent="0.25">
      <c r="A5252" s="1" t="str">
        <f>HYPERLINK("http://www.rosaceae.org/Prunus/Prunus_persica/p.persica_gdr_reftransV1_0012623","p.persica_gdr_reftransV1_0012623")</f>
        <v>p.persica_gdr_reftransV1_0012623</v>
      </c>
      <c r="B5252" s="3">
        <v>645</v>
      </c>
      <c r="C5252" s="1" t="str">
        <f>HYPERLINK("http://www.uniprot.org/uniprot/7OMT_PAPSO","7OMT_PAPSO")</f>
        <v>7OMT_PAPSO</v>
      </c>
      <c r="D5252" t="s">
        <v>4489</v>
      </c>
      <c r="E5252" s="3" t="s">
        <v>2250</v>
      </c>
      <c r="F5252" s="4">
        <v>1.9999999999999999E-64</v>
      </c>
      <c r="G5252" s="3">
        <v>533</v>
      </c>
      <c r="H5252" s="3">
        <v>61</v>
      </c>
      <c r="I5252" s="3">
        <v>163</v>
      </c>
      <c r="J5252" s="3">
        <v>2</v>
      </c>
      <c r="K5252" s="3">
        <v>487</v>
      </c>
      <c r="L5252" s="3">
        <v>193</v>
      </c>
      <c r="M5252" s="3">
        <v>354</v>
      </c>
    </row>
    <row r="5253" spans="1:13" x14ac:dyDescent="0.25">
      <c r="A5253" s="1" t="str">
        <f>HYPERLINK("http://www.rosaceae.org/Prunus/Prunus_persica/p.persica_gdr_reftransV1_0012823","p.persica_gdr_reftransV1_0012823")</f>
        <v>p.persica_gdr_reftransV1_0012823</v>
      </c>
      <c r="B5253" s="3">
        <v>809</v>
      </c>
      <c r="C5253" s="1" t="str">
        <f>HYPERLINK("http://www.uniprot.org/uniprot/BGLT_TRIRP","BGLT_TRIRP")</f>
        <v>BGLT_TRIRP</v>
      </c>
      <c r="D5253" t="s">
        <v>2494</v>
      </c>
      <c r="E5253" s="3" t="s">
        <v>733</v>
      </c>
      <c r="F5253" s="4">
        <v>3.0199999999999999E-71</v>
      </c>
      <c r="G5253" s="3">
        <v>589</v>
      </c>
      <c r="H5253" s="3">
        <v>68</v>
      </c>
      <c r="I5253" s="3">
        <v>153</v>
      </c>
      <c r="J5253" s="3">
        <v>188</v>
      </c>
      <c r="K5253" s="3">
        <v>640</v>
      </c>
      <c r="L5253" s="3">
        <v>16</v>
      </c>
      <c r="M5253" s="3">
        <v>168</v>
      </c>
    </row>
    <row r="5254" spans="1:13" x14ac:dyDescent="0.25">
      <c r="A5254" s="1" t="str">
        <f>HYPERLINK("http://www.rosaceae.org/Prunus/Prunus_persica/p.persica_gdr_reftransV1_0013573","p.persica_gdr_reftransV1_0013573")</f>
        <v>p.persica_gdr_reftransV1_0013573</v>
      </c>
      <c r="B5254" s="3">
        <v>1252</v>
      </c>
      <c r="C5254" s="1" t="str">
        <f>HYPERLINK("http://www.uniprot.org/uniprot/COPT5_ARATH","COPT5_ARATH")</f>
        <v>COPT5_ARATH</v>
      </c>
      <c r="D5254" t="s">
        <v>4490</v>
      </c>
      <c r="E5254" s="3" t="s">
        <v>3</v>
      </c>
      <c r="F5254" s="4">
        <v>8.1200000000000004E-44</v>
      </c>
      <c r="G5254" s="3">
        <v>392</v>
      </c>
      <c r="H5254" s="3">
        <v>58</v>
      </c>
      <c r="I5254" s="3">
        <v>149</v>
      </c>
      <c r="J5254" s="3">
        <v>141</v>
      </c>
      <c r="K5254" s="3">
        <v>587</v>
      </c>
      <c r="L5254" s="3">
        <v>1</v>
      </c>
      <c r="M5254" s="3">
        <v>146</v>
      </c>
    </row>
    <row r="5255" spans="1:13" x14ac:dyDescent="0.25">
      <c r="A5255" s="1" t="str">
        <f>HYPERLINK("http://www.rosaceae.org/Prunus/Prunus_persica/p.persica_gdr_reftransV1_0013723","p.persica_gdr_reftransV1_0013723")</f>
        <v>p.persica_gdr_reftransV1_0013723</v>
      </c>
      <c r="B5255" s="3">
        <v>3079</v>
      </c>
      <c r="C5255" s="1" t="str">
        <f>HYPERLINK("http://www.uniprot.org/uniprot/GLYT3_ARATH","GLYT3_ARATH")</f>
        <v>GLYT3_ARATH</v>
      </c>
      <c r="D5255" t="s">
        <v>2169</v>
      </c>
      <c r="E5255" s="3" t="s">
        <v>3</v>
      </c>
      <c r="F5255" s="4">
        <v>3.9400000000000002E-41</v>
      </c>
      <c r="G5255" s="3">
        <v>414</v>
      </c>
      <c r="H5255" s="3">
        <v>34</v>
      </c>
      <c r="I5255" s="3">
        <v>356</v>
      </c>
      <c r="J5255" s="3">
        <v>218</v>
      </c>
      <c r="K5255" s="3">
        <v>1243</v>
      </c>
      <c r="L5255" s="3">
        <v>170</v>
      </c>
      <c r="M5255" s="3">
        <v>507</v>
      </c>
    </row>
    <row r="5256" spans="1:13" x14ac:dyDescent="0.25">
      <c r="A5256" s="1" t="str">
        <f>HYPERLINK("http://www.rosaceae.org/Prunus/Prunus_persica/p.persica_gdr_reftransV1_0013773","p.persica_gdr_reftransV1_0013773")</f>
        <v>p.persica_gdr_reftransV1_0013773</v>
      </c>
      <c r="B5256" s="3">
        <v>827</v>
      </c>
      <c r="C5256" s="1" t="str">
        <f>HYPERLINK("http://www.uniprot.org/uniprot/NEET_ARATH","NEET_ARATH")</f>
        <v>NEET_ARATH</v>
      </c>
      <c r="D5256" t="s">
        <v>4491</v>
      </c>
      <c r="E5256" s="3" t="s">
        <v>3</v>
      </c>
      <c r="F5256" s="4">
        <v>8.2199999999999999E-28</v>
      </c>
      <c r="G5256" s="3">
        <v>270</v>
      </c>
      <c r="H5256" s="3">
        <v>69</v>
      </c>
      <c r="I5256" s="3">
        <v>104</v>
      </c>
      <c r="J5256" s="3">
        <v>318</v>
      </c>
      <c r="K5256" s="3">
        <v>614</v>
      </c>
      <c r="L5256" s="3">
        <v>5</v>
      </c>
      <c r="M5256" s="3">
        <v>108</v>
      </c>
    </row>
    <row r="5257" spans="1:13" x14ac:dyDescent="0.25">
      <c r="A5257" s="1" t="str">
        <f>HYPERLINK("http://www.rosaceae.org/Prunus/Prunus_persica/p.persica_gdr_reftransV1_0014023","p.persica_gdr_reftransV1_0014023")</f>
        <v>p.persica_gdr_reftransV1_0014023</v>
      </c>
      <c r="B5257" s="3">
        <v>2152</v>
      </c>
      <c r="C5257" s="1" t="str">
        <f>HYPERLINK("http://www.uniprot.org/uniprot/TBL1X_MOUSE","TBL1X_MOUSE")</f>
        <v>TBL1X_MOUSE</v>
      </c>
      <c r="D5257" t="s">
        <v>4492</v>
      </c>
      <c r="E5257" s="3" t="s">
        <v>157</v>
      </c>
      <c r="F5257" s="4">
        <v>4.9599999999999998E-161</v>
      </c>
      <c r="G5257" s="3">
        <v>1241</v>
      </c>
      <c r="H5257" s="3">
        <v>62</v>
      </c>
      <c r="I5257" s="3">
        <v>388</v>
      </c>
      <c r="J5257" s="3">
        <v>360</v>
      </c>
      <c r="K5257" s="3">
        <v>1499</v>
      </c>
      <c r="L5257" s="3">
        <v>145</v>
      </c>
      <c r="M5257" s="3">
        <v>526</v>
      </c>
    </row>
    <row r="5258" spans="1:13" x14ac:dyDescent="0.25">
      <c r="A5258" s="1" t="str">
        <f>HYPERLINK("http://www.rosaceae.org/Prunus/Prunus_persica/p.persica_gdr_reftransV1_0014073","p.persica_gdr_reftransV1_0014073")</f>
        <v>p.persica_gdr_reftransV1_0014073</v>
      </c>
      <c r="B5258" s="3">
        <v>1390</v>
      </c>
      <c r="C5258" s="1" t="str">
        <f>HYPERLINK("http://www.uniprot.org/uniprot/ATL2_ARATH","ATL2_ARATH")</f>
        <v>ATL2_ARATH</v>
      </c>
      <c r="D5258" t="s">
        <v>4493</v>
      </c>
      <c r="E5258" s="3" t="s">
        <v>3</v>
      </c>
      <c r="F5258" s="4">
        <v>1.44E-46</v>
      </c>
      <c r="G5258" s="3">
        <v>427</v>
      </c>
      <c r="H5258" s="3">
        <v>47</v>
      </c>
      <c r="I5258" s="3">
        <v>309</v>
      </c>
      <c r="J5258" s="3">
        <v>208</v>
      </c>
      <c r="K5258" s="3">
        <v>1083</v>
      </c>
      <c r="L5258" s="3">
        <v>3</v>
      </c>
      <c r="M5258" s="3">
        <v>302</v>
      </c>
    </row>
    <row r="5259" spans="1:13" x14ac:dyDescent="0.25">
      <c r="A5259" s="1" t="str">
        <f>HYPERLINK("http://www.rosaceae.org/Prunus/Prunus_persica/p.persica_gdr_reftransV1_0014323","p.persica_gdr_reftransV1_0014323")</f>
        <v>p.persica_gdr_reftransV1_0014323</v>
      </c>
      <c r="B5259" s="3">
        <v>455</v>
      </c>
      <c r="C5259" s="1" t="str">
        <f>HYPERLINK("http://www.uniprot.org/uniprot/NRL4B_TOBAC","NRL4B_TOBAC")</f>
        <v>NRL4B_TOBAC</v>
      </c>
      <c r="D5259" t="s">
        <v>4494</v>
      </c>
      <c r="E5259" s="3" t="s">
        <v>200</v>
      </c>
      <c r="F5259" s="4">
        <v>7.3299999999999995E-51</v>
      </c>
      <c r="G5259" s="3">
        <v>434</v>
      </c>
      <c r="H5259" s="3">
        <v>61</v>
      </c>
      <c r="I5259" s="3">
        <v>142</v>
      </c>
      <c r="J5259" s="3">
        <v>28</v>
      </c>
      <c r="K5259" s="3">
        <v>453</v>
      </c>
      <c r="L5259" s="3">
        <v>48</v>
      </c>
      <c r="M5259" s="3">
        <v>189</v>
      </c>
    </row>
    <row r="5260" spans="1:13" x14ac:dyDescent="0.25">
      <c r="A5260" s="1" t="str">
        <f>HYPERLINK("http://www.rosaceae.org/Prunus/Prunus_persica/p.persica_gdr_reftransV1_0014523","p.persica_gdr_reftransV1_0014523")</f>
        <v>p.persica_gdr_reftransV1_0014523</v>
      </c>
      <c r="B5260" s="3">
        <v>1454</v>
      </c>
      <c r="C5260" s="1" t="str">
        <f>HYPERLINK("http://www.uniprot.org/uniprot/E131_ARATH","E131_ARATH")</f>
        <v>E131_ARATH</v>
      </c>
      <c r="D5260" t="s">
        <v>4122</v>
      </c>
      <c r="E5260" s="3" t="s">
        <v>3</v>
      </c>
      <c r="F5260" s="4">
        <v>2.5399999999999999E-9</v>
      </c>
      <c r="G5260" s="3">
        <v>152</v>
      </c>
      <c r="H5260" s="3">
        <v>52</v>
      </c>
      <c r="I5260" s="3">
        <v>79</v>
      </c>
      <c r="J5260" s="3">
        <v>172</v>
      </c>
      <c r="K5260" s="3">
        <v>405</v>
      </c>
      <c r="L5260" s="3">
        <v>381</v>
      </c>
      <c r="M5260" s="3">
        <v>459</v>
      </c>
    </row>
    <row r="5261" spans="1:13" x14ac:dyDescent="0.25">
      <c r="A5261" s="1" t="str">
        <f>HYPERLINK("http://www.rosaceae.org/Prunus/Prunus_persica/p.persica_gdr_reftransV1_0014573","p.persica_gdr_reftransV1_0014573")</f>
        <v>p.persica_gdr_reftransV1_0014573</v>
      </c>
      <c r="B5261" s="3">
        <v>2983</v>
      </c>
      <c r="C5261" s="1" t="str">
        <f>HYPERLINK("http://www.uniprot.org/uniprot/SUS7_ORYSJ","SUS7_ORYSJ")</f>
        <v>SUS7_ORYSJ</v>
      </c>
      <c r="D5261" t="s">
        <v>4495</v>
      </c>
      <c r="E5261" s="3" t="s">
        <v>38</v>
      </c>
      <c r="F5261" s="4">
        <v>0</v>
      </c>
      <c r="G5261" s="3">
        <v>3311</v>
      </c>
      <c r="H5261" s="3">
        <v>73</v>
      </c>
      <c r="I5261" s="3">
        <v>829</v>
      </c>
      <c r="J5261" s="3">
        <v>451</v>
      </c>
      <c r="K5261" s="3">
        <v>2934</v>
      </c>
      <c r="L5261" s="3">
        <v>1</v>
      </c>
      <c r="M5261" s="3">
        <v>829</v>
      </c>
    </row>
    <row r="5262" spans="1:13" x14ac:dyDescent="0.25">
      <c r="A5262" s="1" t="str">
        <f>HYPERLINK("http://www.rosaceae.org/Prunus/Prunus_persica/p.persica_gdr_reftransV1_0014673","p.persica_gdr_reftransV1_0014673")</f>
        <v>p.persica_gdr_reftransV1_0014673</v>
      </c>
      <c r="B5262" s="3">
        <v>2686</v>
      </c>
      <c r="C5262" s="1" t="str">
        <f>HYPERLINK("http://www.uniprot.org/uniprot/ARAD1_ARATH","ARAD1_ARATH")</f>
        <v>ARAD1_ARATH</v>
      </c>
      <c r="D5262" t="s">
        <v>123</v>
      </c>
      <c r="E5262" s="3" t="s">
        <v>3</v>
      </c>
      <c r="F5262" s="4">
        <v>1.8599999999999999E-74</v>
      </c>
      <c r="G5262" s="3">
        <v>655</v>
      </c>
      <c r="H5262" s="3">
        <v>38</v>
      </c>
      <c r="I5262" s="3">
        <v>378</v>
      </c>
      <c r="J5262" s="3">
        <v>1231</v>
      </c>
      <c r="K5262" s="3">
        <v>2340</v>
      </c>
      <c r="L5262" s="3">
        <v>60</v>
      </c>
      <c r="M5262" s="3">
        <v>423</v>
      </c>
    </row>
    <row r="5263" spans="1:13" x14ac:dyDescent="0.25">
      <c r="A5263" s="1" t="str">
        <f>HYPERLINK("http://www.rosaceae.org/Prunus/Prunus_persica/p.persica_gdr_reftransV1_0015173","p.persica_gdr_reftransV1_0015173")</f>
        <v>p.persica_gdr_reftransV1_0015173</v>
      </c>
      <c r="B5263" s="3">
        <v>2551</v>
      </c>
      <c r="C5263" s="1" t="str">
        <f>HYPERLINK("http://www.uniprot.org/uniprot/SYKC_ARATH","SYKC_ARATH")</f>
        <v>SYKC_ARATH</v>
      </c>
      <c r="D5263" t="s">
        <v>4496</v>
      </c>
      <c r="E5263" s="3" t="s">
        <v>3</v>
      </c>
      <c r="F5263" s="4">
        <v>0</v>
      </c>
      <c r="G5263" s="3">
        <v>2023</v>
      </c>
      <c r="H5263" s="3">
        <v>81</v>
      </c>
      <c r="I5263" s="3">
        <v>452</v>
      </c>
      <c r="J5263" s="3">
        <v>939</v>
      </c>
      <c r="K5263" s="3">
        <v>2294</v>
      </c>
      <c r="L5263" s="3">
        <v>174</v>
      </c>
      <c r="M5263" s="3">
        <v>619</v>
      </c>
    </row>
    <row r="5264" spans="1:13" x14ac:dyDescent="0.25">
      <c r="A5264" s="1" t="str">
        <f>HYPERLINK("http://www.rosaceae.org/Prunus/Prunus_persica/p.persica_gdr_reftransV1_0015223","p.persica_gdr_reftransV1_0015223")</f>
        <v>p.persica_gdr_reftransV1_0015223</v>
      </c>
      <c r="B5264" s="3">
        <v>1820</v>
      </c>
      <c r="C5264" s="1" t="str">
        <f>HYPERLINK("http://www.uniprot.org/uniprot/RL4_RHOCS","RL4_RHOCS")</f>
        <v>RL4_RHOCS</v>
      </c>
      <c r="D5264" t="s">
        <v>1766</v>
      </c>
      <c r="E5264" s="3" t="s">
        <v>702</v>
      </c>
      <c r="F5264" s="4">
        <v>2.5E-51</v>
      </c>
      <c r="G5264" s="3">
        <v>459</v>
      </c>
      <c r="H5264" s="3">
        <v>52</v>
      </c>
      <c r="I5264" s="3">
        <v>172</v>
      </c>
      <c r="J5264" s="3">
        <v>809</v>
      </c>
      <c r="K5264" s="3">
        <v>1324</v>
      </c>
      <c r="L5264" s="3">
        <v>5</v>
      </c>
      <c r="M5264" s="3">
        <v>176</v>
      </c>
    </row>
    <row r="5265" spans="1:13" x14ac:dyDescent="0.25">
      <c r="A5265" s="1" t="str">
        <f>HYPERLINK("http://www.rosaceae.org/Prunus/Prunus_persica/p.persica_gdr_reftransV1_0015473","p.persica_gdr_reftransV1_0015473")</f>
        <v>p.persica_gdr_reftransV1_0015473</v>
      </c>
      <c r="B5265" s="3">
        <v>4636</v>
      </c>
      <c r="C5265" s="1" t="str">
        <f>HYPERLINK("http://www.uniprot.org/uniprot/PRP16_HUMAN","PRP16_HUMAN")</f>
        <v>PRP16_HUMAN</v>
      </c>
      <c r="D5265" t="s">
        <v>4497</v>
      </c>
      <c r="E5265" s="3" t="s">
        <v>28</v>
      </c>
      <c r="F5265" s="4">
        <v>0</v>
      </c>
      <c r="G5265" s="3">
        <v>2855</v>
      </c>
      <c r="H5265" s="3">
        <v>61</v>
      </c>
      <c r="I5265" s="3">
        <v>861</v>
      </c>
      <c r="J5265" s="3">
        <v>1593</v>
      </c>
      <c r="K5265" s="3">
        <v>4172</v>
      </c>
      <c r="L5265" s="3">
        <v>322</v>
      </c>
      <c r="M5265" s="3">
        <v>1161</v>
      </c>
    </row>
    <row r="5266" spans="1:13" x14ac:dyDescent="0.25">
      <c r="A5266" s="1" t="str">
        <f>HYPERLINK("http://www.rosaceae.org/Prunus/Prunus_persica/p.persica_gdr_reftransV1_0015623","p.persica_gdr_reftransV1_0015623")</f>
        <v>p.persica_gdr_reftransV1_0015623</v>
      </c>
      <c r="B5266" s="3">
        <v>2255</v>
      </c>
      <c r="C5266" s="1" t="str">
        <f>HYPERLINK("http://www.uniprot.org/uniprot/AAPC_CENCI","AAPC_CENCI")</f>
        <v>AAPC_CENCI</v>
      </c>
      <c r="D5266" t="s">
        <v>2585</v>
      </c>
      <c r="E5266" s="3" t="s">
        <v>2586</v>
      </c>
      <c r="F5266" s="4">
        <v>1.6399999999999999E-145</v>
      </c>
      <c r="G5266" s="3">
        <v>1121</v>
      </c>
      <c r="H5266" s="3">
        <v>67</v>
      </c>
      <c r="I5266" s="3">
        <v>299</v>
      </c>
      <c r="J5266" s="3">
        <v>1067</v>
      </c>
      <c r="K5266" s="3">
        <v>1957</v>
      </c>
      <c r="L5266" s="3">
        <v>25</v>
      </c>
      <c r="M5266" s="3">
        <v>322</v>
      </c>
    </row>
    <row r="5267" spans="1:13" x14ac:dyDescent="0.25">
      <c r="A5267" s="1" t="str">
        <f>HYPERLINK("http://www.rosaceae.org/Prunus/Prunus_persica/p.persica_gdr_reftransV1_0015823","p.persica_gdr_reftransV1_0015823")</f>
        <v>p.persica_gdr_reftransV1_0015823</v>
      </c>
      <c r="B5267" s="3">
        <v>3396</v>
      </c>
      <c r="C5267" s="1" t="str">
        <f>HYPERLINK("http://www.uniprot.org/uniprot/KIPK_ARATH","KIPK_ARATH")</f>
        <v>KIPK_ARATH</v>
      </c>
      <c r="D5267" t="s">
        <v>4498</v>
      </c>
      <c r="E5267" s="3" t="s">
        <v>3</v>
      </c>
      <c r="F5267" s="4">
        <v>0</v>
      </c>
      <c r="G5267" s="3">
        <v>2049</v>
      </c>
      <c r="H5267" s="3">
        <v>51</v>
      </c>
      <c r="I5267" s="3">
        <v>968</v>
      </c>
      <c r="J5267" s="3">
        <v>424</v>
      </c>
      <c r="K5267" s="3">
        <v>3138</v>
      </c>
      <c r="L5267" s="3">
        <v>1</v>
      </c>
      <c r="M5267" s="3">
        <v>934</v>
      </c>
    </row>
    <row r="5268" spans="1:13" x14ac:dyDescent="0.25">
      <c r="A5268" s="1" t="str">
        <f>HYPERLINK("http://www.rosaceae.org/Prunus/Prunus_persica/p.persica_gdr_reftransV1_0015873","p.persica_gdr_reftransV1_0015873")</f>
        <v>p.persica_gdr_reftransV1_0015873</v>
      </c>
      <c r="B5268" s="3">
        <v>2253</v>
      </c>
      <c r="C5268" s="1" t="str">
        <f>HYPERLINK("http://www.uniprot.org/uniprot/TGS1_RAT","TGS1_RAT")</f>
        <v>TGS1_RAT</v>
      </c>
      <c r="D5268" t="s">
        <v>4499</v>
      </c>
      <c r="E5268" s="3" t="s">
        <v>161</v>
      </c>
      <c r="F5268" s="4">
        <v>9.7400000000000002E-72</v>
      </c>
      <c r="G5268" s="3">
        <v>654</v>
      </c>
      <c r="H5268" s="3">
        <v>57</v>
      </c>
      <c r="I5268" s="3">
        <v>219</v>
      </c>
      <c r="J5268" s="3">
        <v>1276</v>
      </c>
      <c r="K5268" s="3">
        <v>1914</v>
      </c>
      <c r="L5268" s="3">
        <v>627</v>
      </c>
      <c r="M5268" s="3">
        <v>842</v>
      </c>
    </row>
    <row r="5269" spans="1:13" x14ac:dyDescent="0.25">
      <c r="A5269" s="1" t="str">
        <f>HYPERLINK("http://www.rosaceae.org/Prunus/Prunus_persica/p.persica_gdr_reftransV1_0016223","p.persica_gdr_reftransV1_0016223")</f>
        <v>p.persica_gdr_reftransV1_0016223</v>
      </c>
      <c r="B5269" s="3">
        <v>1873</v>
      </c>
      <c r="C5269" s="1" t="str">
        <f>HYPERLINK("http://www.uniprot.org/uniprot/COBRA_ARATH","COBRA_ARATH")</f>
        <v>COBRA_ARATH</v>
      </c>
      <c r="D5269" t="s">
        <v>4500</v>
      </c>
      <c r="E5269" s="3" t="s">
        <v>3</v>
      </c>
      <c r="F5269" s="4">
        <v>0</v>
      </c>
      <c r="G5269" s="3">
        <v>1955</v>
      </c>
      <c r="H5269" s="3">
        <v>80</v>
      </c>
      <c r="I5269" s="3">
        <v>441</v>
      </c>
      <c r="J5269" s="3">
        <v>452</v>
      </c>
      <c r="K5269" s="3">
        <v>1768</v>
      </c>
      <c r="L5269" s="3">
        <v>1</v>
      </c>
      <c r="M5269" s="3">
        <v>441</v>
      </c>
    </row>
    <row r="5270" spans="1:13" x14ac:dyDescent="0.25">
      <c r="A5270" s="1" t="str">
        <f>HYPERLINK("http://www.rosaceae.org/Prunus/Prunus_persica/p.persica_gdr_reftransV1_0016273","p.persica_gdr_reftransV1_0016273")</f>
        <v>p.persica_gdr_reftransV1_0016273</v>
      </c>
      <c r="B5270" s="3">
        <v>3136</v>
      </c>
      <c r="C5270" s="1" t="str">
        <f>HYPERLINK("http://www.uniprot.org/uniprot/APE2_ARATH","APE2_ARATH")</f>
        <v>APE2_ARATH</v>
      </c>
      <c r="D5270" t="s">
        <v>4501</v>
      </c>
      <c r="E5270" s="3" t="s">
        <v>3</v>
      </c>
      <c r="F5270" s="4">
        <v>7.6799999999999997E-79</v>
      </c>
      <c r="G5270" s="3">
        <v>704</v>
      </c>
      <c r="H5270" s="3">
        <v>57</v>
      </c>
      <c r="I5270" s="3">
        <v>267</v>
      </c>
      <c r="J5270" s="3">
        <v>45</v>
      </c>
      <c r="K5270" s="3">
        <v>833</v>
      </c>
      <c r="L5270" s="3">
        <v>1</v>
      </c>
      <c r="M5270" s="3">
        <v>242</v>
      </c>
    </row>
    <row r="5271" spans="1:13" x14ac:dyDescent="0.25">
      <c r="A5271" s="1" t="str">
        <f>HYPERLINK("http://www.rosaceae.org/Prunus/Prunus_persica/p.persica_gdr_reftransV1_0016323","p.persica_gdr_reftransV1_0016323")</f>
        <v>p.persica_gdr_reftransV1_0016323</v>
      </c>
      <c r="B5271" s="3">
        <v>3518</v>
      </c>
      <c r="C5271" s="1" t="str">
        <f>HYPERLINK("http://www.uniprot.org/uniprot/AB7A_ARATH","AB7A_ARATH")</f>
        <v>AB7A_ARATH</v>
      </c>
      <c r="D5271" t="s">
        <v>3242</v>
      </c>
      <c r="E5271" s="3" t="s">
        <v>3</v>
      </c>
      <c r="F5271" s="4">
        <v>0</v>
      </c>
      <c r="G5271" s="3">
        <v>1856</v>
      </c>
      <c r="H5271" s="3">
        <v>64</v>
      </c>
      <c r="I5271" s="3">
        <v>614</v>
      </c>
      <c r="J5271" s="3">
        <v>1495</v>
      </c>
      <c r="K5271" s="3">
        <v>3336</v>
      </c>
      <c r="L5271" s="3">
        <v>411</v>
      </c>
      <c r="M5271" s="3">
        <v>935</v>
      </c>
    </row>
    <row r="5272" spans="1:13" x14ac:dyDescent="0.25">
      <c r="A5272" s="1" t="str">
        <f>HYPERLINK("http://www.rosaceae.org/Prunus/Prunus_persica/p.persica_gdr_reftransV1_0016423","p.persica_gdr_reftransV1_0016423")</f>
        <v>p.persica_gdr_reftransV1_0016423</v>
      </c>
      <c r="B5272" s="3">
        <v>1109</v>
      </c>
      <c r="C5272" s="1" t="str">
        <f>HYPERLINK("http://www.uniprot.org/uniprot/Y1670_ARATH","Y1670_ARATH")</f>
        <v>Y1670_ARATH</v>
      </c>
      <c r="D5272" t="s">
        <v>3135</v>
      </c>
      <c r="E5272" s="3" t="s">
        <v>3</v>
      </c>
      <c r="F5272" s="4">
        <v>1.23E-14</v>
      </c>
      <c r="G5272" s="3">
        <v>193</v>
      </c>
      <c r="H5272" s="3">
        <v>28</v>
      </c>
      <c r="I5272" s="3">
        <v>235</v>
      </c>
      <c r="J5272" s="3">
        <v>308</v>
      </c>
      <c r="K5272" s="3">
        <v>970</v>
      </c>
      <c r="L5272" s="3">
        <v>249</v>
      </c>
      <c r="M5272" s="3">
        <v>473</v>
      </c>
    </row>
    <row r="5273" spans="1:13" x14ac:dyDescent="0.25">
      <c r="A5273" s="1" t="str">
        <f>HYPERLINK("http://www.rosaceae.org/Prunus/Prunus_persica/p.persica_gdr_reftransV1_0016473","p.persica_gdr_reftransV1_0016473")</f>
        <v>p.persica_gdr_reftransV1_0016473</v>
      </c>
      <c r="B5273" s="3">
        <v>1524</v>
      </c>
      <c r="C5273" s="1" t="str">
        <f>HYPERLINK("http://www.uniprot.org/uniprot/RPF1_MOUSE","RPF1_MOUSE")</f>
        <v>RPF1_MOUSE</v>
      </c>
      <c r="D5273" t="s">
        <v>4502</v>
      </c>
      <c r="E5273" s="3" t="s">
        <v>157</v>
      </c>
      <c r="F5273" s="4">
        <v>2.8200000000000001E-87</v>
      </c>
      <c r="G5273" s="3">
        <v>712</v>
      </c>
      <c r="H5273" s="3">
        <v>51</v>
      </c>
      <c r="I5273" s="3">
        <v>282</v>
      </c>
      <c r="J5273" s="3">
        <v>389</v>
      </c>
      <c r="K5273" s="3">
        <v>1228</v>
      </c>
      <c r="L5273" s="3">
        <v>92</v>
      </c>
      <c r="M5273" s="3">
        <v>349</v>
      </c>
    </row>
    <row r="5274" spans="1:13" x14ac:dyDescent="0.25">
      <c r="A5274" s="1" t="str">
        <f>HYPERLINK("http://www.rosaceae.org/Prunus/Prunus_persica/p.persica_gdr_reftransV1_0016673","p.persica_gdr_reftransV1_0016673")</f>
        <v>p.persica_gdr_reftransV1_0016673</v>
      </c>
      <c r="B5274" s="3">
        <v>2710</v>
      </c>
      <c r="C5274" s="1" t="str">
        <f>HYPERLINK("http://www.uniprot.org/uniprot/AHL9_ARATH","AHL9_ARATH")</f>
        <v>AHL9_ARATH</v>
      </c>
      <c r="D5274" t="s">
        <v>4503</v>
      </c>
      <c r="E5274" s="3" t="s">
        <v>3</v>
      </c>
      <c r="F5274" s="4">
        <v>4.1000000000000001E-24</v>
      </c>
      <c r="G5274" s="3">
        <v>272</v>
      </c>
      <c r="H5274" s="3">
        <v>56</v>
      </c>
      <c r="I5274" s="3">
        <v>140</v>
      </c>
      <c r="J5274" s="3">
        <v>216</v>
      </c>
      <c r="K5274" s="3">
        <v>620</v>
      </c>
      <c r="L5274" s="3">
        <v>213</v>
      </c>
      <c r="M5274" s="3">
        <v>348</v>
      </c>
    </row>
    <row r="5275" spans="1:13" x14ac:dyDescent="0.25">
      <c r="A5275" s="1" t="str">
        <f>HYPERLINK("http://www.rosaceae.org/Prunus/Prunus_persica/p.persica_gdr_reftransV1_0016723","p.persica_gdr_reftransV1_0016723")</f>
        <v>p.persica_gdr_reftransV1_0016723</v>
      </c>
      <c r="B5275" s="3">
        <v>4739</v>
      </c>
      <c r="C5275" s="1" t="str">
        <f>HYPERLINK("http://www.uniprot.org/uniprot/PUR4_ARATH","PUR4_ARATH")</f>
        <v>PUR4_ARATH</v>
      </c>
      <c r="D5275" t="s">
        <v>2712</v>
      </c>
      <c r="E5275" s="3" t="s">
        <v>3</v>
      </c>
      <c r="F5275" s="4">
        <v>0</v>
      </c>
      <c r="G5275" s="3">
        <v>6060</v>
      </c>
      <c r="H5275" s="3">
        <v>81</v>
      </c>
      <c r="I5275" s="3">
        <v>1407</v>
      </c>
      <c r="J5275" s="3">
        <v>267</v>
      </c>
      <c r="K5275" s="3">
        <v>4481</v>
      </c>
      <c r="L5275" s="3">
        <v>5</v>
      </c>
      <c r="M5275" s="3">
        <v>1403</v>
      </c>
    </row>
    <row r="5276" spans="1:13" x14ac:dyDescent="0.25">
      <c r="A5276" s="1" t="str">
        <f>HYPERLINK("http://www.rosaceae.org/Prunus/Prunus_persica/p.persica_gdr_reftransV1_0016973","p.persica_gdr_reftransV1_0016973")</f>
        <v>p.persica_gdr_reftransV1_0016973</v>
      </c>
      <c r="B5276" s="3">
        <v>2693</v>
      </c>
      <c r="C5276" s="1" t="str">
        <f>HYPERLINK("http://www.uniprot.org/uniprot/PPH_ARATH","PPH_ARATH")</f>
        <v>PPH_ARATH</v>
      </c>
      <c r="D5276" t="s">
        <v>4504</v>
      </c>
      <c r="E5276" s="3" t="s">
        <v>3</v>
      </c>
      <c r="F5276" s="4">
        <v>0</v>
      </c>
      <c r="G5276" s="3">
        <v>1386</v>
      </c>
      <c r="H5276" s="3">
        <v>72</v>
      </c>
      <c r="I5276" s="3">
        <v>359</v>
      </c>
      <c r="J5276" s="3">
        <v>1214</v>
      </c>
      <c r="K5276" s="3">
        <v>2287</v>
      </c>
      <c r="L5276" s="3">
        <v>44</v>
      </c>
      <c r="M5276" s="3">
        <v>402</v>
      </c>
    </row>
    <row r="5277" spans="1:13" x14ac:dyDescent="0.25">
      <c r="A5277" s="1" t="str">
        <f>HYPERLINK("http://www.rosaceae.org/Prunus/Prunus_persica/p.persica_gdr_reftransV1_0017023","p.persica_gdr_reftransV1_0017023")</f>
        <v>p.persica_gdr_reftransV1_0017023</v>
      </c>
      <c r="B5277" s="3">
        <v>1969</v>
      </c>
      <c r="C5277" s="1" t="str">
        <f>HYPERLINK("http://www.uniprot.org/uniprot/NAP1A_ORYSJ","NAP1A_ORYSJ")</f>
        <v>NAP1A_ORYSJ</v>
      </c>
      <c r="D5277" t="s">
        <v>2183</v>
      </c>
      <c r="E5277" s="3" t="s">
        <v>38</v>
      </c>
      <c r="F5277" s="4">
        <v>2.7899999999999998E-134</v>
      </c>
      <c r="G5277" s="3">
        <v>1043</v>
      </c>
      <c r="H5277" s="3">
        <v>81</v>
      </c>
      <c r="I5277" s="3">
        <v>278</v>
      </c>
      <c r="J5277" s="3">
        <v>748</v>
      </c>
      <c r="K5277" s="3">
        <v>1578</v>
      </c>
      <c r="L5277" s="3">
        <v>33</v>
      </c>
      <c r="M5277" s="3">
        <v>309</v>
      </c>
    </row>
    <row r="5278" spans="1:13" x14ac:dyDescent="0.25">
      <c r="A5278" s="1" t="str">
        <f>HYPERLINK("http://www.rosaceae.org/Prunus/Prunus_persica/p.persica_gdr_reftransV1_0017073","p.persica_gdr_reftransV1_0017073")</f>
        <v>p.persica_gdr_reftransV1_0017073</v>
      </c>
      <c r="B5278" s="3">
        <v>2164</v>
      </c>
      <c r="C5278" s="1" t="str">
        <f>HYPERLINK("http://www.uniprot.org/uniprot/ERF1Z_ARATH","ERF1Z_ARATH")</f>
        <v>ERF1Z_ARATH</v>
      </c>
      <c r="D5278" t="s">
        <v>4505</v>
      </c>
      <c r="E5278" s="3" t="s">
        <v>3</v>
      </c>
      <c r="F5278" s="4">
        <v>0</v>
      </c>
      <c r="G5278" s="3">
        <v>2064</v>
      </c>
      <c r="H5278" s="3">
        <v>92</v>
      </c>
      <c r="I5278" s="3">
        <v>437</v>
      </c>
      <c r="J5278" s="3">
        <v>206</v>
      </c>
      <c r="K5278" s="3">
        <v>1516</v>
      </c>
      <c r="L5278" s="3">
        <v>1</v>
      </c>
      <c r="M5278" s="3">
        <v>435</v>
      </c>
    </row>
    <row r="5279" spans="1:13" x14ac:dyDescent="0.25">
      <c r="A5279" s="1" t="str">
        <f>HYPERLINK("http://www.rosaceae.org/Prunus/Prunus_persica/p.persica_gdr_reftransV1_0017123","p.persica_gdr_reftransV1_0017123")</f>
        <v>p.persica_gdr_reftransV1_0017123</v>
      </c>
      <c r="B5279" s="3">
        <v>2611</v>
      </c>
      <c r="C5279" s="1" t="str">
        <f>HYPERLINK("http://www.uniprot.org/uniprot/CCX4_ARATH","CCX4_ARATH")</f>
        <v>CCX4_ARATH</v>
      </c>
      <c r="D5279" t="s">
        <v>4506</v>
      </c>
      <c r="E5279" s="3" t="s">
        <v>3</v>
      </c>
      <c r="F5279" s="4">
        <v>0</v>
      </c>
      <c r="G5279" s="3">
        <v>1839</v>
      </c>
      <c r="H5279" s="3">
        <v>61</v>
      </c>
      <c r="I5279" s="3">
        <v>621</v>
      </c>
      <c r="J5279" s="3">
        <v>284</v>
      </c>
      <c r="K5279" s="3">
        <v>2140</v>
      </c>
      <c r="L5279" s="3">
        <v>10</v>
      </c>
      <c r="M5279" s="3">
        <v>615</v>
      </c>
    </row>
    <row r="5280" spans="1:13" x14ac:dyDescent="0.25">
      <c r="A5280" s="1" t="str">
        <f>HYPERLINK("http://www.rosaceae.org/Prunus/Prunus_persica/p.persica_gdr_reftransV1_0017223","p.persica_gdr_reftransV1_0017223")</f>
        <v>p.persica_gdr_reftransV1_0017223</v>
      </c>
      <c r="B5280" s="3">
        <v>2310</v>
      </c>
      <c r="C5280" s="1" t="str">
        <f>HYPERLINK("http://www.uniprot.org/uniprot/SKU5_ARATH","SKU5_ARATH")</f>
        <v>SKU5_ARATH</v>
      </c>
      <c r="D5280" t="s">
        <v>2966</v>
      </c>
      <c r="E5280" s="3" t="s">
        <v>3</v>
      </c>
      <c r="F5280" s="4">
        <v>0</v>
      </c>
      <c r="G5280" s="3">
        <v>2366</v>
      </c>
      <c r="H5280" s="3">
        <v>79</v>
      </c>
      <c r="I5280" s="3">
        <v>570</v>
      </c>
      <c r="J5280" s="3">
        <v>340</v>
      </c>
      <c r="K5280" s="3">
        <v>2049</v>
      </c>
      <c r="L5280" s="3">
        <v>7</v>
      </c>
      <c r="M5280" s="3">
        <v>572</v>
      </c>
    </row>
    <row r="5281" spans="1:13" x14ac:dyDescent="0.25">
      <c r="A5281" s="1" t="str">
        <f>HYPERLINK("http://www.rosaceae.org/Prunus/Prunus_persica/p.persica_gdr_reftransV1_0017873","p.persica_gdr_reftransV1_0017873")</f>
        <v>p.persica_gdr_reftransV1_0017873</v>
      </c>
      <c r="B5281" s="3">
        <v>3824</v>
      </c>
      <c r="C5281" s="1" t="str">
        <f>HYPERLINK("http://www.uniprot.org/uniprot/GCSP_SOLTU","GCSP_SOLTU")</f>
        <v>GCSP_SOLTU</v>
      </c>
      <c r="D5281" t="s">
        <v>4507</v>
      </c>
      <c r="E5281" s="3" t="s">
        <v>11</v>
      </c>
      <c r="F5281" s="4">
        <v>0</v>
      </c>
      <c r="G5281" s="3">
        <v>4846</v>
      </c>
      <c r="H5281" s="3">
        <v>87</v>
      </c>
      <c r="I5281" s="3">
        <v>1039</v>
      </c>
      <c r="J5281" s="3">
        <v>203</v>
      </c>
      <c r="K5281" s="3">
        <v>3319</v>
      </c>
      <c r="L5281" s="3">
        <v>1</v>
      </c>
      <c r="M5281" s="3">
        <v>1021</v>
      </c>
    </row>
    <row r="5282" spans="1:13" x14ac:dyDescent="0.25">
      <c r="A5282" s="1" t="str">
        <f>HYPERLINK("http://www.rosaceae.org/Prunus/Prunus_persica/p.persica_gdr_reftransV1_0017923","p.persica_gdr_reftransV1_0017923")</f>
        <v>p.persica_gdr_reftransV1_0017923</v>
      </c>
      <c r="B5282" s="3">
        <v>2617</v>
      </c>
      <c r="C5282" s="1" t="str">
        <f>HYPERLINK("http://www.uniprot.org/uniprot/ZFNL_PEA","ZFNL_PEA")</f>
        <v>ZFNL_PEA</v>
      </c>
      <c r="D5282" t="s">
        <v>4508</v>
      </c>
      <c r="E5282" s="3" t="s">
        <v>60</v>
      </c>
      <c r="F5282" s="4">
        <v>5.9599999999999995E-91</v>
      </c>
      <c r="G5282" s="3">
        <v>768</v>
      </c>
      <c r="H5282" s="3">
        <v>81</v>
      </c>
      <c r="I5282" s="3">
        <v>185</v>
      </c>
      <c r="J5282" s="3">
        <v>401</v>
      </c>
      <c r="K5282" s="3">
        <v>955</v>
      </c>
      <c r="L5282" s="3">
        <v>233</v>
      </c>
      <c r="M5282" s="3">
        <v>416</v>
      </c>
    </row>
    <row r="5283" spans="1:13" x14ac:dyDescent="0.25">
      <c r="A5283" s="1" t="str">
        <f>HYPERLINK("http://www.rosaceae.org/Prunus/Prunus_persica/p.persica_gdr_reftransV1_0017973","p.persica_gdr_reftransV1_0017973")</f>
        <v>p.persica_gdr_reftransV1_0017973</v>
      </c>
      <c r="B5283" s="3">
        <v>3364</v>
      </c>
      <c r="C5283" s="1" t="str">
        <f>HYPERLINK("http://www.uniprot.org/uniprot/RH30_ARATH","RH30_ARATH")</f>
        <v>RH30_ARATH</v>
      </c>
      <c r="D5283" t="s">
        <v>4509</v>
      </c>
      <c r="E5283" s="3" t="s">
        <v>3</v>
      </c>
      <c r="F5283" s="4">
        <v>0</v>
      </c>
      <c r="G5283" s="3">
        <v>1618</v>
      </c>
      <c r="H5283" s="3">
        <v>82</v>
      </c>
      <c r="I5283" s="3">
        <v>366</v>
      </c>
      <c r="J5283" s="3">
        <v>760</v>
      </c>
      <c r="K5283" s="3">
        <v>1857</v>
      </c>
      <c r="L5283" s="3">
        <v>109</v>
      </c>
      <c r="M5283" s="3">
        <v>474</v>
      </c>
    </row>
    <row r="5284" spans="1:13" x14ac:dyDescent="0.25">
      <c r="A5284" s="1" t="str">
        <f>HYPERLINK("http://www.rosaceae.org/Prunus/Prunus_persica/p.persica_gdr_reftransV1_0018023","p.persica_gdr_reftransV1_0018023")</f>
        <v>p.persica_gdr_reftransV1_0018023</v>
      </c>
      <c r="B5284" s="3">
        <v>733</v>
      </c>
      <c r="C5284" s="1" t="str">
        <f>HYPERLINK("http://www.uniprot.org/uniprot/POLX_TOBAC","POLX_TOBAC")</f>
        <v>POLX_TOBAC</v>
      </c>
      <c r="D5284" t="s">
        <v>1253</v>
      </c>
      <c r="E5284" s="3" t="s">
        <v>200</v>
      </c>
      <c r="F5284" s="4">
        <v>6.6899999999999998E-36</v>
      </c>
      <c r="G5284" s="3">
        <v>354</v>
      </c>
      <c r="H5284" s="3">
        <v>46</v>
      </c>
      <c r="I5284" s="3">
        <v>150</v>
      </c>
      <c r="J5284" s="3">
        <v>282</v>
      </c>
      <c r="K5284" s="3">
        <v>731</v>
      </c>
      <c r="L5284" s="3">
        <v>828</v>
      </c>
      <c r="M5284" s="3">
        <v>977</v>
      </c>
    </row>
    <row r="5285" spans="1:13" x14ac:dyDescent="0.25">
      <c r="A5285" s="1" t="str">
        <f>HYPERLINK("http://www.rosaceae.org/Prunus/Prunus_persica/p.persica_gdr_reftransV1_0018323","p.persica_gdr_reftransV1_0018323")</f>
        <v>p.persica_gdr_reftransV1_0018323</v>
      </c>
      <c r="B5285" s="3">
        <v>1264</v>
      </c>
      <c r="C5285" s="1" t="str">
        <f>HYPERLINK("http://www.uniprot.org/uniprot/B3GTG_ARATH","B3GTG_ARATH")</f>
        <v>B3GTG_ARATH</v>
      </c>
      <c r="D5285" t="s">
        <v>3851</v>
      </c>
      <c r="E5285" s="3" t="s">
        <v>3</v>
      </c>
      <c r="F5285" s="4">
        <v>1.6400000000000001E-7</v>
      </c>
      <c r="G5285" s="3">
        <v>137</v>
      </c>
      <c r="H5285" s="3">
        <v>25</v>
      </c>
      <c r="I5285" s="3">
        <v>260</v>
      </c>
      <c r="J5285" s="3">
        <v>349</v>
      </c>
      <c r="K5285" s="3">
        <v>1050</v>
      </c>
      <c r="L5285" s="3">
        <v>327</v>
      </c>
      <c r="M5285" s="3">
        <v>573</v>
      </c>
    </row>
    <row r="5286" spans="1:13" x14ac:dyDescent="0.25">
      <c r="A5286" s="1" t="str">
        <f>HYPERLINK("http://www.rosaceae.org/Prunus/Prunus_persica/p.persica_gdr_reftransV1_0018623","p.persica_gdr_reftransV1_0018623")</f>
        <v>p.persica_gdr_reftransV1_0018623</v>
      </c>
      <c r="B5286" s="3">
        <v>1651</v>
      </c>
      <c r="C5286" s="1" t="str">
        <f>HYPERLINK("http://www.uniprot.org/uniprot/CCH_ARATH","CCH_ARATH")</f>
        <v>CCH_ARATH</v>
      </c>
      <c r="D5286" t="s">
        <v>4510</v>
      </c>
      <c r="E5286" s="3" t="s">
        <v>3</v>
      </c>
      <c r="F5286" s="4">
        <v>3.1299999999999998E-11</v>
      </c>
      <c r="G5286" s="3">
        <v>159</v>
      </c>
      <c r="H5286" s="3">
        <v>42</v>
      </c>
      <c r="I5286" s="3">
        <v>66</v>
      </c>
      <c r="J5286" s="3">
        <v>1</v>
      </c>
      <c r="K5286" s="3">
        <v>198</v>
      </c>
      <c r="L5286" s="3">
        <v>3</v>
      </c>
      <c r="M5286" s="3">
        <v>68</v>
      </c>
    </row>
    <row r="5287" spans="1:13" x14ac:dyDescent="0.25">
      <c r="A5287" s="1" t="str">
        <f>HYPERLINK("http://www.rosaceae.org/Prunus/Prunus_persica/p.persica_gdr_reftransV1_0018673","p.persica_gdr_reftransV1_0018673")</f>
        <v>p.persica_gdr_reftransV1_0018673</v>
      </c>
      <c r="B5287" s="3">
        <v>2229</v>
      </c>
      <c r="C5287" s="1" t="str">
        <f>HYPERLINK("http://www.uniprot.org/uniprot/CCZ1_NEMVE","CCZ1_NEMVE")</f>
        <v>CCZ1_NEMVE</v>
      </c>
      <c r="D5287" t="s">
        <v>4511</v>
      </c>
      <c r="E5287" s="3" t="s">
        <v>1392</v>
      </c>
      <c r="F5287" s="4">
        <v>2.6899999999999999E-21</v>
      </c>
      <c r="G5287" s="3">
        <v>251</v>
      </c>
      <c r="H5287" s="3">
        <v>28</v>
      </c>
      <c r="I5287" s="3">
        <v>267</v>
      </c>
      <c r="J5287" s="3">
        <v>1141</v>
      </c>
      <c r="K5287" s="3">
        <v>1887</v>
      </c>
      <c r="L5287" s="3">
        <v>8</v>
      </c>
      <c r="M5287" s="3">
        <v>263</v>
      </c>
    </row>
    <row r="5288" spans="1:13" x14ac:dyDescent="0.25">
      <c r="A5288" s="1" t="str">
        <f>HYPERLINK("http://www.rosaceae.org/Prunus/Prunus_persica/p.persica_gdr_reftransV1_0018723","p.persica_gdr_reftransV1_0018723")</f>
        <v>p.persica_gdr_reftransV1_0018723</v>
      </c>
      <c r="B5288" s="3">
        <v>2334</v>
      </c>
      <c r="C5288" s="1" t="str">
        <f>HYPERLINK("http://www.uniprot.org/uniprot/E70A1_ARATH","E70A1_ARATH")</f>
        <v>E70A1_ARATH</v>
      </c>
      <c r="D5288" t="s">
        <v>89</v>
      </c>
      <c r="E5288" s="3" t="s">
        <v>3</v>
      </c>
      <c r="F5288" s="4">
        <v>2.0899999999999998E-90</v>
      </c>
      <c r="G5288" s="3">
        <v>777</v>
      </c>
      <c r="H5288" s="3">
        <v>32</v>
      </c>
      <c r="I5288" s="3">
        <v>590</v>
      </c>
      <c r="J5288" s="3">
        <v>286</v>
      </c>
      <c r="K5288" s="3">
        <v>1965</v>
      </c>
      <c r="L5288" s="3">
        <v>66</v>
      </c>
      <c r="M5288" s="3">
        <v>632</v>
      </c>
    </row>
    <row r="5289" spans="1:13" x14ac:dyDescent="0.25">
      <c r="A5289" s="1" t="str">
        <f>HYPERLINK("http://www.rosaceae.org/Prunus/Prunus_persica/p.persica_gdr_reftransV1_0019073","p.persica_gdr_reftransV1_0019073")</f>
        <v>p.persica_gdr_reftransV1_0019073</v>
      </c>
      <c r="B5289" s="3">
        <v>3008</v>
      </c>
      <c r="C5289" s="1" t="str">
        <f>HYPERLINK("http://www.uniprot.org/uniprot/PP171_ARATH","PP171_ARATH")</f>
        <v>PP171_ARATH</v>
      </c>
      <c r="D5289" t="s">
        <v>4512</v>
      </c>
      <c r="E5289" s="3" t="s">
        <v>3</v>
      </c>
      <c r="F5289" s="4">
        <v>0</v>
      </c>
      <c r="G5289" s="3">
        <v>1542</v>
      </c>
      <c r="H5289" s="3">
        <v>46</v>
      </c>
      <c r="I5289" s="3">
        <v>712</v>
      </c>
      <c r="J5289" s="3">
        <v>1</v>
      </c>
      <c r="K5289" s="3">
        <v>2118</v>
      </c>
      <c r="L5289" s="3">
        <v>98</v>
      </c>
      <c r="M5289" s="3">
        <v>797</v>
      </c>
    </row>
    <row r="5290" spans="1:13" x14ac:dyDescent="0.25">
      <c r="A5290" s="1" t="str">
        <f>HYPERLINK("http://www.rosaceae.org/Prunus/Prunus_persica/p.persica_gdr_reftransV1_0019123","p.persica_gdr_reftransV1_0019123")</f>
        <v>p.persica_gdr_reftransV1_0019123</v>
      </c>
      <c r="B5290" s="3">
        <v>629</v>
      </c>
      <c r="C5290" s="1" t="str">
        <f>HYPERLINK("http://www.uniprot.org/uniprot/PP251_ARATH","PP251_ARATH")</f>
        <v>PP251_ARATH</v>
      </c>
      <c r="D5290" t="s">
        <v>1144</v>
      </c>
      <c r="E5290" s="3" t="s">
        <v>3</v>
      </c>
      <c r="F5290" s="4">
        <v>2.8899999999999998E-56</v>
      </c>
      <c r="G5290" s="3">
        <v>494</v>
      </c>
      <c r="H5290" s="3">
        <v>44</v>
      </c>
      <c r="I5290" s="3">
        <v>209</v>
      </c>
      <c r="J5290" s="3">
        <v>1</v>
      </c>
      <c r="K5290" s="3">
        <v>627</v>
      </c>
      <c r="L5290" s="3">
        <v>464</v>
      </c>
      <c r="M5290" s="3">
        <v>672</v>
      </c>
    </row>
    <row r="5291" spans="1:13" x14ac:dyDescent="0.25">
      <c r="A5291" s="1" t="str">
        <f>HYPERLINK("http://www.rosaceae.org/Prunus/Prunus_persica/p.persica_gdr_reftransV1_0019173","p.persica_gdr_reftransV1_0019173")</f>
        <v>p.persica_gdr_reftransV1_0019173</v>
      </c>
      <c r="B5291" s="3">
        <v>1929</v>
      </c>
      <c r="C5291" s="1" t="str">
        <f>HYPERLINK("http://www.uniprot.org/uniprot/SMU1_ARATH","SMU1_ARATH")</f>
        <v>SMU1_ARATH</v>
      </c>
      <c r="D5291" t="s">
        <v>4513</v>
      </c>
      <c r="E5291" s="3" t="s">
        <v>3</v>
      </c>
      <c r="F5291" s="4">
        <v>0</v>
      </c>
      <c r="G5291" s="3">
        <v>1923</v>
      </c>
      <c r="H5291" s="3">
        <v>78</v>
      </c>
      <c r="I5291" s="3">
        <v>464</v>
      </c>
      <c r="J5291" s="3">
        <v>350</v>
      </c>
      <c r="K5291" s="3">
        <v>1720</v>
      </c>
      <c r="L5291" s="3">
        <v>3</v>
      </c>
      <c r="M5291" s="3">
        <v>457</v>
      </c>
    </row>
    <row r="5292" spans="1:13" x14ac:dyDescent="0.25">
      <c r="A5292" s="1" t="str">
        <f>HYPERLINK("http://www.rosaceae.org/Prunus/Prunus_persica/p.persica_gdr_reftransV1_0019273","p.persica_gdr_reftransV1_0019273")</f>
        <v>p.persica_gdr_reftransV1_0019273</v>
      </c>
      <c r="B5292" s="3">
        <v>1932</v>
      </c>
      <c r="C5292" s="1" t="str">
        <f>HYPERLINK("http://www.uniprot.org/uniprot/PGTA_PIG","PGTA_PIG")</f>
        <v>PGTA_PIG</v>
      </c>
      <c r="D5292" t="s">
        <v>4514</v>
      </c>
      <c r="E5292" s="3" t="s">
        <v>1126</v>
      </c>
      <c r="F5292" s="4">
        <v>1.09E-27</v>
      </c>
      <c r="G5292" s="3">
        <v>304</v>
      </c>
      <c r="H5292" s="3">
        <v>37</v>
      </c>
      <c r="I5292" s="3">
        <v>212</v>
      </c>
      <c r="J5292" s="3">
        <v>1003</v>
      </c>
      <c r="K5292" s="3">
        <v>1629</v>
      </c>
      <c r="L5292" s="3">
        <v>45</v>
      </c>
      <c r="M5292" s="3">
        <v>244</v>
      </c>
    </row>
    <row r="5293" spans="1:13" x14ac:dyDescent="0.25">
      <c r="A5293" s="1" t="str">
        <f>HYPERLINK("http://www.rosaceae.org/Prunus/Prunus_persica/p.persica_gdr_reftransV1_0019423","p.persica_gdr_reftransV1_0019423")</f>
        <v>p.persica_gdr_reftransV1_0019423</v>
      </c>
      <c r="B5293" s="3">
        <v>3963</v>
      </c>
      <c r="C5293" s="1" t="str">
        <f>HYPERLINK("http://www.uniprot.org/uniprot/RPC2_MOUSE","RPC2_MOUSE")</f>
        <v>RPC2_MOUSE</v>
      </c>
      <c r="D5293" t="s">
        <v>4515</v>
      </c>
      <c r="E5293" s="3" t="s">
        <v>157</v>
      </c>
      <c r="F5293" s="4">
        <v>0</v>
      </c>
      <c r="G5293" s="3">
        <v>3289</v>
      </c>
      <c r="H5293" s="3">
        <v>58</v>
      </c>
      <c r="I5293" s="3">
        <v>1140</v>
      </c>
      <c r="J5293" s="3">
        <v>392</v>
      </c>
      <c r="K5293" s="3">
        <v>3787</v>
      </c>
      <c r="L5293" s="3">
        <v>10</v>
      </c>
      <c r="M5293" s="3">
        <v>1130</v>
      </c>
    </row>
    <row r="5294" spans="1:13" x14ac:dyDescent="0.25">
      <c r="A5294" s="1" t="str">
        <f>HYPERLINK("http://www.rosaceae.org/Prunus/Prunus_persica/p.persica_gdr_reftransV1_0019623","p.persica_gdr_reftransV1_0019623")</f>
        <v>p.persica_gdr_reftransV1_0019623</v>
      </c>
      <c r="B5294" s="3">
        <v>1170</v>
      </c>
      <c r="C5294" s="1" t="str">
        <f>HYPERLINK("http://www.uniprot.org/uniprot/SNAG_ARATH","SNAG_ARATH")</f>
        <v>SNAG_ARATH</v>
      </c>
      <c r="D5294" t="s">
        <v>4516</v>
      </c>
      <c r="E5294" s="3" t="s">
        <v>3</v>
      </c>
      <c r="F5294" s="4">
        <v>5.2400000000000002E-141</v>
      </c>
      <c r="G5294" s="3">
        <v>1054</v>
      </c>
      <c r="H5294" s="3">
        <v>72</v>
      </c>
      <c r="I5294" s="3">
        <v>292</v>
      </c>
      <c r="J5294" s="3">
        <v>224</v>
      </c>
      <c r="K5294" s="3">
        <v>1078</v>
      </c>
      <c r="L5294" s="3">
        <v>3</v>
      </c>
      <c r="M5294" s="3">
        <v>291</v>
      </c>
    </row>
    <row r="5295" spans="1:13" x14ac:dyDescent="0.25">
      <c r="A5295" s="1" t="str">
        <f>HYPERLINK("http://www.rosaceae.org/Prunus/Prunus_persica/p.persica_gdr_reftransV1_0019723","p.persica_gdr_reftransV1_0019723")</f>
        <v>p.persica_gdr_reftransV1_0019723</v>
      </c>
      <c r="B5295" s="3">
        <v>2458</v>
      </c>
      <c r="C5295" s="1" t="str">
        <f>HYPERLINK("http://www.uniprot.org/uniprot/AHL10_ARATH","AHL10_ARATH")</f>
        <v>AHL10_ARATH</v>
      </c>
      <c r="D5295" t="s">
        <v>4517</v>
      </c>
      <c r="E5295" s="3" t="s">
        <v>3</v>
      </c>
      <c r="F5295" s="4">
        <v>2.7699999999999999E-31</v>
      </c>
      <c r="G5295" s="3">
        <v>327</v>
      </c>
      <c r="H5295" s="3">
        <v>59</v>
      </c>
      <c r="I5295" s="3">
        <v>124</v>
      </c>
      <c r="J5295" s="3">
        <v>1364</v>
      </c>
      <c r="K5295" s="3">
        <v>1732</v>
      </c>
      <c r="L5295" s="3">
        <v>113</v>
      </c>
      <c r="M5295" s="3">
        <v>218</v>
      </c>
    </row>
    <row r="5296" spans="1:13" x14ac:dyDescent="0.25">
      <c r="A5296" s="1" t="str">
        <f>HYPERLINK("http://www.rosaceae.org/Prunus/Prunus_persica/p.persica_gdr_reftransV1_0019823","p.persica_gdr_reftransV1_0019823")</f>
        <v>p.persica_gdr_reftransV1_0019823</v>
      </c>
      <c r="B5296" s="3">
        <v>4359</v>
      </c>
      <c r="C5296" s="1" t="str">
        <f>HYPERLINK("http://www.uniprot.org/uniprot/PHOT2_ARATH","PHOT2_ARATH")</f>
        <v>PHOT2_ARATH</v>
      </c>
      <c r="D5296" t="s">
        <v>4518</v>
      </c>
      <c r="E5296" s="3" t="s">
        <v>3</v>
      </c>
      <c r="F5296" s="4">
        <v>0</v>
      </c>
      <c r="G5296" s="3">
        <v>1894</v>
      </c>
      <c r="H5296" s="3">
        <v>68</v>
      </c>
      <c r="I5296" s="3">
        <v>567</v>
      </c>
      <c r="J5296" s="3">
        <v>2014</v>
      </c>
      <c r="K5296" s="3">
        <v>3699</v>
      </c>
      <c r="L5296" s="3">
        <v>62</v>
      </c>
      <c r="M5296" s="3">
        <v>589</v>
      </c>
    </row>
    <row r="5297" spans="1:13" x14ac:dyDescent="0.25">
      <c r="A5297" s="1" t="str">
        <f>HYPERLINK("http://www.rosaceae.org/Prunus/Prunus_persica/p.persica_gdr_reftransV1_0019973","p.persica_gdr_reftransV1_0019973")</f>
        <v>p.persica_gdr_reftransV1_0019973</v>
      </c>
      <c r="B5297" s="3">
        <v>792</v>
      </c>
      <c r="C5297" s="1" t="str">
        <f>HYPERLINK("http://www.uniprot.org/uniprot/MCA1_ARATH","MCA1_ARATH")</f>
        <v>MCA1_ARATH</v>
      </c>
      <c r="D5297" t="s">
        <v>962</v>
      </c>
      <c r="E5297" s="3" t="s">
        <v>3</v>
      </c>
      <c r="F5297" s="4">
        <v>1.6500000000000001E-71</v>
      </c>
      <c r="G5297" s="3">
        <v>586</v>
      </c>
      <c r="H5297" s="3">
        <v>76</v>
      </c>
      <c r="I5297" s="3">
        <v>138</v>
      </c>
      <c r="J5297" s="3">
        <v>5</v>
      </c>
      <c r="K5297" s="3">
        <v>418</v>
      </c>
      <c r="L5297" s="3">
        <v>143</v>
      </c>
      <c r="M5297" s="3">
        <v>280</v>
      </c>
    </row>
    <row r="5298" spans="1:13" x14ac:dyDescent="0.25">
      <c r="A5298" s="1" t="str">
        <f>HYPERLINK("http://www.rosaceae.org/Prunus/Prunus_persica/p.persica_gdr_reftransV1_0020073","p.persica_gdr_reftransV1_0020073")</f>
        <v>p.persica_gdr_reftransV1_0020073</v>
      </c>
      <c r="B5298" s="3">
        <v>1753</v>
      </c>
      <c r="C5298" s="1" t="str">
        <f>HYPERLINK("http://www.uniprot.org/uniprot/LCKB2_ARATH","LCKB2_ARATH")</f>
        <v>LCKB2_ARATH</v>
      </c>
      <c r="D5298" t="s">
        <v>4519</v>
      </c>
      <c r="E5298" s="3" t="s">
        <v>3</v>
      </c>
      <c r="F5298" s="4">
        <v>4.0099999999999998E-169</v>
      </c>
      <c r="G5298" s="3">
        <v>1267</v>
      </c>
      <c r="H5298" s="3">
        <v>78</v>
      </c>
      <c r="I5298" s="3">
        <v>309</v>
      </c>
      <c r="J5298" s="3">
        <v>258</v>
      </c>
      <c r="K5298" s="3">
        <v>1184</v>
      </c>
      <c r="L5298" s="3">
        <v>55</v>
      </c>
      <c r="M5298" s="3">
        <v>363</v>
      </c>
    </row>
    <row r="5299" spans="1:13" x14ac:dyDescent="0.25">
      <c r="A5299" s="1" t="str">
        <f>HYPERLINK("http://www.rosaceae.org/Prunus/Prunus_persica/p.persica_gdr_reftransV1_0020223","p.persica_gdr_reftransV1_0020223")</f>
        <v>p.persica_gdr_reftransV1_0020223</v>
      </c>
      <c r="B5299" s="3">
        <v>3316</v>
      </c>
      <c r="C5299" s="1" t="str">
        <f>HYPERLINK("http://www.uniprot.org/uniprot/DJC14_HUMAN","DJC14_HUMAN")</f>
        <v>DJC14_HUMAN</v>
      </c>
      <c r="D5299" t="s">
        <v>4520</v>
      </c>
      <c r="E5299" s="3" t="s">
        <v>28</v>
      </c>
      <c r="F5299" s="4">
        <v>1.0500000000000001E-16</v>
      </c>
      <c r="G5299" s="3">
        <v>219</v>
      </c>
      <c r="H5299" s="3">
        <v>30</v>
      </c>
      <c r="I5299" s="3">
        <v>253</v>
      </c>
      <c r="J5299" s="3">
        <v>1601</v>
      </c>
      <c r="K5299" s="3">
        <v>2326</v>
      </c>
      <c r="L5299" s="3">
        <v>402</v>
      </c>
      <c r="M5299" s="3">
        <v>620</v>
      </c>
    </row>
    <row r="5300" spans="1:13" x14ac:dyDescent="0.25">
      <c r="A5300" s="1" t="str">
        <f>HYPERLINK("http://www.rosaceae.org/Prunus/Prunus_persica/p.persica_gdr_reftransV1_0020573","p.persica_gdr_reftransV1_0020573")</f>
        <v>p.persica_gdr_reftransV1_0020573</v>
      </c>
      <c r="B5300" s="3">
        <v>2129</v>
      </c>
      <c r="C5300" s="1" t="str">
        <f>HYPERLINK("http://www.uniprot.org/uniprot/Y5483_ARATH","Y5483_ARATH")</f>
        <v>Y5483_ARATH</v>
      </c>
      <c r="D5300" t="s">
        <v>4521</v>
      </c>
      <c r="E5300" s="3" t="s">
        <v>3</v>
      </c>
      <c r="F5300" s="4">
        <v>5.2200000000000002E-102</v>
      </c>
      <c r="G5300" s="3">
        <v>827</v>
      </c>
      <c r="H5300" s="3">
        <v>80</v>
      </c>
      <c r="I5300" s="3">
        <v>230</v>
      </c>
      <c r="J5300" s="3">
        <v>740</v>
      </c>
      <c r="K5300" s="3">
        <v>1426</v>
      </c>
      <c r="L5300" s="3">
        <v>3</v>
      </c>
      <c r="M5300" s="3">
        <v>231</v>
      </c>
    </row>
    <row r="5301" spans="1:13" x14ac:dyDescent="0.25">
      <c r="A5301" s="1" t="str">
        <f>HYPERLINK("http://www.rosaceae.org/Prunus/Prunus_persica/p.persica_gdr_reftransV1_0020623","p.persica_gdr_reftransV1_0020623")</f>
        <v>p.persica_gdr_reftransV1_0020623</v>
      </c>
      <c r="B5301" s="3">
        <v>1065</v>
      </c>
      <c r="C5301" s="1" t="str">
        <f>HYPERLINK("http://www.uniprot.org/uniprot/PSA3_SPIOL","PSA3_SPIOL")</f>
        <v>PSA3_SPIOL</v>
      </c>
      <c r="D5301" t="s">
        <v>3357</v>
      </c>
      <c r="E5301" s="3" t="s">
        <v>131</v>
      </c>
      <c r="F5301" s="4">
        <v>6.0499999999999999E-58</v>
      </c>
      <c r="G5301" s="3">
        <v>493</v>
      </c>
      <c r="H5301" s="3">
        <v>90</v>
      </c>
      <c r="I5301" s="3">
        <v>100</v>
      </c>
      <c r="J5301" s="3">
        <v>1</v>
      </c>
      <c r="K5301" s="3">
        <v>300</v>
      </c>
      <c r="L5301" s="3">
        <v>80</v>
      </c>
      <c r="M5301" s="3">
        <v>179</v>
      </c>
    </row>
    <row r="5302" spans="1:13" x14ac:dyDescent="0.25">
      <c r="A5302" s="1" t="str">
        <f>HYPERLINK("http://www.rosaceae.org/Prunus/Prunus_persica/p.persica_gdr_reftransV1_0020723","p.persica_gdr_reftransV1_0020723")</f>
        <v>p.persica_gdr_reftransV1_0020723</v>
      </c>
      <c r="B5302" s="3">
        <v>2381</v>
      </c>
      <c r="C5302" s="1" t="str">
        <f>HYPERLINK("http://www.uniprot.org/uniprot/DONS_MOUSE","DONS_MOUSE")</f>
        <v>DONS_MOUSE</v>
      </c>
      <c r="D5302" t="s">
        <v>4522</v>
      </c>
      <c r="E5302" s="3" t="s">
        <v>157</v>
      </c>
      <c r="F5302" s="4">
        <v>1.9300000000000001E-13</v>
      </c>
      <c r="G5302" s="3">
        <v>189</v>
      </c>
      <c r="H5302" s="3">
        <v>24</v>
      </c>
      <c r="I5302" s="3">
        <v>328</v>
      </c>
      <c r="J5302" s="3">
        <v>637</v>
      </c>
      <c r="K5302" s="3">
        <v>1479</v>
      </c>
      <c r="L5302" s="3">
        <v>129</v>
      </c>
      <c r="M5302" s="3">
        <v>440</v>
      </c>
    </row>
    <row r="5303" spans="1:13" x14ac:dyDescent="0.25">
      <c r="A5303" s="1" t="str">
        <f>HYPERLINK("http://www.rosaceae.org/Prunus/Prunus_persica/p.persica_gdr_reftransV1_0020923","p.persica_gdr_reftransV1_0020923")</f>
        <v>p.persica_gdr_reftransV1_0020923</v>
      </c>
      <c r="B5303" s="3">
        <v>3893</v>
      </c>
      <c r="C5303" s="1" t="str">
        <f>HYPERLINK("http://www.uniprot.org/uniprot/YPRA_BACSU","YPRA_BACSU")</f>
        <v>YPRA_BACSU</v>
      </c>
      <c r="D5303" t="s">
        <v>4523</v>
      </c>
      <c r="E5303" s="3" t="s">
        <v>1630</v>
      </c>
      <c r="F5303" s="4">
        <v>1.5099999999999999E-92</v>
      </c>
      <c r="G5303" s="3">
        <v>821</v>
      </c>
      <c r="H5303" s="3">
        <v>39</v>
      </c>
      <c r="I5303" s="3">
        <v>458</v>
      </c>
      <c r="J5303" s="3">
        <v>1202</v>
      </c>
      <c r="K5303" s="3">
        <v>2575</v>
      </c>
      <c r="L5303" s="3">
        <v>19</v>
      </c>
      <c r="M5303" s="3">
        <v>451</v>
      </c>
    </row>
    <row r="5304" spans="1:13" x14ac:dyDescent="0.25">
      <c r="A5304" s="1" t="str">
        <f>HYPERLINK("http://www.rosaceae.org/Prunus/Prunus_persica/p.persica_gdr_reftransV1_0021073","p.persica_gdr_reftransV1_0021073")</f>
        <v>p.persica_gdr_reftransV1_0021073</v>
      </c>
      <c r="B5304" s="3">
        <v>454</v>
      </c>
      <c r="C5304" s="1" t="str">
        <f>HYPERLINK("http://www.uniprot.org/uniprot/ILL3_ARATH","ILL3_ARATH")</f>
        <v>ILL3_ARATH</v>
      </c>
      <c r="D5304" t="s">
        <v>4524</v>
      </c>
      <c r="E5304" s="3" t="s">
        <v>3</v>
      </c>
      <c r="F5304" s="4">
        <v>5.6100000000000001E-43</v>
      </c>
      <c r="G5304" s="3">
        <v>384</v>
      </c>
      <c r="H5304" s="3">
        <v>76</v>
      </c>
      <c r="I5304" s="3">
        <v>88</v>
      </c>
      <c r="J5304" s="3">
        <v>189</v>
      </c>
      <c r="K5304" s="3">
        <v>452</v>
      </c>
      <c r="L5304" s="3">
        <v>40</v>
      </c>
      <c r="M5304" s="3">
        <v>127</v>
      </c>
    </row>
    <row r="5305" spans="1:13" x14ac:dyDescent="0.25">
      <c r="A5305" s="1" t="str">
        <f>HYPERLINK("http://www.rosaceae.org/Prunus/Prunus_persica/p.persica_gdr_reftransV1_0021273","p.persica_gdr_reftransV1_0021273")</f>
        <v>p.persica_gdr_reftransV1_0021273</v>
      </c>
      <c r="B5305" s="3">
        <v>2414</v>
      </c>
      <c r="C5305" s="1" t="str">
        <f>HYPERLINK("http://www.uniprot.org/uniprot/LAC15_ARATH","LAC15_ARATH")</f>
        <v>LAC15_ARATH</v>
      </c>
      <c r="D5305" t="s">
        <v>4525</v>
      </c>
      <c r="E5305" s="3" t="s">
        <v>3</v>
      </c>
      <c r="F5305" s="4">
        <v>1.74E-117</v>
      </c>
      <c r="G5305" s="3">
        <v>959</v>
      </c>
      <c r="H5305" s="3">
        <v>50</v>
      </c>
      <c r="I5305" s="3">
        <v>385</v>
      </c>
      <c r="J5305" s="3">
        <v>1056</v>
      </c>
      <c r="K5305" s="3">
        <v>2192</v>
      </c>
      <c r="L5305" s="3">
        <v>22</v>
      </c>
      <c r="M5305" s="3">
        <v>401</v>
      </c>
    </row>
    <row r="5306" spans="1:13" x14ac:dyDescent="0.25">
      <c r="A5306" s="1" t="str">
        <f>HYPERLINK("http://www.rosaceae.org/Prunus/Prunus_persica/p.persica_gdr_reftransV1_0021323","p.persica_gdr_reftransV1_0021323")</f>
        <v>p.persica_gdr_reftransV1_0021323</v>
      </c>
      <c r="B5306" s="3">
        <v>3370</v>
      </c>
      <c r="C5306" s="1" t="str">
        <f>HYPERLINK("http://www.uniprot.org/uniprot/ARK1_ARATH","ARK1_ARATH")</f>
        <v>ARK1_ARATH</v>
      </c>
      <c r="D5306" t="s">
        <v>4526</v>
      </c>
      <c r="E5306" s="3" t="s">
        <v>3</v>
      </c>
      <c r="F5306" s="4">
        <v>0</v>
      </c>
      <c r="G5306" s="3">
        <v>3142</v>
      </c>
      <c r="H5306" s="3">
        <v>65</v>
      </c>
      <c r="I5306" s="3">
        <v>986</v>
      </c>
      <c r="J5306" s="3">
        <v>212</v>
      </c>
      <c r="K5306" s="3">
        <v>3166</v>
      </c>
      <c r="L5306" s="3">
        <v>97</v>
      </c>
      <c r="M5306" s="3">
        <v>1049</v>
      </c>
    </row>
    <row r="5307" spans="1:13" x14ac:dyDescent="0.25">
      <c r="A5307" s="1" t="str">
        <f>HYPERLINK("http://www.rosaceae.org/Prunus/Prunus_persica/p.persica_gdr_reftransV1_0021373","p.persica_gdr_reftransV1_0021373")</f>
        <v>p.persica_gdr_reftransV1_0021373</v>
      </c>
      <c r="B5307" s="3">
        <v>2931</v>
      </c>
      <c r="C5307" s="1" t="str">
        <f>HYPERLINK("http://www.uniprot.org/uniprot/TPPG_ARATH","TPPG_ARATH")</f>
        <v>TPPG_ARATH</v>
      </c>
      <c r="D5307" t="s">
        <v>324</v>
      </c>
      <c r="E5307" s="3" t="s">
        <v>3</v>
      </c>
      <c r="F5307" s="4">
        <v>4.0699999999999998E-137</v>
      </c>
      <c r="G5307" s="3">
        <v>671</v>
      </c>
      <c r="H5307" s="3">
        <v>59</v>
      </c>
      <c r="I5307" s="3">
        <v>232</v>
      </c>
      <c r="J5307" s="3">
        <v>1095</v>
      </c>
      <c r="K5307" s="3">
        <v>1787</v>
      </c>
      <c r="L5307" s="3">
        <v>1</v>
      </c>
      <c r="M5307" s="3">
        <v>219</v>
      </c>
    </row>
    <row r="5308" spans="1:13" x14ac:dyDescent="0.25">
      <c r="A5308" s="1" t="str">
        <f>HYPERLINK("http://www.rosaceae.org/Prunus/Prunus_persica/p.persica_gdr_reftransV1_0021473","p.persica_gdr_reftransV1_0021473")</f>
        <v>p.persica_gdr_reftransV1_0021473</v>
      </c>
      <c r="B5308" s="3">
        <v>2208</v>
      </c>
      <c r="C5308" s="1" t="str">
        <f>HYPERLINK("http://www.uniprot.org/uniprot/PSS1_ARATH","PSS1_ARATH")</f>
        <v>PSS1_ARATH</v>
      </c>
      <c r="D5308" t="s">
        <v>4527</v>
      </c>
      <c r="E5308" s="3" t="s">
        <v>3</v>
      </c>
      <c r="F5308" s="4">
        <v>0</v>
      </c>
      <c r="G5308" s="3">
        <v>1887</v>
      </c>
      <c r="H5308" s="3">
        <v>81</v>
      </c>
      <c r="I5308" s="3">
        <v>427</v>
      </c>
      <c r="J5308" s="3">
        <v>470</v>
      </c>
      <c r="K5308" s="3">
        <v>1747</v>
      </c>
      <c r="L5308" s="3">
        <v>1</v>
      </c>
      <c r="M5308" s="3">
        <v>425</v>
      </c>
    </row>
    <row r="5309" spans="1:13" x14ac:dyDescent="0.25">
      <c r="A5309" s="1" t="str">
        <f>HYPERLINK("http://www.rosaceae.org/Prunus/Prunus_persica/p.persica_gdr_reftransV1_0021823","p.persica_gdr_reftransV1_0021823")</f>
        <v>p.persica_gdr_reftransV1_0021823</v>
      </c>
      <c r="B5309" s="3">
        <v>2897</v>
      </c>
      <c r="C5309" s="1" t="str">
        <f>HYPERLINK("http://www.uniprot.org/uniprot/TTG1_ARATH","TTG1_ARATH")</f>
        <v>TTG1_ARATH</v>
      </c>
      <c r="D5309" t="s">
        <v>4528</v>
      </c>
      <c r="E5309" s="3" t="s">
        <v>3</v>
      </c>
      <c r="F5309" s="4">
        <v>0</v>
      </c>
      <c r="G5309" s="3">
        <v>1472</v>
      </c>
      <c r="H5309" s="3">
        <v>81</v>
      </c>
      <c r="I5309" s="3">
        <v>341</v>
      </c>
      <c r="J5309" s="3">
        <v>1722</v>
      </c>
      <c r="K5309" s="3">
        <v>2738</v>
      </c>
      <c r="L5309" s="3">
        <v>4</v>
      </c>
      <c r="M5309" s="3">
        <v>341</v>
      </c>
    </row>
    <row r="5310" spans="1:13" x14ac:dyDescent="0.25">
      <c r="A5310" s="1" t="str">
        <f>HYPERLINK("http://www.rosaceae.org/Prunus/Prunus_persica/p.persica_gdr_reftransV1_0021873","p.persica_gdr_reftransV1_0021873")</f>
        <v>p.persica_gdr_reftransV1_0021873</v>
      </c>
      <c r="B5310" s="3">
        <v>1184</v>
      </c>
      <c r="C5310" s="1" t="str">
        <f>HYPERLINK("http://www.uniprot.org/uniprot/YIPF7_HUMAN","YIPF7_HUMAN")</f>
        <v>YIPF7_HUMAN</v>
      </c>
      <c r="D5310" t="s">
        <v>4529</v>
      </c>
      <c r="E5310" s="3" t="s">
        <v>28</v>
      </c>
      <c r="F5310" s="4">
        <v>1.2800000000000001E-28</v>
      </c>
      <c r="G5310" s="3">
        <v>293</v>
      </c>
      <c r="H5310" s="3">
        <v>37</v>
      </c>
      <c r="I5310" s="3">
        <v>174</v>
      </c>
      <c r="J5310" s="3">
        <v>294</v>
      </c>
      <c r="K5310" s="3">
        <v>812</v>
      </c>
      <c r="L5310" s="3">
        <v>110</v>
      </c>
      <c r="M5310" s="3">
        <v>280</v>
      </c>
    </row>
    <row r="5311" spans="1:13" x14ac:dyDescent="0.25">
      <c r="A5311" s="1" t="str">
        <f>HYPERLINK("http://www.rosaceae.org/Prunus/Prunus_persica/p.persica_gdr_reftransV1_0022223","p.persica_gdr_reftransV1_0022223")</f>
        <v>p.persica_gdr_reftransV1_0022223</v>
      </c>
      <c r="B5311" s="3">
        <v>1907</v>
      </c>
      <c r="C5311" s="1" t="str">
        <f>HYPERLINK("http://www.uniprot.org/uniprot/FRS5_ARATH","FRS5_ARATH")</f>
        <v>FRS5_ARATH</v>
      </c>
      <c r="D5311" t="s">
        <v>908</v>
      </c>
      <c r="E5311" s="3" t="s">
        <v>3</v>
      </c>
      <c r="F5311" s="4">
        <v>0</v>
      </c>
      <c r="G5311" s="3">
        <v>1681</v>
      </c>
      <c r="H5311" s="3">
        <v>57</v>
      </c>
      <c r="I5311" s="3">
        <v>527</v>
      </c>
      <c r="J5311" s="3">
        <v>4</v>
      </c>
      <c r="K5311" s="3">
        <v>1536</v>
      </c>
      <c r="L5311" s="3">
        <v>251</v>
      </c>
      <c r="M5311" s="3">
        <v>773</v>
      </c>
    </row>
    <row r="5312" spans="1:13" x14ac:dyDescent="0.25">
      <c r="A5312" s="1" t="str">
        <f>HYPERLINK("http://www.rosaceae.org/Prunus/Prunus_persica/p.persica_gdr_reftransV1_0022673","p.persica_gdr_reftransV1_0022673")</f>
        <v>p.persica_gdr_reftransV1_0022673</v>
      </c>
      <c r="B5312" s="3">
        <v>1838</v>
      </c>
      <c r="C5312" s="1" t="str">
        <f>HYPERLINK("http://www.uniprot.org/uniprot/YC20L_ARATH","YC20L_ARATH")</f>
        <v>YC20L_ARATH</v>
      </c>
      <c r="D5312" t="s">
        <v>4530</v>
      </c>
      <c r="E5312" s="3" t="s">
        <v>3</v>
      </c>
      <c r="F5312" s="4">
        <v>1.2400000000000001E-64</v>
      </c>
      <c r="G5312" s="3">
        <v>552</v>
      </c>
      <c r="H5312" s="3">
        <v>68</v>
      </c>
      <c r="I5312" s="3">
        <v>166</v>
      </c>
      <c r="J5312" s="3">
        <v>211</v>
      </c>
      <c r="K5312" s="3">
        <v>699</v>
      </c>
      <c r="L5312" s="3">
        <v>32</v>
      </c>
      <c r="M5312" s="3">
        <v>197</v>
      </c>
    </row>
    <row r="5313" spans="1:13" x14ac:dyDescent="0.25">
      <c r="A5313" s="1" t="str">
        <f>HYPERLINK("http://www.rosaceae.org/Prunus/Prunus_persica/p.persica_gdr_reftransV1_0022823","p.persica_gdr_reftransV1_0022823")</f>
        <v>p.persica_gdr_reftransV1_0022823</v>
      </c>
      <c r="B5313" s="3">
        <v>3588</v>
      </c>
      <c r="C5313" s="1" t="str">
        <f>HYPERLINK("http://www.uniprot.org/uniprot/C3H41_ARATH","C3H41_ARATH")</f>
        <v>C3H41_ARATH</v>
      </c>
      <c r="D5313" t="s">
        <v>4531</v>
      </c>
      <c r="E5313" s="3" t="s">
        <v>3</v>
      </c>
      <c r="F5313" s="4">
        <v>0</v>
      </c>
      <c r="G5313" s="3">
        <v>1646</v>
      </c>
      <c r="H5313" s="3">
        <v>48</v>
      </c>
      <c r="I5313" s="3">
        <v>867</v>
      </c>
      <c r="J5313" s="3">
        <v>619</v>
      </c>
      <c r="K5313" s="3">
        <v>3162</v>
      </c>
      <c r="L5313" s="3">
        <v>1</v>
      </c>
      <c r="M5313" s="3">
        <v>802</v>
      </c>
    </row>
    <row r="5314" spans="1:13" x14ac:dyDescent="0.25">
      <c r="A5314" s="1" t="str">
        <f>HYPERLINK("http://www.rosaceae.org/Prunus/Prunus_persica/p.persica_gdr_reftransV1_0022923","p.persica_gdr_reftransV1_0022923")</f>
        <v>p.persica_gdr_reftransV1_0022923</v>
      </c>
      <c r="B5314" s="3">
        <v>1709</v>
      </c>
      <c r="C5314" s="1" t="str">
        <f>HYPERLINK("http://www.uniprot.org/uniprot/PSMD4_ARATH","PSMD4_ARATH")</f>
        <v>PSMD4_ARATH</v>
      </c>
      <c r="D5314" t="s">
        <v>4532</v>
      </c>
      <c r="E5314" s="3" t="s">
        <v>3</v>
      </c>
      <c r="F5314" s="4">
        <v>8.1799999999999998E-136</v>
      </c>
      <c r="G5314" s="3">
        <v>1046</v>
      </c>
      <c r="H5314" s="3">
        <v>62</v>
      </c>
      <c r="I5314" s="3">
        <v>408</v>
      </c>
      <c r="J5314" s="3">
        <v>88</v>
      </c>
      <c r="K5314" s="3">
        <v>1302</v>
      </c>
      <c r="L5314" s="3">
        <v>1</v>
      </c>
      <c r="M5314" s="3">
        <v>385</v>
      </c>
    </row>
    <row r="5315" spans="1:13" x14ac:dyDescent="0.25">
      <c r="A5315" s="1" t="str">
        <f>HYPERLINK("http://www.rosaceae.org/Prunus/Prunus_persica/p.persica_gdr_reftransV1_0023123","p.persica_gdr_reftransV1_0023123")</f>
        <v>p.persica_gdr_reftransV1_0023123</v>
      </c>
      <c r="B5315" s="3">
        <v>2076</v>
      </c>
      <c r="C5315" s="1" t="str">
        <f>HYPERLINK("http://www.uniprot.org/uniprot/PPR68_ARATH","PPR68_ARATH")</f>
        <v>PPR68_ARATH</v>
      </c>
      <c r="D5315" t="s">
        <v>4533</v>
      </c>
      <c r="E5315" s="3" t="s">
        <v>3</v>
      </c>
      <c r="F5315" s="4">
        <v>0</v>
      </c>
      <c r="G5315" s="3">
        <v>1833</v>
      </c>
      <c r="H5315" s="3">
        <v>59</v>
      </c>
      <c r="I5315" s="3">
        <v>594</v>
      </c>
      <c r="J5315" s="3">
        <v>1</v>
      </c>
      <c r="K5315" s="3">
        <v>1761</v>
      </c>
      <c r="L5315" s="3">
        <v>1</v>
      </c>
      <c r="M5315" s="3">
        <v>591</v>
      </c>
    </row>
    <row r="5316" spans="1:13" x14ac:dyDescent="0.25">
      <c r="A5316" s="1" t="str">
        <f>HYPERLINK("http://www.rosaceae.org/Prunus/Prunus_persica/p.persica_gdr_reftransV1_0023323","p.persica_gdr_reftransV1_0023323")</f>
        <v>p.persica_gdr_reftransV1_0023323</v>
      </c>
      <c r="B5316" s="3">
        <v>1818</v>
      </c>
      <c r="C5316" s="1" t="str">
        <f>HYPERLINK("http://www.uniprot.org/uniprot/RL11_MEDSA","RL11_MEDSA")</f>
        <v>RL11_MEDSA</v>
      </c>
      <c r="D5316" t="s">
        <v>1192</v>
      </c>
      <c r="E5316" s="3" t="s">
        <v>515</v>
      </c>
      <c r="F5316" s="4">
        <v>9.3599999999999999E-69</v>
      </c>
      <c r="G5316" s="3">
        <v>578</v>
      </c>
      <c r="H5316" s="3">
        <v>94</v>
      </c>
      <c r="I5316" s="3">
        <v>136</v>
      </c>
      <c r="J5316" s="3">
        <v>1133</v>
      </c>
      <c r="K5316" s="3">
        <v>1540</v>
      </c>
      <c r="L5316" s="3">
        <v>46</v>
      </c>
      <c r="M5316" s="3">
        <v>181</v>
      </c>
    </row>
    <row r="5317" spans="1:13" x14ac:dyDescent="0.25">
      <c r="A5317" s="1" t="str">
        <f>HYPERLINK("http://www.rosaceae.org/Prunus/Prunus_persica/p.persica_gdr_reftransV1_0023373","p.persica_gdr_reftransV1_0023373")</f>
        <v>p.persica_gdr_reftransV1_0023373</v>
      </c>
      <c r="B5317" s="3">
        <v>860</v>
      </c>
      <c r="C5317" s="1" t="str">
        <f>HYPERLINK("http://www.uniprot.org/uniprot/HSP16_SOYBN","HSP16_SOYBN")</f>
        <v>HSP16_SOYBN</v>
      </c>
      <c r="D5317" t="s">
        <v>4534</v>
      </c>
      <c r="E5317" s="3" t="s">
        <v>307</v>
      </c>
      <c r="F5317" s="4">
        <v>1.1E-73</v>
      </c>
      <c r="G5317" s="3">
        <v>585</v>
      </c>
      <c r="H5317" s="3">
        <v>81</v>
      </c>
      <c r="I5317" s="3">
        <v>161</v>
      </c>
      <c r="J5317" s="3">
        <v>111</v>
      </c>
      <c r="K5317" s="3">
        <v>584</v>
      </c>
      <c r="L5317" s="3">
        <v>1</v>
      </c>
      <c r="M5317" s="3">
        <v>161</v>
      </c>
    </row>
    <row r="5318" spans="1:13" x14ac:dyDescent="0.25">
      <c r="A5318" s="1" t="str">
        <f>HYPERLINK("http://www.rosaceae.org/Prunus/Prunus_persica/p.persica_gdr_reftransV1_0023973","p.persica_gdr_reftransV1_0023973")</f>
        <v>p.persica_gdr_reftransV1_0023973</v>
      </c>
      <c r="B5318" s="3">
        <v>1536</v>
      </c>
      <c r="C5318" s="1" t="str">
        <f>HYPERLINK("http://www.uniprot.org/uniprot/FUT13_ARATH","FUT13_ARATH")</f>
        <v>FUT13_ARATH</v>
      </c>
      <c r="D5318" t="s">
        <v>4535</v>
      </c>
      <c r="E5318" s="3" t="s">
        <v>3</v>
      </c>
      <c r="F5318" s="4">
        <v>1.87E-137</v>
      </c>
      <c r="G5318" s="3">
        <v>1053</v>
      </c>
      <c r="H5318" s="3">
        <v>76</v>
      </c>
      <c r="I5318" s="3">
        <v>244</v>
      </c>
      <c r="J5318" s="3">
        <v>618</v>
      </c>
      <c r="K5318" s="3">
        <v>1349</v>
      </c>
      <c r="L5318" s="3">
        <v>156</v>
      </c>
      <c r="M5318" s="3">
        <v>399</v>
      </c>
    </row>
    <row r="5319" spans="1:13" x14ac:dyDescent="0.25">
      <c r="A5319" s="1" t="str">
        <f>HYPERLINK("http://www.rosaceae.org/Prunus/Prunus_persica/p.persica_gdr_reftransV1_0024273","p.persica_gdr_reftransV1_0024273")</f>
        <v>p.persica_gdr_reftransV1_0024273</v>
      </c>
      <c r="B5319" s="3">
        <v>3861</v>
      </c>
      <c r="C5319" s="1" t="str">
        <f>HYPERLINK("http://www.uniprot.org/uniprot/MGAT3_HUMAN","MGAT3_HUMAN")</f>
        <v>MGAT3_HUMAN</v>
      </c>
      <c r="D5319" t="s">
        <v>4536</v>
      </c>
      <c r="E5319" s="3" t="s">
        <v>28</v>
      </c>
      <c r="F5319" s="4">
        <v>7.55E-15</v>
      </c>
      <c r="G5319" s="3">
        <v>203</v>
      </c>
      <c r="H5319" s="3">
        <v>25</v>
      </c>
      <c r="I5319" s="3">
        <v>312</v>
      </c>
      <c r="J5319" s="3">
        <v>801</v>
      </c>
      <c r="K5319" s="3">
        <v>1619</v>
      </c>
      <c r="L5319" s="3">
        <v>202</v>
      </c>
      <c r="M5319" s="3">
        <v>498</v>
      </c>
    </row>
    <row r="5320" spans="1:13" x14ac:dyDescent="0.25">
      <c r="A5320" s="1" t="str">
        <f>HYPERLINK("http://www.rosaceae.org/Prunus/Prunus_persica/p.persica_gdr_reftransV1_0024473","p.persica_gdr_reftransV1_0024473")</f>
        <v>p.persica_gdr_reftransV1_0024473</v>
      </c>
      <c r="B5320" s="3">
        <v>1398</v>
      </c>
      <c r="C5320" s="1" t="str">
        <f>HYPERLINK("http://www.uniprot.org/uniprot/IAA13_ARATH","IAA13_ARATH")</f>
        <v>IAA13_ARATH</v>
      </c>
      <c r="D5320" t="s">
        <v>4537</v>
      </c>
      <c r="E5320" s="3" t="s">
        <v>3</v>
      </c>
      <c r="F5320" s="4">
        <v>4.1999999999999998E-20</v>
      </c>
      <c r="G5320" s="3">
        <v>230</v>
      </c>
      <c r="H5320" s="3">
        <v>35</v>
      </c>
      <c r="I5320" s="3">
        <v>151</v>
      </c>
      <c r="J5320" s="3">
        <v>521</v>
      </c>
      <c r="K5320" s="3">
        <v>898</v>
      </c>
      <c r="L5320" s="3">
        <v>77</v>
      </c>
      <c r="M5320" s="3">
        <v>227</v>
      </c>
    </row>
    <row r="5321" spans="1:13" x14ac:dyDescent="0.25">
      <c r="A5321" s="1" t="str">
        <f>HYPERLINK("http://www.rosaceae.org/Prunus/Prunus_persica/p.persica_gdr_reftransV1_0024723","p.persica_gdr_reftransV1_0024723")</f>
        <v>p.persica_gdr_reftransV1_0024723</v>
      </c>
      <c r="B5321" s="3">
        <v>1137</v>
      </c>
      <c r="C5321" s="1" t="str">
        <f>HYPERLINK("http://www.uniprot.org/uniprot/ALG13_RAT","ALG13_RAT")</f>
        <v>ALG13_RAT</v>
      </c>
      <c r="D5321" t="s">
        <v>4152</v>
      </c>
      <c r="E5321" s="3" t="s">
        <v>161</v>
      </c>
      <c r="F5321" s="4">
        <v>3.0700000000000001E-27</v>
      </c>
      <c r="G5321" s="3">
        <v>275</v>
      </c>
      <c r="H5321" s="3">
        <v>38</v>
      </c>
      <c r="I5321" s="3">
        <v>151</v>
      </c>
      <c r="J5321" s="3">
        <v>359</v>
      </c>
      <c r="K5321" s="3">
        <v>811</v>
      </c>
      <c r="L5321" s="3">
        <v>18</v>
      </c>
      <c r="M5321" s="3">
        <v>163</v>
      </c>
    </row>
    <row r="5322" spans="1:13" x14ac:dyDescent="0.25">
      <c r="A5322" s="1" t="str">
        <f>HYPERLINK("http://www.rosaceae.org/Prunus/Prunus_persica/p.persica_gdr_reftransV1_0025173","p.persica_gdr_reftransV1_0025173")</f>
        <v>p.persica_gdr_reftransV1_0025173</v>
      </c>
      <c r="B5322" s="3">
        <v>2779</v>
      </c>
      <c r="C5322" s="1" t="str">
        <f>HYPERLINK("http://www.uniprot.org/uniprot/Y1491_ARATH","Y1491_ARATH")</f>
        <v>Y1491_ARATH</v>
      </c>
      <c r="D5322" t="s">
        <v>310</v>
      </c>
      <c r="E5322" s="3" t="s">
        <v>3</v>
      </c>
      <c r="F5322" s="4">
        <v>1.1700000000000001E-71</v>
      </c>
      <c r="G5322" s="3">
        <v>642</v>
      </c>
      <c r="H5322" s="3">
        <v>39</v>
      </c>
      <c r="I5322" s="3">
        <v>386</v>
      </c>
      <c r="J5322" s="3">
        <v>1156</v>
      </c>
      <c r="K5322" s="3">
        <v>2295</v>
      </c>
      <c r="L5322" s="3">
        <v>59</v>
      </c>
      <c r="M5322" s="3">
        <v>428</v>
      </c>
    </row>
    <row r="5323" spans="1:13" x14ac:dyDescent="0.25">
      <c r="A5323" s="1" t="str">
        <f>HYPERLINK("http://www.rosaceae.org/Prunus/Prunus_persica/p.persica_gdr_reftransV1_0025223","p.persica_gdr_reftransV1_0025223")</f>
        <v>p.persica_gdr_reftransV1_0025223</v>
      </c>
      <c r="B5323" s="3">
        <v>2154</v>
      </c>
      <c r="C5323" s="1" t="str">
        <f>HYPERLINK("http://www.uniprot.org/uniprot/VPS33_ARATH","VPS33_ARATH")</f>
        <v>VPS33_ARATH</v>
      </c>
      <c r="D5323" t="s">
        <v>4538</v>
      </c>
      <c r="E5323" s="3" t="s">
        <v>3</v>
      </c>
      <c r="F5323" s="4">
        <v>0</v>
      </c>
      <c r="G5323" s="3">
        <v>2503</v>
      </c>
      <c r="H5323" s="3">
        <v>76</v>
      </c>
      <c r="I5323" s="3">
        <v>594</v>
      </c>
      <c r="J5323" s="3">
        <v>257</v>
      </c>
      <c r="K5323" s="3">
        <v>2038</v>
      </c>
      <c r="L5323" s="3">
        <v>1</v>
      </c>
      <c r="M5323" s="3">
        <v>590</v>
      </c>
    </row>
    <row r="5324" spans="1:13" x14ac:dyDescent="0.25">
      <c r="A5324" s="1" t="str">
        <f>HYPERLINK("http://www.rosaceae.org/Prunus/Prunus_persica/p.persica_gdr_reftransV1_0025523","p.persica_gdr_reftransV1_0025523")</f>
        <v>p.persica_gdr_reftransV1_0025523</v>
      </c>
      <c r="B5324" s="3">
        <v>2027</v>
      </c>
      <c r="C5324" s="1" t="str">
        <f>HYPERLINK("http://www.uniprot.org/uniprot/RECA3_ARATH","RECA3_ARATH")</f>
        <v>RECA3_ARATH</v>
      </c>
      <c r="D5324" t="s">
        <v>4539</v>
      </c>
      <c r="E5324" s="3" t="s">
        <v>3</v>
      </c>
      <c r="F5324" s="4">
        <v>0</v>
      </c>
      <c r="G5324" s="3">
        <v>1498</v>
      </c>
      <c r="H5324" s="3">
        <v>75</v>
      </c>
      <c r="I5324" s="3">
        <v>415</v>
      </c>
      <c r="J5324" s="3">
        <v>288</v>
      </c>
      <c r="K5324" s="3">
        <v>1514</v>
      </c>
      <c r="L5324" s="3">
        <v>1</v>
      </c>
      <c r="M5324" s="3">
        <v>415</v>
      </c>
    </row>
    <row r="5325" spans="1:13" x14ac:dyDescent="0.25">
      <c r="A5325" s="1" t="str">
        <f>HYPERLINK("http://www.rosaceae.org/Prunus/Prunus_persica/p.persica_gdr_reftransV1_0025573","p.persica_gdr_reftransV1_0025573")</f>
        <v>p.persica_gdr_reftransV1_0025573</v>
      </c>
      <c r="B5325" s="3">
        <v>1668</v>
      </c>
      <c r="C5325" s="1" t="str">
        <f>HYPERLINK("http://www.uniprot.org/uniprot/UBP1_NICPL","UBP1_NICPL")</f>
        <v>UBP1_NICPL</v>
      </c>
      <c r="D5325" t="s">
        <v>4540</v>
      </c>
      <c r="E5325" s="3" t="s">
        <v>1450</v>
      </c>
      <c r="F5325" s="4">
        <v>5.3599999999999999E-151</v>
      </c>
      <c r="G5325" s="3">
        <v>1148</v>
      </c>
      <c r="H5325" s="3">
        <v>90</v>
      </c>
      <c r="I5325" s="3">
        <v>245</v>
      </c>
      <c r="J5325" s="3">
        <v>512</v>
      </c>
      <c r="K5325" s="3">
        <v>1243</v>
      </c>
      <c r="L5325" s="3">
        <v>22</v>
      </c>
      <c r="M5325" s="3">
        <v>265</v>
      </c>
    </row>
    <row r="5326" spans="1:13" x14ac:dyDescent="0.25">
      <c r="A5326" s="1" t="str">
        <f>HYPERLINK("http://www.rosaceae.org/Prunus/Prunus_persica/p.persica_gdr_reftransV1_0025623","p.persica_gdr_reftransV1_0025623")</f>
        <v>p.persica_gdr_reftransV1_0025623</v>
      </c>
      <c r="B5326" s="3">
        <v>3335</v>
      </c>
      <c r="C5326" s="1" t="str">
        <f>HYPERLINK("http://www.uniprot.org/uniprot/STK24_RAT","STK24_RAT")</f>
        <v>STK24_RAT</v>
      </c>
      <c r="D5326" t="s">
        <v>4541</v>
      </c>
      <c r="E5326" s="3" t="s">
        <v>161</v>
      </c>
      <c r="F5326" s="4">
        <v>2.3700000000000002E-103</v>
      </c>
      <c r="G5326" s="3">
        <v>867</v>
      </c>
      <c r="H5326" s="3">
        <v>58</v>
      </c>
      <c r="I5326" s="3">
        <v>325</v>
      </c>
      <c r="J5326" s="3">
        <v>1903</v>
      </c>
      <c r="K5326" s="3">
        <v>2832</v>
      </c>
      <c r="L5326" s="3">
        <v>24</v>
      </c>
      <c r="M5326" s="3">
        <v>346</v>
      </c>
    </row>
    <row r="5327" spans="1:13" x14ac:dyDescent="0.25">
      <c r="A5327" s="1" t="str">
        <f>HYPERLINK("http://www.rosaceae.org/Prunus/Prunus_persica/p.persica_gdr_reftransV1_0025673","p.persica_gdr_reftransV1_0025673")</f>
        <v>p.persica_gdr_reftransV1_0025673</v>
      </c>
      <c r="B5327" s="3">
        <v>1521</v>
      </c>
      <c r="C5327" s="1" t="str">
        <f>HYPERLINK("http://www.uniprot.org/uniprot/YCIO_SHIFL","YCIO_SHIFL")</f>
        <v>YCIO_SHIFL</v>
      </c>
      <c r="D5327" t="s">
        <v>4542</v>
      </c>
      <c r="E5327" s="3" t="s">
        <v>1703</v>
      </c>
      <c r="F5327" s="4">
        <v>1.2899999999999999E-23</v>
      </c>
      <c r="G5327" s="3">
        <v>255</v>
      </c>
      <c r="H5327" s="3">
        <v>28</v>
      </c>
      <c r="I5327" s="3">
        <v>232</v>
      </c>
      <c r="J5327" s="3">
        <v>407</v>
      </c>
      <c r="K5327" s="3">
        <v>1102</v>
      </c>
      <c r="L5327" s="3">
        <v>17</v>
      </c>
      <c r="M5327" s="3">
        <v>198</v>
      </c>
    </row>
    <row r="5328" spans="1:13" x14ac:dyDescent="0.25">
      <c r="A5328" s="1" t="str">
        <f>HYPERLINK("http://www.rosaceae.org/Prunus/Prunus_persica/p.persica_gdr_reftransV1_0026223","p.persica_gdr_reftransV1_0026223")</f>
        <v>p.persica_gdr_reftransV1_0026223</v>
      </c>
      <c r="B5328" s="3">
        <v>1539</v>
      </c>
      <c r="C5328" s="1" t="str">
        <f>HYPERLINK("http://www.uniprot.org/uniprot/RING3_ARATH","RING3_ARATH")</f>
        <v>RING3_ARATH</v>
      </c>
      <c r="D5328" t="s">
        <v>4543</v>
      </c>
      <c r="E5328" s="3" t="s">
        <v>3</v>
      </c>
      <c r="F5328" s="4">
        <v>1.0599999999999999E-18</v>
      </c>
      <c r="G5328" s="3">
        <v>220</v>
      </c>
      <c r="H5328" s="3">
        <v>77</v>
      </c>
      <c r="I5328" s="3">
        <v>47</v>
      </c>
      <c r="J5328" s="3">
        <v>1047</v>
      </c>
      <c r="K5328" s="3">
        <v>1187</v>
      </c>
      <c r="L5328" s="3">
        <v>185</v>
      </c>
      <c r="M5328" s="3">
        <v>231</v>
      </c>
    </row>
    <row r="5329" spans="1:13" x14ac:dyDescent="0.25">
      <c r="A5329" s="1" t="str">
        <f>HYPERLINK("http://www.rosaceae.org/Prunus/Prunus_persica/p.persica_gdr_reftransV1_0026523","p.persica_gdr_reftransV1_0026523")</f>
        <v>p.persica_gdr_reftransV1_0026523</v>
      </c>
      <c r="B5329" s="3">
        <v>555</v>
      </c>
      <c r="C5329" s="1" t="str">
        <f>HYPERLINK("http://www.uniprot.org/uniprot/PP147_ARATH","PP147_ARATH")</f>
        <v>PP147_ARATH</v>
      </c>
      <c r="D5329" t="s">
        <v>1396</v>
      </c>
      <c r="E5329" s="3" t="s">
        <v>3</v>
      </c>
      <c r="F5329" s="4">
        <v>4.4199999999999998E-35</v>
      </c>
      <c r="G5329" s="3">
        <v>336</v>
      </c>
      <c r="H5329" s="3">
        <v>58</v>
      </c>
      <c r="I5329" s="3">
        <v>95</v>
      </c>
      <c r="J5329" s="3">
        <v>3</v>
      </c>
      <c r="K5329" s="3">
        <v>287</v>
      </c>
      <c r="L5329" s="3">
        <v>27</v>
      </c>
      <c r="M5329" s="3">
        <v>121</v>
      </c>
    </row>
    <row r="5330" spans="1:13" x14ac:dyDescent="0.25">
      <c r="A5330" s="1" t="str">
        <f>HYPERLINK("http://www.rosaceae.org/Prunus/Prunus_persica/p.persica_gdr_reftransV1_0026623","p.persica_gdr_reftransV1_0026623")</f>
        <v>p.persica_gdr_reftransV1_0026623</v>
      </c>
      <c r="B5330" s="3">
        <v>897</v>
      </c>
      <c r="C5330" s="1" t="str">
        <f>HYPERLINK("http://www.uniprot.org/uniprot/PI5K6_ARATH","PI5K6_ARATH")</f>
        <v>PI5K6_ARATH</v>
      </c>
      <c r="D5330" t="s">
        <v>4544</v>
      </c>
      <c r="E5330" s="3" t="s">
        <v>3</v>
      </c>
      <c r="F5330" s="4">
        <v>4.5299999999999999E-73</v>
      </c>
      <c r="G5330" s="3">
        <v>622</v>
      </c>
      <c r="H5330" s="3">
        <v>73</v>
      </c>
      <c r="I5330" s="3">
        <v>158</v>
      </c>
      <c r="J5330" s="3">
        <v>2</v>
      </c>
      <c r="K5330" s="3">
        <v>457</v>
      </c>
      <c r="L5330" s="3">
        <v>1</v>
      </c>
      <c r="M5330" s="3">
        <v>158</v>
      </c>
    </row>
    <row r="5331" spans="1:13" x14ac:dyDescent="0.25">
      <c r="A5331" s="1" t="str">
        <f>HYPERLINK("http://www.rosaceae.org/Prunus/Prunus_persica/p.persica_gdr_reftransV1_0026873","p.persica_gdr_reftransV1_0026873")</f>
        <v>p.persica_gdr_reftransV1_0026873</v>
      </c>
      <c r="B5331" s="3">
        <v>2278</v>
      </c>
      <c r="C5331" s="1" t="str">
        <f>HYPERLINK("http://www.uniprot.org/uniprot/AGT22_ARATH","AGT22_ARATH")</f>
        <v>AGT22_ARATH</v>
      </c>
      <c r="D5331" t="s">
        <v>4545</v>
      </c>
      <c r="E5331" s="3" t="s">
        <v>3</v>
      </c>
      <c r="F5331" s="4">
        <v>0</v>
      </c>
      <c r="G5331" s="3">
        <v>1944</v>
      </c>
      <c r="H5331" s="3">
        <v>74</v>
      </c>
      <c r="I5331" s="3">
        <v>479</v>
      </c>
      <c r="J5331" s="3">
        <v>561</v>
      </c>
      <c r="K5331" s="3">
        <v>1991</v>
      </c>
      <c r="L5331" s="3">
        <v>1</v>
      </c>
      <c r="M5331" s="3">
        <v>477</v>
      </c>
    </row>
    <row r="5332" spans="1:13" x14ac:dyDescent="0.25">
      <c r="A5332" s="1" t="str">
        <f>HYPERLINK("http://www.rosaceae.org/Prunus/Prunus_persica/p.persica_gdr_reftransV1_0027273","p.persica_gdr_reftransV1_0027273")</f>
        <v>p.persica_gdr_reftransV1_0027273</v>
      </c>
      <c r="B5332" s="3">
        <v>2579</v>
      </c>
      <c r="C5332" s="1" t="str">
        <f>HYPERLINK("http://www.uniprot.org/uniprot/CIA2_ARATH","CIA2_ARATH")</f>
        <v>CIA2_ARATH</v>
      </c>
      <c r="D5332" t="s">
        <v>2307</v>
      </c>
      <c r="E5332" s="3" t="s">
        <v>3</v>
      </c>
      <c r="F5332" s="4">
        <v>1.19E-59</v>
      </c>
      <c r="G5332" s="3">
        <v>545</v>
      </c>
      <c r="H5332" s="3">
        <v>43</v>
      </c>
      <c r="I5332" s="3">
        <v>476</v>
      </c>
      <c r="J5332" s="3">
        <v>946</v>
      </c>
      <c r="K5332" s="3">
        <v>2250</v>
      </c>
      <c r="L5332" s="3">
        <v>1</v>
      </c>
      <c r="M5332" s="3">
        <v>435</v>
      </c>
    </row>
    <row r="5333" spans="1:13" x14ac:dyDescent="0.25">
      <c r="A5333" s="1" t="str">
        <f>HYPERLINK("http://www.rosaceae.org/Prunus/Prunus_persica/p.persica_gdr_reftransV1_0027473","p.persica_gdr_reftransV1_0027473")</f>
        <v>p.persica_gdr_reftransV1_0027473</v>
      </c>
      <c r="B5333" s="3">
        <v>3937</v>
      </c>
      <c r="C5333" s="1" t="str">
        <f>HYPERLINK("http://www.uniprot.org/uniprot/SPSA1_CITUN","SPSA1_CITUN")</f>
        <v>SPSA1_CITUN</v>
      </c>
      <c r="D5333" t="s">
        <v>4546</v>
      </c>
      <c r="E5333" s="3" t="s">
        <v>4547</v>
      </c>
      <c r="F5333" s="4">
        <v>0</v>
      </c>
      <c r="G5333" s="3">
        <v>2452</v>
      </c>
      <c r="H5333" s="3">
        <v>82</v>
      </c>
      <c r="I5333" s="3">
        <v>593</v>
      </c>
      <c r="J5333" s="3">
        <v>297</v>
      </c>
      <c r="K5333" s="3">
        <v>2072</v>
      </c>
      <c r="L5333" s="3">
        <v>465</v>
      </c>
      <c r="M5333" s="3">
        <v>1057</v>
      </c>
    </row>
    <row r="5334" spans="1:13" x14ac:dyDescent="0.25">
      <c r="A5334" s="1" t="str">
        <f>HYPERLINK("http://www.rosaceae.org/Prunus/Prunus_persica/p.persica_gdr_reftransV1_0027773","p.persica_gdr_reftransV1_0027773")</f>
        <v>p.persica_gdr_reftransV1_0027773</v>
      </c>
      <c r="B5334" s="3">
        <v>1297</v>
      </c>
      <c r="C5334" s="1" t="str">
        <f>HYPERLINK("http://www.uniprot.org/uniprot/CP33_ARATH","CP33_ARATH")</f>
        <v>CP33_ARATH</v>
      </c>
      <c r="D5334" t="s">
        <v>4548</v>
      </c>
      <c r="E5334" s="3" t="s">
        <v>3</v>
      </c>
      <c r="F5334" s="4">
        <v>1.84E-31</v>
      </c>
      <c r="G5334" s="3">
        <v>318</v>
      </c>
      <c r="H5334" s="3">
        <v>35</v>
      </c>
      <c r="I5334" s="3">
        <v>203</v>
      </c>
      <c r="J5334" s="3">
        <v>349</v>
      </c>
      <c r="K5334" s="3">
        <v>933</v>
      </c>
      <c r="L5334" s="3">
        <v>117</v>
      </c>
      <c r="M5334" s="3">
        <v>315</v>
      </c>
    </row>
    <row r="5335" spans="1:13" x14ac:dyDescent="0.25">
      <c r="A5335" s="1" t="str">
        <f>HYPERLINK("http://www.rosaceae.org/Prunus/Prunus_persica/p.persica_gdr_reftransV1_0027823","p.persica_gdr_reftransV1_0027823")</f>
        <v>p.persica_gdr_reftransV1_0027823</v>
      </c>
      <c r="B5335" s="3">
        <v>3355</v>
      </c>
      <c r="C5335" s="1" t="str">
        <f>HYPERLINK("http://www.uniprot.org/uniprot/ALY3_ARATH","ALY3_ARATH")</f>
        <v>ALY3_ARATH</v>
      </c>
      <c r="D5335" t="s">
        <v>4549</v>
      </c>
      <c r="E5335" s="3" t="s">
        <v>3</v>
      </c>
      <c r="F5335" s="4">
        <v>2.5700000000000001E-111</v>
      </c>
      <c r="G5335" s="3">
        <v>975</v>
      </c>
      <c r="H5335" s="3">
        <v>49</v>
      </c>
      <c r="I5335" s="3">
        <v>474</v>
      </c>
      <c r="J5335" s="3">
        <v>1763</v>
      </c>
      <c r="K5335" s="3">
        <v>3175</v>
      </c>
      <c r="L5335" s="3">
        <v>1</v>
      </c>
      <c r="M5335" s="3">
        <v>457</v>
      </c>
    </row>
    <row r="5336" spans="1:13" x14ac:dyDescent="0.25">
      <c r="A5336" s="1" t="str">
        <f>HYPERLINK("http://www.rosaceae.org/Prunus/Prunus_persica/p.persica_gdr_reftransV1_0027923","p.persica_gdr_reftransV1_0027923")</f>
        <v>p.persica_gdr_reftransV1_0027923</v>
      </c>
      <c r="B5336" s="3">
        <v>819</v>
      </c>
      <c r="C5336" s="1" t="str">
        <f>HYPERLINK("http://www.uniprot.org/uniprot/ATL67_ARATH","ATL67_ARATH")</f>
        <v>ATL67_ARATH</v>
      </c>
      <c r="D5336" t="s">
        <v>4550</v>
      </c>
      <c r="E5336" s="3" t="s">
        <v>3</v>
      </c>
      <c r="F5336" s="4">
        <v>2.3599999999999999E-40</v>
      </c>
      <c r="G5336" s="3">
        <v>365</v>
      </c>
      <c r="H5336" s="3">
        <v>62</v>
      </c>
      <c r="I5336" s="3">
        <v>154</v>
      </c>
      <c r="J5336" s="3">
        <v>279</v>
      </c>
      <c r="K5336" s="3">
        <v>704</v>
      </c>
      <c r="L5336" s="3">
        <v>57</v>
      </c>
      <c r="M5336" s="3">
        <v>205</v>
      </c>
    </row>
    <row r="5337" spans="1:13" x14ac:dyDescent="0.25">
      <c r="A5337" s="1" t="str">
        <f>HYPERLINK("http://www.rosaceae.org/Prunus/Prunus_persica/p.persica_gdr_reftransV1_0028023","p.persica_gdr_reftransV1_0028023")</f>
        <v>p.persica_gdr_reftransV1_0028023</v>
      </c>
      <c r="B5337" s="3">
        <v>1246</v>
      </c>
      <c r="C5337" s="1" t="str">
        <f>HYPERLINK("http://www.uniprot.org/uniprot/YIPC_SCHPO","YIPC_SCHPO")</f>
        <v>YIPC_SCHPO</v>
      </c>
      <c r="D5337" t="s">
        <v>4551</v>
      </c>
      <c r="E5337" s="3" t="s">
        <v>464</v>
      </c>
      <c r="F5337" s="4">
        <v>2.19E-66</v>
      </c>
      <c r="G5337" s="3">
        <v>575</v>
      </c>
      <c r="H5337" s="3">
        <v>42</v>
      </c>
      <c r="I5337" s="3">
        <v>310</v>
      </c>
      <c r="J5337" s="3">
        <v>3</v>
      </c>
      <c r="K5337" s="3">
        <v>902</v>
      </c>
      <c r="L5337" s="3">
        <v>209</v>
      </c>
      <c r="M5337" s="3">
        <v>507</v>
      </c>
    </row>
    <row r="5338" spans="1:13" x14ac:dyDescent="0.25">
      <c r="A5338" s="1" t="str">
        <f>HYPERLINK("http://www.rosaceae.org/Prunus/Prunus_persica/p.persica_gdr_reftransV1_0028523","p.persica_gdr_reftransV1_0028523")</f>
        <v>p.persica_gdr_reftransV1_0028523</v>
      </c>
      <c r="B5338" s="3">
        <v>832</v>
      </c>
      <c r="C5338" s="1" t="str">
        <f>HYPERLINK("http://www.uniprot.org/uniprot/ENL1_ARATH","ENL1_ARATH")</f>
        <v>ENL1_ARATH</v>
      </c>
      <c r="D5338" t="s">
        <v>4552</v>
      </c>
      <c r="E5338" s="3" t="s">
        <v>3</v>
      </c>
      <c r="F5338" s="4">
        <v>1.09E-29</v>
      </c>
      <c r="G5338" s="3">
        <v>289</v>
      </c>
      <c r="H5338" s="3">
        <v>48</v>
      </c>
      <c r="I5338" s="3">
        <v>111</v>
      </c>
      <c r="J5338" s="3">
        <v>235</v>
      </c>
      <c r="K5338" s="3">
        <v>567</v>
      </c>
      <c r="L5338" s="3">
        <v>40</v>
      </c>
      <c r="M5338" s="3">
        <v>150</v>
      </c>
    </row>
    <row r="5339" spans="1:13" x14ac:dyDescent="0.25">
      <c r="A5339" s="1" t="str">
        <f>HYPERLINK("http://www.rosaceae.org/Prunus/Prunus_persica/p.persica_gdr_reftransV1_0028723","p.persica_gdr_reftransV1_0028723")</f>
        <v>p.persica_gdr_reftransV1_0028723</v>
      </c>
      <c r="B5339" s="3">
        <v>3149</v>
      </c>
      <c r="C5339" s="1" t="str">
        <f>HYPERLINK("http://www.uniprot.org/uniprot/MMK1_MEDSA","MMK1_MEDSA")</f>
        <v>MMK1_MEDSA</v>
      </c>
      <c r="D5339" t="s">
        <v>4553</v>
      </c>
      <c r="E5339" s="3" t="s">
        <v>515</v>
      </c>
      <c r="F5339" s="4">
        <v>3.5000000000000002E-103</v>
      </c>
      <c r="G5339" s="3">
        <v>859</v>
      </c>
      <c r="H5339" s="3">
        <v>96</v>
      </c>
      <c r="I5339" s="3">
        <v>166</v>
      </c>
      <c r="J5339" s="3">
        <v>1147</v>
      </c>
      <c r="K5339" s="3">
        <v>1644</v>
      </c>
      <c r="L5339" s="3">
        <v>165</v>
      </c>
      <c r="M5339" s="3">
        <v>330</v>
      </c>
    </row>
    <row r="5340" spans="1:13" x14ac:dyDescent="0.25">
      <c r="A5340" s="1" t="str">
        <f>HYPERLINK("http://www.rosaceae.org/Prunus/Prunus_persica/p.persica_gdr_reftransV1_0028823","p.persica_gdr_reftransV1_0028823")</f>
        <v>p.persica_gdr_reftransV1_0028823</v>
      </c>
      <c r="B5340" s="3">
        <v>2714</v>
      </c>
      <c r="C5340" s="1" t="str">
        <f>HYPERLINK("http://www.uniprot.org/uniprot/UBC36_ARATH","UBC36_ARATH")</f>
        <v>UBC36_ARATH</v>
      </c>
      <c r="D5340" t="s">
        <v>4554</v>
      </c>
      <c r="E5340" s="3" t="s">
        <v>3</v>
      </c>
      <c r="F5340" s="4">
        <v>4.7200000000000002E-20</v>
      </c>
      <c r="G5340" s="3">
        <v>231</v>
      </c>
      <c r="H5340" s="3">
        <v>93</v>
      </c>
      <c r="I5340" s="3">
        <v>45</v>
      </c>
      <c r="J5340" s="3">
        <v>375</v>
      </c>
      <c r="K5340" s="3">
        <v>509</v>
      </c>
      <c r="L5340" s="3">
        <v>108</v>
      </c>
      <c r="M5340" s="3">
        <v>152</v>
      </c>
    </row>
    <row r="5341" spans="1:13" x14ac:dyDescent="0.25">
      <c r="A5341" s="1" t="str">
        <f>HYPERLINK("http://www.rosaceae.org/Prunus/Prunus_persica/p.persica_gdr_reftransV1_0029023","p.persica_gdr_reftransV1_0029023")</f>
        <v>p.persica_gdr_reftransV1_0029023</v>
      </c>
      <c r="B5341" s="3">
        <v>598</v>
      </c>
      <c r="C5341" s="1" t="str">
        <f>HYPERLINK("http://www.uniprot.org/uniprot/CXE15_ARATH","CXE15_ARATH")</f>
        <v>CXE15_ARATH</v>
      </c>
      <c r="D5341" t="s">
        <v>4197</v>
      </c>
      <c r="E5341" s="3" t="s">
        <v>3</v>
      </c>
      <c r="F5341" s="4">
        <v>2.0400000000000001E-39</v>
      </c>
      <c r="G5341" s="3">
        <v>360</v>
      </c>
      <c r="H5341" s="3">
        <v>49</v>
      </c>
      <c r="I5341" s="3">
        <v>132</v>
      </c>
      <c r="J5341" s="3">
        <v>1</v>
      </c>
      <c r="K5341" s="3">
        <v>393</v>
      </c>
      <c r="L5341" s="3">
        <v>196</v>
      </c>
      <c r="M5341" s="3">
        <v>326</v>
      </c>
    </row>
    <row r="5342" spans="1:13" x14ac:dyDescent="0.25">
      <c r="A5342" s="1" t="str">
        <f>HYPERLINK("http://www.rosaceae.org/Prunus/Prunus_persica/p.persica_gdr_reftransV1_0029123","p.persica_gdr_reftransV1_0029123")</f>
        <v>p.persica_gdr_reftransV1_0029123</v>
      </c>
      <c r="B5342" s="3">
        <v>3014</v>
      </c>
      <c r="C5342" s="1" t="str">
        <f>HYPERLINK("http://www.uniprot.org/uniprot/MYBL_DICDI","MYBL_DICDI")</f>
        <v>MYBL_DICDI</v>
      </c>
      <c r="D5342" t="s">
        <v>4555</v>
      </c>
      <c r="E5342" s="3" t="s">
        <v>9</v>
      </c>
      <c r="F5342" s="4">
        <v>1.22E-53</v>
      </c>
      <c r="G5342" s="3">
        <v>522</v>
      </c>
      <c r="H5342" s="3">
        <v>44</v>
      </c>
      <c r="I5342" s="3">
        <v>257</v>
      </c>
      <c r="J5342" s="3">
        <v>1134</v>
      </c>
      <c r="K5342" s="3">
        <v>1886</v>
      </c>
      <c r="L5342" s="3">
        <v>533</v>
      </c>
      <c r="M5342" s="3">
        <v>788</v>
      </c>
    </row>
    <row r="5343" spans="1:13" x14ac:dyDescent="0.25">
      <c r="A5343" s="1" t="str">
        <f>HYPERLINK("http://www.rosaceae.org/Prunus/Prunus_persica/p.persica_gdr_reftransV1_0029323","p.persica_gdr_reftransV1_0029323")</f>
        <v>p.persica_gdr_reftransV1_0029323</v>
      </c>
      <c r="B5343" s="3">
        <v>992</v>
      </c>
      <c r="C5343" s="1" t="str">
        <f>HYPERLINK("http://www.uniprot.org/uniprot/CAR7_ARATH","CAR7_ARATH")</f>
        <v>CAR7_ARATH</v>
      </c>
      <c r="D5343" t="s">
        <v>4556</v>
      </c>
      <c r="E5343" s="3" t="s">
        <v>3</v>
      </c>
      <c r="F5343" s="4">
        <v>5.0100000000000002E-61</v>
      </c>
      <c r="G5343" s="3">
        <v>505</v>
      </c>
      <c r="H5343" s="3">
        <v>63</v>
      </c>
      <c r="I5343" s="3">
        <v>147</v>
      </c>
      <c r="J5343" s="3">
        <v>248</v>
      </c>
      <c r="K5343" s="3">
        <v>688</v>
      </c>
      <c r="L5343" s="3">
        <v>19</v>
      </c>
      <c r="M5343" s="3">
        <v>165</v>
      </c>
    </row>
    <row r="5344" spans="1:13" x14ac:dyDescent="0.25">
      <c r="A5344" s="1" t="str">
        <f>HYPERLINK("http://www.rosaceae.org/Prunus/Prunus_persica/p.persica_gdr_reftransV1_0030073","p.persica_gdr_reftransV1_0030073")</f>
        <v>p.persica_gdr_reftransV1_0030073</v>
      </c>
      <c r="B5344" s="3">
        <v>3251</v>
      </c>
      <c r="C5344" s="1" t="str">
        <f>HYPERLINK("http://www.uniprot.org/uniprot/DSK2B_ARATH","DSK2B_ARATH")</f>
        <v>DSK2B_ARATH</v>
      </c>
      <c r="D5344" t="s">
        <v>4557</v>
      </c>
      <c r="E5344" s="3" t="s">
        <v>3</v>
      </c>
      <c r="F5344" s="4">
        <v>1.2599999999999999E-100</v>
      </c>
      <c r="G5344" s="3">
        <v>858</v>
      </c>
      <c r="H5344" s="3">
        <v>62</v>
      </c>
      <c r="I5344" s="3">
        <v>292</v>
      </c>
      <c r="J5344" s="3">
        <v>730</v>
      </c>
      <c r="K5344" s="3">
        <v>1542</v>
      </c>
      <c r="L5344" s="3">
        <v>156</v>
      </c>
      <c r="M5344" s="3">
        <v>444</v>
      </c>
    </row>
    <row r="5345" spans="1:13" x14ac:dyDescent="0.25">
      <c r="A5345" s="1" t="str">
        <f>HYPERLINK("http://www.rosaceae.org/Prunus/Prunus_persica/p.persica_gdr_reftransV1_0030673","p.persica_gdr_reftransV1_0030673")</f>
        <v>p.persica_gdr_reftransV1_0030673</v>
      </c>
      <c r="B5345" s="3">
        <v>4072</v>
      </c>
      <c r="C5345" s="1" t="str">
        <f>HYPERLINK("http://www.uniprot.org/uniprot/Y2060_ARATH","Y2060_ARATH")</f>
        <v>Y2060_ARATH</v>
      </c>
      <c r="D5345" t="s">
        <v>4558</v>
      </c>
      <c r="E5345" s="3" t="s">
        <v>3</v>
      </c>
      <c r="F5345" s="4">
        <v>0</v>
      </c>
      <c r="G5345" s="3">
        <v>2723</v>
      </c>
      <c r="H5345" s="3">
        <v>63</v>
      </c>
      <c r="I5345" s="3">
        <v>855</v>
      </c>
      <c r="J5345" s="3">
        <v>910</v>
      </c>
      <c r="K5345" s="3">
        <v>3462</v>
      </c>
      <c r="L5345" s="3">
        <v>9</v>
      </c>
      <c r="M5345" s="3">
        <v>808</v>
      </c>
    </row>
    <row r="5346" spans="1:13" x14ac:dyDescent="0.25">
      <c r="A5346" s="1" t="str">
        <f>HYPERLINK("http://www.rosaceae.org/Prunus/Prunus_persica/p.persica_gdr_reftransV1_0030773","p.persica_gdr_reftransV1_0030773")</f>
        <v>p.persica_gdr_reftransV1_0030773</v>
      </c>
      <c r="B5346" s="3">
        <v>3795</v>
      </c>
      <c r="C5346" s="1" t="str">
        <f>HYPERLINK("http://www.uniprot.org/uniprot/TIO_ARATH","TIO_ARATH")</f>
        <v>TIO_ARATH</v>
      </c>
      <c r="D5346" t="s">
        <v>3936</v>
      </c>
      <c r="E5346" s="3" t="s">
        <v>3</v>
      </c>
      <c r="F5346" s="4">
        <v>0</v>
      </c>
      <c r="G5346" s="3">
        <v>3050</v>
      </c>
      <c r="H5346" s="3">
        <v>61</v>
      </c>
      <c r="I5346" s="3">
        <v>1101</v>
      </c>
      <c r="J5346" s="3">
        <v>2</v>
      </c>
      <c r="K5346" s="3">
        <v>3295</v>
      </c>
      <c r="L5346" s="3">
        <v>249</v>
      </c>
      <c r="M5346" s="3">
        <v>1319</v>
      </c>
    </row>
    <row r="5347" spans="1:13" x14ac:dyDescent="0.25">
      <c r="A5347" s="1" t="str">
        <f>HYPERLINK("http://www.rosaceae.org/Prunus/Prunus_persica/p.persica_gdr_reftransV1_0030923","p.persica_gdr_reftransV1_0030923")</f>
        <v>p.persica_gdr_reftransV1_0030923</v>
      </c>
      <c r="B5347" s="3">
        <v>3617</v>
      </c>
      <c r="C5347" s="1" t="str">
        <f>HYPERLINK("http://www.uniprot.org/uniprot/SCP45_ARATH","SCP45_ARATH")</f>
        <v>SCP45_ARATH</v>
      </c>
      <c r="D5347" t="s">
        <v>1851</v>
      </c>
      <c r="E5347" s="3" t="s">
        <v>3</v>
      </c>
      <c r="F5347" s="4">
        <v>0</v>
      </c>
      <c r="G5347" s="3">
        <v>1980</v>
      </c>
      <c r="H5347" s="3">
        <v>79</v>
      </c>
      <c r="I5347" s="3">
        <v>461</v>
      </c>
      <c r="J5347" s="3">
        <v>65</v>
      </c>
      <c r="K5347" s="3">
        <v>1441</v>
      </c>
      <c r="L5347" s="3">
        <v>4</v>
      </c>
      <c r="M5347" s="3">
        <v>461</v>
      </c>
    </row>
    <row r="5348" spans="1:13" x14ac:dyDescent="0.25">
      <c r="A5348" s="1" t="str">
        <f>HYPERLINK("http://www.rosaceae.org/Prunus/Prunus_persica/p.persica_gdr_reftransV1_0031423","p.persica_gdr_reftransV1_0031423")</f>
        <v>p.persica_gdr_reftransV1_0031423</v>
      </c>
      <c r="B5348" s="3">
        <v>679</v>
      </c>
      <c r="C5348" s="1" t="str">
        <f>HYPERLINK("http://www.uniprot.org/uniprot/PPR80_ARATH","PPR80_ARATH")</f>
        <v>PPR80_ARATH</v>
      </c>
      <c r="D5348" t="s">
        <v>4559</v>
      </c>
      <c r="E5348" s="3" t="s">
        <v>3</v>
      </c>
      <c r="F5348" s="4">
        <v>3.0300000000000002E-42</v>
      </c>
      <c r="G5348" s="3">
        <v>394</v>
      </c>
      <c r="H5348" s="3">
        <v>58</v>
      </c>
      <c r="I5348" s="3">
        <v>124</v>
      </c>
      <c r="J5348" s="3">
        <v>3</v>
      </c>
      <c r="K5348" s="3">
        <v>374</v>
      </c>
      <c r="L5348" s="3">
        <v>591</v>
      </c>
      <c r="M5348" s="3">
        <v>714</v>
      </c>
    </row>
    <row r="5349" spans="1:13" x14ac:dyDescent="0.25">
      <c r="A5349" s="1" t="str">
        <f>HYPERLINK("http://www.rosaceae.org/Prunus/Prunus_persica/p.persica_gdr_reftransV1_0031773","p.persica_gdr_reftransV1_0031773")</f>
        <v>p.persica_gdr_reftransV1_0031773</v>
      </c>
      <c r="B5349" s="3">
        <v>2473</v>
      </c>
      <c r="C5349" s="1" t="str">
        <f>HYPERLINK("http://www.uniprot.org/uniprot/POLX_TOBAC","POLX_TOBAC")</f>
        <v>POLX_TOBAC</v>
      </c>
      <c r="D5349" t="s">
        <v>1253</v>
      </c>
      <c r="E5349" s="3" t="s">
        <v>200</v>
      </c>
      <c r="F5349" s="4">
        <v>4.5199999999999999E-14</v>
      </c>
      <c r="G5349" s="3">
        <v>197</v>
      </c>
      <c r="H5349" s="3">
        <v>32</v>
      </c>
      <c r="I5349" s="3">
        <v>132</v>
      </c>
      <c r="J5349" s="3">
        <v>2079</v>
      </c>
      <c r="K5349" s="3">
        <v>2468</v>
      </c>
      <c r="L5349" s="3">
        <v>425</v>
      </c>
      <c r="M5349" s="3">
        <v>555</v>
      </c>
    </row>
    <row r="5350" spans="1:13" x14ac:dyDescent="0.25">
      <c r="A5350" s="1" t="str">
        <f>HYPERLINK("http://www.rosaceae.org/Prunus/Prunus_persica/p.persica_gdr_reftransV1_0032223","p.persica_gdr_reftransV1_0032223")</f>
        <v>p.persica_gdr_reftransV1_0032223</v>
      </c>
      <c r="B5350" s="3">
        <v>3140</v>
      </c>
      <c r="C5350" s="1" t="str">
        <f>HYPERLINK("http://www.uniprot.org/uniprot/RGLG2_ARATH","RGLG2_ARATH")</f>
        <v>RGLG2_ARATH</v>
      </c>
      <c r="D5350" t="s">
        <v>3345</v>
      </c>
      <c r="E5350" s="3" t="s">
        <v>3</v>
      </c>
      <c r="F5350" s="4">
        <v>5.9499999999999996E-160</v>
      </c>
      <c r="G5350" s="3">
        <v>1222</v>
      </c>
      <c r="H5350" s="3">
        <v>74</v>
      </c>
      <c r="I5350" s="3">
        <v>321</v>
      </c>
      <c r="J5350" s="3">
        <v>1085</v>
      </c>
      <c r="K5350" s="3">
        <v>2047</v>
      </c>
      <c r="L5350" s="3">
        <v>68</v>
      </c>
      <c r="M5350" s="3">
        <v>359</v>
      </c>
    </row>
    <row r="5351" spans="1:13" x14ac:dyDescent="0.25">
      <c r="A5351" s="1" t="str">
        <f>HYPERLINK("http://www.rosaceae.org/Prunus/Prunus_persica/p.persica_gdr_reftransV1_0032423","p.persica_gdr_reftransV1_0032423")</f>
        <v>p.persica_gdr_reftransV1_0032423</v>
      </c>
      <c r="B5351" s="3">
        <v>913</v>
      </c>
      <c r="C5351" s="1" t="str">
        <f>HYPERLINK("http://www.uniprot.org/uniprot/RL183_ARATH","RL183_ARATH")</f>
        <v>RL183_ARATH</v>
      </c>
      <c r="D5351" t="s">
        <v>1164</v>
      </c>
      <c r="E5351" s="3" t="s">
        <v>3</v>
      </c>
      <c r="F5351" s="4">
        <v>4.1699999999999998E-115</v>
      </c>
      <c r="G5351" s="3">
        <v>863</v>
      </c>
      <c r="H5351" s="3">
        <v>87</v>
      </c>
      <c r="I5351" s="3">
        <v>187</v>
      </c>
      <c r="J5351" s="3">
        <v>108</v>
      </c>
      <c r="K5351" s="3">
        <v>668</v>
      </c>
      <c r="L5351" s="3">
        <v>1</v>
      </c>
      <c r="M5351" s="3">
        <v>187</v>
      </c>
    </row>
    <row r="5352" spans="1:13" x14ac:dyDescent="0.25">
      <c r="A5352" s="1" t="str">
        <f>HYPERLINK("http://www.rosaceae.org/Prunus/Prunus_persica/p.persica_gdr_reftransV1_0032523","p.persica_gdr_reftransV1_0032523")</f>
        <v>p.persica_gdr_reftransV1_0032523</v>
      </c>
      <c r="B5352" s="3">
        <v>2507</v>
      </c>
      <c r="C5352" s="1" t="str">
        <f>HYPERLINK("http://www.uniprot.org/uniprot/PPOC_ARATH","PPOC_ARATH")</f>
        <v>PPOC_ARATH</v>
      </c>
      <c r="D5352" t="s">
        <v>4560</v>
      </c>
      <c r="E5352" s="3" t="s">
        <v>3</v>
      </c>
      <c r="F5352" s="4">
        <v>8.7300000000000008E-177</v>
      </c>
      <c r="G5352" s="3">
        <v>1358</v>
      </c>
      <c r="H5352" s="3">
        <v>82</v>
      </c>
      <c r="I5352" s="3">
        <v>323</v>
      </c>
      <c r="J5352" s="3">
        <v>1271</v>
      </c>
      <c r="K5352" s="3">
        <v>2239</v>
      </c>
      <c r="L5352" s="3">
        <v>30</v>
      </c>
      <c r="M5352" s="3">
        <v>350</v>
      </c>
    </row>
    <row r="5353" spans="1:13" x14ac:dyDescent="0.25">
      <c r="A5353" s="1" t="str">
        <f>HYPERLINK("http://www.rosaceae.org/Prunus/Prunus_persica/p.persica_gdr_reftransV1_0032573","p.persica_gdr_reftransV1_0032573")</f>
        <v>p.persica_gdr_reftransV1_0032573</v>
      </c>
      <c r="B5353" s="3">
        <v>3146</v>
      </c>
      <c r="C5353" s="1" t="str">
        <f>HYPERLINK("http://www.uniprot.org/uniprot/RIHA_SHEWM","RIHA_SHEWM")</f>
        <v>RIHA_SHEWM</v>
      </c>
      <c r="D5353" t="s">
        <v>4561</v>
      </c>
      <c r="E5353" s="3" t="s">
        <v>4562</v>
      </c>
      <c r="F5353" s="4">
        <v>4.9700000000000004E-10</v>
      </c>
      <c r="G5353" s="3">
        <v>159</v>
      </c>
      <c r="H5353" s="3">
        <v>37</v>
      </c>
      <c r="I5353" s="3">
        <v>139</v>
      </c>
      <c r="J5353" s="3">
        <v>546</v>
      </c>
      <c r="K5353" s="3">
        <v>956</v>
      </c>
      <c r="L5353" s="3">
        <v>80</v>
      </c>
      <c r="M5353" s="3">
        <v>193</v>
      </c>
    </row>
    <row r="5354" spans="1:13" x14ac:dyDescent="0.25">
      <c r="A5354" s="1" t="str">
        <f>HYPERLINK("http://www.rosaceae.org/Prunus/Prunus_persica/p.persica_gdr_reftransV1_0032623","p.persica_gdr_reftransV1_0032623")</f>
        <v>p.persica_gdr_reftransV1_0032623</v>
      </c>
      <c r="B5354" s="3">
        <v>1825</v>
      </c>
      <c r="C5354" s="1" t="str">
        <f>HYPERLINK("http://www.uniprot.org/uniprot/BASS3_ARATH","BASS3_ARATH")</f>
        <v>BASS3_ARATH</v>
      </c>
      <c r="D5354" t="s">
        <v>4563</v>
      </c>
      <c r="E5354" s="3" t="s">
        <v>3</v>
      </c>
      <c r="F5354" s="4">
        <v>1.5099999999999999E-169</v>
      </c>
      <c r="G5354" s="3">
        <v>1279</v>
      </c>
      <c r="H5354" s="3">
        <v>75</v>
      </c>
      <c r="I5354" s="3">
        <v>379</v>
      </c>
      <c r="J5354" s="3">
        <v>317</v>
      </c>
      <c r="K5354" s="3">
        <v>1444</v>
      </c>
      <c r="L5354" s="3">
        <v>62</v>
      </c>
      <c r="M5354" s="3">
        <v>431</v>
      </c>
    </row>
    <row r="5355" spans="1:13" x14ac:dyDescent="0.25">
      <c r="A5355" s="1" t="str">
        <f>HYPERLINK("http://www.rosaceae.org/Prunus/Prunus_persica/p.persica_gdr_reftransV1_0032723","p.persica_gdr_reftransV1_0032723")</f>
        <v>p.persica_gdr_reftransV1_0032723</v>
      </c>
      <c r="B5355" s="3">
        <v>3303</v>
      </c>
      <c r="C5355" s="1" t="str">
        <f>HYPERLINK("http://www.uniprot.org/uniprot/USP_CUCME","USP_CUCME")</f>
        <v>USP_CUCME</v>
      </c>
      <c r="D5355" t="s">
        <v>4564</v>
      </c>
      <c r="E5355" s="3" t="s">
        <v>266</v>
      </c>
      <c r="F5355" s="4">
        <v>0</v>
      </c>
      <c r="G5355" s="3">
        <v>2553</v>
      </c>
      <c r="H5355" s="3">
        <v>81</v>
      </c>
      <c r="I5355" s="3">
        <v>579</v>
      </c>
      <c r="J5355" s="3">
        <v>1409</v>
      </c>
      <c r="K5355" s="3">
        <v>3133</v>
      </c>
      <c r="L5355" s="3">
        <v>1</v>
      </c>
      <c r="M5355" s="3">
        <v>577</v>
      </c>
    </row>
    <row r="5356" spans="1:13" x14ac:dyDescent="0.25">
      <c r="A5356" s="1" t="str">
        <f>HYPERLINK("http://www.rosaceae.org/Prunus/Prunus_persica/p.persica_gdr_reftransV1_0032773","p.persica_gdr_reftransV1_0032773")</f>
        <v>p.persica_gdr_reftransV1_0032773</v>
      </c>
      <c r="B5356" s="3">
        <v>2146</v>
      </c>
      <c r="C5356" s="1" t="str">
        <f>HYPERLINK("http://www.uniprot.org/uniprot/TPIS_PETHY","TPIS_PETHY")</f>
        <v>TPIS_PETHY</v>
      </c>
      <c r="D5356" t="s">
        <v>4565</v>
      </c>
      <c r="E5356" s="3" t="s">
        <v>509</v>
      </c>
      <c r="F5356" s="4">
        <v>1.04E-111</v>
      </c>
      <c r="G5356" s="3">
        <v>884</v>
      </c>
      <c r="H5356" s="3">
        <v>87</v>
      </c>
      <c r="I5356" s="3">
        <v>211</v>
      </c>
      <c r="J5356" s="3">
        <v>102</v>
      </c>
      <c r="K5356" s="3">
        <v>734</v>
      </c>
      <c r="L5356" s="3">
        <v>1</v>
      </c>
      <c r="M5356" s="3">
        <v>211</v>
      </c>
    </row>
    <row r="5357" spans="1:13" x14ac:dyDescent="0.25">
      <c r="A5357" s="1" t="str">
        <f>HYPERLINK("http://www.rosaceae.org/Prunus/Prunus_persica/p.persica_gdr_reftransV1_0032923","p.persica_gdr_reftransV1_0032923")</f>
        <v>p.persica_gdr_reftransV1_0032923</v>
      </c>
      <c r="B5357" s="3">
        <v>2524</v>
      </c>
      <c r="C5357" s="1" t="str">
        <f>HYPERLINK("http://www.uniprot.org/uniprot/GGAP1_ARATH","GGAP1_ARATH")</f>
        <v>GGAP1_ARATH</v>
      </c>
      <c r="D5357" t="s">
        <v>1482</v>
      </c>
      <c r="E5357" s="3" t="s">
        <v>3</v>
      </c>
      <c r="F5357" s="4">
        <v>9.5200000000000002E-123</v>
      </c>
      <c r="G5357" s="3">
        <v>986</v>
      </c>
      <c r="H5357" s="3">
        <v>77</v>
      </c>
      <c r="I5357" s="3">
        <v>246</v>
      </c>
      <c r="J5357" s="3">
        <v>753</v>
      </c>
      <c r="K5357" s="3">
        <v>1487</v>
      </c>
      <c r="L5357" s="3">
        <v>7</v>
      </c>
      <c r="M5357" s="3">
        <v>248</v>
      </c>
    </row>
    <row r="5358" spans="1:13" x14ac:dyDescent="0.25">
      <c r="A5358" s="1" t="str">
        <f>HYPERLINK("http://www.rosaceae.org/Prunus/Prunus_persica/p.persica_gdr_reftransV1_0033073","p.persica_gdr_reftransV1_0033073")</f>
        <v>p.persica_gdr_reftransV1_0033073</v>
      </c>
      <c r="B5358" s="3">
        <v>3646</v>
      </c>
      <c r="C5358" s="1" t="str">
        <f>HYPERLINK("http://www.uniprot.org/uniprot/MIRO1_ARATH","MIRO1_ARATH")</f>
        <v>MIRO1_ARATH</v>
      </c>
      <c r="D5358" t="s">
        <v>4566</v>
      </c>
      <c r="E5358" s="3" t="s">
        <v>3</v>
      </c>
      <c r="F5358" s="4">
        <v>0</v>
      </c>
      <c r="G5358" s="3">
        <v>2512</v>
      </c>
      <c r="H5358" s="3">
        <v>74</v>
      </c>
      <c r="I5358" s="3">
        <v>649</v>
      </c>
      <c r="J5358" s="3">
        <v>1520</v>
      </c>
      <c r="K5358" s="3">
        <v>3460</v>
      </c>
      <c r="L5358" s="3">
        <v>1</v>
      </c>
      <c r="M5358" s="3">
        <v>648</v>
      </c>
    </row>
    <row r="5359" spans="1:13" x14ac:dyDescent="0.25">
      <c r="A5359" s="1" t="str">
        <f>HYPERLINK("http://www.rosaceae.org/Prunus/Prunus_persica/p.persica_gdr_reftransV1_0033223","p.persica_gdr_reftransV1_0033223")</f>
        <v>p.persica_gdr_reftransV1_0033223</v>
      </c>
      <c r="B5359" s="3">
        <v>7473</v>
      </c>
      <c r="C5359" s="1" t="str">
        <f>HYPERLINK("http://www.uniprot.org/uniprot/NEK5_ARATH","NEK5_ARATH")</f>
        <v>NEK5_ARATH</v>
      </c>
      <c r="D5359" t="s">
        <v>4567</v>
      </c>
      <c r="E5359" s="3" t="s">
        <v>3</v>
      </c>
      <c r="F5359" s="4">
        <v>5.6899999999999998E-69</v>
      </c>
      <c r="G5359" s="3">
        <v>660</v>
      </c>
      <c r="H5359" s="3">
        <v>61</v>
      </c>
      <c r="I5359" s="3">
        <v>203</v>
      </c>
      <c r="J5359" s="3">
        <v>323</v>
      </c>
      <c r="K5359" s="3">
        <v>931</v>
      </c>
      <c r="L5359" s="3">
        <v>1</v>
      </c>
      <c r="M5359" s="3">
        <v>167</v>
      </c>
    </row>
    <row r="5360" spans="1:13" x14ac:dyDescent="0.25">
      <c r="A5360" s="1" t="str">
        <f>HYPERLINK("http://www.rosaceae.org/Prunus/Prunus_persica/p.persica_gdr_reftransV1_0033323","p.persica_gdr_reftransV1_0033323")</f>
        <v>p.persica_gdr_reftransV1_0033323</v>
      </c>
      <c r="B5360" s="3">
        <v>1996</v>
      </c>
      <c r="C5360" s="1" t="str">
        <f>HYPERLINK("http://www.uniprot.org/uniprot/OST48_ARATH","OST48_ARATH")</f>
        <v>OST48_ARATH</v>
      </c>
      <c r="D5360" t="s">
        <v>4568</v>
      </c>
      <c r="E5360" s="3" t="s">
        <v>3</v>
      </c>
      <c r="F5360" s="4">
        <v>0</v>
      </c>
      <c r="G5360" s="3">
        <v>1599</v>
      </c>
      <c r="H5360" s="3">
        <v>74</v>
      </c>
      <c r="I5360" s="3">
        <v>437</v>
      </c>
      <c r="J5360" s="3">
        <v>156</v>
      </c>
      <c r="K5360" s="3">
        <v>1460</v>
      </c>
      <c r="L5360" s="3">
        <v>1</v>
      </c>
      <c r="M5360" s="3">
        <v>437</v>
      </c>
    </row>
    <row r="5361" spans="1:13" x14ac:dyDescent="0.25">
      <c r="A5361" s="1" t="str">
        <f>HYPERLINK("http://www.rosaceae.org/Prunus/Prunus_persica/p.persica_gdr_reftransV1_0033573","p.persica_gdr_reftransV1_0033573")</f>
        <v>p.persica_gdr_reftransV1_0033573</v>
      </c>
      <c r="B5361" s="3">
        <v>6401</v>
      </c>
      <c r="C5361" s="1" t="str">
        <f>HYPERLINK("http://www.uniprot.org/uniprot/CALS9_ARATH","CALS9_ARATH")</f>
        <v>CALS9_ARATH</v>
      </c>
      <c r="D5361" t="s">
        <v>4569</v>
      </c>
      <c r="E5361" s="3" t="s">
        <v>3</v>
      </c>
      <c r="F5361" s="4">
        <v>0</v>
      </c>
      <c r="G5361" s="3">
        <v>7695</v>
      </c>
      <c r="H5361" s="3">
        <v>77</v>
      </c>
      <c r="I5361" s="3">
        <v>1911</v>
      </c>
      <c r="J5361" s="3">
        <v>388</v>
      </c>
      <c r="K5361" s="3">
        <v>6099</v>
      </c>
      <c r="L5361" s="3">
        <v>1</v>
      </c>
      <c r="M5361" s="3">
        <v>1889</v>
      </c>
    </row>
    <row r="5362" spans="1:13" x14ac:dyDescent="0.25">
      <c r="A5362" s="1" t="str">
        <f>HYPERLINK("http://www.rosaceae.org/Prunus/Prunus_persica/p.persica_gdr_reftransV1_0033773","p.persica_gdr_reftransV1_0033773")</f>
        <v>p.persica_gdr_reftransV1_0033773</v>
      </c>
      <c r="B5362" s="3">
        <v>1043</v>
      </c>
      <c r="C5362" s="1" t="str">
        <f>HYPERLINK("http://www.uniprot.org/uniprot/EGC_CITJA","EGC_CITJA")</f>
        <v>EGC_CITJA</v>
      </c>
      <c r="D5362" t="s">
        <v>4570</v>
      </c>
      <c r="E5362" s="3" t="s">
        <v>4571</v>
      </c>
      <c r="F5362" s="4">
        <v>1.39E-9</v>
      </c>
      <c r="G5362" s="3">
        <v>143</v>
      </c>
      <c r="H5362" s="3">
        <v>36</v>
      </c>
      <c r="I5362" s="3">
        <v>110</v>
      </c>
      <c r="J5362" s="3">
        <v>376</v>
      </c>
      <c r="K5362" s="3">
        <v>699</v>
      </c>
      <c r="L5362" s="3">
        <v>31</v>
      </c>
      <c r="M5362" s="3">
        <v>130</v>
      </c>
    </row>
    <row r="5363" spans="1:13" x14ac:dyDescent="0.25">
      <c r="A5363" s="1" t="str">
        <f>HYPERLINK("http://www.rosaceae.org/Prunus/Prunus_persica/p.persica_gdr_reftransV1_0033923","p.persica_gdr_reftransV1_0033923")</f>
        <v>p.persica_gdr_reftransV1_0033923</v>
      </c>
      <c r="B5363" s="3">
        <v>1705</v>
      </c>
      <c r="C5363" s="1" t="str">
        <f>HYPERLINK("http://www.uniprot.org/uniprot/PCS1L_ARATH","PCS1L_ARATH")</f>
        <v>PCS1L_ARATH</v>
      </c>
      <c r="D5363" t="s">
        <v>1572</v>
      </c>
      <c r="E5363" s="3" t="s">
        <v>3</v>
      </c>
      <c r="F5363" s="4">
        <v>2.2099999999999999E-66</v>
      </c>
      <c r="G5363" s="3">
        <v>583</v>
      </c>
      <c r="H5363" s="3">
        <v>37</v>
      </c>
      <c r="I5363" s="3">
        <v>400</v>
      </c>
      <c r="J5363" s="3">
        <v>223</v>
      </c>
      <c r="K5363" s="3">
        <v>1338</v>
      </c>
      <c r="L5363" s="3">
        <v>64</v>
      </c>
      <c r="M5363" s="3">
        <v>445</v>
      </c>
    </row>
    <row r="5364" spans="1:13" x14ac:dyDescent="0.25">
      <c r="A5364" s="1" t="str">
        <f>HYPERLINK("http://www.rosaceae.org/Prunus/Prunus_persica/p.persica_gdr_reftransV1_0034073","p.persica_gdr_reftransV1_0034073")</f>
        <v>p.persica_gdr_reftransV1_0034073</v>
      </c>
      <c r="B5364" s="3">
        <v>784</v>
      </c>
      <c r="C5364" s="1" t="str">
        <f>HYPERLINK("http://www.uniprot.org/uniprot/T2AG_ARATH","T2AG_ARATH")</f>
        <v>T2AG_ARATH</v>
      </c>
      <c r="D5364" t="s">
        <v>4572</v>
      </c>
      <c r="E5364" s="3" t="s">
        <v>3</v>
      </c>
      <c r="F5364" s="4">
        <v>1.05E-31</v>
      </c>
      <c r="G5364" s="3">
        <v>296</v>
      </c>
      <c r="H5364" s="3">
        <v>95</v>
      </c>
      <c r="I5364" s="3">
        <v>60</v>
      </c>
      <c r="J5364" s="3">
        <v>110</v>
      </c>
      <c r="K5364" s="3">
        <v>289</v>
      </c>
      <c r="L5364" s="3">
        <v>1</v>
      </c>
      <c r="M5364" s="3">
        <v>60</v>
      </c>
    </row>
    <row r="5365" spans="1:13" x14ac:dyDescent="0.25">
      <c r="A5365" s="1" t="str">
        <f>HYPERLINK("http://www.rosaceae.org/Prunus/Prunus_persica/p.persica_gdr_reftransV1_0034823","p.persica_gdr_reftransV1_0034823")</f>
        <v>p.persica_gdr_reftransV1_0034823</v>
      </c>
      <c r="B5365" s="3">
        <v>1816</v>
      </c>
      <c r="C5365" s="1" t="str">
        <f>HYPERLINK("http://www.uniprot.org/uniprot/PI5K1_ARATH","PI5K1_ARATH")</f>
        <v>PI5K1_ARATH</v>
      </c>
      <c r="D5365" t="s">
        <v>4573</v>
      </c>
      <c r="E5365" s="3" t="s">
        <v>3</v>
      </c>
      <c r="F5365" s="4">
        <v>3.7899999999999999E-24</v>
      </c>
      <c r="G5365" s="3">
        <v>277</v>
      </c>
      <c r="H5365" s="3">
        <v>37</v>
      </c>
      <c r="I5365" s="3">
        <v>171</v>
      </c>
      <c r="J5365" s="3">
        <v>874</v>
      </c>
      <c r="K5365" s="3">
        <v>1386</v>
      </c>
      <c r="L5365" s="3">
        <v>77</v>
      </c>
      <c r="M5365" s="3">
        <v>247</v>
      </c>
    </row>
    <row r="5366" spans="1:13" x14ac:dyDescent="0.25">
      <c r="A5366" s="1" t="str">
        <f>HYPERLINK("http://www.rosaceae.org/Prunus/Prunus_persica/p.persica_gdr_reftransV1_0034873","p.persica_gdr_reftransV1_0034873")</f>
        <v>p.persica_gdr_reftransV1_0034873</v>
      </c>
      <c r="B5366" s="3">
        <v>2411</v>
      </c>
      <c r="C5366" s="1" t="str">
        <f>HYPERLINK("http://www.uniprot.org/uniprot/Y3544_ARATH","Y3544_ARATH")</f>
        <v>Y3544_ARATH</v>
      </c>
      <c r="D5366" t="s">
        <v>3150</v>
      </c>
      <c r="E5366" s="3" t="s">
        <v>3</v>
      </c>
      <c r="F5366" s="4">
        <v>1.15E-26</v>
      </c>
      <c r="G5366" s="3">
        <v>294</v>
      </c>
      <c r="H5366" s="3">
        <v>40</v>
      </c>
      <c r="I5366" s="3">
        <v>199</v>
      </c>
      <c r="J5366" s="3">
        <v>1436</v>
      </c>
      <c r="K5366" s="3">
        <v>2026</v>
      </c>
      <c r="L5366" s="3">
        <v>133</v>
      </c>
      <c r="M5366" s="3">
        <v>309</v>
      </c>
    </row>
    <row r="5367" spans="1:13" x14ac:dyDescent="0.25">
      <c r="A5367" s="1" t="str">
        <f>HYPERLINK("http://www.rosaceae.org/Prunus/Prunus_persica/p.persica_gdr_reftransV1_0035023","p.persica_gdr_reftransV1_0035023")</f>
        <v>p.persica_gdr_reftransV1_0035023</v>
      </c>
      <c r="B5367" s="3">
        <v>1836</v>
      </c>
      <c r="C5367" s="1" t="str">
        <f>HYPERLINK("http://www.uniprot.org/uniprot/SPX4_ARATH","SPX4_ARATH")</f>
        <v>SPX4_ARATH</v>
      </c>
      <c r="D5367" t="s">
        <v>4574</v>
      </c>
      <c r="E5367" s="3" t="s">
        <v>3</v>
      </c>
      <c r="F5367" s="4">
        <v>2.3E-51</v>
      </c>
      <c r="G5367" s="3">
        <v>469</v>
      </c>
      <c r="H5367" s="3">
        <v>67</v>
      </c>
      <c r="I5367" s="3">
        <v>168</v>
      </c>
      <c r="J5367" s="3">
        <v>332</v>
      </c>
      <c r="K5367" s="3">
        <v>826</v>
      </c>
      <c r="L5367" s="3">
        <v>1</v>
      </c>
      <c r="M5367" s="3">
        <v>165</v>
      </c>
    </row>
    <row r="5368" spans="1:13" x14ac:dyDescent="0.25">
      <c r="A5368" s="1" t="str">
        <f>HYPERLINK("http://www.rosaceae.org/Prunus/Prunus_persica/p.persica_gdr_reftransV1_0035373","p.persica_gdr_reftransV1_0035373")</f>
        <v>p.persica_gdr_reftransV1_0035373</v>
      </c>
      <c r="B5368" s="3">
        <v>1946</v>
      </c>
      <c r="C5368" s="1" t="str">
        <f>HYPERLINK("http://www.uniprot.org/uniprot/ARGJ_RICCO","ARGJ_RICCO")</f>
        <v>ARGJ_RICCO</v>
      </c>
      <c r="D5368" t="s">
        <v>4575</v>
      </c>
      <c r="E5368" s="3" t="s">
        <v>421</v>
      </c>
      <c r="F5368" s="4">
        <v>6.1799999999999997E-178</v>
      </c>
      <c r="G5368" s="3">
        <v>860</v>
      </c>
      <c r="H5368" s="3">
        <v>72</v>
      </c>
      <c r="I5368" s="3">
        <v>254</v>
      </c>
      <c r="J5368" s="3">
        <v>266</v>
      </c>
      <c r="K5368" s="3">
        <v>1009</v>
      </c>
      <c r="L5368" s="3">
        <v>1</v>
      </c>
      <c r="M5368" s="3">
        <v>254</v>
      </c>
    </row>
    <row r="5369" spans="1:13" x14ac:dyDescent="0.25">
      <c r="A5369" s="1" t="str">
        <f>HYPERLINK("http://www.rosaceae.org/Prunus/Prunus_persica/p.persica_gdr_reftransV1_0035473","p.persica_gdr_reftransV1_0035473")</f>
        <v>p.persica_gdr_reftransV1_0035473</v>
      </c>
      <c r="B5369" s="3">
        <v>1173</v>
      </c>
      <c r="C5369" s="1" t="str">
        <f>HYPERLINK("http://www.uniprot.org/uniprot/PSBQ_SPIOL","PSBQ_SPIOL")</f>
        <v>PSBQ_SPIOL</v>
      </c>
      <c r="D5369" t="s">
        <v>4576</v>
      </c>
      <c r="E5369" s="3" t="s">
        <v>131</v>
      </c>
      <c r="F5369" s="4">
        <v>1.37E-82</v>
      </c>
      <c r="G5369" s="3">
        <v>660</v>
      </c>
      <c r="H5369" s="3">
        <v>73</v>
      </c>
      <c r="I5369" s="3">
        <v>202</v>
      </c>
      <c r="J5369" s="3">
        <v>437</v>
      </c>
      <c r="K5369" s="3">
        <v>1039</v>
      </c>
      <c r="L5369" s="3">
        <v>1</v>
      </c>
      <c r="M5369" s="3">
        <v>201</v>
      </c>
    </row>
    <row r="5370" spans="1:13" x14ac:dyDescent="0.25">
      <c r="A5370" s="1" t="str">
        <f>HYPERLINK("http://www.rosaceae.org/Prunus/Prunus_persica/p.persica_gdr_reftransV1_0035673","p.persica_gdr_reftransV1_0035673")</f>
        <v>p.persica_gdr_reftransV1_0035673</v>
      </c>
      <c r="B5370" s="3">
        <v>2263</v>
      </c>
      <c r="C5370" s="1" t="str">
        <f>HYPERLINK("http://www.uniprot.org/uniprot/Y2446_ARATH","Y2446_ARATH")</f>
        <v>Y2446_ARATH</v>
      </c>
      <c r="D5370" t="s">
        <v>4577</v>
      </c>
      <c r="E5370" s="3" t="s">
        <v>3</v>
      </c>
      <c r="F5370" s="4">
        <v>6.9699999999999998E-68</v>
      </c>
      <c r="G5370" s="3">
        <v>589</v>
      </c>
      <c r="H5370" s="3">
        <v>66</v>
      </c>
      <c r="I5370" s="3">
        <v>175</v>
      </c>
      <c r="J5370" s="3">
        <v>1505</v>
      </c>
      <c r="K5370" s="3">
        <v>2029</v>
      </c>
      <c r="L5370" s="3">
        <v>135</v>
      </c>
      <c r="M5370" s="3">
        <v>278</v>
      </c>
    </row>
    <row r="5371" spans="1:13" x14ac:dyDescent="0.25">
      <c r="A5371" s="1" t="str">
        <f>HYPERLINK("http://www.rosaceae.org/Prunus/Prunus_persica/p.persica_gdr_reftransV1_0036323","p.persica_gdr_reftransV1_0036323")</f>
        <v>p.persica_gdr_reftransV1_0036323</v>
      </c>
      <c r="B5371" s="3">
        <v>2022</v>
      </c>
      <c r="C5371" s="1" t="str">
        <f>HYPERLINK("http://www.uniprot.org/uniprot/CRTSO_DAUCA","CRTSO_DAUCA")</f>
        <v>CRTSO_DAUCA</v>
      </c>
      <c r="D5371" t="s">
        <v>1262</v>
      </c>
      <c r="E5371" s="3" t="s">
        <v>32</v>
      </c>
      <c r="F5371" s="4">
        <v>3.0799999999999999E-49</v>
      </c>
      <c r="G5371" s="3">
        <v>473</v>
      </c>
      <c r="H5371" s="3">
        <v>31</v>
      </c>
      <c r="I5371" s="3">
        <v>534</v>
      </c>
      <c r="J5371" s="3">
        <v>408</v>
      </c>
      <c r="K5371" s="3">
        <v>1919</v>
      </c>
      <c r="L5371" s="3">
        <v>123</v>
      </c>
      <c r="M5371" s="3">
        <v>612</v>
      </c>
    </row>
    <row r="5372" spans="1:13" x14ac:dyDescent="0.25">
      <c r="A5372" s="1" t="str">
        <f>HYPERLINK("http://www.rosaceae.org/Prunus/Prunus_persica/p.persica_gdr_reftransV1_0036623","p.persica_gdr_reftransV1_0036623")</f>
        <v>p.persica_gdr_reftransV1_0036623</v>
      </c>
      <c r="B5372" s="3">
        <v>2256</v>
      </c>
      <c r="C5372" s="1" t="str">
        <f>HYPERLINK("http://www.uniprot.org/uniprot/ITPK4_ARATH","ITPK4_ARATH")</f>
        <v>ITPK4_ARATH</v>
      </c>
      <c r="D5372" t="s">
        <v>4578</v>
      </c>
      <c r="E5372" s="3" t="s">
        <v>3</v>
      </c>
      <c r="F5372" s="4">
        <v>8.05E-131</v>
      </c>
      <c r="G5372" s="3">
        <v>1038</v>
      </c>
      <c r="H5372" s="3">
        <v>55</v>
      </c>
      <c r="I5372" s="3">
        <v>377</v>
      </c>
      <c r="J5372" s="3">
        <v>191</v>
      </c>
      <c r="K5372" s="3">
        <v>1318</v>
      </c>
      <c r="L5372" s="3">
        <v>30</v>
      </c>
      <c r="M5372" s="3">
        <v>402</v>
      </c>
    </row>
    <row r="5373" spans="1:13" x14ac:dyDescent="0.25">
      <c r="A5373" s="1" t="str">
        <f>HYPERLINK("http://www.rosaceae.org/Prunus/Prunus_persica/p.persica_gdr_reftransV1_0036923","p.persica_gdr_reftransV1_0036923")</f>
        <v>p.persica_gdr_reftransV1_0036923</v>
      </c>
      <c r="B5373" s="3">
        <v>805</v>
      </c>
      <c r="C5373" s="1" t="str">
        <f>HYPERLINK("http://www.uniprot.org/uniprot/CPR30_ARATH","CPR30_ARATH")</f>
        <v>CPR30_ARATH</v>
      </c>
      <c r="D5373" t="s">
        <v>1594</v>
      </c>
      <c r="E5373" s="3" t="s">
        <v>3</v>
      </c>
      <c r="F5373" s="4">
        <v>2.98E-10</v>
      </c>
      <c r="G5373" s="3">
        <v>153</v>
      </c>
      <c r="H5373" s="3">
        <v>33</v>
      </c>
      <c r="I5373" s="3">
        <v>125</v>
      </c>
      <c r="J5373" s="3">
        <v>19</v>
      </c>
      <c r="K5373" s="3">
        <v>390</v>
      </c>
      <c r="L5373" s="3">
        <v>1</v>
      </c>
      <c r="M5373" s="3">
        <v>122</v>
      </c>
    </row>
    <row r="5374" spans="1:13" x14ac:dyDescent="0.25">
      <c r="A5374" s="1" t="str">
        <f>HYPERLINK("http://www.rosaceae.org/Prunus/Prunus_persica/p.persica_gdr_reftransV1_0037023","p.persica_gdr_reftransV1_0037023")</f>
        <v>p.persica_gdr_reftransV1_0037023</v>
      </c>
      <c r="B5374" s="3">
        <v>3342</v>
      </c>
      <c r="C5374" s="1" t="str">
        <f>HYPERLINK("http://www.uniprot.org/uniprot/POLX_TOBAC","POLX_TOBAC")</f>
        <v>POLX_TOBAC</v>
      </c>
      <c r="D5374" t="s">
        <v>1253</v>
      </c>
      <c r="E5374" s="3" t="s">
        <v>200</v>
      </c>
      <c r="F5374" s="4">
        <v>1.76E-97</v>
      </c>
      <c r="G5374" s="3">
        <v>880</v>
      </c>
      <c r="H5374" s="3">
        <v>39</v>
      </c>
      <c r="I5374" s="3">
        <v>500</v>
      </c>
      <c r="J5374" s="3">
        <v>1666</v>
      </c>
      <c r="K5374" s="3">
        <v>3120</v>
      </c>
      <c r="L5374" s="3">
        <v>829</v>
      </c>
      <c r="M5374" s="3">
        <v>1325</v>
      </c>
    </row>
    <row r="5375" spans="1:13" x14ac:dyDescent="0.25">
      <c r="A5375" s="1" t="str">
        <f>HYPERLINK("http://www.rosaceae.org/Prunus/Prunus_persica/p.persica_gdr_reftransV1_0037173","p.persica_gdr_reftransV1_0037173")</f>
        <v>p.persica_gdr_reftransV1_0037173</v>
      </c>
      <c r="B5375" s="3">
        <v>2323</v>
      </c>
      <c r="C5375" s="1" t="str">
        <f>HYPERLINK("http://www.uniprot.org/uniprot/RBL13_ARATH","RBL13_ARATH")</f>
        <v>RBL13_ARATH</v>
      </c>
      <c r="D5375" t="s">
        <v>4579</v>
      </c>
      <c r="E5375" s="3" t="s">
        <v>3</v>
      </c>
      <c r="F5375" s="4">
        <v>5.8100000000000002E-144</v>
      </c>
      <c r="G5375" s="3">
        <v>1107</v>
      </c>
      <c r="H5375" s="3">
        <v>81</v>
      </c>
      <c r="I5375" s="3">
        <v>269</v>
      </c>
      <c r="J5375" s="3">
        <v>1097</v>
      </c>
      <c r="K5375" s="3">
        <v>1903</v>
      </c>
      <c r="L5375" s="3">
        <v>1</v>
      </c>
      <c r="M5375" s="3">
        <v>269</v>
      </c>
    </row>
    <row r="5376" spans="1:13" x14ac:dyDescent="0.25">
      <c r="A5376" s="1" t="str">
        <f>HYPERLINK("http://www.rosaceae.org/Prunus/Prunus_persica/p.persica_gdr_reftransV1_0037273","p.persica_gdr_reftransV1_0037273")</f>
        <v>p.persica_gdr_reftransV1_0037273</v>
      </c>
      <c r="B5376" s="3">
        <v>3650</v>
      </c>
      <c r="C5376" s="1" t="str">
        <f>HYPERLINK("http://www.uniprot.org/uniprot/HBP1A_WHEAT","HBP1A_WHEAT")</f>
        <v>HBP1A_WHEAT</v>
      </c>
      <c r="D5376" t="s">
        <v>4580</v>
      </c>
      <c r="E5376" s="3" t="s">
        <v>710</v>
      </c>
      <c r="F5376" s="4">
        <v>1.2099999999999999E-22</v>
      </c>
      <c r="G5376" s="3">
        <v>262</v>
      </c>
      <c r="H5376" s="3">
        <v>75</v>
      </c>
      <c r="I5376" s="3">
        <v>71</v>
      </c>
      <c r="J5376" s="3">
        <v>2814</v>
      </c>
      <c r="K5376" s="3">
        <v>3026</v>
      </c>
      <c r="L5376" s="3">
        <v>249</v>
      </c>
      <c r="M5376" s="3">
        <v>319</v>
      </c>
    </row>
    <row r="5377" spans="1:13" x14ac:dyDescent="0.25">
      <c r="A5377" s="1" t="str">
        <f>HYPERLINK("http://www.rosaceae.org/Prunus/Prunus_persica/p.persica_gdr_reftransV1_0037323","p.persica_gdr_reftransV1_0037323")</f>
        <v>p.persica_gdr_reftransV1_0037323</v>
      </c>
      <c r="B5377" s="3">
        <v>1120</v>
      </c>
      <c r="C5377" s="1" t="str">
        <f>HYPERLINK("http://www.uniprot.org/uniprot/YSL3_ARATH","YSL3_ARATH")</f>
        <v>YSL3_ARATH</v>
      </c>
      <c r="D5377" t="s">
        <v>583</v>
      </c>
      <c r="E5377" s="3" t="s">
        <v>3</v>
      </c>
      <c r="F5377" s="4">
        <v>1.1599999999999999E-50</v>
      </c>
      <c r="G5377" s="3">
        <v>468</v>
      </c>
      <c r="H5377" s="3">
        <v>76</v>
      </c>
      <c r="I5377" s="3">
        <v>118</v>
      </c>
      <c r="J5377" s="3">
        <v>1</v>
      </c>
      <c r="K5377" s="3">
        <v>348</v>
      </c>
      <c r="L5377" s="3">
        <v>15</v>
      </c>
      <c r="M5377" s="3">
        <v>132</v>
      </c>
    </row>
    <row r="5378" spans="1:13" x14ac:dyDescent="0.25">
      <c r="A5378" s="1" t="str">
        <f>HYPERLINK("http://www.rosaceae.org/Prunus/Prunus_persica/p.persica_gdr_reftransV1_0037473","p.persica_gdr_reftransV1_0037473")</f>
        <v>p.persica_gdr_reftransV1_0037473</v>
      </c>
      <c r="B5378" s="3">
        <v>1922</v>
      </c>
      <c r="C5378" s="1" t="str">
        <f>HYPERLINK("http://www.uniprot.org/uniprot/BRN1L_ARATH","BRN1L_ARATH")</f>
        <v>BRN1L_ARATH</v>
      </c>
      <c r="D5378" t="s">
        <v>4581</v>
      </c>
      <c r="E5378" s="3" t="s">
        <v>3</v>
      </c>
      <c r="F5378" s="4">
        <v>3.1500000000000002E-143</v>
      </c>
      <c r="G5378" s="3">
        <v>1107</v>
      </c>
      <c r="H5378" s="3">
        <v>67</v>
      </c>
      <c r="I5378" s="3">
        <v>325</v>
      </c>
      <c r="J5378" s="3">
        <v>179</v>
      </c>
      <c r="K5378" s="3">
        <v>1132</v>
      </c>
      <c r="L5378" s="3">
        <v>17</v>
      </c>
      <c r="M5378" s="3">
        <v>318</v>
      </c>
    </row>
    <row r="5379" spans="1:13" x14ac:dyDescent="0.25">
      <c r="A5379" s="1" t="str">
        <f>HYPERLINK("http://www.rosaceae.org/Prunus/Prunus_persica/p.persica_gdr_reftransV1_0037673","p.persica_gdr_reftransV1_0037673")</f>
        <v>p.persica_gdr_reftransV1_0037673</v>
      </c>
      <c r="B5379" s="3">
        <v>666</v>
      </c>
      <c r="C5379" s="1" t="str">
        <f>HYPERLINK("http://www.uniprot.org/uniprot/DCTP1_MOUSE","DCTP1_MOUSE")</f>
        <v>DCTP1_MOUSE</v>
      </c>
      <c r="D5379" t="s">
        <v>4582</v>
      </c>
      <c r="E5379" s="3" t="s">
        <v>157</v>
      </c>
      <c r="F5379" s="4">
        <v>4.7700000000000002E-21</v>
      </c>
      <c r="G5379" s="3">
        <v>224</v>
      </c>
      <c r="H5379" s="3">
        <v>53</v>
      </c>
      <c r="I5379" s="3">
        <v>108</v>
      </c>
      <c r="J5379" s="3">
        <v>147</v>
      </c>
      <c r="K5379" s="3">
        <v>470</v>
      </c>
      <c r="L5379" s="3">
        <v>24</v>
      </c>
      <c r="M5379" s="3">
        <v>131</v>
      </c>
    </row>
    <row r="5380" spans="1:13" x14ac:dyDescent="0.25">
      <c r="A5380" s="1" t="str">
        <f>HYPERLINK("http://www.rosaceae.org/Prunus/Prunus_persica/p.persica_gdr_reftransV1_0038173","p.persica_gdr_reftransV1_0038173")</f>
        <v>p.persica_gdr_reftransV1_0038173</v>
      </c>
      <c r="B5380" s="3">
        <v>800</v>
      </c>
      <c r="C5380" s="1" t="str">
        <f>HYPERLINK("http://www.uniprot.org/uniprot/Y3720_ARATH","Y3720_ARATH")</f>
        <v>Y3720_ARATH</v>
      </c>
      <c r="D5380" t="s">
        <v>104</v>
      </c>
      <c r="E5380" s="3" t="s">
        <v>3</v>
      </c>
      <c r="F5380" s="4">
        <v>3.7300000000000001E-33</v>
      </c>
      <c r="G5380" s="3">
        <v>326</v>
      </c>
      <c r="H5380" s="3">
        <v>36</v>
      </c>
      <c r="I5380" s="3">
        <v>213</v>
      </c>
      <c r="J5380" s="3">
        <v>114</v>
      </c>
      <c r="K5380" s="3">
        <v>707</v>
      </c>
      <c r="L5380" s="3">
        <v>251</v>
      </c>
      <c r="M5380" s="3">
        <v>462</v>
      </c>
    </row>
    <row r="5381" spans="1:13" x14ac:dyDescent="0.25">
      <c r="A5381" s="1" t="str">
        <f>HYPERLINK("http://www.rosaceae.org/Prunus/Prunus_persica/p.persica_gdr_reftransV1_0038273","p.persica_gdr_reftransV1_0038273")</f>
        <v>p.persica_gdr_reftransV1_0038273</v>
      </c>
      <c r="B5381" s="3">
        <v>2689</v>
      </c>
      <c r="C5381" s="1" t="str">
        <f>HYPERLINK("http://www.uniprot.org/uniprot/RNZ1_SCHPO","RNZ1_SCHPO")</f>
        <v>RNZ1_SCHPO</v>
      </c>
      <c r="D5381" t="s">
        <v>4583</v>
      </c>
      <c r="E5381" s="3" t="s">
        <v>464</v>
      </c>
      <c r="F5381" s="4">
        <v>7.9599999999999996E-63</v>
      </c>
      <c r="G5381" s="3">
        <v>590</v>
      </c>
      <c r="H5381" s="3">
        <v>30</v>
      </c>
      <c r="I5381" s="3">
        <v>650</v>
      </c>
      <c r="J5381" s="3">
        <v>245</v>
      </c>
      <c r="K5381" s="3">
        <v>2155</v>
      </c>
      <c r="L5381" s="3">
        <v>264</v>
      </c>
      <c r="M5381" s="3">
        <v>780</v>
      </c>
    </row>
    <row r="5382" spans="1:13" x14ac:dyDescent="0.25">
      <c r="A5382" s="1" t="str">
        <f>HYPERLINK("http://www.rosaceae.org/Prunus/Prunus_persica/p.persica_gdr_reftransV1_0038973","p.persica_gdr_reftransV1_0038973")</f>
        <v>p.persica_gdr_reftransV1_0038973</v>
      </c>
      <c r="B5382" s="3">
        <v>1791</v>
      </c>
      <c r="C5382" s="1" t="str">
        <f>HYPERLINK("http://www.uniprot.org/uniprot/Y1480_ARATH","Y1480_ARATH")</f>
        <v>Y1480_ARATH</v>
      </c>
      <c r="D5382" t="s">
        <v>3866</v>
      </c>
      <c r="E5382" s="3" t="s">
        <v>3</v>
      </c>
      <c r="F5382" s="4">
        <v>3.3699999999999999E-45</v>
      </c>
      <c r="G5382" s="3">
        <v>332</v>
      </c>
      <c r="H5382" s="3">
        <v>38</v>
      </c>
      <c r="I5382" s="3">
        <v>202</v>
      </c>
      <c r="J5382" s="3">
        <v>851</v>
      </c>
      <c r="K5382" s="3">
        <v>1426</v>
      </c>
      <c r="L5382" s="3">
        <v>55</v>
      </c>
      <c r="M5382" s="3">
        <v>239</v>
      </c>
    </row>
    <row r="5383" spans="1:13" x14ac:dyDescent="0.25">
      <c r="A5383" s="1" t="str">
        <f>HYPERLINK("http://www.rosaceae.org/Prunus/Prunus_persica/p.persica_gdr_reftransV1_0039173","p.persica_gdr_reftransV1_0039173")</f>
        <v>p.persica_gdr_reftransV1_0039173</v>
      </c>
      <c r="B5383" s="3">
        <v>1246</v>
      </c>
      <c r="C5383" s="1" t="str">
        <f>HYPERLINK("http://www.uniprot.org/uniprot/CTR1_ARATH","CTR1_ARATH")</f>
        <v>CTR1_ARATH</v>
      </c>
      <c r="D5383" t="s">
        <v>3566</v>
      </c>
      <c r="E5383" s="3" t="s">
        <v>3</v>
      </c>
      <c r="F5383" s="4">
        <v>4.5299999999999997E-129</v>
      </c>
      <c r="G5383" s="3">
        <v>1023</v>
      </c>
      <c r="H5383" s="3">
        <v>72</v>
      </c>
      <c r="I5383" s="3">
        <v>261</v>
      </c>
      <c r="J5383" s="3">
        <v>2</v>
      </c>
      <c r="K5383" s="3">
        <v>784</v>
      </c>
      <c r="L5383" s="3">
        <v>551</v>
      </c>
      <c r="M5383" s="3">
        <v>811</v>
      </c>
    </row>
    <row r="5384" spans="1:13" x14ac:dyDescent="0.25">
      <c r="A5384" s="1" t="str">
        <f>HYPERLINK("http://www.rosaceae.org/Prunus/Prunus_persica/p.persica_gdr_reftransV1_0039523","p.persica_gdr_reftransV1_0039523")</f>
        <v>p.persica_gdr_reftransV1_0039523</v>
      </c>
      <c r="B5384" s="3">
        <v>1179</v>
      </c>
      <c r="C5384" s="1" t="str">
        <f>HYPERLINK("http://www.uniprot.org/uniprot/IBH1_ARATH","IBH1_ARATH")</f>
        <v>IBH1_ARATH</v>
      </c>
      <c r="D5384" t="s">
        <v>4584</v>
      </c>
      <c r="E5384" s="3" t="s">
        <v>3</v>
      </c>
      <c r="F5384" s="4">
        <v>7.1900000000000005E-16</v>
      </c>
      <c r="G5384" s="3">
        <v>192</v>
      </c>
      <c r="H5384" s="3">
        <v>37</v>
      </c>
      <c r="I5384" s="3">
        <v>141</v>
      </c>
      <c r="J5384" s="3">
        <v>455</v>
      </c>
      <c r="K5384" s="3">
        <v>874</v>
      </c>
      <c r="L5384" s="3">
        <v>18</v>
      </c>
      <c r="M5384" s="3">
        <v>150</v>
      </c>
    </row>
    <row r="5385" spans="1:13" x14ac:dyDescent="0.25">
      <c r="A5385" s="1" t="str">
        <f>HYPERLINK("http://www.rosaceae.org/Prunus/Prunus_persica/p.persica_gdr_reftransV1_0040173","p.persica_gdr_reftransV1_0040173")</f>
        <v>p.persica_gdr_reftransV1_0040173</v>
      </c>
      <c r="B5385" s="3">
        <v>2010</v>
      </c>
      <c r="C5385" s="1" t="str">
        <f>HYPERLINK("http://www.uniprot.org/uniprot/KASM_ARATH","KASM_ARATH")</f>
        <v>KASM_ARATH</v>
      </c>
      <c r="D5385" t="s">
        <v>4585</v>
      </c>
      <c r="E5385" s="3" t="s">
        <v>3</v>
      </c>
      <c r="F5385" s="4">
        <v>0</v>
      </c>
      <c r="G5385" s="3">
        <v>1060</v>
      </c>
      <c r="H5385" s="3">
        <v>79</v>
      </c>
      <c r="I5385" s="3">
        <v>258</v>
      </c>
      <c r="J5385" s="3">
        <v>1057</v>
      </c>
      <c r="K5385" s="3">
        <v>1830</v>
      </c>
      <c r="L5385" s="3">
        <v>37</v>
      </c>
      <c r="M5385" s="3">
        <v>291</v>
      </c>
    </row>
    <row r="5386" spans="1:13" x14ac:dyDescent="0.25">
      <c r="A5386" s="1" t="str">
        <f>HYPERLINK("http://www.rosaceae.org/Prunus/Prunus_persica/p.persica_gdr_reftransV1_0040223","p.persica_gdr_reftransV1_0040223")</f>
        <v>p.persica_gdr_reftransV1_0040223</v>
      </c>
      <c r="B5386" s="3">
        <v>2599</v>
      </c>
      <c r="C5386" s="1" t="str">
        <f>HYPERLINK("http://www.uniprot.org/uniprot/BPM3_ARATH","BPM3_ARATH")</f>
        <v>BPM3_ARATH</v>
      </c>
      <c r="D5386" t="s">
        <v>4379</v>
      </c>
      <c r="E5386" s="3" t="s">
        <v>3</v>
      </c>
      <c r="F5386" s="4">
        <v>5.24E-164</v>
      </c>
      <c r="G5386" s="3">
        <v>1262</v>
      </c>
      <c r="H5386" s="3">
        <v>72</v>
      </c>
      <c r="I5386" s="3">
        <v>334</v>
      </c>
      <c r="J5386" s="3">
        <v>1299</v>
      </c>
      <c r="K5386" s="3">
        <v>2291</v>
      </c>
      <c r="L5386" s="3">
        <v>6</v>
      </c>
      <c r="M5386" s="3">
        <v>339</v>
      </c>
    </row>
    <row r="5387" spans="1:13" x14ac:dyDescent="0.25">
      <c r="A5387" s="1" t="str">
        <f>HYPERLINK("http://www.rosaceae.org/Prunus/Prunus_persica/p.persica_gdr_reftransV1_0040373","p.persica_gdr_reftransV1_0040373")</f>
        <v>p.persica_gdr_reftransV1_0040373</v>
      </c>
      <c r="B5387" s="3">
        <v>1158</v>
      </c>
      <c r="C5387" s="1" t="str">
        <f>HYPERLINK("http://www.uniprot.org/uniprot/BARD1_HUMAN","BARD1_HUMAN")</f>
        <v>BARD1_HUMAN</v>
      </c>
      <c r="D5387" t="s">
        <v>4586</v>
      </c>
      <c r="E5387" s="3" t="s">
        <v>28</v>
      </c>
      <c r="F5387" s="4">
        <v>8.7599999999999996E-17</v>
      </c>
      <c r="G5387" s="3">
        <v>211</v>
      </c>
      <c r="H5387" s="3">
        <v>38</v>
      </c>
      <c r="I5387" s="3">
        <v>112</v>
      </c>
      <c r="J5387" s="3">
        <v>259</v>
      </c>
      <c r="K5387" s="3">
        <v>594</v>
      </c>
      <c r="L5387" s="3">
        <v>428</v>
      </c>
      <c r="M5387" s="3">
        <v>532</v>
      </c>
    </row>
    <row r="5388" spans="1:13" x14ac:dyDescent="0.25">
      <c r="A5388" s="1" t="str">
        <f>HYPERLINK("http://www.rosaceae.org/Prunus/Prunus_persica/p.persica_gdr_reftransV1_0040823","p.persica_gdr_reftransV1_0040823")</f>
        <v>p.persica_gdr_reftransV1_0040823</v>
      </c>
      <c r="B5388" s="3">
        <v>1885</v>
      </c>
      <c r="C5388" s="1" t="str">
        <f>HYPERLINK("http://www.uniprot.org/uniprot/TGT3B_ARATH","TGT3B_ARATH")</f>
        <v>TGT3B_ARATH</v>
      </c>
      <c r="D5388" t="s">
        <v>4587</v>
      </c>
      <c r="E5388" s="3" t="s">
        <v>3</v>
      </c>
      <c r="F5388" s="4">
        <v>2.0300000000000001E-17</v>
      </c>
      <c r="G5388" s="3">
        <v>214</v>
      </c>
      <c r="H5388" s="3">
        <v>37</v>
      </c>
      <c r="I5388" s="3">
        <v>144</v>
      </c>
      <c r="J5388" s="3">
        <v>1055</v>
      </c>
      <c r="K5388" s="3">
        <v>1483</v>
      </c>
      <c r="L5388" s="3">
        <v>35</v>
      </c>
      <c r="M5388" s="3">
        <v>134</v>
      </c>
    </row>
    <row r="5389" spans="1:13" x14ac:dyDescent="0.25">
      <c r="A5389" s="1" t="str">
        <f>HYPERLINK("http://www.rosaceae.org/Prunus/Prunus_persica/p.persica_gdr_reftransV1_0040923","p.persica_gdr_reftransV1_0040923")</f>
        <v>p.persica_gdr_reftransV1_0040923</v>
      </c>
      <c r="B5389" s="3">
        <v>3989</v>
      </c>
      <c r="C5389" s="1" t="str">
        <f>HYPERLINK("http://www.uniprot.org/uniprot/CLPD_ARATH","CLPD_ARATH")</f>
        <v>CLPD_ARATH</v>
      </c>
      <c r="D5389" t="s">
        <v>4588</v>
      </c>
      <c r="E5389" s="3" t="s">
        <v>3</v>
      </c>
      <c r="F5389" s="4">
        <v>0</v>
      </c>
      <c r="G5389" s="3">
        <v>1981</v>
      </c>
      <c r="H5389" s="3">
        <v>68</v>
      </c>
      <c r="I5389" s="3">
        <v>552</v>
      </c>
      <c r="J5389" s="3">
        <v>2135</v>
      </c>
      <c r="K5389" s="3">
        <v>3781</v>
      </c>
      <c r="L5389" s="3">
        <v>422</v>
      </c>
      <c r="M5389" s="3">
        <v>935</v>
      </c>
    </row>
    <row r="5390" spans="1:13" x14ac:dyDescent="0.25">
      <c r="A5390" s="1" t="str">
        <f>HYPERLINK("http://www.rosaceae.org/Prunus/Prunus_persica/p.persica_gdr_reftransV1_0041273","p.persica_gdr_reftransV1_0041273")</f>
        <v>p.persica_gdr_reftransV1_0041273</v>
      </c>
      <c r="B5390" s="3">
        <v>2209</v>
      </c>
      <c r="C5390" s="1" t="str">
        <f>HYPERLINK("http://www.uniprot.org/uniprot/EOGT_CHICK","EOGT_CHICK")</f>
        <v>EOGT_CHICK</v>
      </c>
      <c r="D5390" t="s">
        <v>4589</v>
      </c>
      <c r="E5390" s="3" t="s">
        <v>1278</v>
      </c>
      <c r="F5390" s="4">
        <v>9.1000000000000004E-9</v>
      </c>
      <c r="G5390" s="3">
        <v>150</v>
      </c>
      <c r="H5390" s="3">
        <v>25</v>
      </c>
      <c r="I5390" s="3">
        <v>320</v>
      </c>
      <c r="J5390" s="3">
        <v>624</v>
      </c>
      <c r="K5390" s="3">
        <v>1541</v>
      </c>
      <c r="L5390" s="3">
        <v>234</v>
      </c>
      <c r="M5390" s="3">
        <v>512</v>
      </c>
    </row>
    <row r="5391" spans="1:13" x14ac:dyDescent="0.25">
      <c r="A5391" s="1" t="str">
        <f>HYPERLINK("http://www.rosaceae.org/Prunus/Prunus_persica/p.persica_gdr_reftransV1_0041323","p.persica_gdr_reftransV1_0041323")</f>
        <v>p.persica_gdr_reftransV1_0041323</v>
      </c>
      <c r="B5391" s="3">
        <v>2647</v>
      </c>
      <c r="C5391" s="1" t="str">
        <f>HYPERLINK("http://www.uniprot.org/uniprot/ATK4_ARATH","ATK4_ARATH")</f>
        <v>ATK4_ARATH</v>
      </c>
      <c r="D5391" t="s">
        <v>3593</v>
      </c>
      <c r="E5391" s="3" t="s">
        <v>3</v>
      </c>
      <c r="F5391" s="4">
        <v>3.4999999999999999E-99</v>
      </c>
      <c r="G5391" s="3">
        <v>866</v>
      </c>
      <c r="H5391" s="3">
        <v>50</v>
      </c>
      <c r="I5391" s="3">
        <v>363</v>
      </c>
      <c r="J5391" s="3">
        <v>540</v>
      </c>
      <c r="K5391" s="3">
        <v>1613</v>
      </c>
      <c r="L5391" s="3">
        <v>380</v>
      </c>
      <c r="M5391" s="3">
        <v>740</v>
      </c>
    </row>
    <row r="5392" spans="1:13" x14ac:dyDescent="0.25">
      <c r="A5392" s="1" t="str">
        <f>HYPERLINK("http://www.rosaceae.org/Prunus/Prunus_persica/p.persica_gdr_reftransV1_0041623","p.persica_gdr_reftransV1_0041623")</f>
        <v>p.persica_gdr_reftransV1_0041623</v>
      </c>
      <c r="B5392" s="3">
        <v>2160</v>
      </c>
      <c r="C5392" s="1" t="str">
        <f>HYPERLINK("http://www.uniprot.org/uniprot/MURD_PELCD","MURD_PELCD")</f>
        <v>MURD_PELCD</v>
      </c>
      <c r="D5392" t="s">
        <v>4590</v>
      </c>
      <c r="E5392" s="3" t="s">
        <v>4591</v>
      </c>
      <c r="F5392" s="4">
        <v>2.83E-27</v>
      </c>
      <c r="G5392" s="3">
        <v>298</v>
      </c>
      <c r="H5392" s="3">
        <v>39</v>
      </c>
      <c r="I5392" s="3">
        <v>179</v>
      </c>
      <c r="J5392" s="3">
        <v>1221</v>
      </c>
      <c r="K5392" s="3">
        <v>1757</v>
      </c>
      <c r="L5392" s="3">
        <v>53</v>
      </c>
      <c r="M5392" s="3">
        <v>220</v>
      </c>
    </row>
    <row r="5393" spans="1:13" x14ac:dyDescent="0.25">
      <c r="A5393" s="1" t="str">
        <f>HYPERLINK("http://www.rosaceae.org/Prunus/Prunus_persica/p.persica_gdr_reftransV1_0041923","p.persica_gdr_reftransV1_0041923")</f>
        <v>p.persica_gdr_reftransV1_0041923</v>
      </c>
      <c r="B5393" s="3">
        <v>1046</v>
      </c>
      <c r="C5393" s="1" t="str">
        <f>HYPERLINK("http://www.uniprot.org/uniprot/CSN8_ARATH","CSN8_ARATH")</f>
        <v>CSN8_ARATH</v>
      </c>
      <c r="D5393" t="s">
        <v>4592</v>
      </c>
      <c r="E5393" s="3" t="s">
        <v>3</v>
      </c>
      <c r="F5393" s="4">
        <v>2.3699999999999999E-99</v>
      </c>
      <c r="G5393" s="3">
        <v>765</v>
      </c>
      <c r="H5393" s="3">
        <v>71</v>
      </c>
      <c r="I5393" s="3">
        <v>197</v>
      </c>
      <c r="J5393" s="3">
        <v>91</v>
      </c>
      <c r="K5393" s="3">
        <v>681</v>
      </c>
      <c r="L5393" s="3">
        <v>1</v>
      </c>
      <c r="M5393" s="3">
        <v>197</v>
      </c>
    </row>
    <row r="5394" spans="1:13" x14ac:dyDescent="0.25">
      <c r="A5394" s="1" t="str">
        <f>HYPERLINK("http://www.rosaceae.org/Prunus/Prunus_persica/p.persica_gdr_reftransV1_0041973","p.persica_gdr_reftransV1_0041973")</f>
        <v>p.persica_gdr_reftransV1_0041973</v>
      </c>
      <c r="B5394" s="3">
        <v>2108</v>
      </c>
      <c r="C5394" s="1" t="str">
        <f>HYPERLINK("http://www.uniprot.org/uniprot/KMS1_ARATH","KMS1_ARATH")</f>
        <v>KMS1_ARATH</v>
      </c>
      <c r="D5394" t="s">
        <v>4593</v>
      </c>
      <c r="E5394" s="3" t="s">
        <v>3</v>
      </c>
      <c r="F5394" s="4">
        <v>0</v>
      </c>
      <c r="G5394" s="3">
        <v>1611</v>
      </c>
      <c r="H5394" s="3">
        <v>76</v>
      </c>
      <c r="I5394" s="3">
        <v>389</v>
      </c>
      <c r="J5394" s="3">
        <v>560</v>
      </c>
      <c r="K5394" s="3">
        <v>1723</v>
      </c>
      <c r="L5394" s="3">
        <v>12</v>
      </c>
      <c r="M5394" s="3">
        <v>400</v>
      </c>
    </row>
    <row r="5395" spans="1:13" x14ac:dyDescent="0.25">
      <c r="A5395" s="1" t="str">
        <f>HYPERLINK("http://www.rosaceae.org/Prunus/Prunus_persica/p.persica_gdr_reftransV1_0042423","p.persica_gdr_reftransV1_0042423")</f>
        <v>p.persica_gdr_reftransV1_0042423</v>
      </c>
      <c r="B5395" s="3">
        <v>2650</v>
      </c>
      <c r="C5395" s="1" t="str">
        <f>HYPERLINK("http://www.uniprot.org/uniprot/SERC2_MOUSE","SERC2_MOUSE")</f>
        <v>SERC2_MOUSE</v>
      </c>
      <c r="D5395" t="s">
        <v>4594</v>
      </c>
      <c r="E5395" s="3" t="s">
        <v>157</v>
      </c>
      <c r="F5395" s="4">
        <v>1.1099999999999999E-13</v>
      </c>
      <c r="G5395" s="3">
        <v>191</v>
      </c>
      <c r="H5395" s="3">
        <v>50</v>
      </c>
      <c r="I5395" s="3">
        <v>72</v>
      </c>
      <c r="J5395" s="3">
        <v>329</v>
      </c>
      <c r="K5395" s="3">
        <v>544</v>
      </c>
      <c r="L5395" s="3">
        <v>379</v>
      </c>
      <c r="M5395" s="3">
        <v>449</v>
      </c>
    </row>
    <row r="5396" spans="1:13" x14ac:dyDescent="0.25">
      <c r="A5396" s="1" t="str">
        <f>HYPERLINK("http://www.rosaceae.org/Prunus/Prunus_persica/p.persica_gdr_reftransV1_0042623","p.persica_gdr_reftransV1_0042623")</f>
        <v>p.persica_gdr_reftransV1_0042623</v>
      </c>
      <c r="B5396" s="3">
        <v>3205</v>
      </c>
      <c r="C5396" s="1" t="str">
        <f>HYPERLINK("http://www.uniprot.org/uniprot/AB28B_ARATH","AB28B_ARATH")</f>
        <v>AB28B_ARATH</v>
      </c>
      <c r="D5396" t="s">
        <v>4595</v>
      </c>
      <c r="E5396" s="3" t="s">
        <v>3</v>
      </c>
      <c r="F5396" s="4">
        <v>0</v>
      </c>
      <c r="G5396" s="3">
        <v>1530</v>
      </c>
      <c r="H5396" s="3">
        <v>68</v>
      </c>
      <c r="I5396" s="3">
        <v>440</v>
      </c>
      <c r="J5396" s="3">
        <v>347</v>
      </c>
      <c r="K5396" s="3">
        <v>1645</v>
      </c>
      <c r="L5396" s="3">
        <v>36</v>
      </c>
      <c r="M5396" s="3">
        <v>473</v>
      </c>
    </row>
    <row r="5397" spans="1:13" x14ac:dyDescent="0.25">
      <c r="A5397" s="1" t="str">
        <f>HYPERLINK("http://www.rosaceae.org/Prunus/Prunus_persica/p.persica_gdr_reftransV1_0042873","p.persica_gdr_reftransV1_0042873")</f>
        <v>p.persica_gdr_reftransV1_0042873</v>
      </c>
      <c r="B5397" s="3">
        <v>2095</v>
      </c>
      <c r="C5397" s="1" t="str">
        <f>HYPERLINK("http://www.uniprot.org/uniprot/PRP38_ARATH","PRP38_ARATH")</f>
        <v>PRP38_ARATH</v>
      </c>
      <c r="D5397" t="s">
        <v>4596</v>
      </c>
      <c r="E5397" s="3" t="s">
        <v>3</v>
      </c>
      <c r="F5397" s="4">
        <v>2.7100000000000002E-51</v>
      </c>
      <c r="G5397" s="3">
        <v>474</v>
      </c>
      <c r="H5397" s="3">
        <v>86</v>
      </c>
      <c r="I5397" s="3">
        <v>99</v>
      </c>
      <c r="J5397" s="3">
        <v>1715</v>
      </c>
      <c r="K5397" s="3">
        <v>2011</v>
      </c>
      <c r="L5397" s="3">
        <v>1</v>
      </c>
      <c r="M5397" s="3">
        <v>99</v>
      </c>
    </row>
    <row r="5398" spans="1:13" x14ac:dyDescent="0.25">
      <c r="A5398" s="1" t="str">
        <f>HYPERLINK("http://www.rosaceae.org/Prunus/Prunus_persica/p.persica_gdr_reftransV1_0043023","p.persica_gdr_reftransV1_0043023")</f>
        <v>p.persica_gdr_reftransV1_0043023</v>
      </c>
      <c r="B5398" s="3">
        <v>3254</v>
      </c>
      <c r="C5398" s="1" t="str">
        <f>HYPERLINK("http://www.uniprot.org/uniprot/HT1_ARATH","HT1_ARATH")</f>
        <v>HT1_ARATH</v>
      </c>
      <c r="D5398" t="s">
        <v>1169</v>
      </c>
      <c r="E5398" s="3" t="s">
        <v>3</v>
      </c>
      <c r="F5398" s="4">
        <v>4.4200000000000004E-59</v>
      </c>
      <c r="G5398" s="3">
        <v>542</v>
      </c>
      <c r="H5398" s="3">
        <v>48</v>
      </c>
      <c r="I5398" s="3">
        <v>220</v>
      </c>
      <c r="J5398" s="3">
        <v>1784</v>
      </c>
      <c r="K5398" s="3">
        <v>2428</v>
      </c>
      <c r="L5398" s="3">
        <v>79</v>
      </c>
      <c r="M5398" s="3">
        <v>298</v>
      </c>
    </row>
    <row r="5399" spans="1:13" x14ac:dyDescent="0.25">
      <c r="A5399" s="1" t="str">
        <f>HYPERLINK("http://www.rosaceae.org/Prunus/Prunus_persica/p.persica_gdr_reftransV1_0043073","p.persica_gdr_reftransV1_0043073")</f>
        <v>p.persica_gdr_reftransV1_0043073</v>
      </c>
      <c r="B5399" s="3">
        <v>1275</v>
      </c>
      <c r="C5399" s="1" t="str">
        <f>HYPERLINK("http://www.uniprot.org/uniprot/PP312_ARATH","PP312_ARATH")</f>
        <v>PP312_ARATH</v>
      </c>
      <c r="D5399" t="s">
        <v>4597</v>
      </c>
      <c r="E5399" s="3" t="s">
        <v>3</v>
      </c>
      <c r="F5399" s="4">
        <v>0</v>
      </c>
      <c r="G5399" s="3">
        <v>1593</v>
      </c>
      <c r="H5399" s="3">
        <v>68</v>
      </c>
      <c r="I5399" s="3">
        <v>425</v>
      </c>
      <c r="J5399" s="3">
        <v>1</v>
      </c>
      <c r="K5399" s="3">
        <v>1275</v>
      </c>
      <c r="L5399" s="3">
        <v>79</v>
      </c>
      <c r="M5399" s="3">
        <v>503</v>
      </c>
    </row>
    <row r="5400" spans="1:13" x14ac:dyDescent="0.25">
      <c r="A5400" s="1" t="str">
        <f>HYPERLINK("http://www.rosaceae.org/Prunus/Prunus_persica/p.persica_gdr_reftransV1_0043123","p.persica_gdr_reftransV1_0043123")</f>
        <v>p.persica_gdr_reftransV1_0043123</v>
      </c>
      <c r="B5400" s="3">
        <v>759</v>
      </c>
      <c r="C5400" s="1" t="str">
        <f>HYPERLINK("http://www.uniprot.org/uniprot/RECQ_PASMU","RECQ_PASMU")</f>
        <v>RECQ_PASMU</v>
      </c>
      <c r="D5400" t="s">
        <v>4598</v>
      </c>
      <c r="E5400" s="3" t="s">
        <v>4599</v>
      </c>
      <c r="F5400" s="4">
        <v>3.3899999999999999E-59</v>
      </c>
      <c r="G5400" s="3">
        <v>517</v>
      </c>
      <c r="H5400" s="3">
        <v>49</v>
      </c>
      <c r="I5400" s="3">
        <v>207</v>
      </c>
      <c r="J5400" s="3">
        <v>68</v>
      </c>
      <c r="K5400" s="3">
        <v>679</v>
      </c>
      <c r="L5400" s="3">
        <v>24</v>
      </c>
      <c r="M5400" s="3">
        <v>228</v>
      </c>
    </row>
    <row r="5401" spans="1:13" x14ac:dyDescent="0.25">
      <c r="A5401" s="1" t="str">
        <f>HYPERLINK("http://www.rosaceae.org/Prunus/Prunus_persica/p.persica_gdr_reftransV1_0043173","p.persica_gdr_reftransV1_0043173")</f>
        <v>p.persica_gdr_reftransV1_0043173</v>
      </c>
      <c r="B5401" s="3">
        <v>1092</v>
      </c>
      <c r="C5401" s="1" t="str">
        <f>HYPERLINK("http://www.uniprot.org/uniprot/BCP_PEA","BCP_PEA")</f>
        <v>BCP_PEA</v>
      </c>
      <c r="D5401" t="s">
        <v>2679</v>
      </c>
      <c r="E5401" s="3" t="s">
        <v>60</v>
      </c>
      <c r="F5401" s="4">
        <v>1.44E-42</v>
      </c>
      <c r="G5401" s="3">
        <v>384</v>
      </c>
      <c r="H5401" s="3">
        <v>65</v>
      </c>
      <c r="I5401" s="3">
        <v>123</v>
      </c>
      <c r="J5401" s="3">
        <v>571</v>
      </c>
      <c r="K5401" s="3">
        <v>936</v>
      </c>
      <c r="L5401" s="3">
        <v>1</v>
      </c>
      <c r="M5401" s="3">
        <v>122</v>
      </c>
    </row>
    <row r="5402" spans="1:13" x14ac:dyDescent="0.25">
      <c r="A5402" s="1" t="str">
        <f>HYPERLINK("http://www.rosaceae.org/Prunus/Prunus_persica/p.persica_gdr_reftransV1_0043223","p.persica_gdr_reftransV1_0043223")</f>
        <v>p.persica_gdr_reftransV1_0043223</v>
      </c>
      <c r="B5402" s="3">
        <v>381</v>
      </c>
      <c r="C5402" s="1" t="str">
        <f>HYPERLINK("http://www.uniprot.org/uniprot/LRK41_ARATH","LRK41_ARATH")</f>
        <v>LRK41_ARATH</v>
      </c>
      <c r="D5402" t="s">
        <v>4600</v>
      </c>
      <c r="E5402" s="3" t="s">
        <v>3</v>
      </c>
      <c r="F5402" s="4">
        <v>8.5300000000000002E-59</v>
      </c>
      <c r="G5402" s="3">
        <v>502</v>
      </c>
      <c r="H5402" s="3">
        <v>73</v>
      </c>
      <c r="I5402" s="3">
        <v>127</v>
      </c>
      <c r="J5402" s="3">
        <v>3</v>
      </c>
      <c r="K5402" s="3">
        <v>380</v>
      </c>
      <c r="L5402" s="3">
        <v>455</v>
      </c>
      <c r="M5402" s="3">
        <v>581</v>
      </c>
    </row>
    <row r="5403" spans="1:13" x14ac:dyDescent="0.25">
      <c r="A5403" s="1" t="str">
        <f>HYPERLINK("http://www.rosaceae.org/Prunus/Prunus_persica/p.persica_gdr_reftransV1_0043273","p.persica_gdr_reftransV1_0043273")</f>
        <v>p.persica_gdr_reftransV1_0043273</v>
      </c>
      <c r="B5403" s="3">
        <v>735</v>
      </c>
      <c r="C5403" s="1" t="str">
        <f>HYPERLINK("http://www.uniprot.org/uniprot/EMS1_ARATH","EMS1_ARATH")</f>
        <v>EMS1_ARATH</v>
      </c>
      <c r="D5403" t="s">
        <v>4601</v>
      </c>
      <c r="E5403" s="3" t="s">
        <v>3</v>
      </c>
      <c r="F5403" s="4">
        <v>2.1999999999999999E-95</v>
      </c>
      <c r="G5403" s="3">
        <v>790</v>
      </c>
      <c r="H5403" s="3">
        <v>75</v>
      </c>
      <c r="I5403" s="3">
        <v>188</v>
      </c>
      <c r="J5403" s="3">
        <v>2</v>
      </c>
      <c r="K5403" s="3">
        <v>565</v>
      </c>
      <c r="L5403" s="3">
        <v>1003</v>
      </c>
      <c r="M5403" s="3">
        <v>1190</v>
      </c>
    </row>
    <row r="5404" spans="1:13" x14ac:dyDescent="0.25">
      <c r="A5404" s="1" t="str">
        <f>HYPERLINK("http://www.rosaceae.org/Prunus/Prunus_persica/p.persica_gdr_reftransV1_0043373","p.persica_gdr_reftransV1_0043373")</f>
        <v>p.persica_gdr_reftransV1_0043373</v>
      </c>
      <c r="B5404" s="3">
        <v>2129</v>
      </c>
      <c r="C5404" s="1" t="str">
        <f>HYPERLINK("http://www.uniprot.org/uniprot/GATA_VITVI","GATA_VITVI")</f>
        <v>GATA_VITVI</v>
      </c>
      <c r="D5404" t="s">
        <v>4602</v>
      </c>
      <c r="E5404" s="3" t="s">
        <v>362</v>
      </c>
      <c r="F5404" s="4">
        <v>0</v>
      </c>
      <c r="G5404" s="3">
        <v>1956</v>
      </c>
      <c r="H5404" s="3">
        <v>81</v>
      </c>
      <c r="I5404" s="3">
        <v>479</v>
      </c>
      <c r="J5404" s="3">
        <v>329</v>
      </c>
      <c r="K5404" s="3">
        <v>1765</v>
      </c>
      <c r="L5404" s="3">
        <v>67</v>
      </c>
      <c r="M5404" s="3">
        <v>545</v>
      </c>
    </row>
    <row r="5405" spans="1:13" x14ac:dyDescent="0.25">
      <c r="A5405" s="1" t="str">
        <f>HYPERLINK("http://www.rosaceae.org/Prunus/Prunus_persica/p.persica_gdr_reftransV1_0043423","p.persica_gdr_reftransV1_0043423")</f>
        <v>p.persica_gdr_reftransV1_0043423</v>
      </c>
      <c r="B5405" s="3">
        <v>659</v>
      </c>
      <c r="C5405" s="1" t="str">
        <f>HYPERLINK("http://www.uniprot.org/uniprot/PRB1_ARATH","PRB1_ARATH")</f>
        <v>PRB1_ARATH</v>
      </c>
      <c r="D5405" t="s">
        <v>4603</v>
      </c>
      <c r="E5405" s="3" t="s">
        <v>3</v>
      </c>
      <c r="F5405" s="4">
        <v>1.4199999999999999E-72</v>
      </c>
      <c r="G5405" s="3">
        <v>571</v>
      </c>
      <c r="H5405" s="3">
        <v>70</v>
      </c>
      <c r="I5405" s="3">
        <v>157</v>
      </c>
      <c r="J5405" s="3">
        <v>47</v>
      </c>
      <c r="K5405" s="3">
        <v>517</v>
      </c>
      <c r="L5405" s="3">
        <v>8</v>
      </c>
      <c r="M5405" s="3">
        <v>161</v>
      </c>
    </row>
    <row r="5406" spans="1:13" x14ac:dyDescent="0.25">
      <c r="A5406" s="1" t="str">
        <f>HYPERLINK("http://www.rosaceae.org/Prunus/Prunus_persica/p.persica_gdr_reftransV1_0043473","p.persica_gdr_reftransV1_0043473")</f>
        <v>p.persica_gdr_reftransV1_0043473</v>
      </c>
      <c r="B5406" s="3">
        <v>1080</v>
      </c>
      <c r="C5406" s="1" t="str">
        <f>HYPERLINK("http://www.uniprot.org/uniprot/GGLO6_ARATH","GGLO6_ARATH")</f>
        <v>GGLO6_ARATH</v>
      </c>
      <c r="D5406" t="s">
        <v>4604</v>
      </c>
      <c r="E5406" s="3" t="s">
        <v>3</v>
      </c>
      <c r="F5406" s="4">
        <v>8.4900000000000001E-152</v>
      </c>
      <c r="G5406" s="3">
        <v>1152</v>
      </c>
      <c r="H5406" s="3">
        <v>69</v>
      </c>
      <c r="I5406" s="3">
        <v>287</v>
      </c>
      <c r="J5406" s="3">
        <v>219</v>
      </c>
      <c r="K5406" s="3">
        <v>1079</v>
      </c>
      <c r="L5406" s="3">
        <v>304</v>
      </c>
      <c r="M5406" s="3">
        <v>590</v>
      </c>
    </row>
    <row r="5407" spans="1:13" x14ac:dyDescent="0.25">
      <c r="A5407" s="1" t="str">
        <f>HYPERLINK("http://www.rosaceae.org/Prunus/Prunus_persica/p.persica_gdr_reftransV1_0043573","p.persica_gdr_reftransV1_0043573")</f>
        <v>p.persica_gdr_reftransV1_0043573</v>
      </c>
      <c r="B5407" s="3">
        <v>884</v>
      </c>
      <c r="C5407" s="1" t="str">
        <f>HYPERLINK("http://www.uniprot.org/uniprot/ALMT9_ARATH","ALMT9_ARATH")</f>
        <v>ALMT9_ARATH</v>
      </c>
      <c r="D5407" t="s">
        <v>4605</v>
      </c>
      <c r="E5407" s="3" t="s">
        <v>3</v>
      </c>
      <c r="F5407" s="4">
        <v>9.7200000000000002E-61</v>
      </c>
      <c r="G5407" s="3">
        <v>531</v>
      </c>
      <c r="H5407" s="3">
        <v>59</v>
      </c>
      <c r="I5407" s="3">
        <v>232</v>
      </c>
      <c r="J5407" s="3">
        <v>1</v>
      </c>
      <c r="K5407" s="3">
        <v>660</v>
      </c>
      <c r="L5407" s="3">
        <v>342</v>
      </c>
      <c r="M5407" s="3">
        <v>570</v>
      </c>
    </row>
    <row r="5408" spans="1:13" x14ac:dyDescent="0.25">
      <c r="A5408" s="1" t="str">
        <f>HYPERLINK("http://www.rosaceae.org/Prunus/Prunus_persica/p.persica_gdr_reftransV1_0043673","p.persica_gdr_reftransV1_0043673")</f>
        <v>p.persica_gdr_reftransV1_0043673</v>
      </c>
      <c r="B5408" s="3">
        <v>1532</v>
      </c>
      <c r="C5408" s="1" t="str">
        <f>HYPERLINK("http://www.uniprot.org/uniprot/Y5576_ARATH","Y5576_ARATH")</f>
        <v>Y5576_ARATH</v>
      </c>
      <c r="D5408" t="s">
        <v>4606</v>
      </c>
      <c r="E5408" s="3" t="s">
        <v>3</v>
      </c>
      <c r="F5408" s="4">
        <v>1.3999999999999999E-123</v>
      </c>
      <c r="G5408" s="3">
        <v>977</v>
      </c>
      <c r="H5408" s="3">
        <v>56</v>
      </c>
      <c r="I5408" s="3">
        <v>304</v>
      </c>
      <c r="J5408" s="3">
        <v>271</v>
      </c>
      <c r="K5408" s="3">
        <v>1176</v>
      </c>
      <c r="L5408" s="3">
        <v>248</v>
      </c>
      <c r="M5408" s="3">
        <v>550</v>
      </c>
    </row>
    <row r="5409" spans="1:13" x14ac:dyDescent="0.25">
      <c r="A5409" s="1" t="str">
        <f>HYPERLINK("http://www.rosaceae.org/Prunus/Prunus_persica/p.persica_gdr_reftransV1_0043723","p.persica_gdr_reftransV1_0043723")</f>
        <v>p.persica_gdr_reftransV1_0043723</v>
      </c>
      <c r="B5409" s="3">
        <v>1511</v>
      </c>
      <c r="C5409" s="1" t="str">
        <f>HYPERLINK("http://www.uniprot.org/uniprot/R13L1_ARATH","R13L1_ARATH")</f>
        <v>R13L1_ARATH</v>
      </c>
      <c r="D5409" t="s">
        <v>100</v>
      </c>
      <c r="E5409" s="3" t="s">
        <v>3</v>
      </c>
      <c r="F5409" s="4">
        <v>1.5299999999999999E-153</v>
      </c>
      <c r="G5409" s="3">
        <v>1214</v>
      </c>
      <c r="H5409" s="3">
        <v>50</v>
      </c>
      <c r="I5409" s="3">
        <v>509</v>
      </c>
      <c r="J5409" s="3">
        <v>7</v>
      </c>
      <c r="K5409" s="3">
        <v>1509</v>
      </c>
      <c r="L5409" s="3">
        <v>143</v>
      </c>
      <c r="M5409" s="3">
        <v>645</v>
      </c>
    </row>
    <row r="5410" spans="1:13" x14ac:dyDescent="0.25">
      <c r="A5410" s="1" t="str">
        <f>HYPERLINK("http://www.rosaceae.org/Prunus/Prunus_persica/p.persica_gdr_reftransV1_0043773","p.persica_gdr_reftransV1_0043773")</f>
        <v>p.persica_gdr_reftransV1_0043773</v>
      </c>
      <c r="B5410" s="3">
        <v>1021</v>
      </c>
      <c r="C5410" s="1" t="str">
        <f>HYPERLINK("http://www.uniprot.org/uniprot/BH036_ARATH","BH036_ARATH")</f>
        <v>BH036_ARATH</v>
      </c>
      <c r="D5410" t="s">
        <v>4607</v>
      </c>
      <c r="E5410" s="3" t="s">
        <v>3</v>
      </c>
      <c r="F5410" s="4">
        <v>4.6100000000000001E-10</v>
      </c>
      <c r="G5410" s="3">
        <v>148</v>
      </c>
      <c r="H5410" s="3">
        <v>27</v>
      </c>
      <c r="I5410" s="3">
        <v>168</v>
      </c>
      <c r="J5410" s="3">
        <v>198</v>
      </c>
      <c r="K5410" s="3">
        <v>686</v>
      </c>
      <c r="L5410" s="3">
        <v>10</v>
      </c>
      <c r="M5410" s="3">
        <v>173</v>
      </c>
    </row>
    <row r="5411" spans="1:13" x14ac:dyDescent="0.25">
      <c r="A5411" s="1" t="str">
        <f>HYPERLINK("http://www.rosaceae.org/Prunus/Prunus_persica/p.persica_gdr_reftransV1_0043923","p.persica_gdr_reftransV1_0043923")</f>
        <v>p.persica_gdr_reftransV1_0043923</v>
      </c>
      <c r="B5411" s="3">
        <v>458</v>
      </c>
      <c r="C5411" s="1" t="str">
        <f>HYPERLINK("http://www.uniprot.org/uniprot/CYBP_MOUSE","CYBP_MOUSE")</f>
        <v>CYBP_MOUSE</v>
      </c>
      <c r="D5411" t="s">
        <v>4608</v>
      </c>
      <c r="E5411" s="3" t="s">
        <v>157</v>
      </c>
      <c r="F5411" s="4">
        <v>7.0100000000000004E-13</v>
      </c>
      <c r="G5411" s="3">
        <v>162</v>
      </c>
      <c r="H5411" s="3">
        <v>33</v>
      </c>
      <c r="I5411" s="3">
        <v>111</v>
      </c>
      <c r="J5411" s="3">
        <v>130</v>
      </c>
      <c r="K5411" s="3">
        <v>453</v>
      </c>
      <c r="L5411" s="3">
        <v>109</v>
      </c>
      <c r="M5411" s="3">
        <v>219</v>
      </c>
    </row>
    <row r="5412" spans="1:13" x14ac:dyDescent="0.25">
      <c r="A5412" s="1" t="str">
        <f>HYPERLINK("http://www.rosaceae.org/Prunus/Prunus_persica/p.persica_gdr_reftransV1_0043973","p.persica_gdr_reftransV1_0043973")</f>
        <v>p.persica_gdr_reftransV1_0043973</v>
      </c>
      <c r="B5412" s="3">
        <v>1499</v>
      </c>
      <c r="C5412" s="1" t="str">
        <f>HYPERLINK("http://www.uniprot.org/uniprot/OSGEP_XENLA","OSGEP_XENLA")</f>
        <v>OSGEP_XENLA</v>
      </c>
      <c r="D5412" t="s">
        <v>4609</v>
      </c>
      <c r="E5412" s="3" t="s">
        <v>475</v>
      </c>
      <c r="F5412" s="4">
        <v>4.6999999999999999E-174</v>
      </c>
      <c r="G5412" s="3">
        <v>1288</v>
      </c>
      <c r="H5412" s="3">
        <v>69</v>
      </c>
      <c r="I5412" s="3">
        <v>333</v>
      </c>
      <c r="J5412" s="3">
        <v>175</v>
      </c>
      <c r="K5412" s="3">
        <v>1173</v>
      </c>
      <c r="L5412" s="3">
        <v>3</v>
      </c>
      <c r="M5412" s="3">
        <v>334</v>
      </c>
    </row>
    <row r="5413" spans="1:13" x14ac:dyDescent="0.25">
      <c r="A5413" s="1" t="str">
        <f>HYPERLINK("http://www.rosaceae.org/Prunus/Prunus_persica/p.persica_gdr_reftransV1_0044023","p.persica_gdr_reftransV1_0044023")</f>
        <v>p.persica_gdr_reftransV1_0044023</v>
      </c>
      <c r="B5413" s="3">
        <v>605</v>
      </c>
      <c r="C5413" s="1" t="str">
        <f>HYPERLINK("http://www.uniprot.org/uniprot/ACO13_PONAB","ACO13_PONAB")</f>
        <v>ACO13_PONAB</v>
      </c>
      <c r="D5413" t="s">
        <v>666</v>
      </c>
      <c r="E5413" s="3" t="s">
        <v>176</v>
      </c>
      <c r="F5413" s="4">
        <v>3.3000000000000001E-12</v>
      </c>
      <c r="G5413" s="3">
        <v>157</v>
      </c>
      <c r="H5413" s="3">
        <v>41</v>
      </c>
      <c r="I5413" s="3">
        <v>105</v>
      </c>
      <c r="J5413" s="3">
        <v>101</v>
      </c>
      <c r="K5413" s="3">
        <v>400</v>
      </c>
      <c r="L5413" s="3">
        <v>35</v>
      </c>
      <c r="M5413" s="3">
        <v>135</v>
      </c>
    </row>
    <row r="5414" spans="1:13" x14ac:dyDescent="0.25">
      <c r="A5414" s="1" t="str">
        <f>HYPERLINK("http://www.rosaceae.org/Prunus/Prunus_persica/p.persica_gdr_reftransV1_0044073","p.persica_gdr_reftransV1_0044073")</f>
        <v>p.persica_gdr_reftransV1_0044073</v>
      </c>
      <c r="B5414" s="3">
        <v>917</v>
      </c>
      <c r="C5414" s="1" t="str">
        <f>HYPERLINK("http://www.uniprot.org/uniprot/OFP8_ARATH","OFP8_ARATH")</f>
        <v>OFP8_ARATH</v>
      </c>
      <c r="D5414" t="s">
        <v>4610</v>
      </c>
      <c r="E5414" s="3" t="s">
        <v>3</v>
      </c>
      <c r="F5414" s="4">
        <v>2.4699999999999999E-25</v>
      </c>
      <c r="G5414" s="3">
        <v>262</v>
      </c>
      <c r="H5414" s="3">
        <v>73</v>
      </c>
      <c r="I5414" s="3">
        <v>67</v>
      </c>
      <c r="J5414" s="3">
        <v>637</v>
      </c>
      <c r="K5414" s="3">
        <v>837</v>
      </c>
      <c r="L5414" s="3">
        <v>154</v>
      </c>
      <c r="M5414" s="3">
        <v>220</v>
      </c>
    </row>
    <row r="5415" spans="1:13" x14ac:dyDescent="0.25">
      <c r="A5415" s="1" t="str">
        <f>HYPERLINK("http://www.rosaceae.org/Prunus/Prunus_persica/p.persica_gdr_reftransV1_0044123","p.persica_gdr_reftransV1_0044123")</f>
        <v>p.persica_gdr_reftransV1_0044123</v>
      </c>
      <c r="B5415" s="3">
        <v>903</v>
      </c>
      <c r="C5415" s="1" t="str">
        <f>HYPERLINK("http://www.uniprot.org/uniprot/RS11_EUPES","RS11_EUPES")</f>
        <v>RS11_EUPES</v>
      </c>
      <c r="D5415" t="s">
        <v>4611</v>
      </c>
      <c r="E5415" s="3" t="s">
        <v>1191</v>
      </c>
      <c r="F5415" s="4">
        <v>1.3099999999999999E-90</v>
      </c>
      <c r="G5415" s="3">
        <v>698</v>
      </c>
      <c r="H5415" s="3">
        <v>91</v>
      </c>
      <c r="I5415" s="3">
        <v>159</v>
      </c>
      <c r="J5415" s="3">
        <v>321</v>
      </c>
      <c r="K5415" s="3">
        <v>797</v>
      </c>
      <c r="L5415" s="3">
        <v>1</v>
      </c>
      <c r="M5415" s="3">
        <v>159</v>
      </c>
    </row>
    <row r="5416" spans="1:13" x14ac:dyDescent="0.25">
      <c r="A5416" s="1" t="str">
        <f>HYPERLINK("http://www.rosaceae.org/Prunus/Prunus_persica/p.persica_gdr_reftransV1_0044173","p.persica_gdr_reftransV1_0044173")</f>
        <v>p.persica_gdr_reftransV1_0044173</v>
      </c>
      <c r="B5416" s="3">
        <v>1024</v>
      </c>
      <c r="C5416" s="1" t="str">
        <f>HYPERLINK("http://www.uniprot.org/uniprot/ELIP1_ARATH","ELIP1_ARATH")</f>
        <v>ELIP1_ARATH</v>
      </c>
      <c r="D5416" t="s">
        <v>586</v>
      </c>
      <c r="E5416" s="3" t="s">
        <v>3</v>
      </c>
      <c r="F5416" s="4">
        <v>9.4999999999999999E-61</v>
      </c>
      <c r="G5416" s="3">
        <v>506</v>
      </c>
      <c r="H5416" s="3">
        <v>63</v>
      </c>
      <c r="I5416" s="3">
        <v>197</v>
      </c>
      <c r="J5416" s="3">
        <v>285</v>
      </c>
      <c r="K5416" s="3">
        <v>872</v>
      </c>
      <c r="L5416" s="3">
        <v>4</v>
      </c>
      <c r="M5416" s="3">
        <v>195</v>
      </c>
    </row>
    <row r="5417" spans="1:13" x14ac:dyDescent="0.25">
      <c r="A5417" s="1" t="str">
        <f>HYPERLINK("http://www.rosaceae.org/Prunus/Prunus_persica/p.persica_gdr_reftransV1_0044223","p.persica_gdr_reftransV1_0044223")</f>
        <v>p.persica_gdr_reftransV1_0044223</v>
      </c>
      <c r="B5417" s="3">
        <v>1738</v>
      </c>
      <c r="C5417" s="1" t="str">
        <f>HYPERLINK("http://www.uniprot.org/uniprot/TEX2_MOUSE","TEX2_MOUSE")</f>
        <v>TEX2_MOUSE</v>
      </c>
      <c r="D5417" t="s">
        <v>4612</v>
      </c>
      <c r="E5417" s="3" t="s">
        <v>157</v>
      </c>
      <c r="F5417" s="4">
        <v>6.9099999999999999E-11</v>
      </c>
      <c r="G5417" s="3">
        <v>168</v>
      </c>
      <c r="H5417" s="3">
        <v>30</v>
      </c>
      <c r="I5417" s="3">
        <v>103</v>
      </c>
      <c r="J5417" s="3">
        <v>660</v>
      </c>
      <c r="K5417" s="3">
        <v>968</v>
      </c>
      <c r="L5417" s="3">
        <v>1015</v>
      </c>
      <c r="M5417" s="3">
        <v>1114</v>
      </c>
    </row>
    <row r="5418" spans="1:13" x14ac:dyDescent="0.25">
      <c r="A5418" s="1" t="str">
        <f>HYPERLINK("http://www.rosaceae.org/Prunus/Prunus_persica/p.persica_gdr_reftransV1_0044323","p.persica_gdr_reftransV1_0044323")</f>
        <v>p.persica_gdr_reftransV1_0044323</v>
      </c>
      <c r="B5418" s="3">
        <v>638</v>
      </c>
      <c r="C5418" s="1" t="str">
        <f>HYPERLINK("http://www.uniprot.org/uniprot/RS272_ARATH","RS272_ARATH")</f>
        <v>RS272_ARATH</v>
      </c>
      <c r="D5418" t="s">
        <v>4023</v>
      </c>
      <c r="E5418" s="3" t="s">
        <v>3</v>
      </c>
      <c r="F5418" s="4">
        <v>1.0900000000000001E-43</v>
      </c>
      <c r="G5418" s="3">
        <v>371</v>
      </c>
      <c r="H5418" s="3">
        <v>95</v>
      </c>
      <c r="I5418" s="3">
        <v>86</v>
      </c>
      <c r="J5418" s="3">
        <v>274</v>
      </c>
      <c r="K5418" s="3">
        <v>531</v>
      </c>
      <c r="L5418" s="3">
        <v>1</v>
      </c>
      <c r="M5418" s="3">
        <v>86</v>
      </c>
    </row>
    <row r="5419" spans="1:13" x14ac:dyDescent="0.25">
      <c r="A5419" s="1" t="str">
        <f>HYPERLINK("http://www.rosaceae.org/Prunus/Prunus_persica/p.persica_gdr_reftransV1_0044423","p.persica_gdr_reftransV1_0044423")</f>
        <v>p.persica_gdr_reftransV1_0044423</v>
      </c>
      <c r="B5419" s="3">
        <v>1194</v>
      </c>
      <c r="C5419" s="1" t="str">
        <f>HYPERLINK("http://www.uniprot.org/uniprot/NEP1_MOUSE","NEP1_MOUSE")</f>
        <v>NEP1_MOUSE</v>
      </c>
      <c r="D5419" t="s">
        <v>2581</v>
      </c>
      <c r="E5419" s="3" t="s">
        <v>157</v>
      </c>
      <c r="F5419" s="4">
        <v>2.4200000000000002E-44</v>
      </c>
      <c r="G5419" s="3">
        <v>403</v>
      </c>
      <c r="H5419" s="3">
        <v>41</v>
      </c>
      <c r="I5419" s="3">
        <v>207</v>
      </c>
      <c r="J5419" s="3">
        <v>231</v>
      </c>
      <c r="K5419" s="3">
        <v>851</v>
      </c>
      <c r="L5419" s="3">
        <v>42</v>
      </c>
      <c r="M5419" s="3">
        <v>244</v>
      </c>
    </row>
    <row r="5420" spans="1:13" x14ac:dyDescent="0.25">
      <c r="A5420" s="1" t="str">
        <f>HYPERLINK("http://www.rosaceae.org/Prunus/Prunus_persica/p.persica_gdr_reftransV1_0044473","p.persica_gdr_reftransV1_0044473")</f>
        <v>p.persica_gdr_reftransV1_0044473</v>
      </c>
      <c r="B5420" s="3">
        <v>1195</v>
      </c>
      <c r="C5420" s="1" t="str">
        <f>HYPERLINK("http://www.uniprot.org/uniprot/RSME_BACSU","RSME_BACSU")</f>
        <v>RSME_BACSU</v>
      </c>
      <c r="D5420" t="s">
        <v>4613</v>
      </c>
      <c r="E5420" s="3" t="s">
        <v>1630</v>
      </c>
      <c r="F5420" s="4">
        <v>2.0399999999999999E-13</v>
      </c>
      <c r="G5420" s="3">
        <v>178</v>
      </c>
      <c r="H5420" s="3">
        <v>27</v>
      </c>
      <c r="I5420" s="3">
        <v>248</v>
      </c>
      <c r="J5420" s="3">
        <v>199</v>
      </c>
      <c r="K5420" s="3">
        <v>870</v>
      </c>
      <c r="L5420" s="3">
        <v>1</v>
      </c>
      <c r="M5420" s="3">
        <v>235</v>
      </c>
    </row>
    <row r="5421" spans="1:13" x14ac:dyDescent="0.25">
      <c r="A5421" s="1" t="str">
        <f>HYPERLINK("http://www.rosaceae.org/Prunus/Prunus_persica/p.persica_gdr_reftransV1_0044523","p.persica_gdr_reftransV1_0044523")</f>
        <v>p.persica_gdr_reftransV1_0044523</v>
      </c>
      <c r="B5421" s="3">
        <v>588</v>
      </c>
      <c r="C5421" s="1" t="str">
        <f>HYPERLINK("http://www.uniprot.org/uniprot/AGL80_ARATH","AGL80_ARATH")</f>
        <v>AGL80_ARATH</v>
      </c>
      <c r="D5421" t="s">
        <v>4614</v>
      </c>
      <c r="E5421" s="3" t="s">
        <v>3</v>
      </c>
      <c r="F5421" s="4">
        <v>1.37E-22</v>
      </c>
      <c r="G5421" s="3">
        <v>239</v>
      </c>
      <c r="H5421" s="3">
        <v>61</v>
      </c>
      <c r="I5421" s="3">
        <v>89</v>
      </c>
      <c r="J5421" s="3">
        <v>32</v>
      </c>
      <c r="K5421" s="3">
        <v>295</v>
      </c>
      <c r="L5421" s="3">
        <v>54</v>
      </c>
      <c r="M5421" s="3">
        <v>142</v>
      </c>
    </row>
    <row r="5422" spans="1:13" x14ac:dyDescent="0.25">
      <c r="A5422" s="1" t="str">
        <f>HYPERLINK("http://www.rosaceae.org/Prunus/Prunus_persica/p.persica_gdr_reftransV1_0044623","p.persica_gdr_reftransV1_0044623")</f>
        <v>p.persica_gdr_reftransV1_0044623</v>
      </c>
      <c r="B5422" s="3">
        <v>1632</v>
      </c>
      <c r="C5422" s="1" t="str">
        <f>HYPERLINK("http://www.uniprot.org/uniprot/QKY_ARATH","QKY_ARATH")</f>
        <v>QKY_ARATH</v>
      </c>
      <c r="D5422" t="s">
        <v>707</v>
      </c>
      <c r="E5422" s="3" t="s">
        <v>3</v>
      </c>
      <c r="F5422" s="4">
        <v>5.5800000000000004E-169</v>
      </c>
      <c r="G5422" s="3">
        <v>1324</v>
      </c>
      <c r="H5422" s="3">
        <v>48</v>
      </c>
      <c r="I5422" s="3">
        <v>538</v>
      </c>
      <c r="J5422" s="3">
        <v>4</v>
      </c>
      <c r="K5422" s="3">
        <v>1578</v>
      </c>
      <c r="L5422" s="3">
        <v>377</v>
      </c>
      <c r="M5422" s="3">
        <v>902</v>
      </c>
    </row>
    <row r="5423" spans="1:13" x14ac:dyDescent="0.25">
      <c r="A5423" s="1" t="str">
        <f>HYPERLINK("http://www.rosaceae.org/Prunus/Prunus_persica/p.persica_gdr_reftransV1_0044873","p.persica_gdr_reftransV1_0044873")</f>
        <v>p.persica_gdr_reftransV1_0044873</v>
      </c>
      <c r="B5423" s="3">
        <v>2557</v>
      </c>
      <c r="C5423" s="1" t="str">
        <f>HYPERLINK("http://www.uniprot.org/uniprot/PMT9_ARATH","PMT9_ARATH")</f>
        <v>PMT9_ARATH</v>
      </c>
      <c r="D5423" t="s">
        <v>4615</v>
      </c>
      <c r="E5423" s="3" t="s">
        <v>3</v>
      </c>
      <c r="F5423" s="4">
        <v>0</v>
      </c>
      <c r="G5423" s="3">
        <v>2231</v>
      </c>
      <c r="H5423" s="3">
        <v>79</v>
      </c>
      <c r="I5423" s="3">
        <v>530</v>
      </c>
      <c r="J5423" s="3">
        <v>480</v>
      </c>
      <c r="K5423" s="3">
        <v>2069</v>
      </c>
      <c r="L5423" s="3">
        <v>75</v>
      </c>
      <c r="M5423" s="3">
        <v>604</v>
      </c>
    </row>
    <row r="5424" spans="1:13" x14ac:dyDescent="0.25">
      <c r="A5424" s="1" t="str">
        <f>HYPERLINK("http://www.rosaceae.org/Prunus/Prunus_persica/p.persica_gdr_reftransV1_0044923","p.persica_gdr_reftransV1_0044923")</f>
        <v>p.persica_gdr_reftransV1_0044923</v>
      </c>
      <c r="B5424" s="3">
        <v>1745</v>
      </c>
      <c r="C5424" s="1" t="str">
        <f>HYPERLINK("http://www.uniprot.org/uniprot/HT1_ARATH","HT1_ARATH")</f>
        <v>HT1_ARATH</v>
      </c>
      <c r="D5424" t="s">
        <v>1169</v>
      </c>
      <c r="E5424" s="3" t="s">
        <v>3</v>
      </c>
      <c r="F5424" s="4">
        <v>7.6300000000000003E-97</v>
      </c>
      <c r="G5424" s="3">
        <v>787</v>
      </c>
      <c r="H5424" s="3">
        <v>52</v>
      </c>
      <c r="I5424" s="3">
        <v>265</v>
      </c>
      <c r="J5424" s="3">
        <v>667</v>
      </c>
      <c r="K5424" s="3">
        <v>1461</v>
      </c>
      <c r="L5424" s="3">
        <v>77</v>
      </c>
      <c r="M5424" s="3">
        <v>341</v>
      </c>
    </row>
    <row r="5425" spans="1:13" x14ac:dyDescent="0.25">
      <c r="A5425" s="1" t="str">
        <f>HYPERLINK("http://www.rosaceae.org/Prunus/Prunus_persica/p.persica_gdr_reftransV1_0044973","p.persica_gdr_reftransV1_0044973")</f>
        <v>p.persica_gdr_reftransV1_0044973</v>
      </c>
      <c r="B5425" s="3">
        <v>2423</v>
      </c>
      <c r="C5425" s="1" t="str">
        <f>HYPERLINK("http://www.uniprot.org/uniprot/KEULE_ARATH","KEULE_ARATH")</f>
        <v>KEULE_ARATH</v>
      </c>
      <c r="D5425" t="s">
        <v>4616</v>
      </c>
      <c r="E5425" s="3" t="s">
        <v>3</v>
      </c>
      <c r="F5425" s="4">
        <v>0</v>
      </c>
      <c r="G5425" s="3">
        <v>2710</v>
      </c>
      <c r="H5425" s="3">
        <v>80</v>
      </c>
      <c r="I5425" s="3">
        <v>653</v>
      </c>
      <c r="J5425" s="3">
        <v>280</v>
      </c>
      <c r="K5425" s="3">
        <v>2226</v>
      </c>
      <c r="L5425" s="3">
        <v>16</v>
      </c>
      <c r="M5425" s="3">
        <v>666</v>
      </c>
    </row>
    <row r="5426" spans="1:13" x14ac:dyDescent="0.25">
      <c r="A5426" s="1" t="str">
        <f>HYPERLINK("http://www.rosaceae.org/Prunus/Prunus_persica/p.persica_gdr_reftransV1_0045023","p.persica_gdr_reftransV1_0045023")</f>
        <v>p.persica_gdr_reftransV1_0045023</v>
      </c>
      <c r="B5426" s="3">
        <v>1414</v>
      </c>
      <c r="C5426" s="1" t="str">
        <f>HYPERLINK("http://www.uniprot.org/uniprot/STR4A_ARATH","STR4A_ARATH")</f>
        <v>STR4A_ARATH</v>
      </c>
      <c r="D5426" t="s">
        <v>4617</v>
      </c>
      <c r="E5426" s="3" t="s">
        <v>3</v>
      </c>
      <c r="F5426" s="4">
        <v>2.1900000000000001E-74</v>
      </c>
      <c r="G5426" s="3">
        <v>615</v>
      </c>
      <c r="H5426" s="3">
        <v>51</v>
      </c>
      <c r="I5426" s="3">
        <v>271</v>
      </c>
      <c r="J5426" s="3">
        <v>419</v>
      </c>
      <c r="K5426" s="3">
        <v>1228</v>
      </c>
      <c r="L5426" s="3">
        <v>7</v>
      </c>
      <c r="M5426" s="3">
        <v>264</v>
      </c>
    </row>
    <row r="5427" spans="1:13" x14ac:dyDescent="0.25">
      <c r="A5427" s="1" t="str">
        <f>HYPERLINK("http://www.rosaceae.org/Prunus/Prunus_persica/p.persica_gdr_reftransV1_0045073","p.persica_gdr_reftransV1_0045073")</f>
        <v>p.persica_gdr_reftransV1_0045073</v>
      </c>
      <c r="B5427" s="3">
        <v>353</v>
      </c>
      <c r="C5427" s="1" t="str">
        <f>HYPERLINK("http://www.uniprot.org/uniprot/XYNA_STRLI","XYNA_STRLI")</f>
        <v>XYNA_STRLI</v>
      </c>
      <c r="D5427" t="s">
        <v>4618</v>
      </c>
      <c r="E5427" s="3" t="s">
        <v>4619</v>
      </c>
      <c r="F5427" s="4">
        <v>1.0300000000000001E-12</v>
      </c>
      <c r="G5427" s="3">
        <v>164</v>
      </c>
      <c r="H5427" s="3">
        <v>34</v>
      </c>
      <c r="I5427" s="3">
        <v>103</v>
      </c>
      <c r="J5427" s="3">
        <v>1</v>
      </c>
      <c r="K5427" s="3">
        <v>309</v>
      </c>
      <c r="L5427" s="3">
        <v>57</v>
      </c>
      <c r="M5427" s="3">
        <v>157</v>
      </c>
    </row>
    <row r="5428" spans="1:13" x14ac:dyDescent="0.25">
      <c r="A5428" s="1" t="str">
        <f>HYPERLINK("http://www.rosaceae.org/Prunus/Prunus_persica/p.persica_gdr_reftransV1_0045123","p.persica_gdr_reftransV1_0045123")</f>
        <v>p.persica_gdr_reftransV1_0045123</v>
      </c>
      <c r="B5428" s="3">
        <v>912</v>
      </c>
      <c r="C5428" s="1" t="str">
        <f>HYPERLINK("http://www.uniprot.org/uniprot/PNSL1_ARATH","PNSL1_ARATH")</f>
        <v>PNSL1_ARATH</v>
      </c>
      <c r="D5428" t="s">
        <v>4620</v>
      </c>
      <c r="E5428" s="3" t="s">
        <v>3</v>
      </c>
      <c r="F5428" s="4">
        <v>1.3E-84</v>
      </c>
      <c r="G5428" s="3">
        <v>666</v>
      </c>
      <c r="H5428" s="3">
        <v>59</v>
      </c>
      <c r="I5428" s="3">
        <v>230</v>
      </c>
      <c r="J5428" s="3">
        <v>109</v>
      </c>
      <c r="K5428" s="3">
        <v>792</v>
      </c>
      <c r="L5428" s="3">
        <v>14</v>
      </c>
      <c r="M5428" s="3">
        <v>238</v>
      </c>
    </row>
    <row r="5429" spans="1:13" x14ac:dyDescent="0.25">
      <c r="A5429" s="1" t="str">
        <f>HYPERLINK("http://www.rosaceae.org/Prunus/Prunus_persica/p.persica_gdr_reftransV1_0045173","p.persica_gdr_reftransV1_0045173")</f>
        <v>p.persica_gdr_reftransV1_0045173</v>
      </c>
      <c r="B5429" s="3">
        <v>937</v>
      </c>
      <c r="C5429" s="1" t="str">
        <f>HYPERLINK("http://www.uniprot.org/uniprot/VATL_KALDA","VATL_KALDA")</f>
        <v>VATL_KALDA</v>
      </c>
      <c r="D5429" t="s">
        <v>4621</v>
      </c>
      <c r="E5429" s="3" t="s">
        <v>4622</v>
      </c>
      <c r="F5429" s="4">
        <v>5.3700000000000005E-72</v>
      </c>
      <c r="G5429" s="3">
        <v>576</v>
      </c>
      <c r="H5429" s="3">
        <v>99</v>
      </c>
      <c r="I5429" s="3">
        <v>164</v>
      </c>
      <c r="J5429" s="3">
        <v>330</v>
      </c>
      <c r="K5429" s="3">
        <v>821</v>
      </c>
      <c r="L5429" s="3">
        <v>2</v>
      </c>
      <c r="M5429" s="3">
        <v>165</v>
      </c>
    </row>
    <row r="5430" spans="1:13" x14ac:dyDescent="0.25">
      <c r="A5430" s="1" t="str">
        <f>HYPERLINK("http://www.rosaceae.org/Prunus/Prunus_persica/p.persica_gdr_reftransV1_0045273","p.persica_gdr_reftransV1_0045273")</f>
        <v>p.persica_gdr_reftransV1_0045273</v>
      </c>
      <c r="B5430" s="3">
        <v>759</v>
      </c>
      <c r="C5430" s="1" t="str">
        <f>HYPERLINK("http://www.uniprot.org/uniprot/CRPM4_ARATH","CRPM4_ARATH")</f>
        <v>CRPM4_ARATH</v>
      </c>
      <c r="D5430" t="s">
        <v>4623</v>
      </c>
      <c r="E5430" s="3" t="s">
        <v>3</v>
      </c>
      <c r="F5430" s="4">
        <v>8.25E-16</v>
      </c>
      <c r="G5430" s="3">
        <v>188</v>
      </c>
      <c r="H5430" s="3">
        <v>40</v>
      </c>
      <c r="I5430" s="3">
        <v>123</v>
      </c>
      <c r="J5430" s="3">
        <v>212</v>
      </c>
      <c r="K5430" s="3">
        <v>562</v>
      </c>
      <c r="L5430" s="3">
        <v>51</v>
      </c>
      <c r="M5430" s="3">
        <v>173</v>
      </c>
    </row>
    <row r="5431" spans="1:13" x14ac:dyDescent="0.25">
      <c r="A5431" s="1" t="str">
        <f>HYPERLINK("http://www.rosaceae.org/Prunus/Prunus_persica/p.persica_gdr_reftransV1_0045473","p.persica_gdr_reftransV1_0045473")</f>
        <v>p.persica_gdr_reftransV1_0045473</v>
      </c>
      <c r="B5431" s="3">
        <v>1194</v>
      </c>
      <c r="C5431" s="1" t="str">
        <f>HYPERLINK("http://www.uniprot.org/uniprot/AKRC9_ARATH","AKRC9_ARATH")</f>
        <v>AKRC9_ARATH</v>
      </c>
      <c r="D5431" t="s">
        <v>2155</v>
      </c>
      <c r="E5431" s="3" t="s">
        <v>3</v>
      </c>
      <c r="F5431" s="4">
        <v>0</v>
      </c>
      <c r="G5431" s="3">
        <v>1339</v>
      </c>
      <c r="H5431" s="3">
        <v>78</v>
      </c>
      <c r="I5431" s="3">
        <v>315</v>
      </c>
      <c r="J5431" s="3">
        <v>114</v>
      </c>
      <c r="K5431" s="3">
        <v>1058</v>
      </c>
      <c r="L5431" s="3">
        <v>1</v>
      </c>
      <c r="M5431" s="3">
        <v>315</v>
      </c>
    </row>
    <row r="5432" spans="1:13" x14ac:dyDescent="0.25">
      <c r="A5432" s="1" t="str">
        <f>HYPERLINK("http://www.rosaceae.org/Prunus/Prunus_persica/p.persica_gdr_reftransV1_0045523","p.persica_gdr_reftransV1_0045523")</f>
        <v>p.persica_gdr_reftransV1_0045523</v>
      </c>
      <c r="B5432" s="3">
        <v>1180</v>
      </c>
      <c r="C5432" s="1" t="str">
        <f>HYPERLINK("http://www.uniprot.org/uniprot/AUR1_ARATH","AUR1_ARATH")</f>
        <v>AUR1_ARATH</v>
      </c>
      <c r="D5432" t="s">
        <v>4624</v>
      </c>
      <c r="E5432" s="3" t="s">
        <v>3</v>
      </c>
      <c r="F5432" s="4">
        <v>0</v>
      </c>
      <c r="G5432" s="3">
        <v>1433</v>
      </c>
      <c r="H5432" s="3">
        <v>91</v>
      </c>
      <c r="I5432" s="3">
        <v>294</v>
      </c>
      <c r="J5432" s="3">
        <v>169</v>
      </c>
      <c r="K5432" s="3">
        <v>1047</v>
      </c>
      <c r="L5432" s="3">
        <v>1</v>
      </c>
      <c r="M5432" s="3">
        <v>294</v>
      </c>
    </row>
    <row r="5433" spans="1:13" x14ac:dyDescent="0.25">
      <c r="A5433" s="1" t="str">
        <f>HYPERLINK("http://www.rosaceae.org/Prunus/Prunus_persica/p.persica_gdr_reftransV1_0045573","p.persica_gdr_reftransV1_0045573")</f>
        <v>p.persica_gdr_reftransV1_0045573</v>
      </c>
      <c r="B5433" s="3">
        <v>323</v>
      </c>
      <c r="C5433" s="1" t="str">
        <f>HYPERLINK("http://www.uniprot.org/uniprot/HST_ARATH","HST_ARATH")</f>
        <v>HST_ARATH</v>
      </c>
      <c r="D5433" t="s">
        <v>2435</v>
      </c>
      <c r="E5433" s="3" t="s">
        <v>3</v>
      </c>
      <c r="F5433" s="4">
        <v>7.7999999999999995E-33</v>
      </c>
      <c r="G5433" s="3">
        <v>308</v>
      </c>
      <c r="H5433" s="3">
        <v>66</v>
      </c>
      <c r="I5433" s="3">
        <v>93</v>
      </c>
      <c r="J5433" s="3">
        <v>2</v>
      </c>
      <c r="K5433" s="3">
        <v>280</v>
      </c>
      <c r="L5433" s="3">
        <v>3</v>
      </c>
      <c r="M5433" s="3">
        <v>91</v>
      </c>
    </row>
    <row r="5434" spans="1:13" x14ac:dyDescent="0.25">
      <c r="A5434" s="1" t="str">
        <f>HYPERLINK("http://www.rosaceae.org/Prunus/Prunus_persica/p.persica_gdr_reftransV1_0045823","p.persica_gdr_reftransV1_0045823")</f>
        <v>p.persica_gdr_reftransV1_0045823</v>
      </c>
      <c r="B5434" s="3">
        <v>2068</v>
      </c>
      <c r="C5434" s="1" t="str">
        <f>HYPERLINK("http://www.uniprot.org/uniprot/2AAB_ARATH","2AAB_ARATH")</f>
        <v>2AAB_ARATH</v>
      </c>
      <c r="D5434" t="s">
        <v>4625</v>
      </c>
      <c r="E5434" s="3" t="s">
        <v>3</v>
      </c>
      <c r="F5434" s="4">
        <v>0</v>
      </c>
      <c r="G5434" s="3">
        <v>2938</v>
      </c>
      <c r="H5434" s="3">
        <v>94</v>
      </c>
      <c r="I5434" s="3">
        <v>587</v>
      </c>
      <c r="J5434" s="3">
        <v>109</v>
      </c>
      <c r="K5434" s="3">
        <v>1869</v>
      </c>
      <c r="L5434" s="3">
        <v>1</v>
      </c>
      <c r="M5434" s="3">
        <v>587</v>
      </c>
    </row>
    <row r="5435" spans="1:13" x14ac:dyDescent="0.25">
      <c r="A5435" s="1" t="str">
        <f>HYPERLINK("http://www.rosaceae.org/Prunus/Prunus_persica/p.persica_gdr_reftransV1_0045873","p.persica_gdr_reftransV1_0045873")</f>
        <v>p.persica_gdr_reftransV1_0045873</v>
      </c>
      <c r="B5435" s="3">
        <v>1848</v>
      </c>
      <c r="C5435" s="1" t="str">
        <f>HYPERLINK("http://www.uniprot.org/uniprot/SHR_ARATH","SHR_ARATH")</f>
        <v>SHR_ARATH</v>
      </c>
      <c r="D5435" t="s">
        <v>4102</v>
      </c>
      <c r="E5435" s="3" t="s">
        <v>3</v>
      </c>
      <c r="F5435" s="4">
        <v>0</v>
      </c>
      <c r="G5435" s="3">
        <v>1477</v>
      </c>
      <c r="H5435" s="3">
        <v>62</v>
      </c>
      <c r="I5435" s="3">
        <v>492</v>
      </c>
      <c r="J5435" s="3">
        <v>238</v>
      </c>
      <c r="K5435" s="3">
        <v>1611</v>
      </c>
      <c r="L5435" s="3">
        <v>42</v>
      </c>
      <c r="M5435" s="3">
        <v>530</v>
      </c>
    </row>
    <row r="5436" spans="1:13" x14ac:dyDescent="0.25">
      <c r="A5436" s="1" t="str">
        <f>HYPERLINK("http://www.rosaceae.org/Prunus/Prunus_persica/p.persica_gdr_reftransV1_0045923","p.persica_gdr_reftransV1_0045923")</f>
        <v>p.persica_gdr_reftransV1_0045923</v>
      </c>
      <c r="B5436" s="3">
        <v>1343</v>
      </c>
      <c r="C5436" s="1" t="str">
        <f>HYPERLINK("http://www.uniprot.org/uniprot/PDCB3_ARATH","PDCB3_ARATH")</f>
        <v>PDCB3_ARATH</v>
      </c>
      <c r="D5436" t="s">
        <v>3021</v>
      </c>
      <c r="E5436" s="3" t="s">
        <v>3</v>
      </c>
      <c r="F5436" s="4">
        <v>3.0699999999999997E-38</v>
      </c>
      <c r="G5436" s="3">
        <v>358</v>
      </c>
      <c r="H5436" s="3">
        <v>71</v>
      </c>
      <c r="I5436" s="3">
        <v>90</v>
      </c>
      <c r="J5436" s="3">
        <v>183</v>
      </c>
      <c r="K5436" s="3">
        <v>452</v>
      </c>
      <c r="L5436" s="3">
        <v>15</v>
      </c>
      <c r="M5436" s="3">
        <v>104</v>
      </c>
    </row>
    <row r="5437" spans="1:13" x14ac:dyDescent="0.25">
      <c r="A5437" s="1" t="str">
        <f>HYPERLINK("http://www.rosaceae.org/Prunus/Prunus_persica/p.persica_gdr_reftransV1_0045973","p.persica_gdr_reftransV1_0045973")</f>
        <v>p.persica_gdr_reftransV1_0045973</v>
      </c>
      <c r="B5437" s="3">
        <v>895</v>
      </c>
      <c r="C5437" s="1" t="str">
        <f>HYPERLINK("http://www.uniprot.org/uniprot/SPL5_ARATH","SPL5_ARATH")</f>
        <v>SPL5_ARATH</v>
      </c>
      <c r="D5437" t="s">
        <v>4626</v>
      </c>
      <c r="E5437" s="3" t="s">
        <v>3</v>
      </c>
      <c r="F5437" s="4">
        <v>7.6599999999999992E-40</v>
      </c>
      <c r="G5437" s="3">
        <v>360</v>
      </c>
      <c r="H5437" s="3">
        <v>66</v>
      </c>
      <c r="I5437" s="3">
        <v>101</v>
      </c>
      <c r="J5437" s="3">
        <v>289</v>
      </c>
      <c r="K5437" s="3">
        <v>591</v>
      </c>
      <c r="L5437" s="3">
        <v>58</v>
      </c>
      <c r="M5437" s="3">
        <v>158</v>
      </c>
    </row>
    <row r="5438" spans="1:13" x14ac:dyDescent="0.25">
      <c r="A5438" s="1" t="str">
        <f>HYPERLINK("http://www.rosaceae.org/Prunus/Prunus_persica/p.persica_gdr_reftransV1_0046073","p.persica_gdr_reftransV1_0046073")</f>
        <v>p.persica_gdr_reftransV1_0046073</v>
      </c>
      <c r="B5438" s="3">
        <v>1889</v>
      </c>
      <c r="C5438" s="1" t="str">
        <f>HYPERLINK("http://www.uniprot.org/uniprot/MD15A_ARATH","MD15A_ARATH")</f>
        <v>MD15A_ARATH</v>
      </c>
      <c r="D5438" t="s">
        <v>3789</v>
      </c>
      <c r="E5438" s="3" t="s">
        <v>3</v>
      </c>
      <c r="F5438" s="4">
        <v>1.7300000000000001E-78</v>
      </c>
      <c r="G5438" s="3">
        <v>706</v>
      </c>
      <c r="H5438" s="3">
        <v>59</v>
      </c>
      <c r="I5438" s="3">
        <v>289</v>
      </c>
      <c r="J5438" s="3">
        <v>179</v>
      </c>
      <c r="K5438" s="3">
        <v>1045</v>
      </c>
      <c r="L5438" s="3">
        <v>536</v>
      </c>
      <c r="M5438" s="3">
        <v>816</v>
      </c>
    </row>
    <row r="5439" spans="1:13" x14ac:dyDescent="0.25">
      <c r="A5439" s="1" t="str">
        <f>HYPERLINK("http://www.rosaceae.org/Prunus/Prunus_persica/p.persica_gdr_reftransV1_0046273","p.persica_gdr_reftransV1_0046273")</f>
        <v>p.persica_gdr_reftransV1_0046273</v>
      </c>
      <c r="B5439" s="3">
        <v>1493</v>
      </c>
      <c r="C5439" s="1" t="str">
        <f>HYPERLINK("http://www.uniprot.org/uniprot/GDL76_ARATH","GDL76_ARATH")</f>
        <v>GDL76_ARATH</v>
      </c>
      <c r="D5439" t="s">
        <v>2794</v>
      </c>
      <c r="E5439" s="3" t="s">
        <v>3</v>
      </c>
      <c r="F5439" s="4">
        <v>0</v>
      </c>
      <c r="G5439" s="3">
        <v>1438</v>
      </c>
      <c r="H5439" s="3">
        <v>68</v>
      </c>
      <c r="I5439" s="3">
        <v>387</v>
      </c>
      <c r="J5439" s="3">
        <v>207</v>
      </c>
      <c r="K5439" s="3">
        <v>1349</v>
      </c>
      <c r="L5439" s="3">
        <v>5</v>
      </c>
      <c r="M5439" s="3">
        <v>388</v>
      </c>
    </row>
    <row r="5440" spans="1:13" x14ac:dyDescent="0.25">
      <c r="A5440" s="1" t="str">
        <f>HYPERLINK("http://www.rosaceae.org/Prunus/Prunus_persica/p.persica_gdr_reftransV1_0046323","p.persica_gdr_reftransV1_0046323")</f>
        <v>p.persica_gdr_reftransV1_0046323</v>
      </c>
      <c r="B5440" s="3">
        <v>2592</v>
      </c>
      <c r="C5440" s="1" t="str">
        <f>HYPERLINK("http://www.uniprot.org/uniprot/GOGC5_ARATH","GOGC5_ARATH")</f>
        <v>GOGC5_ARATH</v>
      </c>
      <c r="D5440" t="s">
        <v>4627</v>
      </c>
      <c r="E5440" s="3" t="s">
        <v>3</v>
      </c>
      <c r="F5440" s="4">
        <v>0</v>
      </c>
      <c r="G5440" s="3">
        <v>2129</v>
      </c>
      <c r="H5440" s="3">
        <v>85</v>
      </c>
      <c r="I5440" s="3">
        <v>585</v>
      </c>
      <c r="J5440" s="3">
        <v>549</v>
      </c>
      <c r="K5440" s="3">
        <v>2303</v>
      </c>
      <c r="L5440" s="3">
        <v>372</v>
      </c>
      <c r="M5440" s="3">
        <v>956</v>
      </c>
    </row>
    <row r="5441" spans="1:13" x14ac:dyDescent="0.25">
      <c r="A5441" s="1" t="str">
        <f>HYPERLINK("http://www.rosaceae.org/Prunus/Prunus_persica/p.persica_gdr_reftransV1_0046473","p.persica_gdr_reftransV1_0046473")</f>
        <v>p.persica_gdr_reftransV1_0046473</v>
      </c>
      <c r="B5441" s="3">
        <v>1542</v>
      </c>
      <c r="C5441" s="1" t="str">
        <f>HYPERLINK("http://www.uniprot.org/uniprot/ASPG2_ARATH","ASPG2_ARATH")</f>
        <v>ASPG2_ARATH</v>
      </c>
      <c r="D5441" t="s">
        <v>437</v>
      </c>
      <c r="E5441" s="3" t="s">
        <v>3</v>
      </c>
      <c r="F5441" s="4">
        <v>2.3700000000000001E-157</v>
      </c>
      <c r="G5441" s="3">
        <v>1192</v>
      </c>
      <c r="H5441" s="3">
        <v>68</v>
      </c>
      <c r="I5441" s="3">
        <v>426</v>
      </c>
      <c r="J5441" s="3">
        <v>267</v>
      </c>
      <c r="K5441" s="3">
        <v>1535</v>
      </c>
      <c r="L5441" s="3">
        <v>75</v>
      </c>
      <c r="M5441" s="3">
        <v>470</v>
      </c>
    </row>
    <row r="5442" spans="1:13" x14ac:dyDescent="0.25">
      <c r="A5442" s="1" t="str">
        <f>HYPERLINK("http://www.rosaceae.org/Prunus/Prunus_persica/p.persica_gdr_reftransV1_0046523","p.persica_gdr_reftransV1_0046523")</f>
        <v>p.persica_gdr_reftransV1_0046523</v>
      </c>
      <c r="B5442" s="3">
        <v>842</v>
      </c>
      <c r="C5442" s="1" t="str">
        <f>HYPERLINK("http://www.uniprot.org/uniprot/ATOX1_ARATH","ATOX1_ARATH")</f>
        <v>ATOX1_ARATH</v>
      </c>
      <c r="D5442" t="s">
        <v>1423</v>
      </c>
      <c r="E5442" s="3" t="s">
        <v>3</v>
      </c>
      <c r="F5442" s="4">
        <v>1.5799999999999999E-9</v>
      </c>
      <c r="G5442" s="3">
        <v>139</v>
      </c>
      <c r="H5442" s="3">
        <v>42</v>
      </c>
      <c r="I5442" s="3">
        <v>67</v>
      </c>
      <c r="J5442" s="3">
        <v>630</v>
      </c>
      <c r="K5442" s="3">
        <v>827</v>
      </c>
      <c r="L5442" s="3">
        <v>33</v>
      </c>
      <c r="M5442" s="3">
        <v>99</v>
      </c>
    </row>
    <row r="5443" spans="1:13" x14ac:dyDescent="0.25">
      <c r="A5443" s="1" t="str">
        <f>HYPERLINK("http://www.rosaceae.org/Prunus/Prunus_persica/p.persica_gdr_reftransV1_0046573","p.persica_gdr_reftransV1_0046573")</f>
        <v>p.persica_gdr_reftransV1_0046573</v>
      </c>
      <c r="B5443" s="3">
        <v>1455</v>
      </c>
      <c r="C5443" s="1" t="str">
        <f>HYPERLINK("http://www.uniprot.org/uniprot/ANXD5_ARATH","ANXD5_ARATH")</f>
        <v>ANXD5_ARATH</v>
      </c>
      <c r="D5443" t="s">
        <v>4628</v>
      </c>
      <c r="E5443" s="3" t="s">
        <v>3</v>
      </c>
      <c r="F5443" s="4">
        <v>3.7800000000000002E-70</v>
      </c>
      <c r="G5443" s="3">
        <v>592</v>
      </c>
      <c r="H5443" s="3">
        <v>54</v>
      </c>
      <c r="I5443" s="3">
        <v>226</v>
      </c>
      <c r="J5443" s="3">
        <v>587</v>
      </c>
      <c r="K5443" s="3">
        <v>1264</v>
      </c>
      <c r="L5443" s="3">
        <v>1</v>
      </c>
      <c r="M5443" s="3">
        <v>225</v>
      </c>
    </row>
    <row r="5444" spans="1:13" x14ac:dyDescent="0.25">
      <c r="A5444" s="1" t="str">
        <f>HYPERLINK("http://www.rosaceae.org/Prunus/Prunus_persica/p.persica_gdr_reftransV1_0046623","p.persica_gdr_reftransV1_0046623")</f>
        <v>p.persica_gdr_reftransV1_0046623</v>
      </c>
      <c r="B5444" s="3">
        <v>1304</v>
      </c>
      <c r="C5444" s="1" t="str">
        <f>HYPERLINK("http://www.uniprot.org/uniprot/D27_ARATH","D27_ARATH")</f>
        <v>D27_ARATH</v>
      </c>
      <c r="D5444" t="s">
        <v>2671</v>
      </c>
      <c r="E5444" s="3" t="s">
        <v>3</v>
      </c>
      <c r="F5444" s="4">
        <v>3.02E-41</v>
      </c>
      <c r="G5444" s="3">
        <v>385</v>
      </c>
      <c r="H5444" s="3">
        <v>38</v>
      </c>
      <c r="I5444" s="3">
        <v>226</v>
      </c>
      <c r="J5444" s="3">
        <v>172</v>
      </c>
      <c r="K5444" s="3">
        <v>837</v>
      </c>
      <c r="L5444" s="3">
        <v>34</v>
      </c>
      <c r="M5444" s="3">
        <v>251</v>
      </c>
    </row>
    <row r="5445" spans="1:13" x14ac:dyDescent="0.25">
      <c r="A5445" s="1" t="str">
        <f>HYPERLINK("http://www.rosaceae.org/Prunus/Prunus_persica/p.persica_gdr_reftransV1_0046723","p.persica_gdr_reftransV1_0046723")</f>
        <v>p.persica_gdr_reftransV1_0046723</v>
      </c>
      <c r="B5445" s="3">
        <v>2345</v>
      </c>
      <c r="C5445" s="1" t="str">
        <f>HYPERLINK("http://www.uniprot.org/uniprot/NET1A_ARATH","NET1A_ARATH")</f>
        <v>NET1A_ARATH</v>
      </c>
      <c r="D5445" t="s">
        <v>4629</v>
      </c>
      <c r="E5445" s="3" t="s">
        <v>3</v>
      </c>
      <c r="F5445" s="4">
        <v>7.0200000000000007E-105</v>
      </c>
      <c r="G5445" s="3">
        <v>920</v>
      </c>
      <c r="H5445" s="3">
        <v>40</v>
      </c>
      <c r="I5445" s="3">
        <v>685</v>
      </c>
      <c r="J5445" s="3">
        <v>67</v>
      </c>
      <c r="K5445" s="3">
        <v>2091</v>
      </c>
      <c r="L5445" s="3">
        <v>1108</v>
      </c>
      <c r="M5445" s="3">
        <v>1726</v>
      </c>
    </row>
    <row r="5446" spans="1:13" x14ac:dyDescent="0.25">
      <c r="A5446" s="1" t="str">
        <f>HYPERLINK("http://www.rosaceae.org/Prunus/Prunus_persica/p.persica_gdr_reftransV1_0046873","p.persica_gdr_reftransV1_0046873")</f>
        <v>p.persica_gdr_reftransV1_0046873</v>
      </c>
      <c r="B5446" s="3">
        <v>1476</v>
      </c>
      <c r="C5446" s="1" t="str">
        <f>HYPERLINK("http://www.uniprot.org/uniprot/BGL11_ARATH","BGL11_ARATH")</f>
        <v>BGL11_ARATH</v>
      </c>
      <c r="D5446" t="s">
        <v>4630</v>
      </c>
      <c r="E5446" s="3" t="s">
        <v>3</v>
      </c>
      <c r="F5446" s="4">
        <v>0</v>
      </c>
      <c r="G5446" s="3">
        <v>1410</v>
      </c>
      <c r="H5446" s="3">
        <v>64</v>
      </c>
      <c r="I5446" s="3">
        <v>428</v>
      </c>
      <c r="J5446" s="3">
        <v>148</v>
      </c>
      <c r="K5446" s="3">
        <v>1359</v>
      </c>
      <c r="L5446" s="3">
        <v>26</v>
      </c>
      <c r="M5446" s="3">
        <v>453</v>
      </c>
    </row>
    <row r="5447" spans="1:13" x14ac:dyDescent="0.25">
      <c r="A5447" s="1" t="str">
        <f>HYPERLINK("http://www.rosaceae.org/Prunus/Prunus_persica/p.persica_gdr_reftransV1_0046923","p.persica_gdr_reftransV1_0046923")</f>
        <v>p.persica_gdr_reftransV1_0046923</v>
      </c>
      <c r="B5447" s="3">
        <v>932</v>
      </c>
      <c r="C5447" s="1" t="str">
        <f>HYPERLINK("http://www.uniprot.org/uniprot/CAES_ARATH","CAES_ARATH")</f>
        <v>CAES_ARATH</v>
      </c>
      <c r="D5447" t="s">
        <v>4631</v>
      </c>
      <c r="E5447" s="3" t="s">
        <v>3</v>
      </c>
      <c r="F5447" s="4">
        <v>4.3900000000000001E-93</v>
      </c>
      <c r="G5447" s="3">
        <v>725</v>
      </c>
      <c r="H5447" s="3">
        <v>60</v>
      </c>
      <c r="I5447" s="3">
        <v>237</v>
      </c>
      <c r="J5447" s="3">
        <v>156</v>
      </c>
      <c r="K5447" s="3">
        <v>848</v>
      </c>
      <c r="L5447" s="3">
        <v>24</v>
      </c>
      <c r="M5447" s="3">
        <v>259</v>
      </c>
    </row>
    <row r="5448" spans="1:13" x14ac:dyDescent="0.25">
      <c r="A5448" s="1" t="str">
        <f>HYPERLINK("http://www.rosaceae.org/Prunus/Prunus_persica/p.persica_gdr_reftransV1_0046973","p.persica_gdr_reftransV1_0046973")</f>
        <v>p.persica_gdr_reftransV1_0046973</v>
      </c>
      <c r="B5448" s="3">
        <v>694</v>
      </c>
      <c r="C5448" s="1" t="str">
        <f>HYPERLINK("http://www.uniprot.org/uniprot/KXDL1_DANRE","KXDL1_DANRE")</f>
        <v>KXDL1_DANRE</v>
      </c>
      <c r="D5448" t="s">
        <v>4632</v>
      </c>
      <c r="E5448" s="3" t="s">
        <v>704</v>
      </c>
      <c r="F5448" s="4">
        <v>4.7300000000000002E-12</v>
      </c>
      <c r="G5448" s="3">
        <v>159</v>
      </c>
      <c r="H5448" s="3">
        <v>29</v>
      </c>
      <c r="I5448" s="3">
        <v>140</v>
      </c>
      <c r="J5448" s="3">
        <v>95</v>
      </c>
      <c r="K5448" s="3">
        <v>514</v>
      </c>
      <c r="L5448" s="3">
        <v>11</v>
      </c>
      <c r="M5448" s="3">
        <v>147</v>
      </c>
    </row>
    <row r="5449" spans="1:13" x14ac:dyDescent="0.25">
      <c r="A5449" s="1" t="str">
        <f>HYPERLINK("http://www.rosaceae.org/Prunus/Prunus_persica/p.persica_gdr_reftransV1_0047173","p.persica_gdr_reftransV1_0047173")</f>
        <v>p.persica_gdr_reftransV1_0047173</v>
      </c>
      <c r="B5449" s="3">
        <v>318</v>
      </c>
      <c r="C5449" s="1" t="str">
        <f>HYPERLINK("http://www.uniprot.org/uniprot/DAT_CATRO","DAT_CATRO")</f>
        <v>DAT_CATRO</v>
      </c>
      <c r="D5449" t="s">
        <v>4633</v>
      </c>
      <c r="E5449" s="3" t="s">
        <v>457</v>
      </c>
      <c r="F5449" s="4">
        <v>3.79E-11</v>
      </c>
      <c r="G5449" s="3">
        <v>151</v>
      </c>
      <c r="H5449" s="3">
        <v>33</v>
      </c>
      <c r="I5449" s="3">
        <v>106</v>
      </c>
      <c r="J5449" s="3">
        <v>21</v>
      </c>
      <c r="K5449" s="3">
        <v>317</v>
      </c>
      <c r="L5449" s="3">
        <v>288</v>
      </c>
      <c r="M5449" s="3">
        <v>388</v>
      </c>
    </row>
    <row r="5450" spans="1:13" x14ac:dyDescent="0.25">
      <c r="A5450" s="1" t="str">
        <f>HYPERLINK("http://www.rosaceae.org/Prunus/Prunus_persica/p.persica_gdr_reftransV1_0047273","p.persica_gdr_reftransV1_0047273")</f>
        <v>p.persica_gdr_reftransV1_0047273</v>
      </c>
      <c r="B5450" s="3">
        <v>702</v>
      </c>
      <c r="C5450" s="1" t="str">
        <f>HYPERLINK("http://www.uniprot.org/uniprot/CSCLB_ARATH","CSCLB_ARATH")</f>
        <v>CSCLB_ARATH</v>
      </c>
      <c r="D5450" t="s">
        <v>4634</v>
      </c>
      <c r="E5450" s="3" t="s">
        <v>3</v>
      </c>
      <c r="F5450" s="4">
        <v>4.0200000000000002E-71</v>
      </c>
      <c r="G5450" s="3">
        <v>602</v>
      </c>
      <c r="H5450" s="3">
        <v>63</v>
      </c>
      <c r="I5450" s="3">
        <v>200</v>
      </c>
      <c r="J5450" s="3">
        <v>110</v>
      </c>
      <c r="K5450" s="3">
        <v>700</v>
      </c>
      <c r="L5450" s="3">
        <v>508</v>
      </c>
      <c r="M5450" s="3">
        <v>707</v>
      </c>
    </row>
    <row r="5451" spans="1:13" x14ac:dyDescent="0.25">
      <c r="A5451" s="1" t="str">
        <f>HYPERLINK("http://www.rosaceae.org/Prunus/Prunus_persica/p.persica_gdr_reftransV1_0047323","p.persica_gdr_reftransV1_0047323")</f>
        <v>p.persica_gdr_reftransV1_0047323</v>
      </c>
      <c r="B5451" s="3">
        <v>1018</v>
      </c>
      <c r="C5451" s="1" t="str">
        <f>HYPERLINK("http://www.uniprot.org/uniprot/PNO1_NEMVE","PNO1_NEMVE")</f>
        <v>PNO1_NEMVE</v>
      </c>
      <c r="D5451" t="s">
        <v>4635</v>
      </c>
      <c r="E5451" s="3" t="s">
        <v>1392</v>
      </c>
      <c r="F5451" s="4">
        <v>4.8799999999999998E-87</v>
      </c>
      <c r="G5451" s="3">
        <v>686</v>
      </c>
      <c r="H5451" s="3">
        <v>61</v>
      </c>
      <c r="I5451" s="3">
        <v>196</v>
      </c>
      <c r="J5451" s="3">
        <v>194</v>
      </c>
      <c r="K5451" s="3">
        <v>781</v>
      </c>
      <c r="L5451" s="3">
        <v>43</v>
      </c>
      <c r="M5451" s="3">
        <v>238</v>
      </c>
    </row>
    <row r="5452" spans="1:13" x14ac:dyDescent="0.25">
      <c r="A5452" s="1" t="str">
        <f>HYPERLINK("http://www.rosaceae.org/Prunus/Prunus_persica/p.persica_gdr_reftransV1_0047373","p.persica_gdr_reftransV1_0047373")</f>
        <v>p.persica_gdr_reftransV1_0047373</v>
      </c>
      <c r="B5452" s="3">
        <v>2624</v>
      </c>
      <c r="C5452" s="1" t="str">
        <f>HYPERLINK("http://www.uniprot.org/uniprot/Y4837_ARATH","Y4837_ARATH")</f>
        <v>Y4837_ARATH</v>
      </c>
      <c r="D5452" t="s">
        <v>1335</v>
      </c>
      <c r="E5452" s="3" t="s">
        <v>3</v>
      </c>
      <c r="F5452" s="4">
        <v>5.1699999999999996E-38</v>
      </c>
      <c r="G5452" s="3">
        <v>390</v>
      </c>
      <c r="H5452" s="3">
        <v>33</v>
      </c>
      <c r="I5452" s="3">
        <v>447</v>
      </c>
      <c r="J5452" s="3">
        <v>203</v>
      </c>
      <c r="K5452" s="3">
        <v>1420</v>
      </c>
      <c r="L5452" s="3">
        <v>34</v>
      </c>
      <c r="M5452" s="3">
        <v>464</v>
      </c>
    </row>
    <row r="5453" spans="1:13" x14ac:dyDescent="0.25">
      <c r="A5453" s="1" t="str">
        <f>HYPERLINK("http://www.rosaceae.org/Prunus/Prunus_persica/p.persica_gdr_reftransV1_0047423","p.persica_gdr_reftransV1_0047423")</f>
        <v>p.persica_gdr_reftransV1_0047423</v>
      </c>
      <c r="B5453" s="3">
        <v>590</v>
      </c>
      <c r="C5453" s="1" t="str">
        <f>HYPERLINK("http://www.uniprot.org/uniprot/ATL46_ARATH","ATL46_ARATH")</f>
        <v>ATL46_ARATH</v>
      </c>
      <c r="D5453" t="s">
        <v>890</v>
      </c>
      <c r="E5453" s="3" t="s">
        <v>3</v>
      </c>
      <c r="F5453" s="4">
        <v>6.3699999999999995E-54</v>
      </c>
      <c r="G5453" s="3">
        <v>461</v>
      </c>
      <c r="H5453" s="3">
        <v>60</v>
      </c>
      <c r="I5453" s="3">
        <v>159</v>
      </c>
      <c r="J5453" s="3">
        <v>12</v>
      </c>
      <c r="K5453" s="3">
        <v>485</v>
      </c>
      <c r="L5453" s="3">
        <v>138</v>
      </c>
      <c r="M5453" s="3">
        <v>289</v>
      </c>
    </row>
    <row r="5454" spans="1:13" x14ac:dyDescent="0.25">
      <c r="A5454" s="1" t="str">
        <f>HYPERLINK("http://www.rosaceae.org/Prunus/Prunus_persica/p.persica_gdr_reftransV1_0047473","p.persica_gdr_reftransV1_0047473")</f>
        <v>p.persica_gdr_reftransV1_0047473</v>
      </c>
      <c r="B5454" s="3">
        <v>755</v>
      </c>
      <c r="C5454" s="1" t="str">
        <f>HYPERLINK("http://www.uniprot.org/uniprot/HSP16_SOYBN","HSP16_SOYBN")</f>
        <v>HSP16_SOYBN</v>
      </c>
      <c r="D5454" t="s">
        <v>4534</v>
      </c>
      <c r="E5454" s="3" t="s">
        <v>307</v>
      </c>
      <c r="F5454" s="4">
        <v>1.79E-70</v>
      </c>
      <c r="G5454" s="3">
        <v>560</v>
      </c>
      <c r="H5454" s="3">
        <v>79</v>
      </c>
      <c r="I5454" s="3">
        <v>161</v>
      </c>
      <c r="J5454" s="3">
        <v>114</v>
      </c>
      <c r="K5454" s="3">
        <v>587</v>
      </c>
      <c r="L5454" s="3">
        <v>1</v>
      </c>
      <c r="M5454" s="3">
        <v>161</v>
      </c>
    </row>
    <row r="5455" spans="1:13" x14ac:dyDescent="0.25">
      <c r="A5455" s="1" t="str">
        <f>HYPERLINK("http://www.rosaceae.org/Prunus/Prunus_persica/p.persica_gdr_reftransV1_0047523","p.persica_gdr_reftransV1_0047523")</f>
        <v>p.persica_gdr_reftransV1_0047523</v>
      </c>
      <c r="B5455" s="3">
        <v>1004</v>
      </c>
      <c r="C5455" s="1" t="str">
        <f>HYPERLINK("http://www.uniprot.org/uniprot/C94C1_ARATH","C94C1_ARATH")</f>
        <v>C94C1_ARATH</v>
      </c>
      <c r="D5455" t="s">
        <v>1850</v>
      </c>
      <c r="E5455" s="3" t="s">
        <v>3</v>
      </c>
      <c r="F5455" s="4">
        <v>1.5700000000000001E-86</v>
      </c>
      <c r="G5455" s="3">
        <v>704</v>
      </c>
      <c r="H5455" s="3">
        <v>57</v>
      </c>
      <c r="I5455" s="3">
        <v>234</v>
      </c>
      <c r="J5455" s="3">
        <v>5</v>
      </c>
      <c r="K5455" s="3">
        <v>691</v>
      </c>
      <c r="L5455" s="3">
        <v>261</v>
      </c>
      <c r="M5455" s="3">
        <v>494</v>
      </c>
    </row>
    <row r="5456" spans="1:13" x14ac:dyDescent="0.25">
      <c r="A5456" s="1" t="str">
        <f>HYPERLINK("http://www.rosaceae.org/Prunus/Prunus_persica/p.persica_gdr_reftransV1_0047623","p.persica_gdr_reftransV1_0047623")</f>
        <v>p.persica_gdr_reftransV1_0047623</v>
      </c>
      <c r="B5456" s="3">
        <v>1829</v>
      </c>
      <c r="C5456" s="1" t="str">
        <f>HYPERLINK("http://www.uniprot.org/uniprot/KPYC_SOLTU","KPYC_SOLTU")</f>
        <v>KPYC_SOLTU</v>
      </c>
      <c r="D5456" t="s">
        <v>4636</v>
      </c>
      <c r="E5456" s="3" t="s">
        <v>11</v>
      </c>
      <c r="F5456" s="4">
        <v>1.9799999999999998E-124</v>
      </c>
      <c r="G5456" s="3">
        <v>985</v>
      </c>
      <c r="H5456" s="3">
        <v>42</v>
      </c>
      <c r="I5456" s="3">
        <v>495</v>
      </c>
      <c r="J5456" s="3">
        <v>126</v>
      </c>
      <c r="K5456" s="3">
        <v>1604</v>
      </c>
      <c r="L5456" s="3">
        <v>22</v>
      </c>
      <c r="M5456" s="3">
        <v>506</v>
      </c>
    </row>
    <row r="5457" spans="1:13" x14ac:dyDescent="0.25">
      <c r="A5457" s="1" t="str">
        <f>HYPERLINK("http://www.rosaceae.org/Prunus/Prunus_persica/p.persica_gdr_reftransV1_0047673","p.persica_gdr_reftransV1_0047673")</f>
        <v>p.persica_gdr_reftransV1_0047673</v>
      </c>
      <c r="B5457" s="3">
        <v>6336</v>
      </c>
      <c r="C5457" s="1" t="str">
        <f>HYPERLINK("http://www.uniprot.org/uniprot/RRP5_HUMAN","RRP5_HUMAN")</f>
        <v>RRP5_HUMAN</v>
      </c>
      <c r="D5457" t="s">
        <v>4637</v>
      </c>
      <c r="E5457" s="3" t="s">
        <v>28</v>
      </c>
      <c r="F5457" s="4">
        <v>1.07E-119</v>
      </c>
      <c r="G5457" s="3">
        <v>1092</v>
      </c>
      <c r="H5457" s="3">
        <v>27</v>
      </c>
      <c r="I5457" s="3">
        <v>1397</v>
      </c>
      <c r="J5457" s="3">
        <v>1890</v>
      </c>
      <c r="K5457" s="3">
        <v>5804</v>
      </c>
      <c r="L5457" s="3">
        <v>75</v>
      </c>
      <c r="M5457" s="3">
        <v>1381</v>
      </c>
    </row>
    <row r="5458" spans="1:13" x14ac:dyDescent="0.25">
      <c r="A5458" s="1" t="str">
        <f>HYPERLINK("http://www.rosaceae.org/Prunus/Prunus_persica/p.persica_gdr_reftransV1_0047723","p.persica_gdr_reftransV1_0047723")</f>
        <v>p.persica_gdr_reftransV1_0047723</v>
      </c>
      <c r="B5458" s="3">
        <v>532</v>
      </c>
      <c r="C5458" s="1" t="str">
        <f>HYPERLINK("http://www.uniprot.org/uniprot/FPF1_ARATH","FPF1_ARATH")</f>
        <v>FPF1_ARATH</v>
      </c>
      <c r="D5458" t="s">
        <v>4638</v>
      </c>
      <c r="E5458" s="3" t="s">
        <v>3</v>
      </c>
      <c r="F5458" s="4">
        <v>4.1799999999999998E-55</v>
      </c>
      <c r="G5458" s="3">
        <v>446</v>
      </c>
      <c r="H5458" s="3">
        <v>79</v>
      </c>
      <c r="I5458" s="3">
        <v>108</v>
      </c>
      <c r="J5458" s="3">
        <v>31</v>
      </c>
      <c r="K5458" s="3">
        <v>342</v>
      </c>
      <c r="L5458" s="3">
        <v>1</v>
      </c>
      <c r="M5458" s="3">
        <v>108</v>
      </c>
    </row>
    <row r="5459" spans="1:13" x14ac:dyDescent="0.25">
      <c r="A5459" s="1" t="str">
        <f>HYPERLINK("http://www.rosaceae.org/Prunus/Prunus_persica/p.persica_gdr_reftransV1_0047773","p.persica_gdr_reftransV1_0047773")</f>
        <v>p.persica_gdr_reftransV1_0047773</v>
      </c>
      <c r="B5459" s="3">
        <v>1360</v>
      </c>
      <c r="C5459" s="1" t="str">
        <f>HYPERLINK("http://www.uniprot.org/uniprot/Y2433_ARATH","Y2433_ARATH")</f>
        <v>Y2433_ARATH</v>
      </c>
      <c r="D5459" t="s">
        <v>4639</v>
      </c>
      <c r="E5459" s="3" t="s">
        <v>3</v>
      </c>
      <c r="F5459" s="4">
        <v>1.1800000000000001E-90</v>
      </c>
      <c r="G5459" s="3">
        <v>628</v>
      </c>
      <c r="H5459" s="3">
        <v>64</v>
      </c>
      <c r="I5459" s="3">
        <v>208</v>
      </c>
      <c r="J5459" s="3">
        <v>218</v>
      </c>
      <c r="K5459" s="3">
        <v>841</v>
      </c>
      <c r="L5459" s="3">
        <v>28</v>
      </c>
      <c r="M5459" s="3">
        <v>222</v>
      </c>
    </row>
    <row r="5460" spans="1:13" x14ac:dyDescent="0.25">
      <c r="A5460" s="1" t="str">
        <f>HYPERLINK("http://www.rosaceae.org/Prunus/Prunus_persica/p.persica_gdr_reftransV1_0047823","p.persica_gdr_reftransV1_0047823")</f>
        <v>p.persica_gdr_reftransV1_0047823</v>
      </c>
      <c r="B5460" s="3">
        <v>1202</v>
      </c>
      <c r="C5460" s="1" t="str">
        <f>HYPERLINK("http://www.uniprot.org/uniprot/NNJA3_MAIZE","NNJA3_MAIZE")</f>
        <v>NNJA3_MAIZE</v>
      </c>
      <c r="D5460" t="s">
        <v>4640</v>
      </c>
      <c r="E5460" s="3" t="s">
        <v>72</v>
      </c>
      <c r="F5460" s="4">
        <v>2.5899999999999998E-19</v>
      </c>
      <c r="G5460" s="3">
        <v>223</v>
      </c>
      <c r="H5460" s="3">
        <v>55</v>
      </c>
      <c r="I5460" s="3">
        <v>69</v>
      </c>
      <c r="J5460" s="3">
        <v>823</v>
      </c>
      <c r="K5460" s="3">
        <v>1026</v>
      </c>
      <c r="L5460" s="3">
        <v>192</v>
      </c>
      <c r="M5460" s="3">
        <v>260</v>
      </c>
    </row>
    <row r="5461" spans="1:13" x14ac:dyDescent="0.25">
      <c r="A5461" s="1" t="str">
        <f>HYPERLINK("http://www.rosaceae.org/Prunus/Prunus_persica/p.persica_gdr_reftransV1_0048023","p.persica_gdr_reftransV1_0048023")</f>
        <v>p.persica_gdr_reftransV1_0048023</v>
      </c>
      <c r="B5461" s="3">
        <v>833</v>
      </c>
      <c r="C5461" s="1" t="str">
        <f>HYPERLINK("http://www.uniprot.org/uniprot/IMP1L_MOUSE","IMP1L_MOUSE")</f>
        <v>IMP1L_MOUSE</v>
      </c>
      <c r="D5461" t="s">
        <v>4641</v>
      </c>
      <c r="E5461" s="3" t="s">
        <v>157</v>
      </c>
      <c r="F5461" s="4">
        <v>3.1900000000000001E-28</v>
      </c>
      <c r="G5461" s="3">
        <v>278</v>
      </c>
      <c r="H5461" s="3">
        <v>40</v>
      </c>
      <c r="I5461" s="3">
        <v>141</v>
      </c>
      <c r="J5461" s="3">
        <v>260</v>
      </c>
      <c r="K5461" s="3">
        <v>682</v>
      </c>
      <c r="L5461" s="3">
        <v>17</v>
      </c>
      <c r="M5461" s="3">
        <v>154</v>
      </c>
    </row>
    <row r="5462" spans="1:13" x14ac:dyDescent="0.25">
      <c r="A5462" s="1" t="str">
        <f>HYPERLINK("http://www.rosaceae.org/Prunus/Prunus_persica/p.persica_gdr_reftransV1_0048073","p.persica_gdr_reftransV1_0048073")</f>
        <v>p.persica_gdr_reftransV1_0048073</v>
      </c>
      <c r="B5462" s="3">
        <v>3304</v>
      </c>
      <c r="C5462" s="1" t="str">
        <f>HYPERLINK("http://www.uniprot.org/uniprot/Y7797_ORYSJ","Y7797_ORYSJ")</f>
        <v>Y7797_ORYSJ</v>
      </c>
      <c r="D5462" t="s">
        <v>4082</v>
      </c>
      <c r="E5462" s="3" t="s">
        <v>38</v>
      </c>
      <c r="F5462" s="4">
        <v>0</v>
      </c>
      <c r="G5462" s="3">
        <v>2190</v>
      </c>
      <c r="H5462" s="3">
        <v>52</v>
      </c>
      <c r="I5462" s="3">
        <v>918</v>
      </c>
      <c r="J5462" s="3">
        <v>400</v>
      </c>
      <c r="K5462" s="3">
        <v>3045</v>
      </c>
      <c r="L5462" s="3">
        <v>15</v>
      </c>
      <c r="M5462" s="3">
        <v>913</v>
      </c>
    </row>
    <row r="5463" spans="1:13" x14ac:dyDescent="0.25">
      <c r="A5463" s="1" t="str">
        <f>HYPERLINK("http://www.rosaceae.org/Prunus/Prunus_persica/p.persica_gdr_reftransV1_0048173","p.persica_gdr_reftransV1_0048173")</f>
        <v>p.persica_gdr_reftransV1_0048173</v>
      </c>
      <c r="B5463" s="3">
        <v>760</v>
      </c>
      <c r="C5463" s="1" t="str">
        <f>HYPERLINK("http://www.uniprot.org/uniprot/ADH1_TRIRP","ADH1_TRIRP")</f>
        <v>ADH1_TRIRP</v>
      </c>
      <c r="D5463" t="s">
        <v>4642</v>
      </c>
      <c r="E5463" s="3" t="s">
        <v>733</v>
      </c>
      <c r="F5463" s="4">
        <v>4.7400000000000002E-66</v>
      </c>
      <c r="G5463" s="3">
        <v>549</v>
      </c>
      <c r="H5463" s="3">
        <v>85</v>
      </c>
      <c r="I5463" s="3">
        <v>114</v>
      </c>
      <c r="J5463" s="3">
        <v>227</v>
      </c>
      <c r="K5463" s="3">
        <v>568</v>
      </c>
      <c r="L5463" s="3">
        <v>267</v>
      </c>
      <c r="M5463" s="3">
        <v>380</v>
      </c>
    </row>
    <row r="5464" spans="1:13" x14ac:dyDescent="0.25">
      <c r="A5464" s="1" t="str">
        <f>HYPERLINK("http://www.rosaceae.org/Prunus/Prunus_persica/p.persica_gdr_reftransV1_0048223","p.persica_gdr_reftransV1_0048223")</f>
        <v>p.persica_gdr_reftransV1_0048223</v>
      </c>
      <c r="B5464" s="3">
        <v>1866</v>
      </c>
      <c r="C5464" s="1" t="str">
        <f>HYPERLINK("http://www.uniprot.org/uniprot/AROF_TOBAC","AROF_TOBAC")</f>
        <v>AROF_TOBAC</v>
      </c>
      <c r="D5464" t="s">
        <v>2898</v>
      </c>
      <c r="E5464" s="3" t="s">
        <v>200</v>
      </c>
      <c r="F5464" s="4">
        <v>0</v>
      </c>
      <c r="G5464" s="3">
        <v>2401</v>
      </c>
      <c r="H5464" s="3">
        <v>84</v>
      </c>
      <c r="I5464" s="3">
        <v>530</v>
      </c>
      <c r="J5464" s="3">
        <v>121</v>
      </c>
      <c r="K5464" s="3">
        <v>1695</v>
      </c>
      <c r="L5464" s="3">
        <v>14</v>
      </c>
      <c r="M5464" s="3">
        <v>538</v>
      </c>
    </row>
    <row r="5465" spans="1:13" x14ac:dyDescent="0.25">
      <c r="A5465" s="1" t="str">
        <f>HYPERLINK("http://www.rosaceae.org/Prunus/Prunus_persica/p.persica_gdr_reftransV1_0048273","p.persica_gdr_reftransV1_0048273")</f>
        <v>p.persica_gdr_reftransV1_0048273</v>
      </c>
      <c r="B5465" s="3">
        <v>455</v>
      </c>
      <c r="C5465" s="1" t="str">
        <f>HYPERLINK("http://www.uniprot.org/uniprot/PIP27_MAIZE","PIP27_MAIZE")</f>
        <v>PIP27_MAIZE</v>
      </c>
      <c r="D5465" t="s">
        <v>4643</v>
      </c>
      <c r="E5465" s="3" t="s">
        <v>72</v>
      </c>
      <c r="F5465" s="4">
        <v>1.43E-37</v>
      </c>
      <c r="G5465" s="3">
        <v>340</v>
      </c>
      <c r="H5465" s="3">
        <v>76</v>
      </c>
      <c r="I5465" s="3">
        <v>107</v>
      </c>
      <c r="J5465" s="3">
        <v>2</v>
      </c>
      <c r="K5465" s="3">
        <v>304</v>
      </c>
      <c r="L5465" s="3">
        <v>1</v>
      </c>
      <c r="M5465" s="3">
        <v>107</v>
      </c>
    </row>
    <row r="5466" spans="1:13" x14ac:dyDescent="0.25">
      <c r="A5466" s="1" t="str">
        <f>HYPERLINK("http://www.rosaceae.org/Prunus/Prunus_persica/p.persica_gdr_reftransV1_0048323","p.persica_gdr_reftransV1_0048323")</f>
        <v>p.persica_gdr_reftransV1_0048323</v>
      </c>
      <c r="B5466" s="3">
        <v>424</v>
      </c>
      <c r="C5466" s="1" t="str">
        <f>HYPERLINK("http://www.uniprot.org/uniprot/PP333_ARATH","PP333_ARATH")</f>
        <v>PP333_ARATH</v>
      </c>
      <c r="D5466" t="s">
        <v>2209</v>
      </c>
      <c r="E5466" s="3" t="s">
        <v>3</v>
      </c>
      <c r="F5466" s="4">
        <v>4.8700000000000002E-28</v>
      </c>
      <c r="G5466" s="3">
        <v>283</v>
      </c>
      <c r="H5466" s="3">
        <v>41</v>
      </c>
      <c r="I5466" s="3">
        <v>131</v>
      </c>
      <c r="J5466" s="3">
        <v>15</v>
      </c>
      <c r="K5466" s="3">
        <v>407</v>
      </c>
      <c r="L5466" s="3">
        <v>460</v>
      </c>
      <c r="M5466" s="3">
        <v>590</v>
      </c>
    </row>
    <row r="5467" spans="1:13" x14ac:dyDescent="0.25">
      <c r="A5467" s="1" t="str">
        <f>HYPERLINK("http://www.rosaceae.org/Prunus/Prunus_persica/p.persica_gdr_reftransV1_0048523","p.persica_gdr_reftransV1_0048523")</f>
        <v>p.persica_gdr_reftransV1_0048523</v>
      </c>
      <c r="B5467" s="3">
        <v>4166</v>
      </c>
      <c r="C5467" s="1" t="str">
        <f>HYPERLINK("http://www.uniprot.org/uniprot/TRM32_ARATH","TRM32_ARATH")</f>
        <v>TRM32_ARATH</v>
      </c>
      <c r="D5467" t="s">
        <v>4198</v>
      </c>
      <c r="E5467" s="3" t="s">
        <v>3</v>
      </c>
      <c r="F5467" s="4">
        <v>9.4999999999999995E-12</v>
      </c>
      <c r="G5467" s="3">
        <v>178</v>
      </c>
      <c r="H5467" s="3">
        <v>30</v>
      </c>
      <c r="I5467" s="3">
        <v>165</v>
      </c>
      <c r="J5467" s="3">
        <v>706</v>
      </c>
      <c r="K5467" s="3">
        <v>1185</v>
      </c>
      <c r="L5467" s="3">
        <v>397</v>
      </c>
      <c r="M5467" s="3">
        <v>552</v>
      </c>
    </row>
    <row r="5468" spans="1:13" x14ac:dyDescent="0.25">
      <c r="A5468" s="1" t="str">
        <f>HYPERLINK("http://www.rosaceae.org/Prunus/Prunus_persica/p.persica_gdr_reftransV1_0048573","p.persica_gdr_reftransV1_0048573")</f>
        <v>p.persica_gdr_reftransV1_0048573</v>
      </c>
      <c r="B5468" s="3">
        <v>2279</v>
      </c>
      <c r="C5468" s="1" t="str">
        <f>HYPERLINK("http://www.uniprot.org/uniprot/Y1710_ARATH","Y1710_ARATH")</f>
        <v>Y1710_ARATH</v>
      </c>
      <c r="D5468" t="s">
        <v>4644</v>
      </c>
      <c r="E5468" s="3" t="s">
        <v>3</v>
      </c>
      <c r="F5468" s="4">
        <v>2.11E-15</v>
      </c>
      <c r="G5468" s="3">
        <v>204</v>
      </c>
      <c r="H5468" s="3">
        <v>41</v>
      </c>
      <c r="I5468" s="3">
        <v>116</v>
      </c>
      <c r="J5468" s="3">
        <v>1551</v>
      </c>
      <c r="K5468" s="3">
        <v>1895</v>
      </c>
      <c r="L5468" s="3">
        <v>360</v>
      </c>
      <c r="M5468" s="3">
        <v>446</v>
      </c>
    </row>
    <row r="5469" spans="1:13" x14ac:dyDescent="0.25">
      <c r="A5469" s="1" t="str">
        <f>HYPERLINK("http://www.rosaceae.org/Prunus/Prunus_persica/p.persica_gdr_reftransV1_0048623","p.persica_gdr_reftransV1_0048623")</f>
        <v>p.persica_gdr_reftransV1_0048623</v>
      </c>
      <c r="B5469" s="3">
        <v>1276</v>
      </c>
      <c r="C5469" s="1" t="str">
        <f>HYPERLINK("http://www.uniprot.org/uniprot/ADT3_ARATH","ADT3_ARATH")</f>
        <v>ADT3_ARATH</v>
      </c>
      <c r="D5469" t="s">
        <v>2528</v>
      </c>
      <c r="E5469" s="3" t="s">
        <v>3</v>
      </c>
      <c r="F5469" s="4">
        <v>1.69E-167</v>
      </c>
      <c r="G5469" s="3">
        <v>1241</v>
      </c>
      <c r="H5469" s="3">
        <v>91</v>
      </c>
      <c r="I5469" s="3">
        <v>281</v>
      </c>
      <c r="J5469" s="3">
        <v>1</v>
      </c>
      <c r="K5469" s="3">
        <v>843</v>
      </c>
      <c r="L5469" s="3">
        <v>90</v>
      </c>
      <c r="M5469" s="3">
        <v>370</v>
      </c>
    </row>
    <row r="5470" spans="1:13" x14ac:dyDescent="0.25">
      <c r="A5470" s="1" t="str">
        <f>HYPERLINK("http://www.rosaceae.org/Prunus/Prunus_persica/p.persica_gdr_reftransV1_0048723","p.persica_gdr_reftransV1_0048723")</f>
        <v>p.persica_gdr_reftransV1_0048723</v>
      </c>
      <c r="B5470" s="3">
        <v>2692</v>
      </c>
      <c r="C5470" s="1" t="str">
        <f>HYPERLINK("http://www.uniprot.org/uniprot/SIR1_TOBAC","SIR1_TOBAC")</f>
        <v>SIR1_TOBAC</v>
      </c>
      <c r="D5470" t="s">
        <v>4645</v>
      </c>
      <c r="E5470" s="3" t="s">
        <v>200</v>
      </c>
      <c r="F5470" s="4">
        <v>0</v>
      </c>
      <c r="G5470" s="3">
        <v>2934</v>
      </c>
      <c r="H5470" s="3">
        <v>82</v>
      </c>
      <c r="I5470" s="3">
        <v>691</v>
      </c>
      <c r="J5470" s="3">
        <v>472</v>
      </c>
      <c r="K5470" s="3">
        <v>2523</v>
      </c>
      <c r="L5470" s="3">
        <v>2</v>
      </c>
      <c r="M5470" s="3">
        <v>691</v>
      </c>
    </row>
    <row r="5471" spans="1:13" x14ac:dyDescent="0.25">
      <c r="A5471" s="1" t="str">
        <f>HYPERLINK("http://www.rosaceae.org/Prunus/Prunus_persica/p.persica_gdr_reftransV1_0048873","p.persica_gdr_reftransV1_0048873")</f>
        <v>p.persica_gdr_reftransV1_0048873</v>
      </c>
      <c r="B5471" s="3">
        <v>629</v>
      </c>
      <c r="C5471" s="1" t="str">
        <f>HYPERLINK("http://www.uniprot.org/uniprot/RS272_ARATH","RS272_ARATH")</f>
        <v>RS272_ARATH</v>
      </c>
      <c r="D5471" t="s">
        <v>4023</v>
      </c>
      <c r="E5471" s="3" t="s">
        <v>3</v>
      </c>
      <c r="F5471" s="4">
        <v>6.5400000000000002E-44</v>
      </c>
      <c r="G5471" s="3">
        <v>373</v>
      </c>
      <c r="H5471" s="3">
        <v>95</v>
      </c>
      <c r="I5471" s="3">
        <v>86</v>
      </c>
      <c r="J5471" s="3">
        <v>119</v>
      </c>
      <c r="K5471" s="3">
        <v>376</v>
      </c>
      <c r="L5471" s="3">
        <v>1</v>
      </c>
      <c r="M5471" s="3">
        <v>86</v>
      </c>
    </row>
    <row r="5472" spans="1:13" x14ac:dyDescent="0.25">
      <c r="A5472" s="1" t="str">
        <f>HYPERLINK("http://www.rosaceae.org/Prunus/Prunus_persica/p.persica_gdr_reftransV1_0048923","p.persica_gdr_reftransV1_0048923")</f>
        <v>p.persica_gdr_reftransV1_0048923</v>
      </c>
      <c r="B5472" s="3">
        <v>2267</v>
      </c>
      <c r="C5472" s="1" t="str">
        <f>HYPERLINK("http://www.uniprot.org/uniprot/Y3475_ARATH","Y3475_ARATH")</f>
        <v>Y3475_ARATH</v>
      </c>
      <c r="D5472" t="s">
        <v>827</v>
      </c>
      <c r="E5472" s="3" t="s">
        <v>3</v>
      </c>
      <c r="F5472" s="4">
        <v>2.1800000000000001E-116</v>
      </c>
      <c r="G5472" s="3">
        <v>980</v>
      </c>
      <c r="H5472" s="3">
        <v>42</v>
      </c>
      <c r="I5472" s="3">
        <v>523</v>
      </c>
      <c r="J5472" s="3">
        <v>610</v>
      </c>
      <c r="K5472" s="3">
        <v>2145</v>
      </c>
      <c r="L5472" s="3">
        <v>25</v>
      </c>
      <c r="M5472" s="3">
        <v>545</v>
      </c>
    </row>
    <row r="5473" spans="1:13" x14ac:dyDescent="0.25">
      <c r="A5473" s="1" t="str">
        <f>HYPERLINK("http://www.rosaceae.org/Prunus/Prunus_persica/p.persica_gdr_reftransV1_0049073","p.persica_gdr_reftransV1_0049073")</f>
        <v>p.persica_gdr_reftransV1_0049073</v>
      </c>
      <c r="B5473" s="3">
        <v>1853</v>
      </c>
      <c r="C5473" s="1" t="str">
        <f>HYPERLINK("http://www.uniprot.org/uniprot/PP122_ARATH","PP122_ARATH")</f>
        <v>PP122_ARATH</v>
      </c>
      <c r="D5473" t="s">
        <v>4646</v>
      </c>
      <c r="E5473" s="3" t="s">
        <v>3</v>
      </c>
      <c r="F5473" s="4">
        <v>0</v>
      </c>
      <c r="G5473" s="3">
        <v>1783</v>
      </c>
      <c r="H5473" s="3">
        <v>69</v>
      </c>
      <c r="I5473" s="3">
        <v>475</v>
      </c>
      <c r="J5473" s="3">
        <v>5</v>
      </c>
      <c r="K5473" s="3">
        <v>1429</v>
      </c>
      <c r="L5473" s="3">
        <v>169</v>
      </c>
      <c r="M5473" s="3">
        <v>643</v>
      </c>
    </row>
    <row r="5474" spans="1:13" x14ac:dyDescent="0.25">
      <c r="A5474" s="1" t="str">
        <f>HYPERLINK("http://www.rosaceae.org/Prunus/Prunus_persica/p.persica_gdr_reftransV1_0049123","p.persica_gdr_reftransV1_0049123")</f>
        <v>p.persica_gdr_reftransV1_0049123</v>
      </c>
      <c r="B5474" s="3">
        <v>1075</v>
      </c>
      <c r="C5474" s="1" t="str">
        <f>HYPERLINK("http://www.uniprot.org/uniprot/THA1_ARATH","THA1_ARATH")</f>
        <v>THA1_ARATH</v>
      </c>
      <c r="D5474" t="s">
        <v>4647</v>
      </c>
      <c r="E5474" s="3" t="s">
        <v>3</v>
      </c>
      <c r="F5474" s="4">
        <v>6.3199999999999999E-48</v>
      </c>
      <c r="G5474" s="3">
        <v>433</v>
      </c>
      <c r="H5474" s="3">
        <v>62</v>
      </c>
      <c r="I5474" s="3">
        <v>125</v>
      </c>
      <c r="J5474" s="3">
        <v>375</v>
      </c>
      <c r="K5474" s="3">
        <v>749</v>
      </c>
      <c r="L5474" s="3">
        <v>225</v>
      </c>
      <c r="M5474" s="3">
        <v>349</v>
      </c>
    </row>
    <row r="5475" spans="1:13" x14ac:dyDescent="0.25">
      <c r="A5475" s="1" t="str">
        <f>HYPERLINK("http://www.rosaceae.org/Prunus/Prunus_persica/p.persica_gdr_reftransV1_0049173","p.persica_gdr_reftransV1_0049173")</f>
        <v>p.persica_gdr_reftransV1_0049173</v>
      </c>
      <c r="B5475" s="3">
        <v>966</v>
      </c>
      <c r="C5475" s="1" t="str">
        <f>HYPERLINK("http://www.uniprot.org/uniprot/RL12_PRUAR","RL12_PRUAR")</f>
        <v>RL12_PRUAR</v>
      </c>
      <c r="D5475" t="s">
        <v>4648</v>
      </c>
      <c r="E5475" s="3" t="s">
        <v>62</v>
      </c>
      <c r="F5475" s="4">
        <v>1.1799999999999999E-109</v>
      </c>
      <c r="G5475" s="3">
        <v>827</v>
      </c>
      <c r="H5475" s="3">
        <v>98</v>
      </c>
      <c r="I5475" s="3">
        <v>166</v>
      </c>
      <c r="J5475" s="3">
        <v>387</v>
      </c>
      <c r="K5475" s="3">
        <v>884</v>
      </c>
      <c r="L5475" s="3">
        <v>1</v>
      </c>
      <c r="M5475" s="3">
        <v>166</v>
      </c>
    </row>
    <row r="5476" spans="1:13" x14ac:dyDescent="0.25">
      <c r="A5476" s="1" t="str">
        <f>HYPERLINK("http://www.rosaceae.org/Prunus/Prunus_persica/p.persica_gdr_reftransV1_0000024","p.persica_gdr_reftransV1_0000024")</f>
        <v>p.persica_gdr_reftransV1_0000024</v>
      </c>
      <c r="B5476" s="3">
        <v>1527</v>
      </c>
      <c r="C5476" s="1" t="str">
        <f>HYPERLINK("http://www.uniprot.org/uniprot/LIP_RHIOR","LIP_RHIOR")</f>
        <v>LIP_RHIOR</v>
      </c>
      <c r="D5476" t="s">
        <v>4649</v>
      </c>
      <c r="E5476" s="3" t="s">
        <v>4650</v>
      </c>
      <c r="F5476" s="4">
        <v>5.0999999999999998E-11</v>
      </c>
      <c r="G5476" s="3">
        <v>165</v>
      </c>
      <c r="H5476" s="3">
        <v>30</v>
      </c>
      <c r="I5476" s="3">
        <v>191</v>
      </c>
      <c r="J5476" s="3">
        <v>354</v>
      </c>
      <c r="K5476" s="3">
        <v>926</v>
      </c>
      <c r="L5476" s="3">
        <v>186</v>
      </c>
      <c r="M5476" s="3">
        <v>343</v>
      </c>
    </row>
    <row r="5477" spans="1:13" x14ac:dyDescent="0.25">
      <c r="A5477" s="1" t="str">
        <f>HYPERLINK("http://www.rosaceae.org/Prunus/Prunus_persica/p.persica_gdr_reftransV1_0000074","p.persica_gdr_reftransV1_0000074")</f>
        <v>p.persica_gdr_reftransV1_0000074</v>
      </c>
      <c r="B5477" s="3">
        <v>2122</v>
      </c>
      <c r="C5477" s="1" t="str">
        <f>HYPERLINK("http://www.uniprot.org/uniprot/FBL4_ARATH","FBL4_ARATH")</f>
        <v>FBL4_ARATH</v>
      </c>
      <c r="D5477" t="s">
        <v>876</v>
      </c>
      <c r="E5477" s="3" t="s">
        <v>3</v>
      </c>
      <c r="F5477" s="4">
        <v>0</v>
      </c>
      <c r="G5477" s="3">
        <v>2027</v>
      </c>
      <c r="H5477" s="3">
        <v>65</v>
      </c>
      <c r="I5477" s="3">
        <v>610</v>
      </c>
      <c r="J5477" s="3">
        <v>200</v>
      </c>
      <c r="K5477" s="3">
        <v>1933</v>
      </c>
      <c r="L5477" s="3">
        <v>1</v>
      </c>
      <c r="M5477" s="3">
        <v>610</v>
      </c>
    </row>
    <row r="5478" spans="1:13" x14ac:dyDescent="0.25">
      <c r="A5478" s="1" t="str">
        <f>HYPERLINK("http://www.rosaceae.org/Prunus/Prunus_persica/p.persica_gdr_reftransV1_0000174","p.persica_gdr_reftransV1_0000174")</f>
        <v>p.persica_gdr_reftransV1_0000174</v>
      </c>
      <c r="B5478" s="3">
        <v>354</v>
      </c>
      <c r="C5478" s="1" t="str">
        <f>HYPERLINK("http://www.uniprot.org/uniprot/RPM1_ARATH","RPM1_ARATH")</f>
        <v>RPM1_ARATH</v>
      </c>
      <c r="D5478" t="s">
        <v>453</v>
      </c>
      <c r="E5478" s="3" t="s">
        <v>3</v>
      </c>
      <c r="F5478" s="4">
        <v>4.1999999999999998E-19</v>
      </c>
      <c r="G5478" s="3">
        <v>214</v>
      </c>
      <c r="H5478" s="3">
        <v>42</v>
      </c>
      <c r="I5478" s="3">
        <v>98</v>
      </c>
      <c r="J5478" s="3">
        <v>45</v>
      </c>
      <c r="K5478" s="3">
        <v>338</v>
      </c>
      <c r="L5478" s="3">
        <v>163</v>
      </c>
      <c r="M5478" s="3">
        <v>257</v>
      </c>
    </row>
    <row r="5479" spans="1:13" x14ac:dyDescent="0.25">
      <c r="A5479" s="1" t="str">
        <f>HYPERLINK("http://www.rosaceae.org/Prunus/Prunus_persica/p.persica_gdr_reftransV1_0000274","p.persica_gdr_reftransV1_0000274")</f>
        <v>p.persica_gdr_reftransV1_0000274</v>
      </c>
      <c r="B5479" s="3">
        <v>1309</v>
      </c>
      <c r="C5479" s="1" t="str">
        <f>HYPERLINK("http://www.uniprot.org/uniprot/GAOX1_ARATH","GAOX1_ARATH")</f>
        <v>GAOX1_ARATH</v>
      </c>
      <c r="D5479" t="s">
        <v>4651</v>
      </c>
      <c r="E5479" s="3" t="s">
        <v>3</v>
      </c>
      <c r="F5479" s="4">
        <v>7.5799999999999996E-58</v>
      </c>
      <c r="G5479" s="3">
        <v>509</v>
      </c>
      <c r="H5479" s="3">
        <v>34</v>
      </c>
      <c r="I5479" s="3">
        <v>336</v>
      </c>
      <c r="J5479" s="3">
        <v>250</v>
      </c>
      <c r="K5479" s="3">
        <v>1251</v>
      </c>
      <c r="L5479" s="3">
        <v>44</v>
      </c>
      <c r="M5479" s="3">
        <v>365</v>
      </c>
    </row>
    <row r="5480" spans="1:13" x14ac:dyDescent="0.25">
      <c r="A5480" s="1" t="str">
        <f>HYPERLINK("http://www.rosaceae.org/Prunus/Prunus_persica/p.persica_gdr_reftransV1_0000524","p.persica_gdr_reftransV1_0000524")</f>
        <v>p.persica_gdr_reftransV1_0000524</v>
      </c>
      <c r="B5480" s="3">
        <v>796</v>
      </c>
      <c r="C5480" s="1" t="str">
        <f>HYPERLINK("http://www.uniprot.org/uniprot/NRAM4_ARATH","NRAM4_ARATH")</f>
        <v>NRAM4_ARATH</v>
      </c>
      <c r="D5480" t="s">
        <v>4652</v>
      </c>
      <c r="E5480" s="3" t="s">
        <v>3</v>
      </c>
      <c r="F5480" s="4">
        <v>2.1899999999999999E-17</v>
      </c>
      <c r="G5480" s="3">
        <v>209</v>
      </c>
      <c r="H5480" s="3">
        <v>87</v>
      </c>
      <c r="I5480" s="3">
        <v>45</v>
      </c>
      <c r="J5480" s="3">
        <v>353</v>
      </c>
      <c r="K5480" s="3">
        <v>487</v>
      </c>
      <c r="L5480" s="3">
        <v>176</v>
      </c>
      <c r="M5480" s="3">
        <v>220</v>
      </c>
    </row>
    <row r="5481" spans="1:13" x14ac:dyDescent="0.25">
      <c r="A5481" s="1" t="str">
        <f>HYPERLINK("http://www.rosaceae.org/Prunus/Prunus_persica/p.persica_gdr_reftransV1_0000724","p.persica_gdr_reftransV1_0000724")</f>
        <v>p.persica_gdr_reftransV1_0000724</v>
      </c>
      <c r="B5481" s="3">
        <v>867</v>
      </c>
      <c r="C5481" s="1" t="str">
        <f>HYPERLINK("http://www.uniprot.org/uniprot/ASPG2_ARATH","ASPG2_ARATH")</f>
        <v>ASPG2_ARATH</v>
      </c>
      <c r="D5481" t="s">
        <v>437</v>
      </c>
      <c r="E5481" s="3" t="s">
        <v>3</v>
      </c>
      <c r="F5481" s="4">
        <v>2.0499999999999999E-27</v>
      </c>
      <c r="G5481" s="3">
        <v>285</v>
      </c>
      <c r="H5481" s="3">
        <v>39</v>
      </c>
      <c r="I5481" s="3">
        <v>232</v>
      </c>
      <c r="J5481" s="3">
        <v>185</v>
      </c>
      <c r="K5481" s="3">
        <v>859</v>
      </c>
      <c r="L5481" s="3">
        <v>243</v>
      </c>
      <c r="M5481" s="3">
        <v>470</v>
      </c>
    </row>
    <row r="5482" spans="1:13" x14ac:dyDescent="0.25">
      <c r="A5482" s="1" t="str">
        <f>HYPERLINK("http://www.rosaceae.org/Prunus/Prunus_persica/p.persica_gdr_reftransV1_0000824","p.persica_gdr_reftransV1_0000824")</f>
        <v>p.persica_gdr_reftransV1_0000824</v>
      </c>
      <c r="B5482" s="3">
        <v>6728</v>
      </c>
      <c r="C5482" s="1" t="str">
        <f>HYPERLINK("http://www.uniprot.org/uniprot/ATPAM_NICPL","ATPAM_NICPL")</f>
        <v>ATPAM_NICPL</v>
      </c>
      <c r="D5482" t="s">
        <v>4653</v>
      </c>
      <c r="E5482" s="3" t="s">
        <v>1450</v>
      </c>
      <c r="F5482" s="4">
        <v>0</v>
      </c>
      <c r="G5482" s="3">
        <v>2578</v>
      </c>
      <c r="H5482" s="3">
        <v>98</v>
      </c>
      <c r="I5482" s="3">
        <v>506</v>
      </c>
      <c r="J5482" s="3">
        <v>3635</v>
      </c>
      <c r="K5482" s="3">
        <v>5152</v>
      </c>
      <c r="L5482" s="3">
        <v>1</v>
      </c>
      <c r="M5482" s="3">
        <v>506</v>
      </c>
    </row>
    <row r="5483" spans="1:13" x14ac:dyDescent="0.25">
      <c r="A5483" s="1" t="str">
        <f>HYPERLINK("http://www.rosaceae.org/Prunus/Prunus_persica/p.persica_gdr_reftransV1_0000874","p.persica_gdr_reftransV1_0000874")</f>
        <v>p.persica_gdr_reftransV1_0000874</v>
      </c>
      <c r="B5483" s="3">
        <v>2367</v>
      </c>
      <c r="C5483" s="1" t="str">
        <f>HYPERLINK("http://www.uniprot.org/uniprot/DIOXL_ARATH","DIOXL_ARATH")</f>
        <v>DIOXL_ARATH</v>
      </c>
      <c r="D5483" t="s">
        <v>4654</v>
      </c>
      <c r="E5483" s="3" t="s">
        <v>3</v>
      </c>
      <c r="F5483" s="4">
        <v>2.83E-114</v>
      </c>
      <c r="G5483" s="3">
        <v>908</v>
      </c>
      <c r="H5483" s="3">
        <v>65</v>
      </c>
      <c r="I5483" s="3">
        <v>260</v>
      </c>
      <c r="J5483" s="3">
        <v>1487</v>
      </c>
      <c r="K5483" s="3">
        <v>2263</v>
      </c>
      <c r="L5483" s="3">
        <v>4</v>
      </c>
      <c r="M5483" s="3">
        <v>258</v>
      </c>
    </row>
    <row r="5484" spans="1:13" x14ac:dyDescent="0.25">
      <c r="A5484" s="1" t="str">
        <f>HYPERLINK("http://www.rosaceae.org/Prunus/Prunus_persica/p.persica_gdr_reftransV1_0000924","p.persica_gdr_reftransV1_0000924")</f>
        <v>p.persica_gdr_reftransV1_0000924</v>
      </c>
      <c r="B5484" s="3">
        <v>1734</v>
      </c>
      <c r="C5484" s="1" t="str">
        <f>HYPERLINK("http://www.uniprot.org/uniprot/RGS1_ARATH","RGS1_ARATH")</f>
        <v>RGS1_ARATH</v>
      </c>
      <c r="D5484" t="s">
        <v>4655</v>
      </c>
      <c r="E5484" s="3" t="s">
        <v>3</v>
      </c>
      <c r="F5484" s="4">
        <v>2.1800000000000001E-169</v>
      </c>
      <c r="G5484" s="3">
        <v>1277</v>
      </c>
      <c r="H5484" s="3">
        <v>59</v>
      </c>
      <c r="I5484" s="3">
        <v>442</v>
      </c>
      <c r="J5484" s="3">
        <v>167</v>
      </c>
      <c r="K5484" s="3">
        <v>1492</v>
      </c>
      <c r="L5484" s="3">
        <v>58</v>
      </c>
      <c r="M5484" s="3">
        <v>448</v>
      </c>
    </row>
    <row r="5485" spans="1:13" x14ac:dyDescent="0.25">
      <c r="A5485" s="1" t="str">
        <f>HYPERLINK("http://www.rosaceae.org/Prunus/Prunus_persica/p.persica_gdr_reftransV1_0000974","p.persica_gdr_reftransV1_0000974")</f>
        <v>p.persica_gdr_reftransV1_0000974</v>
      </c>
      <c r="B5485" s="3">
        <v>1340</v>
      </c>
      <c r="C5485" s="1" t="str">
        <f>HYPERLINK("http://www.uniprot.org/uniprot/IF2G_RAT","IF2G_RAT")</f>
        <v>IF2G_RAT</v>
      </c>
      <c r="D5485" t="s">
        <v>4656</v>
      </c>
      <c r="E5485" s="3" t="s">
        <v>161</v>
      </c>
      <c r="F5485" s="4">
        <v>1.45E-176</v>
      </c>
      <c r="G5485" s="3">
        <v>1313</v>
      </c>
      <c r="H5485" s="3">
        <v>73</v>
      </c>
      <c r="I5485" s="3">
        <v>329</v>
      </c>
      <c r="J5485" s="3">
        <v>352</v>
      </c>
      <c r="K5485" s="3">
        <v>1338</v>
      </c>
      <c r="L5485" s="3">
        <v>137</v>
      </c>
      <c r="M5485" s="3">
        <v>465</v>
      </c>
    </row>
    <row r="5486" spans="1:13" x14ac:dyDescent="0.25">
      <c r="A5486" s="1" t="str">
        <f>HYPERLINK("http://www.rosaceae.org/Prunus/Prunus_persica/p.persica_gdr_reftransV1_0001024","p.persica_gdr_reftransV1_0001024")</f>
        <v>p.persica_gdr_reftransV1_0001024</v>
      </c>
      <c r="B5486" s="3">
        <v>1658</v>
      </c>
      <c r="C5486" s="1" t="str">
        <f>HYPERLINK("http://www.uniprot.org/uniprot/PME36_ARATH","PME36_ARATH")</f>
        <v>PME36_ARATH</v>
      </c>
      <c r="D5486" t="s">
        <v>4657</v>
      </c>
      <c r="E5486" s="3" t="s">
        <v>3</v>
      </c>
      <c r="F5486" s="4">
        <v>0</v>
      </c>
      <c r="G5486" s="3">
        <v>1470</v>
      </c>
      <c r="H5486" s="3">
        <v>56</v>
      </c>
      <c r="I5486" s="3">
        <v>516</v>
      </c>
      <c r="J5486" s="3">
        <v>142</v>
      </c>
      <c r="K5486" s="3">
        <v>1611</v>
      </c>
      <c r="L5486" s="3">
        <v>8</v>
      </c>
      <c r="M5486" s="3">
        <v>519</v>
      </c>
    </row>
    <row r="5487" spans="1:13" x14ac:dyDescent="0.25">
      <c r="A5487" s="1" t="str">
        <f>HYPERLINK("http://www.rosaceae.org/Prunus/Prunus_persica/p.persica_gdr_reftransV1_0001074","p.persica_gdr_reftransV1_0001074")</f>
        <v>p.persica_gdr_reftransV1_0001074</v>
      </c>
      <c r="B5487" s="3">
        <v>1799</v>
      </c>
      <c r="C5487" s="1" t="str">
        <f>HYPERLINK("http://www.uniprot.org/uniprot/NTL9_ARATH","NTL9_ARATH")</f>
        <v>NTL9_ARATH</v>
      </c>
      <c r="D5487" t="s">
        <v>3428</v>
      </c>
      <c r="E5487" s="3" t="s">
        <v>3</v>
      </c>
      <c r="F5487" s="4">
        <v>4.7300000000000003E-41</v>
      </c>
      <c r="G5487" s="3">
        <v>404</v>
      </c>
      <c r="H5487" s="3">
        <v>48</v>
      </c>
      <c r="I5487" s="3">
        <v>174</v>
      </c>
      <c r="J5487" s="3">
        <v>1098</v>
      </c>
      <c r="K5487" s="3">
        <v>1577</v>
      </c>
      <c r="L5487" s="3">
        <v>8</v>
      </c>
      <c r="M5487" s="3">
        <v>177</v>
      </c>
    </row>
    <row r="5488" spans="1:13" x14ac:dyDescent="0.25">
      <c r="A5488" s="1" t="str">
        <f>HYPERLINK("http://www.rosaceae.org/Prunus/Prunus_persica/p.persica_gdr_reftransV1_0001224","p.persica_gdr_reftransV1_0001224")</f>
        <v>p.persica_gdr_reftransV1_0001224</v>
      </c>
      <c r="B5488" s="3">
        <v>1048</v>
      </c>
      <c r="C5488" s="1" t="str">
        <f>HYPERLINK("http://www.uniprot.org/uniprot/CML4_ARATH","CML4_ARATH")</f>
        <v>CML4_ARATH</v>
      </c>
      <c r="D5488" t="s">
        <v>4658</v>
      </c>
      <c r="E5488" s="3" t="s">
        <v>3</v>
      </c>
      <c r="F5488" s="4">
        <v>3.4100000000000001E-10</v>
      </c>
      <c r="G5488" s="3">
        <v>150</v>
      </c>
      <c r="H5488" s="3">
        <v>33</v>
      </c>
      <c r="I5488" s="3">
        <v>138</v>
      </c>
      <c r="J5488" s="3">
        <v>155</v>
      </c>
      <c r="K5488" s="3">
        <v>562</v>
      </c>
      <c r="L5488" s="3">
        <v>51</v>
      </c>
      <c r="M5488" s="3">
        <v>186</v>
      </c>
    </row>
    <row r="5489" spans="1:13" x14ac:dyDescent="0.25">
      <c r="A5489" s="1" t="str">
        <f>HYPERLINK("http://www.rosaceae.org/Prunus/Prunus_persica/p.persica_gdr_reftransV1_0001274","p.persica_gdr_reftransV1_0001274")</f>
        <v>p.persica_gdr_reftransV1_0001274</v>
      </c>
      <c r="B5489" s="3">
        <v>913</v>
      </c>
      <c r="C5489" s="1" t="str">
        <f>HYPERLINK("http://www.uniprot.org/uniprot/NDUA6_ARATH","NDUA6_ARATH")</f>
        <v>NDUA6_ARATH</v>
      </c>
      <c r="D5489" t="s">
        <v>4659</v>
      </c>
      <c r="E5489" s="3" t="s">
        <v>3</v>
      </c>
      <c r="F5489" s="4">
        <v>2.15E-60</v>
      </c>
      <c r="G5489" s="3">
        <v>495</v>
      </c>
      <c r="H5489" s="3">
        <v>69</v>
      </c>
      <c r="I5489" s="3">
        <v>130</v>
      </c>
      <c r="J5489" s="3">
        <v>441</v>
      </c>
      <c r="K5489" s="3">
        <v>830</v>
      </c>
      <c r="L5489" s="3">
        <v>5</v>
      </c>
      <c r="M5489" s="3">
        <v>133</v>
      </c>
    </row>
    <row r="5490" spans="1:13" x14ac:dyDescent="0.25">
      <c r="A5490" s="1" t="str">
        <f>HYPERLINK("http://www.rosaceae.org/Prunus/Prunus_persica/p.persica_gdr_reftransV1_0001374","p.persica_gdr_reftransV1_0001374")</f>
        <v>p.persica_gdr_reftransV1_0001374</v>
      </c>
      <c r="B5490" s="3">
        <v>877</v>
      </c>
      <c r="C5490" s="1" t="str">
        <f>HYPERLINK("http://www.uniprot.org/uniprot/SLK2_ARATH","SLK2_ARATH")</f>
        <v>SLK2_ARATH</v>
      </c>
      <c r="D5490" t="s">
        <v>795</v>
      </c>
      <c r="E5490" s="3" t="s">
        <v>3</v>
      </c>
      <c r="F5490" s="4">
        <v>4.16E-38</v>
      </c>
      <c r="G5490" s="3">
        <v>372</v>
      </c>
      <c r="H5490" s="3">
        <v>62</v>
      </c>
      <c r="I5490" s="3">
        <v>98</v>
      </c>
      <c r="J5490" s="3">
        <v>582</v>
      </c>
      <c r="K5490" s="3">
        <v>875</v>
      </c>
      <c r="L5490" s="3">
        <v>288</v>
      </c>
      <c r="M5490" s="3">
        <v>385</v>
      </c>
    </row>
    <row r="5491" spans="1:13" x14ac:dyDescent="0.25">
      <c r="A5491" s="1" t="str">
        <f>HYPERLINK("http://www.rosaceae.org/Prunus/Prunus_persica/p.persica_gdr_reftransV1_0001474","p.persica_gdr_reftransV1_0001474")</f>
        <v>p.persica_gdr_reftransV1_0001474</v>
      </c>
      <c r="B5491" s="3">
        <v>2331</v>
      </c>
      <c r="C5491" s="1" t="str">
        <f>HYPERLINK("http://www.uniprot.org/uniprot/SFH3_ARATH","SFH3_ARATH")</f>
        <v>SFH3_ARATH</v>
      </c>
      <c r="D5491" t="s">
        <v>1881</v>
      </c>
      <c r="E5491" s="3" t="s">
        <v>3</v>
      </c>
      <c r="F5491" s="4">
        <v>5.9900000000000001E-179</v>
      </c>
      <c r="G5491" s="3">
        <v>1368</v>
      </c>
      <c r="H5491" s="3">
        <v>78</v>
      </c>
      <c r="I5491" s="3">
        <v>317</v>
      </c>
      <c r="J5491" s="3">
        <v>1203</v>
      </c>
      <c r="K5491" s="3">
        <v>2138</v>
      </c>
      <c r="L5491" s="3">
        <v>18</v>
      </c>
      <c r="M5491" s="3">
        <v>334</v>
      </c>
    </row>
    <row r="5492" spans="1:13" x14ac:dyDescent="0.25">
      <c r="A5492" s="1" t="str">
        <f>HYPERLINK("http://www.rosaceae.org/Prunus/Prunus_persica/p.persica_gdr_reftransV1_0001524","p.persica_gdr_reftransV1_0001524")</f>
        <v>p.persica_gdr_reftransV1_0001524</v>
      </c>
      <c r="B5492" s="3">
        <v>2755</v>
      </c>
      <c r="C5492" s="1" t="str">
        <f>HYPERLINK("http://www.uniprot.org/uniprot/CL16A_DICDI","CL16A_DICDI")</f>
        <v>CL16A_DICDI</v>
      </c>
      <c r="D5492" t="s">
        <v>4660</v>
      </c>
      <c r="E5492" s="3" t="s">
        <v>9</v>
      </c>
      <c r="F5492" s="4">
        <v>1.78E-32</v>
      </c>
      <c r="G5492" s="3">
        <v>353</v>
      </c>
      <c r="H5492" s="3">
        <v>38</v>
      </c>
      <c r="I5492" s="3">
        <v>208</v>
      </c>
      <c r="J5492" s="3">
        <v>197</v>
      </c>
      <c r="K5492" s="3">
        <v>814</v>
      </c>
      <c r="L5492" s="3">
        <v>12</v>
      </c>
      <c r="M5492" s="3">
        <v>215</v>
      </c>
    </row>
    <row r="5493" spans="1:13" x14ac:dyDescent="0.25">
      <c r="A5493" s="1" t="str">
        <f>HYPERLINK("http://www.rosaceae.org/Prunus/Prunus_persica/p.persica_gdr_reftransV1_0001624","p.persica_gdr_reftransV1_0001624")</f>
        <v>p.persica_gdr_reftransV1_0001624</v>
      </c>
      <c r="B5493" s="3">
        <v>309</v>
      </c>
      <c r="C5493" s="1" t="str">
        <f>HYPERLINK("http://www.uniprot.org/uniprot/DBR_TOBAC","DBR_TOBAC")</f>
        <v>DBR_TOBAC</v>
      </c>
      <c r="D5493" t="s">
        <v>199</v>
      </c>
      <c r="E5493" s="3" t="s">
        <v>200</v>
      </c>
      <c r="F5493" s="4">
        <v>4.2800000000000002E-35</v>
      </c>
      <c r="G5493" s="3">
        <v>320</v>
      </c>
      <c r="H5493" s="3">
        <v>62</v>
      </c>
      <c r="I5493" s="3">
        <v>101</v>
      </c>
      <c r="J5493" s="3">
        <v>5</v>
      </c>
      <c r="K5493" s="3">
        <v>307</v>
      </c>
      <c r="L5493" s="3">
        <v>40</v>
      </c>
      <c r="M5493" s="3">
        <v>137</v>
      </c>
    </row>
    <row r="5494" spans="1:13" x14ac:dyDescent="0.25">
      <c r="A5494" s="1" t="str">
        <f>HYPERLINK("http://www.rosaceae.org/Prunus/Prunus_persica/p.persica_gdr_reftransV1_0001774","p.persica_gdr_reftransV1_0001774")</f>
        <v>p.persica_gdr_reftransV1_0001774</v>
      </c>
      <c r="B5494" s="3">
        <v>387</v>
      </c>
      <c r="C5494" s="1" t="str">
        <f>HYPERLINK("http://www.uniprot.org/uniprot/MYC2_ARATH","MYC2_ARATH")</f>
        <v>MYC2_ARATH</v>
      </c>
      <c r="D5494" t="s">
        <v>2937</v>
      </c>
      <c r="E5494" s="3" t="s">
        <v>3</v>
      </c>
      <c r="F5494" s="4">
        <v>3.3299999999999999E-13</v>
      </c>
      <c r="G5494" s="3">
        <v>170</v>
      </c>
      <c r="H5494" s="3">
        <v>57</v>
      </c>
      <c r="I5494" s="3">
        <v>54</v>
      </c>
      <c r="J5494" s="3">
        <v>216</v>
      </c>
      <c r="K5494" s="3">
        <v>377</v>
      </c>
      <c r="L5494" s="3">
        <v>545</v>
      </c>
      <c r="M5494" s="3">
        <v>598</v>
      </c>
    </row>
    <row r="5495" spans="1:13" x14ac:dyDescent="0.25">
      <c r="A5495" s="1" t="str">
        <f>HYPERLINK("http://www.rosaceae.org/Prunus/Prunus_persica/p.persica_gdr_reftransV1_0001924","p.persica_gdr_reftransV1_0001924")</f>
        <v>p.persica_gdr_reftransV1_0001924</v>
      </c>
      <c r="B5495" s="3">
        <v>2034</v>
      </c>
      <c r="C5495" s="1" t="str">
        <f>HYPERLINK("http://www.uniprot.org/uniprot/PUB4_ARATH","PUB4_ARATH")</f>
        <v>PUB4_ARATH</v>
      </c>
      <c r="D5495" t="s">
        <v>1286</v>
      </c>
      <c r="E5495" s="3" t="s">
        <v>3</v>
      </c>
      <c r="F5495" s="4">
        <v>8.7700000000000005E-24</v>
      </c>
      <c r="G5495" s="3">
        <v>276</v>
      </c>
      <c r="H5495" s="3">
        <v>33</v>
      </c>
      <c r="I5495" s="3">
        <v>246</v>
      </c>
      <c r="J5495" s="3">
        <v>771</v>
      </c>
      <c r="K5495" s="3">
        <v>1505</v>
      </c>
      <c r="L5495" s="3">
        <v>538</v>
      </c>
      <c r="M5495" s="3">
        <v>773</v>
      </c>
    </row>
    <row r="5496" spans="1:13" x14ac:dyDescent="0.25">
      <c r="A5496" s="1" t="str">
        <f>HYPERLINK("http://www.rosaceae.org/Prunus/Prunus_persica/p.persica_gdr_reftransV1_0001974","p.persica_gdr_reftransV1_0001974")</f>
        <v>p.persica_gdr_reftransV1_0001974</v>
      </c>
      <c r="B5496" s="3">
        <v>391</v>
      </c>
      <c r="C5496" s="1" t="str">
        <f>HYPERLINK("http://www.uniprot.org/uniprot/RL44_GOSHI","RL44_GOSHI")</f>
        <v>RL44_GOSHI</v>
      </c>
      <c r="D5496" t="s">
        <v>1825</v>
      </c>
      <c r="E5496" s="3" t="s">
        <v>816</v>
      </c>
      <c r="F5496" s="4">
        <v>1.1000000000000001E-48</v>
      </c>
      <c r="G5496" s="3">
        <v>398</v>
      </c>
      <c r="H5496" s="3">
        <v>91</v>
      </c>
      <c r="I5496" s="3">
        <v>86</v>
      </c>
      <c r="J5496" s="3">
        <v>35</v>
      </c>
      <c r="K5496" s="3">
        <v>292</v>
      </c>
      <c r="L5496" s="3">
        <v>1</v>
      </c>
      <c r="M5496" s="3">
        <v>86</v>
      </c>
    </row>
    <row r="5497" spans="1:13" x14ac:dyDescent="0.25">
      <c r="A5497" s="1" t="str">
        <f>HYPERLINK("http://www.rosaceae.org/Prunus/Prunus_persica/p.persica_gdr_reftransV1_0002024","p.persica_gdr_reftransV1_0002024")</f>
        <v>p.persica_gdr_reftransV1_0002024</v>
      </c>
      <c r="B5497" s="3">
        <v>1944</v>
      </c>
      <c r="C5497" s="1" t="str">
        <f>HYPERLINK("http://www.uniprot.org/uniprot/OML4_ORYSJ","OML4_ORYSJ")</f>
        <v>OML4_ORYSJ</v>
      </c>
      <c r="D5497" t="s">
        <v>4661</v>
      </c>
      <c r="E5497" s="3" t="s">
        <v>38</v>
      </c>
      <c r="F5497" s="4">
        <v>0</v>
      </c>
      <c r="G5497" s="3">
        <v>1668</v>
      </c>
      <c r="H5497" s="3">
        <v>55</v>
      </c>
      <c r="I5497" s="3">
        <v>676</v>
      </c>
      <c r="J5497" s="3">
        <v>3</v>
      </c>
      <c r="K5497" s="3">
        <v>1940</v>
      </c>
      <c r="L5497" s="3">
        <v>260</v>
      </c>
      <c r="M5497" s="3">
        <v>909</v>
      </c>
    </row>
    <row r="5498" spans="1:13" x14ac:dyDescent="0.25">
      <c r="A5498" s="1" t="str">
        <f>HYPERLINK("http://www.rosaceae.org/Prunus/Prunus_persica/p.persica_gdr_reftransV1_0002124","p.persica_gdr_reftransV1_0002124")</f>
        <v>p.persica_gdr_reftransV1_0002124</v>
      </c>
      <c r="B5498" s="3">
        <v>562</v>
      </c>
      <c r="C5498" s="1" t="str">
        <f>HYPERLINK("http://www.uniprot.org/uniprot/RLM1A_ARATH","RLM1A_ARATH")</f>
        <v>RLM1A_ARATH</v>
      </c>
      <c r="D5498" t="s">
        <v>4662</v>
      </c>
      <c r="E5498" s="3" t="s">
        <v>3</v>
      </c>
      <c r="F5498" s="4">
        <v>5.2000000000000003E-21</v>
      </c>
      <c r="G5498" s="3">
        <v>235</v>
      </c>
      <c r="H5498" s="3">
        <v>32</v>
      </c>
      <c r="I5498" s="3">
        <v>192</v>
      </c>
      <c r="J5498" s="3">
        <v>4</v>
      </c>
      <c r="K5498" s="3">
        <v>561</v>
      </c>
      <c r="L5498" s="3">
        <v>148</v>
      </c>
      <c r="M5498" s="3">
        <v>333</v>
      </c>
    </row>
    <row r="5499" spans="1:13" x14ac:dyDescent="0.25">
      <c r="A5499" s="1" t="str">
        <f>HYPERLINK("http://www.rosaceae.org/Prunus/Prunus_persica/p.persica_gdr_reftransV1_0002224","p.persica_gdr_reftransV1_0002224")</f>
        <v>p.persica_gdr_reftransV1_0002224</v>
      </c>
      <c r="B5499" s="3">
        <v>1265</v>
      </c>
      <c r="C5499" s="1" t="str">
        <f>HYPERLINK("http://www.uniprot.org/uniprot/MYB3_ARATH","MYB3_ARATH")</f>
        <v>MYB3_ARATH</v>
      </c>
      <c r="D5499" t="s">
        <v>1493</v>
      </c>
      <c r="E5499" s="3" t="s">
        <v>3</v>
      </c>
      <c r="F5499" s="4">
        <v>7.02E-64</v>
      </c>
      <c r="G5499" s="3">
        <v>539</v>
      </c>
      <c r="H5499" s="3">
        <v>69</v>
      </c>
      <c r="I5499" s="3">
        <v>134</v>
      </c>
      <c r="J5499" s="3">
        <v>72</v>
      </c>
      <c r="K5499" s="3">
        <v>473</v>
      </c>
      <c r="L5499" s="3">
        <v>1</v>
      </c>
      <c r="M5499" s="3">
        <v>134</v>
      </c>
    </row>
    <row r="5500" spans="1:13" x14ac:dyDescent="0.25">
      <c r="A5500" s="1" t="str">
        <f>HYPERLINK("http://www.rosaceae.org/Prunus/Prunus_persica/p.persica_gdr_reftransV1_0002324","p.persica_gdr_reftransV1_0002324")</f>
        <v>p.persica_gdr_reftransV1_0002324</v>
      </c>
      <c r="B5500" s="3">
        <v>1296</v>
      </c>
      <c r="C5500" s="1" t="str">
        <f>HYPERLINK("http://www.uniprot.org/uniprot/CML5_ARATH","CML5_ARATH")</f>
        <v>CML5_ARATH</v>
      </c>
      <c r="D5500" t="s">
        <v>3060</v>
      </c>
      <c r="E5500" s="3" t="s">
        <v>3</v>
      </c>
      <c r="F5500" s="4">
        <v>4.67E-81</v>
      </c>
      <c r="G5500" s="3">
        <v>652</v>
      </c>
      <c r="H5500" s="3">
        <v>64</v>
      </c>
      <c r="I5500" s="3">
        <v>223</v>
      </c>
      <c r="J5500" s="3">
        <v>501</v>
      </c>
      <c r="K5500" s="3">
        <v>1154</v>
      </c>
      <c r="L5500" s="3">
        <v>3</v>
      </c>
      <c r="M5500" s="3">
        <v>213</v>
      </c>
    </row>
    <row r="5501" spans="1:13" x14ac:dyDescent="0.25">
      <c r="A5501" s="1" t="str">
        <f>HYPERLINK("http://www.rosaceae.org/Prunus/Prunus_persica/p.persica_gdr_reftransV1_0002374","p.persica_gdr_reftransV1_0002374")</f>
        <v>p.persica_gdr_reftransV1_0002374</v>
      </c>
      <c r="B5501" s="3">
        <v>884</v>
      </c>
      <c r="C5501" s="1" t="str">
        <f>HYPERLINK("http://www.uniprot.org/uniprot/NDUF3_XENTR","NDUF3_XENTR")</f>
        <v>NDUF3_XENTR</v>
      </c>
      <c r="D5501" t="s">
        <v>4663</v>
      </c>
      <c r="E5501" s="3" t="s">
        <v>173</v>
      </c>
      <c r="F5501" s="4">
        <v>1.5E-17</v>
      </c>
      <c r="G5501" s="3">
        <v>202</v>
      </c>
      <c r="H5501" s="3">
        <v>35</v>
      </c>
      <c r="I5501" s="3">
        <v>109</v>
      </c>
      <c r="J5501" s="3">
        <v>275</v>
      </c>
      <c r="K5501" s="3">
        <v>601</v>
      </c>
      <c r="L5501" s="3">
        <v>66</v>
      </c>
      <c r="M5501" s="3">
        <v>174</v>
      </c>
    </row>
    <row r="5502" spans="1:13" x14ac:dyDescent="0.25">
      <c r="A5502" s="1" t="str">
        <f>HYPERLINK("http://www.rosaceae.org/Prunus/Prunus_persica/p.persica_gdr_reftransV1_0002424","p.persica_gdr_reftransV1_0002424")</f>
        <v>p.persica_gdr_reftransV1_0002424</v>
      </c>
      <c r="B5502" s="3">
        <v>422</v>
      </c>
      <c r="C5502" s="1" t="str">
        <f>HYPERLINK("http://www.uniprot.org/uniprot/GEL4_ASPFU","GEL4_ASPFU")</f>
        <v>GEL4_ASPFU</v>
      </c>
      <c r="D5502" t="s">
        <v>4664</v>
      </c>
      <c r="E5502" s="3" t="s">
        <v>4665</v>
      </c>
      <c r="F5502" s="4">
        <v>6.4900000000000003E-29</v>
      </c>
      <c r="G5502" s="3">
        <v>285</v>
      </c>
      <c r="H5502" s="3">
        <v>48</v>
      </c>
      <c r="I5502" s="3">
        <v>129</v>
      </c>
      <c r="J5502" s="3">
        <v>4</v>
      </c>
      <c r="K5502" s="3">
        <v>387</v>
      </c>
      <c r="L5502" s="3">
        <v>340</v>
      </c>
      <c r="M5502" s="3">
        <v>466</v>
      </c>
    </row>
    <row r="5503" spans="1:13" x14ac:dyDescent="0.25">
      <c r="A5503" s="1" t="str">
        <f>HYPERLINK("http://www.rosaceae.org/Prunus/Prunus_persica/p.persica_gdr_reftransV1_0002474","p.persica_gdr_reftransV1_0002474")</f>
        <v>p.persica_gdr_reftransV1_0002474</v>
      </c>
      <c r="B5503" s="3">
        <v>1125</v>
      </c>
      <c r="C5503" s="1" t="str">
        <f>HYPERLINK("http://www.uniprot.org/uniprot/FQR1_ARATH","FQR1_ARATH")</f>
        <v>FQR1_ARATH</v>
      </c>
      <c r="D5503" t="s">
        <v>4666</v>
      </c>
      <c r="E5503" s="3" t="s">
        <v>3</v>
      </c>
      <c r="F5503" s="4">
        <v>3.0900000000000002E-113</v>
      </c>
      <c r="G5503" s="3">
        <v>860</v>
      </c>
      <c r="H5503" s="3">
        <v>86</v>
      </c>
      <c r="I5503" s="3">
        <v>201</v>
      </c>
      <c r="J5503" s="3">
        <v>331</v>
      </c>
      <c r="K5503" s="3">
        <v>933</v>
      </c>
      <c r="L5503" s="3">
        <v>1</v>
      </c>
      <c r="M5503" s="3">
        <v>201</v>
      </c>
    </row>
    <row r="5504" spans="1:13" x14ac:dyDescent="0.25">
      <c r="A5504" s="1" t="str">
        <f>HYPERLINK("http://www.rosaceae.org/Prunus/Prunus_persica/p.persica_gdr_reftransV1_0002574","p.persica_gdr_reftransV1_0002574")</f>
        <v>p.persica_gdr_reftransV1_0002574</v>
      </c>
      <c r="B5504" s="3">
        <v>741</v>
      </c>
      <c r="C5504" s="1" t="str">
        <f>HYPERLINK("http://www.uniprot.org/uniprot/ARMC7_MOUSE","ARMC7_MOUSE")</f>
        <v>ARMC7_MOUSE</v>
      </c>
      <c r="D5504" t="s">
        <v>2594</v>
      </c>
      <c r="E5504" s="3" t="s">
        <v>157</v>
      </c>
      <c r="F5504" s="4">
        <v>1.61E-42</v>
      </c>
      <c r="G5504" s="3">
        <v>376</v>
      </c>
      <c r="H5504" s="3">
        <v>46</v>
      </c>
      <c r="I5504" s="3">
        <v>169</v>
      </c>
      <c r="J5504" s="3">
        <v>130</v>
      </c>
      <c r="K5504" s="3">
        <v>630</v>
      </c>
      <c r="L5504" s="3">
        <v>13</v>
      </c>
      <c r="M5504" s="3">
        <v>178</v>
      </c>
    </row>
    <row r="5505" spans="1:13" x14ac:dyDescent="0.25">
      <c r="A5505" s="1" t="str">
        <f>HYPERLINK("http://www.rosaceae.org/Prunus/Prunus_persica/p.persica_gdr_reftransV1_0002624","p.persica_gdr_reftransV1_0002624")</f>
        <v>p.persica_gdr_reftransV1_0002624</v>
      </c>
      <c r="B5505" s="3">
        <v>1148</v>
      </c>
      <c r="C5505" s="1" t="str">
        <f>HYPERLINK("http://www.uniprot.org/uniprot/PLY8_ARATH","PLY8_ARATH")</f>
        <v>PLY8_ARATH</v>
      </c>
      <c r="D5505" t="s">
        <v>3051</v>
      </c>
      <c r="E5505" s="3" t="s">
        <v>3</v>
      </c>
      <c r="F5505" s="4">
        <v>1.64E-65</v>
      </c>
      <c r="G5505" s="3">
        <v>560</v>
      </c>
      <c r="H5505" s="3">
        <v>74</v>
      </c>
      <c r="I5505" s="3">
        <v>131</v>
      </c>
      <c r="J5505" s="3">
        <v>482</v>
      </c>
      <c r="K5505" s="3">
        <v>874</v>
      </c>
      <c r="L5505" s="3">
        <v>20</v>
      </c>
      <c r="M5505" s="3">
        <v>150</v>
      </c>
    </row>
    <row r="5506" spans="1:13" x14ac:dyDescent="0.25">
      <c r="A5506" s="1" t="str">
        <f>HYPERLINK("http://www.rosaceae.org/Prunus/Prunus_persica/p.persica_gdr_reftransV1_0002674","p.persica_gdr_reftransV1_0002674")</f>
        <v>p.persica_gdr_reftransV1_0002674</v>
      </c>
      <c r="B5506" s="3">
        <v>1305</v>
      </c>
      <c r="C5506" s="1" t="str">
        <f>HYPERLINK("http://www.uniprot.org/uniprot/TASP1_ARATH","TASP1_ARATH")</f>
        <v>TASP1_ARATH</v>
      </c>
      <c r="D5506" t="s">
        <v>639</v>
      </c>
      <c r="E5506" s="3" t="s">
        <v>3</v>
      </c>
      <c r="F5506" s="4">
        <v>8.4699999999999996E-118</v>
      </c>
      <c r="G5506" s="3">
        <v>563</v>
      </c>
      <c r="H5506" s="3">
        <v>60</v>
      </c>
      <c r="I5506" s="3">
        <v>202</v>
      </c>
      <c r="J5506" s="3">
        <v>449</v>
      </c>
      <c r="K5506" s="3">
        <v>1054</v>
      </c>
      <c r="L5506" s="3">
        <v>106</v>
      </c>
      <c r="M5506" s="3">
        <v>301</v>
      </c>
    </row>
    <row r="5507" spans="1:13" x14ac:dyDescent="0.25">
      <c r="A5507" s="1" t="str">
        <f>HYPERLINK("http://www.rosaceae.org/Prunus/Prunus_persica/p.persica_gdr_reftransV1_0002824","p.persica_gdr_reftransV1_0002824")</f>
        <v>p.persica_gdr_reftransV1_0002824</v>
      </c>
      <c r="B5507" s="3">
        <v>1065</v>
      </c>
      <c r="C5507" s="1" t="str">
        <f>HYPERLINK("http://www.uniprot.org/uniprot/ABP20_PRUPE","ABP20_PRUPE")</f>
        <v>ABP20_PRUPE</v>
      </c>
      <c r="D5507" t="s">
        <v>847</v>
      </c>
      <c r="E5507" s="3" t="s">
        <v>784</v>
      </c>
      <c r="F5507" s="4">
        <v>4.5700000000000002E-130</v>
      </c>
      <c r="G5507" s="3">
        <v>970</v>
      </c>
      <c r="H5507" s="3">
        <v>97</v>
      </c>
      <c r="I5507" s="3">
        <v>209</v>
      </c>
      <c r="J5507" s="3">
        <v>100</v>
      </c>
      <c r="K5507" s="3">
        <v>726</v>
      </c>
      <c r="L5507" s="3">
        <v>1</v>
      </c>
      <c r="M5507" s="3">
        <v>209</v>
      </c>
    </row>
    <row r="5508" spans="1:13" x14ac:dyDescent="0.25">
      <c r="A5508" s="1" t="str">
        <f>HYPERLINK("http://www.rosaceae.org/Prunus/Prunus_persica/p.persica_gdr_reftransV1_0002874","p.persica_gdr_reftransV1_0002874")</f>
        <v>p.persica_gdr_reftransV1_0002874</v>
      </c>
      <c r="B5508" s="3">
        <v>1902</v>
      </c>
      <c r="C5508" s="1" t="str">
        <f>HYPERLINK("http://www.uniprot.org/uniprot/CASL1_CANSA","CASL1_CANSA")</f>
        <v>CASL1_CANSA</v>
      </c>
      <c r="D5508" t="s">
        <v>4667</v>
      </c>
      <c r="E5508" s="3" t="s">
        <v>3291</v>
      </c>
      <c r="F5508" s="4">
        <v>2.4700000000000002E-155</v>
      </c>
      <c r="G5508" s="3">
        <v>1197</v>
      </c>
      <c r="H5508" s="3">
        <v>47</v>
      </c>
      <c r="I5508" s="3">
        <v>515</v>
      </c>
      <c r="J5508" s="3">
        <v>115</v>
      </c>
      <c r="K5508" s="3">
        <v>1626</v>
      </c>
      <c r="L5508" s="3">
        <v>31</v>
      </c>
      <c r="M5508" s="3">
        <v>542</v>
      </c>
    </row>
    <row r="5509" spans="1:13" x14ac:dyDescent="0.25">
      <c r="A5509" s="1" t="str">
        <f>HYPERLINK("http://www.rosaceae.org/Prunus/Prunus_persica/p.persica_gdr_reftransV1_0003024","p.persica_gdr_reftransV1_0003024")</f>
        <v>p.persica_gdr_reftransV1_0003024</v>
      </c>
      <c r="B5509" s="3">
        <v>1743</v>
      </c>
      <c r="C5509" s="1" t="str">
        <f>HYPERLINK("http://www.uniprot.org/uniprot/PQQL_HAEIN","PQQL_HAEIN")</f>
        <v>PQQL_HAEIN</v>
      </c>
      <c r="D5509" t="s">
        <v>4232</v>
      </c>
      <c r="E5509" s="3" t="s">
        <v>2553</v>
      </c>
      <c r="F5509" s="4">
        <v>7.1200000000000002E-10</v>
      </c>
      <c r="G5509" s="3">
        <v>159</v>
      </c>
      <c r="H5509" s="3">
        <v>23</v>
      </c>
      <c r="I5509" s="3">
        <v>358</v>
      </c>
      <c r="J5509" s="3">
        <v>731</v>
      </c>
      <c r="K5509" s="3">
        <v>1741</v>
      </c>
      <c r="L5509" s="3">
        <v>521</v>
      </c>
      <c r="M5509" s="3">
        <v>840</v>
      </c>
    </row>
    <row r="5510" spans="1:13" x14ac:dyDescent="0.25">
      <c r="A5510" s="1" t="str">
        <f>HYPERLINK("http://www.rosaceae.org/Prunus/Prunus_persica/p.persica_gdr_reftransV1_0003074","p.persica_gdr_reftransV1_0003074")</f>
        <v>p.persica_gdr_reftransV1_0003074</v>
      </c>
      <c r="B5510" s="3">
        <v>389</v>
      </c>
      <c r="C5510" s="1" t="str">
        <f>HYPERLINK("http://www.uniprot.org/uniprot/DV4H_CATRO","DV4H_CATRO")</f>
        <v>DV4H_CATRO</v>
      </c>
      <c r="D5510" t="s">
        <v>4668</v>
      </c>
      <c r="E5510" s="3" t="s">
        <v>457</v>
      </c>
      <c r="F5510" s="4">
        <v>1.4500000000000001E-57</v>
      </c>
      <c r="G5510" s="3">
        <v>480</v>
      </c>
      <c r="H5510" s="3">
        <v>63</v>
      </c>
      <c r="I5510" s="3">
        <v>127</v>
      </c>
      <c r="J5510" s="3">
        <v>9</v>
      </c>
      <c r="K5510" s="3">
        <v>389</v>
      </c>
      <c r="L5510" s="3">
        <v>170</v>
      </c>
      <c r="M5510" s="3">
        <v>296</v>
      </c>
    </row>
    <row r="5511" spans="1:13" x14ac:dyDescent="0.25">
      <c r="A5511" s="1" t="str">
        <f>HYPERLINK("http://www.rosaceae.org/Prunus/Prunus_persica/p.persica_gdr_reftransV1_0003274","p.persica_gdr_reftransV1_0003274")</f>
        <v>p.persica_gdr_reftransV1_0003274</v>
      </c>
      <c r="B5511" s="3">
        <v>1977</v>
      </c>
      <c r="C5511" s="1" t="str">
        <f>HYPERLINK("http://www.uniprot.org/uniprot/HSDD3_ARATH","HSDD3_ARATH")</f>
        <v>HSDD3_ARATH</v>
      </c>
      <c r="D5511" t="s">
        <v>4669</v>
      </c>
      <c r="E5511" s="3" t="s">
        <v>3</v>
      </c>
      <c r="F5511" s="4">
        <v>0</v>
      </c>
      <c r="G5511" s="3">
        <v>1383</v>
      </c>
      <c r="H5511" s="3">
        <v>55</v>
      </c>
      <c r="I5511" s="3">
        <v>501</v>
      </c>
      <c r="J5511" s="3">
        <v>102</v>
      </c>
      <c r="K5511" s="3">
        <v>1604</v>
      </c>
      <c r="L5511" s="3">
        <v>38</v>
      </c>
      <c r="M5511" s="3">
        <v>530</v>
      </c>
    </row>
    <row r="5512" spans="1:13" x14ac:dyDescent="0.25">
      <c r="A5512" s="1" t="str">
        <f>HYPERLINK("http://www.rosaceae.org/Prunus/Prunus_persica/p.persica_gdr_reftransV1_0003374","p.persica_gdr_reftransV1_0003374")</f>
        <v>p.persica_gdr_reftransV1_0003374</v>
      </c>
      <c r="B5512" s="3">
        <v>2777</v>
      </c>
      <c r="C5512" s="1" t="str">
        <f>HYPERLINK("http://www.uniprot.org/uniprot/ARMC8_BOVIN","ARMC8_BOVIN")</f>
        <v>ARMC8_BOVIN</v>
      </c>
      <c r="D5512" t="s">
        <v>3863</v>
      </c>
      <c r="E5512" s="3" t="s">
        <v>184</v>
      </c>
      <c r="F5512" s="4">
        <v>3.2800000000000001E-35</v>
      </c>
      <c r="G5512" s="3">
        <v>370</v>
      </c>
      <c r="H5512" s="3">
        <v>24</v>
      </c>
      <c r="I5512" s="3">
        <v>685</v>
      </c>
      <c r="J5512" s="3">
        <v>3</v>
      </c>
      <c r="K5512" s="3">
        <v>1976</v>
      </c>
      <c r="L5512" s="3">
        <v>15</v>
      </c>
      <c r="M5512" s="3">
        <v>671</v>
      </c>
    </row>
    <row r="5513" spans="1:13" x14ac:dyDescent="0.25">
      <c r="A5513" s="1" t="str">
        <f>HYPERLINK("http://www.rosaceae.org/Prunus/Prunus_persica/p.persica_gdr_reftransV1_0003424","p.persica_gdr_reftransV1_0003424")</f>
        <v>p.persica_gdr_reftransV1_0003424</v>
      </c>
      <c r="B5513" s="3">
        <v>1208</v>
      </c>
      <c r="C5513" s="1" t="str">
        <f>HYPERLINK("http://www.uniprot.org/uniprot/RN141_CHICK","RN141_CHICK")</f>
        <v>RN141_CHICK</v>
      </c>
      <c r="D5513" t="s">
        <v>4670</v>
      </c>
      <c r="E5513" s="3" t="s">
        <v>1278</v>
      </c>
      <c r="F5513" s="4">
        <v>1.08E-7</v>
      </c>
      <c r="G5513" s="3">
        <v>133</v>
      </c>
      <c r="H5513" s="3">
        <v>40</v>
      </c>
      <c r="I5513" s="3">
        <v>67</v>
      </c>
      <c r="J5513" s="3">
        <v>602</v>
      </c>
      <c r="K5513" s="3">
        <v>802</v>
      </c>
      <c r="L5513" s="3">
        <v>152</v>
      </c>
      <c r="M5513" s="3">
        <v>215</v>
      </c>
    </row>
    <row r="5514" spans="1:13" x14ac:dyDescent="0.25">
      <c r="A5514" s="1" t="str">
        <f>HYPERLINK("http://www.rosaceae.org/Prunus/Prunus_persica/p.persica_gdr_reftransV1_0003474","p.persica_gdr_reftransV1_0003474")</f>
        <v>p.persica_gdr_reftransV1_0003474</v>
      </c>
      <c r="B5514" s="3">
        <v>351</v>
      </c>
      <c r="C5514" s="1" t="str">
        <f>HYPERLINK("http://www.uniprot.org/uniprot/Y3028_ARATH","Y3028_ARATH")</f>
        <v>Y3028_ARATH</v>
      </c>
      <c r="D5514" t="s">
        <v>919</v>
      </c>
      <c r="E5514" s="3" t="s">
        <v>3</v>
      </c>
      <c r="F5514" s="4">
        <v>6.8700000000000006E-11</v>
      </c>
      <c r="G5514" s="3">
        <v>150</v>
      </c>
      <c r="H5514" s="3">
        <v>35</v>
      </c>
      <c r="I5514" s="3">
        <v>105</v>
      </c>
      <c r="J5514" s="3">
        <v>29</v>
      </c>
      <c r="K5514" s="3">
        <v>340</v>
      </c>
      <c r="L5514" s="3">
        <v>4</v>
      </c>
      <c r="M5514" s="3">
        <v>97</v>
      </c>
    </row>
    <row r="5515" spans="1:13" x14ac:dyDescent="0.25">
      <c r="A5515" s="1" t="str">
        <f>HYPERLINK("http://www.rosaceae.org/Prunus/Prunus_persica/p.persica_gdr_reftransV1_0003524","p.persica_gdr_reftransV1_0003524")</f>
        <v>p.persica_gdr_reftransV1_0003524</v>
      </c>
      <c r="B5515" s="3">
        <v>1200</v>
      </c>
      <c r="C5515" s="1" t="str">
        <f>HYPERLINK("http://www.uniprot.org/uniprot/MOB1A_ARATH","MOB1A_ARATH")</f>
        <v>MOB1A_ARATH</v>
      </c>
      <c r="D5515" t="s">
        <v>4671</v>
      </c>
      <c r="E5515" s="3" t="s">
        <v>3</v>
      </c>
      <c r="F5515" s="4">
        <v>1.5299999999999999E-147</v>
      </c>
      <c r="G5515" s="3">
        <v>1090</v>
      </c>
      <c r="H5515" s="3">
        <v>93</v>
      </c>
      <c r="I5515" s="3">
        <v>215</v>
      </c>
      <c r="J5515" s="3">
        <v>137</v>
      </c>
      <c r="K5515" s="3">
        <v>781</v>
      </c>
      <c r="L5515" s="3">
        <v>1</v>
      </c>
      <c r="M5515" s="3">
        <v>215</v>
      </c>
    </row>
    <row r="5516" spans="1:13" x14ac:dyDescent="0.25">
      <c r="A5516" s="1" t="str">
        <f>HYPERLINK("http://www.rosaceae.org/Prunus/Prunus_persica/p.persica_gdr_reftransV1_0003674","p.persica_gdr_reftransV1_0003674")</f>
        <v>p.persica_gdr_reftransV1_0003674</v>
      </c>
      <c r="B5516" s="3">
        <v>1006</v>
      </c>
      <c r="C5516" s="1" t="str">
        <f>HYPERLINK("http://www.uniprot.org/uniprot/ARF_VIGUN","ARF_VIGUN")</f>
        <v>ARF_VIGUN</v>
      </c>
      <c r="D5516" t="s">
        <v>1008</v>
      </c>
      <c r="E5516" s="3" t="s">
        <v>1009</v>
      </c>
      <c r="F5516" s="4">
        <v>5.8699999999999999E-124</v>
      </c>
      <c r="G5516" s="3">
        <v>924</v>
      </c>
      <c r="H5516" s="3">
        <v>99</v>
      </c>
      <c r="I5516" s="3">
        <v>174</v>
      </c>
      <c r="J5516" s="3">
        <v>209</v>
      </c>
      <c r="K5516" s="3">
        <v>730</v>
      </c>
      <c r="L5516" s="3">
        <v>1</v>
      </c>
      <c r="M5516" s="3">
        <v>174</v>
      </c>
    </row>
    <row r="5517" spans="1:13" x14ac:dyDescent="0.25">
      <c r="A5517" s="1" t="str">
        <f>HYPERLINK("http://www.rosaceae.org/Prunus/Prunus_persica/p.persica_gdr_reftransV1_0003724","p.persica_gdr_reftransV1_0003724")</f>
        <v>p.persica_gdr_reftransV1_0003724</v>
      </c>
      <c r="B5517" s="3">
        <v>1813</v>
      </c>
      <c r="C5517" s="1" t="str">
        <f>HYPERLINK("http://www.uniprot.org/uniprot/idD15_ARATH","idD15_ARATH")</f>
        <v>idD15_ARATH</v>
      </c>
      <c r="D5517" t="s">
        <v>2092</v>
      </c>
      <c r="E5517" s="3" t="s">
        <v>3</v>
      </c>
      <c r="F5517" s="4">
        <v>2.9299999999999998E-149</v>
      </c>
      <c r="G5517" s="3">
        <v>1145</v>
      </c>
      <c r="H5517" s="3">
        <v>56</v>
      </c>
      <c r="I5517" s="3">
        <v>453</v>
      </c>
      <c r="J5517" s="3">
        <v>235</v>
      </c>
      <c r="K5517" s="3">
        <v>1554</v>
      </c>
      <c r="L5517" s="3">
        <v>32</v>
      </c>
      <c r="M5517" s="3">
        <v>440</v>
      </c>
    </row>
    <row r="5518" spans="1:13" x14ac:dyDescent="0.25">
      <c r="A5518" s="1" t="str">
        <f>HYPERLINK("http://www.rosaceae.org/Prunus/Prunus_persica/p.persica_gdr_reftransV1_0003874","p.persica_gdr_reftransV1_0003874")</f>
        <v>p.persica_gdr_reftransV1_0003874</v>
      </c>
      <c r="B5518" s="3">
        <v>897</v>
      </c>
      <c r="C5518" s="1" t="str">
        <f>HYPERLINK("http://www.uniprot.org/uniprot/RING1_GOSHI","RING1_GOSHI")</f>
        <v>RING1_GOSHI</v>
      </c>
      <c r="D5518" t="s">
        <v>2201</v>
      </c>
      <c r="E5518" s="3" t="s">
        <v>816</v>
      </c>
      <c r="F5518" s="4">
        <v>5.2799999999999996E-18</v>
      </c>
      <c r="G5518" s="3">
        <v>211</v>
      </c>
      <c r="H5518" s="3">
        <v>51</v>
      </c>
      <c r="I5518" s="3">
        <v>72</v>
      </c>
      <c r="J5518" s="3">
        <v>686</v>
      </c>
      <c r="K5518" s="3">
        <v>880</v>
      </c>
      <c r="L5518" s="3">
        <v>222</v>
      </c>
      <c r="M5518" s="3">
        <v>293</v>
      </c>
    </row>
    <row r="5519" spans="1:13" x14ac:dyDescent="0.25">
      <c r="A5519" s="1" t="str">
        <f>HYPERLINK("http://www.rosaceae.org/Prunus/Prunus_persica/p.persica_gdr_reftransV1_0003974","p.persica_gdr_reftransV1_0003974")</f>
        <v>p.persica_gdr_reftransV1_0003974</v>
      </c>
      <c r="B5519" s="3">
        <v>2847</v>
      </c>
      <c r="C5519" s="1" t="str">
        <f>HYPERLINK("http://www.uniprot.org/uniprot/ITIH4_MOUSE","ITIH4_MOUSE")</f>
        <v>ITIH4_MOUSE</v>
      </c>
      <c r="D5519" t="s">
        <v>4672</v>
      </c>
      <c r="E5519" s="3" t="s">
        <v>157</v>
      </c>
      <c r="F5519" s="4">
        <v>4.7399999999999997E-15</v>
      </c>
      <c r="G5519" s="3">
        <v>206</v>
      </c>
      <c r="H5519" s="3">
        <v>28</v>
      </c>
      <c r="I5519" s="3">
        <v>316</v>
      </c>
      <c r="J5519" s="3">
        <v>835</v>
      </c>
      <c r="K5519" s="3">
        <v>1734</v>
      </c>
      <c r="L5519" s="3">
        <v>259</v>
      </c>
      <c r="M5519" s="3">
        <v>562</v>
      </c>
    </row>
    <row r="5520" spans="1:13" x14ac:dyDescent="0.25">
      <c r="A5520" s="1" t="str">
        <f>HYPERLINK("http://www.rosaceae.org/Prunus/Prunus_persica/p.persica_gdr_reftransV1_0004024","p.persica_gdr_reftransV1_0004024")</f>
        <v>p.persica_gdr_reftransV1_0004024</v>
      </c>
      <c r="B5520" s="3">
        <v>2232</v>
      </c>
      <c r="C5520" s="1" t="str">
        <f>HYPERLINK("http://www.uniprot.org/uniprot/KNAP3_MALDO","KNAP3_MALDO")</f>
        <v>KNAP3_MALDO</v>
      </c>
      <c r="D5520" t="s">
        <v>4673</v>
      </c>
      <c r="E5520" s="3" t="s">
        <v>540</v>
      </c>
      <c r="F5520" s="4">
        <v>0</v>
      </c>
      <c r="G5520" s="3">
        <v>1647</v>
      </c>
      <c r="H5520" s="3">
        <v>88</v>
      </c>
      <c r="I5520" s="3">
        <v>430</v>
      </c>
      <c r="J5520" s="3">
        <v>659</v>
      </c>
      <c r="K5520" s="3">
        <v>1948</v>
      </c>
      <c r="L5520" s="3">
        <v>1</v>
      </c>
      <c r="M5520" s="3">
        <v>421</v>
      </c>
    </row>
    <row r="5521" spans="1:13" x14ac:dyDescent="0.25">
      <c r="A5521" s="1" t="str">
        <f>HYPERLINK("http://www.rosaceae.org/Prunus/Prunus_persica/p.persica_gdr_reftransV1_0004124","p.persica_gdr_reftransV1_0004124")</f>
        <v>p.persica_gdr_reftransV1_0004124</v>
      </c>
      <c r="B5521" s="3">
        <v>640</v>
      </c>
      <c r="C5521" s="1" t="str">
        <f>HYPERLINK("http://www.uniprot.org/uniprot/SPHK2_ARATH","SPHK2_ARATH")</f>
        <v>SPHK2_ARATH</v>
      </c>
      <c r="D5521" t="s">
        <v>4674</v>
      </c>
      <c r="E5521" s="3" t="s">
        <v>3</v>
      </c>
      <c r="F5521" s="4">
        <v>4.9299999999999998E-25</v>
      </c>
      <c r="G5521" s="3">
        <v>262</v>
      </c>
      <c r="H5521" s="3">
        <v>77</v>
      </c>
      <c r="I5521" s="3">
        <v>64</v>
      </c>
      <c r="J5521" s="3">
        <v>137</v>
      </c>
      <c r="K5521" s="3">
        <v>328</v>
      </c>
      <c r="L5521" s="3">
        <v>416</v>
      </c>
      <c r="M5521" s="3">
        <v>479</v>
      </c>
    </row>
    <row r="5522" spans="1:13" x14ac:dyDescent="0.25">
      <c r="A5522" s="1" t="str">
        <f>HYPERLINK("http://www.rosaceae.org/Prunus/Prunus_persica/p.persica_gdr_reftransV1_0004224","p.persica_gdr_reftransV1_0004224")</f>
        <v>p.persica_gdr_reftransV1_0004224</v>
      </c>
      <c r="B5522" s="3">
        <v>2752</v>
      </c>
      <c r="C5522" s="1" t="str">
        <f>HYPERLINK("http://www.uniprot.org/uniprot/ALY3_ARATH","ALY3_ARATH")</f>
        <v>ALY3_ARATH</v>
      </c>
      <c r="D5522" t="s">
        <v>4549</v>
      </c>
      <c r="E5522" s="3" t="s">
        <v>3</v>
      </c>
      <c r="F5522" s="4">
        <v>1.9100000000000001E-170</v>
      </c>
      <c r="G5522" s="3">
        <v>1021</v>
      </c>
      <c r="H5522" s="3">
        <v>44</v>
      </c>
      <c r="I5522" s="3">
        <v>605</v>
      </c>
      <c r="J5522" s="3">
        <v>829</v>
      </c>
      <c r="K5522" s="3">
        <v>2589</v>
      </c>
      <c r="L5522" s="3">
        <v>1</v>
      </c>
      <c r="M5522" s="3">
        <v>587</v>
      </c>
    </row>
    <row r="5523" spans="1:13" x14ac:dyDescent="0.25">
      <c r="A5523" s="1" t="str">
        <f>HYPERLINK("http://www.rosaceae.org/Prunus/Prunus_persica/p.persica_gdr_reftransV1_0004274","p.persica_gdr_reftransV1_0004274")</f>
        <v>p.persica_gdr_reftransV1_0004274</v>
      </c>
      <c r="B5523" s="3">
        <v>301</v>
      </c>
      <c r="C5523" s="1" t="str">
        <f>HYPERLINK("http://www.uniprot.org/uniprot/PCKA_CUCSA","PCKA_CUCSA")</f>
        <v>PCKA_CUCSA</v>
      </c>
      <c r="D5523" t="s">
        <v>4675</v>
      </c>
      <c r="E5523" s="3" t="s">
        <v>1149</v>
      </c>
      <c r="F5523" s="4">
        <v>5.0100000000000002E-61</v>
      </c>
      <c r="G5523" s="3">
        <v>514</v>
      </c>
      <c r="H5523" s="3">
        <v>90</v>
      </c>
      <c r="I5523" s="3">
        <v>100</v>
      </c>
      <c r="J5523" s="3">
        <v>2</v>
      </c>
      <c r="K5523" s="3">
        <v>301</v>
      </c>
      <c r="L5523" s="3">
        <v>395</v>
      </c>
      <c r="M5523" s="3">
        <v>494</v>
      </c>
    </row>
    <row r="5524" spans="1:13" x14ac:dyDescent="0.25">
      <c r="A5524" s="1" t="str">
        <f>HYPERLINK("http://www.rosaceae.org/Prunus/Prunus_persica/p.persica_gdr_reftransV1_0004324","p.persica_gdr_reftransV1_0004324")</f>
        <v>p.persica_gdr_reftransV1_0004324</v>
      </c>
      <c r="B5524" s="3">
        <v>316</v>
      </c>
      <c r="C5524" s="1" t="str">
        <f>HYPERLINK("http://www.uniprot.org/uniprot/PSKR1_ARATH","PSKR1_ARATH")</f>
        <v>PSKR1_ARATH</v>
      </c>
      <c r="D5524" t="s">
        <v>4676</v>
      </c>
      <c r="E5524" s="3" t="s">
        <v>3</v>
      </c>
      <c r="F5524" s="4">
        <v>1.5799999999999999E-33</v>
      </c>
      <c r="G5524" s="3">
        <v>320</v>
      </c>
      <c r="H5524" s="3">
        <v>61</v>
      </c>
      <c r="I5524" s="3">
        <v>104</v>
      </c>
      <c r="J5524" s="3">
        <v>1</v>
      </c>
      <c r="K5524" s="3">
        <v>312</v>
      </c>
      <c r="L5524" s="3">
        <v>157</v>
      </c>
      <c r="M5524" s="3">
        <v>260</v>
      </c>
    </row>
    <row r="5525" spans="1:13" x14ac:dyDescent="0.25">
      <c r="A5525" s="1" t="str">
        <f>HYPERLINK("http://www.rosaceae.org/Prunus/Prunus_persica/p.persica_gdr_reftransV1_0004374","p.persica_gdr_reftransV1_0004374")</f>
        <v>p.persica_gdr_reftransV1_0004374</v>
      </c>
      <c r="B5525" s="3">
        <v>1107</v>
      </c>
      <c r="C5525" s="1" t="str">
        <f>HYPERLINK("http://www.uniprot.org/uniprot/BSPA_POPDE","BSPA_POPDE")</f>
        <v>BSPA_POPDE</v>
      </c>
      <c r="D5525" t="s">
        <v>1293</v>
      </c>
      <c r="E5525" s="3" t="s">
        <v>1294</v>
      </c>
      <c r="F5525" s="4">
        <v>3.2699999999999999E-15</v>
      </c>
      <c r="G5525" s="3">
        <v>193</v>
      </c>
      <c r="H5525" s="3">
        <v>34</v>
      </c>
      <c r="I5525" s="3">
        <v>117</v>
      </c>
      <c r="J5525" s="3">
        <v>354</v>
      </c>
      <c r="K5525" s="3">
        <v>701</v>
      </c>
      <c r="L5525" s="3">
        <v>29</v>
      </c>
      <c r="M5525" s="3">
        <v>145</v>
      </c>
    </row>
    <row r="5526" spans="1:13" x14ac:dyDescent="0.25">
      <c r="A5526" s="1" t="str">
        <f>HYPERLINK("http://www.rosaceae.org/Prunus/Prunus_persica/p.persica_gdr_reftransV1_0004474","p.persica_gdr_reftransV1_0004474")</f>
        <v>p.persica_gdr_reftransV1_0004474</v>
      </c>
      <c r="B5526" s="3">
        <v>470</v>
      </c>
      <c r="C5526" s="1" t="str">
        <f>HYPERLINK("http://www.uniprot.org/uniprot/PMTG_ARATH","PMTG_ARATH")</f>
        <v>PMTG_ARATH</v>
      </c>
      <c r="D5526" t="s">
        <v>4677</v>
      </c>
      <c r="E5526" s="3" t="s">
        <v>3</v>
      </c>
      <c r="F5526" s="4">
        <v>5.7299999999999998E-68</v>
      </c>
      <c r="G5526" s="3">
        <v>568</v>
      </c>
      <c r="H5526" s="3">
        <v>76</v>
      </c>
      <c r="I5526" s="3">
        <v>156</v>
      </c>
      <c r="J5526" s="3">
        <v>2</v>
      </c>
      <c r="K5526" s="3">
        <v>469</v>
      </c>
      <c r="L5526" s="3">
        <v>416</v>
      </c>
      <c r="M5526" s="3">
        <v>571</v>
      </c>
    </row>
    <row r="5527" spans="1:13" x14ac:dyDescent="0.25">
      <c r="A5527" s="1" t="str">
        <f>HYPERLINK("http://www.rosaceae.org/Prunus/Prunus_persica/p.persica_gdr_reftransV1_0004524","p.persica_gdr_reftransV1_0004524")</f>
        <v>p.persica_gdr_reftransV1_0004524</v>
      </c>
      <c r="B5527" s="3">
        <v>2797</v>
      </c>
      <c r="C5527" s="1" t="str">
        <f>HYPERLINK("http://www.uniprot.org/uniprot/DYRK3_RAT","DYRK3_RAT")</f>
        <v>DYRK3_RAT</v>
      </c>
      <c r="D5527" t="s">
        <v>4678</v>
      </c>
      <c r="E5527" s="3" t="s">
        <v>161</v>
      </c>
      <c r="F5527" s="4">
        <v>2.7999999999999999E-33</v>
      </c>
      <c r="G5527" s="3">
        <v>352</v>
      </c>
      <c r="H5527" s="3">
        <v>42</v>
      </c>
      <c r="I5527" s="3">
        <v>194</v>
      </c>
      <c r="J5527" s="3">
        <v>534</v>
      </c>
      <c r="K5527" s="3">
        <v>1067</v>
      </c>
      <c r="L5527" s="3">
        <v>330</v>
      </c>
      <c r="M5527" s="3">
        <v>522</v>
      </c>
    </row>
    <row r="5528" spans="1:13" x14ac:dyDescent="0.25">
      <c r="A5528" s="1" t="str">
        <f>HYPERLINK("http://www.rosaceae.org/Prunus/Prunus_persica/p.persica_gdr_reftransV1_0004674","p.persica_gdr_reftransV1_0004674")</f>
        <v>p.persica_gdr_reftransV1_0004674</v>
      </c>
      <c r="B5528" s="3">
        <v>1026</v>
      </c>
      <c r="C5528" s="1" t="str">
        <f>HYPERLINK("http://www.uniprot.org/uniprot/PP231_ARATH","PP231_ARATH")</f>
        <v>PP231_ARATH</v>
      </c>
      <c r="D5528" t="s">
        <v>4679</v>
      </c>
      <c r="E5528" s="3" t="s">
        <v>3</v>
      </c>
      <c r="F5528" s="4">
        <v>2.5199999999999999E-118</v>
      </c>
      <c r="G5528" s="3">
        <v>931</v>
      </c>
      <c r="H5528" s="3">
        <v>53</v>
      </c>
      <c r="I5528" s="3">
        <v>346</v>
      </c>
      <c r="J5528" s="3">
        <v>1</v>
      </c>
      <c r="K5528" s="3">
        <v>1020</v>
      </c>
      <c r="L5528" s="3">
        <v>59</v>
      </c>
      <c r="M5528" s="3">
        <v>402</v>
      </c>
    </row>
    <row r="5529" spans="1:13" x14ac:dyDescent="0.25">
      <c r="A5529" s="1" t="str">
        <f>HYPERLINK("http://www.rosaceae.org/Prunus/Prunus_persica/p.persica_gdr_reftransV1_0004774","p.persica_gdr_reftransV1_0004774")</f>
        <v>p.persica_gdr_reftransV1_0004774</v>
      </c>
      <c r="B5529" s="3">
        <v>1372</v>
      </c>
      <c r="C5529" s="1" t="str">
        <f>HYPERLINK("http://www.uniprot.org/uniprot/Y4539_ARATH","Y4539_ARATH")</f>
        <v>Y4539_ARATH</v>
      </c>
      <c r="D5529" t="s">
        <v>4680</v>
      </c>
      <c r="E5529" s="3" t="s">
        <v>3</v>
      </c>
      <c r="F5529" s="4">
        <v>4.1000000000000003E-105</v>
      </c>
      <c r="G5529" s="3">
        <v>853</v>
      </c>
      <c r="H5529" s="3">
        <v>57</v>
      </c>
      <c r="I5529" s="3">
        <v>335</v>
      </c>
      <c r="J5529" s="3">
        <v>338</v>
      </c>
      <c r="K5529" s="3">
        <v>1276</v>
      </c>
      <c r="L5529" s="3">
        <v>58</v>
      </c>
      <c r="M5529" s="3">
        <v>375</v>
      </c>
    </row>
    <row r="5530" spans="1:13" x14ac:dyDescent="0.25">
      <c r="A5530" s="1" t="str">
        <f>HYPERLINK("http://www.rosaceae.org/Prunus/Prunus_persica/p.persica_gdr_reftransV1_0004924","p.persica_gdr_reftransV1_0004924")</f>
        <v>p.persica_gdr_reftransV1_0004924</v>
      </c>
      <c r="B5530" s="3">
        <v>1751</v>
      </c>
      <c r="C5530" s="1" t="str">
        <f>HYPERLINK("http://www.uniprot.org/uniprot/ACINU_HUMAN","ACINU_HUMAN")</f>
        <v>ACINU_HUMAN</v>
      </c>
      <c r="D5530" t="s">
        <v>4681</v>
      </c>
      <c r="E5530" s="3" t="s">
        <v>28</v>
      </c>
      <c r="F5530" s="4">
        <v>3.5300000000000002E-17</v>
      </c>
      <c r="G5530" s="3">
        <v>220</v>
      </c>
      <c r="H5530" s="3">
        <v>39</v>
      </c>
      <c r="I5530" s="3">
        <v>114</v>
      </c>
      <c r="J5530" s="3">
        <v>761</v>
      </c>
      <c r="K5530" s="3">
        <v>1084</v>
      </c>
      <c r="L5530" s="3">
        <v>979</v>
      </c>
      <c r="M5530" s="3">
        <v>1092</v>
      </c>
    </row>
    <row r="5531" spans="1:13" x14ac:dyDescent="0.25">
      <c r="A5531" s="1" t="str">
        <f>HYPERLINK("http://www.rosaceae.org/Prunus/Prunus_persica/p.persica_gdr_reftransV1_0004974","p.persica_gdr_reftransV1_0004974")</f>
        <v>p.persica_gdr_reftransV1_0004974</v>
      </c>
      <c r="B5531" s="3">
        <v>2009</v>
      </c>
      <c r="C5531" s="1" t="str">
        <f>HYPERLINK("http://www.uniprot.org/uniprot/OBGC_ARATH","OBGC_ARATH")</f>
        <v>OBGC_ARATH</v>
      </c>
      <c r="D5531" t="s">
        <v>4682</v>
      </c>
      <c r="E5531" s="3" t="s">
        <v>3</v>
      </c>
      <c r="F5531" s="4">
        <v>0</v>
      </c>
      <c r="G5531" s="3">
        <v>1754</v>
      </c>
      <c r="H5531" s="3">
        <v>69</v>
      </c>
      <c r="I5531" s="3">
        <v>555</v>
      </c>
      <c r="J5531" s="3">
        <v>110</v>
      </c>
      <c r="K5531" s="3">
        <v>1723</v>
      </c>
      <c r="L5531" s="3">
        <v>130</v>
      </c>
      <c r="M5531" s="3">
        <v>681</v>
      </c>
    </row>
    <row r="5532" spans="1:13" x14ac:dyDescent="0.25">
      <c r="A5532" s="1" t="str">
        <f>HYPERLINK("http://www.rosaceae.org/Prunus/Prunus_persica/p.persica_gdr_reftransV1_0005024","p.persica_gdr_reftransV1_0005024")</f>
        <v>p.persica_gdr_reftransV1_0005024</v>
      </c>
      <c r="B5532" s="3">
        <v>674</v>
      </c>
      <c r="C5532" s="1" t="str">
        <f>HYPERLINK("http://www.uniprot.org/uniprot/ASND1_BOVIN","ASND1_BOVIN")</f>
        <v>ASND1_BOVIN</v>
      </c>
      <c r="D5532" t="s">
        <v>4683</v>
      </c>
      <c r="E5532" s="3" t="s">
        <v>184</v>
      </c>
      <c r="F5532" s="4">
        <v>3.6300000000000001E-26</v>
      </c>
      <c r="G5532" s="3">
        <v>275</v>
      </c>
      <c r="H5532" s="3">
        <v>46</v>
      </c>
      <c r="I5532" s="3">
        <v>143</v>
      </c>
      <c r="J5532" s="3">
        <v>6</v>
      </c>
      <c r="K5532" s="3">
        <v>431</v>
      </c>
      <c r="L5532" s="3">
        <v>490</v>
      </c>
      <c r="M5532" s="3">
        <v>624</v>
      </c>
    </row>
    <row r="5533" spans="1:13" x14ac:dyDescent="0.25">
      <c r="A5533" s="1" t="str">
        <f>HYPERLINK("http://www.rosaceae.org/Prunus/Prunus_persica/p.persica_gdr_reftransV1_0005124","p.persica_gdr_reftransV1_0005124")</f>
        <v>p.persica_gdr_reftransV1_0005124</v>
      </c>
      <c r="B5533" s="3">
        <v>1528</v>
      </c>
      <c r="C5533" s="1" t="str">
        <f>HYPERLINK("http://www.uniprot.org/uniprot/ALKB8_MOUSE","ALKB8_MOUSE")</f>
        <v>ALKB8_MOUSE</v>
      </c>
      <c r="D5533" t="s">
        <v>4684</v>
      </c>
      <c r="E5533" s="3" t="s">
        <v>157</v>
      </c>
      <c r="F5533" s="4">
        <v>3.92E-60</v>
      </c>
      <c r="G5533" s="3">
        <v>547</v>
      </c>
      <c r="H5533" s="3">
        <v>40</v>
      </c>
      <c r="I5533" s="3">
        <v>306</v>
      </c>
      <c r="J5533" s="3">
        <v>302</v>
      </c>
      <c r="K5533" s="3">
        <v>1213</v>
      </c>
      <c r="L5533" s="3">
        <v>369</v>
      </c>
      <c r="M5533" s="3">
        <v>662</v>
      </c>
    </row>
    <row r="5534" spans="1:13" x14ac:dyDescent="0.25">
      <c r="A5534" s="1" t="str">
        <f>HYPERLINK("http://www.rosaceae.org/Prunus/Prunus_persica/p.persica_gdr_reftransV1_0005274","p.persica_gdr_reftransV1_0005274")</f>
        <v>p.persica_gdr_reftransV1_0005274</v>
      </c>
      <c r="B5534" s="3">
        <v>752</v>
      </c>
      <c r="C5534" s="1" t="str">
        <f>HYPERLINK("http://www.uniprot.org/uniprot/Y1561_ARATH","Y1561_ARATH")</f>
        <v>Y1561_ARATH</v>
      </c>
      <c r="D5534" t="s">
        <v>1387</v>
      </c>
      <c r="E5534" s="3" t="s">
        <v>3</v>
      </c>
      <c r="F5534" s="4">
        <v>6.6199999999999997E-105</v>
      </c>
      <c r="G5534" s="3">
        <v>853</v>
      </c>
      <c r="H5534" s="3">
        <v>68</v>
      </c>
      <c r="I5534" s="3">
        <v>252</v>
      </c>
      <c r="J5534" s="3">
        <v>3</v>
      </c>
      <c r="K5534" s="3">
        <v>749</v>
      </c>
      <c r="L5534" s="3">
        <v>484</v>
      </c>
      <c r="M5534" s="3">
        <v>735</v>
      </c>
    </row>
    <row r="5535" spans="1:13" x14ac:dyDescent="0.25">
      <c r="A5535" s="1" t="str">
        <f>HYPERLINK("http://www.rosaceae.org/Prunus/Prunus_persica/p.persica_gdr_reftransV1_0005474","p.persica_gdr_reftransV1_0005474")</f>
        <v>p.persica_gdr_reftransV1_0005474</v>
      </c>
      <c r="B5535" s="3">
        <v>1648</v>
      </c>
      <c r="C5535" s="1" t="str">
        <f>HYPERLINK("http://www.uniprot.org/uniprot/USPAL_ARATH","USPAL_ARATH")</f>
        <v>USPAL_ARATH</v>
      </c>
      <c r="D5535" t="s">
        <v>430</v>
      </c>
      <c r="E5535" s="3" t="s">
        <v>3</v>
      </c>
      <c r="F5535" s="4">
        <v>5.4100000000000001E-9</v>
      </c>
      <c r="G5535" s="3">
        <v>143</v>
      </c>
      <c r="H5535" s="3">
        <v>32</v>
      </c>
      <c r="I5535" s="3">
        <v>100</v>
      </c>
      <c r="J5535" s="3">
        <v>551</v>
      </c>
      <c r="K5535" s="3">
        <v>850</v>
      </c>
      <c r="L5535" s="3">
        <v>61</v>
      </c>
      <c r="M5535" s="3">
        <v>159</v>
      </c>
    </row>
    <row r="5536" spans="1:13" x14ac:dyDescent="0.25">
      <c r="A5536" s="1" t="str">
        <f>HYPERLINK("http://www.rosaceae.org/Prunus/Prunus_persica/p.persica_gdr_reftransV1_0005524","p.persica_gdr_reftransV1_0005524")</f>
        <v>p.persica_gdr_reftransV1_0005524</v>
      </c>
      <c r="B5536" s="3">
        <v>2148</v>
      </c>
      <c r="C5536" s="1" t="str">
        <f>HYPERLINK("http://www.uniprot.org/uniprot/Y2168_ARATH","Y2168_ARATH")</f>
        <v>Y2168_ARATH</v>
      </c>
      <c r="D5536" t="s">
        <v>1132</v>
      </c>
      <c r="E5536" s="3" t="s">
        <v>3</v>
      </c>
      <c r="F5536" s="4">
        <v>0</v>
      </c>
      <c r="G5536" s="3">
        <v>1925</v>
      </c>
      <c r="H5536" s="3">
        <v>69</v>
      </c>
      <c r="I5536" s="3">
        <v>537</v>
      </c>
      <c r="J5536" s="3">
        <v>308</v>
      </c>
      <c r="K5536" s="3">
        <v>1906</v>
      </c>
      <c r="L5536" s="3">
        <v>1</v>
      </c>
      <c r="M5536" s="3">
        <v>532</v>
      </c>
    </row>
    <row r="5537" spans="1:13" x14ac:dyDescent="0.25">
      <c r="A5537" s="1" t="str">
        <f>HYPERLINK("http://www.rosaceae.org/Prunus/Prunus_persica/p.persica_gdr_reftransV1_0005574","p.persica_gdr_reftransV1_0005574")</f>
        <v>p.persica_gdr_reftransV1_0005574</v>
      </c>
      <c r="B5537" s="3">
        <v>1516</v>
      </c>
      <c r="C5537" s="1" t="str">
        <f>HYPERLINK("http://www.uniprot.org/uniprot/FRO4_ARATH","FRO4_ARATH")</f>
        <v>FRO4_ARATH</v>
      </c>
      <c r="D5537" t="s">
        <v>4685</v>
      </c>
      <c r="E5537" s="3" t="s">
        <v>3</v>
      </c>
      <c r="F5537" s="4">
        <v>8.1700000000000002E-177</v>
      </c>
      <c r="G5537" s="3">
        <v>1342</v>
      </c>
      <c r="H5537" s="3">
        <v>59</v>
      </c>
      <c r="I5537" s="3">
        <v>478</v>
      </c>
      <c r="J5537" s="3">
        <v>103</v>
      </c>
      <c r="K5537" s="3">
        <v>1488</v>
      </c>
      <c r="L5537" s="3">
        <v>226</v>
      </c>
      <c r="M5537" s="3">
        <v>699</v>
      </c>
    </row>
    <row r="5538" spans="1:13" x14ac:dyDescent="0.25">
      <c r="A5538" s="1" t="str">
        <f>HYPERLINK("http://www.rosaceae.org/Prunus/Prunus_persica/p.persica_gdr_reftransV1_0005674","p.persica_gdr_reftransV1_0005674")</f>
        <v>p.persica_gdr_reftransV1_0005674</v>
      </c>
      <c r="B5538" s="3">
        <v>753</v>
      </c>
      <c r="C5538" s="1" t="str">
        <f>HYPERLINK("http://www.uniprot.org/uniprot/Y3720_ARATH","Y3720_ARATH")</f>
        <v>Y3720_ARATH</v>
      </c>
      <c r="D5538" t="s">
        <v>104</v>
      </c>
      <c r="E5538" s="3" t="s">
        <v>3</v>
      </c>
      <c r="F5538" s="4">
        <v>1.4900000000000001E-19</v>
      </c>
      <c r="G5538" s="3">
        <v>225</v>
      </c>
      <c r="H5538" s="3">
        <v>31</v>
      </c>
      <c r="I5538" s="3">
        <v>186</v>
      </c>
      <c r="J5538" s="3">
        <v>70</v>
      </c>
      <c r="K5538" s="3">
        <v>558</v>
      </c>
      <c r="L5538" s="3">
        <v>45</v>
      </c>
      <c r="M5538" s="3">
        <v>219</v>
      </c>
    </row>
    <row r="5539" spans="1:13" x14ac:dyDescent="0.25">
      <c r="A5539" s="1" t="str">
        <f>HYPERLINK("http://www.rosaceae.org/Prunus/Prunus_persica/p.persica_gdr_reftransV1_0005824","p.persica_gdr_reftransV1_0005824")</f>
        <v>p.persica_gdr_reftransV1_0005824</v>
      </c>
      <c r="B5539" s="3">
        <v>467</v>
      </c>
      <c r="C5539" s="1" t="str">
        <f>HYPERLINK("http://www.uniprot.org/uniprot/Y1670_ARATH","Y1670_ARATH")</f>
        <v>Y1670_ARATH</v>
      </c>
      <c r="D5539" t="s">
        <v>3135</v>
      </c>
      <c r="E5539" s="3" t="s">
        <v>3</v>
      </c>
      <c r="F5539" s="4">
        <v>2.3400000000000001E-52</v>
      </c>
      <c r="G5539" s="3">
        <v>463</v>
      </c>
      <c r="H5539" s="3">
        <v>57</v>
      </c>
      <c r="I5539" s="3">
        <v>150</v>
      </c>
      <c r="J5539" s="3">
        <v>8</v>
      </c>
      <c r="K5539" s="3">
        <v>457</v>
      </c>
      <c r="L5539" s="3">
        <v>609</v>
      </c>
      <c r="M5539" s="3">
        <v>757</v>
      </c>
    </row>
    <row r="5540" spans="1:13" x14ac:dyDescent="0.25">
      <c r="A5540" s="1" t="str">
        <f>HYPERLINK("http://www.rosaceae.org/Prunus/Prunus_persica/p.persica_gdr_reftransV1_0005874","p.persica_gdr_reftransV1_0005874")</f>
        <v>p.persica_gdr_reftransV1_0005874</v>
      </c>
      <c r="B5540" s="3">
        <v>1257</v>
      </c>
      <c r="C5540" s="1" t="str">
        <f>HYPERLINK("http://www.uniprot.org/uniprot/FAMA_ARATH","FAMA_ARATH")</f>
        <v>FAMA_ARATH</v>
      </c>
      <c r="D5540" t="s">
        <v>4686</v>
      </c>
      <c r="E5540" s="3" t="s">
        <v>3</v>
      </c>
      <c r="F5540" s="4">
        <v>1.12E-98</v>
      </c>
      <c r="G5540" s="3">
        <v>787</v>
      </c>
      <c r="H5540" s="3">
        <v>60</v>
      </c>
      <c r="I5540" s="3">
        <v>328</v>
      </c>
      <c r="J5540" s="3">
        <v>2</v>
      </c>
      <c r="K5540" s="3">
        <v>973</v>
      </c>
      <c r="L5540" s="3">
        <v>89</v>
      </c>
      <c r="M5540" s="3">
        <v>400</v>
      </c>
    </row>
    <row r="5541" spans="1:13" x14ac:dyDescent="0.25">
      <c r="A5541" s="1" t="str">
        <f>HYPERLINK("http://www.rosaceae.org/Prunus/Prunus_persica/p.persica_gdr_reftransV1_0005974","p.persica_gdr_reftransV1_0005974")</f>
        <v>p.persica_gdr_reftransV1_0005974</v>
      </c>
      <c r="B5541" s="3">
        <v>1592</v>
      </c>
      <c r="C5541" s="1" t="str">
        <f>HYPERLINK("http://www.uniprot.org/uniprot/PINS_FRAVE","PINS_FRAVE")</f>
        <v>PINS_FRAVE</v>
      </c>
      <c r="D5541" t="s">
        <v>1165</v>
      </c>
      <c r="E5541" s="3" t="s">
        <v>1166</v>
      </c>
      <c r="F5541" s="4">
        <v>1.6300000000000001E-151</v>
      </c>
      <c r="G5541" s="3">
        <v>785</v>
      </c>
      <c r="H5541" s="3">
        <v>66</v>
      </c>
      <c r="I5541" s="3">
        <v>222</v>
      </c>
      <c r="J5541" s="3">
        <v>1</v>
      </c>
      <c r="K5541" s="3">
        <v>666</v>
      </c>
      <c r="L5541" s="3">
        <v>156</v>
      </c>
      <c r="M5541" s="3">
        <v>375</v>
      </c>
    </row>
    <row r="5542" spans="1:13" x14ac:dyDescent="0.25">
      <c r="A5542" s="1" t="str">
        <f>HYPERLINK("http://www.rosaceae.org/Prunus/Prunus_persica/p.persica_gdr_reftransV1_0006024","p.persica_gdr_reftransV1_0006024")</f>
        <v>p.persica_gdr_reftransV1_0006024</v>
      </c>
      <c r="B5542" s="3">
        <v>2067</v>
      </c>
      <c r="C5542" s="1" t="str">
        <f>HYPERLINK("http://www.uniprot.org/uniprot/CSA1_ARATH","CSA1_ARATH")</f>
        <v>CSA1_ARATH</v>
      </c>
      <c r="D5542" t="s">
        <v>3569</v>
      </c>
      <c r="E5542" s="3" t="s">
        <v>3</v>
      </c>
      <c r="F5542" s="4">
        <v>4.7900000000000001E-20</v>
      </c>
      <c r="G5542" s="3">
        <v>246</v>
      </c>
      <c r="H5542" s="3">
        <v>28</v>
      </c>
      <c r="I5542" s="3">
        <v>414</v>
      </c>
      <c r="J5542" s="3">
        <v>3</v>
      </c>
      <c r="K5542" s="3">
        <v>1100</v>
      </c>
      <c r="L5542" s="3">
        <v>625</v>
      </c>
      <c r="M5542" s="3">
        <v>1005</v>
      </c>
    </row>
    <row r="5543" spans="1:13" x14ac:dyDescent="0.25">
      <c r="A5543" s="1" t="str">
        <f>HYPERLINK("http://www.rosaceae.org/Prunus/Prunus_persica/p.persica_gdr_reftransV1_0006224","p.persica_gdr_reftransV1_0006224")</f>
        <v>p.persica_gdr_reftransV1_0006224</v>
      </c>
      <c r="B5543" s="3">
        <v>463</v>
      </c>
      <c r="C5543" s="1" t="str">
        <f>HYPERLINK("http://www.uniprot.org/uniprot/MYBC_MAIZE","MYBC_MAIZE")</f>
        <v>MYBC_MAIZE</v>
      </c>
      <c r="D5543" t="s">
        <v>2070</v>
      </c>
      <c r="E5543" s="3" t="s">
        <v>72</v>
      </c>
      <c r="F5543" s="4">
        <v>6.3399999999999997E-61</v>
      </c>
      <c r="G5543" s="3">
        <v>496</v>
      </c>
      <c r="H5543" s="3">
        <v>78</v>
      </c>
      <c r="I5543" s="3">
        <v>112</v>
      </c>
      <c r="J5543" s="3">
        <v>12</v>
      </c>
      <c r="K5543" s="3">
        <v>347</v>
      </c>
      <c r="L5543" s="3">
        <v>1</v>
      </c>
      <c r="M5543" s="3">
        <v>112</v>
      </c>
    </row>
    <row r="5544" spans="1:13" x14ac:dyDescent="0.25">
      <c r="A5544" s="1" t="str">
        <f>HYPERLINK("http://www.rosaceae.org/Prunus/Prunus_persica/p.persica_gdr_reftransV1_0006324","p.persica_gdr_reftransV1_0006324")</f>
        <v>p.persica_gdr_reftransV1_0006324</v>
      </c>
      <c r="B5544" s="3">
        <v>637</v>
      </c>
      <c r="C5544" s="1" t="str">
        <f>HYPERLINK("http://www.uniprot.org/uniprot/CML45_ARATH","CML45_ARATH")</f>
        <v>CML45_ARATH</v>
      </c>
      <c r="D5544" t="s">
        <v>4687</v>
      </c>
      <c r="E5544" s="3" t="s">
        <v>3</v>
      </c>
      <c r="F5544" s="4">
        <v>3.9999999999999998E-29</v>
      </c>
      <c r="G5544" s="3">
        <v>282</v>
      </c>
      <c r="H5544" s="3">
        <v>43</v>
      </c>
      <c r="I5544" s="3">
        <v>151</v>
      </c>
      <c r="J5544" s="3">
        <v>132</v>
      </c>
      <c r="K5544" s="3">
        <v>560</v>
      </c>
      <c r="L5544" s="3">
        <v>58</v>
      </c>
      <c r="M5544" s="3">
        <v>204</v>
      </c>
    </row>
    <row r="5545" spans="1:13" x14ac:dyDescent="0.25">
      <c r="A5545" s="1" t="str">
        <f>HYPERLINK("http://www.rosaceae.org/Prunus/Prunus_persica/p.persica_gdr_reftransV1_0006424","p.persica_gdr_reftransV1_0006424")</f>
        <v>p.persica_gdr_reftransV1_0006424</v>
      </c>
      <c r="B5545" s="3">
        <v>350</v>
      </c>
      <c r="C5545" s="1" t="str">
        <f>HYPERLINK("http://www.uniprot.org/uniprot/Y1723_ARATH","Y1723_ARATH")</f>
        <v>Y1723_ARATH</v>
      </c>
      <c r="D5545" t="s">
        <v>4688</v>
      </c>
      <c r="E5545" s="3" t="s">
        <v>3</v>
      </c>
      <c r="F5545" s="4">
        <v>5.2500000000000005E-10</v>
      </c>
      <c r="G5545" s="3">
        <v>145</v>
      </c>
      <c r="H5545" s="3">
        <v>49</v>
      </c>
      <c r="I5545" s="3">
        <v>117</v>
      </c>
      <c r="J5545" s="3">
        <v>2</v>
      </c>
      <c r="K5545" s="3">
        <v>349</v>
      </c>
      <c r="L5545" s="3">
        <v>554</v>
      </c>
      <c r="M5545" s="3">
        <v>670</v>
      </c>
    </row>
    <row r="5546" spans="1:13" x14ac:dyDescent="0.25">
      <c r="A5546" s="1" t="str">
        <f>HYPERLINK("http://www.rosaceae.org/Prunus/Prunus_persica/p.persica_gdr_reftransV1_0006574","p.persica_gdr_reftransV1_0006574")</f>
        <v>p.persica_gdr_reftransV1_0006574</v>
      </c>
      <c r="B5546" s="3">
        <v>550</v>
      </c>
      <c r="C5546" s="1" t="str">
        <f>HYPERLINK("http://www.uniprot.org/uniprot/RING1_GOSHI","RING1_GOSHI")</f>
        <v>RING1_GOSHI</v>
      </c>
      <c r="D5546" t="s">
        <v>2201</v>
      </c>
      <c r="E5546" s="3" t="s">
        <v>816</v>
      </c>
      <c r="F5546" s="4">
        <v>3.5399999999999997E-18</v>
      </c>
      <c r="G5546" s="3">
        <v>206</v>
      </c>
      <c r="H5546" s="3">
        <v>42</v>
      </c>
      <c r="I5546" s="3">
        <v>99</v>
      </c>
      <c r="J5546" s="3">
        <v>13</v>
      </c>
      <c r="K5546" s="3">
        <v>273</v>
      </c>
      <c r="L5546" s="3">
        <v>224</v>
      </c>
      <c r="M5546" s="3">
        <v>319</v>
      </c>
    </row>
    <row r="5547" spans="1:13" x14ac:dyDescent="0.25">
      <c r="A5547" s="1" t="str">
        <f>HYPERLINK("http://www.rosaceae.org/Prunus/Prunus_persica/p.persica_gdr_reftransV1_0006674","p.persica_gdr_reftransV1_0006674")</f>
        <v>p.persica_gdr_reftransV1_0006674</v>
      </c>
      <c r="B5547" s="3">
        <v>1079</v>
      </c>
      <c r="C5547" s="1" t="str">
        <f>HYPERLINK("http://www.uniprot.org/uniprot/PTR16_ARATH","PTR16_ARATH")</f>
        <v>PTR16_ARATH</v>
      </c>
      <c r="D5547" t="s">
        <v>1983</v>
      </c>
      <c r="E5547" s="3" t="s">
        <v>3</v>
      </c>
      <c r="F5547" s="4">
        <v>1.7299999999999999E-76</v>
      </c>
      <c r="G5547" s="3">
        <v>645</v>
      </c>
      <c r="H5547" s="3">
        <v>43</v>
      </c>
      <c r="I5547" s="3">
        <v>333</v>
      </c>
      <c r="J5547" s="3">
        <v>23</v>
      </c>
      <c r="K5547" s="3">
        <v>1021</v>
      </c>
      <c r="L5547" s="3">
        <v>255</v>
      </c>
      <c r="M5547" s="3">
        <v>572</v>
      </c>
    </row>
    <row r="5548" spans="1:13" x14ac:dyDescent="0.25">
      <c r="A5548" s="1" t="str">
        <f>HYPERLINK("http://www.rosaceae.org/Prunus/Prunus_persica/p.persica_gdr_reftransV1_0006824","p.persica_gdr_reftransV1_0006824")</f>
        <v>p.persica_gdr_reftransV1_0006824</v>
      </c>
      <c r="B5548" s="3">
        <v>1787</v>
      </c>
      <c r="C5548" s="1" t="str">
        <f>HYPERLINK("http://www.uniprot.org/uniprot/HHT1_ARATH","HHT1_ARATH")</f>
        <v>HHT1_ARATH</v>
      </c>
      <c r="D5548" t="s">
        <v>1756</v>
      </c>
      <c r="E5548" s="3" t="s">
        <v>3</v>
      </c>
      <c r="F5548" s="4">
        <v>1.23E-39</v>
      </c>
      <c r="G5548" s="3">
        <v>390</v>
      </c>
      <c r="H5548" s="3">
        <v>28</v>
      </c>
      <c r="I5548" s="3">
        <v>446</v>
      </c>
      <c r="J5548" s="3">
        <v>272</v>
      </c>
      <c r="K5548" s="3">
        <v>1600</v>
      </c>
      <c r="L5548" s="3">
        <v>54</v>
      </c>
      <c r="M5548" s="3">
        <v>455</v>
      </c>
    </row>
    <row r="5549" spans="1:13" x14ac:dyDescent="0.25">
      <c r="A5549" s="1" t="str">
        <f>HYPERLINK("http://www.rosaceae.org/Prunus/Prunus_persica/p.persica_gdr_reftransV1_0006874","p.persica_gdr_reftransV1_0006874")</f>
        <v>p.persica_gdr_reftransV1_0006874</v>
      </c>
      <c r="B5549" s="3">
        <v>3729</v>
      </c>
      <c r="C5549" s="1" t="str">
        <f>HYPERLINK("http://www.uniprot.org/uniprot/DRL28_ARATH","DRL28_ARATH")</f>
        <v>DRL28_ARATH</v>
      </c>
      <c r="D5549" t="s">
        <v>452</v>
      </c>
      <c r="E5549" s="3" t="s">
        <v>3</v>
      </c>
      <c r="F5549" s="4">
        <v>2.4500000000000001E-37</v>
      </c>
      <c r="G5549" s="3">
        <v>394</v>
      </c>
      <c r="H5549" s="3">
        <v>27</v>
      </c>
      <c r="I5549" s="3">
        <v>712</v>
      </c>
      <c r="J5549" s="3">
        <v>1640</v>
      </c>
      <c r="K5549" s="3">
        <v>3712</v>
      </c>
      <c r="L5549" s="3">
        <v>247</v>
      </c>
      <c r="M5549" s="3">
        <v>897</v>
      </c>
    </row>
    <row r="5550" spans="1:13" x14ac:dyDescent="0.25">
      <c r="A5550" s="1" t="str">
        <f>HYPERLINK("http://www.rosaceae.org/Prunus/Prunus_persica/p.persica_gdr_reftransV1_0006974","p.persica_gdr_reftransV1_0006974")</f>
        <v>p.persica_gdr_reftransV1_0006974</v>
      </c>
      <c r="B5550" s="3">
        <v>1226</v>
      </c>
      <c r="C5550" s="1" t="str">
        <f>HYPERLINK("http://www.uniprot.org/uniprot/Y5986_ARATH","Y5986_ARATH")</f>
        <v>Y5986_ARATH</v>
      </c>
      <c r="D5550" t="s">
        <v>4689</v>
      </c>
      <c r="E5550" s="3" t="s">
        <v>3</v>
      </c>
      <c r="F5550" s="4">
        <v>1.06E-16</v>
      </c>
      <c r="G5550" s="3">
        <v>208</v>
      </c>
      <c r="H5550" s="3">
        <v>44</v>
      </c>
      <c r="I5550" s="3">
        <v>121</v>
      </c>
      <c r="J5550" s="3">
        <v>873</v>
      </c>
      <c r="K5550" s="3">
        <v>1226</v>
      </c>
      <c r="L5550" s="3">
        <v>223</v>
      </c>
      <c r="M5550" s="3">
        <v>342</v>
      </c>
    </row>
    <row r="5551" spans="1:13" x14ac:dyDescent="0.25">
      <c r="A5551" s="1" t="str">
        <f>HYPERLINK("http://www.rosaceae.org/Prunus/Prunus_persica/p.persica_gdr_reftransV1_0007124","p.persica_gdr_reftransV1_0007124")</f>
        <v>p.persica_gdr_reftransV1_0007124</v>
      </c>
      <c r="B5551" s="3">
        <v>361</v>
      </c>
      <c r="C5551" s="1" t="str">
        <f>HYPERLINK("http://www.uniprot.org/uniprot/UN933_ARATH","UN933_ARATH")</f>
        <v>UN933_ARATH</v>
      </c>
      <c r="D5551" t="s">
        <v>946</v>
      </c>
      <c r="E5551" s="3" t="s">
        <v>3</v>
      </c>
      <c r="F5551" s="4">
        <v>7.9300000000000003E-36</v>
      </c>
      <c r="G5551" s="3">
        <v>331</v>
      </c>
      <c r="H5551" s="3">
        <v>60</v>
      </c>
      <c r="I5551" s="3">
        <v>120</v>
      </c>
      <c r="J5551" s="3">
        <v>2</v>
      </c>
      <c r="K5551" s="3">
        <v>361</v>
      </c>
      <c r="L5551" s="3">
        <v>149</v>
      </c>
      <c r="M5551" s="3">
        <v>267</v>
      </c>
    </row>
    <row r="5552" spans="1:13" x14ac:dyDescent="0.25">
      <c r="A5552" s="1" t="str">
        <f>HYPERLINK("http://www.rosaceae.org/Prunus/Prunus_persica/p.persica_gdr_reftransV1_0007374","p.persica_gdr_reftransV1_0007374")</f>
        <v>p.persica_gdr_reftransV1_0007374</v>
      </c>
      <c r="B5552" s="3">
        <v>1115</v>
      </c>
      <c r="C5552" s="1" t="str">
        <f>HYPERLINK("http://www.uniprot.org/uniprot/PP378_ARATH","PP378_ARATH")</f>
        <v>PP378_ARATH</v>
      </c>
      <c r="D5552" t="s">
        <v>3456</v>
      </c>
      <c r="E5552" s="3" t="s">
        <v>3</v>
      </c>
      <c r="F5552" s="4">
        <v>4.3300000000000004E-56</v>
      </c>
      <c r="G5552" s="3">
        <v>509</v>
      </c>
      <c r="H5552" s="3">
        <v>60</v>
      </c>
      <c r="I5552" s="3">
        <v>164</v>
      </c>
      <c r="J5552" s="3">
        <v>627</v>
      </c>
      <c r="K5552" s="3">
        <v>1112</v>
      </c>
      <c r="L5552" s="3">
        <v>597</v>
      </c>
      <c r="M5552" s="3">
        <v>752</v>
      </c>
    </row>
    <row r="5553" spans="1:13" x14ac:dyDescent="0.25">
      <c r="A5553" s="1" t="str">
        <f>HYPERLINK("http://www.rosaceae.org/Prunus/Prunus_persica/p.persica_gdr_reftransV1_0007424","p.persica_gdr_reftransV1_0007424")</f>
        <v>p.persica_gdr_reftransV1_0007424</v>
      </c>
      <c r="B5553" s="3">
        <v>3129</v>
      </c>
      <c r="C5553" s="1" t="str">
        <f>HYPERLINK("http://www.uniprot.org/uniprot/XYLT1_RAT","XYLT1_RAT")</f>
        <v>XYLT1_RAT</v>
      </c>
      <c r="D5553" t="s">
        <v>2610</v>
      </c>
      <c r="E5553" s="3" t="s">
        <v>161</v>
      </c>
      <c r="F5553" s="4">
        <v>2.7800000000000002E-20</v>
      </c>
      <c r="G5553" s="3">
        <v>250</v>
      </c>
      <c r="H5553" s="3">
        <v>26</v>
      </c>
      <c r="I5553" s="3">
        <v>319</v>
      </c>
      <c r="J5553" s="3">
        <v>1326</v>
      </c>
      <c r="K5553" s="3">
        <v>2234</v>
      </c>
      <c r="L5553" s="3">
        <v>192</v>
      </c>
      <c r="M5553" s="3">
        <v>490</v>
      </c>
    </row>
    <row r="5554" spans="1:13" x14ac:dyDescent="0.25">
      <c r="A5554" s="1" t="str">
        <f>HYPERLINK("http://www.rosaceae.org/Prunus/Prunus_persica/p.persica_gdr_reftransV1_0007674","p.persica_gdr_reftransV1_0007674")</f>
        <v>p.persica_gdr_reftransV1_0007674</v>
      </c>
      <c r="B5554" s="3">
        <v>828</v>
      </c>
      <c r="C5554" s="1" t="str">
        <f>HYPERLINK("http://www.uniprot.org/uniprot/CLE25_ARATH","CLE25_ARATH")</f>
        <v>CLE25_ARATH</v>
      </c>
      <c r="D5554" t="s">
        <v>4690</v>
      </c>
      <c r="E5554" s="3" t="s">
        <v>3</v>
      </c>
      <c r="F5554" s="4">
        <v>1.5199999999999999E-10</v>
      </c>
      <c r="G5554" s="3">
        <v>145</v>
      </c>
      <c r="H5554" s="3">
        <v>40</v>
      </c>
      <c r="I5554" s="3">
        <v>90</v>
      </c>
      <c r="J5554" s="3">
        <v>280</v>
      </c>
      <c r="K5554" s="3">
        <v>549</v>
      </c>
      <c r="L5554" s="3">
        <v>6</v>
      </c>
      <c r="M5554" s="3">
        <v>79</v>
      </c>
    </row>
    <row r="5555" spans="1:13" x14ac:dyDescent="0.25">
      <c r="A5555" s="1" t="str">
        <f>HYPERLINK("http://www.rosaceae.org/Prunus/Prunus_persica/p.persica_gdr_reftransV1_0007774","p.persica_gdr_reftransV1_0007774")</f>
        <v>p.persica_gdr_reftransV1_0007774</v>
      </c>
      <c r="B5555" s="3">
        <v>396</v>
      </c>
      <c r="C5555" s="1" t="str">
        <f>HYPERLINK("http://www.uniprot.org/uniprot/PP119_ARATH","PP119_ARATH")</f>
        <v>PP119_ARATH</v>
      </c>
      <c r="D5555" t="s">
        <v>4691</v>
      </c>
      <c r="E5555" s="3" t="s">
        <v>3</v>
      </c>
      <c r="F5555" s="4">
        <v>9.8800000000000002E-27</v>
      </c>
      <c r="G5555" s="3">
        <v>267</v>
      </c>
      <c r="H5555" s="3">
        <v>47</v>
      </c>
      <c r="I5555" s="3">
        <v>128</v>
      </c>
      <c r="J5555" s="3">
        <v>1</v>
      </c>
      <c r="K5555" s="3">
        <v>381</v>
      </c>
      <c r="L5555" s="3">
        <v>1</v>
      </c>
      <c r="M5555" s="3">
        <v>127</v>
      </c>
    </row>
    <row r="5556" spans="1:13" x14ac:dyDescent="0.25">
      <c r="A5556" s="1" t="str">
        <f>HYPERLINK("http://www.rosaceae.org/Prunus/Prunus_persica/p.persica_gdr_reftransV1_0007824","p.persica_gdr_reftransV1_0007824")</f>
        <v>p.persica_gdr_reftransV1_0007824</v>
      </c>
      <c r="B5556" s="3">
        <v>1108</v>
      </c>
      <c r="C5556" s="1" t="str">
        <f>HYPERLINK("http://www.uniprot.org/uniprot/DXS2_ORYSJ","DXS2_ORYSJ")</f>
        <v>DXS2_ORYSJ</v>
      </c>
      <c r="D5556" t="s">
        <v>4016</v>
      </c>
      <c r="E5556" s="3" t="s">
        <v>38</v>
      </c>
      <c r="F5556" s="4">
        <v>1.01E-147</v>
      </c>
      <c r="G5556" s="3">
        <v>1135</v>
      </c>
      <c r="H5556" s="3">
        <v>83</v>
      </c>
      <c r="I5556" s="3">
        <v>248</v>
      </c>
      <c r="J5556" s="3">
        <v>365</v>
      </c>
      <c r="K5556" s="3">
        <v>1108</v>
      </c>
      <c r="L5556" s="3">
        <v>465</v>
      </c>
      <c r="M5556" s="3">
        <v>712</v>
      </c>
    </row>
    <row r="5557" spans="1:13" x14ac:dyDescent="0.25">
      <c r="A5557" s="1" t="str">
        <f>HYPERLINK("http://www.rosaceae.org/Prunus/Prunus_persica/p.persica_gdr_reftransV1_0007924","p.persica_gdr_reftransV1_0007924")</f>
        <v>p.persica_gdr_reftransV1_0007924</v>
      </c>
      <c r="B5557" s="3">
        <v>1028</v>
      </c>
      <c r="C5557" s="1" t="str">
        <f>HYPERLINK("http://www.uniprot.org/uniprot/CDPKO_ARATH","CDPKO_ARATH")</f>
        <v>CDPKO_ARATH</v>
      </c>
      <c r="D5557" t="s">
        <v>4692</v>
      </c>
      <c r="E5557" s="3" t="s">
        <v>3</v>
      </c>
      <c r="F5557" s="4">
        <v>2.9500000000000003E-160</v>
      </c>
      <c r="G5557" s="3">
        <v>1204</v>
      </c>
      <c r="H5557" s="3">
        <v>71</v>
      </c>
      <c r="I5557" s="3">
        <v>316</v>
      </c>
      <c r="J5557" s="3">
        <v>5</v>
      </c>
      <c r="K5557" s="3">
        <v>946</v>
      </c>
      <c r="L5557" s="3">
        <v>221</v>
      </c>
      <c r="M5557" s="3">
        <v>536</v>
      </c>
    </row>
    <row r="5558" spans="1:13" x14ac:dyDescent="0.25">
      <c r="A5558" s="1" t="str">
        <f>HYPERLINK("http://www.rosaceae.org/Prunus/Prunus_persica/p.persica_gdr_reftransV1_0007974","p.persica_gdr_reftransV1_0007974")</f>
        <v>p.persica_gdr_reftransV1_0007974</v>
      </c>
      <c r="B5558" s="3">
        <v>1184</v>
      </c>
      <c r="C5558" s="1" t="str">
        <f>HYPERLINK("http://www.uniprot.org/uniprot/ATM_ARATH","ATM_ARATH")</f>
        <v>ATM_ARATH</v>
      </c>
      <c r="D5558" t="s">
        <v>2500</v>
      </c>
      <c r="E5558" s="3" t="s">
        <v>3</v>
      </c>
      <c r="F5558" s="4">
        <v>4.6799999999999999E-100</v>
      </c>
      <c r="G5558" s="3">
        <v>854</v>
      </c>
      <c r="H5558" s="3">
        <v>49</v>
      </c>
      <c r="I5558" s="3">
        <v>398</v>
      </c>
      <c r="J5558" s="3">
        <v>4</v>
      </c>
      <c r="K5558" s="3">
        <v>1179</v>
      </c>
      <c r="L5558" s="3">
        <v>1526</v>
      </c>
      <c r="M5558" s="3">
        <v>1910</v>
      </c>
    </row>
    <row r="5559" spans="1:13" x14ac:dyDescent="0.25">
      <c r="A5559" s="1" t="str">
        <f>HYPERLINK("http://www.rosaceae.org/Prunus/Prunus_persica/p.persica_gdr_reftransV1_0008074","p.persica_gdr_reftransV1_0008074")</f>
        <v>p.persica_gdr_reftransV1_0008074</v>
      </c>
      <c r="B5559" s="3">
        <v>6235</v>
      </c>
      <c r="C5559" s="1" t="str">
        <f>HYPERLINK("http://www.uniprot.org/uniprot/IF4G_ARATH","IF4G_ARATH")</f>
        <v>IF4G_ARATH</v>
      </c>
      <c r="D5559" t="s">
        <v>4693</v>
      </c>
      <c r="E5559" s="3" t="s">
        <v>3</v>
      </c>
      <c r="F5559" s="4">
        <v>0</v>
      </c>
      <c r="G5559" s="3">
        <v>2586</v>
      </c>
      <c r="H5559" s="3">
        <v>60</v>
      </c>
      <c r="I5559" s="3">
        <v>946</v>
      </c>
      <c r="J5559" s="3">
        <v>3067</v>
      </c>
      <c r="K5559" s="3">
        <v>5859</v>
      </c>
      <c r="L5559" s="3">
        <v>818</v>
      </c>
      <c r="M5559" s="3">
        <v>1726</v>
      </c>
    </row>
    <row r="5560" spans="1:13" x14ac:dyDescent="0.25">
      <c r="A5560" s="1" t="str">
        <f>HYPERLINK("http://www.rosaceae.org/Prunus/Prunus_persica/p.persica_gdr_reftransV1_0008324","p.persica_gdr_reftransV1_0008324")</f>
        <v>p.persica_gdr_reftransV1_0008324</v>
      </c>
      <c r="B5560" s="3">
        <v>1419</v>
      </c>
      <c r="C5560" s="1" t="str">
        <f>HYPERLINK("http://www.uniprot.org/uniprot/DRP1C_ARATH","DRP1C_ARATH")</f>
        <v>DRP1C_ARATH</v>
      </c>
      <c r="D5560" t="s">
        <v>4694</v>
      </c>
      <c r="E5560" s="3" t="s">
        <v>3</v>
      </c>
      <c r="F5560" s="4">
        <v>0</v>
      </c>
      <c r="G5560" s="3">
        <v>1759</v>
      </c>
      <c r="H5560" s="3">
        <v>83</v>
      </c>
      <c r="I5560" s="3">
        <v>393</v>
      </c>
      <c r="J5560" s="3">
        <v>3</v>
      </c>
      <c r="K5560" s="3">
        <v>1181</v>
      </c>
      <c r="L5560" s="3">
        <v>229</v>
      </c>
      <c r="M5560" s="3">
        <v>614</v>
      </c>
    </row>
    <row r="5561" spans="1:13" x14ac:dyDescent="0.25">
      <c r="A5561" s="1" t="str">
        <f>HYPERLINK("http://www.rosaceae.org/Prunus/Prunus_persica/p.persica_gdr_reftransV1_0008424","p.persica_gdr_reftransV1_0008424")</f>
        <v>p.persica_gdr_reftransV1_0008424</v>
      </c>
      <c r="B5561" s="3">
        <v>652</v>
      </c>
      <c r="C5561" s="1" t="str">
        <f>HYPERLINK("http://www.uniprot.org/uniprot/RGA3_SOLBU","RGA3_SOLBU")</f>
        <v>RGA3_SOLBU</v>
      </c>
      <c r="D5561" t="s">
        <v>1884</v>
      </c>
      <c r="E5561" s="3" t="s">
        <v>560</v>
      </c>
      <c r="F5561" s="4">
        <v>1.3200000000000001E-37</v>
      </c>
      <c r="G5561" s="3">
        <v>363</v>
      </c>
      <c r="H5561" s="3">
        <v>47</v>
      </c>
      <c r="I5561" s="3">
        <v>183</v>
      </c>
      <c r="J5561" s="3">
        <v>1</v>
      </c>
      <c r="K5561" s="3">
        <v>549</v>
      </c>
      <c r="L5561" s="3">
        <v>301</v>
      </c>
      <c r="M5561" s="3">
        <v>477</v>
      </c>
    </row>
    <row r="5562" spans="1:13" x14ac:dyDescent="0.25">
      <c r="A5562" s="1" t="str">
        <f>HYPERLINK("http://www.rosaceae.org/Prunus/Prunus_persica/p.persica_gdr_reftransV1_0008574","p.persica_gdr_reftransV1_0008574")</f>
        <v>p.persica_gdr_reftransV1_0008574</v>
      </c>
      <c r="B5562" s="3">
        <v>674</v>
      </c>
      <c r="C5562" s="1" t="str">
        <f>HYPERLINK("http://www.uniprot.org/uniprot/PP255_ARATH","PP255_ARATH")</f>
        <v>PP255_ARATH</v>
      </c>
      <c r="D5562" t="s">
        <v>4695</v>
      </c>
      <c r="E5562" s="3" t="s">
        <v>3</v>
      </c>
      <c r="F5562" s="4">
        <v>7.6099999999999998E-73</v>
      </c>
      <c r="G5562" s="3">
        <v>612</v>
      </c>
      <c r="H5562" s="3">
        <v>60</v>
      </c>
      <c r="I5562" s="3">
        <v>213</v>
      </c>
      <c r="J5562" s="3">
        <v>29</v>
      </c>
      <c r="K5562" s="3">
        <v>664</v>
      </c>
      <c r="L5562" s="3">
        <v>289</v>
      </c>
      <c r="M5562" s="3">
        <v>501</v>
      </c>
    </row>
    <row r="5563" spans="1:13" x14ac:dyDescent="0.25">
      <c r="A5563" s="1" t="str">
        <f>HYPERLINK("http://www.rosaceae.org/Prunus/Prunus_persica/p.persica_gdr_reftransV1_0008674","p.persica_gdr_reftransV1_0008674")</f>
        <v>p.persica_gdr_reftransV1_0008674</v>
      </c>
      <c r="B5563" s="3">
        <v>1564</v>
      </c>
      <c r="C5563" s="1" t="str">
        <f>HYPERLINK("http://www.uniprot.org/uniprot/FLA20_ARATH","FLA20_ARATH")</f>
        <v>FLA20_ARATH</v>
      </c>
      <c r="D5563" t="s">
        <v>3535</v>
      </c>
      <c r="E5563" s="3" t="s">
        <v>3</v>
      </c>
      <c r="F5563" s="4">
        <v>1.3399999999999999E-55</v>
      </c>
      <c r="G5563" s="3">
        <v>502</v>
      </c>
      <c r="H5563" s="3">
        <v>39</v>
      </c>
      <c r="I5563" s="3">
        <v>324</v>
      </c>
      <c r="J5563" s="3">
        <v>169</v>
      </c>
      <c r="K5563" s="3">
        <v>1047</v>
      </c>
      <c r="L5563" s="3">
        <v>68</v>
      </c>
      <c r="M5563" s="3">
        <v>388</v>
      </c>
    </row>
    <row r="5564" spans="1:13" x14ac:dyDescent="0.25">
      <c r="A5564" s="1" t="str">
        <f>HYPERLINK("http://www.rosaceae.org/Prunus/Prunus_persica/p.persica_gdr_reftransV1_0008924","p.persica_gdr_reftransV1_0008924")</f>
        <v>p.persica_gdr_reftransV1_0008924</v>
      </c>
      <c r="B5564" s="3">
        <v>849</v>
      </c>
      <c r="C5564" s="1" t="str">
        <f>HYPERLINK("http://www.uniprot.org/uniprot/21KD_DAUCA","21KD_DAUCA")</f>
        <v>21KD_DAUCA</v>
      </c>
      <c r="D5564" t="s">
        <v>1280</v>
      </c>
      <c r="E5564" s="3" t="s">
        <v>32</v>
      </c>
      <c r="F5564" s="4">
        <v>1.08E-48</v>
      </c>
      <c r="G5564" s="3">
        <v>420</v>
      </c>
      <c r="H5564" s="3">
        <v>60</v>
      </c>
      <c r="I5564" s="3">
        <v>129</v>
      </c>
      <c r="J5564" s="3">
        <v>251</v>
      </c>
      <c r="K5564" s="3">
        <v>631</v>
      </c>
      <c r="L5564" s="3">
        <v>63</v>
      </c>
      <c r="M5564" s="3">
        <v>191</v>
      </c>
    </row>
    <row r="5565" spans="1:13" x14ac:dyDescent="0.25">
      <c r="A5565" s="1" t="str">
        <f>HYPERLINK("http://www.rosaceae.org/Prunus/Prunus_persica/p.persica_gdr_reftransV1_0009074","p.persica_gdr_reftransV1_0009074")</f>
        <v>p.persica_gdr_reftransV1_0009074</v>
      </c>
      <c r="B5565" s="3">
        <v>2695</v>
      </c>
      <c r="C5565" s="1" t="str">
        <f>HYPERLINK("http://www.uniprot.org/uniprot/PP314_ARATH","PP314_ARATH")</f>
        <v>PP314_ARATH</v>
      </c>
      <c r="D5565" t="s">
        <v>4696</v>
      </c>
      <c r="E5565" s="3" t="s">
        <v>3</v>
      </c>
      <c r="F5565" s="4">
        <v>0</v>
      </c>
      <c r="G5565" s="3">
        <v>2385</v>
      </c>
      <c r="H5565" s="3">
        <v>66</v>
      </c>
      <c r="I5565" s="3">
        <v>711</v>
      </c>
      <c r="J5565" s="3">
        <v>183</v>
      </c>
      <c r="K5565" s="3">
        <v>2294</v>
      </c>
      <c r="L5565" s="3">
        <v>4</v>
      </c>
      <c r="M5565" s="3">
        <v>702</v>
      </c>
    </row>
    <row r="5566" spans="1:13" x14ac:dyDescent="0.25">
      <c r="A5566" s="1" t="str">
        <f>HYPERLINK("http://www.rosaceae.org/Prunus/Prunus_persica/p.persica_gdr_reftransV1_0009124","p.persica_gdr_reftransV1_0009124")</f>
        <v>p.persica_gdr_reftransV1_0009124</v>
      </c>
      <c r="B5566" s="3">
        <v>1163</v>
      </c>
      <c r="C5566" s="1" t="str">
        <f>HYPERLINK("http://www.uniprot.org/uniprot/OFP7_ARATH","OFP7_ARATH")</f>
        <v>OFP7_ARATH</v>
      </c>
      <c r="D5566" t="s">
        <v>4697</v>
      </c>
      <c r="E5566" s="3" t="s">
        <v>3</v>
      </c>
      <c r="F5566" s="4">
        <v>2.61E-16</v>
      </c>
      <c r="G5566" s="3">
        <v>202</v>
      </c>
      <c r="H5566" s="3">
        <v>56</v>
      </c>
      <c r="I5566" s="3">
        <v>68</v>
      </c>
      <c r="J5566" s="3">
        <v>958</v>
      </c>
      <c r="K5566" s="3">
        <v>1161</v>
      </c>
      <c r="L5566" s="3">
        <v>205</v>
      </c>
      <c r="M5566" s="3">
        <v>272</v>
      </c>
    </row>
    <row r="5567" spans="1:13" x14ac:dyDescent="0.25">
      <c r="A5567" s="1" t="str">
        <f>HYPERLINK("http://www.rosaceae.org/Prunus/Prunus_persica/p.persica_gdr_reftransV1_0009274","p.persica_gdr_reftransV1_0009274")</f>
        <v>p.persica_gdr_reftransV1_0009274</v>
      </c>
      <c r="B5567" s="3">
        <v>1345</v>
      </c>
      <c r="C5567" s="1" t="str">
        <f>HYPERLINK("http://www.uniprot.org/uniprot/ESF2_PICST","ESF2_PICST")</f>
        <v>ESF2_PICST</v>
      </c>
      <c r="D5567" t="s">
        <v>4698</v>
      </c>
      <c r="E5567" s="3" t="s">
        <v>4699</v>
      </c>
      <c r="F5567" s="4">
        <v>4.9800000000000003E-42</v>
      </c>
      <c r="G5567" s="3">
        <v>397</v>
      </c>
      <c r="H5567" s="3">
        <v>41</v>
      </c>
      <c r="I5567" s="3">
        <v>191</v>
      </c>
      <c r="J5567" s="3">
        <v>219</v>
      </c>
      <c r="K5567" s="3">
        <v>788</v>
      </c>
      <c r="L5567" s="3">
        <v>146</v>
      </c>
      <c r="M5567" s="3">
        <v>336</v>
      </c>
    </row>
    <row r="5568" spans="1:13" x14ac:dyDescent="0.25">
      <c r="A5568" s="1" t="str">
        <f>HYPERLINK("http://www.rosaceae.org/Prunus/Prunus_persica/p.persica_gdr_reftransV1_0009374","p.persica_gdr_reftransV1_0009374")</f>
        <v>p.persica_gdr_reftransV1_0009374</v>
      </c>
      <c r="B5568" s="3">
        <v>1454</v>
      </c>
      <c r="C5568" s="1" t="str">
        <f>HYPERLINK("http://www.uniprot.org/uniprot/GATLA_ARATH","GATLA_ARATH")</f>
        <v>GATLA_ARATH</v>
      </c>
      <c r="D5568" t="s">
        <v>4700</v>
      </c>
      <c r="E5568" s="3" t="s">
        <v>3</v>
      </c>
      <c r="F5568" s="4">
        <v>3.8199999999999998E-175</v>
      </c>
      <c r="G5568" s="3">
        <v>1297</v>
      </c>
      <c r="H5568" s="3">
        <v>72</v>
      </c>
      <c r="I5568" s="3">
        <v>330</v>
      </c>
      <c r="J5568" s="3">
        <v>369</v>
      </c>
      <c r="K5568" s="3">
        <v>1355</v>
      </c>
      <c r="L5568" s="3">
        <v>26</v>
      </c>
      <c r="M5568" s="3">
        <v>350</v>
      </c>
    </row>
    <row r="5569" spans="1:13" x14ac:dyDescent="0.25">
      <c r="A5569" s="1" t="str">
        <f>HYPERLINK("http://www.rosaceae.org/Prunus/Prunus_persica/p.persica_gdr_reftransV1_0009824","p.persica_gdr_reftransV1_0009824")</f>
        <v>p.persica_gdr_reftransV1_0009824</v>
      </c>
      <c r="B5569" s="3">
        <v>2682</v>
      </c>
      <c r="C5569" s="1" t="str">
        <f>HYPERLINK("http://www.uniprot.org/uniprot/CBSX6_ARATH","CBSX6_ARATH")</f>
        <v>CBSX6_ARATH</v>
      </c>
      <c r="D5569" t="s">
        <v>4701</v>
      </c>
      <c r="E5569" s="3" t="s">
        <v>3</v>
      </c>
      <c r="F5569" s="4">
        <v>1.18E-120</v>
      </c>
      <c r="G5569" s="3">
        <v>974</v>
      </c>
      <c r="H5569" s="3">
        <v>69</v>
      </c>
      <c r="I5569" s="3">
        <v>313</v>
      </c>
      <c r="J5569" s="3">
        <v>1519</v>
      </c>
      <c r="K5569" s="3">
        <v>2442</v>
      </c>
      <c r="L5569" s="3">
        <v>111</v>
      </c>
      <c r="M5569" s="3">
        <v>418</v>
      </c>
    </row>
    <row r="5570" spans="1:13" x14ac:dyDescent="0.25">
      <c r="A5570" s="1" t="str">
        <f>HYPERLINK("http://www.rosaceae.org/Prunus/Prunus_persica/p.persica_gdr_reftransV1_0009924","p.persica_gdr_reftransV1_0009924")</f>
        <v>p.persica_gdr_reftransV1_0009924</v>
      </c>
      <c r="B5570" s="3">
        <v>2348</v>
      </c>
      <c r="C5570" s="1" t="str">
        <f>HYPERLINK("http://www.uniprot.org/uniprot/HIS7_PEA","HIS7_PEA")</f>
        <v>HIS7_PEA</v>
      </c>
      <c r="D5570" t="s">
        <v>4702</v>
      </c>
      <c r="E5570" s="3" t="s">
        <v>60</v>
      </c>
      <c r="F5570" s="4">
        <v>2.5500000000000001E-124</v>
      </c>
      <c r="G5570" s="3">
        <v>977</v>
      </c>
      <c r="H5570" s="3">
        <v>85</v>
      </c>
      <c r="I5570" s="3">
        <v>224</v>
      </c>
      <c r="J5570" s="3">
        <v>1424</v>
      </c>
      <c r="K5570" s="3">
        <v>2095</v>
      </c>
      <c r="L5570" s="3">
        <v>60</v>
      </c>
      <c r="M5570" s="3">
        <v>281</v>
      </c>
    </row>
    <row r="5571" spans="1:13" x14ac:dyDescent="0.25">
      <c r="A5571" s="1" t="str">
        <f>HYPERLINK("http://www.rosaceae.org/Prunus/Prunus_persica/p.persica_gdr_reftransV1_0010024","p.persica_gdr_reftransV1_0010024")</f>
        <v>p.persica_gdr_reftransV1_0010024</v>
      </c>
      <c r="B5571" s="3">
        <v>1695</v>
      </c>
      <c r="C5571" s="1" t="str">
        <f>HYPERLINK("http://www.uniprot.org/uniprot/GSO1_ARATH","GSO1_ARATH")</f>
        <v>GSO1_ARATH</v>
      </c>
      <c r="D5571" t="s">
        <v>848</v>
      </c>
      <c r="E5571" s="3" t="s">
        <v>3</v>
      </c>
      <c r="F5571" s="4">
        <v>1.0900000000000001E-67</v>
      </c>
      <c r="G5571" s="3">
        <v>619</v>
      </c>
      <c r="H5571" s="3">
        <v>36</v>
      </c>
      <c r="I5571" s="3">
        <v>455</v>
      </c>
      <c r="J5571" s="3">
        <v>416</v>
      </c>
      <c r="K5571" s="3">
        <v>1693</v>
      </c>
      <c r="L5571" s="3">
        <v>62</v>
      </c>
      <c r="M5571" s="3">
        <v>514</v>
      </c>
    </row>
    <row r="5572" spans="1:13" x14ac:dyDescent="0.25">
      <c r="A5572" s="1" t="str">
        <f>HYPERLINK("http://www.rosaceae.org/Prunus/Prunus_persica/p.persica_gdr_reftransV1_0010074","p.persica_gdr_reftransV1_0010074")</f>
        <v>p.persica_gdr_reftransV1_0010074</v>
      </c>
      <c r="B5572" s="3">
        <v>1923</v>
      </c>
      <c r="C5572" s="1" t="str">
        <f>HYPERLINK("http://www.uniprot.org/uniprot/RNHX1_ARATH","RNHX1_ARATH")</f>
        <v>RNHX1_ARATH</v>
      </c>
      <c r="D5572" t="s">
        <v>124</v>
      </c>
      <c r="E5572" s="3" t="s">
        <v>3</v>
      </c>
      <c r="F5572" s="4">
        <v>3.84E-21</v>
      </c>
      <c r="G5572" s="3">
        <v>252</v>
      </c>
      <c r="H5572" s="3">
        <v>37</v>
      </c>
      <c r="I5572" s="3">
        <v>177</v>
      </c>
      <c r="J5572" s="3">
        <v>629</v>
      </c>
      <c r="K5572" s="3">
        <v>1141</v>
      </c>
      <c r="L5572" s="3">
        <v>23</v>
      </c>
      <c r="M5572" s="3">
        <v>199</v>
      </c>
    </row>
    <row r="5573" spans="1:13" x14ac:dyDescent="0.25">
      <c r="A5573" s="1" t="str">
        <f>HYPERLINK("http://www.rosaceae.org/Prunus/Prunus_persica/p.persica_gdr_reftransV1_0010124","p.persica_gdr_reftransV1_0010124")</f>
        <v>p.persica_gdr_reftransV1_0010124</v>
      </c>
      <c r="B5573" s="3">
        <v>717</v>
      </c>
      <c r="C5573" s="1" t="str">
        <f>HYPERLINK("http://www.uniprot.org/uniprot/UNE10_ARATH","UNE10_ARATH")</f>
        <v>UNE10_ARATH</v>
      </c>
      <c r="D5573" t="s">
        <v>1208</v>
      </c>
      <c r="E5573" s="3" t="s">
        <v>3</v>
      </c>
      <c r="F5573" s="4">
        <v>1.52E-27</v>
      </c>
      <c r="G5573" s="3">
        <v>281</v>
      </c>
      <c r="H5573" s="3">
        <v>65</v>
      </c>
      <c r="I5573" s="3">
        <v>92</v>
      </c>
      <c r="J5573" s="3">
        <v>382</v>
      </c>
      <c r="K5573" s="3">
        <v>657</v>
      </c>
      <c r="L5573" s="3">
        <v>182</v>
      </c>
      <c r="M5573" s="3">
        <v>270</v>
      </c>
    </row>
    <row r="5574" spans="1:13" x14ac:dyDescent="0.25">
      <c r="A5574" s="1" t="str">
        <f>HYPERLINK("http://www.rosaceae.org/Prunus/Prunus_persica/p.persica_gdr_reftransV1_0010274","p.persica_gdr_reftransV1_0010274")</f>
        <v>p.persica_gdr_reftransV1_0010274</v>
      </c>
      <c r="B5574" s="3">
        <v>1913</v>
      </c>
      <c r="C5574" s="1" t="str">
        <f>HYPERLINK("http://www.uniprot.org/uniprot/PHRF1_MOUSE","PHRF1_MOUSE")</f>
        <v>PHRF1_MOUSE</v>
      </c>
      <c r="D5574" t="s">
        <v>4703</v>
      </c>
      <c r="E5574" s="3" t="s">
        <v>157</v>
      </c>
      <c r="F5574" s="4">
        <v>3.7599999999999998E-7</v>
      </c>
      <c r="G5574" s="3">
        <v>137</v>
      </c>
      <c r="H5574" s="3">
        <v>44</v>
      </c>
      <c r="I5574" s="3">
        <v>45</v>
      </c>
      <c r="J5574" s="3">
        <v>472</v>
      </c>
      <c r="K5574" s="3">
        <v>603</v>
      </c>
      <c r="L5574" s="3">
        <v>188</v>
      </c>
      <c r="M5574" s="3">
        <v>232</v>
      </c>
    </row>
    <row r="5575" spans="1:13" x14ac:dyDescent="0.25">
      <c r="A5575" s="1" t="str">
        <f>HYPERLINK("http://www.rosaceae.org/Prunus/Prunus_persica/p.persica_gdr_reftransV1_0010524","p.persica_gdr_reftransV1_0010524")</f>
        <v>p.persica_gdr_reftransV1_0010524</v>
      </c>
      <c r="B5575" s="3">
        <v>1364</v>
      </c>
      <c r="C5575" s="1" t="str">
        <f>HYPERLINK("http://www.uniprot.org/uniprot/HARB1_DANRE","HARB1_DANRE")</f>
        <v>HARB1_DANRE</v>
      </c>
      <c r="D5575" t="s">
        <v>1233</v>
      </c>
      <c r="E5575" s="3" t="s">
        <v>704</v>
      </c>
      <c r="F5575" s="4">
        <v>1.8E-24</v>
      </c>
      <c r="G5575" s="3">
        <v>266</v>
      </c>
      <c r="H5575" s="3">
        <v>24</v>
      </c>
      <c r="I5575" s="3">
        <v>307</v>
      </c>
      <c r="J5575" s="3">
        <v>145</v>
      </c>
      <c r="K5575" s="3">
        <v>1029</v>
      </c>
      <c r="L5575" s="3">
        <v>20</v>
      </c>
      <c r="M5575" s="3">
        <v>304</v>
      </c>
    </row>
    <row r="5576" spans="1:13" x14ac:dyDescent="0.25">
      <c r="A5576" s="1" t="str">
        <f>HYPERLINK("http://www.rosaceae.org/Prunus/Prunus_persica/p.persica_gdr_reftransV1_0010674","p.persica_gdr_reftransV1_0010674")</f>
        <v>p.persica_gdr_reftransV1_0010674</v>
      </c>
      <c r="B5576" s="3">
        <v>1787</v>
      </c>
      <c r="C5576" s="1" t="str">
        <f>HYPERLINK("http://www.uniprot.org/uniprot/ISPE_SOLLC","ISPE_SOLLC")</f>
        <v>ISPE_SOLLC</v>
      </c>
      <c r="D5576" t="s">
        <v>4704</v>
      </c>
      <c r="E5576" s="3" t="s">
        <v>64</v>
      </c>
      <c r="F5576" s="4">
        <v>8.4500000000000004E-165</v>
      </c>
      <c r="G5576" s="3">
        <v>1243</v>
      </c>
      <c r="H5576" s="3">
        <v>81</v>
      </c>
      <c r="I5576" s="3">
        <v>340</v>
      </c>
      <c r="J5576" s="3">
        <v>289</v>
      </c>
      <c r="K5576" s="3">
        <v>1296</v>
      </c>
      <c r="L5576" s="3">
        <v>44</v>
      </c>
      <c r="M5576" s="3">
        <v>382</v>
      </c>
    </row>
    <row r="5577" spans="1:13" x14ac:dyDescent="0.25">
      <c r="A5577" s="1" t="str">
        <f>HYPERLINK("http://www.rosaceae.org/Prunus/Prunus_persica/p.persica_gdr_reftransV1_0010724","p.persica_gdr_reftransV1_0010724")</f>
        <v>p.persica_gdr_reftransV1_0010724</v>
      </c>
      <c r="B5577" s="3">
        <v>1584</v>
      </c>
      <c r="C5577" s="1" t="str">
        <f>HYPERLINK("http://www.uniprot.org/uniprot/FLA21_ARATH","FLA21_ARATH")</f>
        <v>FLA21_ARATH</v>
      </c>
      <c r="D5577" t="s">
        <v>4705</v>
      </c>
      <c r="E5577" s="3" t="s">
        <v>3</v>
      </c>
      <c r="F5577" s="4">
        <v>6.5000000000000001E-91</v>
      </c>
      <c r="G5577" s="3">
        <v>739</v>
      </c>
      <c r="H5577" s="3">
        <v>45</v>
      </c>
      <c r="I5577" s="3">
        <v>361</v>
      </c>
      <c r="J5577" s="3">
        <v>92</v>
      </c>
      <c r="K5577" s="3">
        <v>1126</v>
      </c>
      <c r="L5577" s="3">
        <v>1</v>
      </c>
      <c r="M5577" s="3">
        <v>350</v>
      </c>
    </row>
    <row r="5578" spans="1:13" x14ac:dyDescent="0.25">
      <c r="A5578" s="1" t="str">
        <f>HYPERLINK("http://www.rosaceae.org/Prunus/Prunus_persica/p.persica_gdr_reftransV1_0010774","p.persica_gdr_reftransV1_0010774")</f>
        <v>p.persica_gdr_reftransV1_0010774</v>
      </c>
      <c r="B5578" s="3">
        <v>2069</v>
      </c>
      <c r="C5578" s="1" t="str">
        <f>HYPERLINK("http://www.uniprot.org/uniprot/CCBS_OENBE","CCBS_OENBE")</f>
        <v>CCBS_OENBE</v>
      </c>
      <c r="D5578" t="s">
        <v>4706</v>
      </c>
      <c r="E5578" s="3" t="s">
        <v>2775</v>
      </c>
      <c r="F5578" s="4">
        <v>0</v>
      </c>
      <c r="G5578" s="3">
        <v>2561</v>
      </c>
      <c r="H5578" s="3">
        <v>88</v>
      </c>
      <c r="I5578" s="3">
        <v>579</v>
      </c>
      <c r="J5578" s="3">
        <v>159</v>
      </c>
      <c r="K5578" s="3">
        <v>1895</v>
      </c>
      <c r="L5578" s="3">
        <v>1</v>
      </c>
      <c r="M5578" s="3">
        <v>577</v>
      </c>
    </row>
    <row r="5579" spans="1:13" x14ac:dyDescent="0.25">
      <c r="A5579" s="1" t="str">
        <f>HYPERLINK("http://www.rosaceae.org/Prunus/Prunus_persica/p.persica_gdr_reftransV1_0010874","p.persica_gdr_reftransV1_0010874")</f>
        <v>p.persica_gdr_reftransV1_0010874</v>
      </c>
      <c r="B5579" s="3">
        <v>2223</v>
      </c>
      <c r="C5579" s="1" t="str">
        <f>HYPERLINK("http://www.uniprot.org/uniprot/CHX18_ARATH","CHX18_ARATH")</f>
        <v>CHX18_ARATH</v>
      </c>
      <c r="D5579" t="s">
        <v>543</v>
      </c>
      <c r="E5579" s="3" t="s">
        <v>3</v>
      </c>
      <c r="F5579" s="4">
        <v>0</v>
      </c>
      <c r="G5579" s="3">
        <v>2079</v>
      </c>
      <c r="H5579" s="3">
        <v>67</v>
      </c>
      <c r="I5579" s="3">
        <v>617</v>
      </c>
      <c r="J5579" s="3">
        <v>398</v>
      </c>
      <c r="K5579" s="3">
        <v>2221</v>
      </c>
      <c r="L5579" s="3">
        <v>180</v>
      </c>
      <c r="M5579" s="3">
        <v>792</v>
      </c>
    </row>
    <row r="5580" spans="1:13" x14ac:dyDescent="0.25">
      <c r="A5580" s="1" t="str">
        <f>HYPERLINK("http://www.rosaceae.org/Prunus/Prunus_persica/p.persica_gdr_reftransV1_0010924","p.persica_gdr_reftransV1_0010924")</f>
        <v>p.persica_gdr_reftransV1_0010924</v>
      </c>
      <c r="B5580" s="3">
        <v>2264</v>
      </c>
      <c r="C5580" s="1" t="str">
        <f>HYPERLINK("http://www.uniprot.org/uniprot/idD5_ARATH","idD5_ARATH")</f>
        <v>idD5_ARATH</v>
      </c>
      <c r="D5580" t="s">
        <v>874</v>
      </c>
      <c r="E5580" s="3" t="s">
        <v>3</v>
      </c>
      <c r="F5580" s="4">
        <v>9.9999999999999994E-30</v>
      </c>
      <c r="G5580" s="3">
        <v>323</v>
      </c>
      <c r="H5580" s="3">
        <v>96</v>
      </c>
      <c r="I5580" s="3">
        <v>57</v>
      </c>
      <c r="J5580" s="3">
        <v>2093</v>
      </c>
      <c r="K5580" s="3">
        <v>2263</v>
      </c>
      <c r="L5580" s="3">
        <v>160</v>
      </c>
      <c r="M5580" s="3">
        <v>216</v>
      </c>
    </row>
    <row r="5581" spans="1:13" x14ac:dyDescent="0.25">
      <c r="A5581" s="1" t="str">
        <f>HYPERLINK("http://www.rosaceae.org/Prunus/Prunus_persica/p.persica_gdr_reftransV1_0011174","p.persica_gdr_reftransV1_0011174")</f>
        <v>p.persica_gdr_reftransV1_0011174</v>
      </c>
      <c r="B5581" s="3">
        <v>721</v>
      </c>
      <c r="C5581" s="1" t="str">
        <f>HYPERLINK("http://www.uniprot.org/uniprot/CUT1A_ARATH","CUT1A_ARATH")</f>
        <v>CUT1A_ARATH</v>
      </c>
      <c r="D5581" t="s">
        <v>4707</v>
      </c>
      <c r="E5581" s="3" t="s">
        <v>3</v>
      </c>
      <c r="F5581" s="4">
        <v>2.2000000000000001E-31</v>
      </c>
      <c r="G5581" s="3">
        <v>297</v>
      </c>
      <c r="H5581" s="3">
        <v>61</v>
      </c>
      <c r="I5581" s="3">
        <v>109</v>
      </c>
      <c r="J5581" s="3">
        <v>133</v>
      </c>
      <c r="K5581" s="3">
        <v>450</v>
      </c>
      <c r="L5581" s="3">
        <v>13</v>
      </c>
      <c r="M5581" s="3">
        <v>120</v>
      </c>
    </row>
    <row r="5582" spans="1:13" x14ac:dyDescent="0.25">
      <c r="A5582" s="1" t="str">
        <f>HYPERLINK("http://www.rosaceae.org/Prunus/Prunus_persica/p.persica_gdr_reftransV1_0011274","p.persica_gdr_reftransV1_0011274")</f>
        <v>p.persica_gdr_reftransV1_0011274</v>
      </c>
      <c r="B5582" s="3">
        <v>1088</v>
      </c>
      <c r="C5582" s="1" t="str">
        <f>HYPERLINK("http://www.uniprot.org/uniprot/SAU36_ARATH","SAU36_ARATH")</f>
        <v>SAU36_ARATH</v>
      </c>
      <c r="D5582" t="s">
        <v>4708</v>
      </c>
      <c r="E5582" s="3" t="s">
        <v>3</v>
      </c>
      <c r="F5582" s="4">
        <v>1.17E-29</v>
      </c>
      <c r="G5582" s="3">
        <v>292</v>
      </c>
      <c r="H5582" s="3">
        <v>43</v>
      </c>
      <c r="I5582" s="3">
        <v>160</v>
      </c>
      <c r="J5582" s="3">
        <v>291</v>
      </c>
      <c r="K5582" s="3">
        <v>758</v>
      </c>
      <c r="L5582" s="3">
        <v>1</v>
      </c>
      <c r="M5582" s="3">
        <v>150</v>
      </c>
    </row>
    <row r="5583" spans="1:13" x14ac:dyDescent="0.25">
      <c r="A5583" s="1" t="str">
        <f>HYPERLINK("http://www.rosaceae.org/Prunus/Prunus_persica/p.persica_gdr_reftransV1_0011324","p.persica_gdr_reftransV1_0011324")</f>
        <v>p.persica_gdr_reftransV1_0011324</v>
      </c>
      <c r="B5583" s="3">
        <v>2622</v>
      </c>
      <c r="C5583" s="1" t="str">
        <f>HYPERLINK("http://www.uniprot.org/uniprot/DNAJ1_MYCLE","DNAJ1_MYCLE")</f>
        <v>DNAJ1_MYCLE</v>
      </c>
      <c r="D5583" t="s">
        <v>4709</v>
      </c>
      <c r="E5583" s="3" t="s">
        <v>4710</v>
      </c>
      <c r="F5583" s="4">
        <v>8.0999999999999999E-10</v>
      </c>
      <c r="G5583" s="3">
        <v>158</v>
      </c>
      <c r="H5583" s="3">
        <v>51</v>
      </c>
      <c r="I5583" s="3">
        <v>67</v>
      </c>
      <c r="J5583" s="3">
        <v>453</v>
      </c>
      <c r="K5583" s="3">
        <v>653</v>
      </c>
      <c r="L5583" s="3">
        <v>10</v>
      </c>
      <c r="M5583" s="3">
        <v>76</v>
      </c>
    </row>
    <row r="5584" spans="1:13" x14ac:dyDescent="0.25">
      <c r="A5584" s="1" t="str">
        <f>HYPERLINK("http://www.rosaceae.org/Prunus/Prunus_persica/p.persica_gdr_reftransV1_0011524","p.persica_gdr_reftransV1_0011524")</f>
        <v>p.persica_gdr_reftransV1_0011524</v>
      </c>
      <c r="B5584" s="3">
        <v>1108</v>
      </c>
      <c r="C5584" s="1" t="str">
        <f>HYPERLINK("http://www.uniprot.org/uniprot/R1B19_SOLDE","R1B19_SOLDE")</f>
        <v>R1B19_SOLDE</v>
      </c>
      <c r="D5584" t="s">
        <v>4711</v>
      </c>
      <c r="E5584" s="3" t="s">
        <v>4712</v>
      </c>
      <c r="F5584" s="4">
        <v>6.0599999999999999E-16</v>
      </c>
      <c r="G5584" s="3">
        <v>204</v>
      </c>
      <c r="H5584" s="3">
        <v>30</v>
      </c>
      <c r="I5584" s="3">
        <v>184</v>
      </c>
      <c r="J5584" s="3">
        <v>15</v>
      </c>
      <c r="K5584" s="3">
        <v>554</v>
      </c>
      <c r="L5584" s="3">
        <v>784</v>
      </c>
      <c r="M5584" s="3">
        <v>962</v>
      </c>
    </row>
    <row r="5585" spans="1:13" x14ac:dyDescent="0.25">
      <c r="A5585" s="1" t="str">
        <f>HYPERLINK("http://www.rosaceae.org/Prunus/Prunus_persica/p.persica_gdr_reftransV1_0011574","p.persica_gdr_reftransV1_0011574")</f>
        <v>p.persica_gdr_reftransV1_0011574</v>
      </c>
      <c r="B5585" s="3">
        <v>1348</v>
      </c>
      <c r="C5585" s="1" t="str">
        <f>HYPERLINK("http://www.uniprot.org/uniprot/CSK21_ARATH","CSK21_ARATH")</f>
        <v>CSK21_ARATH</v>
      </c>
      <c r="D5585" t="s">
        <v>3769</v>
      </c>
      <c r="E5585" s="3" t="s">
        <v>3</v>
      </c>
      <c r="F5585" s="4">
        <v>0</v>
      </c>
      <c r="G5585" s="3">
        <v>1567</v>
      </c>
      <c r="H5585" s="3">
        <v>94</v>
      </c>
      <c r="I5585" s="3">
        <v>327</v>
      </c>
      <c r="J5585" s="3">
        <v>1</v>
      </c>
      <c r="K5585" s="3">
        <v>981</v>
      </c>
      <c r="L5585" s="3">
        <v>82</v>
      </c>
      <c r="M5585" s="3">
        <v>408</v>
      </c>
    </row>
    <row r="5586" spans="1:13" x14ac:dyDescent="0.25">
      <c r="A5586" s="1" t="str">
        <f>HYPERLINK("http://www.rosaceae.org/Prunus/Prunus_persica/p.persica_gdr_reftransV1_0011674","p.persica_gdr_reftransV1_0011674")</f>
        <v>p.persica_gdr_reftransV1_0011674</v>
      </c>
      <c r="B5586" s="3">
        <v>1311</v>
      </c>
      <c r="C5586" s="1" t="str">
        <f>HYPERLINK("http://www.uniprot.org/uniprot/ANX4_FRAAN","ANX4_FRAAN")</f>
        <v>ANX4_FRAAN</v>
      </c>
      <c r="D5586" t="s">
        <v>4713</v>
      </c>
      <c r="E5586" s="3" t="s">
        <v>15</v>
      </c>
      <c r="F5586" s="4">
        <v>0</v>
      </c>
      <c r="G5586" s="3">
        <v>1359</v>
      </c>
      <c r="H5586" s="3">
        <v>83</v>
      </c>
      <c r="I5586" s="3">
        <v>314</v>
      </c>
      <c r="J5586" s="3">
        <v>101</v>
      </c>
      <c r="K5586" s="3">
        <v>1042</v>
      </c>
      <c r="L5586" s="3">
        <v>1</v>
      </c>
      <c r="M5586" s="3">
        <v>314</v>
      </c>
    </row>
    <row r="5587" spans="1:13" x14ac:dyDescent="0.25">
      <c r="A5587" s="1" t="str">
        <f>HYPERLINK("http://www.rosaceae.org/Prunus/Prunus_persica/p.persica_gdr_reftransV1_0011724","p.persica_gdr_reftransV1_0011724")</f>
        <v>p.persica_gdr_reftransV1_0011724</v>
      </c>
      <c r="B5587" s="3">
        <v>3130</v>
      </c>
      <c r="C5587" s="1" t="str">
        <f>HYPERLINK("http://www.uniprot.org/uniprot/IRX9H_ARATH","IRX9H_ARATH")</f>
        <v>IRX9H_ARATH</v>
      </c>
      <c r="D5587" t="s">
        <v>3383</v>
      </c>
      <c r="E5587" s="3" t="s">
        <v>3</v>
      </c>
      <c r="F5587" s="4">
        <v>6.2299999999999998E-52</v>
      </c>
      <c r="G5587" s="3">
        <v>489</v>
      </c>
      <c r="H5587" s="3">
        <v>40</v>
      </c>
      <c r="I5587" s="3">
        <v>300</v>
      </c>
      <c r="J5587" s="3">
        <v>736</v>
      </c>
      <c r="K5587" s="3">
        <v>1635</v>
      </c>
      <c r="L5587" s="3">
        <v>1</v>
      </c>
      <c r="M5587" s="3">
        <v>257</v>
      </c>
    </row>
    <row r="5588" spans="1:13" x14ac:dyDescent="0.25">
      <c r="A5588" s="1" t="str">
        <f>HYPERLINK("http://www.rosaceae.org/Prunus/Prunus_persica/p.persica_gdr_reftransV1_0011824","p.persica_gdr_reftransV1_0011824")</f>
        <v>p.persica_gdr_reftransV1_0011824</v>
      </c>
      <c r="B5588" s="3">
        <v>2845</v>
      </c>
      <c r="C5588" s="1" t="str">
        <f>HYPERLINK("http://www.uniprot.org/uniprot/HDA5_ARATH","HDA5_ARATH")</f>
        <v>HDA5_ARATH</v>
      </c>
      <c r="D5588" t="s">
        <v>4714</v>
      </c>
      <c r="E5588" s="3" t="s">
        <v>3</v>
      </c>
      <c r="F5588" s="4">
        <v>3.89E-146</v>
      </c>
      <c r="G5588" s="3">
        <v>1172</v>
      </c>
      <c r="H5588" s="3">
        <v>72</v>
      </c>
      <c r="I5588" s="3">
        <v>279</v>
      </c>
      <c r="J5588" s="3">
        <v>174</v>
      </c>
      <c r="K5588" s="3">
        <v>1010</v>
      </c>
      <c r="L5588" s="3">
        <v>14</v>
      </c>
      <c r="M5588" s="3">
        <v>292</v>
      </c>
    </row>
    <row r="5589" spans="1:13" x14ac:dyDescent="0.25">
      <c r="A5589" s="1" t="str">
        <f>HYPERLINK("http://www.rosaceae.org/Prunus/Prunus_persica/p.persica_gdr_reftransV1_0011924","p.persica_gdr_reftransV1_0011924")</f>
        <v>p.persica_gdr_reftransV1_0011924</v>
      </c>
      <c r="B5589" s="3">
        <v>3697</v>
      </c>
      <c r="C5589" s="1" t="str">
        <f>HYPERLINK("http://www.uniprot.org/uniprot/PPP7L_ARATH","PPP7L_ARATH")</f>
        <v>PPP7L_ARATH</v>
      </c>
      <c r="D5589" t="s">
        <v>4715</v>
      </c>
      <c r="E5589" s="3" t="s">
        <v>3</v>
      </c>
      <c r="F5589" s="4">
        <v>7.5800000000000004E-68</v>
      </c>
      <c r="G5589" s="3">
        <v>650</v>
      </c>
      <c r="H5589" s="3">
        <v>37</v>
      </c>
      <c r="I5589" s="3">
        <v>435</v>
      </c>
      <c r="J5589" s="3">
        <v>1195</v>
      </c>
      <c r="K5589" s="3">
        <v>2442</v>
      </c>
      <c r="L5589" s="3">
        <v>9</v>
      </c>
      <c r="M5589" s="3">
        <v>442</v>
      </c>
    </row>
    <row r="5590" spans="1:13" x14ac:dyDescent="0.25">
      <c r="A5590" s="1" t="str">
        <f>HYPERLINK("http://www.rosaceae.org/Prunus/Prunus_persica/p.persica_gdr_reftransV1_0012024","p.persica_gdr_reftransV1_0012024")</f>
        <v>p.persica_gdr_reftransV1_0012024</v>
      </c>
      <c r="B5590" s="3">
        <v>1032</v>
      </c>
      <c r="C5590" s="1" t="str">
        <f>HYPERLINK("http://www.uniprot.org/uniprot/PTR35_ARATH","PTR35_ARATH")</f>
        <v>PTR35_ARATH</v>
      </c>
      <c r="D5590" t="s">
        <v>4716</v>
      </c>
      <c r="E5590" s="3" t="s">
        <v>3</v>
      </c>
      <c r="F5590" s="4">
        <v>2.56E-117</v>
      </c>
      <c r="G5590" s="3">
        <v>913</v>
      </c>
      <c r="H5590" s="3">
        <v>56</v>
      </c>
      <c r="I5590" s="3">
        <v>332</v>
      </c>
      <c r="J5590" s="3">
        <v>41</v>
      </c>
      <c r="K5590" s="3">
        <v>1030</v>
      </c>
      <c r="L5590" s="3">
        <v>196</v>
      </c>
      <c r="M5590" s="3">
        <v>521</v>
      </c>
    </row>
    <row r="5591" spans="1:13" x14ac:dyDescent="0.25">
      <c r="A5591" s="1" t="str">
        <f>HYPERLINK("http://www.rosaceae.org/Prunus/Prunus_persica/p.persica_gdr_reftransV1_0012274","p.persica_gdr_reftransV1_0012274")</f>
        <v>p.persica_gdr_reftransV1_0012274</v>
      </c>
      <c r="B5591" s="3">
        <v>1686</v>
      </c>
      <c r="C5591" s="1" t="str">
        <f>HYPERLINK("http://www.uniprot.org/uniprot/ZIP5_ARATH","ZIP5_ARATH")</f>
        <v>ZIP5_ARATH</v>
      </c>
      <c r="D5591" t="s">
        <v>4717</v>
      </c>
      <c r="E5591" s="3" t="s">
        <v>3</v>
      </c>
      <c r="F5591" s="4">
        <v>1.07E-101</v>
      </c>
      <c r="G5591" s="3">
        <v>815</v>
      </c>
      <c r="H5591" s="3">
        <v>60</v>
      </c>
      <c r="I5591" s="3">
        <v>338</v>
      </c>
      <c r="J5591" s="3">
        <v>476</v>
      </c>
      <c r="K5591" s="3">
        <v>1468</v>
      </c>
      <c r="L5591" s="3">
        <v>30</v>
      </c>
      <c r="M5591" s="3">
        <v>360</v>
      </c>
    </row>
    <row r="5592" spans="1:13" x14ac:dyDescent="0.25">
      <c r="A5592" s="1" t="str">
        <f>HYPERLINK("http://www.rosaceae.org/Prunus/Prunus_persica/p.persica_gdr_reftransV1_0013124","p.persica_gdr_reftransV1_0013124")</f>
        <v>p.persica_gdr_reftransV1_0013124</v>
      </c>
      <c r="B5592" s="3">
        <v>3157</v>
      </c>
      <c r="C5592" s="1" t="str">
        <f>HYPERLINK("http://www.uniprot.org/uniprot/P2C02_ORYSJ","P2C02_ORYSJ")</f>
        <v>P2C02_ORYSJ</v>
      </c>
      <c r="D5592" t="s">
        <v>4718</v>
      </c>
      <c r="E5592" s="3" t="s">
        <v>38</v>
      </c>
      <c r="F5592" s="4">
        <v>1.5100000000000001E-85</v>
      </c>
      <c r="G5592" s="3">
        <v>734</v>
      </c>
      <c r="H5592" s="3">
        <v>72</v>
      </c>
      <c r="I5592" s="3">
        <v>193</v>
      </c>
      <c r="J5592" s="3">
        <v>2149</v>
      </c>
      <c r="K5592" s="3">
        <v>2715</v>
      </c>
      <c r="L5592" s="3">
        <v>185</v>
      </c>
      <c r="M5592" s="3">
        <v>377</v>
      </c>
    </row>
    <row r="5593" spans="1:13" x14ac:dyDescent="0.25">
      <c r="A5593" s="1" t="str">
        <f>HYPERLINK("http://www.rosaceae.org/Prunus/Prunus_persica/p.persica_gdr_reftransV1_0013374","p.persica_gdr_reftransV1_0013374")</f>
        <v>p.persica_gdr_reftransV1_0013374</v>
      </c>
      <c r="B5593" s="3">
        <v>2633</v>
      </c>
      <c r="C5593" s="1" t="str">
        <f>HYPERLINK("http://www.uniprot.org/uniprot/RLK1_ARATH","RLK1_ARATH")</f>
        <v>RLK1_ARATH</v>
      </c>
      <c r="D5593" t="s">
        <v>806</v>
      </c>
      <c r="E5593" s="3" t="s">
        <v>3</v>
      </c>
      <c r="F5593" s="4">
        <v>1.6099999999999999E-107</v>
      </c>
      <c r="G5593" s="3">
        <v>916</v>
      </c>
      <c r="H5593" s="3">
        <v>34</v>
      </c>
      <c r="I5593" s="3">
        <v>674</v>
      </c>
      <c r="J5593" s="3">
        <v>510</v>
      </c>
      <c r="K5593" s="3">
        <v>2441</v>
      </c>
      <c r="L5593" s="3">
        <v>156</v>
      </c>
      <c r="M5593" s="3">
        <v>811</v>
      </c>
    </row>
    <row r="5594" spans="1:13" x14ac:dyDescent="0.25">
      <c r="A5594" s="1" t="str">
        <f>HYPERLINK("http://www.rosaceae.org/Prunus/Prunus_persica/p.persica_gdr_reftransV1_0013474","p.persica_gdr_reftransV1_0013474")</f>
        <v>p.persica_gdr_reftransV1_0013474</v>
      </c>
      <c r="B5594" s="3">
        <v>1529</v>
      </c>
      <c r="C5594" s="1" t="str">
        <f>HYPERLINK("http://www.uniprot.org/uniprot/AI5L2_ARATH","AI5L2_ARATH")</f>
        <v>AI5L2_ARATH</v>
      </c>
      <c r="D5594" t="s">
        <v>4719</v>
      </c>
      <c r="E5594" s="3" t="s">
        <v>3</v>
      </c>
      <c r="F5594" s="4">
        <v>2.42E-85</v>
      </c>
      <c r="G5594" s="3">
        <v>695</v>
      </c>
      <c r="H5594" s="3">
        <v>57</v>
      </c>
      <c r="I5594" s="3">
        <v>311</v>
      </c>
      <c r="J5594" s="3">
        <v>211</v>
      </c>
      <c r="K5594" s="3">
        <v>1137</v>
      </c>
      <c r="L5594" s="3">
        <v>6</v>
      </c>
      <c r="M5594" s="3">
        <v>297</v>
      </c>
    </row>
    <row r="5595" spans="1:13" x14ac:dyDescent="0.25">
      <c r="A5595" s="1" t="str">
        <f>HYPERLINK("http://www.rosaceae.org/Prunus/Prunus_persica/p.persica_gdr_reftransV1_0013574","p.persica_gdr_reftransV1_0013574")</f>
        <v>p.persica_gdr_reftransV1_0013574</v>
      </c>
      <c r="B5595" s="3">
        <v>1188</v>
      </c>
      <c r="C5595" s="1" t="str">
        <f>HYPERLINK("http://www.uniprot.org/uniprot/TPC2B_HUMAN","TPC2B_HUMAN")</f>
        <v>TPC2B_HUMAN</v>
      </c>
      <c r="D5595" t="s">
        <v>4720</v>
      </c>
      <c r="E5595" s="3" t="s">
        <v>28</v>
      </c>
      <c r="F5595" s="4">
        <v>4.2599999999999998E-17</v>
      </c>
      <c r="G5595" s="3">
        <v>200</v>
      </c>
      <c r="H5595" s="3">
        <v>44</v>
      </c>
      <c r="I5595" s="3">
        <v>89</v>
      </c>
      <c r="J5595" s="3">
        <v>104</v>
      </c>
      <c r="K5595" s="3">
        <v>361</v>
      </c>
      <c r="L5595" s="3">
        <v>1</v>
      </c>
      <c r="M5595" s="3">
        <v>89</v>
      </c>
    </row>
    <row r="5596" spans="1:13" x14ac:dyDescent="0.25">
      <c r="A5596" s="1" t="str">
        <f>HYPERLINK("http://www.rosaceae.org/Prunus/Prunus_persica/p.persica_gdr_reftransV1_0013624","p.persica_gdr_reftransV1_0013624")</f>
        <v>p.persica_gdr_reftransV1_0013624</v>
      </c>
      <c r="B5596" s="3">
        <v>2140</v>
      </c>
      <c r="C5596" s="1" t="str">
        <f>HYPERLINK("http://www.uniprot.org/uniprot/HFB2B_ARATH","HFB2B_ARATH")</f>
        <v>HFB2B_ARATH</v>
      </c>
      <c r="D5596" t="s">
        <v>4721</v>
      </c>
      <c r="E5596" s="3" t="s">
        <v>3</v>
      </c>
      <c r="F5596" s="4">
        <v>3.7899999999999998E-73</v>
      </c>
      <c r="G5596" s="3">
        <v>632</v>
      </c>
      <c r="H5596" s="3">
        <v>46</v>
      </c>
      <c r="I5596" s="3">
        <v>373</v>
      </c>
      <c r="J5596" s="3">
        <v>562</v>
      </c>
      <c r="K5596" s="3">
        <v>1593</v>
      </c>
      <c r="L5596" s="3">
        <v>51</v>
      </c>
      <c r="M5596" s="3">
        <v>377</v>
      </c>
    </row>
    <row r="5597" spans="1:13" x14ac:dyDescent="0.25">
      <c r="A5597" s="1" t="str">
        <f>HYPERLINK("http://www.rosaceae.org/Prunus/Prunus_persica/p.persica_gdr_reftransV1_0013674","p.persica_gdr_reftransV1_0013674")</f>
        <v>p.persica_gdr_reftransV1_0013674</v>
      </c>
      <c r="B5597" s="3">
        <v>2967</v>
      </c>
      <c r="C5597" s="1" t="str">
        <f>HYPERLINK("http://www.uniprot.org/uniprot/AB15G_ARATH","AB15G_ARATH")</f>
        <v>AB15G_ARATH</v>
      </c>
      <c r="D5597" t="s">
        <v>4722</v>
      </c>
      <c r="E5597" s="3" t="s">
        <v>3</v>
      </c>
      <c r="F5597" s="4">
        <v>2.96E-177</v>
      </c>
      <c r="G5597" s="3">
        <v>1389</v>
      </c>
      <c r="H5597" s="3">
        <v>81</v>
      </c>
      <c r="I5597" s="3">
        <v>319</v>
      </c>
      <c r="J5597" s="3">
        <v>106</v>
      </c>
      <c r="K5597" s="3">
        <v>1062</v>
      </c>
      <c r="L5597" s="3">
        <v>23</v>
      </c>
      <c r="M5597" s="3">
        <v>340</v>
      </c>
    </row>
    <row r="5598" spans="1:13" x14ac:dyDescent="0.25">
      <c r="A5598" s="1" t="str">
        <f>HYPERLINK("http://www.rosaceae.org/Prunus/Prunus_persica/p.persica_gdr_reftransV1_0013724","p.persica_gdr_reftransV1_0013724")</f>
        <v>p.persica_gdr_reftransV1_0013724</v>
      </c>
      <c r="B5598" s="3">
        <v>1102</v>
      </c>
      <c r="C5598" s="1" t="str">
        <f>HYPERLINK("http://www.uniprot.org/uniprot/CVIF2_ARATH","CVIF2_ARATH")</f>
        <v>CVIF2_ARATH</v>
      </c>
      <c r="D5598" t="s">
        <v>4723</v>
      </c>
      <c r="E5598" s="3" t="s">
        <v>3</v>
      </c>
      <c r="F5598" s="4">
        <v>6.54E-51</v>
      </c>
      <c r="G5598" s="3">
        <v>441</v>
      </c>
      <c r="H5598" s="3">
        <v>54</v>
      </c>
      <c r="I5598" s="3">
        <v>160</v>
      </c>
      <c r="J5598" s="3">
        <v>414</v>
      </c>
      <c r="K5598" s="3">
        <v>884</v>
      </c>
      <c r="L5598" s="3">
        <v>20</v>
      </c>
      <c r="M5598" s="3">
        <v>178</v>
      </c>
    </row>
    <row r="5599" spans="1:13" x14ac:dyDescent="0.25">
      <c r="A5599" s="1" t="str">
        <f>HYPERLINK("http://www.rosaceae.org/Prunus/Prunus_persica/p.persica_gdr_reftransV1_0013824","p.persica_gdr_reftransV1_0013824")</f>
        <v>p.persica_gdr_reftransV1_0013824</v>
      </c>
      <c r="B5599" s="3">
        <v>1505</v>
      </c>
      <c r="C5599" s="1" t="str">
        <f>HYPERLINK("http://www.uniprot.org/uniprot/PSUG_BREBN","PSUG_BREBN")</f>
        <v>PSUG_BREBN</v>
      </c>
      <c r="D5599" t="s">
        <v>4724</v>
      </c>
      <c r="E5599" s="3" t="s">
        <v>4725</v>
      </c>
      <c r="F5599" s="4">
        <v>1.85E-101</v>
      </c>
      <c r="G5599" s="3">
        <v>803</v>
      </c>
      <c r="H5599" s="3">
        <v>55</v>
      </c>
      <c r="I5599" s="3">
        <v>300</v>
      </c>
      <c r="J5599" s="3">
        <v>217</v>
      </c>
      <c r="K5599" s="3">
        <v>1116</v>
      </c>
      <c r="L5599" s="3">
        <v>4</v>
      </c>
      <c r="M5599" s="3">
        <v>302</v>
      </c>
    </row>
    <row r="5600" spans="1:13" x14ac:dyDescent="0.25">
      <c r="A5600" s="1" t="str">
        <f>HYPERLINK("http://www.rosaceae.org/Prunus/Prunus_persica/p.persica_gdr_reftransV1_0014074","p.persica_gdr_reftransV1_0014074")</f>
        <v>p.persica_gdr_reftransV1_0014074</v>
      </c>
      <c r="B5600" s="3">
        <v>917</v>
      </c>
      <c r="C5600" s="1" t="str">
        <f>HYPERLINK("http://www.uniprot.org/uniprot/AML5_ARATH","AML5_ARATH")</f>
        <v>AML5_ARATH</v>
      </c>
      <c r="D5600" t="s">
        <v>4726</v>
      </c>
      <c r="E5600" s="3" t="s">
        <v>3</v>
      </c>
      <c r="F5600" s="4">
        <v>2.9099999999999998E-68</v>
      </c>
      <c r="G5600" s="3">
        <v>592</v>
      </c>
      <c r="H5600" s="3">
        <v>63</v>
      </c>
      <c r="I5600" s="3">
        <v>211</v>
      </c>
      <c r="J5600" s="3">
        <v>3</v>
      </c>
      <c r="K5600" s="3">
        <v>632</v>
      </c>
      <c r="L5600" s="3">
        <v>22</v>
      </c>
      <c r="M5600" s="3">
        <v>221</v>
      </c>
    </row>
    <row r="5601" spans="1:13" x14ac:dyDescent="0.25">
      <c r="A5601" s="1" t="str">
        <f>HYPERLINK("http://www.rosaceae.org/Prunus/Prunus_persica/p.persica_gdr_reftransV1_0014324","p.persica_gdr_reftransV1_0014324")</f>
        <v>p.persica_gdr_reftransV1_0014324</v>
      </c>
      <c r="B5601" s="3">
        <v>2966</v>
      </c>
      <c r="C5601" s="1" t="str">
        <f>HYPERLINK("http://www.uniprot.org/uniprot/CTBP_ARATH","CTBP_ARATH")</f>
        <v>CTBP_ARATH</v>
      </c>
      <c r="D5601" t="s">
        <v>4727</v>
      </c>
      <c r="E5601" s="3" t="s">
        <v>3</v>
      </c>
      <c r="F5601" s="4">
        <v>0</v>
      </c>
      <c r="G5601" s="3">
        <v>2178</v>
      </c>
      <c r="H5601" s="3">
        <v>72</v>
      </c>
      <c r="I5601" s="3">
        <v>644</v>
      </c>
      <c r="J5601" s="3">
        <v>766</v>
      </c>
      <c r="K5601" s="3">
        <v>2685</v>
      </c>
      <c r="L5601" s="3">
        <v>4</v>
      </c>
      <c r="M5601" s="3">
        <v>636</v>
      </c>
    </row>
    <row r="5602" spans="1:13" x14ac:dyDescent="0.25">
      <c r="A5602" s="1" t="str">
        <f>HYPERLINK("http://www.rosaceae.org/Prunus/Prunus_persica/p.persica_gdr_reftransV1_0014374","p.persica_gdr_reftransV1_0014374")</f>
        <v>p.persica_gdr_reftransV1_0014374</v>
      </c>
      <c r="B5602" s="3">
        <v>681</v>
      </c>
      <c r="C5602" s="1" t="str">
        <f>HYPERLINK("http://www.uniprot.org/uniprot/TMVRN_NICGU","TMVRN_NICGU")</f>
        <v>TMVRN_NICGU</v>
      </c>
      <c r="D5602" t="s">
        <v>151</v>
      </c>
      <c r="E5602" s="3" t="s">
        <v>152</v>
      </c>
      <c r="F5602" s="4">
        <v>9.2499999999999996E-54</v>
      </c>
      <c r="G5602" s="3">
        <v>485</v>
      </c>
      <c r="H5602" s="3">
        <v>50</v>
      </c>
      <c r="I5602" s="3">
        <v>223</v>
      </c>
      <c r="J5602" s="3">
        <v>5</v>
      </c>
      <c r="K5602" s="3">
        <v>670</v>
      </c>
      <c r="L5602" s="3">
        <v>12</v>
      </c>
      <c r="M5602" s="3">
        <v>233</v>
      </c>
    </row>
    <row r="5603" spans="1:13" x14ac:dyDescent="0.25">
      <c r="A5603" s="1" t="str">
        <f>HYPERLINK("http://www.rosaceae.org/Prunus/Prunus_persica/p.persica_gdr_reftransV1_0014474","p.persica_gdr_reftransV1_0014474")</f>
        <v>p.persica_gdr_reftransV1_0014474</v>
      </c>
      <c r="B5603" s="3">
        <v>1806</v>
      </c>
      <c r="C5603" s="1" t="str">
        <f>HYPERLINK("http://www.uniprot.org/uniprot/PPDEX_ARATH","PPDEX_ARATH")</f>
        <v>PPDEX_ARATH</v>
      </c>
      <c r="D5603" t="s">
        <v>3683</v>
      </c>
      <c r="E5603" s="3" t="s">
        <v>3</v>
      </c>
      <c r="F5603" s="4">
        <v>2.4200000000000001E-62</v>
      </c>
      <c r="G5603" s="3">
        <v>538</v>
      </c>
      <c r="H5603" s="3">
        <v>54</v>
      </c>
      <c r="I5603" s="3">
        <v>157</v>
      </c>
      <c r="J5603" s="3">
        <v>720</v>
      </c>
      <c r="K5603" s="3">
        <v>1190</v>
      </c>
      <c r="L5603" s="3">
        <v>26</v>
      </c>
      <c r="M5603" s="3">
        <v>182</v>
      </c>
    </row>
    <row r="5604" spans="1:13" x14ac:dyDescent="0.25">
      <c r="A5604" s="1" t="str">
        <f>HYPERLINK("http://www.rosaceae.org/Prunus/Prunus_persica/p.persica_gdr_reftransV1_0014674","p.persica_gdr_reftransV1_0014674")</f>
        <v>p.persica_gdr_reftransV1_0014674</v>
      </c>
      <c r="B5604" s="3">
        <v>1110</v>
      </c>
      <c r="C5604" s="1" t="str">
        <f>HYPERLINK("http://www.uniprot.org/uniprot/PFKA3_ARATH","PFKA3_ARATH")</f>
        <v>PFKA3_ARATH</v>
      </c>
      <c r="D5604" t="s">
        <v>1362</v>
      </c>
      <c r="E5604" s="3" t="s">
        <v>3</v>
      </c>
      <c r="F5604" s="4">
        <v>2.12E-157</v>
      </c>
      <c r="G5604" s="3">
        <v>1179</v>
      </c>
      <c r="H5604" s="3">
        <v>79</v>
      </c>
      <c r="I5604" s="3">
        <v>284</v>
      </c>
      <c r="J5604" s="3">
        <v>3</v>
      </c>
      <c r="K5604" s="3">
        <v>848</v>
      </c>
      <c r="L5604" s="3">
        <v>206</v>
      </c>
      <c r="M5604" s="3">
        <v>488</v>
      </c>
    </row>
    <row r="5605" spans="1:13" x14ac:dyDescent="0.25">
      <c r="A5605" s="1" t="str">
        <f>HYPERLINK("http://www.rosaceae.org/Prunus/Prunus_persica/p.persica_gdr_reftransV1_0014724","p.persica_gdr_reftransV1_0014724")</f>
        <v>p.persica_gdr_reftransV1_0014724</v>
      </c>
      <c r="B5605" s="3">
        <v>1573</v>
      </c>
      <c r="C5605" s="1" t="str">
        <f>HYPERLINK("http://www.uniprot.org/uniprot/IAA9_ARATH","IAA9_ARATH")</f>
        <v>IAA9_ARATH</v>
      </c>
      <c r="D5605" t="s">
        <v>4728</v>
      </c>
      <c r="E5605" s="3" t="s">
        <v>3</v>
      </c>
      <c r="F5605" s="4">
        <v>1.0799999999999999E-119</v>
      </c>
      <c r="G5605" s="3">
        <v>930</v>
      </c>
      <c r="H5605" s="3">
        <v>59</v>
      </c>
      <c r="I5605" s="3">
        <v>353</v>
      </c>
      <c r="J5605" s="3">
        <v>1</v>
      </c>
      <c r="K5605" s="3">
        <v>1056</v>
      </c>
      <c r="L5605" s="3">
        <v>1</v>
      </c>
      <c r="M5605" s="3">
        <v>310</v>
      </c>
    </row>
    <row r="5606" spans="1:13" x14ac:dyDescent="0.25">
      <c r="A5606" s="1" t="str">
        <f>HYPERLINK("http://www.rosaceae.org/Prunus/Prunus_persica/p.persica_gdr_reftransV1_0014774","p.persica_gdr_reftransV1_0014774")</f>
        <v>p.persica_gdr_reftransV1_0014774</v>
      </c>
      <c r="B5606" s="3">
        <v>740</v>
      </c>
      <c r="C5606" s="1" t="str">
        <f>HYPERLINK("http://www.uniprot.org/uniprot/DNAJ_RUEPO","DNAJ_RUEPO")</f>
        <v>DNAJ_RUEPO</v>
      </c>
      <c r="D5606" t="s">
        <v>4729</v>
      </c>
      <c r="E5606" s="3" t="s">
        <v>4730</v>
      </c>
      <c r="F5606" s="4">
        <v>1.7800000000000001E-27</v>
      </c>
      <c r="G5606" s="3">
        <v>281</v>
      </c>
      <c r="H5606" s="3">
        <v>72</v>
      </c>
      <c r="I5606" s="3">
        <v>75</v>
      </c>
      <c r="J5606" s="3">
        <v>476</v>
      </c>
      <c r="K5606" s="3">
        <v>700</v>
      </c>
      <c r="L5606" s="3">
        <v>1</v>
      </c>
      <c r="M5606" s="3">
        <v>75</v>
      </c>
    </row>
    <row r="5607" spans="1:13" x14ac:dyDescent="0.25">
      <c r="A5607" s="1" t="str">
        <f>HYPERLINK("http://www.rosaceae.org/Prunus/Prunus_persica/p.persica_gdr_reftransV1_0014824","p.persica_gdr_reftransV1_0014824")</f>
        <v>p.persica_gdr_reftransV1_0014824</v>
      </c>
      <c r="B5607" s="3">
        <v>1415</v>
      </c>
      <c r="C5607" s="1" t="str">
        <f>HYPERLINK("http://www.uniprot.org/uniprot/MAKR1_ARATH","MAKR1_ARATH")</f>
        <v>MAKR1_ARATH</v>
      </c>
      <c r="D5607" t="s">
        <v>4731</v>
      </c>
      <c r="E5607" s="3" t="s">
        <v>3</v>
      </c>
      <c r="F5607" s="4">
        <v>4.3599999999999999E-7</v>
      </c>
      <c r="G5607" s="3">
        <v>132</v>
      </c>
      <c r="H5607" s="3">
        <v>41</v>
      </c>
      <c r="I5607" s="3">
        <v>113</v>
      </c>
      <c r="J5607" s="3">
        <v>932</v>
      </c>
      <c r="K5607" s="3">
        <v>1270</v>
      </c>
      <c r="L5607" s="3">
        <v>117</v>
      </c>
      <c r="M5607" s="3">
        <v>204</v>
      </c>
    </row>
    <row r="5608" spans="1:13" x14ac:dyDescent="0.25">
      <c r="A5608" s="1" t="str">
        <f>HYPERLINK("http://www.rosaceae.org/Prunus/Prunus_persica/p.persica_gdr_reftransV1_0015074","p.persica_gdr_reftransV1_0015074")</f>
        <v>p.persica_gdr_reftransV1_0015074</v>
      </c>
      <c r="B5608" s="3">
        <v>1552</v>
      </c>
      <c r="C5608" s="1" t="str">
        <f>HYPERLINK("http://www.uniprot.org/uniprot/MTX_ARATH","MTX_ARATH")</f>
        <v>MTX_ARATH</v>
      </c>
      <c r="D5608" t="s">
        <v>4732</v>
      </c>
      <c r="E5608" s="3" t="s">
        <v>3</v>
      </c>
      <c r="F5608" s="4">
        <v>9.6000000000000002E-98</v>
      </c>
      <c r="G5608" s="3">
        <v>781</v>
      </c>
      <c r="H5608" s="3">
        <v>58</v>
      </c>
      <c r="I5608" s="3">
        <v>295</v>
      </c>
      <c r="J5608" s="3">
        <v>524</v>
      </c>
      <c r="K5608" s="3">
        <v>1408</v>
      </c>
      <c r="L5608" s="3">
        <v>10</v>
      </c>
      <c r="M5608" s="3">
        <v>301</v>
      </c>
    </row>
    <row r="5609" spans="1:13" x14ac:dyDescent="0.25">
      <c r="A5609" s="1" t="str">
        <f>HYPERLINK("http://www.rosaceae.org/Prunus/Prunus_persica/p.persica_gdr_reftransV1_0015124","p.persica_gdr_reftransV1_0015124")</f>
        <v>p.persica_gdr_reftransV1_0015124</v>
      </c>
      <c r="B5609" s="3">
        <v>1134</v>
      </c>
      <c r="C5609" s="1" t="str">
        <f>HYPERLINK("http://www.uniprot.org/uniprot/SWI3B_ARATH","SWI3B_ARATH")</f>
        <v>SWI3B_ARATH</v>
      </c>
      <c r="D5609" t="s">
        <v>4733</v>
      </c>
      <c r="E5609" s="3" t="s">
        <v>3</v>
      </c>
      <c r="F5609" s="4">
        <v>4.0399999999999999E-84</v>
      </c>
      <c r="G5609" s="3">
        <v>690</v>
      </c>
      <c r="H5609" s="3">
        <v>47</v>
      </c>
      <c r="I5609" s="3">
        <v>327</v>
      </c>
      <c r="J5609" s="3">
        <v>33</v>
      </c>
      <c r="K5609" s="3">
        <v>998</v>
      </c>
      <c r="L5609" s="3">
        <v>155</v>
      </c>
      <c r="M5609" s="3">
        <v>468</v>
      </c>
    </row>
    <row r="5610" spans="1:13" x14ac:dyDescent="0.25">
      <c r="A5610" s="1" t="str">
        <f>HYPERLINK("http://www.rosaceae.org/Prunus/Prunus_persica/p.persica_gdr_reftransV1_0015274","p.persica_gdr_reftransV1_0015274")</f>
        <v>p.persica_gdr_reftransV1_0015274</v>
      </c>
      <c r="B5610" s="3">
        <v>1964</v>
      </c>
      <c r="C5610" s="1" t="str">
        <f>HYPERLINK("http://www.uniprot.org/uniprot/RPS6C_ARATH","RPS6C_ARATH")</f>
        <v>RPS6C_ARATH</v>
      </c>
      <c r="D5610" t="s">
        <v>4117</v>
      </c>
      <c r="E5610" s="3" t="s">
        <v>3</v>
      </c>
      <c r="F5610" s="4">
        <v>5.8800000000000005E-29</v>
      </c>
      <c r="G5610" s="3">
        <v>319</v>
      </c>
      <c r="H5610" s="3">
        <v>30</v>
      </c>
      <c r="I5610" s="3">
        <v>349</v>
      </c>
      <c r="J5610" s="3">
        <v>885</v>
      </c>
      <c r="K5610" s="3">
        <v>1823</v>
      </c>
      <c r="L5610" s="3">
        <v>514</v>
      </c>
      <c r="M5610" s="3">
        <v>841</v>
      </c>
    </row>
    <row r="5611" spans="1:13" x14ac:dyDescent="0.25">
      <c r="A5611" s="1" t="str">
        <f>HYPERLINK("http://www.rosaceae.org/Prunus/Prunus_persica/p.persica_gdr_reftransV1_0015524","p.persica_gdr_reftransV1_0015524")</f>
        <v>p.persica_gdr_reftransV1_0015524</v>
      </c>
      <c r="B5611" s="3">
        <v>2012</v>
      </c>
      <c r="C5611" s="1" t="str">
        <f>HYPERLINK("http://www.uniprot.org/uniprot/HSDD3_ARATH","HSDD3_ARATH")</f>
        <v>HSDD3_ARATH</v>
      </c>
      <c r="D5611" t="s">
        <v>4669</v>
      </c>
      <c r="E5611" s="3" t="s">
        <v>3</v>
      </c>
      <c r="F5611" s="4">
        <v>2.72E-129</v>
      </c>
      <c r="G5611" s="3">
        <v>1028</v>
      </c>
      <c r="H5611" s="3">
        <v>58</v>
      </c>
      <c r="I5611" s="3">
        <v>349</v>
      </c>
      <c r="J5611" s="3">
        <v>771</v>
      </c>
      <c r="K5611" s="3">
        <v>1817</v>
      </c>
      <c r="L5611" s="3">
        <v>38</v>
      </c>
      <c r="M5611" s="3">
        <v>378</v>
      </c>
    </row>
    <row r="5612" spans="1:13" x14ac:dyDescent="0.25">
      <c r="A5612" s="1" t="str">
        <f>HYPERLINK("http://www.rosaceae.org/Prunus/Prunus_persica/p.persica_gdr_reftransV1_0015574","p.persica_gdr_reftransV1_0015574")</f>
        <v>p.persica_gdr_reftransV1_0015574</v>
      </c>
      <c r="B5612" s="3">
        <v>685</v>
      </c>
      <c r="C5612" s="1" t="str">
        <f>HYPERLINK("http://www.uniprot.org/uniprot/RBG2_ARATH","RBG2_ARATH")</f>
        <v>RBG2_ARATH</v>
      </c>
      <c r="D5612" t="s">
        <v>4734</v>
      </c>
      <c r="E5612" s="3" t="s">
        <v>3</v>
      </c>
      <c r="F5612" s="4">
        <v>1.9099999999999999E-36</v>
      </c>
      <c r="G5612" s="3">
        <v>330</v>
      </c>
      <c r="H5612" s="3">
        <v>61</v>
      </c>
      <c r="I5612" s="3">
        <v>99</v>
      </c>
      <c r="J5612" s="3">
        <v>151</v>
      </c>
      <c r="K5612" s="3">
        <v>447</v>
      </c>
      <c r="L5612" s="3">
        <v>1</v>
      </c>
      <c r="M5612" s="3">
        <v>99</v>
      </c>
    </row>
    <row r="5613" spans="1:13" x14ac:dyDescent="0.25">
      <c r="A5613" s="1" t="str">
        <f>HYPERLINK("http://www.rosaceae.org/Prunus/Prunus_persica/p.persica_gdr_reftransV1_0015674","p.persica_gdr_reftransV1_0015674")</f>
        <v>p.persica_gdr_reftransV1_0015674</v>
      </c>
      <c r="B5613" s="3">
        <v>2267</v>
      </c>
      <c r="C5613" s="1" t="str">
        <f>HYPERLINK("http://www.uniprot.org/uniprot/SRO5_ARATH","SRO5_ARATH")</f>
        <v>SRO5_ARATH</v>
      </c>
      <c r="D5613" t="s">
        <v>4735</v>
      </c>
      <c r="E5613" s="3" t="s">
        <v>3</v>
      </c>
      <c r="F5613" s="4">
        <v>3.3499999999999998E-75</v>
      </c>
      <c r="G5613" s="3">
        <v>643</v>
      </c>
      <c r="H5613" s="3">
        <v>47</v>
      </c>
      <c r="I5613" s="3">
        <v>279</v>
      </c>
      <c r="J5613" s="3">
        <v>458</v>
      </c>
      <c r="K5613" s="3">
        <v>1285</v>
      </c>
      <c r="L5613" s="3">
        <v>41</v>
      </c>
      <c r="M5613" s="3">
        <v>307</v>
      </c>
    </row>
    <row r="5614" spans="1:13" x14ac:dyDescent="0.25">
      <c r="A5614" s="1" t="str">
        <f>HYPERLINK("http://www.rosaceae.org/Prunus/Prunus_persica/p.persica_gdr_reftransV1_0016224","p.persica_gdr_reftransV1_0016224")</f>
        <v>p.persica_gdr_reftransV1_0016224</v>
      </c>
      <c r="B5614" s="3">
        <v>955</v>
      </c>
      <c r="C5614" s="1" t="str">
        <f>HYPERLINK("http://www.uniprot.org/uniprot/LHTL8_ARATH","LHTL8_ARATH")</f>
        <v>LHTL8_ARATH</v>
      </c>
      <c r="D5614" t="s">
        <v>1580</v>
      </c>
      <c r="E5614" s="3" t="s">
        <v>3</v>
      </c>
      <c r="F5614" s="4">
        <v>1.32E-79</v>
      </c>
      <c r="G5614" s="3">
        <v>657</v>
      </c>
      <c r="H5614" s="3">
        <v>54</v>
      </c>
      <c r="I5614" s="3">
        <v>265</v>
      </c>
      <c r="J5614" s="3">
        <v>159</v>
      </c>
      <c r="K5614" s="3">
        <v>953</v>
      </c>
      <c r="L5614" s="3">
        <v>255</v>
      </c>
      <c r="M5614" s="3">
        <v>517</v>
      </c>
    </row>
    <row r="5615" spans="1:13" x14ac:dyDescent="0.25">
      <c r="A5615" s="1" t="str">
        <f>HYPERLINK("http://www.rosaceae.org/Prunus/Prunus_persica/p.persica_gdr_reftransV1_0016424","p.persica_gdr_reftransV1_0016424")</f>
        <v>p.persica_gdr_reftransV1_0016424</v>
      </c>
      <c r="B5615" s="3">
        <v>4120</v>
      </c>
      <c r="C5615" s="1" t="str">
        <f>HYPERLINK("http://www.uniprot.org/uniprot/TIC_ARATH","TIC_ARATH")</f>
        <v>TIC_ARATH</v>
      </c>
      <c r="D5615" t="s">
        <v>311</v>
      </c>
      <c r="E5615" s="3" t="s">
        <v>3</v>
      </c>
      <c r="F5615" s="4">
        <v>1.67E-50</v>
      </c>
      <c r="G5615" s="3">
        <v>509</v>
      </c>
      <c r="H5615" s="3">
        <v>31</v>
      </c>
      <c r="I5615" s="3">
        <v>729</v>
      </c>
      <c r="J5615" s="3">
        <v>994</v>
      </c>
      <c r="K5615" s="3">
        <v>2892</v>
      </c>
      <c r="L5615" s="3">
        <v>445</v>
      </c>
      <c r="M5615" s="3">
        <v>1133</v>
      </c>
    </row>
    <row r="5616" spans="1:13" x14ac:dyDescent="0.25">
      <c r="A5616" s="1" t="str">
        <f>HYPERLINK("http://www.rosaceae.org/Prunus/Prunus_persica/p.persica_gdr_reftransV1_0016474","p.persica_gdr_reftransV1_0016474")</f>
        <v>p.persica_gdr_reftransV1_0016474</v>
      </c>
      <c r="B5616" s="3">
        <v>1990</v>
      </c>
      <c r="C5616" s="1" t="str">
        <f>HYPERLINK("http://www.uniprot.org/uniprot/PP320_ARATH","PP320_ARATH")</f>
        <v>PP320_ARATH</v>
      </c>
      <c r="D5616" t="s">
        <v>579</v>
      </c>
      <c r="E5616" s="3" t="s">
        <v>3</v>
      </c>
      <c r="F5616" s="4">
        <v>0</v>
      </c>
      <c r="G5616" s="3">
        <v>2091</v>
      </c>
      <c r="H5616" s="3">
        <v>68</v>
      </c>
      <c r="I5616" s="3">
        <v>560</v>
      </c>
      <c r="J5616" s="3">
        <v>7</v>
      </c>
      <c r="K5616" s="3">
        <v>1680</v>
      </c>
      <c r="L5616" s="3">
        <v>312</v>
      </c>
      <c r="M5616" s="3">
        <v>871</v>
      </c>
    </row>
    <row r="5617" spans="1:13" x14ac:dyDescent="0.25">
      <c r="A5617" s="1" t="str">
        <f>HYPERLINK("http://www.rosaceae.org/Prunus/Prunus_persica/p.persica_gdr_reftransV1_0016574","p.persica_gdr_reftransV1_0016574")</f>
        <v>p.persica_gdr_reftransV1_0016574</v>
      </c>
      <c r="B5617" s="3">
        <v>867</v>
      </c>
      <c r="C5617" s="1" t="str">
        <f>HYPERLINK("http://www.uniprot.org/uniprot/PB27A_ARATH","PB27A_ARATH")</f>
        <v>PB27A_ARATH</v>
      </c>
      <c r="D5617" t="s">
        <v>4736</v>
      </c>
      <c r="E5617" s="3" t="s">
        <v>3</v>
      </c>
      <c r="F5617" s="4">
        <v>3.0399999999999998E-57</v>
      </c>
      <c r="G5617" s="3">
        <v>476</v>
      </c>
      <c r="H5617" s="3">
        <v>71</v>
      </c>
      <c r="I5617" s="3">
        <v>136</v>
      </c>
      <c r="J5617" s="3">
        <v>276</v>
      </c>
      <c r="K5617" s="3">
        <v>683</v>
      </c>
      <c r="L5617" s="3">
        <v>41</v>
      </c>
      <c r="M5617" s="3">
        <v>174</v>
      </c>
    </row>
    <row r="5618" spans="1:13" x14ac:dyDescent="0.25">
      <c r="A5618" s="1" t="str">
        <f>HYPERLINK("http://www.rosaceae.org/Prunus/Prunus_persica/p.persica_gdr_reftransV1_0016624","p.persica_gdr_reftransV1_0016624")</f>
        <v>p.persica_gdr_reftransV1_0016624</v>
      </c>
      <c r="B5618" s="3">
        <v>4603</v>
      </c>
      <c r="C5618" s="1" t="str">
        <f>HYPERLINK("http://www.uniprot.org/uniprot/XDH1_ARATH","XDH1_ARATH")</f>
        <v>XDH1_ARATH</v>
      </c>
      <c r="D5618" t="s">
        <v>4737</v>
      </c>
      <c r="E5618" s="3" t="s">
        <v>3</v>
      </c>
      <c r="F5618" s="4">
        <v>0</v>
      </c>
      <c r="G5618" s="3">
        <v>5342</v>
      </c>
      <c r="H5618" s="3">
        <v>75</v>
      </c>
      <c r="I5618" s="3">
        <v>1403</v>
      </c>
      <c r="J5618" s="3">
        <v>147</v>
      </c>
      <c r="K5618" s="3">
        <v>4355</v>
      </c>
      <c r="L5618" s="3">
        <v>1</v>
      </c>
      <c r="M5618" s="3">
        <v>1361</v>
      </c>
    </row>
    <row r="5619" spans="1:13" x14ac:dyDescent="0.25">
      <c r="A5619" s="1" t="str">
        <f>HYPERLINK("http://www.rosaceae.org/Prunus/Prunus_persica/p.persica_gdr_reftransV1_0016724","p.persica_gdr_reftransV1_0016724")</f>
        <v>p.persica_gdr_reftransV1_0016724</v>
      </c>
      <c r="B5619" s="3">
        <v>2010</v>
      </c>
      <c r="C5619" s="1" t="str">
        <f>HYPERLINK("http://www.uniprot.org/uniprot/DCVR_CUCSA","DCVR_CUCSA")</f>
        <v>DCVR_CUCSA</v>
      </c>
      <c r="D5619" t="s">
        <v>4738</v>
      </c>
      <c r="E5619" s="3" t="s">
        <v>1149</v>
      </c>
      <c r="F5619" s="4">
        <v>0</v>
      </c>
      <c r="G5619" s="3">
        <v>1618</v>
      </c>
      <c r="H5619" s="3">
        <v>75</v>
      </c>
      <c r="I5619" s="3">
        <v>420</v>
      </c>
      <c r="J5619" s="3">
        <v>150</v>
      </c>
      <c r="K5619" s="3">
        <v>1406</v>
      </c>
      <c r="L5619" s="3">
        <v>1</v>
      </c>
      <c r="M5619" s="3">
        <v>419</v>
      </c>
    </row>
    <row r="5620" spans="1:13" x14ac:dyDescent="0.25">
      <c r="A5620" s="1" t="str">
        <f>HYPERLINK("http://www.rosaceae.org/Prunus/Prunus_persica/p.persica_gdr_reftransV1_0016874","p.persica_gdr_reftransV1_0016874")</f>
        <v>p.persica_gdr_reftransV1_0016874</v>
      </c>
      <c r="B5620" s="3">
        <v>1059</v>
      </c>
      <c r="C5620" s="1" t="str">
        <f>HYPERLINK("http://www.uniprot.org/uniprot/PP220_ARATH","PP220_ARATH")</f>
        <v>PP220_ARATH</v>
      </c>
      <c r="D5620" t="s">
        <v>214</v>
      </c>
      <c r="E5620" s="3" t="s">
        <v>3</v>
      </c>
      <c r="F5620" s="4">
        <v>6.31E-117</v>
      </c>
      <c r="G5620" s="3">
        <v>947</v>
      </c>
      <c r="H5620" s="3">
        <v>56</v>
      </c>
      <c r="I5620" s="3">
        <v>352</v>
      </c>
      <c r="J5620" s="3">
        <v>2</v>
      </c>
      <c r="K5620" s="3">
        <v>1057</v>
      </c>
      <c r="L5620" s="3">
        <v>115</v>
      </c>
      <c r="M5620" s="3">
        <v>465</v>
      </c>
    </row>
    <row r="5621" spans="1:13" x14ac:dyDescent="0.25">
      <c r="A5621" s="1" t="str">
        <f>HYPERLINK("http://www.rosaceae.org/Prunus/Prunus_persica/p.persica_gdr_reftransV1_0017074","p.persica_gdr_reftransV1_0017074")</f>
        <v>p.persica_gdr_reftransV1_0017074</v>
      </c>
      <c r="B5621" s="3">
        <v>1496</v>
      </c>
      <c r="C5621" s="1" t="str">
        <f>HYPERLINK("http://www.uniprot.org/uniprot/KRP3_ARATH","KRP3_ARATH")</f>
        <v>KRP3_ARATH</v>
      </c>
      <c r="D5621" t="s">
        <v>4739</v>
      </c>
      <c r="E5621" s="3" t="s">
        <v>3</v>
      </c>
      <c r="F5621" s="4">
        <v>1.1300000000000001E-16</v>
      </c>
      <c r="G5621" s="3">
        <v>204</v>
      </c>
      <c r="H5621" s="3">
        <v>54</v>
      </c>
      <c r="I5621" s="3">
        <v>112</v>
      </c>
      <c r="J5621" s="3">
        <v>546</v>
      </c>
      <c r="K5621" s="3">
        <v>875</v>
      </c>
      <c r="L5621" s="3">
        <v>113</v>
      </c>
      <c r="M5621" s="3">
        <v>222</v>
      </c>
    </row>
    <row r="5622" spans="1:13" x14ac:dyDescent="0.25">
      <c r="A5622" s="1" t="str">
        <f>HYPERLINK("http://www.rosaceae.org/Prunus/Prunus_persica/p.persica_gdr_reftransV1_0017324","p.persica_gdr_reftransV1_0017324")</f>
        <v>p.persica_gdr_reftransV1_0017324</v>
      </c>
      <c r="B5622" s="3">
        <v>1994</v>
      </c>
      <c r="C5622" s="1" t="str">
        <f>HYPERLINK("http://www.uniprot.org/uniprot/XTH9_ARATH","XTH9_ARATH")</f>
        <v>XTH9_ARATH</v>
      </c>
      <c r="D5622" t="s">
        <v>4740</v>
      </c>
      <c r="E5622" s="3" t="s">
        <v>3</v>
      </c>
      <c r="F5622" s="4">
        <v>1.7400000000000001E-71</v>
      </c>
      <c r="G5622" s="3">
        <v>610</v>
      </c>
      <c r="H5622" s="3">
        <v>75</v>
      </c>
      <c r="I5622" s="3">
        <v>153</v>
      </c>
      <c r="J5622" s="3">
        <v>100</v>
      </c>
      <c r="K5622" s="3">
        <v>546</v>
      </c>
      <c r="L5622" s="3">
        <v>4</v>
      </c>
      <c r="M5622" s="3">
        <v>156</v>
      </c>
    </row>
    <row r="5623" spans="1:13" x14ac:dyDescent="0.25">
      <c r="A5623" s="1" t="str">
        <f>HYPERLINK("http://www.rosaceae.org/Prunus/Prunus_persica/p.persica_gdr_reftransV1_0017374","p.persica_gdr_reftransV1_0017374")</f>
        <v>p.persica_gdr_reftransV1_0017374</v>
      </c>
      <c r="B5623" s="3">
        <v>4156</v>
      </c>
      <c r="C5623" s="1" t="str">
        <f>HYPERLINK("http://www.uniprot.org/uniprot/SIP5_PICGU","SIP5_PICGU")</f>
        <v>SIP5_PICGU</v>
      </c>
      <c r="D5623" t="s">
        <v>4741</v>
      </c>
      <c r="E5623" s="3" t="s">
        <v>4742</v>
      </c>
      <c r="F5623" s="4">
        <v>7.3099999999999998E-9</v>
      </c>
      <c r="G5623" s="3">
        <v>153</v>
      </c>
      <c r="H5623" s="3">
        <v>41</v>
      </c>
      <c r="I5623" s="3">
        <v>78</v>
      </c>
      <c r="J5623" s="3">
        <v>3456</v>
      </c>
      <c r="K5623" s="3">
        <v>3623</v>
      </c>
      <c r="L5623" s="3">
        <v>211</v>
      </c>
      <c r="M5623" s="3">
        <v>288</v>
      </c>
    </row>
    <row r="5624" spans="1:13" x14ac:dyDescent="0.25">
      <c r="A5624" s="1" t="str">
        <f>HYPERLINK("http://www.rosaceae.org/Prunus/Prunus_persica/p.persica_gdr_reftransV1_0017424","p.persica_gdr_reftransV1_0017424")</f>
        <v>p.persica_gdr_reftransV1_0017424</v>
      </c>
      <c r="B5624" s="3">
        <v>2825</v>
      </c>
      <c r="C5624" s="1" t="str">
        <f>HYPERLINK("http://www.uniprot.org/uniprot/LPAAT_ORYSJ","LPAAT_ORYSJ")</f>
        <v>LPAAT_ORYSJ</v>
      </c>
      <c r="D5624" t="s">
        <v>4743</v>
      </c>
      <c r="E5624" s="3" t="s">
        <v>38</v>
      </c>
      <c r="F5624" s="4">
        <v>1.4599999999999999E-59</v>
      </c>
      <c r="G5624" s="3">
        <v>544</v>
      </c>
      <c r="H5624" s="3">
        <v>75</v>
      </c>
      <c r="I5624" s="3">
        <v>155</v>
      </c>
      <c r="J5624" s="3">
        <v>451</v>
      </c>
      <c r="K5624" s="3">
        <v>912</v>
      </c>
      <c r="L5624" s="3">
        <v>260</v>
      </c>
      <c r="M5624" s="3">
        <v>414</v>
      </c>
    </row>
    <row r="5625" spans="1:13" x14ac:dyDescent="0.25">
      <c r="A5625" s="1" t="str">
        <f>HYPERLINK("http://www.rosaceae.org/Prunus/Prunus_persica/p.persica_gdr_reftransV1_0017474","p.persica_gdr_reftransV1_0017474")</f>
        <v>p.persica_gdr_reftransV1_0017474</v>
      </c>
      <c r="B5625" s="3">
        <v>2449</v>
      </c>
      <c r="C5625" s="1" t="str">
        <f>HYPERLINK("http://www.uniprot.org/uniprot/EIF3D_ARATH","EIF3D_ARATH")</f>
        <v>EIF3D_ARATH</v>
      </c>
      <c r="D5625" t="s">
        <v>4744</v>
      </c>
      <c r="E5625" s="3" t="s">
        <v>3</v>
      </c>
      <c r="F5625" s="4">
        <v>0</v>
      </c>
      <c r="G5625" s="3">
        <v>2091</v>
      </c>
      <c r="H5625" s="3">
        <v>74</v>
      </c>
      <c r="I5625" s="3">
        <v>590</v>
      </c>
      <c r="J5625" s="3">
        <v>670</v>
      </c>
      <c r="K5625" s="3">
        <v>2367</v>
      </c>
      <c r="L5625" s="3">
        <v>2</v>
      </c>
      <c r="M5625" s="3">
        <v>591</v>
      </c>
    </row>
    <row r="5626" spans="1:13" x14ac:dyDescent="0.25">
      <c r="A5626" s="1" t="str">
        <f>HYPERLINK("http://www.rosaceae.org/Prunus/Prunus_persica/p.persica_gdr_reftransV1_0017524","p.persica_gdr_reftransV1_0017524")</f>
        <v>p.persica_gdr_reftransV1_0017524</v>
      </c>
      <c r="B5626" s="3">
        <v>1666</v>
      </c>
      <c r="C5626" s="1" t="str">
        <f>HYPERLINK("http://www.uniprot.org/uniprot/ENOX_FRAVE","ENOX_FRAVE")</f>
        <v>ENOX_FRAVE</v>
      </c>
      <c r="D5626" t="s">
        <v>4745</v>
      </c>
      <c r="E5626" s="3" t="s">
        <v>1166</v>
      </c>
      <c r="F5626" s="4">
        <v>1.5500000000000001E-116</v>
      </c>
      <c r="G5626" s="3">
        <v>910</v>
      </c>
      <c r="H5626" s="3">
        <v>85</v>
      </c>
      <c r="I5626" s="3">
        <v>231</v>
      </c>
      <c r="J5626" s="3">
        <v>661</v>
      </c>
      <c r="K5626" s="3">
        <v>1353</v>
      </c>
      <c r="L5626" s="3">
        <v>92</v>
      </c>
      <c r="M5626" s="3">
        <v>322</v>
      </c>
    </row>
    <row r="5627" spans="1:13" x14ac:dyDescent="0.25">
      <c r="A5627" s="1" t="str">
        <f>HYPERLINK("http://www.rosaceae.org/Prunus/Prunus_persica/p.persica_gdr_reftransV1_0017574","p.persica_gdr_reftransV1_0017574")</f>
        <v>p.persica_gdr_reftransV1_0017574</v>
      </c>
      <c r="B5627" s="3">
        <v>2872</v>
      </c>
      <c r="C5627" s="1" t="str">
        <f>HYPERLINK("http://www.uniprot.org/uniprot/COG7_MOUSE","COG7_MOUSE")</f>
        <v>COG7_MOUSE</v>
      </c>
      <c r="D5627" t="s">
        <v>4746</v>
      </c>
      <c r="E5627" s="3" t="s">
        <v>157</v>
      </c>
      <c r="F5627" s="4">
        <v>1.09E-47</v>
      </c>
      <c r="G5627" s="3">
        <v>472</v>
      </c>
      <c r="H5627" s="3">
        <v>23</v>
      </c>
      <c r="I5627" s="3">
        <v>832</v>
      </c>
      <c r="J5627" s="3">
        <v>157</v>
      </c>
      <c r="K5627" s="3">
        <v>2520</v>
      </c>
      <c r="L5627" s="3">
        <v>1</v>
      </c>
      <c r="M5627" s="3">
        <v>727</v>
      </c>
    </row>
    <row r="5628" spans="1:13" x14ac:dyDescent="0.25">
      <c r="A5628" s="1" t="str">
        <f>HYPERLINK("http://www.rosaceae.org/Prunus/Prunus_persica/p.persica_gdr_reftransV1_0017624","p.persica_gdr_reftransV1_0017624")</f>
        <v>p.persica_gdr_reftransV1_0017624</v>
      </c>
      <c r="B5628" s="3">
        <v>1586</v>
      </c>
      <c r="C5628" s="1" t="str">
        <f>HYPERLINK("http://www.uniprot.org/uniprot/BXL5_ARATH","BXL5_ARATH")</f>
        <v>BXL5_ARATH</v>
      </c>
      <c r="D5628" t="s">
        <v>4747</v>
      </c>
      <c r="E5628" s="3" t="s">
        <v>3</v>
      </c>
      <c r="F5628" s="4">
        <v>3.0099999999999998E-180</v>
      </c>
      <c r="G5628" s="3">
        <v>1374</v>
      </c>
      <c r="H5628" s="3">
        <v>62</v>
      </c>
      <c r="I5628" s="3">
        <v>445</v>
      </c>
      <c r="J5628" s="3">
        <v>42</v>
      </c>
      <c r="K5628" s="3">
        <v>1364</v>
      </c>
      <c r="L5628" s="3">
        <v>348</v>
      </c>
      <c r="M5628" s="3">
        <v>774</v>
      </c>
    </row>
    <row r="5629" spans="1:13" x14ac:dyDescent="0.25">
      <c r="A5629" s="1" t="str">
        <f>HYPERLINK("http://www.rosaceae.org/Prunus/Prunus_persica/p.persica_gdr_reftransV1_0017774","p.persica_gdr_reftransV1_0017774")</f>
        <v>p.persica_gdr_reftransV1_0017774</v>
      </c>
      <c r="B5629" s="3">
        <v>3971</v>
      </c>
      <c r="C5629" s="1" t="str">
        <f>HYPERLINK("http://www.uniprot.org/uniprot/FBL15_ARATH","FBL15_ARATH")</f>
        <v>FBL15_ARATH</v>
      </c>
      <c r="D5629" t="s">
        <v>4748</v>
      </c>
      <c r="E5629" s="3" t="s">
        <v>3</v>
      </c>
      <c r="F5629" s="4">
        <v>0</v>
      </c>
      <c r="G5629" s="3">
        <v>1810</v>
      </c>
      <c r="H5629" s="3">
        <v>69</v>
      </c>
      <c r="I5629" s="3">
        <v>536</v>
      </c>
      <c r="J5629" s="3">
        <v>765</v>
      </c>
      <c r="K5629" s="3">
        <v>2372</v>
      </c>
      <c r="L5629" s="3">
        <v>114</v>
      </c>
      <c r="M5629" s="3">
        <v>642</v>
      </c>
    </row>
    <row r="5630" spans="1:13" x14ac:dyDescent="0.25">
      <c r="A5630" s="1" t="str">
        <f>HYPERLINK("http://www.rosaceae.org/Prunus/Prunus_persica/p.persica_gdr_reftransV1_0018074","p.persica_gdr_reftransV1_0018074")</f>
        <v>p.persica_gdr_reftransV1_0018074</v>
      </c>
      <c r="B5630" s="3">
        <v>915</v>
      </c>
      <c r="C5630" s="1" t="str">
        <f>HYPERLINK("http://www.uniprot.org/uniprot/H2AV1_ARATH","H2AV1_ARATH")</f>
        <v>H2AV1_ARATH</v>
      </c>
      <c r="D5630" t="s">
        <v>3944</v>
      </c>
      <c r="E5630" s="3" t="s">
        <v>3</v>
      </c>
      <c r="F5630" s="4">
        <v>1.6200000000000001E-65</v>
      </c>
      <c r="G5630" s="3">
        <v>530</v>
      </c>
      <c r="H5630" s="3">
        <v>93</v>
      </c>
      <c r="I5630" s="3">
        <v>109</v>
      </c>
      <c r="J5630" s="3">
        <v>328</v>
      </c>
      <c r="K5630" s="3">
        <v>654</v>
      </c>
      <c r="L5630" s="3">
        <v>28</v>
      </c>
      <c r="M5630" s="3">
        <v>136</v>
      </c>
    </row>
    <row r="5631" spans="1:13" x14ac:dyDescent="0.25">
      <c r="A5631" s="1" t="str">
        <f>HYPERLINK("http://www.rosaceae.org/Prunus/Prunus_persica/p.persica_gdr_reftransV1_0018624","p.persica_gdr_reftransV1_0018624")</f>
        <v>p.persica_gdr_reftransV1_0018624</v>
      </c>
      <c r="B5631" s="3">
        <v>2141</v>
      </c>
      <c r="C5631" s="1" t="str">
        <f>HYPERLINK("http://www.uniprot.org/uniprot/DNJ49_ARATH","DNJ49_ARATH")</f>
        <v>DNJ49_ARATH</v>
      </c>
      <c r="D5631" t="s">
        <v>4749</v>
      </c>
      <c r="E5631" s="3" t="s">
        <v>3</v>
      </c>
      <c r="F5631" s="4">
        <v>1.06E-116</v>
      </c>
      <c r="G5631" s="3">
        <v>927</v>
      </c>
      <c r="H5631" s="3">
        <v>58</v>
      </c>
      <c r="I5631" s="3">
        <v>356</v>
      </c>
      <c r="J5631" s="3">
        <v>637</v>
      </c>
      <c r="K5631" s="3">
        <v>1692</v>
      </c>
      <c r="L5631" s="3">
        <v>1</v>
      </c>
      <c r="M5631" s="3">
        <v>350</v>
      </c>
    </row>
    <row r="5632" spans="1:13" x14ac:dyDescent="0.25">
      <c r="A5632" s="1" t="str">
        <f>HYPERLINK("http://www.rosaceae.org/Prunus/Prunus_persica/p.persica_gdr_reftransV1_0019024","p.persica_gdr_reftransV1_0019024")</f>
        <v>p.persica_gdr_reftransV1_0019024</v>
      </c>
      <c r="B5632" s="3">
        <v>3318</v>
      </c>
      <c r="C5632" s="1" t="str">
        <f>HYPERLINK("http://www.uniprot.org/uniprot/ACA9_ARATH","ACA9_ARATH")</f>
        <v>ACA9_ARATH</v>
      </c>
      <c r="D5632" t="s">
        <v>4750</v>
      </c>
      <c r="E5632" s="3" t="s">
        <v>3</v>
      </c>
      <c r="F5632" s="4">
        <v>5.0600000000000001E-107</v>
      </c>
      <c r="G5632" s="3">
        <v>941</v>
      </c>
      <c r="H5632" s="3">
        <v>89</v>
      </c>
      <c r="I5632" s="3">
        <v>236</v>
      </c>
      <c r="J5632" s="3">
        <v>1740</v>
      </c>
      <c r="K5632" s="3">
        <v>2435</v>
      </c>
      <c r="L5632" s="3">
        <v>699</v>
      </c>
      <c r="M5632" s="3">
        <v>934</v>
      </c>
    </row>
    <row r="5633" spans="1:13" x14ac:dyDescent="0.25">
      <c r="A5633" s="1" t="str">
        <f>HYPERLINK("http://www.rosaceae.org/Prunus/Prunus_persica/p.persica_gdr_reftransV1_0019174","p.persica_gdr_reftransV1_0019174")</f>
        <v>p.persica_gdr_reftransV1_0019174</v>
      </c>
      <c r="B5633" s="3">
        <v>1629</v>
      </c>
      <c r="C5633" s="1" t="str">
        <f>HYPERLINK("http://www.uniprot.org/uniprot/FBX13_ARATH","FBX13_ARATH")</f>
        <v>FBX13_ARATH</v>
      </c>
      <c r="D5633" t="s">
        <v>4751</v>
      </c>
      <c r="E5633" s="3" t="s">
        <v>3</v>
      </c>
      <c r="F5633" s="4">
        <v>6.6000000000000004E-134</v>
      </c>
      <c r="G5633" s="3">
        <v>1038</v>
      </c>
      <c r="H5633" s="3">
        <v>54</v>
      </c>
      <c r="I5633" s="3">
        <v>425</v>
      </c>
      <c r="J5633" s="3">
        <v>208</v>
      </c>
      <c r="K5633" s="3">
        <v>1443</v>
      </c>
      <c r="L5633" s="3">
        <v>40</v>
      </c>
      <c r="M5633" s="3">
        <v>457</v>
      </c>
    </row>
    <row r="5634" spans="1:13" x14ac:dyDescent="0.25">
      <c r="A5634" s="1" t="str">
        <f>HYPERLINK("http://www.rosaceae.org/Prunus/Prunus_persica/p.persica_gdr_reftransV1_0019224","p.persica_gdr_reftransV1_0019224")</f>
        <v>p.persica_gdr_reftransV1_0019224</v>
      </c>
      <c r="B5634" s="3">
        <v>1727</v>
      </c>
      <c r="C5634" s="1" t="str">
        <f>HYPERLINK("http://www.uniprot.org/uniprot/PPT1_ARATH","PPT1_ARATH")</f>
        <v>PPT1_ARATH</v>
      </c>
      <c r="D5634" t="s">
        <v>2721</v>
      </c>
      <c r="E5634" s="3" t="s">
        <v>3</v>
      </c>
      <c r="F5634" s="4">
        <v>2.3400000000000002E-81</v>
      </c>
      <c r="G5634" s="3">
        <v>683</v>
      </c>
      <c r="H5634" s="3">
        <v>61</v>
      </c>
      <c r="I5634" s="3">
        <v>258</v>
      </c>
      <c r="J5634" s="3">
        <v>91</v>
      </c>
      <c r="K5634" s="3">
        <v>852</v>
      </c>
      <c r="L5634" s="3">
        <v>1</v>
      </c>
      <c r="M5634" s="3">
        <v>249</v>
      </c>
    </row>
    <row r="5635" spans="1:13" x14ac:dyDescent="0.25">
      <c r="A5635" s="1" t="str">
        <f>HYPERLINK("http://www.rosaceae.org/Prunus/Prunus_persica/p.persica_gdr_reftransV1_0019574","p.persica_gdr_reftransV1_0019574")</f>
        <v>p.persica_gdr_reftransV1_0019574</v>
      </c>
      <c r="B5635" s="3">
        <v>3243</v>
      </c>
      <c r="C5635" s="1" t="str">
        <f>HYPERLINK("http://www.uniprot.org/uniprot/CAS_ARATH","CAS_ARATH")</f>
        <v>CAS_ARATH</v>
      </c>
      <c r="D5635" t="s">
        <v>4752</v>
      </c>
      <c r="E5635" s="3" t="s">
        <v>3</v>
      </c>
      <c r="F5635" s="4">
        <v>7.0499999999999998E-15</v>
      </c>
      <c r="G5635" s="3">
        <v>200</v>
      </c>
      <c r="H5635" s="3">
        <v>35</v>
      </c>
      <c r="I5635" s="3">
        <v>137</v>
      </c>
      <c r="J5635" s="3">
        <v>950</v>
      </c>
      <c r="K5635" s="3">
        <v>1351</v>
      </c>
      <c r="L5635" s="3">
        <v>213</v>
      </c>
      <c r="M5635" s="3">
        <v>348</v>
      </c>
    </row>
    <row r="5636" spans="1:13" x14ac:dyDescent="0.25">
      <c r="A5636" s="1" t="str">
        <f>HYPERLINK("http://www.rosaceae.org/Prunus/Prunus_persica/p.persica_gdr_reftransV1_0019874","p.persica_gdr_reftransV1_0019874")</f>
        <v>p.persica_gdr_reftransV1_0019874</v>
      </c>
      <c r="B5636" s="3">
        <v>933</v>
      </c>
      <c r="C5636" s="1" t="str">
        <f>HYPERLINK("http://www.uniprot.org/uniprot/PETM_SPIOL","PETM_SPIOL")</f>
        <v>PETM_SPIOL</v>
      </c>
      <c r="D5636" t="s">
        <v>4753</v>
      </c>
      <c r="E5636" s="3" t="s">
        <v>131</v>
      </c>
      <c r="F5636" s="4">
        <v>3.92E-8</v>
      </c>
      <c r="G5636" s="3">
        <v>127</v>
      </c>
      <c r="H5636" s="3">
        <v>83</v>
      </c>
      <c r="I5636" s="3">
        <v>30</v>
      </c>
      <c r="J5636" s="3">
        <v>578</v>
      </c>
      <c r="K5636" s="3">
        <v>667</v>
      </c>
      <c r="L5636" s="3">
        <v>1</v>
      </c>
      <c r="M5636" s="3">
        <v>30</v>
      </c>
    </row>
    <row r="5637" spans="1:13" x14ac:dyDescent="0.25">
      <c r="A5637" s="1" t="str">
        <f>HYPERLINK("http://www.rosaceae.org/Prunus/Prunus_persica/p.persica_gdr_reftransV1_0019924","p.persica_gdr_reftransV1_0019924")</f>
        <v>p.persica_gdr_reftransV1_0019924</v>
      </c>
      <c r="B5637" s="3">
        <v>1070</v>
      </c>
      <c r="C5637" s="1" t="str">
        <f>HYPERLINK("http://www.uniprot.org/uniprot/RL6_MESCR","RL6_MESCR")</f>
        <v>RL6_MESCR</v>
      </c>
      <c r="D5637" t="s">
        <v>2485</v>
      </c>
      <c r="E5637" s="3" t="s">
        <v>2486</v>
      </c>
      <c r="F5637" s="4">
        <v>1.81E-114</v>
      </c>
      <c r="G5637" s="3">
        <v>869</v>
      </c>
      <c r="H5637" s="3">
        <v>81</v>
      </c>
      <c r="I5637" s="3">
        <v>232</v>
      </c>
      <c r="J5637" s="3">
        <v>111</v>
      </c>
      <c r="K5637" s="3">
        <v>806</v>
      </c>
      <c r="L5637" s="3">
        <v>3</v>
      </c>
      <c r="M5637" s="3">
        <v>234</v>
      </c>
    </row>
    <row r="5638" spans="1:13" x14ac:dyDescent="0.25">
      <c r="A5638" s="1" t="str">
        <f>HYPERLINK("http://www.rosaceae.org/Prunus/Prunus_persica/p.persica_gdr_reftransV1_0020074","p.persica_gdr_reftransV1_0020074")</f>
        <v>p.persica_gdr_reftransV1_0020074</v>
      </c>
      <c r="B5638" s="3">
        <v>2123</v>
      </c>
      <c r="C5638" s="1" t="str">
        <f>HYPERLINK("http://www.uniprot.org/uniprot/SKIP6_ARATH","SKIP6_ARATH")</f>
        <v>SKIP6_ARATH</v>
      </c>
      <c r="D5638" t="s">
        <v>4754</v>
      </c>
      <c r="E5638" s="3" t="s">
        <v>3</v>
      </c>
      <c r="F5638" s="4">
        <v>1.9700000000000001E-121</v>
      </c>
      <c r="G5638" s="3">
        <v>961</v>
      </c>
      <c r="H5638" s="3">
        <v>58</v>
      </c>
      <c r="I5638" s="3">
        <v>356</v>
      </c>
      <c r="J5638" s="3">
        <v>895</v>
      </c>
      <c r="K5638" s="3">
        <v>1947</v>
      </c>
      <c r="L5638" s="3">
        <v>18</v>
      </c>
      <c r="M5638" s="3">
        <v>372</v>
      </c>
    </row>
    <row r="5639" spans="1:13" x14ac:dyDescent="0.25">
      <c r="A5639" s="1" t="str">
        <f>HYPERLINK("http://www.rosaceae.org/Prunus/Prunus_persica/p.persica_gdr_reftransV1_0020124","p.persica_gdr_reftransV1_0020124")</f>
        <v>p.persica_gdr_reftransV1_0020124</v>
      </c>
      <c r="B5639" s="3">
        <v>2530</v>
      </c>
      <c r="C5639" s="1" t="str">
        <f>HYPERLINK("http://www.uniprot.org/uniprot/CHUP1_ARATH","CHUP1_ARATH")</f>
        <v>CHUP1_ARATH</v>
      </c>
      <c r="D5639" t="s">
        <v>3256</v>
      </c>
      <c r="E5639" s="3" t="s">
        <v>3</v>
      </c>
      <c r="F5639" s="4">
        <v>6.7800000000000007E-83</v>
      </c>
      <c r="G5639" s="3">
        <v>747</v>
      </c>
      <c r="H5639" s="3">
        <v>51</v>
      </c>
      <c r="I5639" s="3">
        <v>270</v>
      </c>
      <c r="J5639" s="3">
        <v>1103</v>
      </c>
      <c r="K5639" s="3">
        <v>1909</v>
      </c>
      <c r="L5639" s="3">
        <v>718</v>
      </c>
      <c r="M5639" s="3">
        <v>987</v>
      </c>
    </row>
    <row r="5640" spans="1:13" x14ac:dyDescent="0.25">
      <c r="A5640" s="1" t="str">
        <f>HYPERLINK("http://www.rosaceae.org/Prunus/Prunus_persica/p.persica_gdr_reftransV1_0020374","p.persica_gdr_reftransV1_0020374")</f>
        <v>p.persica_gdr_reftransV1_0020374</v>
      </c>
      <c r="B5640" s="3">
        <v>822</v>
      </c>
      <c r="C5640" s="1" t="str">
        <f>HYPERLINK("http://www.uniprot.org/uniprot/QKY_ARATH","QKY_ARATH")</f>
        <v>QKY_ARATH</v>
      </c>
      <c r="D5640" t="s">
        <v>707</v>
      </c>
      <c r="E5640" s="3" t="s">
        <v>3</v>
      </c>
      <c r="F5640" s="4">
        <v>2.34E-76</v>
      </c>
      <c r="G5640" s="3">
        <v>653</v>
      </c>
      <c r="H5640" s="3">
        <v>54</v>
      </c>
      <c r="I5640" s="3">
        <v>212</v>
      </c>
      <c r="J5640" s="3">
        <v>187</v>
      </c>
      <c r="K5640" s="3">
        <v>822</v>
      </c>
      <c r="L5640" s="3">
        <v>870</v>
      </c>
      <c r="M5640" s="3">
        <v>1081</v>
      </c>
    </row>
    <row r="5641" spans="1:13" x14ac:dyDescent="0.25">
      <c r="A5641" s="1" t="str">
        <f>HYPERLINK("http://www.rosaceae.org/Prunus/Prunus_persica/p.persica_gdr_reftransV1_0020424","p.persica_gdr_reftransV1_0020424")</f>
        <v>p.persica_gdr_reftransV1_0020424</v>
      </c>
      <c r="B5641" s="3">
        <v>1984</v>
      </c>
      <c r="C5641" s="1" t="str">
        <f>HYPERLINK("http://www.uniprot.org/uniprot/HERC5_HUMAN","HERC5_HUMAN")</f>
        <v>HERC5_HUMAN</v>
      </c>
      <c r="D5641" t="s">
        <v>4755</v>
      </c>
      <c r="E5641" s="3" t="s">
        <v>28</v>
      </c>
      <c r="F5641" s="4">
        <v>3.7000000000000001E-20</v>
      </c>
      <c r="G5641" s="3">
        <v>246</v>
      </c>
      <c r="H5641" s="3">
        <v>36</v>
      </c>
      <c r="I5641" s="3">
        <v>176</v>
      </c>
      <c r="J5641" s="3">
        <v>536</v>
      </c>
      <c r="K5641" s="3">
        <v>1057</v>
      </c>
      <c r="L5641" s="3">
        <v>145</v>
      </c>
      <c r="M5641" s="3">
        <v>312</v>
      </c>
    </row>
    <row r="5642" spans="1:13" x14ac:dyDescent="0.25">
      <c r="A5642" s="1" t="str">
        <f>HYPERLINK("http://www.rosaceae.org/Prunus/Prunus_persica/p.persica_gdr_reftransV1_0020474","p.persica_gdr_reftransV1_0020474")</f>
        <v>p.persica_gdr_reftransV1_0020474</v>
      </c>
      <c r="B5642" s="3">
        <v>741</v>
      </c>
      <c r="C5642" s="1" t="str">
        <f>HYPERLINK("http://www.uniprot.org/uniprot/CND1_MOUSE","CND1_MOUSE")</f>
        <v>CND1_MOUSE</v>
      </c>
      <c r="D5642" t="s">
        <v>4756</v>
      </c>
      <c r="E5642" s="3" t="s">
        <v>157</v>
      </c>
      <c r="F5642" s="4">
        <v>1.47E-17</v>
      </c>
      <c r="G5642" s="3">
        <v>213</v>
      </c>
      <c r="H5642" s="3">
        <v>25</v>
      </c>
      <c r="I5642" s="3">
        <v>259</v>
      </c>
      <c r="J5642" s="3">
        <v>6</v>
      </c>
      <c r="K5642" s="3">
        <v>740</v>
      </c>
      <c r="L5642" s="3">
        <v>60</v>
      </c>
      <c r="M5642" s="3">
        <v>304</v>
      </c>
    </row>
    <row r="5643" spans="1:13" x14ac:dyDescent="0.25">
      <c r="A5643" s="1" t="str">
        <f>HYPERLINK("http://www.rosaceae.org/Prunus/Prunus_persica/p.persica_gdr_reftransV1_0020524","p.persica_gdr_reftransV1_0020524")</f>
        <v>p.persica_gdr_reftransV1_0020524</v>
      </c>
      <c r="B5643" s="3">
        <v>2725</v>
      </c>
      <c r="C5643" s="1" t="str">
        <f>HYPERLINK("http://www.uniprot.org/uniprot/AB29B_ARATH","AB29B_ARATH")</f>
        <v>AB29B_ARATH</v>
      </c>
      <c r="D5643" t="s">
        <v>4757</v>
      </c>
      <c r="E5643" s="3" t="s">
        <v>3</v>
      </c>
      <c r="F5643" s="4">
        <v>1.5000000000000001E-126</v>
      </c>
      <c r="G5643" s="3">
        <v>1034</v>
      </c>
      <c r="H5643" s="3">
        <v>55</v>
      </c>
      <c r="I5643" s="3">
        <v>483</v>
      </c>
      <c r="J5643" s="3">
        <v>134</v>
      </c>
      <c r="K5643" s="3">
        <v>1576</v>
      </c>
      <c r="L5643" s="3">
        <v>31</v>
      </c>
      <c r="M5643" s="3">
        <v>479</v>
      </c>
    </row>
    <row r="5644" spans="1:13" x14ac:dyDescent="0.25">
      <c r="A5644" s="1" t="str">
        <f>HYPERLINK("http://www.rosaceae.org/Prunus/Prunus_persica/p.persica_gdr_reftransV1_0020874","p.persica_gdr_reftransV1_0020874")</f>
        <v>p.persica_gdr_reftransV1_0020874</v>
      </c>
      <c r="B5644" s="3">
        <v>931</v>
      </c>
      <c r="C5644" s="1" t="str">
        <f>HYPERLINK("http://www.uniprot.org/uniprot/SAU32_ARATH","SAU32_ARATH")</f>
        <v>SAU32_ARATH</v>
      </c>
      <c r="D5644" t="s">
        <v>770</v>
      </c>
      <c r="E5644" s="3" t="s">
        <v>3</v>
      </c>
      <c r="F5644" s="4">
        <v>7.7599999999999996E-41</v>
      </c>
      <c r="G5644" s="3">
        <v>363</v>
      </c>
      <c r="H5644" s="3">
        <v>62</v>
      </c>
      <c r="I5644" s="3">
        <v>137</v>
      </c>
      <c r="J5644" s="3">
        <v>268</v>
      </c>
      <c r="K5644" s="3">
        <v>645</v>
      </c>
      <c r="L5644" s="3">
        <v>1</v>
      </c>
      <c r="M5644" s="3">
        <v>121</v>
      </c>
    </row>
    <row r="5645" spans="1:13" x14ac:dyDescent="0.25">
      <c r="A5645" s="1" t="str">
        <f>HYPERLINK("http://www.rosaceae.org/Prunus/Prunus_persica/p.persica_gdr_reftransV1_0021024","p.persica_gdr_reftransV1_0021024")</f>
        <v>p.persica_gdr_reftransV1_0021024</v>
      </c>
      <c r="B5645" s="3">
        <v>1628</v>
      </c>
      <c r="C5645" s="1" t="str">
        <f>HYPERLINK("http://www.uniprot.org/uniprot/BBX19_ARATH","BBX19_ARATH")</f>
        <v>BBX19_ARATH</v>
      </c>
      <c r="D5645" t="s">
        <v>1417</v>
      </c>
      <c r="E5645" s="3" t="s">
        <v>3</v>
      </c>
      <c r="F5645" s="4">
        <v>3E-68</v>
      </c>
      <c r="G5645" s="3">
        <v>571</v>
      </c>
      <c r="H5645" s="3">
        <v>63</v>
      </c>
      <c r="I5645" s="3">
        <v>182</v>
      </c>
      <c r="J5645" s="3">
        <v>387</v>
      </c>
      <c r="K5645" s="3">
        <v>932</v>
      </c>
      <c r="L5645" s="3">
        <v>1</v>
      </c>
      <c r="M5645" s="3">
        <v>155</v>
      </c>
    </row>
    <row r="5646" spans="1:13" x14ac:dyDescent="0.25">
      <c r="A5646" s="1" t="str">
        <f>HYPERLINK("http://www.rosaceae.org/Prunus/Prunus_persica/p.persica_gdr_reftransV1_0021174","p.persica_gdr_reftransV1_0021174")</f>
        <v>p.persica_gdr_reftransV1_0021174</v>
      </c>
      <c r="B5646" s="3">
        <v>442</v>
      </c>
      <c r="C5646" s="1" t="str">
        <f>HYPERLINK("http://www.uniprot.org/uniprot/PP237_ARATH","PP237_ARATH")</f>
        <v>PP237_ARATH</v>
      </c>
      <c r="D5646" t="s">
        <v>4277</v>
      </c>
      <c r="E5646" s="3" t="s">
        <v>3</v>
      </c>
      <c r="F5646" s="4">
        <v>8.3200000000000005E-39</v>
      </c>
      <c r="G5646" s="3">
        <v>359</v>
      </c>
      <c r="H5646" s="3">
        <v>50</v>
      </c>
      <c r="I5646" s="3">
        <v>146</v>
      </c>
      <c r="J5646" s="3">
        <v>3</v>
      </c>
      <c r="K5646" s="3">
        <v>437</v>
      </c>
      <c r="L5646" s="3">
        <v>217</v>
      </c>
      <c r="M5646" s="3">
        <v>362</v>
      </c>
    </row>
    <row r="5647" spans="1:13" x14ac:dyDescent="0.25">
      <c r="A5647" s="1" t="str">
        <f>HYPERLINK("http://www.rosaceae.org/Prunus/Prunus_persica/p.persica_gdr_reftransV1_0021224","p.persica_gdr_reftransV1_0021224")</f>
        <v>p.persica_gdr_reftransV1_0021224</v>
      </c>
      <c r="B5647" s="3">
        <v>2338</v>
      </c>
      <c r="C5647" s="1" t="str">
        <f>HYPERLINK("http://www.uniprot.org/uniprot/LCB2A_ORYSJ","LCB2A_ORYSJ")</f>
        <v>LCB2A_ORYSJ</v>
      </c>
      <c r="D5647" t="s">
        <v>4758</v>
      </c>
      <c r="E5647" s="3" t="s">
        <v>38</v>
      </c>
      <c r="F5647" s="4">
        <v>0</v>
      </c>
      <c r="G5647" s="3">
        <v>1385</v>
      </c>
      <c r="H5647" s="3">
        <v>80</v>
      </c>
      <c r="I5647" s="3">
        <v>362</v>
      </c>
      <c r="J5647" s="3">
        <v>437</v>
      </c>
      <c r="K5647" s="3">
        <v>1522</v>
      </c>
      <c r="L5647" s="3">
        <v>140</v>
      </c>
      <c r="M5647" s="3">
        <v>474</v>
      </c>
    </row>
    <row r="5648" spans="1:13" x14ac:dyDescent="0.25">
      <c r="A5648" s="1" t="str">
        <f>HYPERLINK("http://www.rosaceae.org/Prunus/Prunus_persica/p.persica_gdr_reftransV1_0021274","p.persica_gdr_reftransV1_0021274")</f>
        <v>p.persica_gdr_reftransV1_0021274</v>
      </c>
      <c r="B5648" s="3">
        <v>1399</v>
      </c>
      <c r="C5648" s="1" t="str">
        <f>HYPERLINK("http://www.uniprot.org/uniprot/RTNLL_ARATH","RTNLL_ARATH")</f>
        <v>RTNLL_ARATH</v>
      </c>
      <c r="D5648" t="s">
        <v>4759</v>
      </c>
      <c r="E5648" s="3" t="s">
        <v>3</v>
      </c>
      <c r="F5648" s="4">
        <v>7.4100000000000003E-55</v>
      </c>
      <c r="G5648" s="3">
        <v>476</v>
      </c>
      <c r="H5648" s="3">
        <v>55</v>
      </c>
      <c r="I5648" s="3">
        <v>191</v>
      </c>
      <c r="J5648" s="3">
        <v>392</v>
      </c>
      <c r="K5648" s="3">
        <v>964</v>
      </c>
      <c r="L5648" s="3">
        <v>2</v>
      </c>
      <c r="M5648" s="3">
        <v>192</v>
      </c>
    </row>
    <row r="5649" spans="1:13" x14ac:dyDescent="0.25">
      <c r="A5649" s="1" t="str">
        <f>HYPERLINK("http://www.rosaceae.org/Prunus/Prunus_persica/p.persica_gdr_reftransV1_0021524","p.persica_gdr_reftransV1_0021524")</f>
        <v>p.persica_gdr_reftransV1_0021524</v>
      </c>
      <c r="B5649" s="3">
        <v>4904</v>
      </c>
      <c r="C5649" s="1" t="str">
        <f>HYPERLINK("http://www.uniprot.org/uniprot/PP151_ARATH","PP151_ARATH")</f>
        <v>PP151_ARATH</v>
      </c>
      <c r="D5649" t="s">
        <v>1204</v>
      </c>
      <c r="E5649" s="3" t="s">
        <v>3</v>
      </c>
      <c r="F5649" s="4">
        <v>1.21E-135</v>
      </c>
      <c r="G5649" s="3">
        <v>1140</v>
      </c>
      <c r="H5649" s="3">
        <v>35</v>
      </c>
      <c r="I5649" s="3">
        <v>662</v>
      </c>
      <c r="J5649" s="3">
        <v>205</v>
      </c>
      <c r="K5649" s="3">
        <v>2169</v>
      </c>
      <c r="L5649" s="3">
        <v>40</v>
      </c>
      <c r="M5649" s="3">
        <v>668</v>
      </c>
    </row>
    <row r="5650" spans="1:13" x14ac:dyDescent="0.25">
      <c r="A5650" s="1" t="str">
        <f>HYPERLINK("http://www.rosaceae.org/Prunus/Prunus_persica/p.persica_gdr_reftransV1_0021674","p.persica_gdr_reftransV1_0021674")</f>
        <v>p.persica_gdr_reftransV1_0021674</v>
      </c>
      <c r="B5650" s="3">
        <v>2998</v>
      </c>
      <c r="C5650" s="1" t="str">
        <f>HYPERLINK("http://www.uniprot.org/uniprot/FTSH8_ARATH","FTSH8_ARATH")</f>
        <v>FTSH8_ARATH</v>
      </c>
      <c r="D5650" t="s">
        <v>4760</v>
      </c>
      <c r="E5650" s="3" t="s">
        <v>3</v>
      </c>
      <c r="F5650" s="4">
        <v>0</v>
      </c>
      <c r="G5650" s="3">
        <v>2671</v>
      </c>
      <c r="H5650" s="3">
        <v>86</v>
      </c>
      <c r="I5650" s="3">
        <v>683</v>
      </c>
      <c r="J5650" s="3">
        <v>647</v>
      </c>
      <c r="K5650" s="3">
        <v>2695</v>
      </c>
      <c r="L5650" s="3">
        <v>1</v>
      </c>
      <c r="M5650" s="3">
        <v>670</v>
      </c>
    </row>
    <row r="5651" spans="1:13" x14ac:dyDescent="0.25">
      <c r="A5651" s="1" t="str">
        <f>HYPERLINK("http://www.rosaceae.org/Prunus/Prunus_persica/p.persica_gdr_reftransV1_0021724","p.persica_gdr_reftransV1_0021724")</f>
        <v>p.persica_gdr_reftransV1_0021724</v>
      </c>
      <c r="B5651" s="3">
        <v>1016</v>
      </c>
      <c r="C5651" s="1" t="str">
        <f>HYPERLINK("http://www.uniprot.org/uniprot/CPC_ARATH","CPC_ARATH")</f>
        <v>CPC_ARATH</v>
      </c>
      <c r="D5651" t="s">
        <v>4761</v>
      </c>
      <c r="E5651" s="3" t="s">
        <v>3</v>
      </c>
      <c r="F5651" s="4">
        <v>1.24E-12</v>
      </c>
      <c r="G5651" s="3">
        <v>163</v>
      </c>
      <c r="H5651" s="3">
        <v>60</v>
      </c>
      <c r="I5651" s="3">
        <v>47</v>
      </c>
      <c r="J5651" s="3">
        <v>532</v>
      </c>
      <c r="K5651" s="3">
        <v>672</v>
      </c>
      <c r="L5651" s="3">
        <v>36</v>
      </c>
      <c r="M5651" s="3">
        <v>82</v>
      </c>
    </row>
    <row r="5652" spans="1:13" x14ac:dyDescent="0.25">
      <c r="A5652" s="1" t="str">
        <f>HYPERLINK("http://www.rosaceae.org/Prunus/Prunus_persica/p.persica_gdr_reftransV1_0021774","p.persica_gdr_reftransV1_0021774")</f>
        <v>p.persica_gdr_reftransV1_0021774</v>
      </c>
      <c r="B5652" s="3">
        <v>1307</v>
      </c>
      <c r="C5652" s="1" t="str">
        <f>HYPERLINK("http://www.uniprot.org/uniprot/ACD11_ARATH","ACD11_ARATH")</f>
        <v>ACD11_ARATH</v>
      </c>
      <c r="D5652" t="s">
        <v>4323</v>
      </c>
      <c r="E5652" s="3" t="s">
        <v>3</v>
      </c>
      <c r="F5652" s="4">
        <v>1.4900000000000001E-53</v>
      </c>
      <c r="G5652" s="3">
        <v>466</v>
      </c>
      <c r="H5652" s="3">
        <v>63</v>
      </c>
      <c r="I5652" s="3">
        <v>141</v>
      </c>
      <c r="J5652" s="3">
        <v>126</v>
      </c>
      <c r="K5652" s="3">
        <v>518</v>
      </c>
      <c r="L5652" s="3">
        <v>7</v>
      </c>
      <c r="M5652" s="3">
        <v>147</v>
      </c>
    </row>
    <row r="5653" spans="1:13" x14ac:dyDescent="0.25">
      <c r="A5653" s="1" t="str">
        <f>HYPERLINK("http://www.rosaceae.org/Prunus/Prunus_persica/p.persica_gdr_reftransV1_0021924","p.persica_gdr_reftransV1_0021924")</f>
        <v>p.persica_gdr_reftransV1_0021924</v>
      </c>
      <c r="B5653" s="3">
        <v>1332</v>
      </c>
      <c r="C5653" s="1" t="str">
        <f>HYPERLINK("http://www.uniprot.org/uniprot/GC1_ARATH","GC1_ARATH")</f>
        <v>GC1_ARATH</v>
      </c>
      <c r="D5653" t="s">
        <v>4762</v>
      </c>
      <c r="E5653" s="3" t="s">
        <v>3</v>
      </c>
      <c r="F5653" s="4">
        <v>0</v>
      </c>
      <c r="G5653" s="3">
        <v>1370</v>
      </c>
      <c r="H5653" s="3">
        <v>76</v>
      </c>
      <c r="I5653" s="3">
        <v>346</v>
      </c>
      <c r="J5653" s="3">
        <v>226</v>
      </c>
      <c r="K5653" s="3">
        <v>1263</v>
      </c>
      <c r="L5653" s="3">
        <v>4</v>
      </c>
      <c r="M5653" s="3">
        <v>346</v>
      </c>
    </row>
    <row r="5654" spans="1:13" x14ac:dyDescent="0.25">
      <c r="A5654" s="1" t="str">
        <f>HYPERLINK("http://www.rosaceae.org/Prunus/Prunus_persica/p.persica_gdr_reftransV1_0022274","p.persica_gdr_reftransV1_0022274")</f>
        <v>p.persica_gdr_reftransV1_0022274</v>
      </c>
      <c r="B5654" s="3">
        <v>3570</v>
      </c>
      <c r="C5654" s="1" t="str">
        <f>HYPERLINK("http://www.uniprot.org/uniprot/CI111_ARATH","CI111_ARATH")</f>
        <v>CI111_ARATH</v>
      </c>
      <c r="D5654" t="s">
        <v>4763</v>
      </c>
      <c r="E5654" s="3" t="s">
        <v>3</v>
      </c>
      <c r="F5654" s="4">
        <v>0</v>
      </c>
      <c r="G5654" s="3">
        <v>2635</v>
      </c>
      <c r="H5654" s="3">
        <v>56</v>
      </c>
      <c r="I5654" s="3">
        <v>1017</v>
      </c>
      <c r="J5654" s="3">
        <v>391</v>
      </c>
      <c r="K5654" s="3">
        <v>3393</v>
      </c>
      <c r="L5654" s="3">
        <v>1</v>
      </c>
      <c r="M5654" s="3">
        <v>985</v>
      </c>
    </row>
    <row r="5655" spans="1:13" x14ac:dyDescent="0.25">
      <c r="A5655" s="1" t="str">
        <f>HYPERLINK("http://www.rosaceae.org/Prunus/Prunus_persica/p.persica_gdr_reftransV1_0022474","p.persica_gdr_reftransV1_0022474")</f>
        <v>p.persica_gdr_reftransV1_0022474</v>
      </c>
      <c r="B5655" s="3">
        <v>2455</v>
      </c>
      <c r="C5655" s="1" t="str">
        <f>HYPERLINK("http://www.uniprot.org/uniprot/P2C47_ARATH","P2C47_ARATH")</f>
        <v>P2C47_ARATH</v>
      </c>
      <c r="D5655" t="s">
        <v>4764</v>
      </c>
      <c r="E5655" s="3" t="s">
        <v>3</v>
      </c>
      <c r="F5655" s="4">
        <v>5.0799999999999998E-174</v>
      </c>
      <c r="G5655" s="3">
        <v>1320</v>
      </c>
      <c r="H5655" s="3">
        <v>77</v>
      </c>
      <c r="I5655" s="3">
        <v>346</v>
      </c>
      <c r="J5655" s="3">
        <v>758</v>
      </c>
      <c r="K5655" s="3">
        <v>1795</v>
      </c>
      <c r="L5655" s="3">
        <v>22</v>
      </c>
      <c r="M5655" s="3">
        <v>361</v>
      </c>
    </row>
    <row r="5656" spans="1:13" x14ac:dyDescent="0.25">
      <c r="A5656" s="1" t="str">
        <f>HYPERLINK("http://www.rosaceae.org/Prunus/Prunus_persica/p.persica_gdr_reftransV1_0022524","p.persica_gdr_reftransV1_0022524")</f>
        <v>p.persica_gdr_reftransV1_0022524</v>
      </c>
      <c r="B5656" s="3">
        <v>459</v>
      </c>
      <c r="C5656" s="1" t="str">
        <f>HYPERLINK("http://www.uniprot.org/uniprot/NQR_ARATH","NQR_ARATH")</f>
        <v>NQR_ARATH</v>
      </c>
      <c r="D5656" t="s">
        <v>4765</v>
      </c>
      <c r="E5656" s="3" t="s">
        <v>3</v>
      </c>
      <c r="F5656" s="4">
        <v>1.77E-60</v>
      </c>
      <c r="G5656" s="3">
        <v>487</v>
      </c>
      <c r="H5656" s="3">
        <v>73</v>
      </c>
      <c r="I5656" s="3">
        <v>124</v>
      </c>
      <c r="J5656" s="3">
        <v>23</v>
      </c>
      <c r="K5656" s="3">
        <v>394</v>
      </c>
      <c r="L5656" s="3">
        <v>1</v>
      </c>
      <c r="M5656" s="3">
        <v>123</v>
      </c>
    </row>
    <row r="5657" spans="1:13" x14ac:dyDescent="0.25">
      <c r="A5657" s="1" t="str">
        <f>HYPERLINK("http://www.rosaceae.org/Prunus/Prunus_persica/p.persica_gdr_reftransV1_0022724","p.persica_gdr_reftransV1_0022724")</f>
        <v>p.persica_gdr_reftransV1_0022724</v>
      </c>
      <c r="B5657" s="3">
        <v>2958</v>
      </c>
      <c r="C5657" s="1" t="str">
        <f>HYPERLINK("http://www.uniprot.org/uniprot/RGA3_SOLBU","RGA3_SOLBU")</f>
        <v>RGA3_SOLBU</v>
      </c>
      <c r="D5657" t="s">
        <v>1884</v>
      </c>
      <c r="E5657" s="3" t="s">
        <v>560</v>
      </c>
      <c r="F5657" s="4">
        <v>1.9700000000000001E-111</v>
      </c>
      <c r="G5657" s="3">
        <v>960</v>
      </c>
      <c r="H5657" s="3">
        <v>35</v>
      </c>
      <c r="I5657" s="3">
        <v>742</v>
      </c>
      <c r="J5657" s="3">
        <v>67</v>
      </c>
      <c r="K5657" s="3">
        <v>2244</v>
      </c>
      <c r="L5657" s="3">
        <v>150</v>
      </c>
      <c r="M5657" s="3">
        <v>831</v>
      </c>
    </row>
    <row r="5658" spans="1:13" x14ac:dyDescent="0.25">
      <c r="A5658" s="1" t="str">
        <f>HYPERLINK("http://www.rosaceae.org/Prunus/Prunus_persica/p.persica_gdr_reftransV1_0022924","p.persica_gdr_reftransV1_0022924")</f>
        <v>p.persica_gdr_reftransV1_0022924</v>
      </c>
      <c r="B5658" s="3">
        <v>1478</v>
      </c>
      <c r="C5658" s="1" t="str">
        <f>HYPERLINK("http://www.uniprot.org/uniprot/HSFC1_ARATH","HSFC1_ARATH")</f>
        <v>HSFC1_ARATH</v>
      </c>
      <c r="D5658" t="s">
        <v>4766</v>
      </c>
      <c r="E5658" s="3" t="s">
        <v>3</v>
      </c>
      <c r="F5658" s="4">
        <v>3.6099999999999997E-85</v>
      </c>
      <c r="G5658" s="3">
        <v>695</v>
      </c>
      <c r="H5658" s="3">
        <v>67</v>
      </c>
      <c r="I5658" s="3">
        <v>202</v>
      </c>
      <c r="J5658" s="3">
        <v>707</v>
      </c>
      <c r="K5658" s="3">
        <v>1303</v>
      </c>
      <c r="L5658" s="3">
        <v>14</v>
      </c>
      <c r="M5658" s="3">
        <v>198</v>
      </c>
    </row>
    <row r="5659" spans="1:13" x14ac:dyDescent="0.25">
      <c r="A5659" s="1" t="str">
        <f>HYPERLINK("http://www.rosaceae.org/Prunus/Prunus_persica/p.persica_gdr_reftransV1_0023074","p.persica_gdr_reftransV1_0023074")</f>
        <v>p.persica_gdr_reftransV1_0023074</v>
      </c>
      <c r="B5659" s="3">
        <v>3400</v>
      </c>
      <c r="C5659" s="1" t="str">
        <f>HYPERLINK("http://www.uniprot.org/uniprot/COBL7_ARATH","COBL7_ARATH")</f>
        <v>COBL7_ARATH</v>
      </c>
      <c r="D5659" t="s">
        <v>4767</v>
      </c>
      <c r="E5659" s="3" t="s">
        <v>3</v>
      </c>
      <c r="F5659" s="4">
        <v>0</v>
      </c>
      <c r="G5659" s="3">
        <v>1801</v>
      </c>
      <c r="H5659" s="3">
        <v>71</v>
      </c>
      <c r="I5659" s="3">
        <v>461</v>
      </c>
      <c r="J5659" s="3">
        <v>534</v>
      </c>
      <c r="K5659" s="3">
        <v>1907</v>
      </c>
      <c r="L5659" s="3">
        <v>187</v>
      </c>
      <c r="M5659" s="3">
        <v>647</v>
      </c>
    </row>
    <row r="5660" spans="1:13" x14ac:dyDescent="0.25">
      <c r="A5660" s="1" t="str">
        <f>HYPERLINK("http://www.rosaceae.org/Prunus/Prunus_persica/p.persica_gdr_reftransV1_0023324","p.persica_gdr_reftransV1_0023324")</f>
        <v>p.persica_gdr_reftransV1_0023324</v>
      </c>
      <c r="B5660" s="3">
        <v>1263</v>
      </c>
      <c r="C5660" s="1" t="str">
        <f>HYPERLINK("http://www.uniprot.org/uniprot/CHIA_CICAR","CHIA_CICAR")</f>
        <v>CHIA_CICAR</v>
      </c>
      <c r="D5660" t="s">
        <v>4768</v>
      </c>
      <c r="E5660" s="3" t="s">
        <v>944</v>
      </c>
      <c r="F5660" s="4">
        <v>5.3600000000000001E-131</v>
      </c>
      <c r="G5660" s="3">
        <v>991</v>
      </c>
      <c r="H5660" s="3">
        <v>73</v>
      </c>
      <c r="I5660" s="3">
        <v>271</v>
      </c>
      <c r="J5660" s="3">
        <v>320</v>
      </c>
      <c r="K5660" s="3">
        <v>1123</v>
      </c>
      <c r="L5660" s="3">
        <v>23</v>
      </c>
      <c r="M5660" s="3">
        <v>290</v>
      </c>
    </row>
    <row r="5661" spans="1:13" x14ac:dyDescent="0.25">
      <c r="A5661" s="1" t="str">
        <f>HYPERLINK("http://www.rosaceae.org/Prunus/Prunus_persica/p.persica_gdr_reftransV1_0023474","p.persica_gdr_reftransV1_0023474")</f>
        <v>p.persica_gdr_reftransV1_0023474</v>
      </c>
      <c r="B5661" s="3">
        <v>1799</v>
      </c>
      <c r="C5661" s="1" t="str">
        <f>HYPERLINK("http://www.uniprot.org/uniprot/CLPR1_ARATH","CLPR1_ARATH")</f>
        <v>CLPR1_ARATH</v>
      </c>
      <c r="D5661" t="s">
        <v>4769</v>
      </c>
      <c r="E5661" s="3" t="s">
        <v>3</v>
      </c>
      <c r="F5661" s="4">
        <v>2.1100000000000001E-161</v>
      </c>
      <c r="G5661" s="3">
        <v>1219</v>
      </c>
      <c r="H5661" s="3">
        <v>73</v>
      </c>
      <c r="I5661" s="3">
        <v>340</v>
      </c>
      <c r="J5661" s="3">
        <v>528</v>
      </c>
      <c r="K5661" s="3">
        <v>1532</v>
      </c>
      <c r="L5661" s="3">
        <v>29</v>
      </c>
      <c r="M5661" s="3">
        <v>368</v>
      </c>
    </row>
    <row r="5662" spans="1:13" x14ac:dyDescent="0.25">
      <c r="A5662" s="1" t="str">
        <f>HYPERLINK("http://www.rosaceae.org/Prunus/Prunus_persica/p.persica_gdr_reftransV1_0023574","p.persica_gdr_reftransV1_0023574")</f>
        <v>p.persica_gdr_reftransV1_0023574</v>
      </c>
      <c r="B5662" s="3">
        <v>1497</v>
      </c>
      <c r="C5662" s="1" t="str">
        <f>HYPERLINK("http://www.uniprot.org/uniprot/EF115_ARATH","EF115_ARATH")</f>
        <v>EF115_ARATH</v>
      </c>
      <c r="D5662" t="s">
        <v>4770</v>
      </c>
      <c r="E5662" s="3" t="s">
        <v>3</v>
      </c>
      <c r="F5662" s="4">
        <v>1.05E-33</v>
      </c>
      <c r="G5662" s="3">
        <v>332</v>
      </c>
      <c r="H5662" s="3">
        <v>63</v>
      </c>
      <c r="I5662" s="3">
        <v>168</v>
      </c>
      <c r="J5662" s="3">
        <v>793</v>
      </c>
      <c r="K5662" s="3">
        <v>1287</v>
      </c>
      <c r="L5662" s="3">
        <v>7</v>
      </c>
      <c r="M5662" s="3">
        <v>163</v>
      </c>
    </row>
    <row r="5663" spans="1:13" x14ac:dyDescent="0.25">
      <c r="A5663" s="1" t="str">
        <f>HYPERLINK("http://www.rosaceae.org/Prunus/Prunus_persica/p.persica_gdr_reftransV1_0023974","p.persica_gdr_reftransV1_0023974")</f>
        <v>p.persica_gdr_reftransV1_0023974</v>
      </c>
      <c r="B5663" s="3">
        <v>819</v>
      </c>
      <c r="C5663" s="1" t="str">
        <f>HYPERLINK("http://www.uniprot.org/uniprot/ABP1_TOBAC","ABP1_TOBAC")</f>
        <v>ABP1_TOBAC</v>
      </c>
      <c r="D5663" t="s">
        <v>4771</v>
      </c>
      <c r="E5663" s="3" t="s">
        <v>200</v>
      </c>
      <c r="F5663" s="4">
        <v>7.7800000000000006E-93</v>
      </c>
      <c r="G5663" s="3">
        <v>713</v>
      </c>
      <c r="H5663" s="3">
        <v>75</v>
      </c>
      <c r="I5663" s="3">
        <v>174</v>
      </c>
      <c r="J5663" s="3">
        <v>199</v>
      </c>
      <c r="K5663" s="3">
        <v>720</v>
      </c>
      <c r="L5663" s="3">
        <v>15</v>
      </c>
      <c r="M5663" s="3">
        <v>187</v>
      </c>
    </row>
    <row r="5664" spans="1:13" x14ac:dyDescent="0.25">
      <c r="A5664" s="1" t="str">
        <f>HYPERLINK("http://www.rosaceae.org/Prunus/Prunus_persica/p.persica_gdr_reftransV1_0024174","p.persica_gdr_reftransV1_0024174")</f>
        <v>p.persica_gdr_reftransV1_0024174</v>
      </c>
      <c r="B5664" s="3">
        <v>1763</v>
      </c>
      <c r="C5664" s="1" t="str">
        <f>HYPERLINK("http://www.uniprot.org/uniprot/BRT1_ARATH","BRT1_ARATH")</f>
        <v>BRT1_ARATH</v>
      </c>
      <c r="D5664" t="s">
        <v>4772</v>
      </c>
      <c r="E5664" s="3" t="s">
        <v>3</v>
      </c>
      <c r="F5664" s="4">
        <v>3.07E-130</v>
      </c>
      <c r="G5664" s="3">
        <v>1011</v>
      </c>
      <c r="H5664" s="3">
        <v>71</v>
      </c>
      <c r="I5664" s="3">
        <v>282</v>
      </c>
      <c r="J5664" s="3">
        <v>249</v>
      </c>
      <c r="K5664" s="3">
        <v>1088</v>
      </c>
      <c r="L5664" s="3">
        <v>110</v>
      </c>
      <c r="M5664" s="3">
        <v>391</v>
      </c>
    </row>
    <row r="5665" spans="1:13" x14ac:dyDescent="0.25">
      <c r="A5665" s="1" t="str">
        <f>HYPERLINK("http://www.rosaceae.org/Prunus/Prunus_persica/p.persica_gdr_reftransV1_0024474","p.persica_gdr_reftransV1_0024474")</f>
        <v>p.persica_gdr_reftransV1_0024474</v>
      </c>
      <c r="B5665" s="3">
        <v>2457</v>
      </c>
      <c r="C5665" s="1" t="str">
        <f>HYPERLINK("http://www.uniprot.org/uniprot/PP293_ARATH","PP293_ARATH")</f>
        <v>PP293_ARATH</v>
      </c>
      <c r="D5665" t="s">
        <v>4773</v>
      </c>
      <c r="E5665" s="3" t="s">
        <v>3</v>
      </c>
      <c r="F5665" s="4">
        <v>0</v>
      </c>
      <c r="G5665" s="3">
        <v>1802</v>
      </c>
      <c r="H5665" s="3">
        <v>72</v>
      </c>
      <c r="I5665" s="3">
        <v>468</v>
      </c>
      <c r="J5665" s="3">
        <v>408</v>
      </c>
      <c r="K5665" s="3">
        <v>1811</v>
      </c>
      <c r="L5665" s="3">
        <v>124</v>
      </c>
      <c r="M5665" s="3">
        <v>590</v>
      </c>
    </row>
    <row r="5666" spans="1:13" x14ac:dyDescent="0.25">
      <c r="A5666" s="1" t="str">
        <f>HYPERLINK("http://www.rosaceae.org/Prunus/Prunus_persica/p.persica_gdr_reftransV1_0024674","p.persica_gdr_reftransV1_0024674")</f>
        <v>p.persica_gdr_reftransV1_0024674</v>
      </c>
      <c r="B5666" s="3">
        <v>1984</v>
      </c>
      <c r="C5666" s="1" t="str">
        <f>HYPERLINK("http://www.uniprot.org/uniprot/RTF2_PIG","RTF2_PIG")</f>
        <v>RTF2_PIG</v>
      </c>
      <c r="D5666" t="s">
        <v>4774</v>
      </c>
      <c r="E5666" s="3" t="s">
        <v>1126</v>
      </c>
      <c r="F5666" s="4">
        <v>1.7000000000000001E-31</v>
      </c>
      <c r="G5666" s="3">
        <v>324</v>
      </c>
      <c r="H5666" s="3">
        <v>40</v>
      </c>
      <c r="I5666" s="3">
        <v>172</v>
      </c>
      <c r="J5666" s="3">
        <v>987</v>
      </c>
      <c r="K5666" s="3">
        <v>1469</v>
      </c>
      <c r="L5666" s="3">
        <v>19</v>
      </c>
      <c r="M5666" s="3">
        <v>190</v>
      </c>
    </row>
    <row r="5667" spans="1:13" x14ac:dyDescent="0.25">
      <c r="A5667" s="1" t="str">
        <f>HYPERLINK("http://www.rosaceae.org/Prunus/Prunus_persica/p.persica_gdr_reftransV1_0024824","p.persica_gdr_reftransV1_0024824")</f>
        <v>p.persica_gdr_reftransV1_0024824</v>
      </c>
      <c r="B5667" s="3">
        <v>4302</v>
      </c>
      <c r="C5667" s="1" t="str">
        <f>HYPERLINK("http://www.uniprot.org/uniprot/TMVRN_NICGU","TMVRN_NICGU")</f>
        <v>TMVRN_NICGU</v>
      </c>
      <c r="D5667" t="s">
        <v>151</v>
      </c>
      <c r="E5667" s="3" t="s">
        <v>152</v>
      </c>
      <c r="F5667" s="4">
        <v>1.0200000000000001E-166</v>
      </c>
      <c r="G5667" s="3">
        <v>1386</v>
      </c>
      <c r="H5667" s="3">
        <v>40</v>
      </c>
      <c r="I5667" s="3">
        <v>917</v>
      </c>
      <c r="J5667" s="3">
        <v>1358</v>
      </c>
      <c r="K5667" s="3">
        <v>3982</v>
      </c>
      <c r="L5667" s="3">
        <v>12</v>
      </c>
      <c r="M5667" s="3">
        <v>911</v>
      </c>
    </row>
    <row r="5668" spans="1:13" x14ac:dyDescent="0.25">
      <c r="A5668" s="1" t="str">
        <f>HYPERLINK("http://www.rosaceae.org/Prunus/Prunus_persica/p.persica_gdr_reftransV1_0025174","p.persica_gdr_reftransV1_0025174")</f>
        <v>p.persica_gdr_reftransV1_0025174</v>
      </c>
      <c r="B5668" s="3">
        <v>2023</v>
      </c>
      <c r="C5668" s="1" t="str">
        <f>HYPERLINK("http://www.uniprot.org/uniprot/PPR21_ARATH","PPR21_ARATH")</f>
        <v>PPR21_ARATH</v>
      </c>
      <c r="D5668" t="s">
        <v>3398</v>
      </c>
      <c r="E5668" s="3" t="s">
        <v>3</v>
      </c>
      <c r="F5668" s="4">
        <v>0</v>
      </c>
      <c r="G5668" s="3">
        <v>1647</v>
      </c>
      <c r="H5668" s="3">
        <v>66</v>
      </c>
      <c r="I5668" s="3">
        <v>462</v>
      </c>
      <c r="J5668" s="3">
        <v>1</v>
      </c>
      <c r="K5668" s="3">
        <v>1383</v>
      </c>
      <c r="L5668" s="3">
        <v>280</v>
      </c>
      <c r="M5668" s="3">
        <v>741</v>
      </c>
    </row>
    <row r="5669" spans="1:13" x14ac:dyDescent="0.25">
      <c r="A5669" s="1" t="str">
        <f>HYPERLINK("http://www.rosaceae.org/Prunus/Prunus_persica/p.persica_gdr_reftransV1_0025324","p.persica_gdr_reftransV1_0025324")</f>
        <v>p.persica_gdr_reftransV1_0025324</v>
      </c>
      <c r="B5669" s="3">
        <v>2683</v>
      </c>
      <c r="C5669" s="1" t="str">
        <f>HYPERLINK("http://www.uniprot.org/uniprot/INVE_ARATH","INVE_ARATH")</f>
        <v>INVE_ARATH</v>
      </c>
      <c r="D5669" t="s">
        <v>3007</v>
      </c>
      <c r="E5669" s="3" t="s">
        <v>3</v>
      </c>
      <c r="F5669" s="4">
        <v>2.8900000000000001E-42</v>
      </c>
      <c r="G5669" s="3">
        <v>424</v>
      </c>
      <c r="H5669" s="3">
        <v>78</v>
      </c>
      <c r="I5669" s="3">
        <v>104</v>
      </c>
      <c r="J5669" s="3">
        <v>743</v>
      </c>
      <c r="K5669" s="3">
        <v>1054</v>
      </c>
      <c r="L5669" s="3">
        <v>507</v>
      </c>
      <c r="M5669" s="3">
        <v>610</v>
      </c>
    </row>
    <row r="5670" spans="1:13" x14ac:dyDescent="0.25">
      <c r="A5670" s="1" t="str">
        <f>HYPERLINK("http://www.rosaceae.org/Prunus/Prunus_persica/p.persica_gdr_reftransV1_0025374","p.persica_gdr_reftransV1_0025374")</f>
        <v>p.persica_gdr_reftransV1_0025374</v>
      </c>
      <c r="B5670" s="3">
        <v>1874</v>
      </c>
      <c r="C5670" s="1" t="str">
        <f>HYPERLINK("http://www.uniprot.org/uniprot/AMT2_ARATH","AMT2_ARATH")</f>
        <v>AMT2_ARATH</v>
      </c>
      <c r="D5670" t="s">
        <v>4775</v>
      </c>
      <c r="E5670" s="3" t="s">
        <v>3</v>
      </c>
      <c r="F5670" s="4">
        <v>0</v>
      </c>
      <c r="G5670" s="3">
        <v>1806</v>
      </c>
      <c r="H5670" s="3">
        <v>76</v>
      </c>
      <c r="I5670" s="3">
        <v>487</v>
      </c>
      <c r="J5670" s="3">
        <v>147</v>
      </c>
      <c r="K5670" s="3">
        <v>1607</v>
      </c>
      <c r="L5670" s="3">
        <v>1</v>
      </c>
      <c r="M5670" s="3">
        <v>475</v>
      </c>
    </row>
    <row r="5671" spans="1:13" x14ac:dyDescent="0.25">
      <c r="A5671" s="1" t="str">
        <f>HYPERLINK("http://www.rosaceae.org/Prunus/Prunus_persica/p.persica_gdr_reftransV1_0025474","p.persica_gdr_reftransV1_0025474")</f>
        <v>p.persica_gdr_reftransV1_0025474</v>
      </c>
      <c r="B5671" s="3">
        <v>2140</v>
      </c>
      <c r="C5671" s="1" t="str">
        <f>HYPERLINK("http://www.uniprot.org/uniprot/METK_LITCN","METK_LITCN")</f>
        <v>METK_LITCN</v>
      </c>
      <c r="D5671" t="s">
        <v>4776</v>
      </c>
      <c r="E5671" s="3" t="s">
        <v>4777</v>
      </c>
      <c r="F5671" s="4">
        <v>0</v>
      </c>
      <c r="G5671" s="3">
        <v>1951</v>
      </c>
      <c r="H5671" s="3">
        <v>95</v>
      </c>
      <c r="I5671" s="3">
        <v>393</v>
      </c>
      <c r="J5671" s="3">
        <v>440</v>
      </c>
      <c r="K5671" s="3">
        <v>1618</v>
      </c>
      <c r="L5671" s="3">
        <v>1</v>
      </c>
      <c r="M5671" s="3">
        <v>393</v>
      </c>
    </row>
    <row r="5672" spans="1:13" x14ac:dyDescent="0.25">
      <c r="A5672" s="1" t="str">
        <f>HYPERLINK("http://www.rosaceae.org/Prunus/Prunus_persica/p.persica_gdr_reftransV1_0025524","p.persica_gdr_reftransV1_0025524")</f>
        <v>p.persica_gdr_reftransV1_0025524</v>
      </c>
      <c r="B5672" s="3">
        <v>2342</v>
      </c>
      <c r="C5672" s="1" t="str">
        <f>HYPERLINK("http://www.uniprot.org/uniprot/NCDN_CHICK","NCDN_CHICK")</f>
        <v>NCDN_CHICK</v>
      </c>
      <c r="D5672" t="s">
        <v>4778</v>
      </c>
      <c r="E5672" s="3" t="s">
        <v>1278</v>
      </c>
      <c r="F5672" s="4">
        <v>2.2400000000000002E-19</v>
      </c>
      <c r="G5672" s="3">
        <v>240</v>
      </c>
      <c r="H5672" s="3">
        <v>24</v>
      </c>
      <c r="I5672" s="3">
        <v>577</v>
      </c>
      <c r="J5672" s="3">
        <v>98</v>
      </c>
      <c r="K5672" s="3">
        <v>1699</v>
      </c>
      <c r="L5672" s="3">
        <v>4</v>
      </c>
      <c r="M5672" s="3">
        <v>528</v>
      </c>
    </row>
    <row r="5673" spans="1:13" x14ac:dyDescent="0.25">
      <c r="A5673" s="1" t="str">
        <f>HYPERLINK("http://www.rosaceae.org/Prunus/Prunus_persica/p.persica_gdr_reftransV1_0025774","p.persica_gdr_reftransV1_0025774")</f>
        <v>p.persica_gdr_reftransV1_0025774</v>
      </c>
      <c r="B5673" s="3">
        <v>2105</v>
      </c>
      <c r="C5673" s="1" t="str">
        <f>HYPERLINK("http://www.uniprot.org/uniprot/MBD2_ARATH","MBD2_ARATH")</f>
        <v>MBD2_ARATH</v>
      </c>
      <c r="D5673" t="s">
        <v>4779</v>
      </c>
      <c r="E5673" s="3" t="s">
        <v>3</v>
      </c>
      <c r="F5673" s="4">
        <v>2.2799999999999999E-79</v>
      </c>
      <c r="G5673" s="3">
        <v>665</v>
      </c>
      <c r="H5673" s="3">
        <v>54</v>
      </c>
      <c r="I5673" s="3">
        <v>252</v>
      </c>
      <c r="J5673" s="3">
        <v>744</v>
      </c>
      <c r="K5673" s="3">
        <v>1499</v>
      </c>
      <c r="L5673" s="3">
        <v>54</v>
      </c>
      <c r="M5673" s="3">
        <v>266</v>
      </c>
    </row>
    <row r="5674" spans="1:13" x14ac:dyDescent="0.25">
      <c r="A5674" s="1" t="str">
        <f>HYPERLINK("http://www.rosaceae.org/Prunus/Prunus_persica/p.persica_gdr_reftransV1_0025974","p.persica_gdr_reftransV1_0025974")</f>
        <v>p.persica_gdr_reftransV1_0025974</v>
      </c>
      <c r="B5674" s="3">
        <v>2145</v>
      </c>
      <c r="C5674" s="1" t="str">
        <f>HYPERLINK("http://www.uniprot.org/uniprot/FLA14_ARATH","FLA14_ARATH")</f>
        <v>FLA14_ARATH</v>
      </c>
      <c r="D5674" t="s">
        <v>4780</v>
      </c>
      <c r="E5674" s="3" t="s">
        <v>3</v>
      </c>
      <c r="F5674" s="4">
        <v>8.5400000000000002E-29</v>
      </c>
      <c r="G5674" s="3">
        <v>301</v>
      </c>
      <c r="H5674" s="3">
        <v>48</v>
      </c>
      <c r="I5674" s="3">
        <v>152</v>
      </c>
      <c r="J5674" s="3">
        <v>148</v>
      </c>
      <c r="K5674" s="3">
        <v>585</v>
      </c>
      <c r="L5674" s="3">
        <v>23</v>
      </c>
      <c r="M5674" s="3">
        <v>170</v>
      </c>
    </row>
    <row r="5675" spans="1:13" x14ac:dyDescent="0.25">
      <c r="A5675" s="1" t="str">
        <f>HYPERLINK("http://www.rosaceae.org/Prunus/Prunus_persica/p.persica_gdr_reftransV1_0026524","p.persica_gdr_reftransV1_0026524")</f>
        <v>p.persica_gdr_reftransV1_0026524</v>
      </c>
      <c r="B5675" s="3">
        <v>4438</v>
      </c>
      <c r="C5675" s="1" t="str">
        <f>HYPERLINK("http://www.uniprot.org/uniprot/SSC14_ARATH","SSC14_ARATH")</f>
        <v>SSC14_ARATH</v>
      </c>
      <c r="D5675" t="s">
        <v>4781</v>
      </c>
      <c r="E5675" s="3" t="s">
        <v>3</v>
      </c>
      <c r="F5675" s="4">
        <v>0</v>
      </c>
      <c r="G5675" s="3">
        <v>1095</v>
      </c>
      <c r="H5675" s="3">
        <v>49</v>
      </c>
      <c r="I5675" s="3">
        <v>560</v>
      </c>
      <c r="J5675" s="3">
        <v>2016</v>
      </c>
      <c r="K5675" s="3">
        <v>3692</v>
      </c>
      <c r="L5675" s="3">
        <v>1</v>
      </c>
      <c r="M5675" s="3">
        <v>465</v>
      </c>
    </row>
    <row r="5676" spans="1:13" x14ac:dyDescent="0.25">
      <c r="A5676" s="1" t="str">
        <f>HYPERLINK("http://www.rosaceae.org/Prunus/Prunus_persica/p.persica_gdr_reftransV1_0026624","p.persica_gdr_reftransV1_0026624")</f>
        <v>p.persica_gdr_reftransV1_0026624</v>
      </c>
      <c r="B5676" s="3">
        <v>2135</v>
      </c>
      <c r="C5676" s="1" t="str">
        <f>HYPERLINK("http://www.uniprot.org/uniprot/ERO1_ARATH","ERO1_ARATH")</f>
        <v>ERO1_ARATH</v>
      </c>
      <c r="D5676" t="s">
        <v>4782</v>
      </c>
      <c r="E5676" s="3" t="s">
        <v>3</v>
      </c>
      <c r="F5676" s="4">
        <v>0</v>
      </c>
      <c r="G5676" s="3">
        <v>1743</v>
      </c>
      <c r="H5676" s="3">
        <v>72</v>
      </c>
      <c r="I5676" s="3">
        <v>445</v>
      </c>
      <c r="J5676" s="3">
        <v>329</v>
      </c>
      <c r="K5676" s="3">
        <v>1657</v>
      </c>
      <c r="L5676" s="3">
        <v>18</v>
      </c>
      <c r="M5676" s="3">
        <v>462</v>
      </c>
    </row>
    <row r="5677" spans="1:13" x14ac:dyDescent="0.25">
      <c r="A5677" s="1" t="str">
        <f>HYPERLINK("http://www.rosaceae.org/Prunus/Prunus_persica/p.persica_gdr_reftransV1_0026774","p.persica_gdr_reftransV1_0026774")</f>
        <v>p.persica_gdr_reftransV1_0026774</v>
      </c>
      <c r="B5677" s="3">
        <v>2009</v>
      </c>
      <c r="C5677" s="1" t="str">
        <f>HYPERLINK("http://www.uniprot.org/uniprot/UCPB_DICDI","UCPB_DICDI")</f>
        <v>UCPB_DICDI</v>
      </c>
      <c r="D5677" t="s">
        <v>4783</v>
      </c>
      <c r="E5677" s="3" t="s">
        <v>9</v>
      </c>
      <c r="F5677" s="4">
        <v>3.75E-44</v>
      </c>
      <c r="G5677" s="3">
        <v>416</v>
      </c>
      <c r="H5677" s="3">
        <v>36</v>
      </c>
      <c r="I5677" s="3">
        <v>275</v>
      </c>
      <c r="J5677" s="3">
        <v>759</v>
      </c>
      <c r="K5677" s="3">
        <v>1565</v>
      </c>
      <c r="L5677" s="3">
        <v>15</v>
      </c>
      <c r="M5677" s="3">
        <v>263</v>
      </c>
    </row>
    <row r="5678" spans="1:13" x14ac:dyDescent="0.25">
      <c r="A5678" s="1" t="str">
        <f>HYPERLINK("http://www.rosaceae.org/Prunus/Prunus_persica/p.persica_gdr_reftransV1_0026924","p.persica_gdr_reftransV1_0026924")</f>
        <v>p.persica_gdr_reftransV1_0026924</v>
      </c>
      <c r="B5678" s="3">
        <v>1059</v>
      </c>
      <c r="C5678" s="1" t="str">
        <f>HYPERLINK("http://www.uniprot.org/uniprot/RPP1_ARATH","RPP1_ARATH")</f>
        <v>RPP1_ARATH</v>
      </c>
      <c r="D5678" t="s">
        <v>1513</v>
      </c>
      <c r="E5678" s="3" t="s">
        <v>3</v>
      </c>
      <c r="F5678" s="4">
        <v>7.4399999999999996E-11</v>
      </c>
      <c r="G5678" s="3">
        <v>163</v>
      </c>
      <c r="H5678" s="3">
        <v>34</v>
      </c>
      <c r="I5678" s="3">
        <v>145</v>
      </c>
      <c r="J5678" s="3">
        <v>621</v>
      </c>
      <c r="K5678" s="3">
        <v>1055</v>
      </c>
      <c r="L5678" s="3">
        <v>739</v>
      </c>
      <c r="M5678" s="3">
        <v>874</v>
      </c>
    </row>
    <row r="5679" spans="1:13" x14ac:dyDescent="0.25">
      <c r="A5679" s="1" t="str">
        <f>HYPERLINK("http://www.rosaceae.org/Prunus/Prunus_persica/p.persica_gdr_reftransV1_0027024","p.persica_gdr_reftransV1_0027024")</f>
        <v>p.persica_gdr_reftransV1_0027024</v>
      </c>
      <c r="B5679" s="3">
        <v>470</v>
      </c>
      <c r="C5679" s="1" t="str">
        <f>HYPERLINK("http://www.uniprot.org/uniprot/RP8L2_ARATH","RP8L2_ARATH")</f>
        <v>RP8L2_ARATH</v>
      </c>
      <c r="D5679" t="s">
        <v>1701</v>
      </c>
      <c r="E5679" s="3" t="s">
        <v>3</v>
      </c>
      <c r="F5679" s="4">
        <v>1.99E-15</v>
      </c>
      <c r="G5679" s="3">
        <v>190</v>
      </c>
      <c r="H5679" s="3">
        <v>36</v>
      </c>
      <c r="I5679" s="3">
        <v>163</v>
      </c>
      <c r="J5679" s="3">
        <v>1</v>
      </c>
      <c r="K5679" s="3">
        <v>468</v>
      </c>
      <c r="L5679" s="3">
        <v>437</v>
      </c>
      <c r="M5679" s="3">
        <v>592</v>
      </c>
    </row>
    <row r="5680" spans="1:13" x14ac:dyDescent="0.25">
      <c r="A5680" s="1" t="str">
        <f>HYPERLINK("http://www.rosaceae.org/Prunus/Prunus_persica/p.persica_gdr_reftransV1_0027074","p.persica_gdr_reftransV1_0027074")</f>
        <v>p.persica_gdr_reftransV1_0027074</v>
      </c>
      <c r="B5680" s="3">
        <v>1304</v>
      </c>
      <c r="C5680" s="1" t="str">
        <f>HYPERLINK("http://www.uniprot.org/uniprot/EMC3_DANRE","EMC3_DANRE")</f>
        <v>EMC3_DANRE</v>
      </c>
      <c r="D5680" t="s">
        <v>4784</v>
      </c>
      <c r="E5680" s="3" t="s">
        <v>704</v>
      </c>
      <c r="F5680" s="4">
        <v>4.8300000000000003E-43</v>
      </c>
      <c r="G5680" s="3">
        <v>352</v>
      </c>
      <c r="H5680" s="3">
        <v>44</v>
      </c>
      <c r="I5680" s="3">
        <v>170</v>
      </c>
      <c r="J5680" s="3">
        <v>150</v>
      </c>
      <c r="K5680" s="3">
        <v>659</v>
      </c>
      <c r="L5680" s="3">
        <v>5</v>
      </c>
      <c r="M5680" s="3">
        <v>172</v>
      </c>
    </row>
    <row r="5681" spans="1:13" x14ac:dyDescent="0.25">
      <c r="A5681" s="1" t="str">
        <f>HYPERLINK("http://www.rosaceae.org/Prunus/Prunus_persica/p.persica_gdr_reftransV1_0027324","p.persica_gdr_reftransV1_0027324")</f>
        <v>p.persica_gdr_reftransV1_0027324</v>
      </c>
      <c r="B5681" s="3">
        <v>1627</v>
      </c>
      <c r="C5681" s="1" t="str">
        <f>HYPERLINK("http://www.uniprot.org/uniprot/RER1B_ARATH","RER1B_ARATH")</f>
        <v>RER1B_ARATH</v>
      </c>
      <c r="D5681" t="s">
        <v>3828</v>
      </c>
      <c r="E5681" s="3" t="s">
        <v>3</v>
      </c>
      <c r="F5681" s="4">
        <v>2.2300000000000001E-85</v>
      </c>
      <c r="G5681" s="3">
        <v>688</v>
      </c>
      <c r="H5681" s="3">
        <v>68</v>
      </c>
      <c r="I5681" s="3">
        <v>183</v>
      </c>
      <c r="J5681" s="3">
        <v>647</v>
      </c>
      <c r="K5681" s="3">
        <v>1192</v>
      </c>
      <c r="L5681" s="3">
        <v>1</v>
      </c>
      <c r="M5681" s="3">
        <v>183</v>
      </c>
    </row>
    <row r="5682" spans="1:13" x14ac:dyDescent="0.25">
      <c r="A5682" s="1" t="str">
        <f>HYPERLINK("http://www.rosaceae.org/Prunus/Prunus_persica/p.persica_gdr_reftransV1_0027374","p.persica_gdr_reftransV1_0027374")</f>
        <v>p.persica_gdr_reftransV1_0027374</v>
      </c>
      <c r="B5682" s="3">
        <v>908</v>
      </c>
      <c r="C5682" s="1" t="str">
        <f>HYPERLINK("http://www.uniprot.org/uniprot/LEC2_CLAKE","LEC2_CLAKE")</f>
        <v>LEC2_CLAKE</v>
      </c>
      <c r="D5682" t="s">
        <v>4785</v>
      </c>
      <c r="E5682" s="3" t="s">
        <v>4786</v>
      </c>
      <c r="F5682" s="4">
        <v>1.6300000000000001E-35</v>
      </c>
      <c r="G5682" s="3">
        <v>339</v>
      </c>
      <c r="H5682" s="3">
        <v>40</v>
      </c>
      <c r="I5682" s="3">
        <v>247</v>
      </c>
      <c r="J5682" s="3">
        <v>24</v>
      </c>
      <c r="K5682" s="3">
        <v>737</v>
      </c>
      <c r="L5682" s="3">
        <v>39</v>
      </c>
      <c r="M5682" s="3">
        <v>272</v>
      </c>
    </row>
    <row r="5683" spans="1:13" x14ac:dyDescent="0.25">
      <c r="A5683" s="1" t="str">
        <f>HYPERLINK("http://www.rosaceae.org/Prunus/Prunus_persica/p.persica_gdr_reftransV1_0027524","p.persica_gdr_reftransV1_0027524")</f>
        <v>p.persica_gdr_reftransV1_0027524</v>
      </c>
      <c r="B5683" s="3">
        <v>3611</v>
      </c>
      <c r="C5683" s="1" t="str">
        <f>HYPERLINK("http://www.uniprot.org/uniprot/SYLM_ARATH","SYLM_ARATH")</f>
        <v>SYLM_ARATH</v>
      </c>
      <c r="D5683" t="s">
        <v>1859</v>
      </c>
      <c r="E5683" s="3" t="s">
        <v>3</v>
      </c>
      <c r="F5683" s="4">
        <v>0</v>
      </c>
      <c r="G5683" s="3">
        <v>2790</v>
      </c>
      <c r="H5683" s="3">
        <v>74</v>
      </c>
      <c r="I5683" s="3">
        <v>735</v>
      </c>
      <c r="J5683" s="3">
        <v>542</v>
      </c>
      <c r="K5683" s="3">
        <v>2743</v>
      </c>
      <c r="L5683" s="3">
        <v>266</v>
      </c>
      <c r="M5683" s="3">
        <v>973</v>
      </c>
    </row>
    <row r="5684" spans="1:13" x14ac:dyDescent="0.25">
      <c r="A5684" s="1" t="str">
        <f>HYPERLINK("http://www.rosaceae.org/Prunus/Prunus_persica/p.persica_gdr_reftransV1_0027624","p.persica_gdr_reftransV1_0027624")</f>
        <v>p.persica_gdr_reftransV1_0027624</v>
      </c>
      <c r="B5684" s="3">
        <v>1283</v>
      </c>
      <c r="C5684" s="1" t="str">
        <f>HYPERLINK("http://www.uniprot.org/uniprot/PSD10_DICDI","PSD10_DICDI")</f>
        <v>PSD10_DICDI</v>
      </c>
      <c r="D5684" t="s">
        <v>4787</v>
      </c>
      <c r="E5684" s="3" t="s">
        <v>9</v>
      </c>
      <c r="F5684" s="4">
        <v>7.7399999999999996E-33</v>
      </c>
      <c r="G5684" s="3">
        <v>322</v>
      </c>
      <c r="H5684" s="3">
        <v>36</v>
      </c>
      <c r="I5684" s="3">
        <v>224</v>
      </c>
      <c r="J5684" s="3">
        <v>251</v>
      </c>
      <c r="K5684" s="3">
        <v>922</v>
      </c>
      <c r="L5684" s="3">
        <v>12</v>
      </c>
      <c r="M5684" s="3">
        <v>231</v>
      </c>
    </row>
    <row r="5685" spans="1:13" x14ac:dyDescent="0.25">
      <c r="A5685" s="1" t="str">
        <f>HYPERLINK("http://www.rosaceae.org/Prunus/Prunus_persica/p.persica_gdr_reftransV1_0027674","p.persica_gdr_reftransV1_0027674")</f>
        <v>p.persica_gdr_reftransV1_0027674</v>
      </c>
      <c r="B5685" s="3">
        <v>2065</v>
      </c>
      <c r="C5685" s="1" t="str">
        <f>HYPERLINK("http://www.uniprot.org/uniprot/OXA1L_ARATH","OXA1L_ARATH")</f>
        <v>OXA1L_ARATH</v>
      </c>
      <c r="D5685" t="s">
        <v>4788</v>
      </c>
      <c r="E5685" s="3" t="s">
        <v>3</v>
      </c>
      <c r="F5685" s="4">
        <v>1.61E-98</v>
      </c>
      <c r="G5685" s="3">
        <v>790</v>
      </c>
      <c r="H5685" s="3">
        <v>51</v>
      </c>
      <c r="I5685" s="3">
        <v>332</v>
      </c>
      <c r="J5685" s="3">
        <v>978</v>
      </c>
      <c r="K5685" s="3">
        <v>1958</v>
      </c>
      <c r="L5685" s="3">
        <v>4</v>
      </c>
      <c r="M5685" s="3">
        <v>326</v>
      </c>
    </row>
    <row r="5686" spans="1:13" x14ac:dyDescent="0.25">
      <c r="A5686" s="1" t="str">
        <f>HYPERLINK("http://www.rosaceae.org/Prunus/Prunus_persica/p.persica_gdr_reftransV1_0027874","p.persica_gdr_reftransV1_0027874")</f>
        <v>p.persica_gdr_reftransV1_0027874</v>
      </c>
      <c r="B5686" s="3">
        <v>2700</v>
      </c>
      <c r="C5686" s="1" t="str">
        <f>HYPERLINK("http://www.uniprot.org/uniprot/Y4634_ARATH","Y4634_ARATH")</f>
        <v>Y4634_ARATH</v>
      </c>
      <c r="D5686" t="s">
        <v>4789</v>
      </c>
      <c r="E5686" s="3" t="s">
        <v>3</v>
      </c>
      <c r="F5686" s="4">
        <v>1.6299999999999999E-82</v>
      </c>
      <c r="G5686" s="3">
        <v>708</v>
      </c>
      <c r="H5686" s="3">
        <v>66</v>
      </c>
      <c r="I5686" s="3">
        <v>258</v>
      </c>
      <c r="J5686" s="3">
        <v>1459</v>
      </c>
      <c r="K5686" s="3">
        <v>2196</v>
      </c>
      <c r="L5686" s="3">
        <v>117</v>
      </c>
      <c r="M5686" s="3">
        <v>371</v>
      </c>
    </row>
    <row r="5687" spans="1:13" x14ac:dyDescent="0.25">
      <c r="A5687" s="1" t="str">
        <f>HYPERLINK("http://www.rosaceae.org/Prunus/Prunus_persica/p.persica_gdr_reftransV1_0027924","p.persica_gdr_reftransV1_0027924")</f>
        <v>p.persica_gdr_reftransV1_0027924</v>
      </c>
      <c r="B5687" s="3">
        <v>1153</v>
      </c>
      <c r="C5687" s="1" t="str">
        <f>HYPERLINK("http://www.uniprot.org/uniprot/Y4597_ARATH","Y4597_ARATH")</f>
        <v>Y4597_ARATH</v>
      </c>
      <c r="D5687" t="s">
        <v>604</v>
      </c>
      <c r="E5687" s="3" t="s">
        <v>3</v>
      </c>
      <c r="F5687" s="4">
        <v>3.9599999999999997E-45</v>
      </c>
      <c r="G5687" s="3">
        <v>417</v>
      </c>
      <c r="H5687" s="3">
        <v>31</v>
      </c>
      <c r="I5687" s="3">
        <v>285</v>
      </c>
      <c r="J5687" s="3">
        <v>260</v>
      </c>
      <c r="K5687" s="3">
        <v>1075</v>
      </c>
      <c r="L5687" s="3">
        <v>41</v>
      </c>
      <c r="M5687" s="3">
        <v>311</v>
      </c>
    </row>
    <row r="5688" spans="1:13" x14ac:dyDescent="0.25">
      <c r="A5688" s="1" t="str">
        <f>HYPERLINK("http://www.rosaceae.org/Prunus/Prunus_persica/p.persica_gdr_reftransV1_0027974","p.persica_gdr_reftransV1_0027974")</f>
        <v>p.persica_gdr_reftransV1_0027974</v>
      </c>
      <c r="B5688" s="3">
        <v>2517</v>
      </c>
      <c r="C5688" s="1" t="str">
        <f>HYPERLINK("http://www.uniprot.org/uniprot/SYT1_ARATH","SYT1_ARATH")</f>
        <v>SYT1_ARATH</v>
      </c>
      <c r="D5688" t="s">
        <v>672</v>
      </c>
      <c r="E5688" s="3" t="s">
        <v>3</v>
      </c>
      <c r="F5688" s="4">
        <v>0</v>
      </c>
      <c r="G5688" s="3">
        <v>1403</v>
      </c>
      <c r="H5688" s="3">
        <v>75</v>
      </c>
      <c r="I5688" s="3">
        <v>336</v>
      </c>
      <c r="J5688" s="3">
        <v>1087</v>
      </c>
      <c r="K5688" s="3">
        <v>2094</v>
      </c>
      <c r="L5688" s="3">
        <v>1</v>
      </c>
      <c r="M5688" s="3">
        <v>336</v>
      </c>
    </row>
    <row r="5689" spans="1:13" x14ac:dyDescent="0.25">
      <c r="A5689" s="1" t="str">
        <f>HYPERLINK("http://www.rosaceae.org/Prunus/Prunus_persica/p.persica_gdr_reftransV1_0028574","p.persica_gdr_reftransV1_0028574")</f>
        <v>p.persica_gdr_reftransV1_0028574</v>
      </c>
      <c r="B5689" s="3">
        <v>2019</v>
      </c>
      <c r="C5689" s="1" t="str">
        <f>HYPERLINK("http://www.uniprot.org/uniprot/C7A29_PANGI","C7A29_PANGI")</f>
        <v>C7A29_PANGI</v>
      </c>
      <c r="D5689" t="s">
        <v>3855</v>
      </c>
      <c r="E5689" s="3" t="s">
        <v>1477</v>
      </c>
      <c r="F5689" s="4">
        <v>1.97E-138</v>
      </c>
      <c r="G5689" s="3">
        <v>1086</v>
      </c>
      <c r="H5689" s="3">
        <v>47</v>
      </c>
      <c r="I5689" s="3">
        <v>473</v>
      </c>
      <c r="J5689" s="3">
        <v>412</v>
      </c>
      <c r="K5689" s="3">
        <v>1806</v>
      </c>
      <c r="L5689" s="3">
        <v>88</v>
      </c>
      <c r="M5689" s="3">
        <v>517</v>
      </c>
    </row>
    <row r="5690" spans="1:13" x14ac:dyDescent="0.25">
      <c r="A5690" s="1" t="str">
        <f>HYPERLINK("http://www.rosaceae.org/Prunus/Prunus_persica/p.persica_gdr_reftransV1_0028674","p.persica_gdr_reftransV1_0028674")</f>
        <v>p.persica_gdr_reftransV1_0028674</v>
      </c>
      <c r="B5690" s="3">
        <v>1570</v>
      </c>
      <c r="C5690" s="1" t="str">
        <f>HYPERLINK("http://www.uniprot.org/uniprot/FIE2_MAIZE","FIE2_MAIZE")</f>
        <v>FIE2_MAIZE</v>
      </c>
      <c r="D5690" t="s">
        <v>4790</v>
      </c>
      <c r="E5690" s="3" t="s">
        <v>72</v>
      </c>
      <c r="F5690" s="4">
        <v>0</v>
      </c>
      <c r="G5690" s="3">
        <v>1444</v>
      </c>
      <c r="H5690" s="3">
        <v>80</v>
      </c>
      <c r="I5690" s="3">
        <v>327</v>
      </c>
      <c r="J5690" s="3">
        <v>101</v>
      </c>
      <c r="K5690" s="3">
        <v>1078</v>
      </c>
      <c r="L5690" s="3">
        <v>9</v>
      </c>
      <c r="M5690" s="3">
        <v>335</v>
      </c>
    </row>
    <row r="5691" spans="1:13" x14ac:dyDescent="0.25">
      <c r="A5691" s="1" t="str">
        <f>HYPERLINK("http://www.rosaceae.org/Prunus/Prunus_persica/p.persica_gdr_reftransV1_0028874","p.persica_gdr_reftransV1_0028874")</f>
        <v>p.persica_gdr_reftransV1_0028874</v>
      </c>
      <c r="B5691" s="3">
        <v>1560</v>
      </c>
      <c r="C5691" s="1" t="str">
        <f>HYPERLINK("http://www.uniprot.org/uniprot/YK50_YEAST","YK50_YEAST")</f>
        <v>YK50_YEAST</v>
      </c>
      <c r="D5691" t="s">
        <v>4791</v>
      </c>
      <c r="E5691" s="3" t="s">
        <v>34</v>
      </c>
      <c r="F5691" s="4">
        <v>2.32E-48</v>
      </c>
      <c r="G5691" s="3">
        <v>446</v>
      </c>
      <c r="H5691" s="3">
        <v>33</v>
      </c>
      <c r="I5691" s="3">
        <v>355</v>
      </c>
      <c r="J5691" s="3">
        <v>249</v>
      </c>
      <c r="K5691" s="3">
        <v>1268</v>
      </c>
      <c r="L5691" s="3">
        <v>8</v>
      </c>
      <c r="M5691" s="3">
        <v>350</v>
      </c>
    </row>
    <row r="5692" spans="1:13" x14ac:dyDescent="0.25">
      <c r="A5692" s="1" t="str">
        <f>HYPERLINK("http://www.rosaceae.org/Prunus/Prunus_persica/p.persica_gdr_reftransV1_0028924","p.persica_gdr_reftransV1_0028924")</f>
        <v>p.persica_gdr_reftransV1_0028924</v>
      </c>
      <c r="B5692" s="3">
        <v>1833</v>
      </c>
      <c r="C5692" s="1" t="str">
        <f>HYPERLINK("http://www.uniprot.org/uniprot/COL16_ARATH","COL16_ARATH")</f>
        <v>COL16_ARATH</v>
      </c>
      <c r="D5692" t="s">
        <v>4792</v>
      </c>
      <c r="E5692" s="3" t="s">
        <v>3</v>
      </c>
      <c r="F5692" s="4">
        <v>9.7700000000000006E-80</v>
      </c>
      <c r="G5692" s="3">
        <v>675</v>
      </c>
      <c r="H5692" s="3">
        <v>43</v>
      </c>
      <c r="I5692" s="3">
        <v>443</v>
      </c>
      <c r="J5692" s="3">
        <v>224</v>
      </c>
      <c r="K5692" s="3">
        <v>1513</v>
      </c>
      <c r="L5692" s="3">
        <v>3</v>
      </c>
      <c r="M5692" s="3">
        <v>403</v>
      </c>
    </row>
    <row r="5693" spans="1:13" x14ac:dyDescent="0.25">
      <c r="A5693" s="1" t="str">
        <f>HYPERLINK("http://www.rosaceae.org/Prunus/Prunus_persica/p.persica_gdr_reftransV1_0029524","p.persica_gdr_reftransV1_0029524")</f>
        <v>p.persica_gdr_reftransV1_0029524</v>
      </c>
      <c r="B5693" s="3">
        <v>4011</v>
      </c>
      <c r="C5693" s="1" t="str">
        <f>HYPERLINK("http://www.uniprot.org/uniprot/BMS1_HUMAN","BMS1_HUMAN")</f>
        <v>BMS1_HUMAN</v>
      </c>
      <c r="D5693" t="s">
        <v>4793</v>
      </c>
      <c r="E5693" s="3" t="s">
        <v>28</v>
      </c>
      <c r="F5693" s="4">
        <v>2.7999999999999999E-143</v>
      </c>
      <c r="G5693" s="3">
        <v>1225</v>
      </c>
      <c r="H5693" s="3">
        <v>48</v>
      </c>
      <c r="I5693" s="3">
        <v>528</v>
      </c>
      <c r="J5693" s="3">
        <v>1903</v>
      </c>
      <c r="K5693" s="3">
        <v>3447</v>
      </c>
      <c r="L5693" s="3">
        <v>733</v>
      </c>
      <c r="M5693" s="3">
        <v>1220</v>
      </c>
    </row>
    <row r="5694" spans="1:13" x14ac:dyDescent="0.25">
      <c r="A5694" s="1" t="str">
        <f>HYPERLINK("http://www.rosaceae.org/Prunus/Prunus_persica/p.persica_gdr_reftransV1_0029724","p.persica_gdr_reftransV1_0029724")</f>
        <v>p.persica_gdr_reftransV1_0029724</v>
      </c>
      <c r="B5694" s="3">
        <v>2451</v>
      </c>
      <c r="C5694" s="1" t="str">
        <f>HYPERLINK("http://www.uniprot.org/uniprot/THIC2_ARATH","THIC2_ARATH")</f>
        <v>THIC2_ARATH</v>
      </c>
      <c r="D5694" t="s">
        <v>4794</v>
      </c>
      <c r="E5694" s="3" t="s">
        <v>3</v>
      </c>
      <c r="F5694" s="4">
        <v>3.0200000000000002E-112</v>
      </c>
      <c r="G5694" s="3">
        <v>911</v>
      </c>
      <c r="H5694" s="3">
        <v>79</v>
      </c>
      <c r="I5694" s="3">
        <v>211</v>
      </c>
      <c r="J5694" s="3">
        <v>825</v>
      </c>
      <c r="K5694" s="3">
        <v>1457</v>
      </c>
      <c r="L5694" s="3">
        <v>140</v>
      </c>
      <c r="M5694" s="3">
        <v>350</v>
      </c>
    </row>
    <row r="5695" spans="1:13" x14ac:dyDescent="0.25">
      <c r="A5695" s="1" t="str">
        <f>HYPERLINK("http://www.rosaceae.org/Prunus/Prunus_persica/p.persica_gdr_reftransV1_0029874","p.persica_gdr_reftransV1_0029874")</f>
        <v>p.persica_gdr_reftransV1_0029874</v>
      </c>
      <c r="B5695" s="3">
        <v>2958</v>
      </c>
      <c r="C5695" s="1" t="str">
        <f>HYPERLINK("http://www.uniprot.org/uniprot/PP426_ARATH","PP426_ARATH")</f>
        <v>PP426_ARATH</v>
      </c>
      <c r="D5695" t="s">
        <v>4795</v>
      </c>
      <c r="E5695" s="3" t="s">
        <v>3</v>
      </c>
      <c r="F5695" s="4">
        <v>0</v>
      </c>
      <c r="G5695" s="3">
        <v>2182</v>
      </c>
      <c r="H5695" s="3">
        <v>68</v>
      </c>
      <c r="I5695" s="3">
        <v>602</v>
      </c>
      <c r="J5695" s="3">
        <v>1123</v>
      </c>
      <c r="K5695" s="3">
        <v>2913</v>
      </c>
      <c r="L5695" s="3">
        <v>98</v>
      </c>
      <c r="M5695" s="3">
        <v>694</v>
      </c>
    </row>
    <row r="5696" spans="1:13" x14ac:dyDescent="0.25">
      <c r="A5696" s="1" t="str">
        <f>HYPERLINK("http://www.rosaceae.org/Prunus/Prunus_persica/p.persica_gdr_reftransV1_0030424","p.persica_gdr_reftransV1_0030424")</f>
        <v>p.persica_gdr_reftransV1_0030424</v>
      </c>
      <c r="B5696" s="3">
        <v>875</v>
      </c>
      <c r="C5696" s="1" t="str">
        <f>HYPERLINK("http://www.uniprot.org/uniprot/TAF8_ARATH","TAF8_ARATH")</f>
        <v>TAF8_ARATH</v>
      </c>
      <c r="D5696" t="s">
        <v>1216</v>
      </c>
      <c r="E5696" s="3" t="s">
        <v>3</v>
      </c>
      <c r="F5696" s="4">
        <v>1.2500000000000001E-10</v>
      </c>
      <c r="G5696" s="3">
        <v>157</v>
      </c>
      <c r="H5696" s="3">
        <v>38</v>
      </c>
      <c r="I5696" s="3">
        <v>139</v>
      </c>
      <c r="J5696" s="3">
        <v>250</v>
      </c>
      <c r="K5696" s="3">
        <v>645</v>
      </c>
      <c r="L5696" s="3">
        <v>42</v>
      </c>
      <c r="M5696" s="3">
        <v>174</v>
      </c>
    </row>
    <row r="5697" spans="1:13" x14ac:dyDescent="0.25">
      <c r="A5697" s="1" t="str">
        <f>HYPERLINK("http://www.rosaceae.org/Prunus/Prunus_persica/p.persica_gdr_reftransV1_0030524","p.persica_gdr_reftransV1_0030524")</f>
        <v>p.persica_gdr_reftransV1_0030524</v>
      </c>
      <c r="B5697" s="3">
        <v>1492</v>
      </c>
      <c r="C5697" s="1" t="str">
        <f>HYPERLINK("http://www.uniprot.org/uniprot/CP21D_ARATH","CP21D_ARATH")</f>
        <v>CP21D_ARATH</v>
      </c>
      <c r="D5697" t="s">
        <v>4796</v>
      </c>
      <c r="E5697" s="3" t="s">
        <v>3</v>
      </c>
      <c r="F5697" s="4">
        <v>1.05E-96</v>
      </c>
      <c r="G5697" s="3">
        <v>764</v>
      </c>
      <c r="H5697" s="3">
        <v>66</v>
      </c>
      <c r="I5697" s="3">
        <v>235</v>
      </c>
      <c r="J5697" s="3">
        <v>488</v>
      </c>
      <c r="K5697" s="3">
        <v>1180</v>
      </c>
      <c r="L5697" s="3">
        <v>1</v>
      </c>
      <c r="M5697" s="3">
        <v>235</v>
      </c>
    </row>
    <row r="5698" spans="1:13" x14ac:dyDescent="0.25">
      <c r="A5698" s="1" t="str">
        <f>HYPERLINK("http://www.rosaceae.org/Prunus/Prunus_persica/p.persica_gdr_reftransV1_0030574","p.persica_gdr_reftransV1_0030574")</f>
        <v>p.persica_gdr_reftransV1_0030574</v>
      </c>
      <c r="B5698" s="3">
        <v>1920</v>
      </c>
      <c r="C5698" s="1" t="str">
        <f>HYPERLINK("http://www.uniprot.org/uniprot/CALSA_ARATH","CALSA_ARATH")</f>
        <v>CALSA_ARATH</v>
      </c>
      <c r="D5698" t="s">
        <v>2475</v>
      </c>
      <c r="E5698" s="3" t="s">
        <v>3</v>
      </c>
      <c r="F5698" s="4">
        <v>1.5600000000000001E-74</v>
      </c>
      <c r="G5698" s="3">
        <v>637</v>
      </c>
      <c r="H5698" s="3">
        <v>82</v>
      </c>
      <c r="I5698" s="3">
        <v>158</v>
      </c>
      <c r="J5698" s="3">
        <v>1208</v>
      </c>
      <c r="K5698" s="3">
        <v>1678</v>
      </c>
      <c r="L5698" s="3">
        <v>1</v>
      </c>
      <c r="M5698" s="3">
        <v>158</v>
      </c>
    </row>
    <row r="5699" spans="1:13" x14ac:dyDescent="0.25">
      <c r="A5699" s="1" t="str">
        <f>HYPERLINK("http://www.rosaceae.org/Prunus/Prunus_persica/p.persica_gdr_reftransV1_0031274","p.persica_gdr_reftransV1_0031274")</f>
        <v>p.persica_gdr_reftransV1_0031274</v>
      </c>
      <c r="B5699" s="3">
        <v>1128</v>
      </c>
      <c r="C5699" s="1" t="str">
        <f>HYPERLINK("http://www.uniprot.org/uniprot/RK11_ARATH","RK11_ARATH")</f>
        <v>RK11_ARATH</v>
      </c>
      <c r="D5699" t="s">
        <v>4797</v>
      </c>
      <c r="E5699" s="3" t="s">
        <v>3</v>
      </c>
      <c r="F5699" s="4">
        <v>9.0199999999999991E-87</v>
      </c>
      <c r="G5699" s="3">
        <v>686</v>
      </c>
      <c r="H5699" s="3">
        <v>73</v>
      </c>
      <c r="I5699" s="3">
        <v>204</v>
      </c>
      <c r="J5699" s="3">
        <v>230</v>
      </c>
      <c r="K5699" s="3">
        <v>841</v>
      </c>
      <c r="L5699" s="3">
        <v>52</v>
      </c>
      <c r="M5699" s="3">
        <v>222</v>
      </c>
    </row>
    <row r="5700" spans="1:13" x14ac:dyDescent="0.25">
      <c r="A5700" s="1" t="str">
        <f>HYPERLINK("http://www.rosaceae.org/Prunus/Prunus_persica/p.persica_gdr_reftransV1_0031774","p.persica_gdr_reftransV1_0031774")</f>
        <v>p.persica_gdr_reftransV1_0031774</v>
      </c>
      <c r="B5700" s="3">
        <v>1191</v>
      </c>
      <c r="C5700" s="1" t="str">
        <f>HYPERLINK("http://www.uniprot.org/uniprot/SODM_PRUPE","SODM_PRUPE")</f>
        <v>SODM_PRUPE</v>
      </c>
      <c r="D5700" t="s">
        <v>4798</v>
      </c>
      <c r="E5700" s="3" t="s">
        <v>784</v>
      </c>
      <c r="F5700" s="4">
        <v>5.4200000000000002E-144</v>
      </c>
      <c r="G5700" s="3">
        <v>1068</v>
      </c>
      <c r="H5700" s="3">
        <v>85</v>
      </c>
      <c r="I5700" s="3">
        <v>239</v>
      </c>
      <c r="J5700" s="3">
        <v>406</v>
      </c>
      <c r="K5700" s="3">
        <v>1116</v>
      </c>
      <c r="L5700" s="3">
        <v>1</v>
      </c>
      <c r="M5700" s="3">
        <v>228</v>
      </c>
    </row>
    <row r="5701" spans="1:13" x14ac:dyDescent="0.25">
      <c r="A5701" s="1" t="str">
        <f>HYPERLINK("http://www.rosaceae.org/Prunus/Prunus_persica/p.persica_gdr_reftransV1_0032124","p.persica_gdr_reftransV1_0032124")</f>
        <v>p.persica_gdr_reftransV1_0032124</v>
      </c>
      <c r="B5701" s="3">
        <v>487</v>
      </c>
      <c r="C5701" s="1" t="str">
        <f>HYPERLINK("http://www.uniprot.org/uniprot/GRS17_ARATH","GRS17_ARATH")</f>
        <v>GRS17_ARATH</v>
      </c>
      <c r="D5701" t="s">
        <v>1872</v>
      </c>
      <c r="E5701" s="3" t="s">
        <v>3</v>
      </c>
      <c r="F5701" s="4">
        <v>4.2800000000000003E-12</v>
      </c>
      <c r="G5701" s="3">
        <v>163</v>
      </c>
      <c r="H5701" s="3">
        <v>49</v>
      </c>
      <c r="I5701" s="3">
        <v>59</v>
      </c>
      <c r="J5701" s="3">
        <v>146</v>
      </c>
      <c r="K5701" s="3">
        <v>322</v>
      </c>
      <c r="L5701" s="3">
        <v>181</v>
      </c>
      <c r="M5701" s="3">
        <v>239</v>
      </c>
    </row>
    <row r="5702" spans="1:13" x14ac:dyDescent="0.25">
      <c r="A5702" s="1" t="str">
        <f>HYPERLINK("http://www.rosaceae.org/Prunus/Prunus_persica/p.persica_gdr_reftransV1_0032174","p.persica_gdr_reftransV1_0032174")</f>
        <v>p.persica_gdr_reftransV1_0032174</v>
      </c>
      <c r="B5702" s="3">
        <v>1140</v>
      </c>
      <c r="C5702" s="1" t="str">
        <f>HYPERLINK("http://www.uniprot.org/uniprot/VAP22_ARATH","VAP22_ARATH")</f>
        <v>VAP22_ARATH</v>
      </c>
      <c r="D5702" t="s">
        <v>1104</v>
      </c>
      <c r="E5702" s="3" t="s">
        <v>3</v>
      </c>
      <c r="F5702" s="4">
        <v>4.8100000000000001E-49</v>
      </c>
      <c r="G5702" s="3">
        <v>445</v>
      </c>
      <c r="H5702" s="3">
        <v>57</v>
      </c>
      <c r="I5702" s="3">
        <v>166</v>
      </c>
      <c r="J5702" s="3">
        <v>521</v>
      </c>
      <c r="K5702" s="3">
        <v>1018</v>
      </c>
      <c r="L5702" s="3">
        <v>1</v>
      </c>
      <c r="M5702" s="3">
        <v>165</v>
      </c>
    </row>
    <row r="5703" spans="1:13" x14ac:dyDescent="0.25">
      <c r="A5703" s="1" t="str">
        <f>HYPERLINK("http://www.rosaceae.org/Prunus/Prunus_persica/p.persica_gdr_reftransV1_0032374","p.persica_gdr_reftransV1_0032374")</f>
        <v>p.persica_gdr_reftransV1_0032374</v>
      </c>
      <c r="B5703" s="3">
        <v>1318</v>
      </c>
      <c r="C5703" s="1" t="str">
        <f>HYPERLINK("http://www.uniprot.org/uniprot/Y3291_DICDI","Y3291_DICDI")</f>
        <v>Y3291_DICDI</v>
      </c>
      <c r="D5703" t="s">
        <v>4799</v>
      </c>
      <c r="E5703" s="3" t="s">
        <v>9</v>
      </c>
      <c r="F5703" s="4">
        <v>5.7E-24</v>
      </c>
      <c r="G5703" s="3">
        <v>172</v>
      </c>
      <c r="H5703" s="3">
        <v>40</v>
      </c>
      <c r="I5703" s="3">
        <v>100</v>
      </c>
      <c r="J5703" s="3">
        <v>379</v>
      </c>
      <c r="K5703" s="3">
        <v>669</v>
      </c>
      <c r="L5703" s="3">
        <v>213</v>
      </c>
      <c r="M5703" s="3">
        <v>307</v>
      </c>
    </row>
    <row r="5704" spans="1:13" x14ac:dyDescent="0.25">
      <c r="A5704" s="1" t="str">
        <f>HYPERLINK("http://www.rosaceae.org/Prunus/Prunus_persica/p.persica_gdr_reftransV1_0033374","p.persica_gdr_reftransV1_0033374")</f>
        <v>p.persica_gdr_reftransV1_0033374</v>
      </c>
      <c r="B5704" s="3">
        <v>1867</v>
      </c>
      <c r="C5704" s="1" t="str">
        <f>HYPERLINK("http://www.uniprot.org/uniprot/DI193_ARATH","DI193_ARATH")</f>
        <v>DI193_ARATH</v>
      </c>
      <c r="D5704" t="s">
        <v>4800</v>
      </c>
      <c r="E5704" s="3" t="s">
        <v>3</v>
      </c>
      <c r="F5704" s="4">
        <v>1.8799999999999999E-68</v>
      </c>
      <c r="G5704" s="3">
        <v>581</v>
      </c>
      <c r="H5704" s="3">
        <v>63</v>
      </c>
      <c r="I5704" s="3">
        <v>200</v>
      </c>
      <c r="J5704" s="3">
        <v>817</v>
      </c>
      <c r="K5704" s="3">
        <v>1407</v>
      </c>
      <c r="L5704" s="3">
        <v>1</v>
      </c>
      <c r="M5704" s="3">
        <v>200</v>
      </c>
    </row>
    <row r="5705" spans="1:13" x14ac:dyDescent="0.25">
      <c r="A5705" s="1" t="str">
        <f>HYPERLINK("http://www.rosaceae.org/Prunus/Prunus_persica/p.persica_gdr_reftransV1_0033424","p.persica_gdr_reftransV1_0033424")</f>
        <v>p.persica_gdr_reftransV1_0033424</v>
      </c>
      <c r="B5705" s="3">
        <v>1587</v>
      </c>
      <c r="C5705" s="1" t="str">
        <f>HYPERLINK("http://www.uniprot.org/uniprot/ALIS4_ARATH","ALIS4_ARATH")</f>
        <v>ALIS4_ARATH</v>
      </c>
      <c r="D5705" t="s">
        <v>4801</v>
      </c>
      <c r="E5705" s="3" t="s">
        <v>3</v>
      </c>
      <c r="F5705" s="4">
        <v>4.2300000000000001E-142</v>
      </c>
      <c r="G5705" s="3">
        <v>1079</v>
      </c>
      <c r="H5705" s="3">
        <v>66</v>
      </c>
      <c r="I5705" s="3">
        <v>319</v>
      </c>
      <c r="J5705" s="3">
        <v>373</v>
      </c>
      <c r="K5705" s="3">
        <v>1329</v>
      </c>
      <c r="L5705" s="3">
        <v>19</v>
      </c>
      <c r="M5705" s="3">
        <v>336</v>
      </c>
    </row>
    <row r="5706" spans="1:13" x14ac:dyDescent="0.25">
      <c r="A5706" s="1" t="str">
        <f>HYPERLINK("http://www.rosaceae.org/Prunus/Prunus_persica/p.persica_gdr_reftransV1_0033874","p.persica_gdr_reftransV1_0033874")</f>
        <v>p.persica_gdr_reftransV1_0033874</v>
      </c>
      <c r="B5706" s="3">
        <v>8701</v>
      </c>
      <c r="C5706" s="1" t="str">
        <f>HYPERLINK("http://www.uniprot.org/uniprot/CRS1_MAIZE","CRS1_MAIZE")</f>
        <v>CRS1_MAIZE</v>
      </c>
      <c r="D5706" t="s">
        <v>1394</v>
      </c>
      <c r="E5706" s="3" t="s">
        <v>72</v>
      </c>
      <c r="F5706" s="4">
        <v>2.8199999999999999E-160</v>
      </c>
      <c r="G5706" s="3">
        <v>1342</v>
      </c>
      <c r="H5706" s="3">
        <v>50</v>
      </c>
      <c r="I5706" s="3">
        <v>594</v>
      </c>
      <c r="J5706" s="3">
        <v>6616</v>
      </c>
      <c r="K5706" s="3">
        <v>8379</v>
      </c>
      <c r="L5706" s="3">
        <v>140</v>
      </c>
      <c r="M5706" s="3">
        <v>695</v>
      </c>
    </row>
    <row r="5707" spans="1:13" x14ac:dyDescent="0.25">
      <c r="A5707" s="1" t="str">
        <f>HYPERLINK("http://www.rosaceae.org/Prunus/Prunus_persica/p.persica_gdr_reftransV1_0034274","p.persica_gdr_reftransV1_0034274")</f>
        <v>p.persica_gdr_reftransV1_0034274</v>
      </c>
      <c r="B5707" s="3">
        <v>6488</v>
      </c>
      <c r="C5707" s="1" t="str">
        <f>HYPERLINK("http://www.uniprot.org/uniprot/KIF11_DICDI","KIF11_DICDI")</f>
        <v>KIF11_DICDI</v>
      </c>
      <c r="D5707" t="s">
        <v>4802</v>
      </c>
      <c r="E5707" s="3" t="s">
        <v>9</v>
      </c>
      <c r="F5707" s="4">
        <v>3.4599999999999998E-102</v>
      </c>
      <c r="G5707" s="3">
        <v>900</v>
      </c>
      <c r="H5707" s="3">
        <v>50</v>
      </c>
      <c r="I5707" s="3">
        <v>387</v>
      </c>
      <c r="J5707" s="3">
        <v>5191</v>
      </c>
      <c r="K5707" s="3">
        <v>6312</v>
      </c>
      <c r="L5707" s="3">
        <v>116</v>
      </c>
      <c r="M5707" s="3">
        <v>491</v>
      </c>
    </row>
    <row r="5708" spans="1:13" x14ac:dyDescent="0.25">
      <c r="A5708" s="1" t="str">
        <f>HYPERLINK("http://www.rosaceae.org/Prunus/Prunus_persica/p.persica_gdr_reftransV1_0034474","p.persica_gdr_reftransV1_0034474")</f>
        <v>p.persica_gdr_reftransV1_0034474</v>
      </c>
      <c r="B5708" s="3">
        <v>1698</v>
      </c>
      <c r="C5708" s="1" t="str">
        <f>HYPERLINK("http://www.uniprot.org/uniprot/SYP61_ARATH","SYP61_ARATH")</f>
        <v>SYP61_ARATH</v>
      </c>
      <c r="D5708" t="s">
        <v>4803</v>
      </c>
      <c r="E5708" s="3" t="s">
        <v>3</v>
      </c>
      <c r="F5708" s="4">
        <v>7.9000000000000006E-68</v>
      </c>
      <c r="G5708" s="3">
        <v>575</v>
      </c>
      <c r="H5708" s="3">
        <v>68</v>
      </c>
      <c r="I5708" s="3">
        <v>157</v>
      </c>
      <c r="J5708" s="3">
        <v>182</v>
      </c>
      <c r="K5708" s="3">
        <v>649</v>
      </c>
      <c r="L5708" s="3">
        <v>1</v>
      </c>
      <c r="M5708" s="3">
        <v>157</v>
      </c>
    </row>
    <row r="5709" spans="1:13" x14ac:dyDescent="0.25">
      <c r="A5709" s="1" t="str">
        <f>HYPERLINK("http://www.rosaceae.org/Prunus/Prunus_persica/p.persica_gdr_reftransV1_0034574","p.persica_gdr_reftransV1_0034574")</f>
        <v>p.persica_gdr_reftransV1_0034574</v>
      </c>
      <c r="B5709" s="3">
        <v>2076</v>
      </c>
      <c r="C5709" s="1" t="str">
        <f>HYPERLINK("http://www.uniprot.org/uniprot/DST1_DICDI","DST1_DICDI")</f>
        <v>DST1_DICDI</v>
      </c>
      <c r="D5709" t="s">
        <v>4804</v>
      </c>
      <c r="E5709" s="3" t="s">
        <v>9</v>
      </c>
      <c r="F5709" s="4">
        <v>2.68E-79</v>
      </c>
      <c r="G5709" s="3">
        <v>699</v>
      </c>
      <c r="H5709" s="3">
        <v>54</v>
      </c>
      <c r="I5709" s="3">
        <v>248</v>
      </c>
      <c r="J5709" s="3">
        <v>608</v>
      </c>
      <c r="K5709" s="3">
        <v>1351</v>
      </c>
      <c r="L5709" s="3">
        <v>23</v>
      </c>
      <c r="M5709" s="3">
        <v>241</v>
      </c>
    </row>
    <row r="5710" spans="1:13" x14ac:dyDescent="0.25">
      <c r="A5710" s="1" t="str">
        <f>HYPERLINK("http://www.rosaceae.org/Prunus/Prunus_persica/p.persica_gdr_reftransV1_0034874","p.persica_gdr_reftransV1_0034874")</f>
        <v>p.persica_gdr_reftransV1_0034874</v>
      </c>
      <c r="B5710" s="3">
        <v>1485</v>
      </c>
      <c r="C5710" s="1" t="str">
        <f>HYPERLINK("http://www.uniprot.org/uniprot/GPDA_CUPLA","GPDA_CUPLA")</f>
        <v>GPDA_CUPLA</v>
      </c>
      <c r="D5710" t="s">
        <v>4805</v>
      </c>
      <c r="E5710" s="3" t="s">
        <v>2950</v>
      </c>
      <c r="F5710" s="4">
        <v>0</v>
      </c>
      <c r="G5710" s="3">
        <v>1616</v>
      </c>
      <c r="H5710" s="3">
        <v>84</v>
      </c>
      <c r="I5710" s="3">
        <v>361</v>
      </c>
      <c r="J5710" s="3">
        <v>83</v>
      </c>
      <c r="K5710" s="3">
        <v>1156</v>
      </c>
      <c r="L5710" s="3">
        <v>7</v>
      </c>
      <c r="M5710" s="3">
        <v>367</v>
      </c>
    </row>
    <row r="5711" spans="1:13" x14ac:dyDescent="0.25">
      <c r="A5711" s="1" t="str">
        <f>HYPERLINK("http://www.rosaceae.org/Prunus/Prunus_persica/p.persica_gdr_reftransV1_0035074","p.persica_gdr_reftransV1_0035074")</f>
        <v>p.persica_gdr_reftransV1_0035074</v>
      </c>
      <c r="B5711" s="3">
        <v>4776</v>
      </c>
      <c r="C5711" s="1" t="str">
        <f>HYPERLINK("http://www.uniprot.org/uniprot/CCT13_ORYSJ","CCT13_ORYSJ")</f>
        <v>CCT13_ORYSJ</v>
      </c>
      <c r="D5711" t="s">
        <v>4806</v>
      </c>
      <c r="E5711" s="3" t="s">
        <v>38</v>
      </c>
      <c r="F5711" s="4">
        <v>1.1100000000000001E-43</v>
      </c>
      <c r="G5711" s="3">
        <v>437</v>
      </c>
      <c r="H5711" s="3">
        <v>51</v>
      </c>
      <c r="I5711" s="3">
        <v>156</v>
      </c>
      <c r="J5711" s="3">
        <v>3925</v>
      </c>
      <c r="K5711" s="3">
        <v>4392</v>
      </c>
      <c r="L5711" s="3">
        <v>38</v>
      </c>
      <c r="M5711" s="3">
        <v>193</v>
      </c>
    </row>
    <row r="5712" spans="1:13" x14ac:dyDescent="0.25">
      <c r="A5712" s="1" t="str">
        <f>HYPERLINK("http://www.rosaceae.org/Prunus/Prunus_persica/p.persica_gdr_reftransV1_0035224","p.persica_gdr_reftransV1_0035224")</f>
        <v>p.persica_gdr_reftransV1_0035224</v>
      </c>
      <c r="B5712" s="3">
        <v>4467</v>
      </c>
      <c r="C5712" s="1" t="str">
        <f>HYPERLINK("http://www.uniprot.org/uniprot/GWD1_CITRE","GWD1_CITRE")</f>
        <v>GWD1_CITRE</v>
      </c>
      <c r="D5712" t="s">
        <v>4807</v>
      </c>
      <c r="E5712" s="3" t="s">
        <v>4808</v>
      </c>
      <c r="F5712" s="4">
        <v>0</v>
      </c>
      <c r="G5712" s="3">
        <v>3368</v>
      </c>
      <c r="H5712" s="3">
        <v>73</v>
      </c>
      <c r="I5712" s="3">
        <v>927</v>
      </c>
      <c r="J5712" s="3">
        <v>1489</v>
      </c>
      <c r="K5712" s="3">
        <v>4233</v>
      </c>
      <c r="L5712" s="3">
        <v>1</v>
      </c>
      <c r="M5712" s="3">
        <v>920</v>
      </c>
    </row>
    <row r="5713" spans="1:13" x14ac:dyDescent="0.25">
      <c r="A5713" s="1" t="str">
        <f>HYPERLINK("http://www.rosaceae.org/Prunus/Prunus_persica/p.persica_gdr_reftransV1_0035324","p.persica_gdr_reftransV1_0035324")</f>
        <v>p.persica_gdr_reftransV1_0035324</v>
      </c>
      <c r="B5713" s="3">
        <v>538</v>
      </c>
      <c r="C5713" s="1" t="str">
        <f>HYPERLINK("http://www.uniprot.org/uniprot/Y5639_ARATH","Y5639_ARATH")</f>
        <v>Y5639_ARATH</v>
      </c>
      <c r="D5713" t="s">
        <v>3394</v>
      </c>
      <c r="E5713" s="3" t="s">
        <v>3</v>
      </c>
      <c r="F5713" s="4">
        <v>4.2899999999999999E-60</v>
      </c>
      <c r="G5713" s="3">
        <v>525</v>
      </c>
      <c r="H5713" s="3">
        <v>73</v>
      </c>
      <c r="I5713" s="3">
        <v>139</v>
      </c>
      <c r="J5713" s="3">
        <v>129</v>
      </c>
      <c r="K5713" s="3">
        <v>536</v>
      </c>
      <c r="L5713" s="3">
        <v>956</v>
      </c>
      <c r="M5713" s="3">
        <v>1094</v>
      </c>
    </row>
    <row r="5714" spans="1:13" x14ac:dyDescent="0.25">
      <c r="A5714" s="1" t="str">
        <f>HYPERLINK("http://www.rosaceae.org/Prunus/Prunus_persica/p.persica_gdr_reftransV1_0035524","p.persica_gdr_reftransV1_0035524")</f>
        <v>p.persica_gdr_reftransV1_0035524</v>
      </c>
      <c r="B5714" s="3">
        <v>4447</v>
      </c>
      <c r="C5714" s="1" t="str">
        <f>HYPERLINK("http://www.uniprot.org/uniprot/WDR81_HUMAN","WDR81_HUMAN")</f>
        <v>WDR81_HUMAN</v>
      </c>
      <c r="D5714" t="s">
        <v>4809</v>
      </c>
      <c r="E5714" s="3" t="s">
        <v>28</v>
      </c>
      <c r="F5714" s="4">
        <v>5.4700000000000003E-65</v>
      </c>
      <c r="G5714" s="3">
        <v>633</v>
      </c>
      <c r="H5714" s="3">
        <v>51</v>
      </c>
      <c r="I5714" s="3">
        <v>251</v>
      </c>
      <c r="J5714" s="3">
        <v>3509</v>
      </c>
      <c r="K5714" s="3">
        <v>4213</v>
      </c>
      <c r="L5714" s="3">
        <v>352</v>
      </c>
      <c r="M5714" s="3">
        <v>596</v>
      </c>
    </row>
    <row r="5715" spans="1:13" x14ac:dyDescent="0.25">
      <c r="A5715" s="1" t="str">
        <f>HYPERLINK("http://www.rosaceae.org/Prunus/Prunus_persica/p.persica_gdr_reftransV1_0035674","p.persica_gdr_reftransV1_0035674")</f>
        <v>p.persica_gdr_reftransV1_0035674</v>
      </c>
      <c r="B5715" s="3">
        <v>4309</v>
      </c>
      <c r="C5715" s="1" t="str">
        <f>HYPERLINK("http://www.uniprot.org/uniprot/CDKG2_ORYSJ","CDKG2_ORYSJ")</f>
        <v>CDKG2_ORYSJ</v>
      </c>
      <c r="D5715" t="s">
        <v>1829</v>
      </c>
      <c r="E5715" s="3" t="s">
        <v>38</v>
      </c>
      <c r="F5715" s="4">
        <v>1.33E-160</v>
      </c>
      <c r="G5715" s="3">
        <v>1308</v>
      </c>
      <c r="H5715" s="3">
        <v>53</v>
      </c>
      <c r="I5715" s="3">
        <v>572</v>
      </c>
      <c r="J5715" s="3">
        <v>754</v>
      </c>
      <c r="K5715" s="3">
        <v>2379</v>
      </c>
      <c r="L5715" s="3">
        <v>133</v>
      </c>
      <c r="M5715" s="3">
        <v>675</v>
      </c>
    </row>
    <row r="5716" spans="1:13" x14ac:dyDescent="0.25">
      <c r="A5716" s="1" t="str">
        <f>HYPERLINK("http://www.rosaceae.org/Prunus/Prunus_persica/p.persica_gdr_reftransV1_0036374","p.persica_gdr_reftransV1_0036374")</f>
        <v>p.persica_gdr_reftransV1_0036374</v>
      </c>
      <c r="B5716" s="3">
        <v>1999</v>
      </c>
      <c r="C5716" s="1" t="str">
        <f>HYPERLINK("http://www.uniprot.org/uniprot/UGT7_CATRO","UGT7_CATRO")</f>
        <v>UGT7_CATRO</v>
      </c>
      <c r="D5716" t="s">
        <v>2697</v>
      </c>
      <c r="E5716" s="3" t="s">
        <v>457</v>
      </c>
      <c r="F5716" s="4">
        <v>1.5E-112</v>
      </c>
      <c r="G5716" s="3">
        <v>905</v>
      </c>
      <c r="H5716" s="3">
        <v>57</v>
      </c>
      <c r="I5716" s="3">
        <v>297</v>
      </c>
      <c r="J5716" s="3">
        <v>312</v>
      </c>
      <c r="K5716" s="3">
        <v>1187</v>
      </c>
      <c r="L5716" s="3">
        <v>157</v>
      </c>
      <c r="M5716" s="3">
        <v>453</v>
      </c>
    </row>
    <row r="5717" spans="1:13" x14ac:dyDescent="0.25">
      <c r="A5717" s="1" t="str">
        <f>HYPERLINK("http://www.rosaceae.org/Prunus/Prunus_persica/p.persica_gdr_reftransV1_0036574","p.persica_gdr_reftransV1_0036574")</f>
        <v>p.persica_gdr_reftransV1_0036574</v>
      </c>
      <c r="B5717" s="3">
        <v>2595</v>
      </c>
      <c r="C5717" s="1" t="str">
        <f>HYPERLINK("http://www.uniprot.org/uniprot/RNFT2_HUMAN","RNFT2_HUMAN")</f>
        <v>RNFT2_HUMAN</v>
      </c>
      <c r="D5717" t="s">
        <v>4810</v>
      </c>
      <c r="E5717" s="3" t="s">
        <v>28</v>
      </c>
      <c r="F5717" s="4">
        <v>3.9199999999999998E-15</v>
      </c>
      <c r="G5717" s="3">
        <v>202</v>
      </c>
      <c r="H5717" s="3">
        <v>52</v>
      </c>
      <c r="I5717" s="3">
        <v>73</v>
      </c>
      <c r="J5717" s="3">
        <v>312</v>
      </c>
      <c r="K5717" s="3">
        <v>530</v>
      </c>
      <c r="L5717" s="3">
        <v>367</v>
      </c>
      <c r="M5717" s="3">
        <v>438</v>
      </c>
    </row>
    <row r="5718" spans="1:13" x14ac:dyDescent="0.25">
      <c r="A5718" s="1" t="str">
        <f>HYPERLINK("http://www.rosaceae.org/Prunus/Prunus_persica/p.persica_gdr_reftransV1_0036874","p.persica_gdr_reftransV1_0036874")</f>
        <v>p.persica_gdr_reftransV1_0036874</v>
      </c>
      <c r="B5718" s="3">
        <v>1998</v>
      </c>
      <c r="C5718" s="1" t="str">
        <f>HYPERLINK("http://www.uniprot.org/uniprot/ATXR2_ARATH","ATXR2_ARATH")</f>
        <v>ATXR2_ARATH</v>
      </c>
      <c r="D5718" t="s">
        <v>2110</v>
      </c>
      <c r="E5718" s="3" t="s">
        <v>3</v>
      </c>
      <c r="F5718" s="4">
        <v>0</v>
      </c>
      <c r="G5718" s="3">
        <v>1551</v>
      </c>
      <c r="H5718" s="3">
        <v>62</v>
      </c>
      <c r="I5718" s="3">
        <v>502</v>
      </c>
      <c r="J5718" s="3">
        <v>365</v>
      </c>
      <c r="K5718" s="3">
        <v>1861</v>
      </c>
      <c r="L5718" s="3">
        <v>1</v>
      </c>
      <c r="M5718" s="3">
        <v>467</v>
      </c>
    </row>
    <row r="5719" spans="1:13" x14ac:dyDescent="0.25">
      <c r="A5719" s="1" t="str">
        <f>HYPERLINK("http://www.rosaceae.org/Prunus/Prunus_persica/p.persica_gdr_reftransV1_0037074","p.persica_gdr_reftransV1_0037074")</f>
        <v>p.persica_gdr_reftransV1_0037074</v>
      </c>
      <c r="B5719" s="3">
        <v>1135</v>
      </c>
      <c r="C5719" s="1" t="str">
        <f>HYPERLINK("http://www.uniprot.org/uniprot/COQ4_ARATH","COQ4_ARATH")</f>
        <v>COQ4_ARATH</v>
      </c>
      <c r="D5719" t="s">
        <v>4811</v>
      </c>
      <c r="E5719" s="3" t="s">
        <v>3</v>
      </c>
      <c r="F5719" s="4">
        <v>3.2500000000000001E-131</v>
      </c>
      <c r="G5719" s="3">
        <v>981</v>
      </c>
      <c r="H5719" s="3">
        <v>83</v>
      </c>
      <c r="I5719" s="3">
        <v>225</v>
      </c>
      <c r="J5719" s="3">
        <v>310</v>
      </c>
      <c r="K5719" s="3">
        <v>984</v>
      </c>
      <c r="L5719" s="3">
        <v>2</v>
      </c>
      <c r="M5719" s="3">
        <v>226</v>
      </c>
    </row>
    <row r="5720" spans="1:13" x14ac:dyDescent="0.25">
      <c r="A5720" s="1" t="str">
        <f>HYPERLINK("http://www.rosaceae.org/Prunus/Prunus_persica/p.persica_gdr_reftransV1_0037374","p.persica_gdr_reftransV1_0037374")</f>
        <v>p.persica_gdr_reftransV1_0037374</v>
      </c>
      <c r="B5720" s="3">
        <v>3420</v>
      </c>
      <c r="C5720" s="1" t="str">
        <f>HYPERLINK("http://www.uniprot.org/uniprot/EA6_ARATH","EA6_ARATH")</f>
        <v>EA6_ARATH</v>
      </c>
      <c r="D5720" t="s">
        <v>4812</v>
      </c>
      <c r="E5720" s="3" t="s">
        <v>3</v>
      </c>
      <c r="F5720" s="4">
        <v>5.2099999999999997E-7</v>
      </c>
      <c r="G5720" s="3">
        <v>137</v>
      </c>
      <c r="H5720" s="3">
        <v>43</v>
      </c>
      <c r="I5720" s="3">
        <v>77</v>
      </c>
      <c r="J5720" s="3">
        <v>2860</v>
      </c>
      <c r="K5720" s="3">
        <v>3090</v>
      </c>
      <c r="L5720" s="3">
        <v>34</v>
      </c>
      <c r="M5720" s="3">
        <v>101</v>
      </c>
    </row>
    <row r="5721" spans="1:13" x14ac:dyDescent="0.25">
      <c r="A5721" s="1" t="str">
        <f>HYPERLINK("http://www.rosaceae.org/Prunus/Prunus_persica/p.persica_gdr_reftransV1_0037874","p.persica_gdr_reftransV1_0037874")</f>
        <v>p.persica_gdr_reftransV1_0037874</v>
      </c>
      <c r="B5721" s="3">
        <v>3524</v>
      </c>
      <c r="C5721" s="1" t="str">
        <f>HYPERLINK("http://www.uniprot.org/uniprot/LFS_ALLCE","LFS_ALLCE")</f>
        <v>LFS_ALLCE</v>
      </c>
      <c r="D5721" t="s">
        <v>2007</v>
      </c>
      <c r="E5721" s="3" t="s">
        <v>2008</v>
      </c>
      <c r="F5721" s="4">
        <v>4.4500000000000002E-18</v>
      </c>
      <c r="G5721" s="3">
        <v>218</v>
      </c>
      <c r="H5721" s="3">
        <v>35</v>
      </c>
      <c r="I5721" s="3">
        <v>133</v>
      </c>
      <c r="J5721" s="3">
        <v>2735</v>
      </c>
      <c r="K5721" s="3">
        <v>3127</v>
      </c>
      <c r="L5721" s="3">
        <v>20</v>
      </c>
      <c r="M5721" s="3">
        <v>142</v>
      </c>
    </row>
    <row r="5722" spans="1:13" x14ac:dyDescent="0.25">
      <c r="A5722" s="1" t="str">
        <f>HYPERLINK("http://www.rosaceae.org/Prunus/Prunus_persica/p.persica_gdr_reftransV1_0037924","p.persica_gdr_reftransV1_0037924")</f>
        <v>p.persica_gdr_reftransV1_0037924</v>
      </c>
      <c r="B5722" s="3">
        <v>3838</v>
      </c>
      <c r="C5722" s="1" t="str">
        <f>HYPERLINK("http://www.uniprot.org/uniprot/CCC1_ORYSJ","CCC1_ORYSJ")</f>
        <v>CCC1_ORYSJ</v>
      </c>
      <c r="D5722" t="s">
        <v>4813</v>
      </c>
      <c r="E5722" s="3" t="s">
        <v>38</v>
      </c>
      <c r="F5722" s="4">
        <v>0</v>
      </c>
      <c r="G5722" s="3">
        <v>2761</v>
      </c>
      <c r="H5722" s="3">
        <v>87</v>
      </c>
      <c r="I5722" s="3">
        <v>618</v>
      </c>
      <c r="J5722" s="3">
        <v>591</v>
      </c>
      <c r="K5722" s="3">
        <v>2435</v>
      </c>
      <c r="L5722" s="3">
        <v>372</v>
      </c>
      <c r="M5722" s="3">
        <v>989</v>
      </c>
    </row>
    <row r="5723" spans="1:13" x14ac:dyDescent="0.25">
      <c r="A5723" s="1" t="str">
        <f>HYPERLINK("http://www.rosaceae.org/Prunus/Prunus_persica/p.persica_gdr_reftransV1_0038224","p.persica_gdr_reftransV1_0038224")</f>
        <v>p.persica_gdr_reftransV1_0038224</v>
      </c>
      <c r="B5723" s="3">
        <v>3730</v>
      </c>
      <c r="C5723" s="1" t="str">
        <f>HYPERLINK("http://www.uniprot.org/uniprot/ACT7_ARATH","ACT7_ARATH")</f>
        <v>ACT7_ARATH</v>
      </c>
      <c r="D5723" t="s">
        <v>4814</v>
      </c>
      <c r="E5723" s="3" t="s">
        <v>3</v>
      </c>
      <c r="F5723" s="4">
        <v>0</v>
      </c>
      <c r="G5723" s="3">
        <v>1870</v>
      </c>
      <c r="H5723" s="3">
        <v>96</v>
      </c>
      <c r="I5723" s="3">
        <v>360</v>
      </c>
      <c r="J5723" s="3">
        <v>2348</v>
      </c>
      <c r="K5723" s="3">
        <v>3427</v>
      </c>
      <c r="L5723" s="3">
        <v>1</v>
      </c>
      <c r="M5723" s="3">
        <v>360</v>
      </c>
    </row>
    <row r="5724" spans="1:13" x14ac:dyDescent="0.25">
      <c r="A5724" s="1" t="str">
        <f>HYPERLINK("http://www.rosaceae.org/Prunus/Prunus_persica/p.persica_gdr_reftransV1_0038324","p.persica_gdr_reftransV1_0038324")</f>
        <v>p.persica_gdr_reftransV1_0038324</v>
      </c>
      <c r="B5724" s="3">
        <v>2901</v>
      </c>
      <c r="C5724" s="1" t="str">
        <f>HYPERLINK("http://www.uniprot.org/uniprot/DGLA_HUMAN","DGLA_HUMAN")</f>
        <v>DGLA_HUMAN</v>
      </c>
      <c r="D5724" t="s">
        <v>2955</v>
      </c>
      <c r="E5724" s="3" t="s">
        <v>28</v>
      </c>
      <c r="F5724" s="4">
        <v>1.36E-13</v>
      </c>
      <c r="G5724" s="3">
        <v>194</v>
      </c>
      <c r="H5724" s="3">
        <v>35</v>
      </c>
      <c r="I5724" s="3">
        <v>173</v>
      </c>
      <c r="J5724" s="3">
        <v>1532</v>
      </c>
      <c r="K5724" s="3">
        <v>2014</v>
      </c>
      <c r="L5724" s="3">
        <v>382</v>
      </c>
      <c r="M5724" s="3">
        <v>541</v>
      </c>
    </row>
    <row r="5725" spans="1:13" x14ac:dyDescent="0.25">
      <c r="A5725" s="1" t="str">
        <f>HYPERLINK("http://www.rosaceae.org/Prunus/Prunus_persica/p.persica_gdr_reftransV1_0038774","p.persica_gdr_reftransV1_0038774")</f>
        <v>p.persica_gdr_reftransV1_0038774</v>
      </c>
      <c r="B5725" s="3">
        <v>3060</v>
      </c>
      <c r="C5725" s="1" t="str">
        <f>HYPERLINK("http://www.uniprot.org/uniprot/RDR1_ARATH","RDR1_ARATH")</f>
        <v>RDR1_ARATH</v>
      </c>
      <c r="D5725" t="s">
        <v>610</v>
      </c>
      <c r="E5725" s="3" t="s">
        <v>3</v>
      </c>
      <c r="F5725" s="4">
        <v>0</v>
      </c>
      <c r="G5725" s="3">
        <v>1661</v>
      </c>
      <c r="H5725" s="3">
        <v>67</v>
      </c>
      <c r="I5725" s="3">
        <v>479</v>
      </c>
      <c r="J5725" s="3">
        <v>1625</v>
      </c>
      <c r="K5725" s="3">
        <v>3058</v>
      </c>
      <c r="L5725" s="3">
        <v>376</v>
      </c>
      <c r="M5725" s="3">
        <v>837</v>
      </c>
    </row>
    <row r="5726" spans="1:13" x14ac:dyDescent="0.25">
      <c r="A5726" s="1" t="str">
        <f>HYPERLINK("http://www.rosaceae.org/Prunus/Prunus_persica/p.persica_gdr_reftransV1_0039324","p.persica_gdr_reftransV1_0039324")</f>
        <v>p.persica_gdr_reftransV1_0039324</v>
      </c>
      <c r="B5726" s="3">
        <v>1458</v>
      </c>
      <c r="C5726" s="1" t="str">
        <f>HYPERLINK("http://www.uniprot.org/uniprot/CPR30_ARATH","CPR30_ARATH")</f>
        <v>CPR30_ARATH</v>
      </c>
      <c r="D5726" t="s">
        <v>1594</v>
      </c>
      <c r="E5726" s="3" t="s">
        <v>3</v>
      </c>
      <c r="F5726" s="4">
        <v>8.68E-17</v>
      </c>
      <c r="G5726" s="3">
        <v>211</v>
      </c>
      <c r="H5726" s="3">
        <v>29</v>
      </c>
      <c r="I5726" s="3">
        <v>314</v>
      </c>
      <c r="J5726" s="3">
        <v>206</v>
      </c>
      <c r="K5726" s="3">
        <v>1066</v>
      </c>
      <c r="L5726" s="3">
        <v>5</v>
      </c>
      <c r="M5726" s="3">
        <v>307</v>
      </c>
    </row>
    <row r="5727" spans="1:13" x14ac:dyDescent="0.25">
      <c r="A5727" s="1" t="str">
        <f>HYPERLINK("http://www.rosaceae.org/Prunus/Prunus_persica/p.persica_gdr_reftransV1_0039374","p.persica_gdr_reftransV1_0039374")</f>
        <v>p.persica_gdr_reftransV1_0039374</v>
      </c>
      <c r="B5727" s="3">
        <v>1079</v>
      </c>
      <c r="C5727" s="1" t="str">
        <f>HYPERLINK("http://www.uniprot.org/uniprot/URM12_ARATH","URM12_ARATH")</f>
        <v>URM12_ARATH</v>
      </c>
      <c r="D5727" t="s">
        <v>4815</v>
      </c>
      <c r="E5727" s="3" t="s">
        <v>3</v>
      </c>
      <c r="F5727" s="4">
        <v>5.3000000000000003E-52</v>
      </c>
      <c r="G5727" s="3">
        <v>440</v>
      </c>
      <c r="H5727" s="3">
        <v>83</v>
      </c>
      <c r="I5727" s="3">
        <v>99</v>
      </c>
      <c r="J5727" s="3">
        <v>119</v>
      </c>
      <c r="K5727" s="3">
        <v>415</v>
      </c>
      <c r="L5727" s="3">
        <v>1</v>
      </c>
      <c r="M5727" s="3">
        <v>99</v>
      </c>
    </row>
    <row r="5728" spans="1:13" x14ac:dyDescent="0.25">
      <c r="A5728" s="1" t="str">
        <f>HYPERLINK("http://www.rosaceae.org/Prunus/Prunus_persica/p.persica_gdr_reftransV1_0039524","p.persica_gdr_reftransV1_0039524")</f>
        <v>p.persica_gdr_reftransV1_0039524</v>
      </c>
      <c r="B5728" s="3">
        <v>970</v>
      </c>
      <c r="C5728" s="1" t="str">
        <f>HYPERLINK("http://www.uniprot.org/uniprot/GUN25_ARATH","GUN25_ARATH")</f>
        <v>GUN25_ARATH</v>
      </c>
      <c r="D5728" t="s">
        <v>4816</v>
      </c>
      <c r="E5728" s="3" t="s">
        <v>3</v>
      </c>
      <c r="F5728" s="4">
        <v>2.4999999999999998E-94</v>
      </c>
      <c r="G5728" s="3">
        <v>765</v>
      </c>
      <c r="H5728" s="3">
        <v>65</v>
      </c>
      <c r="I5728" s="3">
        <v>269</v>
      </c>
      <c r="J5728" s="3">
        <v>1</v>
      </c>
      <c r="K5728" s="3">
        <v>774</v>
      </c>
      <c r="L5728" s="3">
        <v>62</v>
      </c>
      <c r="M5728" s="3">
        <v>328</v>
      </c>
    </row>
    <row r="5729" spans="1:13" x14ac:dyDescent="0.25">
      <c r="A5729" s="1" t="str">
        <f>HYPERLINK("http://www.rosaceae.org/Prunus/Prunus_persica/p.persica_gdr_reftransV1_0039624","p.persica_gdr_reftransV1_0039624")</f>
        <v>p.persica_gdr_reftransV1_0039624</v>
      </c>
      <c r="B5729" s="3">
        <v>1510</v>
      </c>
      <c r="C5729" s="1" t="str">
        <f>HYPERLINK("http://www.uniprot.org/uniprot/XRCC1_ARATH","XRCC1_ARATH")</f>
        <v>XRCC1_ARATH</v>
      </c>
      <c r="D5729" t="s">
        <v>4817</v>
      </c>
      <c r="E5729" s="3" t="s">
        <v>3</v>
      </c>
      <c r="F5729" s="4">
        <v>7.7799999999999994E-126</v>
      </c>
      <c r="G5729" s="3">
        <v>970</v>
      </c>
      <c r="H5729" s="3">
        <v>59</v>
      </c>
      <c r="I5729" s="3">
        <v>365</v>
      </c>
      <c r="J5729" s="3">
        <v>259</v>
      </c>
      <c r="K5729" s="3">
        <v>1335</v>
      </c>
      <c r="L5729" s="3">
        <v>4</v>
      </c>
      <c r="M5729" s="3">
        <v>348</v>
      </c>
    </row>
    <row r="5730" spans="1:13" x14ac:dyDescent="0.25">
      <c r="A5730" s="1" t="str">
        <f>HYPERLINK("http://www.rosaceae.org/Prunus/Prunus_persica/p.persica_gdr_reftransV1_0039774","p.persica_gdr_reftransV1_0039774")</f>
        <v>p.persica_gdr_reftransV1_0039774</v>
      </c>
      <c r="B5730" s="3">
        <v>433</v>
      </c>
      <c r="C5730" s="1" t="str">
        <f>HYPERLINK("http://www.uniprot.org/uniprot/C14A1_ARATH","C14A1_ARATH")</f>
        <v>C14A1_ARATH</v>
      </c>
      <c r="D5730" t="s">
        <v>3975</v>
      </c>
      <c r="E5730" s="3" t="s">
        <v>3</v>
      </c>
      <c r="F5730" s="4">
        <v>1.19E-15</v>
      </c>
      <c r="G5730" s="3">
        <v>189</v>
      </c>
      <c r="H5730" s="3">
        <v>42</v>
      </c>
      <c r="I5730" s="3">
        <v>98</v>
      </c>
      <c r="J5730" s="3">
        <v>131</v>
      </c>
      <c r="K5730" s="3">
        <v>421</v>
      </c>
      <c r="L5730" s="3">
        <v>40</v>
      </c>
      <c r="M5730" s="3">
        <v>136</v>
      </c>
    </row>
    <row r="5731" spans="1:13" x14ac:dyDescent="0.25">
      <c r="A5731" s="1" t="str">
        <f>HYPERLINK("http://www.rosaceae.org/Prunus/Prunus_persica/p.persica_gdr_reftransV1_0039974","p.persica_gdr_reftransV1_0039974")</f>
        <v>p.persica_gdr_reftransV1_0039974</v>
      </c>
      <c r="B5731" s="3">
        <v>5898</v>
      </c>
      <c r="C5731" s="1" t="str">
        <f>HYPERLINK("http://www.uniprot.org/uniprot/PALD_HUMAN","PALD_HUMAN")</f>
        <v>PALD_HUMAN</v>
      </c>
      <c r="D5731" t="s">
        <v>4818</v>
      </c>
      <c r="E5731" s="3" t="s">
        <v>28</v>
      </c>
      <c r="F5731" s="4">
        <v>1.3900000000000001E-48</v>
      </c>
      <c r="G5731" s="3">
        <v>488</v>
      </c>
      <c r="H5731" s="3">
        <v>26</v>
      </c>
      <c r="I5731" s="3">
        <v>823</v>
      </c>
      <c r="J5731" s="3">
        <v>2850</v>
      </c>
      <c r="K5731" s="3">
        <v>5195</v>
      </c>
      <c r="L5731" s="3">
        <v>119</v>
      </c>
      <c r="M5731" s="3">
        <v>806</v>
      </c>
    </row>
    <row r="5732" spans="1:13" x14ac:dyDescent="0.25">
      <c r="A5732" s="1" t="str">
        <f>HYPERLINK("http://www.rosaceae.org/Prunus/Prunus_persica/p.persica_gdr_reftransV1_0040474","p.persica_gdr_reftransV1_0040474")</f>
        <v>p.persica_gdr_reftransV1_0040474</v>
      </c>
      <c r="B5732" s="3">
        <v>1848</v>
      </c>
      <c r="C5732" s="1" t="str">
        <f>HYPERLINK("http://www.uniprot.org/uniprot/RBL15_ARATH","RBL15_ARATH")</f>
        <v>RBL15_ARATH</v>
      </c>
      <c r="D5732" t="s">
        <v>4819</v>
      </c>
      <c r="E5732" s="3" t="s">
        <v>3</v>
      </c>
      <c r="F5732" s="4">
        <v>0</v>
      </c>
      <c r="G5732" s="3">
        <v>1393</v>
      </c>
      <c r="H5732" s="3">
        <v>60</v>
      </c>
      <c r="I5732" s="3">
        <v>463</v>
      </c>
      <c r="J5732" s="3">
        <v>373</v>
      </c>
      <c r="K5732" s="3">
        <v>1755</v>
      </c>
      <c r="L5732" s="3">
        <v>1</v>
      </c>
      <c r="M5732" s="3">
        <v>403</v>
      </c>
    </row>
    <row r="5733" spans="1:13" x14ac:dyDescent="0.25">
      <c r="A5733" s="1" t="str">
        <f>HYPERLINK("http://www.rosaceae.org/Prunus/Prunus_persica/p.persica_gdr_reftransV1_0040524","p.persica_gdr_reftransV1_0040524")</f>
        <v>p.persica_gdr_reftransV1_0040524</v>
      </c>
      <c r="B5733" s="3">
        <v>3046</v>
      </c>
      <c r="C5733" s="1" t="str">
        <f>HYPERLINK("http://www.uniprot.org/uniprot/VPE_SOYBN","VPE_SOYBN")</f>
        <v>VPE_SOYBN</v>
      </c>
      <c r="D5733" t="s">
        <v>4820</v>
      </c>
      <c r="E5733" s="3" t="s">
        <v>307</v>
      </c>
      <c r="F5733" s="4">
        <v>1.3100000000000001E-130</v>
      </c>
      <c r="G5733" s="3">
        <v>1057</v>
      </c>
      <c r="H5733" s="3">
        <v>84</v>
      </c>
      <c r="I5733" s="3">
        <v>244</v>
      </c>
      <c r="J5733" s="3">
        <v>548</v>
      </c>
      <c r="K5733" s="3">
        <v>1279</v>
      </c>
      <c r="L5733" s="3">
        <v>39</v>
      </c>
      <c r="M5733" s="3">
        <v>279</v>
      </c>
    </row>
    <row r="5734" spans="1:13" x14ac:dyDescent="0.25">
      <c r="A5734" s="1" t="str">
        <f>HYPERLINK("http://www.rosaceae.org/Prunus/Prunus_persica/p.persica_gdr_reftransV1_0040624","p.persica_gdr_reftransV1_0040624")</f>
        <v>p.persica_gdr_reftransV1_0040624</v>
      </c>
      <c r="B5734" s="3">
        <v>430</v>
      </c>
      <c r="C5734" s="1" t="str">
        <f>HYPERLINK("http://www.uniprot.org/uniprot/EXPA9_ARATH","EXPA9_ARATH")</f>
        <v>EXPA9_ARATH</v>
      </c>
      <c r="D5734" t="s">
        <v>4821</v>
      </c>
      <c r="E5734" s="3" t="s">
        <v>3</v>
      </c>
      <c r="F5734" s="4">
        <v>3.5700000000000001E-53</v>
      </c>
      <c r="G5734" s="3">
        <v>442</v>
      </c>
      <c r="H5734" s="3">
        <v>65</v>
      </c>
      <c r="I5734" s="3">
        <v>128</v>
      </c>
      <c r="J5734" s="3">
        <v>1</v>
      </c>
      <c r="K5734" s="3">
        <v>384</v>
      </c>
      <c r="L5734" s="3">
        <v>130</v>
      </c>
      <c r="M5734" s="3">
        <v>256</v>
      </c>
    </row>
    <row r="5735" spans="1:13" x14ac:dyDescent="0.25">
      <c r="A5735" s="1" t="str">
        <f>HYPERLINK("http://www.rosaceae.org/Prunus/Prunus_persica/p.persica_gdr_reftransV1_0040774","p.persica_gdr_reftransV1_0040774")</f>
        <v>p.persica_gdr_reftransV1_0040774</v>
      </c>
      <c r="B5735" s="3">
        <v>3686</v>
      </c>
      <c r="C5735" s="1" t="str">
        <f>HYPERLINK("http://www.uniprot.org/uniprot/PPP7L_ARATH","PPP7L_ARATH")</f>
        <v>PPP7L_ARATH</v>
      </c>
      <c r="D5735" t="s">
        <v>4715</v>
      </c>
      <c r="E5735" s="3" t="s">
        <v>3</v>
      </c>
      <c r="F5735" s="4">
        <v>1.5500000000000001E-11</v>
      </c>
      <c r="G5735" s="3">
        <v>178</v>
      </c>
      <c r="H5735" s="3">
        <v>28</v>
      </c>
      <c r="I5735" s="3">
        <v>260</v>
      </c>
      <c r="J5735" s="3">
        <v>1030</v>
      </c>
      <c r="K5735" s="3">
        <v>1788</v>
      </c>
      <c r="L5735" s="3">
        <v>51</v>
      </c>
      <c r="M5735" s="3">
        <v>299</v>
      </c>
    </row>
    <row r="5736" spans="1:13" x14ac:dyDescent="0.25">
      <c r="A5736" s="1" t="str">
        <f>HYPERLINK("http://www.rosaceae.org/Prunus/Prunus_persica/p.persica_gdr_reftransV1_0040824","p.persica_gdr_reftransV1_0040824")</f>
        <v>p.persica_gdr_reftransV1_0040824</v>
      </c>
      <c r="B5736" s="3">
        <v>2780</v>
      </c>
      <c r="C5736" s="1" t="str">
        <f>HYPERLINK("http://www.uniprot.org/uniprot/NTL9_ARATH","NTL9_ARATH")</f>
        <v>NTL9_ARATH</v>
      </c>
      <c r="D5736" t="s">
        <v>3428</v>
      </c>
      <c r="E5736" s="3" t="s">
        <v>3</v>
      </c>
      <c r="F5736" s="4">
        <v>2.0999999999999999E-14</v>
      </c>
      <c r="G5736" s="3">
        <v>198</v>
      </c>
      <c r="H5736" s="3">
        <v>31</v>
      </c>
      <c r="I5736" s="3">
        <v>175</v>
      </c>
      <c r="J5736" s="3">
        <v>1221</v>
      </c>
      <c r="K5736" s="3">
        <v>1691</v>
      </c>
      <c r="L5736" s="3">
        <v>8</v>
      </c>
      <c r="M5736" s="3">
        <v>176</v>
      </c>
    </row>
    <row r="5737" spans="1:13" x14ac:dyDescent="0.25">
      <c r="A5737" s="1" t="str">
        <f>HYPERLINK("http://www.rosaceae.org/Prunus/Prunus_persica/p.persica_gdr_reftransV1_0041074","p.persica_gdr_reftransV1_0041074")</f>
        <v>p.persica_gdr_reftransV1_0041074</v>
      </c>
      <c r="B5737" s="3">
        <v>5109</v>
      </c>
      <c r="C5737" s="1" t="str">
        <f>HYPERLINK("http://www.uniprot.org/uniprot/PKL_ARATH","PKL_ARATH")</f>
        <v>PKL_ARATH</v>
      </c>
      <c r="D5737" t="s">
        <v>4822</v>
      </c>
      <c r="E5737" s="3" t="s">
        <v>3</v>
      </c>
      <c r="F5737" s="4">
        <v>0</v>
      </c>
      <c r="G5737" s="3">
        <v>2948</v>
      </c>
      <c r="H5737" s="3">
        <v>65</v>
      </c>
      <c r="I5737" s="3">
        <v>915</v>
      </c>
      <c r="J5737" s="3">
        <v>576</v>
      </c>
      <c r="K5737" s="3">
        <v>3290</v>
      </c>
      <c r="L5737" s="3">
        <v>454</v>
      </c>
      <c r="M5737" s="3">
        <v>1353</v>
      </c>
    </row>
    <row r="5738" spans="1:13" x14ac:dyDescent="0.25">
      <c r="A5738" s="1" t="str">
        <f>HYPERLINK("http://www.rosaceae.org/Prunus/Prunus_persica/p.persica_gdr_reftransV1_0041324","p.persica_gdr_reftransV1_0041324")</f>
        <v>p.persica_gdr_reftransV1_0041324</v>
      </c>
      <c r="B5738" s="3">
        <v>2189</v>
      </c>
      <c r="C5738" s="1" t="str">
        <f>HYPERLINK("http://www.uniprot.org/uniprot/Y910_MYCVP","Y910_MYCVP")</f>
        <v>Y910_MYCVP</v>
      </c>
      <c r="D5738" t="s">
        <v>4823</v>
      </c>
      <c r="E5738" s="3" t="s">
        <v>4824</v>
      </c>
      <c r="F5738" s="4">
        <v>3.3500000000000002E-16</v>
      </c>
      <c r="G5738" s="3">
        <v>205</v>
      </c>
      <c r="H5738" s="3">
        <v>31</v>
      </c>
      <c r="I5738" s="3">
        <v>229</v>
      </c>
      <c r="J5738" s="3">
        <v>951</v>
      </c>
      <c r="K5738" s="3">
        <v>1586</v>
      </c>
      <c r="L5738" s="3">
        <v>6</v>
      </c>
      <c r="M5738" s="3">
        <v>214</v>
      </c>
    </row>
    <row r="5739" spans="1:13" x14ac:dyDescent="0.25">
      <c r="A5739" s="1" t="str">
        <f>HYPERLINK("http://www.rosaceae.org/Prunus/Prunus_persica/p.persica_gdr_reftransV1_0042074","p.persica_gdr_reftransV1_0042074")</f>
        <v>p.persica_gdr_reftransV1_0042074</v>
      </c>
      <c r="B5739" s="3">
        <v>3049</v>
      </c>
      <c r="C5739" s="1" t="str">
        <f>HYPERLINK("http://www.uniprot.org/uniprot/SCE1_ARATH","SCE1_ARATH")</f>
        <v>SCE1_ARATH</v>
      </c>
      <c r="D5739" t="s">
        <v>4825</v>
      </c>
      <c r="E5739" s="3" t="s">
        <v>3</v>
      </c>
      <c r="F5739" s="4">
        <v>1.01E-26</v>
      </c>
      <c r="G5739" s="3">
        <v>185</v>
      </c>
      <c r="H5739" s="3">
        <v>92</v>
      </c>
      <c r="I5739" s="3">
        <v>38</v>
      </c>
      <c r="J5739" s="3">
        <v>1105</v>
      </c>
      <c r="K5739" s="3">
        <v>1218</v>
      </c>
      <c r="L5739" s="3">
        <v>103</v>
      </c>
      <c r="M5739" s="3">
        <v>140</v>
      </c>
    </row>
    <row r="5740" spans="1:13" x14ac:dyDescent="0.25">
      <c r="A5740" s="1" t="str">
        <f>HYPERLINK("http://www.rosaceae.org/Prunus/Prunus_persica/p.persica_gdr_reftransV1_0042374","p.persica_gdr_reftransV1_0042374")</f>
        <v>p.persica_gdr_reftransV1_0042374</v>
      </c>
      <c r="B5740" s="3">
        <v>1311</v>
      </c>
      <c r="C5740" s="1" t="str">
        <f>HYPERLINK("http://www.uniprot.org/uniprot/CHAC2_DANRE","CHAC2_DANRE")</f>
        <v>CHAC2_DANRE</v>
      </c>
      <c r="D5740" t="s">
        <v>4826</v>
      </c>
      <c r="E5740" s="3" t="s">
        <v>704</v>
      </c>
      <c r="F5740" s="4">
        <v>2.2300000000000001E-32</v>
      </c>
      <c r="G5740" s="3">
        <v>315</v>
      </c>
      <c r="H5740" s="3">
        <v>40</v>
      </c>
      <c r="I5740" s="3">
        <v>220</v>
      </c>
      <c r="J5740" s="3">
        <v>271</v>
      </c>
      <c r="K5740" s="3">
        <v>921</v>
      </c>
      <c r="L5740" s="3">
        <v>1</v>
      </c>
      <c r="M5740" s="3">
        <v>181</v>
      </c>
    </row>
    <row r="5741" spans="1:13" x14ac:dyDescent="0.25">
      <c r="A5741" s="1" t="str">
        <f>HYPERLINK("http://www.rosaceae.org/Prunus/Prunus_persica/p.persica_gdr_reftransV1_0042724","p.persica_gdr_reftransV1_0042724")</f>
        <v>p.persica_gdr_reftransV1_0042724</v>
      </c>
      <c r="B5741" s="3">
        <v>2378</v>
      </c>
      <c r="C5741" s="1" t="str">
        <f>HYPERLINK("http://www.uniprot.org/uniprot/FB311_ARATH","FB311_ARATH")</f>
        <v>FB311_ARATH</v>
      </c>
      <c r="D5741" t="s">
        <v>4827</v>
      </c>
      <c r="E5741" s="3" t="s">
        <v>3</v>
      </c>
      <c r="F5741" s="4">
        <v>4.6399999999999997E-9</v>
      </c>
      <c r="G5741" s="3">
        <v>151</v>
      </c>
      <c r="H5741" s="3">
        <v>28</v>
      </c>
      <c r="I5741" s="3">
        <v>202</v>
      </c>
      <c r="J5741" s="3">
        <v>1597</v>
      </c>
      <c r="K5741" s="3">
        <v>2157</v>
      </c>
      <c r="L5741" s="3">
        <v>150</v>
      </c>
      <c r="M5741" s="3">
        <v>324</v>
      </c>
    </row>
    <row r="5742" spans="1:13" x14ac:dyDescent="0.25">
      <c r="A5742" s="1" t="str">
        <f>HYPERLINK("http://www.rosaceae.org/Prunus/Prunus_persica/p.persica_gdr_reftransV1_0043074","p.persica_gdr_reftransV1_0043074")</f>
        <v>p.persica_gdr_reftransV1_0043074</v>
      </c>
      <c r="B5742" s="3">
        <v>1468</v>
      </c>
      <c r="C5742" s="1" t="str">
        <f>HYPERLINK("http://www.uniprot.org/uniprot/TMM_ARATH","TMM_ARATH")</f>
        <v>TMM_ARATH</v>
      </c>
      <c r="D5742" t="s">
        <v>4828</v>
      </c>
      <c r="E5742" s="3" t="s">
        <v>3</v>
      </c>
      <c r="F5742" s="4">
        <v>2.05E-180</v>
      </c>
      <c r="G5742" s="3">
        <v>1345</v>
      </c>
      <c r="H5742" s="3">
        <v>66</v>
      </c>
      <c r="I5742" s="3">
        <v>404</v>
      </c>
      <c r="J5742" s="3">
        <v>164</v>
      </c>
      <c r="K5742" s="3">
        <v>1372</v>
      </c>
      <c r="L5742" s="3">
        <v>21</v>
      </c>
      <c r="M5742" s="3">
        <v>424</v>
      </c>
    </row>
    <row r="5743" spans="1:13" x14ac:dyDescent="0.25">
      <c r="A5743" s="1" t="str">
        <f>HYPERLINK("http://www.rosaceae.org/Prunus/Prunus_persica/p.persica_gdr_reftransV1_0043174","p.persica_gdr_reftransV1_0043174")</f>
        <v>p.persica_gdr_reftransV1_0043174</v>
      </c>
      <c r="B5743" s="3">
        <v>2448</v>
      </c>
      <c r="C5743" s="1" t="str">
        <f>HYPERLINK("http://www.uniprot.org/uniprot/CRS1_ORYSJ","CRS1_ORYSJ")</f>
        <v>CRS1_ORYSJ</v>
      </c>
      <c r="D5743" t="s">
        <v>4257</v>
      </c>
      <c r="E5743" s="3" t="s">
        <v>38</v>
      </c>
      <c r="F5743" s="4">
        <v>1.22E-110</v>
      </c>
      <c r="G5743" s="3">
        <v>926</v>
      </c>
      <c r="H5743" s="3">
        <v>39</v>
      </c>
      <c r="I5743" s="3">
        <v>568</v>
      </c>
      <c r="J5743" s="3">
        <v>436</v>
      </c>
      <c r="K5743" s="3">
        <v>2073</v>
      </c>
      <c r="L5743" s="3">
        <v>146</v>
      </c>
      <c r="M5743" s="3">
        <v>688</v>
      </c>
    </row>
    <row r="5744" spans="1:13" x14ac:dyDescent="0.25">
      <c r="A5744" s="1" t="str">
        <f>HYPERLINK("http://www.rosaceae.org/Prunus/Prunus_persica/p.persica_gdr_reftransV1_0043374","p.persica_gdr_reftransV1_0043374")</f>
        <v>p.persica_gdr_reftransV1_0043374</v>
      </c>
      <c r="B5744" s="3">
        <v>878</v>
      </c>
      <c r="C5744" s="1" t="str">
        <f>HYPERLINK("http://www.uniprot.org/uniprot/AHP2_ARATH","AHP2_ARATH")</f>
        <v>AHP2_ARATH</v>
      </c>
      <c r="D5744" t="s">
        <v>4829</v>
      </c>
      <c r="E5744" s="3" t="s">
        <v>3</v>
      </c>
      <c r="F5744" s="4">
        <v>5.8999999999999998E-56</v>
      </c>
      <c r="G5744" s="3">
        <v>467</v>
      </c>
      <c r="H5744" s="3">
        <v>59</v>
      </c>
      <c r="I5744" s="3">
        <v>151</v>
      </c>
      <c r="J5744" s="3">
        <v>281</v>
      </c>
      <c r="K5744" s="3">
        <v>727</v>
      </c>
      <c r="L5744" s="3">
        <v>1</v>
      </c>
      <c r="M5744" s="3">
        <v>151</v>
      </c>
    </row>
    <row r="5745" spans="1:13" x14ac:dyDescent="0.25">
      <c r="A5745" s="1" t="str">
        <f>HYPERLINK("http://www.rosaceae.org/Prunus/Prunus_persica/p.persica_gdr_reftransV1_0043424","p.persica_gdr_reftransV1_0043424")</f>
        <v>p.persica_gdr_reftransV1_0043424</v>
      </c>
      <c r="B5745" s="3">
        <v>1193</v>
      </c>
      <c r="C5745" s="1" t="str">
        <f>HYPERLINK("http://www.uniprot.org/uniprot/PER18_ARATH","PER18_ARATH")</f>
        <v>PER18_ARATH</v>
      </c>
      <c r="D5745" t="s">
        <v>4830</v>
      </c>
      <c r="E5745" s="3" t="s">
        <v>3</v>
      </c>
      <c r="F5745" s="4">
        <v>9.4399999999999999E-149</v>
      </c>
      <c r="G5745" s="3">
        <v>1110</v>
      </c>
      <c r="H5745" s="3">
        <v>67</v>
      </c>
      <c r="I5745" s="3">
        <v>300</v>
      </c>
      <c r="J5745" s="3">
        <v>181</v>
      </c>
      <c r="K5745" s="3">
        <v>1077</v>
      </c>
      <c r="L5745" s="3">
        <v>30</v>
      </c>
      <c r="M5745" s="3">
        <v>329</v>
      </c>
    </row>
    <row r="5746" spans="1:13" x14ac:dyDescent="0.25">
      <c r="A5746" s="1" t="str">
        <f>HYPERLINK("http://www.rosaceae.org/Prunus/Prunus_persica/p.persica_gdr_reftransV1_0043474","p.persica_gdr_reftransV1_0043474")</f>
        <v>p.persica_gdr_reftransV1_0043474</v>
      </c>
      <c r="B5746" s="3">
        <v>1312</v>
      </c>
      <c r="C5746" s="1" t="str">
        <f>HYPERLINK("http://www.uniprot.org/uniprot/TBL25_ARATH","TBL25_ARATH")</f>
        <v>TBL25_ARATH</v>
      </c>
      <c r="D5746" t="s">
        <v>4831</v>
      </c>
      <c r="E5746" s="3" t="s">
        <v>3</v>
      </c>
      <c r="F5746" s="4">
        <v>2.69E-158</v>
      </c>
      <c r="G5746" s="3">
        <v>1189</v>
      </c>
      <c r="H5746" s="3">
        <v>61</v>
      </c>
      <c r="I5746" s="3">
        <v>362</v>
      </c>
      <c r="J5746" s="3">
        <v>1</v>
      </c>
      <c r="K5746" s="3">
        <v>1065</v>
      </c>
      <c r="L5746" s="3">
        <v>95</v>
      </c>
      <c r="M5746" s="3">
        <v>454</v>
      </c>
    </row>
    <row r="5747" spans="1:13" x14ac:dyDescent="0.25">
      <c r="A5747" s="1" t="str">
        <f>HYPERLINK("http://www.rosaceae.org/Prunus/Prunus_persica/p.persica_gdr_reftransV1_0043524","p.persica_gdr_reftransV1_0043524")</f>
        <v>p.persica_gdr_reftransV1_0043524</v>
      </c>
      <c r="B5747" s="3">
        <v>1353</v>
      </c>
      <c r="C5747" s="1" t="str">
        <f>HYPERLINK("http://www.uniprot.org/uniprot/Y283_BACHD","Y283_BACHD")</f>
        <v>Y283_BACHD</v>
      </c>
      <c r="D5747" t="s">
        <v>4832</v>
      </c>
      <c r="E5747" s="3" t="s">
        <v>4833</v>
      </c>
      <c r="F5747" s="4">
        <v>4.5E-61</v>
      </c>
      <c r="G5747" s="3">
        <v>523</v>
      </c>
      <c r="H5747" s="3">
        <v>44</v>
      </c>
      <c r="I5747" s="3">
        <v>295</v>
      </c>
      <c r="J5747" s="3">
        <v>297</v>
      </c>
      <c r="K5747" s="3">
        <v>1169</v>
      </c>
      <c r="L5747" s="3">
        <v>8</v>
      </c>
      <c r="M5747" s="3">
        <v>265</v>
      </c>
    </row>
    <row r="5748" spans="1:13" x14ac:dyDescent="0.25">
      <c r="A5748" s="1" t="str">
        <f>HYPERLINK("http://www.rosaceae.org/Prunus/Prunus_persica/p.persica_gdr_reftransV1_0043574","p.persica_gdr_reftransV1_0043574")</f>
        <v>p.persica_gdr_reftransV1_0043574</v>
      </c>
      <c r="B5748" s="3">
        <v>1232</v>
      </c>
      <c r="C5748" s="1" t="str">
        <f>HYPERLINK("http://www.uniprot.org/uniprot/RK10_ARATH","RK10_ARATH")</f>
        <v>RK10_ARATH</v>
      </c>
      <c r="D5748" t="s">
        <v>4834</v>
      </c>
      <c r="E5748" s="3" t="s">
        <v>3</v>
      </c>
      <c r="F5748" s="4">
        <v>1.9799999999999998E-102</v>
      </c>
      <c r="G5748" s="3">
        <v>793</v>
      </c>
      <c r="H5748" s="3">
        <v>72</v>
      </c>
      <c r="I5748" s="3">
        <v>199</v>
      </c>
      <c r="J5748" s="3">
        <v>158</v>
      </c>
      <c r="K5748" s="3">
        <v>748</v>
      </c>
      <c r="L5748" s="3">
        <v>22</v>
      </c>
      <c r="M5748" s="3">
        <v>220</v>
      </c>
    </row>
    <row r="5749" spans="1:13" x14ac:dyDescent="0.25">
      <c r="A5749" s="1" t="str">
        <f>HYPERLINK("http://www.rosaceae.org/Prunus/Prunus_persica/p.persica_gdr_reftransV1_0043624","p.persica_gdr_reftransV1_0043624")</f>
        <v>p.persica_gdr_reftransV1_0043624</v>
      </c>
      <c r="B5749" s="3">
        <v>1737</v>
      </c>
      <c r="C5749" s="1" t="str">
        <f>HYPERLINK("http://www.uniprot.org/uniprot/IST1L_DICDI","IST1L_DICDI")</f>
        <v>IST1L_DICDI</v>
      </c>
      <c r="D5749" t="s">
        <v>670</v>
      </c>
      <c r="E5749" s="3" t="s">
        <v>9</v>
      </c>
      <c r="F5749" s="4">
        <v>1.2E-31</v>
      </c>
      <c r="G5749" s="3">
        <v>325</v>
      </c>
      <c r="H5749" s="3">
        <v>36</v>
      </c>
      <c r="I5749" s="3">
        <v>196</v>
      </c>
      <c r="J5749" s="3">
        <v>914</v>
      </c>
      <c r="K5749" s="3">
        <v>1495</v>
      </c>
      <c r="L5749" s="3">
        <v>1</v>
      </c>
      <c r="M5749" s="3">
        <v>189</v>
      </c>
    </row>
    <row r="5750" spans="1:13" x14ac:dyDescent="0.25">
      <c r="A5750" s="1" t="str">
        <f>HYPERLINK("http://www.rosaceae.org/Prunus/Prunus_persica/p.persica_gdr_reftransV1_0043724","p.persica_gdr_reftransV1_0043724")</f>
        <v>p.persica_gdr_reftransV1_0043724</v>
      </c>
      <c r="B5750" s="3">
        <v>393</v>
      </c>
      <c r="C5750" s="1" t="str">
        <f>HYPERLINK("http://www.uniprot.org/uniprot/Y4230_ARATH","Y4230_ARATH")</f>
        <v>Y4230_ARATH</v>
      </c>
      <c r="D5750" t="s">
        <v>3999</v>
      </c>
      <c r="E5750" s="3" t="s">
        <v>3</v>
      </c>
      <c r="F5750" s="4">
        <v>7.4499999999999999E-35</v>
      </c>
      <c r="G5750" s="3">
        <v>332</v>
      </c>
      <c r="H5750" s="3">
        <v>55</v>
      </c>
      <c r="I5750" s="3">
        <v>110</v>
      </c>
      <c r="J5750" s="3">
        <v>71</v>
      </c>
      <c r="K5750" s="3">
        <v>391</v>
      </c>
      <c r="L5750" s="3">
        <v>714</v>
      </c>
      <c r="M5750" s="3">
        <v>823</v>
      </c>
    </row>
    <row r="5751" spans="1:13" x14ac:dyDescent="0.25">
      <c r="A5751" s="1" t="str">
        <f>HYPERLINK("http://www.rosaceae.org/Prunus/Prunus_persica/p.persica_gdr_reftransV1_0043774","p.persica_gdr_reftransV1_0043774")</f>
        <v>p.persica_gdr_reftransV1_0043774</v>
      </c>
      <c r="B5751" s="3">
        <v>914</v>
      </c>
      <c r="C5751" s="1" t="str">
        <f>HYPERLINK("http://www.uniprot.org/uniprot/Y1124_ARATH","Y1124_ARATH")</f>
        <v>Y1124_ARATH</v>
      </c>
      <c r="D5751" t="s">
        <v>4835</v>
      </c>
      <c r="E5751" s="3" t="s">
        <v>3</v>
      </c>
      <c r="F5751" s="4">
        <v>3.0300000000000003E-122</v>
      </c>
      <c r="G5751" s="3">
        <v>969</v>
      </c>
      <c r="H5751" s="3">
        <v>62</v>
      </c>
      <c r="I5751" s="3">
        <v>303</v>
      </c>
      <c r="J5751" s="3">
        <v>2</v>
      </c>
      <c r="K5751" s="3">
        <v>910</v>
      </c>
      <c r="L5751" s="3">
        <v>160</v>
      </c>
      <c r="M5751" s="3">
        <v>462</v>
      </c>
    </row>
    <row r="5752" spans="1:13" x14ac:dyDescent="0.25">
      <c r="A5752" s="1" t="str">
        <f>HYPERLINK("http://www.rosaceae.org/Prunus/Prunus_persica/p.persica_gdr_reftransV1_0043924","p.persica_gdr_reftransV1_0043924")</f>
        <v>p.persica_gdr_reftransV1_0043924</v>
      </c>
      <c r="B5752" s="3">
        <v>1091</v>
      </c>
      <c r="C5752" s="1" t="str">
        <f>HYPERLINK("http://www.uniprot.org/uniprot/ATL41_ORYSJ","ATL41_ORYSJ")</f>
        <v>ATL41_ORYSJ</v>
      </c>
      <c r="D5752" t="s">
        <v>3784</v>
      </c>
      <c r="E5752" s="3" t="s">
        <v>38</v>
      </c>
      <c r="F5752" s="4">
        <v>6.5999999999999998E-66</v>
      </c>
      <c r="G5752" s="3">
        <v>559</v>
      </c>
      <c r="H5752" s="3">
        <v>43</v>
      </c>
      <c r="I5752" s="3">
        <v>304</v>
      </c>
      <c r="J5752" s="3">
        <v>128</v>
      </c>
      <c r="K5752" s="3">
        <v>943</v>
      </c>
      <c r="L5752" s="3">
        <v>1</v>
      </c>
      <c r="M5752" s="3">
        <v>304</v>
      </c>
    </row>
    <row r="5753" spans="1:13" x14ac:dyDescent="0.25">
      <c r="A5753" s="1" t="str">
        <f>HYPERLINK("http://www.rosaceae.org/Prunus/Prunus_persica/p.persica_gdr_reftransV1_0043974","p.persica_gdr_reftransV1_0043974")</f>
        <v>p.persica_gdr_reftransV1_0043974</v>
      </c>
      <c r="B5753" s="3">
        <v>669</v>
      </c>
      <c r="C5753" s="1" t="str">
        <f>HYPERLINK("http://www.uniprot.org/uniprot/CENPX_BOVIN","CENPX_BOVIN")</f>
        <v>CENPX_BOVIN</v>
      </c>
      <c r="D5753" t="s">
        <v>4836</v>
      </c>
      <c r="E5753" s="3" t="s">
        <v>184</v>
      </c>
      <c r="F5753" s="4">
        <v>1.7100000000000001E-11</v>
      </c>
      <c r="G5753" s="3">
        <v>149</v>
      </c>
      <c r="H5753" s="3">
        <v>48</v>
      </c>
      <c r="I5753" s="3">
        <v>58</v>
      </c>
      <c r="J5753" s="3">
        <v>183</v>
      </c>
      <c r="K5753" s="3">
        <v>356</v>
      </c>
      <c r="L5753" s="3">
        <v>22</v>
      </c>
      <c r="M5753" s="3">
        <v>79</v>
      </c>
    </row>
    <row r="5754" spans="1:13" x14ac:dyDescent="0.25">
      <c r="A5754" s="1" t="str">
        <f>HYPERLINK("http://www.rosaceae.org/Prunus/Prunus_persica/p.persica_gdr_reftransV1_0044124","p.persica_gdr_reftransV1_0044124")</f>
        <v>p.persica_gdr_reftransV1_0044124</v>
      </c>
      <c r="B5754" s="3">
        <v>1775</v>
      </c>
      <c r="C5754" s="1" t="str">
        <f>HYPERLINK("http://www.uniprot.org/uniprot/RAF2_ARATH","RAF2_ARATH")</f>
        <v>RAF2_ARATH</v>
      </c>
      <c r="D5754" t="s">
        <v>4837</v>
      </c>
      <c r="E5754" s="3" t="s">
        <v>3</v>
      </c>
      <c r="F5754" s="4">
        <v>5.1599999999999997E-146</v>
      </c>
      <c r="G5754" s="3">
        <v>1122</v>
      </c>
      <c r="H5754" s="3">
        <v>58</v>
      </c>
      <c r="I5754" s="3">
        <v>407</v>
      </c>
      <c r="J5754" s="3">
        <v>251</v>
      </c>
      <c r="K5754" s="3">
        <v>1453</v>
      </c>
      <c r="L5754" s="3">
        <v>50</v>
      </c>
      <c r="M5754" s="3">
        <v>449</v>
      </c>
    </row>
    <row r="5755" spans="1:13" x14ac:dyDescent="0.25">
      <c r="A5755" s="1" t="str">
        <f>HYPERLINK("http://www.rosaceae.org/Prunus/Prunus_persica/p.persica_gdr_reftransV1_0044224","p.persica_gdr_reftransV1_0044224")</f>
        <v>p.persica_gdr_reftransV1_0044224</v>
      </c>
      <c r="B5755" s="3">
        <v>882</v>
      </c>
      <c r="C5755" s="1" t="str">
        <f>HYPERLINK("http://www.uniprot.org/uniprot/PP167_ARATH","PP167_ARATH")</f>
        <v>PP167_ARATH</v>
      </c>
      <c r="D5755" t="s">
        <v>402</v>
      </c>
      <c r="E5755" s="3" t="s">
        <v>3</v>
      </c>
      <c r="F5755" s="4">
        <v>4.3899999999999998E-116</v>
      </c>
      <c r="G5755" s="3">
        <v>906</v>
      </c>
      <c r="H5755" s="3">
        <v>65</v>
      </c>
      <c r="I5755" s="3">
        <v>257</v>
      </c>
      <c r="J5755" s="3">
        <v>117</v>
      </c>
      <c r="K5755" s="3">
        <v>881</v>
      </c>
      <c r="L5755" s="3">
        <v>339</v>
      </c>
      <c r="M5755" s="3">
        <v>595</v>
      </c>
    </row>
    <row r="5756" spans="1:13" x14ac:dyDescent="0.25">
      <c r="A5756" s="1" t="str">
        <f>HYPERLINK("http://www.rosaceae.org/Prunus/Prunus_persica/p.persica_gdr_reftransV1_0044324","p.persica_gdr_reftransV1_0044324")</f>
        <v>p.persica_gdr_reftransV1_0044324</v>
      </c>
      <c r="B5756" s="3">
        <v>1205</v>
      </c>
      <c r="C5756" s="1" t="str">
        <f>HYPERLINK("http://www.uniprot.org/uniprot/GTE1_ARATH","GTE1_ARATH")</f>
        <v>GTE1_ARATH</v>
      </c>
      <c r="D5756" t="s">
        <v>4838</v>
      </c>
      <c r="E5756" s="3" t="s">
        <v>3</v>
      </c>
      <c r="F5756" s="4">
        <v>2.6099999999999999E-8</v>
      </c>
      <c r="G5756" s="3">
        <v>142</v>
      </c>
      <c r="H5756" s="3">
        <v>28</v>
      </c>
      <c r="I5756" s="3">
        <v>120</v>
      </c>
      <c r="J5756" s="3">
        <v>626</v>
      </c>
      <c r="K5756" s="3">
        <v>943</v>
      </c>
      <c r="L5756" s="3">
        <v>215</v>
      </c>
      <c r="M5756" s="3">
        <v>334</v>
      </c>
    </row>
    <row r="5757" spans="1:13" x14ac:dyDescent="0.25">
      <c r="A5757" s="1" t="str">
        <f>HYPERLINK("http://www.rosaceae.org/Prunus/Prunus_persica/p.persica_gdr_reftransV1_0044374","p.persica_gdr_reftransV1_0044374")</f>
        <v>p.persica_gdr_reftransV1_0044374</v>
      </c>
      <c r="B5757" s="3">
        <v>2278</v>
      </c>
      <c r="C5757" s="1" t="str">
        <f>HYPERLINK("http://www.uniprot.org/uniprot/FRAY2_DICDI","FRAY2_DICDI")</f>
        <v>FRAY2_DICDI</v>
      </c>
      <c r="D5757" t="s">
        <v>2965</v>
      </c>
      <c r="E5757" s="3" t="s">
        <v>9</v>
      </c>
      <c r="F5757" s="4">
        <v>7.8600000000000004E-87</v>
      </c>
      <c r="G5757" s="3">
        <v>522</v>
      </c>
      <c r="H5757" s="3">
        <v>55</v>
      </c>
      <c r="I5757" s="3">
        <v>180</v>
      </c>
      <c r="J5757" s="3">
        <v>363</v>
      </c>
      <c r="K5757" s="3">
        <v>899</v>
      </c>
      <c r="L5757" s="3">
        <v>209</v>
      </c>
      <c r="M5757" s="3">
        <v>385</v>
      </c>
    </row>
    <row r="5758" spans="1:13" x14ac:dyDescent="0.25">
      <c r="A5758" s="1" t="str">
        <f>HYPERLINK("http://www.rosaceae.org/Prunus/Prunus_persica/p.persica_gdr_reftransV1_0044424","p.persica_gdr_reftransV1_0044424")</f>
        <v>p.persica_gdr_reftransV1_0044424</v>
      </c>
      <c r="B5758" s="3">
        <v>1347</v>
      </c>
      <c r="C5758" s="1" t="str">
        <f>HYPERLINK("http://www.uniprot.org/uniprot/UBIQP_PEA","UBIQP_PEA")</f>
        <v>UBIQP_PEA</v>
      </c>
      <c r="D5758" t="s">
        <v>4839</v>
      </c>
      <c r="E5758" s="3" t="s">
        <v>60</v>
      </c>
      <c r="F5758" s="4">
        <v>0</v>
      </c>
      <c r="G5758" s="3">
        <v>1949</v>
      </c>
      <c r="H5758" s="3">
        <v>100</v>
      </c>
      <c r="I5758" s="3">
        <v>381</v>
      </c>
      <c r="J5758" s="3">
        <v>43</v>
      </c>
      <c r="K5758" s="3">
        <v>1185</v>
      </c>
      <c r="L5758" s="3">
        <v>1</v>
      </c>
      <c r="M5758" s="3">
        <v>381</v>
      </c>
    </row>
    <row r="5759" spans="1:13" x14ac:dyDescent="0.25">
      <c r="A5759" s="1" t="str">
        <f>HYPERLINK("http://www.rosaceae.org/Prunus/Prunus_persica/p.persica_gdr_reftransV1_0044474","p.persica_gdr_reftransV1_0044474")</f>
        <v>p.persica_gdr_reftransV1_0044474</v>
      </c>
      <c r="B5759" s="3">
        <v>1188</v>
      </c>
      <c r="C5759" s="1" t="str">
        <f>HYPERLINK("http://www.uniprot.org/uniprot/NLTL5_ARATH","NLTL5_ARATH")</f>
        <v>NLTL5_ARATH</v>
      </c>
      <c r="D5759" t="s">
        <v>4840</v>
      </c>
      <c r="E5759" s="3" t="s">
        <v>3</v>
      </c>
      <c r="F5759" s="4">
        <v>1.01E-40</v>
      </c>
      <c r="G5759" s="3">
        <v>373</v>
      </c>
      <c r="H5759" s="3">
        <v>77</v>
      </c>
      <c r="I5759" s="3">
        <v>98</v>
      </c>
      <c r="J5759" s="3">
        <v>706</v>
      </c>
      <c r="K5759" s="3">
        <v>993</v>
      </c>
      <c r="L5759" s="3">
        <v>28</v>
      </c>
      <c r="M5759" s="3">
        <v>125</v>
      </c>
    </row>
    <row r="5760" spans="1:13" x14ac:dyDescent="0.25">
      <c r="A5760" s="1" t="str">
        <f>HYPERLINK("http://www.rosaceae.org/Prunus/Prunus_persica/p.persica_gdr_reftransV1_0044524","p.persica_gdr_reftransV1_0044524")</f>
        <v>p.persica_gdr_reftransV1_0044524</v>
      </c>
      <c r="B5760" s="3">
        <v>673</v>
      </c>
      <c r="C5760" s="1" t="str">
        <f>HYPERLINK("http://www.uniprot.org/uniprot/ACR4L_ARATH","ACR4L_ARATH")</f>
        <v>ACR4L_ARATH</v>
      </c>
      <c r="D5760" t="s">
        <v>2018</v>
      </c>
      <c r="E5760" s="3" t="s">
        <v>3</v>
      </c>
      <c r="F5760" s="4">
        <v>1.1499999999999999E-74</v>
      </c>
      <c r="G5760" s="3">
        <v>632</v>
      </c>
      <c r="H5760" s="3">
        <v>55</v>
      </c>
      <c r="I5760" s="3">
        <v>217</v>
      </c>
      <c r="J5760" s="3">
        <v>1</v>
      </c>
      <c r="K5760" s="3">
        <v>645</v>
      </c>
      <c r="L5760" s="3">
        <v>254</v>
      </c>
      <c r="M5760" s="3">
        <v>470</v>
      </c>
    </row>
    <row r="5761" spans="1:13" x14ac:dyDescent="0.25">
      <c r="A5761" s="1" t="str">
        <f>HYPERLINK("http://www.rosaceae.org/Prunus/Prunus_persica/p.persica_gdr_reftransV1_0044624","p.persica_gdr_reftransV1_0044624")</f>
        <v>p.persica_gdr_reftransV1_0044624</v>
      </c>
      <c r="B5761" s="3">
        <v>1207</v>
      </c>
      <c r="C5761" s="1" t="str">
        <f>HYPERLINK("http://www.uniprot.org/uniprot/FAP3_ARATH","FAP3_ARATH")</f>
        <v>FAP3_ARATH</v>
      </c>
      <c r="D5761" t="s">
        <v>4841</v>
      </c>
      <c r="E5761" s="3" t="s">
        <v>3</v>
      </c>
      <c r="F5761" s="4">
        <v>1.3000000000000001E-96</v>
      </c>
      <c r="G5761" s="3">
        <v>760</v>
      </c>
      <c r="H5761" s="3">
        <v>60</v>
      </c>
      <c r="I5761" s="3">
        <v>268</v>
      </c>
      <c r="J5761" s="3">
        <v>86</v>
      </c>
      <c r="K5761" s="3">
        <v>883</v>
      </c>
      <c r="L5761" s="3">
        <v>31</v>
      </c>
      <c r="M5761" s="3">
        <v>286</v>
      </c>
    </row>
    <row r="5762" spans="1:13" x14ac:dyDescent="0.25">
      <c r="A5762" s="1" t="str">
        <f>HYPERLINK("http://www.rosaceae.org/Prunus/Prunus_persica/p.persica_gdr_reftransV1_0044674","p.persica_gdr_reftransV1_0044674")</f>
        <v>p.persica_gdr_reftransV1_0044674</v>
      </c>
      <c r="B5762" s="3">
        <v>872</v>
      </c>
      <c r="C5762" s="1" t="str">
        <f>HYPERLINK("http://www.uniprot.org/uniprot/ACTS_RAT","ACTS_RAT")</f>
        <v>ACTS_RAT</v>
      </c>
      <c r="D5762" t="s">
        <v>4842</v>
      </c>
      <c r="E5762" s="3" t="s">
        <v>161</v>
      </c>
      <c r="F5762" s="4">
        <v>0</v>
      </c>
      <c r="G5762" s="3">
        <v>1416</v>
      </c>
      <c r="H5762" s="3">
        <v>100</v>
      </c>
      <c r="I5762" s="3">
        <v>264</v>
      </c>
      <c r="J5762" s="3">
        <v>81</v>
      </c>
      <c r="K5762" s="3">
        <v>872</v>
      </c>
      <c r="L5762" s="3">
        <v>114</v>
      </c>
      <c r="M5762" s="3">
        <v>377</v>
      </c>
    </row>
    <row r="5763" spans="1:13" x14ac:dyDescent="0.25">
      <c r="A5763" s="1" t="str">
        <f>HYPERLINK("http://www.rosaceae.org/Prunus/Prunus_persica/p.persica_gdr_reftransV1_0044774","p.persica_gdr_reftransV1_0044774")</f>
        <v>p.persica_gdr_reftransV1_0044774</v>
      </c>
      <c r="B5763" s="3">
        <v>1100</v>
      </c>
      <c r="C5763" s="1" t="str">
        <f>HYPERLINK("http://www.uniprot.org/uniprot/EF109_ARATH","EF109_ARATH")</f>
        <v>EF109_ARATH</v>
      </c>
      <c r="D5763" t="s">
        <v>4843</v>
      </c>
      <c r="E5763" s="3" t="s">
        <v>3</v>
      </c>
      <c r="F5763" s="4">
        <v>4.2300000000000001E-26</v>
      </c>
      <c r="G5763" s="3">
        <v>273</v>
      </c>
      <c r="H5763" s="3">
        <v>42</v>
      </c>
      <c r="I5763" s="3">
        <v>196</v>
      </c>
      <c r="J5763" s="3">
        <v>100</v>
      </c>
      <c r="K5763" s="3">
        <v>624</v>
      </c>
      <c r="L5763" s="3">
        <v>23</v>
      </c>
      <c r="M5763" s="3">
        <v>194</v>
      </c>
    </row>
    <row r="5764" spans="1:13" x14ac:dyDescent="0.25">
      <c r="A5764" s="1" t="str">
        <f>HYPERLINK("http://www.rosaceae.org/Prunus/Prunus_persica/p.persica_gdr_reftransV1_0045024","p.persica_gdr_reftransV1_0045024")</f>
        <v>p.persica_gdr_reftransV1_0045024</v>
      </c>
      <c r="B5764" s="3">
        <v>1120</v>
      </c>
      <c r="C5764" s="1" t="str">
        <f>HYPERLINK("http://www.uniprot.org/uniprot/C7AV8_CICIN","C7AV8_CICIN")</f>
        <v>C7AV8_CICIN</v>
      </c>
      <c r="D5764" t="s">
        <v>4844</v>
      </c>
      <c r="E5764" s="3" t="s">
        <v>4845</v>
      </c>
      <c r="F5764" s="4">
        <v>1.18E-110</v>
      </c>
      <c r="G5764" s="3">
        <v>870</v>
      </c>
      <c r="H5764" s="3">
        <v>49</v>
      </c>
      <c r="I5764" s="3">
        <v>371</v>
      </c>
      <c r="J5764" s="3">
        <v>18</v>
      </c>
      <c r="K5764" s="3">
        <v>1118</v>
      </c>
      <c r="L5764" s="3">
        <v>31</v>
      </c>
      <c r="M5764" s="3">
        <v>384</v>
      </c>
    </row>
    <row r="5765" spans="1:13" x14ac:dyDescent="0.25">
      <c r="A5765" s="1" t="str">
        <f>HYPERLINK("http://www.rosaceae.org/Prunus/Prunus_persica/p.persica_gdr_reftransV1_0045074","p.persica_gdr_reftransV1_0045074")</f>
        <v>p.persica_gdr_reftransV1_0045074</v>
      </c>
      <c r="B5765" s="3">
        <v>2132</v>
      </c>
      <c r="C5765" s="1" t="str">
        <f>HYPERLINK("http://www.uniprot.org/uniprot/ZADH2_MOUSE","ZADH2_MOUSE")</f>
        <v>ZADH2_MOUSE</v>
      </c>
      <c r="D5765" t="s">
        <v>4846</v>
      </c>
      <c r="E5765" s="3" t="s">
        <v>157</v>
      </c>
      <c r="F5765" s="4">
        <v>8.5499999999999996E-88</v>
      </c>
      <c r="G5765" s="3">
        <v>733</v>
      </c>
      <c r="H5765" s="3">
        <v>47</v>
      </c>
      <c r="I5765" s="3">
        <v>348</v>
      </c>
      <c r="J5765" s="3">
        <v>747</v>
      </c>
      <c r="K5765" s="3">
        <v>1766</v>
      </c>
      <c r="L5765" s="3">
        <v>29</v>
      </c>
      <c r="M5765" s="3">
        <v>367</v>
      </c>
    </row>
    <row r="5766" spans="1:13" x14ac:dyDescent="0.25">
      <c r="A5766" s="1" t="str">
        <f>HYPERLINK("http://www.rosaceae.org/Prunus/Prunus_persica/p.persica_gdr_reftransV1_0045124","p.persica_gdr_reftransV1_0045124")</f>
        <v>p.persica_gdr_reftransV1_0045124</v>
      </c>
      <c r="B5766" s="3">
        <v>2155</v>
      </c>
      <c r="C5766" s="1" t="str">
        <f>HYPERLINK("http://www.uniprot.org/uniprot/CDP1_ARATH","CDP1_ARATH")</f>
        <v>CDP1_ARATH</v>
      </c>
      <c r="D5766" t="s">
        <v>1974</v>
      </c>
      <c r="E5766" s="3" t="s">
        <v>3</v>
      </c>
      <c r="F5766" s="4">
        <v>1.0699999999999999E-168</v>
      </c>
      <c r="G5766" s="3">
        <v>801</v>
      </c>
      <c r="H5766" s="3">
        <v>47</v>
      </c>
      <c r="I5766" s="3">
        <v>388</v>
      </c>
      <c r="J5766" s="3">
        <v>419</v>
      </c>
      <c r="K5766" s="3">
        <v>1522</v>
      </c>
      <c r="L5766" s="3">
        <v>456</v>
      </c>
      <c r="M5766" s="3">
        <v>816</v>
      </c>
    </row>
    <row r="5767" spans="1:13" x14ac:dyDescent="0.25">
      <c r="A5767" s="1" t="str">
        <f>HYPERLINK("http://www.rosaceae.org/Prunus/Prunus_persica/p.persica_gdr_reftransV1_0045174","p.persica_gdr_reftransV1_0045174")</f>
        <v>p.persica_gdr_reftransV1_0045174</v>
      </c>
      <c r="B5767" s="3">
        <v>1357</v>
      </c>
      <c r="C5767" s="1" t="str">
        <f>HYPERLINK("http://www.uniprot.org/uniprot/GPPL2_ARATH","GPPL2_ARATH")</f>
        <v>GPPL2_ARATH</v>
      </c>
      <c r="D5767" t="s">
        <v>4267</v>
      </c>
      <c r="E5767" s="3" t="s">
        <v>3</v>
      </c>
      <c r="F5767" s="4">
        <v>1.7199999999999999E-101</v>
      </c>
      <c r="G5767" s="3">
        <v>478</v>
      </c>
      <c r="H5767" s="3">
        <v>81</v>
      </c>
      <c r="I5767" s="3">
        <v>104</v>
      </c>
      <c r="J5767" s="3">
        <v>741</v>
      </c>
      <c r="K5767" s="3">
        <v>1052</v>
      </c>
      <c r="L5767" s="3">
        <v>81</v>
      </c>
      <c r="M5767" s="3">
        <v>184</v>
      </c>
    </row>
    <row r="5768" spans="1:13" x14ac:dyDescent="0.25">
      <c r="A5768" s="1" t="str">
        <f>HYPERLINK("http://www.rosaceae.org/Prunus/Prunus_persica/p.persica_gdr_reftransV1_0045224","p.persica_gdr_reftransV1_0045224")</f>
        <v>p.persica_gdr_reftransV1_0045224</v>
      </c>
      <c r="B5768" s="3">
        <v>1963</v>
      </c>
      <c r="C5768" s="1" t="str">
        <f>HYPERLINK("http://www.uniprot.org/uniprot/IF2G_DROME","IF2G_DROME")</f>
        <v>IF2G_DROME</v>
      </c>
      <c r="D5768" t="s">
        <v>4847</v>
      </c>
      <c r="E5768" s="3" t="s">
        <v>5</v>
      </c>
      <c r="F5768" s="4">
        <v>0</v>
      </c>
      <c r="G5768" s="3">
        <v>1441</v>
      </c>
      <c r="H5768" s="3">
        <v>75</v>
      </c>
      <c r="I5768" s="3">
        <v>365</v>
      </c>
      <c r="J5768" s="3">
        <v>189</v>
      </c>
      <c r="K5768" s="3">
        <v>1277</v>
      </c>
      <c r="L5768" s="3">
        <v>12</v>
      </c>
      <c r="M5768" s="3">
        <v>373</v>
      </c>
    </row>
    <row r="5769" spans="1:13" x14ac:dyDescent="0.25">
      <c r="A5769" s="1" t="str">
        <f>HYPERLINK("http://www.rosaceae.org/Prunus/Prunus_persica/p.persica_gdr_reftransV1_0045274","p.persica_gdr_reftransV1_0045274")</f>
        <v>p.persica_gdr_reftransV1_0045274</v>
      </c>
      <c r="B5769" s="3">
        <v>1345</v>
      </c>
      <c r="C5769" s="1" t="str">
        <f>HYPERLINK("http://www.uniprot.org/uniprot/DHRS7_HUMAN","DHRS7_HUMAN")</f>
        <v>DHRS7_HUMAN</v>
      </c>
      <c r="D5769" t="s">
        <v>4090</v>
      </c>
      <c r="E5769" s="3" t="s">
        <v>28</v>
      </c>
      <c r="F5769" s="4">
        <v>1.0699999999999999E-38</v>
      </c>
      <c r="G5769" s="3">
        <v>373</v>
      </c>
      <c r="H5769" s="3">
        <v>34</v>
      </c>
      <c r="I5769" s="3">
        <v>296</v>
      </c>
      <c r="J5769" s="3">
        <v>194</v>
      </c>
      <c r="K5769" s="3">
        <v>949</v>
      </c>
      <c r="L5769" s="3">
        <v>28</v>
      </c>
      <c r="M5769" s="3">
        <v>318</v>
      </c>
    </row>
    <row r="5770" spans="1:13" x14ac:dyDescent="0.25">
      <c r="A5770" s="1" t="str">
        <f>HYPERLINK("http://www.rosaceae.org/Prunus/Prunus_persica/p.persica_gdr_reftransV1_0045374","p.persica_gdr_reftransV1_0045374")</f>
        <v>p.persica_gdr_reftransV1_0045374</v>
      </c>
      <c r="B5770" s="3">
        <v>309</v>
      </c>
      <c r="C5770" s="1" t="str">
        <f>HYPERLINK("http://www.uniprot.org/uniprot/ATR_ORYSJ","ATR_ORYSJ")</f>
        <v>ATR_ORYSJ</v>
      </c>
      <c r="D5770" t="s">
        <v>4848</v>
      </c>
      <c r="E5770" s="3" t="s">
        <v>38</v>
      </c>
      <c r="F5770" s="4">
        <v>8.1800000000000001E-50</v>
      </c>
      <c r="G5770" s="3">
        <v>444</v>
      </c>
      <c r="H5770" s="3">
        <v>76</v>
      </c>
      <c r="I5770" s="3">
        <v>101</v>
      </c>
      <c r="J5770" s="3">
        <v>5</v>
      </c>
      <c r="K5770" s="3">
        <v>307</v>
      </c>
      <c r="L5770" s="3">
        <v>1472</v>
      </c>
      <c r="M5770" s="3">
        <v>1572</v>
      </c>
    </row>
    <row r="5771" spans="1:13" x14ac:dyDescent="0.25">
      <c r="A5771" s="1" t="str">
        <f>HYPERLINK("http://www.rosaceae.org/Prunus/Prunus_persica/p.persica_gdr_reftransV1_0045474","p.persica_gdr_reftransV1_0045474")</f>
        <v>p.persica_gdr_reftransV1_0045474</v>
      </c>
      <c r="B5771" s="3">
        <v>1572</v>
      </c>
      <c r="C5771" s="1" t="str">
        <f>HYPERLINK("http://www.uniprot.org/uniprot/DPO1_BACCA","DPO1_BACCA")</f>
        <v>DPO1_BACCA</v>
      </c>
      <c r="D5771" t="s">
        <v>4849</v>
      </c>
      <c r="E5771" s="3" t="s">
        <v>4850</v>
      </c>
      <c r="F5771" s="4">
        <v>4.2600000000000003E-45</v>
      </c>
      <c r="G5771" s="3">
        <v>441</v>
      </c>
      <c r="H5771" s="3">
        <v>34</v>
      </c>
      <c r="I5771" s="3">
        <v>318</v>
      </c>
      <c r="J5771" s="3">
        <v>424</v>
      </c>
      <c r="K5771" s="3">
        <v>1350</v>
      </c>
      <c r="L5771" s="3">
        <v>4</v>
      </c>
      <c r="M5771" s="3">
        <v>307</v>
      </c>
    </row>
    <row r="5772" spans="1:13" x14ac:dyDescent="0.25">
      <c r="A5772" s="1" t="str">
        <f>HYPERLINK("http://www.rosaceae.org/Prunus/Prunus_persica/p.persica_gdr_reftransV1_0045524","p.persica_gdr_reftransV1_0045524")</f>
        <v>p.persica_gdr_reftransV1_0045524</v>
      </c>
      <c r="B5772" s="3">
        <v>1152</v>
      </c>
      <c r="C5772" s="1" t="str">
        <f>HYPERLINK("http://www.uniprot.org/uniprot/GLYM2_ARATH","GLYM2_ARATH")</f>
        <v>GLYM2_ARATH</v>
      </c>
      <c r="D5772" t="s">
        <v>4851</v>
      </c>
      <c r="E5772" s="3" t="s">
        <v>3</v>
      </c>
      <c r="F5772" s="4">
        <v>0</v>
      </c>
      <c r="G5772" s="3">
        <v>1456</v>
      </c>
      <c r="H5772" s="3">
        <v>86</v>
      </c>
      <c r="I5772" s="3">
        <v>324</v>
      </c>
      <c r="J5772" s="3">
        <v>180</v>
      </c>
      <c r="K5772" s="3">
        <v>1151</v>
      </c>
      <c r="L5772" s="3">
        <v>194</v>
      </c>
      <c r="M5772" s="3">
        <v>517</v>
      </c>
    </row>
    <row r="5773" spans="1:13" x14ac:dyDescent="0.25">
      <c r="A5773" s="1" t="str">
        <f>HYPERLINK("http://www.rosaceae.org/Prunus/Prunus_persica/p.persica_gdr_reftransV1_0045574","p.persica_gdr_reftransV1_0045574")</f>
        <v>p.persica_gdr_reftransV1_0045574</v>
      </c>
      <c r="B5773" s="3">
        <v>515</v>
      </c>
      <c r="C5773" s="1" t="str">
        <f>HYPERLINK("http://www.uniprot.org/uniprot/GSXL2_ARATH","GSXL2_ARATH")</f>
        <v>GSXL2_ARATH</v>
      </c>
      <c r="D5773" t="s">
        <v>4852</v>
      </c>
      <c r="E5773" s="3" t="s">
        <v>3</v>
      </c>
      <c r="F5773" s="4">
        <v>7.2900000000000001E-57</v>
      </c>
      <c r="G5773" s="3">
        <v>484</v>
      </c>
      <c r="H5773" s="3">
        <v>60</v>
      </c>
      <c r="I5773" s="3">
        <v>137</v>
      </c>
      <c r="J5773" s="3">
        <v>107</v>
      </c>
      <c r="K5773" s="3">
        <v>514</v>
      </c>
      <c r="L5773" s="3">
        <v>316</v>
      </c>
      <c r="M5773" s="3">
        <v>452</v>
      </c>
    </row>
    <row r="5774" spans="1:13" x14ac:dyDescent="0.25">
      <c r="A5774" s="1" t="str">
        <f>HYPERLINK("http://www.rosaceae.org/Prunus/Prunus_persica/p.persica_gdr_reftransV1_0045674","p.persica_gdr_reftransV1_0045674")</f>
        <v>p.persica_gdr_reftransV1_0045674</v>
      </c>
      <c r="B5774" s="3">
        <v>628</v>
      </c>
      <c r="C5774" s="1" t="str">
        <f>HYPERLINK("http://www.uniprot.org/uniprot/DREB3_ARATH","DREB3_ARATH")</f>
        <v>DREB3_ARATH</v>
      </c>
      <c r="D5774" t="s">
        <v>4853</v>
      </c>
      <c r="E5774" s="3" t="s">
        <v>3</v>
      </c>
      <c r="F5774" s="4">
        <v>8.8699999999999999E-39</v>
      </c>
      <c r="G5774" s="3">
        <v>350</v>
      </c>
      <c r="H5774" s="3">
        <v>78</v>
      </c>
      <c r="I5774" s="3">
        <v>85</v>
      </c>
      <c r="J5774" s="3">
        <v>91</v>
      </c>
      <c r="K5774" s="3">
        <v>345</v>
      </c>
      <c r="L5774" s="3">
        <v>35</v>
      </c>
      <c r="M5774" s="3">
        <v>116</v>
      </c>
    </row>
    <row r="5775" spans="1:13" x14ac:dyDescent="0.25">
      <c r="A5775" s="1" t="str">
        <f>HYPERLINK("http://www.rosaceae.org/Prunus/Prunus_persica/p.persica_gdr_reftransV1_0045724","p.persica_gdr_reftransV1_0045724")</f>
        <v>p.persica_gdr_reftransV1_0045724</v>
      </c>
      <c r="B5775" s="3">
        <v>2315</v>
      </c>
      <c r="C5775" s="1" t="str">
        <f>HYPERLINK("http://www.uniprot.org/uniprot/SPS3_ARATH","SPS3_ARATH")</f>
        <v>SPS3_ARATH</v>
      </c>
      <c r="D5775" t="s">
        <v>4854</v>
      </c>
      <c r="E5775" s="3" t="s">
        <v>3</v>
      </c>
      <c r="F5775" s="4">
        <v>4.7099999999999999E-180</v>
      </c>
      <c r="G5775" s="3">
        <v>1363</v>
      </c>
      <c r="H5775" s="3">
        <v>68</v>
      </c>
      <c r="I5775" s="3">
        <v>428</v>
      </c>
      <c r="J5775" s="3">
        <v>709</v>
      </c>
      <c r="K5775" s="3">
        <v>1974</v>
      </c>
      <c r="L5775" s="3">
        <v>1</v>
      </c>
      <c r="M5775" s="3">
        <v>422</v>
      </c>
    </row>
    <row r="5776" spans="1:13" x14ac:dyDescent="0.25">
      <c r="A5776" s="1" t="str">
        <f>HYPERLINK("http://www.rosaceae.org/Prunus/Prunus_persica/p.persica_gdr_reftransV1_0045974","p.persica_gdr_reftransV1_0045974")</f>
        <v>p.persica_gdr_reftransV1_0045974</v>
      </c>
      <c r="B5776" s="3">
        <v>4460</v>
      </c>
      <c r="C5776" s="1" t="str">
        <f>HYPERLINK("http://www.uniprot.org/uniprot/DNJ21_ARATH","DNJ21_ARATH")</f>
        <v>DNJ21_ARATH</v>
      </c>
      <c r="D5776" t="s">
        <v>4855</v>
      </c>
      <c r="E5776" s="3" t="s">
        <v>3</v>
      </c>
      <c r="F5776" s="4">
        <v>0</v>
      </c>
      <c r="G5776" s="3">
        <v>2767</v>
      </c>
      <c r="H5776" s="3">
        <v>83</v>
      </c>
      <c r="I5776" s="3">
        <v>616</v>
      </c>
      <c r="J5776" s="3">
        <v>2222</v>
      </c>
      <c r="K5776" s="3">
        <v>4069</v>
      </c>
      <c r="L5776" s="3">
        <v>1</v>
      </c>
      <c r="M5776" s="3">
        <v>616</v>
      </c>
    </row>
    <row r="5777" spans="1:13" x14ac:dyDescent="0.25">
      <c r="A5777" s="1" t="str">
        <f>HYPERLINK("http://www.rosaceae.org/Prunus/Prunus_persica/p.persica_gdr_reftransV1_0046124","p.persica_gdr_reftransV1_0046124")</f>
        <v>p.persica_gdr_reftransV1_0046124</v>
      </c>
      <c r="B5777" s="3">
        <v>2534</v>
      </c>
      <c r="C5777" s="1" t="str">
        <f>HYPERLINK("http://www.uniprot.org/uniprot/4CL2_SOYBN","4CL2_SOYBN")</f>
        <v>4CL2_SOYBN</v>
      </c>
      <c r="D5777" t="s">
        <v>4856</v>
      </c>
      <c r="E5777" s="3" t="s">
        <v>307</v>
      </c>
      <c r="F5777" s="4">
        <v>0</v>
      </c>
      <c r="G5777" s="3">
        <v>2173</v>
      </c>
      <c r="H5777" s="3">
        <v>80</v>
      </c>
      <c r="I5777" s="3">
        <v>548</v>
      </c>
      <c r="J5777" s="3">
        <v>645</v>
      </c>
      <c r="K5777" s="3">
        <v>2279</v>
      </c>
      <c r="L5777" s="3">
        <v>25</v>
      </c>
      <c r="M5777" s="3">
        <v>562</v>
      </c>
    </row>
    <row r="5778" spans="1:13" x14ac:dyDescent="0.25">
      <c r="A5778" s="1" t="str">
        <f>HYPERLINK("http://www.rosaceae.org/Prunus/Prunus_persica/p.persica_gdr_reftransV1_0046274","p.persica_gdr_reftransV1_0046274")</f>
        <v>p.persica_gdr_reftransV1_0046274</v>
      </c>
      <c r="B5778" s="3">
        <v>1079</v>
      </c>
      <c r="C5778" s="1" t="str">
        <f>HYPERLINK("http://www.uniprot.org/uniprot/FPP3_ARATH","FPP3_ARATH")</f>
        <v>FPP3_ARATH</v>
      </c>
      <c r="D5778" t="s">
        <v>4857</v>
      </c>
      <c r="E5778" s="3" t="s">
        <v>3</v>
      </c>
      <c r="F5778" s="4">
        <v>1.3799999999999999E-65</v>
      </c>
      <c r="G5778" s="3">
        <v>571</v>
      </c>
      <c r="H5778" s="3">
        <v>62</v>
      </c>
      <c r="I5778" s="3">
        <v>266</v>
      </c>
      <c r="J5778" s="3">
        <v>277</v>
      </c>
      <c r="K5778" s="3">
        <v>1071</v>
      </c>
      <c r="L5778" s="3">
        <v>1</v>
      </c>
      <c r="M5778" s="3">
        <v>253</v>
      </c>
    </row>
    <row r="5779" spans="1:13" x14ac:dyDescent="0.25">
      <c r="A5779" s="1" t="str">
        <f>HYPERLINK("http://www.rosaceae.org/Prunus/Prunus_persica/p.persica_gdr_reftransV1_0046324","p.persica_gdr_reftransV1_0046324")</f>
        <v>p.persica_gdr_reftransV1_0046324</v>
      </c>
      <c r="B5779" s="3">
        <v>1725</v>
      </c>
      <c r="C5779" s="1" t="str">
        <f>HYPERLINK("http://www.uniprot.org/uniprot/IRKI_ARATH","IRKI_ARATH")</f>
        <v>IRKI_ARATH</v>
      </c>
      <c r="D5779" t="s">
        <v>6</v>
      </c>
      <c r="E5779" s="3" t="s">
        <v>3</v>
      </c>
      <c r="F5779" s="4">
        <v>1.2100000000000001E-73</v>
      </c>
      <c r="G5779" s="3">
        <v>641</v>
      </c>
      <c r="H5779" s="3">
        <v>42</v>
      </c>
      <c r="I5779" s="3">
        <v>323</v>
      </c>
      <c r="J5779" s="3">
        <v>235</v>
      </c>
      <c r="K5779" s="3">
        <v>1194</v>
      </c>
      <c r="L5779" s="3">
        <v>247</v>
      </c>
      <c r="M5779" s="3">
        <v>560</v>
      </c>
    </row>
    <row r="5780" spans="1:13" x14ac:dyDescent="0.25">
      <c r="A5780" s="1" t="str">
        <f>HYPERLINK("http://www.rosaceae.org/Prunus/Prunus_persica/p.persica_gdr_reftransV1_0046374","p.persica_gdr_reftransV1_0046374")</f>
        <v>p.persica_gdr_reftransV1_0046374</v>
      </c>
      <c r="B5780" s="3">
        <v>970</v>
      </c>
      <c r="C5780" s="1" t="str">
        <f>HYPERLINK("http://www.uniprot.org/uniprot/UFOG7_MANES","UFOG7_MANES")</f>
        <v>UFOG7_MANES</v>
      </c>
      <c r="D5780" t="s">
        <v>4858</v>
      </c>
      <c r="E5780" s="3" t="s">
        <v>1797</v>
      </c>
      <c r="F5780" s="4">
        <v>3.1999999999999999E-73</v>
      </c>
      <c r="G5780" s="3">
        <v>597</v>
      </c>
      <c r="H5780" s="3">
        <v>58</v>
      </c>
      <c r="I5780" s="3">
        <v>194</v>
      </c>
      <c r="J5780" s="3">
        <v>59</v>
      </c>
      <c r="K5780" s="3">
        <v>637</v>
      </c>
      <c r="L5780" s="3">
        <v>86</v>
      </c>
      <c r="M5780" s="3">
        <v>279</v>
      </c>
    </row>
    <row r="5781" spans="1:13" x14ac:dyDescent="0.25">
      <c r="A5781" s="1" t="str">
        <f>HYPERLINK("http://www.rosaceae.org/Prunus/Prunus_persica/p.persica_gdr_reftransV1_0046524","p.persica_gdr_reftransV1_0046524")</f>
        <v>p.persica_gdr_reftransV1_0046524</v>
      </c>
      <c r="B5781" s="3">
        <v>363</v>
      </c>
      <c r="C5781" s="1" t="str">
        <f>HYPERLINK("http://www.uniprot.org/uniprot/CNGC1_ARATH","CNGC1_ARATH")</f>
        <v>CNGC1_ARATH</v>
      </c>
      <c r="D5781" t="s">
        <v>241</v>
      </c>
      <c r="E5781" s="3" t="s">
        <v>3</v>
      </c>
      <c r="F5781" s="4">
        <v>5.9699999999999997E-31</v>
      </c>
      <c r="G5781" s="3">
        <v>301</v>
      </c>
      <c r="H5781" s="3">
        <v>48</v>
      </c>
      <c r="I5781" s="3">
        <v>122</v>
      </c>
      <c r="J5781" s="3">
        <v>1</v>
      </c>
      <c r="K5781" s="3">
        <v>363</v>
      </c>
      <c r="L5781" s="3">
        <v>272</v>
      </c>
      <c r="M5781" s="3">
        <v>392</v>
      </c>
    </row>
    <row r="5782" spans="1:13" x14ac:dyDescent="0.25">
      <c r="A5782" s="1" t="str">
        <f>HYPERLINK("http://www.rosaceae.org/Prunus/Prunus_persica/p.persica_gdr_reftransV1_0046574","p.persica_gdr_reftransV1_0046574")</f>
        <v>p.persica_gdr_reftransV1_0046574</v>
      </c>
      <c r="B5782" s="3">
        <v>3373</v>
      </c>
      <c r="C5782" s="1" t="str">
        <f>HYPERLINK("http://www.uniprot.org/uniprot/DRP3A_ARATH","DRP3A_ARATH")</f>
        <v>DRP3A_ARATH</v>
      </c>
      <c r="D5782" t="s">
        <v>4859</v>
      </c>
      <c r="E5782" s="3" t="s">
        <v>3</v>
      </c>
      <c r="F5782" s="4">
        <v>0</v>
      </c>
      <c r="G5782" s="3">
        <v>2887</v>
      </c>
      <c r="H5782" s="3">
        <v>77</v>
      </c>
      <c r="I5782" s="3">
        <v>741</v>
      </c>
      <c r="J5782" s="3">
        <v>618</v>
      </c>
      <c r="K5782" s="3">
        <v>2837</v>
      </c>
      <c r="L5782" s="3">
        <v>34</v>
      </c>
      <c r="M5782" s="3">
        <v>768</v>
      </c>
    </row>
    <row r="5783" spans="1:13" x14ac:dyDescent="0.25">
      <c r="A5783" s="1" t="str">
        <f>HYPERLINK("http://www.rosaceae.org/Prunus/Prunus_persica/p.persica_gdr_reftransV1_0046624","p.persica_gdr_reftransV1_0046624")</f>
        <v>p.persica_gdr_reftransV1_0046624</v>
      </c>
      <c r="B5783" s="3">
        <v>310</v>
      </c>
      <c r="C5783" s="1" t="str">
        <f>HYPERLINK("http://www.uniprot.org/uniprot/Y5900_ARATH","Y5900_ARATH")</f>
        <v>Y5900_ARATH</v>
      </c>
      <c r="D5783" t="s">
        <v>4860</v>
      </c>
      <c r="E5783" s="3" t="s">
        <v>3</v>
      </c>
      <c r="F5783" s="4">
        <v>1.2699999999999999E-16</v>
      </c>
      <c r="G5783" s="3">
        <v>194</v>
      </c>
      <c r="H5783" s="3">
        <v>47</v>
      </c>
      <c r="I5783" s="3">
        <v>98</v>
      </c>
      <c r="J5783" s="3">
        <v>16</v>
      </c>
      <c r="K5783" s="3">
        <v>309</v>
      </c>
      <c r="L5783" s="3">
        <v>144</v>
      </c>
      <c r="M5783" s="3">
        <v>233</v>
      </c>
    </row>
    <row r="5784" spans="1:13" x14ac:dyDescent="0.25">
      <c r="A5784" s="1" t="str">
        <f>HYPERLINK("http://www.rosaceae.org/Prunus/Prunus_persica/p.persica_gdr_reftransV1_0046674","p.persica_gdr_reftransV1_0046674")</f>
        <v>p.persica_gdr_reftransV1_0046674</v>
      </c>
      <c r="B5784" s="3">
        <v>2476</v>
      </c>
      <c r="C5784" s="1" t="str">
        <f>HYPERLINK("http://www.uniprot.org/uniprot/Y2349_ARATH","Y2349_ARATH")</f>
        <v>Y2349_ARATH</v>
      </c>
      <c r="D5784" t="s">
        <v>3494</v>
      </c>
      <c r="E5784" s="3" t="s">
        <v>3</v>
      </c>
      <c r="F5784" s="4">
        <v>2.55E-160</v>
      </c>
      <c r="G5784" s="3">
        <v>1255</v>
      </c>
      <c r="H5784" s="3">
        <v>53</v>
      </c>
      <c r="I5784" s="3">
        <v>649</v>
      </c>
      <c r="J5784" s="3">
        <v>332</v>
      </c>
      <c r="K5784" s="3">
        <v>2230</v>
      </c>
      <c r="L5784" s="3">
        <v>1</v>
      </c>
      <c r="M5784" s="3">
        <v>599</v>
      </c>
    </row>
    <row r="5785" spans="1:13" x14ac:dyDescent="0.25">
      <c r="A5785" s="1" t="str">
        <f>HYPERLINK("http://www.rosaceae.org/Prunus/Prunus_persica/p.persica_gdr_reftransV1_0046774","p.persica_gdr_reftransV1_0046774")</f>
        <v>p.persica_gdr_reftransV1_0046774</v>
      </c>
      <c r="B5785" s="3">
        <v>931</v>
      </c>
      <c r="C5785" s="1" t="str">
        <f>HYPERLINK("http://www.uniprot.org/uniprot/R15A5_ARATH","R15A5_ARATH")</f>
        <v>R15A5_ARATH</v>
      </c>
      <c r="D5785" t="s">
        <v>3884</v>
      </c>
      <c r="E5785" s="3" t="s">
        <v>3</v>
      </c>
      <c r="F5785" s="4">
        <v>5.7200000000000002E-74</v>
      </c>
      <c r="G5785" s="3">
        <v>586</v>
      </c>
      <c r="H5785" s="3">
        <v>81</v>
      </c>
      <c r="I5785" s="3">
        <v>129</v>
      </c>
      <c r="J5785" s="3">
        <v>290</v>
      </c>
      <c r="K5785" s="3">
        <v>676</v>
      </c>
      <c r="L5785" s="3">
        <v>1</v>
      </c>
      <c r="M5785" s="3">
        <v>129</v>
      </c>
    </row>
    <row r="5786" spans="1:13" x14ac:dyDescent="0.25">
      <c r="A5786" s="1" t="str">
        <f>HYPERLINK("http://www.rosaceae.org/Prunus/Prunus_persica/p.persica_gdr_reftransV1_0046874","p.persica_gdr_reftransV1_0046874")</f>
        <v>p.persica_gdr_reftransV1_0046874</v>
      </c>
      <c r="B5786" s="3">
        <v>1446</v>
      </c>
      <c r="C5786" s="1" t="str">
        <f>HYPERLINK("http://www.uniprot.org/uniprot/PGLR_VITVI","PGLR_VITVI")</f>
        <v>PGLR_VITVI</v>
      </c>
      <c r="D5786" t="s">
        <v>2366</v>
      </c>
      <c r="E5786" s="3" t="s">
        <v>362</v>
      </c>
      <c r="F5786" s="4">
        <v>1.5800000000000001E-53</v>
      </c>
      <c r="G5786" s="3">
        <v>490</v>
      </c>
      <c r="H5786" s="3">
        <v>40</v>
      </c>
      <c r="I5786" s="3">
        <v>251</v>
      </c>
      <c r="J5786" s="3">
        <v>321</v>
      </c>
      <c r="K5786" s="3">
        <v>1067</v>
      </c>
      <c r="L5786" s="3">
        <v>222</v>
      </c>
      <c r="M5786" s="3">
        <v>470</v>
      </c>
    </row>
    <row r="5787" spans="1:13" x14ac:dyDescent="0.25">
      <c r="A5787" s="1" t="str">
        <f>HYPERLINK("http://www.rosaceae.org/Prunus/Prunus_persica/p.persica_gdr_reftransV1_0046974","p.persica_gdr_reftransV1_0046974")</f>
        <v>p.persica_gdr_reftransV1_0046974</v>
      </c>
      <c r="B5787" s="3">
        <v>1093</v>
      </c>
      <c r="C5787" s="1" t="str">
        <f>HYPERLINK("http://www.uniprot.org/uniprot/TBL6_ARATH","TBL6_ARATH")</f>
        <v>TBL6_ARATH</v>
      </c>
      <c r="D5787" t="s">
        <v>4861</v>
      </c>
      <c r="E5787" s="3" t="s">
        <v>3</v>
      </c>
      <c r="F5787" s="4">
        <v>2.82E-165</v>
      </c>
      <c r="G5787" s="3">
        <v>1229</v>
      </c>
      <c r="H5787" s="3">
        <v>73</v>
      </c>
      <c r="I5787" s="3">
        <v>293</v>
      </c>
      <c r="J5787" s="3">
        <v>3</v>
      </c>
      <c r="K5787" s="3">
        <v>878</v>
      </c>
      <c r="L5787" s="3">
        <v>179</v>
      </c>
      <c r="M5787" s="3">
        <v>471</v>
      </c>
    </row>
    <row r="5788" spans="1:13" x14ac:dyDescent="0.25">
      <c r="A5788" s="1" t="str">
        <f>HYPERLINK("http://www.rosaceae.org/Prunus/Prunus_persica/p.persica_gdr_reftransV1_0047024","p.persica_gdr_reftransV1_0047024")</f>
        <v>p.persica_gdr_reftransV1_0047024</v>
      </c>
      <c r="B5788" s="3">
        <v>1625</v>
      </c>
      <c r="C5788" s="1" t="str">
        <f>HYPERLINK("http://www.uniprot.org/uniprot/COQ2_ARATH","COQ2_ARATH")</f>
        <v>COQ2_ARATH</v>
      </c>
      <c r="D5788" t="s">
        <v>4862</v>
      </c>
      <c r="E5788" s="3" t="s">
        <v>3</v>
      </c>
      <c r="F5788" s="4">
        <v>1.0600000000000001E-126</v>
      </c>
      <c r="G5788" s="3">
        <v>985</v>
      </c>
      <c r="H5788" s="3">
        <v>74</v>
      </c>
      <c r="I5788" s="3">
        <v>298</v>
      </c>
      <c r="J5788" s="3">
        <v>368</v>
      </c>
      <c r="K5788" s="3">
        <v>1261</v>
      </c>
      <c r="L5788" s="3">
        <v>108</v>
      </c>
      <c r="M5788" s="3">
        <v>404</v>
      </c>
    </row>
    <row r="5789" spans="1:13" x14ac:dyDescent="0.25">
      <c r="A5789" s="1" t="str">
        <f>HYPERLINK("http://www.rosaceae.org/Prunus/Prunus_persica/p.persica_gdr_reftransV1_0047074","p.persica_gdr_reftransV1_0047074")</f>
        <v>p.persica_gdr_reftransV1_0047074</v>
      </c>
      <c r="B5789" s="3">
        <v>1775</v>
      </c>
      <c r="C5789" s="1" t="str">
        <f>HYPERLINK("http://www.uniprot.org/uniprot/FB140_ARATH","FB140_ARATH")</f>
        <v>FB140_ARATH</v>
      </c>
      <c r="D5789" t="s">
        <v>4863</v>
      </c>
      <c r="E5789" s="3" t="s">
        <v>3</v>
      </c>
      <c r="F5789" s="4">
        <v>3.4700000000000001E-119</v>
      </c>
      <c r="G5789" s="3">
        <v>941</v>
      </c>
      <c r="H5789" s="3">
        <v>47</v>
      </c>
      <c r="I5789" s="3">
        <v>455</v>
      </c>
      <c r="J5789" s="3">
        <v>193</v>
      </c>
      <c r="K5789" s="3">
        <v>1527</v>
      </c>
      <c r="L5789" s="3">
        <v>5</v>
      </c>
      <c r="M5789" s="3">
        <v>419</v>
      </c>
    </row>
    <row r="5790" spans="1:13" x14ac:dyDescent="0.25">
      <c r="A5790" s="1" t="str">
        <f>HYPERLINK("http://www.rosaceae.org/Prunus/Prunus_persica/p.persica_gdr_reftransV1_0047174","p.persica_gdr_reftransV1_0047174")</f>
        <v>p.persica_gdr_reftransV1_0047174</v>
      </c>
      <c r="B5790" s="3">
        <v>1826</v>
      </c>
      <c r="C5790" s="1" t="str">
        <f>HYPERLINK("http://www.uniprot.org/uniprot/HYES_HUMAN","HYES_HUMAN")</f>
        <v>HYES_HUMAN</v>
      </c>
      <c r="D5790" t="s">
        <v>960</v>
      </c>
      <c r="E5790" s="3" t="s">
        <v>28</v>
      </c>
      <c r="F5790" s="4">
        <v>1.23E-48</v>
      </c>
      <c r="G5790" s="3">
        <v>464</v>
      </c>
      <c r="H5790" s="3">
        <v>32</v>
      </c>
      <c r="I5790" s="3">
        <v>301</v>
      </c>
      <c r="J5790" s="3">
        <v>136</v>
      </c>
      <c r="K5790" s="3">
        <v>1026</v>
      </c>
      <c r="L5790" s="3">
        <v>248</v>
      </c>
      <c r="M5790" s="3">
        <v>536</v>
      </c>
    </row>
    <row r="5791" spans="1:13" x14ac:dyDescent="0.25">
      <c r="A5791" s="1" t="str">
        <f>HYPERLINK("http://www.rosaceae.org/Prunus/Prunus_persica/p.persica_gdr_reftransV1_0047224","p.persica_gdr_reftransV1_0047224")</f>
        <v>p.persica_gdr_reftransV1_0047224</v>
      </c>
      <c r="B5791" s="3">
        <v>940</v>
      </c>
      <c r="C5791" s="1" t="str">
        <f>HYPERLINK("http://www.uniprot.org/uniprot/PMS1_ARATH","PMS1_ARATH")</f>
        <v>PMS1_ARATH</v>
      </c>
      <c r="D5791" t="s">
        <v>1789</v>
      </c>
      <c r="E5791" s="3" t="s">
        <v>3</v>
      </c>
      <c r="F5791" s="4">
        <v>2.32E-110</v>
      </c>
      <c r="G5791" s="3">
        <v>892</v>
      </c>
      <c r="H5791" s="3">
        <v>72</v>
      </c>
      <c r="I5791" s="3">
        <v>222</v>
      </c>
      <c r="J5791" s="3">
        <v>270</v>
      </c>
      <c r="K5791" s="3">
        <v>935</v>
      </c>
      <c r="L5791" s="3">
        <v>689</v>
      </c>
      <c r="M5791" s="3">
        <v>896</v>
      </c>
    </row>
    <row r="5792" spans="1:13" x14ac:dyDescent="0.25">
      <c r="A5792" s="1" t="str">
        <f>HYPERLINK("http://www.rosaceae.org/Prunus/Prunus_persica/p.persica_gdr_reftransV1_0047274","p.persica_gdr_reftransV1_0047274")</f>
        <v>p.persica_gdr_reftransV1_0047274</v>
      </c>
      <c r="B5792" s="3">
        <v>653</v>
      </c>
      <c r="C5792" s="1" t="str">
        <f>HYPERLINK("http://www.uniprot.org/uniprot/KU80_ARATH","KU80_ARATH")</f>
        <v>KU80_ARATH</v>
      </c>
      <c r="D5792" t="s">
        <v>4864</v>
      </c>
      <c r="E5792" s="3" t="s">
        <v>3</v>
      </c>
      <c r="F5792" s="4">
        <v>1.05E-80</v>
      </c>
      <c r="G5792" s="3">
        <v>665</v>
      </c>
      <c r="H5792" s="3">
        <v>61</v>
      </c>
      <c r="I5792" s="3">
        <v>199</v>
      </c>
      <c r="J5792" s="3">
        <v>56</v>
      </c>
      <c r="K5792" s="3">
        <v>652</v>
      </c>
      <c r="L5792" s="3">
        <v>1</v>
      </c>
      <c r="M5792" s="3">
        <v>199</v>
      </c>
    </row>
    <row r="5793" spans="1:13" x14ac:dyDescent="0.25">
      <c r="A5793" s="1" t="str">
        <f>HYPERLINK("http://www.rosaceae.org/Prunus/Prunus_persica/p.persica_gdr_reftransV1_0047324","p.persica_gdr_reftransV1_0047324")</f>
        <v>p.persica_gdr_reftransV1_0047324</v>
      </c>
      <c r="B5793" s="3">
        <v>659</v>
      </c>
      <c r="C5793" s="1" t="str">
        <f>HYPERLINK("http://www.uniprot.org/uniprot/PER19_ARATH","PER19_ARATH")</f>
        <v>PER19_ARATH</v>
      </c>
      <c r="D5793" t="s">
        <v>4865</v>
      </c>
      <c r="E5793" s="3" t="s">
        <v>3</v>
      </c>
      <c r="F5793" s="4">
        <v>1.6499999999999999E-68</v>
      </c>
      <c r="G5793" s="3">
        <v>560</v>
      </c>
      <c r="H5793" s="3">
        <v>65</v>
      </c>
      <c r="I5793" s="3">
        <v>173</v>
      </c>
      <c r="J5793" s="3">
        <v>2</v>
      </c>
      <c r="K5793" s="3">
        <v>520</v>
      </c>
      <c r="L5793" s="3">
        <v>170</v>
      </c>
      <c r="M5793" s="3">
        <v>342</v>
      </c>
    </row>
    <row r="5794" spans="1:13" x14ac:dyDescent="0.25">
      <c r="A5794" s="1" t="str">
        <f>HYPERLINK("http://www.rosaceae.org/Prunus/Prunus_persica/p.persica_gdr_reftransV1_0047424","p.persica_gdr_reftransV1_0047424")</f>
        <v>p.persica_gdr_reftransV1_0047424</v>
      </c>
      <c r="B5794" s="3">
        <v>1824</v>
      </c>
      <c r="C5794" s="1" t="str">
        <f>HYPERLINK("http://www.uniprot.org/uniprot/NFRKB_HUMAN","NFRKB_HUMAN")</f>
        <v>NFRKB_HUMAN</v>
      </c>
      <c r="D5794" t="s">
        <v>4866</v>
      </c>
      <c r="E5794" s="3" t="s">
        <v>28</v>
      </c>
      <c r="F5794" s="4">
        <v>2.8800000000000002E-41</v>
      </c>
      <c r="G5794" s="3">
        <v>417</v>
      </c>
      <c r="H5794" s="3">
        <v>55</v>
      </c>
      <c r="I5794" s="3">
        <v>143</v>
      </c>
      <c r="J5794" s="3">
        <v>652</v>
      </c>
      <c r="K5794" s="3">
        <v>1074</v>
      </c>
      <c r="L5794" s="3">
        <v>510</v>
      </c>
      <c r="M5794" s="3">
        <v>651</v>
      </c>
    </row>
    <row r="5795" spans="1:13" x14ac:dyDescent="0.25">
      <c r="A5795" s="1" t="str">
        <f>HYPERLINK("http://www.rosaceae.org/Prunus/Prunus_persica/p.persica_gdr_reftransV1_0047524","p.persica_gdr_reftransV1_0047524")</f>
        <v>p.persica_gdr_reftransV1_0047524</v>
      </c>
      <c r="B5795" s="3">
        <v>827</v>
      </c>
      <c r="C5795" s="1" t="str">
        <f>HYPERLINK("http://www.uniprot.org/uniprot/PLA2A_ARATH","PLA2A_ARATH")</f>
        <v>PLA2A_ARATH</v>
      </c>
      <c r="D5795" t="s">
        <v>4219</v>
      </c>
      <c r="E5795" s="3" t="s">
        <v>3</v>
      </c>
      <c r="F5795" s="4">
        <v>2.7599999999999999E-59</v>
      </c>
      <c r="G5795" s="3">
        <v>487</v>
      </c>
      <c r="H5795" s="3">
        <v>61</v>
      </c>
      <c r="I5795" s="3">
        <v>149</v>
      </c>
      <c r="J5795" s="3">
        <v>249</v>
      </c>
      <c r="K5795" s="3">
        <v>695</v>
      </c>
      <c r="L5795" s="3">
        <v>8</v>
      </c>
      <c r="M5795" s="3">
        <v>148</v>
      </c>
    </row>
    <row r="5796" spans="1:13" x14ac:dyDescent="0.25">
      <c r="A5796" s="1" t="str">
        <f>HYPERLINK("http://www.rosaceae.org/Prunus/Prunus_persica/p.persica_gdr_reftransV1_0047624","p.persica_gdr_reftransV1_0047624")</f>
        <v>p.persica_gdr_reftransV1_0047624</v>
      </c>
      <c r="B5796" s="3">
        <v>770</v>
      </c>
      <c r="C5796" s="1" t="str">
        <f>HYPERLINK("http://www.uniprot.org/uniprot/HT1_ARATH","HT1_ARATH")</f>
        <v>HT1_ARATH</v>
      </c>
      <c r="D5796" t="s">
        <v>1169</v>
      </c>
      <c r="E5796" s="3" t="s">
        <v>3</v>
      </c>
      <c r="F5796" s="4">
        <v>8.1999999999999996E-29</v>
      </c>
      <c r="G5796" s="3">
        <v>292</v>
      </c>
      <c r="H5796" s="3">
        <v>53</v>
      </c>
      <c r="I5796" s="3">
        <v>104</v>
      </c>
      <c r="J5796" s="3">
        <v>443</v>
      </c>
      <c r="K5796" s="3">
        <v>754</v>
      </c>
      <c r="L5796" s="3">
        <v>248</v>
      </c>
      <c r="M5796" s="3">
        <v>343</v>
      </c>
    </row>
    <row r="5797" spans="1:13" x14ac:dyDescent="0.25">
      <c r="A5797" s="1" t="str">
        <f>HYPERLINK("http://www.rosaceae.org/Prunus/Prunus_persica/p.persica_gdr_reftransV1_0047674","p.persica_gdr_reftransV1_0047674")</f>
        <v>p.persica_gdr_reftransV1_0047674</v>
      </c>
      <c r="B5797" s="3">
        <v>1211</v>
      </c>
      <c r="C5797" s="1" t="str">
        <f>HYPERLINK("http://www.uniprot.org/uniprot/GLR22_ARATH","GLR22_ARATH")</f>
        <v>GLR22_ARATH</v>
      </c>
      <c r="D5797" t="s">
        <v>4867</v>
      </c>
      <c r="E5797" s="3" t="s">
        <v>3</v>
      </c>
      <c r="F5797" s="4">
        <v>2.0800000000000001E-140</v>
      </c>
      <c r="G5797" s="3">
        <v>1105</v>
      </c>
      <c r="H5797" s="3">
        <v>53</v>
      </c>
      <c r="I5797" s="3">
        <v>421</v>
      </c>
      <c r="J5797" s="3">
        <v>2</v>
      </c>
      <c r="K5797" s="3">
        <v>1210</v>
      </c>
      <c r="L5797" s="3">
        <v>103</v>
      </c>
      <c r="M5797" s="3">
        <v>516</v>
      </c>
    </row>
    <row r="5798" spans="1:13" x14ac:dyDescent="0.25">
      <c r="A5798" s="1" t="str">
        <f>HYPERLINK("http://www.rosaceae.org/Prunus/Prunus_persica/p.persica_gdr_reftransV1_0047724","p.persica_gdr_reftransV1_0047724")</f>
        <v>p.persica_gdr_reftransV1_0047724</v>
      </c>
      <c r="B5798" s="3">
        <v>764</v>
      </c>
      <c r="C5798" s="1" t="str">
        <f>HYPERLINK("http://www.uniprot.org/uniprot/BRL2_ARATH","BRL2_ARATH")</f>
        <v>BRL2_ARATH</v>
      </c>
      <c r="D5798" t="s">
        <v>3231</v>
      </c>
      <c r="E5798" s="3" t="s">
        <v>3</v>
      </c>
      <c r="F5798" s="4">
        <v>3.3E-49</v>
      </c>
      <c r="G5798" s="3">
        <v>454</v>
      </c>
      <c r="H5798" s="3">
        <v>57</v>
      </c>
      <c r="I5798" s="3">
        <v>204</v>
      </c>
      <c r="J5798" s="3">
        <v>5</v>
      </c>
      <c r="K5798" s="3">
        <v>616</v>
      </c>
      <c r="L5798" s="3">
        <v>36</v>
      </c>
      <c r="M5798" s="3">
        <v>239</v>
      </c>
    </row>
    <row r="5799" spans="1:13" x14ac:dyDescent="0.25">
      <c r="A5799" s="1" t="str">
        <f>HYPERLINK("http://www.rosaceae.org/Prunus/Prunus_persica/p.persica_gdr_reftransV1_0047924","p.persica_gdr_reftransV1_0047924")</f>
        <v>p.persica_gdr_reftransV1_0047924</v>
      </c>
      <c r="B5799" s="3">
        <v>1504</v>
      </c>
      <c r="C5799" s="1" t="str">
        <f>HYPERLINK("http://www.uniprot.org/uniprot/MTM1_ARATH","MTM1_ARATH")</f>
        <v>MTM1_ARATH</v>
      </c>
      <c r="D5799" t="s">
        <v>4868</v>
      </c>
      <c r="E5799" s="3" t="s">
        <v>3</v>
      </c>
      <c r="F5799" s="4">
        <v>2.8299999999999998E-123</v>
      </c>
      <c r="G5799" s="3">
        <v>712</v>
      </c>
      <c r="H5799" s="3">
        <v>64</v>
      </c>
      <c r="I5799" s="3">
        <v>240</v>
      </c>
      <c r="J5799" s="3">
        <v>701</v>
      </c>
      <c r="K5799" s="3">
        <v>1411</v>
      </c>
      <c r="L5799" s="3">
        <v>1</v>
      </c>
      <c r="M5799" s="3">
        <v>236</v>
      </c>
    </row>
    <row r="5800" spans="1:13" x14ac:dyDescent="0.25">
      <c r="A5800" s="1" t="str">
        <f>HYPERLINK("http://www.rosaceae.org/Prunus/Prunus_persica/p.persica_gdr_reftransV1_0047974","p.persica_gdr_reftransV1_0047974")</f>
        <v>p.persica_gdr_reftransV1_0047974</v>
      </c>
      <c r="B5800" s="3">
        <v>2878</v>
      </c>
      <c r="C5800" s="1" t="str">
        <f>HYPERLINK("http://www.uniprot.org/uniprot/EPAB2_HUMAN","EPAB2_HUMAN")</f>
        <v>EPAB2_HUMAN</v>
      </c>
      <c r="D5800" t="s">
        <v>4869</v>
      </c>
      <c r="E5800" s="3" t="s">
        <v>28</v>
      </c>
      <c r="F5800" s="4">
        <v>7.4000000000000003E-15</v>
      </c>
      <c r="G5800" s="3">
        <v>196</v>
      </c>
      <c r="H5800" s="3">
        <v>31</v>
      </c>
      <c r="I5800" s="3">
        <v>144</v>
      </c>
      <c r="J5800" s="3">
        <v>1771</v>
      </c>
      <c r="K5800" s="3">
        <v>2160</v>
      </c>
      <c r="L5800" s="3">
        <v>79</v>
      </c>
      <c r="M5800" s="3">
        <v>222</v>
      </c>
    </row>
    <row r="5801" spans="1:13" x14ac:dyDescent="0.25">
      <c r="A5801" s="1" t="str">
        <f>HYPERLINK("http://www.rosaceae.org/Prunus/Prunus_persica/p.persica_gdr_reftransV1_0048024","p.persica_gdr_reftransV1_0048024")</f>
        <v>p.persica_gdr_reftransV1_0048024</v>
      </c>
      <c r="B5801" s="3">
        <v>951</v>
      </c>
      <c r="C5801" s="1" t="str">
        <f>HYPERLINK("http://www.uniprot.org/uniprot/DNJB6_MACFA","DNJB6_MACFA")</f>
        <v>DNJB6_MACFA</v>
      </c>
      <c r="D5801" t="s">
        <v>4870</v>
      </c>
      <c r="E5801" s="3" t="s">
        <v>674</v>
      </c>
      <c r="F5801" s="4">
        <v>1.0399999999999999E-15</v>
      </c>
      <c r="G5801" s="3">
        <v>192</v>
      </c>
      <c r="H5801" s="3">
        <v>60</v>
      </c>
      <c r="I5801" s="3">
        <v>65</v>
      </c>
      <c r="J5801" s="3">
        <v>329</v>
      </c>
      <c r="K5801" s="3">
        <v>523</v>
      </c>
      <c r="L5801" s="3">
        <v>4</v>
      </c>
      <c r="M5801" s="3">
        <v>66</v>
      </c>
    </row>
    <row r="5802" spans="1:13" x14ac:dyDescent="0.25">
      <c r="A5802" s="1" t="str">
        <f>HYPERLINK("http://www.rosaceae.org/Prunus/Prunus_persica/p.persica_gdr_reftransV1_0048074","p.persica_gdr_reftransV1_0048074")</f>
        <v>p.persica_gdr_reftransV1_0048074</v>
      </c>
      <c r="B5802" s="3">
        <v>2280</v>
      </c>
      <c r="C5802" s="1" t="str">
        <f>HYPERLINK("http://www.uniprot.org/uniprot/RFA1B_ARATH","RFA1B_ARATH")</f>
        <v>RFA1B_ARATH</v>
      </c>
      <c r="D5802" t="s">
        <v>4871</v>
      </c>
      <c r="E5802" s="3" t="s">
        <v>3</v>
      </c>
      <c r="F5802" s="4">
        <v>0</v>
      </c>
      <c r="G5802" s="3">
        <v>2243</v>
      </c>
      <c r="H5802" s="3">
        <v>70</v>
      </c>
      <c r="I5802" s="3">
        <v>604</v>
      </c>
      <c r="J5802" s="3">
        <v>356</v>
      </c>
      <c r="K5802" s="3">
        <v>2164</v>
      </c>
      <c r="L5802" s="3">
        <v>6</v>
      </c>
      <c r="M5802" s="3">
        <v>604</v>
      </c>
    </row>
    <row r="5803" spans="1:13" x14ac:dyDescent="0.25">
      <c r="A5803" s="1" t="str">
        <f>HYPERLINK("http://www.rosaceae.org/Prunus/Prunus_persica/p.persica_gdr_reftransV1_0048124","p.persica_gdr_reftransV1_0048124")</f>
        <v>p.persica_gdr_reftransV1_0048124</v>
      </c>
      <c r="B5803" s="3">
        <v>1613</v>
      </c>
      <c r="C5803" s="1" t="str">
        <f>HYPERLINK("http://www.uniprot.org/uniprot/BRWD1_MOUSE","BRWD1_MOUSE")</f>
        <v>BRWD1_MOUSE</v>
      </c>
      <c r="D5803" t="s">
        <v>4872</v>
      </c>
      <c r="E5803" s="3" t="s">
        <v>157</v>
      </c>
      <c r="F5803" s="4">
        <v>1.6800000000000001E-42</v>
      </c>
      <c r="G5803" s="3">
        <v>426</v>
      </c>
      <c r="H5803" s="3">
        <v>32</v>
      </c>
      <c r="I5803" s="3">
        <v>399</v>
      </c>
      <c r="J5803" s="3">
        <v>385</v>
      </c>
      <c r="K5803" s="3">
        <v>1536</v>
      </c>
      <c r="L5803" s="3">
        <v>3</v>
      </c>
      <c r="M5803" s="3">
        <v>351</v>
      </c>
    </row>
    <row r="5804" spans="1:13" x14ac:dyDescent="0.25">
      <c r="A5804" s="1" t="str">
        <f>HYPERLINK("http://www.rosaceae.org/Prunus/Prunus_persica/p.persica_gdr_reftransV1_0048174","p.persica_gdr_reftransV1_0048174")</f>
        <v>p.persica_gdr_reftransV1_0048174</v>
      </c>
      <c r="B5804" s="3">
        <v>2854</v>
      </c>
      <c r="C5804" s="1" t="str">
        <f>HYPERLINK("http://www.uniprot.org/uniprot/BCS1_SCHPO","BCS1_SCHPO")</f>
        <v>BCS1_SCHPO</v>
      </c>
      <c r="D5804" t="s">
        <v>779</v>
      </c>
      <c r="E5804" s="3" t="s">
        <v>464</v>
      </c>
      <c r="F5804" s="4">
        <v>7.3499999999999994E-24</v>
      </c>
      <c r="G5804" s="3">
        <v>273</v>
      </c>
      <c r="H5804" s="3">
        <v>31</v>
      </c>
      <c r="I5804" s="3">
        <v>236</v>
      </c>
      <c r="J5804" s="3">
        <v>1530</v>
      </c>
      <c r="K5804" s="3">
        <v>2201</v>
      </c>
      <c r="L5804" s="3">
        <v>195</v>
      </c>
      <c r="M5804" s="3">
        <v>423</v>
      </c>
    </row>
    <row r="5805" spans="1:13" x14ac:dyDescent="0.25">
      <c r="A5805" s="1" t="str">
        <f>HYPERLINK("http://www.rosaceae.org/Prunus/Prunus_persica/p.persica_gdr_reftransV1_0048274","p.persica_gdr_reftransV1_0048274")</f>
        <v>p.persica_gdr_reftransV1_0048274</v>
      </c>
      <c r="B5805" s="3">
        <v>470</v>
      </c>
      <c r="C5805" s="1" t="str">
        <f>HYPERLINK("http://www.uniprot.org/uniprot/PME21_ARATH","PME21_ARATH")</f>
        <v>PME21_ARATH</v>
      </c>
      <c r="D5805" t="s">
        <v>4873</v>
      </c>
      <c r="E5805" s="3" t="s">
        <v>3</v>
      </c>
      <c r="F5805" s="4">
        <v>4.5300000000000003E-61</v>
      </c>
      <c r="G5805" s="3">
        <v>521</v>
      </c>
      <c r="H5805" s="3">
        <v>64</v>
      </c>
      <c r="I5805" s="3">
        <v>155</v>
      </c>
      <c r="J5805" s="3">
        <v>2</v>
      </c>
      <c r="K5805" s="3">
        <v>466</v>
      </c>
      <c r="L5805" s="3">
        <v>240</v>
      </c>
      <c r="M5805" s="3">
        <v>394</v>
      </c>
    </row>
    <row r="5806" spans="1:13" x14ac:dyDescent="0.25">
      <c r="A5806" s="1" t="str">
        <f>HYPERLINK("http://www.rosaceae.org/Prunus/Prunus_persica/p.persica_gdr_reftransV1_0048374","p.persica_gdr_reftransV1_0048374")</f>
        <v>p.persica_gdr_reftransV1_0048374</v>
      </c>
      <c r="B5806" s="3">
        <v>1373</v>
      </c>
      <c r="C5806" s="1" t="str">
        <f>HYPERLINK("http://www.uniprot.org/uniprot/AI5L1_ARATH","AI5L1_ARATH")</f>
        <v>AI5L1_ARATH</v>
      </c>
      <c r="D5806" t="s">
        <v>4874</v>
      </c>
      <c r="E5806" s="3" t="s">
        <v>3</v>
      </c>
      <c r="F5806" s="4">
        <v>4.7900000000000003E-64</v>
      </c>
      <c r="G5806" s="3">
        <v>550</v>
      </c>
      <c r="H5806" s="3">
        <v>45</v>
      </c>
      <c r="I5806" s="3">
        <v>345</v>
      </c>
      <c r="J5806" s="3">
        <v>259</v>
      </c>
      <c r="K5806" s="3">
        <v>1272</v>
      </c>
      <c r="L5806" s="3">
        <v>37</v>
      </c>
      <c r="M5806" s="3">
        <v>331</v>
      </c>
    </row>
    <row r="5807" spans="1:13" x14ac:dyDescent="0.25">
      <c r="A5807" s="1" t="str">
        <f>HYPERLINK("http://www.rosaceae.org/Prunus/Prunus_persica/p.persica_gdr_reftransV1_0048474","p.persica_gdr_reftransV1_0048474")</f>
        <v>p.persica_gdr_reftransV1_0048474</v>
      </c>
      <c r="B5807" s="3">
        <v>1418</v>
      </c>
      <c r="C5807" s="1" t="str">
        <f>HYPERLINK("http://www.uniprot.org/uniprot/GUCD1_MOUSE","GUCD1_MOUSE")</f>
        <v>GUCD1_MOUSE</v>
      </c>
      <c r="D5807" t="s">
        <v>4875</v>
      </c>
      <c r="E5807" s="3" t="s">
        <v>157</v>
      </c>
      <c r="F5807" s="4">
        <v>4.2500000000000004E-31</v>
      </c>
      <c r="G5807" s="3">
        <v>311</v>
      </c>
      <c r="H5807" s="3">
        <v>36</v>
      </c>
      <c r="I5807" s="3">
        <v>219</v>
      </c>
      <c r="J5807" s="3">
        <v>443</v>
      </c>
      <c r="K5807" s="3">
        <v>1069</v>
      </c>
      <c r="L5807" s="3">
        <v>20</v>
      </c>
      <c r="M5807" s="3">
        <v>237</v>
      </c>
    </row>
    <row r="5808" spans="1:13" x14ac:dyDescent="0.25">
      <c r="A5808" s="1" t="str">
        <f>HYPERLINK("http://www.rosaceae.org/Prunus/Prunus_persica/p.persica_gdr_reftransV1_0048524","p.persica_gdr_reftransV1_0048524")</f>
        <v>p.persica_gdr_reftransV1_0048524</v>
      </c>
      <c r="B5808" s="3">
        <v>959</v>
      </c>
      <c r="C5808" s="1" t="str">
        <f>HYPERLINK("http://www.uniprot.org/uniprot/DIR3_ARATH","DIR3_ARATH")</f>
        <v>DIR3_ARATH</v>
      </c>
      <c r="D5808" t="s">
        <v>4876</v>
      </c>
      <c r="E5808" s="3" t="s">
        <v>3</v>
      </c>
      <c r="F5808" s="4">
        <v>1.65E-52</v>
      </c>
      <c r="G5808" s="3">
        <v>449</v>
      </c>
      <c r="H5808" s="3">
        <v>58</v>
      </c>
      <c r="I5808" s="3">
        <v>148</v>
      </c>
      <c r="J5808" s="3">
        <v>338</v>
      </c>
      <c r="K5808" s="3">
        <v>775</v>
      </c>
      <c r="L5808" s="3">
        <v>41</v>
      </c>
      <c r="M5808" s="3">
        <v>188</v>
      </c>
    </row>
    <row r="5809" spans="1:13" x14ac:dyDescent="0.25">
      <c r="A5809" s="1" t="str">
        <f>HYPERLINK("http://www.rosaceae.org/Prunus/Prunus_persica/p.persica_gdr_reftransV1_0048574","p.persica_gdr_reftransV1_0048574")</f>
        <v>p.persica_gdr_reftransV1_0048574</v>
      </c>
      <c r="B5809" s="3">
        <v>689</v>
      </c>
      <c r="C5809" s="1" t="str">
        <f>HYPERLINK("http://www.uniprot.org/uniprot/ATK4_ARATH","ATK4_ARATH")</f>
        <v>ATK4_ARATH</v>
      </c>
      <c r="D5809" t="s">
        <v>3593</v>
      </c>
      <c r="E5809" s="3" t="s">
        <v>3</v>
      </c>
      <c r="F5809" s="4">
        <v>3.1299999999999998E-17</v>
      </c>
      <c r="G5809" s="3">
        <v>209</v>
      </c>
      <c r="H5809" s="3">
        <v>52</v>
      </c>
      <c r="I5809" s="3">
        <v>75</v>
      </c>
      <c r="J5809" s="3">
        <v>3</v>
      </c>
      <c r="K5809" s="3">
        <v>227</v>
      </c>
      <c r="L5809" s="3">
        <v>328</v>
      </c>
      <c r="M5809" s="3">
        <v>402</v>
      </c>
    </row>
    <row r="5810" spans="1:13" x14ac:dyDescent="0.25">
      <c r="A5810" s="1" t="str">
        <f>HYPERLINK("http://www.rosaceae.org/Prunus/Prunus_persica/p.persica_gdr_reftransV1_0048674","p.persica_gdr_reftransV1_0048674")</f>
        <v>p.persica_gdr_reftransV1_0048674</v>
      </c>
      <c r="B5810" s="3">
        <v>1745</v>
      </c>
      <c r="C5810" s="1" t="str">
        <f>HYPERLINK("http://www.uniprot.org/uniprot/ALG2_DICDI","ALG2_DICDI")</f>
        <v>ALG2_DICDI</v>
      </c>
      <c r="D5810" t="s">
        <v>4877</v>
      </c>
      <c r="E5810" s="3" t="s">
        <v>9</v>
      </c>
      <c r="F5810" s="4">
        <v>5.4400000000000001E-123</v>
      </c>
      <c r="G5810" s="3">
        <v>965</v>
      </c>
      <c r="H5810" s="3">
        <v>46</v>
      </c>
      <c r="I5810" s="3">
        <v>415</v>
      </c>
      <c r="J5810" s="3">
        <v>310</v>
      </c>
      <c r="K5810" s="3">
        <v>1491</v>
      </c>
      <c r="L5810" s="3">
        <v>3</v>
      </c>
      <c r="M5810" s="3">
        <v>414</v>
      </c>
    </row>
    <row r="5811" spans="1:13" x14ac:dyDescent="0.25">
      <c r="A5811" s="1" t="str">
        <f>HYPERLINK("http://www.rosaceae.org/Prunus/Prunus_persica/p.persica_gdr_reftransV1_0048724","p.persica_gdr_reftransV1_0048724")</f>
        <v>p.persica_gdr_reftransV1_0048724</v>
      </c>
      <c r="B5811" s="3">
        <v>1176</v>
      </c>
      <c r="C5811" s="1" t="str">
        <f>HYPERLINK("http://www.uniprot.org/uniprot/XTHB_PHAAN","XTHB_PHAAN")</f>
        <v>XTHB_PHAAN</v>
      </c>
      <c r="D5811" t="s">
        <v>4878</v>
      </c>
      <c r="E5811" s="3" t="s">
        <v>4879</v>
      </c>
      <c r="F5811" s="4">
        <v>0</v>
      </c>
      <c r="G5811" s="3">
        <v>1337</v>
      </c>
      <c r="H5811" s="3">
        <v>83</v>
      </c>
      <c r="I5811" s="3">
        <v>286</v>
      </c>
      <c r="J5811" s="3">
        <v>84</v>
      </c>
      <c r="K5811" s="3">
        <v>941</v>
      </c>
      <c r="L5811" s="3">
        <v>8</v>
      </c>
      <c r="M5811" s="3">
        <v>293</v>
      </c>
    </row>
    <row r="5812" spans="1:13" x14ac:dyDescent="0.25">
      <c r="A5812" s="1" t="str">
        <f>HYPERLINK("http://www.rosaceae.org/Prunus/Prunus_persica/p.persica_gdr_reftransV1_0048824","p.persica_gdr_reftransV1_0048824")</f>
        <v>p.persica_gdr_reftransV1_0048824</v>
      </c>
      <c r="B5812" s="3">
        <v>5332</v>
      </c>
      <c r="C5812" s="1" t="str">
        <f>HYPERLINK("http://www.uniprot.org/uniprot/ELF6_ARATH","ELF6_ARATH")</f>
        <v>ELF6_ARATH</v>
      </c>
      <c r="D5812" t="s">
        <v>4880</v>
      </c>
      <c r="E5812" s="3" t="s">
        <v>3</v>
      </c>
      <c r="F5812" s="4">
        <v>0</v>
      </c>
      <c r="G5812" s="3">
        <v>2495</v>
      </c>
      <c r="H5812" s="3">
        <v>57</v>
      </c>
      <c r="I5812" s="3">
        <v>914</v>
      </c>
      <c r="J5812" s="3">
        <v>422</v>
      </c>
      <c r="K5812" s="3">
        <v>3106</v>
      </c>
      <c r="L5812" s="3">
        <v>1</v>
      </c>
      <c r="M5812" s="3">
        <v>830</v>
      </c>
    </row>
    <row r="5813" spans="1:13" x14ac:dyDescent="0.25">
      <c r="A5813" s="1" t="str">
        <f>HYPERLINK("http://www.rosaceae.org/Prunus/Prunus_persica/p.persica_gdr_reftransV1_0048874","p.persica_gdr_reftransV1_0048874")</f>
        <v>p.persica_gdr_reftransV1_0048874</v>
      </c>
      <c r="B5813" s="3">
        <v>1349</v>
      </c>
      <c r="C5813" s="1" t="str">
        <f>HYPERLINK("http://www.uniprot.org/uniprot/PINS_FRAVE","PINS_FRAVE")</f>
        <v>PINS_FRAVE</v>
      </c>
      <c r="D5813" t="s">
        <v>1165</v>
      </c>
      <c r="E5813" s="3" t="s">
        <v>1166</v>
      </c>
      <c r="F5813" s="4">
        <v>7.1599999999999999E-160</v>
      </c>
      <c r="G5813" s="3">
        <v>926</v>
      </c>
      <c r="H5813" s="3">
        <v>65</v>
      </c>
      <c r="I5813" s="3">
        <v>262</v>
      </c>
      <c r="J5813" s="3">
        <v>564</v>
      </c>
      <c r="K5813" s="3">
        <v>1349</v>
      </c>
      <c r="L5813" s="3">
        <v>157</v>
      </c>
      <c r="M5813" s="3">
        <v>416</v>
      </c>
    </row>
    <row r="5814" spans="1:13" x14ac:dyDescent="0.25">
      <c r="A5814" s="1" t="str">
        <f>HYPERLINK("http://www.rosaceae.org/Prunus/Prunus_persica/p.persica_gdr_reftransV1_0048924","p.persica_gdr_reftransV1_0048924")</f>
        <v>p.persica_gdr_reftransV1_0048924</v>
      </c>
      <c r="B5814" s="3">
        <v>4290</v>
      </c>
      <c r="C5814" s="1" t="str">
        <f>HYPERLINK("http://www.uniprot.org/uniprot/TPPC8_HUMAN","TPPC8_HUMAN")</f>
        <v>TPPC8_HUMAN</v>
      </c>
      <c r="D5814" t="s">
        <v>4881</v>
      </c>
      <c r="E5814" s="3" t="s">
        <v>28</v>
      </c>
      <c r="F5814" s="4">
        <v>2.3400000000000001E-54</v>
      </c>
      <c r="G5814" s="3">
        <v>541</v>
      </c>
      <c r="H5814" s="3">
        <v>27</v>
      </c>
      <c r="I5814" s="3">
        <v>813</v>
      </c>
      <c r="J5814" s="3">
        <v>1098</v>
      </c>
      <c r="K5814" s="3">
        <v>3245</v>
      </c>
      <c r="L5814" s="3">
        <v>347</v>
      </c>
      <c r="M5814" s="3">
        <v>1134</v>
      </c>
    </row>
    <row r="5815" spans="1:13" x14ac:dyDescent="0.25">
      <c r="A5815" s="1" t="str">
        <f>HYPERLINK("http://www.rosaceae.org/Prunus/Prunus_persica/p.persica_gdr_reftransV1_0048974","p.persica_gdr_reftransV1_0048974")</f>
        <v>p.persica_gdr_reftransV1_0048974</v>
      </c>
      <c r="B5815" s="3">
        <v>2530</v>
      </c>
      <c r="C5815" s="1" t="str">
        <f>HYPERLINK("http://www.uniprot.org/uniprot/PCKA_ARATH","PCKA_ARATH")</f>
        <v>PCKA_ARATH</v>
      </c>
      <c r="D5815" t="s">
        <v>4882</v>
      </c>
      <c r="E5815" s="3" t="s">
        <v>3</v>
      </c>
      <c r="F5815" s="4">
        <v>0</v>
      </c>
      <c r="G5815" s="3">
        <v>2688</v>
      </c>
      <c r="H5815" s="3">
        <v>82</v>
      </c>
      <c r="I5815" s="3">
        <v>671</v>
      </c>
      <c r="J5815" s="3">
        <v>126</v>
      </c>
      <c r="K5815" s="3">
        <v>2117</v>
      </c>
      <c r="L5815" s="3">
        <v>7</v>
      </c>
      <c r="M5815" s="3">
        <v>671</v>
      </c>
    </row>
    <row r="5816" spans="1:13" x14ac:dyDescent="0.25">
      <c r="A5816" s="1" t="str">
        <f>HYPERLINK("http://www.rosaceae.org/Prunus/Prunus_persica/p.persica_gdr_reftransV1_0049124","p.persica_gdr_reftransV1_0049124")</f>
        <v>p.persica_gdr_reftransV1_0049124</v>
      </c>
      <c r="B5816" s="3">
        <v>1233</v>
      </c>
      <c r="C5816" s="1" t="str">
        <f>HYPERLINK("http://www.uniprot.org/uniprot/R13L1_ARATH","R13L1_ARATH")</f>
        <v>R13L1_ARATH</v>
      </c>
      <c r="D5816" t="s">
        <v>100</v>
      </c>
      <c r="E5816" s="3" t="s">
        <v>3</v>
      </c>
      <c r="F5816" s="4">
        <v>1.5899999999999999E-58</v>
      </c>
      <c r="G5816" s="3">
        <v>536</v>
      </c>
      <c r="H5816" s="3">
        <v>38</v>
      </c>
      <c r="I5816" s="3">
        <v>365</v>
      </c>
      <c r="J5816" s="3">
        <v>160</v>
      </c>
      <c r="K5816" s="3">
        <v>1233</v>
      </c>
      <c r="L5816" s="3">
        <v>39</v>
      </c>
      <c r="M5816" s="3">
        <v>398</v>
      </c>
    </row>
    <row r="5817" spans="1:13" x14ac:dyDescent="0.25">
      <c r="A5817" s="1" t="str">
        <f>HYPERLINK("http://www.rosaceae.org/Prunus/Prunus_persica/p.persica_gdr_reftransV1_0049174","p.persica_gdr_reftransV1_0049174")</f>
        <v>p.persica_gdr_reftransV1_0049174</v>
      </c>
      <c r="B5817" s="3">
        <v>2316</v>
      </c>
      <c r="C5817" s="1" t="str">
        <f>HYPERLINK("http://www.uniprot.org/uniprot/WVD2_ARATH","WVD2_ARATH")</f>
        <v>WVD2_ARATH</v>
      </c>
      <c r="D5817" t="s">
        <v>2325</v>
      </c>
      <c r="E5817" s="3" t="s">
        <v>3</v>
      </c>
      <c r="F5817" s="4">
        <v>4.8699999999999998E-24</v>
      </c>
      <c r="G5817" s="3">
        <v>263</v>
      </c>
      <c r="H5817" s="3">
        <v>54</v>
      </c>
      <c r="I5817" s="3">
        <v>111</v>
      </c>
      <c r="J5817" s="3">
        <v>1135</v>
      </c>
      <c r="K5817" s="3">
        <v>1452</v>
      </c>
      <c r="L5817" s="3">
        <v>89</v>
      </c>
      <c r="M5817" s="3">
        <v>199</v>
      </c>
    </row>
    <row r="5818" spans="1:13" x14ac:dyDescent="0.25">
      <c r="A5818" s="1" t="str">
        <f>HYPERLINK("http://www.rosaceae.org/Prunus/Prunus_persica/p.persica_gdr_reftransV1_0000125","p.persica_gdr_reftransV1_0000125")</f>
        <v>p.persica_gdr_reftransV1_0000125</v>
      </c>
      <c r="B5818" s="3">
        <v>1006</v>
      </c>
      <c r="C5818" s="1" t="str">
        <f>HYPERLINK("http://www.uniprot.org/uniprot/RSI1_SOLLC","RSI1_SOLLC")</f>
        <v>RSI1_SOLLC</v>
      </c>
      <c r="D5818" t="s">
        <v>4883</v>
      </c>
      <c r="E5818" s="3" t="s">
        <v>64</v>
      </c>
      <c r="F5818" s="4">
        <v>1.22E-41</v>
      </c>
      <c r="G5818" s="3">
        <v>368</v>
      </c>
      <c r="H5818" s="3">
        <v>78</v>
      </c>
      <c r="I5818" s="3">
        <v>93</v>
      </c>
      <c r="J5818" s="3">
        <v>70</v>
      </c>
      <c r="K5818" s="3">
        <v>348</v>
      </c>
      <c r="L5818" s="3">
        <v>4</v>
      </c>
      <c r="M5818" s="3">
        <v>96</v>
      </c>
    </row>
    <row r="5819" spans="1:13" x14ac:dyDescent="0.25">
      <c r="A5819" s="1" t="str">
        <f>HYPERLINK("http://www.rosaceae.org/Prunus/Prunus_persica/p.persica_gdr_reftransV1_0000325","p.persica_gdr_reftransV1_0000325")</f>
        <v>p.persica_gdr_reftransV1_0000325</v>
      </c>
      <c r="B5819" s="3">
        <v>855</v>
      </c>
      <c r="C5819" s="1" t="str">
        <f>HYPERLINK("http://www.uniprot.org/uniprot/AT18H_ARATH","AT18H_ARATH")</f>
        <v>AT18H_ARATH</v>
      </c>
      <c r="D5819" t="s">
        <v>3792</v>
      </c>
      <c r="E5819" s="3" t="s">
        <v>3</v>
      </c>
      <c r="F5819" s="4">
        <v>6.9200000000000002E-57</v>
      </c>
      <c r="G5819" s="3">
        <v>510</v>
      </c>
      <c r="H5819" s="3">
        <v>69</v>
      </c>
      <c r="I5819" s="3">
        <v>170</v>
      </c>
      <c r="J5819" s="3">
        <v>348</v>
      </c>
      <c r="K5819" s="3">
        <v>854</v>
      </c>
      <c r="L5819" s="3">
        <v>24</v>
      </c>
      <c r="M5819" s="3">
        <v>188</v>
      </c>
    </row>
    <row r="5820" spans="1:13" x14ac:dyDescent="0.25">
      <c r="A5820" s="1" t="str">
        <f>HYPERLINK("http://www.rosaceae.org/Prunus/Prunus_persica/p.persica_gdr_reftransV1_0000375","p.persica_gdr_reftransV1_0000375")</f>
        <v>p.persica_gdr_reftransV1_0000375</v>
      </c>
      <c r="B5820" s="3">
        <v>617</v>
      </c>
      <c r="C5820" s="1" t="str">
        <f>HYPERLINK("http://www.uniprot.org/uniprot/C3H43_ARATH","C3H43_ARATH")</f>
        <v>C3H43_ARATH</v>
      </c>
      <c r="D5820" t="s">
        <v>4884</v>
      </c>
      <c r="E5820" s="3" t="s">
        <v>3</v>
      </c>
      <c r="F5820" s="4">
        <v>4.2100000000000001E-9</v>
      </c>
      <c r="G5820" s="3">
        <v>141</v>
      </c>
      <c r="H5820" s="3">
        <v>73</v>
      </c>
      <c r="I5820" s="3">
        <v>30</v>
      </c>
      <c r="J5820" s="3">
        <v>24</v>
      </c>
      <c r="K5820" s="3">
        <v>113</v>
      </c>
      <c r="L5820" s="3">
        <v>107</v>
      </c>
      <c r="M5820" s="3">
        <v>136</v>
      </c>
    </row>
    <row r="5821" spans="1:13" x14ac:dyDescent="0.25">
      <c r="A5821" s="1" t="str">
        <f>HYPERLINK("http://www.rosaceae.org/Prunus/Prunus_persica/p.persica_gdr_reftransV1_0000575","p.persica_gdr_reftransV1_0000575")</f>
        <v>p.persica_gdr_reftransV1_0000575</v>
      </c>
      <c r="B5821" s="3">
        <v>1173</v>
      </c>
      <c r="C5821" s="1" t="str">
        <f>HYPERLINK("http://www.uniprot.org/uniprot/OSS2_PEA","OSS2_PEA")</f>
        <v>OSS2_PEA</v>
      </c>
      <c r="D5821" t="s">
        <v>4885</v>
      </c>
      <c r="E5821" s="3" t="s">
        <v>60</v>
      </c>
      <c r="F5821" s="4">
        <v>1.66E-19</v>
      </c>
      <c r="G5821" s="3">
        <v>220</v>
      </c>
      <c r="H5821" s="3">
        <v>36</v>
      </c>
      <c r="I5821" s="3">
        <v>198</v>
      </c>
      <c r="J5821" s="3">
        <v>428</v>
      </c>
      <c r="K5821" s="3">
        <v>1003</v>
      </c>
      <c r="L5821" s="3">
        <v>18</v>
      </c>
      <c r="M5821" s="3">
        <v>174</v>
      </c>
    </row>
    <row r="5822" spans="1:13" x14ac:dyDescent="0.25">
      <c r="A5822" s="1" t="str">
        <f>HYPERLINK("http://www.rosaceae.org/Prunus/Prunus_persica/p.persica_gdr_reftransV1_0000925","p.persica_gdr_reftransV1_0000925")</f>
        <v>p.persica_gdr_reftransV1_0000925</v>
      </c>
      <c r="B5822" s="3">
        <v>1127</v>
      </c>
      <c r="C5822" s="1" t="str">
        <f>HYPERLINK("http://www.uniprot.org/uniprot/TIF3B_ARATH","TIF3B_ARATH")</f>
        <v>TIF3B_ARATH</v>
      </c>
      <c r="D5822" t="s">
        <v>4450</v>
      </c>
      <c r="E5822" s="3" t="s">
        <v>3</v>
      </c>
      <c r="F5822" s="4">
        <v>3.9900000000000002E-26</v>
      </c>
      <c r="G5822" s="3">
        <v>268</v>
      </c>
      <c r="H5822" s="3">
        <v>52</v>
      </c>
      <c r="I5822" s="3">
        <v>124</v>
      </c>
      <c r="J5822" s="3">
        <v>199</v>
      </c>
      <c r="K5822" s="3">
        <v>564</v>
      </c>
      <c r="L5822" s="3">
        <v>55</v>
      </c>
      <c r="M5822" s="3">
        <v>172</v>
      </c>
    </row>
    <row r="5823" spans="1:13" x14ac:dyDescent="0.25">
      <c r="A5823" s="1" t="str">
        <f>HYPERLINK("http://www.rosaceae.org/Prunus/Prunus_persica/p.persica_gdr_reftransV1_0001025","p.persica_gdr_reftransV1_0001025")</f>
        <v>p.persica_gdr_reftransV1_0001025</v>
      </c>
      <c r="B5823" s="3">
        <v>323</v>
      </c>
      <c r="C5823" s="1" t="str">
        <f>HYPERLINK("http://www.uniprot.org/uniprot/GNL2_ARATH","GNL2_ARATH")</f>
        <v>GNL2_ARATH</v>
      </c>
      <c r="D5823" t="s">
        <v>4024</v>
      </c>
      <c r="E5823" s="3" t="s">
        <v>3</v>
      </c>
      <c r="F5823" s="4">
        <v>4.06E-19</v>
      </c>
      <c r="G5823" s="3">
        <v>214</v>
      </c>
      <c r="H5823" s="3">
        <v>51</v>
      </c>
      <c r="I5823" s="3">
        <v>105</v>
      </c>
      <c r="J5823" s="3">
        <v>3</v>
      </c>
      <c r="K5823" s="3">
        <v>317</v>
      </c>
      <c r="L5823" s="3">
        <v>824</v>
      </c>
      <c r="M5823" s="3">
        <v>924</v>
      </c>
    </row>
    <row r="5824" spans="1:13" x14ac:dyDescent="0.25">
      <c r="A5824" s="1" t="str">
        <f>HYPERLINK("http://www.rosaceae.org/Prunus/Prunus_persica/p.persica_gdr_reftransV1_0001075","p.persica_gdr_reftransV1_0001075")</f>
        <v>p.persica_gdr_reftransV1_0001075</v>
      </c>
      <c r="B5824" s="3">
        <v>2441</v>
      </c>
      <c r="C5824" s="1" t="str">
        <f>HYPERLINK("http://www.uniprot.org/uniprot/HT1_ARATH","HT1_ARATH")</f>
        <v>HT1_ARATH</v>
      </c>
      <c r="D5824" t="s">
        <v>1169</v>
      </c>
      <c r="E5824" s="3" t="s">
        <v>3</v>
      </c>
      <c r="F5824" s="4">
        <v>1.2799999999999999E-74</v>
      </c>
      <c r="G5824" s="3">
        <v>649</v>
      </c>
      <c r="H5824" s="3">
        <v>48</v>
      </c>
      <c r="I5824" s="3">
        <v>263</v>
      </c>
      <c r="J5824" s="3">
        <v>1142</v>
      </c>
      <c r="K5824" s="3">
        <v>1912</v>
      </c>
      <c r="L5824" s="3">
        <v>79</v>
      </c>
      <c r="M5824" s="3">
        <v>341</v>
      </c>
    </row>
    <row r="5825" spans="1:13" x14ac:dyDescent="0.25">
      <c r="A5825" s="1" t="str">
        <f>HYPERLINK("http://www.rosaceae.org/Prunus/Prunus_persica/p.persica_gdr_reftransV1_0001125","p.persica_gdr_reftransV1_0001125")</f>
        <v>p.persica_gdr_reftransV1_0001125</v>
      </c>
      <c r="B5825" s="3">
        <v>1607</v>
      </c>
      <c r="C5825" s="1" t="str">
        <f>HYPERLINK("http://www.uniprot.org/uniprot/UVR8_ARATH","UVR8_ARATH")</f>
        <v>UVR8_ARATH</v>
      </c>
      <c r="D5825" t="s">
        <v>2154</v>
      </c>
      <c r="E5825" s="3" t="s">
        <v>3</v>
      </c>
      <c r="F5825" s="4">
        <v>6.9099999999999995E-30</v>
      </c>
      <c r="G5825" s="3">
        <v>279</v>
      </c>
      <c r="H5825" s="3">
        <v>34</v>
      </c>
      <c r="I5825" s="3">
        <v>256</v>
      </c>
      <c r="J5825" s="3">
        <v>585</v>
      </c>
      <c r="K5825" s="3">
        <v>1313</v>
      </c>
      <c r="L5825" s="3">
        <v>76</v>
      </c>
      <c r="M5825" s="3">
        <v>307</v>
      </c>
    </row>
    <row r="5826" spans="1:13" x14ac:dyDescent="0.25">
      <c r="A5826" s="1" t="str">
        <f>HYPERLINK("http://www.rosaceae.org/Prunus/Prunus_persica/p.persica_gdr_reftransV1_0001175","p.persica_gdr_reftransV1_0001175")</f>
        <v>p.persica_gdr_reftransV1_0001175</v>
      </c>
      <c r="B5826" s="3">
        <v>2269</v>
      </c>
      <c r="C5826" s="1" t="str">
        <f>HYPERLINK("http://www.uniprot.org/uniprot/UPL7_ARATH","UPL7_ARATH")</f>
        <v>UPL7_ARATH</v>
      </c>
      <c r="D5826" t="s">
        <v>1067</v>
      </c>
      <c r="E5826" s="3" t="s">
        <v>3</v>
      </c>
      <c r="F5826" s="4">
        <v>0</v>
      </c>
      <c r="G5826" s="3">
        <v>2561</v>
      </c>
      <c r="H5826" s="3">
        <v>77</v>
      </c>
      <c r="I5826" s="3">
        <v>605</v>
      </c>
      <c r="J5826" s="3">
        <v>60</v>
      </c>
      <c r="K5826" s="3">
        <v>1871</v>
      </c>
      <c r="L5826" s="3">
        <v>542</v>
      </c>
      <c r="M5826" s="3">
        <v>1142</v>
      </c>
    </row>
    <row r="5827" spans="1:13" x14ac:dyDescent="0.25">
      <c r="A5827" s="1" t="str">
        <f>HYPERLINK("http://www.rosaceae.org/Prunus/Prunus_persica/p.persica_gdr_reftransV1_0001225","p.persica_gdr_reftransV1_0001225")</f>
        <v>p.persica_gdr_reftransV1_0001225</v>
      </c>
      <c r="B5827" s="3">
        <v>939</v>
      </c>
      <c r="C5827" s="1" t="str">
        <f>HYPERLINK("http://www.uniprot.org/uniprot/FBK50_ARATH","FBK50_ARATH")</f>
        <v>FBK50_ARATH</v>
      </c>
      <c r="D5827" t="s">
        <v>13</v>
      </c>
      <c r="E5827" s="3" t="s">
        <v>3</v>
      </c>
      <c r="F5827" s="4">
        <v>3.5499999999999999E-20</v>
      </c>
      <c r="G5827" s="3">
        <v>231</v>
      </c>
      <c r="H5827" s="3">
        <v>29</v>
      </c>
      <c r="I5827" s="3">
        <v>249</v>
      </c>
      <c r="J5827" s="3">
        <v>14</v>
      </c>
      <c r="K5827" s="3">
        <v>730</v>
      </c>
      <c r="L5827" s="3">
        <v>182</v>
      </c>
      <c r="M5827" s="3">
        <v>421</v>
      </c>
    </row>
    <row r="5828" spans="1:13" x14ac:dyDescent="0.25">
      <c r="A5828" s="1" t="str">
        <f>HYPERLINK("http://www.rosaceae.org/Prunus/Prunus_persica/p.persica_gdr_reftransV1_0001275","p.persica_gdr_reftransV1_0001275")</f>
        <v>p.persica_gdr_reftransV1_0001275</v>
      </c>
      <c r="B5828" s="3">
        <v>1493</v>
      </c>
      <c r="C5828" s="1" t="str">
        <f>HYPERLINK("http://www.uniprot.org/uniprot/PPT2_ARATH","PPT2_ARATH")</f>
        <v>PPT2_ARATH</v>
      </c>
      <c r="D5828" t="s">
        <v>4886</v>
      </c>
      <c r="E5828" s="3" t="s">
        <v>3</v>
      </c>
      <c r="F5828" s="4">
        <v>2.5799999999999998E-112</v>
      </c>
      <c r="G5828" s="3">
        <v>883</v>
      </c>
      <c r="H5828" s="3">
        <v>69</v>
      </c>
      <c r="I5828" s="3">
        <v>295</v>
      </c>
      <c r="J5828" s="3">
        <v>108</v>
      </c>
      <c r="K5828" s="3">
        <v>971</v>
      </c>
      <c r="L5828" s="3">
        <v>85</v>
      </c>
      <c r="M5828" s="3">
        <v>379</v>
      </c>
    </row>
    <row r="5829" spans="1:13" x14ac:dyDescent="0.25">
      <c r="A5829" s="1" t="str">
        <f>HYPERLINK("http://www.rosaceae.org/Prunus/Prunus_persica/p.persica_gdr_reftransV1_0001325","p.persica_gdr_reftransV1_0001325")</f>
        <v>p.persica_gdr_reftransV1_0001325</v>
      </c>
      <c r="B5829" s="3">
        <v>2298</v>
      </c>
      <c r="C5829" s="1" t="str">
        <f>HYPERLINK("http://www.uniprot.org/uniprot/SPPA1_ARATH","SPPA1_ARATH")</f>
        <v>SPPA1_ARATH</v>
      </c>
      <c r="D5829" t="s">
        <v>4887</v>
      </c>
      <c r="E5829" s="3" t="s">
        <v>3</v>
      </c>
      <c r="F5829" s="4">
        <v>5.0600000000000002E-166</v>
      </c>
      <c r="G5829" s="3">
        <v>1293</v>
      </c>
      <c r="H5829" s="3">
        <v>68</v>
      </c>
      <c r="I5829" s="3">
        <v>371</v>
      </c>
      <c r="J5829" s="3">
        <v>815</v>
      </c>
      <c r="K5829" s="3">
        <v>1927</v>
      </c>
      <c r="L5829" s="3">
        <v>84</v>
      </c>
      <c r="M5829" s="3">
        <v>442</v>
      </c>
    </row>
    <row r="5830" spans="1:13" x14ac:dyDescent="0.25">
      <c r="A5830" s="1" t="str">
        <f>HYPERLINK("http://www.rosaceae.org/Prunus/Prunus_persica/p.persica_gdr_reftransV1_0001375","p.persica_gdr_reftransV1_0001375")</f>
        <v>p.persica_gdr_reftransV1_0001375</v>
      </c>
      <c r="B5830" s="3">
        <v>538</v>
      </c>
      <c r="C5830" s="1" t="str">
        <f>HYPERLINK("http://www.uniprot.org/uniprot/PGLR_BRANA","PGLR_BRANA")</f>
        <v>PGLR_BRANA</v>
      </c>
      <c r="D5830" t="s">
        <v>4888</v>
      </c>
      <c r="E5830" s="3" t="s">
        <v>776</v>
      </c>
      <c r="F5830" s="4">
        <v>8.1799999999999996E-15</v>
      </c>
      <c r="G5830" s="3">
        <v>183</v>
      </c>
      <c r="H5830" s="3">
        <v>38</v>
      </c>
      <c r="I5830" s="3">
        <v>105</v>
      </c>
      <c r="J5830" s="3">
        <v>11</v>
      </c>
      <c r="K5830" s="3">
        <v>325</v>
      </c>
      <c r="L5830" s="3">
        <v>285</v>
      </c>
      <c r="M5830" s="3">
        <v>386</v>
      </c>
    </row>
    <row r="5831" spans="1:13" x14ac:dyDescent="0.25">
      <c r="A5831" s="1" t="str">
        <f>HYPERLINK("http://www.rosaceae.org/Prunus/Prunus_persica/p.persica_gdr_reftransV1_0001425","p.persica_gdr_reftransV1_0001425")</f>
        <v>p.persica_gdr_reftransV1_0001425</v>
      </c>
      <c r="B5831" s="3">
        <v>326</v>
      </c>
      <c r="C5831" s="1" t="str">
        <f>HYPERLINK("http://www.uniprot.org/uniprot/Y5158_ARATH","Y5158_ARATH")</f>
        <v>Y5158_ARATH</v>
      </c>
      <c r="D5831" t="s">
        <v>2423</v>
      </c>
      <c r="E5831" s="3" t="s">
        <v>3</v>
      </c>
      <c r="F5831" s="4">
        <v>1.9699999999999998E-43</v>
      </c>
      <c r="G5831" s="3">
        <v>385</v>
      </c>
      <c r="H5831" s="3">
        <v>61</v>
      </c>
      <c r="I5831" s="3">
        <v>108</v>
      </c>
      <c r="J5831" s="3">
        <v>3</v>
      </c>
      <c r="K5831" s="3">
        <v>326</v>
      </c>
      <c r="L5831" s="3">
        <v>313</v>
      </c>
      <c r="M5831" s="3">
        <v>420</v>
      </c>
    </row>
    <row r="5832" spans="1:13" x14ac:dyDescent="0.25">
      <c r="A5832" s="1" t="str">
        <f>HYPERLINK("http://www.rosaceae.org/Prunus/Prunus_persica/p.persica_gdr_reftransV1_0001525","p.persica_gdr_reftransV1_0001525")</f>
        <v>p.persica_gdr_reftransV1_0001525</v>
      </c>
      <c r="B5832" s="3">
        <v>392</v>
      </c>
      <c r="C5832" s="1" t="str">
        <f>HYPERLINK("http://www.uniprot.org/uniprot/ESP1_ARATH","ESP1_ARATH")</f>
        <v>ESP1_ARATH</v>
      </c>
      <c r="D5832" t="s">
        <v>3366</v>
      </c>
      <c r="E5832" s="3" t="s">
        <v>3</v>
      </c>
      <c r="F5832" s="4">
        <v>1.15E-26</v>
      </c>
      <c r="G5832" s="3">
        <v>274</v>
      </c>
      <c r="H5832" s="3">
        <v>46</v>
      </c>
      <c r="I5832" s="3">
        <v>130</v>
      </c>
      <c r="J5832" s="3">
        <v>2</v>
      </c>
      <c r="K5832" s="3">
        <v>391</v>
      </c>
      <c r="L5832" s="3">
        <v>746</v>
      </c>
      <c r="M5832" s="3">
        <v>871</v>
      </c>
    </row>
    <row r="5833" spans="1:13" x14ac:dyDescent="0.25">
      <c r="A5833" s="1" t="str">
        <f>HYPERLINK("http://www.rosaceae.org/Prunus/Prunus_persica/p.persica_gdr_reftransV1_0001575","p.persica_gdr_reftransV1_0001575")</f>
        <v>p.persica_gdr_reftransV1_0001575</v>
      </c>
      <c r="B5833" s="3">
        <v>1578</v>
      </c>
      <c r="C5833" s="1" t="str">
        <f>HYPERLINK("http://www.uniprot.org/uniprot/C87A3_ORYSJ","C87A3_ORYSJ")</f>
        <v>C87A3_ORYSJ</v>
      </c>
      <c r="D5833" t="s">
        <v>4889</v>
      </c>
      <c r="E5833" s="3" t="s">
        <v>38</v>
      </c>
      <c r="F5833" s="4">
        <v>3.9100000000000002E-154</v>
      </c>
      <c r="G5833" s="3">
        <v>1176</v>
      </c>
      <c r="H5833" s="3">
        <v>48</v>
      </c>
      <c r="I5833" s="3">
        <v>459</v>
      </c>
      <c r="J5833" s="3">
        <v>144</v>
      </c>
      <c r="K5833" s="3">
        <v>1511</v>
      </c>
      <c r="L5833" s="3">
        <v>57</v>
      </c>
      <c r="M5833" s="3">
        <v>513</v>
      </c>
    </row>
    <row r="5834" spans="1:13" x14ac:dyDescent="0.25">
      <c r="A5834" s="1" t="str">
        <f>HYPERLINK("http://www.rosaceae.org/Prunus/Prunus_persica/p.persica_gdr_reftransV1_0001675","p.persica_gdr_reftransV1_0001675")</f>
        <v>p.persica_gdr_reftransV1_0001675</v>
      </c>
      <c r="B5834" s="3">
        <v>2331</v>
      </c>
      <c r="C5834" s="1" t="str">
        <f>HYPERLINK("http://www.uniprot.org/uniprot/SSRP1_VICFA","SSRP1_VICFA")</f>
        <v>SSRP1_VICFA</v>
      </c>
      <c r="D5834" t="s">
        <v>4890</v>
      </c>
      <c r="E5834" s="3" t="s">
        <v>2253</v>
      </c>
      <c r="F5834" s="4">
        <v>0</v>
      </c>
      <c r="G5834" s="3">
        <v>2239</v>
      </c>
      <c r="H5834" s="3">
        <v>86</v>
      </c>
      <c r="I5834" s="3">
        <v>488</v>
      </c>
      <c r="J5834" s="3">
        <v>757</v>
      </c>
      <c r="K5834" s="3">
        <v>2217</v>
      </c>
      <c r="L5834" s="3">
        <v>1</v>
      </c>
      <c r="M5834" s="3">
        <v>488</v>
      </c>
    </row>
    <row r="5835" spans="1:13" x14ac:dyDescent="0.25">
      <c r="A5835" s="1" t="str">
        <f>HYPERLINK("http://www.rosaceae.org/Prunus/Prunus_persica/p.persica_gdr_reftransV1_0001725","p.persica_gdr_reftransV1_0001725")</f>
        <v>p.persica_gdr_reftransV1_0001725</v>
      </c>
      <c r="B5835" s="3">
        <v>1550</v>
      </c>
      <c r="C5835" s="1" t="str">
        <f>HYPERLINK("http://www.uniprot.org/uniprot/PUX4_ARATH","PUX4_ARATH")</f>
        <v>PUX4_ARATH</v>
      </c>
      <c r="D5835" t="s">
        <v>4891</v>
      </c>
      <c r="E5835" s="3" t="s">
        <v>3</v>
      </c>
      <c r="F5835" s="4">
        <v>2.7099999999999999E-130</v>
      </c>
      <c r="G5835" s="3">
        <v>996</v>
      </c>
      <c r="H5835" s="3">
        <v>69</v>
      </c>
      <c r="I5835" s="3">
        <v>308</v>
      </c>
      <c r="J5835" s="3">
        <v>226</v>
      </c>
      <c r="K5835" s="3">
        <v>1131</v>
      </c>
      <c r="L5835" s="3">
        <v>3</v>
      </c>
      <c r="M5835" s="3">
        <v>303</v>
      </c>
    </row>
    <row r="5836" spans="1:13" x14ac:dyDescent="0.25">
      <c r="A5836" s="1" t="str">
        <f>HYPERLINK("http://www.rosaceae.org/Prunus/Prunus_persica/p.persica_gdr_reftransV1_0001775","p.persica_gdr_reftransV1_0001775")</f>
        <v>p.persica_gdr_reftransV1_0001775</v>
      </c>
      <c r="B5836" s="3">
        <v>1483</v>
      </c>
      <c r="C5836" s="1" t="str">
        <f>HYPERLINK("http://www.uniprot.org/uniprot/ECM33_ASPFU","ECM33_ASPFU")</f>
        <v>ECM33_ASPFU</v>
      </c>
      <c r="D5836" t="s">
        <v>4892</v>
      </c>
      <c r="E5836" s="3" t="s">
        <v>4665</v>
      </c>
      <c r="F5836" s="4">
        <v>4.2300000000000002E-41</v>
      </c>
      <c r="G5836" s="3">
        <v>396</v>
      </c>
      <c r="H5836" s="3">
        <v>37</v>
      </c>
      <c r="I5836" s="3">
        <v>283</v>
      </c>
      <c r="J5836" s="3">
        <v>354</v>
      </c>
      <c r="K5836" s="3">
        <v>1199</v>
      </c>
      <c r="L5836" s="3">
        <v>66</v>
      </c>
      <c r="M5836" s="3">
        <v>342</v>
      </c>
    </row>
    <row r="5837" spans="1:13" x14ac:dyDescent="0.25">
      <c r="A5837" s="1" t="str">
        <f>HYPERLINK("http://www.rosaceae.org/Prunus/Prunus_persica/p.persica_gdr_reftransV1_0001825","p.persica_gdr_reftransV1_0001825")</f>
        <v>p.persica_gdr_reftransV1_0001825</v>
      </c>
      <c r="B5837" s="3">
        <v>2589</v>
      </c>
      <c r="C5837" s="1" t="str">
        <f>HYPERLINK("http://www.uniprot.org/uniprot/ENAS1_ARATH","ENAS1_ARATH")</f>
        <v>ENAS1_ARATH</v>
      </c>
      <c r="D5837" t="s">
        <v>4893</v>
      </c>
      <c r="E5837" s="3" t="s">
        <v>3</v>
      </c>
      <c r="F5837" s="4">
        <v>0</v>
      </c>
      <c r="G5837" s="3">
        <v>1886</v>
      </c>
      <c r="H5837" s="3">
        <v>54</v>
      </c>
      <c r="I5837" s="3">
        <v>693</v>
      </c>
      <c r="J5837" s="3">
        <v>454</v>
      </c>
      <c r="K5837" s="3">
        <v>2520</v>
      </c>
      <c r="L5837" s="3">
        <v>16</v>
      </c>
      <c r="M5837" s="3">
        <v>680</v>
      </c>
    </row>
    <row r="5838" spans="1:13" x14ac:dyDescent="0.25">
      <c r="A5838" s="1" t="str">
        <f>HYPERLINK("http://www.rosaceae.org/Prunus/Prunus_persica/p.persica_gdr_reftransV1_0001925","p.persica_gdr_reftransV1_0001925")</f>
        <v>p.persica_gdr_reftransV1_0001925</v>
      </c>
      <c r="B5838" s="3">
        <v>2921</v>
      </c>
      <c r="C5838" s="1" t="str">
        <f>HYPERLINK("http://www.uniprot.org/uniprot/ENO1_ARATH","ENO1_ARATH")</f>
        <v>ENO1_ARATH</v>
      </c>
      <c r="D5838" t="s">
        <v>357</v>
      </c>
      <c r="E5838" s="3" t="s">
        <v>3</v>
      </c>
      <c r="F5838" s="4">
        <v>0</v>
      </c>
      <c r="G5838" s="3">
        <v>2095</v>
      </c>
      <c r="H5838" s="3">
        <v>90</v>
      </c>
      <c r="I5838" s="3">
        <v>430</v>
      </c>
      <c r="J5838" s="3">
        <v>371</v>
      </c>
      <c r="K5838" s="3">
        <v>1660</v>
      </c>
      <c r="L5838" s="3">
        <v>48</v>
      </c>
      <c r="M5838" s="3">
        <v>477</v>
      </c>
    </row>
    <row r="5839" spans="1:13" x14ac:dyDescent="0.25">
      <c r="A5839" s="1" t="str">
        <f>HYPERLINK("http://www.rosaceae.org/Prunus/Prunus_persica/p.persica_gdr_reftransV1_0001975","p.persica_gdr_reftransV1_0001975")</f>
        <v>p.persica_gdr_reftransV1_0001975</v>
      </c>
      <c r="B5839" s="3">
        <v>3200</v>
      </c>
      <c r="C5839" s="1" t="str">
        <f>HYPERLINK("http://www.uniprot.org/uniprot/RPM1_ARATH","RPM1_ARATH")</f>
        <v>RPM1_ARATH</v>
      </c>
      <c r="D5839" t="s">
        <v>453</v>
      </c>
      <c r="E5839" s="3" t="s">
        <v>3</v>
      </c>
      <c r="F5839" s="4">
        <v>0</v>
      </c>
      <c r="G5839" s="3">
        <v>1804</v>
      </c>
      <c r="H5839" s="3">
        <v>45</v>
      </c>
      <c r="I5839" s="3">
        <v>930</v>
      </c>
      <c r="J5839" s="3">
        <v>184</v>
      </c>
      <c r="K5839" s="3">
        <v>2898</v>
      </c>
      <c r="L5839" s="3">
        <v>6</v>
      </c>
      <c r="M5839" s="3">
        <v>918</v>
      </c>
    </row>
    <row r="5840" spans="1:13" x14ac:dyDescent="0.25">
      <c r="A5840" s="1" t="str">
        <f>HYPERLINK("http://www.rosaceae.org/Prunus/Prunus_persica/p.persica_gdr_reftransV1_0002025","p.persica_gdr_reftransV1_0002025")</f>
        <v>p.persica_gdr_reftransV1_0002025</v>
      </c>
      <c r="B5840" s="3">
        <v>323</v>
      </c>
      <c r="C5840" s="1" t="str">
        <f>HYPERLINK("http://www.uniprot.org/uniprot/CHX18_ARATH","CHX18_ARATH")</f>
        <v>CHX18_ARATH</v>
      </c>
      <c r="D5840" t="s">
        <v>543</v>
      </c>
      <c r="E5840" s="3" t="s">
        <v>3</v>
      </c>
      <c r="F5840" s="4">
        <v>7.3200000000000005E-44</v>
      </c>
      <c r="G5840" s="3">
        <v>395</v>
      </c>
      <c r="H5840" s="3">
        <v>79</v>
      </c>
      <c r="I5840" s="3">
        <v>107</v>
      </c>
      <c r="J5840" s="3">
        <v>2</v>
      </c>
      <c r="K5840" s="3">
        <v>322</v>
      </c>
      <c r="L5840" s="3">
        <v>198</v>
      </c>
      <c r="M5840" s="3">
        <v>304</v>
      </c>
    </row>
    <row r="5841" spans="1:13" x14ac:dyDescent="0.25">
      <c r="A5841" s="1" t="str">
        <f>HYPERLINK("http://www.rosaceae.org/Prunus/Prunus_persica/p.persica_gdr_reftransV1_0002125","p.persica_gdr_reftransV1_0002125")</f>
        <v>p.persica_gdr_reftransV1_0002125</v>
      </c>
      <c r="B5841" s="3">
        <v>1558</v>
      </c>
      <c r="C5841" s="1" t="str">
        <f>HYPERLINK("http://www.uniprot.org/uniprot/TDRD3_CHICK","TDRD3_CHICK")</f>
        <v>TDRD3_CHICK</v>
      </c>
      <c r="D5841" t="s">
        <v>4894</v>
      </c>
      <c r="E5841" s="3" t="s">
        <v>1278</v>
      </c>
      <c r="F5841" s="4">
        <v>8.8000000000000002E-22</v>
      </c>
      <c r="G5841" s="3">
        <v>256</v>
      </c>
      <c r="H5841" s="3">
        <v>31</v>
      </c>
      <c r="I5841" s="3">
        <v>197</v>
      </c>
      <c r="J5841" s="3">
        <v>886</v>
      </c>
      <c r="K5841" s="3">
        <v>1476</v>
      </c>
      <c r="L5841" s="3">
        <v>2</v>
      </c>
      <c r="M5841" s="3">
        <v>184</v>
      </c>
    </row>
    <row r="5842" spans="1:13" x14ac:dyDescent="0.25">
      <c r="A5842" s="1" t="str">
        <f>HYPERLINK("http://www.rosaceae.org/Prunus/Prunus_persica/p.persica_gdr_reftransV1_0002225","p.persica_gdr_reftransV1_0002225")</f>
        <v>p.persica_gdr_reftransV1_0002225</v>
      </c>
      <c r="B5842" s="3">
        <v>944</v>
      </c>
      <c r="C5842" s="1" t="str">
        <f>HYPERLINK("http://www.uniprot.org/uniprot/GDL84_ARATH","GDL84_ARATH")</f>
        <v>GDL84_ARATH</v>
      </c>
      <c r="D5842" t="s">
        <v>4895</v>
      </c>
      <c r="E5842" s="3" t="s">
        <v>3</v>
      </c>
      <c r="F5842" s="4">
        <v>9.65E-117</v>
      </c>
      <c r="G5842" s="3">
        <v>881</v>
      </c>
      <c r="H5842" s="3">
        <v>68</v>
      </c>
      <c r="I5842" s="3">
        <v>237</v>
      </c>
      <c r="J5842" s="3">
        <v>202</v>
      </c>
      <c r="K5842" s="3">
        <v>909</v>
      </c>
      <c r="L5842" s="3">
        <v>2</v>
      </c>
      <c r="M5842" s="3">
        <v>238</v>
      </c>
    </row>
    <row r="5843" spans="1:13" x14ac:dyDescent="0.25">
      <c r="A5843" s="1" t="str">
        <f>HYPERLINK("http://www.rosaceae.org/Prunus/Prunus_persica/p.persica_gdr_reftransV1_0002325","p.persica_gdr_reftransV1_0002325")</f>
        <v>p.persica_gdr_reftransV1_0002325</v>
      </c>
      <c r="B5843" s="3">
        <v>2559</v>
      </c>
      <c r="C5843" s="1" t="str">
        <f>HYPERLINK("http://www.uniprot.org/uniprot/PIMT1_ARATH","PIMT1_ARATH")</f>
        <v>PIMT1_ARATH</v>
      </c>
      <c r="D5843" t="s">
        <v>4896</v>
      </c>
      <c r="E5843" s="3" t="s">
        <v>3</v>
      </c>
      <c r="F5843" s="4">
        <v>1.01E-121</v>
      </c>
      <c r="G5843" s="3">
        <v>959</v>
      </c>
      <c r="H5843" s="3">
        <v>74</v>
      </c>
      <c r="I5843" s="3">
        <v>229</v>
      </c>
      <c r="J5843" s="3">
        <v>292</v>
      </c>
      <c r="K5843" s="3">
        <v>978</v>
      </c>
      <c r="L5843" s="3">
        <v>1</v>
      </c>
      <c r="M5843" s="3">
        <v>229</v>
      </c>
    </row>
    <row r="5844" spans="1:13" x14ac:dyDescent="0.25">
      <c r="A5844" s="1" t="str">
        <f>HYPERLINK("http://www.rosaceae.org/Prunus/Prunus_persica/p.persica_gdr_reftransV1_0002375","p.persica_gdr_reftransV1_0002375")</f>
        <v>p.persica_gdr_reftransV1_0002375</v>
      </c>
      <c r="B5844" s="3">
        <v>1996</v>
      </c>
      <c r="C5844" s="1" t="str">
        <f>HYPERLINK("http://www.uniprot.org/uniprot/SIA8D_PANTR","SIA8D_PANTR")</f>
        <v>SIA8D_PANTR</v>
      </c>
      <c r="D5844" t="s">
        <v>985</v>
      </c>
      <c r="E5844" s="3" t="s">
        <v>986</v>
      </c>
      <c r="F5844" s="4">
        <v>8.1500000000000006E-14</v>
      </c>
      <c r="G5844" s="3">
        <v>188</v>
      </c>
      <c r="H5844" s="3">
        <v>38</v>
      </c>
      <c r="I5844" s="3">
        <v>188</v>
      </c>
      <c r="J5844" s="3">
        <v>553</v>
      </c>
      <c r="K5844" s="3">
        <v>1005</v>
      </c>
      <c r="L5844" s="3">
        <v>116</v>
      </c>
      <c r="M5844" s="3">
        <v>300</v>
      </c>
    </row>
    <row r="5845" spans="1:13" x14ac:dyDescent="0.25">
      <c r="A5845" s="1" t="str">
        <f>HYPERLINK("http://www.rosaceae.org/Prunus/Prunus_persica/p.persica_gdr_reftransV1_0002425","p.persica_gdr_reftransV1_0002425")</f>
        <v>p.persica_gdr_reftransV1_0002425</v>
      </c>
      <c r="B5845" s="3">
        <v>4082</v>
      </c>
      <c r="C5845" s="1" t="str">
        <f>HYPERLINK("http://www.uniprot.org/uniprot/DHX37_HUMAN","DHX37_HUMAN")</f>
        <v>DHX37_HUMAN</v>
      </c>
      <c r="D5845" t="s">
        <v>4897</v>
      </c>
      <c r="E5845" s="3" t="s">
        <v>28</v>
      </c>
      <c r="F5845" s="4">
        <v>3.4299999999999998E-82</v>
      </c>
      <c r="G5845" s="3">
        <v>762</v>
      </c>
      <c r="H5845" s="3">
        <v>52</v>
      </c>
      <c r="I5845" s="3">
        <v>294</v>
      </c>
      <c r="J5845" s="3">
        <v>2834</v>
      </c>
      <c r="K5845" s="3">
        <v>3715</v>
      </c>
      <c r="L5845" s="3">
        <v>236</v>
      </c>
      <c r="M5845" s="3">
        <v>504</v>
      </c>
    </row>
    <row r="5846" spans="1:13" x14ac:dyDescent="0.25">
      <c r="A5846" s="1" t="str">
        <f>HYPERLINK("http://www.rosaceae.org/Prunus/Prunus_persica/p.persica_gdr_reftransV1_0002475","p.persica_gdr_reftransV1_0002475")</f>
        <v>p.persica_gdr_reftransV1_0002475</v>
      </c>
      <c r="B5846" s="3">
        <v>766</v>
      </c>
      <c r="C5846" s="1" t="str">
        <f>HYPERLINK("http://www.uniprot.org/uniprot/BOR6_ARATH","BOR6_ARATH")</f>
        <v>BOR6_ARATH</v>
      </c>
      <c r="D5846" t="s">
        <v>4898</v>
      </c>
      <c r="E5846" s="3" t="s">
        <v>3</v>
      </c>
      <c r="F5846" s="4">
        <v>1.24E-129</v>
      </c>
      <c r="G5846" s="3">
        <v>998</v>
      </c>
      <c r="H5846" s="3">
        <v>72</v>
      </c>
      <c r="I5846" s="3">
        <v>256</v>
      </c>
      <c r="J5846" s="3">
        <v>3</v>
      </c>
      <c r="K5846" s="3">
        <v>761</v>
      </c>
      <c r="L5846" s="3">
        <v>228</v>
      </c>
      <c r="M5846" s="3">
        <v>483</v>
      </c>
    </row>
    <row r="5847" spans="1:13" x14ac:dyDescent="0.25">
      <c r="A5847" s="1" t="str">
        <f>HYPERLINK("http://www.rosaceae.org/Prunus/Prunus_persica/p.persica_gdr_reftransV1_0002525","p.persica_gdr_reftransV1_0002525")</f>
        <v>p.persica_gdr_reftransV1_0002525</v>
      </c>
      <c r="B5847" s="3">
        <v>1436</v>
      </c>
      <c r="C5847" s="1" t="str">
        <f>HYPERLINK("http://www.uniprot.org/uniprot/UBC1_ARATH","UBC1_ARATH")</f>
        <v>UBC1_ARATH</v>
      </c>
      <c r="D5847" t="s">
        <v>4899</v>
      </c>
      <c r="E5847" s="3" t="s">
        <v>3</v>
      </c>
      <c r="F5847" s="4">
        <v>5.5800000000000002E-53</v>
      </c>
      <c r="G5847" s="3">
        <v>460</v>
      </c>
      <c r="H5847" s="3">
        <v>56</v>
      </c>
      <c r="I5847" s="3">
        <v>142</v>
      </c>
      <c r="J5847" s="3">
        <v>717</v>
      </c>
      <c r="K5847" s="3">
        <v>1142</v>
      </c>
      <c r="L5847" s="3">
        <v>1</v>
      </c>
      <c r="M5847" s="3">
        <v>141</v>
      </c>
    </row>
    <row r="5848" spans="1:13" x14ac:dyDescent="0.25">
      <c r="A5848" s="1" t="str">
        <f>HYPERLINK("http://www.rosaceae.org/Prunus/Prunus_persica/p.persica_gdr_reftransV1_0002575","p.persica_gdr_reftransV1_0002575")</f>
        <v>p.persica_gdr_reftransV1_0002575</v>
      </c>
      <c r="B5848" s="3">
        <v>922</v>
      </c>
      <c r="C5848" s="1" t="str">
        <f>HYPERLINK("http://www.uniprot.org/uniprot/S38A6_XENTR","S38A6_XENTR")</f>
        <v>S38A6_XENTR</v>
      </c>
      <c r="D5848" t="s">
        <v>1297</v>
      </c>
      <c r="E5848" s="3" t="s">
        <v>173</v>
      </c>
      <c r="F5848" s="4">
        <v>2.9299999999999998E-12</v>
      </c>
      <c r="G5848" s="3">
        <v>171</v>
      </c>
      <c r="H5848" s="3">
        <v>30</v>
      </c>
      <c r="I5848" s="3">
        <v>198</v>
      </c>
      <c r="J5848" s="3">
        <v>103</v>
      </c>
      <c r="K5848" s="3">
        <v>678</v>
      </c>
      <c r="L5848" s="3">
        <v>259</v>
      </c>
      <c r="M5848" s="3">
        <v>446</v>
      </c>
    </row>
    <row r="5849" spans="1:13" x14ac:dyDescent="0.25">
      <c r="A5849" s="1" t="str">
        <f>HYPERLINK("http://www.rosaceae.org/Prunus/Prunus_persica/p.persica_gdr_reftransV1_0002625","p.persica_gdr_reftransV1_0002625")</f>
        <v>p.persica_gdr_reftransV1_0002625</v>
      </c>
      <c r="B5849" s="3">
        <v>1145</v>
      </c>
      <c r="C5849" s="1" t="str">
        <f>HYPERLINK("http://www.uniprot.org/uniprot/WHY1_ARATH","WHY1_ARATH")</f>
        <v>WHY1_ARATH</v>
      </c>
      <c r="D5849" t="s">
        <v>4900</v>
      </c>
      <c r="E5849" s="3" t="s">
        <v>3</v>
      </c>
      <c r="F5849" s="4">
        <v>7.8199999999999996E-113</v>
      </c>
      <c r="G5849" s="3">
        <v>864</v>
      </c>
      <c r="H5849" s="3">
        <v>65</v>
      </c>
      <c r="I5849" s="3">
        <v>273</v>
      </c>
      <c r="J5849" s="3">
        <v>85</v>
      </c>
      <c r="K5849" s="3">
        <v>900</v>
      </c>
      <c r="L5849" s="3">
        <v>5</v>
      </c>
      <c r="M5849" s="3">
        <v>263</v>
      </c>
    </row>
    <row r="5850" spans="1:13" x14ac:dyDescent="0.25">
      <c r="A5850" s="1" t="str">
        <f>HYPERLINK("http://www.rosaceae.org/Prunus/Prunus_persica/p.persica_gdr_reftransV1_0002675","p.persica_gdr_reftransV1_0002675")</f>
        <v>p.persica_gdr_reftransV1_0002675</v>
      </c>
      <c r="B5850" s="3">
        <v>1010</v>
      </c>
      <c r="C5850" s="1" t="str">
        <f>HYPERLINK("http://www.uniprot.org/uniprot/DUS1_ARATH","DUS1_ARATH")</f>
        <v>DUS1_ARATH</v>
      </c>
      <c r="D5850" t="s">
        <v>2367</v>
      </c>
      <c r="E5850" s="3" t="s">
        <v>3</v>
      </c>
      <c r="F5850" s="4">
        <v>4.1200000000000001E-77</v>
      </c>
      <c r="G5850" s="3">
        <v>616</v>
      </c>
      <c r="H5850" s="3">
        <v>61</v>
      </c>
      <c r="I5850" s="3">
        <v>175</v>
      </c>
      <c r="J5850" s="3">
        <v>126</v>
      </c>
      <c r="K5850" s="3">
        <v>650</v>
      </c>
      <c r="L5850" s="3">
        <v>20</v>
      </c>
      <c r="M5850" s="3">
        <v>194</v>
      </c>
    </row>
    <row r="5851" spans="1:13" x14ac:dyDescent="0.25">
      <c r="A5851" s="1" t="str">
        <f>HYPERLINK("http://www.rosaceae.org/Prunus/Prunus_persica/p.persica_gdr_reftransV1_0002725","p.persica_gdr_reftransV1_0002725")</f>
        <v>p.persica_gdr_reftransV1_0002725</v>
      </c>
      <c r="B5851" s="3">
        <v>351</v>
      </c>
      <c r="C5851" s="1" t="str">
        <f>HYPERLINK("http://www.uniprot.org/uniprot/MDN1_DICDI","MDN1_DICDI")</f>
        <v>MDN1_DICDI</v>
      </c>
      <c r="D5851" t="s">
        <v>406</v>
      </c>
      <c r="E5851" s="3" t="s">
        <v>9</v>
      </c>
      <c r="F5851" s="4">
        <v>2.8E-19</v>
      </c>
      <c r="G5851" s="3">
        <v>217</v>
      </c>
      <c r="H5851" s="3">
        <v>40</v>
      </c>
      <c r="I5851" s="3">
        <v>121</v>
      </c>
      <c r="J5851" s="3">
        <v>5</v>
      </c>
      <c r="K5851" s="3">
        <v>346</v>
      </c>
      <c r="L5851" s="3">
        <v>2119</v>
      </c>
      <c r="M5851" s="3">
        <v>2239</v>
      </c>
    </row>
    <row r="5852" spans="1:13" x14ac:dyDescent="0.25">
      <c r="A5852" s="1" t="str">
        <f>HYPERLINK("http://www.rosaceae.org/Prunus/Prunus_persica/p.persica_gdr_reftransV1_0002825","p.persica_gdr_reftransV1_0002825")</f>
        <v>p.persica_gdr_reftransV1_0002825</v>
      </c>
      <c r="B5852" s="3">
        <v>1250</v>
      </c>
      <c r="C5852" s="1" t="str">
        <f>HYPERLINK("http://www.uniprot.org/uniprot/AHL23_ARATH","AHL23_ARATH")</f>
        <v>AHL23_ARATH</v>
      </c>
      <c r="D5852" t="s">
        <v>4901</v>
      </c>
      <c r="E5852" s="3" t="s">
        <v>3</v>
      </c>
      <c r="F5852" s="4">
        <v>5.7100000000000001E-83</v>
      </c>
      <c r="G5852" s="3">
        <v>671</v>
      </c>
      <c r="H5852" s="3">
        <v>62</v>
      </c>
      <c r="I5852" s="3">
        <v>312</v>
      </c>
      <c r="J5852" s="3">
        <v>150</v>
      </c>
      <c r="K5852" s="3">
        <v>1037</v>
      </c>
      <c r="L5852" s="3">
        <v>1</v>
      </c>
      <c r="M5852" s="3">
        <v>292</v>
      </c>
    </row>
    <row r="5853" spans="1:13" x14ac:dyDescent="0.25">
      <c r="A5853" s="1" t="str">
        <f>HYPERLINK("http://www.rosaceae.org/Prunus/Prunus_persica/p.persica_gdr_reftransV1_0002975","p.persica_gdr_reftransV1_0002975")</f>
        <v>p.persica_gdr_reftransV1_0002975</v>
      </c>
      <c r="B5853" s="3">
        <v>1196</v>
      </c>
      <c r="C5853" s="1" t="str">
        <f>HYPERLINK("http://www.uniprot.org/uniprot/RBPS2_MOUSE","RBPS2_MOUSE")</f>
        <v>RBPS2_MOUSE</v>
      </c>
      <c r="D5853" t="s">
        <v>4902</v>
      </c>
      <c r="E5853" s="3" t="s">
        <v>157</v>
      </c>
      <c r="F5853" s="4">
        <v>3.4899999999999998E-19</v>
      </c>
      <c r="G5853" s="3">
        <v>219</v>
      </c>
      <c r="H5853" s="3">
        <v>47</v>
      </c>
      <c r="I5853" s="3">
        <v>94</v>
      </c>
      <c r="J5853" s="3">
        <v>268</v>
      </c>
      <c r="K5853" s="3">
        <v>549</v>
      </c>
      <c r="L5853" s="3">
        <v>19</v>
      </c>
      <c r="M5853" s="3">
        <v>110</v>
      </c>
    </row>
    <row r="5854" spans="1:13" x14ac:dyDescent="0.25">
      <c r="A5854" s="1" t="str">
        <f>HYPERLINK("http://www.rosaceae.org/Prunus/Prunus_persica/p.persica_gdr_reftransV1_0003025","p.persica_gdr_reftransV1_0003025")</f>
        <v>p.persica_gdr_reftransV1_0003025</v>
      </c>
      <c r="B5854" s="3">
        <v>480</v>
      </c>
      <c r="C5854" s="1" t="str">
        <f>HYPERLINK("http://www.uniprot.org/uniprot/ALOX1_PICPG","ALOX1_PICPG")</f>
        <v>ALOX1_PICPG</v>
      </c>
      <c r="D5854" t="s">
        <v>4903</v>
      </c>
      <c r="E5854" s="3" t="s">
        <v>4904</v>
      </c>
      <c r="F5854" s="4">
        <v>7.5799999999999995E-72</v>
      </c>
      <c r="G5854" s="3">
        <v>596</v>
      </c>
      <c r="H5854" s="3">
        <v>72</v>
      </c>
      <c r="I5854" s="3">
        <v>154</v>
      </c>
      <c r="J5854" s="3">
        <v>11</v>
      </c>
      <c r="K5854" s="3">
        <v>472</v>
      </c>
      <c r="L5854" s="3">
        <v>256</v>
      </c>
      <c r="M5854" s="3">
        <v>405</v>
      </c>
    </row>
    <row r="5855" spans="1:13" x14ac:dyDescent="0.25">
      <c r="A5855" s="1" t="str">
        <f>HYPERLINK("http://www.rosaceae.org/Prunus/Prunus_persica/p.persica_gdr_reftransV1_0003175","p.persica_gdr_reftransV1_0003175")</f>
        <v>p.persica_gdr_reftransV1_0003175</v>
      </c>
      <c r="B5855" s="3">
        <v>397</v>
      </c>
      <c r="C5855" s="1" t="str">
        <f>HYPERLINK("http://www.uniprot.org/uniprot/BRL2_ARATH","BRL2_ARATH")</f>
        <v>BRL2_ARATH</v>
      </c>
      <c r="D5855" t="s">
        <v>3231</v>
      </c>
      <c r="E5855" s="3" t="s">
        <v>3</v>
      </c>
      <c r="F5855" s="4">
        <v>3.88E-58</v>
      </c>
      <c r="G5855" s="3">
        <v>506</v>
      </c>
      <c r="H5855" s="3">
        <v>68</v>
      </c>
      <c r="I5855" s="3">
        <v>132</v>
      </c>
      <c r="J5855" s="3">
        <v>2</v>
      </c>
      <c r="K5855" s="3">
        <v>397</v>
      </c>
      <c r="L5855" s="3">
        <v>415</v>
      </c>
      <c r="M5855" s="3">
        <v>546</v>
      </c>
    </row>
    <row r="5856" spans="1:13" x14ac:dyDescent="0.25">
      <c r="A5856" s="1" t="str">
        <f>HYPERLINK("http://www.rosaceae.org/Prunus/Prunus_persica/p.persica_gdr_reftransV1_0003275","p.persica_gdr_reftransV1_0003275")</f>
        <v>p.persica_gdr_reftransV1_0003275</v>
      </c>
      <c r="B5856" s="3">
        <v>315</v>
      </c>
      <c r="C5856" s="1" t="str">
        <f>HYPERLINK("http://www.uniprot.org/uniprot/ARF_NEUCR","ARF_NEUCR")</f>
        <v>ARF_NEUCR</v>
      </c>
      <c r="D5856" t="s">
        <v>4905</v>
      </c>
      <c r="E5856" s="3" t="s">
        <v>435</v>
      </c>
      <c r="F5856" s="4">
        <v>1.5600000000000001E-67</v>
      </c>
      <c r="G5856" s="3">
        <v>527</v>
      </c>
      <c r="H5856" s="3">
        <v>91</v>
      </c>
      <c r="I5856" s="3">
        <v>104</v>
      </c>
      <c r="J5856" s="3">
        <v>2</v>
      </c>
      <c r="K5856" s="3">
        <v>313</v>
      </c>
      <c r="L5856" s="3">
        <v>75</v>
      </c>
      <c r="M5856" s="3">
        <v>178</v>
      </c>
    </row>
    <row r="5857" spans="1:13" x14ac:dyDescent="0.25">
      <c r="A5857" s="1" t="str">
        <f>HYPERLINK("http://www.rosaceae.org/Prunus/Prunus_persica/p.persica_gdr_reftransV1_0003375","p.persica_gdr_reftransV1_0003375")</f>
        <v>p.persica_gdr_reftransV1_0003375</v>
      </c>
      <c r="B5857" s="3">
        <v>874</v>
      </c>
      <c r="C5857" s="1" t="str">
        <f>HYPERLINK("http://www.uniprot.org/uniprot/SHN2_ARATH","SHN2_ARATH")</f>
        <v>SHN2_ARATH</v>
      </c>
      <c r="D5857" t="s">
        <v>2505</v>
      </c>
      <c r="E5857" s="3" t="s">
        <v>3</v>
      </c>
      <c r="F5857" s="4">
        <v>2.6200000000000001E-61</v>
      </c>
      <c r="G5857" s="3">
        <v>505</v>
      </c>
      <c r="H5857" s="3">
        <v>61</v>
      </c>
      <c r="I5857" s="3">
        <v>207</v>
      </c>
      <c r="J5857" s="3">
        <v>76</v>
      </c>
      <c r="K5857" s="3">
        <v>696</v>
      </c>
      <c r="L5857" s="3">
        <v>1</v>
      </c>
      <c r="M5857" s="3">
        <v>189</v>
      </c>
    </row>
    <row r="5858" spans="1:13" x14ac:dyDescent="0.25">
      <c r="A5858" s="1" t="str">
        <f>HYPERLINK("http://www.rosaceae.org/Prunus/Prunus_persica/p.persica_gdr_reftransV1_0003425","p.persica_gdr_reftransV1_0003425")</f>
        <v>p.persica_gdr_reftransV1_0003425</v>
      </c>
      <c r="B5858" s="3">
        <v>467</v>
      </c>
      <c r="C5858" s="1" t="str">
        <f>HYPERLINK("http://www.uniprot.org/uniprot/TMVRN_NICGU","TMVRN_NICGU")</f>
        <v>TMVRN_NICGU</v>
      </c>
      <c r="D5858" t="s">
        <v>151</v>
      </c>
      <c r="E5858" s="3" t="s">
        <v>152</v>
      </c>
      <c r="F5858" s="4">
        <v>5.1499999999999999E-17</v>
      </c>
      <c r="G5858" s="3">
        <v>202</v>
      </c>
      <c r="H5858" s="3">
        <v>35</v>
      </c>
      <c r="I5858" s="3">
        <v>163</v>
      </c>
      <c r="J5858" s="3">
        <v>2</v>
      </c>
      <c r="K5858" s="3">
        <v>466</v>
      </c>
      <c r="L5858" s="3">
        <v>138</v>
      </c>
      <c r="M5858" s="3">
        <v>296</v>
      </c>
    </row>
    <row r="5859" spans="1:13" x14ac:dyDescent="0.25">
      <c r="A5859" s="1" t="str">
        <f>HYPERLINK("http://www.rosaceae.org/Prunus/Prunus_persica/p.persica_gdr_reftransV1_0003475","p.persica_gdr_reftransV1_0003475")</f>
        <v>p.persica_gdr_reftransV1_0003475</v>
      </c>
      <c r="B5859" s="3">
        <v>732</v>
      </c>
      <c r="C5859" s="1" t="str">
        <f>HYPERLINK("http://www.uniprot.org/uniprot/IAA4_PEA","IAA4_PEA")</f>
        <v>IAA4_PEA</v>
      </c>
      <c r="D5859" t="s">
        <v>4478</v>
      </c>
      <c r="E5859" s="3" t="s">
        <v>60</v>
      </c>
      <c r="F5859" s="4">
        <v>1.1E-73</v>
      </c>
      <c r="G5859" s="3">
        <v>583</v>
      </c>
      <c r="H5859" s="3">
        <v>68</v>
      </c>
      <c r="I5859" s="3">
        <v>173</v>
      </c>
      <c r="J5859" s="3">
        <v>2</v>
      </c>
      <c r="K5859" s="3">
        <v>502</v>
      </c>
      <c r="L5859" s="3">
        <v>1</v>
      </c>
      <c r="M5859" s="3">
        <v>169</v>
      </c>
    </row>
    <row r="5860" spans="1:13" x14ac:dyDescent="0.25">
      <c r="A5860" s="1" t="str">
        <f>HYPERLINK("http://www.rosaceae.org/Prunus/Prunus_persica/p.persica_gdr_reftransV1_0003525","p.persica_gdr_reftransV1_0003525")</f>
        <v>p.persica_gdr_reftransV1_0003525</v>
      </c>
      <c r="B5860" s="3">
        <v>2763</v>
      </c>
      <c r="C5860" s="1" t="str">
        <f>HYPERLINK("http://www.uniprot.org/uniprot/FEI1_ARATH","FEI1_ARATH")</f>
        <v>FEI1_ARATH</v>
      </c>
      <c r="D5860" t="s">
        <v>4906</v>
      </c>
      <c r="E5860" s="3" t="s">
        <v>3</v>
      </c>
      <c r="F5860" s="4">
        <v>0</v>
      </c>
      <c r="G5860" s="3">
        <v>2341</v>
      </c>
      <c r="H5860" s="3">
        <v>77</v>
      </c>
      <c r="I5860" s="3">
        <v>573</v>
      </c>
      <c r="J5860" s="3">
        <v>430</v>
      </c>
      <c r="K5860" s="3">
        <v>2148</v>
      </c>
      <c r="L5860" s="3">
        <v>25</v>
      </c>
      <c r="M5860" s="3">
        <v>591</v>
      </c>
    </row>
    <row r="5861" spans="1:13" x14ac:dyDescent="0.25">
      <c r="A5861" s="1" t="str">
        <f>HYPERLINK("http://www.rosaceae.org/Prunus/Prunus_persica/p.persica_gdr_reftransV1_0003725","p.persica_gdr_reftransV1_0003725")</f>
        <v>p.persica_gdr_reftransV1_0003725</v>
      </c>
      <c r="B5861" s="3">
        <v>1113</v>
      </c>
      <c r="C5861" s="1" t="str">
        <f>HYPERLINK("http://www.uniprot.org/uniprot/SRP_VITRI","SRP_VITRI")</f>
        <v>SRP_VITRI</v>
      </c>
      <c r="D5861" t="s">
        <v>4907</v>
      </c>
      <c r="E5861" s="3" t="s">
        <v>4908</v>
      </c>
      <c r="F5861" s="4">
        <v>5.57E-119</v>
      </c>
      <c r="G5861" s="3">
        <v>902</v>
      </c>
      <c r="H5861" s="3">
        <v>70</v>
      </c>
      <c r="I5861" s="3">
        <v>248</v>
      </c>
      <c r="J5861" s="3">
        <v>101</v>
      </c>
      <c r="K5861" s="3">
        <v>811</v>
      </c>
      <c r="L5861" s="3">
        <v>1</v>
      </c>
      <c r="M5861" s="3">
        <v>248</v>
      </c>
    </row>
    <row r="5862" spans="1:13" x14ac:dyDescent="0.25">
      <c r="A5862" s="1" t="str">
        <f>HYPERLINK("http://www.rosaceae.org/Prunus/Prunus_persica/p.persica_gdr_reftransV1_0003775","p.persica_gdr_reftransV1_0003775")</f>
        <v>p.persica_gdr_reftransV1_0003775</v>
      </c>
      <c r="B5862" s="3">
        <v>3245</v>
      </c>
      <c r="C5862" s="1" t="str">
        <f>HYPERLINK("http://www.uniprot.org/uniprot/RGA4_SOLBU","RGA4_SOLBU")</f>
        <v>RGA4_SOLBU</v>
      </c>
      <c r="D5862" t="s">
        <v>1657</v>
      </c>
      <c r="E5862" s="3" t="s">
        <v>560</v>
      </c>
      <c r="F5862" s="4">
        <v>2.7200000000000001E-122</v>
      </c>
      <c r="G5862" s="3">
        <v>1043</v>
      </c>
      <c r="H5862" s="3">
        <v>33</v>
      </c>
      <c r="I5862" s="3">
        <v>871</v>
      </c>
      <c r="J5862" s="3">
        <v>703</v>
      </c>
      <c r="K5862" s="3">
        <v>3243</v>
      </c>
      <c r="L5862" s="3">
        <v>8</v>
      </c>
      <c r="M5862" s="3">
        <v>790</v>
      </c>
    </row>
    <row r="5863" spans="1:13" x14ac:dyDescent="0.25">
      <c r="A5863" s="1" t="str">
        <f>HYPERLINK("http://www.rosaceae.org/Prunus/Prunus_persica/p.persica_gdr_reftransV1_0003925","p.persica_gdr_reftransV1_0003925")</f>
        <v>p.persica_gdr_reftransV1_0003925</v>
      </c>
      <c r="B5863" s="3">
        <v>1090</v>
      </c>
      <c r="C5863" s="1" t="str">
        <f>HYPERLINK("http://www.uniprot.org/uniprot/NU98A_ARATH","NU98A_ARATH")</f>
        <v>NU98A_ARATH</v>
      </c>
      <c r="D5863" t="s">
        <v>2674</v>
      </c>
      <c r="E5863" s="3" t="s">
        <v>3</v>
      </c>
      <c r="F5863" s="4">
        <v>5.8500000000000003E-12</v>
      </c>
      <c r="G5863" s="3">
        <v>172</v>
      </c>
      <c r="H5863" s="3">
        <v>40</v>
      </c>
      <c r="I5863" s="3">
        <v>125</v>
      </c>
      <c r="J5863" s="3">
        <v>250</v>
      </c>
      <c r="K5863" s="3">
        <v>585</v>
      </c>
      <c r="L5863" s="3">
        <v>337</v>
      </c>
      <c r="M5863" s="3">
        <v>460</v>
      </c>
    </row>
    <row r="5864" spans="1:13" x14ac:dyDescent="0.25">
      <c r="A5864" s="1" t="str">
        <f>HYPERLINK("http://www.rosaceae.org/Prunus/Prunus_persica/p.persica_gdr_reftransV1_0004075","p.persica_gdr_reftransV1_0004075")</f>
        <v>p.persica_gdr_reftransV1_0004075</v>
      </c>
      <c r="B5864" s="3">
        <v>1846</v>
      </c>
      <c r="C5864" s="1" t="str">
        <f>HYPERLINK("http://www.uniprot.org/uniprot/YQKD_BACSU","YQKD_BACSU")</f>
        <v>YQKD_BACSU</v>
      </c>
      <c r="D5864" t="s">
        <v>2216</v>
      </c>
      <c r="E5864" s="3" t="s">
        <v>1630</v>
      </c>
      <c r="F5864" s="4">
        <v>4.1100000000000001E-12</v>
      </c>
      <c r="G5864" s="3">
        <v>173</v>
      </c>
      <c r="H5864" s="3">
        <v>29</v>
      </c>
      <c r="I5864" s="3">
        <v>235</v>
      </c>
      <c r="J5864" s="3">
        <v>866</v>
      </c>
      <c r="K5864" s="3">
        <v>1540</v>
      </c>
      <c r="L5864" s="3">
        <v>62</v>
      </c>
      <c r="M5864" s="3">
        <v>281</v>
      </c>
    </row>
    <row r="5865" spans="1:13" x14ac:dyDescent="0.25">
      <c r="A5865" s="1" t="str">
        <f>HYPERLINK("http://www.rosaceae.org/Prunus/Prunus_persica/p.persica_gdr_reftransV1_0004175","p.persica_gdr_reftransV1_0004175")</f>
        <v>p.persica_gdr_reftransV1_0004175</v>
      </c>
      <c r="B5865" s="3">
        <v>1794</v>
      </c>
      <c r="C5865" s="1" t="str">
        <f>HYPERLINK("http://www.uniprot.org/uniprot/CAMK4_ARATH","CAMK4_ARATH")</f>
        <v>CAMK4_ARATH</v>
      </c>
      <c r="D5865" t="s">
        <v>4909</v>
      </c>
      <c r="E5865" s="3" t="s">
        <v>3</v>
      </c>
      <c r="F5865" s="4">
        <v>0</v>
      </c>
      <c r="G5865" s="3">
        <v>1192</v>
      </c>
      <c r="H5865" s="3">
        <v>73</v>
      </c>
      <c r="I5865" s="3">
        <v>293</v>
      </c>
      <c r="J5865" s="3">
        <v>293</v>
      </c>
      <c r="K5865" s="3">
        <v>1171</v>
      </c>
      <c r="L5865" s="3">
        <v>302</v>
      </c>
      <c r="M5865" s="3">
        <v>594</v>
      </c>
    </row>
    <row r="5866" spans="1:13" x14ac:dyDescent="0.25">
      <c r="A5866" s="1" t="str">
        <f>HYPERLINK("http://www.rosaceae.org/Prunus/Prunus_persica/p.persica_gdr_reftransV1_0004325","p.persica_gdr_reftransV1_0004325")</f>
        <v>p.persica_gdr_reftransV1_0004325</v>
      </c>
      <c r="B5866" s="3">
        <v>448</v>
      </c>
      <c r="C5866" s="1" t="str">
        <f>HYPERLINK("http://www.uniprot.org/uniprot/BGIA_MOMCH","BGIA_MOMCH")</f>
        <v>BGIA_MOMCH</v>
      </c>
      <c r="D5866" t="s">
        <v>4910</v>
      </c>
      <c r="E5866" s="3" t="s">
        <v>4911</v>
      </c>
      <c r="F5866" s="4">
        <v>2.21E-23</v>
      </c>
      <c r="G5866" s="3">
        <v>228</v>
      </c>
      <c r="H5866" s="3">
        <v>65</v>
      </c>
      <c r="I5866" s="3">
        <v>68</v>
      </c>
      <c r="J5866" s="3">
        <v>146</v>
      </c>
      <c r="K5866" s="3">
        <v>349</v>
      </c>
      <c r="L5866" s="3">
        <v>1</v>
      </c>
      <c r="M5866" s="3">
        <v>68</v>
      </c>
    </row>
    <row r="5867" spans="1:13" x14ac:dyDescent="0.25">
      <c r="A5867" s="1" t="str">
        <f>HYPERLINK("http://www.rosaceae.org/Prunus/Prunus_persica/p.persica_gdr_reftransV1_0004375","p.persica_gdr_reftransV1_0004375")</f>
        <v>p.persica_gdr_reftransV1_0004375</v>
      </c>
      <c r="B5867" s="3">
        <v>1636</v>
      </c>
      <c r="C5867" s="1" t="str">
        <f>HYPERLINK("http://www.uniprot.org/uniprot/MCM2_ORYSJ","MCM2_ORYSJ")</f>
        <v>MCM2_ORYSJ</v>
      </c>
      <c r="D5867" t="s">
        <v>4912</v>
      </c>
      <c r="E5867" s="3" t="s">
        <v>38</v>
      </c>
      <c r="F5867" s="4">
        <v>0</v>
      </c>
      <c r="G5867" s="3">
        <v>1978</v>
      </c>
      <c r="H5867" s="3">
        <v>83</v>
      </c>
      <c r="I5867" s="3">
        <v>449</v>
      </c>
      <c r="J5867" s="3">
        <v>283</v>
      </c>
      <c r="K5867" s="3">
        <v>1623</v>
      </c>
      <c r="L5867" s="3">
        <v>511</v>
      </c>
      <c r="M5867" s="3">
        <v>959</v>
      </c>
    </row>
    <row r="5868" spans="1:13" x14ac:dyDescent="0.25">
      <c r="A5868" s="1" t="str">
        <f>HYPERLINK("http://www.rosaceae.org/Prunus/Prunus_persica/p.persica_gdr_reftransV1_0004425","p.persica_gdr_reftransV1_0004425")</f>
        <v>p.persica_gdr_reftransV1_0004425</v>
      </c>
      <c r="B5868" s="3">
        <v>642</v>
      </c>
      <c r="C5868" s="1" t="str">
        <f>HYPERLINK("http://www.uniprot.org/uniprot/Y4744_ARATH","Y4744_ARATH")</f>
        <v>Y4744_ARATH</v>
      </c>
      <c r="D5868" t="s">
        <v>4913</v>
      </c>
      <c r="E5868" s="3" t="s">
        <v>3</v>
      </c>
      <c r="F5868" s="4">
        <v>6.3400000000000001E-75</v>
      </c>
      <c r="G5868" s="3">
        <v>607</v>
      </c>
      <c r="H5868" s="3">
        <v>64</v>
      </c>
      <c r="I5868" s="3">
        <v>166</v>
      </c>
      <c r="J5868" s="3">
        <v>1</v>
      </c>
      <c r="K5868" s="3">
        <v>498</v>
      </c>
      <c r="L5868" s="3">
        <v>36</v>
      </c>
      <c r="M5868" s="3">
        <v>201</v>
      </c>
    </row>
    <row r="5869" spans="1:13" x14ac:dyDescent="0.25">
      <c r="A5869" s="1" t="str">
        <f>HYPERLINK("http://www.rosaceae.org/Prunus/Prunus_persica/p.persica_gdr_reftransV1_0004475","p.persica_gdr_reftransV1_0004475")</f>
        <v>p.persica_gdr_reftransV1_0004475</v>
      </c>
      <c r="B5869" s="3">
        <v>2425</v>
      </c>
      <c r="C5869" s="1" t="str">
        <f>HYPERLINK("http://www.uniprot.org/uniprot/C3H64_ARATH","C3H64_ARATH")</f>
        <v>C3H64_ARATH</v>
      </c>
      <c r="D5869" t="s">
        <v>4914</v>
      </c>
      <c r="E5869" s="3" t="s">
        <v>3</v>
      </c>
      <c r="F5869" s="4">
        <v>0</v>
      </c>
      <c r="G5869" s="3">
        <v>2001</v>
      </c>
      <c r="H5869" s="3">
        <v>65</v>
      </c>
      <c r="I5869" s="3">
        <v>580</v>
      </c>
      <c r="J5869" s="3">
        <v>628</v>
      </c>
      <c r="K5869" s="3">
        <v>2367</v>
      </c>
      <c r="L5869" s="3">
        <v>25</v>
      </c>
      <c r="M5869" s="3">
        <v>594</v>
      </c>
    </row>
    <row r="5870" spans="1:13" x14ac:dyDescent="0.25">
      <c r="A5870" s="1" t="str">
        <f>HYPERLINK("http://www.rosaceae.org/Prunus/Prunus_persica/p.persica_gdr_reftransV1_0004675","p.persica_gdr_reftransV1_0004675")</f>
        <v>p.persica_gdr_reftransV1_0004675</v>
      </c>
      <c r="B5870" s="3">
        <v>1198</v>
      </c>
      <c r="C5870" s="1" t="str">
        <f>HYPERLINK("http://www.uniprot.org/uniprot/CHIA_CICAR","CHIA_CICAR")</f>
        <v>CHIA_CICAR</v>
      </c>
      <c r="D5870" t="s">
        <v>4768</v>
      </c>
      <c r="E5870" s="3" t="s">
        <v>944</v>
      </c>
      <c r="F5870" s="4">
        <v>9.3800000000000002E-95</v>
      </c>
      <c r="G5870" s="3">
        <v>519</v>
      </c>
      <c r="H5870" s="3">
        <v>65</v>
      </c>
      <c r="I5870" s="3">
        <v>144</v>
      </c>
      <c r="J5870" s="3">
        <v>180</v>
      </c>
      <c r="K5870" s="3">
        <v>611</v>
      </c>
      <c r="L5870" s="3">
        <v>26</v>
      </c>
      <c r="M5870" s="3">
        <v>169</v>
      </c>
    </row>
    <row r="5871" spans="1:13" x14ac:dyDescent="0.25">
      <c r="A5871" s="1" t="str">
        <f>HYPERLINK("http://www.rosaceae.org/Prunus/Prunus_persica/p.persica_gdr_reftransV1_0004825","p.persica_gdr_reftransV1_0004825")</f>
        <v>p.persica_gdr_reftransV1_0004825</v>
      </c>
      <c r="B5871" s="3">
        <v>2675</v>
      </c>
      <c r="C5871" s="1" t="str">
        <f>HYPERLINK("http://www.uniprot.org/uniprot/C04C1_PINTA","C04C1_PINTA")</f>
        <v>C04C1_PINTA</v>
      </c>
      <c r="D5871" t="s">
        <v>2983</v>
      </c>
      <c r="E5871" s="3" t="s">
        <v>1</v>
      </c>
      <c r="F5871" s="4">
        <v>2.1000000000000001E-132</v>
      </c>
      <c r="G5871" s="3">
        <v>1062</v>
      </c>
      <c r="H5871" s="3">
        <v>47</v>
      </c>
      <c r="I5871" s="3">
        <v>445</v>
      </c>
      <c r="J5871" s="3">
        <v>111</v>
      </c>
      <c r="K5871" s="3">
        <v>1394</v>
      </c>
      <c r="L5871" s="3">
        <v>75</v>
      </c>
      <c r="M5871" s="3">
        <v>515</v>
      </c>
    </row>
    <row r="5872" spans="1:13" x14ac:dyDescent="0.25">
      <c r="A5872" s="1" t="str">
        <f>HYPERLINK("http://www.rosaceae.org/Prunus/Prunus_persica/p.persica_gdr_reftransV1_0004925","p.persica_gdr_reftransV1_0004925")</f>
        <v>p.persica_gdr_reftransV1_0004925</v>
      </c>
      <c r="B5872" s="3">
        <v>1805</v>
      </c>
      <c r="C5872" s="1" t="str">
        <f>HYPERLINK("http://www.uniprot.org/uniprot/CLPX_RUEST","CLPX_RUEST")</f>
        <v>CLPX_RUEST</v>
      </c>
      <c r="D5872" t="s">
        <v>3586</v>
      </c>
      <c r="E5872" s="3" t="s">
        <v>3587</v>
      </c>
      <c r="F5872" s="4">
        <v>4.5899999999999998E-106</v>
      </c>
      <c r="G5872" s="3">
        <v>853</v>
      </c>
      <c r="H5872" s="3">
        <v>56</v>
      </c>
      <c r="I5872" s="3">
        <v>296</v>
      </c>
      <c r="J5872" s="3">
        <v>536</v>
      </c>
      <c r="K5872" s="3">
        <v>1423</v>
      </c>
      <c r="L5872" s="3">
        <v>123</v>
      </c>
      <c r="M5872" s="3">
        <v>407</v>
      </c>
    </row>
    <row r="5873" spans="1:13" x14ac:dyDescent="0.25">
      <c r="A5873" s="1" t="str">
        <f>HYPERLINK("http://www.rosaceae.org/Prunus/Prunus_persica/p.persica_gdr_reftransV1_0004975","p.persica_gdr_reftransV1_0004975")</f>
        <v>p.persica_gdr_reftransV1_0004975</v>
      </c>
      <c r="B5873" s="3">
        <v>703</v>
      </c>
      <c r="C5873" s="1" t="str">
        <f>HYPERLINK("http://www.uniprot.org/uniprot/RAC5_ARATH","RAC5_ARATH")</f>
        <v>RAC5_ARATH</v>
      </c>
      <c r="D5873" t="s">
        <v>4915</v>
      </c>
      <c r="E5873" s="3" t="s">
        <v>3</v>
      </c>
      <c r="F5873" s="4">
        <v>1.14E-121</v>
      </c>
      <c r="G5873" s="3">
        <v>900</v>
      </c>
      <c r="H5873" s="3">
        <v>95</v>
      </c>
      <c r="I5873" s="3">
        <v>173</v>
      </c>
      <c r="J5873" s="3">
        <v>3</v>
      </c>
      <c r="K5873" s="3">
        <v>521</v>
      </c>
      <c r="L5873" s="3">
        <v>1</v>
      </c>
      <c r="M5873" s="3">
        <v>173</v>
      </c>
    </row>
    <row r="5874" spans="1:13" x14ac:dyDescent="0.25">
      <c r="A5874" s="1" t="str">
        <f>HYPERLINK("http://www.rosaceae.org/Prunus/Prunus_persica/p.persica_gdr_reftransV1_0005175","p.persica_gdr_reftransV1_0005175")</f>
        <v>p.persica_gdr_reftransV1_0005175</v>
      </c>
      <c r="B5874" s="3">
        <v>637</v>
      </c>
      <c r="C5874" s="1" t="str">
        <f>HYPERLINK("http://www.uniprot.org/uniprot/FLA14_ARATH","FLA14_ARATH")</f>
        <v>FLA14_ARATH</v>
      </c>
      <c r="D5874" t="s">
        <v>4780</v>
      </c>
      <c r="E5874" s="3" t="s">
        <v>3</v>
      </c>
      <c r="F5874" s="4">
        <v>3.6500000000000003E-8</v>
      </c>
      <c r="G5874" s="3">
        <v>133</v>
      </c>
      <c r="H5874" s="3">
        <v>43</v>
      </c>
      <c r="I5874" s="3">
        <v>72</v>
      </c>
      <c r="J5874" s="3">
        <v>20</v>
      </c>
      <c r="K5874" s="3">
        <v>232</v>
      </c>
      <c r="L5874" s="3">
        <v>101</v>
      </c>
      <c r="M5874" s="3">
        <v>171</v>
      </c>
    </row>
    <row r="5875" spans="1:13" x14ac:dyDescent="0.25">
      <c r="A5875" s="1" t="str">
        <f>HYPERLINK("http://www.rosaceae.org/Prunus/Prunus_persica/p.persica_gdr_reftransV1_0005375","p.persica_gdr_reftransV1_0005375")</f>
        <v>p.persica_gdr_reftransV1_0005375</v>
      </c>
      <c r="B5875" s="3">
        <v>2442</v>
      </c>
      <c r="C5875" s="1" t="str">
        <f>HYPERLINK("http://www.uniprot.org/uniprot/Y1561_ARATH","Y1561_ARATH")</f>
        <v>Y1561_ARATH</v>
      </c>
      <c r="D5875" t="s">
        <v>1387</v>
      </c>
      <c r="E5875" s="3" t="s">
        <v>3</v>
      </c>
      <c r="F5875" s="4">
        <v>0</v>
      </c>
      <c r="G5875" s="3">
        <v>1940</v>
      </c>
      <c r="H5875" s="3">
        <v>53</v>
      </c>
      <c r="I5875" s="3">
        <v>723</v>
      </c>
      <c r="J5875" s="3">
        <v>11</v>
      </c>
      <c r="K5875" s="3">
        <v>2152</v>
      </c>
      <c r="L5875" s="3">
        <v>3</v>
      </c>
      <c r="M5875" s="3">
        <v>720</v>
      </c>
    </row>
    <row r="5876" spans="1:13" x14ac:dyDescent="0.25">
      <c r="A5876" s="1" t="str">
        <f>HYPERLINK("http://www.rosaceae.org/Prunus/Prunus_persica/p.persica_gdr_reftransV1_0005425","p.persica_gdr_reftransV1_0005425")</f>
        <v>p.persica_gdr_reftransV1_0005425</v>
      </c>
      <c r="B5876" s="3">
        <v>6203</v>
      </c>
      <c r="C5876" s="1" t="str">
        <f>HYPERLINK("http://www.uniprot.org/uniprot/CALS2_ARATH","CALS2_ARATH")</f>
        <v>CALS2_ARATH</v>
      </c>
      <c r="D5876" t="s">
        <v>3298</v>
      </c>
      <c r="E5876" s="3" t="s">
        <v>3</v>
      </c>
      <c r="F5876" s="4">
        <v>0</v>
      </c>
      <c r="G5876" s="3">
        <v>8093</v>
      </c>
      <c r="H5876" s="3">
        <v>80</v>
      </c>
      <c r="I5876" s="3">
        <v>1958</v>
      </c>
      <c r="J5876" s="3">
        <v>159</v>
      </c>
      <c r="K5876" s="3">
        <v>6017</v>
      </c>
      <c r="L5876" s="3">
        <v>1</v>
      </c>
      <c r="M5876" s="3">
        <v>1950</v>
      </c>
    </row>
    <row r="5877" spans="1:13" x14ac:dyDescent="0.25">
      <c r="A5877" s="1" t="str">
        <f>HYPERLINK("http://www.rosaceae.org/Prunus/Prunus_persica/p.persica_gdr_reftransV1_0005475","p.persica_gdr_reftransV1_0005475")</f>
        <v>p.persica_gdr_reftransV1_0005475</v>
      </c>
      <c r="B5877" s="3">
        <v>549</v>
      </c>
      <c r="C5877" s="1" t="str">
        <f>HYPERLINK("http://www.uniprot.org/uniprot/RCH1_ARATH","RCH1_ARATH")</f>
        <v>RCH1_ARATH</v>
      </c>
      <c r="D5877" t="s">
        <v>4916</v>
      </c>
      <c r="E5877" s="3" t="s">
        <v>3</v>
      </c>
      <c r="F5877" s="4">
        <v>1.5900000000000001E-23</v>
      </c>
      <c r="G5877" s="3">
        <v>254</v>
      </c>
      <c r="H5877" s="3">
        <v>50</v>
      </c>
      <c r="I5877" s="3">
        <v>129</v>
      </c>
      <c r="J5877" s="3">
        <v>166</v>
      </c>
      <c r="K5877" s="3">
        <v>546</v>
      </c>
      <c r="L5877" s="3">
        <v>63</v>
      </c>
      <c r="M5877" s="3">
        <v>191</v>
      </c>
    </row>
    <row r="5878" spans="1:13" x14ac:dyDescent="0.25">
      <c r="A5878" s="1" t="str">
        <f>HYPERLINK("http://www.rosaceae.org/Prunus/Prunus_persica/p.persica_gdr_reftransV1_0005525","p.persica_gdr_reftransV1_0005525")</f>
        <v>p.persica_gdr_reftransV1_0005525</v>
      </c>
      <c r="B5878" s="3">
        <v>1914</v>
      </c>
      <c r="C5878" s="1" t="str">
        <f>HYPERLINK("http://www.uniprot.org/uniprot/UGDH1_SOYBN","UGDH1_SOYBN")</f>
        <v>UGDH1_SOYBN</v>
      </c>
      <c r="D5878" t="s">
        <v>546</v>
      </c>
      <c r="E5878" s="3" t="s">
        <v>307</v>
      </c>
      <c r="F5878" s="4">
        <v>0</v>
      </c>
      <c r="G5878" s="3">
        <v>2266</v>
      </c>
      <c r="H5878" s="3">
        <v>90</v>
      </c>
      <c r="I5878" s="3">
        <v>482</v>
      </c>
      <c r="J5878" s="3">
        <v>176</v>
      </c>
      <c r="K5878" s="3">
        <v>1621</v>
      </c>
      <c r="L5878" s="3">
        <v>1</v>
      </c>
      <c r="M5878" s="3">
        <v>480</v>
      </c>
    </row>
    <row r="5879" spans="1:13" x14ac:dyDescent="0.25">
      <c r="A5879" s="1" t="str">
        <f>HYPERLINK("http://www.rosaceae.org/Prunus/Prunus_persica/p.persica_gdr_reftransV1_0005625","p.persica_gdr_reftransV1_0005625")</f>
        <v>p.persica_gdr_reftransV1_0005625</v>
      </c>
      <c r="B5879" s="3">
        <v>939</v>
      </c>
      <c r="C5879" s="1" t="str">
        <f>HYPERLINK("http://www.uniprot.org/uniprot/Y4265_ARATH","Y4265_ARATH")</f>
        <v>Y4265_ARATH</v>
      </c>
      <c r="D5879" t="s">
        <v>1089</v>
      </c>
      <c r="E5879" s="3" t="s">
        <v>3</v>
      </c>
      <c r="F5879" s="4">
        <v>3.4699999999999999E-144</v>
      </c>
      <c r="G5879" s="3">
        <v>1132</v>
      </c>
      <c r="H5879" s="3">
        <v>76</v>
      </c>
      <c r="I5879" s="3">
        <v>312</v>
      </c>
      <c r="J5879" s="3">
        <v>3</v>
      </c>
      <c r="K5879" s="3">
        <v>938</v>
      </c>
      <c r="L5879" s="3">
        <v>140</v>
      </c>
      <c r="M5879" s="3">
        <v>451</v>
      </c>
    </row>
    <row r="5880" spans="1:13" x14ac:dyDescent="0.25">
      <c r="A5880" s="1" t="str">
        <f>HYPERLINK("http://www.rosaceae.org/Prunus/Prunus_persica/p.persica_gdr_reftransV1_0005675","p.persica_gdr_reftransV1_0005675")</f>
        <v>p.persica_gdr_reftransV1_0005675</v>
      </c>
      <c r="B5880" s="3">
        <v>1973</v>
      </c>
      <c r="C5880" s="1" t="str">
        <f>HYPERLINK("http://www.uniprot.org/uniprot/C78A6_ARATH","C78A6_ARATH")</f>
        <v>C78A6_ARATH</v>
      </c>
      <c r="D5880" t="s">
        <v>4917</v>
      </c>
      <c r="E5880" s="3" t="s">
        <v>3</v>
      </c>
      <c r="F5880" s="4">
        <v>0</v>
      </c>
      <c r="G5880" s="3">
        <v>1612</v>
      </c>
      <c r="H5880" s="3">
        <v>63</v>
      </c>
      <c r="I5880" s="3">
        <v>544</v>
      </c>
      <c r="J5880" s="3">
        <v>57</v>
      </c>
      <c r="K5880" s="3">
        <v>1679</v>
      </c>
      <c r="L5880" s="3">
        <v>1</v>
      </c>
      <c r="M5880" s="3">
        <v>528</v>
      </c>
    </row>
    <row r="5881" spans="1:13" x14ac:dyDescent="0.25">
      <c r="A5881" s="1" t="str">
        <f>HYPERLINK("http://www.rosaceae.org/Prunus/Prunus_persica/p.persica_gdr_reftransV1_0005725","p.persica_gdr_reftransV1_0005725")</f>
        <v>p.persica_gdr_reftransV1_0005725</v>
      </c>
      <c r="B5881" s="3">
        <v>414</v>
      </c>
      <c r="C5881" s="1" t="str">
        <f>HYPERLINK("http://www.uniprot.org/uniprot/CNGC1_ARATH","CNGC1_ARATH")</f>
        <v>CNGC1_ARATH</v>
      </c>
      <c r="D5881" t="s">
        <v>241</v>
      </c>
      <c r="E5881" s="3" t="s">
        <v>3</v>
      </c>
      <c r="F5881" s="4">
        <v>6.5299999999999997E-14</v>
      </c>
      <c r="G5881" s="3">
        <v>176</v>
      </c>
      <c r="H5881" s="3">
        <v>65</v>
      </c>
      <c r="I5881" s="3">
        <v>46</v>
      </c>
      <c r="J5881" s="3">
        <v>269</v>
      </c>
      <c r="K5881" s="3">
        <v>406</v>
      </c>
      <c r="L5881" s="3">
        <v>95</v>
      </c>
      <c r="M5881" s="3">
        <v>140</v>
      </c>
    </row>
    <row r="5882" spans="1:13" x14ac:dyDescent="0.25">
      <c r="A5882" s="1" t="str">
        <f>HYPERLINK("http://www.rosaceae.org/Prunus/Prunus_persica/p.persica_gdr_reftransV1_0005975","p.persica_gdr_reftransV1_0005975")</f>
        <v>p.persica_gdr_reftransV1_0005975</v>
      </c>
      <c r="B5882" s="3">
        <v>870</v>
      </c>
      <c r="C5882" s="1" t="str">
        <f>HYPERLINK("http://www.uniprot.org/uniprot/C87A3_ORYSJ","C87A3_ORYSJ")</f>
        <v>C87A3_ORYSJ</v>
      </c>
      <c r="D5882" t="s">
        <v>4889</v>
      </c>
      <c r="E5882" s="3" t="s">
        <v>38</v>
      </c>
      <c r="F5882" s="4">
        <v>1.72E-112</v>
      </c>
      <c r="G5882" s="3">
        <v>875</v>
      </c>
      <c r="H5882" s="3">
        <v>60</v>
      </c>
      <c r="I5882" s="3">
        <v>256</v>
      </c>
      <c r="J5882" s="3">
        <v>106</v>
      </c>
      <c r="K5882" s="3">
        <v>870</v>
      </c>
      <c r="L5882" s="3">
        <v>259</v>
      </c>
      <c r="M5882" s="3">
        <v>514</v>
      </c>
    </row>
    <row r="5883" spans="1:13" x14ac:dyDescent="0.25">
      <c r="A5883" s="1" t="str">
        <f>HYPERLINK("http://www.rosaceae.org/Prunus/Prunus_persica/p.persica_gdr_reftransV1_0006525","p.persica_gdr_reftransV1_0006525")</f>
        <v>p.persica_gdr_reftransV1_0006525</v>
      </c>
      <c r="B5883" s="3">
        <v>1871</v>
      </c>
      <c r="C5883" s="1" t="str">
        <f>HYPERLINK("http://www.uniprot.org/uniprot/RETOL_ARATH","RETOL_ARATH")</f>
        <v>RETOL_ARATH</v>
      </c>
      <c r="D5883" t="s">
        <v>4918</v>
      </c>
      <c r="E5883" s="3" t="s">
        <v>3</v>
      </c>
      <c r="F5883" s="4">
        <v>0</v>
      </c>
      <c r="G5883" s="3">
        <v>1380</v>
      </c>
      <c r="H5883" s="3">
        <v>55</v>
      </c>
      <c r="I5883" s="3">
        <v>512</v>
      </c>
      <c r="J5883" s="3">
        <v>229</v>
      </c>
      <c r="K5883" s="3">
        <v>1752</v>
      </c>
      <c r="L5883" s="3">
        <v>39</v>
      </c>
      <c r="M5883" s="3">
        <v>543</v>
      </c>
    </row>
    <row r="5884" spans="1:13" x14ac:dyDescent="0.25">
      <c r="A5884" s="1" t="str">
        <f>HYPERLINK("http://www.rosaceae.org/Prunus/Prunus_persica/p.persica_gdr_reftransV1_0006725","p.persica_gdr_reftransV1_0006725")</f>
        <v>p.persica_gdr_reftransV1_0006725</v>
      </c>
      <c r="B5884" s="3">
        <v>1682</v>
      </c>
      <c r="C5884" s="1" t="str">
        <f>HYPERLINK("http://www.uniprot.org/uniprot/GSTU7_ARATH","GSTU7_ARATH")</f>
        <v>GSTU7_ARATH</v>
      </c>
      <c r="D5884" t="s">
        <v>4448</v>
      </c>
      <c r="E5884" s="3" t="s">
        <v>3</v>
      </c>
      <c r="F5884" s="4">
        <v>3.2800000000000002E-57</v>
      </c>
      <c r="G5884" s="3">
        <v>500</v>
      </c>
      <c r="H5884" s="3">
        <v>49</v>
      </c>
      <c r="I5884" s="3">
        <v>216</v>
      </c>
      <c r="J5884" s="3">
        <v>1</v>
      </c>
      <c r="K5884" s="3">
        <v>639</v>
      </c>
      <c r="L5884" s="3">
        <v>8</v>
      </c>
      <c r="M5884" s="3">
        <v>220</v>
      </c>
    </row>
    <row r="5885" spans="1:13" x14ac:dyDescent="0.25">
      <c r="A5885" s="1" t="str">
        <f>HYPERLINK("http://www.rosaceae.org/Prunus/Prunus_persica/p.persica_gdr_reftransV1_0006875","p.persica_gdr_reftransV1_0006875")</f>
        <v>p.persica_gdr_reftransV1_0006875</v>
      </c>
      <c r="B5885" s="3">
        <v>1482</v>
      </c>
      <c r="C5885" s="1" t="str">
        <f>HYPERLINK("http://www.uniprot.org/uniprot/PLP1_ORYSI","PLP1_ORYSI")</f>
        <v>PLP1_ORYSI</v>
      </c>
      <c r="D5885" t="s">
        <v>4919</v>
      </c>
      <c r="E5885" s="3" t="s">
        <v>38</v>
      </c>
      <c r="F5885" s="4">
        <v>2.2099999999999999E-143</v>
      </c>
      <c r="G5885" s="3">
        <v>1092</v>
      </c>
      <c r="H5885" s="3">
        <v>54</v>
      </c>
      <c r="I5885" s="3">
        <v>379</v>
      </c>
      <c r="J5885" s="3">
        <v>171</v>
      </c>
      <c r="K5885" s="3">
        <v>1283</v>
      </c>
      <c r="L5885" s="3">
        <v>17</v>
      </c>
      <c r="M5885" s="3">
        <v>390</v>
      </c>
    </row>
    <row r="5886" spans="1:13" x14ac:dyDescent="0.25">
      <c r="A5886" s="1" t="str">
        <f>HYPERLINK("http://www.rosaceae.org/Prunus/Prunus_persica/p.persica_gdr_reftransV1_0007025","p.persica_gdr_reftransV1_0007025")</f>
        <v>p.persica_gdr_reftransV1_0007025</v>
      </c>
      <c r="B5886" s="3">
        <v>620</v>
      </c>
      <c r="C5886" s="1" t="str">
        <f>HYPERLINK("http://www.uniprot.org/uniprot/ERG1_PANGI","ERG1_PANGI")</f>
        <v>ERG1_PANGI</v>
      </c>
      <c r="D5886" t="s">
        <v>1476</v>
      </c>
      <c r="E5886" s="3" t="s">
        <v>1477</v>
      </c>
      <c r="F5886" s="4">
        <v>1.18E-57</v>
      </c>
      <c r="G5886" s="3">
        <v>497</v>
      </c>
      <c r="H5886" s="3">
        <v>81</v>
      </c>
      <c r="I5886" s="3">
        <v>113</v>
      </c>
      <c r="J5886" s="3">
        <v>1</v>
      </c>
      <c r="K5886" s="3">
        <v>339</v>
      </c>
      <c r="L5886" s="3">
        <v>427</v>
      </c>
      <c r="M5886" s="3">
        <v>539</v>
      </c>
    </row>
    <row r="5887" spans="1:13" x14ac:dyDescent="0.25">
      <c r="A5887" s="1" t="str">
        <f>HYPERLINK("http://www.rosaceae.org/Prunus/Prunus_persica/p.persica_gdr_reftransV1_0007075","p.persica_gdr_reftransV1_0007075")</f>
        <v>p.persica_gdr_reftransV1_0007075</v>
      </c>
      <c r="B5887" s="3">
        <v>986</v>
      </c>
      <c r="C5887" s="1" t="str">
        <f>HYPERLINK("http://www.uniprot.org/uniprot/WAKLD_ARATH","WAKLD_ARATH")</f>
        <v>WAKLD_ARATH</v>
      </c>
      <c r="D5887" t="s">
        <v>1211</v>
      </c>
      <c r="E5887" s="3" t="s">
        <v>3</v>
      </c>
      <c r="F5887" s="4">
        <v>1.93E-31</v>
      </c>
      <c r="G5887" s="3">
        <v>240</v>
      </c>
      <c r="H5887" s="3">
        <v>32</v>
      </c>
      <c r="I5887" s="3">
        <v>164</v>
      </c>
      <c r="J5887" s="3">
        <v>491</v>
      </c>
      <c r="K5887" s="3">
        <v>976</v>
      </c>
      <c r="L5887" s="3">
        <v>376</v>
      </c>
      <c r="M5887" s="3">
        <v>536</v>
      </c>
    </row>
    <row r="5888" spans="1:13" x14ac:dyDescent="0.25">
      <c r="A5888" s="1" t="str">
        <f>HYPERLINK("http://www.rosaceae.org/Prunus/Prunus_persica/p.persica_gdr_reftransV1_0007175","p.persica_gdr_reftransV1_0007175")</f>
        <v>p.persica_gdr_reftransV1_0007175</v>
      </c>
      <c r="B5888" s="3">
        <v>1938</v>
      </c>
      <c r="C5888" s="1" t="str">
        <f>HYPERLINK("http://www.uniprot.org/uniprot/CSN2_ARATH","CSN2_ARATH")</f>
        <v>CSN2_ARATH</v>
      </c>
      <c r="D5888" t="s">
        <v>4920</v>
      </c>
      <c r="E5888" s="3" t="s">
        <v>3</v>
      </c>
      <c r="F5888" s="4">
        <v>0</v>
      </c>
      <c r="G5888" s="3">
        <v>1995</v>
      </c>
      <c r="H5888" s="3">
        <v>88</v>
      </c>
      <c r="I5888" s="3">
        <v>438</v>
      </c>
      <c r="J5888" s="3">
        <v>194</v>
      </c>
      <c r="K5888" s="3">
        <v>1507</v>
      </c>
      <c r="L5888" s="3">
        <v>1</v>
      </c>
      <c r="M5888" s="3">
        <v>438</v>
      </c>
    </row>
    <row r="5889" spans="1:13" x14ac:dyDescent="0.25">
      <c r="A5889" s="1" t="str">
        <f>HYPERLINK("http://www.rosaceae.org/Prunus/Prunus_persica/p.persica_gdr_reftransV1_0007375","p.persica_gdr_reftransV1_0007375")</f>
        <v>p.persica_gdr_reftransV1_0007375</v>
      </c>
      <c r="B5889" s="3">
        <v>1575</v>
      </c>
      <c r="C5889" s="1" t="str">
        <f>HYPERLINK("http://www.uniprot.org/uniprot/Y1814_ARATH","Y1814_ARATH")</f>
        <v>Y1814_ARATH</v>
      </c>
      <c r="D5889" t="s">
        <v>4921</v>
      </c>
      <c r="E5889" s="3" t="s">
        <v>3</v>
      </c>
      <c r="F5889" s="4">
        <v>9.3700000000000007E-75</v>
      </c>
      <c r="G5889" s="3">
        <v>630</v>
      </c>
      <c r="H5889" s="3">
        <v>65</v>
      </c>
      <c r="I5889" s="3">
        <v>175</v>
      </c>
      <c r="J5889" s="3">
        <v>285</v>
      </c>
      <c r="K5889" s="3">
        <v>806</v>
      </c>
      <c r="L5889" s="3">
        <v>62</v>
      </c>
      <c r="M5889" s="3">
        <v>235</v>
      </c>
    </row>
    <row r="5890" spans="1:13" x14ac:dyDescent="0.25">
      <c r="A5890" s="1" t="str">
        <f>HYPERLINK("http://www.rosaceae.org/Prunus/Prunus_persica/p.persica_gdr_reftransV1_0007575","p.persica_gdr_reftransV1_0007575")</f>
        <v>p.persica_gdr_reftransV1_0007575</v>
      </c>
      <c r="B5890" s="3">
        <v>1709</v>
      </c>
      <c r="C5890" s="1" t="str">
        <f>HYPERLINK("http://www.uniprot.org/uniprot/CML45_ARATH","CML45_ARATH")</f>
        <v>CML45_ARATH</v>
      </c>
      <c r="D5890" t="s">
        <v>4687</v>
      </c>
      <c r="E5890" s="3" t="s">
        <v>3</v>
      </c>
      <c r="F5890" s="4">
        <v>3.8400000000000003E-40</v>
      </c>
      <c r="G5890" s="3">
        <v>377</v>
      </c>
      <c r="H5890" s="3">
        <v>49</v>
      </c>
      <c r="I5890" s="3">
        <v>199</v>
      </c>
      <c r="J5890" s="3">
        <v>856</v>
      </c>
      <c r="K5890" s="3">
        <v>1434</v>
      </c>
      <c r="L5890" s="3">
        <v>6</v>
      </c>
      <c r="M5890" s="3">
        <v>200</v>
      </c>
    </row>
    <row r="5891" spans="1:13" x14ac:dyDescent="0.25">
      <c r="A5891" s="1" t="str">
        <f>HYPERLINK("http://www.rosaceae.org/Prunus/Prunus_persica/p.persica_gdr_reftransV1_0007625","p.persica_gdr_reftransV1_0007625")</f>
        <v>p.persica_gdr_reftransV1_0007625</v>
      </c>
      <c r="B5891" s="3">
        <v>2500</v>
      </c>
      <c r="C5891" s="1" t="str">
        <f>HYPERLINK("http://www.uniprot.org/uniprot/ST38L_HUMAN","ST38L_HUMAN")</f>
        <v>ST38L_HUMAN</v>
      </c>
      <c r="D5891" t="s">
        <v>4922</v>
      </c>
      <c r="E5891" s="3" t="s">
        <v>28</v>
      </c>
      <c r="F5891" s="4">
        <v>7.6900000000000006E-114</v>
      </c>
      <c r="G5891" s="3">
        <v>927</v>
      </c>
      <c r="H5891" s="3">
        <v>52</v>
      </c>
      <c r="I5891" s="3">
        <v>361</v>
      </c>
      <c r="J5891" s="3">
        <v>6</v>
      </c>
      <c r="K5891" s="3">
        <v>1082</v>
      </c>
      <c r="L5891" s="3">
        <v>72</v>
      </c>
      <c r="M5891" s="3">
        <v>418</v>
      </c>
    </row>
    <row r="5892" spans="1:13" x14ac:dyDescent="0.25">
      <c r="A5892" s="1" t="str">
        <f>HYPERLINK("http://www.rosaceae.org/Prunus/Prunus_persica/p.persica_gdr_reftransV1_0007675","p.persica_gdr_reftransV1_0007675")</f>
        <v>p.persica_gdr_reftransV1_0007675</v>
      </c>
      <c r="B5892" s="3">
        <v>413</v>
      </c>
      <c r="C5892" s="1" t="str">
        <f>HYPERLINK("http://www.uniprot.org/uniprot/NEN1_ARATH","NEN1_ARATH")</f>
        <v>NEN1_ARATH</v>
      </c>
      <c r="D5892" t="s">
        <v>4923</v>
      </c>
      <c r="E5892" s="3" t="s">
        <v>3</v>
      </c>
      <c r="F5892" s="4">
        <v>8.1899999999999997E-32</v>
      </c>
      <c r="G5892" s="3">
        <v>304</v>
      </c>
      <c r="H5892" s="3">
        <v>46</v>
      </c>
      <c r="I5892" s="3">
        <v>147</v>
      </c>
      <c r="J5892" s="3">
        <v>3</v>
      </c>
      <c r="K5892" s="3">
        <v>413</v>
      </c>
      <c r="L5892" s="3">
        <v>298</v>
      </c>
      <c r="M5892" s="3">
        <v>442</v>
      </c>
    </row>
    <row r="5893" spans="1:13" x14ac:dyDescent="0.25">
      <c r="A5893" s="1" t="str">
        <f>HYPERLINK("http://www.rosaceae.org/Prunus/Prunus_persica/p.persica_gdr_reftransV1_0007725","p.persica_gdr_reftransV1_0007725")</f>
        <v>p.persica_gdr_reftransV1_0007725</v>
      </c>
      <c r="B5893" s="3">
        <v>2815</v>
      </c>
      <c r="C5893" s="1" t="str">
        <f>HYPERLINK("http://www.uniprot.org/uniprot/TOM70_RAT","TOM70_RAT")</f>
        <v>TOM70_RAT</v>
      </c>
      <c r="D5893" t="s">
        <v>4924</v>
      </c>
      <c r="E5893" s="3" t="s">
        <v>161</v>
      </c>
      <c r="F5893" s="4">
        <v>1.62E-12</v>
      </c>
      <c r="G5893" s="3">
        <v>183</v>
      </c>
      <c r="H5893" s="3">
        <v>35</v>
      </c>
      <c r="I5893" s="3">
        <v>107</v>
      </c>
      <c r="J5893" s="3">
        <v>322</v>
      </c>
      <c r="K5893" s="3">
        <v>642</v>
      </c>
      <c r="L5893" s="3">
        <v>116</v>
      </c>
      <c r="M5893" s="3">
        <v>219</v>
      </c>
    </row>
    <row r="5894" spans="1:13" x14ac:dyDescent="0.25">
      <c r="A5894" s="1" t="str">
        <f>HYPERLINK("http://www.rosaceae.org/Prunus/Prunus_persica/p.persica_gdr_reftransV1_0007775","p.persica_gdr_reftransV1_0007775")</f>
        <v>p.persica_gdr_reftransV1_0007775</v>
      </c>
      <c r="B5894" s="3">
        <v>1886</v>
      </c>
      <c r="C5894" s="1" t="str">
        <f>HYPERLINK("http://www.uniprot.org/uniprot/PP438_ARATH","PP438_ARATH")</f>
        <v>PP438_ARATH</v>
      </c>
      <c r="D5894" t="s">
        <v>4925</v>
      </c>
      <c r="E5894" s="3" t="s">
        <v>3</v>
      </c>
      <c r="F5894" s="4">
        <v>0</v>
      </c>
      <c r="G5894" s="3">
        <v>1593</v>
      </c>
      <c r="H5894" s="3">
        <v>67</v>
      </c>
      <c r="I5894" s="3">
        <v>438</v>
      </c>
      <c r="J5894" s="3">
        <v>235</v>
      </c>
      <c r="K5894" s="3">
        <v>1545</v>
      </c>
      <c r="L5894" s="3">
        <v>82</v>
      </c>
      <c r="M5894" s="3">
        <v>519</v>
      </c>
    </row>
    <row r="5895" spans="1:13" x14ac:dyDescent="0.25">
      <c r="A5895" s="1" t="str">
        <f>HYPERLINK("http://www.rosaceae.org/Prunus/Prunus_persica/p.persica_gdr_reftransV1_0007875","p.persica_gdr_reftransV1_0007875")</f>
        <v>p.persica_gdr_reftransV1_0007875</v>
      </c>
      <c r="B5895" s="3">
        <v>1078</v>
      </c>
      <c r="C5895" s="1" t="str">
        <f>HYPERLINK("http://www.uniprot.org/uniprot/TRXM3_ARATH","TRXM3_ARATH")</f>
        <v>TRXM3_ARATH</v>
      </c>
      <c r="D5895" t="s">
        <v>4926</v>
      </c>
      <c r="E5895" s="3" t="s">
        <v>3</v>
      </c>
      <c r="F5895" s="4">
        <v>6.0200000000000003E-52</v>
      </c>
      <c r="G5895" s="3">
        <v>446</v>
      </c>
      <c r="H5895" s="3">
        <v>73</v>
      </c>
      <c r="I5895" s="3">
        <v>111</v>
      </c>
      <c r="J5895" s="3">
        <v>477</v>
      </c>
      <c r="K5895" s="3">
        <v>809</v>
      </c>
      <c r="L5895" s="3">
        <v>63</v>
      </c>
      <c r="M5895" s="3">
        <v>173</v>
      </c>
    </row>
    <row r="5896" spans="1:13" x14ac:dyDescent="0.25">
      <c r="A5896" s="1" t="str">
        <f>HYPERLINK("http://www.rosaceae.org/Prunus/Prunus_persica/p.persica_gdr_reftransV1_0007925","p.persica_gdr_reftransV1_0007925")</f>
        <v>p.persica_gdr_reftransV1_0007925</v>
      </c>
      <c r="B5896" s="3">
        <v>3437</v>
      </c>
      <c r="C5896" s="1" t="str">
        <f>HYPERLINK("http://www.uniprot.org/uniprot/EDR2_ARATH","EDR2_ARATH")</f>
        <v>EDR2_ARATH</v>
      </c>
      <c r="D5896" t="s">
        <v>4054</v>
      </c>
      <c r="E5896" s="3" t="s">
        <v>3</v>
      </c>
      <c r="F5896" s="4">
        <v>0</v>
      </c>
      <c r="G5896" s="3">
        <v>3033</v>
      </c>
      <c r="H5896" s="3">
        <v>82</v>
      </c>
      <c r="I5896" s="3">
        <v>719</v>
      </c>
      <c r="J5896" s="3">
        <v>454</v>
      </c>
      <c r="K5896" s="3">
        <v>2592</v>
      </c>
      <c r="L5896" s="3">
        <v>2</v>
      </c>
      <c r="M5896" s="3">
        <v>718</v>
      </c>
    </row>
    <row r="5897" spans="1:13" x14ac:dyDescent="0.25">
      <c r="A5897" s="1" t="str">
        <f>HYPERLINK("http://www.rosaceae.org/Prunus/Prunus_persica/p.persica_gdr_reftransV1_0008025","p.persica_gdr_reftransV1_0008025")</f>
        <v>p.persica_gdr_reftransV1_0008025</v>
      </c>
      <c r="B5897" s="3">
        <v>1684</v>
      </c>
      <c r="C5897" s="1" t="str">
        <f>HYPERLINK("http://www.uniprot.org/uniprot/PUP5_ARATH","PUP5_ARATH")</f>
        <v>PUP5_ARATH</v>
      </c>
      <c r="D5897" t="s">
        <v>4927</v>
      </c>
      <c r="E5897" s="3" t="s">
        <v>3</v>
      </c>
      <c r="F5897" s="4">
        <v>4.8300000000000001E-113</v>
      </c>
      <c r="G5897" s="3">
        <v>891</v>
      </c>
      <c r="H5897" s="3">
        <v>73</v>
      </c>
      <c r="I5897" s="3">
        <v>323</v>
      </c>
      <c r="J5897" s="3">
        <v>475</v>
      </c>
      <c r="K5897" s="3">
        <v>1443</v>
      </c>
      <c r="L5897" s="3">
        <v>18</v>
      </c>
      <c r="M5897" s="3">
        <v>340</v>
      </c>
    </row>
    <row r="5898" spans="1:13" x14ac:dyDescent="0.25">
      <c r="A5898" s="1" t="str">
        <f>HYPERLINK("http://www.rosaceae.org/Prunus/Prunus_persica/p.persica_gdr_reftransV1_0008075","p.persica_gdr_reftransV1_0008075")</f>
        <v>p.persica_gdr_reftransV1_0008075</v>
      </c>
      <c r="B5898" s="3">
        <v>2734</v>
      </c>
      <c r="C5898" s="1" t="str">
        <f>HYPERLINK("http://www.uniprot.org/uniprot/KPRO_MAIZE","KPRO_MAIZE")</f>
        <v>KPRO_MAIZE</v>
      </c>
      <c r="D5898" t="s">
        <v>4928</v>
      </c>
      <c r="E5898" s="3" t="s">
        <v>72</v>
      </c>
      <c r="F5898" s="4">
        <v>7.4899999999999998E-175</v>
      </c>
      <c r="G5898" s="3">
        <v>1377</v>
      </c>
      <c r="H5898" s="3">
        <v>40</v>
      </c>
      <c r="I5898" s="3">
        <v>783</v>
      </c>
      <c r="J5898" s="3">
        <v>256</v>
      </c>
      <c r="K5898" s="3">
        <v>2529</v>
      </c>
      <c r="L5898" s="3">
        <v>47</v>
      </c>
      <c r="M5898" s="3">
        <v>816</v>
      </c>
    </row>
    <row r="5899" spans="1:13" x14ac:dyDescent="0.25">
      <c r="A5899" s="1" t="str">
        <f>HYPERLINK("http://www.rosaceae.org/Prunus/Prunus_persica/p.persica_gdr_reftransV1_0008325","p.persica_gdr_reftransV1_0008325")</f>
        <v>p.persica_gdr_reftransV1_0008325</v>
      </c>
      <c r="B5899" s="3">
        <v>807</v>
      </c>
      <c r="C5899" s="1" t="str">
        <f>HYPERLINK("http://www.uniprot.org/uniprot/CXE11_ARATH","CXE11_ARATH")</f>
        <v>CXE11_ARATH</v>
      </c>
      <c r="D5899" t="s">
        <v>4929</v>
      </c>
      <c r="E5899" s="3" t="s">
        <v>3</v>
      </c>
      <c r="F5899" s="4">
        <v>3.3700000000000001E-91</v>
      </c>
      <c r="G5899" s="3">
        <v>726</v>
      </c>
      <c r="H5899" s="3">
        <v>81</v>
      </c>
      <c r="I5899" s="3">
        <v>175</v>
      </c>
      <c r="J5899" s="3">
        <v>283</v>
      </c>
      <c r="K5899" s="3">
        <v>807</v>
      </c>
      <c r="L5899" s="3">
        <v>286</v>
      </c>
      <c r="M5899" s="3">
        <v>460</v>
      </c>
    </row>
    <row r="5900" spans="1:13" x14ac:dyDescent="0.25">
      <c r="A5900" s="1" t="str">
        <f>HYPERLINK("http://www.rosaceae.org/Prunus/Prunus_persica/p.persica_gdr_reftransV1_0008425","p.persica_gdr_reftransV1_0008425")</f>
        <v>p.persica_gdr_reftransV1_0008425</v>
      </c>
      <c r="B5900" s="3">
        <v>1295</v>
      </c>
      <c r="C5900" s="1" t="str">
        <f>HYPERLINK("http://www.uniprot.org/uniprot/PPAF_SOYBN","PPAF_SOYBN")</f>
        <v>PPAF_SOYBN</v>
      </c>
      <c r="D5900" t="s">
        <v>3927</v>
      </c>
      <c r="E5900" s="3" t="s">
        <v>307</v>
      </c>
      <c r="F5900" s="4">
        <v>3.3500000000000001E-151</v>
      </c>
      <c r="G5900" s="3">
        <v>1142</v>
      </c>
      <c r="H5900" s="3">
        <v>81</v>
      </c>
      <c r="I5900" s="3">
        <v>252</v>
      </c>
      <c r="J5900" s="3">
        <v>3</v>
      </c>
      <c r="K5900" s="3">
        <v>758</v>
      </c>
      <c r="L5900" s="3">
        <v>206</v>
      </c>
      <c r="M5900" s="3">
        <v>457</v>
      </c>
    </row>
    <row r="5901" spans="1:13" x14ac:dyDescent="0.25">
      <c r="A5901" s="1" t="str">
        <f>HYPERLINK("http://www.rosaceae.org/Prunus/Prunus_persica/p.persica_gdr_reftransV1_0008475","p.persica_gdr_reftransV1_0008475")</f>
        <v>p.persica_gdr_reftransV1_0008475</v>
      </c>
      <c r="B5901" s="3">
        <v>1028</v>
      </c>
      <c r="C5901" s="1" t="str">
        <f>HYPERLINK("http://www.uniprot.org/uniprot/UREA_ARATH","UREA_ARATH")</f>
        <v>UREA_ARATH</v>
      </c>
      <c r="D5901" t="s">
        <v>4930</v>
      </c>
      <c r="E5901" s="3" t="s">
        <v>3</v>
      </c>
      <c r="F5901" s="4">
        <v>5.2799999999999998E-104</v>
      </c>
      <c r="G5901" s="3">
        <v>846</v>
      </c>
      <c r="H5901" s="3">
        <v>77</v>
      </c>
      <c r="I5901" s="3">
        <v>199</v>
      </c>
      <c r="J5901" s="3">
        <v>184</v>
      </c>
      <c r="K5901" s="3">
        <v>780</v>
      </c>
      <c r="L5901" s="3">
        <v>640</v>
      </c>
      <c r="M5901" s="3">
        <v>838</v>
      </c>
    </row>
    <row r="5902" spans="1:13" x14ac:dyDescent="0.25">
      <c r="A5902" s="1" t="str">
        <f>HYPERLINK("http://www.rosaceae.org/Prunus/Prunus_persica/p.persica_gdr_reftransV1_0008575","p.persica_gdr_reftransV1_0008575")</f>
        <v>p.persica_gdr_reftransV1_0008575</v>
      </c>
      <c r="B5902" s="3">
        <v>2074</v>
      </c>
      <c r="C5902" s="1" t="str">
        <f>HYPERLINK("http://www.uniprot.org/uniprot/PTR30_ARATH","PTR30_ARATH")</f>
        <v>PTR30_ARATH</v>
      </c>
      <c r="D5902" t="s">
        <v>4931</v>
      </c>
      <c r="E5902" s="3" t="s">
        <v>3</v>
      </c>
      <c r="F5902" s="4">
        <v>0</v>
      </c>
      <c r="G5902" s="3">
        <v>2301</v>
      </c>
      <c r="H5902" s="3">
        <v>74</v>
      </c>
      <c r="I5902" s="3">
        <v>591</v>
      </c>
      <c r="J5902" s="3">
        <v>58</v>
      </c>
      <c r="K5902" s="3">
        <v>1818</v>
      </c>
      <c r="L5902" s="3">
        <v>1</v>
      </c>
      <c r="M5902" s="3">
        <v>583</v>
      </c>
    </row>
    <row r="5903" spans="1:13" x14ac:dyDescent="0.25">
      <c r="A5903" s="1" t="str">
        <f>HYPERLINK("http://www.rosaceae.org/Prunus/Prunus_persica/p.persica_gdr_reftransV1_0008625","p.persica_gdr_reftransV1_0008625")</f>
        <v>p.persica_gdr_reftransV1_0008625</v>
      </c>
      <c r="B5903" s="3">
        <v>2937</v>
      </c>
      <c r="C5903" s="1" t="str">
        <f>HYPERLINK("http://www.uniprot.org/uniprot/ARid3_ARATH","ARid3_ARATH")</f>
        <v>ARid3_ARATH</v>
      </c>
      <c r="D5903" t="s">
        <v>4932</v>
      </c>
      <c r="E5903" s="3" t="s">
        <v>3</v>
      </c>
      <c r="F5903" s="4">
        <v>4.1400000000000003E-125</v>
      </c>
      <c r="G5903" s="3">
        <v>1041</v>
      </c>
      <c r="H5903" s="3">
        <v>65</v>
      </c>
      <c r="I5903" s="3">
        <v>310</v>
      </c>
      <c r="J5903" s="3">
        <v>1660</v>
      </c>
      <c r="K5903" s="3">
        <v>2568</v>
      </c>
      <c r="L5903" s="3">
        <v>485</v>
      </c>
      <c r="M5903" s="3">
        <v>784</v>
      </c>
    </row>
    <row r="5904" spans="1:13" x14ac:dyDescent="0.25">
      <c r="A5904" s="1" t="str">
        <f>HYPERLINK("http://www.rosaceae.org/Prunus/Prunus_persica/p.persica_gdr_reftransV1_0008675","p.persica_gdr_reftransV1_0008675")</f>
        <v>p.persica_gdr_reftransV1_0008675</v>
      </c>
      <c r="B5904" s="3">
        <v>2419</v>
      </c>
      <c r="C5904" s="1" t="str">
        <f>HYPERLINK("http://www.uniprot.org/uniprot/FBL4_ARATH","FBL4_ARATH")</f>
        <v>FBL4_ARATH</v>
      </c>
      <c r="D5904" t="s">
        <v>876</v>
      </c>
      <c r="E5904" s="3" t="s">
        <v>3</v>
      </c>
      <c r="F5904" s="4">
        <v>0</v>
      </c>
      <c r="G5904" s="3">
        <v>1753</v>
      </c>
      <c r="H5904" s="3">
        <v>67</v>
      </c>
      <c r="I5904" s="3">
        <v>512</v>
      </c>
      <c r="J5904" s="3">
        <v>201</v>
      </c>
      <c r="K5904" s="3">
        <v>1730</v>
      </c>
      <c r="L5904" s="3">
        <v>1</v>
      </c>
      <c r="M5904" s="3">
        <v>512</v>
      </c>
    </row>
    <row r="5905" spans="1:13" x14ac:dyDescent="0.25">
      <c r="A5905" s="1" t="str">
        <f>HYPERLINK("http://www.rosaceae.org/Prunus/Prunus_persica/p.persica_gdr_reftransV1_0008775","p.persica_gdr_reftransV1_0008775")</f>
        <v>p.persica_gdr_reftransV1_0008775</v>
      </c>
      <c r="B5905" s="3">
        <v>881</v>
      </c>
      <c r="C5905" s="1" t="str">
        <f>HYPERLINK("http://www.uniprot.org/uniprot/SAU20_ARATH","SAU20_ARATH")</f>
        <v>SAU20_ARATH</v>
      </c>
      <c r="D5905" t="s">
        <v>2797</v>
      </c>
      <c r="E5905" s="3" t="s">
        <v>3</v>
      </c>
      <c r="F5905" s="4">
        <v>5.3400000000000003E-33</v>
      </c>
      <c r="G5905" s="3">
        <v>306</v>
      </c>
      <c r="H5905" s="3">
        <v>67</v>
      </c>
      <c r="I5905" s="3">
        <v>87</v>
      </c>
      <c r="J5905" s="3">
        <v>406</v>
      </c>
      <c r="K5905" s="3">
        <v>666</v>
      </c>
      <c r="L5905" s="3">
        <v>6</v>
      </c>
      <c r="M5905" s="3">
        <v>84</v>
      </c>
    </row>
    <row r="5906" spans="1:13" x14ac:dyDescent="0.25">
      <c r="A5906" s="1" t="str">
        <f>HYPERLINK("http://www.rosaceae.org/Prunus/Prunus_persica/p.persica_gdr_reftransV1_0008825","p.persica_gdr_reftransV1_0008825")</f>
        <v>p.persica_gdr_reftransV1_0008825</v>
      </c>
      <c r="B5906" s="3">
        <v>1034</v>
      </c>
      <c r="C5906" s="1" t="str">
        <f>HYPERLINK("http://www.uniprot.org/uniprot/ZNHI3_MACMU","ZNHI3_MACMU")</f>
        <v>ZNHI3_MACMU</v>
      </c>
      <c r="D5906" t="s">
        <v>4933</v>
      </c>
      <c r="E5906" s="3" t="s">
        <v>4934</v>
      </c>
      <c r="F5906" s="4">
        <v>3.6100000000000001E-9</v>
      </c>
      <c r="G5906" s="3">
        <v>141</v>
      </c>
      <c r="H5906" s="3">
        <v>33</v>
      </c>
      <c r="I5906" s="3">
        <v>135</v>
      </c>
      <c r="J5906" s="3">
        <v>122</v>
      </c>
      <c r="K5906" s="3">
        <v>490</v>
      </c>
      <c r="L5906" s="3">
        <v>2</v>
      </c>
      <c r="M5906" s="3">
        <v>134</v>
      </c>
    </row>
    <row r="5907" spans="1:13" x14ac:dyDescent="0.25">
      <c r="A5907" s="1" t="str">
        <f>HYPERLINK("http://www.rosaceae.org/Prunus/Prunus_persica/p.persica_gdr_reftransV1_0009025","p.persica_gdr_reftransV1_0009025")</f>
        <v>p.persica_gdr_reftransV1_0009025</v>
      </c>
      <c r="B5907" s="3">
        <v>1033</v>
      </c>
      <c r="C5907" s="1" t="str">
        <f>HYPERLINK("http://www.uniprot.org/uniprot/ARR9_ARATH","ARR9_ARATH")</f>
        <v>ARR9_ARATH</v>
      </c>
      <c r="D5907" t="s">
        <v>4935</v>
      </c>
      <c r="E5907" s="3" t="s">
        <v>3</v>
      </c>
      <c r="F5907" s="4">
        <v>5.7600000000000004E-73</v>
      </c>
      <c r="G5907" s="3">
        <v>592</v>
      </c>
      <c r="H5907" s="3">
        <v>74</v>
      </c>
      <c r="I5907" s="3">
        <v>151</v>
      </c>
      <c r="J5907" s="3">
        <v>483</v>
      </c>
      <c r="K5907" s="3">
        <v>935</v>
      </c>
      <c r="L5907" s="3">
        <v>1</v>
      </c>
      <c r="M5907" s="3">
        <v>150</v>
      </c>
    </row>
    <row r="5908" spans="1:13" x14ac:dyDescent="0.25">
      <c r="A5908" s="1" t="str">
        <f>HYPERLINK("http://www.rosaceae.org/Prunus/Prunus_persica/p.persica_gdr_reftransV1_0009275","p.persica_gdr_reftransV1_0009275")</f>
        <v>p.persica_gdr_reftransV1_0009275</v>
      </c>
      <c r="B5908" s="3">
        <v>1393</v>
      </c>
      <c r="C5908" s="1" t="str">
        <f>HYPERLINK("http://www.uniprot.org/uniprot/CML36_ARATH","CML36_ARATH")</f>
        <v>CML36_ARATH</v>
      </c>
      <c r="D5908" t="s">
        <v>4936</v>
      </c>
      <c r="E5908" s="3" t="s">
        <v>3</v>
      </c>
      <c r="F5908" s="4">
        <v>3.76E-54</v>
      </c>
      <c r="G5908" s="3">
        <v>472</v>
      </c>
      <c r="H5908" s="3">
        <v>60</v>
      </c>
      <c r="I5908" s="3">
        <v>163</v>
      </c>
      <c r="J5908" s="3">
        <v>496</v>
      </c>
      <c r="K5908" s="3">
        <v>981</v>
      </c>
      <c r="L5908" s="3">
        <v>54</v>
      </c>
      <c r="M5908" s="3">
        <v>209</v>
      </c>
    </row>
    <row r="5909" spans="1:13" x14ac:dyDescent="0.25">
      <c r="A5909" s="1" t="str">
        <f>HYPERLINK("http://www.rosaceae.org/Prunus/Prunus_persica/p.persica_gdr_reftransV1_0009425","p.persica_gdr_reftransV1_0009425")</f>
        <v>p.persica_gdr_reftransV1_0009425</v>
      </c>
      <c r="B5909" s="3">
        <v>1078</v>
      </c>
      <c r="C5909" s="1" t="str">
        <f>HYPERLINK("http://www.uniprot.org/uniprot/YIPL6_ARATH","YIPL6_ARATH")</f>
        <v>YIPL6_ARATH</v>
      </c>
      <c r="D5909" t="s">
        <v>2693</v>
      </c>
      <c r="E5909" s="3" t="s">
        <v>3</v>
      </c>
      <c r="F5909" s="4">
        <v>5.2199999999999999E-60</v>
      </c>
      <c r="G5909" s="3">
        <v>495</v>
      </c>
      <c r="H5909" s="3">
        <v>82</v>
      </c>
      <c r="I5909" s="3">
        <v>106</v>
      </c>
      <c r="J5909" s="3">
        <v>517</v>
      </c>
      <c r="K5909" s="3">
        <v>834</v>
      </c>
      <c r="L5909" s="3">
        <v>1</v>
      </c>
      <c r="M5909" s="3">
        <v>106</v>
      </c>
    </row>
    <row r="5910" spans="1:13" x14ac:dyDescent="0.25">
      <c r="A5910" s="1" t="str">
        <f>HYPERLINK("http://www.rosaceae.org/Prunus/Prunus_persica/p.persica_gdr_reftransV1_0009675","p.persica_gdr_reftransV1_0009675")</f>
        <v>p.persica_gdr_reftransV1_0009675</v>
      </c>
      <c r="B5910" s="3">
        <v>2180</v>
      </c>
      <c r="C5910" s="1" t="str">
        <f>HYPERLINK("http://www.uniprot.org/uniprot/BCD1_PONAB","BCD1_PONAB")</f>
        <v>BCD1_PONAB</v>
      </c>
      <c r="D5910" t="s">
        <v>4937</v>
      </c>
      <c r="E5910" s="3" t="s">
        <v>176</v>
      </c>
      <c r="F5910" s="4">
        <v>3.2899999999999999E-26</v>
      </c>
      <c r="G5910" s="3">
        <v>290</v>
      </c>
      <c r="H5910" s="3">
        <v>28</v>
      </c>
      <c r="I5910" s="3">
        <v>246</v>
      </c>
      <c r="J5910" s="3">
        <v>107</v>
      </c>
      <c r="K5910" s="3">
        <v>823</v>
      </c>
      <c r="L5910" s="3">
        <v>215</v>
      </c>
      <c r="M5910" s="3">
        <v>453</v>
      </c>
    </row>
    <row r="5911" spans="1:13" x14ac:dyDescent="0.25">
      <c r="A5911" s="1" t="str">
        <f>HYPERLINK("http://www.rosaceae.org/Prunus/Prunus_persica/p.persica_gdr_reftransV1_0009725","p.persica_gdr_reftransV1_0009725")</f>
        <v>p.persica_gdr_reftransV1_0009725</v>
      </c>
      <c r="B5911" s="3">
        <v>2193</v>
      </c>
      <c r="C5911" s="1" t="str">
        <f>HYPERLINK("http://www.uniprot.org/uniprot/WRKY4_ARATH","WRKY4_ARATH")</f>
        <v>WRKY4_ARATH</v>
      </c>
      <c r="D5911" t="s">
        <v>4938</v>
      </c>
      <c r="E5911" s="3" t="s">
        <v>3</v>
      </c>
      <c r="F5911" s="4">
        <v>2.1800000000000001E-123</v>
      </c>
      <c r="G5911" s="3">
        <v>989</v>
      </c>
      <c r="H5911" s="3">
        <v>53</v>
      </c>
      <c r="I5911" s="3">
        <v>478</v>
      </c>
      <c r="J5911" s="3">
        <v>556</v>
      </c>
      <c r="K5911" s="3">
        <v>1941</v>
      </c>
      <c r="L5911" s="3">
        <v>17</v>
      </c>
      <c r="M5911" s="3">
        <v>468</v>
      </c>
    </row>
    <row r="5912" spans="1:13" x14ac:dyDescent="0.25">
      <c r="A5912" s="1" t="str">
        <f>HYPERLINK("http://www.rosaceae.org/Prunus/Prunus_persica/p.persica_gdr_reftransV1_0009825","p.persica_gdr_reftransV1_0009825")</f>
        <v>p.persica_gdr_reftransV1_0009825</v>
      </c>
      <c r="B5912" s="3">
        <v>3029</v>
      </c>
      <c r="C5912" s="1" t="str">
        <f>HYPERLINK("http://www.uniprot.org/uniprot/MCRS1_HUMAN","MCRS1_HUMAN")</f>
        <v>MCRS1_HUMAN</v>
      </c>
      <c r="D5912" t="s">
        <v>4939</v>
      </c>
      <c r="E5912" s="3" t="s">
        <v>28</v>
      </c>
      <c r="F5912" s="4">
        <v>3.3100000000000001E-19</v>
      </c>
      <c r="G5912" s="3">
        <v>236</v>
      </c>
      <c r="H5912" s="3">
        <v>45</v>
      </c>
      <c r="I5912" s="3">
        <v>101</v>
      </c>
      <c r="J5912" s="3">
        <v>286</v>
      </c>
      <c r="K5912" s="3">
        <v>588</v>
      </c>
      <c r="L5912" s="3">
        <v>346</v>
      </c>
      <c r="M5912" s="3">
        <v>446</v>
      </c>
    </row>
    <row r="5913" spans="1:13" x14ac:dyDescent="0.25">
      <c r="A5913" s="1" t="str">
        <f>HYPERLINK("http://www.rosaceae.org/Prunus/Prunus_persica/p.persica_gdr_reftransV1_0010025","p.persica_gdr_reftransV1_0010025")</f>
        <v>p.persica_gdr_reftransV1_0010025</v>
      </c>
      <c r="B5913" s="3">
        <v>1781</v>
      </c>
      <c r="C5913" s="1" t="str">
        <f>HYPERLINK("http://www.uniprot.org/uniprot/ARid3_ARATH","ARid3_ARATH")</f>
        <v>ARid3_ARATH</v>
      </c>
      <c r="D5913" t="s">
        <v>4932</v>
      </c>
      <c r="E5913" s="3" t="s">
        <v>3</v>
      </c>
      <c r="F5913" s="4">
        <v>6.89E-157</v>
      </c>
      <c r="G5913" s="3">
        <v>1225</v>
      </c>
      <c r="H5913" s="3">
        <v>72</v>
      </c>
      <c r="I5913" s="3">
        <v>353</v>
      </c>
      <c r="J5913" s="3">
        <v>370</v>
      </c>
      <c r="K5913" s="3">
        <v>1416</v>
      </c>
      <c r="L5913" s="3">
        <v>439</v>
      </c>
      <c r="M5913" s="3">
        <v>786</v>
      </c>
    </row>
    <row r="5914" spans="1:13" x14ac:dyDescent="0.25">
      <c r="A5914" s="1" t="str">
        <f>HYPERLINK("http://www.rosaceae.org/Prunus/Prunus_persica/p.persica_gdr_reftransV1_0010075","p.persica_gdr_reftransV1_0010075")</f>
        <v>p.persica_gdr_reftransV1_0010075</v>
      </c>
      <c r="B5914" s="3">
        <v>1158</v>
      </c>
      <c r="C5914" s="1" t="str">
        <f>HYPERLINK("http://www.uniprot.org/uniprot/ENL1_ARATH","ENL1_ARATH")</f>
        <v>ENL1_ARATH</v>
      </c>
      <c r="D5914" t="s">
        <v>4552</v>
      </c>
      <c r="E5914" s="3" t="s">
        <v>3</v>
      </c>
      <c r="F5914" s="4">
        <v>6.9900000000000004E-15</v>
      </c>
      <c r="G5914" s="3">
        <v>186</v>
      </c>
      <c r="H5914" s="3">
        <v>39</v>
      </c>
      <c r="I5914" s="3">
        <v>98</v>
      </c>
      <c r="J5914" s="3">
        <v>455</v>
      </c>
      <c r="K5914" s="3">
        <v>748</v>
      </c>
      <c r="L5914" s="3">
        <v>36</v>
      </c>
      <c r="M5914" s="3">
        <v>129</v>
      </c>
    </row>
    <row r="5915" spans="1:13" x14ac:dyDescent="0.25">
      <c r="A5915" s="1" t="str">
        <f>HYPERLINK("http://www.rosaceae.org/Prunus/Prunus_persica/p.persica_gdr_reftransV1_0010175","p.persica_gdr_reftransV1_0010175")</f>
        <v>p.persica_gdr_reftransV1_0010175</v>
      </c>
      <c r="B5915" s="3">
        <v>1012</v>
      </c>
      <c r="C5915" s="1" t="str">
        <f>HYPERLINK("http://www.uniprot.org/uniprot/ATP6_OENBE","ATP6_OENBE")</f>
        <v>ATP6_OENBE</v>
      </c>
      <c r="D5915" t="s">
        <v>4940</v>
      </c>
      <c r="E5915" s="3" t="s">
        <v>2775</v>
      </c>
      <c r="F5915" s="4">
        <v>5.0799999999999998E-136</v>
      </c>
      <c r="G5915" s="3">
        <v>1014</v>
      </c>
      <c r="H5915" s="3">
        <v>96</v>
      </c>
      <c r="I5915" s="3">
        <v>257</v>
      </c>
      <c r="J5915" s="3">
        <v>204</v>
      </c>
      <c r="K5915" s="3">
        <v>974</v>
      </c>
      <c r="L5915" s="3">
        <v>25</v>
      </c>
      <c r="M5915" s="3">
        <v>281</v>
      </c>
    </row>
    <row r="5916" spans="1:13" x14ac:dyDescent="0.25">
      <c r="A5916" s="1" t="str">
        <f>HYPERLINK("http://www.rosaceae.org/Prunus/Prunus_persica/p.persica_gdr_reftransV1_0010225","p.persica_gdr_reftransV1_0010225")</f>
        <v>p.persica_gdr_reftransV1_0010225</v>
      </c>
      <c r="B5916" s="3">
        <v>1341</v>
      </c>
      <c r="C5916" s="1" t="str">
        <f>HYPERLINK("http://www.uniprot.org/uniprot/SFH1_ARATH","SFH1_ARATH")</f>
        <v>SFH1_ARATH</v>
      </c>
      <c r="D5916" t="s">
        <v>300</v>
      </c>
      <c r="E5916" s="3" t="s">
        <v>3</v>
      </c>
      <c r="F5916" s="4">
        <v>8.2499999999999998E-110</v>
      </c>
      <c r="G5916" s="3">
        <v>775</v>
      </c>
      <c r="H5916" s="3">
        <v>58</v>
      </c>
      <c r="I5916" s="3">
        <v>253</v>
      </c>
      <c r="J5916" s="3">
        <v>3</v>
      </c>
      <c r="K5916" s="3">
        <v>752</v>
      </c>
      <c r="L5916" s="3">
        <v>165</v>
      </c>
      <c r="M5916" s="3">
        <v>398</v>
      </c>
    </row>
    <row r="5917" spans="1:13" x14ac:dyDescent="0.25">
      <c r="A5917" s="1" t="str">
        <f>HYPERLINK("http://www.rosaceae.org/Prunus/Prunus_persica/p.persica_gdr_reftransV1_0010425","p.persica_gdr_reftransV1_0010425")</f>
        <v>p.persica_gdr_reftransV1_0010425</v>
      </c>
      <c r="B5917" s="3">
        <v>3283</v>
      </c>
      <c r="C5917" s="1" t="str">
        <f>HYPERLINK("http://www.uniprot.org/uniprot/HT1_ARATH","HT1_ARATH")</f>
        <v>HT1_ARATH</v>
      </c>
      <c r="D5917" t="s">
        <v>1169</v>
      </c>
      <c r="E5917" s="3" t="s">
        <v>3</v>
      </c>
      <c r="F5917" s="4">
        <v>1.84E-13</v>
      </c>
      <c r="G5917" s="3">
        <v>189</v>
      </c>
      <c r="H5917" s="3">
        <v>77</v>
      </c>
      <c r="I5917" s="3">
        <v>44</v>
      </c>
      <c r="J5917" s="3">
        <v>4</v>
      </c>
      <c r="K5917" s="3">
        <v>135</v>
      </c>
      <c r="L5917" s="3">
        <v>256</v>
      </c>
      <c r="M5917" s="3">
        <v>299</v>
      </c>
    </row>
    <row r="5918" spans="1:13" x14ac:dyDescent="0.25">
      <c r="A5918" s="1" t="str">
        <f>HYPERLINK("http://www.rosaceae.org/Prunus/Prunus_persica/p.persica_gdr_reftransV1_0010525","p.persica_gdr_reftransV1_0010525")</f>
        <v>p.persica_gdr_reftransV1_0010525</v>
      </c>
      <c r="B5918" s="3">
        <v>4896</v>
      </c>
      <c r="C5918" s="1" t="str">
        <f>HYPERLINK("http://www.uniprot.org/uniprot/GANP_HUMAN","GANP_HUMAN")</f>
        <v>GANP_HUMAN</v>
      </c>
      <c r="D5918" t="s">
        <v>4941</v>
      </c>
      <c r="E5918" s="3" t="s">
        <v>28</v>
      </c>
      <c r="F5918" s="4">
        <v>7.7999999999999999E-45</v>
      </c>
      <c r="G5918" s="3">
        <v>463</v>
      </c>
      <c r="H5918" s="3">
        <v>36</v>
      </c>
      <c r="I5918" s="3">
        <v>269</v>
      </c>
      <c r="J5918" s="3">
        <v>3038</v>
      </c>
      <c r="K5918" s="3">
        <v>3832</v>
      </c>
      <c r="L5918" s="3">
        <v>632</v>
      </c>
      <c r="M5918" s="3">
        <v>886</v>
      </c>
    </row>
    <row r="5919" spans="1:13" x14ac:dyDescent="0.25">
      <c r="A5919" s="1" t="str">
        <f>HYPERLINK("http://www.rosaceae.org/Prunus/Prunus_persica/p.persica_gdr_reftransV1_0010725","p.persica_gdr_reftransV1_0010725")</f>
        <v>p.persica_gdr_reftransV1_0010725</v>
      </c>
      <c r="B5919" s="3">
        <v>1983</v>
      </c>
      <c r="C5919" s="1" t="str">
        <f>HYPERLINK("http://www.uniprot.org/uniprot/VA714_ARATH","VA714_ARATH")</f>
        <v>VA714_ARATH</v>
      </c>
      <c r="D5919" t="s">
        <v>4942</v>
      </c>
      <c r="E5919" s="3" t="s">
        <v>3</v>
      </c>
      <c r="F5919" s="4">
        <v>1.6599999999999999E-118</v>
      </c>
      <c r="G5919" s="3">
        <v>922</v>
      </c>
      <c r="H5919" s="3">
        <v>88</v>
      </c>
      <c r="I5919" s="3">
        <v>192</v>
      </c>
      <c r="J5919" s="3">
        <v>323</v>
      </c>
      <c r="K5919" s="3">
        <v>895</v>
      </c>
      <c r="L5919" s="3">
        <v>1</v>
      </c>
      <c r="M5919" s="3">
        <v>192</v>
      </c>
    </row>
    <row r="5920" spans="1:13" x14ac:dyDescent="0.25">
      <c r="A5920" s="1" t="str">
        <f>HYPERLINK("http://www.rosaceae.org/Prunus/Prunus_persica/p.persica_gdr_reftransV1_0010775","p.persica_gdr_reftransV1_0010775")</f>
        <v>p.persica_gdr_reftransV1_0010775</v>
      </c>
      <c r="B5920" s="3">
        <v>1106</v>
      </c>
      <c r="C5920" s="1" t="str">
        <f>HYPERLINK("http://www.uniprot.org/uniprot/NAC83_ARATH","NAC83_ARATH")</f>
        <v>NAC83_ARATH</v>
      </c>
      <c r="D5920" t="s">
        <v>4943</v>
      </c>
      <c r="E5920" s="3" t="s">
        <v>3</v>
      </c>
      <c r="F5920" s="4">
        <v>5.8299999999999999E-37</v>
      </c>
      <c r="G5920" s="3">
        <v>351</v>
      </c>
      <c r="H5920" s="3">
        <v>43</v>
      </c>
      <c r="I5920" s="3">
        <v>177</v>
      </c>
      <c r="J5920" s="3">
        <v>331</v>
      </c>
      <c r="K5920" s="3">
        <v>849</v>
      </c>
      <c r="L5920" s="3">
        <v>6</v>
      </c>
      <c r="M5920" s="3">
        <v>167</v>
      </c>
    </row>
    <row r="5921" spans="1:13" x14ac:dyDescent="0.25">
      <c r="A5921" s="1" t="str">
        <f>HYPERLINK("http://www.rosaceae.org/Prunus/Prunus_persica/p.persica_gdr_reftransV1_0010825","p.persica_gdr_reftransV1_0010825")</f>
        <v>p.persica_gdr_reftransV1_0010825</v>
      </c>
      <c r="B5921" s="3">
        <v>1311</v>
      </c>
      <c r="C5921" s="1" t="str">
        <f>HYPERLINK("http://www.uniprot.org/uniprot/MTND2_VITVI","MTND2_VITVI")</f>
        <v>MTND2_VITVI</v>
      </c>
      <c r="D5921" t="s">
        <v>4944</v>
      </c>
      <c r="E5921" s="3" t="s">
        <v>362</v>
      </c>
      <c r="F5921" s="4">
        <v>1.3E-94</v>
      </c>
      <c r="G5921" s="3">
        <v>742</v>
      </c>
      <c r="H5921" s="3">
        <v>88</v>
      </c>
      <c r="I5921" s="3">
        <v>153</v>
      </c>
      <c r="J5921" s="3">
        <v>580</v>
      </c>
      <c r="K5921" s="3">
        <v>1038</v>
      </c>
      <c r="L5921" s="3">
        <v>41</v>
      </c>
      <c r="M5921" s="3">
        <v>193</v>
      </c>
    </row>
    <row r="5922" spans="1:13" x14ac:dyDescent="0.25">
      <c r="A5922" s="1" t="str">
        <f>HYPERLINK("http://www.rosaceae.org/Prunus/Prunus_persica/p.persica_gdr_reftransV1_0010925","p.persica_gdr_reftransV1_0010925")</f>
        <v>p.persica_gdr_reftransV1_0010925</v>
      </c>
      <c r="B5922" s="3">
        <v>3015</v>
      </c>
      <c r="C5922" s="1" t="str">
        <f>HYPERLINK("http://www.uniprot.org/uniprot/SCL14_ARATH","SCL14_ARATH")</f>
        <v>SCL14_ARATH</v>
      </c>
      <c r="D5922" t="s">
        <v>797</v>
      </c>
      <c r="E5922" s="3" t="s">
        <v>3</v>
      </c>
      <c r="F5922" s="4">
        <v>0</v>
      </c>
      <c r="G5922" s="3">
        <v>2050</v>
      </c>
      <c r="H5922" s="3">
        <v>60</v>
      </c>
      <c r="I5922" s="3">
        <v>695</v>
      </c>
      <c r="J5922" s="3">
        <v>443</v>
      </c>
      <c r="K5922" s="3">
        <v>2464</v>
      </c>
      <c r="L5922" s="3">
        <v>86</v>
      </c>
      <c r="M5922" s="3">
        <v>769</v>
      </c>
    </row>
    <row r="5923" spans="1:13" x14ac:dyDescent="0.25">
      <c r="A5923" s="1" t="str">
        <f>HYPERLINK("http://www.rosaceae.org/Prunus/Prunus_persica/p.persica_gdr_reftransV1_0011225","p.persica_gdr_reftransV1_0011225")</f>
        <v>p.persica_gdr_reftransV1_0011225</v>
      </c>
      <c r="B5923" s="3">
        <v>2258</v>
      </c>
      <c r="C5923" s="1" t="str">
        <f>HYPERLINK("http://www.uniprot.org/uniprot/OAT_ARATH","OAT_ARATH")</f>
        <v>OAT_ARATH</v>
      </c>
      <c r="D5923" t="s">
        <v>4945</v>
      </c>
      <c r="E5923" s="3" t="s">
        <v>3</v>
      </c>
      <c r="F5923" s="4">
        <v>0</v>
      </c>
      <c r="G5923" s="3">
        <v>1418</v>
      </c>
      <c r="H5923" s="3">
        <v>78</v>
      </c>
      <c r="I5923" s="3">
        <v>353</v>
      </c>
      <c r="J5923" s="3">
        <v>1033</v>
      </c>
      <c r="K5923" s="3">
        <v>2082</v>
      </c>
      <c r="L5923" s="3">
        <v>2</v>
      </c>
      <c r="M5923" s="3">
        <v>350</v>
      </c>
    </row>
    <row r="5924" spans="1:13" x14ac:dyDescent="0.25">
      <c r="A5924" s="1" t="str">
        <f>HYPERLINK("http://www.rosaceae.org/Prunus/Prunus_persica/p.persica_gdr_reftransV1_0011375","p.persica_gdr_reftransV1_0011375")</f>
        <v>p.persica_gdr_reftransV1_0011375</v>
      </c>
      <c r="B5924" s="3">
        <v>2201</v>
      </c>
      <c r="C5924" s="1" t="str">
        <f>HYPERLINK("http://www.uniprot.org/uniprot/GMPP1_ARATH","GMPP1_ARATH")</f>
        <v>GMPP1_ARATH</v>
      </c>
      <c r="D5924" t="s">
        <v>4946</v>
      </c>
      <c r="E5924" s="3" t="s">
        <v>3</v>
      </c>
      <c r="F5924" s="4">
        <v>0</v>
      </c>
      <c r="G5924" s="3">
        <v>1734</v>
      </c>
      <c r="H5924" s="3">
        <v>90</v>
      </c>
      <c r="I5924" s="3">
        <v>361</v>
      </c>
      <c r="J5924" s="3">
        <v>775</v>
      </c>
      <c r="K5924" s="3">
        <v>1857</v>
      </c>
      <c r="L5924" s="3">
        <v>1</v>
      </c>
      <c r="M5924" s="3">
        <v>361</v>
      </c>
    </row>
    <row r="5925" spans="1:13" x14ac:dyDescent="0.25">
      <c r="A5925" s="1" t="str">
        <f>HYPERLINK("http://www.rosaceae.org/Prunus/Prunus_persica/p.persica_gdr_reftransV1_0011425","p.persica_gdr_reftransV1_0011425")</f>
        <v>p.persica_gdr_reftransV1_0011425</v>
      </c>
      <c r="B5925" s="3">
        <v>2316</v>
      </c>
      <c r="C5925" s="1" t="str">
        <f>HYPERLINK("http://www.uniprot.org/uniprot/Y1235_ORYSJ","Y1235_ORYSJ")</f>
        <v>Y1235_ORYSJ</v>
      </c>
      <c r="D5925" t="s">
        <v>2793</v>
      </c>
      <c r="E5925" s="3" t="s">
        <v>38</v>
      </c>
      <c r="F5925" s="4">
        <v>2.3599999999999999E-37</v>
      </c>
      <c r="G5925" s="3">
        <v>375</v>
      </c>
      <c r="H5925" s="3">
        <v>30</v>
      </c>
      <c r="I5925" s="3">
        <v>392</v>
      </c>
      <c r="J5925" s="3">
        <v>307</v>
      </c>
      <c r="K5925" s="3">
        <v>1317</v>
      </c>
      <c r="L5925" s="3">
        <v>14</v>
      </c>
      <c r="M5925" s="3">
        <v>389</v>
      </c>
    </row>
    <row r="5926" spans="1:13" x14ac:dyDescent="0.25">
      <c r="A5926" s="1" t="str">
        <f>HYPERLINK("http://www.rosaceae.org/Prunus/Prunus_persica/p.persica_gdr_reftransV1_0011525","p.persica_gdr_reftransV1_0011525")</f>
        <v>p.persica_gdr_reftransV1_0011525</v>
      </c>
      <c r="B5926" s="3">
        <v>1434</v>
      </c>
      <c r="C5926" s="1" t="str">
        <f>HYPERLINK("http://www.uniprot.org/uniprot/Y5458_ARATH","Y5458_ARATH")</f>
        <v>Y5458_ARATH</v>
      </c>
      <c r="D5926" t="s">
        <v>4947</v>
      </c>
      <c r="E5926" s="3" t="s">
        <v>3</v>
      </c>
      <c r="F5926" s="4">
        <v>2.12E-168</v>
      </c>
      <c r="G5926" s="3">
        <v>1283</v>
      </c>
      <c r="H5926" s="3">
        <v>60</v>
      </c>
      <c r="I5926" s="3">
        <v>439</v>
      </c>
      <c r="J5926" s="3">
        <v>6</v>
      </c>
      <c r="K5926" s="3">
        <v>1304</v>
      </c>
      <c r="L5926" s="3">
        <v>262</v>
      </c>
      <c r="M5926" s="3">
        <v>695</v>
      </c>
    </row>
    <row r="5927" spans="1:13" x14ac:dyDescent="0.25">
      <c r="A5927" s="1" t="str">
        <f>HYPERLINK("http://www.rosaceae.org/Prunus/Prunus_persica/p.persica_gdr_reftransV1_0011575","p.persica_gdr_reftransV1_0011575")</f>
        <v>p.persica_gdr_reftransV1_0011575</v>
      </c>
      <c r="B5927" s="3">
        <v>1518</v>
      </c>
      <c r="C5927" s="1" t="str">
        <f>HYPERLINK("http://www.uniprot.org/uniprot/FBK9_ARATH","FBK9_ARATH")</f>
        <v>FBK9_ARATH</v>
      </c>
      <c r="D5927" t="s">
        <v>4948</v>
      </c>
      <c r="E5927" s="3" t="s">
        <v>3</v>
      </c>
      <c r="F5927" s="4">
        <v>5.0700000000000001E-98</v>
      </c>
      <c r="G5927" s="3">
        <v>789</v>
      </c>
      <c r="H5927" s="3">
        <v>47</v>
      </c>
      <c r="I5927" s="3">
        <v>372</v>
      </c>
      <c r="J5927" s="3">
        <v>313</v>
      </c>
      <c r="K5927" s="3">
        <v>1389</v>
      </c>
      <c r="L5927" s="3">
        <v>15</v>
      </c>
      <c r="M5927" s="3">
        <v>383</v>
      </c>
    </row>
    <row r="5928" spans="1:13" x14ac:dyDescent="0.25">
      <c r="A5928" s="1" t="str">
        <f>HYPERLINK("http://www.rosaceae.org/Prunus/Prunus_persica/p.persica_gdr_reftransV1_0011625","p.persica_gdr_reftransV1_0011625")</f>
        <v>p.persica_gdr_reftransV1_0011625</v>
      </c>
      <c r="B5928" s="3">
        <v>1223</v>
      </c>
      <c r="C5928" s="1" t="str">
        <f>HYPERLINK("http://www.uniprot.org/uniprot/MMTA2_MOUSE","MMTA2_MOUSE")</f>
        <v>MMTA2_MOUSE</v>
      </c>
      <c r="D5928" t="s">
        <v>4949</v>
      </c>
      <c r="E5928" s="3" t="s">
        <v>157</v>
      </c>
      <c r="F5928" s="4">
        <v>1.34E-21</v>
      </c>
      <c r="G5928" s="3">
        <v>240</v>
      </c>
      <c r="H5928" s="3">
        <v>46</v>
      </c>
      <c r="I5928" s="3">
        <v>132</v>
      </c>
      <c r="J5928" s="3">
        <v>553</v>
      </c>
      <c r="K5928" s="3">
        <v>945</v>
      </c>
      <c r="L5928" s="3">
        <v>1</v>
      </c>
      <c r="M5928" s="3">
        <v>122</v>
      </c>
    </row>
    <row r="5929" spans="1:13" x14ac:dyDescent="0.25">
      <c r="A5929" s="1" t="str">
        <f>HYPERLINK("http://www.rosaceae.org/Prunus/Prunus_persica/p.persica_gdr_reftransV1_0011675","p.persica_gdr_reftransV1_0011675")</f>
        <v>p.persica_gdr_reftransV1_0011675</v>
      </c>
      <c r="B5929" s="3">
        <v>2262</v>
      </c>
      <c r="C5929" s="1" t="str">
        <f>HYPERLINK("http://www.uniprot.org/uniprot/HEXO2_ARATH","HEXO2_ARATH")</f>
        <v>HEXO2_ARATH</v>
      </c>
      <c r="D5929" t="s">
        <v>4950</v>
      </c>
      <c r="E5929" s="3" t="s">
        <v>3</v>
      </c>
      <c r="F5929" s="4">
        <v>0</v>
      </c>
      <c r="G5929" s="3">
        <v>1934</v>
      </c>
      <c r="H5929" s="3">
        <v>70</v>
      </c>
      <c r="I5929" s="3">
        <v>550</v>
      </c>
      <c r="J5929" s="3">
        <v>319</v>
      </c>
      <c r="K5929" s="3">
        <v>1956</v>
      </c>
      <c r="L5929" s="3">
        <v>33</v>
      </c>
      <c r="M5929" s="3">
        <v>572</v>
      </c>
    </row>
    <row r="5930" spans="1:13" x14ac:dyDescent="0.25">
      <c r="A5930" s="1" t="str">
        <f>HYPERLINK("http://www.rosaceae.org/Prunus/Prunus_persica/p.persica_gdr_reftransV1_0012025","p.persica_gdr_reftransV1_0012025")</f>
        <v>p.persica_gdr_reftransV1_0012025</v>
      </c>
      <c r="B5930" s="3">
        <v>2836</v>
      </c>
      <c r="C5930" s="1" t="str">
        <f>HYPERLINK("http://www.uniprot.org/uniprot/CAF2P_ARATH","CAF2P_ARATH")</f>
        <v>CAF2P_ARATH</v>
      </c>
      <c r="D5930" t="s">
        <v>4951</v>
      </c>
      <c r="E5930" s="3" t="s">
        <v>3</v>
      </c>
      <c r="F5930" s="4">
        <v>4.8900000000000001E-178</v>
      </c>
      <c r="G5930" s="3">
        <v>1378</v>
      </c>
      <c r="H5930" s="3">
        <v>75</v>
      </c>
      <c r="I5930" s="3">
        <v>350</v>
      </c>
      <c r="J5930" s="3">
        <v>308</v>
      </c>
      <c r="K5930" s="3">
        <v>1357</v>
      </c>
      <c r="L5930" s="3">
        <v>66</v>
      </c>
      <c r="M5930" s="3">
        <v>410</v>
      </c>
    </row>
    <row r="5931" spans="1:13" x14ac:dyDescent="0.25">
      <c r="A5931" s="1" t="str">
        <f>HYPERLINK("http://www.rosaceae.org/Prunus/Prunus_persica/p.persica_gdr_reftransV1_0012075","p.persica_gdr_reftransV1_0012075")</f>
        <v>p.persica_gdr_reftransV1_0012075</v>
      </c>
      <c r="B5931" s="3">
        <v>1074</v>
      </c>
      <c r="C5931" s="1" t="str">
        <f>HYPERLINK("http://www.uniprot.org/uniprot/HMGYA_SOYBN","HMGYA_SOYBN")</f>
        <v>HMGYA_SOYBN</v>
      </c>
      <c r="D5931" t="s">
        <v>1764</v>
      </c>
      <c r="E5931" s="3" t="s">
        <v>307</v>
      </c>
      <c r="F5931" s="4">
        <v>2.7000000000000001E-24</v>
      </c>
      <c r="G5931" s="3">
        <v>253</v>
      </c>
      <c r="H5931" s="3">
        <v>67</v>
      </c>
      <c r="I5931" s="3">
        <v>73</v>
      </c>
      <c r="J5931" s="3">
        <v>668</v>
      </c>
      <c r="K5931" s="3">
        <v>886</v>
      </c>
      <c r="L5931" s="3">
        <v>11</v>
      </c>
      <c r="M5931" s="3">
        <v>81</v>
      </c>
    </row>
    <row r="5932" spans="1:13" x14ac:dyDescent="0.25">
      <c r="A5932" s="1" t="str">
        <f>HYPERLINK("http://www.rosaceae.org/Prunus/Prunus_persica/p.persica_gdr_reftransV1_0012175","p.persica_gdr_reftransV1_0012175")</f>
        <v>p.persica_gdr_reftransV1_0012175</v>
      </c>
      <c r="B5932" s="3">
        <v>1442</v>
      </c>
      <c r="C5932" s="1" t="str">
        <f>HYPERLINK("http://www.uniprot.org/uniprot/SBT33_ARATH","SBT33_ARATH")</f>
        <v>SBT33_ARATH</v>
      </c>
      <c r="D5932" t="s">
        <v>3104</v>
      </c>
      <c r="E5932" s="3" t="s">
        <v>3</v>
      </c>
      <c r="F5932" s="4">
        <v>3.2700000000000002E-8</v>
      </c>
      <c r="G5932" s="3">
        <v>105</v>
      </c>
      <c r="H5932" s="3">
        <v>41</v>
      </c>
      <c r="I5932" s="3">
        <v>73</v>
      </c>
      <c r="J5932" s="3">
        <v>863</v>
      </c>
      <c r="K5932" s="3">
        <v>1072</v>
      </c>
      <c r="L5932" s="3">
        <v>23</v>
      </c>
      <c r="M5932" s="3">
        <v>94</v>
      </c>
    </row>
    <row r="5933" spans="1:13" x14ac:dyDescent="0.25">
      <c r="A5933" s="1" t="str">
        <f>HYPERLINK("http://www.rosaceae.org/Prunus/Prunus_persica/p.persica_gdr_reftransV1_0012275","p.persica_gdr_reftransV1_0012275")</f>
        <v>p.persica_gdr_reftransV1_0012275</v>
      </c>
      <c r="B5933" s="3">
        <v>871</v>
      </c>
      <c r="C5933" s="1" t="str">
        <f>HYPERLINK("http://www.uniprot.org/uniprot/PP295_ARATH","PP295_ARATH")</f>
        <v>PP295_ARATH</v>
      </c>
      <c r="D5933" t="s">
        <v>1324</v>
      </c>
      <c r="E5933" s="3" t="s">
        <v>3</v>
      </c>
      <c r="F5933" s="4">
        <v>5.24E-93</v>
      </c>
      <c r="G5933" s="3">
        <v>749</v>
      </c>
      <c r="H5933" s="3">
        <v>56</v>
      </c>
      <c r="I5933" s="3">
        <v>255</v>
      </c>
      <c r="J5933" s="3">
        <v>2</v>
      </c>
      <c r="K5933" s="3">
        <v>766</v>
      </c>
      <c r="L5933" s="3">
        <v>319</v>
      </c>
      <c r="M5933" s="3">
        <v>573</v>
      </c>
    </row>
    <row r="5934" spans="1:13" x14ac:dyDescent="0.25">
      <c r="A5934" s="1" t="str">
        <f>HYPERLINK("http://www.rosaceae.org/Prunus/Prunus_persica/p.persica_gdr_reftransV1_0012325","p.persica_gdr_reftransV1_0012325")</f>
        <v>p.persica_gdr_reftransV1_0012325</v>
      </c>
      <c r="B5934" s="3">
        <v>1537</v>
      </c>
      <c r="C5934" s="1" t="str">
        <f>HYPERLINK("http://www.uniprot.org/uniprot/IPMKB_ARATH","IPMKB_ARATH")</f>
        <v>IPMKB_ARATH</v>
      </c>
      <c r="D5934" t="s">
        <v>4952</v>
      </c>
      <c r="E5934" s="3" t="s">
        <v>3</v>
      </c>
      <c r="F5934" s="4">
        <v>1.08E-128</v>
      </c>
      <c r="G5934" s="3">
        <v>985</v>
      </c>
      <c r="H5934" s="3">
        <v>62</v>
      </c>
      <c r="I5934" s="3">
        <v>284</v>
      </c>
      <c r="J5934" s="3">
        <v>416</v>
      </c>
      <c r="K5934" s="3">
        <v>1252</v>
      </c>
      <c r="L5934" s="3">
        <v>1</v>
      </c>
      <c r="M5934" s="3">
        <v>284</v>
      </c>
    </row>
    <row r="5935" spans="1:13" x14ac:dyDescent="0.25">
      <c r="A5935" s="1" t="str">
        <f>HYPERLINK("http://www.rosaceae.org/Prunus/Prunus_persica/p.persica_gdr_reftransV1_0012425","p.persica_gdr_reftransV1_0012425")</f>
        <v>p.persica_gdr_reftransV1_0012425</v>
      </c>
      <c r="B5935" s="3">
        <v>2180</v>
      </c>
      <c r="C5935" s="1" t="str">
        <f>HYPERLINK("http://www.uniprot.org/uniprot/TXLNA_MOUSE","TXLNA_MOUSE")</f>
        <v>TXLNA_MOUSE</v>
      </c>
      <c r="D5935" t="s">
        <v>4953</v>
      </c>
      <c r="E5935" s="3" t="s">
        <v>157</v>
      </c>
      <c r="F5935" s="4">
        <v>2.8600000000000002E-30</v>
      </c>
      <c r="G5935" s="3">
        <v>325</v>
      </c>
      <c r="H5935" s="3">
        <v>36</v>
      </c>
      <c r="I5935" s="3">
        <v>250</v>
      </c>
      <c r="J5935" s="3">
        <v>293</v>
      </c>
      <c r="K5935" s="3">
        <v>1009</v>
      </c>
      <c r="L5935" s="3">
        <v>229</v>
      </c>
      <c r="M5935" s="3">
        <v>478</v>
      </c>
    </row>
    <row r="5936" spans="1:13" x14ac:dyDescent="0.25">
      <c r="A5936" s="1" t="str">
        <f>HYPERLINK("http://www.rosaceae.org/Prunus/Prunus_persica/p.persica_gdr_reftransV1_0012475","p.persica_gdr_reftransV1_0012475")</f>
        <v>p.persica_gdr_reftransV1_0012475</v>
      </c>
      <c r="B5936" s="3">
        <v>2562</v>
      </c>
      <c r="C5936" s="1" t="str">
        <f>HYPERLINK("http://www.uniprot.org/uniprot/PUB9_ARATH","PUB9_ARATH")</f>
        <v>PUB9_ARATH</v>
      </c>
      <c r="D5936" t="s">
        <v>2235</v>
      </c>
      <c r="E5936" s="3" t="s">
        <v>3</v>
      </c>
      <c r="F5936" s="4">
        <v>7.8700000000000002E-155</v>
      </c>
      <c r="G5936" s="3">
        <v>1205</v>
      </c>
      <c r="H5936" s="3">
        <v>66</v>
      </c>
      <c r="I5936" s="3">
        <v>367</v>
      </c>
      <c r="J5936" s="3">
        <v>170</v>
      </c>
      <c r="K5936" s="3">
        <v>1255</v>
      </c>
      <c r="L5936" s="3">
        <v>97</v>
      </c>
      <c r="M5936" s="3">
        <v>460</v>
      </c>
    </row>
    <row r="5937" spans="1:13" x14ac:dyDescent="0.25">
      <c r="A5937" s="1" t="str">
        <f>HYPERLINK("http://www.rosaceae.org/Prunus/Prunus_persica/p.persica_gdr_reftransV1_0012625","p.persica_gdr_reftransV1_0012625")</f>
        <v>p.persica_gdr_reftransV1_0012625</v>
      </c>
      <c r="B5937" s="3">
        <v>2767</v>
      </c>
      <c r="C5937" s="1" t="str">
        <f>HYPERLINK("http://www.uniprot.org/uniprot/Cid4_ARATH","Cid4_ARATH")</f>
        <v>Cid4_ARATH</v>
      </c>
      <c r="D5937" t="s">
        <v>4954</v>
      </c>
      <c r="E5937" s="3" t="s">
        <v>3</v>
      </c>
      <c r="F5937" s="4">
        <v>1.04E-112</v>
      </c>
      <c r="G5937" s="3">
        <v>937</v>
      </c>
      <c r="H5937" s="3">
        <v>45</v>
      </c>
      <c r="I5937" s="3">
        <v>619</v>
      </c>
      <c r="J5937" s="3">
        <v>371</v>
      </c>
      <c r="K5937" s="3">
        <v>2149</v>
      </c>
      <c r="L5937" s="3">
        <v>26</v>
      </c>
      <c r="M5937" s="3">
        <v>595</v>
      </c>
    </row>
    <row r="5938" spans="1:13" x14ac:dyDescent="0.25">
      <c r="A5938" s="1" t="str">
        <f>HYPERLINK("http://www.rosaceae.org/Prunus/Prunus_persica/p.persica_gdr_reftransV1_0012825","p.persica_gdr_reftransV1_0012825")</f>
        <v>p.persica_gdr_reftransV1_0012825</v>
      </c>
      <c r="B5938" s="3">
        <v>1544</v>
      </c>
      <c r="C5938" s="1" t="str">
        <f>HYPERLINK("http://www.uniprot.org/uniprot/YNBD_ECOLI","YNBD_ECOLI")</f>
        <v>YNBD_ECOLI</v>
      </c>
      <c r="D5938" t="s">
        <v>4955</v>
      </c>
      <c r="E5938" s="3" t="s">
        <v>2372</v>
      </c>
      <c r="F5938" s="4">
        <v>1.64E-10</v>
      </c>
      <c r="G5938" s="3">
        <v>162</v>
      </c>
      <c r="H5938" s="3">
        <v>28</v>
      </c>
      <c r="I5938" s="3">
        <v>179</v>
      </c>
      <c r="J5938" s="3">
        <v>536</v>
      </c>
      <c r="K5938" s="3">
        <v>1054</v>
      </c>
      <c r="L5938" s="3">
        <v>263</v>
      </c>
      <c r="M5938" s="3">
        <v>429</v>
      </c>
    </row>
    <row r="5939" spans="1:13" x14ac:dyDescent="0.25">
      <c r="A5939" s="1" t="str">
        <f>HYPERLINK("http://www.rosaceae.org/Prunus/Prunus_persica/p.persica_gdr_reftransV1_0012925","p.persica_gdr_reftransV1_0012925")</f>
        <v>p.persica_gdr_reftransV1_0012925</v>
      </c>
      <c r="B5939" s="3">
        <v>970</v>
      </c>
      <c r="C5939" s="1" t="str">
        <f>HYPERLINK("http://www.uniprot.org/uniprot/UEV1A_ARATH","UEV1A_ARATH")</f>
        <v>UEV1A_ARATH</v>
      </c>
      <c r="D5939" t="s">
        <v>4956</v>
      </c>
      <c r="E5939" s="3" t="s">
        <v>3</v>
      </c>
      <c r="F5939" s="4">
        <v>8.8800000000000005E-86</v>
      </c>
      <c r="G5939" s="3">
        <v>668</v>
      </c>
      <c r="H5939" s="3">
        <v>81</v>
      </c>
      <c r="I5939" s="3">
        <v>159</v>
      </c>
      <c r="J5939" s="3">
        <v>215</v>
      </c>
      <c r="K5939" s="3">
        <v>691</v>
      </c>
      <c r="L5939" s="3">
        <v>1</v>
      </c>
      <c r="M5939" s="3">
        <v>158</v>
      </c>
    </row>
    <row r="5940" spans="1:13" x14ac:dyDescent="0.25">
      <c r="A5940" s="1" t="str">
        <f>HYPERLINK("http://www.rosaceae.org/Prunus/Prunus_persica/p.persica_gdr_reftransV1_0013175","p.persica_gdr_reftransV1_0013175")</f>
        <v>p.persica_gdr_reftransV1_0013175</v>
      </c>
      <c r="B5940" s="3">
        <v>4379</v>
      </c>
      <c r="C5940" s="1" t="str">
        <f>HYPERLINK("http://www.uniprot.org/uniprot/RZ1C_ARATH","RZ1C_ARATH")</f>
        <v>RZ1C_ARATH</v>
      </c>
      <c r="D5940" t="s">
        <v>4957</v>
      </c>
      <c r="E5940" s="3" t="s">
        <v>3</v>
      </c>
      <c r="F5940" s="4">
        <v>2.06E-32</v>
      </c>
      <c r="G5940" s="3">
        <v>338</v>
      </c>
      <c r="H5940" s="3">
        <v>49</v>
      </c>
      <c r="I5940" s="3">
        <v>279</v>
      </c>
      <c r="J5940" s="3">
        <v>3368</v>
      </c>
      <c r="K5940" s="3">
        <v>4087</v>
      </c>
      <c r="L5940" s="3">
        <v>38</v>
      </c>
      <c r="M5940" s="3">
        <v>310</v>
      </c>
    </row>
    <row r="5941" spans="1:13" x14ac:dyDescent="0.25">
      <c r="A5941" s="1" t="str">
        <f>HYPERLINK("http://www.rosaceae.org/Prunus/Prunus_persica/p.persica_gdr_reftransV1_0013225","p.persica_gdr_reftransV1_0013225")</f>
        <v>p.persica_gdr_reftransV1_0013225</v>
      </c>
      <c r="B5941" s="3">
        <v>2071</v>
      </c>
      <c r="C5941" s="1" t="str">
        <f>HYPERLINK("http://www.uniprot.org/uniprot/ODPA_PEA","ODPA_PEA")</f>
        <v>ODPA_PEA</v>
      </c>
      <c r="D5941" t="s">
        <v>4958</v>
      </c>
      <c r="E5941" s="3" t="s">
        <v>60</v>
      </c>
      <c r="F5941" s="4">
        <v>0</v>
      </c>
      <c r="G5941" s="3">
        <v>1713</v>
      </c>
      <c r="H5941" s="3">
        <v>85</v>
      </c>
      <c r="I5941" s="3">
        <v>373</v>
      </c>
      <c r="J5941" s="3">
        <v>285</v>
      </c>
      <c r="K5941" s="3">
        <v>1403</v>
      </c>
      <c r="L5941" s="3">
        <v>27</v>
      </c>
      <c r="M5941" s="3">
        <v>397</v>
      </c>
    </row>
    <row r="5942" spans="1:13" x14ac:dyDescent="0.25">
      <c r="A5942" s="1" t="str">
        <f>HYPERLINK("http://www.rosaceae.org/Prunus/Prunus_persica/p.persica_gdr_reftransV1_0013275","p.persica_gdr_reftransV1_0013275")</f>
        <v>p.persica_gdr_reftransV1_0013275</v>
      </c>
      <c r="B5942" s="3">
        <v>1041</v>
      </c>
      <c r="C5942" s="1" t="str">
        <f>HYPERLINK("http://www.uniprot.org/uniprot/NAC90_ARATH","NAC90_ARATH")</f>
        <v>NAC90_ARATH</v>
      </c>
      <c r="D5942" t="s">
        <v>3175</v>
      </c>
      <c r="E5942" s="3" t="s">
        <v>3</v>
      </c>
      <c r="F5942" s="4">
        <v>3.5000000000000001E-87</v>
      </c>
      <c r="G5942" s="3">
        <v>687</v>
      </c>
      <c r="H5942" s="3">
        <v>56</v>
      </c>
      <c r="I5942" s="3">
        <v>251</v>
      </c>
      <c r="J5942" s="3">
        <v>2</v>
      </c>
      <c r="K5942" s="3">
        <v>751</v>
      </c>
      <c r="L5942" s="3">
        <v>3</v>
      </c>
      <c r="M5942" s="3">
        <v>233</v>
      </c>
    </row>
    <row r="5943" spans="1:13" x14ac:dyDescent="0.25">
      <c r="A5943" s="1" t="str">
        <f>HYPERLINK("http://www.rosaceae.org/Prunus/Prunus_persica/p.persica_gdr_reftransV1_0013325","p.persica_gdr_reftransV1_0013325")</f>
        <v>p.persica_gdr_reftransV1_0013325</v>
      </c>
      <c r="B5943" s="3">
        <v>900</v>
      </c>
      <c r="C5943" s="1" t="str">
        <f>HYPERLINK("http://www.uniprot.org/uniprot/PCR2_ARATH","PCR2_ARATH")</f>
        <v>PCR2_ARATH</v>
      </c>
      <c r="D5943" t="s">
        <v>4959</v>
      </c>
      <c r="E5943" s="3" t="s">
        <v>3</v>
      </c>
      <c r="F5943" s="4">
        <v>3.0799999999999998E-59</v>
      </c>
      <c r="G5943" s="3">
        <v>489</v>
      </c>
      <c r="H5943" s="3">
        <v>60</v>
      </c>
      <c r="I5943" s="3">
        <v>146</v>
      </c>
      <c r="J5943" s="3">
        <v>409</v>
      </c>
      <c r="K5943" s="3">
        <v>846</v>
      </c>
      <c r="L5943" s="3">
        <v>7</v>
      </c>
      <c r="M5943" s="3">
        <v>152</v>
      </c>
    </row>
    <row r="5944" spans="1:13" x14ac:dyDescent="0.25">
      <c r="A5944" s="1" t="str">
        <f>HYPERLINK("http://www.rosaceae.org/Prunus/Prunus_persica/p.persica_gdr_reftransV1_0013425","p.persica_gdr_reftransV1_0013425")</f>
        <v>p.persica_gdr_reftransV1_0013425</v>
      </c>
      <c r="B5944" s="3">
        <v>427</v>
      </c>
      <c r="C5944" s="1" t="str">
        <f>HYPERLINK("http://www.uniprot.org/uniprot/DBR_TOBAC","DBR_TOBAC")</f>
        <v>DBR_TOBAC</v>
      </c>
      <c r="D5944" t="s">
        <v>199</v>
      </c>
      <c r="E5944" s="3" t="s">
        <v>200</v>
      </c>
      <c r="F5944" s="4">
        <v>1.39E-43</v>
      </c>
      <c r="G5944" s="3">
        <v>383</v>
      </c>
      <c r="H5944" s="3">
        <v>68</v>
      </c>
      <c r="I5944" s="3">
        <v>112</v>
      </c>
      <c r="J5944" s="3">
        <v>3</v>
      </c>
      <c r="K5944" s="3">
        <v>338</v>
      </c>
      <c r="L5944" s="3">
        <v>2</v>
      </c>
      <c r="M5944" s="3">
        <v>107</v>
      </c>
    </row>
    <row r="5945" spans="1:13" x14ac:dyDescent="0.25">
      <c r="A5945" s="1" t="str">
        <f>HYPERLINK("http://www.rosaceae.org/Prunus/Prunus_persica/p.persica_gdr_reftransV1_0013475","p.persica_gdr_reftransV1_0013475")</f>
        <v>p.persica_gdr_reftransV1_0013475</v>
      </c>
      <c r="B5945" s="3">
        <v>1450</v>
      </c>
      <c r="C5945" s="1" t="str">
        <f>HYPERLINK("http://www.uniprot.org/uniprot/PGLR1_ARATH","PGLR1_ARATH")</f>
        <v>PGLR1_ARATH</v>
      </c>
      <c r="D5945" t="s">
        <v>4960</v>
      </c>
      <c r="E5945" s="3" t="s">
        <v>3</v>
      </c>
      <c r="F5945" s="4">
        <v>1.43E-110</v>
      </c>
      <c r="G5945" s="3">
        <v>873</v>
      </c>
      <c r="H5945" s="3">
        <v>47</v>
      </c>
      <c r="I5945" s="3">
        <v>369</v>
      </c>
      <c r="J5945" s="3">
        <v>95</v>
      </c>
      <c r="K5945" s="3">
        <v>1183</v>
      </c>
      <c r="L5945" s="3">
        <v>70</v>
      </c>
      <c r="M5945" s="3">
        <v>421</v>
      </c>
    </row>
    <row r="5946" spans="1:13" x14ac:dyDescent="0.25">
      <c r="A5946" s="1" t="str">
        <f>HYPERLINK("http://www.rosaceae.org/Prunus/Prunus_persica/p.persica_gdr_reftransV1_0013525","p.persica_gdr_reftransV1_0013525")</f>
        <v>p.persica_gdr_reftransV1_0013525</v>
      </c>
      <c r="B5946" s="3">
        <v>960</v>
      </c>
      <c r="C5946" s="1" t="str">
        <f>HYPERLINK("http://www.uniprot.org/uniprot/TOM1_TOBAC","TOM1_TOBAC")</f>
        <v>TOM1_TOBAC</v>
      </c>
      <c r="D5946" t="s">
        <v>4961</v>
      </c>
      <c r="E5946" s="3" t="s">
        <v>200</v>
      </c>
      <c r="F5946" s="4">
        <v>8.2999999999999997E-107</v>
      </c>
      <c r="G5946" s="3">
        <v>820</v>
      </c>
      <c r="H5946" s="3">
        <v>67</v>
      </c>
      <c r="I5946" s="3">
        <v>237</v>
      </c>
      <c r="J5946" s="3">
        <v>209</v>
      </c>
      <c r="K5946" s="3">
        <v>919</v>
      </c>
      <c r="L5946" s="3">
        <v>52</v>
      </c>
      <c r="M5946" s="3">
        <v>288</v>
      </c>
    </row>
    <row r="5947" spans="1:13" x14ac:dyDescent="0.25">
      <c r="A5947" s="1" t="str">
        <f>HYPERLINK("http://www.rosaceae.org/Prunus/Prunus_persica/p.persica_gdr_reftransV1_0013575","p.persica_gdr_reftransV1_0013575")</f>
        <v>p.persica_gdr_reftransV1_0013575</v>
      </c>
      <c r="B5947" s="3">
        <v>851</v>
      </c>
      <c r="C5947" s="1" t="str">
        <f>HYPERLINK("http://www.uniprot.org/uniprot/PP255_ARATH","PP255_ARATH")</f>
        <v>PP255_ARATH</v>
      </c>
      <c r="D5947" t="s">
        <v>4695</v>
      </c>
      <c r="E5947" s="3" t="s">
        <v>3</v>
      </c>
      <c r="F5947" s="4">
        <v>1.27E-78</v>
      </c>
      <c r="G5947" s="3">
        <v>658</v>
      </c>
      <c r="H5947" s="3">
        <v>61</v>
      </c>
      <c r="I5947" s="3">
        <v>193</v>
      </c>
      <c r="J5947" s="3">
        <v>1</v>
      </c>
      <c r="K5947" s="3">
        <v>579</v>
      </c>
      <c r="L5947" s="3">
        <v>504</v>
      </c>
      <c r="M5947" s="3">
        <v>696</v>
      </c>
    </row>
    <row r="5948" spans="1:13" x14ac:dyDescent="0.25">
      <c r="A5948" s="1" t="str">
        <f>HYPERLINK("http://www.rosaceae.org/Prunus/Prunus_persica/p.persica_gdr_reftransV1_0014075","p.persica_gdr_reftransV1_0014075")</f>
        <v>p.persica_gdr_reftransV1_0014075</v>
      </c>
      <c r="B5948" s="3">
        <v>6434</v>
      </c>
      <c r="C5948" s="1" t="str">
        <f>HYPERLINK("http://www.uniprot.org/uniprot/AASS_ARATH","AASS_ARATH")</f>
        <v>AASS_ARATH</v>
      </c>
      <c r="D5948" t="s">
        <v>3638</v>
      </c>
      <c r="E5948" s="3" t="s">
        <v>3</v>
      </c>
      <c r="F5948" s="4">
        <v>0</v>
      </c>
      <c r="G5948" s="3">
        <v>4021</v>
      </c>
      <c r="H5948" s="3">
        <v>72</v>
      </c>
      <c r="I5948" s="3">
        <v>1065</v>
      </c>
      <c r="J5948" s="3">
        <v>656</v>
      </c>
      <c r="K5948" s="3">
        <v>3832</v>
      </c>
      <c r="L5948" s="3">
        <v>2</v>
      </c>
      <c r="M5948" s="3">
        <v>1064</v>
      </c>
    </row>
    <row r="5949" spans="1:13" x14ac:dyDescent="0.25">
      <c r="A5949" s="1" t="str">
        <f>HYPERLINK("http://www.rosaceae.org/Prunus/Prunus_persica/p.persica_gdr_reftransV1_0014275","p.persica_gdr_reftransV1_0014275")</f>
        <v>p.persica_gdr_reftransV1_0014275</v>
      </c>
      <c r="B5949" s="3">
        <v>2343</v>
      </c>
      <c r="C5949" s="1" t="str">
        <f>HYPERLINK("http://www.uniprot.org/uniprot/LPXK_ARATH","LPXK_ARATH")</f>
        <v>LPXK_ARATH</v>
      </c>
      <c r="D5949" t="s">
        <v>4962</v>
      </c>
      <c r="E5949" s="3" t="s">
        <v>3</v>
      </c>
      <c r="F5949" s="4">
        <v>6.7799999999999997E-147</v>
      </c>
      <c r="G5949" s="3">
        <v>1140</v>
      </c>
      <c r="H5949" s="3">
        <v>62</v>
      </c>
      <c r="I5949" s="3">
        <v>373</v>
      </c>
      <c r="J5949" s="3">
        <v>1139</v>
      </c>
      <c r="K5949" s="3">
        <v>2257</v>
      </c>
      <c r="L5949" s="3">
        <v>1</v>
      </c>
      <c r="M5949" s="3">
        <v>370</v>
      </c>
    </row>
    <row r="5950" spans="1:13" x14ac:dyDescent="0.25">
      <c r="A5950" s="1" t="str">
        <f>HYPERLINK("http://www.rosaceae.org/Prunus/Prunus_persica/p.persica_gdr_reftransV1_0014525","p.persica_gdr_reftransV1_0014525")</f>
        <v>p.persica_gdr_reftransV1_0014525</v>
      </c>
      <c r="B5950" s="3">
        <v>372</v>
      </c>
      <c r="C5950" s="1" t="str">
        <f>HYPERLINK("http://www.uniprot.org/uniprot/MYB3_ARATH","MYB3_ARATH")</f>
        <v>MYB3_ARATH</v>
      </c>
      <c r="D5950" t="s">
        <v>1493</v>
      </c>
      <c r="E5950" s="3" t="s">
        <v>3</v>
      </c>
      <c r="F5950" s="4">
        <v>2.1500000000000001E-59</v>
      </c>
      <c r="G5950" s="3">
        <v>481</v>
      </c>
      <c r="H5950" s="3">
        <v>74</v>
      </c>
      <c r="I5950" s="3">
        <v>114</v>
      </c>
      <c r="J5950" s="3">
        <v>30</v>
      </c>
      <c r="K5950" s="3">
        <v>371</v>
      </c>
      <c r="L5950" s="3">
        <v>1</v>
      </c>
      <c r="M5950" s="3">
        <v>114</v>
      </c>
    </row>
    <row r="5951" spans="1:13" x14ac:dyDescent="0.25">
      <c r="A5951" s="1" t="str">
        <f>HYPERLINK("http://www.rosaceae.org/Prunus/Prunus_persica/p.persica_gdr_reftransV1_0014675","p.persica_gdr_reftransV1_0014675")</f>
        <v>p.persica_gdr_reftransV1_0014675</v>
      </c>
      <c r="B5951" s="3">
        <v>1913</v>
      </c>
      <c r="C5951" s="1" t="str">
        <f>HYPERLINK("http://www.uniprot.org/uniprot/CDPK3_ARATH","CDPK3_ARATH")</f>
        <v>CDPK3_ARATH</v>
      </c>
      <c r="D5951" t="s">
        <v>4963</v>
      </c>
      <c r="E5951" s="3" t="s">
        <v>3</v>
      </c>
      <c r="F5951" s="4">
        <v>0</v>
      </c>
      <c r="G5951" s="3">
        <v>2038</v>
      </c>
      <c r="H5951" s="3">
        <v>82</v>
      </c>
      <c r="I5951" s="3">
        <v>465</v>
      </c>
      <c r="J5951" s="3">
        <v>462</v>
      </c>
      <c r="K5951" s="3">
        <v>1856</v>
      </c>
      <c r="L5951" s="3">
        <v>64</v>
      </c>
      <c r="M5951" s="3">
        <v>528</v>
      </c>
    </row>
    <row r="5952" spans="1:13" x14ac:dyDescent="0.25">
      <c r="A5952" s="1" t="str">
        <f>HYPERLINK("http://www.rosaceae.org/Prunus/Prunus_persica/p.persica_gdr_reftransV1_0014775","p.persica_gdr_reftransV1_0014775")</f>
        <v>p.persica_gdr_reftransV1_0014775</v>
      </c>
      <c r="B5952" s="3">
        <v>2078</v>
      </c>
      <c r="C5952" s="1" t="str">
        <f>HYPERLINK("http://www.uniprot.org/uniprot/PPP5_ARATH","PPP5_ARATH")</f>
        <v>PPP5_ARATH</v>
      </c>
      <c r="D5952" t="s">
        <v>4964</v>
      </c>
      <c r="E5952" s="3" t="s">
        <v>3</v>
      </c>
      <c r="F5952" s="4">
        <v>0</v>
      </c>
      <c r="G5952" s="3">
        <v>2173</v>
      </c>
      <c r="H5952" s="3">
        <v>77</v>
      </c>
      <c r="I5952" s="3">
        <v>531</v>
      </c>
      <c r="J5952" s="3">
        <v>515</v>
      </c>
      <c r="K5952" s="3">
        <v>1945</v>
      </c>
      <c r="L5952" s="3">
        <v>7</v>
      </c>
      <c r="M5952" s="3">
        <v>537</v>
      </c>
    </row>
    <row r="5953" spans="1:13" x14ac:dyDescent="0.25">
      <c r="A5953" s="1" t="str">
        <f>HYPERLINK("http://www.rosaceae.org/Prunus/Prunus_persica/p.persica_gdr_reftransV1_0014825","p.persica_gdr_reftransV1_0014825")</f>
        <v>p.persica_gdr_reftransV1_0014825</v>
      </c>
      <c r="B5953" s="3">
        <v>1135</v>
      </c>
      <c r="C5953" s="1" t="str">
        <f>HYPERLINK("http://www.uniprot.org/uniprot/CIA30_ARATH","CIA30_ARATH")</f>
        <v>CIA30_ARATH</v>
      </c>
      <c r="D5953" t="s">
        <v>4965</v>
      </c>
      <c r="E5953" s="3" t="s">
        <v>3</v>
      </c>
      <c r="F5953" s="4">
        <v>3.4399999999999998E-131</v>
      </c>
      <c r="G5953" s="3">
        <v>981</v>
      </c>
      <c r="H5953" s="3">
        <v>81</v>
      </c>
      <c r="I5953" s="3">
        <v>225</v>
      </c>
      <c r="J5953" s="3">
        <v>368</v>
      </c>
      <c r="K5953" s="3">
        <v>1036</v>
      </c>
      <c r="L5953" s="3">
        <v>1</v>
      </c>
      <c r="M5953" s="3">
        <v>225</v>
      </c>
    </row>
    <row r="5954" spans="1:13" x14ac:dyDescent="0.25">
      <c r="A5954" s="1" t="str">
        <f>HYPERLINK("http://www.rosaceae.org/Prunus/Prunus_persica/p.persica_gdr_reftransV1_0014925","p.persica_gdr_reftransV1_0014925")</f>
        <v>p.persica_gdr_reftransV1_0014925</v>
      </c>
      <c r="B5954" s="3">
        <v>1187</v>
      </c>
      <c r="C5954" s="1" t="str">
        <f>HYPERLINK("http://www.uniprot.org/uniprot/TRL2_ORYSJ","TRL2_ORYSJ")</f>
        <v>TRL2_ORYSJ</v>
      </c>
      <c r="D5954" t="s">
        <v>4966</v>
      </c>
      <c r="E5954" s="3" t="s">
        <v>38</v>
      </c>
      <c r="F5954" s="4">
        <v>5.3400000000000001E-82</v>
      </c>
      <c r="G5954" s="3">
        <v>655</v>
      </c>
      <c r="H5954" s="3">
        <v>76</v>
      </c>
      <c r="I5954" s="3">
        <v>158</v>
      </c>
      <c r="J5954" s="3">
        <v>407</v>
      </c>
      <c r="K5954" s="3">
        <v>877</v>
      </c>
      <c r="L5954" s="3">
        <v>56</v>
      </c>
      <c r="M5954" s="3">
        <v>212</v>
      </c>
    </row>
    <row r="5955" spans="1:13" x14ac:dyDescent="0.25">
      <c r="A5955" s="1" t="str">
        <f>HYPERLINK("http://www.rosaceae.org/Prunus/Prunus_persica/p.persica_gdr_reftransV1_0014975","p.persica_gdr_reftransV1_0014975")</f>
        <v>p.persica_gdr_reftransV1_0014975</v>
      </c>
      <c r="B5955" s="3">
        <v>1057</v>
      </c>
      <c r="C5955" s="1" t="str">
        <f>HYPERLINK("http://www.uniprot.org/uniprot/SAP8_ORYSJ","SAP8_ORYSJ")</f>
        <v>SAP8_ORYSJ</v>
      </c>
      <c r="D5955" t="s">
        <v>2345</v>
      </c>
      <c r="E5955" s="3" t="s">
        <v>38</v>
      </c>
      <c r="F5955" s="4">
        <v>8.4700000000000005E-73</v>
      </c>
      <c r="G5955" s="3">
        <v>586</v>
      </c>
      <c r="H5955" s="3">
        <v>64</v>
      </c>
      <c r="I5955" s="3">
        <v>174</v>
      </c>
      <c r="J5955" s="3">
        <v>132</v>
      </c>
      <c r="K5955" s="3">
        <v>647</v>
      </c>
      <c r="L5955" s="3">
        <v>1</v>
      </c>
      <c r="M5955" s="3">
        <v>171</v>
      </c>
    </row>
    <row r="5956" spans="1:13" x14ac:dyDescent="0.25">
      <c r="A5956" s="1" t="str">
        <f>HYPERLINK("http://www.rosaceae.org/Prunus/Prunus_persica/p.persica_gdr_reftransV1_0015275","p.persica_gdr_reftransV1_0015275")</f>
        <v>p.persica_gdr_reftransV1_0015275</v>
      </c>
      <c r="B5956" s="3">
        <v>1245</v>
      </c>
      <c r="C5956" s="1" t="str">
        <f>HYPERLINK("http://www.uniprot.org/uniprot/CSP3_ARATH","CSP3_ARATH")</f>
        <v>CSP3_ARATH</v>
      </c>
      <c r="D5956" t="s">
        <v>4967</v>
      </c>
      <c r="E5956" s="3" t="s">
        <v>3</v>
      </c>
      <c r="F5956" s="4">
        <v>4.1500000000000002E-31</v>
      </c>
      <c r="G5956" s="3">
        <v>314</v>
      </c>
      <c r="H5956" s="3">
        <v>46</v>
      </c>
      <c r="I5956" s="3">
        <v>270</v>
      </c>
      <c r="J5956" s="3">
        <v>357</v>
      </c>
      <c r="K5956" s="3">
        <v>1124</v>
      </c>
      <c r="L5956" s="3">
        <v>10</v>
      </c>
      <c r="M5956" s="3">
        <v>241</v>
      </c>
    </row>
    <row r="5957" spans="1:13" x14ac:dyDescent="0.25">
      <c r="A5957" s="1" t="str">
        <f>HYPERLINK("http://www.rosaceae.org/Prunus/Prunus_persica/p.persica_gdr_reftransV1_0015375","p.persica_gdr_reftransV1_0015375")</f>
        <v>p.persica_gdr_reftransV1_0015375</v>
      </c>
      <c r="B5957" s="3">
        <v>2116</v>
      </c>
      <c r="C5957" s="1" t="str">
        <f>HYPERLINK("http://www.uniprot.org/uniprot/CAAT7_ARATH","CAAT7_ARATH")</f>
        <v>CAAT7_ARATH</v>
      </c>
      <c r="D5957" t="s">
        <v>4968</v>
      </c>
      <c r="E5957" s="3" t="s">
        <v>3</v>
      </c>
      <c r="F5957" s="4">
        <v>0</v>
      </c>
      <c r="G5957" s="3">
        <v>1933</v>
      </c>
      <c r="H5957" s="3">
        <v>73</v>
      </c>
      <c r="I5957" s="3">
        <v>570</v>
      </c>
      <c r="J5957" s="3">
        <v>351</v>
      </c>
      <c r="K5957" s="3">
        <v>2048</v>
      </c>
      <c r="L5957" s="3">
        <v>5</v>
      </c>
      <c r="M5957" s="3">
        <v>574</v>
      </c>
    </row>
    <row r="5958" spans="1:13" x14ac:dyDescent="0.25">
      <c r="A5958" s="1" t="str">
        <f>HYPERLINK("http://www.rosaceae.org/Prunus/Prunus_persica/p.persica_gdr_reftransV1_0015475","p.persica_gdr_reftransV1_0015475")</f>
        <v>p.persica_gdr_reftransV1_0015475</v>
      </c>
      <c r="B5958" s="3">
        <v>1155</v>
      </c>
      <c r="C5958" s="1" t="str">
        <f>HYPERLINK("http://www.uniprot.org/uniprot/LPA2_ARATH","LPA2_ARATH")</f>
        <v>LPA2_ARATH</v>
      </c>
      <c r="D5958" t="s">
        <v>4969</v>
      </c>
      <c r="E5958" s="3" t="s">
        <v>3</v>
      </c>
      <c r="F5958" s="4">
        <v>1.26E-41</v>
      </c>
      <c r="G5958" s="3">
        <v>379</v>
      </c>
      <c r="H5958" s="3">
        <v>47</v>
      </c>
      <c r="I5958" s="3">
        <v>195</v>
      </c>
      <c r="J5958" s="3">
        <v>568</v>
      </c>
      <c r="K5958" s="3">
        <v>1149</v>
      </c>
      <c r="L5958" s="3">
        <v>1</v>
      </c>
      <c r="M5958" s="3">
        <v>185</v>
      </c>
    </row>
    <row r="5959" spans="1:13" x14ac:dyDescent="0.25">
      <c r="A5959" s="1" t="str">
        <f>HYPERLINK("http://www.rosaceae.org/Prunus/Prunus_persica/p.persica_gdr_reftransV1_0015875","p.persica_gdr_reftransV1_0015875")</f>
        <v>p.persica_gdr_reftransV1_0015875</v>
      </c>
      <c r="B5959" s="3">
        <v>1815</v>
      </c>
      <c r="C5959" s="1" t="str">
        <f>HYPERLINK("http://www.uniprot.org/uniprot/ARFS_ARATH","ARFS_ARATH")</f>
        <v>ARFS_ARATH</v>
      </c>
      <c r="D5959" t="s">
        <v>2705</v>
      </c>
      <c r="E5959" s="3" t="s">
        <v>3</v>
      </c>
      <c r="F5959" s="4">
        <v>7.9499999999999995E-139</v>
      </c>
      <c r="G5959" s="3">
        <v>1126</v>
      </c>
      <c r="H5959" s="3">
        <v>61</v>
      </c>
      <c r="I5959" s="3">
        <v>383</v>
      </c>
      <c r="J5959" s="3">
        <v>215</v>
      </c>
      <c r="K5959" s="3">
        <v>1309</v>
      </c>
      <c r="L5959" s="3">
        <v>701</v>
      </c>
      <c r="M5959" s="3">
        <v>1077</v>
      </c>
    </row>
    <row r="5960" spans="1:13" x14ac:dyDescent="0.25">
      <c r="A5960" s="1" t="str">
        <f>HYPERLINK("http://www.rosaceae.org/Prunus/Prunus_persica/p.persica_gdr_reftransV1_0016125","p.persica_gdr_reftransV1_0016125")</f>
        <v>p.persica_gdr_reftransV1_0016125</v>
      </c>
      <c r="B5960" s="3">
        <v>4258</v>
      </c>
      <c r="C5960" s="1" t="str">
        <f>HYPERLINK("http://www.uniprot.org/uniprot/UBP17_ARATH","UBP17_ARATH")</f>
        <v>UBP17_ARATH</v>
      </c>
      <c r="D5960" t="s">
        <v>4970</v>
      </c>
      <c r="E5960" s="3" t="s">
        <v>3</v>
      </c>
      <c r="F5960" s="4">
        <v>3.11E-124</v>
      </c>
      <c r="G5960" s="3">
        <v>1054</v>
      </c>
      <c r="H5960" s="3">
        <v>48</v>
      </c>
      <c r="I5960" s="3">
        <v>535</v>
      </c>
      <c r="J5960" s="3">
        <v>630</v>
      </c>
      <c r="K5960" s="3">
        <v>2222</v>
      </c>
      <c r="L5960" s="3">
        <v>8</v>
      </c>
      <c r="M5960" s="3">
        <v>511</v>
      </c>
    </row>
    <row r="5961" spans="1:13" x14ac:dyDescent="0.25">
      <c r="A5961" s="1" t="str">
        <f>HYPERLINK("http://www.rosaceae.org/Prunus/Prunus_persica/p.persica_gdr_reftransV1_0016225","p.persica_gdr_reftransV1_0016225")</f>
        <v>p.persica_gdr_reftransV1_0016225</v>
      </c>
      <c r="B5961" s="3">
        <v>2920</v>
      </c>
      <c r="C5961" s="1" t="str">
        <f>HYPERLINK("http://www.uniprot.org/uniprot/PPR70_ARATH","PPR70_ARATH")</f>
        <v>PPR70_ARATH</v>
      </c>
      <c r="D5961" t="s">
        <v>3381</v>
      </c>
      <c r="E5961" s="3" t="s">
        <v>3</v>
      </c>
      <c r="F5961" s="4">
        <v>6.0699999999999999E-142</v>
      </c>
      <c r="G5961" s="3">
        <v>1135</v>
      </c>
      <c r="H5961" s="3">
        <v>62</v>
      </c>
      <c r="I5961" s="3">
        <v>322</v>
      </c>
      <c r="J5961" s="3">
        <v>1957</v>
      </c>
      <c r="K5961" s="3">
        <v>2919</v>
      </c>
      <c r="L5961" s="3">
        <v>223</v>
      </c>
      <c r="M5961" s="3">
        <v>538</v>
      </c>
    </row>
    <row r="5962" spans="1:13" x14ac:dyDescent="0.25">
      <c r="A5962" s="1" t="str">
        <f>HYPERLINK("http://www.rosaceae.org/Prunus/Prunus_persica/p.persica_gdr_reftransV1_0016575","p.persica_gdr_reftransV1_0016575")</f>
        <v>p.persica_gdr_reftransV1_0016575</v>
      </c>
      <c r="B5962" s="3">
        <v>1166</v>
      </c>
      <c r="C5962" s="1" t="str">
        <f>HYPERLINK("http://www.uniprot.org/uniprot/MIZ1_ARATH","MIZ1_ARATH")</f>
        <v>MIZ1_ARATH</v>
      </c>
      <c r="D5962" t="s">
        <v>4971</v>
      </c>
      <c r="E5962" s="3" t="s">
        <v>3</v>
      </c>
      <c r="F5962" s="4">
        <v>5.62E-58</v>
      </c>
      <c r="G5962" s="3">
        <v>500</v>
      </c>
      <c r="H5962" s="3">
        <v>55</v>
      </c>
      <c r="I5962" s="3">
        <v>176</v>
      </c>
      <c r="J5962" s="3">
        <v>326</v>
      </c>
      <c r="K5962" s="3">
        <v>823</v>
      </c>
      <c r="L5962" s="3">
        <v>123</v>
      </c>
      <c r="M5962" s="3">
        <v>297</v>
      </c>
    </row>
    <row r="5963" spans="1:13" x14ac:dyDescent="0.25">
      <c r="A5963" s="1" t="str">
        <f>HYPERLINK("http://www.rosaceae.org/Prunus/Prunus_persica/p.persica_gdr_reftransV1_0016775","p.persica_gdr_reftransV1_0016775")</f>
        <v>p.persica_gdr_reftransV1_0016775</v>
      </c>
      <c r="B5963" s="3">
        <v>3080</v>
      </c>
      <c r="C5963" s="1" t="str">
        <f>HYPERLINK("http://www.uniprot.org/uniprot/YIHQ_ECOLI","YIHQ_ECOLI")</f>
        <v>YIHQ_ECOLI</v>
      </c>
      <c r="D5963" t="s">
        <v>4972</v>
      </c>
      <c r="E5963" s="3" t="s">
        <v>2372</v>
      </c>
      <c r="F5963" s="4">
        <v>2.0399999999999999E-119</v>
      </c>
      <c r="G5963" s="3">
        <v>997</v>
      </c>
      <c r="H5963" s="3">
        <v>37</v>
      </c>
      <c r="I5963" s="3">
        <v>580</v>
      </c>
      <c r="J5963" s="3">
        <v>1090</v>
      </c>
      <c r="K5963" s="3">
        <v>2823</v>
      </c>
      <c r="L5963" s="3">
        <v>115</v>
      </c>
      <c r="M5963" s="3">
        <v>666</v>
      </c>
    </row>
    <row r="5964" spans="1:13" x14ac:dyDescent="0.25">
      <c r="A5964" s="1" t="str">
        <f>HYPERLINK("http://www.rosaceae.org/Prunus/Prunus_persica/p.persica_gdr_reftransV1_0016825","p.persica_gdr_reftransV1_0016825")</f>
        <v>p.persica_gdr_reftransV1_0016825</v>
      </c>
      <c r="B5964" s="3">
        <v>648</v>
      </c>
      <c r="C5964" s="1" t="str">
        <f>HYPERLINK("http://www.uniprot.org/uniprot/Y4729_ARATH","Y4729_ARATH")</f>
        <v>Y4729_ARATH</v>
      </c>
      <c r="D5964" t="s">
        <v>334</v>
      </c>
      <c r="E5964" s="3" t="s">
        <v>3</v>
      </c>
      <c r="F5964" s="4">
        <v>1.13E-45</v>
      </c>
      <c r="G5964" s="3">
        <v>419</v>
      </c>
      <c r="H5964" s="3">
        <v>55</v>
      </c>
      <c r="I5964" s="3">
        <v>157</v>
      </c>
      <c r="J5964" s="3">
        <v>3</v>
      </c>
      <c r="K5964" s="3">
        <v>467</v>
      </c>
      <c r="L5964" s="3">
        <v>627</v>
      </c>
      <c r="M5964" s="3">
        <v>783</v>
      </c>
    </row>
    <row r="5965" spans="1:13" x14ac:dyDescent="0.25">
      <c r="A5965" s="1" t="str">
        <f>HYPERLINK("http://www.rosaceae.org/Prunus/Prunus_persica/p.persica_gdr_reftransV1_0016875","p.persica_gdr_reftransV1_0016875")</f>
        <v>p.persica_gdr_reftransV1_0016875</v>
      </c>
      <c r="B5965" s="3">
        <v>1508</v>
      </c>
      <c r="C5965" s="1" t="str">
        <f>HYPERLINK("http://www.uniprot.org/uniprot/VINSY_RAUSE","VINSY_RAUSE")</f>
        <v>VINSY_RAUSE</v>
      </c>
      <c r="D5965" t="s">
        <v>2815</v>
      </c>
      <c r="E5965" s="3" t="s">
        <v>2816</v>
      </c>
      <c r="F5965" s="4">
        <v>7.2399999999999995E-81</v>
      </c>
      <c r="G5965" s="3">
        <v>675</v>
      </c>
      <c r="H5965" s="3">
        <v>36</v>
      </c>
      <c r="I5965" s="3">
        <v>421</v>
      </c>
      <c r="J5965" s="3">
        <v>230</v>
      </c>
      <c r="K5965" s="3">
        <v>1447</v>
      </c>
      <c r="L5965" s="3">
        <v>4</v>
      </c>
      <c r="M5965" s="3">
        <v>405</v>
      </c>
    </row>
    <row r="5966" spans="1:13" x14ac:dyDescent="0.25">
      <c r="A5966" s="1" t="str">
        <f>HYPERLINK("http://www.rosaceae.org/Prunus/Prunus_persica/p.persica_gdr_reftransV1_0017075","p.persica_gdr_reftransV1_0017075")</f>
        <v>p.persica_gdr_reftransV1_0017075</v>
      </c>
      <c r="B5966" s="3">
        <v>2263</v>
      </c>
      <c r="C5966" s="1" t="str">
        <f>HYPERLINK("http://www.uniprot.org/uniprot/ASNS3_ARATH","ASNS3_ARATH")</f>
        <v>ASNS3_ARATH</v>
      </c>
      <c r="D5966" t="s">
        <v>4973</v>
      </c>
      <c r="E5966" s="3" t="s">
        <v>3</v>
      </c>
      <c r="F5966" s="4">
        <v>0</v>
      </c>
      <c r="G5966" s="3">
        <v>2585</v>
      </c>
      <c r="H5966" s="3">
        <v>85</v>
      </c>
      <c r="I5966" s="3">
        <v>584</v>
      </c>
      <c r="J5966" s="3">
        <v>367</v>
      </c>
      <c r="K5966" s="3">
        <v>2118</v>
      </c>
      <c r="L5966" s="3">
        <v>1</v>
      </c>
      <c r="M5966" s="3">
        <v>578</v>
      </c>
    </row>
    <row r="5967" spans="1:13" x14ac:dyDescent="0.25">
      <c r="A5967" s="1" t="str">
        <f>HYPERLINK("http://www.rosaceae.org/Prunus/Prunus_persica/p.persica_gdr_reftransV1_0017125","p.persica_gdr_reftransV1_0017125")</f>
        <v>p.persica_gdr_reftransV1_0017125</v>
      </c>
      <c r="B5967" s="3">
        <v>1335</v>
      </c>
      <c r="C5967" s="1" t="str">
        <f>HYPERLINK("http://www.uniprot.org/uniprot/USF_AQUPY","USF_AQUPY")</f>
        <v>USF_AQUPY</v>
      </c>
      <c r="D5967" t="s">
        <v>4974</v>
      </c>
      <c r="E5967" s="3" t="s">
        <v>4975</v>
      </c>
      <c r="F5967" s="4">
        <v>6.1799999999999997E-23</v>
      </c>
      <c r="G5967" s="3">
        <v>249</v>
      </c>
      <c r="H5967" s="3">
        <v>32</v>
      </c>
      <c r="I5967" s="3">
        <v>221</v>
      </c>
      <c r="J5967" s="3">
        <v>416</v>
      </c>
      <c r="K5967" s="3">
        <v>1048</v>
      </c>
      <c r="L5967" s="3">
        <v>26</v>
      </c>
      <c r="M5967" s="3">
        <v>231</v>
      </c>
    </row>
    <row r="5968" spans="1:13" x14ac:dyDescent="0.25">
      <c r="A5968" s="1" t="str">
        <f>HYPERLINK("http://www.rosaceae.org/Prunus/Prunus_persica/p.persica_gdr_reftransV1_0017375","p.persica_gdr_reftransV1_0017375")</f>
        <v>p.persica_gdr_reftransV1_0017375</v>
      </c>
      <c r="B5968" s="3">
        <v>3043</v>
      </c>
      <c r="C5968" s="1" t="str">
        <f>HYPERLINK("http://www.uniprot.org/uniprot/PPR64_ARATH","PPR64_ARATH")</f>
        <v>PPR64_ARATH</v>
      </c>
      <c r="D5968" t="s">
        <v>4976</v>
      </c>
      <c r="E5968" s="3" t="s">
        <v>3</v>
      </c>
      <c r="F5968" s="4">
        <v>0</v>
      </c>
      <c r="G5968" s="3">
        <v>2005</v>
      </c>
      <c r="H5968" s="3">
        <v>58</v>
      </c>
      <c r="I5968" s="3">
        <v>659</v>
      </c>
      <c r="J5968" s="3">
        <v>130</v>
      </c>
      <c r="K5968" s="3">
        <v>1998</v>
      </c>
      <c r="L5968" s="3">
        <v>350</v>
      </c>
      <c r="M5968" s="3">
        <v>1001</v>
      </c>
    </row>
    <row r="5969" spans="1:13" x14ac:dyDescent="0.25">
      <c r="A5969" s="1" t="str">
        <f>HYPERLINK("http://www.rosaceae.org/Prunus/Prunus_persica/p.persica_gdr_reftransV1_0017525","p.persica_gdr_reftransV1_0017525")</f>
        <v>p.persica_gdr_reftransV1_0017525</v>
      </c>
      <c r="B5969" s="3">
        <v>1984</v>
      </c>
      <c r="C5969" s="1" t="str">
        <f>HYPERLINK("http://www.uniprot.org/uniprot/XB31_ARATH","XB31_ARATH")</f>
        <v>XB31_ARATH</v>
      </c>
      <c r="D5969" t="s">
        <v>4977</v>
      </c>
      <c r="E5969" s="3" t="s">
        <v>3</v>
      </c>
      <c r="F5969" s="4">
        <v>5.0600000000000001E-174</v>
      </c>
      <c r="G5969" s="3">
        <v>1316</v>
      </c>
      <c r="H5969" s="3">
        <v>64</v>
      </c>
      <c r="I5969" s="3">
        <v>458</v>
      </c>
      <c r="J5969" s="3">
        <v>362</v>
      </c>
      <c r="K5969" s="3">
        <v>1690</v>
      </c>
      <c r="L5969" s="3">
        <v>1</v>
      </c>
      <c r="M5969" s="3">
        <v>454</v>
      </c>
    </row>
    <row r="5970" spans="1:13" x14ac:dyDescent="0.25">
      <c r="A5970" s="1" t="str">
        <f>HYPERLINK("http://www.rosaceae.org/Prunus/Prunus_persica/p.persica_gdr_reftransV1_0017675","p.persica_gdr_reftransV1_0017675")</f>
        <v>p.persica_gdr_reftransV1_0017675</v>
      </c>
      <c r="B5970" s="3">
        <v>966</v>
      </c>
      <c r="C5970" s="1" t="str">
        <f>HYPERLINK("http://www.uniprot.org/uniprot/RK29_ARATH","RK29_ARATH")</f>
        <v>RK29_ARATH</v>
      </c>
      <c r="D5970" t="s">
        <v>4978</v>
      </c>
      <c r="E5970" s="3" t="s">
        <v>3</v>
      </c>
      <c r="F5970" s="4">
        <v>1.5999999999999999E-39</v>
      </c>
      <c r="G5970" s="3">
        <v>359</v>
      </c>
      <c r="H5970" s="3">
        <v>68</v>
      </c>
      <c r="I5970" s="3">
        <v>133</v>
      </c>
      <c r="J5970" s="3">
        <v>178</v>
      </c>
      <c r="K5970" s="3">
        <v>573</v>
      </c>
      <c r="L5970" s="3">
        <v>29</v>
      </c>
      <c r="M5970" s="3">
        <v>158</v>
      </c>
    </row>
    <row r="5971" spans="1:13" x14ac:dyDescent="0.25">
      <c r="A5971" s="1" t="str">
        <f>HYPERLINK("http://www.rosaceae.org/Prunus/Prunus_persica/p.persica_gdr_reftransV1_0017725","p.persica_gdr_reftransV1_0017725")</f>
        <v>p.persica_gdr_reftransV1_0017725</v>
      </c>
      <c r="B5971" s="3">
        <v>2923</v>
      </c>
      <c r="C5971" s="1" t="str">
        <f>HYPERLINK("http://www.uniprot.org/uniprot/RPB8B_ARATH","RPB8B_ARATH")</f>
        <v>RPB8B_ARATH</v>
      </c>
      <c r="D5971" t="s">
        <v>4979</v>
      </c>
      <c r="E5971" s="3" t="s">
        <v>3</v>
      </c>
      <c r="F5971" s="4">
        <v>4.6899999999999999E-28</v>
      </c>
      <c r="G5971" s="3">
        <v>290</v>
      </c>
      <c r="H5971" s="3">
        <v>69</v>
      </c>
      <c r="I5971" s="3">
        <v>72</v>
      </c>
      <c r="J5971" s="3">
        <v>2513</v>
      </c>
      <c r="K5971" s="3">
        <v>2728</v>
      </c>
      <c r="L5971" s="3">
        <v>7</v>
      </c>
      <c r="M5971" s="3">
        <v>78</v>
      </c>
    </row>
    <row r="5972" spans="1:13" x14ac:dyDescent="0.25">
      <c r="A5972" s="1" t="str">
        <f>HYPERLINK("http://www.rosaceae.org/Prunus/Prunus_persica/p.persica_gdr_reftransV1_0018075","p.persica_gdr_reftransV1_0018075")</f>
        <v>p.persica_gdr_reftransV1_0018075</v>
      </c>
      <c r="B5972" s="3">
        <v>1962</v>
      </c>
      <c r="C5972" s="1" t="str">
        <f>HYPERLINK("http://www.uniprot.org/uniprot/Cid11_ARATH","Cid11_ARATH")</f>
        <v>Cid11_ARATH</v>
      </c>
      <c r="D5972" t="s">
        <v>4980</v>
      </c>
      <c r="E5972" s="3" t="s">
        <v>3</v>
      </c>
      <c r="F5972" s="4">
        <v>1.24E-141</v>
      </c>
      <c r="G5972" s="3">
        <v>1090</v>
      </c>
      <c r="H5972" s="3">
        <v>73</v>
      </c>
      <c r="I5972" s="3">
        <v>295</v>
      </c>
      <c r="J5972" s="3">
        <v>429</v>
      </c>
      <c r="K5972" s="3">
        <v>1292</v>
      </c>
      <c r="L5972" s="3">
        <v>69</v>
      </c>
      <c r="M5972" s="3">
        <v>358</v>
      </c>
    </row>
    <row r="5973" spans="1:13" x14ac:dyDescent="0.25">
      <c r="A5973" s="1" t="str">
        <f>HYPERLINK("http://www.rosaceae.org/Prunus/Prunus_persica/p.persica_gdr_reftransV1_0018125","p.persica_gdr_reftransV1_0018125")</f>
        <v>p.persica_gdr_reftransV1_0018125</v>
      </c>
      <c r="B5973" s="3">
        <v>2054</v>
      </c>
      <c r="C5973" s="1" t="str">
        <f>HYPERLINK("http://www.uniprot.org/uniprot/KSG7_ARATH","KSG7_ARATH")</f>
        <v>KSG7_ARATH</v>
      </c>
      <c r="D5973" t="s">
        <v>4981</v>
      </c>
      <c r="E5973" s="3" t="s">
        <v>3</v>
      </c>
      <c r="F5973" s="4">
        <v>0</v>
      </c>
      <c r="G5973" s="3">
        <v>1886</v>
      </c>
      <c r="H5973" s="3">
        <v>91</v>
      </c>
      <c r="I5973" s="3">
        <v>380</v>
      </c>
      <c r="J5973" s="3">
        <v>715</v>
      </c>
      <c r="K5973" s="3">
        <v>1851</v>
      </c>
      <c r="L5973" s="3">
        <v>1</v>
      </c>
      <c r="M5973" s="3">
        <v>380</v>
      </c>
    </row>
    <row r="5974" spans="1:13" x14ac:dyDescent="0.25">
      <c r="A5974" s="1" t="str">
        <f>HYPERLINK("http://www.rosaceae.org/Prunus/Prunus_persica/p.persica_gdr_reftransV1_0018325","p.persica_gdr_reftransV1_0018325")</f>
        <v>p.persica_gdr_reftransV1_0018325</v>
      </c>
      <c r="B5974" s="3">
        <v>3631</v>
      </c>
      <c r="C5974" s="1" t="str">
        <f>HYPERLINK("http://www.uniprot.org/uniprot/MB3R1_ARATH","MB3R1_ARATH")</f>
        <v>MB3R1_ARATH</v>
      </c>
      <c r="D5974" t="s">
        <v>4982</v>
      </c>
      <c r="E5974" s="3" t="s">
        <v>3</v>
      </c>
      <c r="F5974" s="4">
        <v>0</v>
      </c>
      <c r="G5974" s="3">
        <v>1572</v>
      </c>
      <c r="H5974" s="3">
        <v>51</v>
      </c>
      <c r="I5974" s="3">
        <v>737</v>
      </c>
      <c r="J5974" s="3">
        <v>1163</v>
      </c>
      <c r="K5974" s="3">
        <v>3298</v>
      </c>
      <c r="L5974" s="3">
        <v>9</v>
      </c>
      <c r="M5974" s="3">
        <v>724</v>
      </c>
    </row>
    <row r="5975" spans="1:13" x14ac:dyDescent="0.25">
      <c r="A5975" s="1" t="str">
        <f>HYPERLINK("http://www.rosaceae.org/Prunus/Prunus_persica/p.persica_gdr_reftransV1_0018425","p.persica_gdr_reftransV1_0018425")</f>
        <v>p.persica_gdr_reftransV1_0018425</v>
      </c>
      <c r="B5975" s="3">
        <v>1771</v>
      </c>
      <c r="C5975" s="1" t="str">
        <f>HYPERLINK("http://www.uniprot.org/uniprot/DCUP1_ARATH","DCUP1_ARATH")</f>
        <v>DCUP1_ARATH</v>
      </c>
      <c r="D5975" t="s">
        <v>4983</v>
      </c>
      <c r="E5975" s="3" t="s">
        <v>3</v>
      </c>
      <c r="F5975" s="4">
        <v>6.7799999999999994E-169</v>
      </c>
      <c r="G5975" s="3">
        <v>997</v>
      </c>
      <c r="H5975" s="3">
        <v>79</v>
      </c>
      <c r="I5975" s="3">
        <v>225</v>
      </c>
      <c r="J5975" s="3">
        <v>707</v>
      </c>
      <c r="K5975" s="3">
        <v>1381</v>
      </c>
      <c r="L5975" s="3">
        <v>186</v>
      </c>
      <c r="M5975" s="3">
        <v>410</v>
      </c>
    </row>
    <row r="5976" spans="1:13" x14ac:dyDescent="0.25">
      <c r="A5976" s="1" t="str">
        <f>HYPERLINK("http://www.rosaceae.org/Prunus/Prunus_persica/p.persica_gdr_reftransV1_0018525","p.persica_gdr_reftransV1_0018525")</f>
        <v>p.persica_gdr_reftransV1_0018525</v>
      </c>
      <c r="B5976" s="3">
        <v>1955</v>
      </c>
      <c r="C5976" s="1" t="str">
        <f>HYPERLINK("http://www.uniprot.org/uniprot/DHQS_METTH","DHQS_METTH")</f>
        <v>DHQS_METTH</v>
      </c>
      <c r="D5976" t="s">
        <v>4984</v>
      </c>
      <c r="E5976" s="3" t="s">
        <v>910</v>
      </c>
      <c r="F5976" s="4">
        <v>1.08E-49</v>
      </c>
      <c r="G5976" s="3">
        <v>347</v>
      </c>
      <c r="H5976" s="3">
        <v>74</v>
      </c>
      <c r="I5976" s="3">
        <v>86</v>
      </c>
      <c r="J5976" s="3">
        <v>616</v>
      </c>
      <c r="K5976" s="3">
        <v>873</v>
      </c>
      <c r="L5976" s="3">
        <v>230</v>
      </c>
      <c r="M5976" s="3">
        <v>315</v>
      </c>
    </row>
    <row r="5977" spans="1:13" x14ac:dyDescent="0.25">
      <c r="A5977" s="1" t="str">
        <f>HYPERLINK("http://www.rosaceae.org/Prunus/Prunus_persica/p.persica_gdr_reftransV1_0018625","p.persica_gdr_reftransV1_0018625")</f>
        <v>p.persica_gdr_reftransV1_0018625</v>
      </c>
      <c r="B5977" s="3">
        <v>499</v>
      </c>
      <c r="C5977" s="1" t="str">
        <f>HYPERLINK("http://www.uniprot.org/uniprot/RL12_PRUAR","RL12_PRUAR")</f>
        <v>RL12_PRUAR</v>
      </c>
      <c r="D5977" t="s">
        <v>4648</v>
      </c>
      <c r="E5977" s="3" t="s">
        <v>62</v>
      </c>
      <c r="F5977" s="4">
        <v>2.5499999999999999E-7</v>
      </c>
      <c r="G5977" s="3">
        <v>93</v>
      </c>
      <c r="H5977" s="3">
        <v>52</v>
      </c>
      <c r="I5977" s="3">
        <v>44</v>
      </c>
      <c r="J5977" s="3">
        <v>199</v>
      </c>
      <c r="K5977" s="3">
        <v>321</v>
      </c>
      <c r="L5977" s="3">
        <v>28</v>
      </c>
      <c r="M5977" s="3">
        <v>69</v>
      </c>
    </row>
    <row r="5978" spans="1:13" x14ac:dyDescent="0.25">
      <c r="A5978" s="1" t="str">
        <f>HYPERLINK("http://www.rosaceae.org/Prunus/Prunus_persica/p.persica_gdr_reftransV1_0018775","p.persica_gdr_reftransV1_0018775")</f>
        <v>p.persica_gdr_reftransV1_0018775</v>
      </c>
      <c r="B5978" s="3">
        <v>1724</v>
      </c>
      <c r="C5978" s="1" t="str">
        <f>HYPERLINK("http://www.uniprot.org/uniprot/CMT1_MAIZE","CMT1_MAIZE")</f>
        <v>CMT1_MAIZE</v>
      </c>
      <c r="D5978" t="s">
        <v>4985</v>
      </c>
      <c r="E5978" s="3" t="s">
        <v>72</v>
      </c>
      <c r="F5978" s="4">
        <v>0</v>
      </c>
      <c r="G5978" s="3">
        <v>1434</v>
      </c>
      <c r="H5978" s="3">
        <v>63</v>
      </c>
      <c r="I5978" s="3">
        <v>454</v>
      </c>
      <c r="J5978" s="3">
        <v>239</v>
      </c>
      <c r="K5978" s="3">
        <v>1579</v>
      </c>
      <c r="L5978" s="3">
        <v>441</v>
      </c>
      <c r="M5978" s="3">
        <v>889</v>
      </c>
    </row>
    <row r="5979" spans="1:13" x14ac:dyDescent="0.25">
      <c r="A5979" s="1" t="str">
        <f>HYPERLINK("http://www.rosaceae.org/Prunus/Prunus_persica/p.persica_gdr_reftransV1_0018925","p.persica_gdr_reftransV1_0018925")</f>
        <v>p.persica_gdr_reftransV1_0018925</v>
      </c>
      <c r="B5979" s="3">
        <v>1844</v>
      </c>
      <c r="C5979" s="1" t="str">
        <f>HYPERLINK("http://www.uniprot.org/uniprot/TT12_ARATH","TT12_ARATH")</f>
        <v>TT12_ARATH</v>
      </c>
      <c r="D5979" t="s">
        <v>353</v>
      </c>
      <c r="E5979" s="3" t="s">
        <v>3</v>
      </c>
      <c r="F5979" s="4">
        <v>1.09E-110</v>
      </c>
      <c r="G5979" s="3">
        <v>893</v>
      </c>
      <c r="H5979" s="3">
        <v>39</v>
      </c>
      <c r="I5979" s="3">
        <v>508</v>
      </c>
      <c r="J5979" s="3">
        <v>5</v>
      </c>
      <c r="K5979" s="3">
        <v>1519</v>
      </c>
      <c r="L5979" s="3">
        <v>5</v>
      </c>
      <c r="M5979" s="3">
        <v>505</v>
      </c>
    </row>
    <row r="5980" spans="1:13" x14ac:dyDescent="0.25">
      <c r="A5980" s="1" t="str">
        <f>HYPERLINK("http://www.rosaceae.org/Prunus/Prunus_persica/p.persica_gdr_reftransV1_0018975","p.persica_gdr_reftransV1_0018975")</f>
        <v>p.persica_gdr_reftransV1_0018975</v>
      </c>
      <c r="B5980" s="3">
        <v>1844</v>
      </c>
      <c r="C5980" s="1" t="str">
        <f>HYPERLINK("http://www.uniprot.org/uniprot/GRPE_RHOP5","GRPE_RHOP5")</f>
        <v>GRPE_RHOP5</v>
      </c>
      <c r="D5980" t="s">
        <v>4397</v>
      </c>
      <c r="E5980" s="3" t="s">
        <v>4398</v>
      </c>
      <c r="F5980" s="4">
        <v>2.5200000000000001E-33</v>
      </c>
      <c r="G5980" s="3">
        <v>329</v>
      </c>
      <c r="H5980" s="3">
        <v>45</v>
      </c>
      <c r="I5980" s="3">
        <v>148</v>
      </c>
      <c r="J5980" s="3">
        <v>882</v>
      </c>
      <c r="K5980" s="3">
        <v>1325</v>
      </c>
      <c r="L5980" s="3">
        <v>48</v>
      </c>
      <c r="M5980" s="3">
        <v>187</v>
      </c>
    </row>
    <row r="5981" spans="1:13" x14ac:dyDescent="0.25">
      <c r="A5981" s="1" t="str">
        <f>HYPERLINK("http://www.rosaceae.org/Prunus/Prunus_persica/p.persica_gdr_reftransV1_0019675","p.persica_gdr_reftransV1_0019675")</f>
        <v>p.persica_gdr_reftransV1_0019675</v>
      </c>
      <c r="B5981" s="3">
        <v>3064</v>
      </c>
      <c r="C5981" s="1" t="str">
        <f>HYPERLINK("http://www.uniprot.org/uniprot/HSP80_SOLLC","HSP80_SOLLC")</f>
        <v>HSP80_SOLLC</v>
      </c>
      <c r="D5981" t="s">
        <v>837</v>
      </c>
      <c r="E5981" s="3" t="s">
        <v>64</v>
      </c>
      <c r="F5981" s="4">
        <v>0</v>
      </c>
      <c r="G5981" s="3">
        <v>2415</v>
      </c>
      <c r="H5981" s="3">
        <v>87</v>
      </c>
      <c r="I5981" s="3">
        <v>612</v>
      </c>
      <c r="J5981" s="3">
        <v>373</v>
      </c>
      <c r="K5981" s="3">
        <v>2205</v>
      </c>
      <c r="L5981" s="3">
        <v>88</v>
      </c>
      <c r="M5981" s="3">
        <v>699</v>
      </c>
    </row>
    <row r="5982" spans="1:13" x14ac:dyDescent="0.25">
      <c r="A5982" s="1" t="str">
        <f>HYPERLINK("http://www.rosaceae.org/Prunus/Prunus_persica/p.persica_gdr_reftransV1_0019875","p.persica_gdr_reftransV1_0019875")</f>
        <v>p.persica_gdr_reftransV1_0019875</v>
      </c>
      <c r="B5982" s="3">
        <v>1856</v>
      </c>
      <c r="C5982" s="1" t="str">
        <f>HYPERLINK("http://www.uniprot.org/uniprot/PGLR_VITVI","PGLR_VITVI")</f>
        <v>PGLR_VITVI</v>
      </c>
      <c r="D5982" t="s">
        <v>2366</v>
      </c>
      <c r="E5982" s="3" t="s">
        <v>362</v>
      </c>
      <c r="F5982" s="4">
        <v>1.7399999999999999E-159</v>
      </c>
      <c r="G5982" s="3">
        <v>1219</v>
      </c>
      <c r="H5982" s="3">
        <v>53</v>
      </c>
      <c r="I5982" s="3">
        <v>420</v>
      </c>
      <c r="J5982" s="3">
        <v>344</v>
      </c>
      <c r="K5982" s="3">
        <v>1594</v>
      </c>
      <c r="L5982" s="3">
        <v>59</v>
      </c>
      <c r="M5982" s="3">
        <v>477</v>
      </c>
    </row>
    <row r="5983" spans="1:13" x14ac:dyDescent="0.25">
      <c r="A5983" s="1" t="str">
        <f>HYPERLINK("http://www.rosaceae.org/Prunus/Prunus_persica/p.persica_gdr_reftransV1_0019975","p.persica_gdr_reftransV1_0019975")</f>
        <v>p.persica_gdr_reftransV1_0019975</v>
      </c>
      <c r="B5983" s="3">
        <v>1481</v>
      </c>
      <c r="C5983" s="1" t="str">
        <f>HYPERLINK("http://www.uniprot.org/uniprot/MD19B_ARATH","MD19B_ARATH")</f>
        <v>MD19B_ARATH</v>
      </c>
      <c r="D5983" t="s">
        <v>3122</v>
      </c>
      <c r="E5983" s="3" t="s">
        <v>3</v>
      </c>
      <c r="F5983" s="4">
        <v>1.5499999999999998E-39</v>
      </c>
      <c r="G5983" s="3">
        <v>371</v>
      </c>
      <c r="H5983" s="3">
        <v>66</v>
      </c>
      <c r="I5983" s="3">
        <v>109</v>
      </c>
      <c r="J5983" s="3">
        <v>447</v>
      </c>
      <c r="K5983" s="3">
        <v>770</v>
      </c>
      <c r="L5983" s="3">
        <v>8</v>
      </c>
      <c r="M5983" s="3">
        <v>116</v>
      </c>
    </row>
    <row r="5984" spans="1:13" x14ac:dyDescent="0.25">
      <c r="A5984" s="1" t="str">
        <f>HYPERLINK("http://www.rosaceae.org/Prunus/Prunus_persica/p.persica_gdr_reftransV1_0020125","p.persica_gdr_reftransV1_0020125")</f>
        <v>p.persica_gdr_reftransV1_0020125</v>
      </c>
      <c r="B5984" s="3">
        <v>1003</v>
      </c>
      <c r="C5984" s="1" t="str">
        <f>HYPERLINK("http://www.uniprot.org/uniprot/PDV2_ARATH","PDV2_ARATH")</f>
        <v>PDV2_ARATH</v>
      </c>
      <c r="D5984" t="s">
        <v>4986</v>
      </c>
      <c r="E5984" s="3" t="s">
        <v>3</v>
      </c>
      <c r="F5984" s="4">
        <v>7.3099999999999999E-53</v>
      </c>
      <c r="G5984" s="3">
        <v>462</v>
      </c>
      <c r="H5984" s="3">
        <v>49</v>
      </c>
      <c r="I5984" s="3">
        <v>241</v>
      </c>
      <c r="J5984" s="3">
        <v>57</v>
      </c>
      <c r="K5984" s="3">
        <v>764</v>
      </c>
      <c r="L5984" s="3">
        <v>73</v>
      </c>
      <c r="M5984" s="3">
        <v>307</v>
      </c>
    </row>
    <row r="5985" spans="1:13" x14ac:dyDescent="0.25">
      <c r="A5985" s="1" t="str">
        <f>HYPERLINK("http://www.rosaceae.org/Prunus/Prunus_persica/p.persica_gdr_reftransV1_0020375","p.persica_gdr_reftransV1_0020375")</f>
        <v>p.persica_gdr_reftransV1_0020375</v>
      </c>
      <c r="B5985" s="3">
        <v>1315</v>
      </c>
      <c r="C5985" s="1" t="str">
        <f>HYPERLINK("http://www.uniprot.org/uniprot/CPD_ARATH","CPD_ARATH")</f>
        <v>CPD_ARATH</v>
      </c>
      <c r="D5985" t="s">
        <v>4987</v>
      </c>
      <c r="E5985" s="3" t="s">
        <v>3</v>
      </c>
      <c r="F5985" s="4">
        <v>1.2399999999999999E-35</v>
      </c>
      <c r="G5985" s="3">
        <v>339</v>
      </c>
      <c r="H5985" s="3">
        <v>55</v>
      </c>
      <c r="I5985" s="3">
        <v>110</v>
      </c>
      <c r="J5985" s="3">
        <v>818</v>
      </c>
      <c r="K5985" s="3">
        <v>1147</v>
      </c>
      <c r="L5985" s="3">
        <v>5</v>
      </c>
      <c r="M5985" s="3">
        <v>114</v>
      </c>
    </row>
    <row r="5986" spans="1:13" x14ac:dyDescent="0.25">
      <c r="A5986" s="1" t="str">
        <f>HYPERLINK("http://www.rosaceae.org/Prunus/Prunus_persica/p.persica_gdr_reftransV1_0020475","p.persica_gdr_reftransV1_0020475")</f>
        <v>p.persica_gdr_reftransV1_0020475</v>
      </c>
      <c r="B5986" s="3">
        <v>792</v>
      </c>
      <c r="C5986" s="1" t="str">
        <f>HYPERLINK("http://www.uniprot.org/uniprot/DNJ11_ARATH","DNJ11_ARATH")</f>
        <v>DNJ11_ARATH</v>
      </c>
      <c r="D5986" t="s">
        <v>3899</v>
      </c>
      <c r="E5986" s="3" t="s">
        <v>3</v>
      </c>
      <c r="F5986" s="4">
        <v>7.02E-19</v>
      </c>
      <c r="G5986" s="3">
        <v>210</v>
      </c>
      <c r="H5986" s="3">
        <v>42</v>
      </c>
      <c r="I5986" s="3">
        <v>130</v>
      </c>
      <c r="J5986" s="3">
        <v>186</v>
      </c>
      <c r="K5986" s="3">
        <v>530</v>
      </c>
      <c r="L5986" s="3">
        <v>40</v>
      </c>
      <c r="M5986" s="3">
        <v>161</v>
      </c>
    </row>
    <row r="5987" spans="1:13" x14ac:dyDescent="0.25">
      <c r="A5987" s="1" t="str">
        <f>HYPERLINK("http://www.rosaceae.org/Prunus/Prunus_persica/p.persica_gdr_reftransV1_0020625","p.persica_gdr_reftransV1_0020625")</f>
        <v>p.persica_gdr_reftransV1_0020625</v>
      </c>
      <c r="B5987" s="3">
        <v>1840</v>
      </c>
      <c r="C5987" s="1" t="str">
        <f>HYPERLINK("http://www.uniprot.org/uniprot/DRE2C_ARATH","DRE2C_ARATH")</f>
        <v>DRE2C_ARATH</v>
      </c>
      <c r="D5987" t="s">
        <v>766</v>
      </c>
      <c r="E5987" s="3" t="s">
        <v>3</v>
      </c>
      <c r="F5987" s="4">
        <v>3.0199999999999998E-38</v>
      </c>
      <c r="G5987" s="3">
        <v>374</v>
      </c>
      <c r="H5987" s="3">
        <v>40</v>
      </c>
      <c r="I5987" s="3">
        <v>350</v>
      </c>
      <c r="J5987" s="3">
        <v>390</v>
      </c>
      <c r="K5987" s="3">
        <v>1400</v>
      </c>
      <c r="L5987" s="3">
        <v>18</v>
      </c>
      <c r="M5987" s="3">
        <v>332</v>
      </c>
    </row>
    <row r="5988" spans="1:13" x14ac:dyDescent="0.25">
      <c r="A5988" s="1" t="str">
        <f>HYPERLINK("http://www.rosaceae.org/Prunus/Prunus_persica/p.persica_gdr_reftransV1_0020675","p.persica_gdr_reftransV1_0020675")</f>
        <v>p.persica_gdr_reftransV1_0020675</v>
      </c>
      <c r="B5988" s="3">
        <v>2223</v>
      </c>
      <c r="C5988" s="1" t="str">
        <f>HYPERLINK("http://www.uniprot.org/uniprot/SUVH4_ARATH","SUVH4_ARATH")</f>
        <v>SUVH4_ARATH</v>
      </c>
      <c r="D5988" t="s">
        <v>4988</v>
      </c>
      <c r="E5988" s="3" t="s">
        <v>3</v>
      </c>
      <c r="F5988" s="4">
        <v>0</v>
      </c>
      <c r="G5988" s="3">
        <v>1924</v>
      </c>
      <c r="H5988" s="3">
        <v>62</v>
      </c>
      <c r="I5988" s="3">
        <v>593</v>
      </c>
      <c r="J5988" s="3">
        <v>399</v>
      </c>
      <c r="K5988" s="3">
        <v>2159</v>
      </c>
      <c r="L5988" s="3">
        <v>80</v>
      </c>
      <c r="M5988" s="3">
        <v>624</v>
      </c>
    </row>
    <row r="5989" spans="1:13" x14ac:dyDescent="0.25">
      <c r="A5989" s="1" t="str">
        <f>HYPERLINK("http://www.rosaceae.org/Prunus/Prunus_persica/p.persica_gdr_reftransV1_0020875","p.persica_gdr_reftransV1_0020875")</f>
        <v>p.persica_gdr_reftransV1_0020875</v>
      </c>
      <c r="B5989" s="3">
        <v>1512</v>
      </c>
      <c r="C5989" s="1" t="str">
        <f>HYPERLINK("http://www.uniprot.org/uniprot/DHYS_ARATH","DHYS_ARATH")</f>
        <v>DHYS_ARATH</v>
      </c>
      <c r="D5989" t="s">
        <v>4989</v>
      </c>
      <c r="E5989" s="3" t="s">
        <v>3</v>
      </c>
      <c r="F5989" s="4">
        <v>0</v>
      </c>
      <c r="G5989" s="3">
        <v>1592</v>
      </c>
      <c r="H5989" s="3">
        <v>81</v>
      </c>
      <c r="I5989" s="3">
        <v>361</v>
      </c>
      <c r="J5989" s="3">
        <v>88</v>
      </c>
      <c r="K5989" s="3">
        <v>1167</v>
      </c>
      <c r="L5989" s="3">
        <v>3</v>
      </c>
      <c r="M5989" s="3">
        <v>363</v>
      </c>
    </row>
    <row r="5990" spans="1:13" x14ac:dyDescent="0.25">
      <c r="A5990" s="1" t="str">
        <f>HYPERLINK("http://www.rosaceae.org/Prunus/Prunus_persica/p.persica_gdr_reftransV1_0020925","p.persica_gdr_reftransV1_0020925")</f>
        <v>p.persica_gdr_reftransV1_0020925</v>
      </c>
      <c r="B5990" s="3">
        <v>1637</v>
      </c>
      <c r="C5990" s="1" t="str">
        <f>HYPERLINK("http://www.uniprot.org/uniprot/FDL1_ARATH","FDL1_ARATH")</f>
        <v>FDL1_ARATH</v>
      </c>
      <c r="D5990" t="s">
        <v>275</v>
      </c>
      <c r="E5990" s="3" t="s">
        <v>3</v>
      </c>
      <c r="F5990" s="4">
        <v>5.4100000000000001E-59</v>
      </c>
      <c r="G5990" s="3">
        <v>527</v>
      </c>
      <c r="H5990" s="3">
        <v>35</v>
      </c>
      <c r="I5990" s="3">
        <v>395</v>
      </c>
      <c r="J5990" s="3">
        <v>162</v>
      </c>
      <c r="K5990" s="3">
        <v>1328</v>
      </c>
      <c r="L5990" s="3">
        <v>3</v>
      </c>
      <c r="M5990" s="3">
        <v>389</v>
      </c>
    </row>
    <row r="5991" spans="1:13" x14ac:dyDescent="0.25">
      <c r="A5991" s="1" t="str">
        <f>HYPERLINK("http://www.rosaceae.org/Prunus/Prunus_persica/p.persica_gdr_reftransV1_0021325","p.persica_gdr_reftransV1_0021325")</f>
        <v>p.persica_gdr_reftransV1_0021325</v>
      </c>
      <c r="B5991" s="3">
        <v>4308</v>
      </c>
      <c r="C5991" s="1" t="str">
        <f>HYPERLINK("http://www.uniprot.org/uniprot/TTL12_MOUSE","TTL12_MOUSE")</f>
        <v>TTL12_MOUSE</v>
      </c>
      <c r="D5991" t="s">
        <v>4990</v>
      </c>
      <c r="E5991" s="3" t="s">
        <v>157</v>
      </c>
      <c r="F5991" s="4">
        <v>2.72E-85</v>
      </c>
      <c r="G5991" s="3">
        <v>761</v>
      </c>
      <c r="H5991" s="3">
        <v>36</v>
      </c>
      <c r="I5991" s="3">
        <v>502</v>
      </c>
      <c r="J5991" s="3">
        <v>1292</v>
      </c>
      <c r="K5991" s="3">
        <v>2698</v>
      </c>
      <c r="L5991" s="3">
        <v>161</v>
      </c>
      <c r="M5991" s="3">
        <v>630</v>
      </c>
    </row>
    <row r="5992" spans="1:13" x14ac:dyDescent="0.25">
      <c r="A5992" s="1" t="str">
        <f>HYPERLINK("http://www.rosaceae.org/Prunus/Prunus_persica/p.persica_gdr_reftransV1_0021375","p.persica_gdr_reftransV1_0021375")</f>
        <v>p.persica_gdr_reftransV1_0021375</v>
      </c>
      <c r="B5992" s="3">
        <v>1025</v>
      </c>
      <c r="C5992" s="1" t="str">
        <f>HYPERLINK("http://www.uniprot.org/uniprot/BH104_ARATH","BH104_ARATH")</f>
        <v>BH104_ARATH</v>
      </c>
      <c r="D5992" t="s">
        <v>4991</v>
      </c>
      <c r="E5992" s="3" t="s">
        <v>3</v>
      </c>
      <c r="F5992" s="4">
        <v>1.9799999999999999E-78</v>
      </c>
      <c r="G5992" s="3">
        <v>633</v>
      </c>
      <c r="H5992" s="3">
        <v>70</v>
      </c>
      <c r="I5992" s="3">
        <v>174</v>
      </c>
      <c r="J5992" s="3">
        <v>354</v>
      </c>
      <c r="K5992" s="3">
        <v>875</v>
      </c>
      <c r="L5992" s="3">
        <v>115</v>
      </c>
      <c r="M5992" s="3">
        <v>283</v>
      </c>
    </row>
    <row r="5993" spans="1:13" x14ac:dyDescent="0.25">
      <c r="A5993" s="1" t="str">
        <f>HYPERLINK("http://www.rosaceae.org/Prunus/Prunus_persica/p.persica_gdr_reftransV1_0021425","p.persica_gdr_reftransV1_0021425")</f>
        <v>p.persica_gdr_reftransV1_0021425</v>
      </c>
      <c r="B5993" s="3">
        <v>3990</v>
      </c>
      <c r="C5993" s="1" t="str">
        <f>HYPERLINK("http://www.uniprot.org/uniprot/DLD_ARATH","DLD_ARATH")</f>
        <v>DLD_ARATH</v>
      </c>
      <c r="D5993" t="s">
        <v>4992</v>
      </c>
      <c r="E5993" s="3" t="s">
        <v>3</v>
      </c>
      <c r="F5993" s="4">
        <v>7.7499999999999998E-96</v>
      </c>
      <c r="G5993" s="3">
        <v>832</v>
      </c>
      <c r="H5993" s="3">
        <v>78</v>
      </c>
      <c r="I5993" s="3">
        <v>189</v>
      </c>
      <c r="J5993" s="3">
        <v>3003</v>
      </c>
      <c r="K5993" s="3">
        <v>3569</v>
      </c>
      <c r="L5993" s="3">
        <v>379</v>
      </c>
      <c r="M5993" s="3">
        <v>567</v>
      </c>
    </row>
    <row r="5994" spans="1:13" x14ac:dyDescent="0.25">
      <c r="A5994" s="1" t="str">
        <f>HYPERLINK("http://www.rosaceae.org/Prunus/Prunus_persica/p.persica_gdr_reftransV1_0021475","p.persica_gdr_reftransV1_0021475")</f>
        <v>p.persica_gdr_reftransV1_0021475</v>
      </c>
      <c r="B5994" s="3">
        <v>1472</v>
      </c>
      <c r="C5994" s="1" t="str">
        <f>HYPERLINK("http://www.uniprot.org/uniprot/SAMC1_ARATH","SAMC1_ARATH")</f>
        <v>SAMC1_ARATH</v>
      </c>
      <c r="D5994" t="s">
        <v>4251</v>
      </c>
      <c r="E5994" s="3" t="s">
        <v>3</v>
      </c>
      <c r="F5994" s="4">
        <v>5.1900000000000001E-133</v>
      </c>
      <c r="G5994" s="3">
        <v>882</v>
      </c>
      <c r="H5994" s="3">
        <v>80</v>
      </c>
      <c r="I5994" s="3">
        <v>237</v>
      </c>
      <c r="J5994" s="3">
        <v>523</v>
      </c>
      <c r="K5994" s="3">
        <v>1230</v>
      </c>
      <c r="L5994" s="3">
        <v>1</v>
      </c>
      <c r="M5994" s="3">
        <v>237</v>
      </c>
    </row>
    <row r="5995" spans="1:13" x14ac:dyDescent="0.25">
      <c r="A5995" s="1" t="str">
        <f>HYPERLINK("http://www.rosaceae.org/Prunus/Prunus_persica/p.persica_gdr_reftransV1_0021675","p.persica_gdr_reftransV1_0021675")</f>
        <v>p.persica_gdr_reftransV1_0021675</v>
      </c>
      <c r="B5995" s="3">
        <v>695</v>
      </c>
      <c r="C5995" s="1" t="str">
        <f>HYPERLINK("http://www.uniprot.org/uniprot/PPR26_ARATH","PPR26_ARATH")</f>
        <v>PPR26_ARATH</v>
      </c>
      <c r="D5995" t="s">
        <v>4993</v>
      </c>
      <c r="E5995" s="3" t="s">
        <v>3</v>
      </c>
      <c r="F5995" s="4">
        <v>1.1300000000000001E-44</v>
      </c>
      <c r="G5995" s="3">
        <v>410</v>
      </c>
      <c r="H5995" s="3">
        <v>45</v>
      </c>
      <c r="I5995" s="3">
        <v>233</v>
      </c>
      <c r="J5995" s="3">
        <v>31</v>
      </c>
      <c r="K5995" s="3">
        <v>693</v>
      </c>
      <c r="L5995" s="3">
        <v>9</v>
      </c>
      <c r="M5995" s="3">
        <v>234</v>
      </c>
    </row>
    <row r="5996" spans="1:13" x14ac:dyDescent="0.25">
      <c r="A5996" s="1" t="str">
        <f>HYPERLINK("http://www.rosaceae.org/Prunus/Prunus_persica/p.persica_gdr_reftransV1_0021725","p.persica_gdr_reftransV1_0021725")</f>
        <v>p.persica_gdr_reftransV1_0021725</v>
      </c>
      <c r="B5996" s="3">
        <v>546</v>
      </c>
      <c r="C5996" s="1" t="str">
        <f>HYPERLINK("http://www.uniprot.org/uniprot/LBD36_ARATH","LBD36_ARATH")</f>
        <v>LBD36_ARATH</v>
      </c>
      <c r="D5996" t="s">
        <v>4994</v>
      </c>
      <c r="E5996" s="3" t="s">
        <v>3</v>
      </c>
      <c r="F5996" s="4">
        <v>6.47E-76</v>
      </c>
      <c r="G5996" s="3">
        <v>602</v>
      </c>
      <c r="H5996" s="3">
        <v>77</v>
      </c>
      <c r="I5996" s="3">
        <v>155</v>
      </c>
      <c r="J5996" s="3">
        <v>2</v>
      </c>
      <c r="K5996" s="3">
        <v>454</v>
      </c>
      <c r="L5996" s="3">
        <v>4</v>
      </c>
      <c r="M5996" s="3">
        <v>158</v>
      </c>
    </row>
    <row r="5997" spans="1:13" x14ac:dyDescent="0.25">
      <c r="A5997" s="1" t="str">
        <f>HYPERLINK("http://www.rosaceae.org/Prunus/Prunus_persica/p.persica_gdr_reftransV1_0021875","p.persica_gdr_reftransV1_0021875")</f>
        <v>p.persica_gdr_reftransV1_0021875</v>
      </c>
      <c r="B5997" s="3">
        <v>2367</v>
      </c>
      <c r="C5997" s="1" t="str">
        <f>HYPERLINK("http://www.uniprot.org/uniprot/TGA1_ARATH","TGA1_ARATH")</f>
        <v>TGA1_ARATH</v>
      </c>
      <c r="D5997" t="s">
        <v>4995</v>
      </c>
      <c r="E5997" s="3" t="s">
        <v>3</v>
      </c>
      <c r="F5997" s="4">
        <v>0</v>
      </c>
      <c r="G5997" s="3">
        <v>1395</v>
      </c>
      <c r="H5997" s="3">
        <v>73</v>
      </c>
      <c r="I5997" s="3">
        <v>368</v>
      </c>
      <c r="J5997" s="3">
        <v>464</v>
      </c>
      <c r="K5997" s="3">
        <v>1549</v>
      </c>
      <c r="L5997" s="3">
        <v>1</v>
      </c>
      <c r="M5997" s="3">
        <v>367</v>
      </c>
    </row>
    <row r="5998" spans="1:13" x14ac:dyDescent="0.25">
      <c r="A5998" s="1" t="str">
        <f>HYPERLINK("http://www.rosaceae.org/Prunus/Prunus_persica/p.persica_gdr_reftransV1_0021925","p.persica_gdr_reftransV1_0021925")</f>
        <v>p.persica_gdr_reftransV1_0021925</v>
      </c>
      <c r="B5998" s="3">
        <v>4662</v>
      </c>
      <c r="C5998" s="1" t="str">
        <f>HYPERLINK("http://www.uniprot.org/uniprot/TPC11_BOVIN","TPC11_BOVIN")</f>
        <v>TPC11_BOVIN</v>
      </c>
      <c r="D5998" t="s">
        <v>4996</v>
      </c>
      <c r="E5998" s="3" t="s">
        <v>184</v>
      </c>
      <c r="F5998" s="4">
        <v>3.2999999999999998E-37</v>
      </c>
      <c r="G5998" s="3">
        <v>396</v>
      </c>
      <c r="H5998" s="3">
        <v>29</v>
      </c>
      <c r="I5998" s="3">
        <v>473</v>
      </c>
      <c r="J5998" s="3">
        <v>283</v>
      </c>
      <c r="K5998" s="3">
        <v>1650</v>
      </c>
      <c r="L5998" s="3">
        <v>79</v>
      </c>
      <c r="M5998" s="3">
        <v>519</v>
      </c>
    </row>
    <row r="5999" spans="1:13" x14ac:dyDescent="0.25">
      <c r="A5999" s="1" t="str">
        <f>HYPERLINK("http://www.rosaceae.org/Prunus/Prunus_persica/p.persica_gdr_reftransV1_0021975","p.persica_gdr_reftransV1_0021975")</f>
        <v>p.persica_gdr_reftransV1_0021975</v>
      </c>
      <c r="B5999" s="3">
        <v>2393</v>
      </c>
      <c r="C5999" s="1" t="str">
        <f>HYPERLINK("http://www.uniprot.org/uniprot/LPAT1_BRANA","LPAT1_BRANA")</f>
        <v>LPAT1_BRANA</v>
      </c>
      <c r="D5999" t="s">
        <v>4997</v>
      </c>
      <c r="E5999" s="3" t="s">
        <v>776</v>
      </c>
      <c r="F5999" s="4">
        <v>1.8200000000000001E-108</v>
      </c>
      <c r="G5999" s="3">
        <v>877</v>
      </c>
      <c r="H5999" s="3">
        <v>50</v>
      </c>
      <c r="I5999" s="3">
        <v>361</v>
      </c>
      <c r="J5999" s="3">
        <v>375</v>
      </c>
      <c r="K5999" s="3">
        <v>1442</v>
      </c>
      <c r="L5999" s="3">
        <v>13</v>
      </c>
      <c r="M5999" s="3">
        <v>341</v>
      </c>
    </row>
    <row r="6000" spans="1:13" x14ac:dyDescent="0.25">
      <c r="A6000" s="1" t="str">
        <f>HYPERLINK("http://www.rosaceae.org/Prunus/Prunus_persica/p.persica_gdr_reftransV1_0022075","p.persica_gdr_reftransV1_0022075")</f>
        <v>p.persica_gdr_reftransV1_0022075</v>
      </c>
      <c r="B6000" s="3">
        <v>1730</v>
      </c>
      <c r="C6000" s="1" t="str">
        <f>HYPERLINK("http://www.uniprot.org/uniprot/TAF5L_MOUSE","TAF5L_MOUSE")</f>
        <v>TAF5L_MOUSE</v>
      </c>
      <c r="D6000" t="s">
        <v>4998</v>
      </c>
      <c r="E6000" s="3" t="s">
        <v>157</v>
      </c>
      <c r="F6000" s="4">
        <v>3.8700000000000003E-12</v>
      </c>
      <c r="G6000" s="3">
        <v>177</v>
      </c>
      <c r="H6000" s="3">
        <v>34</v>
      </c>
      <c r="I6000" s="3">
        <v>157</v>
      </c>
      <c r="J6000" s="3">
        <v>661</v>
      </c>
      <c r="K6000" s="3">
        <v>1122</v>
      </c>
      <c r="L6000" s="3">
        <v>439</v>
      </c>
      <c r="M6000" s="3">
        <v>571</v>
      </c>
    </row>
    <row r="6001" spans="1:13" x14ac:dyDescent="0.25">
      <c r="A6001" s="1" t="str">
        <f>HYPERLINK("http://www.rosaceae.org/Prunus/Prunus_persica/p.persica_gdr_reftransV1_0022225","p.persica_gdr_reftransV1_0022225")</f>
        <v>p.persica_gdr_reftransV1_0022225</v>
      </c>
      <c r="B6001" s="3">
        <v>1270</v>
      </c>
      <c r="C6001" s="1" t="str">
        <f>HYPERLINK("http://www.uniprot.org/uniprot/TM147_XENTR","TM147_XENTR")</f>
        <v>TM147_XENTR</v>
      </c>
      <c r="D6001" t="s">
        <v>4999</v>
      </c>
      <c r="E6001" s="3" t="s">
        <v>173</v>
      </c>
      <c r="F6001" s="4">
        <v>8.8000000000000002E-21</v>
      </c>
      <c r="G6001" s="3">
        <v>233</v>
      </c>
      <c r="H6001" s="3">
        <v>31</v>
      </c>
      <c r="I6001" s="3">
        <v>213</v>
      </c>
      <c r="J6001" s="3">
        <v>602</v>
      </c>
      <c r="K6001" s="3">
        <v>1234</v>
      </c>
      <c r="L6001" s="3">
        <v>1</v>
      </c>
      <c r="M6001" s="3">
        <v>164</v>
      </c>
    </row>
    <row r="6002" spans="1:13" x14ac:dyDescent="0.25">
      <c r="A6002" s="1" t="str">
        <f>HYPERLINK("http://www.rosaceae.org/Prunus/Prunus_persica/p.persica_gdr_reftransV1_0022325","p.persica_gdr_reftransV1_0022325")</f>
        <v>p.persica_gdr_reftransV1_0022325</v>
      </c>
      <c r="B6002" s="3">
        <v>2027</v>
      </c>
      <c r="C6002" s="1" t="str">
        <f>HYPERLINK("http://www.uniprot.org/uniprot/SINA4_ARATH","SINA4_ARATH")</f>
        <v>SINA4_ARATH</v>
      </c>
      <c r="D6002" t="s">
        <v>5000</v>
      </c>
      <c r="E6002" s="3" t="s">
        <v>3</v>
      </c>
      <c r="F6002" s="4">
        <v>1.5700000000000001E-103</v>
      </c>
      <c r="G6002" s="3">
        <v>833</v>
      </c>
      <c r="H6002" s="3">
        <v>69</v>
      </c>
      <c r="I6002" s="3">
        <v>241</v>
      </c>
      <c r="J6002" s="3">
        <v>842</v>
      </c>
      <c r="K6002" s="3">
        <v>1564</v>
      </c>
      <c r="L6002" s="3">
        <v>1</v>
      </c>
      <c r="M6002" s="3">
        <v>224</v>
      </c>
    </row>
    <row r="6003" spans="1:13" x14ac:dyDescent="0.25">
      <c r="A6003" s="1" t="str">
        <f>HYPERLINK("http://www.rosaceae.org/Prunus/Prunus_persica/p.persica_gdr_reftransV1_0022675","p.persica_gdr_reftransV1_0022675")</f>
        <v>p.persica_gdr_reftransV1_0022675</v>
      </c>
      <c r="B6003" s="3">
        <v>881</v>
      </c>
      <c r="C6003" s="1" t="str">
        <f>HYPERLINK("http://www.uniprot.org/uniprot/P2A09_ARATH","P2A09_ARATH")</f>
        <v>P2A09_ARATH</v>
      </c>
      <c r="D6003" t="s">
        <v>5001</v>
      </c>
      <c r="E6003" s="3" t="s">
        <v>3</v>
      </c>
      <c r="F6003" s="4">
        <v>1.2999999999999999E-32</v>
      </c>
      <c r="G6003" s="3">
        <v>310</v>
      </c>
      <c r="H6003" s="3">
        <v>40</v>
      </c>
      <c r="I6003" s="3">
        <v>182</v>
      </c>
      <c r="J6003" s="3">
        <v>77</v>
      </c>
      <c r="K6003" s="3">
        <v>601</v>
      </c>
      <c r="L6003" s="3">
        <v>8</v>
      </c>
      <c r="M6003" s="3">
        <v>180</v>
      </c>
    </row>
    <row r="6004" spans="1:13" x14ac:dyDescent="0.25">
      <c r="A6004" s="1" t="str">
        <f>HYPERLINK("http://www.rosaceae.org/Prunus/Prunus_persica/p.persica_gdr_reftransV1_0022875","p.persica_gdr_reftransV1_0022875")</f>
        <v>p.persica_gdr_reftransV1_0022875</v>
      </c>
      <c r="B6004" s="3">
        <v>1769</v>
      </c>
      <c r="C6004" s="1" t="str">
        <f>HYPERLINK("http://www.uniprot.org/uniprot/PAN_ARATH","PAN_ARATH")</f>
        <v>PAN_ARATH</v>
      </c>
      <c r="D6004" t="s">
        <v>2492</v>
      </c>
      <c r="E6004" s="3" t="s">
        <v>3</v>
      </c>
      <c r="F6004" s="4">
        <v>1.95E-162</v>
      </c>
      <c r="G6004" s="3">
        <v>1232</v>
      </c>
      <c r="H6004" s="3">
        <v>60</v>
      </c>
      <c r="I6004" s="3">
        <v>455</v>
      </c>
      <c r="J6004" s="3">
        <v>297</v>
      </c>
      <c r="K6004" s="3">
        <v>1634</v>
      </c>
      <c r="L6004" s="3">
        <v>4</v>
      </c>
      <c r="M6004" s="3">
        <v>436</v>
      </c>
    </row>
    <row r="6005" spans="1:13" x14ac:dyDescent="0.25">
      <c r="A6005" s="1" t="str">
        <f>HYPERLINK("http://www.rosaceae.org/Prunus/Prunus_persica/p.persica_gdr_reftransV1_0023075","p.persica_gdr_reftransV1_0023075")</f>
        <v>p.persica_gdr_reftransV1_0023075</v>
      </c>
      <c r="B6005" s="3">
        <v>641</v>
      </c>
      <c r="C6005" s="1" t="str">
        <f>HYPERLINK("http://www.uniprot.org/uniprot/RST1_ARATH","RST1_ARATH")</f>
        <v>RST1_ARATH</v>
      </c>
      <c r="D6005" t="s">
        <v>5002</v>
      </c>
      <c r="E6005" s="3" t="s">
        <v>3</v>
      </c>
      <c r="F6005" s="4">
        <v>3.3699999999999999E-84</v>
      </c>
      <c r="G6005" s="3">
        <v>712</v>
      </c>
      <c r="H6005" s="3">
        <v>64</v>
      </c>
      <c r="I6005" s="3">
        <v>211</v>
      </c>
      <c r="J6005" s="3">
        <v>7</v>
      </c>
      <c r="K6005" s="3">
        <v>636</v>
      </c>
      <c r="L6005" s="3">
        <v>3</v>
      </c>
      <c r="M6005" s="3">
        <v>213</v>
      </c>
    </row>
    <row r="6006" spans="1:13" x14ac:dyDescent="0.25">
      <c r="A6006" s="1" t="str">
        <f>HYPERLINK("http://www.rosaceae.org/Prunus/Prunus_persica/p.persica_gdr_reftransV1_0023175","p.persica_gdr_reftransV1_0023175")</f>
        <v>p.persica_gdr_reftransV1_0023175</v>
      </c>
      <c r="B6006" s="3">
        <v>3639</v>
      </c>
      <c r="C6006" s="1" t="str">
        <f>HYPERLINK("http://www.uniprot.org/uniprot/JMJ25_ARATH","JMJ25_ARATH")</f>
        <v>JMJ25_ARATH</v>
      </c>
      <c r="D6006" t="s">
        <v>1512</v>
      </c>
      <c r="E6006" s="3" t="s">
        <v>3</v>
      </c>
      <c r="F6006" s="4">
        <v>5.6799999999999997E-115</v>
      </c>
      <c r="G6006" s="3">
        <v>1000</v>
      </c>
      <c r="H6006" s="3">
        <v>41</v>
      </c>
      <c r="I6006" s="3">
        <v>585</v>
      </c>
      <c r="J6006" s="3">
        <v>1764</v>
      </c>
      <c r="K6006" s="3">
        <v>3386</v>
      </c>
      <c r="L6006" s="3">
        <v>154</v>
      </c>
      <c r="M6006" s="3">
        <v>719</v>
      </c>
    </row>
    <row r="6007" spans="1:13" x14ac:dyDescent="0.25">
      <c r="A6007" s="1" t="str">
        <f>HYPERLINK("http://www.rosaceae.org/Prunus/Prunus_persica/p.persica_gdr_reftransV1_0023325","p.persica_gdr_reftransV1_0023325")</f>
        <v>p.persica_gdr_reftransV1_0023325</v>
      </c>
      <c r="B6007" s="3">
        <v>1344</v>
      </c>
      <c r="C6007" s="1" t="str">
        <f>HYPERLINK("http://www.uniprot.org/uniprot/RNG1L_ARATH","RNG1L_ARATH")</f>
        <v>RNG1L_ARATH</v>
      </c>
      <c r="D6007" t="s">
        <v>189</v>
      </c>
      <c r="E6007" s="3" t="s">
        <v>3</v>
      </c>
      <c r="F6007" s="4">
        <v>1.86E-31</v>
      </c>
      <c r="G6007" s="3">
        <v>319</v>
      </c>
      <c r="H6007" s="3">
        <v>50</v>
      </c>
      <c r="I6007" s="3">
        <v>109</v>
      </c>
      <c r="J6007" s="3">
        <v>274</v>
      </c>
      <c r="K6007" s="3">
        <v>600</v>
      </c>
      <c r="L6007" s="3">
        <v>160</v>
      </c>
      <c r="M6007" s="3">
        <v>268</v>
      </c>
    </row>
    <row r="6008" spans="1:13" x14ac:dyDescent="0.25">
      <c r="A6008" s="1" t="str">
        <f>HYPERLINK("http://www.rosaceae.org/Prunus/Prunus_persica/p.persica_gdr_reftransV1_0023425","p.persica_gdr_reftransV1_0023425")</f>
        <v>p.persica_gdr_reftransV1_0023425</v>
      </c>
      <c r="B6008" s="3">
        <v>1000</v>
      </c>
      <c r="C6008" s="1" t="str">
        <f>HYPERLINK("http://www.uniprot.org/uniprot/CXE9_ARATH","CXE9_ARATH")</f>
        <v>CXE9_ARATH</v>
      </c>
      <c r="D6008" t="s">
        <v>5003</v>
      </c>
      <c r="E6008" s="3" t="s">
        <v>3</v>
      </c>
      <c r="F6008" s="4">
        <v>2.0899999999999999E-106</v>
      </c>
      <c r="G6008" s="3">
        <v>822</v>
      </c>
      <c r="H6008" s="3">
        <v>56</v>
      </c>
      <c r="I6008" s="3">
        <v>275</v>
      </c>
      <c r="J6008" s="3">
        <v>63</v>
      </c>
      <c r="K6008" s="3">
        <v>884</v>
      </c>
      <c r="L6008" s="3">
        <v>49</v>
      </c>
      <c r="M6008" s="3">
        <v>323</v>
      </c>
    </row>
    <row r="6009" spans="1:13" x14ac:dyDescent="0.25">
      <c r="A6009" s="1" t="str">
        <f>HYPERLINK("http://www.rosaceae.org/Prunus/Prunus_persica/p.persica_gdr_reftransV1_0023475","p.persica_gdr_reftransV1_0023475")</f>
        <v>p.persica_gdr_reftransV1_0023475</v>
      </c>
      <c r="B6009" s="3">
        <v>772</v>
      </c>
      <c r="C6009" s="1" t="str">
        <f>HYPERLINK("http://www.uniprot.org/uniprot/ATL78_ARATH","ATL78_ARATH")</f>
        <v>ATL78_ARATH</v>
      </c>
      <c r="D6009" t="s">
        <v>5004</v>
      </c>
      <c r="E6009" s="3" t="s">
        <v>3</v>
      </c>
      <c r="F6009" s="4">
        <v>1.0800000000000001E-73</v>
      </c>
      <c r="G6009" s="3">
        <v>587</v>
      </c>
      <c r="H6009" s="3">
        <v>62</v>
      </c>
      <c r="I6009" s="3">
        <v>207</v>
      </c>
      <c r="J6009" s="3">
        <v>123</v>
      </c>
      <c r="K6009" s="3">
        <v>734</v>
      </c>
      <c r="L6009" s="3">
        <v>27</v>
      </c>
      <c r="M6009" s="3">
        <v>219</v>
      </c>
    </row>
    <row r="6010" spans="1:13" x14ac:dyDescent="0.25">
      <c r="A6010" s="1" t="str">
        <f>HYPERLINK("http://www.rosaceae.org/Prunus/Prunus_persica/p.persica_gdr_reftransV1_0023525","p.persica_gdr_reftransV1_0023525")</f>
        <v>p.persica_gdr_reftransV1_0023525</v>
      </c>
      <c r="B6010" s="3">
        <v>2544</v>
      </c>
      <c r="C6010" s="1" t="str">
        <f>HYPERLINK("http://www.uniprot.org/uniprot/WRK33_ARATH","WRK33_ARATH")</f>
        <v>WRK33_ARATH</v>
      </c>
      <c r="D6010" t="s">
        <v>5005</v>
      </c>
      <c r="E6010" s="3" t="s">
        <v>3</v>
      </c>
      <c r="F6010" s="4">
        <v>2.9800000000000001E-68</v>
      </c>
      <c r="G6010" s="3">
        <v>614</v>
      </c>
      <c r="H6010" s="3">
        <v>45</v>
      </c>
      <c r="I6010" s="3">
        <v>364</v>
      </c>
      <c r="J6010" s="3">
        <v>1119</v>
      </c>
      <c r="K6010" s="3">
        <v>2162</v>
      </c>
      <c r="L6010" s="3">
        <v>64</v>
      </c>
      <c r="M6010" s="3">
        <v>382</v>
      </c>
    </row>
    <row r="6011" spans="1:13" x14ac:dyDescent="0.25">
      <c r="A6011" s="1" t="str">
        <f>HYPERLINK("http://www.rosaceae.org/Prunus/Prunus_persica/p.persica_gdr_reftransV1_0023775","p.persica_gdr_reftransV1_0023775")</f>
        <v>p.persica_gdr_reftransV1_0023775</v>
      </c>
      <c r="B6011" s="3">
        <v>1971</v>
      </c>
      <c r="C6011" s="1" t="str">
        <f>HYPERLINK("http://www.uniprot.org/uniprot/Y1491_ARATH","Y1491_ARATH")</f>
        <v>Y1491_ARATH</v>
      </c>
      <c r="D6011" t="s">
        <v>310</v>
      </c>
      <c r="E6011" s="3" t="s">
        <v>3</v>
      </c>
      <c r="F6011" s="4">
        <v>1.09E-28</v>
      </c>
      <c r="G6011" s="3">
        <v>310</v>
      </c>
      <c r="H6011" s="3">
        <v>40</v>
      </c>
      <c r="I6011" s="3">
        <v>173</v>
      </c>
      <c r="J6011" s="3">
        <v>324</v>
      </c>
      <c r="K6011" s="3">
        <v>830</v>
      </c>
      <c r="L6011" s="3">
        <v>307</v>
      </c>
      <c r="M6011" s="3">
        <v>475</v>
      </c>
    </row>
    <row r="6012" spans="1:13" x14ac:dyDescent="0.25">
      <c r="A6012" s="1" t="str">
        <f>HYPERLINK("http://www.rosaceae.org/Prunus/Prunus_persica/p.persica_gdr_reftransV1_0023825","p.persica_gdr_reftransV1_0023825")</f>
        <v>p.persica_gdr_reftransV1_0023825</v>
      </c>
      <c r="B6012" s="3">
        <v>783</v>
      </c>
      <c r="C6012" s="1" t="str">
        <f>HYPERLINK("http://www.uniprot.org/uniprot/TCP19_ARATH","TCP19_ARATH")</f>
        <v>TCP19_ARATH</v>
      </c>
      <c r="D6012" t="s">
        <v>5006</v>
      </c>
      <c r="E6012" s="3" t="s">
        <v>3</v>
      </c>
      <c r="F6012" s="4">
        <v>1.04E-17</v>
      </c>
      <c r="G6012" s="3">
        <v>206</v>
      </c>
      <c r="H6012" s="3">
        <v>42</v>
      </c>
      <c r="I6012" s="3">
        <v>139</v>
      </c>
      <c r="J6012" s="3">
        <v>384</v>
      </c>
      <c r="K6012" s="3">
        <v>782</v>
      </c>
      <c r="L6012" s="3">
        <v>114</v>
      </c>
      <c r="M6012" s="3">
        <v>243</v>
      </c>
    </row>
    <row r="6013" spans="1:13" x14ac:dyDescent="0.25">
      <c r="A6013" s="1" t="str">
        <f>HYPERLINK("http://www.rosaceae.org/Prunus/Prunus_persica/p.persica_gdr_reftransV1_0024075","p.persica_gdr_reftransV1_0024075")</f>
        <v>p.persica_gdr_reftransV1_0024075</v>
      </c>
      <c r="B6013" s="3">
        <v>2338</v>
      </c>
      <c r="C6013" s="1" t="str">
        <f>HYPERLINK("http://www.uniprot.org/uniprot/DA1_ARATH","DA1_ARATH")</f>
        <v>DA1_ARATH</v>
      </c>
      <c r="D6013" t="s">
        <v>5007</v>
      </c>
      <c r="E6013" s="3" t="s">
        <v>3</v>
      </c>
      <c r="F6013" s="4">
        <v>9.2899999999999995E-139</v>
      </c>
      <c r="G6013" s="3">
        <v>1098</v>
      </c>
      <c r="H6013" s="3">
        <v>80</v>
      </c>
      <c r="I6013" s="3">
        <v>246</v>
      </c>
      <c r="J6013" s="3">
        <v>664</v>
      </c>
      <c r="K6013" s="3">
        <v>1401</v>
      </c>
      <c r="L6013" s="3">
        <v>165</v>
      </c>
      <c r="M6013" s="3">
        <v>409</v>
      </c>
    </row>
    <row r="6014" spans="1:13" x14ac:dyDescent="0.25">
      <c r="A6014" s="1" t="str">
        <f>HYPERLINK("http://www.rosaceae.org/Prunus/Prunus_persica/p.persica_gdr_reftransV1_0024375","p.persica_gdr_reftransV1_0024375")</f>
        <v>p.persica_gdr_reftransV1_0024375</v>
      </c>
      <c r="B6014" s="3">
        <v>761</v>
      </c>
      <c r="C6014" s="1" t="str">
        <f>HYPERLINK("http://www.uniprot.org/uniprot/GRP2_NICSY","GRP2_NICSY")</f>
        <v>GRP2_NICSY</v>
      </c>
      <c r="D6014" t="s">
        <v>1964</v>
      </c>
      <c r="E6014" s="3" t="s">
        <v>495</v>
      </c>
      <c r="F6014" s="4">
        <v>2.29E-31</v>
      </c>
      <c r="G6014" s="3">
        <v>301</v>
      </c>
      <c r="H6014" s="3">
        <v>74</v>
      </c>
      <c r="I6014" s="3">
        <v>76</v>
      </c>
      <c r="J6014" s="3">
        <v>75</v>
      </c>
      <c r="K6014" s="3">
        <v>302</v>
      </c>
      <c r="L6014" s="3">
        <v>6</v>
      </c>
      <c r="M6014" s="3">
        <v>81</v>
      </c>
    </row>
    <row r="6015" spans="1:13" x14ac:dyDescent="0.25">
      <c r="A6015" s="1" t="str">
        <f>HYPERLINK("http://www.rosaceae.org/Prunus/Prunus_persica/p.persica_gdr_reftransV1_0024425","p.persica_gdr_reftransV1_0024425")</f>
        <v>p.persica_gdr_reftransV1_0024425</v>
      </c>
      <c r="B6015" s="3">
        <v>1785</v>
      </c>
      <c r="C6015" s="1" t="str">
        <f>HYPERLINK("http://www.uniprot.org/uniprot/WDL1_ARATH","WDL1_ARATH")</f>
        <v>WDL1_ARATH</v>
      </c>
      <c r="D6015" t="s">
        <v>5008</v>
      </c>
      <c r="E6015" s="3" t="s">
        <v>3</v>
      </c>
      <c r="F6015" s="4">
        <v>2.9100000000000002E-30</v>
      </c>
      <c r="G6015" s="3">
        <v>311</v>
      </c>
      <c r="H6015" s="3">
        <v>46</v>
      </c>
      <c r="I6015" s="3">
        <v>209</v>
      </c>
      <c r="J6015" s="3">
        <v>661</v>
      </c>
      <c r="K6015" s="3">
        <v>1281</v>
      </c>
      <c r="L6015" s="3">
        <v>75</v>
      </c>
      <c r="M6015" s="3">
        <v>247</v>
      </c>
    </row>
    <row r="6016" spans="1:13" x14ac:dyDescent="0.25">
      <c r="A6016" s="1" t="str">
        <f>HYPERLINK("http://www.rosaceae.org/Prunus/Prunus_persica/p.persica_gdr_reftransV1_0024475","p.persica_gdr_reftransV1_0024475")</f>
        <v>p.persica_gdr_reftransV1_0024475</v>
      </c>
      <c r="B6016" s="3">
        <v>2108</v>
      </c>
      <c r="C6016" s="1" t="str">
        <f>HYPERLINK("http://www.uniprot.org/uniprot/11S2_SESIN","11S2_SESIN")</f>
        <v>11S2_SESIN</v>
      </c>
      <c r="D6016" t="s">
        <v>1771</v>
      </c>
      <c r="E6016" s="3" t="s">
        <v>1772</v>
      </c>
      <c r="F6016" s="4">
        <v>9.2800000000000005E-21</v>
      </c>
      <c r="G6016" s="3">
        <v>247</v>
      </c>
      <c r="H6016" s="3">
        <v>24</v>
      </c>
      <c r="I6016" s="3">
        <v>297</v>
      </c>
      <c r="J6016" s="3">
        <v>635</v>
      </c>
      <c r="K6016" s="3">
        <v>1381</v>
      </c>
      <c r="L6016" s="3">
        <v>144</v>
      </c>
      <c r="M6016" s="3">
        <v>435</v>
      </c>
    </row>
    <row r="6017" spans="1:13" x14ac:dyDescent="0.25">
      <c r="A6017" s="1" t="str">
        <f>HYPERLINK("http://www.rosaceae.org/Prunus/Prunus_persica/p.persica_gdr_reftransV1_0024925","p.persica_gdr_reftransV1_0024925")</f>
        <v>p.persica_gdr_reftransV1_0024925</v>
      </c>
      <c r="B6017" s="3">
        <v>4273</v>
      </c>
      <c r="C6017" s="1" t="str">
        <f>HYPERLINK("http://www.uniprot.org/uniprot/TBCD_ARATH","TBCD_ARATH")</f>
        <v>TBCD_ARATH</v>
      </c>
      <c r="D6017" t="s">
        <v>5009</v>
      </c>
      <c r="E6017" s="3" t="s">
        <v>3</v>
      </c>
      <c r="F6017" s="4">
        <v>0</v>
      </c>
      <c r="G6017" s="3">
        <v>4189</v>
      </c>
      <c r="H6017" s="3">
        <v>70</v>
      </c>
      <c r="I6017" s="3">
        <v>1279</v>
      </c>
      <c r="J6017" s="3">
        <v>328</v>
      </c>
      <c r="K6017" s="3">
        <v>4149</v>
      </c>
      <c r="L6017" s="3">
        <v>1</v>
      </c>
      <c r="M6017" s="3">
        <v>1253</v>
      </c>
    </row>
    <row r="6018" spans="1:13" x14ac:dyDescent="0.25">
      <c r="A6018" s="1" t="str">
        <f>HYPERLINK("http://www.rosaceae.org/Prunus/Prunus_persica/p.persica_gdr_reftransV1_0025125","p.persica_gdr_reftransV1_0025125")</f>
        <v>p.persica_gdr_reftransV1_0025125</v>
      </c>
      <c r="B6018" s="3">
        <v>1045</v>
      </c>
      <c r="C6018" s="1" t="str">
        <f>HYPERLINK("http://www.uniprot.org/uniprot/NUD15_ARATH","NUD15_ARATH")</f>
        <v>NUD15_ARATH</v>
      </c>
      <c r="D6018" t="s">
        <v>5010</v>
      </c>
      <c r="E6018" s="3" t="s">
        <v>3</v>
      </c>
      <c r="F6018" s="4">
        <v>1.97E-73</v>
      </c>
      <c r="G6018" s="3">
        <v>600</v>
      </c>
      <c r="H6018" s="3">
        <v>57</v>
      </c>
      <c r="I6018" s="3">
        <v>210</v>
      </c>
      <c r="J6018" s="3">
        <v>258</v>
      </c>
      <c r="K6018" s="3">
        <v>887</v>
      </c>
      <c r="L6018" s="3">
        <v>100</v>
      </c>
      <c r="M6018" s="3">
        <v>280</v>
      </c>
    </row>
    <row r="6019" spans="1:13" x14ac:dyDescent="0.25">
      <c r="A6019" s="1" t="str">
        <f>HYPERLINK("http://www.rosaceae.org/Prunus/Prunus_persica/p.persica_gdr_reftransV1_0025475","p.persica_gdr_reftransV1_0025475")</f>
        <v>p.persica_gdr_reftransV1_0025475</v>
      </c>
      <c r="B6019" s="3">
        <v>7607</v>
      </c>
      <c r="C6019" s="1" t="str">
        <f>HYPERLINK("http://www.uniprot.org/uniprot/ACC1_ARATH","ACC1_ARATH")</f>
        <v>ACC1_ARATH</v>
      </c>
      <c r="D6019" t="s">
        <v>800</v>
      </c>
      <c r="E6019" s="3" t="s">
        <v>3</v>
      </c>
      <c r="F6019" s="4">
        <v>0</v>
      </c>
      <c r="G6019" s="3">
        <v>9824</v>
      </c>
      <c r="H6019" s="3">
        <v>82</v>
      </c>
      <c r="I6019" s="3">
        <v>2255</v>
      </c>
      <c r="J6019" s="3">
        <v>528</v>
      </c>
      <c r="K6019" s="3">
        <v>7268</v>
      </c>
      <c r="L6019" s="3">
        <v>6</v>
      </c>
      <c r="M6019" s="3">
        <v>2254</v>
      </c>
    </row>
    <row r="6020" spans="1:13" x14ac:dyDescent="0.25">
      <c r="A6020" s="1" t="str">
        <f>HYPERLINK("http://www.rosaceae.org/Prunus/Prunus_persica/p.persica_gdr_reftransV1_0025525","p.persica_gdr_reftransV1_0025525")</f>
        <v>p.persica_gdr_reftransV1_0025525</v>
      </c>
      <c r="B6020" s="3">
        <v>878</v>
      </c>
      <c r="C6020" s="1" t="str">
        <f>HYPERLINK("http://www.uniprot.org/uniprot/GST23_MAIZE","GST23_MAIZE")</f>
        <v>GST23_MAIZE</v>
      </c>
      <c r="D6020" t="s">
        <v>3729</v>
      </c>
      <c r="E6020" s="3" t="s">
        <v>72</v>
      </c>
      <c r="F6020" s="4">
        <v>2.07E-48</v>
      </c>
      <c r="G6020" s="3">
        <v>422</v>
      </c>
      <c r="H6020" s="3">
        <v>49</v>
      </c>
      <c r="I6020" s="3">
        <v>203</v>
      </c>
      <c r="J6020" s="3">
        <v>272</v>
      </c>
      <c r="K6020" s="3">
        <v>877</v>
      </c>
      <c r="L6020" s="3">
        <v>22</v>
      </c>
      <c r="M6020" s="3">
        <v>222</v>
      </c>
    </row>
    <row r="6021" spans="1:13" x14ac:dyDescent="0.25">
      <c r="A6021" s="1" t="str">
        <f>HYPERLINK("http://www.rosaceae.org/Prunus/Prunus_persica/p.persica_gdr_reftransV1_0025675","p.persica_gdr_reftransV1_0025675")</f>
        <v>p.persica_gdr_reftransV1_0025675</v>
      </c>
      <c r="B6021" s="3">
        <v>1987</v>
      </c>
      <c r="C6021" s="1" t="str">
        <f>HYPERLINK("http://www.uniprot.org/uniprot/MBOA1_ARATH","MBOA1_ARATH")</f>
        <v>MBOA1_ARATH</v>
      </c>
      <c r="D6021" t="s">
        <v>2740</v>
      </c>
      <c r="E6021" s="3" t="s">
        <v>3</v>
      </c>
      <c r="F6021" s="4">
        <v>4.4499999999999997E-166</v>
      </c>
      <c r="G6021" s="3">
        <v>866</v>
      </c>
      <c r="H6021" s="3">
        <v>81</v>
      </c>
      <c r="I6021" s="3">
        <v>200</v>
      </c>
      <c r="J6021" s="3">
        <v>719</v>
      </c>
      <c r="K6021" s="3">
        <v>1318</v>
      </c>
      <c r="L6021" s="3">
        <v>100</v>
      </c>
      <c r="M6021" s="3">
        <v>299</v>
      </c>
    </row>
    <row r="6022" spans="1:13" x14ac:dyDescent="0.25">
      <c r="A6022" s="1" t="str">
        <f>HYPERLINK("http://www.rosaceae.org/Prunus/Prunus_persica/p.persica_gdr_reftransV1_0025875","p.persica_gdr_reftransV1_0025875")</f>
        <v>p.persica_gdr_reftransV1_0025875</v>
      </c>
      <c r="B6022" s="3">
        <v>3131</v>
      </c>
      <c r="C6022" s="1" t="str">
        <f>HYPERLINK("http://www.uniprot.org/uniprot/SETD3_CANFA","SETD3_CANFA")</f>
        <v>SETD3_CANFA</v>
      </c>
      <c r="D6022" t="s">
        <v>5011</v>
      </c>
      <c r="E6022" s="3" t="s">
        <v>2940</v>
      </c>
      <c r="F6022" s="4">
        <v>3.6499999999999998E-10</v>
      </c>
      <c r="G6022" s="3">
        <v>164</v>
      </c>
      <c r="H6022" s="3">
        <v>27</v>
      </c>
      <c r="I6022" s="3">
        <v>185</v>
      </c>
      <c r="J6022" s="3">
        <v>2492</v>
      </c>
      <c r="K6022" s="3">
        <v>3031</v>
      </c>
      <c r="L6022" s="3">
        <v>82</v>
      </c>
      <c r="M6022" s="3">
        <v>259</v>
      </c>
    </row>
    <row r="6023" spans="1:13" x14ac:dyDescent="0.25">
      <c r="A6023" s="1" t="str">
        <f>HYPERLINK("http://www.rosaceae.org/Prunus/Prunus_persica/p.persica_gdr_reftransV1_0025975","p.persica_gdr_reftransV1_0025975")</f>
        <v>p.persica_gdr_reftransV1_0025975</v>
      </c>
      <c r="B6023" s="3">
        <v>3879</v>
      </c>
      <c r="C6023" s="1" t="str">
        <f>HYPERLINK("http://www.uniprot.org/uniprot/PP122_ARATH","PP122_ARATH")</f>
        <v>PP122_ARATH</v>
      </c>
      <c r="D6023" t="s">
        <v>4646</v>
      </c>
      <c r="E6023" s="3" t="s">
        <v>3</v>
      </c>
      <c r="F6023" s="4">
        <v>9.0099999999999995E-106</v>
      </c>
      <c r="G6023" s="3">
        <v>910</v>
      </c>
      <c r="H6023" s="3">
        <v>37</v>
      </c>
      <c r="I6023" s="3">
        <v>507</v>
      </c>
      <c r="J6023" s="3">
        <v>2327</v>
      </c>
      <c r="K6023" s="3">
        <v>3748</v>
      </c>
      <c r="L6023" s="3">
        <v>11</v>
      </c>
      <c r="M6023" s="3">
        <v>513</v>
      </c>
    </row>
    <row r="6024" spans="1:13" x14ac:dyDescent="0.25">
      <c r="A6024" s="1" t="str">
        <f>HYPERLINK("http://www.rosaceae.org/Prunus/Prunus_persica/p.persica_gdr_reftransV1_0026025","p.persica_gdr_reftransV1_0026025")</f>
        <v>p.persica_gdr_reftransV1_0026025</v>
      </c>
      <c r="B6024" s="3">
        <v>2383</v>
      </c>
      <c r="C6024" s="1" t="str">
        <f>HYPERLINK("http://www.uniprot.org/uniprot/TRB5_ARATH","TRB5_ARATH")</f>
        <v>TRB5_ARATH</v>
      </c>
      <c r="D6024" t="s">
        <v>5012</v>
      </c>
      <c r="E6024" s="3" t="s">
        <v>3</v>
      </c>
      <c r="F6024" s="4">
        <v>2.4999999999999998E-12</v>
      </c>
      <c r="G6024" s="3">
        <v>175</v>
      </c>
      <c r="H6024" s="3">
        <v>44</v>
      </c>
      <c r="I6024" s="3">
        <v>140</v>
      </c>
      <c r="J6024" s="3">
        <v>269</v>
      </c>
      <c r="K6024" s="3">
        <v>598</v>
      </c>
      <c r="L6024" s="3">
        <v>148</v>
      </c>
      <c r="M6024" s="3">
        <v>287</v>
      </c>
    </row>
    <row r="6025" spans="1:13" x14ac:dyDescent="0.25">
      <c r="A6025" s="1" t="str">
        <f>HYPERLINK("http://www.rosaceae.org/Prunus/Prunus_persica/p.persica_gdr_reftransV1_0026075","p.persica_gdr_reftransV1_0026075")</f>
        <v>p.persica_gdr_reftransV1_0026075</v>
      </c>
      <c r="B6025" s="3">
        <v>1154</v>
      </c>
      <c r="C6025" s="1" t="str">
        <f>HYPERLINK("http://www.uniprot.org/uniprot/EMC89_ARATH","EMC89_ARATH")</f>
        <v>EMC89_ARATH</v>
      </c>
      <c r="D6025" t="s">
        <v>5013</v>
      </c>
      <c r="E6025" s="3" t="s">
        <v>3</v>
      </c>
      <c r="F6025" s="4">
        <v>1.48E-92</v>
      </c>
      <c r="G6025" s="3">
        <v>724</v>
      </c>
      <c r="H6025" s="3">
        <v>72</v>
      </c>
      <c r="I6025" s="3">
        <v>201</v>
      </c>
      <c r="J6025" s="3">
        <v>441</v>
      </c>
      <c r="K6025" s="3">
        <v>1037</v>
      </c>
      <c r="L6025" s="3">
        <v>7</v>
      </c>
      <c r="M6025" s="3">
        <v>207</v>
      </c>
    </row>
    <row r="6026" spans="1:13" x14ac:dyDescent="0.25">
      <c r="A6026" s="1" t="str">
        <f>HYPERLINK("http://www.rosaceae.org/Prunus/Prunus_persica/p.persica_gdr_reftransV1_0026475","p.persica_gdr_reftransV1_0026475")</f>
        <v>p.persica_gdr_reftransV1_0026475</v>
      </c>
      <c r="B6026" s="3">
        <v>1611</v>
      </c>
      <c r="C6026" s="1" t="str">
        <f>HYPERLINK("http://www.uniprot.org/uniprot/APX3_ARATH","APX3_ARATH")</f>
        <v>APX3_ARATH</v>
      </c>
      <c r="D6026" t="s">
        <v>5014</v>
      </c>
      <c r="E6026" s="3" t="s">
        <v>3</v>
      </c>
      <c r="F6026" s="4">
        <v>2.3100000000000002E-72</v>
      </c>
      <c r="G6026" s="3">
        <v>608</v>
      </c>
      <c r="H6026" s="3">
        <v>81</v>
      </c>
      <c r="I6026" s="3">
        <v>178</v>
      </c>
      <c r="J6026" s="3">
        <v>183</v>
      </c>
      <c r="K6026" s="3">
        <v>716</v>
      </c>
      <c r="L6026" s="3">
        <v>106</v>
      </c>
      <c r="M6026" s="3">
        <v>283</v>
      </c>
    </row>
    <row r="6027" spans="1:13" x14ac:dyDescent="0.25">
      <c r="A6027" s="1" t="str">
        <f>HYPERLINK("http://www.rosaceae.org/Prunus/Prunus_persica/p.persica_gdr_reftransV1_0026625","p.persica_gdr_reftransV1_0026625")</f>
        <v>p.persica_gdr_reftransV1_0026625</v>
      </c>
      <c r="B6027" s="3">
        <v>3947</v>
      </c>
      <c r="C6027" s="1" t="str">
        <f>HYPERLINK("http://www.uniprot.org/uniprot/MMS19_ARATH","MMS19_ARATH")</f>
        <v>MMS19_ARATH</v>
      </c>
      <c r="D6027" t="s">
        <v>5015</v>
      </c>
      <c r="E6027" s="3" t="s">
        <v>3</v>
      </c>
      <c r="F6027" s="4">
        <v>0</v>
      </c>
      <c r="G6027" s="3">
        <v>2546</v>
      </c>
      <c r="H6027" s="3">
        <v>49</v>
      </c>
      <c r="I6027" s="3">
        <v>1166</v>
      </c>
      <c r="J6027" s="3">
        <v>112</v>
      </c>
      <c r="K6027" s="3">
        <v>3585</v>
      </c>
      <c r="L6027" s="3">
        <v>2</v>
      </c>
      <c r="M6027" s="3">
        <v>1127</v>
      </c>
    </row>
    <row r="6028" spans="1:13" x14ac:dyDescent="0.25">
      <c r="A6028" s="1" t="str">
        <f>HYPERLINK("http://www.rosaceae.org/Prunus/Prunus_persica/p.persica_gdr_reftransV1_0026725","p.persica_gdr_reftransV1_0026725")</f>
        <v>p.persica_gdr_reftransV1_0026725</v>
      </c>
      <c r="B6028" s="3">
        <v>1398</v>
      </c>
      <c r="C6028" s="1" t="str">
        <f>HYPERLINK("http://www.uniprot.org/uniprot/CPR30_ARATH","CPR30_ARATH")</f>
        <v>CPR30_ARATH</v>
      </c>
      <c r="D6028" t="s">
        <v>1594</v>
      </c>
      <c r="E6028" s="3" t="s">
        <v>3</v>
      </c>
      <c r="F6028" s="4">
        <v>9.7399999999999995E-10</v>
      </c>
      <c r="G6028" s="3">
        <v>154</v>
      </c>
      <c r="H6028" s="3">
        <v>30</v>
      </c>
      <c r="I6028" s="3">
        <v>223</v>
      </c>
      <c r="J6028" s="3">
        <v>712</v>
      </c>
      <c r="K6028" s="3">
        <v>1284</v>
      </c>
      <c r="L6028" s="3">
        <v>142</v>
      </c>
      <c r="M6028" s="3">
        <v>346</v>
      </c>
    </row>
    <row r="6029" spans="1:13" x14ac:dyDescent="0.25">
      <c r="A6029" s="1" t="str">
        <f>HYPERLINK("http://www.rosaceae.org/Prunus/Prunus_persica/p.persica_gdr_reftransV1_0027025","p.persica_gdr_reftransV1_0027025")</f>
        <v>p.persica_gdr_reftransV1_0027025</v>
      </c>
      <c r="B6029" s="3">
        <v>1682</v>
      </c>
      <c r="C6029" s="1" t="str">
        <f>HYPERLINK("http://www.uniprot.org/uniprot/6PGL4_ORYSJ","6PGL4_ORYSJ")</f>
        <v>6PGL4_ORYSJ</v>
      </c>
      <c r="D6029" t="s">
        <v>4364</v>
      </c>
      <c r="E6029" s="3" t="s">
        <v>38</v>
      </c>
      <c r="F6029" s="4">
        <v>4.7900000000000001E-70</v>
      </c>
      <c r="G6029" s="3">
        <v>597</v>
      </c>
      <c r="H6029" s="3">
        <v>74</v>
      </c>
      <c r="I6029" s="3">
        <v>159</v>
      </c>
      <c r="J6029" s="3">
        <v>699</v>
      </c>
      <c r="K6029" s="3">
        <v>1169</v>
      </c>
      <c r="L6029" s="3">
        <v>163</v>
      </c>
      <c r="M6029" s="3">
        <v>321</v>
      </c>
    </row>
    <row r="6030" spans="1:13" x14ac:dyDescent="0.25">
      <c r="A6030" s="1" t="str">
        <f>HYPERLINK("http://www.rosaceae.org/Prunus/Prunus_persica/p.persica_gdr_reftransV1_0027175","p.persica_gdr_reftransV1_0027175")</f>
        <v>p.persica_gdr_reftransV1_0027175</v>
      </c>
      <c r="B6030" s="3">
        <v>770</v>
      </c>
      <c r="C6030" s="1" t="str">
        <f>HYPERLINK("http://www.uniprot.org/uniprot/RKF3_ARATH","RKF3_ARATH")</f>
        <v>RKF3_ARATH</v>
      </c>
      <c r="D6030" t="s">
        <v>5016</v>
      </c>
      <c r="E6030" s="3" t="s">
        <v>3</v>
      </c>
      <c r="F6030" s="4">
        <v>3.3999999999999997E-55</v>
      </c>
      <c r="G6030" s="3">
        <v>489</v>
      </c>
      <c r="H6030" s="3">
        <v>73</v>
      </c>
      <c r="I6030" s="3">
        <v>127</v>
      </c>
      <c r="J6030" s="3">
        <v>393</v>
      </c>
      <c r="K6030" s="3">
        <v>770</v>
      </c>
      <c r="L6030" s="3">
        <v>457</v>
      </c>
      <c r="M6030" s="3">
        <v>583</v>
      </c>
    </row>
    <row r="6031" spans="1:13" x14ac:dyDescent="0.25">
      <c r="A6031" s="1" t="str">
        <f>HYPERLINK("http://www.rosaceae.org/Prunus/Prunus_persica/p.persica_gdr_reftransV1_0027375","p.persica_gdr_reftransV1_0027375")</f>
        <v>p.persica_gdr_reftransV1_0027375</v>
      </c>
      <c r="B6031" s="3">
        <v>2545</v>
      </c>
      <c r="C6031" s="1" t="str">
        <f>HYPERLINK("http://www.uniprot.org/uniprot/AMT13_SOLLC","AMT13_SOLLC")</f>
        <v>AMT13_SOLLC</v>
      </c>
      <c r="D6031" t="s">
        <v>5017</v>
      </c>
      <c r="E6031" s="3" t="s">
        <v>64</v>
      </c>
      <c r="F6031" s="4">
        <v>0</v>
      </c>
      <c r="G6031" s="3">
        <v>1547</v>
      </c>
      <c r="H6031" s="3">
        <v>81</v>
      </c>
      <c r="I6031" s="3">
        <v>454</v>
      </c>
      <c r="J6031" s="3">
        <v>10</v>
      </c>
      <c r="K6031" s="3">
        <v>1368</v>
      </c>
      <c r="L6031" s="3">
        <v>12</v>
      </c>
      <c r="M6031" s="3">
        <v>460</v>
      </c>
    </row>
    <row r="6032" spans="1:13" x14ac:dyDescent="0.25">
      <c r="A6032" s="1" t="str">
        <f>HYPERLINK("http://www.rosaceae.org/Prunus/Prunus_persica/p.persica_gdr_reftransV1_0027425","p.persica_gdr_reftransV1_0027425")</f>
        <v>p.persica_gdr_reftransV1_0027425</v>
      </c>
      <c r="B6032" s="3">
        <v>1323</v>
      </c>
      <c r="C6032" s="1" t="str">
        <f>HYPERLINK("http://www.uniprot.org/uniprot/NAT4_ARATH","NAT4_ARATH")</f>
        <v>NAT4_ARATH</v>
      </c>
      <c r="D6032" t="s">
        <v>5018</v>
      </c>
      <c r="E6032" s="3" t="s">
        <v>3</v>
      </c>
      <c r="F6032" s="4">
        <v>1.01E-175</v>
      </c>
      <c r="G6032" s="3">
        <v>1312</v>
      </c>
      <c r="H6032" s="3">
        <v>71</v>
      </c>
      <c r="I6032" s="3">
        <v>382</v>
      </c>
      <c r="J6032" s="3">
        <v>185</v>
      </c>
      <c r="K6032" s="3">
        <v>1321</v>
      </c>
      <c r="L6032" s="3">
        <v>144</v>
      </c>
      <c r="M6032" s="3">
        <v>525</v>
      </c>
    </row>
    <row r="6033" spans="1:13" x14ac:dyDescent="0.25">
      <c r="A6033" s="1" t="str">
        <f>HYPERLINK("http://www.rosaceae.org/Prunus/Prunus_persica/p.persica_gdr_reftransV1_0027925","p.persica_gdr_reftransV1_0027925")</f>
        <v>p.persica_gdr_reftransV1_0027925</v>
      </c>
      <c r="B6033" s="3">
        <v>1498</v>
      </c>
      <c r="C6033" s="1" t="str">
        <f>HYPERLINK("http://www.uniprot.org/uniprot/CML25_ARATH","CML25_ARATH")</f>
        <v>CML25_ARATH</v>
      </c>
      <c r="D6033" t="s">
        <v>5019</v>
      </c>
      <c r="E6033" s="3" t="s">
        <v>3</v>
      </c>
      <c r="F6033" s="4">
        <v>2.0099999999999999E-67</v>
      </c>
      <c r="G6033" s="3">
        <v>563</v>
      </c>
      <c r="H6033" s="3">
        <v>73</v>
      </c>
      <c r="I6033" s="3">
        <v>147</v>
      </c>
      <c r="J6033" s="3">
        <v>758</v>
      </c>
      <c r="K6033" s="3">
        <v>1198</v>
      </c>
      <c r="L6033" s="3">
        <v>33</v>
      </c>
      <c r="M6033" s="3">
        <v>179</v>
      </c>
    </row>
    <row r="6034" spans="1:13" x14ac:dyDescent="0.25">
      <c r="A6034" s="1" t="str">
        <f>HYPERLINK("http://www.rosaceae.org/Prunus/Prunus_persica/p.persica_gdr_reftransV1_0028125","p.persica_gdr_reftransV1_0028125")</f>
        <v>p.persica_gdr_reftransV1_0028125</v>
      </c>
      <c r="B6034" s="3">
        <v>2076</v>
      </c>
      <c r="C6034" s="1" t="str">
        <f>HYPERLINK("http://www.uniprot.org/uniprot/FOLC_BACSU","FOLC_BACSU")</f>
        <v>FOLC_BACSU</v>
      </c>
      <c r="D6034" t="s">
        <v>5020</v>
      </c>
      <c r="E6034" s="3" t="s">
        <v>1630</v>
      </c>
      <c r="F6034" s="4">
        <v>6.8300000000000001E-46</v>
      </c>
      <c r="G6034" s="3">
        <v>439</v>
      </c>
      <c r="H6034" s="3">
        <v>33</v>
      </c>
      <c r="I6034" s="3">
        <v>347</v>
      </c>
      <c r="J6034" s="3">
        <v>706</v>
      </c>
      <c r="K6034" s="3">
        <v>1728</v>
      </c>
      <c r="L6034" s="3">
        <v>36</v>
      </c>
      <c r="M6034" s="3">
        <v>351</v>
      </c>
    </row>
    <row r="6035" spans="1:13" x14ac:dyDescent="0.25">
      <c r="A6035" s="1" t="str">
        <f>HYPERLINK("http://www.rosaceae.org/Prunus/Prunus_persica/p.persica_gdr_reftransV1_0028275","p.persica_gdr_reftransV1_0028275")</f>
        <v>p.persica_gdr_reftransV1_0028275</v>
      </c>
      <c r="B6035" s="3">
        <v>4768</v>
      </c>
      <c r="C6035" s="1" t="str">
        <f>HYPERLINK("http://www.uniprot.org/uniprot/C2GR1_ARATH","C2GR1_ARATH")</f>
        <v>C2GR1_ARATH</v>
      </c>
      <c r="D6035" t="s">
        <v>4192</v>
      </c>
      <c r="E6035" s="3" t="s">
        <v>3</v>
      </c>
      <c r="F6035" s="4">
        <v>3.75E-10</v>
      </c>
      <c r="G6035" s="3">
        <v>167</v>
      </c>
      <c r="H6035" s="3">
        <v>34</v>
      </c>
      <c r="I6035" s="3">
        <v>103</v>
      </c>
      <c r="J6035" s="3">
        <v>473</v>
      </c>
      <c r="K6035" s="3">
        <v>766</v>
      </c>
      <c r="L6035" s="3">
        <v>3</v>
      </c>
      <c r="M6035" s="3">
        <v>105</v>
      </c>
    </row>
    <row r="6036" spans="1:13" x14ac:dyDescent="0.25">
      <c r="A6036" s="1" t="str">
        <f>HYPERLINK("http://www.rosaceae.org/Prunus/Prunus_persica/p.persica_gdr_reftransV1_0028525","p.persica_gdr_reftransV1_0028525")</f>
        <v>p.persica_gdr_reftransV1_0028525</v>
      </c>
      <c r="B6036" s="3">
        <v>2656</v>
      </c>
      <c r="C6036" s="1" t="str">
        <f>HYPERLINK("http://www.uniprot.org/uniprot/TIR1_ARATH","TIR1_ARATH")</f>
        <v>TIR1_ARATH</v>
      </c>
      <c r="D6036" t="s">
        <v>5021</v>
      </c>
      <c r="E6036" s="3" t="s">
        <v>3</v>
      </c>
      <c r="F6036" s="4">
        <v>0</v>
      </c>
      <c r="G6036" s="3">
        <v>2560</v>
      </c>
      <c r="H6036" s="3">
        <v>81</v>
      </c>
      <c r="I6036" s="3">
        <v>578</v>
      </c>
      <c r="J6036" s="3">
        <v>453</v>
      </c>
      <c r="K6036" s="3">
        <v>2186</v>
      </c>
      <c r="L6036" s="3">
        <v>8</v>
      </c>
      <c r="M6036" s="3">
        <v>585</v>
      </c>
    </row>
    <row r="6037" spans="1:13" x14ac:dyDescent="0.25">
      <c r="A6037" s="1" t="str">
        <f>HYPERLINK("http://www.rosaceae.org/Prunus/Prunus_persica/p.persica_gdr_reftransV1_0028675","p.persica_gdr_reftransV1_0028675")</f>
        <v>p.persica_gdr_reftransV1_0028675</v>
      </c>
      <c r="B6037" s="3">
        <v>2167</v>
      </c>
      <c r="C6037" s="1" t="str">
        <f>HYPERLINK("http://www.uniprot.org/uniprot/AHL5_ARATH","AHL5_ARATH")</f>
        <v>AHL5_ARATH</v>
      </c>
      <c r="D6037" t="s">
        <v>5022</v>
      </c>
      <c r="E6037" s="3" t="s">
        <v>3</v>
      </c>
      <c r="F6037" s="4">
        <v>7.5700000000000004E-66</v>
      </c>
      <c r="G6037" s="3">
        <v>582</v>
      </c>
      <c r="H6037" s="3">
        <v>46</v>
      </c>
      <c r="I6037" s="3">
        <v>383</v>
      </c>
      <c r="J6037" s="3">
        <v>776</v>
      </c>
      <c r="K6037" s="3">
        <v>1810</v>
      </c>
      <c r="L6037" s="3">
        <v>1</v>
      </c>
      <c r="M6037" s="3">
        <v>378</v>
      </c>
    </row>
    <row r="6038" spans="1:13" x14ac:dyDescent="0.25">
      <c r="A6038" s="1" t="str">
        <f>HYPERLINK("http://www.rosaceae.org/Prunus/Prunus_persica/p.persica_gdr_reftransV1_0028725","p.persica_gdr_reftransV1_0028725")</f>
        <v>p.persica_gdr_reftransV1_0028725</v>
      </c>
      <c r="B6038" s="3">
        <v>1756</v>
      </c>
      <c r="C6038" s="1" t="str">
        <f>HYPERLINK("http://www.uniprot.org/uniprot/NLTP2_PRUAR","NLTP2_PRUAR")</f>
        <v>NLTP2_PRUAR</v>
      </c>
      <c r="D6038" t="s">
        <v>5023</v>
      </c>
      <c r="E6038" s="3" t="s">
        <v>62</v>
      </c>
      <c r="F6038" s="4">
        <v>1.6499999999999999E-34</v>
      </c>
      <c r="G6038" s="3">
        <v>324</v>
      </c>
      <c r="H6038" s="3">
        <v>96</v>
      </c>
      <c r="I6038" s="3">
        <v>68</v>
      </c>
      <c r="J6038" s="3">
        <v>606</v>
      </c>
      <c r="K6038" s="3">
        <v>809</v>
      </c>
      <c r="L6038" s="3">
        <v>1</v>
      </c>
      <c r="M6038" s="3">
        <v>68</v>
      </c>
    </row>
    <row r="6039" spans="1:13" x14ac:dyDescent="0.25">
      <c r="A6039" s="1" t="str">
        <f>HYPERLINK("http://www.rosaceae.org/Prunus/Prunus_persica/p.persica_gdr_reftransV1_0028925","p.persica_gdr_reftransV1_0028925")</f>
        <v>p.persica_gdr_reftransV1_0028925</v>
      </c>
      <c r="B6039" s="3">
        <v>2133</v>
      </c>
      <c r="C6039" s="1" t="str">
        <f>HYPERLINK("http://www.uniprot.org/uniprot/PRIPO_DANRE","PRIPO_DANRE")</f>
        <v>PRIPO_DANRE</v>
      </c>
      <c r="D6039" t="s">
        <v>5024</v>
      </c>
      <c r="E6039" s="3" t="s">
        <v>704</v>
      </c>
      <c r="F6039" s="4">
        <v>7.5599999999999997E-61</v>
      </c>
      <c r="G6039" s="3">
        <v>340</v>
      </c>
      <c r="H6039" s="3">
        <v>44</v>
      </c>
      <c r="I6039" s="3">
        <v>173</v>
      </c>
      <c r="J6039" s="3">
        <v>418</v>
      </c>
      <c r="K6039" s="3">
        <v>927</v>
      </c>
      <c r="L6039" s="3">
        <v>42</v>
      </c>
      <c r="M6039" s="3">
        <v>204</v>
      </c>
    </row>
    <row r="6040" spans="1:13" x14ac:dyDescent="0.25">
      <c r="A6040" s="1" t="str">
        <f>HYPERLINK("http://www.rosaceae.org/Prunus/Prunus_persica/p.persica_gdr_reftransV1_0029025","p.persica_gdr_reftransV1_0029025")</f>
        <v>p.persica_gdr_reftransV1_0029025</v>
      </c>
      <c r="B6040" s="3">
        <v>2850</v>
      </c>
      <c r="C6040" s="1" t="str">
        <f>HYPERLINK("http://www.uniprot.org/uniprot/ARFR_ORYSJ","ARFR_ORYSJ")</f>
        <v>ARFR_ORYSJ</v>
      </c>
      <c r="D6040" t="s">
        <v>5025</v>
      </c>
      <c r="E6040" s="3" t="s">
        <v>38</v>
      </c>
      <c r="F6040" s="4">
        <v>0</v>
      </c>
      <c r="G6040" s="3">
        <v>2146</v>
      </c>
      <c r="H6040" s="3">
        <v>65</v>
      </c>
      <c r="I6040" s="3">
        <v>682</v>
      </c>
      <c r="J6040" s="3">
        <v>665</v>
      </c>
      <c r="K6040" s="3">
        <v>2671</v>
      </c>
      <c r="L6040" s="3">
        <v>14</v>
      </c>
      <c r="M6040" s="3">
        <v>677</v>
      </c>
    </row>
    <row r="6041" spans="1:13" x14ac:dyDescent="0.25">
      <c r="A6041" s="1" t="str">
        <f>HYPERLINK("http://www.rosaceae.org/Prunus/Prunus_persica/p.persica_gdr_reftransV1_0029275","p.persica_gdr_reftransV1_0029275")</f>
        <v>p.persica_gdr_reftransV1_0029275</v>
      </c>
      <c r="B6041" s="3">
        <v>2569</v>
      </c>
      <c r="C6041" s="1" t="str">
        <f>HYPERLINK("http://www.uniprot.org/uniprot/PUX8_ARATH","PUX8_ARATH")</f>
        <v>PUX8_ARATH</v>
      </c>
      <c r="D6041" t="s">
        <v>1586</v>
      </c>
      <c r="E6041" s="3" t="s">
        <v>3</v>
      </c>
      <c r="F6041" s="4">
        <v>2.4700000000000001E-38</v>
      </c>
      <c r="G6041" s="3">
        <v>391</v>
      </c>
      <c r="H6041" s="3">
        <v>45</v>
      </c>
      <c r="I6041" s="3">
        <v>216</v>
      </c>
      <c r="J6041" s="3">
        <v>1388</v>
      </c>
      <c r="K6041" s="3">
        <v>1984</v>
      </c>
      <c r="L6041" s="3">
        <v>348</v>
      </c>
      <c r="M6041" s="3">
        <v>558</v>
      </c>
    </row>
    <row r="6042" spans="1:13" x14ac:dyDescent="0.25">
      <c r="A6042" s="1" t="str">
        <f>HYPERLINK("http://www.rosaceae.org/Prunus/Prunus_persica/p.persica_gdr_reftransV1_0029425","p.persica_gdr_reftransV1_0029425")</f>
        <v>p.persica_gdr_reftransV1_0029425</v>
      </c>
      <c r="B6042" s="3">
        <v>1634</v>
      </c>
      <c r="C6042" s="1" t="str">
        <f>HYPERLINK("http://www.uniprot.org/uniprot/RM21_ARATH","RM21_ARATH")</f>
        <v>RM21_ARATH</v>
      </c>
      <c r="D6042" t="s">
        <v>5026</v>
      </c>
      <c r="E6042" s="3" t="s">
        <v>3</v>
      </c>
      <c r="F6042" s="4">
        <v>1.5000000000000001E-36</v>
      </c>
      <c r="G6042" s="3">
        <v>355</v>
      </c>
      <c r="H6042" s="3">
        <v>81</v>
      </c>
      <c r="I6042" s="3">
        <v>78</v>
      </c>
      <c r="J6042" s="3">
        <v>867</v>
      </c>
      <c r="K6042" s="3">
        <v>1100</v>
      </c>
      <c r="L6042" s="3">
        <v>119</v>
      </c>
      <c r="M6042" s="3">
        <v>196</v>
      </c>
    </row>
    <row r="6043" spans="1:13" x14ac:dyDescent="0.25">
      <c r="A6043" s="1" t="str">
        <f>HYPERLINK("http://www.rosaceae.org/Prunus/Prunus_persica/p.persica_gdr_reftransV1_0029575","p.persica_gdr_reftransV1_0029575")</f>
        <v>p.persica_gdr_reftransV1_0029575</v>
      </c>
      <c r="B6043" s="3">
        <v>1351</v>
      </c>
      <c r="C6043" s="1" t="str">
        <f>HYPERLINK("http://www.uniprot.org/uniprot/SWT17_ARATH","SWT17_ARATH")</f>
        <v>SWT17_ARATH</v>
      </c>
      <c r="D6043" t="s">
        <v>3014</v>
      </c>
      <c r="E6043" s="3" t="s">
        <v>3</v>
      </c>
      <c r="F6043" s="4">
        <v>6.4199999999999998E-66</v>
      </c>
      <c r="G6043" s="3">
        <v>554</v>
      </c>
      <c r="H6043" s="3">
        <v>47</v>
      </c>
      <c r="I6043" s="3">
        <v>234</v>
      </c>
      <c r="J6043" s="3">
        <v>325</v>
      </c>
      <c r="K6043" s="3">
        <v>1023</v>
      </c>
      <c r="L6043" s="3">
        <v>9</v>
      </c>
      <c r="M6043" s="3">
        <v>241</v>
      </c>
    </row>
    <row r="6044" spans="1:13" x14ac:dyDescent="0.25">
      <c r="A6044" s="1" t="str">
        <f>HYPERLINK("http://www.rosaceae.org/Prunus/Prunus_persica/p.persica_gdr_reftransV1_0029825","p.persica_gdr_reftransV1_0029825")</f>
        <v>p.persica_gdr_reftransV1_0029825</v>
      </c>
      <c r="B6044" s="3">
        <v>2353</v>
      </c>
      <c r="C6044" s="1" t="str">
        <f>HYPERLINK("http://www.uniprot.org/uniprot/GUAA_HELHP","GUAA_HELHP")</f>
        <v>GUAA_HELHP</v>
      </c>
      <c r="D6044" t="s">
        <v>5027</v>
      </c>
      <c r="E6044" s="3" t="s">
        <v>5028</v>
      </c>
      <c r="F6044" s="4">
        <v>1.5200000000000001E-41</v>
      </c>
      <c r="G6044" s="3">
        <v>247</v>
      </c>
      <c r="H6044" s="3">
        <v>53</v>
      </c>
      <c r="I6044" s="3">
        <v>83</v>
      </c>
      <c r="J6044" s="3">
        <v>1739</v>
      </c>
      <c r="K6044" s="3">
        <v>1987</v>
      </c>
      <c r="L6044" s="3">
        <v>894</v>
      </c>
      <c r="M6044" s="3">
        <v>976</v>
      </c>
    </row>
    <row r="6045" spans="1:13" x14ac:dyDescent="0.25">
      <c r="A6045" s="1" t="str">
        <f>HYPERLINK("http://www.rosaceae.org/Prunus/Prunus_persica/p.persica_gdr_reftransV1_0029875","p.persica_gdr_reftransV1_0029875")</f>
        <v>p.persica_gdr_reftransV1_0029875</v>
      </c>
      <c r="B6045" s="3">
        <v>2336</v>
      </c>
      <c r="C6045" s="1" t="str">
        <f>HYPERLINK("http://www.uniprot.org/uniprot/PP145_ARATH","PP145_ARATH")</f>
        <v>PP145_ARATH</v>
      </c>
      <c r="D6045" t="s">
        <v>5029</v>
      </c>
      <c r="E6045" s="3" t="s">
        <v>3</v>
      </c>
      <c r="F6045" s="4">
        <v>0</v>
      </c>
      <c r="G6045" s="3">
        <v>2077</v>
      </c>
      <c r="H6045" s="3">
        <v>68</v>
      </c>
      <c r="I6045" s="3">
        <v>578</v>
      </c>
      <c r="J6045" s="3">
        <v>150</v>
      </c>
      <c r="K6045" s="3">
        <v>1883</v>
      </c>
      <c r="L6045" s="3">
        <v>27</v>
      </c>
      <c r="M6045" s="3">
        <v>603</v>
      </c>
    </row>
    <row r="6046" spans="1:13" x14ac:dyDescent="0.25">
      <c r="A6046" s="1" t="str">
        <f>HYPERLINK("http://www.rosaceae.org/Prunus/Prunus_persica/p.persica_gdr_reftransV1_0030525","p.persica_gdr_reftransV1_0030525")</f>
        <v>p.persica_gdr_reftransV1_0030525</v>
      </c>
      <c r="B6046" s="3">
        <v>627</v>
      </c>
      <c r="C6046" s="1" t="str">
        <f>HYPERLINK("http://www.uniprot.org/uniprot/PP127_ARATH","PP127_ARATH")</f>
        <v>PP127_ARATH</v>
      </c>
      <c r="D6046" t="s">
        <v>5030</v>
      </c>
      <c r="E6046" s="3" t="s">
        <v>3</v>
      </c>
      <c r="F6046" s="4">
        <v>3.3399999999999998E-89</v>
      </c>
      <c r="G6046" s="3">
        <v>722</v>
      </c>
      <c r="H6046" s="3">
        <v>62</v>
      </c>
      <c r="I6046" s="3">
        <v>208</v>
      </c>
      <c r="J6046" s="3">
        <v>3</v>
      </c>
      <c r="K6046" s="3">
        <v>626</v>
      </c>
      <c r="L6046" s="3">
        <v>413</v>
      </c>
      <c r="M6046" s="3">
        <v>620</v>
      </c>
    </row>
    <row r="6047" spans="1:13" x14ac:dyDescent="0.25">
      <c r="A6047" s="1" t="str">
        <f>HYPERLINK("http://www.rosaceae.org/Prunus/Prunus_persica/p.persica_gdr_reftransV1_0030725","p.persica_gdr_reftransV1_0030725")</f>
        <v>p.persica_gdr_reftransV1_0030725</v>
      </c>
      <c r="B6047" s="3">
        <v>1688</v>
      </c>
      <c r="C6047" s="1" t="str">
        <f>HYPERLINK("http://www.uniprot.org/uniprot/IF1A_ONOVI","IF1A_ONOVI")</f>
        <v>IF1A_ONOVI</v>
      </c>
      <c r="D6047" t="s">
        <v>5031</v>
      </c>
      <c r="E6047" s="3" t="s">
        <v>5032</v>
      </c>
      <c r="F6047" s="4">
        <v>7.5499999999999999E-59</v>
      </c>
      <c r="G6047" s="3">
        <v>504</v>
      </c>
      <c r="H6047" s="3">
        <v>97</v>
      </c>
      <c r="I6047" s="3">
        <v>116</v>
      </c>
      <c r="J6047" s="3">
        <v>396</v>
      </c>
      <c r="K6047" s="3">
        <v>743</v>
      </c>
      <c r="L6047" s="3">
        <v>1</v>
      </c>
      <c r="M6047" s="3">
        <v>116</v>
      </c>
    </row>
    <row r="6048" spans="1:13" x14ac:dyDescent="0.25">
      <c r="A6048" s="1" t="str">
        <f>HYPERLINK("http://www.rosaceae.org/Prunus/Prunus_persica/p.persica_gdr_reftransV1_0031075","p.persica_gdr_reftransV1_0031075")</f>
        <v>p.persica_gdr_reftransV1_0031075</v>
      </c>
      <c r="B6048" s="3">
        <v>2614</v>
      </c>
      <c r="C6048" s="1" t="str">
        <f>HYPERLINK("http://www.uniprot.org/uniprot/ATPX_SPIOL","ATPX_SPIOL")</f>
        <v>ATPX_SPIOL</v>
      </c>
      <c r="D6048" t="s">
        <v>5033</v>
      </c>
      <c r="E6048" s="3" t="s">
        <v>131</v>
      </c>
      <c r="F6048" s="4">
        <v>8.7299999999999995E-67</v>
      </c>
      <c r="G6048" s="3">
        <v>579</v>
      </c>
      <c r="H6048" s="3">
        <v>77</v>
      </c>
      <c r="I6048" s="3">
        <v>149</v>
      </c>
      <c r="J6048" s="3">
        <v>242</v>
      </c>
      <c r="K6048" s="3">
        <v>688</v>
      </c>
      <c r="L6048" s="3">
        <v>72</v>
      </c>
      <c r="M6048" s="3">
        <v>220</v>
      </c>
    </row>
    <row r="6049" spans="1:13" x14ac:dyDescent="0.25">
      <c r="A6049" s="1" t="str">
        <f>HYPERLINK("http://www.rosaceae.org/Prunus/Prunus_persica/p.persica_gdr_reftransV1_0031275","p.persica_gdr_reftransV1_0031275")</f>
        <v>p.persica_gdr_reftransV1_0031275</v>
      </c>
      <c r="B6049" s="3">
        <v>1344</v>
      </c>
      <c r="C6049" s="1" t="str">
        <f>HYPERLINK("http://www.uniprot.org/uniprot/AGL90_ARATH","AGL90_ARATH")</f>
        <v>AGL90_ARATH</v>
      </c>
      <c r="D6049" t="s">
        <v>5034</v>
      </c>
      <c r="E6049" s="3" t="s">
        <v>3</v>
      </c>
      <c r="F6049" s="4">
        <v>3.8000000000000001E-7</v>
      </c>
      <c r="G6049" s="3">
        <v>132</v>
      </c>
      <c r="H6049" s="3">
        <v>46</v>
      </c>
      <c r="I6049" s="3">
        <v>57</v>
      </c>
      <c r="J6049" s="3">
        <v>893</v>
      </c>
      <c r="K6049" s="3">
        <v>1063</v>
      </c>
      <c r="L6049" s="3">
        <v>6</v>
      </c>
      <c r="M6049" s="3">
        <v>57</v>
      </c>
    </row>
    <row r="6050" spans="1:13" x14ac:dyDescent="0.25">
      <c r="A6050" s="1" t="str">
        <f>HYPERLINK("http://www.rosaceae.org/Prunus/Prunus_persica/p.persica_gdr_reftransV1_0031325","p.persica_gdr_reftransV1_0031325")</f>
        <v>p.persica_gdr_reftransV1_0031325</v>
      </c>
      <c r="B6050" s="3">
        <v>3719</v>
      </c>
      <c r="C6050" s="1" t="str">
        <f>HYPERLINK("http://www.uniprot.org/uniprot/SMC6B_ARATH","SMC6B_ARATH")</f>
        <v>SMC6B_ARATH</v>
      </c>
      <c r="D6050" t="s">
        <v>5035</v>
      </c>
      <c r="E6050" s="3" t="s">
        <v>3</v>
      </c>
      <c r="F6050" s="4">
        <v>0</v>
      </c>
      <c r="G6050" s="3">
        <v>3092</v>
      </c>
      <c r="H6050" s="3">
        <v>63</v>
      </c>
      <c r="I6050" s="3">
        <v>998</v>
      </c>
      <c r="J6050" s="3">
        <v>165</v>
      </c>
      <c r="K6050" s="3">
        <v>3152</v>
      </c>
      <c r="L6050" s="3">
        <v>11</v>
      </c>
      <c r="M6050" s="3">
        <v>1007</v>
      </c>
    </row>
    <row r="6051" spans="1:13" x14ac:dyDescent="0.25">
      <c r="A6051" s="1" t="str">
        <f>HYPERLINK("http://www.rosaceae.org/Prunus/Prunus_persica/p.persica_gdr_reftransV1_0031525","p.persica_gdr_reftransV1_0031525")</f>
        <v>p.persica_gdr_reftransV1_0031525</v>
      </c>
      <c r="B6051" s="3">
        <v>2874</v>
      </c>
      <c r="C6051" s="1" t="str">
        <f>HYPERLINK("http://www.uniprot.org/uniprot/PMT5_ARATH","PMT5_ARATH")</f>
        <v>PMT5_ARATH</v>
      </c>
      <c r="D6051" t="s">
        <v>1781</v>
      </c>
      <c r="E6051" s="3" t="s">
        <v>3</v>
      </c>
      <c r="F6051" s="4">
        <v>0</v>
      </c>
      <c r="G6051" s="3">
        <v>2211</v>
      </c>
      <c r="H6051" s="3">
        <v>70</v>
      </c>
      <c r="I6051" s="3">
        <v>622</v>
      </c>
      <c r="J6051" s="3">
        <v>442</v>
      </c>
      <c r="K6051" s="3">
        <v>2301</v>
      </c>
      <c r="L6051" s="3">
        <v>1</v>
      </c>
      <c r="M6051" s="3">
        <v>606</v>
      </c>
    </row>
    <row r="6052" spans="1:13" x14ac:dyDescent="0.25">
      <c r="A6052" s="1" t="str">
        <f>HYPERLINK("http://www.rosaceae.org/Prunus/Prunus_persica/p.persica_gdr_reftransV1_0031875","p.persica_gdr_reftransV1_0031875")</f>
        <v>p.persica_gdr_reftransV1_0031875</v>
      </c>
      <c r="B6052" s="3">
        <v>1117</v>
      </c>
      <c r="C6052" s="1" t="str">
        <f>HYPERLINK("http://www.uniprot.org/uniprot/RS13_SOYBN","RS13_SOYBN")</f>
        <v>RS13_SOYBN</v>
      </c>
      <c r="D6052" t="s">
        <v>5036</v>
      </c>
      <c r="E6052" s="3" t="s">
        <v>307</v>
      </c>
      <c r="F6052" s="4">
        <v>5.2199999999999998E-101</v>
      </c>
      <c r="G6052" s="3">
        <v>773</v>
      </c>
      <c r="H6052" s="3">
        <v>98</v>
      </c>
      <c r="I6052" s="3">
        <v>151</v>
      </c>
      <c r="J6052" s="3">
        <v>166</v>
      </c>
      <c r="K6052" s="3">
        <v>618</v>
      </c>
      <c r="L6052" s="3">
        <v>1</v>
      </c>
      <c r="M6052" s="3">
        <v>151</v>
      </c>
    </row>
    <row r="6053" spans="1:13" x14ac:dyDescent="0.25">
      <c r="A6053" s="1" t="str">
        <f>HYPERLINK("http://www.rosaceae.org/Prunus/Prunus_persica/p.persica_gdr_reftransV1_0032125","p.persica_gdr_reftransV1_0032125")</f>
        <v>p.persica_gdr_reftransV1_0032125</v>
      </c>
      <c r="B6053" s="3">
        <v>1089</v>
      </c>
      <c r="C6053" s="1" t="str">
        <f>HYPERLINK("http://www.uniprot.org/uniprot/CVIF1_ARATH","CVIF1_ARATH")</f>
        <v>CVIF1_ARATH</v>
      </c>
      <c r="D6053" t="s">
        <v>3116</v>
      </c>
      <c r="E6053" s="3" t="s">
        <v>3</v>
      </c>
      <c r="F6053" s="4">
        <v>3.1099999999999998E-35</v>
      </c>
      <c r="G6053" s="3">
        <v>335</v>
      </c>
      <c r="H6053" s="3">
        <v>52</v>
      </c>
      <c r="I6053" s="3">
        <v>125</v>
      </c>
      <c r="J6053" s="3">
        <v>564</v>
      </c>
      <c r="K6053" s="3">
        <v>935</v>
      </c>
      <c r="L6053" s="3">
        <v>21</v>
      </c>
      <c r="M6053" s="3">
        <v>145</v>
      </c>
    </row>
    <row r="6054" spans="1:13" x14ac:dyDescent="0.25">
      <c r="A6054" s="1" t="str">
        <f>HYPERLINK("http://www.rosaceae.org/Prunus/Prunus_persica/p.persica_gdr_reftransV1_0032175","p.persica_gdr_reftransV1_0032175")</f>
        <v>p.persica_gdr_reftransV1_0032175</v>
      </c>
      <c r="B6054" s="3">
        <v>2040</v>
      </c>
      <c r="C6054" s="1" t="str">
        <f>HYPERLINK("http://www.uniprot.org/uniprot/PPR11_ARATH","PPR11_ARATH")</f>
        <v>PPR11_ARATH</v>
      </c>
      <c r="D6054" t="s">
        <v>5037</v>
      </c>
      <c r="E6054" s="3" t="s">
        <v>3</v>
      </c>
      <c r="F6054" s="4">
        <v>0</v>
      </c>
      <c r="G6054" s="3">
        <v>1549</v>
      </c>
      <c r="H6054" s="3">
        <v>62</v>
      </c>
      <c r="I6054" s="3">
        <v>492</v>
      </c>
      <c r="J6054" s="3">
        <v>179</v>
      </c>
      <c r="K6054" s="3">
        <v>1648</v>
      </c>
      <c r="L6054" s="3">
        <v>4</v>
      </c>
      <c r="M6054" s="3">
        <v>495</v>
      </c>
    </row>
    <row r="6055" spans="1:13" x14ac:dyDescent="0.25">
      <c r="A6055" s="1" t="str">
        <f>HYPERLINK("http://www.rosaceae.org/Prunus/Prunus_persica/p.persica_gdr_reftransV1_0032425","p.persica_gdr_reftransV1_0032425")</f>
        <v>p.persica_gdr_reftransV1_0032425</v>
      </c>
      <c r="B6055" s="3">
        <v>1856</v>
      </c>
      <c r="C6055" s="1" t="str">
        <f>HYPERLINK("http://www.uniprot.org/uniprot/MAN7_ARATH","MAN7_ARATH")</f>
        <v>MAN7_ARATH</v>
      </c>
      <c r="D6055" t="s">
        <v>5038</v>
      </c>
      <c r="E6055" s="3" t="s">
        <v>3</v>
      </c>
      <c r="F6055" s="4">
        <v>0</v>
      </c>
      <c r="G6055" s="3">
        <v>1525</v>
      </c>
      <c r="H6055" s="3">
        <v>72</v>
      </c>
      <c r="I6055" s="3">
        <v>389</v>
      </c>
      <c r="J6055" s="3">
        <v>241</v>
      </c>
      <c r="K6055" s="3">
        <v>1407</v>
      </c>
      <c r="L6055" s="3">
        <v>30</v>
      </c>
      <c r="M6055" s="3">
        <v>418</v>
      </c>
    </row>
    <row r="6056" spans="1:13" x14ac:dyDescent="0.25">
      <c r="A6056" s="1" t="str">
        <f>HYPERLINK("http://www.rosaceae.org/Prunus/Prunus_persica/p.persica_gdr_reftransV1_0032925","p.persica_gdr_reftransV1_0032925")</f>
        <v>p.persica_gdr_reftransV1_0032925</v>
      </c>
      <c r="B6056" s="3">
        <v>2771</v>
      </c>
      <c r="C6056" s="1" t="str">
        <f>HYPERLINK("http://www.uniprot.org/uniprot/Y5162_ARATH","Y5162_ARATH")</f>
        <v>Y5162_ARATH</v>
      </c>
      <c r="D6056" t="s">
        <v>3184</v>
      </c>
      <c r="E6056" s="3" t="s">
        <v>3</v>
      </c>
      <c r="F6056" s="4">
        <v>2.26E-15</v>
      </c>
      <c r="G6056" s="3">
        <v>207</v>
      </c>
      <c r="H6056" s="3">
        <v>28</v>
      </c>
      <c r="I6056" s="3">
        <v>180</v>
      </c>
      <c r="J6056" s="3">
        <v>874</v>
      </c>
      <c r="K6056" s="3">
        <v>1407</v>
      </c>
      <c r="L6056" s="3">
        <v>231</v>
      </c>
      <c r="M6056" s="3">
        <v>410</v>
      </c>
    </row>
    <row r="6057" spans="1:13" x14ac:dyDescent="0.25">
      <c r="A6057" s="1" t="str">
        <f>HYPERLINK("http://www.rosaceae.org/Prunus/Prunus_persica/p.persica_gdr_reftransV1_0033125","p.persica_gdr_reftransV1_0033125")</f>
        <v>p.persica_gdr_reftransV1_0033125</v>
      </c>
      <c r="B6057" s="3">
        <v>2504</v>
      </c>
      <c r="C6057" s="1" t="str">
        <f>HYPERLINK("http://www.uniprot.org/uniprot/LPP1_ARATH","LPP1_ARATH")</f>
        <v>LPP1_ARATH</v>
      </c>
      <c r="D6057" t="s">
        <v>5039</v>
      </c>
      <c r="E6057" s="3" t="s">
        <v>3</v>
      </c>
      <c r="F6057" s="4">
        <v>9.7700000000000001E-137</v>
      </c>
      <c r="G6057" s="3">
        <v>1069</v>
      </c>
      <c r="H6057" s="3">
        <v>64</v>
      </c>
      <c r="I6057" s="3">
        <v>322</v>
      </c>
      <c r="J6057" s="3">
        <v>1029</v>
      </c>
      <c r="K6057" s="3">
        <v>1994</v>
      </c>
      <c r="L6057" s="3">
        <v>23</v>
      </c>
      <c r="M6057" s="3">
        <v>322</v>
      </c>
    </row>
    <row r="6058" spans="1:13" x14ac:dyDescent="0.25">
      <c r="A6058" s="1" t="str">
        <f>HYPERLINK("http://www.rosaceae.org/Prunus/Prunus_persica/p.persica_gdr_reftransV1_0033325","p.persica_gdr_reftransV1_0033325")</f>
        <v>p.persica_gdr_reftransV1_0033325</v>
      </c>
      <c r="B6058" s="3">
        <v>2802</v>
      </c>
      <c r="C6058" s="1" t="str">
        <f>HYPERLINK("http://www.uniprot.org/uniprot/GDAP2_NEMVE","GDAP2_NEMVE")</f>
        <v>GDAP2_NEMVE</v>
      </c>
      <c r="D6058" t="s">
        <v>5040</v>
      </c>
      <c r="E6058" s="3" t="s">
        <v>1392</v>
      </c>
      <c r="F6058" s="4">
        <v>1.26E-53</v>
      </c>
      <c r="G6058" s="3">
        <v>506</v>
      </c>
      <c r="H6058" s="3">
        <v>50</v>
      </c>
      <c r="I6058" s="3">
        <v>214</v>
      </c>
      <c r="J6058" s="3">
        <v>1382</v>
      </c>
      <c r="K6058" s="3">
        <v>2017</v>
      </c>
      <c r="L6058" s="3">
        <v>39</v>
      </c>
      <c r="M6058" s="3">
        <v>251</v>
      </c>
    </row>
    <row r="6059" spans="1:13" x14ac:dyDescent="0.25">
      <c r="A6059" s="1" t="str">
        <f>HYPERLINK("http://www.rosaceae.org/Prunus/Prunus_persica/p.persica_gdr_reftransV1_0033475","p.persica_gdr_reftransV1_0033475")</f>
        <v>p.persica_gdr_reftransV1_0033475</v>
      </c>
      <c r="B6059" s="3">
        <v>4162</v>
      </c>
      <c r="C6059" s="1" t="str">
        <f>HYPERLINK("http://www.uniprot.org/uniprot/CL16A_DICDI","CL16A_DICDI")</f>
        <v>CL16A_DICDI</v>
      </c>
      <c r="D6059" t="s">
        <v>4660</v>
      </c>
      <c r="E6059" s="3" t="s">
        <v>9</v>
      </c>
      <c r="F6059" s="4">
        <v>9.0000000000000002E-59</v>
      </c>
      <c r="G6059" s="3">
        <v>578</v>
      </c>
      <c r="H6059" s="3">
        <v>36</v>
      </c>
      <c r="I6059" s="3">
        <v>355</v>
      </c>
      <c r="J6059" s="3">
        <v>180</v>
      </c>
      <c r="K6059" s="3">
        <v>1235</v>
      </c>
      <c r="L6059" s="3">
        <v>7</v>
      </c>
      <c r="M6059" s="3">
        <v>351</v>
      </c>
    </row>
    <row r="6060" spans="1:13" x14ac:dyDescent="0.25">
      <c r="A6060" s="1" t="str">
        <f>HYPERLINK("http://www.rosaceae.org/Prunus/Prunus_persica/p.persica_gdr_reftransV1_0033675","p.persica_gdr_reftransV1_0033675")</f>
        <v>p.persica_gdr_reftransV1_0033675</v>
      </c>
      <c r="B6060" s="3">
        <v>4003</v>
      </c>
      <c r="C6060" s="1" t="str">
        <f>HYPERLINK("http://www.uniprot.org/uniprot/D2HDH_ARATH","D2HDH_ARATH")</f>
        <v>D2HDH_ARATH</v>
      </c>
      <c r="D6060" t="s">
        <v>5041</v>
      </c>
      <c r="E6060" s="3" t="s">
        <v>3</v>
      </c>
      <c r="F6060" s="4">
        <v>1.0600000000000001E-51</v>
      </c>
      <c r="G6060" s="3">
        <v>501</v>
      </c>
      <c r="H6060" s="3">
        <v>59</v>
      </c>
      <c r="I6060" s="3">
        <v>170</v>
      </c>
      <c r="J6060" s="3">
        <v>585</v>
      </c>
      <c r="K6060" s="3">
        <v>1094</v>
      </c>
      <c r="L6060" s="3">
        <v>423</v>
      </c>
      <c r="M6060" s="3">
        <v>551</v>
      </c>
    </row>
    <row r="6061" spans="1:13" x14ac:dyDescent="0.25">
      <c r="A6061" s="1" t="str">
        <f>HYPERLINK("http://www.rosaceae.org/Prunus/Prunus_persica/p.persica_gdr_reftransV1_0033825","p.persica_gdr_reftransV1_0033825")</f>
        <v>p.persica_gdr_reftransV1_0033825</v>
      </c>
      <c r="B6061" s="3">
        <v>6053</v>
      </c>
      <c r="C6061" s="1" t="str">
        <f>HYPERLINK("http://www.uniprot.org/uniprot/PHIP_HUMAN","PHIP_HUMAN")</f>
        <v>PHIP_HUMAN</v>
      </c>
      <c r="D6061" t="s">
        <v>5042</v>
      </c>
      <c r="E6061" s="3" t="s">
        <v>28</v>
      </c>
      <c r="F6061" s="4">
        <v>7.41E-45</v>
      </c>
      <c r="G6061" s="3">
        <v>465</v>
      </c>
      <c r="H6061" s="3">
        <v>28</v>
      </c>
      <c r="I6061" s="3">
        <v>557</v>
      </c>
      <c r="J6061" s="3">
        <v>536</v>
      </c>
      <c r="K6061" s="3">
        <v>2155</v>
      </c>
      <c r="L6061" s="3">
        <v>14</v>
      </c>
      <c r="M6061" s="3">
        <v>469</v>
      </c>
    </row>
    <row r="6062" spans="1:13" x14ac:dyDescent="0.25">
      <c r="A6062" s="1" t="str">
        <f>HYPERLINK("http://www.rosaceae.org/Prunus/Prunus_persica/p.persica_gdr_reftransV1_0034125","p.persica_gdr_reftransV1_0034125")</f>
        <v>p.persica_gdr_reftransV1_0034125</v>
      </c>
      <c r="B6062" s="3">
        <v>710</v>
      </c>
      <c r="C6062" s="1" t="str">
        <f>HYPERLINK("http://www.uniprot.org/uniprot/HS154_ARATH","HS154_ARATH")</f>
        <v>HS154_ARATH</v>
      </c>
      <c r="D6062" t="s">
        <v>1856</v>
      </c>
      <c r="E6062" s="3" t="s">
        <v>3</v>
      </c>
      <c r="F6062" s="4">
        <v>2.5100000000000001E-41</v>
      </c>
      <c r="G6062" s="3">
        <v>362</v>
      </c>
      <c r="H6062" s="3">
        <v>56</v>
      </c>
      <c r="I6062" s="3">
        <v>128</v>
      </c>
      <c r="J6062" s="3">
        <v>197</v>
      </c>
      <c r="K6062" s="3">
        <v>574</v>
      </c>
      <c r="L6062" s="3">
        <v>10</v>
      </c>
      <c r="M6062" s="3">
        <v>134</v>
      </c>
    </row>
    <row r="6063" spans="1:13" x14ac:dyDescent="0.25">
      <c r="A6063" s="1" t="str">
        <f>HYPERLINK("http://www.rosaceae.org/Prunus/Prunus_persica/p.persica_gdr_reftransV1_0034175","p.persica_gdr_reftransV1_0034175")</f>
        <v>p.persica_gdr_reftransV1_0034175</v>
      </c>
      <c r="B6063" s="3">
        <v>3125</v>
      </c>
      <c r="C6063" s="1" t="str">
        <f>HYPERLINK("http://www.uniprot.org/uniprot/ORP3C_ARATH","ORP3C_ARATH")</f>
        <v>ORP3C_ARATH</v>
      </c>
      <c r="D6063" t="s">
        <v>5043</v>
      </c>
      <c r="E6063" s="3" t="s">
        <v>3</v>
      </c>
      <c r="F6063" s="4">
        <v>8.5899999999999998E-141</v>
      </c>
      <c r="G6063" s="3">
        <v>1124</v>
      </c>
      <c r="H6063" s="3">
        <v>84</v>
      </c>
      <c r="I6063" s="3">
        <v>238</v>
      </c>
      <c r="J6063" s="3">
        <v>631</v>
      </c>
      <c r="K6063" s="3">
        <v>1344</v>
      </c>
      <c r="L6063" s="3">
        <v>30</v>
      </c>
      <c r="M6063" s="3">
        <v>267</v>
      </c>
    </row>
    <row r="6064" spans="1:13" x14ac:dyDescent="0.25">
      <c r="A6064" s="1" t="str">
        <f>HYPERLINK("http://www.rosaceae.org/Prunus/Prunus_persica/p.persica_gdr_reftransV1_0034525","p.persica_gdr_reftransV1_0034525")</f>
        <v>p.persica_gdr_reftransV1_0034525</v>
      </c>
      <c r="B6064" s="3">
        <v>4163</v>
      </c>
      <c r="C6064" s="1" t="str">
        <f>HYPERLINK("http://www.uniprot.org/uniprot/APRR7_ARATH","APRR7_ARATH")</f>
        <v>APRR7_ARATH</v>
      </c>
      <c r="D6064" t="s">
        <v>5044</v>
      </c>
      <c r="E6064" s="3" t="s">
        <v>3</v>
      </c>
      <c r="F6064" s="4">
        <v>1.09E-87</v>
      </c>
      <c r="G6064" s="3">
        <v>784</v>
      </c>
      <c r="H6064" s="3">
        <v>46</v>
      </c>
      <c r="I6064" s="3">
        <v>596</v>
      </c>
      <c r="J6064" s="3">
        <v>823</v>
      </c>
      <c r="K6064" s="3">
        <v>2562</v>
      </c>
      <c r="L6064" s="3">
        <v>158</v>
      </c>
      <c r="M6064" s="3">
        <v>689</v>
      </c>
    </row>
    <row r="6065" spans="1:13" x14ac:dyDescent="0.25">
      <c r="A6065" s="1" t="str">
        <f>HYPERLINK("http://www.rosaceae.org/Prunus/Prunus_persica/p.persica_gdr_reftransV1_0034625","p.persica_gdr_reftransV1_0034625")</f>
        <v>p.persica_gdr_reftransV1_0034625</v>
      </c>
      <c r="B6065" s="3">
        <v>4438</v>
      </c>
      <c r="C6065" s="1" t="str">
        <f>HYPERLINK("http://www.uniprot.org/uniprot/ARid4_ARATH","ARid4_ARATH")</f>
        <v>ARid4_ARATH</v>
      </c>
      <c r="D6065" t="s">
        <v>5045</v>
      </c>
      <c r="E6065" s="3" t="s">
        <v>3</v>
      </c>
      <c r="F6065" s="4">
        <v>0</v>
      </c>
      <c r="G6065" s="3">
        <v>1865</v>
      </c>
      <c r="H6065" s="3">
        <v>58</v>
      </c>
      <c r="I6065" s="3">
        <v>681</v>
      </c>
      <c r="J6065" s="3">
        <v>1181</v>
      </c>
      <c r="K6065" s="3">
        <v>3214</v>
      </c>
      <c r="L6065" s="3">
        <v>1</v>
      </c>
      <c r="M6065" s="3">
        <v>648</v>
      </c>
    </row>
    <row r="6066" spans="1:13" x14ac:dyDescent="0.25">
      <c r="A6066" s="1" t="str">
        <f>HYPERLINK("http://www.rosaceae.org/Prunus/Prunus_persica/p.persica_gdr_reftransV1_0034725","p.persica_gdr_reftransV1_0034725")</f>
        <v>p.persica_gdr_reftransV1_0034725</v>
      </c>
      <c r="B6066" s="3">
        <v>4705</v>
      </c>
      <c r="C6066" s="1" t="str">
        <f>HYPERLINK("http://www.uniprot.org/uniprot/MAOX_VITVI","MAOX_VITVI")</f>
        <v>MAOX_VITVI</v>
      </c>
      <c r="D6066" t="s">
        <v>5046</v>
      </c>
      <c r="E6066" s="3" t="s">
        <v>362</v>
      </c>
      <c r="F6066" s="4">
        <v>0</v>
      </c>
      <c r="G6066" s="3">
        <v>2591</v>
      </c>
      <c r="H6066" s="3">
        <v>85</v>
      </c>
      <c r="I6066" s="3">
        <v>592</v>
      </c>
      <c r="J6066" s="3">
        <v>2412</v>
      </c>
      <c r="K6066" s="3">
        <v>4187</v>
      </c>
      <c r="L6066" s="3">
        <v>1</v>
      </c>
      <c r="M6066" s="3">
        <v>591</v>
      </c>
    </row>
    <row r="6067" spans="1:13" x14ac:dyDescent="0.25">
      <c r="A6067" s="1" t="str">
        <f>HYPERLINK("http://www.rosaceae.org/Prunus/Prunus_persica/p.persica_gdr_reftransV1_0034825","p.persica_gdr_reftransV1_0034825")</f>
        <v>p.persica_gdr_reftransV1_0034825</v>
      </c>
      <c r="B6067" s="3">
        <v>3547</v>
      </c>
      <c r="C6067" s="1" t="str">
        <f>HYPERLINK("http://www.uniprot.org/uniprot/FB341_ARATH","FB341_ARATH")</f>
        <v>FB341_ARATH</v>
      </c>
      <c r="D6067" t="s">
        <v>1245</v>
      </c>
      <c r="E6067" s="3" t="s">
        <v>3</v>
      </c>
      <c r="F6067" s="4">
        <v>1.55E-18</v>
      </c>
      <c r="G6067" s="3">
        <v>228</v>
      </c>
      <c r="H6067" s="3">
        <v>24</v>
      </c>
      <c r="I6067" s="3">
        <v>389</v>
      </c>
      <c r="J6067" s="3">
        <v>249</v>
      </c>
      <c r="K6067" s="3">
        <v>1292</v>
      </c>
      <c r="L6067" s="3">
        <v>11</v>
      </c>
      <c r="M6067" s="3">
        <v>359</v>
      </c>
    </row>
    <row r="6068" spans="1:13" x14ac:dyDescent="0.25">
      <c r="A6068" s="1" t="str">
        <f>HYPERLINK("http://www.rosaceae.org/Prunus/Prunus_persica/p.persica_gdr_reftransV1_0035225","p.persica_gdr_reftransV1_0035225")</f>
        <v>p.persica_gdr_reftransV1_0035225</v>
      </c>
      <c r="B6068" s="3">
        <v>1196</v>
      </c>
      <c r="C6068" s="1" t="str">
        <f>HYPERLINK("http://www.uniprot.org/uniprot/ALFL1_ARATH","ALFL1_ARATH")</f>
        <v>ALFL1_ARATH</v>
      </c>
      <c r="D6068" t="s">
        <v>1868</v>
      </c>
      <c r="E6068" s="3" t="s">
        <v>3</v>
      </c>
      <c r="F6068" s="4">
        <v>1.4299999999999999E-101</v>
      </c>
      <c r="G6068" s="3">
        <v>788</v>
      </c>
      <c r="H6068" s="3">
        <v>78</v>
      </c>
      <c r="I6068" s="3">
        <v>220</v>
      </c>
      <c r="J6068" s="3">
        <v>361</v>
      </c>
      <c r="K6068" s="3">
        <v>1017</v>
      </c>
      <c r="L6068" s="3">
        <v>25</v>
      </c>
      <c r="M6068" s="3">
        <v>240</v>
      </c>
    </row>
    <row r="6069" spans="1:13" x14ac:dyDescent="0.25">
      <c r="A6069" s="1" t="str">
        <f>HYPERLINK("http://www.rosaceae.org/Prunus/Prunus_persica/p.persica_gdr_reftransV1_0035325","p.persica_gdr_reftransV1_0035325")</f>
        <v>p.persica_gdr_reftransV1_0035325</v>
      </c>
      <c r="B6069" s="3">
        <v>3538</v>
      </c>
      <c r="C6069" s="1" t="str">
        <f>HYPERLINK("http://www.uniprot.org/uniprot/PNP2_ARATH","PNP2_ARATH")</f>
        <v>PNP2_ARATH</v>
      </c>
      <c r="D6069" t="s">
        <v>5047</v>
      </c>
      <c r="E6069" s="3" t="s">
        <v>3</v>
      </c>
      <c r="F6069" s="4">
        <v>0</v>
      </c>
      <c r="G6069" s="3">
        <v>3268</v>
      </c>
      <c r="H6069" s="3">
        <v>67</v>
      </c>
      <c r="I6069" s="3">
        <v>1003</v>
      </c>
      <c r="J6069" s="3">
        <v>128</v>
      </c>
      <c r="K6069" s="3">
        <v>3013</v>
      </c>
      <c r="L6069" s="3">
        <v>1</v>
      </c>
      <c r="M6069" s="3">
        <v>988</v>
      </c>
    </row>
    <row r="6070" spans="1:13" x14ac:dyDescent="0.25">
      <c r="A6070" s="1" t="str">
        <f>HYPERLINK("http://www.rosaceae.org/Prunus/Prunus_persica/p.persica_gdr_reftransV1_0035825","p.persica_gdr_reftransV1_0035825")</f>
        <v>p.persica_gdr_reftransV1_0035825</v>
      </c>
      <c r="B6070" s="3">
        <v>1506</v>
      </c>
      <c r="C6070" s="1" t="str">
        <f>HYPERLINK("http://www.uniprot.org/uniprot/CC90B_MOUSE","CC90B_MOUSE")</f>
        <v>CC90B_MOUSE</v>
      </c>
      <c r="D6070" t="s">
        <v>5048</v>
      </c>
      <c r="E6070" s="3" t="s">
        <v>157</v>
      </c>
      <c r="F6070" s="4">
        <v>7.2199999999999995E-13</v>
      </c>
      <c r="G6070" s="3">
        <v>148</v>
      </c>
      <c r="H6070" s="3">
        <v>27</v>
      </c>
      <c r="I6070" s="3">
        <v>132</v>
      </c>
      <c r="J6070" s="3">
        <v>260</v>
      </c>
      <c r="K6070" s="3">
        <v>655</v>
      </c>
      <c r="L6070" s="3">
        <v>51</v>
      </c>
      <c r="M6070" s="3">
        <v>182</v>
      </c>
    </row>
    <row r="6071" spans="1:13" x14ac:dyDescent="0.25">
      <c r="A6071" s="1" t="str">
        <f>HYPERLINK("http://www.rosaceae.org/Prunus/Prunus_persica/p.persica_gdr_reftransV1_0035875","p.persica_gdr_reftransV1_0035875")</f>
        <v>p.persica_gdr_reftransV1_0035875</v>
      </c>
      <c r="B6071" s="3">
        <v>2370</v>
      </c>
      <c r="C6071" s="1" t="str">
        <f>HYPERLINK("http://www.uniprot.org/uniprot/ACBP4_ARATH","ACBP4_ARATH")</f>
        <v>ACBP4_ARATH</v>
      </c>
      <c r="D6071" t="s">
        <v>5049</v>
      </c>
      <c r="E6071" s="3" t="s">
        <v>3</v>
      </c>
      <c r="F6071" s="4">
        <v>6.2800000000000003E-137</v>
      </c>
      <c r="G6071" s="3">
        <v>1099</v>
      </c>
      <c r="H6071" s="3">
        <v>45</v>
      </c>
      <c r="I6071" s="3">
        <v>504</v>
      </c>
      <c r="J6071" s="3">
        <v>580</v>
      </c>
      <c r="K6071" s="3">
        <v>2073</v>
      </c>
      <c r="L6071" s="3">
        <v>137</v>
      </c>
      <c r="M6071" s="3">
        <v>639</v>
      </c>
    </row>
    <row r="6072" spans="1:13" x14ac:dyDescent="0.25">
      <c r="A6072" s="1" t="str">
        <f>HYPERLINK("http://www.rosaceae.org/Prunus/Prunus_persica/p.persica_gdr_reftransV1_0036525","p.persica_gdr_reftransV1_0036525")</f>
        <v>p.persica_gdr_reftransV1_0036525</v>
      </c>
      <c r="B6072" s="3">
        <v>1421</v>
      </c>
      <c r="C6072" s="1" t="str">
        <f>HYPERLINK("http://www.uniprot.org/uniprot/CHMO_ARATH","CHMO_ARATH")</f>
        <v>CHMO_ARATH</v>
      </c>
      <c r="D6072" t="s">
        <v>5050</v>
      </c>
      <c r="E6072" s="3" t="s">
        <v>3</v>
      </c>
      <c r="F6072" s="4">
        <v>2.1300000000000002E-179</v>
      </c>
      <c r="G6072" s="3">
        <v>1329</v>
      </c>
      <c r="H6072" s="3">
        <v>62</v>
      </c>
      <c r="I6072" s="3">
        <v>420</v>
      </c>
      <c r="J6072" s="3">
        <v>9</v>
      </c>
      <c r="K6072" s="3">
        <v>1238</v>
      </c>
      <c r="L6072" s="3">
        <v>34</v>
      </c>
      <c r="M6072" s="3">
        <v>421</v>
      </c>
    </row>
    <row r="6073" spans="1:13" x14ac:dyDescent="0.25">
      <c r="A6073" s="1" t="str">
        <f>HYPERLINK("http://www.rosaceae.org/Prunus/Prunus_persica/p.persica_gdr_reftransV1_0036625","p.persica_gdr_reftransV1_0036625")</f>
        <v>p.persica_gdr_reftransV1_0036625</v>
      </c>
      <c r="B6073" s="3">
        <v>1217</v>
      </c>
      <c r="C6073" s="1" t="str">
        <f>HYPERLINK("http://www.uniprot.org/uniprot/PEK11_ARATH","PEK11_ARATH")</f>
        <v>PEK11_ARATH</v>
      </c>
      <c r="D6073" t="s">
        <v>5051</v>
      </c>
      <c r="E6073" s="3" t="s">
        <v>3</v>
      </c>
      <c r="F6073" s="4">
        <v>5.7600000000000002E-25</v>
      </c>
      <c r="G6073" s="3">
        <v>276</v>
      </c>
      <c r="H6073" s="3">
        <v>47</v>
      </c>
      <c r="I6073" s="3">
        <v>108</v>
      </c>
      <c r="J6073" s="3">
        <v>182</v>
      </c>
      <c r="K6073" s="3">
        <v>493</v>
      </c>
      <c r="L6073" s="3">
        <v>536</v>
      </c>
      <c r="M6073" s="3">
        <v>643</v>
      </c>
    </row>
    <row r="6074" spans="1:13" x14ac:dyDescent="0.25">
      <c r="A6074" s="1" t="str">
        <f>HYPERLINK("http://www.rosaceae.org/Prunus/Prunus_persica/p.persica_gdr_reftransV1_0036675","p.persica_gdr_reftransV1_0036675")</f>
        <v>p.persica_gdr_reftransV1_0036675</v>
      </c>
      <c r="B6074" s="3">
        <v>1690</v>
      </c>
      <c r="C6074" s="1" t="str">
        <f>HYPERLINK("http://www.uniprot.org/uniprot/RPOT2_NICSY","RPOT2_NICSY")</f>
        <v>RPOT2_NICSY</v>
      </c>
      <c r="D6074" t="s">
        <v>494</v>
      </c>
      <c r="E6074" s="3" t="s">
        <v>495</v>
      </c>
      <c r="F6074" s="4">
        <v>0</v>
      </c>
      <c r="G6074" s="3">
        <v>2343</v>
      </c>
      <c r="H6074" s="3">
        <v>80</v>
      </c>
      <c r="I6074" s="3">
        <v>563</v>
      </c>
      <c r="J6074" s="3">
        <v>1</v>
      </c>
      <c r="K6074" s="3">
        <v>1689</v>
      </c>
      <c r="L6074" s="3">
        <v>248</v>
      </c>
      <c r="M6074" s="3">
        <v>810</v>
      </c>
    </row>
    <row r="6075" spans="1:13" x14ac:dyDescent="0.25">
      <c r="A6075" s="1" t="str">
        <f>HYPERLINK("http://www.rosaceae.org/Prunus/Prunus_persica/p.persica_gdr_reftransV1_0037025","p.persica_gdr_reftransV1_0037025")</f>
        <v>p.persica_gdr_reftransV1_0037025</v>
      </c>
      <c r="B6075" s="3">
        <v>1410</v>
      </c>
      <c r="C6075" s="1" t="str">
        <f>HYPERLINK("http://www.uniprot.org/uniprot/TGT1_ARATH","TGT1_ARATH")</f>
        <v>TGT1_ARATH</v>
      </c>
      <c r="D6075" t="s">
        <v>817</v>
      </c>
      <c r="E6075" s="3" t="s">
        <v>3</v>
      </c>
      <c r="F6075" s="4">
        <v>6.0800000000000002E-88</v>
      </c>
      <c r="G6075" s="3">
        <v>719</v>
      </c>
      <c r="H6075" s="3">
        <v>54</v>
      </c>
      <c r="I6075" s="3">
        <v>279</v>
      </c>
      <c r="J6075" s="3">
        <v>1</v>
      </c>
      <c r="K6075" s="3">
        <v>819</v>
      </c>
      <c r="L6075" s="3">
        <v>80</v>
      </c>
      <c r="M6075" s="3">
        <v>305</v>
      </c>
    </row>
    <row r="6076" spans="1:13" x14ac:dyDescent="0.25">
      <c r="A6076" s="1" t="str">
        <f>HYPERLINK("http://www.rosaceae.org/Prunus/Prunus_persica/p.persica_gdr_reftransV1_0037075","p.persica_gdr_reftransV1_0037075")</f>
        <v>p.persica_gdr_reftransV1_0037075</v>
      </c>
      <c r="B6076" s="3">
        <v>2874</v>
      </c>
      <c r="C6076" s="1" t="str">
        <f>HYPERLINK("http://www.uniprot.org/uniprot/ODR4_XENLA","ODR4_XENLA")</f>
        <v>ODR4_XENLA</v>
      </c>
      <c r="D6076" t="s">
        <v>5052</v>
      </c>
      <c r="E6076" s="3" t="s">
        <v>475</v>
      </c>
      <c r="F6076" s="4">
        <v>2.0599999999999999E-14</v>
      </c>
      <c r="G6076" s="3">
        <v>197</v>
      </c>
      <c r="H6076" s="3">
        <v>25</v>
      </c>
      <c r="I6076" s="3">
        <v>233</v>
      </c>
      <c r="J6076" s="3">
        <v>206</v>
      </c>
      <c r="K6076" s="3">
        <v>880</v>
      </c>
      <c r="L6076" s="3">
        <v>17</v>
      </c>
      <c r="M6076" s="3">
        <v>224</v>
      </c>
    </row>
    <row r="6077" spans="1:13" x14ac:dyDescent="0.25">
      <c r="A6077" s="1" t="str">
        <f>HYPERLINK("http://www.rosaceae.org/Prunus/Prunus_persica/p.persica_gdr_reftransV1_0037625","p.persica_gdr_reftransV1_0037625")</f>
        <v>p.persica_gdr_reftransV1_0037625</v>
      </c>
      <c r="B6077" s="3">
        <v>1029</v>
      </c>
      <c r="C6077" s="1" t="str">
        <f>HYPERLINK("http://www.uniprot.org/uniprot/WRKY6_ARATH","WRKY6_ARATH")</f>
        <v>WRKY6_ARATH</v>
      </c>
      <c r="D6077" t="s">
        <v>1904</v>
      </c>
      <c r="E6077" s="3" t="s">
        <v>3</v>
      </c>
      <c r="F6077" s="4">
        <v>7.0899999999999996E-11</v>
      </c>
      <c r="G6077" s="3">
        <v>162</v>
      </c>
      <c r="H6077" s="3">
        <v>38</v>
      </c>
      <c r="I6077" s="3">
        <v>174</v>
      </c>
      <c r="J6077" s="3">
        <v>361</v>
      </c>
      <c r="K6077" s="3">
        <v>831</v>
      </c>
      <c r="L6077" s="3">
        <v>1</v>
      </c>
      <c r="M6077" s="3">
        <v>158</v>
      </c>
    </row>
    <row r="6078" spans="1:13" x14ac:dyDescent="0.25">
      <c r="A6078" s="1" t="str">
        <f>HYPERLINK("http://www.rosaceae.org/Prunus/Prunus_persica/p.persica_gdr_reftransV1_0037775","p.persica_gdr_reftransV1_0037775")</f>
        <v>p.persica_gdr_reftransV1_0037775</v>
      </c>
      <c r="B6078" s="3">
        <v>2539</v>
      </c>
      <c r="C6078" s="1" t="str">
        <f>HYPERLINK("http://www.uniprot.org/uniprot/PP132_ARATH","PP132_ARATH")</f>
        <v>PP132_ARATH</v>
      </c>
      <c r="D6078" t="s">
        <v>5053</v>
      </c>
      <c r="E6078" s="3" t="s">
        <v>3</v>
      </c>
      <c r="F6078" s="4">
        <v>0</v>
      </c>
      <c r="G6078" s="3">
        <v>3393</v>
      </c>
      <c r="H6078" s="3">
        <v>83</v>
      </c>
      <c r="I6078" s="3">
        <v>756</v>
      </c>
      <c r="J6078" s="3">
        <v>29</v>
      </c>
      <c r="K6078" s="3">
        <v>2284</v>
      </c>
      <c r="L6078" s="3">
        <v>80</v>
      </c>
      <c r="M6078" s="3">
        <v>835</v>
      </c>
    </row>
    <row r="6079" spans="1:13" x14ac:dyDescent="0.25">
      <c r="A6079" s="1" t="str">
        <f>HYPERLINK("http://www.rosaceae.org/Prunus/Prunus_persica/p.persica_gdr_reftransV1_0037925","p.persica_gdr_reftransV1_0037925")</f>
        <v>p.persica_gdr_reftransV1_0037925</v>
      </c>
      <c r="B6079" s="3">
        <v>6740</v>
      </c>
      <c r="C6079" s="1" t="str">
        <f>HYPERLINK("http://www.uniprot.org/uniprot/P4KA1_ARATH","P4KA1_ARATH")</f>
        <v>P4KA1_ARATH</v>
      </c>
      <c r="D6079" t="s">
        <v>5054</v>
      </c>
      <c r="E6079" s="3" t="s">
        <v>3</v>
      </c>
      <c r="F6079" s="4">
        <v>0</v>
      </c>
      <c r="G6079" s="3">
        <v>8034</v>
      </c>
      <c r="H6079" s="3">
        <v>78</v>
      </c>
      <c r="I6079" s="3">
        <v>2046</v>
      </c>
      <c r="J6079" s="3">
        <v>286</v>
      </c>
      <c r="K6079" s="3">
        <v>6378</v>
      </c>
      <c r="L6079" s="3">
        <v>1</v>
      </c>
      <c r="M6079" s="3">
        <v>2028</v>
      </c>
    </row>
    <row r="6080" spans="1:13" x14ac:dyDescent="0.25">
      <c r="A6080" s="1" t="str">
        <f>HYPERLINK("http://www.rosaceae.org/Prunus/Prunus_persica/p.persica_gdr_reftransV1_0037975","p.persica_gdr_reftransV1_0037975")</f>
        <v>p.persica_gdr_reftransV1_0037975</v>
      </c>
      <c r="B6080" s="3">
        <v>3635</v>
      </c>
      <c r="C6080" s="1" t="str">
        <f>HYPERLINK("http://www.uniprot.org/uniprot/HIR2_ARATH","HIR2_ARATH")</f>
        <v>HIR2_ARATH</v>
      </c>
      <c r="D6080" t="s">
        <v>5055</v>
      </c>
      <c r="E6080" s="3" t="s">
        <v>3</v>
      </c>
      <c r="F6080" s="4">
        <v>8.3900000000000005E-101</v>
      </c>
      <c r="G6080" s="3">
        <v>839</v>
      </c>
      <c r="H6080" s="3">
        <v>91</v>
      </c>
      <c r="I6080" s="3">
        <v>168</v>
      </c>
      <c r="J6080" s="3">
        <v>2038</v>
      </c>
      <c r="K6080" s="3">
        <v>2541</v>
      </c>
      <c r="L6080" s="3">
        <v>1</v>
      </c>
      <c r="M6080" s="3">
        <v>168</v>
      </c>
    </row>
    <row r="6081" spans="1:13" x14ac:dyDescent="0.25">
      <c r="A6081" s="1" t="str">
        <f>HYPERLINK("http://www.rosaceae.org/Prunus/Prunus_persica/p.persica_gdr_reftransV1_0038025","p.persica_gdr_reftransV1_0038025")</f>
        <v>p.persica_gdr_reftransV1_0038025</v>
      </c>
      <c r="B6081" s="3">
        <v>4006</v>
      </c>
      <c r="C6081" s="1" t="str">
        <f>HYPERLINK("http://www.uniprot.org/uniprot/HOS1_ARATH","HOS1_ARATH")</f>
        <v>HOS1_ARATH</v>
      </c>
      <c r="D6081" t="s">
        <v>5056</v>
      </c>
      <c r="E6081" s="3" t="s">
        <v>3</v>
      </c>
      <c r="F6081" s="4">
        <v>0</v>
      </c>
      <c r="G6081" s="3">
        <v>1871</v>
      </c>
      <c r="H6081" s="3">
        <v>49</v>
      </c>
      <c r="I6081" s="3">
        <v>803</v>
      </c>
      <c r="J6081" s="3">
        <v>798</v>
      </c>
      <c r="K6081" s="3">
        <v>3188</v>
      </c>
      <c r="L6081" s="3">
        <v>142</v>
      </c>
      <c r="M6081" s="3">
        <v>897</v>
      </c>
    </row>
    <row r="6082" spans="1:13" x14ac:dyDescent="0.25">
      <c r="A6082" s="1" t="str">
        <f>HYPERLINK("http://www.rosaceae.org/Prunus/Prunus_persica/p.persica_gdr_reftransV1_0038425","p.persica_gdr_reftransV1_0038425")</f>
        <v>p.persica_gdr_reftransV1_0038425</v>
      </c>
      <c r="B6082" s="3">
        <v>1386</v>
      </c>
      <c r="C6082" s="1" t="str">
        <f>HYPERLINK("http://www.uniprot.org/uniprot/DOHH_ARATH","DOHH_ARATH")</f>
        <v>DOHH_ARATH</v>
      </c>
      <c r="D6082" t="s">
        <v>5057</v>
      </c>
      <c r="E6082" s="3" t="s">
        <v>3</v>
      </c>
      <c r="F6082" s="4">
        <v>1.8800000000000001E-153</v>
      </c>
      <c r="G6082" s="3">
        <v>1146</v>
      </c>
      <c r="H6082" s="3">
        <v>79</v>
      </c>
      <c r="I6082" s="3">
        <v>300</v>
      </c>
      <c r="J6082" s="3">
        <v>348</v>
      </c>
      <c r="K6082" s="3">
        <v>1238</v>
      </c>
      <c r="L6082" s="3">
        <v>15</v>
      </c>
      <c r="M6082" s="3">
        <v>314</v>
      </c>
    </row>
    <row r="6083" spans="1:13" x14ac:dyDescent="0.25">
      <c r="A6083" s="1" t="str">
        <f>HYPERLINK("http://www.rosaceae.org/Prunus/Prunus_persica/p.persica_gdr_reftransV1_0038725","p.persica_gdr_reftransV1_0038725")</f>
        <v>p.persica_gdr_reftransV1_0038725</v>
      </c>
      <c r="B6083" s="3">
        <v>3878</v>
      </c>
      <c r="C6083" s="1" t="str">
        <f>HYPERLINK("http://www.uniprot.org/uniprot/NU5M_OENBE","NU5M_OENBE")</f>
        <v>NU5M_OENBE</v>
      </c>
      <c r="D6083" t="s">
        <v>5058</v>
      </c>
      <c r="E6083" s="3" t="s">
        <v>2775</v>
      </c>
      <c r="F6083" s="4">
        <v>7.6599999999999995E-76</v>
      </c>
      <c r="G6083" s="3">
        <v>690</v>
      </c>
      <c r="H6083" s="3">
        <v>96</v>
      </c>
      <c r="I6083" s="3">
        <v>136</v>
      </c>
      <c r="J6083" s="3">
        <v>1941</v>
      </c>
      <c r="K6083" s="3">
        <v>2348</v>
      </c>
      <c r="L6083" s="3">
        <v>490</v>
      </c>
      <c r="M6083" s="3">
        <v>625</v>
      </c>
    </row>
    <row r="6084" spans="1:13" x14ac:dyDescent="0.25">
      <c r="A6084" s="1" t="str">
        <f>HYPERLINK("http://www.rosaceae.org/Prunus/Prunus_persica/p.persica_gdr_reftransV1_0038825","p.persica_gdr_reftransV1_0038825")</f>
        <v>p.persica_gdr_reftransV1_0038825</v>
      </c>
      <c r="B6084" s="3">
        <v>1786</v>
      </c>
      <c r="C6084" s="1" t="str">
        <f>HYPERLINK("http://www.uniprot.org/uniprot/DPB_ARATH","DPB_ARATH")</f>
        <v>DPB_ARATH</v>
      </c>
      <c r="D6084" t="s">
        <v>5059</v>
      </c>
      <c r="E6084" s="3" t="s">
        <v>3</v>
      </c>
      <c r="F6084" s="4">
        <v>7.8999999999999999E-141</v>
      </c>
      <c r="G6084" s="3">
        <v>1082</v>
      </c>
      <c r="H6084" s="3">
        <v>85</v>
      </c>
      <c r="I6084" s="3">
        <v>242</v>
      </c>
      <c r="J6084" s="3">
        <v>503</v>
      </c>
      <c r="K6084" s="3">
        <v>1225</v>
      </c>
      <c r="L6084" s="3">
        <v>64</v>
      </c>
      <c r="M6084" s="3">
        <v>305</v>
      </c>
    </row>
    <row r="6085" spans="1:13" x14ac:dyDescent="0.25">
      <c r="A6085" s="1" t="str">
        <f>HYPERLINK("http://www.rosaceae.org/Prunus/Prunus_persica/p.persica_gdr_reftransV1_0038925","p.persica_gdr_reftransV1_0038925")</f>
        <v>p.persica_gdr_reftransV1_0038925</v>
      </c>
      <c r="B6085" s="3">
        <v>2499</v>
      </c>
      <c r="C6085" s="1" t="str">
        <f>HYPERLINK("http://www.uniprot.org/uniprot/SYNC1_ARATH","SYNC1_ARATH")</f>
        <v>SYNC1_ARATH</v>
      </c>
      <c r="D6085" t="s">
        <v>2687</v>
      </c>
      <c r="E6085" s="3" t="s">
        <v>3</v>
      </c>
      <c r="F6085" s="4">
        <v>0</v>
      </c>
      <c r="G6085" s="3">
        <v>2275</v>
      </c>
      <c r="H6085" s="3">
        <v>75</v>
      </c>
      <c r="I6085" s="3">
        <v>550</v>
      </c>
      <c r="J6085" s="3">
        <v>379</v>
      </c>
      <c r="K6085" s="3">
        <v>2022</v>
      </c>
      <c r="L6085" s="3">
        <v>23</v>
      </c>
      <c r="M6085" s="3">
        <v>572</v>
      </c>
    </row>
    <row r="6086" spans="1:13" x14ac:dyDescent="0.25">
      <c r="A6086" s="1" t="str">
        <f>HYPERLINK("http://www.rosaceae.org/Prunus/Prunus_persica/p.persica_gdr_reftransV1_0039225","p.persica_gdr_reftransV1_0039225")</f>
        <v>p.persica_gdr_reftransV1_0039225</v>
      </c>
      <c r="B6086" s="3">
        <v>3124</v>
      </c>
      <c r="C6086" s="1" t="str">
        <f>HYPERLINK("http://www.uniprot.org/uniprot/AIM1_ARATH","AIM1_ARATH")</f>
        <v>AIM1_ARATH</v>
      </c>
      <c r="D6086" t="s">
        <v>5060</v>
      </c>
      <c r="E6086" s="3" t="s">
        <v>3</v>
      </c>
      <c r="F6086" s="4">
        <v>0</v>
      </c>
      <c r="G6086" s="3">
        <v>1538</v>
      </c>
      <c r="H6086" s="3">
        <v>71</v>
      </c>
      <c r="I6086" s="3">
        <v>451</v>
      </c>
      <c r="J6086" s="3">
        <v>1514</v>
      </c>
      <c r="K6086" s="3">
        <v>2866</v>
      </c>
      <c r="L6086" s="3">
        <v>295</v>
      </c>
      <c r="M6086" s="3">
        <v>711</v>
      </c>
    </row>
    <row r="6087" spans="1:13" x14ac:dyDescent="0.25">
      <c r="A6087" s="1" t="str">
        <f>HYPERLINK("http://www.rosaceae.org/Prunus/Prunus_persica/p.persica_gdr_reftransV1_0039275","p.persica_gdr_reftransV1_0039275")</f>
        <v>p.persica_gdr_reftransV1_0039275</v>
      </c>
      <c r="B6087" s="3">
        <v>8974</v>
      </c>
      <c r="C6087" s="1" t="str">
        <f>HYPERLINK("http://www.uniprot.org/uniprot/ASHH1_ARATH","ASHH1_ARATH")</f>
        <v>ASHH1_ARATH</v>
      </c>
      <c r="D6087" t="s">
        <v>802</v>
      </c>
      <c r="E6087" s="3" t="s">
        <v>3</v>
      </c>
      <c r="F6087" s="4">
        <v>9.9800000000000006E-123</v>
      </c>
      <c r="G6087" s="3">
        <v>1040</v>
      </c>
      <c r="H6087" s="3">
        <v>78</v>
      </c>
      <c r="I6087" s="3">
        <v>235</v>
      </c>
      <c r="J6087" s="3">
        <v>7899</v>
      </c>
      <c r="K6087" s="3">
        <v>8603</v>
      </c>
      <c r="L6087" s="3">
        <v>2</v>
      </c>
      <c r="M6087" s="3">
        <v>236</v>
      </c>
    </row>
    <row r="6088" spans="1:13" x14ac:dyDescent="0.25">
      <c r="A6088" s="1" t="str">
        <f>HYPERLINK("http://www.rosaceae.org/Prunus/Prunus_persica/p.persica_gdr_reftransV1_0039325","p.persica_gdr_reftransV1_0039325")</f>
        <v>p.persica_gdr_reftransV1_0039325</v>
      </c>
      <c r="B6088" s="3">
        <v>2841</v>
      </c>
      <c r="C6088" s="1" t="str">
        <f>HYPERLINK("http://www.uniprot.org/uniprot/G3BP_SCHPO","G3BP_SCHPO")</f>
        <v>G3BP_SCHPO</v>
      </c>
      <c r="D6088" t="s">
        <v>2656</v>
      </c>
      <c r="E6088" s="3" t="s">
        <v>464</v>
      </c>
      <c r="F6088" s="4">
        <v>4.3000000000000002E-19</v>
      </c>
      <c r="G6088" s="3">
        <v>234</v>
      </c>
      <c r="H6088" s="3">
        <v>37</v>
      </c>
      <c r="I6088" s="3">
        <v>121</v>
      </c>
      <c r="J6088" s="3">
        <v>2005</v>
      </c>
      <c r="K6088" s="3">
        <v>2367</v>
      </c>
      <c r="L6088" s="3">
        <v>18</v>
      </c>
      <c r="M6088" s="3">
        <v>138</v>
      </c>
    </row>
    <row r="6089" spans="1:13" x14ac:dyDescent="0.25">
      <c r="A6089" s="1" t="str">
        <f>HYPERLINK("http://www.rosaceae.org/Prunus/Prunus_persica/p.persica_gdr_reftransV1_0039475","p.persica_gdr_reftransV1_0039475")</f>
        <v>p.persica_gdr_reftransV1_0039475</v>
      </c>
      <c r="B6089" s="3">
        <v>1869</v>
      </c>
      <c r="C6089" s="1" t="str">
        <f>HYPERLINK("http://www.uniprot.org/uniprot/OTU6B_DANRE","OTU6B_DANRE")</f>
        <v>OTU6B_DANRE</v>
      </c>
      <c r="D6089" t="s">
        <v>5061</v>
      </c>
      <c r="E6089" s="3" t="s">
        <v>704</v>
      </c>
      <c r="F6089" s="4">
        <v>2.1999999999999999E-35</v>
      </c>
      <c r="G6089" s="3">
        <v>350</v>
      </c>
      <c r="H6089" s="3">
        <v>38</v>
      </c>
      <c r="I6089" s="3">
        <v>304</v>
      </c>
      <c r="J6089" s="3">
        <v>317</v>
      </c>
      <c r="K6089" s="3">
        <v>1198</v>
      </c>
      <c r="L6089" s="3">
        <v>5</v>
      </c>
      <c r="M6089" s="3">
        <v>278</v>
      </c>
    </row>
    <row r="6090" spans="1:13" x14ac:dyDescent="0.25">
      <c r="A6090" s="1" t="str">
        <f>HYPERLINK("http://www.rosaceae.org/Prunus/Prunus_persica/p.persica_gdr_reftransV1_0039625","p.persica_gdr_reftransV1_0039625")</f>
        <v>p.persica_gdr_reftransV1_0039625</v>
      </c>
      <c r="B6090" s="3">
        <v>1784</v>
      </c>
      <c r="C6090" s="1" t="str">
        <f>HYPERLINK("http://www.uniprot.org/uniprot/EXPA4_ARATH","EXPA4_ARATH")</f>
        <v>EXPA4_ARATH</v>
      </c>
      <c r="D6090" t="s">
        <v>450</v>
      </c>
      <c r="E6090" s="3" t="s">
        <v>3</v>
      </c>
      <c r="F6090" s="4">
        <v>8.1099999999999993E-158</v>
      </c>
      <c r="G6090" s="3">
        <v>1182</v>
      </c>
      <c r="H6090" s="3">
        <v>88</v>
      </c>
      <c r="I6090" s="3">
        <v>244</v>
      </c>
      <c r="J6090" s="3">
        <v>502</v>
      </c>
      <c r="K6090" s="3">
        <v>1233</v>
      </c>
      <c r="L6090" s="3">
        <v>14</v>
      </c>
      <c r="M6090" s="3">
        <v>257</v>
      </c>
    </row>
    <row r="6091" spans="1:13" x14ac:dyDescent="0.25">
      <c r="A6091" s="1" t="str">
        <f>HYPERLINK("http://www.rosaceae.org/Prunus/Prunus_persica/p.persica_gdr_reftransV1_0040125","p.persica_gdr_reftransV1_0040125")</f>
        <v>p.persica_gdr_reftransV1_0040125</v>
      </c>
      <c r="B6091" s="3">
        <v>2050</v>
      </c>
      <c r="C6091" s="1" t="str">
        <f>HYPERLINK("http://www.uniprot.org/uniprot/LPPD_ARATH","LPPD_ARATH")</f>
        <v>LPPD_ARATH</v>
      </c>
      <c r="D6091" t="s">
        <v>3902</v>
      </c>
      <c r="E6091" s="3" t="s">
        <v>3</v>
      </c>
      <c r="F6091" s="4">
        <v>2.8700000000000001E-92</v>
      </c>
      <c r="G6091" s="3">
        <v>765</v>
      </c>
      <c r="H6091" s="3">
        <v>72</v>
      </c>
      <c r="I6091" s="3">
        <v>234</v>
      </c>
      <c r="J6091" s="3">
        <v>1317</v>
      </c>
      <c r="K6091" s="3">
        <v>2018</v>
      </c>
      <c r="L6091" s="3">
        <v>7</v>
      </c>
      <c r="M6091" s="3">
        <v>240</v>
      </c>
    </row>
    <row r="6092" spans="1:13" x14ac:dyDescent="0.25">
      <c r="A6092" s="1" t="str">
        <f>HYPERLINK("http://www.rosaceae.org/Prunus/Prunus_persica/p.persica_gdr_reftransV1_0040225","p.persica_gdr_reftransV1_0040225")</f>
        <v>p.persica_gdr_reftransV1_0040225</v>
      </c>
      <c r="B6092" s="3">
        <v>12237</v>
      </c>
      <c r="C6092" s="1" t="str">
        <f>HYPERLINK("http://www.uniprot.org/uniprot/WDFY3_HUMAN","WDFY3_HUMAN")</f>
        <v>WDFY3_HUMAN</v>
      </c>
      <c r="D6092" t="s">
        <v>5062</v>
      </c>
      <c r="E6092" s="3" t="s">
        <v>28</v>
      </c>
      <c r="F6092" s="4">
        <v>3.5799999999999999E-174</v>
      </c>
      <c r="G6092" s="3">
        <v>1576</v>
      </c>
      <c r="H6092" s="3">
        <v>44</v>
      </c>
      <c r="I6092" s="3">
        <v>764</v>
      </c>
      <c r="J6092" s="3">
        <v>1051</v>
      </c>
      <c r="K6092" s="3">
        <v>3267</v>
      </c>
      <c r="L6092" s="3">
        <v>2530</v>
      </c>
      <c r="M6092" s="3">
        <v>3246</v>
      </c>
    </row>
    <row r="6093" spans="1:13" x14ac:dyDescent="0.25">
      <c r="A6093" s="1" t="str">
        <f>HYPERLINK("http://www.rosaceae.org/Prunus/Prunus_persica/p.persica_gdr_reftransV1_0040925","p.persica_gdr_reftransV1_0040925")</f>
        <v>p.persica_gdr_reftransV1_0040925</v>
      </c>
      <c r="B6093" s="3">
        <v>567</v>
      </c>
      <c r="C6093" s="1" t="str">
        <f>HYPERLINK("http://www.uniprot.org/uniprot/CML38_ARATH","CML38_ARATH")</f>
        <v>CML38_ARATH</v>
      </c>
      <c r="D6093" t="s">
        <v>5063</v>
      </c>
      <c r="E6093" s="3" t="s">
        <v>3</v>
      </c>
      <c r="F6093" s="4">
        <v>9.8099999999999999E-34</v>
      </c>
      <c r="G6093" s="3">
        <v>310</v>
      </c>
      <c r="H6093" s="3">
        <v>52</v>
      </c>
      <c r="I6093" s="3">
        <v>141</v>
      </c>
      <c r="J6093" s="3">
        <v>96</v>
      </c>
      <c r="K6093" s="3">
        <v>518</v>
      </c>
      <c r="L6093" s="3">
        <v>39</v>
      </c>
      <c r="M6093" s="3">
        <v>176</v>
      </c>
    </row>
    <row r="6094" spans="1:13" x14ac:dyDescent="0.25">
      <c r="A6094" s="1" t="str">
        <f>HYPERLINK("http://www.rosaceae.org/Prunus/Prunus_persica/p.persica_gdr_reftransV1_0040975","p.persica_gdr_reftransV1_0040975")</f>
        <v>p.persica_gdr_reftransV1_0040975</v>
      </c>
      <c r="B6094" s="3">
        <v>1853</v>
      </c>
      <c r="C6094" s="1" t="str">
        <f>HYPERLINK("http://www.uniprot.org/uniprot/WAP53_MESAU","WAP53_MESAU")</f>
        <v>WAP53_MESAU</v>
      </c>
      <c r="D6094" t="s">
        <v>5064</v>
      </c>
      <c r="E6094" s="3" t="s">
        <v>5065</v>
      </c>
      <c r="F6094" s="4">
        <v>7.53E-89</v>
      </c>
      <c r="G6094" s="3">
        <v>747</v>
      </c>
      <c r="H6094" s="3">
        <v>41</v>
      </c>
      <c r="I6094" s="3">
        <v>387</v>
      </c>
      <c r="J6094" s="3">
        <v>500</v>
      </c>
      <c r="K6094" s="3">
        <v>1636</v>
      </c>
      <c r="L6094" s="3">
        <v>126</v>
      </c>
      <c r="M6094" s="3">
        <v>495</v>
      </c>
    </row>
    <row r="6095" spans="1:13" x14ac:dyDescent="0.25">
      <c r="A6095" s="1" t="str">
        <f>HYPERLINK("http://www.rosaceae.org/Prunus/Prunus_persica/p.persica_gdr_reftransV1_0041425","p.persica_gdr_reftransV1_0041425")</f>
        <v>p.persica_gdr_reftransV1_0041425</v>
      </c>
      <c r="B6095" s="3">
        <v>5662</v>
      </c>
      <c r="C6095" s="1" t="str">
        <f>HYPERLINK("http://www.uniprot.org/uniprot/NDUS2_ARATH","NDUS2_ARATH")</f>
        <v>NDUS2_ARATH</v>
      </c>
      <c r="D6095" t="s">
        <v>5066</v>
      </c>
      <c r="E6095" s="3" t="s">
        <v>3</v>
      </c>
      <c r="F6095" s="4">
        <v>1.2000000000000001E-95</v>
      </c>
      <c r="G6095" s="3">
        <v>823</v>
      </c>
      <c r="H6095" s="3">
        <v>99</v>
      </c>
      <c r="I6095" s="3">
        <v>155</v>
      </c>
      <c r="J6095" s="3">
        <v>4219</v>
      </c>
      <c r="K6095" s="3">
        <v>4683</v>
      </c>
      <c r="L6095" s="3">
        <v>72</v>
      </c>
      <c r="M6095" s="3">
        <v>226</v>
      </c>
    </row>
    <row r="6096" spans="1:13" x14ac:dyDescent="0.25">
      <c r="A6096" s="1" t="str">
        <f>HYPERLINK("http://www.rosaceae.org/Prunus/Prunus_persica/p.persica_gdr_reftransV1_0042075","p.persica_gdr_reftransV1_0042075")</f>
        <v>p.persica_gdr_reftransV1_0042075</v>
      </c>
      <c r="B6096" s="3">
        <v>1735</v>
      </c>
      <c r="C6096" s="1" t="str">
        <f>HYPERLINK("http://www.uniprot.org/uniprot/PHSL_VICFA","PHSL_VICFA")</f>
        <v>PHSL_VICFA</v>
      </c>
      <c r="D6096" t="s">
        <v>2252</v>
      </c>
      <c r="E6096" s="3" t="s">
        <v>2253</v>
      </c>
      <c r="F6096" s="4">
        <v>0</v>
      </c>
      <c r="G6096" s="3">
        <v>1966</v>
      </c>
      <c r="H6096" s="3">
        <v>88</v>
      </c>
      <c r="I6096" s="3">
        <v>401</v>
      </c>
      <c r="J6096" s="3">
        <v>172</v>
      </c>
      <c r="K6096" s="3">
        <v>1374</v>
      </c>
      <c r="L6096" s="3">
        <v>602</v>
      </c>
      <c r="M6096" s="3">
        <v>1002</v>
      </c>
    </row>
    <row r="6097" spans="1:13" x14ac:dyDescent="0.25">
      <c r="A6097" s="1" t="str">
        <f>HYPERLINK("http://www.rosaceae.org/Prunus/Prunus_persica/p.persica_gdr_reftransV1_0042125","p.persica_gdr_reftransV1_0042125")</f>
        <v>p.persica_gdr_reftransV1_0042125</v>
      </c>
      <c r="B6097" s="3">
        <v>4277</v>
      </c>
      <c r="C6097" s="1" t="str">
        <f>HYPERLINK("http://www.uniprot.org/uniprot/SNX13_HUMAN","SNX13_HUMAN")</f>
        <v>SNX13_HUMAN</v>
      </c>
      <c r="D6097" t="s">
        <v>5067</v>
      </c>
      <c r="E6097" s="3" t="s">
        <v>28</v>
      </c>
      <c r="F6097" s="4">
        <v>8.0299999999999998E-7</v>
      </c>
      <c r="G6097" s="3">
        <v>138</v>
      </c>
      <c r="H6097" s="3">
        <v>25</v>
      </c>
      <c r="I6097" s="3">
        <v>199</v>
      </c>
      <c r="J6097" s="3">
        <v>656</v>
      </c>
      <c r="K6097" s="3">
        <v>1198</v>
      </c>
      <c r="L6097" s="3">
        <v>92</v>
      </c>
      <c r="M6097" s="3">
        <v>276</v>
      </c>
    </row>
    <row r="6098" spans="1:13" x14ac:dyDescent="0.25">
      <c r="A6098" s="1" t="str">
        <f>HYPERLINK("http://www.rosaceae.org/Prunus/Prunus_persica/p.persica_gdr_reftransV1_0042525","p.persica_gdr_reftransV1_0042525")</f>
        <v>p.persica_gdr_reftransV1_0042525</v>
      </c>
      <c r="B6098" s="3">
        <v>3417</v>
      </c>
      <c r="C6098" s="1" t="str">
        <f>HYPERLINK("http://www.uniprot.org/uniprot/SCL13_ARATH","SCL13_ARATH")</f>
        <v>SCL13_ARATH</v>
      </c>
      <c r="D6098" t="s">
        <v>5068</v>
      </c>
      <c r="E6098" s="3" t="s">
        <v>3</v>
      </c>
      <c r="F6098" s="4">
        <v>1.5299999999999999E-139</v>
      </c>
      <c r="G6098" s="3">
        <v>1129</v>
      </c>
      <c r="H6098" s="3">
        <v>59</v>
      </c>
      <c r="I6098" s="3">
        <v>396</v>
      </c>
      <c r="J6098" s="3">
        <v>2236</v>
      </c>
      <c r="K6098" s="3">
        <v>3417</v>
      </c>
      <c r="L6098" s="3">
        <v>1</v>
      </c>
      <c r="M6098" s="3">
        <v>379</v>
      </c>
    </row>
    <row r="6099" spans="1:13" x14ac:dyDescent="0.25">
      <c r="A6099" s="1" t="str">
        <f>HYPERLINK("http://www.rosaceae.org/Prunus/Prunus_persica/p.persica_gdr_reftransV1_0042575","p.persica_gdr_reftransV1_0042575")</f>
        <v>p.persica_gdr_reftransV1_0042575</v>
      </c>
      <c r="B6099" s="3">
        <v>2355</v>
      </c>
      <c r="C6099" s="1" t="str">
        <f>HYPERLINK("http://www.uniprot.org/uniprot/CIPKL_ARATH","CIPKL_ARATH")</f>
        <v>CIPKL_ARATH</v>
      </c>
      <c r="D6099" t="s">
        <v>5069</v>
      </c>
      <c r="E6099" s="3" t="s">
        <v>3</v>
      </c>
      <c r="F6099" s="4">
        <v>0</v>
      </c>
      <c r="G6099" s="3">
        <v>1391</v>
      </c>
      <c r="H6099" s="3">
        <v>64</v>
      </c>
      <c r="I6099" s="3">
        <v>430</v>
      </c>
      <c r="J6099" s="3">
        <v>568</v>
      </c>
      <c r="K6099" s="3">
        <v>1845</v>
      </c>
      <c r="L6099" s="3">
        <v>1</v>
      </c>
      <c r="M6099" s="3">
        <v>414</v>
      </c>
    </row>
    <row r="6100" spans="1:13" x14ac:dyDescent="0.25">
      <c r="A6100" s="1" t="str">
        <f>HYPERLINK("http://www.rosaceae.org/Prunus/Prunus_persica/p.persica_gdr_reftransV1_0042875","p.persica_gdr_reftransV1_0042875")</f>
        <v>p.persica_gdr_reftransV1_0042875</v>
      </c>
      <c r="B6100" s="3">
        <v>1844</v>
      </c>
      <c r="C6100" s="1" t="str">
        <f>HYPERLINK("http://www.uniprot.org/uniprot/IRX10_ARATH","IRX10_ARATH")</f>
        <v>IRX10_ARATH</v>
      </c>
      <c r="D6100" t="s">
        <v>5070</v>
      </c>
      <c r="E6100" s="3" t="s">
        <v>3</v>
      </c>
      <c r="F6100" s="4">
        <v>0</v>
      </c>
      <c r="G6100" s="3">
        <v>1893</v>
      </c>
      <c r="H6100" s="3">
        <v>87</v>
      </c>
      <c r="I6100" s="3">
        <v>415</v>
      </c>
      <c r="J6100" s="3">
        <v>264</v>
      </c>
      <c r="K6100" s="3">
        <v>1508</v>
      </c>
      <c r="L6100" s="3">
        <v>1</v>
      </c>
      <c r="M6100" s="3">
        <v>412</v>
      </c>
    </row>
    <row r="6101" spans="1:13" x14ac:dyDescent="0.25">
      <c r="A6101" s="1" t="str">
        <f>HYPERLINK("http://www.rosaceae.org/Prunus/Prunus_persica/p.persica_gdr_reftransV1_0043075","p.persica_gdr_reftransV1_0043075")</f>
        <v>p.persica_gdr_reftransV1_0043075</v>
      </c>
      <c r="B6101" s="3">
        <v>535</v>
      </c>
      <c r="C6101" s="1" t="str">
        <f>HYPERLINK("http://www.uniprot.org/uniprot/RPM1_ARATH","RPM1_ARATH")</f>
        <v>RPM1_ARATH</v>
      </c>
      <c r="D6101" t="s">
        <v>453</v>
      </c>
      <c r="E6101" s="3" t="s">
        <v>3</v>
      </c>
      <c r="F6101" s="4">
        <v>1.5999999999999999E-33</v>
      </c>
      <c r="G6101" s="3">
        <v>328</v>
      </c>
      <c r="H6101" s="3">
        <v>44</v>
      </c>
      <c r="I6101" s="3">
        <v>171</v>
      </c>
      <c r="J6101" s="3">
        <v>28</v>
      </c>
      <c r="K6101" s="3">
        <v>534</v>
      </c>
      <c r="L6101" s="3">
        <v>100</v>
      </c>
      <c r="M6101" s="3">
        <v>270</v>
      </c>
    </row>
    <row r="6102" spans="1:13" x14ac:dyDescent="0.25">
      <c r="A6102" s="1" t="str">
        <f>HYPERLINK("http://www.rosaceae.org/Prunus/Prunus_persica/p.persica_gdr_reftransV1_0043175","p.persica_gdr_reftransV1_0043175")</f>
        <v>p.persica_gdr_reftransV1_0043175</v>
      </c>
      <c r="B6102" s="3">
        <v>996</v>
      </c>
      <c r="C6102" s="1" t="str">
        <f>HYPERLINK("http://www.uniprot.org/uniprot/ULK4_PONAB","ULK4_PONAB")</f>
        <v>ULK4_PONAB</v>
      </c>
      <c r="D6102" t="s">
        <v>5071</v>
      </c>
      <c r="E6102" s="3" t="s">
        <v>176</v>
      </c>
      <c r="F6102" s="4">
        <v>5.1300000000000002E-25</v>
      </c>
      <c r="G6102" s="3">
        <v>276</v>
      </c>
      <c r="H6102" s="3">
        <v>27</v>
      </c>
      <c r="I6102" s="3">
        <v>335</v>
      </c>
      <c r="J6102" s="3">
        <v>13</v>
      </c>
      <c r="K6102" s="3">
        <v>975</v>
      </c>
      <c r="L6102" s="3">
        <v>407</v>
      </c>
      <c r="M6102" s="3">
        <v>724</v>
      </c>
    </row>
    <row r="6103" spans="1:13" x14ac:dyDescent="0.25">
      <c r="A6103" s="1" t="str">
        <f>HYPERLINK("http://www.rosaceae.org/Prunus/Prunus_persica/p.persica_gdr_reftransV1_0043225","p.persica_gdr_reftransV1_0043225")</f>
        <v>p.persica_gdr_reftransV1_0043225</v>
      </c>
      <c r="B6103" s="3">
        <v>1467</v>
      </c>
      <c r="C6103" s="1" t="str">
        <f>HYPERLINK("http://www.uniprot.org/uniprot/PGP1B_ARATH","PGP1B_ARATH")</f>
        <v>PGP1B_ARATH</v>
      </c>
      <c r="D6103" t="s">
        <v>5072</v>
      </c>
      <c r="E6103" s="3" t="s">
        <v>3</v>
      </c>
      <c r="F6103" s="4">
        <v>4.6900000000000003E-133</v>
      </c>
      <c r="G6103" s="3">
        <v>1018</v>
      </c>
      <c r="H6103" s="3">
        <v>85</v>
      </c>
      <c r="I6103" s="3">
        <v>272</v>
      </c>
      <c r="J6103" s="3">
        <v>467</v>
      </c>
      <c r="K6103" s="3">
        <v>1282</v>
      </c>
      <c r="L6103" s="3">
        <v>91</v>
      </c>
      <c r="M6103" s="3">
        <v>362</v>
      </c>
    </row>
    <row r="6104" spans="1:13" x14ac:dyDescent="0.25">
      <c r="A6104" s="1" t="str">
        <f>HYPERLINK("http://www.rosaceae.org/Prunus/Prunus_persica/p.persica_gdr_reftransV1_0043275","p.persica_gdr_reftransV1_0043275")</f>
        <v>p.persica_gdr_reftransV1_0043275</v>
      </c>
      <c r="B6104" s="3">
        <v>350</v>
      </c>
      <c r="C6104" s="1" t="str">
        <f>HYPERLINK("http://www.uniprot.org/uniprot/PARP2_ARATH","PARP2_ARATH")</f>
        <v>PARP2_ARATH</v>
      </c>
      <c r="D6104" t="s">
        <v>5073</v>
      </c>
      <c r="E6104" s="3" t="s">
        <v>3</v>
      </c>
      <c r="F6104" s="4">
        <v>9.0299999999999999E-13</v>
      </c>
      <c r="G6104" s="3">
        <v>165</v>
      </c>
      <c r="H6104" s="3">
        <v>43</v>
      </c>
      <c r="I6104" s="3">
        <v>104</v>
      </c>
      <c r="J6104" s="3">
        <v>37</v>
      </c>
      <c r="K6104" s="3">
        <v>348</v>
      </c>
      <c r="L6104" s="3">
        <v>14</v>
      </c>
      <c r="M6104" s="3">
        <v>106</v>
      </c>
    </row>
    <row r="6105" spans="1:13" x14ac:dyDescent="0.25">
      <c r="A6105" s="1" t="str">
        <f>HYPERLINK("http://www.rosaceae.org/Prunus/Prunus_persica/p.persica_gdr_reftransV1_0043325","p.persica_gdr_reftransV1_0043325")</f>
        <v>p.persica_gdr_reftransV1_0043325</v>
      </c>
      <c r="B6105" s="3">
        <v>689</v>
      </c>
      <c r="C6105" s="1" t="str">
        <f>HYPERLINK("http://www.uniprot.org/uniprot/GDIR_ARATH","GDIR_ARATH")</f>
        <v>GDIR_ARATH</v>
      </c>
      <c r="D6105" t="s">
        <v>838</v>
      </c>
      <c r="E6105" s="3" t="s">
        <v>3</v>
      </c>
      <c r="F6105" s="4">
        <v>1.01E-58</v>
      </c>
      <c r="G6105" s="3">
        <v>487</v>
      </c>
      <c r="H6105" s="3">
        <v>61</v>
      </c>
      <c r="I6105" s="3">
        <v>152</v>
      </c>
      <c r="J6105" s="3">
        <v>3</v>
      </c>
      <c r="K6105" s="3">
        <v>458</v>
      </c>
      <c r="L6105" s="3">
        <v>87</v>
      </c>
      <c r="M6105" s="3">
        <v>238</v>
      </c>
    </row>
    <row r="6106" spans="1:13" x14ac:dyDescent="0.25">
      <c r="A6106" s="1" t="str">
        <f>HYPERLINK("http://www.rosaceae.org/Prunus/Prunus_persica/p.persica_gdr_reftransV1_0043375","p.persica_gdr_reftransV1_0043375")</f>
        <v>p.persica_gdr_reftransV1_0043375</v>
      </c>
      <c r="B6106" s="3">
        <v>906</v>
      </c>
      <c r="C6106" s="1" t="str">
        <f>HYPERLINK("http://www.uniprot.org/uniprot/DCOR_DATST","DCOR_DATST")</f>
        <v>DCOR_DATST</v>
      </c>
      <c r="D6106" t="s">
        <v>5074</v>
      </c>
      <c r="E6106" s="3" t="s">
        <v>5075</v>
      </c>
      <c r="F6106" s="4">
        <v>2E-92</v>
      </c>
      <c r="G6106" s="3">
        <v>735</v>
      </c>
      <c r="H6106" s="3">
        <v>54</v>
      </c>
      <c r="I6106" s="3">
        <v>284</v>
      </c>
      <c r="J6106" s="3">
        <v>66</v>
      </c>
      <c r="K6106" s="3">
        <v>902</v>
      </c>
      <c r="L6106" s="3">
        <v>147</v>
      </c>
      <c r="M6106" s="3">
        <v>427</v>
      </c>
    </row>
    <row r="6107" spans="1:13" x14ac:dyDescent="0.25">
      <c r="A6107" s="1" t="str">
        <f>HYPERLINK("http://www.rosaceae.org/Prunus/Prunus_persica/p.persica_gdr_reftransV1_0043425","p.persica_gdr_reftransV1_0043425")</f>
        <v>p.persica_gdr_reftransV1_0043425</v>
      </c>
      <c r="B6107" s="3">
        <v>755</v>
      </c>
      <c r="C6107" s="1" t="str">
        <f>HYPERLINK("http://www.uniprot.org/uniprot/EPF2_ARATH","EPF2_ARATH")</f>
        <v>EPF2_ARATH</v>
      </c>
      <c r="D6107" t="s">
        <v>5076</v>
      </c>
      <c r="E6107" s="3" t="s">
        <v>3</v>
      </c>
      <c r="F6107" s="4">
        <v>1.6699999999999999E-26</v>
      </c>
      <c r="G6107" s="3">
        <v>261</v>
      </c>
      <c r="H6107" s="3">
        <v>48</v>
      </c>
      <c r="I6107" s="3">
        <v>112</v>
      </c>
      <c r="J6107" s="3">
        <v>162</v>
      </c>
      <c r="K6107" s="3">
        <v>476</v>
      </c>
      <c r="L6107" s="3">
        <v>12</v>
      </c>
      <c r="M6107" s="3">
        <v>118</v>
      </c>
    </row>
    <row r="6108" spans="1:13" x14ac:dyDescent="0.25">
      <c r="A6108" s="1" t="str">
        <f>HYPERLINK("http://www.rosaceae.org/Prunus/Prunus_persica/p.persica_gdr_reftransV1_0043475","p.persica_gdr_reftransV1_0043475")</f>
        <v>p.persica_gdr_reftransV1_0043475</v>
      </c>
      <c r="B6108" s="3">
        <v>2809</v>
      </c>
      <c r="C6108" s="1" t="str">
        <f>HYPERLINK("http://www.uniprot.org/uniprot/ACBP4_ARATH","ACBP4_ARATH")</f>
        <v>ACBP4_ARATH</v>
      </c>
      <c r="D6108" t="s">
        <v>5049</v>
      </c>
      <c r="E6108" s="3" t="s">
        <v>3</v>
      </c>
      <c r="F6108" s="4">
        <v>3.5899999999999999E-71</v>
      </c>
      <c r="G6108" s="3">
        <v>648</v>
      </c>
      <c r="H6108" s="3">
        <v>33</v>
      </c>
      <c r="I6108" s="3">
        <v>435</v>
      </c>
      <c r="J6108" s="3">
        <v>1242</v>
      </c>
      <c r="K6108" s="3">
        <v>2531</v>
      </c>
      <c r="L6108" s="3">
        <v>132</v>
      </c>
      <c r="M6108" s="3">
        <v>542</v>
      </c>
    </row>
    <row r="6109" spans="1:13" x14ac:dyDescent="0.25">
      <c r="A6109" s="1" t="str">
        <f>HYPERLINK("http://www.rosaceae.org/Prunus/Prunus_persica/p.persica_gdr_reftransV1_0043525","p.persica_gdr_reftransV1_0043525")</f>
        <v>p.persica_gdr_reftransV1_0043525</v>
      </c>
      <c r="B6109" s="3">
        <v>1280</v>
      </c>
      <c r="C6109" s="1" t="str">
        <f>HYPERLINK("http://www.uniprot.org/uniprot/ACBP4_ARATH","ACBP4_ARATH")</f>
        <v>ACBP4_ARATH</v>
      </c>
      <c r="D6109" t="s">
        <v>5049</v>
      </c>
      <c r="E6109" s="3" t="s">
        <v>3</v>
      </c>
      <c r="F6109" s="4">
        <v>4.9099999999999999E-118</v>
      </c>
      <c r="G6109" s="3">
        <v>938</v>
      </c>
      <c r="H6109" s="3">
        <v>51</v>
      </c>
      <c r="I6109" s="3">
        <v>348</v>
      </c>
      <c r="J6109" s="3">
        <v>215</v>
      </c>
      <c r="K6109" s="3">
        <v>1258</v>
      </c>
      <c r="L6109" s="3">
        <v>151</v>
      </c>
      <c r="M6109" s="3">
        <v>497</v>
      </c>
    </row>
    <row r="6110" spans="1:13" x14ac:dyDescent="0.25">
      <c r="A6110" s="1" t="str">
        <f>HYPERLINK("http://www.rosaceae.org/Prunus/Prunus_persica/p.persica_gdr_reftransV1_0043675","p.persica_gdr_reftransV1_0043675")</f>
        <v>p.persica_gdr_reftransV1_0043675</v>
      </c>
      <c r="B6110" s="3">
        <v>1675</v>
      </c>
      <c r="C6110" s="1" t="str">
        <f>HYPERLINK("http://www.uniprot.org/uniprot/TYRP_SHIFL","TYRP_SHIFL")</f>
        <v>TYRP_SHIFL</v>
      </c>
      <c r="D6110" t="s">
        <v>5077</v>
      </c>
      <c r="E6110" s="3" t="s">
        <v>1703</v>
      </c>
      <c r="F6110" s="4">
        <v>6.4599999999999998E-34</v>
      </c>
      <c r="G6110" s="3">
        <v>343</v>
      </c>
      <c r="H6110" s="3">
        <v>29</v>
      </c>
      <c r="I6110" s="3">
        <v>394</v>
      </c>
      <c r="J6110" s="3">
        <v>348</v>
      </c>
      <c r="K6110" s="3">
        <v>1460</v>
      </c>
      <c r="L6110" s="3">
        <v>7</v>
      </c>
      <c r="M6110" s="3">
        <v>380</v>
      </c>
    </row>
    <row r="6111" spans="1:13" x14ac:dyDescent="0.25">
      <c r="A6111" s="1" t="str">
        <f>HYPERLINK("http://www.rosaceae.org/Prunus/Prunus_persica/p.persica_gdr_reftransV1_0043725","p.persica_gdr_reftransV1_0043725")</f>
        <v>p.persica_gdr_reftransV1_0043725</v>
      </c>
      <c r="B6111" s="3">
        <v>375</v>
      </c>
      <c r="C6111" s="1" t="str">
        <f>HYPERLINK("http://www.uniprot.org/uniprot/Y4230_ARATH","Y4230_ARATH")</f>
        <v>Y4230_ARATH</v>
      </c>
      <c r="D6111" t="s">
        <v>3999</v>
      </c>
      <c r="E6111" s="3" t="s">
        <v>3</v>
      </c>
      <c r="F6111" s="4">
        <v>8.4399999999999997E-51</v>
      </c>
      <c r="G6111" s="3">
        <v>447</v>
      </c>
      <c r="H6111" s="3">
        <v>70</v>
      </c>
      <c r="I6111" s="3">
        <v>112</v>
      </c>
      <c r="J6111" s="3">
        <v>1</v>
      </c>
      <c r="K6111" s="3">
        <v>336</v>
      </c>
      <c r="L6111" s="3">
        <v>637</v>
      </c>
      <c r="M6111" s="3">
        <v>748</v>
      </c>
    </row>
    <row r="6112" spans="1:13" x14ac:dyDescent="0.25">
      <c r="A6112" s="1" t="str">
        <f>HYPERLINK("http://www.rosaceae.org/Prunus/Prunus_persica/p.persica_gdr_reftransV1_0043775","p.persica_gdr_reftransV1_0043775")</f>
        <v>p.persica_gdr_reftransV1_0043775</v>
      </c>
      <c r="B6112" s="3">
        <v>815</v>
      </c>
      <c r="C6112" s="1" t="str">
        <f>HYPERLINK("http://www.uniprot.org/uniprot/CPL2_ARATH","CPL2_ARATH")</f>
        <v>CPL2_ARATH</v>
      </c>
      <c r="D6112" t="s">
        <v>1184</v>
      </c>
      <c r="E6112" s="3" t="s">
        <v>3</v>
      </c>
      <c r="F6112" s="4">
        <v>2.3899999999999998E-53</v>
      </c>
      <c r="G6112" s="3">
        <v>480</v>
      </c>
      <c r="H6112" s="3">
        <v>51</v>
      </c>
      <c r="I6112" s="3">
        <v>214</v>
      </c>
      <c r="J6112" s="3">
        <v>167</v>
      </c>
      <c r="K6112" s="3">
        <v>805</v>
      </c>
      <c r="L6112" s="3">
        <v>376</v>
      </c>
      <c r="M6112" s="3">
        <v>581</v>
      </c>
    </row>
    <row r="6113" spans="1:13" x14ac:dyDescent="0.25">
      <c r="A6113" s="1" t="str">
        <f>HYPERLINK("http://www.rosaceae.org/Prunus/Prunus_persica/p.persica_gdr_reftransV1_0043925","p.persica_gdr_reftransV1_0043925")</f>
        <v>p.persica_gdr_reftransV1_0043925</v>
      </c>
      <c r="B6113" s="3">
        <v>506</v>
      </c>
      <c r="C6113" s="1" t="str">
        <f>HYPERLINK("http://www.uniprot.org/uniprot/AB1G_ARATH","AB1G_ARATH")</f>
        <v>AB1G_ARATH</v>
      </c>
      <c r="D6113" t="s">
        <v>5078</v>
      </c>
      <c r="E6113" s="3" t="s">
        <v>3</v>
      </c>
      <c r="F6113" s="4">
        <v>2.1600000000000001E-12</v>
      </c>
      <c r="G6113" s="3">
        <v>166</v>
      </c>
      <c r="H6113" s="3">
        <v>47</v>
      </c>
      <c r="I6113" s="3">
        <v>87</v>
      </c>
      <c r="J6113" s="3">
        <v>242</v>
      </c>
      <c r="K6113" s="3">
        <v>502</v>
      </c>
      <c r="L6113" s="3">
        <v>12</v>
      </c>
      <c r="M6113" s="3">
        <v>93</v>
      </c>
    </row>
    <row r="6114" spans="1:13" x14ac:dyDescent="0.25">
      <c r="A6114" s="1" t="str">
        <f>HYPERLINK("http://www.rosaceae.org/Prunus/Prunus_persica/p.persica_gdr_reftransV1_0044025","p.persica_gdr_reftransV1_0044025")</f>
        <v>p.persica_gdr_reftransV1_0044025</v>
      </c>
      <c r="B6114" s="3">
        <v>3815</v>
      </c>
      <c r="C6114" s="1" t="str">
        <f>HYPERLINK("http://www.uniprot.org/uniprot/PHYE_IPONI","PHYE_IPONI")</f>
        <v>PHYE_IPONI</v>
      </c>
      <c r="D6114" t="s">
        <v>5079</v>
      </c>
      <c r="E6114" s="3" t="s">
        <v>3743</v>
      </c>
      <c r="F6114" s="4">
        <v>0</v>
      </c>
      <c r="G6114" s="3">
        <v>4421</v>
      </c>
      <c r="H6114" s="3">
        <v>74</v>
      </c>
      <c r="I6114" s="3">
        <v>1119</v>
      </c>
      <c r="J6114" s="3">
        <v>104</v>
      </c>
      <c r="K6114" s="3">
        <v>3451</v>
      </c>
      <c r="L6114" s="3">
        <v>7</v>
      </c>
      <c r="M6114" s="3">
        <v>1108</v>
      </c>
    </row>
    <row r="6115" spans="1:13" x14ac:dyDescent="0.25">
      <c r="A6115" s="1" t="str">
        <f>HYPERLINK("http://www.rosaceae.org/Prunus/Prunus_persica/p.persica_gdr_reftransV1_0044075","p.persica_gdr_reftransV1_0044075")</f>
        <v>p.persica_gdr_reftransV1_0044075</v>
      </c>
      <c r="B6115" s="3">
        <v>827</v>
      </c>
      <c r="C6115" s="1" t="str">
        <f>HYPERLINK("http://www.uniprot.org/uniprot/MATE9_ARATH","MATE9_ARATH")</f>
        <v>MATE9_ARATH</v>
      </c>
      <c r="D6115" t="s">
        <v>1205</v>
      </c>
      <c r="E6115" s="3" t="s">
        <v>3</v>
      </c>
      <c r="F6115" s="4">
        <v>3.8999999999999998E-67</v>
      </c>
      <c r="G6115" s="3">
        <v>566</v>
      </c>
      <c r="H6115" s="3">
        <v>47</v>
      </c>
      <c r="I6115" s="3">
        <v>265</v>
      </c>
      <c r="J6115" s="3">
        <v>32</v>
      </c>
      <c r="K6115" s="3">
        <v>826</v>
      </c>
      <c r="L6115" s="3">
        <v>140</v>
      </c>
      <c r="M6115" s="3">
        <v>404</v>
      </c>
    </row>
    <row r="6116" spans="1:13" x14ac:dyDescent="0.25">
      <c r="A6116" s="1" t="str">
        <f>HYPERLINK("http://www.rosaceae.org/Prunus/Prunus_persica/p.persica_gdr_reftransV1_0044125","p.persica_gdr_reftransV1_0044125")</f>
        <v>p.persica_gdr_reftransV1_0044125</v>
      </c>
      <c r="B6116" s="3">
        <v>696</v>
      </c>
      <c r="C6116" s="1" t="str">
        <f>HYPERLINK("http://www.uniprot.org/uniprot/C79D1_MANES","C79D1_MANES")</f>
        <v>C79D1_MANES</v>
      </c>
      <c r="D6116" t="s">
        <v>5080</v>
      </c>
      <c r="E6116" s="3" t="s">
        <v>1797</v>
      </c>
      <c r="F6116" s="4">
        <v>1.8900000000000001E-83</v>
      </c>
      <c r="G6116" s="3">
        <v>676</v>
      </c>
      <c r="H6116" s="3">
        <v>65</v>
      </c>
      <c r="I6116" s="3">
        <v>215</v>
      </c>
      <c r="J6116" s="3">
        <v>2</v>
      </c>
      <c r="K6116" s="3">
        <v>643</v>
      </c>
      <c r="L6116" s="3">
        <v>327</v>
      </c>
      <c r="M6116" s="3">
        <v>538</v>
      </c>
    </row>
    <row r="6117" spans="1:13" x14ac:dyDescent="0.25">
      <c r="A6117" s="1" t="str">
        <f>HYPERLINK("http://www.rosaceae.org/Prunus/Prunus_persica/p.persica_gdr_reftransV1_0044375","p.persica_gdr_reftransV1_0044375")</f>
        <v>p.persica_gdr_reftransV1_0044375</v>
      </c>
      <c r="B6117" s="3">
        <v>753</v>
      </c>
      <c r="C6117" s="1" t="str">
        <f>HYPERLINK("http://www.uniprot.org/uniprot/RR31_ARATH","RR31_ARATH")</f>
        <v>RR31_ARATH</v>
      </c>
      <c r="D6117" t="s">
        <v>3340</v>
      </c>
      <c r="E6117" s="3" t="s">
        <v>3</v>
      </c>
      <c r="F6117" s="4">
        <v>8.0999999999999997E-7</v>
      </c>
      <c r="G6117" s="3">
        <v>119</v>
      </c>
      <c r="H6117" s="3">
        <v>55</v>
      </c>
      <c r="I6117" s="3">
        <v>76</v>
      </c>
      <c r="J6117" s="3">
        <v>459</v>
      </c>
      <c r="K6117" s="3">
        <v>686</v>
      </c>
      <c r="L6117" s="3">
        <v>1</v>
      </c>
      <c r="M6117" s="3">
        <v>75</v>
      </c>
    </row>
    <row r="6118" spans="1:13" x14ac:dyDescent="0.25">
      <c r="A6118" s="1" t="str">
        <f>HYPERLINK("http://www.rosaceae.org/Prunus/Prunus_persica/p.persica_gdr_reftransV1_0044525","p.persica_gdr_reftransV1_0044525")</f>
        <v>p.persica_gdr_reftransV1_0044525</v>
      </c>
      <c r="B6118" s="3">
        <v>1881</v>
      </c>
      <c r="C6118" s="1" t="str">
        <f>HYPERLINK("http://www.uniprot.org/uniprot/DDB2_HUMAN","DDB2_HUMAN")</f>
        <v>DDB2_HUMAN</v>
      </c>
      <c r="D6118" t="s">
        <v>5081</v>
      </c>
      <c r="E6118" s="3" t="s">
        <v>28</v>
      </c>
      <c r="F6118" s="4">
        <v>1.2100000000000001E-11</v>
      </c>
      <c r="G6118" s="3">
        <v>172</v>
      </c>
      <c r="H6118" s="3">
        <v>25</v>
      </c>
      <c r="I6118" s="3">
        <v>268</v>
      </c>
      <c r="J6118" s="3">
        <v>130</v>
      </c>
      <c r="K6118" s="3">
        <v>897</v>
      </c>
      <c r="L6118" s="3">
        <v>60</v>
      </c>
      <c r="M6118" s="3">
        <v>313</v>
      </c>
    </row>
    <row r="6119" spans="1:13" x14ac:dyDescent="0.25">
      <c r="A6119" s="1" t="str">
        <f>HYPERLINK("http://www.rosaceae.org/Prunus/Prunus_persica/p.persica_gdr_reftransV1_0044575","p.persica_gdr_reftransV1_0044575")</f>
        <v>p.persica_gdr_reftransV1_0044575</v>
      </c>
      <c r="B6119" s="3">
        <v>1417</v>
      </c>
      <c r="C6119" s="1" t="str">
        <f>HYPERLINK("http://www.uniprot.org/uniprot/BH014_ARATH","BH014_ARATH")</f>
        <v>BH014_ARATH</v>
      </c>
      <c r="D6119" t="s">
        <v>1168</v>
      </c>
      <c r="E6119" s="3" t="s">
        <v>3</v>
      </c>
      <c r="F6119" s="4">
        <v>1.1200000000000001E-44</v>
      </c>
      <c r="G6119" s="3">
        <v>422</v>
      </c>
      <c r="H6119" s="3">
        <v>34</v>
      </c>
      <c r="I6119" s="3">
        <v>349</v>
      </c>
      <c r="J6119" s="3">
        <v>130</v>
      </c>
      <c r="K6119" s="3">
        <v>1167</v>
      </c>
      <c r="L6119" s="3">
        <v>111</v>
      </c>
      <c r="M6119" s="3">
        <v>420</v>
      </c>
    </row>
    <row r="6120" spans="1:13" x14ac:dyDescent="0.25">
      <c r="A6120" s="1" t="str">
        <f>HYPERLINK("http://www.rosaceae.org/Prunus/Prunus_persica/p.persica_gdr_reftransV1_0044625","p.persica_gdr_reftransV1_0044625")</f>
        <v>p.persica_gdr_reftransV1_0044625</v>
      </c>
      <c r="B6120" s="3">
        <v>506</v>
      </c>
      <c r="C6120" s="1" t="str">
        <f>HYPERLINK("http://www.uniprot.org/uniprot/ALDOA_RAT","ALDOA_RAT")</f>
        <v>ALDOA_RAT</v>
      </c>
      <c r="D6120" t="s">
        <v>5082</v>
      </c>
      <c r="E6120" s="3" t="s">
        <v>161</v>
      </c>
      <c r="F6120" s="4">
        <v>6.6399999999999996E-104</v>
      </c>
      <c r="G6120" s="3">
        <v>791</v>
      </c>
      <c r="H6120" s="3">
        <v>99</v>
      </c>
      <c r="I6120" s="3">
        <v>168</v>
      </c>
      <c r="J6120" s="3">
        <v>1</v>
      </c>
      <c r="K6120" s="3">
        <v>504</v>
      </c>
      <c r="L6120" s="3">
        <v>18</v>
      </c>
      <c r="M6120" s="3">
        <v>185</v>
      </c>
    </row>
    <row r="6121" spans="1:13" x14ac:dyDescent="0.25">
      <c r="A6121" s="1" t="str">
        <f>HYPERLINK("http://www.rosaceae.org/Prunus/Prunus_persica/p.persica_gdr_reftransV1_0044725","p.persica_gdr_reftransV1_0044725")</f>
        <v>p.persica_gdr_reftransV1_0044725</v>
      </c>
      <c r="B6121" s="3">
        <v>2392</v>
      </c>
      <c r="C6121" s="1" t="str">
        <f>HYPERLINK("http://www.uniprot.org/uniprot/WVD2_ARATH","WVD2_ARATH")</f>
        <v>WVD2_ARATH</v>
      </c>
      <c r="D6121" t="s">
        <v>2325</v>
      </c>
      <c r="E6121" s="3" t="s">
        <v>3</v>
      </c>
      <c r="F6121" s="4">
        <v>1.48E-7</v>
      </c>
      <c r="G6121" s="3">
        <v>134</v>
      </c>
      <c r="H6121" s="3">
        <v>38</v>
      </c>
      <c r="I6121" s="3">
        <v>108</v>
      </c>
      <c r="J6121" s="3">
        <v>1458</v>
      </c>
      <c r="K6121" s="3">
        <v>1772</v>
      </c>
      <c r="L6121" s="3">
        <v>67</v>
      </c>
      <c r="M6121" s="3">
        <v>173</v>
      </c>
    </row>
    <row r="6122" spans="1:13" x14ac:dyDescent="0.25">
      <c r="A6122" s="1" t="str">
        <f>HYPERLINK("http://www.rosaceae.org/Prunus/Prunus_persica/p.persica_gdr_reftransV1_0044775","p.persica_gdr_reftransV1_0044775")</f>
        <v>p.persica_gdr_reftransV1_0044775</v>
      </c>
      <c r="B6122" s="3">
        <v>683</v>
      </c>
      <c r="C6122" s="1" t="str">
        <f>HYPERLINK("http://www.uniprot.org/uniprot/GRP2_NICSY","GRP2_NICSY")</f>
        <v>GRP2_NICSY</v>
      </c>
      <c r="D6122" t="s">
        <v>1964</v>
      </c>
      <c r="E6122" s="3" t="s">
        <v>495</v>
      </c>
      <c r="F6122" s="4">
        <v>8.5099999999999998E-25</v>
      </c>
      <c r="G6122" s="3">
        <v>254</v>
      </c>
      <c r="H6122" s="3">
        <v>72</v>
      </c>
      <c r="I6122" s="3">
        <v>67</v>
      </c>
      <c r="J6122" s="3">
        <v>326</v>
      </c>
      <c r="K6122" s="3">
        <v>526</v>
      </c>
      <c r="L6122" s="3">
        <v>8</v>
      </c>
      <c r="M6122" s="3">
        <v>74</v>
      </c>
    </row>
    <row r="6123" spans="1:13" x14ac:dyDescent="0.25">
      <c r="A6123" s="1" t="str">
        <f>HYPERLINK("http://www.rosaceae.org/Prunus/Prunus_persica/p.persica_gdr_reftransV1_0044825","p.persica_gdr_reftransV1_0044825")</f>
        <v>p.persica_gdr_reftransV1_0044825</v>
      </c>
      <c r="B6123" s="3">
        <v>1712</v>
      </c>
      <c r="C6123" s="1" t="str">
        <f>HYPERLINK("http://www.uniprot.org/uniprot/TPSGD_VITVI","TPSGD_VITVI")</f>
        <v>TPSGD_VITVI</v>
      </c>
      <c r="D6123" t="s">
        <v>5083</v>
      </c>
      <c r="E6123" s="3" t="s">
        <v>362</v>
      </c>
      <c r="F6123" s="4">
        <v>7.8899999999999999E-142</v>
      </c>
      <c r="G6123" s="3">
        <v>1102</v>
      </c>
      <c r="H6123" s="3">
        <v>67</v>
      </c>
      <c r="I6123" s="3">
        <v>315</v>
      </c>
      <c r="J6123" s="3">
        <v>772</v>
      </c>
      <c r="K6123" s="3">
        <v>1710</v>
      </c>
      <c r="L6123" s="3">
        <v>175</v>
      </c>
      <c r="M6123" s="3">
        <v>486</v>
      </c>
    </row>
    <row r="6124" spans="1:13" x14ac:dyDescent="0.25">
      <c r="A6124" s="1" t="str">
        <f>HYPERLINK("http://www.rosaceae.org/Prunus/Prunus_persica/p.persica_gdr_reftransV1_0044875","p.persica_gdr_reftransV1_0044875")</f>
        <v>p.persica_gdr_reftransV1_0044875</v>
      </c>
      <c r="B6124" s="3">
        <v>1648</v>
      </c>
      <c r="C6124" s="1" t="str">
        <f>HYPERLINK("http://www.uniprot.org/uniprot/MP705_ARATH","MP705_ARATH")</f>
        <v>MP705_ARATH</v>
      </c>
      <c r="D6124" t="s">
        <v>5084</v>
      </c>
      <c r="E6124" s="3" t="s">
        <v>3</v>
      </c>
      <c r="F6124" s="4">
        <v>1.6E-130</v>
      </c>
      <c r="G6124" s="3">
        <v>1021</v>
      </c>
      <c r="H6124" s="3">
        <v>58</v>
      </c>
      <c r="I6124" s="3">
        <v>438</v>
      </c>
      <c r="J6124" s="3">
        <v>1</v>
      </c>
      <c r="K6124" s="3">
        <v>1308</v>
      </c>
      <c r="L6124" s="3">
        <v>88</v>
      </c>
      <c r="M6124" s="3">
        <v>471</v>
      </c>
    </row>
    <row r="6125" spans="1:13" x14ac:dyDescent="0.25">
      <c r="A6125" s="1" t="str">
        <f>HYPERLINK("http://www.rosaceae.org/Prunus/Prunus_persica/p.persica_gdr_reftransV1_0044925","p.persica_gdr_reftransV1_0044925")</f>
        <v>p.persica_gdr_reftransV1_0044925</v>
      </c>
      <c r="B6125" s="3">
        <v>1663</v>
      </c>
      <c r="C6125" s="1" t="str">
        <f>HYPERLINK("http://www.uniprot.org/uniprot/GUN17_ARATH","GUN17_ARATH")</f>
        <v>GUN17_ARATH</v>
      </c>
      <c r="D6125" t="s">
        <v>2177</v>
      </c>
      <c r="E6125" s="3" t="s">
        <v>3</v>
      </c>
      <c r="F6125" s="4">
        <v>0</v>
      </c>
      <c r="G6125" s="3">
        <v>1836</v>
      </c>
      <c r="H6125" s="3">
        <v>81</v>
      </c>
      <c r="I6125" s="3">
        <v>420</v>
      </c>
      <c r="J6125" s="3">
        <v>402</v>
      </c>
      <c r="K6125" s="3">
        <v>1661</v>
      </c>
      <c r="L6125" s="3">
        <v>97</v>
      </c>
      <c r="M6125" s="3">
        <v>516</v>
      </c>
    </row>
    <row r="6126" spans="1:13" x14ac:dyDescent="0.25">
      <c r="A6126" s="1" t="str">
        <f>HYPERLINK("http://www.rosaceae.org/Prunus/Prunus_persica/p.persica_gdr_reftransV1_0045025","p.persica_gdr_reftransV1_0045025")</f>
        <v>p.persica_gdr_reftransV1_0045025</v>
      </c>
      <c r="B6126" s="3">
        <v>1977</v>
      </c>
      <c r="C6126" s="1" t="str">
        <f>HYPERLINK("http://www.uniprot.org/uniprot/YAO_ARATH","YAO_ARATH")</f>
        <v>YAO_ARATH</v>
      </c>
      <c r="D6126" t="s">
        <v>5085</v>
      </c>
      <c r="E6126" s="3" t="s">
        <v>3</v>
      </c>
      <c r="F6126" s="4">
        <v>3.7300000000000002E-180</v>
      </c>
      <c r="G6126" s="3">
        <v>1361</v>
      </c>
      <c r="H6126" s="3">
        <v>64</v>
      </c>
      <c r="I6126" s="3">
        <v>395</v>
      </c>
      <c r="J6126" s="3">
        <v>367</v>
      </c>
      <c r="K6126" s="3">
        <v>1551</v>
      </c>
      <c r="L6126" s="3">
        <v>122</v>
      </c>
      <c r="M6126" s="3">
        <v>504</v>
      </c>
    </row>
    <row r="6127" spans="1:13" x14ac:dyDescent="0.25">
      <c r="A6127" s="1" t="str">
        <f>HYPERLINK("http://www.rosaceae.org/Prunus/Prunus_persica/p.persica_gdr_reftransV1_0045075","p.persica_gdr_reftransV1_0045075")</f>
        <v>p.persica_gdr_reftransV1_0045075</v>
      </c>
      <c r="B6127" s="3">
        <v>711</v>
      </c>
      <c r="C6127" s="1" t="str">
        <f>HYPERLINK("http://www.uniprot.org/uniprot/RR17_ARATH","RR17_ARATH")</f>
        <v>RR17_ARATH</v>
      </c>
      <c r="D6127" t="s">
        <v>5086</v>
      </c>
      <c r="E6127" s="3" t="s">
        <v>3</v>
      </c>
      <c r="F6127" s="4">
        <v>7.8799999999999998E-37</v>
      </c>
      <c r="G6127" s="3">
        <v>333</v>
      </c>
      <c r="H6127" s="3">
        <v>58</v>
      </c>
      <c r="I6127" s="3">
        <v>151</v>
      </c>
      <c r="J6127" s="3">
        <v>156</v>
      </c>
      <c r="K6127" s="3">
        <v>608</v>
      </c>
      <c r="L6127" s="3">
        <v>5</v>
      </c>
      <c r="M6127" s="3">
        <v>147</v>
      </c>
    </row>
    <row r="6128" spans="1:13" x14ac:dyDescent="0.25">
      <c r="A6128" s="1" t="str">
        <f>HYPERLINK("http://www.rosaceae.org/Prunus/Prunus_persica/p.persica_gdr_reftransV1_0045125","p.persica_gdr_reftransV1_0045125")</f>
        <v>p.persica_gdr_reftransV1_0045125</v>
      </c>
      <c r="B6128" s="3">
        <v>2340</v>
      </c>
      <c r="C6128" s="1" t="str">
        <f>HYPERLINK("http://www.uniprot.org/uniprot/VAD1_ARATH","VAD1_ARATH")</f>
        <v>VAD1_ARATH</v>
      </c>
      <c r="D6128" t="s">
        <v>251</v>
      </c>
      <c r="E6128" s="3" t="s">
        <v>3</v>
      </c>
      <c r="F6128" s="4">
        <v>9.2800000000000001E-169</v>
      </c>
      <c r="G6128" s="3">
        <v>1305</v>
      </c>
      <c r="H6128" s="3">
        <v>50</v>
      </c>
      <c r="I6128" s="3">
        <v>597</v>
      </c>
      <c r="J6128" s="3">
        <v>257</v>
      </c>
      <c r="K6128" s="3">
        <v>2008</v>
      </c>
      <c r="L6128" s="3">
        <v>60</v>
      </c>
      <c r="M6128" s="3">
        <v>595</v>
      </c>
    </row>
    <row r="6129" spans="1:13" x14ac:dyDescent="0.25">
      <c r="A6129" s="1" t="str">
        <f>HYPERLINK("http://www.rosaceae.org/Prunus/Prunus_persica/p.persica_gdr_reftransV1_0045175","p.persica_gdr_reftransV1_0045175")</f>
        <v>p.persica_gdr_reftransV1_0045175</v>
      </c>
      <c r="B6129" s="3">
        <v>539</v>
      </c>
      <c r="C6129" s="1" t="str">
        <f>HYPERLINK("http://www.uniprot.org/uniprot/WER_ARATH","WER_ARATH")</f>
        <v>WER_ARATH</v>
      </c>
      <c r="D6129" t="s">
        <v>926</v>
      </c>
      <c r="E6129" s="3" t="s">
        <v>3</v>
      </c>
      <c r="F6129" s="4">
        <v>6.4099999999999994E-67</v>
      </c>
      <c r="G6129" s="3">
        <v>533</v>
      </c>
      <c r="H6129" s="3">
        <v>81</v>
      </c>
      <c r="I6129" s="3">
        <v>118</v>
      </c>
      <c r="J6129" s="3">
        <v>115</v>
      </c>
      <c r="K6129" s="3">
        <v>468</v>
      </c>
      <c r="L6129" s="3">
        <v>11</v>
      </c>
      <c r="M6129" s="3">
        <v>128</v>
      </c>
    </row>
    <row r="6130" spans="1:13" x14ac:dyDescent="0.25">
      <c r="A6130" s="1" t="str">
        <f>HYPERLINK("http://www.rosaceae.org/Prunus/Prunus_persica/p.persica_gdr_reftransV1_0045225","p.persica_gdr_reftransV1_0045225")</f>
        <v>p.persica_gdr_reftransV1_0045225</v>
      </c>
      <c r="B6130" s="3">
        <v>1767</v>
      </c>
      <c r="C6130" s="1" t="str">
        <f>HYPERLINK("http://www.uniprot.org/uniprot/HRQ1_SCHPO","HRQ1_SCHPO")</f>
        <v>HRQ1_SCHPO</v>
      </c>
      <c r="D6130" t="s">
        <v>5087</v>
      </c>
      <c r="E6130" s="3" t="s">
        <v>464</v>
      </c>
      <c r="F6130" s="4">
        <v>2.4199999999999999E-65</v>
      </c>
      <c r="G6130" s="3">
        <v>414</v>
      </c>
      <c r="H6130" s="3">
        <v>37</v>
      </c>
      <c r="I6130" s="3">
        <v>284</v>
      </c>
      <c r="J6130" s="3">
        <v>936</v>
      </c>
      <c r="K6130" s="3">
        <v>1766</v>
      </c>
      <c r="L6130" s="3">
        <v>517</v>
      </c>
      <c r="M6130" s="3">
        <v>767</v>
      </c>
    </row>
    <row r="6131" spans="1:13" x14ac:dyDescent="0.25">
      <c r="A6131" s="1" t="str">
        <f>HYPERLINK("http://www.rosaceae.org/Prunus/Prunus_persica/p.persica_gdr_reftransV1_0045325","p.persica_gdr_reftransV1_0045325")</f>
        <v>p.persica_gdr_reftransV1_0045325</v>
      </c>
      <c r="B6131" s="3">
        <v>2785</v>
      </c>
      <c r="C6131" s="1" t="str">
        <f>HYPERLINK("http://www.uniprot.org/uniprot/PAPS4_ARATH","PAPS4_ARATH")</f>
        <v>PAPS4_ARATH</v>
      </c>
      <c r="D6131" t="s">
        <v>4151</v>
      </c>
      <c r="E6131" s="3" t="s">
        <v>3</v>
      </c>
      <c r="F6131" s="4">
        <v>0</v>
      </c>
      <c r="G6131" s="3">
        <v>2237</v>
      </c>
      <c r="H6131" s="3">
        <v>75</v>
      </c>
      <c r="I6131" s="3">
        <v>565</v>
      </c>
      <c r="J6131" s="3">
        <v>66</v>
      </c>
      <c r="K6131" s="3">
        <v>1748</v>
      </c>
      <c r="L6131" s="3">
        <v>2</v>
      </c>
      <c r="M6131" s="3">
        <v>563</v>
      </c>
    </row>
    <row r="6132" spans="1:13" x14ac:dyDescent="0.25">
      <c r="A6132" s="1" t="str">
        <f>HYPERLINK("http://www.rosaceae.org/Prunus/Prunus_persica/p.persica_gdr_reftransV1_0045475","p.persica_gdr_reftransV1_0045475")</f>
        <v>p.persica_gdr_reftransV1_0045475</v>
      </c>
      <c r="B6132" s="3">
        <v>632</v>
      </c>
      <c r="C6132" s="1" t="str">
        <f>HYPERLINK("http://www.uniprot.org/uniprot/TIF3B_ARATH","TIF3B_ARATH")</f>
        <v>TIF3B_ARATH</v>
      </c>
      <c r="D6132" t="s">
        <v>4450</v>
      </c>
      <c r="E6132" s="3" t="s">
        <v>3</v>
      </c>
      <c r="F6132" s="4">
        <v>3.2599999999999999E-20</v>
      </c>
      <c r="G6132" s="3">
        <v>219</v>
      </c>
      <c r="H6132" s="3">
        <v>49</v>
      </c>
      <c r="I6132" s="3">
        <v>110</v>
      </c>
      <c r="J6132" s="3">
        <v>308</v>
      </c>
      <c r="K6132" s="3">
        <v>631</v>
      </c>
      <c r="L6132" s="3">
        <v>53</v>
      </c>
      <c r="M6132" s="3">
        <v>156</v>
      </c>
    </row>
    <row r="6133" spans="1:13" x14ac:dyDescent="0.25">
      <c r="A6133" s="1" t="str">
        <f>HYPERLINK("http://www.rosaceae.org/Prunus/Prunus_persica/p.persica_gdr_reftransV1_0045525","p.persica_gdr_reftransV1_0045525")</f>
        <v>p.persica_gdr_reftransV1_0045525</v>
      </c>
      <c r="B6133" s="3">
        <v>919</v>
      </c>
      <c r="C6133" s="1" t="str">
        <f>HYPERLINK("http://www.uniprot.org/uniprot/CSPLI_POPTR","CSPLI_POPTR")</f>
        <v>CSPLI_POPTR</v>
      </c>
      <c r="D6133" t="s">
        <v>5088</v>
      </c>
      <c r="E6133" s="3" t="s">
        <v>340</v>
      </c>
      <c r="F6133" s="4">
        <v>2.1800000000000001E-60</v>
      </c>
      <c r="G6133" s="3">
        <v>500</v>
      </c>
      <c r="H6133" s="3">
        <v>69</v>
      </c>
      <c r="I6133" s="3">
        <v>195</v>
      </c>
      <c r="J6133" s="3">
        <v>44</v>
      </c>
      <c r="K6133" s="3">
        <v>628</v>
      </c>
      <c r="L6133" s="3">
        <v>1</v>
      </c>
      <c r="M6133" s="3">
        <v>186</v>
      </c>
    </row>
    <row r="6134" spans="1:13" x14ac:dyDescent="0.25">
      <c r="A6134" s="1" t="str">
        <f>HYPERLINK("http://www.rosaceae.org/Prunus/Prunus_persica/p.persica_gdr_reftransV1_0045625","p.persica_gdr_reftransV1_0045625")</f>
        <v>p.persica_gdr_reftransV1_0045625</v>
      </c>
      <c r="B6134" s="3">
        <v>980</v>
      </c>
      <c r="C6134" s="1" t="str">
        <f>HYPERLINK("http://www.uniprot.org/uniprot/SC11C_PONAB","SC11C_PONAB")</f>
        <v>SC11C_PONAB</v>
      </c>
      <c r="D6134" t="s">
        <v>5089</v>
      </c>
      <c r="E6134" s="3" t="s">
        <v>176</v>
      </c>
      <c r="F6134" s="4">
        <v>3.4200000000000002E-64</v>
      </c>
      <c r="G6134" s="3">
        <v>528</v>
      </c>
      <c r="H6134" s="3">
        <v>59</v>
      </c>
      <c r="I6134" s="3">
        <v>172</v>
      </c>
      <c r="J6134" s="3">
        <v>170</v>
      </c>
      <c r="K6134" s="3">
        <v>682</v>
      </c>
      <c r="L6134" s="3">
        <v>21</v>
      </c>
      <c r="M6134" s="3">
        <v>191</v>
      </c>
    </row>
    <row r="6135" spans="1:13" x14ac:dyDescent="0.25">
      <c r="A6135" s="1" t="str">
        <f>HYPERLINK("http://www.rosaceae.org/Prunus/Prunus_persica/p.persica_gdr_reftransV1_0045675","p.persica_gdr_reftransV1_0045675")</f>
        <v>p.persica_gdr_reftransV1_0045675</v>
      </c>
      <c r="B6135" s="3">
        <v>769</v>
      </c>
      <c r="C6135" s="1" t="str">
        <f>HYPERLINK("http://www.uniprot.org/uniprot/R27A3_ARATH","R27A3_ARATH")</f>
        <v>R27A3_ARATH</v>
      </c>
      <c r="D6135" t="s">
        <v>2350</v>
      </c>
      <c r="E6135" s="3" t="s">
        <v>3</v>
      </c>
      <c r="F6135" s="4">
        <v>4.4799999999999996E-87</v>
      </c>
      <c r="G6135" s="3">
        <v>669</v>
      </c>
      <c r="H6135" s="3">
        <v>88</v>
      </c>
      <c r="I6135" s="3">
        <v>147</v>
      </c>
      <c r="J6135" s="3">
        <v>266</v>
      </c>
      <c r="K6135" s="3">
        <v>706</v>
      </c>
      <c r="L6135" s="3">
        <v>1</v>
      </c>
      <c r="M6135" s="3">
        <v>146</v>
      </c>
    </row>
    <row r="6136" spans="1:13" x14ac:dyDescent="0.25">
      <c r="A6136" s="1" t="str">
        <f>HYPERLINK("http://www.rosaceae.org/Prunus/Prunus_persica/p.persica_gdr_reftransV1_0045725","p.persica_gdr_reftransV1_0045725")</f>
        <v>p.persica_gdr_reftransV1_0045725</v>
      </c>
      <c r="B6136" s="3">
        <v>655</v>
      </c>
      <c r="C6136" s="1" t="str">
        <f>HYPERLINK("http://www.uniprot.org/uniprot/TGT2_ARATH","TGT2_ARATH")</f>
        <v>TGT2_ARATH</v>
      </c>
      <c r="D6136" t="s">
        <v>5090</v>
      </c>
      <c r="E6136" s="3" t="s">
        <v>3</v>
      </c>
      <c r="F6136" s="4">
        <v>6.3200000000000005E-29</v>
      </c>
      <c r="G6136" s="3">
        <v>294</v>
      </c>
      <c r="H6136" s="3">
        <v>55</v>
      </c>
      <c r="I6136" s="3">
        <v>95</v>
      </c>
      <c r="J6136" s="3">
        <v>238</v>
      </c>
      <c r="K6136" s="3">
        <v>522</v>
      </c>
      <c r="L6136" s="3">
        <v>391</v>
      </c>
      <c r="M6136" s="3">
        <v>484</v>
      </c>
    </row>
    <row r="6137" spans="1:13" x14ac:dyDescent="0.25">
      <c r="A6137" s="1" t="str">
        <f>HYPERLINK("http://www.rosaceae.org/Prunus/Prunus_persica/p.persica_gdr_reftransV1_0045775","p.persica_gdr_reftransV1_0045775")</f>
        <v>p.persica_gdr_reftransV1_0045775</v>
      </c>
      <c r="B6137" s="3">
        <v>2803</v>
      </c>
      <c r="C6137" s="1" t="str">
        <f>HYPERLINK("http://www.uniprot.org/uniprot/FTSHA_ARATH","FTSHA_ARATH")</f>
        <v>FTSHA_ARATH</v>
      </c>
      <c r="D6137" t="s">
        <v>5091</v>
      </c>
      <c r="E6137" s="3" t="s">
        <v>3</v>
      </c>
      <c r="F6137" s="4">
        <v>0</v>
      </c>
      <c r="G6137" s="3">
        <v>2796</v>
      </c>
      <c r="H6137" s="3">
        <v>71</v>
      </c>
      <c r="I6137" s="3">
        <v>830</v>
      </c>
      <c r="J6137" s="3">
        <v>166</v>
      </c>
      <c r="K6137" s="3">
        <v>2610</v>
      </c>
      <c r="L6137" s="3">
        <v>1</v>
      </c>
      <c r="M6137" s="3">
        <v>812</v>
      </c>
    </row>
    <row r="6138" spans="1:13" x14ac:dyDescent="0.25">
      <c r="A6138" s="1" t="str">
        <f>HYPERLINK("http://www.rosaceae.org/Prunus/Prunus_persica/p.persica_gdr_reftransV1_0045875","p.persica_gdr_reftransV1_0045875")</f>
        <v>p.persica_gdr_reftransV1_0045875</v>
      </c>
      <c r="B6138" s="3">
        <v>1000</v>
      </c>
      <c r="C6138" s="1" t="str">
        <f>HYPERLINK("http://www.uniprot.org/uniprot/ARL8A_XENTR","ARL8A_XENTR")</f>
        <v>ARL8A_XENTR</v>
      </c>
      <c r="D6138" t="s">
        <v>5092</v>
      </c>
      <c r="E6138" s="3" t="s">
        <v>173</v>
      </c>
      <c r="F6138" s="4">
        <v>4.1800000000000001E-85</v>
      </c>
      <c r="G6138" s="3">
        <v>668</v>
      </c>
      <c r="H6138" s="3">
        <v>63</v>
      </c>
      <c r="I6138" s="3">
        <v>180</v>
      </c>
      <c r="J6138" s="3">
        <v>95</v>
      </c>
      <c r="K6138" s="3">
        <v>634</v>
      </c>
      <c r="L6138" s="3">
        <v>1</v>
      </c>
      <c r="M6138" s="3">
        <v>180</v>
      </c>
    </row>
    <row r="6139" spans="1:13" x14ac:dyDescent="0.25">
      <c r="A6139" s="1" t="str">
        <f>HYPERLINK("http://www.rosaceae.org/Prunus/Prunus_persica/p.persica_gdr_reftransV1_0045925","p.persica_gdr_reftransV1_0045925")</f>
        <v>p.persica_gdr_reftransV1_0045925</v>
      </c>
      <c r="B6139" s="3">
        <v>1150</v>
      </c>
      <c r="C6139" s="1" t="str">
        <f>HYPERLINK("http://www.uniprot.org/uniprot/Y4869_ORYSJ","Y4869_ORYSJ")</f>
        <v>Y4869_ORYSJ</v>
      </c>
      <c r="D6139" t="s">
        <v>5093</v>
      </c>
      <c r="E6139" s="3" t="s">
        <v>38</v>
      </c>
      <c r="F6139" s="4">
        <v>2.9299999999999997E-26</v>
      </c>
      <c r="G6139" s="3">
        <v>271</v>
      </c>
      <c r="H6139" s="3">
        <v>40</v>
      </c>
      <c r="I6139" s="3">
        <v>127</v>
      </c>
      <c r="J6139" s="3">
        <v>540</v>
      </c>
      <c r="K6139" s="3">
        <v>908</v>
      </c>
      <c r="L6139" s="3">
        <v>86</v>
      </c>
      <c r="M6139" s="3">
        <v>212</v>
      </c>
    </row>
    <row r="6140" spans="1:13" x14ac:dyDescent="0.25">
      <c r="A6140" s="1" t="str">
        <f>HYPERLINK("http://www.rosaceae.org/Prunus/Prunus_persica/p.persica_gdr_reftransV1_0046025","p.persica_gdr_reftransV1_0046025")</f>
        <v>p.persica_gdr_reftransV1_0046025</v>
      </c>
      <c r="B6140" s="3">
        <v>2088</v>
      </c>
      <c r="C6140" s="1" t="str">
        <f>HYPERLINK("http://www.uniprot.org/uniprot/CXE11_ARATH","CXE11_ARATH")</f>
        <v>CXE11_ARATH</v>
      </c>
      <c r="D6140" t="s">
        <v>4929</v>
      </c>
      <c r="E6140" s="3" t="s">
        <v>3</v>
      </c>
      <c r="F6140" s="4">
        <v>0</v>
      </c>
      <c r="G6140" s="3">
        <v>1808</v>
      </c>
      <c r="H6140" s="3">
        <v>73</v>
      </c>
      <c r="I6140" s="3">
        <v>481</v>
      </c>
      <c r="J6140" s="3">
        <v>407</v>
      </c>
      <c r="K6140" s="3">
        <v>1837</v>
      </c>
      <c r="L6140" s="3">
        <v>1</v>
      </c>
      <c r="M6140" s="3">
        <v>460</v>
      </c>
    </row>
    <row r="6141" spans="1:13" x14ac:dyDescent="0.25">
      <c r="A6141" s="1" t="str">
        <f>HYPERLINK("http://www.rosaceae.org/Prunus/Prunus_persica/p.persica_gdr_reftransV1_0046075","p.persica_gdr_reftransV1_0046075")</f>
        <v>p.persica_gdr_reftransV1_0046075</v>
      </c>
      <c r="B6141" s="3">
        <v>2135</v>
      </c>
      <c r="C6141" s="1" t="str">
        <f>HYPERLINK("http://www.uniprot.org/uniprot/DLD_ARATH","DLD_ARATH")</f>
        <v>DLD_ARATH</v>
      </c>
      <c r="D6141" t="s">
        <v>4992</v>
      </c>
      <c r="E6141" s="3" t="s">
        <v>3</v>
      </c>
      <c r="F6141" s="4">
        <v>0</v>
      </c>
      <c r="G6141" s="3">
        <v>2242</v>
      </c>
      <c r="H6141" s="3">
        <v>80</v>
      </c>
      <c r="I6141" s="3">
        <v>519</v>
      </c>
      <c r="J6141" s="3">
        <v>331</v>
      </c>
      <c r="K6141" s="3">
        <v>1857</v>
      </c>
      <c r="L6141" s="3">
        <v>49</v>
      </c>
      <c r="M6141" s="3">
        <v>567</v>
      </c>
    </row>
    <row r="6142" spans="1:13" x14ac:dyDescent="0.25">
      <c r="A6142" s="1" t="str">
        <f>HYPERLINK("http://www.rosaceae.org/Prunus/Prunus_persica/p.persica_gdr_reftransV1_0046125","p.persica_gdr_reftransV1_0046125")</f>
        <v>p.persica_gdr_reftransV1_0046125</v>
      </c>
      <c r="B6142" s="3">
        <v>1710</v>
      </c>
      <c r="C6142" s="1" t="str">
        <f>HYPERLINK("http://www.uniprot.org/uniprot/ATB13_ARATH","ATB13_ARATH")</f>
        <v>ATB13_ARATH</v>
      </c>
      <c r="D6142" t="s">
        <v>5094</v>
      </c>
      <c r="E6142" s="3" t="s">
        <v>3</v>
      </c>
      <c r="F6142" s="4">
        <v>1.6699999999999999E-112</v>
      </c>
      <c r="G6142" s="3">
        <v>882</v>
      </c>
      <c r="H6142" s="3">
        <v>63</v>
      </c>
      <c r="I6142" s="3">
        <v>306</v>
      </c>
      <c r="J6142" s="3">
        <v>430</v>
      </c>
      <c r="K6142" s="3">
        <v>1290</v>
      </c>
      <c r="L6142" s="3">
        <v>5</v>
      </c>
      <c r="M6142" s="3">
        <v>294</v>
      </c>
    </row>
    <row r="6143" spans="1:13" x14ac:dyDescent="0.25">
      <c r="A6143" s="1" t="str">
        <f>HYPERLINK("http://www.rosaceae.org/Prunus/Prunus_persica/p.persica_gdr_reftransV1_0046275","p.persica_gdr_reftransV1_0046275")</f>
        <v>p.persica_gdr_reftransV1_0046275</v>
      </c>
      <c r="B6143" s="3">
        <v>1667</v>
      </c>
      <c r="C6143" s="1" t="str">
        <f>HYPERLINK("http://www.uniprot.org/uniprot/GRF5_ORYSJ","GRF5_ORYSJ")</f>
        <v>GRF5_ORYSJ</v>
      </c>
      <c r="D6143" t="s">
        <v>2376</v>
      </c>
      <c r="E6143" s="3" t="s">
        <v>38</v>
      </c>
      <c r="F6143" s="4">
        <v>4.2199999999999997E-81</v>
      </c>
      <c r="G6143" s="3">
        <v>674</v>
      </c>
      <c r="H6143" s="3">
        <v>47</v>
      </c>
      <c r="I6143" s="3">
        <v>325</v>
      </c>
      <c r="J6143" s="3">
        <v>377</v>
      </c>
      <c r="K6143" s="3">
        <v>1240</v>
      </c>
      <c r="L6143" s="3">
        <v>25</v>
      </c>
      <c r="M6143" s="3">
        <v>344</v>
      </c>
    </row>
    <row r="6144" spans="1:13" x14ac:dyDescent="0.25">
      <c r="A6144" s="1" t="str">
        <f>HYPERLINK("http://www.rosaceae.org/Prunus/Prunus_persica/p.persica_gdr_reftransV1_0046325","p.persica_gdr_reftransV1_0046325")</f>
        <v>p.persica_gdr_reftransV1_0046325</v>
      </c>
      <c r="B6144" s="3">
        <v>1358</v>
      </c>
      <c r="C6144" s="1" t="str">
        <f>HYPERLINK("http://www.uniprot.org/uniprot/AVT1_YEAST","AVT1_YEAST")</f>
        <v>AVT1_YEAST</v>
      </c>
      <c r="D6144" t="s">
        <v>80</v>
      </c>
      <c r="E6144" s="3" t="s">
        <v>34</v>
      </c>
      <c r="F6144" s="4">
        <v>4.7700000000000003E-25</v>
      </c>
      <c r="G6144" s="3">
        <v>278</v>
      </c>
      <c r="H6144" s="3">
        <v>28</v>
      </c>
      <c r="I6144" s="3">
        <v>399</v>
      </c>
      <c r="J6144" s="3">
        <v>153</v>
      </c>
      <c r="K6144" s="3">
        <v>1265</v>
      </c>
      <c r="L6144" s="3">
        <v>212</v>
      </c>
      <c r="M6144" s="3">
        <v>601</v>
      </c>
    </row>
    <row r="6145" spans="1:13" x14ac:dyDescent="0.25">
      <c r="A6145" s="1" t="str">
        <f>HYPERLINK("http://www.rosaceae.org/Prunus/Prunus_persica/p.persica_gdr_reftransV1_0046375","p.persica_gdr_reftransV1_0046375")</f>
        <v>p.persica_gdr_reftransV1_0046375</v>
      </c>
      <c r="B6145" s="3">
        <v>594</v>
      </c>
      <c r="C6145" s="1" t="str">
        <f>HYPERLINK("http://www.uniprot.org/uniprot/U78D2_ARATH","U78D2_ARATH")</f>
        <v>U78D2_ARATH</v>
      </c>
      <c r="D6145" t="s">
        <v>5095</v>
      </c>
      <c r="E6145" s="3" t="s">
        <v>3</v>
      </c>
      <c r="F6145" s="4">
        <v>1.61E-46</v>
      </c>
      <c r="G6145" s="3">
        <v>416</v>
      </c>
      <c r="H6145" s="3">
        <v>51</v>
      </c>
      <c r="I6145" s="3">
        <v>157</v>
      </c>
      <c r="J6145" s="3">
        <v>88</v>
      </c>
      <c r="K6145" s="3">
        <v>555</v>
      </c>
      <c r="L6145" s="3">
        <v>9</v>
      </c>
      <c r="M6145" s="3">
        <v>165</v>
      </c>
    </row>
    <row r="6146" spans="1:13" x14ac:dyDescent="0.25">
      <c r="A6146" s="1" t="str">
        <f>HYPERLINK("http://www.rosaceae.org/Prunus/Prunus_persica/p.persica_gdr_reftransV1_0046425","p.persica_gdr_reftransV1_0046425")</f>
        <v>p.persica_gdr_reftransV1_0046425</v>
      </c>
      <c r="B6146" s="3">
        <v>1074</v>
      </c>
      <c r="C6146" s="1" t="str">
        <f>HYPERLINK("http://www.uniprot.org/uniprot/RS13_SOYBN","RS13_SOYBN")</f>
        <v>RS13_SOYBN</v>
      </c>
      <c r="D6146" t="s">
        <v>5036</v>
      </c>
      <c r="E6146" s="3" t="s">
        <v>307</v>
      </c>
      <c r="F6146" s="4">
        <v>3.1499999999999998E-101</v>
      </c>
      <c r="G6146" s="3">
        <v>773</v>
      </c>
      <c r="H6146" s="3">
        <v>98</v>
      </c>
      <c r="I6146" s="3">
        <v>151</v>
      </c>
      <c r="J6146" s="3">
        <v>189</v>
      </c>
      <c r="K6146" s="3">
        <v>641</v>
      </c>
      <c r="L6146" s="3">
        <v>1</v>
      </c>
      <c r="M6146" s="3">
        <v>151</v>
      </c>
    </row>
    <row r="6147" spans="1:13" x14ac:dyDescent="0.25">
      <c r="A6147" s="1" t="str">
        <f>HYPERLINK("http://www.rosaceae.org/Prunus/Prunus_persica/p.persica_gdr_reftransV1_0046475","p.persica_gdr_reftransV1_0046475")</f>
        <v>p.persica_gdr_reftransV1_0046475</v>
      </c>
      <c r="B6147" s="3">
        <v>809</v>
      </c>
      <c r="C6147" s="1" t="str">
        <f>HYPERLINK("http://www.uniprot.org/uniprot/GAST1_SOLLC","GAST1_SOLLC")</f>
        <v>GAST1_SOLLC</v>
      </c>
      <c r="D6147" t="s">
        <v>5096</v>
      </c>
      <c r="E6147" s="3" t="s">
        <v>64</v>
      </c>
      <c r="F6147" s="4">
        <v>3.7499999999999999E-36</v>
      </c>
      <c r="G6147" s="3">
        <v>327</v>
      </c>
      <c r="H6147" s="3">
        <v>62</v>
      </c>
      <c r="I6147" s="3">
        <v>112</v>
      </c>
      <c r="J6147" s="3">
        <v>230</v>
      </c>
      <c r="K6147" s="3">
        <v>565</v>
      </c>
      <c r="L6147" s="3">
        <v>1</v>
      </c>
      <c r="M6147" s="3">
        <v>112</v>
      </c>
    </row>
    <row r="6148" spans="1:13" x14ac:dyDescent="0.25">
      <c r="A6148" s="1" t="str">
        <f>HYPERLINK("http://www.rosaceae.org/Prunus/Prunus_persica/p.persica_gdr_reftransV1_0046625","p.persica_gdr_reftransV1_0046625")</f>
        <v>p.persica_gdr_reftransV1_0046625</v>
      </c>
      <c r="B6148" s="3">
        <v>458</v>
      </c>
      <c r="C6148" s="1" t="str">
        <f>HYPERLINK("http://www.uniprot.org/uniprot/FN3KR_ARATH","FN3KR_ARATH")</f>
        <v>FN3KR_ARATH</v>
      </c>
      <c r="D6148" t="s">
        <v>274</v>
      </c>
      <c r="E6148" s="3" t="s">
        <v>3</v>
      </c>
      <c r="F6148" s="4">
        <v>4.4000000000000002E-40</v>
      </c>
      <c r="G6148" s="3">
        <v>359</v>
      </c>
      <c r="H6148" s="3">
        <v>80</v>
      </c>
      <c r="I6148" s="3">
        <v>84</v>
      </c>
      <c r="J6148" s="3">
        <v>30</v>
      </c>
      <c r="K6148" s="3">
        <v>281</v>
      </c>
      <c r="L6148" s="3">
        <v>29</v>
      </c>
      <c r="M6148" s="3">
        <v>112</v>
      </c>
    </row>
    <row r="6149" spans="1:13" x14ac:dyDescent="0.25">
      <c r="A6149" s="1" t="str">
        <f>HYPERLINK("http://www.rosaceae.org/Prunus/Prunus_persica/p.persica_gdr_reftransV1_0046675","p.persica_gdr_reftransV1_0046675")</f>
        <v>p.persica_gdr_reftransV1_0046675</v>
      </c>
      <c r="B6149" s="3">
        <v>877</v>
      </c>
      <c r="C6149" s="1" t="str">
        <f>HYPERLINK("http://www.uniprot.org/uniprot/TRXH_RICCO","TRXH_RICCO")</f>
        <v>TRXH_RICCO</v>
      </c>
      <c r="D6149" t="s">
        <v>3489</v>
      </c>
      <c r="E6149" s="3" t="s">
        <v>421</v>
      </c>
      <c r="F6149" s="4">
        <v>1.5799999999999999E-57</v>
      </c>
      <c r="G6149" s="3">
        <v>474</v>
      </c>
      <c r="H6149" s="3">
        <v>78</v>
      </c>
      <c r="I6149" s="3">
        <v>111</v>
      </c>
      <c r="J6149" s="3">
        <v>97</v>
      </c>
      <c r="K6149" s="3">
        <v>429</v>
      </c>
      <c r="L6149" s="3">
        <v>3</v>
      </c>
      <c r="M6149" s="3">
        <v>113</v>
      </c>
    </row>
    <row r="6150" spans="1:13" x14ac:dyDescent="0.25">
      <c r="A6150" s="1" t="str">
        <f>HYPERLINK("http://www.rosaceae.org/Prunus/Prunus_persica/p.persica_gdr_reftransV1_0046725","p.persica_gdr_reftransV1_0046725")</f>
        <v>p.persica_gdr_reftransV1_0046725</v>
      </c>
      <c r="B6150" s="3">
        <v>560</v>
      </c>
      <c r="C6150" s="1" t="str">
        <f>HYPERLINK("http://www.uniprot.org/uniprot/PINS_FRAVE","PINS_FRAVE")</f>
        <v>PINS_FRAVE</v>
      </c>
      <c r="D6150" t="s">
        <v>1165</v>
      </c>
      <c r="E6150" s="3" t="s">
        <v>1166</v>
      </c>
      <c r="F6150" s="4">
        <v>1.16E-72</v>
      </c>
      <c r="G6150" s="3">
        <v>599</v>
      </c>
      <c r="H6150" s="3">
        <v>78</v>
      </c>
      <c r="I6150" s="3">
        <v>138</v>
      </c>
      <c r="J6150" s="3">
        <v>145</v>
      </c>
      <c r="K6150" s="3">
        <v>558</v>
      </c>
      <c r="L6150" s="3">
        <v>420</v>
      </c>
      <c r="M6150" s="3">
        <v>556</v>
      </c>
    </row>
    <row r="6151" spans="1:13" x14ac:dyDescent="0.25">
      <c r="A6151" s="1" t="str">
        <f>HYPERLINK("http://www.rosaceae.org/Prunus/Prunus_persica/p.persica_gdr_reftransV1_0046775","p.persica_gdr_reftransV1_0046775")</f>
        <v>p.persica_gdr_reftransV1_0046775</v>
      </c>
      <c r="B6151" s="3">
        <v>1764</v>
      </c>
      <c r="C6151" s="1" t="str">
        <f>HYPERLINK("http://www.uniprot.org/uniprot/RLK1_ARATH","RLK1_ARATH")</f>
        <v>RLK1_ARATH</v>
      </c>
      <c r="D6151" t="s">
        <v>806</v>
      </c>
      <c r="E6151" s="3" t="s">
        <v>3</v>
      </c>
      <c r="F6151" s="4">
        <v>1.7E-89</v>
      </c>
      <c r="G6151" s="3">
        <v>769</v>
      </c>
      <c r="H6151" s="3">
        <v>42</v>
      </c>
      <c r="I6151" s="3">
        <v>432</v>
      </c>
      <c r="J6151" s="3">
        <v>41</v>
      </c>
      <c r="K6151" s="3">
        <v>1282</v>
      </c>
      <c r="L6151" s="3">
        <v>22</v>
      </c>
      <c r="M6151" s="3">
        <v>445</v>
      </c>
    </row>
    <row r="6152" spans="1:13" x14ac:dyDescent="0.25">
      <c r="A6152" s="1" t="str">
        <f>HYPERLINK("http://www.rosaceae.org/Prunus/Prunus_persica/p.persica_gdr_reftransV1_0046825","p.persica_gdr_reftransV1_0046825")</f>
        <v>p.persica_gdr_reftransV1_0046825</v>
      </c>
      <c r="B6152" s="3">
        <v>2516</v>
      </c>
      <c r="C6152" s="1" t="str">
        <f>HYPERLINK("http://www.uniprot.org/uniprot/SPXM3_ARATH","SPXM3_ARATH")</f>
        <v>SPXM3_ARATH</v>
      </c>
      <c r="D6152" t="s">
        <v>3779</v>
      </c>
      <c r="E6152" s="3" t="s">
        <v>3</v>
      </c>
      <c r="F6152" s="4">
        <v>0</v>
      </c>
      <c r="G6152" s="3">
        <v>2498</v>
      </c>
      <c r="H6152" s="3">
        <v>71</v>
      </c>
      <c r="I6152" s="3">
        <v>706</v>
      </c>
      <c r="J6152" s="3">
        <v>157</v>
      </c>
      <c r="K6152" s="3">
        <v>2259</v>
      </c>
      <c r="L6152" s="3">
        <v>1</v>
      </c>
      <c r="M6152" s="3">
        <v>699</v>
      </c>
    </row>
    <row r="6153" spans="1:13" x14ac:dyDescent="0.25">
      <c r="A6153" s="1" t="str">
        <f>HYPERLINK("http://www.rosaceae.org/Prunus/Prunus_persica/p.persica_gdr_reftransV1_0046925","p.persica_gdr_reftransV1_0046925")</f>
        <v>p.persica_gdr_reftransV1_0046925</v>
      </c>
      <c r="B6153" s="3">
        <v>2023</v>
      </c>
      <c r="C6153" s="1" t="str">
        <f>HYPERLINK("http://www.uniprot.org/uniprot/SCL14_ARATH","SCL14_ARATH")</f>
        <v>SCL14_ARATH</v>
      </c>
      <c r="D6153" t="s">
        <v>797</v>
      </c>
      <c r="E6153" s="3" t="s">
        <v>3</v>
      </c>
      <c r="F6153" s="4">
        <v>0</v>
      </c>
      <c r="G6153" s="3">
        <v>1432</v>
      </c>
      <c r="H6153" s="3">
        <v>44</v>
      </c>
      <c r="I6153" s="3">
        <v>685</v>
      </c>
      <c r="J6153" s="3">
        <v>38</v>
      </c>
      <c r="K6153" s="3">
        <v>1927</v>
      </c>
      <c r="L6153" s="3">
        <v>86</v>
      </c>
      <c r="M6153" s="3">
        <v>764</v>
      </c>
    </row>
    <row r="6154" spans="1:13" x14ac:dyDescent="0.25">
      <c r="A6154" s="1" t="str">
        <f>HYPERLINK("http://www.rosaceae.org/Prunus/Prunus_persica/p.persica_gdr_reftransV1_0046975","p.persica_gdr_reftransV1_0046975")</f>
        <v>p.persica_gdr_reftransV1_0046975</v>
      </c>
      <c r="B6154" s="3">
        <v>1158</v>
      </c>
      <c r="C6154" s="1" t="str">
        <f>HYPERLINK("http://www.uniprot.org/uniprot/PER66_ARATH","PER66_ARATH")</f>
        <v>PER66_ARATH</v>
      </c>
      <c r="D6154" t="s">
        <v>5097</v>
      </c>
      <c r="E6154" s="3" t="s">
        <v>3</v>
      </c>
      <c r="F6154" s="4">
        <v>4.0599999999999999E-174</v>
      </c>
      <c r="G6154" s="3">
        <v>1275</v>
      </c>
      <c r="H6154" s="3">
        <v>73</v>
      </c>
      <c r="I6154" s="3">
        <v>316</v>
      </c>
      <c r="J6154" s="3">
        <v>65</v>
      </c>
      <c r="K6154" s="3">
        <v>1009</v>
      </c>
      <c r="L6154" s="3">
        <v>7</v>
      </c>
      <c r="M6154" s="3">
        <v>322</v>
      </c>
    </row>
    <row r="6155" spans="1:13" x14ac:dyDescent="0.25">
      <c r="A6155" s="1" t="str">
        <f>HYPERLINK("http://www.rosaceae.org/Prunus/Prunus_persica/p.persica_gdr_reftransV1_0047075","p.persica_gdr_reftransV1_0047075")</f>
        <v>p.persica_gdr_reftransV1_0047075</v>
      </c>
      <c r="B6155" s="3">
        <v>1442</v>
      </c>
      <c r="C6155" s="1" t="str">
        <f>HYPERLINK("http://www.uniprot.org/uniprot/ILR1_ARATH","ILR1_ARATH")</f>
        <v>ILR1_ARATH</v>
      </c>
      <c r="D6155" t="s">
        <v>397</v>
      </c>
      <c r="E6155" s="3" t="s">
        <v>3</v>
      </c>
      <c r="F6155" s="4">
        <v>0</v>
      </c>
      <c r="G6155" s="3">
        <v>1473</v>
      </c>
      <c r="H6155" s="3">
        <v>67</v>
      </c>
      <c r="I6155" s="3">
        <v>402</v>
      </c>
      <c r="J6155" s="3">
        <v>134</v>
      </c>
      <c r="K6155" s="3">
        <v>1339</v>
      </c>
      <c r="L6155" s="3">
        <v>29</v>
      </c>
      <c r="M6155" s="3">
        <v>430</v>
      </c>
    </row>
    <row r="6156" spans="1:13" x14ac:dyDescent="0.25">
      <c r="A6156" s="1" t="str">
        <f>HYPERLINK("http://www.rosaceae.org/Prunus/Prunus_persica/p.persica_gdr_reftransV1_0047175","p.persica_gdr_reftransV1_0047175")</f>
        <v>p.persica_gdr_reftransV1_0047175</v>
      </c>
      <c r="B6156" s="3">
        <v>754</v>
      </c>
      <c r="C6156" s="1" t="str">
        <f>HYPERLINK("http://www.uniprot.org/uniprot/BAHD1_ARATH","BAHD1_ARATH")</f>
        <v>BAHD1_ARATH</v>
      </c>
      <c r="D6156" t="s">
        <v>897</v>
      </c>
      <c r="E6156" s="3" t="s">
        <v>3</v>
      </c>
      <c r="F6156" s="4">
        <v>5.4000000000000005E-29</v>
      </c>
      <c r="G6156" s="3">
        <v>293</v>
      </c>
      <c r="H6156" s="3">
        <v>35</v>
      </c>
      <c r="I6156" s="3">
        <v>207</v>
      </c>
      <c r="J6156" s="3">
        <v>54</v>
      </c>
      <c r="K6156" s="3">
        <v>632</v>
      </c>
      <c r="L6156" s="3">
        <v>237</v>
      </c>
      <c r="M6156" s="3">
        <v>442</v>
      </c>
    </row>
    <row r="6157" spans="1:13" x14ac:dyDescent="0.25">
      <c r="A6157" s="1" t="str">
        <f>HYPERLINK("http://www.rosaceae.org/Prunus/Prunus_persica/p.persica_gdr_reftransV1_0047225","p.persica_gdr_reftransV1_0047225")</f>
        <v>p.persica_gdr_reftransV1_0047225</v>
      </c>
      <c r="B6157" s="3">
        <v>465</v>
      </c>
      <c r="C6157" s="1" t="str">
        <f>HYPERLINK("http://www.uniprot.org/uniprot/MYB4_ARATH","MYB4_ARATH")</f>
        <v>MYB4_ARATH</v>
      </c>
      <c r="D6157" t="s">
        <v>2063</v>
      </c>
      <c r="E6157" s="3" t="s">
        <v>3</v>
      </c>
      <c r="F6157" s="4">
        <v>3.1500000000000001E-19</v>
      </c>
      <c r="G6157" s="3">
        <v>211</v>
      </c>
      <c r="H6157" s="3">
        <v>42</v>
      </c>
      <c r="I6157" s="3">
        <v>125</v>
      </c>
      <c r="J6157" s="3">
        <v>86</v>
      </c>
      <c r="K6157" s="3">
        <v>439</v>
      </c>
      <c r="L6157" s="3">
        <v>84</v>
      </c>
      <c r="M6157" s="3">
        <v>207</v>
      </c>
    </row>
    <row r="6158" spans="1:13" x14ac:dyDescent="0.25">
      <c r="A6158" s="1" t="str">
        <f>HYPERLINK("http://www.rosaceae.org/Prunus/Prunus_persica/p.persica_gdr_reftransV1_0047275","p.persica_gdr_reftransV1_0047275")</f>
        <v>p.persica_gdr_reftransV1_0047275</v>
      </c>
      <c r="B6158" s="3">
        <v>1063</v>
      </c>
      <c r="C6158" s="1" t="str">
        <f>HYPERLINK("http://www.uniprot.org/uniprot/PSF1_MOUSE","PSF1_MOUSE")</f>
        <v>PSF1_MOUSE</v>
      </c>
      <c r="D6158" t="s">
        <v>5098</v>
      </c>
      <c r="E6158" s="3" t="s">
        <v>157</v>
      </c>
      <c r="F6158" s="4">
        <v>1.15E-27</v>
      </c>
      <c r="G6158" s="3">
        <v>280</v>
      </c>
      <c r="H6158" s="3">
        <v>32</v>
      </c>
      <c r="I6158" s="3">
        <v>204</v>
      </c>
      <c r="J6158" s="3">
        <v>217</v>
      </c>
      <c r="K6158" s="3">
        <v>810</v>
      </c>
      <c r="L6158" s="3">
        <v>1</v>
      </c>
      <c r="M6158" s="3">
        <v>196</v>
      </c>
    </row>
    <row r="6159" spans="1:13" x14ac:dyDescent="0.25">
      <c r="A6159" s="1" t="str">
        <f>HYPERLINK("http://www.rosaceae.org/Prunus/Prunus_persica/p.persica_gdr_reftransV1_0047375","p.persica_gdr_reftransV1_0047375")</f>
        <v>p.persica_gdr_reftransV1_0047375</v>
      </c>
      <c r="B6159" s="3">
        <v>936</v>
      </c>
      <c r="C6159" s="1" t="str">
        <f>HYPERLINK("http://www.uniprot.org/uniprot/RS242_ARATH","RS242_ARATH")</f>
        <v>RS242_ARATH</v>
      </c>
      <c r="D6159" t="s">
        <v>5099</v>
      </c>
      <c r="E6159" s="3" t="s">
        <v>3</v>
      </c>
      <c r="F6159" s="4">
        <v>7.7399999999999998E-72</v>
      </c>
      <c r="G6159" s="3">
        <v>572</v>
      </c>
      <c r="H6159" s="3">
        <v>89</v>
      </c>
      <c r="I6159" s="3">
        <v>121</v>
      </c>
      <c r="J6159" s="3">
        <v>163</v>
      </c>
      <c r="K6159" s="3">
        <v>525</v>
      </c>
      <c r="L6159" s="3">
        <v>1</v>
      </c>
      <c r="M6159" s="3">
        <v>121</v>
      </c>
    </row>
    <row r="6160" spans="1:13" x14ac:dyDescent="0.25">
      <c r="A6160" s="1" t="str">
        <f>HYPERLINK("http://www.rosaceae.org/Prunus/Prunus_persica/p.persica_gdr_reftransV1_0047425","p.persica_gdr_reftransV1_0047425")</f>
        <v>p.persica_gdr_reftransV1_0047425</v>
      </c>
      <c r="B6160" s="3">
        <v>1814</v>
      </c>
      <c r="C6160" s="1" t="str">
        <f>HYPERLINK("http://www.uniprot.org/uniprot/MSK3_MEDSA","MSK3_MEDSA")</f>
        <v>MSK3_MEDSA</v>
      </c>
      <c r="D6160" t="s">
        <v>5100</v>
      </c>
      <c r="E6160" s="3" t="s">
        <v>515</v>
      </c>
      <c r="F6160" s="4">
        <v>0</v>
      </c>
      <c r="G6160" s="3">
        <v>1608</v>
      </c>
      <c r="H6160" s="3">
        <v>94</v>
      </c>
      <c r="I6160" s="3">
        <v>313</v>
      </c>
      <c r="J6160" s="3">
        <v>876</v>
      </c>
      <c r="K6160" s="3">
        <v>1814</v>
      </c>
      <c r="L6160" s="3">
        <v>99</v>
      </c>
      <c r="M6160" s="3">
        <v>411</v>
      </c>
    </row>
    <row r="6161" spans="1:13" x14ac:dyDescent="0.25">
      <c r="A6161" s="1" t="str">
        <f>HYPERLINK("http://www.rosaceae.org/Prunus/Prunus_persica/p.persica_gdr_reftransV1_0047525","p.persica_gdr_reftransV1_0047525")</f>
        <v>p.persica_gdr_reftransV1_0047525</v>
      </c>
      <c r="B6161" s="3">
        <v>1462</v>
      </c>
      <c r="C6161" s="1" t="str">
        <f>HYPERLINK("http://www.uniprot.org/uniprot/BAHL1_ORYSJ","BAHL1_ORYSJ")</f>
        <v>BAHL1_ORYSJ</v>
      </c>
      <c r="D6161" t="s">
        <v>5101</v>
      </c>
      <c r="E6161" s="3" t="s">
        <v>38</v>
      </c>
      <c r="F6161" s="4">
        <v>4.7800000000000004E-137</v>
      </c>
      <c r="G6161" s="3">
        <v>1042</v>
      </c>
      <c r="H6161" s="3">
        <v>61</v>
      </c>
      <c r="I6161" s="3">
        <v>334</v>
      </c>
      <c r="J6161" s="3">
        <v>203</v>
      </c>
      <c r="K6161" s="3">
        <v>1186</v>
      </c>
      <c r="L6161" s="3">
        <v>1</v>
      </c>
      <c r="M6161" s="3">
        <v>333</v>
      </c>
    </row>
    <row r="6162" spans="1:13" x14ac:dyDescent="0.25">
      <c r="A6162" s="1" t="str">
        <f>HYPERLINK("http://www.rosaceae.org/Prunus/Prunus_persica/p.persica_gdr_reftransV1_0047625","p.persica_gdr_reftransV1_0047625")</f>
        <v>p.persica_gdr_reftransV1_0047625</v>
      </c>
      <c r="B6162" s="3">
        <v>437</v>
      </c>
      <c r="C6162" s="1" t="str">
        <f>HYPERLINK("http://www.uniprot.org/uniprot/EMS1_ARATH","EMS1_ARATH")</f>
        <v>EMS1_ARATH</v>
      </c>
      <c r="D6162" t="s">
        <v>4601</v>
      </c>
      <c r="E6162" s="3" t="s">
        <v>3</v>
      </c>
      <c r="F6162" s="4">
        <v>6.2099999999999998E-54</v>
      </c>
      <c r="G6162" s="3">
        <v>477</v>
      </c>
      <c r="H6162" s="3">
        <v>70</v>
      </c>
      <c r="I6162" s="3">
        <v>145</v>
      </c>
      <c r="J6162" s="3">
        <v>1</v>
      </c>
      <c r="K6162" s="3">
        <v>435</v>
      </c>
      <c r="L6162" s="3">
        <v>590</v>
      </c>
      <c r="M6162" s="3">
        <v>734</v>
      </c>
    </row>
    <row r="6163" spans="1:13" x14ac:dyDescent="0.25">
      <c r="A6163" s="1" t="str">
        <f>HYPERLINK("http://www.rosaceae.org/Prunus/Prunus_persica/p.persica_gdr_reftransV1_0047725","p.persica_gdr_reftransV1_0047725")</f>
        <v>p.persica_gdr_reftransV1_0047725</v>
      </c>
      <c r="B6163" s="3">
        <v>990</v>
      </c>
      <c r="C6163" s="1" t="str">
        <f>HYPERLINK("http://www.uniprot.org/uniprot/RPM1_ARATH","RPM1_ARATH")</f>
        <v>RPM1_ARATH</v>
      </c>
      <c r="D6163" t="s">
        <v>453</v>
      </c>
      <c r="E6163" s="3" t="s">
        <v>3</v>
      </c>
      <c r="F6163" s="4">
        <v>2.4200000000000001E-42</v>
      </c>
      <c r="G6163" s="3">
        <v>408</v>
      </c>
      <c r="H6163" s="3">
        <v>32</v>
      </c>
      <c r="I6163" s="3">
        <v>339</v>
      </c>
      <c r="J6163" s="3">
        <v>21</v>
      </c>
      <c r="K6163" s="3">
        <v>989</v>
      </c>
      <c r="L6163" s="3">
        <v>24</v>
      </c>
      <c r="M6163" s="3">
        <v>350</v>
      </c>
    </row>
    <row r="6164" spans="1:13" x14ac:dyDescent="0.25">
      <c r="A6164" s="1" t="str">
        <f>HYPERLINK("http://www.rosaceae.org/Prunus/Prunus_persica/p.persica_gdr_reftransV1_0047825","p.persica_gdr_reftransV1_0047825")</f>
        <v>p.persica_gdr_reftransV1_0047825</v>
      </c>
      <c r="B6164" s="3">
        <v>2966</v>
      </c>
      <c r="C6164" s="1" t="str">
        <f>HYPERLINK("http://www.uniprot.org/uniprot/GUN9_ORYSJ","GUN9_ORYSJ")</f>
        <v>GUN9_ORYSJ</v>
      </c>
      <c r="D6164" t="s">
        <v>4452</v>
      </c>
      <c r="E6164" s="3" t="s">
        <v>38</v>
      </c>
      <c r="F6164" s="4">
        <v>2.3799999999999999E-180</v>
      </c>
      <c r="G6164" s="3">
        <v>1403</v>
      </c>
      <c r="H6164" s="3">
        <v>65</v>
      </c>
      <c r="I6164" s="3">
        <v>478</v>
      </c>
      <c r="J6164" s="3">
        <v>1383</v>
      </c>
      <c r="K6164" s="3">
        <v>2792</v>
      </c>
      <c r="L6164" s="3">
        <v>128</v>
      </c>
      <c r="M6164" s="3">
        <v>603</v>
      </c>
    </row>
    <row r="6165" spans="1:13" x14ac:dyDescent="0.25">
      <c r="A6165" s="1" t="str">
        <f>HYPERLINK("http://www.rosaceae.org/Prunus/Prunus_persica/p.persica_gdr_reftransV1_0047875","p.persica_gdr_reftransV1_0047875")</f>
        <v>p.persica_gdr_reftransV1_0047875</v>
      </c>
      <c r="B6165" s="3">
        <v>971</v>
      </c>
      <c r="C6165" s="1" t="str">
        <f>HYPERLINK("http://www.uniprot.org/uniprot/AI5L1_ARATH","AI5L1_ARATH")</f>
        <v>AI5L1_ARATH</v>
      </c>
      <c r="D6165" t="s">
        <v>4874</v>
      </c>
      <c r="E6165" s="3" t="s">
        <v>3</v>
      </c>
      <c r="F6165" s="4">
        <v>1.42E-30</v>
      </c>
      <c r="G6165" s="3">
        <v>307</v>
      </c>
      <c r="H6165" s="3">
        <v>47</v>
      </c>
      <c r="I6165" s="3">
        <v>167</v>
      </c>
      <c r="J6165" s="3">
        <v>452</v>
      </c>
      <c r="K6165" s="3">
        <v>949</v>
      </c>
      <c r="L6165" s="3">
        <v>35</v>
      </c>
      <c r="M6165" s="3">
        <v>162</v>
      </c>
    </row>
    <row r="6166" spans="1:13" x14ac:dyDescent="0.25">
      <c r="A6166" s="1" t="str">
        <f>HYPERLINK("http://www.rosaceae.org/Prunus/Prunus_persica/p.persica_gdr_reftransV1_0047925","p.persica_gdr_reftransV1_0047925")</f>
        <v>p.persica_gdr_reftransV1_0047925</v>
      </c>
      <c r="B6166" s="3">
        <v>910</v>
      </c>
      <c r="C6166" s="1" t="str">
        <f>HYPERLINK("http://www.uniprot.org/uniprot/KCY4_ORYSJ","KCY4_ORYSJ")</f>
        <v>KCY4_ORYSJ</v>
      </c>
      <c r="D6166" t="s">
        <v>5102</v>
      </c>
      <c r="E6166" s="3" t="s">
        <v>38</v>
      </c>
      <c r="F6166" s="4">
        <v>2.0999999999999999E-81</v>
      </c>
      <c r="G6166" s="3">
        <v>643</v>
      </c>
      <c r="H6166" s="3">
        <v>62</v>
      </c>
      <c r="I6166" s="3">
        <v>198</v>
      </c>
      <c r="J6166" s="3">
        <v>188</v>
      </c>
      <c r="K6166" s="3">
        <v>772</v>
      </c>
      <c r="L6166" s="3">
        <v>9</v>
      </c>
      <c r="M6166" s="3">
        <v>206</v>
      </c>
    </row>
    <row r="6167" spans="1:13" x14ac:dyDescent="0.25">
      <c r="A6167" s="1" t="str">
        <f>HYPERLINK("http://www.rosaceae.org/Prunus/Prunus_persica/p.persica_gdr_reftransV1_0047975","p.persica_gdr_reftransV1_0047975")</f>
        <v>p.persica_gdr_reftransV1_0047975</v>
      </c>
      <c r="B6167" s="3">
        <v>1941</v>
      </c>
      <c r="C6167" s="1" t="str">
        <f>HYPERLINK("http://www.uniprot.org/uniprot/LRK91_ARATH","LRK91_ARATH")</f>
        <v>LRK91_ARATH</v>
      </c>
      <c r="D6167" t="s">
        <v>5103</v>
      </c>
      <c r="E6167" s="3" t="s">
        <v>3</v>
      </c>
      <c r="F6167" s="4">
        <v>3.8499999999999999E-151</v>
      </c>
      <c r="G6167" s="3">
        <v>1180</v>
      </c>
      <c r="H6167" s="3">
        <v>48</v>
      </c>
      <c r="I6167" s="3">
        <v>585</v>
      </c>
      <c r="J6167" s="3">
        <v>192</v>
      </c>
      <c r="K6167" s="3">
        <v>1913</v>
      </c>
      <c r="L6167" s="3">
        <v>72</v>
      </c>
      <c r="M6167" s="3">
        <v>625</v>
      </c>
    </row>
    <row r="6168" spans="1:13" x14ac:dyDescent="0.25">
      <c r="A6168" s="1" t="str">
        <f>HYPERLINK("http://www.rosaceae.org/Prunus/Prunus_persica/p.persica_gdr_reftransV1_0048025","p.persica_gdr_reftransV1_0048025")</f>
        <v>p.persica_gdr_reftransV1_0048025</v>
      </c>
      <c r="B6168" s="3">
        <v>408</v>
      </c>
      <c r="C6168" s="1" t="str">
        <f>HYPERLINK("http://www.uniprot.org/uniprot/CALS5_ARATH","CALS5_ARATH")</f>
        <v>CALS5_ARATH</v>
      </c>
      <c r="D6168" t="s">
        <v>932</v>
      </c>
      <c r="E6168" s="3" t="s">
        <v>3</v>
      </c>
      <c r="F6168" s="4">
        <v>2.23E-71</v>
      </c>
      <c r="G6168" s="3">
        <v>608</v>
      </c>
      <c r="H6168" s="3">
        <v>84</v>
      </c>
      <c r="I6168" s="3">
        <v>136</v>
      </c>
      <c r="J6168" s="3">
        <v>2</v>
      </c>
      <c r="K6168" s="3">
        <v>406</v>
      </c>
      <c r="L6168" s="3">
        <v>192</v>
      </c>
      <c r="M6168" s="3">
        <v>327</v>
      </c>
    </row>
    <row r="6169" spans="1:13" x14ac:dyDescent="0.25">
      <c r="A6169" s="1" t="str">
        <f>HYPERLINK("http://www.rosaceae.org/Prunus/Prunus_persica/p.persica_gdr_reftransV1_0048075","p.persica_gdr_reftransV1_0048075")</f>
        <v>p.persica_gdr_reftransV1_0048075</v>
      </c>
      <c r="B6169" s="3">
        <v>834</v>
      </c>
      <c r="C6169" s="1" t="str">
        <f>HYPERLINK("http://www.uniprot.org/uniprot/LEA2_CICAR","LEA2_CICAR")</f>
        <v>LEA2_CICAR</v>
      </c>
      <c r="D6169" t="s">
        <v>5104</v>
      </c>
      <c r="E6169" s="3" t="s">
        <v>944</v>
      </c>
      <c r="F6169" s="4">
        <v>1.5600000000000001E-14</v>
      </c>
      <c r="G6169" s="3">
        <v>178</v>
      </c>
      <c r="H6169" s="3">
        <v>49</v>
      </c>
      <c r="I6169" s="3">
        <v>148</v>
      </c>
      <c r="J6169" s="3">
        <v>103</v>
      </c>
      <c r="K6169" s="3">
        <v>534</v>
      </c>
      <c r="L6169" s="3">
        <v>1</v>
      </c>
      <c r="M6169" s="3">
        <v>148</v>
      </c>
    </row>
    <row r="6170" spans="1:13" x14ac:dyDescent="0.25">
      <c r="A6170" s="1" t="str">
        <f>HYPERLINK("http://www.rosaceae.org/Prunus/Prunus_persica/p.persica_gdr_reftransV1_0048125","p.persica_gdr_reftransV1_0048125")</f>
        <v>p.persica_gdr_reftransV1_0048125</v>
      </c>
      <c r="B6170" s="3">
        <v>2111</v>
      </c>
      <c r="C6170" s="1" t="str">
        <f>HYPERLINK("http://www.uniprot.org/uniprot/ATPBM_NICPL","ATPBM_NICPL")</f>
        <v>ATPBM_NICPL</v>
      </c>
      <c r="D6170" t="s">
        <v>5105</v>
      </c>
      <c r="E6170" s="3" t="s">
        <v>1450</v>
      </c>
      <c r="F6170" s="4">
        <v>0</v>
      </c>
      <c r="G6170" s="3">
        <v>2443</v>
      </c>
      <c r="H6170" s="3">
        <v>92</v>
      </c>
      <c r="I6170" s="3">
        <v>516</v>
      </c>
      <c r="J6170" s="3">
        <v>284</v>
      </c>
      <c r="K6170" s="3">
        <v>1825</v>
      </c>
      <c r="L6170" s="3">
        <v>45</v>
      </c>
      <c r="M6170" s="3">
        <v>560</v>
      </c>
    </row>
    <row r="6171" spans="1:13" x14ac:dyDescent="0.25">
      <c r="A6171" s="1" t="str">
        <f>HYPERLINK("http://www.rosaceae.org/Prunus/Prunus_persica/p.persica_gdr_reftransV1_0048175","p.persica_gdr_reftransV1_0048175")</f>
        <v>p.persica_gdr_reftransV1_0048175</v>
      </c>
      <c r="B6171" s="3">
        <v>636</v>
      </c>
      <c r="C6171" s="1" t="str">
        <f>HYPERLINK("http://www.uniprot.org/uniprot/RPOC1_POPTR","RPOC1_POPTR")</f>
        <v>RPOC1_POPTR</v>
      </c>
      <c r="D6171" t="s">
        <v>4463</v>
      </c>
      <c r="E6171" s="3" t="s">
        <v>340</v>
      </c>
      <c r="F6171" s="4">
        <v>1.72E-98</v>
      </c>
      <c r="G6171" s="3">
        <v>785</v>
      </c>
      <c r="H6171" s="3">
        <v>93</v>
      </c>
      <c r="I6171" s="3">
        <v>154</v>
      </c>
      <c r="J6171" s="3">
        <v>78</v>
      </c>
      <c r="K6171" s="3">
        <v>539</v>
      </c>
      <c r="L6171" s="3">
        <v>1</v>
      </c>
      <c r="M6171" s="3">
        <v>154</v>
      </c>
    </row>
    <row r="6172" spans="1:13" x14ac:dyDescent="0.25">
      <c r="A6172" s="1" t="str">
        <f>HYPERLINK("http://www.rosaceae.org/Prunus/Prunus_persica/p.persica_gdr_reftransV1_0048225","p.persica_gdr_reftransV1_0048225")</f>
        <v>p.persica_gdr_reftransV1_0048225</v>
      </c>
      <c r="B6172" s="3">
        <v>1802</v>
      </c>
      <c r="C6172" s="1" t="str">
        <f>HYPERLINK("http://www.uniprot.org/uniprot/TBA_PRUDU","TBA_PRUDU")</f>
        <v>TBA_PRUDU</v>
      </c>
      <c r="D6172" t="s">
        <v>5106</v>
      </c>
      <c r="E6172" s="3" t="s">
        <v>418</v>
      </c>
      <c r="F6172" s="4">
        <v>0</v>
      </c>
      <c r="G6172" s="3">
        <v>2204</v>
      </c>
      <c r="H6172" s="3">
        <v>99</v>
      </c>
      <c r="I6172" s="3">
        <v>432</v>
      </c>
      <c r="J6172" s="3">
        <v>243</v>
      </c>
      <c r="K6172" s="3">
        <v>1538</v>
      </c>
      <c r="L6172" s="3">
        <v>1</v>
      </c>
      <c r="M6172" s="3">
        <v>432</v>
      </c>
    </row>
    <row r="6173" spans="1:13" x14ac:dyDescent="0.25">
      <c r="A6173" s="1" t="str">
        <f>HYPERLINK("http://www.rosaceae.org/Prunus/Prunus_persica/p.persica_gdr_reftransV1_0048275","p.persica_gdr_reftransV1_0048275")</f>
        <v>p.persica_gdr_reftransV1_0048275</v>
      </c>
      <c r="B6173" s="3">
        <v>2963</v>
      </c>
      <c r="C6173" s="1" t="str">
        <f>HYPERLINK("http://www.uniprot.org/uniprot/PP344_ARATH","PP344_ARATH")</f>
        <v>PP344_ARATH</v>
      </c>
      <c r="D6173" t="s">
        <v>2078</v>
      </c>
      <c r="E6173" s="3" t="s">
        <v>3</v>
      </c>
      <c r="F6173" s="4">
        <v>0</v>
      </c>
      <c r="G6173" s="3">
        <v>3227</v>
      </c>
      <c r="H6173" s="3">
        <v>67</v>
      </c>
      <c r="I6173" s="3">
        <v>894</v>
      </c>
      <c r="J6173" s="3">
        <v>1</v>
      </c>
      <c r="K6173" s="3">
        <v>2673</v>
      </c>
      <c r="L6173" s="3">
        <v>218</v>
      </c>
      <c r="M6173" s="3">
        <v>1111</v>
      </c>
    </row>
    <row r="6174" spans="1:13" x14ac:dyDescent="0.25">
      <c r="A6174" s="1" t="str">
        <f>HYPERLINK("http://www.rosaceae.org/Prunus/Prunus_persica/p.persica_gdr_reftransV1_0048325","p.persica_gdr_reftransV1_0048325")</f>
        <v>p.persica_gdr_reftransV1_0048325</v>
      </c>
      <c r="B6174" s="3">
        <v>495</v>
      </c>
      <c r="C6174" s="1" t="str">
        <f>HYPERLINK("http://www.uniprot.org/uniprot/ROS1_ARATH","ROS1_ARATH")</f>
        <v>ROS1_ARATH</v>
      </c>
      <c r="D6174" t="s">
        <v>1691</v>
      </c>
      <c r="E6174" s="3" t="s">
        <v>3</v>
      </c>
      <c r="F6174" s="4">
        <v>4.7799999999999998E-20</v>
      </c>
      <c r="G6174" s="3">
        <v>227</v>
      </c>
      <c r="H6174" s="3">
        <v>45</v>
      </c>
      <c r="I6174" s="3">
        <v>114</v>
      </c>
      <c r="J6174" s="3">
        <v>160</v>
      </c>
      <c r="K6174" s="3">
        <v>486</v>
      </c>
      <c r="L6174" s="3">
        <v>1131</v>
      </c>
      <c r="M6174" s="3">
        <v>1244</v>
      </c>
    </row>
    <row r="6175" spans="1:13" x14ac:dyDescent="0.25">
      <c r="A6175" s="1" t="str">
        <f>HYPERLINK("http://www.rosaceae.org/Prunus/Prunus_persica/p.persica_gdr_reftransV1_0048375","p.persica_gdr_reftransV1_0048375")</f>
        <v>p.persica_gdr_reftransV1_0048375</v>
      </c>
      <c r="B6175" s="3">
        <v>2268</v>
      </c>
      <c r="C6175" s="1" t="str">
        <f>HYPERLINK("http://www.uniprot.org/uniprot/MATE3_ARATH","MATE3_ARATH")</f>
        <v>MATE3_ARATH</v>
      </c>
      <c r="D6175" t="s">
        <v>5107</v>
      </c>
      <c r="E6175" s="3" t="s">
        <v>3</v>
      </c>
      <c r="F6175" s="4">
        <v>0</v>
      </c>
      <c r="G6175" s="3">
        <v>1530</v>
      </c>
      <c r="H6175" s="3">
        <v>60</v>
      </c>
      <c r="I6175" s="3">
        <v>567</v>
      </c>
      <c r="J6175" s="3">
        <v>420</v>
      </c>
      <c r="K6175" s="3">
        <v>2102</v>
      </c>
      <c r="L6175" s="3">
        <v>28</v>
      </c>
      <c r="M6175" s="3">
        <v>558</v>
      </c>
    </row>
    <row r="6176" spans="1:13" x14ac:dyDescent="0.25">
      <c r="A6176" s="1" t="str">
        <f>HYPERLINK("http://www.rosaceae.org/Prunus/Prunus_persica/p.persica_gdr_reftransV1_0048475","p.persica_gdr_reftransV1_0048475")</f>
        <v>p.persica_gdr_reftransV1_0048475</v>
      </c>
      <c r="B6176" s="3">
        <v>757</v>
      </c>
      <c r="C6176" s="1" t="str">
        <f>HYPERLINK("http://www.uniprot.org/uniprot/COPIA_DROME","COPIA_DROME")</f>
        <v>COPIA_DROME</v>
      </c>
      <c r="D6176" t="s">
        <v>478</v>
      </c>
      <c r="E6176" s="3" t="s">
        <v>5</v>
      </c>
      <c r="F6176" s="4">
        <v>1.17E-43</v>
      </c>
      <c r="G6176" s="3">
        <v>413</v>
      </c>
      <c r="H6176" s="3">
        <v>45</v>
      </c>
      <c r="I6176" s="3">
        <v>215</v>
      </c>
      <c r="J6176" s="3">
        <v>72</v>
      </c>
      <c r="K6176" s="3">
        <v>704</v>
      </c>
      <c r="L6176" s="3">
        <v>1182</v>
      </c>
      <c r="M6176" s="3">
        <v>1396</v>
      </c>
    </row>
    <row r="6177" spans="1:13" x14ac:dyDescent="0.25">
      <c r="A6177" s="1" t="str">
        <f>HYPERLINK("http://www.rosaceae.org/Prunus/Prunus_persica/p.persica_gdr_reftransV1_0048525","p.persica_gdr_reftransV1_0048525")</f>
        <v>p.persica_gdr_reftransV1_0048525</v>
      </c>
      <c r="B6177" s="3">
        <v>2827</v>
      </c>
      <c r="C6177" s="1" t="str">
        <f>HYPERLINK("http://www.uniprot.org/uniprot/SYQ_LUPLU","SYQ_LUPLU")</f>
        <v>SYQ_LUPLU</v>
      </c>
      <c r="D6177" t="s">
        <v>2357</v>
      </c>
      <c r="E6177" s="3" t="s">
        <v>2358</v>
      </c>
      <c r="F6177" s="4">
        <v>0</v>
      </c>
      <c r="G6177" s="3">
        <v>3510</v>
      </c>
      <c r="H6177" s="3">
        <v>81</v>
      </c>
      <c r="I6177" s="3">
        <v>790</v>
      </c>
      <c r="J6177" s="3">
        <v>231</v>
      </c>
      <c r="K6177" s="3">
        <v>2600</v>
      </c>
      <c r="L6177" s="3">
        <v>1</v>
      </c>
      <c r="M6177" s="3">
        <v>789</v>
      </c>
    </row>
    <row r="6178" spans="1:13" x14ac:dyDescent="0.25">
      <c r="A6178" s="1" t="str">
        <f>HYPERLINK("http://www.rosaceae.org/Prunus/Prunus_persica/p.persica_gdr_reftransV1_0048575","p.persica_gdr_reftransV1_0048575")</f>
        <v>p.persica_gdr_reftransV1_0048575</v>
      </c>
      <c r="B6178" s="3">
        <v>2154</v>
      </c>
      <c r="C6178" s="1" t="str">
        <f>HYPERLINK("http://www.uniprot.org/uniprot/TMN3_ARATH","TMN3_ARATH")</f>
        <v>TMN3_ARATH</v>
      </c>
      <c r="D6178" t="s">
        <v>5108</v>
      </c>
      <c r="E6178" s="3" t="s">
        <v>3</v>
      </c>
      <c r="F6178" s="4">
        <v>0</v>
      </c>
      <c r="G6178" s="3">
        <v>2483</v>
      </c>
      <c r="H6178" s="3">
        <v>89</v>
      </c>
      <c r="I6178" s="3">
        <v>584</v>
      </c>
      <c r="J6178" s="3">
        <v>296</v>
      </c>
      <c r="K6178" s="3">
        <v>2044</v>
      </c>
      <c r="L6178" s="3">
        <v>9</v>
      </c>
      <c r="M6178" s="3">
        <v>592</v>
      </c>
    </row>
    <row r="6179" spans="1:13" x14ac:dyDescent="0.25">
      <c r="A6179" s="1" t="str">
        <f>HYPERLINK("http://www.rosaceae.org/Prunus/Prunus_persica/p.persica_gdr_reftransV1_0048675","p.persica_gdr_reftransV1_0048675")</f>
        <v>p.persica_gdr_reftransV1_0048675</v>
      </c>
      <c r="B6179" s="3">
        <v>802</v>
      </c>
      <c r="C6179" s="1" t="str">
        <f>HYPERLINK("http://www.uniprot.org/uniprot/LPXA_ARATH","LPXA_ARATH")</f>
        <v>LPXA_ARATH</v>
      </c>
      <c r="D6179" t="s">
        <v>3421</v>
      </c>
      <c r="E6179" s="3" t="s">
        <v>3</v>
      </c>
      <c r="F6179" s="4">
        <v>6.1100000000000001E-87</v>
      </c>
      <c r="G6179" s="3">
        <v>583</v>
      </c>
      <c r="H6179" s="3">
        <v>83</v>
      </c>
      <c r="I6179" s="3">
        <v>147</v>
      </c>
      <c r="J6179" s="3">
        <v>175</v>
      </c>
      <c r="K6179" s="3">
        <v>615</v>
      </c>
      <c r="L6179" s="3">
        <v>97</v>
      </c>
      <c r="M6179" s="3">
        <v>243</v>
      </c>
    </row>
    <row r="6180" spans="1:13" x14ac:dyDescent="0.25">
      <c r="A6180" s="1" t="str">
        <f>HYPERLINK("http://www.rosaceae.org/Prunus/Prunus_persica/p.persica_gdr_reftransV1_0048725","p.persica_gdr_reftransV1_0048725")</f>
        <v>p.persica_gdr_reftransV1_0048725</v>
      </c>
      <c r="B6180" s="3">
        <v>1685</v>
      </c>
      <c r="C6180" s="1" t="str">
        <f>HYPERLINK("http://www.uniprot.org/uniprot/Y3720_ARATH","Y3720_ARATH")</f>
        <v>Y3720_ARATH</v>
      </c>
      <c r="D6180" t="s">
        <v>104</v>
      </c>
      <c r="E6180" s="3" t="s">
        <v>3</v>
      </c>
      <c r="F6180" s="4">
        <v>1.14E-23</v>
      </c>
      <c r="G6180" s="3">
        <v>268</v>
      </c>
      <c r="H6180" s="3">
        <v>28</v>
      </c>
      <c r="I6180" s="3">
        <v>339</v>
      </c>
      <c r="J6180" s="3">
        <v>537</v>
      </c>
      <c r="K6180" s="3">
        <v>1457</v>
      </c>
      <c r="L6180" s="3">
        <v>48</v>
      </c>
      <c r="M6180" s="3">
        <v>369</v>
      </c>
    </row>
    <row r="6181" spans="1:13" x14ac:dyDescent="0.25">
      <c r="A6181" s="1" t="str">
        <f>HYPERLINK("http://www.rosaceae.org/Prunus/Prunus_persica/p.persica_gdr_reftransV1_0048775","p.persica_gdr_reftransV1_0048775")</f>
        <v>p.persica_gdr_reftransV1_0048775</v>
      </c>
      <c r="B6181" s="3">
        <v>324</v>
      </c>
      <c r="C6181" s="1" t="str">
        <f>HYPERLINK("http://www.uniprot.org/uniprot/PP114_ARATH","PP114_ARATH")</f>
        <v>PP114_ARATH</v>
      </c>
      <c r="D6181" t="s">
        <v>5109</v>
      </c>
      <c r="E6181" s="3" t="s">
        <v>3</v>
      </c>
      <c r="F6181" s="4">
        <v>1.87E-37</v>
      </c>
      <c r="G6181" s="3">
        <v>347</v>
      </c>
      <c r="H6181" s="3">
        <v>58</v>
      </c>
      <c r="I6181" s="3">
        <v>108</v>
      </c>
      <c r="J6181" s="3">
        <v>1</v>
      </c>
      <c r="K6181" s="3">
        <v>324</v>
      </c>
      <c r="L6181" s="3">
        <v>416</v>
      </c>
      <c r="M6181" s="3">
        <v>523</v>
      </c>
    </row>
    <row r="6182" spans="1:13" x14ac:dyDescent="0.25">
      <c r="A6182" s="1" t="str">
        <f>HYPERLINK("http://www.rosaceae.org/Prunus/Prunus_persica/p.persica_gdr_reftransV1_0048825","p.persica_gdr_reftransV1_0048825")</f>
        <v>p.persica_gdr_reftransV1_0048825</v>
      </c>
      <c r="B6182" s="3">
        <v>321</v>
      </c>
      <c r="C6182" s="1" t="str">
        <f>HYPERLINK("http://www.uniprot.org/uniprot/SAB_ARATH","SAB_ARATH")</f>
        <v>SAB_ARATH</v>
      </c>
      <c r="D6182" t="s">
        <v>3098</v>
      </c>
      <c r="E6182" s="3" t="s">
        <v>3</v>
      </c>
      <c r="F6182" s="4">
        <v>1.3800000000000001E-26</v>
      </c>
      <c r="G6182" s="3">
        <v>270</v>
      </c>
      <c r="H6182" s="3">
        <v>67</v>
      </c>
      <c r="I6182" s="3">
        <v>75</v>
      </c>
      <c r="J6182" s="3">
        <v>3</v>
      </c>
      <c r="K6182" s="3">
        <v>227</v>
      </c>
      <c r="L6182" s="3">
        <v>515</v>
      </c>
      <c r="M6182" s="3">
        <v>589</v>
      </c>
    </row>
    <row r="6183" spans="1:13" x14ac:dyDescent="0.25">
      <c r="A6183" s="1" t="str">
        <f>HYPERLINK("http://www.rosaceae.org/Prunus/Prunus_persica/p.persica_gdr_reftransV1_0048875","p.persica_gdr_reftransV1_0048875")</f>
        <v>p.persica_gdr_reftransV1_0048875</v>
      </c>
      <c r="B6183" s="3">
        <v>1652</v>
      </c>
      <c r="C6183" s="1" t="str">
        <f>HYPERLINK("http://www.uniprot.org/uniprot/ADIP_HUMAN","ADIP_HUMAN")</f>
        <v>ADIP_HUMAN</v>
      </c>
      <c r="D6183" t="s">
        <v>5110</v>
      </c>
      <c r="E6183" s="3" t="s">
        <v>28</v>
      </c>
      <c r="F6183" s="4">
        <v>4.1400000000000002E-21</v>
      </c>
      <c r="G6183" s="3">
        <v>250</v>
      </c>
      <c r="H6183" s="3">
        <v>29</v>
      </c>
      <c r="I6183" s="3">
        <v>312</v>
      </c>
      <c r="J6183" s="3">
        <v>522</v>
      </c>
      <c r="K6183" s="3">
        <v>1400</v>
      </c>
      <c r="L6183" s="3">
        <v>55</v>
      </c>
      <c r="M6183" s="3">
        <v>356</v>
      </c>
    </row>
    <row r="6184" spans="1:13" x14ac:dyDescent="0.25">
      <c r="A6184" s="1" t="str">
        <f>HYPERLINK("http://www.rosaceae.org/Prunus/Prunus_persica/p.persica_gdr_reftransV1_0048925","p.persica_gdr_reftransV1_0048925")</f>
        <v>p.persica_gdr_reftransV1_0048925</v>
      </c>
      <c r="B6184" s="3">
        <v>554</v>
      </c>
      <c r="C6184" s="1" t="str">
        <f>HYPERLINK("http://www.uniprot.org/uniprot/Y1534_ARATH","Y1534_ARATH")</f>
        <v>Y1534_ARATH</v>
      </c>
      <c r="D6184" t="s">
        <v>5111</v>
      </c>
      <c r="E6184" s="3" t="s">
        <v>3</v>
      </c>
      <c r="F6184" s="4">
        <v>1.01E-7</v>
      </c>
      <c r="G6184" s="3">
        <v>130</v>
      </c>
      <c r="H6184" s="3">
        <v>28</v>
      </c>
      <c r="I6184" s="3">
        <v>126</v>
      </c>
      <c r="J6184" s="3">
        <v>1</v>
      </c>
      <c r="K6184" s="3">
        <v>375</v>
      </c>
      <c r="L6184" s="3">
        <v>284</v>
      </c>
      <c r="M6184" s="3">
        <v>385</v>
      </c>
    </row>
    <row r="6185" spans="1:13" x14ac:dyDescent="0.25">
      <c r="A6185" s="1" t="str">
        <f>HYPERLINK("http://www.rosaceae.org/Prunus/Prunus_persica/p.persica_gdr_reftransV1_0048975","p.persica_gdr_reftransV1_0048975")</f>
        <v>p.persica_gdr_reftransV1_0048975</v>
      </c>
      <c r="B6185" s="3">
        <v>1742</v>
      </c>
      <c r="C6185" s="1" t="str">
        <f>HYPERLINK("http://www.uniprot.org/uniprot/Y1491_ARATH","Y1491_ARATH")</f>
        <v>Y1491_ARATH</v>
      </c>
      <c r="D6185" t="s">
        <v>310</v>
      </c>
      <c r="E6185" s="3" t="s">
        <v>3</v>
      </c>
      <c r="F6185" s="4">
        <v>1.52E-18</v>
      </c>
      <c r="G6185" s="3">
        <v>229</v>
      </c>
      <c r="H6185" s="3">
        <v>26</v>
      </c>
      <c r="I6185" s="3">
        <v>419</v>
      </c>
      <c r="J6185" s="3">
        <v>395</v>
      </c>
      <c r="K6185" s="3">
        <v>1501</v>
      </c>
      <c r="L6185" s="3">
        <v>46</v>
      </c>
      <c r="M6185" s="3">
        <v>436</v>
      </c>
    </row>
    <row r="6186" spans="1:13" x14ac:dyDescent="0.25">
      <c r="A6186" s="1" t="str">
        <f>HYPERLINK("http://www.rosaceae.org/Prunus/Prunus_persica/p.persica_gdr_reftransV1_0000026","p.persica_gdr_reftransV1_0000026")</f>
        <v>p.persica_gdr_reftransV1_0000026</v>
      </c>
      <c r="B6186" s="3">
        <v>427</v>
      </c>
      <c r="C6186" s="1" t="str">
        <f>HYPERLINK("http://www.uniprot.org/uniprot/MPK12_ORYSJ","MPK12_ORYSJ")</f>
        <v>MPK12_ORYSJ</v>
      </c>
      <c r="D6186" t="s">
        <v>5112</v>
      </c>
      <c r="E6186" s="3" t="s">
        <v>38</v>
      </c>
      <c r="F6186" s="4">
        <v>1.0700000000000001E-100</v>
      </c>
      <c r="G6186" s="3">
        <v>785</v>
      </c>
      <c r="H6186" s="3">
        <v>95</v>
      </c>
      <c r="I6186" s="3">
        <v>141</v>
      </c>
      <c r="J6186" s="3">
        <v>3</v>
      </c>
      <c r="K6186" s="3">
        <v>425</v>
      </c>
      <c r="L6186" s="3">
        <v>163</v>
      </c>
      <c r="M6186" s="3">
        <v>303</v>
      </c>
    </row>
    <row r="6187" spans="1:13" x14ac:dyDescent="0.25">
      <c r="A6187" s="1" t="str">
        <f>HYPERLINK("http://www.rosaceae.org/Prunus/Prunus_persica/p.persica_gdr_reftransV1_0000076","p.persica_gdr_reftransV1_0000076")</f>
        <v>p.persica_gdr_reftransV1_0000076</v>
      </c>
      <c r="B6187" s="3">
        <v>1494</v>
      </c>
      <c r="C6187" s="1" t="str">
        <f>HYPERLINK("http://www.uniprot.org/uniprot/CCD61_ARATH","CCD61_ARATH")</f>
        <v>CCD61_ARATH</v>
      </c>
      <c r="D6187" t="s">
        <v>5113</v>
      </c>
      <c r="E6187" s="3" t="s">
        <v>3</v>
      </c>
      <c r="F6187" s="4">
        <v>4.9499999999999999E-70</v>
      </c>
      <c r="G6187" s="3">
        <v>591</v>
      </c>
      <c r="H6187" s="3">
        <v>48</v>
      </c>
      <c r="I6187" s="3">
        <v>308</v>
      </c>
      <c r="J6187" s="3">
        <v>211</v>
      </c>
      <c r="K6187" s="3">
        <v>1092</v>
      </c>
      <c r="L6187" s="3">
        <v>1</v>
      </c>
      <c r="M6187" s="3">
        <v>301</v>
      </c>
    </row>
    <row r="6188" spans="1:13" x14ac:dyDescent="0.25">
      <c r="A6188" s="1" t="str">
        <f>HYPERLINK("http://www.rosaceae.org/Prunus/Prunus_persica/p.persica_gdr_reftransV1_0000126","p.persica_gdr_reftransV1_0000126")</f>
        <v>p.persica_gdr_reftransV1_0000126</v>
      </c>
      <c r="B6188" s="3">
        <v>882</v>
      </c>
      <c r="C6188" s="1" t="str">
        <f>HYPERLINK("http://www.uniprot.org/uniprot/Y5902_ARATH","Y5902_ARATH")</f>
        <v>Y5902_ARATH</v>
      </c>
      <c r="D6188" t="s">
        <v>5114</v>
      </c>
      <c r="E6188" s="3" t="s">
        <v>3</v>
      </c>
      <c r="F6188" s="4">
        <v>1.5100000000000001E-54</v>
      </c>
      <c r="G6188" s="3">
        <v>466</v>
      </c>
      <c r="H6188" s="3">
        <v>79</v>
      </c>
      <c r="I6188" s="3">
        <v>111</v>
      </c>
      <c r="J6188" s="3">
        <v>155</v>
      </c>
      <c r="K6188" s="3">
        <v>484</v>
      </c>
      <c r="L6188" s="3">
        <v>145</v>
      </c>
      <c r="M6188" s="3">
        <v>254</v>
      </c>
    </row>
    <row r="6189" spans="1:13" x14ac:dyDescent="0.25">
      <c r="A6189" s="1" t="str">
        <f>HYPERLINK("http://www.rosaceae.org/Prunus/Prunus_persica/p.persica_gdr_reftransV1_0000176","p.persica_gdr_reftransV1_0000176")</f>
        <v>p.persica_gdr_reftransV1_0000176</v>
      </c>
      <c r="B6189" s="3">
        <v>393</v>
      </c>
      <c r="C6189" s="1" t="str">
        <f>HYPERLINK("http://www.uniprot.org/uniprot/Y3720_ARATH","Y3720_ARATH")</f>
        <v>Y3720_ARATH</v>
      </c>
      <c r="D6189" t="s">
        <v>104</v>
      </c>
      <c r="E6189" s="3" t="s">
        <v>3</v>
      </c>
      <c r="F6189" s="4">
        <v>1.2700000000000001E-7</v>
      </c>
      <c r="G6189" s="3">
        <v>126</v>
      </c>
      <c r="H6189" s="3">
        <v>40</v>
      </c>
      <c r="I6189" s="3">
        <v>83</v>
      </c>
      <c r="J6189" s="3">
        <v>4</v>
      </c>
      <c r="K6189" s="3">
        <v>249</v>
      </c>
      <c r="L6189" s="3">
        <v>136</v>
      </c>
      <c r="M6189" s="3">
        <v>211</v>
      </c>
    </row>
    <row r="6190" spans="1:13" x14ac:dyDescent="0.25">
      <c r="A6190" s="1" t="str">
        <f>HYPERLINK("http://www.rosaceae.org/Prunus/Prunus_persica/p.persica_gdr_reftransV1_0000226","p.persica_gdr_reftransV1_0000226")</f>
        <v>p.persica_gdr_reftransV1_0000226</v>
      </c>
      <c r="B6190" s="3">
        <v>1845</v>
      </c>
      <c r="C6190" s="1" t="str">
        <f>HYPERLINK("http://www.uniprot.org/uniprot/RHL1_ARATH","RHL1_ARATH")</f>
        <v>RHL1_ARATH</v>
      </c>
      <c r="D6190" t="s">
        <v>5115</v>
      </c>
      <c r="E6190" s="3" t="s">
        <v>3</v>
      </c>
      <c r="F6190" s="4">
        <v>2.5599999999999998E-91</v>
      </c>
      <c r="G6190" s="3">
        <v>749</v>
      </c>
      <c r="H6190" s="3">
        <v>58</v>
      </c>
      <c r="I6190" s="3">
        <v>241</v>
      </c>
      <c r="J6190" s="3">
        <v>1044</v>
      </c>
      <c r="K6190" s="3">
        <v>1715</v>
      </c>
      <c r="L6190" s="3">
        <v>21</v>
      </c>
      <c r="M6190" s="3">
        <v>260</v>
      </c>
    </row>
    <row r="6191" spans="1:13" x14ac:dyDescent="0.25">
      <c r="A6191" s="1" t="str">
        <f>HYPERLINK("http://www.rosaceae.org/Prunus/Prunus_persica/p.persica_gdr_reftransV1_0000426","p.persica_gdr_reftransV1_0000426")</f>
        <v>p.persica_gdr_reftransV1_0000426</v>
      </c>
      <c r="B6191" s="3">
        <v>981</v>
      </c>
      <c r="C6191" s="1" t="str">
        <f>HYPERLINK("http://www.uniprot.org/uniprot/IES6_SCHPO","IES6_SCHPO")</f>
        <v>IES6_SCHPO</v>
      </c>
      <c r="D6191" t="s">
        <v>5116</v>
      </c>
      <c r="E6191" s="3" t="s">
        <v>464</v>
      </c>
      <c r="F6191" s="4">
        <v>1.9300000000000001E-12</v>
      </c>
      <c r="G6191" s="3">
        <v>163</v>
      </c>
      <c r="H6191" s="3">
        <v>44</v>
      </c>
      <c r="I6191" s="3">
        <v>97</v>
      </c>
      <c r="J6191" s="3">
        <v>423</v>
      </c>
      <c r="K6191" s="3">
        <v>713</v>
      </c>
      <c r="L6191" s="3">
        <v>22</v>
      </c>
      <c r="M6191" s="3">
        <v>117</v>
      </c>
    </row>
    <row r="6192" spans="1:13" x14ac:dyDescent="0.25">
      <c r="A6192" s="1" t="str">
        <f>HYPERLINK("http://www.rosaceae.org/Prunus/Prunus_persica/p.persica_gdr_reftransV1_0000526","p.persica_gdr_reftransV1_0000526")</f>
        <v>p.persica_gdr_reftransV1_0000526</v>
      </c>
      <c r="B6192" s="3">
        <v>814</v>
      </c>
      <c r="C6192" s="1" t="str">
        <f>HYPERLINK("http://www.uniprot.org/uniprot/NRAM4_ARATH","NRAM4_ARATH")</f>
        <v>NRAM4_ARATH</v>
      </c>
      <c r="D6192" t="s">
        <v>4652</v>
      </c>
      <c r="E6192" s="3" t="s">
        <v>3</v>
      </c>
      <c r="F6192" s="4">
        <v>2.1299999999999999E-17</v>
      </c>
      <c r="G6192" s="3">
        <v>210</v>
      </c>
      <c r="H6192" s="3">
        <v>85</v>
      </c>
      <c r="I6192" s="3">
        <v>46</v>
      </c>
      <c r="J6192" s="3">
        <v>381</v>
      </c>
      <c r="K6192" s="3">
        <v>518</v>
      </c>
      <c r="L6192" s="3">
        <v>175</v>
      </c>
      <c r="M6192" s="3">
        <v>220</v>
      </c>
    </row>
    <row r="6193" spans="1:13" x14ac:dyDescent="0.25">
      <c r="A6193" s="1" t="str">
        <f>HYPERLINK("http://www.rosaceae.org/Prunus/Prunus_persica/p.persica_gdr_reftransV1_0000626","p.persica_gdr_reftransV1_0000626")</f>
        <v>p.persica_gdr_reftransV1_0000626</v>
      </c>
      <c r="B6193" s="3">
        <v>1445</v>
      </c>
      <c r="C6193" s="1" t="str">
        <f>HYPERLINK("http://www.uniprot.org/uniprot/SKL1_ARATH","SKL1_ARATH")</f>
        <v>SKL1_ARATH</v>
      </c>
      <c r="D6193" t="s">
        <v>5117</v>
      </c>
      <c r="E6193" s="3" t="s">
        <v>3</v>
      </c>
      <c r="F6193" s="4">
        <v>1.3399999999999999E-82</v>
      </c>
      <c r="G6193" s="3">
        <v>673</v>
      </c>
      <c r="H6193" s="3">
        <v>65</v>
      </c>
      <c r="I6193" s="3">
        <v>215</v>
      </c>
      <c r="J6193" s="3">
        <v>393</v>
      </c>
      <c r="K6193" s="3">
        <v>1037</v>
      </c>
      <c r="L6193" s="3">
        <v>75</v>
      </c>
      <c r="M6193" s="3">
        <v>280</v>
      </c>
    </row>
    <row r="6194" spans="1:13" x14ac:dyDescent="0.25">
      <c r="A6194" s="1" t="str">
        <f>HYPERLINK("http://www.rosaceae.org/Prunus/Prunus_persica/p.persica_gdr_reftransV1_0000676","p.persica_gdr_reftransV1_0000676")</f>
        <v>p.persica_gdr_reftransV1_0000676</v>
      </c>
      <c r="B6194" s="3">
        <v>1414</v>
      </c>
      <c r="C6194" s="1" t="str">
        <f>HYPERLINK("http://www.uniprot.org/uniprot/MYOB3_ARATH","MYOB3_ARATH")</f>
        <v>MYOB3_ARATH</v>
      </c>
      <c r="D6194" t="s">
        <v>1900</v>
      </c>
      <c r="E6194" s="3" t="s">
        <v>3</v>
      </c>
      <c r="F6194" s="4">
        <v>2.6899999999999998E-23</v>
      </c>
      <c r="G6194" s="3">
        <v>265</v>
      </c>
      <c r="H6194" s="3">
        <v>30</v>
      </c>
      <c r="I6194" s="3">
        <v>313</v>
      </c>
      <c r="J6194" s="3">
        <v>438</v>
      </c>
      <c r="K6194" s="3">
        <v>1358</v>
      </c>
      <c r="L6194" s="3">
        <v>1</v>
      </c>
      <c r="M6194" s="3">
        <v>267</v>
      </c>
    </row>
    <row r="6195" spans="1:13" x14ac:dyDescent="0.25">
      <c r="A6195" s="1" t="str">
        <f>HYPERLINK("http://www.rosaceae.org/Prunus/Prunus_persica/p.persica_gdr_reftransV1_0000726","p.persica_gdr_reftransV1_0000726")</f>
        <v>p.persica_gdr_reftransV1_0000726</v>
      </c>
      <c r="B6195" s="3">
        <v>1836</v>
      </c>
      <c r="C6195" s="1" t="str">
        <f>HYPERLINK("http://www.uniprot.org/uniprot/FYPP1_ARATH","FYPP1_ARATH")</f>
        <v>FYPP1_ARATH</v>
      </c>
      <c r="D6195" t="s">
        <v>5118</v>
      </c>
      <c r="E6195" s="3" t="s">
        <v>3</v>
      </c>
      <c r="F6195" s="4">
        <v>2.73E-171</v>
      </c>
      <c r="G6195" s="3">
        <v>1164</v>
      </c>
      <c r="H6195" s="3">
        <v>96</v>
      </c>
      <c r="I6195" s="3">
        <v>222</v>
      </c>
      <c r="J6195" s="3">
        <v>90</v>
      </c>
      <c r="K6195" s="3">
        <v>755</v>
      </c>
      <c r="L6195" s="3">
        <v>1</v>
      </c>
      <c r="M6195" s="3">
        <v>222</v>
      </c>
    </row>
    <row r="6196" spans="1:13" x14ac:dyDescent="0.25">
      <c r="A6196" s="1" t="str">
        <f>HYPERLINK("http://www.rosaceae.org/Prunus/Prunus_persica/p.persica_gdr_reftransV1_0000826","p.persica_gdr_reftransV1_0000826")</f>
        <v>p.persica_gdr_reftransV1_0000826</v>
      </c>
      <c r="B6196" s="3">
        <v>747</v>
      </c>
      <c r="C6196" s="1" t="str">
        <f>HYPERLINK("http://www.uniprot.org/uniprot/PRU1_PRUAR","PRU1_PRUAR")</f>
        <v>PRU1_PRUAR</v>
      </c>
      <c r="D6196" t="s">
        <v>1198</v>
      </c>
      <c r="E6196" s="3" t="s">
        <v>62</v>
      </c>
      <c r="F6196" s="4">
        <v>1.82E-82</v>
      </c>
      <c r="G6196" s="3">
        <v>639</v>
      </c>
      <c r="H6196" s="3">
        <v>73</v>
      </c>
      <c r="I6196" s="3">
        <v>160</v>
      </c>
      <c r="J6196" s="3">
        <v>71</v>
      </c>
      <c r="K6196" s="3">
        <v>550</v>
      </c>
      <c r="L6196" s="3">
        <v>1</v>
      </c>
      <c r="M6196" s="3">
        <v>160</v>
      </c>
    </row>
    <row r="6197" spans="1:13" x14ac:dyDescent="0.25">
      <c r="A6197" s="1" t="str">
        <f>HYPERLINK("http://www.rosaceae.org/Prunus/Prunus_persica/p.persica_gdr_reftransV1_0000876","p.persica_gdr_reftransV1_0000876")</f>
        <v>p.persica_gdr_reftransV1_0000876</v>
      </c>
      <c r="B6197" s="3">
        <v>365</v>
      </c>
      <c r="C6197" s="1" t="str">
        <f>HYPERLINK("http://www.uniprot.org/uniprot/ISPD_MENPI","ISPD_MENPI")</f>
        <v>ISPD_MENPI</v>
      </c>
      <c r="D6197" t="s">
        <v>2525</v>
      </c>
      <c r="E6197" s="3" t="s">
        <v>2526</v>
      </c>
      <c r="F6197" s="4">
        <v>2.7900000000000001E-27</v>
      </c>
      <c r="G6197" s="3">
        <v>265</v>
      </c>
      <c r="H6197" s="3">
        <v>63</v>
      </c>
      <c r="I6197" s="3">
        <v>95</v>
      </c>
      <c r="J6197" s="3">
        <v>19</v>
      </c>
      <c r="K6197" s="3">
        <v>303</v>
      </c>
      <c r="L6197" s="3">
        <v>158</v>
      </c>
      <c r="M6197" s="3">
        <v>252</v>
      </c>
    </row>
    <row r="6198" spans="1:13" x14ac:dyDescent="0.25">
      <c r="A6198" s="1" t="str">
        <f>HYPERLINK("http://www.rosaceae.org/Prunus/Prunus_persica/p.persica_gdr_reftransV1_0000926","p.persica_gdr_reftransV1_0000926")</f>
        <v>p.persica_gdr_reftransV1_0000926</v>
      </c>
      <c r="B6198" s="3">
        <v>972</v>
      </c>
      <c r="C6198" s="1" t="str">
        <f>HYPERLINK("http://www.uniprot.org/uniprot/ARG7_VIGRR","ARG7_VIGRR")</f>
        <v>ARG7_VIGRR</v>
      </c>
      <c r="D6198" t="s">
        <v>3937</v>
      </c>
      <c r="E6198" s="3" t="s">
        <v>2261</v>
      </c>
      <c r="F6198" s="4">
        <v>3.27E-31</v>
      </c>
      <c r="G6198" s="3">
        <v>295</v>
      </c>
      <c r="H6198" s="3">
        <v>63</v>
      </c>
      <c r="I6198" s="3">
        <v>100</v>
      </c>
      <c r="J6198" s="3">
        <v>119</v>
      </c>
      <c r="K6198" s="3">
        <v>418</v>
      </c>
      <c r="L6198" s="3">
        <v>1</v>
      </c>
      <c r="M6198" s="3">
        <v>91</v>
      </c>
    </row>
    <row r="6199" spans="1:13" x14ac:dyDescent="0.25">
      <c r="A6199" s="1" t="str">
        <f>HYPERLINK("http://www.rosaceae.org/Prunus/Prunus_persica/p.persica_gdr_reftransV1_0001026","p.persica_gdr_reftransV1_0001026")</f>
        <v>p.persica_gdr_reftransV1_0001026</v>
      </c>
      <c r="B6199" s="3">
        <v>552</v>
      </c>
      <c r="C6199" s="1" t="str">
        <f>HYPERLINK("http://www.uniprot.org/uniprot/REM10_ARATH","REM10_ARATH")</f>
        <v>REM10_ARATH</v>
      </c>
      <c r="D6199" t="s">
        <v>5119</v>
      </c>
      <c r="E6199" s="3" t="s">
        <v>3</v>
      </c>
      <c r="F6199" s="4">
        <v>3.1899999999999998E-10</v>
      </c>
      <c r="G6199" s="3">
        <v>149</v>
      </c>
      <c r="H6199" s="3">
        <v>38</v>
      </c>
      <c r="I6199" s="3">
        <v>92</v>
      </c>
      <c r="J6199" s="3">
        <v>96</v>
      </c>
      <c r="K6199" s="3">
        <v>353</v>
      </c>
      <c r="L6199" s="3">
        <v>146</v>
      </c>
      <c r="M6199" s="3">
        <v>234</v>
      </c>
    </row>
    <row r="6200" spans="1:13" x14ac:dyDescent="0.25">
      <c r="A6200" s="1" t="str">
        <f>HYPERLINK("http://www.rosaceae.org/Prunus/Prunus_persica/p.persica_gdr_reftransV1_0001076","p.persica_gdr_reftransV1_0001076")</f>
        <v>p.persica_gdr_reftransV1_0001076</v>
      </c>
      <c r="B6200" s="3">
        <v>2107</v>
      </c>
      <c r="C6200" s="1" t="str">
        <f>HYPERLINK("http://www.uniprot.org/uniprot/PERK1_ARATH","PERK1_ARATH")</f>
        <v>PERK1_ARATH</v>
      </c>
      <c r="D6200" t="s">
        <v>5120</v>
      </c>
      <c r="E6200" s="3" t="s">
        <v>3</v>
      </c>
      <c r="F6200" s="4">
        <v>0</v>
      </c>
      <c r="G6200" s="3">
        <v>1484</v>
      </c>
      <c r="H6200" s="3">
        <v>80</v>
      </c>
      <c r="I6200" s="3">
        <v>398</v>
      </c>
      <c r="J6200" s="3">
        <v>245</v>
      </c>
      <c r="K6200" s="3">
        <v>1432</v>
      </c>
      <c r="L6200" s="3">
        <v>258</v>
      </c>
      <c r="M6200" s="3">
        <v>651</v>
      </c>
    </row>
    <row r="6201" spans="1:13" x14ac:dyDescent="0.25">
      <c r="A6201" s="1" t="str">
        <f>HYPERLINK("http://www.rosaceae.org/Prunus/Prunus_persica/p.persica_gdr_reftransV1_0001176","p.persica_gdr_reftransV1_0001176")</f>
        <v>p.persica_gdr_reftransV1_0001176</v>
      </c>
      <c r="B6201" s="3">
        <v>621</v>
      </c>
      <c r="C6201" s="1" t="str">
        <f>HYPERLINK("http://www.uniprot.org/uniprot/XTH25_ARATH","XTH25_ARATH")</f>
        <v>XTH25_ARATH</v>
      </c>
      <c r="D6201" t="s">
        <v>5121</v>
      </c>
      <c r="E6201" s="3" t="s">
        <v>3</v>
      </c>
      <c r="F6201" s="4">
        <v>1.14E-59</v>
      </c>
      <c r="G6201" s="3">
        <v>494</v>
      </c>
      <c r="H6201" s="3">
        <v>81</v>
      </c>
      <c r="I6201" s="3">
        <v>111</v>
      </c>
      <c r="J6201" s="3">
        <v>287</v>
      </c>
      <c r="K6201" s="3">
        <v>619</v>
      </c>
      <c r="L6201" s="3">
        <v>25</v>
      </c>
      <c r="M6201" s="3">
        <v>135</v>
      </c>
    </row>
    <row r="6202" spans="1:13" x14ac:dyDescent="0.25">
      <c r="A6202" s="1" t="str">
        <f>HYPERLINK("http://www.rosaceae.org/Prunus/Prunus_persica/p.persica_gdr_reftransV1_0001226","p.persica_gdr_reftransV1_0001226")</f>
        <v>p.persica_gdr_reftransV1_0001226</v>
      </c>
      <c r="B6202" s="3">
        <v>1138</v>
      </c>
      <c r="C6202" s="1" t="str">
        <f>HYPERLINK("http://www.uniprot.org/uniprot/MYO12_ARATH","MYO12_ARATH")</f>
        <v>MYO12_ARATH</v>
      </c>
      <c r="D6202" t="s">
        <v>5122</v>
      </c>
      <c r="E6202" s="3" t="s">
        <v>3</v>
      </c>
      <c r="F6202" s="4">
        <v>2.2900000000000001E-122</v>
      </c>
      <c r="G6202" s="3">
        <v>1007</v>
      </c>
      <c r="H6202" s="3">
        <v>67</v>
      </c>
      <c r="I6202" s="3">
        <v>286</v>
      </c>
      <c r="J6202" s="3">
        <v>286</v>
      </c>
      <c r="K6202" s="3">
        <v>1137</v>
      </c>
      <c r="L6202" s="3">
        <v>1267</v>
      </c>
      <c r="M6202" s="3">
        <v>1552</v>
      </c>
    </row>
    <row r="6203" spans="1:13" x14ac:dyDescent="0.25">
      <c r="A6203" s="1" t="str">
        <f>HYPERLINK("http://www.rosaceae.org/Prunus/Prunus_persica/p.persica_gdr_reftransV1_0001276","p.persica_gdr_reftransV1_0001276")</f>
        <v>p.persica_gdr_reftransV1_0001276</v>
      </c>
      <c r="B6203" s="3">
        <v>314</v>
      </c>
      <c r="C6203" s="1" t="str">
        <f>HYPERLINK("http://www.uniprot.org/uniprot/GSTX6_SOYBN","GSTX6_SOYBN")</f>
        <v>GSTX6_SOYBN</v>
      </c>
      <c r="D6203" t="s">
        <v>2987</v>
      </c>
      <c r="E6203" s="3" t="s">
        <v>307</v>
      </c>
      <c r="F6203" s="4">
        <v>1.2900000000000001E-22</v>
      </c>
      <c r="G6203" s="3">
        <v>229</v>
      </c>
      <c r="H6203" s="3">
        <v>38</v>
      </c>
      <c r="I6203" s="3">
        <v>104</v>
      </c>
      <c r="J6203" s="3">
        <v>3</v>
      </c>
      <c r="K6203" s="3">
        <v>314</v>
      </c>
      <c r="L6203" s="3">
        <v>122</v>
      </c>
      <c r="M6203" s="3">
        <v>225</v>
      </c>
    </row>
    <row r="6204" spans="1:13" x14ac:dyDescent="0.25">
      <c r="A6204" s="1" t="str">
        <f>HYPERLINK("http://www.rosaceae.org/Prunus/Prunus_persica/p.persica_gdr_reftransV1_0001326","p.persica_gdr_reftransV1_0001326")</f>
        <v>p.persica_gdr_reftransV1_0001326</v>
      </c>
      <c r="B6204" s="3">
        <v>945</v>
      </c>
      <c r="C6204" s="1" t="str">
        <f>HYPERLINK("http://www.uniprot.org/uniprot/2MMP_ARATH","2MMP_ARATH")</f>
        <v>2MMP_ARATH</v>
      </c>
      <c r="D6204" t="s">
        <v>5123</v>
      </c>
      <c r="E6204" s="3" t="s">
        <v>3</v>
      </c>
      <c r="F6204" s="4">
        <v>3.2099999999999998E-77</v>
      </c>
      <c r="G6204" s="3">
        <v>630</v>
      </c>
      <c r="H6204" s="3">
        <v>46</v>
      </c>
      <c r="I6204" s="3">
        <v>281</v>
      </c>
      <c r="J6204" s="3">
        <v>4</v>
      </c>
      <c r="K6204" s="3">
        <v>780</v>
      </c>
      <c r="L6204" s="3">
        <v>44</v>
      </c>
      <c r="M6204" s="3">
        <v>320</v>
      </c>
    </row>
    <row r="6205" spans="1:13" x14ac:dyDescent="0.25">
      <c r="A6205" s="1" t="str">
        <f>HYPERLINK("http://www.rosaceae.org/Prunus/Prunus_persica/p.persica_gdr_reftransV1_0001376","p.persica_gdr_reftransV1_0001376")</f>
        <v>p.persica_gdr_reftransV1_0001376</v>
      </c>
      <c r="B6205" s="3">
        <v>1315</v>
      </c>
      <c r="C6205" s="1" t="str">
        <f>HYPERLINK("http://www.uniprot.org/uniprot/CA1P_WHEAT","CA1P_WHEAT")</f>
        <v>CA1P_WHEAT</v>
      </c>
      <c r="D6205" t="s">
        <v>5124</v>
      </c>
      <c r="E6205" s="3" t="s">
        <v>710</v>
      </c>
      <c r="F6205" s="4">
        <v>6.0100000000000002E-37</v>
      </c>
      <c r="G6205" s="3">
        <v>225</v>
      </c>
      <c r="H6205" s="3">
        <v>44</v>
      </c>
      <c r="I6205" s="3">
        <v>99</v>
      </c>
      <c r="J6205" s="3">
        <v>323</v>
      </c>
      <c r="K6205" s="3">
        <v>619</v>
      </c>
      <c r="L6205" s="3">
        <v>48</v>
      </c>
      <c r="M6205" s="3">
        <v>146</v>
      </c>
    </row>
    <row r="6206" spans="1:13" x14ac:dyDescent="0.25">
      <c r="A6206" s="1" t="str">
        <f>HYPERLINK("http://www.rosaceae.org/Prunus/Prunus_persica/p.persica_gdr_reftransV1_0001426","p.persica_gdr_reftransV1_0001426")</f>
        <v>p.persica_gdr_reftransV1_0001426</v>
      </c>
      <c r="B6206" s="3">
        <v>404</v>
      </c>
      <c r="C6206" s="1" t="str">
        <f>HYPERLINK("http://www.uniprot.org/uniprot/SUS3_ARATH","SUS3_ARATH")</f>
        <v>SUS3_ARATH</v>
      </c>
      <c r="D6206" t="s">
        <v>5125</v>
      </c>
      <c r="E6206" s="3" t="s">
        <v>3</v>
      </c>
      <c r="F6206" s="4">
        <v>1.5699999999999999E-41</v>
      </c>
      <c r="G6206" s="3">
        <v>381</v>
      </c>
      <c r="H6206" s="3">
        <v>67</v>
      </c>
      <c r="I6206" s="3">
        <v>105</v>
      </c>
      <c r="J6206" s="3">
        <v>3</v>
      </c>
      <c r="K6206" s="3">
        <v>317</v>
      </c>
      <c r="L6206" s="3">
        <v>11</v>
      </c>
      <c r="M6206" s="3">
        <v>115</v>
      </c>
    </row>
    <row r="6207" spans="1:13" x14ac:dyDescent="0.25">
      <c r="A6207" s="1" t="str">
        <f>HYPERLINK("http://www.rosaceae.org/Prunus/Prunus_persica/p.persica_gdr_reftransV1_0001476","p.persica_gdr_reftransV1_0001476")</f>
        <v>p.persica_gdr_reftransV1_0001476</v>
      </c>
      <c r="B6207" s="3">
        <v>4065</v>
      </c>
      <c r="C6207" s="1" t="str">
        <f>HYPERLINK("http://www.uniprot.org/uniprot/SF21_HELAN","SF21_HELAN")</f>
        <v>SF21_HELAN</v>
      </c>
      <c r="D6207" t="s">
        <v>598</v>
      </c>
      <c r="E6207" s="3" t="s">
        <v>599</v>
      </c>
      <c r="F6207" s="4">
        <v>1.11E-110</v>
      </c>
      <c r="G6207" s="3">
        <v>790</v>
      </c>
      <c r="H6207" s="3">
        <v>65</v>
      </c>
      <c r="I6207" s="3">
        <v>265</v>
      </c>
      <c r="J6207" s="3">
        <v>314</v>
      </c>
      <c r="K6207" s="3">
        <v>1108</v>
      </c>
      <c r="L6207" s="3">
        <v>86</v>
      </c>
      <c r="M6207" s="3">
        <v>349</v>
      </c>
    </row>
    <row r="6208" spans="1:13" x14ac:dyDescent="0.25">
      <c r="A6208" s="1" t="str">
        <f>HYPERLINK("http://www.rosaceae.org/Prunus/Prunus_persica/p.persica_gdr_reftransV1_0001526","p.persica_gdr_reftransV1_0001526")</f>
        <v>p.persica_gdr_reftransV1_0001526</v>
      </c>
      <c r="B6208" s="3">
        <v>1611</v>
      </c>
      <c r="C6208" s="1" t="str">
        <f>HYPERLINK("http://www.uniprot.org/uniprot/EKI_ARATH","EKI_ARATH")</f>
        <v>EKI_ARATH</v>
      </c>
      <c r="D6208" t="s">
        <v>5126</v>
      </c>
      <c r="E6208" s="3" t="s">
        <v>3</v>
      </c>
      <c r="F6208" s="4">
        <v>9.6100000000000005E-143</v>
      </c>
      <c r="G6208" s="3">
        <v>915</v>
      </c>
      <c r="H6208" s="3">
        <v>70</v>
      </c>
      <c r="I6208" s="3">
        <v>229</v>
      </c>
      <c r="J6208" s="3">
        <v>351</v>
      </c>
      <c r="K6208" s="3">
        <v>1037</v>
      </c>
      <c r="L6208" s="3">
        <v>145</v>
      </c>
      <c r="M6208" s="3">
        <v>373</v>
      </c>
    </row>
    <row r="6209" spans="1:13" x14ac:dyDescent="0.25">
      <c r="A6209" s="1" t="str">
        <f>HYPERLINK("http://www.rosaceae.org/Prunus/Prunus_persica/p.persica_gdr_reftransV1_0001576","p.persica_gdr_reftransV1_0001576")</f>
        <v>p.persica_gdr_reftransV1_0001576</v>
      </c>
      <c r="B6209" s="3">
        <v>901</v>
      </c>
      <c r="C6209" s="1" t="str">
        <f>HYPERLINK("http://www.uniprot.org/uniprot/MNS1_ARATH","MNS1_ARATH")</f>
        <v>MNS1_ARATH</v>
      </c>
      <c r="D6209" t="s">
        <v>3751</v>
      </c>
      <c r="E6209" s="3" t="s">
        <v>3</v>
      </c>
      <c r="F6209" s="4">
        <v>1.2999999999999999E-172</v>
      </c>
      <c r="G6209" s="3">
        <v>1279</v>
      </c>
      <c r="H6209" s="3">
        <v>72</v>
      </c>
      <c r="I6209" s="3">
        <v>330</v>
      </c>
      <c r="J6209" s="3">
        <v>3</v>
      </c>
      <c r="K6209" s="3">
        <v>899</v>
      </c>
      <c r="L6209" s="3">
        <v>177</v>
      </c>
      <c r="M6209" s="3">
        <v>506</v>
      </c>
    </row>
    <row r="6210" spans="1:13" x14ac:dyDescent="0.25">
      <c r="A6210" s="1" t="str">
        <f>HYPERLINK("http://www.rosaceae.org/Prunus/Prunus_persica/p.persica_gdr_reftransV1_0001726","p.persica_gdr_reftransV1_0001726")</f>
        <v>p.persica_gdr_reftransV1_0001726</v>
      </c>
      <c r="B6210" s="3">
        <v>505</v>
      </c>
      <c r="C6210" s="1" t="str">
        <f>HYPERLINK("http://www.uniprot.org/uniprot/HQD2_CANAL","HQD2_CANAL")</f>
        <v>HQD2_CANAL</v>
      </c>
      <c r="D6210" t="s">
        <v>4419</v>
      </c>
      <c r="E6210" s="3" t="s">
        <v>4420</v>
      </c>
      <c r="F6210" s="4">
        <v>1.0599999999999999E-29</v>
      </c>
      <c r="G6210" s="3">
        <v>288</v>
      </c>
      <c r="H6210" s="3">
        <v>41</v>
      </c>
      <c r="I6210" s="3">
        <v>155</v>
      </c>
      <c r="J6210" s="3">
        <v>40</v>
      </c>
      <c r="K6210" s="3">
        <v>501</v>
      </c>
      <c r="L6210" s="3">
        <v>93</v>
      </c>
      <c r="M6210" s="3">
        <v>245</v>
      </c>
    </row>
    <row r="6211" spans="1:13" x14ac:dyDescent="0.25">
      <c r="A6211" s="1" t="str">
        <f>HYPERLINK("http://www.rosaceae.org/Prunus/Prunus_persica/p.persica_gdr_reftransV1_0001776","p.persica_gdr_reftransV1_0001776")</f>
        <v>p.persica_gdr_reftransV1_0001776</v>
      </c>
      <c r="B6211" s="3">
        <v>2192</v>
      </c>
      <c r="C6211" s="1" t="str">
        <f>HYPERLINK("http://www.uniprot.org/uniprot/KAKU4_ARATH","KAKU4_ARATH")</f>
        <v>KAKU4_ARATH</v>
      </c>
      <c r="D6211" t="s">
        <v>3275</v>
      </c>
      <c r="E6211" s="3" t="s">
        <v>3</v>
      </c>
      <c r="F6211" s="4">
        <v>2.36E-41</v>
      </c>
      <c r="G6211" s="3">
        <v>296</v>
      </c>
      <c r="H6211" s="3">
        <v>36</v>
      </c>
      <c r="I6211" s="3">
        <v>342</v>
      </c>
      <c r="J6211" s="3">
        <v>682</v>
      </c>
      <c r="K6211" s="3">
        <v>1644</v>
      </c>
      <c r="L6211" s="3">
        <v>174</v>
      </c>
      <c r="M6211" s="3">
        <v>461</v>
      </c>
    </row>
    <row r="6212" spans="1:13" x14ac:dyDescent="0.25">
      <c r="A6212" s="1" t="str">
        <f>HYPERLINK("http://www.rosaceae.org/Prunus/Prunus_persica/p.persica_gdr_reftransV1_0001876","p.persica_gdr_reftransV1_0001876")</f>
        <v>p.persica_gdr_reftransV1_0001876</v>
      </c>
      <c r="B6212" s="3">
        <v>2021</v>
      </c>
      <c r="C6212" s="1" t="str">
        <f>HYPERLINK("http://www.uniprot.org/uniprot/RAA5A_ARATH","RAA5A_ARATH")</f>
        <v>RAA5A_ARATH</v>
      </c>
      <c r="D6212" t="s">
        <v>354</v>
      </c>
      <c r="E6212" s="3" t="s">
        <v>3</v>
      </c>
      <c r="F6212" s="4">
        <v>6.3999999999999995E-70</v>
      </c>
      <c r="G6212" s="3">
        <v>594</v>
      </c>
      <c r="H6212" s="3">
        <v>95</v>
      </c>
      <c r="I6212" s="3">
        <v>116</v>
      </c>
      <c r="J6212" s="3">
        <v>1145</v>
      </c>
      <c r="K6212" s="3">
        <v>1492</v>
      </c>
      <c r="L6212" s="3">
        <v>1</v>
      </c>
      <c r="M6212" s="3">
        <v>116</v>
      </c>
    </row>
    <row r="6213" spans="1:13" x14ac:dyDescent="0.25">
      <c r="A6213" s="1" t="str">
        <f>HYPERLINK("http://www.rosaceae.org/Prunus/Prunus_persica/p.persica_gdr_reftransV1_0001926","p.persica_gdr_reftransV1_0001926")</f>
        <v>p.persica_gdr_reftransV1_0001926</v>
      </c>
      <c r="B6213" s="3">
        <v>490</v>
      </c>
      <c r="C6213" s="1" t="str">
        <f>HYPERLINK("http://www.uniprot.org/uniprot/MAFL2_DICDI","MAFL2_DICDI")</f>
        <v>MAFL2_DICDI</v>
      </c>
      <c r="D6213" t="s">
        <v>5127</v>
      </c>
      <c r="E6213" s="3" t="s">
        <v>9</v>
      </c>
      <c r="F6213" s="4">
        <v>1.5E-11</v>
      </c>
      <c r="G6213" s="3">
        <v>152</v>
      </c>
      <c r="H6213" s="3">
        <v>39</v>
      </c>
      <c r="I6213" s="3">
        <v>83</v>
      </c>
      <c r="J6213" s="3">
        <v>120</v>
      </c>
      <c r="K6213" s="3">
        <v>368</v>
      </c>
      <c r="L6213" s="3">
        <v>2</v>
      </c>
      <c r="M6213" s="3">
        <v>82</v>
      </c>
    </row>
    <row r="6214" spans="1:13" x14ac:dyDescent="0.25">
      <c r="A6214" s="1" t="str">
        <f>HYPERLINK("http://www.rosaceae.org/Prunus/Prunus_persica/p.persica_gdr_reftransV1_0001976","p.persica_gdr_reftransV1_0001976")</f>
        <v>p.persica_gdr_reftransV1_0001976</v>
      </c>
      <c r="B6214" s="3">
        <v>1591</v>
      </c>
      <c r="C6214" s="1" t="str">
        <f>HYPERLINK("http://www.uniprot.org/uniprot/RB45B_ARATH","RB45B_ARATH")</f>
        <v>RB45B_ARATH</v>
      </c>
      <c r="D6214" t="s">
        <v>5128</v>
      </c>
      <c r="E6214" s="3" t="s">
        <v>3</v>
      </c>
      <c r="F6214" s="4">
        <v>1.3E-116</v>
      </c>
      <c r="G6214" s="3">
        <v>777</v>
      </c>
      <c r="H6214" s="3">
        <v>71</v>
      </c>
      <c r="I6214" s="3">
        <v>212</v>
      </c>
      <c r="J6214" s="3">
        <v>275</v>
      </c>
      <c r="K6214" s="3">
        <v>898</v>
      </c>
      <c r="L6214" s="3">
        <v>56</v>
      </c>
      <c r="M6214" s="3">
        <v>263</v>
      </c>
    </row>
    <row r="6215" spans="1:13" x14ac:dyDescent="0.25">
      <c r="A6215" s="1" t="str">
        <f>HYPERLINK("http://www.rosaceae.org/Prunus/Prunus_persica/p.persica_gdr_reftransV1_0002026","p.persica_gdr_reftransV1_0002026")</f>
        <v>p.persica_gdr_reftransV1_0002026</v>
      </c>
      <c r="B6215" s="3">
        <v>818</v>
      </c>
      <c r="C6215" s="1" t="str">
        <f>HYPERLINK("http://www.uniprot.org/uniprot/FRS7_ARATH","FRS7_ARATH")</f>
        <v>FRS7_ARATH</v>
      </c>
      <c r="D6215" t="s">
        <v>5129</v>
      </c>
      <c r="E6215" s="3" t="s">
        <v>3</v>
      </c>
      <c r="F6215" s="4">
        <v>4.43E-16</v>
      </c>
      <c r="G6215" s="3">
        <v>201</v>
      </c>
      <c r="H6215" s="3">
        <v>40</v>
      </c>
      <c r="I6215" s="3">
        <v>119</v>
      </c>
      <c r="J6215" s="3">
        <v>372</v>
      </c>
      <c r="K6215" s="3">
        <v>728</v>
      </c>
      <c r="L6215" s="3">
        <v>175</v>
      </c>
      <c r="M6215" s="3">
        <v>278</v>
      </c>
    </row>
    <row r="6216" spans="1:13" x14ac:dyDescent="0.25">
      <c r="A6216" s="1" t="str">
        <f>HYPERLINK("http://www.rosaceae.org/Prunus/Prunus_persica/p.persica_gdr_reftransV1_0002126","p.persica_gdr_reftransV1_0002126")</f>
        <v>p.persica_gdr_reftransV1_0002126</v>
      </c>
      <c r="B6216" s="3">
        <v>1668</v>
      </c>
      <c r="C6216" s="1" t="str">
        <f>HYPERLINK("http://www.uniprot.org/uniprot/CB21_TOBAC","CB21_TOBAC")</f>
        <v>CB21_TOBAC</v>
      </c>
      <c r="D6216" t="s">
        <v>3151</v>
      </c>
      <c r="E6216" s="3" t="s">
        <v>200</v>
      </c>
      <c r="F6216" s="4">
        <v>3.0499999999999999E-165</v>
      </c>
      <c r="G6216" s="3">
        <v>1228</v>
      </c>
      <c r="H6216" s="3">
        <v>88</v>
      </c>
      <c r="I6216" s="3">
        <v>265</v>
      </c>
      <c r="J6216" s="3">
        <v>660</v>
      </c>
      <c r="K6216" s="3">
        <v>1451</v>
      </c>
      <c r="L6216" s="3">
        <v>4</v>
      </c>
      <c r="M6216" s="3">
        <v>266</v>
      </c>
    </row>
    <row r="6217" spans="1:13" x14ac:dyDescent="0.25">
      <c r="A6217" s="1" t="str">
        <f>HYPERLINK("http://www.rosaceae.org/Prunus/Prunus_persica/p.persica_gdr_reftransV1_0002176","p.persica_gdr_reftransV1_0002176")</f>
        <v>p.persica_gdr_reftransV1_0002176</v>
      </c>
      <c r="B6217" s="3">
        <v>1459</v>
      </c>
      <c r="C6217" s="1" t="str">
        <f>HYPERLINK("http://www.uniprot.org/uniprot/FYPP_PEA","FYPP_PEA")</f>
        <v>FYPP_PEA</v>
      </c>
      <c r="D6217" t="s">
        <v>5130</v>
      </c>
      <c r="E6217" s="3" t="s">
        <v>60</v>
      </c>
      <c r="F6217" s="4">
        <v>0</v>
      </c>
      <c r="G6217" s="3">
        <v>1625</v>
      </c>
      <c r="H6217" s="3">
        <v>99</v>
      </c>
      <c r="I6217" s="3">
        <v>303</v>
      </c>
      <c r="J6217" s="3">
        <v>144</v>
      </c>
      <c r="K6217" s="3">
        <v>1052</v>
      </c>
      <c r="L6217" s="3">
        <v>1</v>
      </c>
      <c r="M6217" s="3">
        <v>303</v>
      </c>
    </row>
    <row r="6218" spans="1:13" x14ac:dyDescent="0.25">
      <c r="A6218" s="1" t="str">
        <f>HYPERLINK("http://www.rosaceae.org/Prunus/Prunus_persica/p.persica_gdr_reftransV1_0002226","p.persica_gdr_reftransV1_0002226")</f>
        <v>p.persica_gdr_reftransV1_0002226</v>
      </c>
      <c r="B6218" s="3">
        <v>1640</v>
      </c>
      <c r="C6218" s="1" t="str">
        <f>HYPERLINK("http://www.uniprot.org/uniprot/EI2BA_DICDI","EI2BA_DICDI")</f>
        <v>EI2BA_DICDI</v>
      </c>
      <c r="D6218" t="s">
        <v>5131</v>
      </c>
      <c r="E6218" s="3" t="s">
        <v>9</v>
      </c>
      <c r="F6218" s="4">
        <v>8.0100000000000002E-75</v>
      </c>
      <c r="G6218" s="3">
        <v>629</v>
      </c>
      <c r="H6218" s="3">
        <v>47</v>
      </c>
      <c r="I6218" s="3">
        <v>279</v>
      </c>
      <c r="J6218" s="3">
        <v>274</v>
      </c>
      <c r="K6218" s="3">
        <v>1074</v>
      </c>
      <c r="L6218" s="3">
        <v>43</v>
      </c>
      <c r="M6218" s="3">
        <v>320</v>
      </c>
    </row>
    <row r="6219" spans="1:13" x14ac:dyDescent="0.25">
      <c r="A6219" s="1" t="str">
        <f>HYPERLINK("http://www.rosaceae.org/Prunus/Prunus_persica/p.persica_gdr_reftransV1_0002326","p.persica_gdr_reftransV1_0002326")</f>
        <v>p.persica_gdr_reftransV1_0002326</v>
      </c>
      <c r="B6219" s="3">
        <v>1995</v>
      </c>
      <c r="C6219" s="1" t="str">
        <f>HYPERLINK("http://www.uniprot.org/uniprot/CAF2P_ARATH","CAF2P_ARATH")</f>
        <v>CAF2P_ARATH</v>
      </c>
      <c r="D6219" t="s">
        <v>4951</v>
      </c>
      <c r="E6219" s="3" t="s">
        <v>3</v>
      </c>
      <c r="F6219" s="4">
        <v>0</v>
      </c>
      <c r="G6219" s="3">
        <v>1519</v>
      </c>
      <c r="H6219" s="3">
        <v>63</v>
      </c>
      <c r="I6219" s="3">
        <v>511</v>
      </c>
      <c r="J6219" s="3">
        <v>169</v>
      </c>
      <c r="K6219" s="3">
        <v>1680</v>
      </c>
      <c r="L6219" s="3">
        <v>66</v>
      </c>
      <c r="M6219" s="3">
        <v>559</v>
      </c>
    </row>
    <row r="6220" spans="1:13" x14ac:dyDescent="0.25">
      <c r="A6220" s="1" t="str">
        <f>HYPERLINK("http://www.rosaceae.org/Prunus/Prunus_persica/p.persica_gdr_reftransV1_0002376","p.persica_gdr_reftransV1_0002376")</f>
        <v>p.persica_gdr_reftransV1_0002376</v>
      </c>
      <c r="B6220" s="3">
        <v>1759</v>
      </c>
      <c r="C6220" s="1" t="str">
        <f>HYPERLINK("http://www.uniprot.org/uniprot/MES11_ARATH","MES11_ARATH")</f>
        <v>MES11_ARATH</v>
      </c>
      <c r="D6220" t="s">
        <v>5132</v>
      </c>
      <c r="E6220" s="3" t="s">
        <v>3</v>
      </c>
      <c r="F6220" s="4">
        <v>1.17E-150</v>
      </c>
      <c r="G6220" s="3">
        <v>1147</v>
      </c>
      <c r="H6220" s="3">
        <v>77</v>
      </c>
      <c r="I6220" s="3">
        <v>310</v>
      </c>
      <c r="J6220" s="3">
        <v>308</v>
      </c>
      <c r="K6220" s="3">
        <v>1237</v>
      </c>
      <c r="L6220" s="3">
        <v>81</v>
      </c>
      <c r="M6220" s="3">
        <v>388</v>
      </c>
    </row>
    <row r="6221" spans="1:13" x14ac:dyDescent="0.25">
      <c r="A6221" s="1" t="str">
        <f>HYPERLINK("http://www.rosaceae.org/Prunus/Prunus_persica/p.persica_gdr_reftransV1_0002476","p.persica_gdr_reftransV1_0002476")</f>
        <v>p.persica_gdr_reftransV1_0002476</v>
      </c>
      <c r="B6221" s="3">
        <v>486</v>
      </c>
      <c r="C6221" s="1" t="str">
        <f>HYPERLINK("http://www.uniprot.org/uniprot/RPM1_ARATH","RPM1_ARATH")</f>
        <v>RPM1_ARATH</v>
      </c>
      <c r="D6221" t="s">
        <v>453</v>
      </c>
      <c r="E6221" s="3" t="s">
        <v>3</v>
      </c>
      <c r="F6221" s="4">
        <v>4.2000000000000004E-9</v>
      </c>
      <c r="G6221" s="3">
        <v>140</v>
      </c>
      <c r="H6221" s="3">
        <v>32</v>
      </c>
      <c r="I6221" s="3">
        <v>158</v>
      </c>
      <c r="J6221" s="3">
        <v>1</v>
      </c>
      <c r="K6221" s="3">
        <v>474</v>
      </c>
      <c r="L6221" s="3">
        <v>631</v>
      </c>
      <c r="M6221" s="3">
        <v>784</v>
      </c>
    </row>
    <row r="6222" spans="1:13" x14ac:dyDescent="0.25">
      <c r="A6222" s="1" t="str">
        <f>HYPERLINK("http://www.rosaceae.org/Prunus/Prunus_persica/p.persica_gdr_reftransV1_0002576","p.persica_gdr_reftransV1_0002576")</f>
        <v>p.persica_gdr_reftransV1_0002576</v>
      </c>
      <c r="B6222" s="3">
        <v>2380</v>
      </c>
      <c r="C6222" s="1" t="str">
        <f>HYPERLINK("http://www.uniprot.org/uniprot/GCP2_ARATH","GCP2_ARATH")</f>
        <v>GCP2_ARATH</v>
      </c>
      <c r="D6222" t="s">
        <v>1808</v>
      </c>
      <c r="E6222" s="3" t="s">
        <v>3</v>
      </c>
      <c r="F6222" s="4">
        <v>2.5200000000000001E-170</v>
      </c>
      <c r="G6222" s="3">
        <v>1327</v>
      </c>
      <c r="H6222" s="3">
        <v>43</v>
      </c>
      <c r="I6222" s="3">
        <v>665</v>
      </c>
      <c r="J6222" s="3">
        <v>179</v>
      </c>
      <c r="K6222" s="3">
        <v>2158</v>
      </c>
      <c r="L6222" s="3">
        <v>81</v>
      </c>
      <c r="M6222" s="3">
        <v>705</v>
      </c>
    </row>
    <row r="6223" spans="1:13" x14ac:dyDescent="0.25">
      <c r="A6223" s="1" t="str">
        <f>HYPERLINK("http://www.rosaceae.org/Prunus/Prunus_persica/p.persica_gdr_reftransV1_0002676","p.persica_gdr_reftransV1_0002676")</f>
        <v>p.persica_gdr_reftransV1_0002676</v>
      </c>
      <c r="B6223" s="3">
        <v>873</v>
      </c>
      <c r="C6223" s="1" t="str">
        <f>HYPERLINK("http://www.uniprot.org/uniprot/RRP3_SPIOL","RRP3_SPIOL")</f>
        <v>RRP3_SPIOL</v>
      </c>
      <c r="D6223" t="s">
        <v>5133</v>
      </c>
      <c r="E6223" s="3" t="s">
        <v>131</v>
      </c>
      <c r="F6223" s="4">
        <v>2.86E-56</v>
      </c>
      <c r="G6223" s="3">
        <v>471</v>
      </c>
      <c r="H6223" s="3">
        <v>84</v>
      </c>
      <c r="I6223" s="3">
        <v>106</v>
      </c>
      <c r="J6223" s="3">
        <v>217</v>
      </c>
      <c r="K6223" s="3">
        <v>534</v>
      </c>
      <c r="L6223" s="3">
        <v>77</v>
      </c>
      <c r="M6223" s="3">
        <v>178</v>
      </c>
    </row>
    <row r="6224" spans="1:13" x14ac:dyDescent="0.25">
      <c r="A6224" s="1" t="str">
        <f>HYPERLINK("http://www.rosaceae.org/Prunus/Prunus_persica/p.persica_gdr_reftransV1_0002726","p.persica_gdr_reftransV1_0002726")</f>
        <v>p.persica_gdr_reftransV1_0002726</v>
      </c>
      <c r="B6224" s="3">
        <v>1114</v>
      </c>
      <c r="C6224" s="1" t="str">
        <f>HYPERLINK("http://www.uniprot.org/uniprot/Y005_SYNY3","Y005_SYNY3")</f>
        <v>Y005_SYNY3</v>
      </c>
      <c r="D6224" t="s">
        <v>3142</v>
      </c>
      <c r="E6224" s="3" t="s">
        <v>527</v>
      </c>
      <c r="F6224" s="4">
        <v>2.1600000000000001E-23</v>
      </c>
      <c r="G6224" s="3">
        <v>262</v>
      </c>
      <c r="H6224" s="3">
        <v>40</v>
      </c>
      <c r="I6224" s="3">
        <v>146</v>
      </c>
      <c r="J6224" s="3">
        <v>577</v>
      </c>
      <c r="K6224" s="3">
        <v>1014</v>
      </c>
      <c r="L6224" s="3">
        <v>53</v>
      </c>
      <c r="M6224" s="3">
        <v>188</v>
      </c>
    </row>
    <row r="6225" spans="1:13" x14ac:dyDescent="0.25">
      <c r="A6225" s="1" t="str">
        <f>HYPERLINK("http://www.rosaceae.org/Prunus/Prunus_persica/p.persica_gdr_reftransV1_0002876","p.persica_gdr_reftransV1_0002876")</f>
        <v>p.persica_gdr_reftransV1_0002876</v>
      </c>
      <c r="B6225" s="3">
        <v>1158</v>
      </c>
      <c r="C6225" s="1" t="str">
        <f>HYPERLINK("http://www.uniprot.org/uniprot/NMNAT_ARATH","NMNAT_ARATH")</f>
        <v>NMNAT_ARATH</v>
      </c>
      <c r="D6225" t="s">
        <v>5134</v>
      </c>
      <c r="E6225" s="3" t="s">
        <v>3</v>
      </c>
      <c r="F6225" s="4">
        <v>4.5E-120</v>
      </c>
      <c r="G6225" s="3">
        <v>910</v>
      </c>
      <c r="H6225" s="3">
        <v>70</v>
      </c>
      <c r="I6225" s="3">
        <v>238</v>
      </c>
      <c r="J6225" s="3">
        <v>282</v>
      </c>
      <c r="K6225" s="3">
        <v>995</v>
      </c>
      <c r="L6225" s="3">
        <v>1</v>
      </c>
      <c r="M6225" s="3">
        <v>235</v>
      </c>
    </row>
    <row r="6226" spans="1:13" x14ac:dyDescent="0.25">
      <c r="A6226" s="1" t="str">
        <f>HYPERLINK("http://www.rosaceae.org/Prunus/Prunus_persica/p.persica_gdr_reftransV1_0002926","p.persica_gdr_reftransV1_0002926")</f>
        <v>p.persica_gdr_reftransV1_0002926</v>
      </c>
      <c r="B6226" s="3">
        <v>1387</v>
      </c>
      <c r="C6226" s="1" t="str">
        <f>HYPERLINK("http://www.uniprot.org/uniprot/PGTB1_ARATH","PGTB1_ARATH")</f>
        <v>PGTB1_ARATH</v>
      </c>
      <c r="D6226" t="s">
        <v>5135</v>
      </c>
      <c r="E6226" s="3" t="s">
        <v>3</v>
      </c>
      <c r="F6226" s="4">
        <v>3.4099999999999998E-116</v>
      </c>
      <c r="G6226" s="3">
        <v>551</v>
      </c>
      <c r="H6226" s="3">
        <v>66</v>
      </c>
      <c r="I6226" s="3">
        <v>160</v>
      </c>
      <c r="J6226" s="3">
        <v>775</v>
      </c>
      <c r="K6226" s="3">
        <v>1254</v>
      </c>
      <c r="L6226" s="3">
        <v>35</v>
      </c>
      <c r="M6226" s="3">
        <v>191</v>
      </c>
    </row>
    <row r="6227" spans="1:13" x14ac:dyDescent="0.25">
      <c r="A6227" s="1" t="str">
        <f>HYPERLINK("http://www.rosaceae.org/Prunus/Prunus_persica/p.persica_gdr_reftransV1_0003026","p.persica_gdr_reftransV1_0003026")</f>
        <v>p.persica_gdr_reftransV1_0003026</v>
      </c>
      <c r="B6227" s="3">
        <v>3509</v>
      </c>
      <c r="C6227" s="1" t="str">
        <f>HYPERLINK("http://www.uniprot.org/uniprot/JMJ25_ARATH","JMJ25_ARATH")</f>
        <v>JMJ25_ARATH</v>
      </c>
      <c r="D6227" t="s">
        <v>1512</v>
      </c>
      <c r="E6227" s="3" t="s">
        <v>3</v>
      </c>
      <c r="F6227" s="4">
        <v>2.7199999999999998E-84</v>
      </c>
      <c r="G6227" s="3">
        <v>771</v>
      </c>
      <c r="H6227" s="3">
        <v>35</v>
      </c>
      <c r="I6227" s="3">
        <v>543</v>
      </c>
      <c r="J6227" s="3">
        <v>390</v>
      </c>
      <c r="K6227" s="3">
        <v>1973</v>
      </c>
      <c r="L6227" s="3">
        <v>415</v>
      </c>
      <c r="M6227" s="3">
        <v>890</v>
      </c>
    </row>
    <row r="6228" spans="1:13" x14ac:dyDescent="0.25">
      <c r="A6228" s="1" t="str">
        <f>HYPERLINK("http://www.rosaceae.org/Prunus/Prunus_persica/p.persica_gdr_reftransV1_0003076","p.persica_gdr_reftransV1_0003076")</f>
        <v>p.persica_gdr_reftransV1_0003076</v>
      </c>
      <c r="B6228" s="3">
        <v>1086</v>
      </c>
      <c r="C6228" s="1" t="str">
        <f>HYPERLINK("http://www.uniprot.org/uniprot/LRK71_ARATH","LRK71_ARATH")</f>
        <v>LRK71_ARATH</v>
      </c>
      <c r="D6228" t="s">
        <v>5136</v>
      </c>
      <c r="E6228" s="3" t="s">
        <v>3</v>
      </c>
      <c r="F6228" s="4">
        <v>6.29E-63</v>
      </c>
      <c r="G6228" s="3">
        <v>556</v>
      </c>
      <c r="H6228" s="3">
        <v>53</v>
      </c>
      <c r="I6228" s="3">
        <v>243</v>
      </c>
      <c r="J6228" s="3">
        <v>101</v>
      </c>
      <c r="K6228" s="3">
        <v>823</v>
      </c>
      <c r="L6228" s="3">
        <v>20</v>
      </c>
      <c r="M6228" s="3">
        <v>253</v>
      </c>
    </row>
    <row r="6229" spans="1:13" x14ac:dyDescent="0.25">
      <c r="A6229" s="1" t="str">
        <f>HYPERLINK("http://www.rosaceae.org/Prunus/Prunus_persica/p.persica_gdr_reftransV1_0003126","p.persica_gdr_reftransV1_0003126")</f>
        <v>p.persica_gdr_reftransV1_0003126</v>
      </c>
      <c r="B6229" s="3">
        <v>2172</v>
      </c>
      <c r="C6229" s="1" t="str">
        <f>HYPERLINK("http://www.uniprot.org/uniprot/PP304_ARATH","PP304_ARATH")</f>
        <v>PP304_ARATH</v>
      </c>
      <c r="D6229" t="s">
        <v>5137</v>
      </c>
      <c r="E6229" s="3" t="s">
        <v>3</v>
      </c>
      <c r="F6229" s="4">
        <v>0</v>
      </c>
      <c r="G6229" s="3">
        <v>1572</v>
      </c>
      <c r="H6229" s="3">
        <v>50</v>
      </c>
      <c r="I6229" s="3">
        <v>612</v>
      </c>
      <c r="J6229" s="3">
        <v>3</v>
      </c>
      <c r="K6229" s="3">
        <v>1838</v>
      </c>
      <c r="L6229" s="3">
        <v>203</v>
      </c>
      <c r="M6229" s="3">
        <v>805</v>
      </c>
    </row>
    <row r="6230" spans="1:13" x14ac:dyDescent="0.25">
      <c r="A6230" s="1" t="str">
        <f>HYPERLINK("http://www.rosaceae.org/Prunus/Prunus_persica/p.persica_gdr_reftransV1_0003226","p.persica_gdr_reftransV1_0003226")</f>
        <v>p.persica_gdr_reftransV1_0003226</v>
      </c>
      <c r="B6230" s="3">
        <v>7562</v>
      </c>
      <c r="C6230" s="1" t="str">
        <f>HYPERLINK("http://www.uniprot.org/uniprot/PP249_ARATH","PP249_ARATH")</f>
        <v>PP249_ARATH</v>
      </c>
      <c r="D6230" t="s">
        <v>602</v>
      </c>
      <c r="E6230" s="3" t="s">
        <v>3</v>
      </c>
      <c r="F6230" s="4">
        <v>4.8000000000000002E-172</v>
      </c>
      <c r="G6230" s="3">
        <v>1436</v>
      </c>
      <c r="H6230" s="3">
        <v>36</v>
      </c>
      <c r="I6230" s="3">
        <v>858</v>
      </c>
      <c r="J6230" s="3">
        <v>22</v>
      </c>
      <c r="K6230" s="3">
        <v>2532</v>
      </c>
      <c r="L6230" s="3">
        <v>17</v>
      </c>
      <c r="M6230" s="3">
        <v>842</v>
      </c>
    </row>
    <row r="6231" spans="1:13" x14ac:dyDescent="0.25">
      <c r="A6231" s="1" t="str">
        <f>HYPERLINK("http://www.rosaceae.org/Prunus/Prunus_persica/p.persica_gdr_reftransV1_0003376","p.persica_gdr_reftransV1_0003376")</f>
        <v>p.persica_gdr_reftransV1_0003376</v>
      </c>
      <c r="B6231" s="3">
        <v>2439</v>
      </c>
      <c r="C6231" s="1" t="str">
        <f>HYPERLINK("http://www.uniprot.org/uniprot/DRP5A_ARATH","DRP5A_ARATH")</f>
        <v>DRP5A_ARATH</v>
      </c>
      <c r="D6231" t="s">
        <v>878</v>
      </c>
      <c r="E6231" s="3" t="s">
        <v>3</v>
      </c>
      <c r="F6231" s="4">
        <v>0</v>
      </c>
      <c r="G6231" s="3">
        <v>3087</v>
      </c>
      <c r="H6231" s="3">
        <v>78</v>
      </c>
      <c r="I6231" s="3">
        <v>784</v>
      </c>
      <c r="J6231" s="3">
        <v>111</v>
      </c>
      <c r="K6231" s="3">
        <v>2435</v>
      </c>
      <c r="L6231" s="3">
        <v>45</v>
      </c>
      <c r="M6231" s="3">
        <v>817</v>
      </c>
    </row>
    <row r="6232" spans="1:13" x14ac:dyDescent="0.25">
      <c r="A6232" s="1" t="str">
        <f>HYPERLINK("http://www.rosaceae.org/Prunus/Prunus_persica/p.persica_gdr_reftransV1_0003476","p.persica_gdr_reftransV1_0003476")</f>
        <v>p.persica_gdr_reftransV1_0003476</v>
      </c>
      <c r="B6232" s="3">
        <v>409</v>
      </c>
      <c r="C6232" s="1" t="str">
        <f>HYPERLINK("http://www.uniprot.org/uniprot/PLYF_ASPTN","PLYF_ASPTN")</f>
        <v>PLYF_ASPTN</v>
      </c>
      <c r="D6232" t="s">
        <v>5138</v>
      </c>
      <c r="E6232" s="3" t="s">
        <v>1115</v>
      </c>
      <c r="F6232" s="4">
        <v>3.8000000000000004E-37</v>
      </c>
      <c r="G6232" s="3">
        <v>332</v>
      </c>
      <c r="H6232" s="3">
        <v>63</v>
      </c>
      <c r="I6232" s="3">
        <v>110</v>
      </c>
      <c r="J6232" s="3">
        <v>81</v>
      </c>
      <c r="K6232" s="3">
        <v>407</v>
      </c>
      <c r="L6232" s="3">
        <v>128</v>
      </c>
      <c r="M6232" s="3">
        <v>232</v>
      </c>
    </row>
    <row r="6233" spans="1:13" x14ac:dyDescent="0.25">
      <c r="A6233" s="1" t="str">
        <f>HYPERLINK("http://www.rosaceae.org/Prunus/Prunus_persica/p.persica_gdr_reftransV1_0003526","p.persica_gdr_reftransV1_0003526")</f>
        <v>p.persica_gdr_reftransV1_0003526</v>
      </c>
      <c r="B6233" s="3">
        <v>1427</v>
      </c>
      <c r="C6233" s="1" t="str">
        <f>HYPERLINK("http://www.uniprot.org/uniprot/HETE1_PODAS","HETE1_PODAS")</f>
        <v>HETE1_PODAS</v>
      </c>
      <c r="D6233" t="s">
        <v>5139</v>
      </c>
      <c r="E6233" s="3" t="s">
        <v>3657</v>
      </c>
      <c r="F6233" s="4">
        <v>1.45E-21</v>
      </c>
      <c r="G6233" s="3">
        <v>253</v>
      </c>
      <c r="H6233" s="3">
        <v>29</v>
      </c>
      <c r="I6233" s="3">
        <v>367</v>
      </c>
      <c r="J6233" s="3">
        <v>207</v>
      </c>
      <c r="K6233" s="3">
        <v>1241</v>
      </c>
      <c r="L6233" s="3">
        <v>833</v>
      </c>
      <c r="M6233" s="3">
        <v>1162</v>
      </c>
    </row>
    <row r="6234" spans="1:13" x14ac:dyDescent="0.25">
      <c r="A6234" s="1" t="str">
        <f>HYPERLINK("http://www.rosaceae.org/Prunus/Prunus_persica/p.persica_gdr_reftransV1_0003576","p.persica_gdr_reftransV1_0003576")</f>
        <v>p.persica_gdr_reftransV1_0003576</v>
      </c>
      <c r="B6234" s="3">
        <v>1650</v>
      </c>
      <c r="C6234" s="1" t="str">
        <f>HYPERLINK("http://www.uniprot.org/uniprot/GATL9_ARATH","GATL9_ARATH")</f>
        <v>GATL9_ARATH</v>
      </c>
      <c r="D6234" t="s">
        <v>5140</v>
      </c>
      <c r="E6234" s="3" t="s">
        <v>3</v>
      </c>
      <c r="F6234" s="4">
        <v>0</v>
      </c>
      <c r="G6234" s="3">
        <v>1503</v>
      </c>
      <c r="H6234" s="3">
        <v>73</v>
      </c>
      <c r="I6234" s="3">
        <v>392</v>
      </c>
      <c r="J6234" s="3">
        <v>363</v>
      </c>
      <c r="K6234" s="3">
        <v>1520</v>
      </c>
      <c r="L6234" s="3">
        <v>3</v>
      </c>
      <c r="M6234" s="3">
        <v>379</v>
      </c>
    </row>
    <row r="6235" spans="1:13" x14ac:dyDescent="0.25">
      <c r="A6235" s="1" t="str">
        <f>HYPERLINK("http://www.rosaceae.org/Prunus/Prunus_persica/p.persica_gdr_reftransV1_0003626","p.persica_gdr_reftransV1_0003626")</f>
        <v>p.persica_gdr_reftransV1_0003626</v>
      </c>
      <c r="B6235" s="3">
        <v>382</v>
      </c>
      <c r="C6235" s="1" t="str">
        <f>HYPERLINK("http://www.uniprot.org/uniprot/DRL21_ARATH","DRL21_ARATH")</f>
        <v>DRL21_ARATH</v>
      </c>
      <c r="D6235" t="s">
        <v>3610</v>
      </c>
      <c r="E6235" s="3" t="s">
        <v>3</v>
      </c>
      <c r="F6235" s="4">
        <v>3.1599999999999999E-21</v>
      </c>
      <c r="G6235" s="3">
        <v>232</v>
      </c>
      <c r="H6235" s="3">
        <v>40</v>
      </c>
      <c r="I6235" s="3">
        <v>126</v>
      </c>
      <c r="J6235" s="3">
        <v>5</v>
      </c>
      <c r="K6235" s="3">
        <v>382</v>
      </c>
      <c r="L6235" s="3">
        <v>1167</v>
      </c>
      <c r="M6235" s="3">
        <v>1289</v>
      </c>
    </row>
    <row r="6236" spans="1:13" x14ac:dyDescent="0.25">
      <c r="A6236" s="1" t="str">
        <f>HYPERLINK("http://www.rosaceae.org/Prunus/Prunus_persica/p.persica_gdr_reftransV1_0003676","p.persica_gdr_reftransV1_0003676")</f>
        <v>p.persica_gdr_reftransV1_0003676</v>
      </c>
      <c r="B6236" s="3">
        <v>1142</v>
      </c>
      <c r="C6236" s="1" t="str">
        <f>HYPERLINK("http://www.uniprot.org/uniprot/GATL3_ARATH","GATL3_ARATH")</f>
        <v>GATL3_ARATH</v>
      </c>
      <c r="D6236" t="s">
        <v>5141</v>
      </c>
      <c r="E6236" s="3" t="s">
        <v>3</v>
      </c>
      <c r="F6236" s="4">
        <v>2.0999999999999999E-136</v>
      </c>
      <c r="G6236" s="3">
        <v>1028</v>
      </c>
      <c r="H6236" s="3">
        <v>74</v>
      </c>
      <c r="I6236" s="3">
        <v>279</v>
      </c>
      <c r="J6236" s="3">
        <v>1</v>
      </c>
      <c r="K6236" s="3">
        <v>837</v>
      </c>
      <c r="L6236" s="3">
        <v>21</v>
      </c>
      <c r="M6236" s="3">
        <v>293</v>
      </c>
    </row>
    <row r="6237" spans="1:13" x14ac:dyDescent="0.25">
      <c r="A6237" s="1" t="str">
        <f>HYPERLINK("http://www.rosaceae.org/Prunus/Prunus_persica/p.persica_gdr_reftransV1_0003826","p.persica_gdr_reftransV1_0003826")</f>
        <v>p.persica_gdr_reftransV1_0003826</v>
      </c>
      <c r="B6237" s="3">
        <v>973</v>
      </c>
      <c r="C6237" s="1" t="str">
        <f>HYPERLINK("http://www.uniprot.org/uniprot/FRL3_ARATH","FRL3_ARATH")</f>
        <v>FRL3_ARATH</v>
      </c>
      <c r="D6237" t="s">
        <v>270</v>
      </c>
      <c r="E6237" s="3" t="s">
        <v>3</v>
      </c>
      <c r="F6237" s="4">
        <v>4.0199999999999999E-23</v>
      </c>
      <c r="G6237" s="3">
        <v>257</v>
      </c>
      <c r="H6237" s="3">
        <v>33</v>
      </c>
      <c r="I6237" s="3">
        <v>164</v>
      </c>
      <c r="J6237" s="3">
        <v>6</v>
      </c>
      <c r="K6237" s="3">
        <v>497</v>
      </c>
      <c r="L6237" s="3">
        <v>302</v>
      </c>
      <c r="M6237" s="3">
        <v>465</v>
      </c>
    </row>
    <row r="6238" spans="1:13" x14ac:dyDescent="0.25">
      <c r="A6238" s="1" t="str">
        <f>HYPERLINK("http://www.rosaceae.org/Prunus/Prunus_persica/p.persica_gdr_reftransV1_0003876","p.persica_gdr_reftransV1_0003876")</f>
        <v>p.persica_gdr_reftransV1_0003876</v>
      </c>
      <c r="B6238" s="3">
        <v>1463</v>
      </c>
      <c r="C6238" s="1" t="str">
        <f>HYPERLINK("http://www.uniprot.org/uniprot/RT4I1_MOUSE","RT4I1_MOUSE")</f>
        <v>RT4I1_MOUSE</v>
      </c>
      <c r="D6238" t="s">
        <v>3606</v>
      </c>
      <c r="E6238" s="3" t="s">
        <v>157</v>
      </c>
      <c r="F6238" s="4">
        <v>3.3899999999999999E-19</v>
      </c>
      <c r="G6238" s="3">
        <v>230</v>
      </c>
      <c r="H6238" s="3">
        <v>35</v>
      </c>
      <c r="I6238" s="3">
        <v>175</v>
      </c>
      <c r="J6238" s="3">
        <v>282</v>
      </c>
      <c r="K6238" s="3">
        <v>791</v>
      </c>
      <c r="L6238" s="3">
        <v>222</v>
      </c>
      <c r="M6238" s="3">
        <v>394</v>
      </c>
    </row>
    <row r="6239" spans="1:13" x14ac:dyDescent="0.25">
      <c r="A6239" s="1" t="str">
        <f>HYPERLINK("http://www.rosaceae.org/Prunus/Prunus_persica/p.persica_gdr_reftransV1_0003926","p.persica_gdr_reftransV1_0003926")</f>
        <v>p.persica_gdr_reftransV1_0003926</v>
      </c>
      <c r="B6239" s="3">
        <v>683</v>
      </c>
      <c r="C6239" s="1" t="str">
        <f>HYPERLINK("http://www.uniprot.org/uniprot/P80_DICDI","P80_DICDI")</f>
        <v>P80_DICDI</v>
      </c>
      <c r="D6239" t="s">
        <v>5142</v>
      </c>
      <c r="E6239" s="3" t="s">
        <v>9</v>
      </c>
      <c r="F6239" s="4">
        <v>3.2200000000000003E-10</v>
      </c>
      <c r="G6239" s="3">
        <v>151</v>
      </c>
      <c r="H6239" s="3">
        <v>28</v>
      </c>
      <c r="I6239" s="3">
        <v>149</v>
      </c>
      <c r="J6239" s="3">
        <v>166</v>
      </c>
      <c r="K6239" s="3">
        <v>612</v>
      </c>
      <c r="L6239" s="3">
        <v>387</v>
      </c>
      <c r="M6239" s="3">
        <v>524</v>
      </c>
    </row>
    <row r="6240" spans="1:13" x14ac:dyDescent="0.25">
      <c r="A6240" s="1" t="str">
        <f>HYPERLINK("http://www.rosaceae.org/Prunus/Prunus_persica/p.persica_gdr_reftransV1_0004076","p.persica_gdr_reftransV1_0004076")</f>
        <v>p.persica_gdr_reftransV1_0004076</v>
      </c>
      <c r="B6240" s="3">
        <v>3076</v>
      </c>
      <c r="C6240" s="1" t="str">
        <f>HYPERLINK("http://www.uniprot.org/uniprot/GCS1_ARATH","GCS1_ARATH")</f>
        <v>GCS1_ARATH</v>
      </c>
      <c r="D6240" t="s">
        <v>4043</v>
      </c>
      <c r="E6240" s="3" t="s">
        <v>3</v>
      </c>
      <c r="F6240" s="4">
        <v>0</v>
      </c>
      <c r="G6240" s="3">
        <v>1754</v>
      </c>
      <c r="H6240" s="3">
        <v>73</v>
      </c>
      <c r="I6240" s="3">
        <v>437</v>
      </c>
      <c r="J6240" s="3">
        <v>1531</v>
      </c>
      <c r="K6240" s="3">
        <v>2838</v>
      </c>
      <c r="L6240" s="3">
        <v>413</v>
      </c>
      <c r="M6240" s="3">
        <v>849</v>
      </c>
    </row>
    <row r="6241" spans="1:13" x14ac:dyDescent="0.25">
      <c r="A6241" s="1" t="str">
        <f>HYPERLINK("http://www.rosaceae.org/Prunus/Prunus_persica/p.persica_gdr_reftransV1_0004226","p.persica_gdr_reftransV1_0004226")</f>
        <v>p.persica_gdr_reftransV1_0004226</v>
      </c>
      <c r="B6241" s="3">
        <v>4796</v>
      </c>
      <c r="C6241" s="1" t="str">
        <f>HYPERLINK("http://www.uniprot.org/uniprot/PALD_HUMAN","PALD_HUMAN")</f>
        <v>PALD_HUMAN</v>
      </c>
      <c r="D6241" t="s">
        <v>4818</v>
      </c>
      <c r="E6241" s="3" t="s">
        <v>28</v>
      </c>
      <c r="F6241" s="4">
        <v>1.25E-48</v>
      </c>
      <c r="G6241" s="3">
        <v>487</v>
      </c>
      <c r="H6241" s="3">
        <v>26</v>
      </c>
      <c r="I6241" s="3">
        <v>823</v>
      </c>
      <c r="J6241" s="3">
        <v>183</v>
      </c>
      <c r="K6241" s="3">
        <v>2528</v>
      </c>
      <c r="L6241" s="3">
        <v>119</v>
      </c>
      <c r="M6241" s="3">
        <v>806</v>
      </c>
    </row>
    <row r="6242" spans="1:13" x14ac:dyDescent="0.25">
      <c r="A6242" s="1" t="str">
        <f>HYPERLINK("http://www.rosaceae.org/Prunus/Prunus_persica/p.persica_gdr_reftransV1_0004326","p.persica_gdr_reftransV1_0004326")</f>
        <v>p.persica_gdr_reftransV1_0004326</v>
      </c>
      <c r="B6242" s="3">
        <v>687</v>
      </c>
      <c r="C6242" s="1" t="str">
        <f>HYPERLINK("http://www.uniprot.org/uniprot/AB34G_ARATH","AB34G_ARATH")</f>
        <v>AB34G_ARATH</v>
      </c>
      <c r="D6242" t="s">
        <v>3128</v>
      </c>
      <c r="E6242" s="3" t="s">
        <v>3</v>
      </c>
      <c r="F6242" s="4">
        <v>1.1399999999999999E-18</v>
      </c>
      <c r="G6242" s="3">
        <v>221</v>
      </c>
      <c r="H6242" s="3">
        <v>64</v>
      </c>
      <c r="I6242" s="3">
        <v>83</v>
      </c>
      <c r="J6242" s="3">
        <v>447</v>
      </c>
      <c r="K6242" s="3">
        <v>686</v>
      </c>
      <c r="L6242" s="3">
        <v>33</v>
      </c>
      <c r="M6242" s="3">
        <v>114</v>
      </c>
    </row>
    <row r="6243" spans="1:13" x14ac:dyDescent="0.25">
      <c r="A6243" s="1" t="str">
        <f>HYPERLINK("http://www.rosaceae.org/Prunus/Prunus_persica/p.persica_gdr_reftransV1_0004526","p.persica_gdr_reftransV1_0004526")</f>
        <v>p.persica_gdr_reftransV1_0004526</v>
      </c>
      <c r="B6243" s="3">
        <v>348</v>
      </c>
      <c r="C6243" s="1" t="str">
        <f>HYPERLINK("http://www.uniprot.org/uniprot/PP430_ARATH","PP430_ARATH")</f>
        <v>PP430_ARATH</v>
      </c>
      <c r="D6243" t="s">
        <v>2990</v>
      </c>
      <c r="E6243" s="3" t="s">
        <v>3</v>
      </c>
      <c r="F6243" s="4">
        <v>3.4100000000000002E-40</v>
      </c>
      <c r="G6243" s="3">
        <v>370</v>
      </c>
      <c r="H6243" s="3">
        <v>61</v>
      </c>
      <c r="I6243" s="3">
        <v>114</v>
      </c>
      <c r="J6243" s="3">
        <v>1</v>
      </c>
      <c r="K6243" s="3">
        <v>342</v>
      </c>
      <c r="L6243" s="3">
        <v>122</v>
      </c>
      <c r="M6243" s="3">
        <v>235</v>
      </c>
    </row>
    <row r="6244" spans="1:13" x14ac:dyDescent="0.25">
      <c r="A6244" s="1" t="str">
        <f>HYPERLINK("http://www.rosaceae.org/Prunus/Prunus_persica/p.persica_gdr_reftransV1_0004576","p.persica_gdr_reftransV1_0004576")</f>
        <v>p.persica_gdr_reftransV1_0004576</v>
      </c>
      <c r="B6244" s="3">
        <v>2347</v>
      </c>
      <c r="C6244" s="1" t="str">
        <f>HYPERLINK("http://www.uniprot.org/uniprot/DEN4C_HUMAN","DEN4C_HUMAN")</f>
        <v>DEN4C_HUMAN</v>
      </c>
      <c r="D6244" t="s">
        <v>850</v>
      </c>
      <c r="E6244" s="3" t="s">
        <v>28</v>
      </c>
      <c r="F6244" s="4">
        <v>5.4400000000000001E-11</v>
      </c>
      <c r="G6244" s="3">
        <v>171</v>
      </c>
      <c r="H6244" s="3">
        <v>26</v>
      </c>
      <c r="I6244" s="3">
        <v>235</v>
      </c>
      <c r="J6244" s="3">
        <v>381</v>
      </c>
      <c r="K6244" s="3">
        <v>1013</v>
      </c>
      <c r="L6244" s="3">
        <v>158</v>
      </c>
      <c r="M6244" s="3">
        <v>389</v>
      </c>
    </row>
    <row r="6245" spans="1:13" x14ac:dyDescent="0.25">
      <c r="A6245" s="1" t="str">
        <f>HYPERLINK("http://www.rosaceae.org/Prunus/Prunus_persica/p.persica_gdr_reftransV1_0004976","p.persica_gdr_reftransV1_0004976")</f>
        <v>p.persica_gdr_reftransV1_0004976</v>
      </c>
      <c r="B6245" s="3">
        <v>1170</v>
      </c>
      <c r="C6245" s="1" t="str">
        <f>HYPERLINK("http://www.uniprot.org/uniprot/TTC1_HUMAN","TTC1_HUMAN")</f>
        <v>TTC1_HUMAN</v>
      </c>
      <c r="D6245" t="s">
        <v>349</v>
      </c>
      <c r="E6245" s="3" t="s">
        <v>28</v>
      </c>
      <c r="F6245" s="4">
        <v>5.6900000000000004E-37</v>
      </c>
      <c r="G6245" s="3">
        <v>355</v>
      </c>
      <c r="H6245" s="3">
        <v>48</v>
      </c>
      <c r="I6245" s="3">
        <v>182</v>
      </c>
      <c r="J6245" s="3">
        <v>307</v>
      </c>
      <c r="K6245" s="3">
        <v>852</v>
      </c>
      <c r="L6245" s="3">
        <v>105</v>
      </c>
      <c r="M6245" s="3">
        <v>284</v>
      </c>
    </row>
    <row r="6246" spans="1:13" x14ac:dyDescent="0.25">
      <c r="A6246" s="1" t="str">
        <f>HYPERLINK("http://www.rosaceae.org/Prunus/Prunus_persica/p.persica_gdr_reftransV1_0005026","p.persica_gdr_reftransV1_0005026")</f>
        <v>p.persica_gdr_reftransV1_0005026</v>
      </c>
      <c r="B6246" s="3">
        <v>966</v>
      </c>
      <c r="C6246" s="1" t="str">
        <f>HYPERLINK("http://www.uniprot.org/uniprot/PMI2_ARATH","PMI2_ARATH")</f>
        <v>PMI2_ARATH</v>
      </c>
      <c r="D6246" t="s">
        <v>5143</v>
      </c>
      <c r="E6246" s="3" t="s">
        <v>3</v>
      </c>
      <c r="F6246" s="4">
        <v>1.92E-32</v>
      </c>
      <c r="G6246" s="3">
        <v>328</v>
      </c>
      <c r="H6246" s="3">
        <v>40</v>
      </c>
      <c r="I6246" s="3">
        <v>254</v>
      </c>
      <c r="J6246" s="3">
        <v>12</v>
      </c>
      <c r="K6246" s="3">
        <v>767</v>
      </c>
      <c r="L6246" s="3">
        <v>30</v>
      </c>
      <c r="M6246" s="3">
        <v>269</v>
      </c>
    </row>
    <row r="6247" spans="1:13" x14ac:dyDescent="0.25">
      <c r="A6247" s="1" t="str">
        <f>HYPERLINK("http://www.rosaceae.org/Prunus/Prunus_persica/p.persica_gdr_reftransV1_0005226","p.persica_gdr_reftransV1_0005226")</f>
        <v>p.persica_gdr_reftransV1_0005226</v>
      </c>
      <c r="B6247" s="3">
        <v>3509</v>
      </c>
      <c r="C6247" s="1" t="str">
        <f>HYPERLINK("http://www.uniprot.org/uniprot/TPC1_ARATH","TPC1_ARATH")</f>
        <v>TPC1_ARATH</v>
      </c>
      <c r="D6247" t="s">
        <v>268</v>
      </c>
      <c r="E6247" s="3" t="s">
        <v>3</v>
      </c>
      <c r="F6247" s="4">
        <v>0</v>
      </c>
      <c r="G6247" s="3">
        <v>2454</v>
      </c>
      <c r="H6247" s="3">
        <v>70</v>
      </c>
      <c r="I6247" s="3">
        <v>726</v>
      </c>
      <c r="J6247" s="3">
        <v>4</v>
      </c>
      <c r="K6247" s="3">
        <v>2181</v>
      </c>
      <c r="L6247" s="3">
        <v>12</v>
      </c>
      <c r="M6247" s="3">
        <v>731</v>
      </c>
    </row>
    <row r="6248" spans="1:13" x14ac:dyDescent="0.25">
      <c r="A6248" s="1" t="str">
        <f>HYPERLINK("http://www.rosaceae.org/Prunus/Prunus_persica/p.persica_gdr_reftransV1_0005276","p.persica_gdr_reftransV1_0005276")</f>
        <v>p.persica_gdr_reftransV1_0005276</v>
      </c>
      <c r="B6248" s="3">
        <v>1369</v>
      </c>
      <c r="C6248" s="1" t="str">
        <f>HYPERLINK("http://www.uniprot.org/uniprot/TSN_CHICK","TSN_CHICK")</f>
        <v>TSN_CHICK</v>
      </c>
      <c r="D6248" t="s">
        <v>5144</v>
      </c>
      <c r="E6248" s="3" t="s">
        <v>1278</v>
      </c>
      <c r="F6248" s="4">
        <v>3.11E-34</v>
      </c>
      <c r="G6248" s="3">
        <v>333</v>
      </c>
      <c r="H6248" s="3">
        <v>49</v>
      </c>
      <c r="I6248" s="3">
        <v>135</v>
      </c>
      <c r="J6248" s="3">
        <v>549</v>
      </c>
      <c r="K6248" s="3">
        <v>944</v>
      </c>
      <c r="L6248" s="3">
        <v>83</v>
      </c>
      <c r="M6248" s="3">
        <v>217</v>
      </c>
    </row>
    <row r="6249" spans="1:13" x14ac:dyDescent="0.25">
      <c r="A6249" s="1" t="str">
        <f>HYPERLINK("http://www.rosaceae.org/Prunus/Prunus_persica/p.persica_gdr_reftransV1_0005326","p.persica_gdr_reftransV1_0005326")</f>
        <v>p.persica_gdr_reftransV1_0005326</v>
      </c>
      <c r="B6249" s="3">
        <v>4425</v>
      </c>
      <c r="C6249" s="1" t="str">
        <f>HYPERLINK("http://www.uniprot.org/uniprot/RKP_ARATH","RKP_ARATH")</f>
        <v>RKP_ARATH</v>
      </c>
      <c r="D6249" t="s">
        <v>298</v>
      </c>
      <c r="E6249" s="3" t="s">
        <v>3</v>
      </c>
      <c r="F6249" s="4">
        <v>0</v>
      </c>
      <c r="G6249" s="3">
        <v>4293</v>
      </c>
      <c r="H6249" s="3">
        <v>67</v>
      </c>
      <c r="I6249" s="3">
        <v>1274</v>
      </c>
      <c r="J6249" s="3">
        <v>378</v>
      </c>
      <c r="K6249" s="3">
        <v>4172</v>
      </c>
      <c r="L6249" s="3">
        <v>1</v>
      </c>
      <c r="M6249" s="3">
        <v>1263</v>
      </c>
    </row>
    <row r="6250" spans="1:13" x14ac:dyDescent="0.25">
      <c r="A6250" s="1" t="str">
        <f>HYPERLINK("http://www.rosaceae.org/Prunus/Prunus_persica/p.persica_gdr_reftransV1_0005376","p.persica_gdr_reftransV1_0005376")</f>
        <v>p.persica_gdr_reftransV1_0005376</v>
      </c>
      <c r="B6250" s="3">
        <v>1603</v>
      </c>
      <c r="C6250" s="1" t="str">
        <f>HYPERLINK("http://www.uniprot.org/uniprot/PGP1B_ARATH","PGP1B_ARATH")</f>
        <v>PGP1B_ARATH</v>
      </c>
      <c r="D6250" t="s">
        <v>5072</v>
      </c>
      <c r="E6250" s="3" t="s">
        <v>3</v>
      </c>
      <c r="F6250" s="4">
        <v>3.35E-164</v>
      </c>
      <c r="G6250" s="3">
        <v>1229</v>
      </c>
      <c r="H6250" s="3">
        <v>88</v>
      </c>
      <c r="I6250" s="3">
        <v>304</v>
      </c>
      <c r="J6250" s="3">
        <v>388</v>
      </c>
      <c r="K6250" s="3">
        <v>1296</v>
      </c>
      <c r="L6250" s="3">
        <v>59</v>
      </c>
      <c r="M6250" s="3">
        <v>362</v>
      </c>
    </row>
    <row r="6251" spans="1:13" x14ac:dyDescent="0.25">
      <c r="A6251" s="1" t="str">
        <f>HYPERLINK("http://www.rosaceae.org/Prunus/Prunus_persica/p.persica_gdr_reftransV1_0005426","p.persica_gdr_reftransV1_0005426")</f>
        <v>p.persica_gdr_reftransV1_0005426</v>
      </c>
      <c r="B6251" s="3">
        <v>1465</v>
      </c>
      <c r="C6251" s="1" t="str">
        <f>HYPERLINK("http://www.uniprot.org/uniprot/RCD1_XENTR","RCD1_XENTR")</f>
        <v>RCD1_XENTR</v>
      </c>
      <c r="D6251" t="s">
        <v>5145</v>
      </c>
      <c r="E6251" s="3" t="s">
        <v>173</v>
      </c>
      <c r="F6251" s="4">
        <v>2.2399999999999999E-133</v>
      </c>
      <c r="G6251" s="3">
        <v>1014</v>
      </c>
      <c r="H6251" s="3">
        <v>70</v>
      </c>
      <c r="I6251" s="3">
        <v>281</v>
      </c>
      <c r="J6251" s="3">
        <v>458</v>
      </c>
      <c r="K6251" s="3">
        <v>1300</v>
      </c>
      <c r="L6251" s="3">
        <v>7</v>
      </c>
      <c r="M6251" s="3">
        <v>283</v>
      </c>
    </row>
    <row r="6252" spans="1:13" x14ac:dyDescent="0.25">
      <c r="A6252" s="1" t="str">
        <f>HYPERLINK("http://www.rosaceae.org/Prunus/Prunus_persica/p.persica_gdr_reftransV1_0005576","p.persica_gdr_reftransV1_0005576")</f>
        <v>p.persica_gdr_reftransV1_0005576</v>
      </c>
      <c r="B6252" s="3">
        <v>1145</v>
      </c>
      <c r="C6252" s="1" t="str">
        <f>HYPERLINK("http://www.uniprot.org/uniprot/HSD4B_ARATH","HSD4B_ARATH")</f>
        <v>HSD4B_ARATH</v>
      </c>
      <c r="D6252" t="s">
        <v>5146</v>
      </c>
      <c r="E6252" s="3" t="s">
        <v>3</v>
      </c>
      <c r="F6252" s="4">
        <v>4.5399999999999997E-80</v>
      </c>
      <c r="G6252" s="3">
        <v>649</v>
      </c>
      <c r="H6252" s="3">
        <v>49</v>
      </c>
      <c r="I6252" s="3">
        <v>298</v>
      </c>
      <c r="J6252" s="3">
        <v>225</v>
      </c>
      <c r="K6252" s="3">
        <v>1103</v>
      </c>
      <c r="L6252" s="3">
        <v>1</v>
      </c>
      <c r="M6252" s="3">
        <v>292</v>
      </c>
    </row>
    <row r="6253" spans="1:13" x14ac:dyDescent="0.25">
      <c r="A6253" s="1" t="str">
        <f>HYPERLINK("http://www.rosaceae.org/Prunus/Prunus_persica/p.persica_gdr_reftransV1_0005726","p.persica_gdr_reftransV1_0005726")</f>
        <v>p.persica_gdr_reftransV1_0005726</v>
      </c>
      <c r="B6253" s="3">
        <v>413</v>
      </c>
      <c r="C6253" s="1" t="str">
        <f>HYPERLINK("http://www.uniprot.org/uniprot/GXM1_ARATH","GXM1_ARATH")</f>
        <v>GXM1_ARATH</v>
      </c>
      <c r="D6253" t="s">
        <v>5147</v>
      </c>
      <c r="E6253" s="3" t="s">
        <v>3</v>
      </c>
      <c r="F6253" s="4">
        <v>1.03E-45</v>
      </c>
      <c r="G6253" s="3">
        <v>393</v>
      </c>
      <c r="H6253" s="3">
        <v>72</v>
      </c>
      <c r="I6253" s="3">
        <v>99</v>
      </c>
      <c r="J6253" s="3">
        <v>3</v>
      </c>
      <c r="K6253" s="3">
        <v>299</v>
      </c>
      <c r="L6253" s="3">
        <v>37</v>
      </c>
      <c r="M6253" s="3">
        <v>133</v>
      </c>
    </row>
    <row r="6254" spans="1:13" x14ac:dyDescent="0.25">
      <c r="A6254" s="1" t="str">
        <f>HYPERLINK("http://www.rosaceae.org/Prunus/Prunus_persica/p.persica_gdr_reftransV1_0005776","p.persica_gdr_reftransV1_0005776")</f>
        <v>p.persica_gdr_reftransV1_0005776</v>
      </c>
      <c r="B6254" s="3">
        <v>1400</v>
      </c>
      <c r="C6254" s="1" t="str">
        <f>HYPERLINK("http://www.uniprot.org/uniprot/LOL1_ARATH","LOL1_ARATH")</f>
        <v>LOL1_ARATH</v>
      </c>
      <c r="D6254" t="s">
        <v>5148</v>
      </c>
      <c r="E6254" s="3" t="s">
        <v>3</v>
      </c>
      <c r="F6254" s="4">
        <v>3.6699999999999998E-45</v>
      </c>
      <c r="G6254" s="3">
        <v>282</v>
      </c>
      <c r="H6254" s="3">
        <v>97</v>
      </c>
      <c r="I6254" s="3">
        <v>75</v>
      </c>
      <c r="J6254" s="3">
        <v>584</v>
      </c>
      <c r="K6254" s="3">
        <v>808</v>
      </c>
      <c r="L6254" s="3">
        <v>32</v>
      </c>
      <c r="M6254" s="3">
        <v>106</v>
      </c>
    </row>
    <row r="6255" spans="1:13" x14ac:dyDescent="0.25">
      <c r="A6255" s="1" t="str">
        <f>HYPERLINK("http://www.rosaceae.org/Prunus/Prunus_persica/p.persica_gdr_reftransV1_0005826","p.persica_gdr_reftransV1_0005826")</f>
        <v>p.persica_gdr_reftransV1_0005826</v>
      </c>
      <c r="B6255" s="3">
        <v>2419</v>
      </c>
      <c r="C6255" s="1" t="str">
        <f>HYPERLINK("http://www.uniprot.org/uniprot/RNHX1_ARATH","RNHX1_ARATH")</f>
        <v>RNHX1_ARATH</v>
      </c>
      <c r="D6255" t="s">
        <v>124</v>
      </c>
      <c r="E6255" s="3" t="s">
        <v>3</v>
      </c>
      <c r="F6255" s="4">
        <v>1.33E-52</v>
      </c>
      <c r="G6255" s="3">
        <v>502</v>
      </c>
      <c r="H6255" s="3">
        <v>28</v>
      </c>
      <c r="I6255" s="3">
        <v>525</v>
      </c>
      <c r="J6255" s="3">
        <v>310</v>
      </c>
      <c r="K6255" s="3">
        <v>1821</v>
      </c>
      <c r="L6255" s="3">
        <v>15</v>
      </c>
      <c r="M6255" s="3">
        <v>534</v>
      </c>
    </row>
    <row r="6256" spans="1:13" x14ac:dyDescent="0.25">
      <c r="A6256" s="1" t="str">
        <f>HYPERLINK("http://www.rosaceae.org/Prunus/Prunus_persica/p.persica_gdr_reftransV1_0005876","p.persica_gdr_reftransV1_0005876")</f>
        <v>p.persica_gdr_reftransV1_0005876</v>
      </c>
      <c r="B6256" s="3">
        <v>971</v>
      </c>
      <c r="C6256" s="1" t="str">
        <f>HYPERLINK("http://www.uniprot.org/uniprot/PX11B_ARATH","PX11B_ARATH")</f>
        <v>PX11B_ARATH</v>
      </c>
      <c r="D6256" t="s">
        <v>5149</v>
      </c>
      <c r="E6256" s="3" t="s">
        <v>3</v>
      </c>
      <c r="F6256" s="4">
        <v>4.6899999999999995E-109</v>
      </c>
      <c r="G6256" s="3">
        <v>829</v>
      </c>
      <c r="H6256" s="3">
        <v>73</v>
      </c>
      <c r="I6256" s="3">
        <v>227</v>
      </c>
      <c r="J6256" s="3">
        <v>129</v>
      </c>
      <c r="K6256" s="3">
        <v>809</v>
      </c>
      <c r="L6256" s="3">
        <v>1</v>
      </c>
      <c r="M6256" s="3">
        <v>227</v>
      </c>
    </row>
    <row r="6257" spans="1:13" x14ac:dyDescent="0.25">
      <c r="A6257" s="1" t="str">
        <f>HYPERLINK("http://www.rosaceae.org/Prunus/Prunus_persica/p.persica_gdr_reftransV1_0005926","p.persica_gdr_reftransV1_0005926")</f>
        <v>p.persica_gdr_reftransV1_0005926</v>
      </c>
      <c r="B6257" s="3">
        <v>5557</v>
      </c>
      <c r="C6257" s="1" t="str">
        <f>HYPERLINK("http://www.uniprot.org/uniprot/DRL28_ARATH","DRL28_ARATH")</f>
        <v>DRL28_ARATH</v>
      </c>
      <c r="D6257" t="s">
        <v>452</v>
      </c>
      <c r="E6257" s="3" t="s">
        <v>3</v>
      </c>
      <c r="F6257" s="4">
        <v>5.2E-64</v>
      </c>
      <c r="G6257" s="3">
        <v>616</v>
      </c>
      <c r="H6257" s="3">
        <v>30</v>
      </c>
      <c r="I6257" s="3">
        <v>752</v>
      </c>
      <c r="J6257" s="3">
        <v>2224</v>
      </c>
      <c r="K6257" s="3">
        <v>4431</v>
      </c>
      <c r="L6257" s="3">
        <v>137</v>
      </c>
      <c r="M6257" s="3">
        <v>840</v>
      </c>
    </row>
    <row r="6258" spans="1:13" x14ac:dyDescent="0.25">
      <c r="A6258" s="1" t="str">
        <f>HYPERLINK("http://www.rosaceae.org/Prunus/Prunus_persica/p.persica_gdr_reftransV1_0006126","p.persica_gdr_reftransV1_0006126")</f>
        <v>p.persica_gdr_reftransV1_0006126</v>
      </c>
      <c r="B6258" s="3">
        <v>2231</v>
      </c>
      <c r="C6258" s="1" t="str">
        <f>HYPERLINK("http://www.uniprot.org/uniprot/GLGL1_ARATH","GLGL1_ARATH")</f>
        <v>GLGL1_ARATH</v>
      </c>
      <c r="D6258" t="s">
        <v>5150</v>
      </c>
      <c r="E6258" s="3" t="s">
        <v>3</v>
      </c>
      <c r="F6258" s="4">
        <v>0</v>
      </c>
      <c r="G6258" s="3">
        <v>2047</v>
      </c>
      <c r="H6258" s="3">
        <v>72</v>
      </c>
      <c r="I6258" s="3">
        <v>542</v>
      </c>
      <c r="J6258" s="3">
        <v>525</v>
      </c>
      <c r="K6258" s="3">
        <v>2141</v>
      </c>
      <c r="L6258" s="3">
        <v>1</v>
      </c>
      <c r="M6258" s="3">
        <v>489</v>
      </c>
    </row>
    <row r="6259" spans="1:13" x14ac:dyDescent="0.25">
      <c r="A6259" s="1" t="str">
        <f>HYPERLINK("http://www.rosaceae.org/Prunus/Prunus_persica/p.persica_gdr_reftransV1_0006176","p.persica_gdr_reftransV1_0006176")</f>
        <v>p.persica_gdr_reftransV1_0006176</v>
      </c>
      <c r="B6259" s="3">
        <v>639</v>
      </c>
      <c r="C6259" s="1" t="str">
        <f>HYPERLINK("http://www.uniprot.org/uniprot/RF2B_ORYSJ","RF2B_ORYSJ")</f>
        <v>RF2B_ORYSJ</v>
      </c>
      <c r="D6259" t="s">
        <v>2975</v>
      </c>
      <c r="E6259" s="3" t="s">
        <v>38</v>
      </c>
      <c r="F6259" s="4">
        <v>3.33E-17</v>
      </c>
      <c r="G6259" s="3">
        <v>201</v>
      </c>
      <c r="H6259" s="3">
        <v>42</v>
      </c>
      <c r="I6259" s="3">
        <v>103</v>
      </c>
      <c r="J6259" s="3">
        <v>88</v>
      </c>
      <c r="K6259" s="3">
        <v>396</v>
      </c>
      <c r="L6259" s="3">
        <v>122</v>
      </c>
      <c r="M6259" s="3">
        <v>224</v>
      </c>
    </row>
    <row r="6260" spans="1:13" x14ac:dyDescent="0.25">
      <c r="A6260" s="1" t="str">
        <f>HYPERLINK("http://www.rosaceae.org/Prunus/Prunus_persica/p.persica_gdr_reftransV1_0006226","p.persica_gdr_reftransV1_0006226")</f>
        <v>p.persica_gdr_reftransV1_0006226</v>
      </c>
      <c r="B6260" s="3">
        <v>1048</v>
      </c>
      <c r="C6260" s="1" t="str">
        <f>HYPERLINK("http://www.uniprot.org/uniprot/NDHU_ARATH","NDHU_ARATH")</f>
        <v>NDHU_ARATH</v>
      </c>
      <c r="D6260" t="s">
        <v>5151</v>
      </c>
      <c r="E6260" s="3" t="s">
        <v>3</v>
      </c>
      <c r="F6260" s="4">
        <v>1.4299999999999999E-42</v>
      </c>
      <c r="G6260" s="3">
        <v>302</v>
      </c>
      <c r="H6260" s="3">
        <v>53</v>
      </c>
      <c r="I6260" s="3">
        <v>127</v>
      </c>
      <c r="J6260" s="3">
        <v>133</v>
      </c>
      <c r="K6260" s="3">
        <v>513</v>
      </c>
      <c r="L6260" s="3">
        <v>29</v>
      </c>
      <c r="M6260" s="3">
        <v>142</v>
      </c>
    </row>
    <row r="6261" spans="1:13" x14ac:dyDescent="0.25">
      <c r="A6261" s="1" t="str">
        <f>HYPERLINK("http://www.rosaceae.org/Prunus/Prunus_persica/p.persica_gdr_reftransV1_0006276","p.persica_gdr_reftransV1_0006276")</f>
        <v>p.persica_gdr_reftransV1_0006276</v>
      </c>
      <c r="B6261" s="3">
        <v>1220</v>
      </c>
      <c r="C6261" s="1" t="str">
        <f>HYPERLINK("http://www.uniprot.org/uniprot/LRK91_ARATH","LRK91_ARATH")</f>
        <v>LRK91_ARATH</v>
      </c>
      <c r="D6261" t="s">
        <v>5103</v>
      </c>
      <c r="E6261" s="3" t="s">
        <v>3</v>
      </c>
      <c r="F6261" s="4">
        <v>5.6500000000000003E-40</v>
      </c>
      <c r="G6261" s="3">
        <v>390</v>
      </c>
      <c r="H6261" s="3">
        <v>38</v>
      </c>
      <c r="I6261" s="3">
        <v>350</v>
      </c>
      <c r="J6261" s="3">
        <v>209</v>
      </c>
      <c r="K6261" s="3">
        <v>1219</v>
      </c>
      <c r="L6261" s="3">
        <v>57</v>
      </c>
      <c r="M6261" s="3">
        <v>387</v>
      </c>
    </row>
    <row r="6262" spans="1:13" x14ac:dyDescent="0.25">
      <c r="A6262" s="1" t="str">
        <f>HYPERLINK("http://www.rosaceae.org/Prunus/Prunus_persica/p.persica_gdr_reftransV1_0006326","p.persica_gdr_reftransV1_0006326")</f>
        <v>p.persica_gdr_reftransV1_0006326</v>
      </c>
      <c r="B6262" s="3">
        <v>904</v>
      </c>
      <c r="C6262" s="1" t="str">
        <f>HYPERLINK("http://www.uniprot.org/uniprot/ANTR3_ARATH","ANTR3_ARATH")</f>
        <v>ANTR3_ARATH</v>
      </c>
      <c r="D6262" t="s">
        <v>5152</v>
      </c>
      <c r="E6262" s="3" t="s">
        <v>3</v>
      </c>
      <c r="F6262" s="4">
        <v>3.0800000000000001E-108</v>
      </c>
      <c r="G6262" s="3">
        <v>847</v>
      </c>
      <c r="H6262" s="3">
        <v>65</v>
      </c>
      <c r="I6262" s="3">
        <v>282</v>
      </c>
      <c r="J6262" s="3">
        <v>65</v>
      </c>
      <c r="K6262" s="3">
        <v>904</v>
      </c>
      <c r="L6262" s="3">
        <v>24</v>
      </c>
      <c r="M6262" s="3">
        <v>291</v>
      </c>
    </row>
    <row r="6263" spans="1:13" x14ac:dyDescent="0.25">
      <c r="A6263" s="1" t="str">
        <f>HYPERLINK("http://www.rosaceae.org/Prunus/Prunus_persica/p.persica_gdr_reftransV1_0006526","p.persica_gdr_reftransV1_0006526")</f>
        <v>p.persica_gdr_reftransV1_0006526</v>
      </c>
      <c r="B6263" s="3">
        <v>2052</v>
      </c>
      <c r="C6263" s="1" t="str">
        <f>HYPERLINK("http://www.uniprot.org/uniprot/ABR1_ARATH","ABR1_ARATH")</f>
        <v>ABR1_ARATH</v>
      </c>
      <c r="D6263" t="s">
        <v>5153</v>
      </c>
      <c r="E6263" s="3" t="s">
        <v>3</v>
      </c>
      <c r="F6263" s="4">
        <v>1.3399999999999999E-12</v>
      </c>
      <c r="G6263" s="3">
        <v>180</v>
      </c>
      <c r="H6263" s="3">
        <v>91</v>
      </c>
      <c r="I6263" s="3">
        <v>56</v>
      </c>
      <c r="J6263" s="3">
        <v>981</v>
      </c>
      <c r="K6263" s="3">
        <v>1148</v>
      </c>
      <c r="L6263" s="3">
        <v>192</v>
      </c>
      <c r="M6263" s="3">
        <v>247</v>
      </c>
    </row>
    <row r="6264" spans="1:13" x14ac:dyDescent="0.25">
      <c r="A6264" s="1" t="str">
        <f>HYPERLINK("http://www.rosaceae.org/Prunus/Prunus_persica/p.persica_gdr_reftransV1_0006576","p.persica_gdr_reftransV1_0006576")</f>
        <v>p.persica_gdr_reftransV1_0006576</v>
      </c>
      <c r="B6264" s="3">
        <v>475</v>
      </c>
      <c r="C6264" s="1" t="str">
        <f>HYPERLINK("http://www.uniprot.org/uniprot/PNAE_RAUSE","PNAE_RAUSE")</f>
        <v>PNAE_RAUSE</v>
      </c>
      <c r="D6264" t="s">
        <v>5154</v>
      </c>
      <c r="E6264" s="3" t="s">
        <v>2816</v>
      </c>
      <c r="F6264" s="4">
        <v>4.9600000000000002E-34</v>
      </c>
      <c r="G6264" s="3">
        <v>315</v>
      </c>
      <c r="H6264" s="3">
        <v>48</v>
      </c>
      <c r="I6264" s="3">
        <v>112</v>
      </c>
      <c r="J6264" s="3">
        <v>135</v>
      </c>
      <c r="K6264" s="3">
        <v>470</v>
      </c>
      <c r="L6264" s="3">
        <v>3</v>
      </c>
      <c r="M6264" s="3">
        <v>114</v>
      </c>
    </row>
    <row r="6265" spans="1:13" x14ac:dyDescent="0.25">
      <c r="A6265" s="1" t="str">
        <f>HYPERLINK("http://www.rosaceae.org/Prunus/Prunus_persica/p.persica_gdr_reftransV1_0006676","p.persica_gdr_reftransV1_0006676")</f>
        <v>p.persica_gdr_reftransV1_0006676</v>
      </c>
      <c r="B6265" s="3">
        <v>1114</v>
      </c>
      <c r="C6265" s="1" t="str">
        <f>HYPERLINK("http://www.uniprot.org/uniprot/OP162_ARATH","OP162_ARATH")</f>
        <v>OP162_ARATH</v>
      </c>
      <c r="D6265" t="s">
        <v>5155</v>
      </c>
      <c r="E6265" s="3" t="s">
        <v>3</v>
      </c>
      <c r="F6265" s="4">
        <v>5.5800000000000004E-65</v>
      </c>
      <c r="G6265" s="3">
        <v>536</v>
      </c>
      <c r="H6265" s="3">
        <v>71</v>
      </c>
      <c r="I6265" s="3">
        <v>171</v>
      </c>
      <c r="J6265" s="3">
        <v>384</v>
      </c>
      <c r="K6265" s="3">
        <v>884</v>
      </c>
      <c r="L6265" s="3">
        <v>9</v>
      </c>
      <c r="M6265" s="3">
        <v>178</v>
      </c>
    </row>
    <row r="6266" spans="1:13" x14ac:dyDescent="0.25">
      <c r="A6266" s="1" t="str">
        <f>HYPERLINK("http://www.rosaceae.org/Prunus/Prunus_persica/p.persica_gdr_reftransV1_0006776","p.persica_gdr_reftransV1_0006776")</f>
        <v>p.persica_gdr_reftransV1_0006776</v>
      </c>
      <c r="B6266" s="3">
        <v>873</v>
      </c>
      <c r="C6266" s="1" t="str">
        <f>HYPERLINK("http://www.uniprot.org/uniprot/NSP5_ARATH","NSP5_ARATH")</f>
        <v>NSP5_ARATH</v>
      </c>
      <c r="D6266" t="s">
        <v>5156</v>
      </c>
      <c r="E6266" s="3" t="s">
        <v>3</v>
      </c>
      <c r="F6266" s="4">
        <v>8.7599999999999994E-48</v>
      </c>
      <c r="G6266" s="3">
        <v>425</v>
      </c>
      <c r="H6266" s="3">
        <v>58</v>
      </c>
      <c r="I6266" s="3">
        <v>144</v>
      </c>
      <c r="J6266" s="3">
        <v>3</v>
      </c>
      <c r="K6266" s="3">
        <v>434</v>
      </c>
      <c r="L6266" s="3">
        <v>175</v>
      </c>
      <c r="M6266" s="3">
        <v>317</v>
      </c>
    </row>
    <row r="6267" spans="1:13" x14ac:dyDescent="0.25">
      <c r="A6267" s="1" t="str">
        <f>HYPERLINK("http://www.rosaceae.org/Prunus/Prunus_persica/p.persica_gdr_reftransV1_0006926","p.persica_gdr_reftransV1_0006926")</f>
        <v>p.persica_gdr_reftransV1_0006926</v>
      </c>
      <c r="B6267" s="3">
        <v>2700</v>
      </c>
      <c r="C6267" s="1" t="str">
        <f>HYPERLINK("http://www.uniprot.org/uniprot/MSL10_ARATH","MSL10_ARATH")</f>
        <v>MSL10_ARATH</v>
      </c>
      <c r="D6267" t="s">
        <v>378</v>
      </c>
      <c r="E6267" s="3" t="s">
        <v>3</v>
      </c>
      <c r="F6267" s="4">
        <v>0</v>
      </c>
      <c r="G6267" s="3">
        <v>1425</v>
      </c>
      <c r="H6267" s="3">
        <v>70</v>
      </c>
      <c r="I6267" s="3">
        <v>416</v>
      </c>
      <c r="J6267" s="3">
        <v>286</v>
      </c>
      <c r="K6267" s="3">
        <v>1527</v>
      </c>
      <c r="L6267" s="3">
        <v>317</v>
      </c>
      <c r="M6267" s="3">
        <v>732</v>
      </c>
    </row>
    <row r="6268" spans="1:13" x14ac:dyDescent="0.25">
      <c r="A6268" s="1" t="str">
        <f>HYPERLINK("http://www.rosaceae.org/Prunus/Prunus_persica/p.persica_gdr_reftransV1_0007026","p.persica_gdr_reftransV1_0007026")</f>
        <v>p.persica_gdr_reftransV1_0007026</v>
      </c>
      <c r="B6268" s="3">
        <v>1724</v>
      </c>
      <c r="C6268" s="1" t="str">
        <f>HYPERLINK("http://www.uniprot.org/uniprot/ATL65_ARATH","ATL65_ARATH")</f>
        <v>ATL65_ARATH</v>
      </c>
      <c r="D6268" t="s">
        <v>2082</v>
      </c>
      <c r="E6268" s="3" t="s">
        <v>3</v>
      </c>
      <c r="F6268" s="4">
        <v>9.16E-76</v>
      </c>
      <c r="G6268" s="3">
        <v>645</v>
      </c>
      <c r="H6268" s="3">
        <v>51</v>
      </c>
      <c r="I6268" s="3">
        <v>397</v>
      </c>
      <c r="J6268" s="3">
        <v>576</v>
      </c>
      <c r="K6268" s="3">
        <v>1685</v>
      </c>
      <c r="L6268" s="3">
        <v>35</v>
      </c>
      <c r="M6268" s="3">
        <v>404</v>
      </c>
    </row>
    <row r="6269" spans="1:13" x14ac:dyDescent="0.25">
      <c r="A6269" s="1" t="str">
        <f>HYPERLINK("http://www.rosaceae.org/Prunus/Prunus_persica/p.persica_gdr_reftransV1_0007226","p.persica_gdr_reftransV1_0007226")</f>
        <v>p.persica_gdr_reftransV1_0007226</v>
      </c>
      <c r="B6269" s="3">
        <v>3099</v>
      </c>
      <c r="C6269" s="1" t="str">
        <f>HYPERLINK("http://www.uniprot.org/uniprot/RF298_ARATH","RF298_ARATH")</f>
        <v>RF298_ARATH</v>
      </c>
      <c r="D6269" t="s">
        <v>716</v>
      </c>
      <c r="E6269" s="3" t="s">
        <v>3</v>
      </c>
      <c r="F6269" s="4">
        <v>0</v>
      </c>
      <c r="G6269" s="3">
        <v>1480</v>
      </c>
      <c r="H6269" s="3">
        <v>45</v>
      </c>
      <c r="I6269" s="3">
        <v>853</v>
      </c>
      <c r="J6269" s="3">
        <v>317</v>
      </c>
      <c r="K6269" s="3">
        <v>2842</v>
      </c>
      <c r="L6269" s="3">
        <v>20</v>
      </c>
      <c r="M6269" s="3">
        <v>813</v>
      </c>
    </row>
    <row r="6270" spans="1:13" x14ac:dyDescent="0.25">
      <c r="A6270" s="1" t="str">
        <f>HYPERLINK("http://www.rosaceae.org/Prunus/Prunus_persica/p.persica_gdr_reftransV1_0007326","p.persica_gdr_reftransV1_0007326")</f>
        <v>p.persica_gdr_reftransV1_0007326</v>
      </c>
      <c r="B6270" s="3">
        <v>1936</v>
      </c>
      <c r="C6270" s="1" t="str">
        <f>HYPERLINK("http://www.uniprot.org/uniprot/COL13_ARATH","COL13_ARATH")</f>
        <v>COL13_ARATH</v>
      </c>
      <c r="D6270" t="s">
        <v>5157</v>
      </c>
      <c r="E6270" s="3" t="s">
        <v>3</v>
      </c>
      <c r="F6270" s="4">
        <v>3.5599999999999998E-75</v>
      </c>
      <c r="G6270" s="3">
        <v>639</v>
      </c>
      <c r="H6270" s="3">
        <v>43</v>
      </c>
      <c r="I6270" s="3">
        <v>393</v>
      </c>
      <c r="J6270" s="3">
        <v>570</v>
      </c>
      <c r="K6270" s="3">
        <v>1694</v>
      </c>
      <c r="L6270" s="3">
        <v>2</v>
      </c>
      <c r="M6270" s="3">
        <v>328</v>
      </c>
    </row>
    <row r="6271" spans="1:13" x14ac:dyDescent="0.25">
      <c r="A6271" s="1" t="str">
        <f>HYPERLINK("http://www.rosaceae.org/Prunus/Prunus_persica/p.persica_gdr_reftransV1_0007426","p.persica_gdr_reftransV1_0007426")</f>
        <v>p.persica_gdr_reftransV1_0007426</v>
      </c>
      <c r="B6271" s="3">
        <v>558</v>
      </c>
      <c r="C6271" s="1" t="str">
        <f>HYPERLINK("http://www.uniprot.org/uniprot/AGO4A_ORYSJ","AGO4A_ORYSJ")</f>
        <v>AGO4A_ORYSJ</v>
      </c>
      <c r="D6271" t="s">
        <v>5158</v>
      </c>
      <c r="E6271" s="3" t="s">
        <v>38</v>
      </c>
      <c r="F6271" s="4">
        <v>1.5E-57</v>
      </c>
      <c r="G6271" s="3">
        <v>503</v>
      </c>
      <c r="H6271" s="3">
        <v>84</v>
      </c>
      <c r="I6271" s="3">
        <v>114</v>
      </c>
      <c r="J6271" s="3">
        <v>3</v>
      </c>
      <c r="K6271" s="3">
        <v>344</v>
      </c>
      <c r="L6271" s="3">
        <v>792</v>
      </c>
      <c r="M6271" s="3">
        <v>904</v>
      </c>
    </row>
    <row r="6272" spans="1:13" x14ac:dyDescent="0.25">
      <c r="A6272" s="1" t="str">
        <f>HYPERLINK("http://www.rosaceae.org/Prunus/Prunus_persica/p.persica_gdr_reftransV1_0007476","p.persica_gdr_reftransV1_0007476")</f>
        <v>p.persica_gdr_reftransV1_0007476</v>
      </c>
      <c r="B6272" s="3">
        <v>1412</v>
      </c>
      <c r="C6272" s="1" t="str">
        <f>HYPERLINK("http://www.uniprot.org/uniprot/PP391_ARATH","PP391_ARATH")</f>
        <v>PP391_ARATH</v>
      </c>
      <c r="D6272" t="s">
        <v>5159</v>
      </c>
      <c r="E6272" s="3" t="s">
        <v>3</v>
      </c>
      <c r="F6272" s="4">
        <v>1.0899999999999999E-165</v>
      </c>
      <c r="G6272" s="3">
        <v>1242</v>
      </c>
      <c r="H6272" s="3">
        <v>77</v>
      </c>
      <c r="I6272" s="3">
        <v>289</v>
      </c>
      <c r="J6272" s="3">
        <v>1</v>
      </c>
      <c r="K6272" s="3">
        <v>867</v>
      </c>
      <c r="L6272" s="3">
        <v>170</v>
      </c>
      <c r="M6272" s="3">
        <v>458</v>
      </c>
    </row>
    <row r="6273" spans="1:13" x14ac:dyDescent="0.25">
      <c r="A6273" s="1" t="str">
        <f>HYPERLINK("http://www.rosaceae.org/Prunus/Prunus_persica/p.persica_gdr_reftransV1_0007526","p.persica_gdr_reftransV1_0007526")</f>
        <v>p.persica_gdr_reftransV1_0007526</v>
      </c>
      <c r="B6273" s="3">
        <v>2062</v>
      </c>
      <c r="C6273" s="1" t="str">
        <f>HYPERLINK("http://www.uniprot.org/uniprot/PME1_FICPW","PME1_FICPW")</f>
        <v>PME1_FICPW</v>
      </c>
      <c r="D6273" t="s">
        <v>5160</v>
      </c>
      <c r="E6273" s="3" t="s">
        <v>5161</v>
      </c>
      <c r="F6273" s="4">
        <v>0</v>
      </c>
      <c r="G6273" s="3">
        <v>1728</v>
      </c>
      <c r="H6273" s="3">
        <v>61</v>
      </c>
      <c r="I6273" s="3">
        <v>558</v>
      </c>
      <c r="J6273" s="3">
        <v>62</v>
      </c>
      <c r="K6273" s="3">
        <v>1717</v>
      </c>
      <c r="L6273" s="3">
        <v>5</v>
      </c>
      <c r="M6273" s="3">
        <v>543</v>
      </c>
    </row>
    <row r="6274" spans="1:13" x14ac:dyDescent="0.25">
      <c r="A6274" s="1" t="str">
        <f>HYPERLINK("http://www.rosaceae.org/Prunus/Prunus_persica/p.persica_gdr_reftransV1_0007576","p.persica_gdr_reftransV1_0007576")</f>
        <v>p.persica_gdr_reftransV1_0007576</v>
      </c>
      <c r="B6274" s="3">
        <v>2028</v>
      </c>
      <c r="C6274" s="1" t="str">
        <f>HYPERLINK("http://www.uniprot.org/uniprot/SC13B_ARATH","SC13B_ARATH")</f>
        <v>SC13B_ARATH</v>
      </c>
      <c r="D6274" t="s">
        <v>3223</v>
      </c>
      <c r="E6274" s="3" t="s">
        <v>3</v>
      </c>
      <c r="F6274" s="4">
        <v>1.0200000000000001E-178</v>
      </c>
      <c r="G6274" s="3">
        <v>1333</v>
      </c>
      <c r="H6274" s="3">
        <v>82</v>
      </c>
      <c r="I6274" s="3">
        <v>302</v>
      </c>
      <c r="J6274" s="3">
        <v>667</v>
      </c>
      <c r="K6274" s="3">
        <v>1569</v>
      </c>
      <c r="L6274" s="3">
        <v>1</v>
      </c>
      <c r="M6274" s="3">
        <v>302</v>
      </c>
    </row>
    <row r="6275" spans="1:13" x14ac:dyDescent="0.25">
      <c r="A6275" s="1" t="str">
        <f>HYPERLINK("http://www.rosaceae.org/Prunus/Prunus_persica/p.persica_gdr_reftransV1_0007726","p.persica_gdr_reftransV1_0007726")</f>
        <v>p.persica_gdr_reftransV1_0007726</v>
      </c>
      <c r="B6275" s="3">
        <v>4355</v>
      </c>
      <c r="C6275" s="1" t="str">
        <f>HYPERLINK("http://www.uniprot.org/uniprot/GMAN2_ARATH","GMAN2_ARATH")</f>
        <v>GMAN2_ARATH</v>
      </c>
      <c r="D6275" t="s">
        <v>5162</v>
      </c>
      <c r="E6275" s="3" t="s">
        <v>3</v>
      </c>
      <c r="F6275" s="4">
        <v>0</v>
      </c>
      <c r="G6275" s="3">
        <v>4404</v>
      </c>
      <c r="H6275" s="3">
        <v>74</v>
      </c>
      <c r="I6275" s="3">
        <v>1131</v>
      </c>
      <c r="J6275" s="3">
        <v>371</v>
      </c>
      <c r="K6275" s="3">
        <v>3736</v>
      </c>
      <c r="L6275" s="3">
        <v>50</v>
      </c>
      <c r="M6275" s="3">
        <v>1173</v>
      </c>
    </row>
    <row r="6276" spans="1:13" x14ac:dyDescent="0.25">
      <c r="A6276" s="1" t="str">
        <f>HYPERLINK("http://www.rosaceae.org/Prunus/Prunus_persica/p.persica_gdr_reftransV1_0007776","p.persica_gdr_reftransV1_0007776")</f>
        <v>p.persica_gdr_reftransV1_0007776</v>
      </c>
      <c r="B6276" s="3">
        <v>1779</v>
      </c>
      <c r="C6276" s="1" t="str">
        <f>HYPERLINK("http://www.uniprot.org/uniprot/RBL1_ARATH","RBL1_ARATH")</f>
        <v>RBL1_ARATH</v>
      </c>
      <c r="D6276" t="s">
        <v>5163</v>
      </c>
      <c r="E6276" s="3" t="s">
        <v>3</v>
      </c>
      <c r="F6276" s="4">
        <v>2.69E-128</v>
      </c>
      <c r="G6276" s="3">
        <v>998</v>
      </c>
      <c r="H6276" s="3">
        <v>70</v>
      </c>
      <c r="I6276" s="3">
        <v>344</v>
      </c>
      <c r="J6276" s="3">
        <v>281</v>
      </c>
      <c r="K6276" s="3">
        <v>1312</v>
      </c>
      <c r="L6276" s="3">
        <v>45</v>
      </c>
      <c r="M6276" s="3">
        <v>388</v>
      </c>
    </row>
    <row r="6277" spans="1:13" x14ac:dyDescent="0.25">
      <c r="A6277" s="1" t="str">
        <f>HYPERLINK("http://www.rosaceae.org/Prunus/Prunus_persica/p.persica_gdr_reftransV1_0007826","p.persica_gdr_reftransV1_0007826")</f>
        <v>p.persica_gdr_reftransV1_0007826</v>
      </c>
      <c r="B6277" s="3">
        <v>953</v>
      </c>
      <c r="C6277" s="1" t="str">
        <f>HYPERLINK("http://www.uniprot.org/uniprot/UBC32_ARATH","UBC32_ARATH")</f>
        <v>UBC32_ARATH</v>
      </c>
      <c r="D6277" t="s">
        <v>3698</v>
      </c>
      <c r="E6277" s="3" t="s">
        <v>3</v>
      </c>
      <c r="F6277" s="4">
        <v>2.35E-17</v>
      </c>
      <c r="G6277" s="3">
        <v>187</v>
      </c>
      <c r="H6277" s="3">
        <v>45</v>
      </c>
      <c r="I6277" s="3">
        <v>100</v>
      </c>
      <c r="J6277" s="3">
        <v>550</v>
      </c>
      <c r="K6277" s="3">
        <v>789</v>
      </c>
      <c r="L6277" s="3">
        <v>78</v>
      </c>
      <c r="M6277" s="3">
        <v>177</v>
      </c>
    </row>
    <row r="6278" spans="1:13" x14ac:dyDescent="0.25">
      <c r="A6278" s="1" t="str">
        <f>HYPERLINK("http://www.rosaceae.org/Prunus/Prunus_persica/p.persica_gdr_reftransV1_0007976","p.persica_gdr_reftransV1_0007976")</f>
        <v>p.persica_gdr_reftransV1_0007976</v>
      </c>
      <c r="B6278" s="3">
        <v>2548</v>
      </c>
      <c r="C6278" s="1" t="str">
        <f>HYPERLINK("http://www.uniprot.org/uniprot/PP397_ARATH","PP397_ARATH")</f>
        <v>PP397_ARATH</v>
      </c>
      <c r="D6278" t="s">
        <v>5164</v>
      </c>
      <c r="E6278" s="3" t="s">
        <v>3</v>
      </c>
      <c r="F6278" s="4">
        <v>0</v>
      </c>
      <c r="G6278" s="3">
        <v>1740</v>
      </c>
      <c r="H6278" s="3">
        <v>57</v>
      </c>
      <c r="I6278" s="3">
        <v>583</v>
      </c>
      <c r="J6278" s="3">
        <v>304</v>
      </c>
      <c r="K6278" s="3">
        <v>2034</v>
      </c>
      <c r="L6278" s="3">
        <v>33</v>
      </c>
      <c r="M6278" s="3">
        <v>574</v>
      </c>
    </row>
    <row r="6279" spans="1:13" x14ac:dyDescent="0.25">
      <c r="A6279" s="1" t="str">
        <f>HYPERLINK("http://www.rosaceae.org/Prunus/Prunus_persica/p.persica_gdr_reftransV1_0008276","p.persica_gdr_reftransV1_0008276")</f>
        <v>p.persica_gdr_reftransV1_0008276</v>
      </c>
      <c r="B6279" s="3">
        <v>3742</v>
      </c>
      <c r="C6279" s="1" t="str">
        <f>HYPERLINK("http://www.uniprot.org/uniprot/PAXI1_BOVIN","PAXI1_BOVIN")</f>
        <v>PAXI1_BOVIN</v>
      </c>
      <c r="D6279" t="s">
        <v>5165</v>
      </c>
      <c r="E6279" s="3" t="s">
        <v>184</v>
      </c>
      <c r="F6279" s="4">
        <v>1.59E-22</v>
      </c>
      <c r="G6279" s="3">
        <v>270</v>
      </c>
      <c r="H6279" s="3">
        <v>34</v>
      </c>
      <c r="I6279" s="3">
        <v>188</v>
      </c>
      <c r="J6279" s="3">
        <v>2753</v>
      </c>
      <c r="K6279" s="3">
        <v>3304</v>
      </c>
      <c r="L6279" s="3">
        <v>794</v>
      </c>
      <c r="M6279" s="3">
        <v>981</v>
      </c>
    </row>
    <row r="6280" spans="1:13" x14ac:dyDescent="0.25">
      <c r="A6280" s="1" t="str">
        <f>HYPERLINK("http://www.rosaceae.org/Prunus/Prunus_persica/p.persica_gdr_reftransV1_0008426","p.persica_gdr_reftransV1_0008426")</f>
        <v>p.persica_gdr_reftransV1_0008426</v>
      </c>
      <c r="B6280" s="3">
        <v>743</v>
      </c>
      <c r="C6280" s="1" t="str">
        <f>HYPERLINK("http://www.uniprot.org/uniprot/PP156_ARATH","PP156_ARATH")</f>
        <v>PP156_ARATH</v>
      </c>
      <c r="D6280" t="s">
        <v>1004</v>
      </c>
      <c r="E6280" s="3" t="s">
        <v>3</v>
      </c>
      <c r="F6280" s="4">
        <v>2.37E-51</v>
      </c>
      <c r="G6280" s="3">
        <v>462</v>
      </c>
      <c r="H6280" s="3">
        <v>54</v>
      </c>
      <c r="I6280" s="3">
        <v>219</v>
      </c>
      <c r="J6280" s="3">
        <v>100</v>
      </c>
      <c r="K6280" s="3">
        <v>741</v>
      </c>
      <c r="L6280" s="3">
        <v>23</v>
      </c>
      <c r="M6280" s="3">
        <v>241</v>
      </c>
    </row>
    <row r="6281" spans="1:13" x14ac:dyDescent="0.25">
      <c r="A6281" s="1" t="str">
        <f>HYPERLINK("http://www.rosaceae.org/Prunus/Prunus_persica/p.persica_gdr_reftransV1_0008476","p.persica_gdr_reftransV1_0008476")</f>
        <v>p.persica_gdr_reftransV1_0008476</v>
      </c>
      <c r="B6281" s="3">
        <v>1276</v>
      </c>
      <c r="C6281" s="1" t="str">
        <f>HYPERLINK("http://www.uniprot.org/uniprot/PPH_ARATH","PPH_ARATH")</f>
        <v>PPH_ARATH</v>
      </c>
      <c r="D6281" t="s">
        <v>4504</v>
      </c>
      <c r="E6281" s="3" t="s">
        <v>3</v>
      </c>
      <c r="F6281" s="4">
        <v>4.8299999999999998E-32</v>
      </c>
      <c r="G6281" s="3">
        <v>327</v>
      </c>
      <c r="H6281" s="3">
        <v>30</v>
      </c>
      <c r="I6281" s="3">
        <v>319</v>
      </c>
      <c r="J6281" s="3">
        <v>171</v>
      </c>
      <c r="K6281" s="3">
        <v>992</v>
      </c>
      <c r="L6281" s="3">
        <v>103</v>
      </c>
      <c r="M6281" s="3">
        <v>411</v>
      </c>
    </row>
    <row r="6282" spans="1:13" x14ac:dyDescent="0.25">
      <c r="A6282" s="1" t="str">
        <f>HYPERLINK("http://www.rosaceae.org/Prunus/Prunus_persica/p.persica_gdr_reftransV1_0008626","p.persica_gdr_reftransV1_0008626")</f>
        <v>p.persica_gdr_reftransV1_0008626</v>
      </c>
      <c r="B6282" s="3">
        <v>669</v>
      </c>
      <c r="C6282" s="1" t="str">
        <f>HYPERLINK("http://www.uniprot.org/uniprot/KTAP2_AEDAE","KTAP2_AEDAE")</f>
        <v>KTAP2_AEDAE</v>
      </c>
      <c r="D6282" t="s">
        <v>5166</v>
      </c>
      <c r="E6282" s="3" t="s">
        <v>632</v>
      </c>
      <c r="F6282" s="4">
        <v>5.72E-11</v>
      </c>
      <c r="G6282" s="3">
        <v>148</v>
      </c>
      <c r="H6282" s="3">
        <v>37</v>
      </c>
      <c r="I6282" s="3">
        <v>115</v>
      </c>
      <c r="J6282" s="3">
        <v>78</v>
      </c>
      <c r="K6282" s="3">
        <v>398</v>
      </c>
      <c r="L6282" s="3">
        <v>1</v>
      </c>
      <c r="M6282" s="3">
        <v>112</v>
      </c>
    </row>
    <row r="6283" spans="1:13" x14ac:dyDescent="0.25">
      <c r="A6283" s="1" t="str">
        <f>HYPERLINK("http://www.rosaceae.org/Prunus/Prunus_persica/p.persica_gdr_reftransV1_0008826","p.persica_gdr_reftransV1_0008826")</f>
        <v>p.persica_gdr_reftransV1_0008826</v>
      </c>
      <c r="B6283" s="3">
        <v>942</v>
      </c>
      <c r="C6283" s="1" t="str">
        <f>HYPERLINK("http://www.uniprot.org/uniprot/RPD1_ARATH","RPD1_ARATH")</f>
        <v>RPD1_ARATH</v>
      </c>
      <c r="D6283" t="s">
        <v>1883</v>
      </c>
      <c r="E6283" s="3" t="s">
        <v>3</v>
      </c>
      <c r="F6283" s="4">
        <v>2.56E-48</v>
      </c>
      <c r="G6283" s="3">
        <v>436</v>
      </c>
      <c r="H6283" s="3">
        <v>42</v>
      </c>
      <c r="I6283" s="3">
        <v>212</v>
      </c>
      <c r="J6283" s="3">
        <v>281</v>
      </c>
      <c r="K6283" s="3">
        <v>907</v>
      </c>
      <c r="L6283" s="3">
        <v>176</v>
      </c>
      <c r="M6283" s="3">
        <v>385</v>
      </c>
    </row>
    <row r="6284" spans="1:13" x14ac:dyDescent="0.25">
      <c r="A6284" s="1" t="str">
        <f>HYPERLINK("http://www.rosaceae.org/Prunus/Prunus_persica/p.persica_gdr_reftransV1_0008876","p.persica_gdr_reftransV1_0008876")</f>
        <v>p.persica_gdr_reftransV1_0008876</v>
      </c>
      <c r="B6284" s="3">
        <v>1813</v>
      </c>
      <c r="C6284" s="1" t="str">
        <f>HYPERLINK("http://www.uniprot.org/uniprot/ODPB1_ORYSJ","ODPB1_ORYSJ")</f>
        <v>ODPB1_ORYSJ</v>
      </c>
      <c r="D6284" t="s">
        <v>5167</v>
      </c>
      <c r="E6284" s="3" t="s">
        <v>38</v>
      </c>
      <c r="F6284" s="4">
        <v>0</v>
      </c>
      <c r="G6284" s="3">
        <v>1675</v>
      </c>
      <c r="H6284" s="3">
        <v>90</v>
      </c>
      <c r="I6284" s="3">
        <v>366</v>
      </c>
      <c r="J6284" s="3">
        <v>236</v>
      </c>
      <c r="K6284" s="3">
        <v>1327</v>
      </c>
      <c r="L6284" s="3">
        <v>1</v>
      </c>
      <c r="M6284" s="3">
        <v>362</v>
      </c>
    </row>
    <row r="6285" spans="1:13" x14ac:dyDescent="0.25">
      <c r="A6285" s="1" t="str">
        <f>HYPERLINK("http://www.rosaceae.org/Prunus/Prunus_persica/p.persica_gdr_reftransV1_0008926","p.persica_gdr_reftransV1_0008926")</f>
        <v>p.persica_gdr_reftransV1_0008926</v>
      </c>
      <c r="B6285" s="3">
        <v>3194</v>
      </c>
      <c r="C6285" s="1" t="str">
        <f>HYPERLINK("http://www.uniprot.org/uniprot/MIC1_HUMAN","MIC1_HUMAN")</f>
        <v>MIC1_HUMAN</v>
      </c>
      <c r="D6285" t="s">
        <v>5168</v>
      </c>
      <c r="E6285" s="3" t="s">
        <v>28</v>
      </c>
      <c r="F6285" s="4">
        <v>1.05E-25</v>
      </c>
      <c r="G6285" s="3">
        <v>294</v>
      </c>
      <c r="H6285" s="3">
        <v>31</v>
      </c>
      <c r="I6285" s="3">
        <v>221</v>
      </c>
      <c r="J6285" s="3">
        <v>1964</v>
      </c>
      <c r="K6285" s="3">
        <v>2593</v>
      </c>
      <c r="L6285" s="3">
        <v>22</v>
      </c>
      <c r="M6285" s="3">
        <v>225</v>
      </c>
    </row>
    <row r="6286" spans="1:13" x14ac:dyDescent="0.25">
      <c r="A6286" s="1" t="str">
        <f>HYPERLINK("http://www.rosaceae.org/Prunus/Prunus_persica/p.persica_gdr_reftransV1_0008976","p.persica_gdr_reftransV1_0008976")</f>
        <v>p.persica_gdr_reftransV1_0008976</v>
      </c>
      <c r="B6286" s="3">
        <v>4306</v>
      </c>
      <c r="C6286" s="1" t="str">
        <f>HYPERLINK("http://www.uniprot.org/uniprot/COG1_HUMAN","COG1_HUMAN")</f>
        <v>COG1_HUMAN</v>
      </c>
      <c r="D6286" t="s">
        <v>5169</v>
      </c>
      <c r="E6286" s="3" t="s">
        <v>28</v>
      </c>
      <c r="F6286" s="4">
        <v>3.44E-27</v>
      </c>
      <c r="G6286" s="3">
        <v>310</v>
      </c>
      <c r="H6286" s="3">
        <v>22</v>
      </c>
      <c r="I6286" s="3">
        <v>973</v>
      </c>
      <c r="J6286" s="3">
        <v>276</v>
      </c>
      <c r="K6286" s="3">
        <v>2951</v>
      </c>
      <c r="L6286" s="3">
        <v>22</v>
      </c>
      <c r="M6286" s="3">
        <v>917</v>
      </c>
    </row>
    <row r="6287" spans="1:13" x14ac:dyDescent="0.25">
      <c r="A6287" s="1" t="str">
        <f>HYPERLINK("http://www.rosaceae.org/Prunus/Prunus_persica/p.persica_gdr_reftransV1_0009026","p.persica_gdr_reftransV1_0009026")</f>
        <v>p.persica_gdr_reftransV1_0009026</v>
      </c>
      <c r="B6287" s="3">
        <v>2506</v>
      </c>
      <c r="C6287" s="1" t="str">
        <f>HYPERLINK("http://www.uniprot.org/uniprot/FOLM_PEA","FOLM_PEA")</f>
        <v>FOLM_PEA</v>
      </c>
      <c r="D6287" t="s">
        <v>5170</v>
      </c>
      <c r="E6287" s="3" t="s">
        <v>60</v>
      </c>
      <c r="F6287" s="4">
        <v>0</v>
      </c>
      <c r="G6287" s="3">
        <v>1972</v>
      </c>
      <c r="H6287" s="3">
        <v>74</v>
      </c>
      <c r="I6287" s="3">
        <v>507</v>
      </c>
      <c r="J6287" s="3">
        <v>476</v>
      </c>
      <c r="K6287" s="3">
        <v>1996</v>
      </c>
      <c r="L6287" s="3">
        <v>1</v>
      </c>
      <c r="M6287" s="3">
        <v>507</v>
      </c>
    </row>
    <row r="6288" spans="1:13" x14ac:dyDescent="0.25">
      <c r="A6288" s="1" t="str">
        <f>HYPERLINK("http://www.rosaceae.org/Prunus/Prunus_persica/p.persica_gdr_reftransV1_0009126","p.persica_gdr_reftransV1_0009126")</f>
        <v>p.persica_gdr_reftransV1_0009126</v>
      </c>
      <c r="B6288" s="3">
        <v>824</v>
      </c>
      <c r="C6288" s="1" t="str">
        <f>HYPERLINK("http://www.uniprot.org/uniprot/CXE1_ACTER","CXE1_ACTER")</f>
        <v>CXE1_ACTER</v>
      </c>
      <c r="D6288" t="s">
        <v>5171</v>
      </c>
      <c r="E6288" s="3" t="s">
        <v>5172</v>
      </c>
      <c r="F6288" s="4">
        <v>2.0999999999999999E-98</v>
      </c>
      <c r="G6288" s="3">
        <v>764</v>
      </c>
      <c r="H6288" s="3">
        <v>56</v>
      </c>
      <c r="I6288" s="3">
        <v>251</v>
      </c>
      <c r="J6288" s="3">
        <v>78</v>
      </c>
      <c r="K6288" s="3">
        <v>815</v>
      </c>
      <c r="L6288" s="3">
        <v>82</v>
      </c>
      <c r="M6288" s="3">
        <v>329</v>
      </c>
    </row>
    <row r="6289" spans="1:13" x14ac:dyDescent="0.25">
      <c r="A6289" s="1" t="str">
        <f>HYPERLINK("http://www.rosaceae.org/Prunus/Prunus_persica/p.persica_gdr_reftransV1_0009226","p.persica_gdr_reftransV1_0009226")</f>
        <v>p.persica_gdr_reftransV1_0009226</v>
      </c>
      <c r="B6289" s="3">
        <v>2834</v>
      </c>
      <c r="C6289" s="1" t="str">
        <f>HYPERLINK("http://www.uniprot.org/uniprot/EXEC2_ARATH","EXEC2_ARATH")</f>
        <v>EXEC2_ARATH</v>
      </c>
      <c r="D6289" t="s">
        <v>5173</v>
      </c>
      <c r="E6289" s="3" t="s">
        <v>3</v>
      </c>
      <c r="F6289" s="4">
        <v>5.2599999999999997E-101</v>
      </c>
      <c r="G6289" s="3">
        <v>862</v>
      </c>
      <c r="H6289" s="3">
        <v>47</v>
      </c>
      <c r="I6289" s="3">
        <v>476</v>
      </c>
      <c r="J6289" s="3">
        <v>1337</v>
      </c>
      <c r="K6289" s="3">
        <v>2755</v>
      </c>
      <c r="L6289" s="3">
        <v>1</v>
      </c>
      <c r="M6289" s="3">
        <v>465</v>
      </c>
    </row>
    <row r="6290" spans="1:13" x14ac:dyDescent="0.25">
      <c r="A6290" s="1" t="str">
        <f>HYPERLINK("http://www.rosaceae.org/Prunus/Prunus_persica/p.persica_gdr_reftransV1_0009426","p.persica_gdr_reftransV1_0009426")</f>
        <v>p.persica_gdr_reftransV1_0009426</v>
      </c>
      <c r="B6290" s="3">
        <v>572</v>
      </c>
      <c r="C6290" s="1" t="str">
        <f>HYPERLINK("http://www.uniprot.org/uniprot/PP189_ARATH","PP189_ARATH")</f>
        <v>PP189_ARATH</v>
      </c>
      <c r="D6290" t="s">
        <v>5174</v>
      </c>
      <c r="E6290" s="3" t="s">
        <v>3</v>
      </c>
      <c r="F6290" s="4">
        <v>2.23E-64</v>
      </c>
      <c r="G6290" s="3">
        <v>546</v>
      </c>
      <c r="H6290" s="3">
        <v>56</v>
      </c>
      <c r="I6290" s="3">
        <v>189</v>
      </c>
      <c r="J6290" s="3">
        <v>4</v>
      </c>
      <c r="K6290" s="3">
        <v>564</v>
      </c>
      <c r="L6290" s="3">
        <v>432</v>
      </c>
      <c r="M6290" s="3">
        <v>620</v>
      </c>
    </row>
    <row r="6291" spans="1:13" x14ac:dyDescent="0.25">
      <c r="A6291" s="1" t="str">
        <f>HYPERLINK("http://www.rosaceae.org/Prunus/Prunus_persica/p.persica_gdr_reftransV1_0009476","p.persica_gdr_reftransV1_0009476")</f>
        <v>p.persica_gdr_reftransV1_0009476</v>
      </c>
      <c r="B6291" s="3">
        <v>1133</v>
      </c>
      <c r="C6291" s="1" t="str">
        <f>HYPERLINK("http://www.uniprot.org/uniprot/P2C44_ARATH","P2C44_ARATH")</f>
        <v>P2C44_ARATH</v>
      </c>
      <c r="D6291" t="s">
        <v>5175</v>
      </c>
      <c r="E6291" s="3" t="s">
        <v>3</v>
      </c>
      <c r="F6291" s="4">
        <v>4.9200000000000002E-77</v>
      </c>
      <c r="G6291" s="3">
        <v>625</v>
      </c>
      <c r="H6291" s="3">
        <v>47</v>
      </c>
      <c r="I6291" s="3">
        <v>280</v>
      </c>
      <c r="J6291" s="3">
        <v>195</v>
      </c>
      <c r="K6291" s="3">
        <v>1013</v>
      </c>
      <c r="L6291" s="3">
        <v>1</v>
      </c>
      <c r="M6291" s="3">
        <v>259</v>
      </c>
    </row>
    <row r="6292" spans="1:13" x14ac:dyDescent="0.25">
      <c r="A6292" s="1" t="str">
        <f>HYPERLINK("http://www.rosaceae.org/Prunus/Prunus_persica/p.persica_gdr_reftransV1_0009526","p.persica_gdr_reftransV1_0009526")</f>
        <v>p.persica_gdr_reftransV1_0009526</v>
      </c>
      <c r="B6292" s="3">
        <v>745</v>
      </c>
      <c r="C6292" s="1" t="str">
        <f>HYPERLINK("http://www.uniprot.org/uniprot/Y4407_SELML","Y4407_SELML")</f>
        <v>Y4407_SELML</v>
      </c>
      <c r="D6292" t="s">
        <v>1658</v>
      </c>
      <c r="E6292" s="3" t="s">
        <v>1659</v>
      </c>
      <c r="F6292" s="4">
        <v>3.12E-44</v>
      </c>
      <c r="G6292" s="3">
        <v>408</v>
      </c>
      <c r="H6292" s="3">
        <v>63</v>
      </c>
      <c r="I6292" s="3">
        <v>119</v>
      </c>
      <c r="J6292" s="3">
        <v>3</v>
      </c>
      <c r="K6292" s="3">
        <v>359</v>
      </c>
      <c r="L6292" s="3">
        <v>361</v>
      </c>
      <c r="M6292" s="3">
        <v>479</v>
      </c>
    </row>
    <row r="6293" spans="1:13" x14ac:dyDescent="0.25">
      <c r="A6293" s="1" t="str">
        <f>HYPERLINK("http://www.rosaceae.org/Prunus/Prunus_persica/p.persica_gdr_reftransV1_0009626","p.persica_gdr_reftransV1_0009626")</f>
        <v>p.persica_gdr_reftransV1_0009626</v>
      </c>
      <c r="B6293" s="3">
        <v>4393</v>
      </c>
      <c r="C6293" s="1" t="str">
        <f>HYPERLINK("http://www.uniprot.org/uniprot/ALA9_ARATH","ALA9_ARATH")</f>
        <v>ALA9_ARATH</v>
      </c>
      <c r="D6293" t="s">
        <v>5176</v>
      </c>
      <c r="E6293" s="3" t="s">
        <v>3</v>
      </c>
      <c r="F6293" s="4">
        <v>0</v>
      </c>
      <c r="G6293" s="3">
        <v>4436</v>
      </c>
      <c r="H6293" s="3">
        <v>70</v>
      </c>
      <c r="I6293" s="3">
        <v>1192</v>
      </c>
      <c r="J6293" s="3">
        <v>470</v>
      </c>
      <c r="K6293" s="3">
        <v>4036</v>
      </c>
      <c r="L6293" s="3">
        <v>2</v>
      </c>
      <c r="M6293" s="3">
        <v>1191</v>
      </c>
    </row>
    <row r="6294" spans="1:13" x14ac:dyDescent="0.25">
      <c r="A6294" s="1" t="str">
        <f>HYPERLINK("http://www.rosaceae.org/Prunus/Prunus_persica/p.persica_gdr_reftransV1_0009676","p.persica_gdr_reftransV1_0009676")</f>
        <v>p.persica_gdr_reftransV1_0009676</v>
      </c>
      <c r="B6294" s="3">
        <v>1766</v>
      </c>
      <c r="C6294" s="1" t="str">
        <f>HYPERLINK("http://www.uniprot.org/uniprot/PP372_ARATH","PP372_ARATH")</f>
        <v>PP372_ARATH</v>
      </c>
      <c r="D6294" t="s">
        <v>5177</v>
      </c>
      <c r="E6294" s="3" t="s">
        <v>3</v>
      </c>
      <c r="F6294" s="4">
        <v>4.1599999999999999E-161</v>
      </c>
      <c r="G6294" s="3">
        <v>1218</v>
      </c>
      <c r="H6294" s="3">
        <v>59</v>
      </c>
      <c r="I6294" s="3">
        <v>405</v>
      </c>
      <c r="J6294" s="3">
        <v>450</v>
      </c>
      <c r="K6294" s="3">
        <v>1643</v>
      </c>
      <c r="L6294" s="3">
        <v>1</v>
      </c>
      <c r="M6294" s="3">
        <v>405</v>
      </c>
    </row>
    <row r="6295" spans="1:13" x14ac:dyDescent="0.25">
      <c r="A6295" s="1" t="str">
        <f>HYPERLINK("http://www.rosaceae.org/Prunus/Prunus_persica/p.persica_gdr_reftransV1_0009776","p.persica_gdr_reftransV1_0009776")</f>
        <v>p.persica_gdr_reftransV1_0009776</v>
      </c>
      <c r="B6295" s="3">
        <v>1390</v>
      </c>
      <c r="C6295" s="1" t="str">
        <f>HYPERLINK("http://www.uniprot.org/uniprot/WNK5_ARATH","WNK5_ARATH")</f>
        <v>WNK5_ARATH</v>
      </c>
      <c r="D6295" t="s">
        <v>5178</v>
      </c>
      <c r="E6295" s="3" t="s">
        <v>3</v>
      </c>
      <c r="F6295" s="4">
        <v>1.27E-171</v>
      </c>
      <c r="G6295" s="3">
        <v>1289</v>
      </c>
      <c r="H6295" s="3">
        <v>81</v>
      </c>
      <c r="I6295" s="3">
        <v>296</v>
      </c>
      <c r="J6295" s="3">
        <v>16</v>
      </c>
      <c r="K6295" s="3">
        <v>888</v>
      </c>
      <c r="L6295" s="3">
        <v>14</v>
      </c>
      <c r="M6295" s="3">
        <v>309</v>
      </c>
    </row>
    <row r="6296" spans="1:13" x14ac:dyDescent="0.25">
      <c r="A6296" s="1" t="str">
        <f>HYPERLINK("http://www.rosaceae.org/Prunus/Prunus_persica/p.persica_gdr_reftransV1_0009826","p.persica_gdr_reftransV1_0009826")</f>
        <v>p.persica_gdr_reftransV1_0009826</v>
      </c>
      <c r="B6296" s="3">
        <v>3605</v>
      </c>
      <c r="C6296" s="1" t="str">
        <f>HYPERLINK("http://www.uniprot.org/uniprot/SBT25_ARATH","SBT25_ARATH")</f>
        <v>SBT25_ARATH</v>
      </c>
      <c r="D6296" t="s">
        <v>5179</v>
      </c>
      <c r="E6296" s="3" t="s">
        <v>3</v>
      </c>
      <c r="F6296" s="4">
        <v>0</v>
      </c>
      <c r="G6296" s="3">
        <v>2026</v>
      </c>
      <c r="H6296" s="3">
        <v>83</v>
      </c>
      <c r="I6296" s="3">
        <v>484</v>
      </c>
      <c r="J6296" s="3">
        <v>1643</v>
      </c>
      <c r="K6296" s="3">
        <v>3094</v>
      </c>
      <c r="L6296" s="3">
        <v>19</v>
      </c>
      <c r="M6296" s="3">
        <v>502</v>
      </c>
    </row>
    <row r="6297" spans="1:13" x14ac:dyDescent="0.25">
      <c r="A6297" s="1" t="str">
        <f>HYPERLINK("http://www.rosaceae.org/Prunus/Prunus_persica/p.persica_gdr_reftransV1_0009926","p.persica_gdr_reftransV1_0009926")</f>
        <v>p.persica_gdr_reftransV1_0009926</v>
      </c>
      <c r="B6297" s="3">
        <v>1006</v>
      </c>
      <c r="C6297" s="1" t="str">
        <f>HYPERLINK("http://www.uniprot.org/uniprot/PI5KB_ARATH","PI5KB_ARATH")</f>
        <v>PI5KB_ARATH</v>
      </c>
      <c r="D6297" t="s">
        <v>5180</v>
      </c>
      <c r="E6297" s="3" t="s">
        <v>3</v>
      </c>
      <c r="F6297" s="4">
        <v>2.3E-42</v>
      </c>
      <c r="G6297" s="3">
        <v>396</v>
      </c>
      <c r="H6297" s="3">
        <v>39</v>
      </c>
      <c r="I6297" s="3">
        <v>238</v>
      </c>
      <c r="J6297" s="3">
        <v>424</v>
      </c>
      <c r="K6297" s="3">
        <v>1002</v>
      </c>
      <c r="L6297" s="3">
        <v>169</v>
      </c>
      <c r="M6297" s="3">
        <v>396</v>
      </c>
    </row>
    <row r="6298" spans="1:13" x14ac:dyDescent="0.25">
      <c r="A6298" s="1" t="str">
        <f>HYPERLINK("http://www.rosaceae.org/Prunus/Prunus_persica/p.persica_gdr_reftransV1_0010026","p.persica_gdr_reftransV1_0010026")</f>
        <v>p.persica_gdr_reftransV1_0010026</v>
      </c>
      <c r="B6298" s="3">
        <v>1908</v>
      </c>
      <c r="C6298" s="1" t="str">
        <f>HYPERLINK("http://www.uniprot.org/uniprot/IP5PA_ARATH","IP5PA_ARATH")</f>
        <v>IP5PA_ARATH</v>
      </c>
      <c r="D6298" t="s">
        <v>5181</v>
      </c>
      <c r="E6298" s="3" t="s">
        <v>3</v>
      </c>
      <c r="F6298" s="4">
        <v>0</v>
      </c>
      <c r="G6298" s="3">
        <v>1385</v>
      </c>
      <c r="H6298" s="3">
        <v>63</v>
      </c>
      <c r="I6298" s="3">
        <v>452</v>
      </c>
      <c r="J6298" s="3">
        <v>570</v>
      </c>
      <c r="K6298" s="3">
        <v>1865</v>
      </c>
      <c r="L6298" s="3">
        <v>6</v>
      </c>
      <c r="M6298" s="3">
        <v>456</v>
      </c>
    </row>
    <row r="6299" spans="1:13" x14ac:dyDescent="0.25">
      <c r="A6299" s="1" t="str">
        <f>HYPERLINK("http://www.rosaceae.org/Prunus/Prunus_persica/p.persica_gdr_reftransV1_0010076","p.persica_gdr_reftransV1_0010076")</f>
        <v>p.persica_gdr_reftransV1_0010076</v>
      </c>
      <c r="B6299" s="3">
        <v>1712</v>
      </c>
      <c r="C6299" s="1" t="str">
        <f>HYPERLINK("http://www.uniprot.org/uniprot/LYK3_ARATH","LYK3_ARATH")</f>
        <v>LYK3_ARATH</v>
      </c>
      <c r="D6299" t="s">
        <v>1153</v>
      </c>
      <c r="E6299" s="3" t="s">
        <v>3</v>
      </c>
      <c r="F6299" s="4">
        <v>7.3699999999999997E-33</v>
      </c>
      <c r="G6299" s="3">
        <v>344</v>
      </c>
      <c r="H6299" s="3">
        <v>31</v>
      </c>
      <c r="I6299" s="3">
        <v>319</v>
      </c>
      <c r="J6299" s="3">
        <v>259</v>
      </c>
      <c r="K6299" s="3">
        <v>1197</v>
      </c>
      <c r="L6299" s="3">
        <v>324</v>
      </c>
      <c r="M6299" s="3">
        <v>633</v>
      </c>
    </row>
    <row r="6300" spans="1:13" x14ac:dyDescent="0.25">
      <c r="A6300" s="1" t="str">
        <f>HYPERLINK("http://www.rosaceae.org/Prunus/Prunus_persica/p.persica_gdr_reftransV1_0010126","p.persica_gdr_reftransV1_0010126")</f>
        <v>p.persica_gdr_reftransV1_0010126</v>
      </c>
      <c r="B6300" s="3">
        <v>1931</v>
      </c>
      <c r="C6300" s="1" t="str">
        <f>HYPERLINK("http://www.uniprot.org/uniprot/ASPG1_ARATH","ASPG1_ARATH")</f>
        <v>ASPG1_ARATH</v>
      </c>
      <c r="D6300" t="s">
        <v>1238</v>
      </c>
      <c r="E6300" s="3" t="s">
        <v>3</v>
      </c>
      <c r="F6300" s="4">
        <v>3.0600000000000002E-119</v>
      </c>
      <c r="G6300" s="3">
        <v>952</v>
      </c>
      <c r="H6300" s="3">
        <v>51</v>
      </c>
      <c r="I6300" s="3">
        <v>447</v>
      </c>
      <c r="J6300" s="3">
        <v>281</v>
      </c>
      <c r="K6300" s="3">
        <v>1585</v>
      </c>
      <c r="L6300" s="3">
        <v>65</v>
      </c>
      <c r="M6300" s="3">
        <v>500</v>
      </c>
    </row>
    <row r="6301" spans="1:13" x14ac:dyDescent="0.25">
      <c r="A6301" s="1" t="str">
        <f>HYPERLINK("http://www.rosaceae.org/Prunus/Prunus_persica/p.persica_gdr_reftransV1_0010176","p.persica_gdr_reftransV1_0010176")</f>
        <v>p.persica_gdr_reftransV1_0010176</v>
      </c>
      <c r="B6301" s="3">
        <v>2334</v>
      </c>
      <c r="C6301" s="1" t="str">
        <f>HYPERLINK("http://www.uniprot.org/uniprot/PCYOX_ARATH","PCYOX_ARATH")</f>
        <v>PCYOX_ARATH</v>
      </c>
      <c r="D6301" t="s">
        <v>5182</v>
      </c>
      <c r="E6301" s="3" t="s">
        <v>3</v>
      </c>
      <c r="F6301" s="4">
        <v>2.0300000000000001E-165</v>
      </c>
      <c r="G6301" s="3">
        <v>1273</v>
      </c>
      <c r="H6301" s="3">
        <v>64</v>
      </c>
      <c r="I6301" s="3">
        <v>429</v>
      </c>
      <c r="J6301" s="3">
        <v>395</v>
      </c>
      <c r="K6301" s="3">
        <v>1675</v>
      </c>
      <c r="L6301" s="3">
        <v>52</v>
      </c>
      <c r="M6301" s="3">
        <v>480</v>
      </c>
    </row>
    <row r="6302" spans="1:13" x14ac:dyDescent="0.25">
      <c r="A6302" s="1" t="str">
        <f>HYPERLINK("http://www.rosaceae.org/Prunus/Prunus_persica/p.persica_gdr_reftransV1_0010276","p.persica_gdr_reftransV1_0010276")</f>
        <v>p.persica_gdr_reftransV1_0010276</v>
      </c>
      <c r="B6302" s="3">
        <v>1202</v>
      </c>
      <c r="C6302" s="1" t="str">
        <f>HYPERLINK("http://www.uniprot.org/uniprot/PP433_ARATH","PP433_ARATH")</f>
        <v>PP433_ARATH</v>
      </c>
      <c r="D6302" t="s">
        <v>1625</v>
      </c>
      <c r="E6302" s="3" t="s">
        <v>3</v>
      </c>
      <c r="F6302" s="4">
        <v>1.58E-145</v>
      </c>
      <c r="G6302" s="3">
        <v>1108</v>
      </c>
      <c r="H6302" s="3">
        <v>54</v>
      </c>
      <c r="I6302" s="3">
        <v>403</v>
      </c>
      <c r="J6302" s="3">
        <v>1</v>
      </c>
      <c r="K6302" s="3">
        <v>1200</v>
      </c>
      <c r="L6302" s="3">
        <v>45</v>
      </c>
      <c r="M6302" s="3">
        <v>437</v>
      </c>
    </row>
    <row r="6303" spans="1:13" x14ac:dyDescent="0.25">
      <c r="A6303" s="1" t="str">
        <f>HYPERLINK("http://www.rosaceae.org/Prunus/Prunus_persica/p.persica_gdr_reftransV1_0010376","p.persica_gdr_reftransV1_0010376")</f>
        <v>p.persica_gdr_reftransV1_0010376</v>
      </c>
      <c r="B6303" s="3">
        <v>2132</v>
      </c>
      <c r="C6303" s="1" t="str">
        <f>HYPERLINK("http://www.uniprot.org/uniprot/NUDT2_ARATH","NUDT2_ARATH")</f>
        <v>NUDT2_ARATH</v>
      </c>
      <c r="D6303" t="s">
        <v>5183</v>
      </c>
      <c r="E6303" s="3" t="s">
        <v>3</v>
      </c>
      <c r="F6303" s="4">
        <v>9.1400000000000002E-69</v>
      </c>
      <c r="G6303" s="3">
        <v>593</v>
      </c>
      <c r="H6303" s="3">
        <v>61</v>
      </c>
      <c r="I6303" s="3">
        <v>182</v>
      </c>
      <c r="J6303" s="3">
        <v>1406</v>
      </c>
      <c r="K6303" s="3">
        <v>1951</v>
      </c>
      <c r="L6303" s="3">
        <v>1</v>
      </c>
      <c r="M6303" s="3">
        <v>180</v>
      </c>
    </row>
    <row r="6304" spans="1:13" x14ac:dyDescent="0.25">
      <c r="A6304" s="1" t="str">
        <f>HYPERLINK("http://www.rosaceae.org/Prunus/Prunus_persica/p.persica_gdr_reftransV1_0010426","p.persica_gdr_reftransV1_0010426")</f>
        <v>p.persica_gdr_reftransV1_0010426</v>
      </c>
      <c r="B6304" s="3">
        <v>1254</v>
      </c>
      <c r="C6304" s="1" t="str">
        <f>HYPERLINK("http://www.uniprot.org/uniprot/MORF5_ARATH","MORF5_ARATH")</f>
        <v>MORF5_ARATH</v>
      </c>
      <c r="D6304" t="s">
        <v>5184</v>
      </c>
      <c r="E6304" s="3" t="s">
        <v>3</v>
      </c>
      <c r="F6304" s="4">
        <v>4.2499999999999999E-106</v>
      </c>
      <c r="G6304" s="3">
        <v>819</v>
      </c>
      <c r="H6304" s="3">
        <v>80</v>
      </c>
      <c r="I6304" s="3">
        <v>191</v>
      </c>
      <c r="J6304" s="3">
        <v>155</v>
      </c>
      <c r="K6304" s="3">
        <v>727</v>
      </c>
      <c r="L6304" s="3">
        <v>13</v>
      </c>
      <c r="M6304" s="3">
        <v>201</v>
      </c>
    </row>
    <row r="6305" spans="1:13" x14ac:dyDescent="0.25">
      <c r="A6305" s="1" t="str">
        <f>HYPERLINK("http://www.rosaceae.org/Prunus/Prunus_persica/p.persica_gdr_reftransV1_0010476","p.persica_gdr_reftransV1_0010476")</f>
        <v>p.persica_gdr_reftransV1_0010476</v>
      </c>
      <c r="B6305" s="3">
        <v>2109</v>
      </c>
      <c r="C6305" s="1" t="str">
        <f>HYPERLINK("http://www.uniprot.org/uniprot/GOGC1_ARATH","GOGC1_ARATH")</f>
        <v>GOGC1_ARATH</v>
      </c>
      <c r="D6305" t="s">
        <v>3200</v>
      </c>
      <c r="E6305" s="3" t="s">
        <v>3</v>
      </c>
      <c r="F6305" s="4">
        <v>0</v>
      </c>
      <c r="G6305" s="3">
        <v>1582</v>
      </c>
      <c r="H6305" s="3">
        <v>70</v>
      </c>
      <c r="I6305" s="3">
        <v>477</v>
      </c>
      <c r="J6305" s="3">
        <v>607</v>
      </c>
      <c r="K6305" s="3">
        <v>2034</v>
      </c>
      <c r="L6305" s="3">
        <v>250</v>
      </c>
      <c r="M6305" s="3">
        <v>667</v>
      </c>
    </row>
    <row r="6306" spans="1:13" x14ac:dyDescent="0.25">
      <c r="A6306" s="1" t="str">
        <f>HYPERLINK("http://www.rosaceae.org/Prunus/Prunus_persica/p.persica_gdr_reftransV1_0010876","p.persica_gdr_reftransV1_0010876")</f>
        <v>p.persica_gdr_reftransV1_0010876</v>
      </c>
      <c r="B6306" s="3">
        <v>1219</v>
      </c>
      <c r="C6306" s="1" t="str">
        <f>HYPERLINK("http://www.uniprot.org/uniprot/MYB44_ARATH","MYB44_ARATH")</f>
        <v>MYB44_ARATH</v>
      </c>
      <c r="D6306" t="s">
        <v>1249</v>
      </c>
      <c r="E6306" s="3" t="s">
        <v>3</v>
      </c>
      <c r="F6306" s="4">
        <v>2.75E-52</v>
      </c>
      <c r="G6306" s="3">
        <v>463</v>
      </c>
      <c r="H6306" s="3">
        <v>75</v>
      </c>
      <c r="I6306" s="3">
        <v>113</v>
      </c>
      <c r="J6306" s="3">
        <v>291</v>
      </c>
      <c r="K6306" s="3">
        <v>629</v>
      </c>
      <c r="L6306" s="3">
        <v>3</v>
      </c>
      <c r="M6306" s="3">
        <v>115</v>
      </c>
    </row>
    <row r="6307" spans="1:13" x14ac:dyDescent="0.25">
      <c r="A6307" s="1" t="str">
        <f>HYPERLINK("http://www.rosaceae.org/Prunus/Prunus_persica/p.persica_gdr_reftransV1_0010926","p.persica_gdr_reftransV1_0010926")</f>
        <v>p.persica_gdr_reftransV1_0010926</v>
      </c>
      <c r="B6307" s="3">
        <v>1664</v>
      </c>
      <c r="C6307" s="1" t="str">
        <f>HYPERLINK("http://www.uniprot.org/uniprot/AP3M_ARATH","AP3M_ARATH")</f>
        <v>AP3M_ARATH</v>
      </c>
      <c r="D6307" t="s">
        <v>5185</v>
      </c>
      <c r="E6307" s="3" t="s">
        <v>3</v>
      </c>
      <c r="F6307" s="4">
        <v>0</v>
      </c>
      <c r="G6307" s="3">
        <v>1859</v>
      </c>
      <c r="H6307" s="3">
        <v>81</v>
      </c>
      <c r="I6307" s="3">
        <v>414</v>
      </c>
      <c r="J6307" s="3">
        <v>282</v>
      </c>
      <c r="K6307" s="3">
        <v>1523</v>
      </c>
      <c r="L6307" s="3">
        <v>1</v>
      </c>
      <c r="M6307" s="3">
        <v>414</v>
      </c>
    </row>
    <row r="6308" spans="1:13" x14ac:dyDescent="0.25">
      <c r="A6308" s="1" t="str">
        <f>HYPERLINK("http://www.rosaceae.org/Prunus/Prunus_persica/p.persica_gdr_reftransV1_0011026","p.persica_gdr_reftransV1_0011026")</f>
        <v>p.persica_gdr_reftransV1_0011026</v>
      </c>
      <c r="B6308" s="3">
        <v>3338</v>
      </c>
      <c r="C6308" s="1" t="str">
        <f>HYPERLINK("http://www.uniprot.org/uniprot/GMCL1_MOUSE","GMCL1_MOUSE")</f>
        <v>GMCL1_MOUSE</v>
      </c>
      <c r="D6308" t="s">
        <v>5186</v>
      </c>
      <c r="E6308" s="3" t="s">
        <v>157</v>
      </c>
      <c r="F6308" s="4">
        <v>7.6100000000000001E-11</v>
      </c>
      <c r="G6308" s="3">
        <v>169</v>
      </c>
      <c r="H6308" s="3">
        <v>28</v>
      </c>
      <c r="I6308" s="3">
        <v>152</v>
      </c>
      <c r="J6308" s="3">
        <v>245</v>
      </c>
      <c r="K6308" s="3">
        <v>700</v>
      </c>
      <c r="L6308" s="3">
        <v>87</v>
      </c>
      <c r="M6308" s="3">
        <v>234</v>
      </c>
    </row>
    <row r="6309" spans="1:13" x14ac:dyDescent="0.25">
      <c r="A6309" s="1" t="str">
        <f>HYPERLINK("http://www.rosaceae.org/Prunus/Prunus_persica/p.persica_gdr_reftransV1_0011126","p.persica_gdr_reftransV1_0011126")</f>
        <v>p.persica_gdr_reftransV1_0011126</v>
      </c>
      <c r="B6309" s="3">
        <v>1053</v>
      </c>
      <c r="C6309" s="1" t="str">
        <f>HYPERLINK("http://www.uniprot.org/uniprot/PTALR_ARATH","PTALR_ARATH")</f>
        <v>PTALR_ARATH</v>
      </c>
      <c r="D6309" t="s">
        <v>2067</v>
      </c>
      <c r="E6309" s="3" t="s">
        <v>3</v>
      </c>
      <c r="F6309" s="4">
        <v>2.5799999999999999E-114</v>
      </c>
      <c r="G6309" s="3">
        <v>868</v>
      </c>
      <c r="H6309" s="3">
        <v>69</v>
      </c>
      <c r="I6309" s="3">
        <v>240</v>
      </c>
      <c r="J6309" s="3">
        <v>81</v>
      </c>
      <c r="K6309" s="3">
        <v>797</v>
      </c>
      <c r="L6309" s="3">
        <v>9</v>
      </c>
      <c r="M6309" s="3">
        <v>242</v>
      </c>
    </row>
    <row r="6310" spans="1:13" x14ac:dyDescent="0.25">
      <c r="A6310" s="1" t="str">
        <f>HYPERLINK("http://www.rosaceae.org/Prunus/Prunus_persica/p.persica_gdr_reftransV1_0011176","p.persica_gdr_reftransV1_0011176")</f>
        <v>p.persica_gdr_reftransV1_0011176</v>
      </c>
      <c r="B6310" s="3">
        <v>1478</v>
      </c>
      <c r="C6310" s="1" t="str">
        <f>HYPERLINK("http://www.uniprot.org/uniprot/PCO2_ARATH","PCO2_ARATH")</f>
        <v>PCO2_ARATH</v>
      </c>
      <c r="D6310" t="s">
        <v>5187</v>
      </c>
      <c r="E6310" s="3" t="s">
        <v>3</v>
      </c>
      <c r="F6310" s="4">
        <v>6.1799999999999998E-65</v>
      </c>
      <c r="G6310" s="3">
        <v>554</v>
      </c>
      <c r="H6310" s="3">
        <v>52</v>
      </c>
      <c r="I6310" s="3">
        <v>208</v>
      </c>
      <c r="J6310" s="3">
        <v>560</v>
      </c>
      <c r="K6310" s="3">
        <v>1168</v>
      </c>
      <c r="L6310" s="3">
        <v>33</v>
      </c>
      <c r="M6310" s="3">
        <v>235</v>
      </c>
    </row>
    <row r="6311" spans="1:13" x14ac:dyDescent="0.25">
      <c r="A6311" s="1" t="str">
        <f>HYPERLINK("http://www.rosaceae.org/Prunus/Prunus_persica/p.persica_gdr_reftransV1_0011276","p.persica_gdr_reftransV1_0011276")</f>
        <v>p.persica_gdr_reftransV1_0011276</v>
      </c>
      <c r="B6311" s="3">
        <v>1536</v>
      </c>
      <c r="C6311" s="1" t="str">
        <f>HYPERLINK("http://www.uniprot.org/uniprot/DIM1A_ARATH","DIM1A_ARATH")</f>
        <v>DIM1A_ARATH</v>
      </c>
      <c r="D6311" t="s">
        <v>5188</v>
      </c>
      <c r="E6311" s="3" t="s">
        <v>3</v>
      </c>
      <c r="F6311" s="4">
        <v>9.6099999999999998E-102</v>
      </c>
      <c r="G6311" s="3">
        <v>810</v>
      </c>
      <c r="H6311" s="3">
        <v>68</v>
      </c>
      <c r="I6311" s="3">
        <v>248</v>
      </c>
      <c r="J6311" s="3">
        <v>232</v>
      </c>
      <c r="K6311" s="3">
        <v>963</v>
      </c>
      <c r="L6311" s="3">
        <v>106</v>
      </c>
      <c r="M6311" s="3">
        <v>353</v>
      </c>
    </row>
    <row r="6312" spans="1:13" x14ac:dyDescent="0.25">
      <c r="A6312" s="1" t="str">
        <f>HYPERLINK("http://www.rosaceae.org/Prunus/Prunus_persica/p.persica_gdr_reftransV1_0011426","p.persica_gdr_reftransV1_0011426")</f>
        <v>p.persica_gdr_reftransV1_0011426</v>
      </c>
      <c r="B6312" s="3">
        <v>1104</v>
      </c>
      <c r="C6312" s="1" t="str">
        <f>HYPERLINK("http://www.uniprot.org/uniprot/FDL23_ARATH","FDL23_ARATH")</f>
        <v>FDL23_ARATH</v>
      </c>
      <c r="D6312" t="s">
        <v>5189</v>
      </c>
      <c r="E6312" s="3" t="s">
        <v>3</v>
      </c>
      <c r="F6312" s="4">
        <v>8.57E-15</v>
      </c>
      <c r="G6312" s="3">
        <v>193</v>
      </c>
      <c r="H6312" s="3">
        <v>28</v>
      </c>
      <c r="I6312" s="3">
        <v>322</v>
      </c>
      <c r="J6312" s="3">
        <v>5</v>
      </c>
      <c r="K6312" s="3">
        <v>931</v>
      </c>
      <c r="L6312" s="3">
        <v>176</v>
      </c>
      <c r="M6312" s="3">
        <v>447</v>
      </c>
    </row>
    <row r="6313" spans="1:13" x14ac:dyDescent="0.25">
      <c r="A6313" s="1" t="str">
        <f>HYPERLINK("http://www.rosaceae.org/Prunus/Prunus_persica/p.persica_gdr_reftransV1_0011576","p.persica_gdr_reftransV1_0011576")</f>
        <v>p.persica_gdr_reftransV1_0011576</v>
      </c>
      <c r="B6313" s="3">
        <v>1751</v>
      </c>
      <c r="C6313" s="1" t="str">
        <f>HYPERLINK("http://www.uniprot.org/uniprot/ACY1_MOUSE","ACY1_MOUSE")</f>
        <v>ACY1_MOUSE</v>
      </c>
      <c r="D6313" t="s">
        <v>5190</v>
      </c>
      <c r="E6313" s="3" t="s">
        <v>157</v>
      </c>
      <c r="F6313" s="4">
        <v>1.9900000000000001E-116</v>
      </c>
      <c r="G6313" s="3">
        <v>920</v>
      </c>
      <c r="H6313" s="3">
        <v>46</v>
      </c>
      <c r="I6313" s="3">
        <v>399</v>
      </c>
      <c r="J6313" s="3">
        <v>387</v>
      </c>
      <c r="K6313" s="3">
        <v>1577</v>
      </c>
      <c r="L6313" s="3">
        <v>16</v>
      </c>
      <c r="M6313" s="3">
        <v>400</v>
      </c>
    </row>
    <row r="6314" spans="1:13" x14ac:dyDescent="0.25">
      <c r="A6314" s="1" t="str">
        <f>HYPERLINK("http://www.rosaceae.org/Prunus/Prunus_persica/p.persica_gdr_reftransV1_0011626","p.persica_gdr_reftransV1_0011626")</f>
        <v>p.persica_gdr_reftransV1_0011626</v>
      </c>
      <c r="B6314" s="3">
        <v>837</v>
      </c>
      <c r="C6314" s="1" t="str">
        <f>HYPERLINK("http://www.uniprot.org/uniprot/CAMK4_ARATH","CAMK4_ARATH")</f>
        <v>CAMK4_ARATH</v>
      </c>
      <c r="D6314" t="s">
        <v>4909</v>
      </c>
      <c r="E6314" s="3" t="s">
        <v>3</v>
      </c>
      <c r="F6314" s="4">
        <v>4.7299999999999998E-55</v>
      </c>
      <c r="G6314" s="3">
        <v>489</v>
      </c>
      <c r="H6314" s="3">
        <v>61</v>
      </c>
      <c r="I6314" s="3">
        <v>208</v>
      </c>
      <c r="J6314" s="3">
        <v>2</v>
      </c>
      <c r="K6314" s="3">
        <v>601</v>
      </c>
      <c r="L6314" s="3">
        <v>1</v>
      </c>
      <c r="M6314" s="3">
        <v>207</v>
      </c>
    </row>
    <row r="6315" spans="1:13" x14ac:dyDescent="0.25">
      <c r="A6315" s="1" t="str">
        <f>HYPERLINK("http://www.rosaceae.org/Prunus/Prunus_persica/p.persica_gdr_reftransV1_0011676","p.persica_gdr_reftransV1_0011676")</f>
        <v>p.persica_gdr_reftransV1_0011676</v>
      </c>
      <c r="B6315" s="3">
        <v>2318</v>
      </c>
      <c r="C6315" s="1" t="str">
        <f>HYPERLINK("http://www.uniprot.org/uniprot/SGS3_ARATH","SGS3_ARATH")</f>
        <v>SGS3_ARATH</v>
      </c>
      <c r="D6315" t="s">
        <v>4443</v>
      </c>
      <c r="E6315" s="3" t="s">
        <v>3</v>
      </c>
      <c r="F6315" s="4">
        <v>0</v>
      </c>
      <c r="G6315" s="3">
        <v>1550</v>
      </c>
      <c r="H6315" s="3">
        <v>56</v>
      </c>
      <c r="I6315" s="3">
        <v>628</v>
      </c>
      <c r="J6315" s="3">
        <v>43</v>
      </c>
      <c r="K6315" s="3">
        <v>1911</v>
      </c>
      <c r="L6315" s="3">
        <v>6</v>
      </c>
      <c r="M6315" s="3">
        <v>621</v>
      </c>
    </row>
    <row r="6316" spans="1:13" x14ac:dyDescent="0.25">
      <c r="A6316" s="1" t="str">
        <f>HYPERLINK("http://www.rosaceae.org/Prunus/Prunus_persica/p.persica_gdr_reftransV1_0011726","p.persica_gdr_reftransV1_0011726")</f>
        <v>p.persica_gdr_reftransV1_0011726</v>
      </c>
      <c r="B6316" s="3">
        <v>1019</v>
      </c>
      <c r="C6316" s="1" t="str">
        <f>HYPERLINK("http://www.uniprot.org/uniprot/DREB3_ARATH","DREB3_ARATH")</f>
        <v>DREB3_ARATH</v>
      </c>
      <c r="D6316" t="s">
        <v>4853</v>
      </c>
      <c r="E6316" s="3" t="s">
        <v>3</v>
      </c>
      <c r="F6316" s="4">
        <v>6.25E-37</v>
      </c>
      <c r="G6316" s="3">
        <v>347</v>
      </c>
      <c r="H6316" s="3">
        <v>78</v>
      </c>
      <c r="I6316" s="3">
        <v>85</v>
      </c>
      <c r="J6316" s="3">
        <v>700</v>
      </c>
      <c r="K6316" s="3">
        <v>954</v>
      </c>
      <c r="L6316" s="3">
        <v>35</v>
      </c>
      <c r="M6316" s="3">
        <v>116</v>
      </c>
    </row>
    <row r="6317" spans="1:13" x14ac:dyDescent="0.25">
      <c r="A6317" s="1" t="str">
        <f>HYPERLINK("http://www.rosaceae.org/Prunus/Prunus_persica/p.persica_gdr_reftransV1_0011826","p.persica_gdr_reftransV1_0011826")</f>
        <v>p.persica_gdr_reftransV1_0011826</v>
      </c>
      <c r="B6317" s="3">
        <v>1424</v>
      </c>
      <c r="C6317" s="1" t="str">
        <f>HYPERLINK("http://www.uniprot.org/uniprot/RL18_AROAE","RL18_AROAE")</f>
        <v>RL18_AROAE</v>
      </c>
      <c r="D6317" t="s">
        <v>3578</v>
      </c>
      <c r="E6317" s="3" t="s">
        <v>3579</v>
      </c>
      <c r="F6317" s="4">
        <v>5.76E-8</v>
      </c>
      <c r="G6317" s="3">
        <v>132</v>
      </c>
      <c r="H6317" s="3">
        <v>33</v>
      </c>
      <c r="I6317" s="3">
        <v>98</v>
      </c>
      <c r="J6317" s="3">
        <v>97</v>
      </c>
      <c r="K6317" s="3">
        <v>390</v>
      </c>
      <c r="L6317" s="3">
        <v>21</v>
      </c>
      <c r="M6317" s="3">
        <v>117</v>
      </c>
    </row>
    <row r="6318" spans="1:13" x14ac:dyDescent="0.25">
      <c r="A6318" s="1" t="str">
        <f>HYPERLINK("http://www.rosaceae.org/Prunus/Prunus_persica/p.persica_gdr_reftransV1_0011926","p.persica_gdr_reftransV1_0011926")</f>
        <v>p.persica_gdr_reftransV1_0011926</v>
      </c>
      <c r="B6318" s="3">
        <v>1704</v>
      </c>
      <c r="C6318" s="1" t="str">
        <f>HYPERLINK("http://www.uniprot.org/uniprot/GPMA_BARHE","GPMA_BARHE")</f>
        <v>GPMA_BARHE</v>
      </c>
      <c r="D6318" t="s">
        <v>5191</v>
      </c>
      <c r="E6318" s="3" t="s">
        <v>5192</v>
      </c>
      <c r="F6318" s="4">
        <v>6.5799999999999994E-8</v>
      </c>
      <c r="G6318" s="3">
        <v>135</v>
      </c>
      <c r="H6318" s="3">
        <v>31</v>
      </c>
      <c r="I6318" s="3">
        <v>127</v>
      </c>
      <c r="J6318" s="3">
        <v>1009</v>
      </c>
      <c r="K6318" s="3">
        <v>1383</v>
      </c>
      <c r="L6318" s="3">
        <v>5</v>
      </c>
      <c r="M6318" s="3">
        <v>129</v>
      </c>
    </row>
    <row r="6319" spans="1:13" x14ac:dyDescent="0.25">
      <c r="A6319" s="1" t="str">
        <f>HYPERLINK("http://www.rosaceae.org/Prunus/Prunus_persica/p.persica_gdr_reftransV1_0012026","p.persica_gdr_reftransV1_0012026")</f>
        <v>p.persica_gdr_reftransV1_0012026</v>
      </c>
      <c r="B6319" s="3">
        <v>809</v>
      </c>
      <c r="C6319" s="1" t="str">
        <f>HYPERLINK("http://www.uniprot.org/uniprot/TRXH2_ARATH","TRXH2_ARATH")</f>
        <v>TRXH2_ARATH</v>
      </c>
      <c r="D6319" t="s">
        <v>5193</v>
      </c>
      <c r="E6319" s="3" t="s">
        <v>3</v>
      </c>
      <c r="F6319" s="4">
        <v>7.2299999999999996E-34</v>
      </c>
      <c r="G6319" s="3">
        <v>314</v>
      </c>
      <c r="H6319" s="3">
        <v>53</v>
      </c>
      <c r="I6319" s="3">
        <v>125</v>
      </c>
      <c r="J6319" s="3">
        <v>71</v>
      </c>
      <c r="K6319" s="3">
        <v>436</v>
      </c>
      <c r="L6319" s="3">
        <v>1</v>
      </c>
      <c r="M6319" s="3">
        <v>125</v>
      </c>
    </row>
    <row r="6320" spans="1:13" x14ac:dyDescent="0.25">
      <c r="A6320" s="1" t="str">
        <f>HYPERLINK("http://www.rosaceae.org/Prunus/Prunus_persica/p.persica_gdr_reftransV1_0012176","p.persica_gdr_reftransV1_0012176")</f>
        <v>p.persica_gdr_reftransV1_0012176</v>
      </c>
      <c r="B6320" s="3">
        <v>1367</v>
      </c>
      <c r="C6320" s="1" t="str">
        <f>HYPERLINK("http://www.uniprot.org/uniprot/CAPZA_ARATH","CAPZA_ARATH")</f>
        <v>CAPZA_ARATH</v>
      </c>
      <c r="D6320" t="s">
        <v>5194</v>
      </c>
      <c r="E6320" s="3" t="s">
        <v>3</v>
      </c>
      <c r="F6320" s="4">
        <v>3.79E-152</v>
      </c>
      <c r="G6320" s="3">
        <v>1136</v>
      </c>
      <c r="H6320" s="3">
        <v>72</v>
      </c>
      <c r="I6320" s="3">
        <v>295</v>
      </c>
      <c r="J6320" s="3">
        <v>391</v>
      </c>
      <c r="K6320" s="3">
        <v>1275</v>
      </c>
      <c r="L6320" s="3">
        <v>14</v>
      </c>
      <c r="M6320" s="3">
        <v>308</v>
      </c>
    </row>
    <row r="6321" spans="1:13" x14ac:dyDescent="0.25">
      <c r="A6321" s="1" t="str">
        <f>HYPERLINK("http://www.rosaceae.org/Prunus/Prunus_persica/p.persica_gdr_reftransV1_0012226","p.persica_gdr_reftransV1_0012226")</f>
        <v>p.persica_gdr_reftransV1_0012226</v>
      </c>
      <c r="B6321" s="3">
        <v>1712</v>
      </c>
      <c r="C6321" s="1" t="str">
        <f>HYPERLINK("http://www.uniprot.org/uniprot/ADHL7_ARATH","ADHL7_ARATH")</f>
        <v>ADHL7_ARATH</v>
      </c>
      <c r="D6321" t="s">
        <v>5195</v>
      </c>
      <c r="E6321" s="3" t="s">
        <v>3</v>
      </c>
      <c r="F6321" s="4">
        <v>0</v>
      </c>
      <c r="G6321" s="3">
        <v>1408</v>
      </c>
      <c r="H6321" s="3">
        <v>65</v>
      </c>
      <c r="I6321" s="3">
        <v>412</v>
      </c>
      <c r="J6321" s="3">
        <v>116</v>
      </c>
      <c r="K6321" s="3">
        <v>1348</v>
      </c>
      <c r="L6321" s="3">
        <v>21</v>
      </c>
      <c r="M6321" s="3">
        <v>389</v>
      </c>
    </row>
    <row r="6322" spans="1:13" x14ac:dyDescent="0.25">
      <c r="A6322" s="1" t="str">
        <f>HYPERLINK("http://www.rosaceae.org/Prunus/Prunus_persica/p.persica_gdr_reftransV1_0012276","p.persica_gdr_reftransV1_0012276")</f>
        <v>p.persica_gdr_reftransV1_0012276</v>
      </c>
      <c r="B6322" s="3">
        <v>321</v>
      </c>
      <c r="C6322" s="1" t="str">
        <f>HYPERLINK("http://www.uniprot.org/uniprot/NBP35_ARATH","NBP35_ARATH")</f>
        <v>NBP35_ARATH</v>
      </c>
      <c r="D6322" t="s">
        <v>5196</v>
      </c>
      <c r="E6322" s="3" t="s">
        <v>3</v>
      </c>
      <c r="F6322" s="4">
        <v>8.2299999999999995E-10</v>
      </c>
      <c r="G6322" s="3">
        <v>140</v>
      </c>
      <c r="H6322" s="3">
        <v>86</v>
      </c>
      <c r="I6322" s="3">
        <v>28</v>
      </c>
      <c r="J6322" s="3">
        <v>234</v>
      </c>
      <c r="K6322" s="3">
        <v>317</v>
      </c>
      <c r="L6322" s="3">
        <v>1</v>
      </c>
      <c r="M6322" s="3">
        <v>28</v>
      </c>
    </row>
    <row r="6323" spans="1:13" x14ac:dyDescent="0.25">
      <c r="A6323" s="1" t="str">
        <f>HYPERLINK("http://www.rosaceae.org/Prunus/Prunus_persica/p.persica_gdr_reftransV1_0012326","p.persica_gdr_reftransV1_0012326")</f>
        <v>p.persica_gdr_reftransV1_0012326</v>
      </c>
      <c r="B6323" s="3">
        <v>687</v>
      </c>
      <c r="C6323" s="1" t="str">
        <f>HYPERLINK("http://www.uniprot.org/uniprot/PDR2_NICPL","PDR2_NICPL")</f>
        <v>PDR2_NICPL</v>
      </c>
      <c r="D6323" t="s">
        <v>2532</v>
      </c>
      <c r="E6323" s="3" t="s">
        <v>1450</v>
      </c>
      <c r="F6323" s="4">
        <v>2.0199999999999999E-27</v>
      </c>
      <c r="G6323" s="3">
        <v>288</v>
      </c>
      <c r="H6323" s="3">
        <v>52</v>
      </c>
      <c r="I6323" s="3">
        <v>129</v>
      </c>
      <c r="J6323" s="3">
        <v>324</v>
      </c>
      <c r="K6323" s="3">
        <v>686</v>
      </c>
      <c r="L6323" s="3">
        <v>1</v>
      </c>
      <c r="M6323" s="3">
        <v>129</v>
      </c>
    </row>
    <row r="6324" spans="1:13" x14ac:dyDescent="0.25">
      <c r="A6324" s="1" t="str">
        <f>HYPERLINK("http://www.rosaceae.org/Prunus/Prunus_persica/p.persica_gdr_reftransV1_0012426","p.persica_gdr_reftransV1_0012426")</f>
        <v>p.persica_gdr_reftransV1_0012426</v>
      </c>
      <c r="B6324" s="3">
        <v>711</v>
      </c>
      <c r="C6324" s="1" t="str">
        <f>HYPERLINK("http://www.uniprot.org/uniprot/ATL80_ARATH","ATL80_ARATH")</f>
        <v>ATL80_ARATH</v>
      </c>
      <c r="D6324" t="s">
        <v>5197</v>
      </c>
      <c r="E6324" s="3" t="s">
        <v>3</v>
      </c>
      <c r="F6324" s="4">
        <v>9.5899999999999996E-51</v>
      </c>
      <c r="G6324" s="3">
        <v>430</v>
      </c>
      <c r="H6324" s="3">
        <v>64</v>
      </c>
      <c r="I6324" s="3">
        <v>141</v>
      </c>
      <c r="J6324" s="3">
        <v>202</v>
      </c>
      <c r="K6324" s="3">
        <v>603</v>
      </c>
      <c r="L6324" s="3">
        <v>26</v>
      </c>
      <c r="M6324" s="3">
        <v>164</v>
      </c>
    </row>
    <row r="6325" spans="1:13" x14ac:dyDescent="0.25">
      <c r="A6325" s="1" t="str">
        <f>HYPERLINK("http://www.rosaceae.org/Prunus/Prunus_persica/p.persica_gdr_reftransV1_0012526","p.persica_gdr_reftransV1_0012526")</f>
        <v>p.persica_gdr_reftransV1_0012526</v>
      </c>
      <c r="B6325" s="3">
        <v>1056</v>
      </c>
      <c r="C6325" s="1" t="str">
        <f>HYPERLINK("http://www.uniprot.org/uniprot/BZP43_ARATH","BZP43_ARATH")</f>
        <v>BZP43_ARATH</v>
      </c>
      <c r="D6325" t="s">
        <v>5198</v>
      </c>
      <c r="E6325" s="3" t="s">
        <v>3</v>
      </c>
      <c r="F6325" s="4">
        <v>3.8500000000000003E-18</v>
      </c>
      <c r="G6325" s="3">
        <v>207</v>
      </c>
      <c r="H6325" s="3">
        <v>38</v>
      </c>
      <c r="I6325" s="3">
        <v>165</v>
      </c>
      <c r="J6325" s="3">
        <v>386</v>
      </c>
      <c r="K6325" s="3">
        <v>838</v>
      </c>
      <c r="L6325" s="3">
        <v>15</v>
      </c>
      <c r="M6325" s="3">
        <v>165</v>
      </c>
    </row>
    <row r="6326" spans="1:13" x14ac:dyDescent="0.25">
      <c r="A6326" s="1" t="str">
        <f>HYPERLINK("http://www.rosaceae.org/Prunus/Prunus_persica/p.persica_gdr_reftransV1_0012626","p.persica_gdr_reftransV1_0012626")</f>
        <v>p.persica_gdr_reftransV1_0012626</v>
      </c>
      <c r="B6326" s="3">
        <v>1237</v>
      </c>
      <c r="C6326" s="1" t="str">
        <f>HYPERLINK("http://www.uniprot.org/uniprot/RRF_THET8","RRF_THET8")</f>
        <v>RRF_THET8</v>
      </c>
      <c r="D6326" t="s">
        <v>5199</v>
      </c>
      <c r="E6326" s="3" t="s">
        <v>679</v>
      </c>
      <c r="F6326" s="4">
        <v>1.6899999999999999E-35</v>
      </c>
      <c r="G6326" s="3">
        <v>337</v>
      </c>
      <c r="H6326" s="3">
        <v>41</v>
      </c>
      <c r="I6326" s="3">
        <v>169</v>
      </c>
      <c r="J6326" s="3">
        <v>313</v>
      </c>
      <c r="K6326" s="3">
        <v>813</v>
      </c>
      <c r="L6326" s="3">
        <v>8</v>
      </c>
      <c r="M6326" s="3">
        <v>176</v>
      </c>
    </row>
    <row r="6327" spans="1:13" x14ac:dyDescent="0.25">
      <c r="A6327" s="1" t="str">
        <f>HYPERLINK("http://www.rosaceae.org/Prunus/Prunus_persica/p.persica_gdr_reftransV1_0012826","p.persica_gdr_reftransV1_0012826")</f>
        <v>p.persica_gdr_reftransV1_0012826</v>
      </c>
      <c r="B6327" s="3">
        <v>1109</v>
      </c>
      <c r="C6327" s="1" t="str">
        <f>HYPERLINK("http://www.uniprot.org/uniprot/ATCA4_ARATH","ATCA4_ARATH")</f>
        <v>ATCA4_ARATH</v>
      </c>
      <c r="D6327" t="s">
        <v>5200</v>
      </c>
      <c r="E6327" s="3" t="s">
        <v>3</v>
      </c>
      <c r="F6327" s="4">
        <v>7.0199999999999994E-107</v>
      </c>
      <c r="G6327" s="3">
        <v>823</v>
      </c>
      <c r="H6327" s="3">
        <v>58</v>
      </c>
      <c r="I6327" s="3">
        <v>257</v>
      </c>
      <c r="J6327" s="3">
        <v>211</v>
      </c>
      <c r="K6327" s="3">
        <v>966</v>
      </c>
      <c r="L6327" s="3">
        <v>10</v>
      </c>
      <c r="M6327" s="3">
        <v>265</v>
      </c>
    </row>
    <row r="6328" spans="1:13" x14ac:dyDescent="0.25">
      <c r="A6328" s="1" t="str">
        <f>HYPERLINK("http://www.rosaceae.org/Prunus/Prunus_persica/p.persica_gdr_reftransV1_0012976","p.persica_gdr_reftransV1_0012976")</f>
        <v>p.persica_gdr_reftransV1_0012976</v>
      </c>
      <c r="B6328" s="3">
        <v>3739</v>
      </c>
      <c r="C6328" s="1" t="str">
        <f>HYPERLINK("http://www.uniprot.org/uniprot/Y4837_ARATH","Y4837_ARATH")</f>
        <v>Y4837_ARATH</v>
      </c>
      <c r="D6328" t="s">
        <v>1335</v>
      </c>
      <c r="E6328" s="3" t="s">
        <v>3</v>
      </c>
      <c r="F6328" s="4">
        <v>1.41E-37</v>
      </c>
      <c r="G6328" s="3">
        <v>389</v>
      </c>
      <c r="H6328" s="3">
        <v>33</v>
      </c>
      <c r="I6328" s="3">
        <v>447</v>
      </c>
      <c r="J6328" s="3">
        <v>2266</v>
      </c>
      <c r="K6328" s="3">
        <v>3483</v>
      </c>
      <c r="L6328" s="3">
        <v>34</v>
      </c>
      <c r="M6328" s="3">
        <v>464</v>
      </c>
    </row>
    <row r="6329" spans="1:13" x14ac:dyDescent="0.25">
      <c r="A6329" s="1" t="str">
        <f>HYPERLINK("http://www.rosaceae.org/Prunus/Prunus_persica/p.persica_gdr_reftransV1_0013076","p.persica_gdr_reftransV1_0013076")</f>
        <v>p.persica_gdr_reftransV1_0013076</v>
      </c>
      <c r="B6329" s="3">
        <v>3420</v>
      </c>
      <c r="C6329" s="1" t="str">
        <f>HYPERLINK("http://www.uniprot.org/uniprot/GCH1_SOLLC","GCH1_SOLLC")</f>
        <v>GCH1_SOLLC</v>
      </c>
      <c r="D6329" t="s">
        <v>5201</v>
      </c>
      <c r="E6329" s="3" t="s">
        <v>64</v>
      </c>
      <c r="F6329" s="4">
        <v>0</v>
      </c>
      <c r="G6329" s="3">
        <v>1412</v>
      </c>
      <c r="H6329" s="3">
        <v>70</v>
      </c>
      <c r="I6329" s="3">
        <v>395</v>
      </c>
      <c r="J6329" s="3">
        <v>1833</v>
      </c>
      <c r="K6329" s="3">
        <v>3017</v>
      </c>
      <c r="L6329" s="3">
        <v>70</v>
      </c>
      <c r="M6329" s="3">
        <v>456</v>
      </c>
    </row>
    <row r="6330" spans="1:13" x14ac:dyDescent="0.25">
      <c r="A6330" s="1" t="str">
        <f>HYPERLINK("http://www.rosaceae.org/Prunus/Prunus_persica/p.persica_gdr_reftransV1_0013226","p.persica_gdr_reftransV1_0013226")</f>
        <v>p.persica_gdr_reftransV1_0013226</v>
      </c>
      <c r="B6330" s="3">
        <v>1892</v>
      </c>
      <c r="C6330" s="1" t="str">
        <f>HYPERLINK("http://www.uniprot.org/uniprot/MFDR_ARATH","MFDR_ARATH")</f>
        <v>MFDR_ARATH</v>
      </c>
      <c r="D6330" t="s">
        <v>5202</v>
      </c>
      <c r="E6330" s="3" t="s">
        <v>3</v>
      </c>
      <c r="F6330" s="4">
        <v>0</v>
      </c>
      <c r="G6330" s="3">
        <v>1774</v>
      </c>
      <c r="H6330" s="3">
        <v>70</v>
      </c>
      <c r="I6330" s="3">
        <v>482</v>
      </c>
      <c r="J6330" s="3">
        <v>198</v>
      </c>
      <c r="K6330" s="3">
        <v>1640</v>
      </c>
      <c r="L6330" s="3">
        <v>1</v>
      </c>
      <c r="M6330" s="3">
        <v>481</v>
      </c>
    </row>
    <row r="6331" spans="1:13" x14ac:dyDescent="0.25">
      <c r="A6331" s="1" t="str">
        <f>HYPERLINK("http://www.rosaceae.org/Prunus/Prunus_persica/p.persica_gdr_reftransV1_0013426","p.persica_gdr_reftransV1_0013426")</f>
        <v>p.persica_gdr_reftransV1_0013426</v>
      </c>
      <c r="B6331" s="3">
        <v>3487</v>
      </c>
      <c r="C6331" s="1" t="str">
        <f>HYPERLINK("http://www.uniprot.org/uniprot/HXK1_TOBAC","HXK1_TOBAC")</f>
        <v>HXK1_TOBAC</v>
      </c>
      <c r="D6331" t="s">
        <v>5203</v>
      </c>
      <c r="E6331" s="3" t="s">
        <v>200</v>
      </c>
      <c r="F6331" s="4">
        <v>4.9100000000000004E-146</v>
      </c>
      <c r="G6331" s="3">
        <v>1171</v>
      </c>
      <c r="H6331" s="3">
        <v>76</v>
      </c>
      <c r="I6331" s="3">
        <v>294</v>
      </c>
      <c r="J6331" s="3">
        <v>2196</v>
      </c>
      <c r="K6331" s="3">
        <v>3077</v>
      </c>
      <c r="L6331" s="3">
        <v>200</v>
      </c>
      <c r="M6331" s="3">
        <v>493</v>
      </c>
    </row>
    <row r="6332" spans="1:13" x14ac:dyDescent="0.25">
      <c r="A6332" s="1" t="str">
        <f>HYPERLINK("http://www.rosaceae.org/Prunus/Prunus_persica/p.persica_gdr_reftransV1_0013476","p.persica_gdr_reftransV1_0013476")</f>
        <v>p.persica_gdr_reftransV1_0013476</v>
      </c>
      <c r="B6332" s="3">
        <v>833</v>
      </c>
      <c r="C6332" s="1" t="str">
        <f>HYPERLINK("http://www.uniprot.org/uniprot/HT1_ARATH","HT1_ARATH")</f>
        <v>HT1_ARATH</v>
      </c>
      <c r="D6332" t="s">
        <v>1169</v>
      </c>
      <c r="E6332" s="3" t="s">
        <v>3</v>
      </c>
      <c r="F6332" s="4">
        <v>5.6399999999999996E-22</v>
      </c>
      <c r="G6332" s="3">
        <v>241</v>
      </c>
      <c r="H6332" s="3">
        <v>47</v>
      </c>
      <c r="I6332" s="3">
        <v>104</v>
      </c>
      <c r="J6332" s="3">
        <v>493</v>
      </c>
      <c r="K6332" s="3">
        <v>804</v>
      </c>
      <c r="L6332" s="3">
        <v>248</v>
      </c>
      <c r="M6332" s="3">
        <v>343</v>
      </c>
    </row>
    <row r="6333" spans="1:13" x14ac:dyDescent="0.25">
      <c r="A6333" s="1" t="str">
        <f>HYPERLINK("http://www.rosaceae.org/Prunus/Prunus_persica/p.persica_gdr_reftransV1_0013526","p.persica_gdr_reftransV1_0013526")</f>
        <v>p.persica_gdr_reftransV1_0013526</v>
      </c>
      <c r="B6333" s="3">
        <v>3034</v>
      </c>
      <c r="C6333" s="1" t="str">
        <f>HYPERLINK("http://www.uniprot.org/uniprot/PNS1_DEBHA","PNS1_DEBHA")</f>
        <v>PNS1_DEBHA</v>
      </c>
      <c r="D6333" t="s">
        <v>5204</v>
      </c>
      <c r="E6333" s="3" t="s">
        <v>351</v>
      </c>
      <c r="F6333" s="4">
        <v>1.9799999999999999E-13</v>
      </c>
      <c r="G6333" s="3">
        <v>190</v>
      </c>
      <c r="H6333" s="3">
        <v>25</v>
      </c>
      <c r="I6333" s="3">
        <v>236</v>
      </c>
      <c r="J6333" s="3">
        <v>1017</v>
      </c>
      <c r="K6333" s="3">
        <v>1667</v>
      </c>
      <c r="L6333" s="3">
        <v>270</v>
      </c>
      <c r="M6333" s="3">
        <v>500</v>
      </c>
    </row>
    <row r="6334" spans="1:13" x14ac:dyDescent="0.25">
      <c r="A6334" s="1" t="str">
        <f>HYPERLINK("http://www.rosaceae.org/Prunus/Prunus_persica/p.persica_gdr_reftransV1_0013576","p.persica_gdr_reftransV1_0013576")</f>
        <v>p.persica_gdr_reftransV1_0013576</v>
      </c>
      <c r="B6334" s="3">
        <v>2910</v>
      </c>
      <c r="C6334" s="1" t="str">
        <f>HYPERLINK("http://www.uniprot.org/uniprot/DNAJ_WOLSU","DNAJ_WOLSU")</f>
        <v>DNAJ_WOLSU</v>
      </c>
      <c r="D6334" t="s">
        <v>773</v>
      </c>
      <c r="E6334" s="3" t="s">
        <v>774</v>
      </c>
      <c r="F6334" s="4">
        <v>8.0400000000000002E-11</v>
      </c>
      <c r="G6334" s="3">
        <v>167</v>
      </c>
      <c r="H6334" s="3">
        <v>30</v>
      </c>
      <c r="I6334" s="3">
        <v>158</v>
      </c>
      <c r="J6334" s="3">
        <v>2051</v>
      </c>
      <c r="K6334" s="3">
        <v>2494</v>
      </c>
      <c r="L6334" s="3">
        <v>3</v>
      </c>
      <c r="M6334" s="3">
        <v>155</v>
      </c>
    </row>
    <row r="6335" spans="1:13" x14ac:dyDescent="0.25">
      <c r="A6335" s="1" t="str">
        <f>HYPERLINK("http://www.rosaceae.org/Prunus/Prunus_persica/p.persica_gdr_reftransV1_0013826","p.persica_gdr_reftransV1_0013826")</f>
        <v>p.persica_gdr_reftransV1_0013826</v>
      </c>
      <c r="B6335" s="3">
        <v>1008</v>
      </c>
      <c r="C6335" s="1" t="str">
        <f>HYPERLINK("http://www.uniprot.org/uniprot/ARPC4_ARATH","ARPC4_ARATH")</f>
        <v>ARPC4_ARATH</v>
      </c>
      <c r="D6335" t="s">
        <v>5205</v>
      </c>
      <c r="E6335" s="3" t="s">
        <v>3</v>
      </c>
      <c r="F6335" s="4">
        <v>1.09E-108</v>
      </c>
      <c r="G6335" s="3">
        <v>822</v>
      </c>
      <c r="H6335" s="3">
        <v>92</v>
      </c>
      <c r="I6335" s="3">
        <v>169</v>
      </c>
      <c r="J6335" s="3">
        <v>430</v>
      </c>
      <c r="K6335" s="3">
        <v>936</v>
      </c>
      <c r="L6335" s="3">
        <v>1</v>
      </c>
      <c r="M6335" s="3">
        <v>169</v>
      </c>
    </row>
    <row r="6336" spans="1:13" x14ac:dyDescent="0.25">
      <c r="A6336" s="1" t="str">
        <f>HYPERLINK("http://www.rosaceae.org/Prunus/Prunus_persica/p.persica_gdr_reftransV1_0014126","p.persica_gdr_reftransV1_0014126")</f>
        <v>p.persica_gdr_reftransV1_0014126</v>
      </c>
      <c r="B6336" s="3">
        <v>5008</v>
      </c>
      <c r="C6336" s="1" t="str">
        <f>HYPERLINK("http://www.uniprot.org/uniprot/SIZ1_ARATH","SIZ1_ARATH")</f>
        <v>SIZ1_ARATH</v>
      </c>
      <c r="D6336" t="s">
        <v>2178</v>
      </c>
      <c r="E6336" s="3" t="s">
        <v>3</v>
      </c>
      <c r="F6336" s="4">
        <v>0</v>
      </c>
      <c r="G6336" s="3">
        <v>2874</v>
      </c>
      <c r="H6336" s="3">
        <v>67</v>
      </c>
      <c r="I6336" s="3">
        <v>839</v>
      </c>
      <c r="J6336" s="3">
        <v>2165</v>
      </c>
      <c r="K6336" s="3">
        <v>4666</v>
      </c>
      <c r="L6336" s="3">
        <v>1</v>
      </c>
      <c r="M6336" s="3">
        <v>830</v>
      </c>
    </row>
    <row r="6337" spans="1:13" x14ac:dyDescent="0.25">
      <c r="A6337" s="1" t="str">
        <f>HYPERLINK("http://www.rosaceae.org/Prunus/Prunus_persica/p.persica_gdr_reftransV1_0014226","p.persica_gdr_reftransV1_0014226")</f>
        <v>p.persica_gdr_reftransV1_0014226</v>
      </c>
      <c r="B6337" s="3">
        <v>2641</v>
      </c>
      <c r="C6337" s="1" t="str">
        <f>HYPERLINK("http://www.uniprot.org/uniprot/CREC_NEOFI","CREC_NEOFI")</f>
        <v>CREC_NEOFI</v>
      </c>
      <c r="D6337" t="s">
        <v>5206</v>
      </c>
      <c r="E6337" s="3" t="s">
        <v>1173</v>
      </c>
      <c r="F6337" s="4">
        <v>8.13E-65</v>
      </c>
      <c r="G6337" s="3">
        <v>596</v>
      </c>
      <c r="H6337" s="3">
        <v>33</v>
      </c>
      <c r="I6337" s="3">
        <v>482</v>
      </c>
      <c r="J6337" s="3">
        <v>613</v>
      </c>
      <c r="K6337" s="3">
        <v>1923</v>
      </c>
      <c r="L6337" s="3">
        <v>108</v>
      </c>
      <c r="M6337" s="3">
        <v>567</v>
      </c>
    </row>
    <row r="6338" spans="1:13" x14ac:dyDescent="0.25">
      <c r="A6338" s="1" t="str">
        <f>HYPERLINK("http://www.rosaceae.org/Prunus/Prunus_persica/p.persica_gdr_reftransV1_0014326","p.persica_gdr_reftransV1_0014326")</f>
        <v>p.persica_gdr_reftransV1_0014326</v>
      </c>
      <c r="B6338" s="3">
        <v>1527</v>
      </c>
      <c r="C6338" s="1" t="str">
        <f>HYPERLINK("http://www.uniprot.org/uniprot/SBDS_BOVIN","SBDS_BOVIN")</f>
        <v>SBDS_BOVIN</v>
      </c>
      <c r="D6338" t="s">
        <v>5207</v>
      </c>
      <c r="E6338" s="3" t="s">
        <v>184</v>
      </c>
      <c r="F6338" s="4">
        <v>1.2E-82</v>
      </c>
      <c r="G6338" s="3">
        <v>672</v>
      </c>
      <c r="H6338" s="3">
        <v>56</v>
      </c>
      <c r="I6338" s="3">
        <v>246</v>
      </c>
      <c r="J6338" s="3">
        <v>707</v>
      </c>
      <c r="K6338" s="3">
        <v>1435</v>
      </c>
      <c r="L6338" s="3">
        <v>2</v>
      </c>
      <c r="M6338" s="3">
        <v>246</v>
      </c>
    </row>
    <row r="6339" spans="1:13" x14ac:dyDescent="0.25">
      <c r="A6339" s="1" t="str">
        <f>HYPERLINK("http://www.rosaceae.org/Prunus/Prunus_persica/p.persica_gdr_reftransV1_0014376","p.persica_gdr_reftransV1_0014376")</f>
        <v>p.persica_gdr_reftransV1_0014376</v>
      </c>
      <c r="B6339" s="3">
        <v>1786</v>
      </c>
      <c r="C6339" s="1" t="str">
        <f>HYPERLINK("http://www.uniprot.org/uniprot/KIME_ARATH","KIME_ARATH")</f>
        <v>KIME_ARATH</v>
      </c>
      <c r="D6339" t="s">
        <v>5208</v>
      </c>
      <c r="E6339" s="3" t="s">
        <v>3</v>
      </c>
      <c r="F6339" s="4">
        <v>2.8099999999999999E-162</v>
      </c>
      <c r="G6339" s="3">
        <v>1224</v>
      </c>
      <c r="H6339" s="3">
        <v>69</v>
      </c>
      <c r="I6339" s="3">
        <v>385</v>
      </c>
      <c r="J6339" s="3">
        <v>277</v>
      </c>
      <c r="K6339" s="3">
        <v>1425</v>
      </c>
      <c r="L6339" s="3">
        <v>1</v>
      </c>
      <c r="M6339" s="3">
        <v>378</v>
      </c>
    </row>
    <row r="6340" spans="1:13" x14ac:dyDescent="0.25">
      <c r="A6340" s="1" t="str">
        <f>HYPERLINK("http://www.rosaceae.org/Prunus/Prunus_persica/p.persica_gdr_reftransV1_0014476","p.persica_gdr_reftransV1_0014476")</f>
        <v>p.persica_gdr_reftransV1_0014476</v>
      </c>
      <c r="B6340" s="3">
        <v>1367</v>
      </c>
      <c r="C6340" s="1" t="str">
        <f>HYPERLINK("http://www.uniprot.org/uniprot/CB21_LEMGI","CB21_LEMGI")</f>
        <v>CB21_LEMGI</v>
      </c>
      <c r="D6340" t="s">
        <v>5209</v>
      </c>
      <c r="E6340" s="3" t="s">
        <v>5210</v>
      </c>
      <c r="F6340" s="4">
        <v>2.0000000000000001E-63</v>
      </c>
      <c r="G6340" s="3">
        <v>540</v>
      </c>
      <c r="H6340" s="3">
        <v>47</v>
      </c>
      <c r="I6340" s="3">
        <v>265</v>
      </c>
      <c r="J6340" s="3">
        <v>383</v>
      </c>
      <c r="K6340" s="3">
        <v>1162</v>
      </c>
      <c r="L6340" s="3">
        <v>2</v>
      </c>
      <c r="M6340" s="3">
        <v>253</v>
      </c>
    </row>
    <row r="6341" spans="1:13" x14ac:dyDescent="0.25">
      <c r="A6341" s="1" t="str">
        <f>HYPERLINK("http://www.rosaceae.org/Prunus/Prunus_persica/p.persica_gdr_reftransV1_0014826","p.persica_gdr_reftransV1_0014826")</f>
        <v>p.persica_gdr_reftransV1_0014826</v>
      </c>
      <c r="B6341" s="3">
        <v>2198</v>
      </c>
      <c r="C6341" s="1" t="str">
        <f>HYPERLINK("http://www.uniprot.org/uniprot/TYRP_SHIFL","TYRP_SHIFL")</f>
        <v>TYRP_SHIFL</v>
      </c>
      <c r="D6341" t="s">
        <v>5077</v>
      </c>
      <c r="E6341" s="3" t="s">
        <v>1703</v>
      </c>
      <c r="F6341" s="4">
        <v>9.2099999999999995E-7</v>
      </c>
      <c r="G6341" s="3">
        <v>132</v>
      </c>
      <c r="H6341" s="3">
        <v>25</v>
      </c>
      <c r="I6341" s="3">
        <v>322</v>
      </c>
      <c r="J6341" s="3">
        <v>401</v>
      </c>
      <c r="K6341" s="3">
        <v>1309</v>
      </c>
      <c r="L6341" s="3">
        <v>7</v>
      </c>
      <c r="M6341" s="3">
        <v>314</v>
      </c>
    </row>
    <row r="6342" spans="1:13" x14ac:dyDescent="0.25">
      <c r="A6342" s="1" t="str">
        <f>HYPERLINK("http://www.rosaceae.org/Prunus/Prunus_persica/p.persica_gdr_reftransV1_0014876","p.persica_gdr_reftransV1_0014876")</f>
        <v>p.persica_gdr_reftransV1_0014876</v>
      </c>
      <c r="B6342" s="3">
        <v>567</v>
      </c>
      <c r="C6342" s="1" t="str">
        <f>HYPERLINK("http://www.uniprot.org/uniprot/HASP_DROME","HASP_DROME")</f>
        <v>HASP_DROME</v>
      </c>
      <c r="D6342" t="s">
        <v>2401</v>
      </c>
      <c r="E6342" s="3" t="s">
        <v>5</v>
      </c>
      <c r="F6342" s="4">
        <v>8.3599999999999998E-24</v>
      </c>
      <c r="G6342" s="3">
        <v>254</v>
      </c>
      <c r="H6342" s="3">
        <v>34</v>
      </c>
      <c r="I6342" s="3">
        <v>196</v>
      </c>
      <c r="J6342" s="3">
        <v>3</v>
      </c>
      <c r="K6342" s="3">
        <v>557</v>
      </c>
      <c r="L6342" s="3">
        <v>227</v>
      </c>
      <c r="M6342" s="3">
        <v>418</v>
      </c>
    </row>
    <row r="6343" spans="1:13" x14ac:dyDescent="0.25">
      <c r="A6343" s="1" t="str">
        <f>HYPERLINK("http://www.rosaceae.org/Prunus/Prunus_persica/p.persica_gdr_reftransV1_0014926","p.persica_gdr_reftransV1_0014926")</f>
        <v>p.persica_gdr_reftransV1_0014926</v>
      </c>
      <c r="B6343" s="3">
        <v>1979</v>
      </c>
      <c r="C6343" s="1" t="str">
        <f>HYPERLINK("http://www.uniprot.org/uniprot/GUAA_BRADU","GUAA_BRADU")</f>
        <v>GUAA_BRADU</v>
      </c>
      <c r="D6343" t="s">
        <v>5211</v>
      </c>
      <c r="E6343" s="3" t="s">
        <v>67</v>
      </c>
      <c r="F6343" s="4">
        <v>0</v>
      </c>
      <c r="G6343" s="3">
        <v>1386</v>
      </c>
      <c r="H6343" s="3">
        <v>52</v>
      </c>
      <c r="I6343" s="3">
        <v>525</v>
      </c>
      <c r="J6343" s="3">
        <v>212</v>
      </c>
      <c r="K6343" s="3">
        <v>1783</v>
      </c>
      <c r="L6343" s="3">
        <v>41</v>
      </c>
      <c r="M6343" s="3">
        <v>551</v>
      </c>
    </row>
    <row r="6344" spans="1:13" x14ac:dyDescent="0.25">
      <c r="A6344" s="1" t="str">
        <f>HYPERLINK("http://www.rosaceae.org/Prunus/Prunus_persica/p.persica_gdr_reftransV1_0014976","p.persica_gdr_reftransV1_0014976")</f>
        <v>p.persica_gdr_reftransV1_0014976</v>
      </c>
      <c r="B6344" s="3">
        <v>1927</v>
      </c>
      <c r="C6344" s="1" t="str">
        <f>HYPERLINK("http://www.uniprot.org/uniprot/STP14_ARATH","STP14_ARATH")</f>
        <v>STP14_ARATH</v>
      </c>
      <c r="D6344" t="s">
        <v>5212</v>
      </c>
      <c r="E6344" s="3" t="s">
        <v>3</v>
      </c>
      <c r="F6344" s="4">
        <v>0</v>
      </c>
      <c r="G6344" s="3">
        <v>2055</v>
      </c>
      <c r="H6344" s="3">
        <v>78</v>
      </c>
      <c r="I6344" s="3">
        <v>504</v>
      </c>
      <c r="J6344" s="3">
        <v>311</v>
      </c>
      <c r="K6344" s="3">
        <v>1822</v>
      </c>
      <c r="L6344" s="3">
        <v>1</v>
      </c>
      <c r="M6344" s="3">
        <v>504</v>
      </c>
    </row>
    <row r="6345" spans="1:13" x14ac:dyDescent="0.25">
      <c r="A6345" s="1" t="str">
        <f>HYPERLINK("http://www.rosaceae.org/Prunus/Prunus_persica/p.persica_gdr_reftransV1_0015126","p.persica_gdr_reftransV1_0015126")</f>
        <v>p.persica_gdr_reftransV1_0015126</v>
      </c>
      <c r="B6345" s="3">
        <v>2556</v>
      </c>
      <c r="C6345" s="1" t="str">
        <f>HYPERLINK("http://www.uniprot.org/uniprot/TFDB_DELAC","TFDB_DELAC")</f>
        <v>TFDB_DELAC</v>
      </c>
      <c r="D6345" t="s">
        <v>5213</v>
      </c>
      <c r="E6345" s="3" t="s">
        <v>5214</v>
      </c>
      <c r="F6345" s="4">
        <v>4.5100000000000003E-42</v>
      </c>
      <c r="G6345" s="3">
        <v>421</v>
      </c>
      <c r="H6345" s="3">
        <v>26</v>
      </c>
      <c r="I6345" s="3">
        <v>676</v>
      </c>
      <c r="J6345" s="3">
        <v>369</v>
      </c>
      <c r="K6345" s="3">
        <v>2360</v>
      </c>
      <c r="L6345" s="3">
        <v>12</v>
      </c>
      <c r="M6345" s="3">
        <v>563</v>
      </c>
    </row>
    <row r="6346" spans="1:13" x14ac:dyDescent="0.25">
      <c r="A6346" s="1" t="str">
        <f>HYPERLINK("http://www.rosaceae.org/Prunus/Prunus_persica/p.persica_gdr_reftransV1_0015176","p.persica_gdr_reftransV1_0015176")</f>
        <v>p.persica_gdr_reftransV1_0015176</v>
      </c>
      <c r="B6346" s="3">
        <v>920</v>
      </c>
      <c r="C6346" s="1" t="str">
        <f>HYPERLINK("http://www.uniprot.org/uniprot/HAT14_ARATH","HAT14_ARATH")</f>
        <v>HAT14_ARATH</v>
      </c>
      <c r="D6346" t="s">
        <v>5215</v>
      </c>
      <c r="E6346" s="3" t="s">
        <v>3</v>
      </c>
      <c r="F6346" s="4">
        <v>6.3099999999999996E-55</v>
      </c>
      <c r="G6346" s="3">
        <v>476</v>
      </c>
      <c r="H6346" s="3">
        <v>92</v>
      </c>
      <c r="I6346" s="3">
        <v>114</v>
      </c>
      <c r="J6346" s="3">
        <v>2</v>
      </c>
      <c r="K6346" s="3">
        <v>343</v>
      </c>
      <c r="L6346" s="3">
        <v>190</v>
      </c>
      <c r="M6346" s="3">
        <v>303</v>
      </c>
    </row>
    <row r="6347" spans="1:13" x14ac:dyDescent="0.25">
      <c r="A6347" s="1" t="str">
        <f>HYPERLINK("http://www.rosaceae.org/Prunus/Prunus_persica/p.persica_gdr_reftransV1_0015226","p.persica_gdr_reftransV1_0015226")</f>
        <v>p.persica_gdr_reftransV1_0015226</v>
      </c>
      <c r="B6347" s="3">
        <v>1127</v>
      </c>
      <c r="C6347" s="1" t="str">
        <f>HYPERLINK("http://www.uniprot.org/uniprot/NFD2_ARATH","NFD2_ARATH")</f>
        <v>NFD2_ARATH</v>
      </c>
      <c r="D6347" t="s">
        <v>1436</v>
      </c>
      <c r="E6347" s="3" t="s">
        <v>3</v>
      </c>
      <c r="F6347" s="4">
        <v>8.3100000000000002E-49</v>
      </c>
      <c r="G6347" s="3">
        <v>428</v>
      </c>
      <c r="H6347" s="3">
        <v>57</v>
      </c>
      <c r="I6347" s="3">
        <v>171</v>
      </c>
      <c r="J6347" s="3">
        <v>146</v>
      </c>
      <c r="K6347" s="3">
        <v>658</v>
      </c>
      <c r="L6347" s="3">
        <v>12</v>
      </c>
      <c r="M6347" s="3">
        <v>180</v>
      </c>
    </row>
    <row r="6348" spans="1:13" x14ac:dyDescent="0.25">
      <c r="A6348" s="1" t="str">
        <f>HYPERLINK("http://www.rosaceae.org/Prunus/Prunus_persica/p.persica_gdr_reftransV1_0015376","p.persica_gdr_reftransV1_0015376")</f>
        <v>p.persica_gdr_reftransV1_0015376</v>
      </c>
      <c r="B6348" s="3">
        <v>858</v>
      </c>
      <c r="C6348" s="1" t="str">
        <f>HYPERLINK("http://www.uniprot.org/uniprot/HA22K_ARATH","HA22K_ARATH")</f>
        <v>HA22K_ARATH</v>
      </c>
      <c r="D6348" t="s">
        <v>5216</v>
      </c>
      <c r="E6348" s="3" t="s">
        <v>3</v>
      </c>
      <c r="F6348" s="4">
        <v>6.4299999999999997E-80</v>
      </c>
      <c r="G6348" s="3">
        <v>630</v>
      </c>
      <c r="H6348" s="3">
        <v>60</v>
      </c>
      <c r="I6348" s="3">
        <v>196</v>
      </c>
      <c r="J6348" s="3">
        <v>88</v>
      </c>
      <c r="K6348" s="3">
        <v>651</v>
      </c>
      <c r="L6348" s="3">
        <v>11</v>
      </c>
      <c r="M6348" s="3">
        <v>200</v>
      </c>
    </row>
    <row r="6349" spans="1:13" x14ac:dyDescent="0.25">
      <c r="A6349" s="1" t="str">
        <f>HYPERLINK("http://www.rosaceae.org/Prunus/Prunus_persica/p.persica_gdr_reftransV1_0015476","p.persica_gdr_reftransV1_0015476")</f>
        <v>p.persica_gdr_reftransV1_0015476</v>
      </c>
      <c r="B6349" s="3">
        <v>2263</v>
      </c>
      <c r="C6349" s="1" t="str">
        <f>HYPERLINK("http://www.uniprot.org/uniprot/PAE5_ARATH","PAE5_ARATH")</f>
        <v>PAE5_ARATH</v>
      </c>
      <c r="D6349" t="s">
        <v>5217</v>
      </c>
      <c r="E6349" s="3" t="s">
        <v>3</v>
      </c>
      <c r="F6349" s="4">
        <v>2.6899999999999998E-90</v>
      </c>
      <c r="G6349" s="3">
        <v>758</v>
      </c>
      <c r="H6349" s="3">
        <v>61</v>
      </c>
      <c r="I6349" s="3">
        <v>230</v>
      </c>
      <c r="J6349" s="3">
        <v>1395</v>
      </c>
      <c r="K6349" s="3">
        <v>2081</v>
      </c>
      <c r="L6349" s="3">
        <v>16</v>
      </c>
      <c r="M6349" s="3">
        <v>243</v>
      </c>
    </row>
    <row r="6350" spans="1:13" x14ac:dyDescent="0.25">
      <c r="A6350" s="1" t="str">
        <f>HYPERLINK("http://www.rosaceae.org/Prunus/Prunus_persica/p.persica_gdr_reftransV1_0015626","p.persica_gdr_reftransV1_0015626")</f>
        <v>p.persica_gdr_reftransV1_0015626</v>
      </c>
      <c r="B6350" s="3">
        <v>1303</v>
      </c>
      <c r="C6350" s="1" t="str">
        <f>HYPERLINK("http://www.uniprot.org/uniprot/LIMYB_ARATH","LIMYB_ARATH")</f>
        <v>LIMYB_ARATH</v>
      </c>
      <c r="D6350" t="s">
        <v>1896</v>
      </c>
      <c r="E6350" s="3" t="s">
        <v>3</v>
      </c>
      <c r="F6350" s="4">
        <v>2.4100000000000002E-16</v>
      </c>
      <c r="G6350" s="3">
        <v>208</v>
      </c>
      <c r="H6350" s="3">
        <v>26</v>
      </c>
      <c r="I6350" s="3">
        <v>307</v>
      </c>
      <c r="J6350" s="3">
        <v>273</v>
      </c>
      <c r="K6350" s="3">
        <v>1172</v>
      </c>
      <c r="L6350" s="3">
        <v>154</v>
      </c>
      <c r="M6350" s="3">
        <v>436</v>
      </c>
    </row>
    <row r="6351" spans="1:13" x14ac:dyDescent="0.25">
      <c r="A6351" s="1" t="str">
        <f>HYPERLINK("http://www.rosaceae.org/Prunus/Prunus_persica/p.persica_gdr_reftransV1_0015676","p.persica_gdr_reftransV1_0015676")</f>
        <v>p.persica_gdr_reftransV1_0015676</v>
      </c>
      <c r="B6351" s="3">
        <v>2395</v>
      </c>
      <c r="C6351" s="1" t="str">
        <f>HYPERLINK("http://www.uniprot.org/uniprot/RAGP2_ARATH","RAGP2_ARATH")</f>
        <v>RAGP2_ARATH</v>
      </c>
      <c r="D6351" t="s">
        <v>5218</v>
      </c>
      <c r="E6351" s="3" t="s">
        <v>3</v>
      </c>
      <c r="F6351" s="4">
        <v>0</v>
      </c>
      <c r="G6351" s="3">
        <v>1658</v>
      </c>
      <c r="H6351" s="3">
        <v>70</v>
      </c>
      <c r="I6351" s="3">
        <v>501</v>
      </c>
      <c r="J6351" s="3">
        <v>351</v>
      </c>
      <c r="K6351" s="3">
        <v>1841</v>
      </c>
      <c r="L6351" s="3">
        <v>1</v>
      </c>
      <c r="M6351" s="3">
        <v>501</v>
      </c>
    </row>
    <row r="6352" spans="1:13" x14ac:dyDescent="0.25">
      <c r="A6352" s="1" t="str">
        <f>HYPERLINK("http://www.rosaceae.org/Prunus/Prunus_persica/p.persica_gdr_reftransV1_0015876","p.persica_gdr_reftransV1_0015876")</f>
        <v>p.persica_gdr_reftransV1_0015876</v>
      </c>
      <c r="B6352" s="3">
        <v>3651</v>
      </c>
      <c r="C6352" s="1" t="str">
        <f>HYPERLINK("http://www.uniprot.org/uniprot/TUL1_YEAST","TUL1_YEAST")</f>
        <v>TUL1_YEAST</v>
      </c>
      <c r="D6352" t="s">
        <v>5219</v>
      </c>
      <c r="E6352" s="3" t="s">
        <v>34</v>
      </c>
      <c r="F6352" s="4">
        <v>5.1499999999999996E-29</v>
      </c>
      <c r="G6352" s="3">
        <v>323</v>
      </c>
      <c r="H6352" s="3">
        <v>30</v>
      </c>
      <c r="I6352" s="3">
        <v>284</v>
      </c>
      <c r="J6352" s="3">
        <v>618</v>
      </c>
      <c r="K6352" s="3">
        <v>1274</v>
      </c>
      <c r="L6352" s="3">
        <v>475</v>
      </c>
      <c r="M6352" s="3">
        <v>757</v>
      </c>
    </row>
    <row r="6353" spans="1:13" x14ac:dyDescent="0.25">
      <c r="A6353" s="1" t="str">
        <f>HYPERLINK("http://www.rosaceae.org/Prunus/Prunus_persica/p.persica_gdr_reftransV1_0015976","p.persica_gdr_reftransV1_0015976")</f>
        <v>p.persica_gdr_reftransV1_0015976</v>
      </c>
      <c r="B6353" s="3">
        <v>7210</v>
      </c>
      <c r="C6353" s="1" t="str">
        <f>HYPERLINK("http://www.uniprot.org/uniprot/NUA_ARATH","NUA_ARATH")</f>
        <v>NUA_ARATH</v>
      </c>
      <c r="D6353" t="s">
        <v>5220</v>
      </c>
      <c r="E6353" s="3" t="s">
        <v>3</v>
      </c>
      <c r="F6353" s="4">
        <v>0</v>
      </c>
      <c r="G6353" s="3">
        <v>3881</v>
      </c>
      <c r="H6353" s="3">
        <v>62</v>
      </c>
      <c r="I6353" s="3">
        <v>1594</v>
      </c>
      <c r="J6353" s="3">
        <v>212</v>
      </c>
      <c r="K6353" s="3">
        <v>4915</v>
      </c>
      <c r="L6353" s="3">
        <v>1</v>
      </c>
      <c r="M6353" s="3">
        <v>1591</v>
      </c>
    </row>
    <row r="6354" spans="1:13" x14ac:dyDescent="0.25">
      <c r="A6354" s="1" t="str">
        <f>HYPERLINK("http://www.rosaceae.org/Prunus/Prunus_persica/p.persica_gdr_reftransV1_0016076","p.persica_gdr_reftransV1_0016076")</f>
        <v>p.persica_gdr_reftransV1_0016076</v>
      </c>
      <c r="B6354" s="3">
        <v>2807</v>
      </c>
      <c r="C6354" s="1" t="str">
        <f>HYPERLINK("http://www.uniprot.org/uniprot/EI24_ARATH","EI24_ARATH")</f>
        <v>EI24_ARATH</v>
      </c>
      <c r="D6354" t="s">
        <v>5221</v>
      </c>
      <c r="E6354" s="3" t="s">
        <v>3</v>
      </c>
      <c r="F6354" s="4">
        <v>1.2299999999999999E-84</v>
      </c>
      <c r="G6354" s="3">
        <v>551</v>
      </c>
      <c r="H6354" s="3">
        <v>65</v>
      </c>
      <c r="I6354" s="3">
        <v>165</v>
      </c>
      <c r="J6354" s="3">
        <v>2148</v>
      </c>
      <c r="K6354" s="3">
        <v>2642</v>
      </c>
      <c r="L6354" s="3">
        <v>2</v>
      </c>
      <c r="M6354" s="3">
        <v>163</v>
      </c>
    </row>
    <row r="6355" spans="1:13" x14ac:dyDescent="0.25">
      <c r="A6355" s="1" t="str">
        <f>HYPERLINK("http://www.rosaceae.org/Prunus/Prunus_persica/p.persica_gdr_reftransV1_0016476","p.persica_gdr_reftransV1_0016476")</f>
        <v>p.persica_gdr_reftransV1_0016476</v>
      </c>
      <c r="B6355" s="3">
        <v>2265</v>
      </c>
      <c r="C6355" s="1" t="str">
        <f>HYPERLINK("http://www.uniprot.org/uniprot/SERA1_ARATH","SERA1_ARATH")</f>
        <v>SERA1_ARATH</v>
      </c>
      <c r="D6355" t="s">
        <v>5222</v>
      </c>
      <c r="E6355" s="3" t="s">
        <v>3</v>
      </c>
      <c r="F6355" s="4">
        <v>0</v>
      </c>
      <c r="G6355" s="3">
        <v>2330</v>
      </c>
      <c r="H6355" s="3">
        <v>86</v>
      </c>
      <c r="I6355" s="3">
        <v>547</v>
      </c>
      <c r="J6355" s="3">
        <v>385</v>
      </c>
      <c r="K6355" s="3">
        <v>2025</v>
      </c>
      <c r="L6355" s="3">
        <v>57</v>
      </c>
      <c r="M6355" s="3">
        <v>603</v>
      </c>
    </row>
    <row r="6356" spans="1:13" x14ac:dyDescent="0.25">
      <c r="A6356" s="1" t="str">
        <f>HYPERLINK("http://www.rosaceae.org/Prunus/Prunus_persica/p.persica_gdr_reftransV1_0016776","p.persica_gdr_reftransV1_0016776")</f>
        <v>p.persica_gdr_reftransV1_0016776</v>
      </c>
      <c r="B6356" s="3">
        <v>2215</v>
      </c>
      <c r="C6356" s="1" t="str">
        <f>HYPERLINK("http://www.uniprot.org/uniprot/PI5K6_ARATH","PI5K6_ARATH")</f>
        <v>PI5K6_ARATH</v>
      </c>
      <c r="D6356" t="s">
        <v>4544</v>
      </c>
      <c r="E6356" s="3" t="s">
        <v>3</v>
      </c>
      <c r="F6356" s="4">
        <v>0</v>
      </c>
      <c r="G6356" s="3">
        <v>2151</v>
      </c>
      <c r="H6356" s="3">
        <v>72</v>
      </c>
      <c r="I6356" s="3">
        <v>574</v>
      </c>
      <c r="J6356" s="3">
        <v>501</v>
      </c>
      <c r="K6356" s="3">
        <v>2213</v>
      </c>
      <c r="L6356" s="3">
        <v>157</v>
      </c>
      <c r="M6356" s="3">
        <v>700</v>
      </c>
    </row>
    <row r="6357" spans="1:13" x14ac:dyDescent="0.25">
      <c r="A6357" s="1" t="str">
        <f>HYPERLINK("http://www.rosaceae.org/Prunus/Prunus_persica/p.persica_gdr_reftransV1_0016826","p.persica_gdr_reftransV1_0016826")</f>
        <v>p.persica_gdr_reftransV1_0016826</v>
      </c>
      <c r="B6357" s="3">
        <v>3708</v>
      </c>
      <c r="C6357" s="1" t="str">
        <f>HYPERLINK("http://www.uniprot.org/uniprot/AB17C_CHICK","AB17C_CHICK")</f>
        <v>AB17C_CHICK</v>
      </c>
      <c r="D6357" t="s">
        <v>5223</v>
      </c>
      <c r="E6357" s="3" t="s">
        <v>1278</v>
      </c>
      <c r="F6357" s="4">
        <v>2.85E-43</v>
      </c>
      <c r="G6357" s="3">
        <v>420</v>
      </c>
      <c r="H6357" s="3">
        <v>52</v>
      </c>
      <c r="I6357" s="3">
        <v>154</v>
      </c>
      <c r="J6357" s="3">
        <v>2802</v>
      </c>
      <c r="K6357" s="3">
        <v>3257</v>
      </c>
      <c r="L6357" s="3">
        <v>158</v>
      </c>
      <c r="M6357" s="3">
        <v>310</v>
      </c>
    </row>
    <row r="6358" spans="1:13" x14ac:dyDescent="0.25">
      <c r="A6358" s="1" t="str">
        <f>HYPERLINK("http://www.rosaceae.org/Prunus/Prunus_persica/p.persica_gdr_reftransV1_0016926","p.persica_gdr_reftransV1_0016926")</f>
        <v>p.persica_gdr_reftransV1_0016926</v>
      </c>
      <c r="B6358" s="3">
        <v>2534</v>
      </c>
      <c r="C6358" s="1" t="str">
        <f>HYPERLINK("http://www.uniprot.org/uniprot/RPP30_BOVIN","RPP30_BOVIN")</f>
        <v>RPP30_BOVIN</v>
      </c>
      <c r="D6358" t="s">
        <v>5224</v>
      </c>
      <c r="E6358" s="3" t="s">
        <v>184</v>
      </c>
      <c r="F6358" s="4">
        <v>4.5499999999999997E-37</v>
      </c>
      <c r="G6358" s="3">
        <v>366</v>
      </c>
      <c r="H6358" s="3">
        <v>36</v>
      </c>
      <c r="I6358" s="3">
        <v>233</v>
      </c>
      <c r="J6358" s="3">
        <v>176</v>
      </c>
      <c r="K6358" s="3">
        <v>874</v>
      </c>
      <c r="L6358" s="3">
        <v>21</v>
      </c>
      <c r="M6358" s="3">
        <v>239</v>
      </c>
    </row>
    <row r="6359" spans="1:13" x14ac:dyDescent="0.25">
      <c r="A6359" s="1" t="str">
        <f>HYPERLINK("http://www.rosaceae.org/Prunus/Prunus_persica/p.persica_gdr_reftransV1_0017126","p.persica_gdr_reftransV1_0017126")</f>
        <v>p.persica_gdr_reftransV1_0017126</v>
      </c>
      <c r="B6359" s="3">
        <v>3805</v>
      </c>
      <c r="C6359" s="1" t="str">
        <f>HYPERLINK("http://www.uniprot.org/uniprot/R13L1_ARATH","R13L1_ARATH")</f>
        <v>R13L1_ARATH</v>
      </c>
      <c r="D6359" t="s">
        <v>100</v>
      </c>
      <c r="E6359" s="3" t="s">
        <v>3</v>
      </c>
      <c r="F6359" s="4">
        <v>0</v>
      </c>
      <c r="G6359" s="3">
        <v>1598</v>
      </c>
      <c r="H6359" s="3">
        <v>41</v>
      </c>
      <c r="I6359" s="3">
        <v>1022</v>
      </c>
      <c r="J6359" s="3">
        <v>603</v>
      </c>
      <c r="K6359" s="3">
        <v>3554</v>
      </c>
      <c r="L6359" s="3">
        <v>4</v>
      </c>
      <c r="M6359" s="3">
        <v>1007</v>
      </c>
    </row>
    <row r="6360" spans="1:13" x14ac:dyDescent="0.25">
      <c r="A6360" s="1" t="str">
        <f>HYPERLINK("http://www.rosaceae.org/Prunus/Prunus_persica/p.persica_gdr_reftransV1_0017176","p.persica_gdr_reftransV1_0017176")</f>
        <v>p.persica_gdr_reftransV1_0017176</v>
      </c>
      <c r="B6360" s="3">
        <v>603</v>
      </c>
      <c r="C6360" s="1" t="str">
        <f>HYPERLINK("http://www.uniprot.org/uniprot/PP319_ARATH","PP319_ARATH")</f>
        <v>PP319_ARATH</v>
      </c>
      <c r="D6360" t="s">
        <v>525</v>
      </c>
      <c r="E6360" s="3" t="s">
        <v>3</v>
      </c>
      <c r="F6360" s="4">
        <v>4.7300000000000001E-19</v>
      </c>
      <c r="G6360" s="3">
        <v>219</v>
      </c>
      <c r="H6360" s="3">
        <v>38</v>
      </c>
      <c r="I6360" s="3">
        <v>138</v>
      </c>
      <c r="J6360" s="3">
        <v>36</v>
      </c>
      <c r="K6360" s="3">
        <v>437</v>
      </c>
      <c r="L6360" s="3">
        <v>443</v>
      </c>
      <c r="M6360" s="3">
        <v>579</v>
      </c>
    </row>
    <row r="6361" spans="1:13" x14ac:dyDescent="0.25">
      <c r="A6361" s="1" t="str">
        <f>HYPERLINK("http://www.rosaceae.org/Prunus/Prunus_persica/p.persica_gdr_reftransV1_0017276","p.persica_gdr_reftransV1_0017276")</f>
        <v>p.persica_gdr_reftransV1_0017276</v>
      </c>
      <c r="B6361" s="3">
        <v>1829</v>
      </c>
      <c r="C6361" s="1" t="str">
        <f>HYPERLINK("http://www.uniprot.org/uniprot/ALEU_ARATH","ALEU_ARATH")</f>
        <v>ALEU_ARATH</v>
      </c>
      <c r="D6361" t="s">
        <v>1111</v>
      </c>
      <c r="E6361" s="3" t="s">
        <v>3</v>
      </c>
      <c r="F6361" s="4">
        <v>1.06E-148</v>
      </c>
      <c r="G6361" s="3">
        <v>1133</v>
      </c>
      <c r="H6361" s="3">
        <v>64</v>
      </c>
      <c r="I6361" s="3">
        <v>376</v>
      </c>
      <c r="J6361" s="3">
        <v>533</v>
      </c>
      <c r="K6361" s="3">
        <v>1660</v>
      </c>
      <c r="L6361" s="3">
        <v>26</v>
      </c>
      <c r="M6361" s="3">
        <v>347</v>
      </c>
    </row>
    <row r="6362" spans="1:13" x14ac:dyDescent="0.25">
      <c r="A6362" s="1" t="str">
        <f>HYPERLINK("http://www.rosaceae.org/Prunus/Prunus_persica/p.persica_gdr_reftransV1_0017326","p.persica_gdr_reftransV1_0017326")</f>
        <v>p.persica_gdr_reftransV1_0017326</v>
      </c>
      <c r="B6362" s="3">
        <v>3063</v>
      </c>
      <c r="C6362" s="1" t="str">
        <f>HYPERLINK("http://www.uniprot.org/uniprot/LENG8_XENLA","LENG8_XENLA")</f>
        <v>LENG8_XENLA</v>
      </c>
      <c r="D6362" t="s">
        <v>5225</v>
      </c>
      <c r="E6362" s="3" t="s">
        <v>475</v>
      </c>
      <c r="F6362" s="4">
        <v>2.8E-42</v>
      </c>
      <c r="G6362" s="3">
        <v>431</v>
      </c>
      <c r="H6362" s="3">
        <v>52</v>
      </c>
      <c r="I6362" s="3">
        <v>168</v>
      </c>
      <c r="J6362" s="3">
        <v>1513</v>
      </c>
      <c r="K6362" s="3">
        <v>2007</v>
      </c>
      <c r="L6362" s="3">
        <v>524</v>
      </c>
      <c r="M6362" s="3">
        <v>688</v>
      </c>
    </row>
    <row r="6363" spans="1:13" x14ac:dyDescent="0.25">
      <c r="A6363" s="1" t="str">
        <f>HYPERLINK("http://www.rosaceae.org/Prunus/Prunus_persica/p.persica_gdr_reftransV1_0017376","p.persica_gdr_reftransV1_0017376")</f>
        <v>p.persica_gdr_reftransV1_0017376</v>
      </c>
      <c r="B6363" s="3">
        <v>3019</v>
      </c>
      <c r="C6363" s="1" t="str">
        <f>HYPERLINK("http://www.uniprot.org/uniprot/PP307_ARATH","PP307_ARATH")</f>
        <v>PP307_ARATH</v>
      </c>
      <c r="D6363" t="s">
        <v>5226</v>
      </c>
      <c r="E6363" s="3" t="s">
        <v>3</v>
      </c>
      <c r="F6363" s="4">
        <v>0</v>
      </c>
      <c r="G6363" s="3">
        <v>2575</v>
      </c>
      <c r="H6363" s="3">
        <v>65</v>
      </c>
      <c r="I6363" s="3">
        <v>714</v>
      </c>
      <c r="J6363" s="3">
        <v>11</v>
      </c>
      <c r="K6363" s="3">
        <v>2152</v>
      </c>
      <c r="L6363" s="3">
        <v>351</v>
      </c>
      <c r="M6363" s="3">
        <v>1064</v>
      </c>
    </row>
    <row r="6364" spans="1:13" x14ac:dyDescent="0.25">
      <c r="A6364" s="1" t="str">
        <f>HYPERLINK("http://www.rosaceae.org/Prunus/Prunus_persica/p.persica_gdr_reftransV1_0017526","p.persica_gdr_reftransV1_0017526")</f>
        <v>p.persica_gdr_reftransV1_0017526</v>
      </c>
      <c r="B6364" s="3">
        <v>2010</v>
      </c>
      <c r="C6364" s="1" t="str">
        <f>HYPERLINK("http://www.uniprot.org/uniprot/KAD1_ARATH","KAD1_ARATH")</f>
        <v>KAD1_ARATH</v>
      </c>
      <c r="D6364" t="s">
        <v>5227</v>
      </c>
      <c r="E6364" s="3" t="s">
        <v>3</v>
      </c>
      <c r="F6364" s="4">
        <v>2.2200000000000001E-131</v>
      </c>
      <c r="G6364" s="3">
        <v>1015</v>
      </c>
      <c r="H6364" s="3">
        <v>71</v>
      </c>
      <c r="I6364" s="3">
        <v>290</v>
      </c>
      <c r="J6364" s="3">
        <v>75</v>
      </c>
      <c r="K6364" s="3">
        <v>944</v>
      </c>
      <c r="L6364" s="3">
        <v>1</v>
      </c>
      <c r="M6364" s="3">
        <v>281</v>
      </c>
    </row>
    <row r="6365" spans="1:13" x14ac:dyDescent="0.25">
      <c r="A6365" s="1" t="str">
        <f>HYPERLINK("http://www.rosaceae.org/Prunus/Prunus_persica/p.persica_gdr_reftransV1_0017726","p.persica_gdr_reftransV1_0017726")</f>
        <v>p.persica_gdr_reftransV1_0017726</v>
      </c>
      <c r="B6365" s="3">
        <v>1847</v>
      </c>
      <c r="C6365" s="1" t="str">
        <f>HYPERLINK("http://www.uniprot.org/uniprot/WAG1_ARATH","WAG1_ARATH")</f>
        <v>WAG1_ARATH</v>
      </c>
      <c r="D6365" t="s">
        <v>5228</v>
      </c>
      <c r="E6365" s="3" t="s">
        <v>3</v>
      </c>
      <c r="F6365" s="4">
        <v>7.6299999999999997E-157</v>
      </c>
      <c r="G6365" s="3">
        <v>1199</v>
      </c>
      <c r="H6365" s="3">
        <v>67</v>
      </c>
      <c r="I6365" s="3">
        <v>395</v>
      </c>
      <c r="J6365" s="3">
        <v>323</v>
      </c>
      <c r="K6365" s="3">
        <v>1489</v>
      </c>
      <c r="L6365" s="3">
        <v>64</v>
      </c>
      <c r="M6365" s="3">
        <v>448</v>
      </c>
    </row>
    <row r="6366" spans="1:13" x14ac:dyDescent="0.25">
      <c r="A6366" s="1" t="str">
        <f>HYPERLINK("http://www.rosaceae.org/Prunus/Prunus_persica/p.persica_gdr_reftransV1_0017776","p.persica_gdr_reftransV1_0017776")</f>
        <v>p.persica_gdr_reftransV1_0017776</v>
      </c>
      <c r="B6366" s="3">
        <v>3120</v>
      </c>
      <c r="C6366" s="1" t="str">
        <f>HYPERLINK("http://www.uniprot.org/uniprot/VP13B_DICDI","VP13B_DICDI")</f>
        <v>VP13B_DICDI</v>
      </c>
      <c r="D6366" t="s">
        <v>8</v>
      </c>
      <c r="E6366" s="3" t="s">
        <v>9</v>
      </c>
      <c r="F6366" s="4">
        <v>6.1300000000000005E-17</v>
      </c>
      <c r="G6366" s="3">
        <v>224</v>
      </c>
      <c r="H6366" s="3">
        <v>23</v>
      </c>
      <c r="I6366" s="3">
        <v>367</v>
      </c>
      <c r="J6366" s="3">
        <v>1</v>
      </c>
      <c r="K6366" s="3">
        <v>1017</v>
      </c>
      <c r="L6366" s="3">
        <v>67</v>
      </c>
      <c r="M6366" s="3">
        <v>423</v>
      </c>
    </row>
    <row r="6367" spans="1:13" x14ac:dyDescent="0.25">
      <c r="A6367" s="1" t="str">
        <f>HYPERLINK("http://www.rosaceae.org/Prunus/Prunus_persica/p.persica_gdr_reftransV1_0018076","p.persica_gdr_reftransV1_0018076")</f>
        <v>p.persica_gdr_reftransV1_0018076</v>
      </c>
      <c r="B6367" s="3">
        <v>1424</v>
      </c>
      <c r="C6367" s="1" t="str">
        <f>HYPERLINK("http://www.uniprot.org/uniprot/MKKA_DICDI","MKKA_DICDI")</f>
        <v>MKKA_DICDI</v>
      </c>
      <c r="D6367" t="s">
        <v>5229</v>
      </c>
      <c r="E6367" s="3" t="s">
        <v>9</v>
      </c>
      <c r="F6367" s="4">
        <v>9.3500000000000005E-51</v>
      </c>
      <c r="G6367" s="3">
        <v>481</v>
      </c>
      <c r="H6367" s="3">
        <v>34</v>
      </c>
      <c r="I6367" s="3">
        <v>285</v>
      </c>
      <c r="J6367" s="3">
        <v>525</v>
      </c>
      <c r="K6367" s="3">
        <v>1340</v>
      </c>
      <c r="L6367" s="3">
        <v>160</v>
      </c>
      <c r="M6367" s="3">
        <v>435</v>
      </c>
    </row>
    <row r="6368" spans="1:13" x14ac:dyDescent="0.25">
      <c r="A6368" s="1" t="str">
        <f>HYPERLINK("http://www.rosaceae.org/Prunus/Prunus_persica/p.persica_gdr_reftransV1_0018326","p.persica_gdr_reftransV1_0018326")</f>
        <v>p.persica_gdr_reftransV1_0018326</v>
      </c>
      <c r="B6368" s="3">
        <v>729</v>
      </c>
      <c r="C6368" s="1" t="str">
        <f>HYPERLINK("http://www.uniprot.org/uniprot/Y8359_ORYSI","Y8359_ORYSI")</f>
        <v>Y8359_ORYSI</v>
      </c>
      <c r="D6368" t="s">
        <v>4183</v>
      </c>
      <c r="E6368" s="3" t="s">
        <v>38</v>
      </c>
      <c r="F6368" s="4">
        <v>1.89E-33</v>
      </c>
      <c r="G6368" s="3">
        <v>315</v>
      </c>
      <c r="H6368" s="3">
        <v>59</v>
      </c>
      <c r="I6368" s="3">
        <v>101</v>
      </c>
      <c r="J6368" s="3">
        <v>69</v>
      </c>
      <c r="K6368" s="3">
        <v>371</v>
      </c>
      <c r="L6368" s="3">
        <v>1</v>
      </c>
      <c r="M6368" s="3">
        <v>101</v>
      </c>
    </row>
    <row r="6369" spans="1:13" x14ac:dyDescent="0.25">
      <c r="A6369" s="1" t="str">
        <f>HYPERLINK("http://www.rosaceae.org/Prunus/Prunus_persica/p.persica_gdr_reftransV1_0018626","p.persica_gdr_reftransV1_0018626")</f>
        <v>p.persica_gdr_reftransV1_0018626</v>
      </c>
      <c r="B6369" s="3">
        <v>2802</v>
      </c>
      <c r="C6369" s="1" t="str">
        <f>HYPERLINK("http://www.uniprot.org/uniprot/NPHP3_HUMAN","NPHP3_HUMAN")</f>
        <v>NPHP3_HUMAN</v>
      </c>
      <c r="D6369" t="s">
        <v>3910</v>
      </c>
      <c r="E6369" s="3" t="s">
        <v>28</v>
      </c>
      <c r="F6369" s="4">
        <v>4.7699999999999999E-13</v>
      </c>
      <c r="G6369" s="3">
        <v>189</v>
      </c>
      <c r="H6369" s="3">
        <v>25</v>
      </c>
      <c r="I6369" s="3">
        <v>293</v>
      </c>
      <c r="J6369" s="3">
        <v>1602</v>
      </c>
      <c r="K6369" s="3">
        <v>2369</v>
      </c>
      <c r="L6369" s="3">
        <v>942</v>
      </c>
      <c r="M6369" s="3">
        <v>1228</v>
      </c>
    </row>
    <row r="6370" spans="1:13" x14ac:dyDescent="0.25">
      <c r="A6370" s="1" t="str">
        <f>HYPERLINK("http://www.rosaceae.org/Prunus/Prunus_persica/p.persica_gdr_reftransV1_0018726","p.persica_gdr_reftransV1_0018726")</f>
        <v>p.persica_gdr_reftransV1_0018726</v>
      </c>
      <c r="B6370" s="3">
        <v>1084</v>
      </c>
      <c r="C6370" s="1" t="str">
        <f>HYPERLINK("http://www.uniprot.org/uniprot/EIF3K_ORYSJ","EIF3K_ORYSJ")</f>
        <v>EIF3K_ORYSJ</v>
      </c>
      <c r="D6370" t="s">
        <v>5230</v>
      </c>
      <c r="E6370" s="3" t="s">
        <v>38</v>
      </c>
      <c r="F6370" s="4">
        <v>1.1E-122</v>
      </c>
      <c r="G6370" s="3">
        <v>923</v>
      </c>
      <c r="H6370" s="3">
        <v>80</v>
      </c>
      <c r="I6370" s="3">
        <v>207</v>
      </c>
      <c r="J6370" s="3">
        <v>217</v>
      </c>
      <c r="K6370" s="3">
        <v>837</v>
      </c>
      <c r="L6370" s="3">
        <v>19</v>
      </c>
      <c r="M6370" s="3">
        <v>224</v>
      </c>
    </row>
    <row r="6371" spans="1:13" x14ac:dyDescent="0.25">
      <c r="A6371" s="1" t="str">
        <f>HYPERLINK("http://www.rosaceae.org/Prunus/Prunus_persica/p.persica_gdr_reftransV1_0018776","p.persica_gdr_reftransV1_0018776")</f>
        <v>p.persica_gdr_reftransV1_0018776</v>
      </c>
      <c r="B6371" s="3">
        <v>984</v>
      </c>
      <c r="C6371" s="1" t="str">
        <f>HYPERLINK("http://www.uniprot.org/uniprot/CBK1_PNECA","CBK1_PNECA")</f>
        <v>CBK1_PNECA</v>
      </c>
      <c r="D6371" t="s">
        <v>5231</v>
      </c>
      <c r="E6371" s="3" t="s">
        <v>5232</v>
      </c>
      <c r="F6371" s="4">
        <v>2.9200000000000003E-23</v>
      </c>
      <c r="G6371" s="3">
        <v>257</v>
      </c>
      <c r="H6371" s="3">
        <v>43</v>
      </c>
      <c r="I6371" s="3">
        <v>128</v>
      </c>
      <c r="J6371" s="3">
        <v>94</v>
      </c>
      <c r="K6371" s="3">
        <v>462</v>
      </c>
      <c r="L6371" s="3">
        <v>379</v>
      </c>
      <c r="M6371" s="3">
        <v>502</v>
      </c>
    </row>
    <row r="6372" spans="1:13" x14ac:dyDescent="0.25">
      <c r="A6372" s="1" t="str">
        <f>HYPERLINK("http://www.rosaceae.org/Prunus/Prunus_persica/p.persica_gdr_reftransV1_0019176","p.persica_gdr_reftransV1_0019176")</f>
        <v>p.persica_gdr_reftransV1_0019176</v>
      </c>
      <c r="B6372" s="3">
        <v>2563</v>
      </c>
      <c r="C6372" s="1" t="str">
        <f>HYPERLINK("http://www.uniprot.org/uniprot/FTHS_SPIOL","FTHS_SPIOL")</f>
        <v>FTHS_SPIOL</v>
      </c>
      <c r="D6372" t="s">
        <v>3588</v>
      </c>
      <c r="E6372" s="3" t="s">
        <v>131</v>
      </c>
      <c r="F6372" s="4">
        <v>0</v>
      </c>
      <c r="G6372" s="3">
        <v>2490</v>
      </c>
      <c r="H6372" s="3">
        <v>90</v>
      </c>
      <c r="I6372" s="3">
        <v>532</v>
      </c>
      <c r="J6372" s="3">
        <v>730</v>
      </c>
      <c r="K6372" s="3">
        <v>2325</v>
      </c>
      <c r="L6372" s="3">
        <v>106</v>
      </c>
      <c r="M6372" s="3">
        <v>637</v>
      </c>
    </row>
    <row r="6373" spans="1:13" x14ac:dyDescent="0.25">
      <c r="A6373" s="1" t="str">
        <f>HYPERLINK("http://www.rosaceae.org/Prunus/Prunus_persica/p.persica_gdr_reftransV1_0019226","p.persica_gdr_reftransV1_0019226")</f>
        <v>p.persica_gdr_reftransV1_0019226</v>
      </c>
      <c r="B6373" s="3">
        <v>1237</v>
      </c>
      <c r="C6373" s="1" t="str">
        <f>HYPERLINK("http://www.uniprot.org/uniprot/FB60_ARATH","FB60_ARATH")</f>
        <v>FB60_ARATH</v>
      </c>
      <c r="D6373" t="s">
        <v>5233</v>
      </c>
      <c r="E6373" s="3" t="s">
        <v>3</v>
      </c>
      <c r="F6373" s="4">
        <v>1.18E-98</v>
      </c>
      <c r="G6373" s="3">
        <v>768</v>
      </c>
      <c r="H6373" s="3">
        <v>65</v>
      </c>
      <c r="I6373" s="3">
        <v>223</v>
      </c>
      <c r="J6373" s="3">
        <v>193</v>
      </c>
      <c r="K6373" s="3">
        <v>861</v>
      </c>
      <c r="L6373" s="3">
        <v>2</v>
      </c>
      <c r="M6373" s="3">
        <v>220</v>
      </c>
    </row>
    <row r="6374" spans="1:13" x14ac:dyDescent="0.25">
      <c r="A6374" s="1" t="str">
        <f>HYPERLINK("http://www.rosaceae.org/Prunus/Prunus_persica/p.persica_gdr_reftransV1_0019726","p.persica_gdr_reftransV1_0019726")</f>
        <v>p.persica_gdr_reftransV1_0019726</v>
      </c>
      <c r="B6374" s="3">
        <v>3432</v>
      </c>
      <c r="C6374" s="1" t="str">
        <f>HYPERLINK("http://www.uniprot.org/uniprot/EFGM2_ARATH","EFGM2_ARATH")</f>
        <v>EFGM2_ARATH</v>
      </c>
      <c r="D6374" t="s">
        <v>5234</v>
      </c>
      <c r="E6374" s="3" t="s">
        <v>3</v>
      </c>
      <c r="F6374" s="4">
        <v>0</v>
      </c>
      <c r="G6374" s="3">
        <v>3209</v>
      </c>
      <c r="H6374" s="3">
        <v>83</v>
      </c>
      <c r="I6374" s="3">
        <v>717</v>
      </c>
      <c r="J6374" s="3">
        <v>1190</v>
      </c>
      <c r="K6374" s="3">
        <v>3334</v>
      </c>
      <c r="L6374" s="3">
        <v>1</v>
      </c>
      <c r="M6374" s="3">
        <v>706</v>
      </c>
    </row>
    <row r="6375" spans="1:13" x14ac:dyDescent="0.25">
      <c r="A6375" s="1" t="str">
        <f>HYPERLINK("http://www.rosaceae.org/Prunus/Prunus_persica/p.persica_gdr_reftransV1_0019926","p.persica_gdr_reftransV1_0019926")</f>
        <v>p.persica_gdr_reftransV1_0019926</v>
      </c>
      <c r="B6375" s="3">
        <v>3095</v>
      </c>
      <c r="C6375" s="1" t="str">
        <f>HYPERLINK("http://www.uniprot.org/uniprot/PLT4_ARATH","PLT4_ARATH")</f>
        <v>PLT4_ARATH</v>
      </c>
      <c r="D6375" t="s">
        <v>5235</v>
      </c>
      <c r="E6375" s="3" t="s">
        <v>3</v>
      </c>
      <c r="F6375" s="4">
        <v>0</v>
      </c>
      <c r="G6375" s="3">
        <v>1817</v>
      </c>
      <c r="H6375" s="3">
        <v>70</v>
      </c>
      <c r="I6375" s="3">
        <v>522</v>
      </c>
      <c r="J6375" s="3">
        <v>1116</v>
      </c>
      <c r="K6375" s="3">
        <v>2666</v>
      </c>
      <c r="L6375" s="3">
        <v>3</v>
      </c>
      <c r="M6375" s="3">
        <v>522</v>
      </c>
    </row>
    <row r="6376" spans="1:13" x14ac:dyDescent="0.25">
      <c r="A6376" s="1" t="str">
        <f>HYPERLINK("http://www.rosaceae.org/Prunus/Prunus_persica/p.persica_gdr_reftransV1_0019976","p.persica_gdr_reftransV1_0019976")</f>
        <v>p.persica_gdr_reftransV1_0019976</v>
      </c>
      <c r="B6376" s="3">
        <v>1129</v>
      </c>
      <c r="C6376" s="1" t="str">
        <f>HYPERLINK("http://www.uniprot.org/uniprot/GOS12_ARATH","GOS12_ARATH")</f>
        <v>GOS12_ARATH</v>
      </c>
      <c r="D6376" t="s">
        <v>5236</v>
      </c>
      <c r="E6376" s="3" t="s">
        <v>3</v>
      </c>
      <c r="F6376" s="4">
        <v>3.1999999999999998E-123</v>
      </c>
      <c r="G6376" s="3">
        <v>931</v>
      </c>
      <c r="H6376" s="3">
        <v>82</v>
      </c>
      <c r="I6376" s="3">
        <v>256</v>
      </c>
      <c r="J6376" s="3">
        <v>203</v>
      </c>
      <c r="K6376" s="3">
        <v>916</v>
      </c>
      <c r="L6376" s="3">
        <v>2</v>
      </c>
      <c r="M6376" s="3">
        <v>257</v>
      </c>
    </row>
    <row r="6377" spans="1:13" x14ac:dyDescent="0.25">
      <c r="A6377" s="1" t="str">
        <f>HYPERLINK("http://www.rosaceae.org/Prunus/Prunus_persica/p.persica_gdr_reftransV1_0020126","p.persica_gdr_reftransV1_0020126")</f>
        <v>p.persica_gdr_reftransV1_0020126</v>
      </c>
      <c r="B6377" s="3">
        <v>1045</v>
      </c>
      <c r="C6377" s="1" t="str">
        <f>HYPERLINK("http://www.uniprot.org/uniprot/UBC34_ARATH","UBC34_ARATH")</f>
        <v>UBC34_ARATH</v>
      </c>
      <c r="D6377" t="s">
        <v>5237</v>
      </c>
      <c r="E6377" s="3" t="s">
        <v>3</v>
      </c>
      <c r="F6377" s="4">
        <v>5.7300000000000004E-41</v>
      </c>
      <c r="G6377" s="3">
        <v>376</v>
      </c>
      <c r="H6377" s="3">
        <v>63</v>
      </c>
      <c r="I6377" s="3">
        <v>123</v>
      </c>
      <c r="J6377" s="3">
        <v>410</v>
      </c>
      <c r="K6377" s="3">
        <v>775</v>
      </c>
      <c r="L6377" s="3">
        <v>116</v>
      </c>
      <c r="M6377" s="3">
        <v>237</v>
      </c>
    </row>
    <row r="6378" spans="1:13" x14ac:dyDescent="0.25">
      <c r="A6378" s="1" t="str">
        <f>HYPERLINK("http://www.rosaceae.org/Prunus/Prunus_persica/p.persica_gdr_reftransV1_0020426","p.persica_gdr_reftransV1_0020426")</f>
        <v>p.persica_gdr_reftransV1_0020426</v>
      </c>
      <c r="B6378" s="3">
        <v>2096</v>
      </c>
      <c r="C6378" s="1" t="str">
        <f>HYPERLINK("http://www.uniprot.org/uniprot/RIR1_ARATH","RIR1_ARATH")</f>
        <v>RIR1_ARATH</v>
      </c>
      <c r="D6378" t="s">
        <v>5238</v>
      </c>
      <c r="E6378" s="3" t="s">
        <v>3</v>
      </c>
      <c r="F6378" s="4">
        <v>0</v>
      </c>
      <c r="G6378" s="3">
        <v>2304</v>
      </c>
      <c r="H6378" s="3">
        <v>74</v>
      </c>
      <c r="I6378" s="3">
        <v>568</v>
      </c>
      <c r="J6378" s="3">
        <v>3</v>
      </c>
      <c r="K6378" s="3">
        <v>1685</v>
      </c>
      <c r="L6378" s="3">
        <v>274</v>
      </c>
      <c r="M6378" s="3">
        <v>816</v>
      </c>
    </row>
    <row r="6379" spans="1:13" x14ac:dyDescent="0.25">
      <c r="A6379" s="1" t="str">
        <f>HYPERLINK("http://www.rosaceae.org/Prunus/Prunus_persica/p.persica_gdr_reftransV1_0020476","p.persica_gdr_reftransV1_0020476")</f>
        <v>p.persica_gdr_reftransV1_0020476</v>
      </c>
      <c r="B6379" s="3">
        <v>1569</v>
      </c>
      <c r="C6379" s="1" t="str">
        <f>HYPERLINK("http://www.uniprot.org/uniprot/UGAL1_ARATH","UGAL1_ARATH")</f>
        <v>UGAL1_ARATH</v>
      </c>
      <c r="D6379" t="s">
        <v>5239</v>
      </c>
      <c r="E6379" s="3" t="s">
        <v>3</v>
      </c>
      <c r="F6379" s="4">
        <v>0</v>
      </c>
      <c r="G6379" s="3">
        <v>1458</v>
      </c>
      <c r="H6379" s="3">
        <v>85</v>
      </c>
      <c r="I6379" s="3">
        <v>341</v>
      </c>
      <c r="J6379" s="3">
        <v>331</v>
      </c>
      <c r="K6379" s="3">
        <v>1350</v>
      </c>
      <c r="L6379" s="3">
        <v>1</v>
      </c>
      <c r="M6379" s="3">
        <v>336</v>
      </c>
    </row>
    <row r="6380" spans="1:13" x14ac:dyDescent="0.25">
      <c r="A6380" s="1" t="str">
        <f>HYPERLINK("http://www.rosaceae.org/Prunus/Prunus_persica/p.persica_gdr_reftransV1_0020626","p.persica_gdr_reftransV1_0020626")</f>
        <v>p.persica_gdr_reftransV1_0020626</v>
      </c>
      <c r="B6380" s="3">
        <v>868</v>
      </c>
      <c r="C6380" s="1" t="str">
        <f>HYPERLINK("http://www.uniprot.org/uniprot/LBD39_ARATH","LBD39_ARATH")</f>
        <v>LBD39_ARATH</v>
      </c>
      <c r="D6380" t="s">
        <v>5240</v>
      </c>
      <c r="E6380" s="3" t="s">
        <v>3</v>
      </c>
      <c r="F6380" s="4">
        <v>3.9800000000000001E-60</v>
      </c>
      <c r="G6380" s="3">
        <v>502</v>
      </c>
      <c r="H6380" s="3">
        <v>76</v>
      </c>
      <c r="I6380" s="3">
        <v>127</v>
      </c>
      <c r="J6380" s="3">
        <v>11</v>
      </c>
      <c r="K6380" s="3">
        <v>388</v>
      </c>
      <c r="L6380" s="3">
        <v>1</v>
      </c>
      <c r="M6380" s="3">
        <v>127</v>
      </c>
    </row>
    <row r="6381" spans="1:13" x14ac:dyDescent="0.25">
      <c r="A6381" s="1" t="str">
        <f>HYPERLINK("http://www.rosaceae.org/Prunus/Prunus_persica/p.persica_gdr_reftransV1_0020726","p.persica_gdr_reftransV1_0020726")</f>
        <v>p.persica_gdr_reftransV1_0020726</v>
      </c>
      <c r="B6381" s="3">
        <v>368</v>
      </c>
      <c r="C6381" s="1" t="str">
        <f>HYPERLINK("http://www.uniprot.org/uniprot/FERON_ARATH","FERON_ARATH")</f>
        <v>FERON_ARATH</v>
      </c>
      <c r="D6381" t="s">
        <v>635</v>
      </c>
      <c r="E6381" s="3" t="s">
        <v>3</v>
      </c>
      <c r="F6381" s="4">
        <v>3.6E-9</v>
      </c>
      <c r="G6381" s="3">
        <v>139</v>
      </c>
      <c r="H6381" s="3">
        <v>35</v>
      </c>
      <c r="I6381" s="3">
        <v>137</v>
      </c>
      <c r="J6381" s="3">
        <v>1</v>
      </c>
      <c r="K6381" s="3">
        <v>363</v>
      </c>
      <c r="L6381" s="3">
        <v>405</v>
      </c>
      <c r="M6381" s="3">
        <v>539</v>
      </c>
    </row>
    <row r="6382" spans="1:13" x14ac:dyDescent="0.25">
      <c r="A6382" s="1" t="str">
        <f>HYPERLINK("http://www.rosaceae.org/Prunus/Prunus_persica/p.persica_gdr_reftransV1_0020826","p.persica_gdr_reftransV1_0020826")</f>
        <v>p.persica_gdr_reftransV1_0020826</v>
      </c>
      <c r="B6382" s="3">
        <v>1489</v>
      </c>
      <c r="C6382" s="1" t="str">
        <f>HYPERLINK("http://www.uniprot.org/uniprot/RPD1_ARATH","RPD1_ARATH")</f>
        <v>RPD1_ARATH</v>
      </c>
      <c r="D6382" t="s">
        <v>1883</v>
      </c>
      <c r="E6382" s="3" t="s">
        <v>3</v>
      </c>
      <c r="F6382" s="4">
        <v>4.3400000000000001E-47</v>
      </c>
      <c r="G6382" s="3">
        <v>440</v>
      </c>
      <c r="H6382" s="3">
        <v>34</v>
      </c>
      <c r="I6382" s="3">
        <v>355</v>
      </c>
      <c r="J6382" s="3">
        <v>346</v>
      </c>
      <c r="K6382" s="3">
        <v>1362</v>
      </c>
      <c r="L6382" s="3">
        <v>38</v>
      </c>
      <c r="M6382" s="3">
        <v>382</v>
      </c>
    </row>
    <row r="6383" spans="1:13" x14ac:dyDescent="0.25">
      <c r="A6383" s="1" t="str">
        <f>HYPERLINK("http://www.rosaceae.org/Prunus/Prunus_persica/p.persica_gdr_reftransV1_0020926","p.persica_gdr_reftransV1_0020926")</f>
        <v>p.persica_gdr_reftransV1_0020926</v>
      </c>
      <c r="B6383" s="3">
        <v>1200</v>
      </c>
      <c r="C6383" s="1" t="str">
        <f>HYPERLINK("http://www.uniprot.org/uniprot/GSTF_HYOMU","GSTF_HYOMU")</f>
        <v>GSTF_HYOMU</v>
      </c>
      <c r="D6383" t="s">
        <v>5241</v>
      </c>
      <c r="E6383" s="3" t="s">
        <v>2407</v>
      </c>
      <c r="F6383" s="4">
        <v>3.4400000000000002E-105</v>
      </c>
      <c r="G6383" s="3">
        <v>810</v>
      </c>
      <c r="H6383" s="3">
        <v>72</v>
      </c>
      <c r="I6383" s="3">
        <v>206</v>
      </c>
      <c r="J6383" s="3">
        <v>227</v>
      </c>
      <c r="K6383" s="3">
        <v>844</v>
      </c>
      <c r="L6383" s="3">
        <v>3</v>
      </c>
      <c r="M6383" s="3">
        <v>208</v>
      </c>
    </row>
    <row r="6384" spans="1:13" x14ac:dyDescent="0.25">
      <c r="A6384" s="1" t="str">
        <f>HYPERLINK("http://www.rosaceae.org/Prunus/Prunus_persica/p.persica_gdr_reftransV1_0021026","p.persica_gdr_reftransV1_0021026")</f>
        <v>p.persica_gdr_reftransV1_0021026</v>
      </c>
      <c r="B6384" s="3">
        <v>1475</v>
      </c>
      <c r="C6384" s="1" t="str">
        <f>HYPERLINK("http://www.uniprot.org/uniprot/Y4213_ARATH","Y4213_ARATH")</f>
        <v>Y4213_ARATH</v>
      </c>
      <c r="D6384" t="s">
        <v>5242</v>
      </c>
      <c r="E6384" s="3" t="s">
        <v>3</v>
      </c>
      <c r="F6384" s="4">
        <v>2.5500000000000001E-66</v>
      </c>
      <c r="G6384" s="3">
        <v>556</v>
      </c>
      <c r="H6384" s="3">
        <v>78</v>
      </c>
      <c r="I6384" s="3">
        <v>153</v>
      </c>
      <c r="J6384" s="3">
        <v>204</v>
      </c>
      <c r="K6384" s="3">
        <v>662</v>
      </c>
      <c r="L6384" s="3">
        <v>49</v>
      </c>
      <c r="M6384" s="3">
        <v>201</v>
      </c>
    </row>
    <row r="6385" spans="1:13" x14ac:dyDescent="0.25">
      <c r="A6385" s="1" t="str">
        <f>HYPERLINK("http://www.rosaceae.org/Prunus/Prunus_persica/p.persica_gdr_reftransV1_0021376","p.persica_gdr_reftransV1_0021376")</f>
        <v>p.persica_gdr_reftransV1_0021376</v>
      </c>
      <c r="B6385" s="3">
        <v>1641</v>
      </c>
      <c r="C6385" s="1" t="str">
        <f>HYPERLINK("http://www.uniprot.org/uniprot/DCAM_CATRO","DCAM_CATRO")</f>
        <v>DCAM_CATRO</v>
      </c>
      <c r="D6385" t="s">
        <v>5243</v>
      </c>
      <c r="E6385" s="3" t="s">
        <v>457</v>
      </c>
      <c r="F6385" s="4">
        <v>0</v>
      </c>
      <c r="G6385" s="3">
        <v>1361</v>
      </c>
      <c r="H6385" s="3">
        <v>74</v>
      </c>
      <c r="I6385" s="3">
        <v>350</v>
      </c>
      <c r="J6385" s="3">
        <v>28</v>
      </c>
      <c r="K6385" s="3">
        <v>1077</v>
      </c>
      <c r="L6385" s="3">
        <v>1</v>
      </c>
      <c r="M6385" s="3">
        <v>350</v>
      </c>
    </row>
    <row r="6386" spans="1:13" x14ac:dyDescent="0.25">
      <c r="A6386" s="1" t="str">
        <f>HYPERLINK("http://www.rosaceae.org/Prunus/Prunus_persica/p.persica_gdr_reftransV1_0021676","p.persica_gdr_reftransV1_0021676")</f>
        <v>p.persica_gdr_reftransV1_0021676</v>
      </c>
      <c r="B6386" s="3">
        <v>863</v>
      </c>
      <c r="C6386" s="1" t="str">
        <f>HYPERLINK("http://www.uniprot.org/uniprot/FBT6_ARATH","FBT6_ARATH")</f>
        <v>FBT6_ARATH</v>
      </c>
      <c r="D6386" t="s">
        <v>5244</v>
      </c>
      <c r="E6386" s="3" t="s">
        <v>3</v>
      </c>
      <c r="F6386" s="4">
        <v>9.9800000000000004E-109</v>
      </c>
      <c r="G6386" s="3">
        <v>849</v>
      </c>
      <c r="H6386" s="3">
        <v>71</v>
      </c>
      <c r="I6386" s="3">
        <v>233</v>
      </c>
      <c r="J6386" s="3">
        <v>5</v>
      </c>
      <c r="K6386" s="3">
        <v>703</v>
      </c>
      <c r="L6386" s="3">
        <v>258</v>
      </c>
      <c r="M6386" s="3">
        <v>490</v>
      </c>
    </row>
    <row r="6387" spans="1:13" x14ac:dyDescent="0.25">
      <c r="A6387" s="1" t="str">
        <f>HYPERLINK("http://www.rosaceae.org/Prunus/Prunus_persica/p.persica_gdr_reftransV1_0021776","p.persica_gdr_reftransV1_0021776")</f>
        <v>p.persica_gdr_reftransV1_0021776</v>
      </c>
      <c r="B6387" s="3">
        <v>1575</v>
      </c>
      <c r="C6387" s="1" t="str">
        <f>HYPERLINK("http://www.uniprot.org/uniprot/FB72_ARATH","FB72_ARATH")</f>
        <v>FB72_ARATH</v>
      </c>
      <c r="D6387" t="s">
        <v>5245</v>
      </c>
      <c r="E6387" s="3" t="s">
        <v>3</v>
      </c>
      <c r="F6387" s="4">
        <v>4.24E-40</v>
      </c>
      <c r="G6387" s="3">
        <v>387</v>
      </c>
      <c r="H6387" s="3">
        <v>29</v>
      </c>
      <c r="I6387" s="3">
        <v>408</v>
      </c>
      <c r="J6387" s="3">
        <v>79</v>
      </c>
      <c r="K6387" s="3">
        <v>1248</v>
      </c>
      <c r="L6387" s="3">
        <v>2</v>
      </c>
      <c r="M6387" s="3">
        <v>358</v>
      </c>
    </row>
    <row r="6388" spans="1:13" x14ac:dyDescent="0.25">
      <c r="A6388" s="1" t="str">
        <f>HYPERLINK("http://www.rosaceae.org/Prunus/Prunus_persica/p.persica_gdr_reftransV1_0021826","p.persica_gdr_reftransV1_0021826")</f>
        <v>p.persica_gdr_reftransV1_0021826</v>
      </c>
      <c r="B6388" s="3">
        <v>2127</v>
      </c>
      <c r="C6388" s="1" t="str">
        <f>HYPERLINK("http://www.uniprot.org/uniprot/CAP8_ARATH","CAP8_ARATH")</f>
        <v>CAP8_ARATH</v>
      </c>
      <c r="D6388" t="s">
        <v>5246</v>
      </c>
      <c r="E6388" s="3" t="s">
        <v>3</v>
      </c>
      <c r="F6388" s="4">
        <v>0</v>
      </c>
      <c r="G6388" s="3">
        <v>1933</v>
      </c>
      <c r="H6388" s="3">
        <v>70</v>
      </c>
      <c r="I6388" s="3">
        <v>584</v>
      </c>
      <c r="J6388" s="3">
        <v>355</v>
      </c>
      <c r="K6388" s="3">
        <v>2040</v>
      </c>
      <c r="L6388" s="3">
        <v>1</v>
      </c>
      <c r="M6388" s="3">
        <v>571</v>
      </c>
    </row>
    <row r="6389" spans="1:13" x14ac:dyDescent="0.25">
      <c r="A6389" s="1" t="str">
        <f>HYPERLINK("http://www.rosaceae.org/Prunus/Prunus_persica/p.persica_gdr_reftransV1_0021926","p.persica_gdr_reftransV1_0021926")</f>
        <v>p.persica_gdr_reftransV1_0021926</v>
      </c>
      <c r="B6389" s="3">
        <v>632</v>
      </c>
      <c r="C6389" s="1" t="str">
        <f>HYPERLINK("http://www.uniprot.org/uniprot/NUD17_ARATH","NUD17_ARATH")</f>
        <v>NUD17_ARATH</v>
      </c>
      <c r="D6389" t="s">
        <v>5247</v>
      </c>
      <c r="E6389" s="3" t="s">
        <v>3</v>
      </c>
      <c r="F6389" s="4">
        <v>3.6100000000000002E-66</v>
      </c>
      <c r="G6389" s="3">
        <v>529</v>
      </c>
      <c r="H6389" s="3">
        <v>71</v>
      </c>
      <c r="I6389" s="3">
        <v>158</v>
      </c>
      <c r="J6389" s="3">
        <v>161</v>
      </c>
      <c r="K6389" s="3">
        <v>631</v>
      </c>
      <c r="L6389" s="3">
        <v>21</v>
      </c>
      <c r="M6389" s="3">
        <v>178</v>
      </c>
    </row>
    <row r="6390" spans="1:13" x14ac:dyDescent="0.25">
      <c r="A6390" s="1" t="str">
        <f>HYPERLINK("http://www.rosaceae.org/Prunus/Prunus_persica/p.persica_gdr_reftransV1_0021976","p.persica_gdr_reftransV1_0021976")</f>
        <v>p.persica_gdr_reftransV1_0021976</v>
      </c>
      <c r="B6390" s="3">
        <v>6030</v>
      </c>
      <c r="C6390" s="1" t="str">
        <f>HYPERLINK("http://www.uniprot.org/uniprot/P4KB1_ARATH","P4KB1_ARATH")</f>
        <v>P4KB1_ARATH</v>
      </c>
      <c r="D6390" t="s">
        <v>5248</v>
      </c>
      <c r="E6390" s="3" t="s">
        <v>3</v>
      </c>
      <c r="F6390" s="4">
        <v>3.4000000000000001E-129</v>
      </c>
      <c r="G6390" s="3">
        <v>1133</v>
      </c>
      <c r="H6390" s="3">
        <v>76</v>
      </c>
      <c r="I6390" s="3">
        <v>311</v>
      </c>
      <c r="J6390" s="3">
        <v>2936</v>
      </c>
      <c r="K6390" s="3">
        <v>3868</v>
      </c>
      <c r="L6390" s="3">
        <v>646</v>
      </c>
      <c r="M6390" s="3">
        <v>951</v>
      </c>
    </row>
    <row r="6391" spans="1:13" x14ac:dyDescent="0.25">
      <c r="A6391" s="1" t="str">
        <f>HYPERLINK("http://www.rosaceae.org/Prunus/Prunus_persica/p.persica_gdr_reftransV1_0022226","p.persica_gdr_reftransV1_0022226")</f>
        <v>p.persica_gdr_reftransV1_0022226</v>
      </c>
      <c r="B6391" s="3">
        <v>946</v>
      </c>
      <c r="C6391" s="1" t="str">
        <f>HYPERLINK("http://www.uniprot.org/uniprot/EXPA1_ARATH","EXPA1_ARATH")</f>
        <v>EXPA1_ARATH</v>
      </c>
      <c r="D6391" t="s">
        <v>568</v>
      </c>
      <c r="E6391" s="3" t="s">
        <v>3</v>
      </c>
      <c r="F6391" s="4">
        <v>1.81E-115</v>
      </c>
      <c r="G6391" s="3">
        <v>873</v>
      </c>
      <c r="H6391" s="3">
        <v>88</v>
      </c>
      <c r="I6391" s="3">
        <v>194</v>
      </c>
      <c r="J6391" s="3">
        <v>365</v>
      </c>
      <c r="K6391" s="3">
        <v>946</v>
      </c>
      <c r="L6391" s="3">
        <v>56</v>
      </c>
      <c r="M6391" s="3">
        <v>249</v>
      </c>
    </row>
    <row r="6392" spans="1:13" x14ac:dyDescent="0.25">
      <c r="A6392" s="1" t="str">
        <f>HYPERLINK("http://www.rosaceae.org/Prunus/Prunus_persica/p.persica_gdr_reftransV1_0022526","p.persica_gdr_reftransV1_0022526")</f>
        <v>p.persica_gdr_reftransV1_0022526</v>
      </c>
      <c r="B6392" s="3">
        <v>1428</v>
      </c>
      <c r="C6392" s="1" t="str">
        <f>HYPERLINK("http://www.uniprot.org/uniprot/ERF62_ARATH","ERF62_ARATH")</f>
        <v>ERF62_ARATH</v>
      </c>
      <c r="D6392" t="s">
        <v>5249</v>
      </c>
      <c r="E6392" s="3" t="s">
        <v>3</v>
      </c>
      <c r="F6392" s="4">
        <v>3.4600000000000001E-57</v>
      </c>
      <c r="G6392" s="3">
        <v>508</v>
      </c>
      <c r="H6392" s="3">
        <v>39</v>
      </c>
      <c r="I6392" s="3">
        <v>437</v>
      </c>
      <c r="J6392" s="3">
        <v>28</v>
      </c>
      <c r="K6392" s="3">
        <v>1323</v>
      </c>
      <c r="L6392" s="3">
        <v>45</v>
      </c>
      <c r="M6392" s="3">
        <v>382</v>
      </c>
    </row>
    <row r="6393" spans="1:13" x14ac:dyDescent="0.25">
      <c r="A6393" s="1" t="str">
        <f>HYPERLINK("http://www.rosaceae.org/Prunus/Prunus_persica/p.persica_gdr_reftransV1_0022676","p.persica_gdr_reftransV1_0022676")</f>
        <v>p.persica_gdr_reftransV1_0022676</v>
      </c>
      <c r="B6393" s="3">
        <v>865</v>
      </c>
      <c r="C6393" s="1" t="str">
        <f>HYPERLINK("http://www.uniprot.org/uniprot/BOP1_CHLRE","BOP1_CHLRE")</f>
        <v>BOP1_CHLRE</v>
      </c>
      <c r="D6393" t="s">
        <v>5250</v>
      </c>
      <c r="E6393" s="3" t="s">
        <v>2091</v>
      </c>
      <c r="F6393" s="4">
        <v>1.2300000000000001E-30</v>
      </c>
      <c r="G6393" s="3">
        <v>315</v>
      </c>
      <c r="H6393" s="3">
        <v>46</v>
      </c>
      <c r="I6393" s="3">
        <v>162</v>
      </c>
      <c r="J6393" s="3">
        <v>384</v>
      </c>
      <c r="K6393" s="3">
        <v>857</v>
      </c>
      <c r="L6393" s="3">
        <v>174</v>
      </c>
      <c r="M6393" s="3">
        <v>335</v>
      </c>
    </row>
    <row r="6394" spans="1:13" x14ac:dyDescent="0.25">
      <c r="A6394" s="1" t="str">
        <f>HYPERLINK("http://www.rosaceae.org/Prunus/Prunus_persica/p.persica_gdr_reftransV1_0022926","p.persica_gdr_reftransV1_0022926")</f>
        <v>p.persica_gdr_reftransV1_0022926</v>
      </c>
      <c r="B6394" s="3">
        <v>3889</v>
      </c>
      <c r="C6394" s="1" t="str">
        <f>HYPERLINK("http://www.uniprot.org/uniprot/NACK2_ARATH","NACK2_ARATH")</f>
        <v>NACK2_ARATH</v>
      </c>
      <c r="D6394" t="s">
        <v>5251</v>
      </c>
      <c r="E6394" s="3" t="s">
        <v>3</v>
      </c>
      <c r="F6394" s="4">
        <v>0</v>
      </c>
      <c r="G6394" s="3">
        <v>1674</v>
      </c>
      <c r="H6394" s="3">
        <v>43</v>
      </c>
      <c r="I6394" s="3">
        <v>952</v>
      </c>
      <c r="J6394" s="3">
        <v>786</v>
      </c>
      <c r="K6394" s="3">
        <v>3515</v>
      </c>
      <c r="L6394" s="3">
        <v>22</v>
      </c>
      <c r="M6394" s="3">
        <v>936</v>
      </c>
    </row>
    <row r="6395" spans="1:13" x14ac:dyDescent="0.25">
      <c r="A6395" s="1" t="str">
        <f>HYPERLINK("http://www.rosaceae.org/Prunus/Prunus_persica/p.persica_gdr_reftransV1_0023076","p.persica_gdr_reftransV1_0023076")</f>
        <v>p.persica_gdr_reftransV1_0023076</v>
      </c>
      <c r="B6395" s="3">
        <v>1364</v>
      </c>
      <c r="C6395" s="1" t="str">
        <f>HYPERLINK("http://www.uniprot.org/uniprot/SC61G_ORYSJ","SC61G_ORYSJ")</f>
        <v>SC61G_ORYSJ</v>
      </c>
      <c r="D6395" t="s">
        <v>5252</v>
      </c>
      <c r="E6395" s="3" t="s">
        <v>38</v>
      </c>
      <c r="F6395" s="4">
        <v>2.1100000000000001E-26</v>
      </c>
      <c r="G6395" s="3">
        <v>263</v>
      </c>
      <c r="H6395" s="3">
        <v>94</v>
      </c>
      <c r="I6395" s="3">
        <v>68</v>
      </c>
      <c r="J6395" s="3">
        <v>1071</v>
      </c>
      <c r="K6395" s="3">
        <v>1274</v>
      </c>
      <c r="L6395" s="3">
        <v>1</v>
      </c>
      <c r="M6395" s="3">
        <v>68</v>
      </c>
    </row>
    <row r="6396" spans="1:13" x14ac:dyDescent="0.25">
      <c r="A6396" s="1" t="str">
        <f>HYPERLINK("http://www.rosaceae.org/Prunus/Prunus_persica/p.persica_gdr_reftransV1_0023176","p.persica_gdr_reftransV1_0023176")</f>
        <v>p.persica_gdr_reftransV1_0023176</v>
      </c>
      <c r="B6396" s="3">
        <v>2012</v>
      </c>
      <c r="C6396" s="1" t="str">
        <f>HYPERLINK("http://www.uniprot.org/uniprot/AFP3_ARATH","AFP3_ARATH")</f>
        <v>AFP3_ARATH</v>
      </c>
      <c r="D6396" t="s">
        <v>5253</v>
      </c>
      <c r="E6396" s="3" t="s">
        <v>3</v>
      </c>
      <c r="F6396" s="4">
        <v>8.1199999999999998E-16</v>
      </c>
      <c r="G6396" s="3">
        <v>200</v>
      </c>
      <c r="H6396" s="3">
        <v>56</v>
      </c>
      <c r="I6396" s="3">
        <v>85</v>
      </c>
      <c r="J6396" s="3">
        <v>583</v>
      </c>
      <c r="K6396" s="3">
        <v>837</v>
      </c>
      <c r="L6396" s="3">
        <v>25</v>
      </c>
      <c r="M6396" s="3">
        <v>94</v>
      </c>
    </row>
    <row r="6397" spans="1:13" x14ac:dyDescent="0.25">
      <c r="A6397" s="1" t="str">
        <f>HYPERLINK("http://www.rosaceae.org/Prunus/Prunus_persica/p.persica_gdr_reftransV1_0023326","p.persica_gdr_reftransV1_0023326")</f>
        <v>p.persica_gdr_reftransV1_0023326</v>
      </c>
      <c r="B6397" s="3">
        <v>2167</v>
      </c>
      <c r="C6397" s="1" t="str">
        <f>HYPERLINK("http://www.uniprot.org/uniprot/KIN10_ARATH","KIN10_ARATH")</f>
        <v>KIN10_ARATH</v>
      </c>
      <c r="D6397" t="s">
        <v>5254</v>
      </c>
      <c r="E6397" s="3" t="s">
        <v>3</v>
      </c>
      <c r="F6397" s="4">
        <v>0</v>
      </c>
      <c r="G6397" s="3">
        <v>2343</v>
      </c>
      <c r="H6397" s="3">
        <v>84</v>
      </c>
      <c r="I6397" s="3">
        <v>520</v>
      </c>
      <c r="J6397" s="3">
        <v>489</v>
      </c>
      <c r="K6397" s="3">
        <v>2048</v>
      </c>
      <c r="L6397" s="3">
        <v>4</v>
      </c>
      <c r="M6397" s="3">
        <v>518</v>
      </c>
    </row>
    <row r="6398" spans="1:13" x14ac:dyDescent="0.25">
      <c r="A6398" s="1" t="str">
        <f>HYPERLINK("http://www.rosaceae.org/Prunus/Prunus_persica/p.persica_gdr_reftransV1_0023426","p.persica_gdr_reftransV1_0023426")</f>
        <v>p.persica_gdr_reftransV1_0023426</v>
      </c>
      <c r="B6398" s="3">
        <v>1031</v>
      </c>
      <c r="C6398" s="1" t="str">
        <f>HYPERLINK("http://www.uniprot.org/uniprot/RTH_ARATH","RTH_ARATH")</f>
        <v>RTH_ARATH</v>
      </c>
      <c r="D6398" t="s">
        <v>5255</v>
      </c>
      <c r="E6398" s="3" t="s">
        <v>3</v>
      </c>
      <c r="F6398" s="4">
        <v>4.4100000000000002E-98</v>
      </c>
      <c r="G6398" s="3">
        <v>759</v>
      </c>
      <c r="H6398" s="3">
        <v>61</v>
      </c>
      <c r="I6398" s="3">
        <v>231</v>
      </c>
      <c r="J6398" s="3">
        <v>234</v>
      </c>
      <c r="K6398" s="3">
        <v>920</v>
      </c>
      <c r="L6398" s="3">
        <v>3</v>
      </c>
      <c r="M6398" s="3">
        <v>231</v>
      </c>
    </row>
    <row r="6399" spans="1:13" x14ac:dyDescent="0.25">
      <c r="A6399" s="1" t="str">
        <f>HYPERLINK("http://www.rosaceae.org/Prunus/Prunus_persica/p.persica_gdr_reftransV1_0023526","p.persica_gdr_reftransV1_0023526")</f>
        <v>p.persica_gdr_reftransV1_0023526</v>
      </c>
      <c r="B6399" s="3">
        <v>1750</v>
      </c>
      <c r="C6399" s="1" t="str">
        <f>HYPERLINK("http://www.uniprot.org/uniprot/YIPF1_DICDI","YIPF1_DICDI")</f>
        <v>YIPF1_DICDI</v>
      </c>
      <c r="D6399" t="s">
        <v>5256</v>
      </c>
      <c r="E6399" s="3" t="s">
        <v>9</v>
      </c>
      <c r="F6399" s="4">
        <v>5.2300000000000003E-24</v>
      </c>
      <c r="G6399" s="3">
        <v>267</v>
      </c>
      <c r="H6399" s="3">
        <v>34</v>
      </c>
      <c r="I6399" s="3">
        <v>164</v>
      </c>
      <c r="J6399" s="3">
        <v>1001</v>
      </c>
      <c r="K6399" s="3">
        <v>1492</v>
      </c>
      <c r="L6399" s="3">
        <v>96</v>
      </c>
      <c r="M6399" s="3">
        <v>254</v>
      </c>
    </row>
    <row r="6400" spans="1:13" x14ac:dyDescent="0.25">
      <c r="A6400" s="1" t="str">
        <f>HYPERLINK("http://www.rosaceae.org/Prunus/Prunus_persica/p.persica_gdr_reftransV1_0023676","p.persica_gdr_reftransV1_0023676")</f>
        <v>p.persica_gdr_reftransV1_0023676</v>
      </c>
      <c r="B6400" s="3">
        <v>8450</v>
      </c>
      <c r="C6400" s="1" t="str">
        <f>HYPERLINK("http://www.uniprot.org/uniprot/GCN1L_HUMAN","GCN1L_HUMAN")</f>
        <v>GCN1L_HUMAN</v>
      </c>
      <c r="D6400" t="s">
        <v>5257</v>
      </c>
      <c r="E6400" s="3" t="s">
        <v>28</v>
      </c>
      <c r="F6400" s="4">
        <v>0</v>
      </c>
      <c r="G6400" s="3">
        <v>1951</v>
      </c>
      <c r="H6400" s="3">
        <v>40</v>
      </c>
      <c r="I6400" s="3">
        <v>1116</v>
      </c>
      <c r="J6400" s="3">
        <v>4795</v>
      </c>
      <c r="K6400" s="3">
        <v>8088</v>
      </c>
      <c r="L6400" s="3">
        <v>1565</v>
      </c>
      <c r="M6400" s="3">
        <v>2666</v>
      </c>
    </row>
    <row r="6401" spans="1:13" x14ac:dyDescent="0.25">
      <c r="A6401" s="1" t="str">
        <f>HYPERLINK("http://www.rosaceae.org/Prunus/Prunus_persica/p.persica_gdr_reftransV1_0023976","p.persica_gdr_reftransV1_0023976")</f>
        <v>p.persica_gdr_reftransV1_0023976</v>
      </c>
      <c r="B6401" s="3">
        <v>2719</v>
      </c>
      <c r="C6401" s="1" t="str">
        <f>HYPERLINK("http://www.uniprot.org/uniprot/HA22A_ARATH","HA22A_ARATH")</f>
        <v>HA22A_ARATH</v>
      </c>
      <c r="D6401" t="s">
        <v>1633</v>
      </c>
      <c r="E6401" s="3" t="s">
        <v>3</v>
      </c>
      <c r="F6401" s="4">
        <v>2.48E-8</v>
      </c>
      <c r="G6401" s="3">
        <v>140</v>
      </c>
      <c r="H6401" s="3">
        <v>30</v>
      </c>
      <c r="I6401" s="3">
        <v>87</v>
      </c>
      <c r="J6401" s="3">
        <v>923</v>
      </c>
      <c r="K6401" s="3">
        <v>1168</v>
      </c>
      <c r="L6401" s="3">
        <v>72</v>
      </c>
      <c r="M6401" s="3">
        <v>157</v>
      </c>
    </row>
    <row r="6402" spans="1:13" x14ac:dyDescent="0.25">
      <c r="A6402" s="1" t="str">
        <f>HYPERLINK("http://www.rosaceae.org/Prunus/Prunus_persica/p.persica_gdr_reftransV1_0024176","p.persica_gdr_reftransV1_0024176")</f>
        <v>p.persica_gdr_reftransV1_0024176</v>
      </c>
      <c r="B6402" s="3">
        <v>2094</v>
      </c>
      <c r="C6402" s="1" t="str">
        <f>HYPERLINK("http://www.uniprot.org/uniprot/E1311_ARATH","E1311_ARATH")</f>
        <v>E1311_ARATH</v>
      </c>
      <c r="D6402" t="s">
        <v>5258</v>
      </c>
      <c r="E6402" s="3" t="s">
        <v>3</v>
      </c>
      <c r="F6402" s="4">
        <v>3.5099999999999999E-166</v>
      </c>
      <c r="G6402" s="3">
        <v>1264</v>
      </c>
      <c r="H6402" s="3">
        <v>71</v>
      </c>
      <c r="I6402" s="3">
        <v>320</v>
      </c>
      <c r="J6402" s="3">
        <v>661</v>
      </c>
      <c r="K6402" s="3">
        <v>1614</v>
      </c>
      <c r="L6402" s="3">
        <v>28</v>
      </c>
      <c r="M6402" s="3">
        <v>347</v>
      </c>
    </row>
    <row r="6403" spans="1:13" x14ac:dyDescent="0.25">
      <c r="A6403" s="1" t="str">
        <f>HYPERLINK("http://www.rosaceae.org/Prunus/Prunus_persica/p.persica_gdr_reftransV1_0024376","p.persica_gdr_reftransV1_0024376")</f>
        <v>p.persica_gdr_reftransV1_0024376</v>
      </c>
      <c r="B6403" s="3">
        <v>2667</v>
      </c>
      <c r="C6403" s="1" t="str">
        <f>HYPERLINK("http://www.uniprot.org/uniprot/APK1A_ARATH","APK1A_ARATH")</f>
        <v>APK1A_ARATH</v>
      </c>
      <c r="D6403" t="s">
        <v>5259</v>
      </c>
      <c r="E6403" s="3" t="s">
        <v>3</v>
      </c>
      <c r="F6403" s="4">
        <v>5.25E-179</v>
      </c>
      <c r="G6403" s="3">
        <v>1365</v>
      </c>
      <c r="H6403" s="3">
        <v>74</v>
      </c>
      <c r="I6403" s="3">
        <v>329</v>
      </c>
      <c r="J6403" s="3">
        <v>1189</v>
      </c>
      <c r="K6403" s="3">
        <v>2175</v>
      </c>
      <c r="L6403" s="3">
        <v>40</v>
      </c>
      <c r="M6403" s="3">
        <v>368</v>
      </c>
    </row>
    <row r="6404" spans="1:13" x14ac:dyDescent="0.25">
      <c r="A6404" s="1" t="str">
        <f>HYPERLINK("http://www.rosaceae.org/Prunus/Prunus_persica/p.persica_gdr_reftransV1_0024426","p.persica_gdr_reftransV1_0024426")</f>
        <v>p.persica_gdr_reftransV1_0024426</v>
      </c>
      <c r="B6404" s="3">
        <v>1881</v>
      </c>
      <c r="C6404" s="1" t="str">
        <f>HYPERLINK("http://www.uniprot.org/uniprot/AXEP_POPTR","AXEP_POPTR")</f>
        <v>AXEP_POPTR</v>
      </c>
      <c r="D6404" t="s">
        <v>5260</v>
      </c>
      <c r="E6404" s="3" t="s">
        <v>340</v>
      </c>
      <c r="F6404" s="4">
        <v>0</v>
      </c>
      <c r="G6404" s="3">
        <v>1526</v>
      </c>
      <c r="H6404" s="3">
        <v>73</v>
      </c>
      <c r="I6404" s="3">
        <v>413</v>
      </c>
      <c r="J6404" s="3">
        <v>221</v>
      </c>
      <c r="K6404" s="3">
        <v>1432</v>
      </c>
      <c r="L6404" s="3">
        <v>8</v>
      </c>
      <c r="M6404" s="3">
        <v>420</v>
      </c>
    </row>
    <row r="6405" spans="1:13" x14ac:dyDescent="0.25">
      <c r="A6405" s="1" t="str">
        <f>HYPERLINK("http://www.rosaceae.org/Prunus/Prunus_persica/p.persica_gdr_reftransV1_0024476","p.persica_gdr_reftransV1_0024476")</f>
        <v>p.persica_gdr_reftransV1_0024476</v>
      </c>
      <c r="B6405" s="3">
        <v>901</v>
      </c>
      <c r="C6405" s="1" t="str">
        <f>HYPERLINK("http://www.uniprot.org/uniprot/CWC15_DROME","CWC15_DROME")</f>
        <v>CWC15_DROME</v>
      </c>
      <c r="D6405" t="s">
        <v>5261</v>
      </c>
      <c r="E6405" s="3" t="s">
        <v>5</v>
      </c>
      <c r="F6405" s="4">
        <v>9.8099999999999998E-8</v>
      </c>
      <c r="G6405" s="3">
        <v>133</v>
      </c>
      <c r="H6405" s="3">
        <v>54</v>
      </c>
      <c r="I6405" s="3">
        <v>52</v>
      </c>
      <c r="J6405" s="3">
        <v>603</v>
      </c>
      <c r="K6405" s="3">
        <v>758</v>
      </c>
      <c r="L6405" s="3">
        <v>1</v>
      </c>
      <c r="M6405" s="3">
        <v>52</v>
      </c>
    </row>
    <row r="6406" spans="1:13" x14ac:dyDescent="0.25">
      <c r="A6406" s="1" t="str">
        <f>HYPERLINK("http://www.rosaceae.org/Prunus/Prunus_persica/p.persica_gdr_reftransV1_0024876","p.persica_gdr_reftransV1_0024876")</f>
        <v>p.persica_gdr_reftransV1_0024876</v>
      </c>
      <c r="B6406" s="3">
        <v>2613</v>
      </c>
      <c r="C6406" s="1" t="str">
        <f>HYPERLINK("http://www.uniprot.org/uniprot/APRR2_ARATH","APRR2_ARATH")</f>
        <v>APRR2_ARATH</v>
      </c>
      <c r="D6406" t="s">
        <v>5262</v>
      </c>
      <c r="E6406" s="3" t="s">
        <v>3</v>
      </c>
      <c r="F6406" s="4">
        <v>5.1399999999999997E-132</v>
      </c>
      <c r="G6406" s="3">
        <v>1060</v>
      </c>
      <c r="H6406" s="3">
        <v>50</v>
      </c>
      <c r="I6406" s="3">
        <v>580</v>
      </c>
      <c r="J6406" s="3">
        <v>326</v>
      </c>
      <c r="K6406" s="3">
        <v>1951</v>
      </c>
      <c r="L6406" s="3">
        <v>1</v>
      </c>
      <c r="M6406" s="3">
        <v>522</v>
      </c>
    </row>
    <row r="6407" spans="1:13" x14ac:dyDescent="0.25">
      <c r="A6407" s="1" t="str">
        <f>HYPERLINK("http://www.rosaceae.org/Prunus/Prunus_persica/p.persica_gdr_reftransV1_0025176","p.persica_gdr_reftransV1_0025176")</f>
        <v>p.persica_gdr_reftransV1_0025176</v>
      </c>
      <c r="B6407" s="3">
        <v>3746</v>
      </c>
      <c r="C6407" s="1" t="str">
        <f>HYPERLINK("http://www.uniprot.org/uniprot/ACA12_ARATH","ACA12_ARATH")</f>
        <v>ACA12_ARATH</v>
      </c>
      <c r="D6407" t="s">
        <v>22</v>
      </c>
      <c r="E6407" s="3" t="s">
        <v>3</v>
      </c>
      <c r="F6407" s="4">
        <v>0</v>
      </c>
      <c r="G6407" s="3">
        <v>1535</v>
      </c>
      <c r="H6407" s="3">
        <v>39</v>
      </c>
      <c r="I6407" s="3">
        <v>930</v>
      </c>
      <c r="J6407" s="3">
        <v>334</v>
      </c>
      <c r="K6407" s="3">
        <v>3039</v>
      </c>
      <c r="L6407" s="3">
        <v>88</v>
      </c>
      <c r="M6407" s="3">
        <v>997</v>
      </c>
    </row>
    <row r="6408" spans="1:13" x14ac:dyDescent="0.25">
      <c r="A6408" s="1" t="str">
        <f>HYPERLINK("http://www.rosaceae.org/Prunus/Prunus_persica/p.persica_gdr_reftransV1_0025576","p.persica_gdr_reftransV1_0025576")</f>
        <v>p.persica_gdr_reftransV1_0025576</v>
      </c>
      <c r="B6408" s="3">
        <v>775</v>
      </c>
      <c r="C6408" s="1" t="str">
        <f>HYPERLINK("http://www.uniprot.org/uniprot/PBP1_ARATH","PBP1_ARATH")</f>
        <v>PBP1_ARATH</v>
      </c>
      <c r="D6408" t="s">
        <v>1929</v>
      </c>
      <c r="E6408" s="3" t="s">
        <v>3</v>
      </c>
      <c r="F6408" s="4">
        <v>6.49E-32</v>
      </c>
      <c r="G6408" s="3">
        <v>299</v>
      </c>
      <c r="H6408" s="3">
        <v>62</v>
      </c>
      <c r="I6408" s="3">
        <v>95</v>
      </c>
      <c r="J6408" s="3">
        <v>240</v>
      </c>
      <c r="K6408" s="3">
        <v>521</v>
      </c>
      <c r="L6408" s="3">
        <v>19</v>
      </c>
      <c r="M6408" s="3">
        <v>113</v>
      </c>
    </row>
    <row r="6409" spans="1:13" x14ac:dyDescent="0.25">
      <c r="A6409" s="1" t="str">
        <f>HYPERLINK("http://www.rosaceae.org/Prunus/Prunus_persica/p.persica_gdr_reftransV1_0025776","p.persica_gdr_reftransV1_0025776")</f>
        <v>p.persica_gdr_reftransV1_0025776</v>
      </c>
      <c r="B6409" s="3">
        <v>2502</v>
      </c>
      <c r="C6409" s="1" t="str">
        <f>HYPERLINK("http://www.uniprot.org/uniprot/SMBP2_MOUSE","SMBP2_MOUSE")</f>
        <v>SMBP2_MOUSE</v>
      </c>
      <c r="D6409" t="s">
        <v>5263</v>
      </c>
      <c r="E6409" s="3" t="s">
        <v>157</v>
      </c>
      <c r="F6409" s="4">
        <v>3.2100000000000003E-117</v>
      </c>
      <c r="G6409" s="3">
        <v>991</v>
      </c>
      <c r="H6409" s="3">
        <v>46</v>
      </c>
      <c r="I6409" s="3">
        <v>496</v>
      </c>
      <c r="J6409" s="3">
        <v>70</v>
      </c>
      <c r="K6409" s="3">
        <v>1524</v>
      </c>
      <c r="L6409" s="3">
        <v>3</v>
      </c>
      <c r="M6409" s="3">
        <v>494</v>
      </c>
    </row>
    <row r="6410" spans="1:13" x14ac:dyDescent="0.25">
      <c r="A6410" s="1" t="str">
        <f>HYPERLINK("http://www.rosaceae.org/Prunus/Prunus_persica/p.persica_gdr_reftransV1_0026076","p.persica_gdr_reftransV1_0026076")</f>
        <v>p.persica_gdr_reftransV1_0026076</v>
      </c>
      <c r="B6410" s="3">
        <v>487</v>
      </c>
      <c r="C6410" s="1" t="str">
        <f>HYPERLINK("http://www.uniprot.org/uniprot/TMN3_ARATH","TMN3_ARATH")</f>
        <v>TMN3_ARATH</v>
      </c>
      <c r="D6410" t="s">
        <v>5108</v>
      </c>
      <c r="E6410" s="3" t="s">
        <v>3</v>
      </c>
      <c r="F6410" s="4">
        <v>8.2700000000000003E-70</v>
      </c>
      <c r="G6410" s="3">
        <v>579</v>
      </c>
      <c r="H6410" s="3">
        <v>75</v>
      </c>
      <c r="I6410" s="3">
        <v>138</v>
      </c>
      <c r="J6410" s="3">
        <v>73</v>
      </c>
      <c r="K6410" s="3">
        <v>486</v>
      </c>
      <c r="L6410" s="3">
        <v>6</v>
      </c>
      <c r="M6410" s="3">
        <v>143</v>
      </c>
    </row>
    <row r="6411" spans="1:13" x14ac:dyDescent="0.25">
      <c r="A6411" s="1" t="str">
        <f>HYPERLINK("http://www.rosaceae.org/Prunus/Prunus_persica/p.persica_gdr_reftransV1_0026376","p.persica_gdr_reftransV1_0026376")</f>
        <v>p.persica_gdr_reftransV1_0026376</v>
      </c>
      <c r="B6411" s="3">
        <v>3807</v>
      </c>
      <c r="C6411" s="1" t="str">
        <f>HYPERLINK("http://www.uniprot.org/uniprot/SC15B_ARATH","SC15B_ARATH")</f>
        <v>SC15B_ARATH</v>
      </c>
      <c r="D6411" t="s">
        <v>5264</v>
      </c>
      <c r="E6411" s="3" t="s">
        <v>3</v>
      </c>
      <c r="F6411" s="4">
        <v>0</v>
      </c>
      <c r="G6411" s="3">
        <v>3067</v>
      </c>
      <c r="H6411" s="3">
        <v>75</v>
      </c>
      <c r="I6411" s="3">
        <v>804</v>
      </c>
      <c r="J6411" s="3">
        <v>1109</v>
      </c>
      <c r="K6411" s="3">
        <v>3511</v>
      </c>
      <c r="L6411" s="3">
        <v>1</v>
      </c>
      <c r="M6411" s="3">
        <v>787</v>
      </c>
    </row>
    <row r="6412" spans="1:13" x14ac:dyDescent="0.25">
      <c r="A6412" s="1" t="str">
        <f>HYPERLINK("http://www.rosaceae.org/Prunus/Prunus_persica/p.persica_gdr_reftransV1_0026426","p.persica_gdr_reftransV1_0026426")</f>
        <v>p.persica_gdr_reftransV1_0026426</v>
      </c>
      <c r="B6412" s="3">
        <v>2777</v>
      </c>
      <c r="C6412" s="1" t="str">
        <f>HYPERLINK("http://www.uniprot.org/uniprot/SKI14_ARATH","SKI14_ARATH")</f>
        <v>SKI14_ARATH</v>
      </c>
      <c r="D6412" t="s">
        <v>1130</v>
      </c>
      <c r="E6412" s="3" t="s">
        <v>3</v>
      </c>
      <c r="F6412" s="4">
        <v>9.1299999999999996E-90</v>
      </c>
      <c r="G6412" s="3">
        <v>766</v>
      </c>
      <c r="H6412" s="3">
        <v>44</v>
      </c>
      <c r="I6412" s="3">
        <v>405</v>
      </c>
      <c r="J6412" s="3">
        <v>805</v>
      </c>
      <c r="K6412" s="3">
        <v>1965</v>
      </c>
      <c r="L6412" s="3">
        <v>40</v>
      </c>
      <c r="M6412" s="3">
        <v>444</v>
      </c>
    </row>
    <row r="6413" spans="1:13" x14ac:dyDescent="0.25">
      <c r="A6413" s="1" t="str">
        <f>HYPERLINK("http://www.rosaceae.org/Prunus/Prunus_persica/p.persica_gdr_reftransV1_0026526","p.persica_gdr_reftransV1_0026526")</f>
        <v>p.persica_gdr_reftransV1_0026526</v>
      </c>
      <c r="B6413" s="3">
        <v>1633</v>
      </c>
      <c r="C6413" s="1" t="str">
        <f>HYPERLINK("http://www.uniprot.org/uniprot/SRF3_ARATH","SRF3_ARATH")</f>
        <v>SRF3_ARATH</v>
      </c>
      <c r="D6413" t="s">
        <v>2722</v>
      </c>
      <c r="E6413" s="3" t="s">
        <v>3</v>
      </c>
      <c r="F6413" s="4">
        <v>4.6399999999999998E-91</v>
      </c>
      <c r="G6413" s="3">
        <v>773</v>
      </c>
      <c r="H6413" s="3">
        <v>51</v>
      </c>
      <c r="I6413" s="3">
        <v>409</v>
      </c>
      <c r="J6413" s="3">
        <v>72</v>
      </c>
      <c r="K6413" s="3">
        <v>1286</v>
      </c>
      <c r="L6413" s="3">
        <v>21</v>
      </c>
      <c r="M6413" s="3">
        <v>417</v>
      </c>
    </row>
    <row r="6414" spans="1:13" x14ac:dyDescent="0.25">
      <c r="A6414" s="1" t="str">
        <f>HYPERLINK("http://www.rosaceae.org/Prunus/Prunus_persica/p.persica_gdr_reftransV1_0026576","p.persica_gdr_reftransV1_0026576")</f>
        <v>p.persica_gdr_reftransV1_0026576</v>
      </c>
      <c r="B6414" s="3">
        <v>703</v>
      </c>
      <c r="C6414" s="1" t="str">
        <f>HYPERLINK("http://www.uniprot.org/uniprot/RNHX1_ARATH","RNHX1_ARATH")</f>
        <v>RNHX1_ARATH</v>
      </c>
      <c r="D6414" t="s">
        <v>124</v>
      </c>
      <c r="E6414" s="3" t="s">
        <v>3</v>
      </c>
      <c r="F6414" s="4">
        <v>3.3500000000000002E-33</v>
      </c>
      <c r="G6414" s="3">
        <v>327</v>
      </c>
      <c r="H6414" s="3">
        <v>46</v>
      </c>
      <c r="I6414" s="3">
        <v>129</v>
      </c>
      <c r="J6414" s="3">
        <v>305</v>
      </c>
      <c r="K6414" s="3">
        <v>691</v>
      </c>
      <c r="L6414" s="3">
        <v>1</v>
      </c>
      <c r="M6414" s="3">
        <v>129</v>
      </c>
    </row>
    <row r="6415" spans="1:13" x14ac:dyDescent="0.25">
      <c r="A6415" s="1" t="str">
        <f>HYPERLINK("http://www.rosaceae.org/Prunus/Prunus_persica/p.persica_gdr_reftransV1_0026676","p.persica_gdr_reftransV1_0026676")</f>
        <v>p.persica_gdr_reftransV1_0026676</v>
      </c>
      <c r="B6415" s="3">
        <v>1894</v>
      </c>
      <c r="C6415" s="1" t="str">
        <f>HYPERLINK("http://www.uniprot.org/uniprot/RPD1_ARATH","RPD1_ARATH")</f>
        <v>RPD1_ARATH</v>
      </c>
      <c r="D6415" t="s">
        <v>1883</v>
      </c>
      <c r="E6415" s="3" t="s">
        <v>3</v>
      </c>
      <c r="F6415" s="4">
        <v>0</v>
      </c>
      <c r="G6415" s="3">
        <v>1663</v>
      </c>
      <c r="H6415" s="3">
        <v>78</v>
      </c>
      <c r="I6415" s="3">
        <v>409</v>
      </c>
      <c r="J6415" s="3">
        <v>532</v>
      </c>
      <c r="K6415" s="3">
        <v>1746</v>
      </c>
      <c r="L6415" s="3">
        <v>1</v>
      </c>
      <c r="M6415" s="3">
        <v>405</v>
      </c>
    </row>
    <row r="6416" spans="1:13" x14ac:dyDescent="0.25">
      <c r="A6416" s="1" t="str">
        <f>HYPERLINK("http://www.rosaceae.org/Prunus/Prunus_persica/p.persica_gdr_reftransV1_0026926","p.persica_gdr_reftransV1_0026926")</f>
        <v>p.persica_gdr_reftransV1_0026926</v>
      </c>
      <c r="B6416" s="3">
        <v>1600</v>
      </c>
      <c r="C6416" s="1" t="str">
        <f>HYPERLINK("http://www.uniprot.org/uniprot/PTI1_SOLLC","PTI1_SOLLC")</f>
        <v>PTI1_SOLLC</v>
      </c>
      <c r="D6416" t="s">
        <v>5265</v>
      </c>
      <c r="E6416" s="3" t="s">
        <v>64</v>
      </c>
      <c r="F6416" s="4">
        <v>0</v>
      </c>
      <c r="G6416" s="3">
        <v>1398</v>
      </c>
      <c r="H6416" s="3">
        <v>82</v>
      </c>
      <c r="I6416" s="3">
        <v>315</v>
      </c>
      <c r="J6416" s="3">
        <v>205</v>
      </c>
      <c r="K6416" s="3">
        <v>1149</v>
      </c>
      <c r="L6416" s="3">
        <v>1</v>
      </c>
      <c r="M6416" s="3">
        <v>314</v>
      </c>
    </row>
    <row r="6417" spans="1:13" x14ac:dyDescent="0.25">
      <c r="A6417" s="1" t="str">
        <f>HYPERLINK("http://www.rosaceae.org/Prunus/Prunus_persica/p.persica_gdr_reftransV1_0026976","p.persica_gdr_reftransV1_0026976")</f>
        <v>p.persica_gdr_reftransV1_0026976</v>
      </c>
      <c r="B6417" s="3">
        <v>1944</v>
      </c>
      <c r="C6417" s="1" t="str">
        <f>HYPERLINK("http://www.uniprot.org/uniprot/ALG8_ARATH","ALG8_ARATH")</f>
        <v>ALG8_ARATH</v>
      </c>
      <c r="D6417" t="s">
        <v>5266</v>
      </c>
      <c r="E6417" s="3" t="s">
        <v>3</v>
      </c>
      <c r="F6417" s="4">
        <v>0</v>
      </c>
      <c r="G6417" s="3">
        <v>1772</v>
      </c>
      <c r="H6417" s="3">
        <v>73</v>
      </c>
      <c r="I6417" s="3">
        <v>502</v>
      </c>
      <c r="J6417" s="3">
        <v>291</v>
      </c>
      <c r="K6417" s="3">
        <v>1790</v>
      </c>
      <c r="L6417" s="3">
        <v>10</v>
      </c>
      <c r="M6417" s="3">
        <v>505</v>
      </c>
    </row>
    <row r="6418" spans="1:13" x14ac:dyDescent="0.25">
      <c r="A6418" s="1" t="str">
        <f>HYPERLINK("http://www.rosaceae.org/Prunus/Prunus_persica/p.persica_gdr_reftransV1_0027026","p.persica_gdr_reftransV1_0027026")</f>
        <v>p.persica_gdr_reftransV1_0027026</v>
      </c>
      <c r="B6418" s="3">
        <v>1683</v>
      </c>
      <c r="C6418" s="1" t="str">
        <f>HYPERLINK("http://www.uniprot.org/uniprot/IRE_ARATH","IRE_ARATH")</f>
        <v>IRE_ARATH</v>
      </c>
      <c r="D6418" t="s">
        <v>5267</v>
      </c>
      <c r="E6418" s="3" t="s">
        <v>3</v>
      </c>
      <c r="F6418" s="4">
        <v>0</v>
      </c>
      <c r="G6418" s="3">
        <v>1882</v>
      </c>
      <c r="H6418" s="3">
        <v>82</v>
      </c>
      <c r="I6418" s="3">
        <v>429</v>
      </c>
      <c r="J6418" s="3">
        <v>402</v>
      </c>
      <c r="K6418" s="3">
        <v>1682</v>
      </c>
      <c r="L6418" s="3">
        <v>737</v>
      </c>
      <c r="M6418" s="3">
        <v>1164</v>
      </c>
    </row>
    <row r="6419" spans="1:13" x14ac:dyDescent="0.25">
      <c r="A6419" s="1" t="str">
        <f>HYPERLINK("http://www.rosaceae.org/Prunus/Prunus_persica/p.persica_gdr_reftransV1_0027126","p.persica_gdr_reftransV1_0027126")</f>
        <v>p.persica_gdr_reftransV1_0027126</v>
      </c>
      <c r="B6419" s="3">
        <v>889</v>
      </c>
      <c r="C6419" s="1" t="str">
        <f>HYPERLINK("http://www.uniprot.org/uniprot/RTL2_ARATH","RTL2_ARATH")</f>
        <v>RTL2_ARATH</v>
      </c>
      <c r="D6419" t="s">
        <v>5268</v>
      </c>
      <c r="E6419" s="3" t="s">
        <v>3</v>
      </c>
      <c r="F6419" s="4">
        <v>8.8400000000000002E-41</v>
      </c>
      <c r="G6419" s="3">
        <v>381</v>
      </c>
      <c r="H6419" s="3">
        <v>39</v>
      </c>
      <c r="I6419" s="3">
        <v>252</v>
      </c>
      <c r="J6419" s="3">
        <v>159</v>
      </c>
      <c r="K6419" s="3">
        <v>887</v>
      </c>
      <c r="L6419" s="3">
        <v>144</v>
      </c>
      <c r="M6419" s="3">
        <v>387</v>
      </c>
    </row>
    <row r="6420" spans="1:13" x14ac:dyDescent="0.25">
      <c r="A6420" s="1" t="str">
        <f>HYPERLINK("http://www.rosaceae.org/Prunus/Prunus_persica/p.persica_gdr_reftransV1_0027926","p.persica_gdr_reftransV1_0027926")</f>
        <v>p.persica_gdr_reftransV1_0027926</v>
      </c>
      <c r="B6420" s="3">
        <v>356</v>
      </c>
      <c r="C6420" s="1" t="str">
        <f>HYPERLINK("http://www.uniprot.org/uniprot/RCE1_ARATH","RCE1_ARATH")</f>
        <v>RCE1_ARATH</v>
      </c>
      <c r="D6420" t="s">
        <v>279</v>
      </c>
      <c r="E6420" s="3" t="s">
        <v>3</v>
      </c>
      <c r="F6420" s="4">
        <v>7.0900000000000006E-8</v>
      </c>
      <c r="G6420" s="3">
        <v>122</v>
      </c>
      <c r="H6420" s="3">
        <v>84</v>
      </c>
      <c r="I6420" s="3">
        <v>25</v>
      </c>
      <c r="J6420" s="3">
        <v>3</v>
      </c>
      <c r="K6420" s="3">
        <v>77</v>
      </c>
      <c r="L6420" s="3">
        <v>160</v>
      </c>
      <c r="M6420" s="3">
        <v>184</v>
      </c>
    </row>
    <row r="6421" spans="1:13" x14ac:dyDescent="0.25">
      <c r="A6421" s="1" t="str">
        <f>HYPERLINK("http://www.rosaceae.org/Prunus/Prunus_persica/p.persica_gdr_reftransV1_0027976","p.persica_gdr_reftransV1_0027976")</f>
        <v>p.persica_gdr_reftransV1_0027976</v>
      </c>
      <c r="B6421" s="3">
        <v>1877</v>
      </c>
      <c r="C6421" s="1" t="str">
        <f>HYPERLINK("http://www.uniprot.org/uniprot/RGP5_ARATH","RGP5_ARATH")</f>
        <v>RGP5_ARATH</v>
      </c>
      <c r="D6421" t="s">
        <v>5269</v>
      </c>
      <c r="E6421" s="3" t="s">
        <v>3</v>
      </c>
      <c r="F6421" s="4">
        <v>0</v>
      </c>
      <c r="G6421" s="3">
        <v>1411</v>
      </c>
      <c r="H6421" s="3">
        <v>71</v>
      </c>
      <c r="I6421" s="3">
        <v>348</v>
      </c>
      <c r="J6421" s="3">
        <v>207</v>
      </c>
      <c r="K6421" s="3">
        <v>1250</v>
      </c>
      <c r="L6421" s="3">
        <v>1</v>
      </c>
      <c r="M6421" s="3">
        <v>348</v>
      </c>
    </row>
    <row r="6422" spans="1:13" x14ac:dyDescent="0.25">
      <c r="A6422" s="1" t="str">
        <f>HYPERLINK("http://www.rosaceae.org/Prunus/Prunus_persica/p.persica_gdr_reftransV1_0028376","p.persica_gdr_reftransV1_0028376")</f>
        <v>p.persica_gdr_reftransV1_0028376</v>
      </c>
      <c r="B6422" s="3">
        <v>3001</v>
      </c>
      <c r="C6422" s="1" t="str">
        <f>HYPERLINK("http://www.uniprot.org/uniprot/Y1634_ARATH","Y1634_ARATH")</f>
        <v>Y1634_ARATH</v>
      </c>
      <c r="D6422" t="s">
        <v>5270</v>
      </c>
      <c r="E6422" s="3" t="s">
        <v>3</v>
      </c>
      <c r="F6422" s="4">
        <v>0</v>
      </c>
      <c r="G6422" s="3">
        <v>2167</v>
      </c>
      <c r="H6422" s="3">
        <v>61</v>
      </c>
      <c r="I6422" s="3">
        <v>717</v>
      </c>
      <c r="J6422" s="3">
        <v>617</v>
      </c>
      <c r="K6422" s="3">
        <v>2737</v>
      </c>
      <c r="L6422" s="3">
        <v>6</v>
      </c>
      <c r="M6422" s="3">
        <v>649</v>
      </c>
    </row>
    <row r="6423" spans="1:13" x14ac:dyDescent="0.25">
      <c r="A6423" s="1" t="str">
        <f>HYPERLINK("http://www.rosaceae.org/Prunus/Prunus_persica/p.persica_gdr_reftransV1_0028476","p.persica_gdr_reftransV1_0028476")</f>
        <v>p.persica_gdr_reftransV1_0028476</v>
      </c>
      <c r="B6423" s="3">
        <v>1979</v>
      </c>
      <c r="C6423" s="1" t="str">
        <f>HYPERLINK("http://www.uniprot.org/uniprot/RPP8_ARATH","RPP8_ARATH")</f>
        <v>RPP8_ARATH</v>
      </c>
      <c r="D6423" t="s">
        <v>5271</v>
      </c>
      <c r="E6423" s="3" t="s">
        <v>3</v>
      </c>
      <c r="F6423" s="4">
        <v>3.1300000000000001E-55</v>
      </c>
      <c r="G6423" s="3">
        <v>525</v>
      </c>
      <c r="H6423" s="3">
        <v>34</v>
      </c>
      <c r="I6423" s="3">
        <v>448</v>
      </c>
      <c r="J6423" s="3">
        <v>1</v>
      </c>
      <c r="K6423" s="3">
        <v>1293</v>
      </c>
      <c r="L6423" s="3">
        <v>492</v>
      </c>
      <c r="M6423" s="3">
        <v>903</v>
      </c>
    </row>
    <row r="6424" spans="1:13" x14ac:dyDescent="0.25">
      <c r="A6424" s="1" t="str">
        <f>HYPERLINK("http://www.rosaceae.org/Prunus/Prunus_persica/p.persica_gdr_reftransV1_0028626","p.persica_gdr_reftransV1_0028626")</f>
        <v>p.persica_gdr_reftransV1_0028626</v>
      </c>
      <c r="B6424" s="3">
        <v>2836</v>
      </c>
      <c r="C6424" s="1" t="str">
        <f>HYPERLINK("http://www.uniprot.org/uniprot/CRYD_GLOVI","CRYD_GLOVI")</f>
        <v>CRYD_GLOVI</v>
      </c>
      <c r="D6424" t="s">
        <v>5272</v>
      </c>
      <c r="E6424" s="3" t="s">
        <v>3174</v>
      </c>
      <c r="F6424" s="4">
        <v>4.4099999999999998E-8</v>
      </c>
      <c r="G6424" s="3">
        <v>145</v>
      </c>
      <c r="H6424" s="3">
        <v>40</v>
      </c>
      <c r="I6424" s="3">
        <v>93</v>
      </c>
      <c r="J6424" s="3">
        <v>2213</v>
      </c>
      <c r="K6424" s="3">
        <v>2467</v>
      </c>
      <c r="L6424" s="3">
        <v>7</v>
      </c>
      <c r="M6424" s="3">
        <v>99</v>
      </c>
    </row>
    <row r="6425" spans="1:13" x14ac:dyDescent="0.25">
      <c r="A6425" s="1" t="str">
        <f>HYPERLINK("http://www.rosaceae.org/Prunus/Prunus_persica/p.persica_gdr_reftransV1_0028826","p.persica_gdr_reftransV1_0028826")</f>
        <v>p.persica_gdr_reftransV1_0028826</v>
      </c>
      <c r="B6425" s="3">
        <v>2214</v>
      </c>
      <c r="C6425" s="1" t="str">
        <f>HYPERLINK("http://www.uniprot.org/uniprot/SIA4B_HUMAN","SIA4B_HUMAN")</f>
        <v>SIA4B_HUMAN</v>
      </c>
      <c r="D6425" t="s">
        <v>5273</v>
      </c>
      <c r="E6425" s="3" t="s">
        <v>28</v>
      </c>
      <c r="F6425" s="4">
        <v>4.7200000000000001E-13</v>
      </c>
      <c r="G6425" s="3">
        <v>182</v>
      </c>
      <c r="H6425" s="3">
        <v>27</v>
      </c>
      <c r="I6425" s="3">
        <v>197</v>
      </c>
      <c r="J6425" s="3">
        <v>791</v>
      </c>
      <c r="K6425" s="3">
        <v>1315</v>
      </c>
      <c r="L6425" s="3">
        <v>120</v>
      </c>
      <c r="M6425" s="3">
        <v>315</v>
      </c>
    </row>
    <row r="6426" spans="1:13" x14ac:dyDescent="0.25">
      <c r="A6426" s="1" t="str">
        <f>HYPERLINK("http://www.rosaceae.org/Prunus/Prunus_persica/p.persica_gdr_reftransV1_0029126","p.persica_gdr_reftransV1_0029126")</f>
        <v>p.persica_gdr_reftransV1_0029126</v>
      </c>
      <c r="B6426" s="3">
        <v>4055</v>
      </c>
      <c r="C6426" s="1" t="str">
        <f>HYPERLINK("http://www.uniprot.org/uniprot/TNPO3_MOUSE","TNPO3_MOUSE")</f>
        <v>TNPO3_MOUSE</v>
      </c>
      <c r="D6426" t="s">
        <v>5274</v>
      </c>
      <c r="E6426" s="3" t="s">
        <v>157</v>
      </c>
      <c r="F6426" s="4">
        <v>5.8700000000000003E-39</v>
      </c>
      <c r="G6426" s="3">
        <v>408</v>
      </c>
      <c r="H6426" s="3">
        <v>26</v>
      </c>
      <c r="I6426" s="3">
        <v>508</v>
      </c>
      <c r="J6426" s="3">
        <v>1135</v>
      </c>
      <c r="K6426" s="3">
        <v>2622</v>
      </c>
      <c r="L6426" s="3">
        <v>391</v>
      </c>
      <c r="M6426" s="3">
        <v>880</v>
      </c>
    </row>
    <row r="6427" spans="1:13" x14ac:dyDescent="0.25">
      <c r="A6427" s="1" t="str">
        <f>HYPERLINK("http://www.rosaceae.org/Prunus/Prunus_persica/p.persica_gdr_reftransV1_0029326","p.persica_gdr_reftransV1_0029326")</f>
        <v>p.persica_gdr_reftransV1_0029326</v>
      </c>
      <c r="B6427" s="3">
        <v>2645</v>
      </c>
      <c r="C6427" s="1" t="str">
        <f>HYPERLINK("http://www.uniprot.org/uniprot/MAP1D_ARATH","MAP1D_ARATH")</f>
        <v>MAP1D_ARATH</v>
      </c>
      <c r="D6427" t="s">
        <v>5275</v>
      </c>
      <c r="E6427" s="3" t="s">
        <v>3</v>
      </c>
      <c r="F6427" s="4">
        <v>8.73E-113</v>
      </c>
      <c r="G6427" s="3">
        <v>913</v>
      </c>
      <c r="H6427" s="3">
        <v>67</v>
      </c>
      <c r="I6427" s="3">
        <v>253</v>
      </c>
      <c r="J6427" s="3">
        <v>1712</v>
      </c>
      <c r="K6427" s="3">
        <v>2470</v>
      </c>
      <c r="L6427" s="3">
        <v>2</v>
      </c>
      <c r="M6427" s="3">
        <v>254</v>
      </c>
    </row>
    <row r="6428" spans="1:13" x14ac:dyDescent="0.25">
      <c r="A6428" s="1" t="str">
        <f>HYPERLINK("http://www.rosaceae.org/Prunus/Prunus_persica/p.persica_gdr_reftransV1_0029526","p.persica_gdr_reftransV1_0029526")</f>
        <v>p.persica_gdr_reftransV1_0029526</v>
      </c>
      <c r="B6428" s="3">
        <v>1724</v>
      </c>
      <c r="C6428" s="1" t="str">
        <f>HYPERLINK("http://www.uniprot.org/uniprot/AXS2_ARATH","AXS2_ARATH")</f>
        <v>AXS2_ARATH</v>
      </c>
      <c r="D6428" t="s">
        <v>5276</v>
      </c>
      <c r="E6428" s="3" t="s">
        <v>3</v>
      </c>
      <c r="F6428" s="4">
        <v>0</v>
      </c>
      <c r="G6428" s="3">
        <v>1873</v>
      </c>
      <c r="H6428" s="3">
        <v>91</v>
      </c>
      <c r="I6428" s="3">
        <v>376</v>
      </c>
      <c r="J6428" s="3">
        <v>469</v>
      </c>
      <c r="K6428" s="3">
        <v>1596</v>
      </c>
      <c r="L6428" s="3">
        <v>7</v>
      </c>
      <c r="M6428" s="3">
        <v>381</v>
      </c>
    </row>
    <row r="6429" spans="1:13" x14ac:dyDescent="0.25">
      <c r="A6429" s="1" t="str">
        <f>HYPERLINK("http://www.rosaceae.org/Prunus/Prunus_persica/p.persica_gdr_reftransV1_0029576","p.persica_gdr_reftransV1_0029576")</f>
        <v>p.persica_gdr_reftransV1_0029576</v>
      </c>
      <c r="B6429" s="3">
        <v>2693</v>
      </c>
      <c r="C6429" s="1" t="str">
        <f>HYPERLINK("http://www.uniprot.org/uniprot/GLYT3_ARATH","GLYT3_ARATH")</f>
        <v>GLYT3_ARATH</v>
      </c>
      <c r="D6429" t="s">
        <v>2169</v>
      </c>
      <c r="E6429" s="3" t="s">
        <v>3</v>
      </c>
      <c r="F6429" s="4">
        <v>4.6699999999999998E-106</v>
      </c>
      <c r="G6429" s="3">
        <v>883</v>
      </c>
      <c r="H6429" s="3">
        <v>48</v>
      </c>
      <c r="I6429" s="3">
        <v>346</v>
      </c>
      <c r="J6429" s="3">
        <v>1486</v>
      </c>
      <c r="K6429" s="3">
        <v>2511</v>
      </c>
      <c r="L6429" s="3">
        <v>172</v>
      </c>
      <c r="M6429" s="3">
        <v>512</v>
      </c>
    </row>
    <row r="6430" spans="1:13" x14ac:dyDescent="0.25">
      <c r="A6430" s="1" t="str">
        <f>HYPERLINK("http://www.rosaceae.org/Prunus/Prunus_persica/p.persica_gdr_reftransV1_0029776","p.persica_gdr_reftransV1_0029776")</f>
        <v>p.persica_gdr_reftransV1_0029776</v>
      </c>
      <c r="B6430" s="3">
        <v>4501</v>
      </c>
      <c r="C6430" s="1" t="str">
        <f>HYPERLINK("http://www.uniprot.org/uniprot/NADK1_ARATH","NADK1_ARATH")</f>
        <v>NADK1_ARATH</v>
      </c>
      <c r="D6430" t="s">
        <v>5277</v>
      </c>
      <c r="E6430" s="3" t="s">
        <v>3</v>
      </c>
      <c r="F6430" s="4">
        <v>3.0000000000000001E-100</v>
      </c>
      <c r="G6430" s="3">
        <v>863</v>
      </c>
      <c r="H6430" s="3">
        <v>83</v>
      </c>
      <c r="I6430" s="3">
        <v>191</v>
      </c>
      <c r="J6430" s="3">
        <v>1251</v>
      </c>
      <c r="K6430" s="3">
        <v>1820</v>
      </c>
      <c r="L6430" s="3">
        <v>236</v>
      </c>
      <c r="M6430" s="3">
        <v>426</v>
      </c>
    </row>
    <row r="6431" spans="1:13" x14ac:dyDescent="0.25">
      <c r="A6431" s="1" t="str">
        <f>HYPERLINK("http://www.rosaceae.org/Prunus/Prunus_persica/p.persica_gdr_reftransV1_0029826","p.persica_gdr_reftransV1_0029826")</f>
        <v>p.persica_gdr_reftransV1_0029826</v>
      </c>
      <c r="B6431" s="3">
        <v>833</v>
      </c>
      <c r="C6431" s="1" t="str">
        <f>HYPERLINK("http://www.uniprot.org/uniprot/FPP7_ARATH","FPP7_ARATH")</f>
        <v>FPP7_ARATH</v>
      </c>
      <c r="D6431" t="s">
        <v>5278</v>
      </c>
      <c r="E6431" s="3" t="s">
        <v>3</v>
      </c>
      <c r="F6431" s="4">
        <v>7.0400000000000002E-32</v>
      </c>
      <c r="G6431" s="3">
        <v>325</v>
      </c>
      <c r="H6431" s="3">
        <v>40</v>
      </c>
      <c r="I6431" s="3">
        <v>240</v>
      </c>
      <c r="J6431" s="3">
        <v>6</v>
      </c>
      <c r="K6431" s="3">
        <v>722</v>
      </c>
      <c r="L6431" s="3">
        <v>1</v>
      </c>
      <c r="M6431" s="3">
        <v>223</v>
      </c>
    </row>
    <row r="6432" spans="1:13" x14ac:dyDescent="0.25">
      <c r="A6432" s="1" t="str">
        <f>HYPERLINK("http://www.rosaceae.org/Prunus/Prunus_persica/p.persica_gdr_reftransV1_0029976","p.persica_gdr_reftransV1_0029976")</f>
        <v>p.persica_gdr_reftransV1_0029976</v>
      </c>
      <c r="B6432" s="3">
        <v>2161</v>
      </c>
      <c r="C6432" s="1" t="str">
        <f>HYPERLINK("http://www.uniprot.org/uniprot/AP1M2_ARATH","AP1M2_ARATH")</f>
        <v>AP1M2_ARATH</v>
      </c>
      <c r="D6432" t="s">
        <v>2</v>
      </c>
      <c r="E6432" s="3" t="s">
        <v>3</v>
      </c>
      <c r="F6432" s="4">
        <v>0</v>
      </c>
      <c r="G6432" s="3">
        <v>2142</v>
      </c>
      <c r="H6432" s="3">
        <v>91</v>
      </c>
      <c r="I6432" s="3">
        <v>428</v>
      </c>
      <c r="J6432" s="3">
        <v>252</v>
      </c>
      <c r="K6432" s="3">
        <v>1535</v>
      </c>
      <c r="L6432" s="3">
        <v>1</v>
      </c>
      <c r="M6432" s="3">
        <v>428</v>
      </c>
    </row>
    <row r="6433" spans="1:13" x14ac:dyDescent="0.25">
      <c r="A6433" s="1" t="str">
        <f>HYPERLINK("http://www.rosaceae.org/Prunus/Prunus_persica/p.persica_gdr_reftransV1_0030026","p.persica_gdr_reftransV1_0030026")</f>
        <v>p.persica_gdr_reftransV1_0030026</v>
      </c>
      <c r="B6433" s="3">
        <v>1497</v>
      </c>
      <c r="C6433" s="1" t="str">
        <f>HYPERLINK("http://www.uniprot.org/uniprot/TA14B_ARATH","TA14B_ARATH")</f>
        <v>TA14B_ARATH</v>
      </c>
      <c r="D6433" t="s">
        <v>5279</v>
      </c>
      <c r="E6433" s="3" t="s">
        <v>3</v>
      </c>
      <c r="F6433" s="4">
        <v>4.3299999999999999E-116</v>
      </c>
      <c r="G6433" s="3">
        <v>897</v>
      </c>
      <c r="H6433" s="3">
        <v>60</v>
      </c>
      <c r="I6433" s="3">
        <v>269</v>
      </c>
      <c r="J6433" s="3">
        <v>445</v>
      </c>
      <c r="K6433" s="3">
        <v>1251</v>
      </c>
      <c r="L6433" s="3">
        <v>1</v>
      </c>
      <c r="M6433" s="3">
        <v>263</v>
      </c>
    </row>
    <row r="6434" spans="1:13" x14ac:dyDescent="0.25">
      <c r="A6434" s="1" t="str">
        <f>HYPERLINK("http://www.rosaceae.org/Prunus/Prunus_persica/p.persica_gdr_reftransV1_0030176","p.persica_gdr_reftransV1_0030176")</f>
        <v>p.persica_gdr_reftransV1_0030176</v>
      </c>
      <c r="B6434" s="3">
        <v>3726</v>
      </c>
      <c r="C6434" s="1" t="str">
        <f>HYPERLINK("http://www.uniprot.org/uniprot/GUN9_ORYSJ","GUN9_ORYSJ")</f>
        <v>GUN9_ORYSJ</v>
      </c>
      <c r="D6434" t="s">
        <v>4452</v>
      </c>
      <c r="E6434" s="3" t="s">
        <v>38</v>
      </c>
      <c r="F6434" s="4">
        <v>1.21E-177</v>
      </c>
      <c r="G6434" s="3">
        <v>1404</v>
      </c>
      <c r="H6434" s="3">
        <v>65</v>
      </c>
      <c r="I6434" s="3">
        <v>478</v>
      </c>
      <c r="J6434" s="3">
        <v>2098</v>
      </c>
      <c r="K6434" s="3">
        <v>3507</v>
      </c>
      <c r="L6434" s="3">
        <v>128</v>
      </c>
      <c r="M6434" s="3">
        <v>603</v>
      </c>
    </row>
    <row r="6435" spans="1:13" x14ac:dyDescent="0.25">
      <c r="A6435" s="1" t="str">
        <f>HYPERLINK("http://www.rosaceae.org/Prunus/Prunus_persica/p.persica_gdr_reftransV1_0030376","p.persica_gdr_reftransV1_0030376")</f>
        <v>p.persica_gdr_reftransV1_0030376</v>
      </c>
      <c r="B6435" s="3">
        <v>1435</v>
      </c>
      <c r="C6435" s="1" t="str">
        <f>HYPERLINK("http://www.uniprot.org/uniprot/BH030_ARATH","BH030_ARATH")</f>
        <v>BH030_ARATH</v>
      </c>
      <c r="D6435" t="s">
        <v>2098</v>
      </c>
      <c r="E6435" s="3" t="s">
        <v>3</v>
      </c>
      <c r="F6435" s="4">
        <v>1.0500000000000001E-30</v>
      </c>
      <c r="G6435" s="3">
        <v>315</v>
      </c>
      <c r="H6435" s="3">
        <v>41</v>
      </c>
      <c r="I6435" s="3">
        <v>217</v>
      </c>
      <c r="J6435" s="3">
        <v>241</v>
      </c>
      <c r="K6435" s="3">
        <v>873</v>
      </c>
      <c r="L6435" s="3">
        <v>156</v>
      </c>
      <c r="M6435" s="3">
        <v>364</v>
      </c>
    </row>
    <row r="6436" spans="1:13" x14ac:dyDescent="0.25">
      <c r="A6436" s="1" t="str">
        <f>HYPERLINK("http://www.rosaceae.org/Prunus/Prunus_persica/p.persica_gdr_reftransV1_0031126","p.persica_gdr_reftransV1_0031126")</f>
        <v>p.persica_gdr_reftransV1_0031126</v>
      </c>
      <c r="B6436" s="3">
        <v>2983</v>
      </c>
      <c r="C6436" s="1" t="str">
        <f>HYPERLINK("http://www.uniprot.org/uniprot/Y1491_ARATH","Y1491_ARATH")</f>
        <v>Y1491_ARATH</v>
      </c>
      <c r="D6436" t="s">
        <v>310</v>
      </c>
      <c r="E6436" s="3" t="s">
        <v>3</v>
      </c>
      <c r="F6436" s="4">
        <v>9.7900000000000002E-51</v>
      </c>
      <c r="G6436" s="3">
        <v>487</v>
      </c>
      <c r="H6436" s="3">
        <v>34</v>
      </c>
      <c r="I6436" s="3">
        <v>324</v>
      </c>
      <c r="J6436" s="3">
        <v>754</v>
      </c>
      <c r="K6436" s="3">
        <v>1719</v>
      </c>
      <c r="L6436" s="3">
        <v>60</v>
      </c>
      <c r="M6436" s="3">
        <v>367</v>
      </c>
    </row>
    <row r="6437" spans="1:13" x14ac:dyDescent="0.25">
      <c r="A6437" s="1" t="str">
        <f>HYPERLINK("http://www.rosaceae.org/Prunus/Prunus_persica/p.persica_gdr_reftransV1_0031276","p.persica_gdr_reftransV1_0031276")</f>
        <v>p.persica_gdr_reftransV1_0031276</v>
      </c>
      <c r="B6437" s="3">
        <v>2150</v>
      </c>
      <c r="C6437" s="1" t="str">
        <f>HYPERLINK("http://www.uniprot.org/uniprot/AUXI1_ARATH","AUXI1_ARATH")</f>
        <v>AUXI1_ARATH</v>
      </c>
      <c r="D6437" t="s">
        <v>5280</v>
      </c>
      <c r="E6437" s="3" t="s">
        <v>3</v>
      </c>
      <c r="F6437" s="4">
        <v>2.27E-54</v>
      </c>
      <c r="G6437" s="3">
        <v>520</v>
      </c>
      <c r="H6437" s="3">
        <v>74</v>
      </c>
      <c r="I6437" s="3">
        <v>125</v>
      </c>
      <c r="J6437" s="3">
        <v>24</v>
      </c>
      <c r="K6437" s="3">
        <v>398</v>
      </c>
      <c r="L6437" s="3">
        <v>779</v>
      </c>
      <c r="M6437" s="3">
        <v>903</v>
      </c>
    </row>
    <row r="6438" spans="1:13" x14ac:dyDescent="0.25">
      <c r="A6438" s="1" t="str">
        <f>HYPERLINK("http://www.rosaceae.org/Prunus/Prunus_persica/p.persica_gdr_reftransV1_0031326","p.persica_gdr_reftransV1_0031326")</f>
        <v>p.persica_gdr_reftransV1_0031326</v>
      </c>
      <c r="B6438" s="3">
        <v>2501</v>
      </c>
      <c r="C6438" s="1" t="str">
        <f>HYPERLINK("http://www.uniprot.org/uniprot/TCF25_HUMAN","TCF25_HUMAN")</f>
        <v>TCF25_HUMAN</v>
      </c>
      <c r="D6438" t="s">
        <v>5281</v>
      </c>
      <c r="E6438" s="3" t="s">
        <v>28</v>
      </c>
      <c r="F6438" s="4">
        <v>5.8E-49</v>
      </c>
      <c r="G6438" s="3">
        <v>476</v>
      </c>
      <c r="H6438" s="3">
        <v>28</v>
      </c>
      <c r="I6438" s="3">
        <v>465</v>
      </c>
      <c r="J6438" s="3">
        <v>618</v>
      </c>
      <c r="K6438" s="3">
        <v>1976</v>
      </c>
      <c r="L6438" s="3">
        <v>177</v>
      </c>
      <c r="M6438" s="3">
        <v>619</v>
      </c>
    </row>
    <row r="6439" spans="1:13" x14ac:dyDescent="0.25">
      <c r="A6439" s="1" t="str">
        <f>HYPERLINK("http://www.rosaceae.org/Prunus/Prunus_persica/p.persica_gdr_reftransV1_0031376","p.persica_gdr_reftransV1_0031376")</f>
        <v>p.persica_gdr_reftransV1_0031376</v>
      </c>
      <c r="B6439" s="3">
        <v>1814</v>
      </c>
      <c r="C6439" s="1" t="str">
        <f>HYPERLINK("http://www.uniprot.org/uniprot/Y1049_ARATH","Y1049_ARATH")</f>
        <v>Y1049_ARATH</v>
      </c>
      <c r="D6439" t="s">
        <v>5282</v>
      </c>
      <c r="E6439" s="3" t="s">
        <v>3</v>
      </c>
      <c r="F6439" s="4">
        <v>0</v>
      </c>
      <c r="G6439" s="3">
        <v>1620</v>
      </c>
      <c r="H6439" s="3">
        <v>63</v>
      </c>
      <c r="I6439" s="3">
        <v>471</v>
      </c>
      <c r="J6439" s="3">
        <v>297</v>
      </c>
      <c r="K6439" s="3">
        <v>1706</v>
      </c>
      <c r="L6439" s="3">
        <v>21</v>
      </c>
      <c r="M6439" s="3">
        <v>488</v>
      </c>
    </row>
    <row r="6440" spans="1:13" x14ac:dyDescent="0.25">
      <c r="A6440" s="1" t="str">
        <f>HYPERLINK("http://www.rosaceae.org/Prunus/Prunus_persica/p.persica_gdr_reftransV1_0031776","p.persica_gdr_reftransV1_0031776")</f>
        <v>p.persica_gdr_reftransV1_0031776</v>
      </c>
      <c r="B6440" s="3">
        <v>4311</v>
      </c>
      <c r="C6440" s="1" t="str">
        <f>HYPERLINK("http://www.uniprot.org/uniprot/RB3GP_HUMAN","RB3GP_HUMAN")</f>
        <v>RB3GP_HUMAN</v>
      </c>
      <c r="D6440" t="s">
        <v>5283</v>
      </c>
      <c r="E6440" s="3" t="s">
        <v>28</v>
      </c>
      <c r="F6440" s="4">
        <v>7.6399999999999996E-27</v>
      </c>
      <c r="G6440" s="3">
        <v>308</v>
      </c>
      <c r="H6440" s="3">
        <v>33</v>
      </c>
      <c r="I6440" s="3">
        <v>294</v>
      </c>
      <c r="J6440" s="3">
        <v>2199</v>
      </c>
      <c r="K6440" s="3">
        <v>2921</v>
      </c>
      <c r="L6440" s="3">
        <v>443</v>
      </c>
      <c r="M6440" s="3">
        <v>730</v>
      </c>
    </row>
    <row r="6441" spans="1:13" x14ac:dyDescent="0.25">
      <c r="A6441" s="1" t="str">
        <f>HYPERLINK("http://www.rosaceae.org/Prunus/Prunus_persica/p.persica_gdr_reftransV1_0032126","p.persica_gdr_reftransV1_0032126")</f>
        <v>p.persica_gdr_reftransV1_0032126</v>
      </c>
      <c r="B6441" s="3">
        <v>1585</v>
      </c>
      <c r="C6441" s="1" t="str">
        <f>HYPERLINK("http://www.uniprot.org/uniprot/AAT_THEMA","AAT_THEMA")</f>
        <v>AAT_THEMA</v>
      </c>
      <c r="D6441" t="s">
        <v>5284</v>
      </c>
      <c r="E6441" s="3" t="s">
        <v>3285</v>
      </c>
      <c r="F6441" s="4">
        <v>3.14E-30</v>
      </c>
      <c r="G6441" s="3">
        <v>313</v>
      </c>
      <c r="H6441" s="3">
        <v>26</v>
      </c>
      <c r="I6441" s="3">
        <v>372</v>
      </c>
      <c r="J6441" s="3">
        <v>97</v>
      </c>
      <c r="K6441" s="3">
        <v>1131</v>
      </c>
      <c r="L6441" s="3">
        <v>5</v>
      </c>
      <c r="M6441" s="3">
        <v>361</v>
      </c>
    </row>
    <row r="6442" spans="1:13" x14ac:dyDescent="0.25">
      <c r="A6442" s="1" t="str">
        <f>HYPERLINK("http://www.rosaceae.org/Prunus/Prunus_persica/p.persica_gdr_reftransV1_0032526","p.persica_gdr_reftransV1_0032526")</f>
        <v>p.persica_gdr_reftransV1_0032526</v>
      </c>
      <c r="B6442" s="3">
        <v>3937</v>
      </c>
      <c r="C6442" s="1" t="str">
        <f>HYPERLINK("http://www.uniprot.org/uniprot/2A5A_ARATH","2A5A_ARATH")</f>
        <v>2A5A_ARATH</v>
      </c>
      <c r="D6442" t="s">
        <v>5285</v>
      </c>
      <c r="E6442" s="3" t="s">
        <v>3</v>
      </c>
      <c r="F6442" s="4">
        <v>0</v>
      </c>
      <c r="G6442" s="3">
        <v>1462</v>
      </c>
      <c r="H6442" s="3">
        <v>82</v>
      </c>
      <c r="I6442" s="3">
        <v>370</v>
      </c>
      <c r="J6442" s="3">
        <v>2240</v>
      </c>
      <c r="K6442" s="3">
        <v>3349</v>
      </c>
      <c r="L6442" s="3">
        <v>24</v>
      </c>
      <c r="M6442" s="3">
        <v>390</v>
      </c>
    </row>
    <row r="6443" spans="1:13" x14ac:dyDescent="0.25">
      <c r="A6443" s="1" t="str">
        <f>HYPERLINK("http://www.rosaceae.org/Prunus/Prunus_persica/p.persica_gdr_reftransV1_0032726","p.persica_gdr_reftransV1_0032726")</f>
        <v>p.persica_gdr_reftransV1_0032726</v>
      </c>
      <c r="B6443" s="3">
        <v>3510</v>
      </c>
      <c r="C6443" s="1" t="str">
        <f>HYPERLINK("http://www.uniprot.org/uniprot/DHX36_HUMAN","DHX36_HUMAN")</f>
        <v>DHX36_HUMAN</v>
      </c>
      <c r="D6443" t="s">
        <v>1761</v>
      </c>
      <c r="E6443" s="3" t="s">
        <v>28</v>
      </c>
      <c r="F6443" s="4">
        <v>0</v>
      </c>
      <c r="G6443" s="3">
        <v>1126</v>
      </c>
      <c r="H6443" s="3">
        <v>49</v>
      </c>
      <c r="I6443" s="3">
        <v>528</v>
      </c>
      <c r="J6443" s="3">
        <v>1217</v>
      </c>
      <c r="K6443" s="3">
        <v>2770</v>
      </c>
      <c r="L6443" s="3">
        <v>175</v>
      </c>
      <c r="M6443" s="3">
        <v>692</v>
      </c>
    </row>
    <row r="6444" spans="1:13" x14ac:dyDescent="0.25">
      <c r="A6444" s="1" t="str">
        <f>HYPERLINK("http://www.rosaceae.org/Prunus/Prunus_persica/p.persica_gdr_reftransV1_0032776","p.persica_gdr_reftransV1_0032776")</f>
        <v>p.persica_gdr_reftransV1_0032776</v>
      </c>
      <c r="B6444" s="3">
        <v>2524</v>
      </c>
      <c r="C6444" s="1" t="str">
        <f>HYPERLINK("http://www.uniprot.org/uniprot/Y4597_ARATH","Y4597_ARATH")</f>
        <v>Y4597_ARATH</v>
      </c>
      <c r="D6444" t="s">
        <v>604</v>
      </c>
      <c r="E6444" s="3" t="s">
        <v>3</v>
      </c>
      <c r="F6444" s="4">
        <v>1.66E-98</v>
      </c>
      <c r="G6444" s="3">
        <v>814</v>
      </c>
      <c r="H6444" s="3">
        <v>51</v>
      </c>
      <c r="I6444" s="3">
        <v>300</v>
      </c>
      <c r="J6444" s="3">
        <v>782</v>
      </c>
      <c r="K6444" s="3">
        <v>1678</v>
      </c>
      <c r="L6444" s="3">
        <v>19</v>
      </c>
      <c r="M6444" s="3">
        <v>309</v>
      </c>
    </row>
    <row r="6445" spans="1:13" x14ac:dyDescent="0.25">
      <c r="A6445" s="1" t="str">
        <f>HYPERLINK("http://www.rosaceae.org/Prunus/Prunus_persica/p.persica_gdr_reftransV1_0033076","p.persica_gdr_reftransV1_0033076")</f>
        <v>p.persica_gdr_reftransV1_0033076</v>
      </c>
      <c r="B6445" s="3">
        <v>3411</v>
      </c>
      <c r="C6445" s="1" t="str">
        <f>HYPERLINK("http://www.uniprot.org/uniprot/FAAH_ARATH","FAAH_ARATH")</f>
        <v>FAAH_ARATH</v>
      </c>
      <c r="D6445" t="s">
        <v>5286</v>
      </c>
      <c r="E6445" s="3" t="s">
        <v>3</v>
      </c>
      <c r="F6445" s="4">
        <v>0</v>
      </c>
      <c r="G6445" s="3">
        <v>1639</v>
      </c>
      <c r="H6445" s="3">
        <v>70</v>
      </c>
      <c r="I6445" s="3">
        <v>448</v>
      </c>
      <c r="J6445" s="3">
        <v>358</v>
      </c>
      <c r="K6445" s="3">
        <v>1701</v>
      </c>
      <c r="L6445" s="3">
        <v>13</v>
      </c>
      <c r="M6445" s="3">
        <v>460</v>
      </c>
    </row>
    <row r="6446" spans="1:13" x14ac:dyDescent="0.25">
      <c r="A6446" s="1" t="str">
        <f>HYPERLINK("http://www.rosaceae.org/Prunus/Prunus_persica/p.persica_gdr_reftransV1_0033376","p.persica_gdr_reftransV1_0033376")</f>
        <v>p.persica_gdr_reftransV1_0033376</v>
      </c>
      <c r="B6446" s="3">
        <v>1342</v>
      </c>
      <c r="C6446" s="1" t="str">
        <f>HYPERLINK("http://www.uniprot.org/uniprot/ILR3_ARATH","ILR3_ARATH")</f>
        <v>ILR3_ARATH</v>
      </c>
      <c r="D6446" t="s">
        <v>5287</v>
      </c>
      <c r="E6446" s="3" t="s">
        <v>3</v>
      </c>
      <c r="F6446" s="4">
        <v>2.0600000000000001E-75</v>
      </c>
      <c r="G6446" s="3">
        <v>617</v>
      </c>
      <c r="H6446" s="3">
        <v>70</v>
      </c>
      <c r="I6446" s="3">
        <v>171</v>
      </c>
      <c r="J6446" s="3">
        <v>613</v>
      </c>
      <c r="K6446" s="3">
        <v>1119</v>
      </c>
      <c r="L6446" s="3">
        <v>64</v>
      </c>
      <c r="M6446" s="3">
        <v>234</v>
      </c>
    </row>
    <row r="6447" spans="1:13" x14ac:dyDescent="0.25">
      <c r="A6447" s="1" t="str">
        <f>HYPERLINK("http://www.rosaceae.org/Prunus/Prunus_persica/p.persica_gdr_reftransV1_0033426","p.persica_gdr_reftransV1_0033426")</f>
        <v>p.persica_gdr_reftransV1_0033426</v>
      </c>
      <c r="B6447" s="3">
        <v>6619</v>
      </c>
      <c r="C6447" s="1" t="str">
        <f>HYPERLINK("http://www.uniprot.org/uniprot/MED13_ARATH","MED13_ARATH")</f>
        <v>MED13_ARATH</v>
      </c>
      <c r="D6447" t="s">
        <v>5288</v>
      </c>
      <c r="E6447" s="3" t="s">
        <v>3</v>
      </c>
      <c r="F6447" s="4">
        <v>0</v>
      </c>
      <c r="G6447" s="3">
        <v>5095</v>
      </c>
      <c r="H6447" s="3">
        <v>58</v>
      </c>
      <c r="I6447" s="3">
        <v>2033</v>
      </c>
      <c r="J6447" s="3">
        <v>445</v>
      </c>
      <c r="K6447" s="3">
        <v>6324</v>
      </c>
      <c r="L6447" s="3">
        <v>1</v>
      </c>
      <c r="M6447" s="3">
        <v>1918</v>
      </c>
    </row>
    <row r="6448" spans="1:13" x14ac:dyDescent="0.25">
      <c r="A6448" s="1" t="str">
        <f>HYPERLINK("http://www.rosaceae.org/Prunus/Prunus_persica/p.persica_gdr_reftransV1_0033626","p.persica_gdr_reftransV1_0033626")</f>
        <v>p.persica_gdr_reftransV1_0033626</v>
      </c>
      <c r="B6448" s="3">
        <v>3075</v>
      </c>
      <c r="C6448" s="1" t="str">
        <f>HYPERLINK("http://www.uniprot.org/uniprot/2ABB_ARATH","2ABB_ARATH")</f>
        <v>2ABB_ARATH</v>
      </c>
      <c r="D6448" t="s">
        <v>1960</v>
      </c>
      <c r="E6448" s="3" t="s">
        <v>3</v>
      </c>
      <c r="F6448" s="4">
        <v>0</v>
      </c>
      <c r="G6448" s="3">
        <v>1966</v>
      </c>
      <c r="H6448" s="3">
        <v>81</v>
      </c>
      <c r="I6448" s="3">
        <v>453</v>
      </c>
      <c r="J6448" s="3">
        <v>1412</v>
      </c>
      <c r="K6448" s="3">
        <v>2764</v>
      </c>
      <c r="L6448" s="3">
        <v>16</v>
      </c>
      <c r="M6448" s="3">
        <v>457</v>
      </c>
    </row>
    <row r="6449" spans="1:13" x14ac:dyDescent="0.25">
      <c r="A6449" s="1" t="str">
        <f>HYPERLINK("http://www.rosaceae.org/Prunus/Prunus_persica/p.persica_gdr_reftransV1_0033776","p.persica_gdr_reftransV1_0033776")</f>
        <v>p.persica_gdr_reftransV1_0033776</v>
      </c>
      <c r="B6449" s="3">
        <v>2210</v>
      </c>
      <c r="C6449" s="1" t="str">
        <f>HYPERLINK("http://www.uniprot.org/uniprot/BIM2_ARATH","BIM2_ARATH")</f>
        <v>BIM2_ARATH</v>
      </c>
      <c r="D6449" t="s">
        <v>1674</v>
      </c>
      <c r="E6449" s="3" t="s">
        <v>3</v>
      </c>
      <c r="F6449" s="4">
        <v>1.54E-27</v>
      </c>
      <c r="G6449" s="3">
        <v>296</v>
      </c>
      <c r="H6449" s="3">
        <v>78</v>
      </c>
      <c r="I6449" s="3">
        <v>73</v>
      </c>
      <c r="J6449" s="3">
        <v>360</v>
      </c>
      <c r="K6449" s="3">
        <v>575</v>
      </c>
      <c r="L6449" s="3">
        <v>47</v>
      </c>
      <c r="M6449" s="3">
        <v>119</v>
      </c>
    </row>
    <row r="6450" spans="1:13" x14ac:dyDescent="0.25">
      <c r="A6450" s="1" t="str">
        <f>HYPERLINK("http://www.rosaceae.org/Prunus/Prunus_persica/p.persica_gdr_reftransV1_0033826","p.persica_gdr_reftransV1_0033826")</f>
        <v>p.persica_gdr_reftransV1_0033826</v>
      </c>
      <c r="B6450" s="3">
        <v>2755</v>
      </c>
      <c r="C6450" s="1" t="str">
        <f>HYPERLINK("http://www.uniprot.org/uniprot/KEA2_ARATH","KEA2_ARATH")</f>
        <v>KEA2_ARATH</v>
      </c>
      <c r="D6450" t="s">
        <v>4126</v>
      </c>
      <c r="E6450" s="3" t="s">
        <v>3</v>
      </c>
      <c r="F6450" s="4">
        <v>0</v>
      </c>
      <c r="G6450" s="3">
        <v>1882</v>
      </c>
      <c r="H6450" s="3">
        <v>60</v>
      </c>
      <c r="I6450" s="3">
        <v>798</v>
      </c>
      <c r="J6450" s="3">
        <v>287</v>
      </c>
      <c r="K6450" s="3">
        <v>2674</v>
      </c>
      <c r="L6450" s="3">
        <v>1</v>
      </c>
      <c r="M6450" s="3">
        <v>746</v>
      </c>
    </row>
    <row r="6451" spans="1:13" x14ac:dyDescent="0.25">
      <c r="A6451" s="1" t="str">
        <f>HYPERLINK("http://www.rosaceae.org/Prunus/Prunus_persica/p.persica_gdr_reftransV1_0033876","p.persica_gdr_reftransV1_0033876")</f>
        <v>p.persica_gdr_reftransV1_0033876</v>
      </c>
      <c r="B6451" s="3">
        <v>3044</v>
      </c>
      <c r="C6451" s="1" t="str">
        <f>HYPERLINK("http://www.uniprot.org/uniprot/SUT3_STYHA","SUT3_STYHA")</f>
        <v>SUT3_STYHA</v>
      </c>
      <c r="D6451" t="s">
        <v>5289</v>
      </c>
      <c r="E6451" s="3" t="s">
        <v>5290</v>
      </c>
      <c r="F6451" s="4">
        <v>0</v>
      </c>
      <c r="G6451" s="3">
        <v>2173</v>
      </c>
      <c r="H6451" s="3">
        <v>71</v>
      </c>
      <c r="I6451" s="3">
        <v>639</v>
      </c>
      <c r="J6451" s="3">
        <v>953</v>
      </c>
      <c r="K6451" s="3">
        <v>2854</v>
      </c>
      <c r="L6451" s="3">
        <v>11</v>
      </c>
      <c r="M6451" s="3">
        <v>644</v>
      </c>
    </row>
    <row r="6452" spans="1:13" x14ac:dyDescent="0.25">
      <c r="A6452" s="1" t="str">
        <f>HYPERLINK("http://www.rosaceae.org/Prunus/Prunus_persica/p.persica_gdr_reftransV1_0033926","p.persica_gdr_reftransV1_0033926")</f>
        <v>p.persica_gdr_reftransV1_0033926</v>
      </c>
      <c r="B6452" s="3">
        <v>2386</v>
      </c>
      <c r="C6452" s="1" t="str">
        <f>HYPERLINK("http://www.uniprot.org/uniprot/RING4_ARATH","RING4_ARATH")</f>
        <v>RING4_ARATH</v>
      </c>
      <c r="D6452" t="s">
        <v>5291</v>
      </c>
      <c r="E6452" s="3" t="s">
        <v>3</v>
      </c>
      <c r="F6452" s="4">
        <v>5.5600000000000002E-54</v>
      </c>
      <c r="G6452" s="3">
        <v>498</v>
      </c>
      <c r="H6452" s="3">
        <v>56</v>
      </c>
      <c r="I6452" s="3">
        <v>218</v>
      </c>
      <c r="J6452" s="3">
        <v>1497</v>
      </c>
      <c r="K6452" s="3">
        <v>2147</v>
      </c>
      <c r="L6452" s="3">
        <v>80</v>
      </c>
      <c r="M6452" s="3">
        <v>291</v>
      </c>
    </row>
    <row r="6453" spans="1:13" x14ac:dyDescent="0.25">
      <c r="A6453" s="1" t="str">
        <f>HYPERLINK("http://www.rosaceae.org/Prunus/Prunus_persica/p.persica_gdr_reftransV1_0034026","p.persica_gdr_reftransV1_0034026")</f>
        <v>p.persica_gdr_reftransV1_0034026</v>
      </c>
      <c r="B6453" s="3">
        <v>2268</v>
      </c>
      <c r="C6453" s="1" t="str">
        <f>HYPERLINK("http://www.uniprot.org/uniprot/CQ10X_DANRE","CQ10X_DANRE")</f>
        <v>CQ10X_DANRE</v>
      </c>
      <c r="D6453" t="s">
        <v>2755</v>
      </c>
      <c r="E6453" s="3" t="s">
        <v>704</v>
      </c>
      <c r="F6453" s="4">
        <v>1.03E-13</v>
      </c>
      <c r="G6453" s="3">
        <v>184</v>
      </c>
      <c r="H6453" s="3">
        <v>44</v>
      </c>
      <c r="I6453" s="3">
        <v>70</v>
      </c>
      <c r="J6453" s="3">
        <v>482</v>
      </c>
      <c r="K6453" s="3">
        <v>691</v>
      </c>
      <c r="L6453" s="3">
        <v>153</v>
      </c>
      <c r="M6453" s="3">
        <v>222</v>
      </c>
    </row>
    <row r="6454" spans="1:13" x14ac:dyDescent="0.25">
      <c r="A6454" s="1" t="str">
        <f>HYPERLINK("http://www.rosaceae.org/Prunus/Prunus_persica/p.persica_gdr_reftransV1_0034176","p.persica_gdr_reftransV1_0034176")</f>
        <v>p.persica_gdr_reftransV1_0034176</v>
      </c>
      <c r="B6454" s="3">
        <v>2914</v>
      </c>
      <c r="C6454" s="1" t="str">
        <f>HYPERLINK("http://www.uniprot.org/uniprot/Y103_SYNY3","Y103_SYNY3")</f>
        <v>Y103_SYNY3</v>
      </c>
      <c r="D6454" t="s">
        <v>5292</v>
      </c>
      <c r="E6454" s="3" t="s">
        <v>527</v>
      </c>
      <c r="F6454" s="4">
        <v>5.7899999999999997E-10</v>
      </c>
      <c r="G6454" s="3">
        <v>160</v>
      </c>
      <c r="H6454" s="3">
        <v>33</v>
      </c>
      <c r="I6454" s="3">
        <v>177</v>
      </c>
      <c r="J6454" s="3">
        <v>1008</v>
      </c>
      <c r="K6454" s="3">
        <v>1526</v>
      </c>
      <c r="L6454" s="3">
        <v>38</v>
      </c>
      <c r="M6454" s="3">
        <v>198</v>
      </c>
    </row>
    <row r="6455" spans="1:13" x14ac:dyDescent="0.25">
      <c r="A6455" s="1" t="str">
        <f>HYPERLINK("http://www.rosaceae.org/Prunus/Prunus_persica/p.persica_gdr_reftransV1_0035126","p.persica_gdr_reftransV1_0035126")</f>
        <v>p.persica_gdr_reftransV1_0035126</v>
      </c>
      <c r="B6455" s="3">
        <v>2675</v>
      </c>
      <c r="C6455" s="1" t="str">
        <f>HYPERLINK("http://www.uniprot.org/uniprot/AAE13_ARATH","AAE13_ARATH")</f>
        <v>AAE13_ARATH</v>
      </c>
      <c r="D6455" t="s">
        <v>5293</v>
      </c>
      <c r="E6455" s="3" t="s">
        <v>3</v>
      </c>
      <c r="F6455" s="4">
        <v>0</v>
      </c>
      <c r="G6455" s="3">
        <v>1461</v>
      </c>
      <c r="H6455" s="3">
        <v>73</v>
      </c>
      <c r="I6455" s="3">
        <v>379</v>
      </c>
      <c r="J6455" s="3">
        <v>635</v>
      </c>
      <c r="K6455" s="3">
        <v>1771</v>
      </c>
      <c r="L6455" s="3">
        <v>60</v>
      </c>
      <c r="M6455" s="3">
        <v>428</v>
      </c>
    </row>
    <row r="6456" spans="1:13" x14ac:dyDescent="0.25">
      <c r="A6456" s="1" t="str">
        <f>HYPERLINK("http://www.rosaceae.org/Prunus/Prunus_persica/p.persica_gdr_reftransV1_0035176","p.persica_gdr_reftransV1_0035176")</f>
        <v>p.persica_gdr_reftransV1_0035176</v>
      </c>
      <c r="B6456" s="3">
        <v>3158</v>
      </c>
      <c r="C6456" s="1" t="str">
        <f>HYPERLINK("http://www.uniprot.org/uniprot/ADO1_ARATH","ADO1_ARATH")</f>
        <v>ADO1_ARATH</v>
      </c>
      <c r="D6456" t="s">
        <v>5294</v>
      </c>
      <c r="E6456" s="3" t="s">
        <v>3</v>
      </c>
      <c r="F6456" s="4">
        <v>0</v>
      </c>
      <c r="G6456" s="3">
        <v>2372</v>
      </c>
      <c r="H6456" s="3">
        <v>87</v>
      </c>
      <c r="I6456" s="3">
        <v>533</v>
      </c>
      <c r="J6456" s="3">
        <v>611</v>
      </c>
      <c r="K6456" s="3">
        <v>2209</v>
      </c>
      <c r="L6456" s="3">
        <v>83</v>
      </c>
      <c r="M6456" s="3">
        <v>606</v>
      </c>
    </row>
    <row r="6457" spans="1:13" x14ac:dyDescent="0.25">
      <c r="A6457" s="1" t="str">
        <f>HYPERLINK("http://www.rosaceae.org/Prunus/Prunus_persica/p.persica_gdr_reftransV1_0035276","p.persica_gdr_reftransV1_0035276")</f>
        <v>p.persica_gdr_reftransV1_0035276</v>
      </c>
      <c r="B6457" s="3">
        <v>3111</v>
      </c>
      <c r="C6457" s="1" t="str">
        <f>HYPERLINK("http://www.uniprot.org/uniprot/CNBL9_ARATH","CNBL9_ARATH")</f>
        <v>CNBL9_ARATH</v>
      </c>
      <c r="D6457" t="s">
        <v>5295</v>
      </c>
      <c r="E6457" s="3" t="s">
        <v>3</v>
      </c>
      <c r="F6457" s="4">
        <v>1.8799999999999999E-51</v>
      </c>
      <c r="G6457" s="3">
        <v>470</v>
      </c>
      <c r="H6457" s="3">
        <v>73</v>
      </c>
      <c r="I6457" s="3">
        <v>125</v>
      </c>
      <c r="J6457" s="3">
        <v>1610</v>
      </c>
      <c r="K6457" s="3">
        <v>1969</v>
      </c>
      <c r="L6457" s="3">
        <v>5</v>
      </c>
      <c r="M6457" s="3">
        <v>129</v>
      </c>
    </row>
    <row r="6458" spans="1:13" x14ac:dyDescent="0.25">
      <c r="A6458" s="1" t="str">
        <f>HYPERLINK("http://www.rosaceae.org/Prunus/Prunus_persica/p.persica_gdr_reftransV1_0035476","p.persica_gdr_reftransV1_0035476")</f>
        <v>p.persica_gdr_reftransV1_0035476</v>
      </c>
      <c r="B6458" s="3">
        <v>2557</v>
      </c>
      <c r="C6458" s="1" t="str">
        <f>HYPERLINK("http://www.uniprot.org/uniprot/M2K2_ARATH","M2K2_ARATH")</f>
        <v>M2K2_ARATH</v>
      </c>
      <c r="D6458" t="s">
        <v>1162</v>
      </c>
      <c r="E6458" s="3" t="s">
        <v>3</v>
      </c>
      <c r="F6458" s="4">
        <v>2.4799999999999999E-121</v>
      </c>
      <c r="G6458" s="3">
        <v>970</v>
      </c>
      <c r="H6458" s="3">
        <v>73</v>
      </c>
      <c r="I6458" s="3">
        <v>253</v>
      </c>
      <c r="J6458" s="3">
        <v>1097</v>
      </c>
      <c r="K6458" s="3">
        <v>1855</v>
      </c>
      <c r="L6458" s="3">
        <v>57</v>
      </c>
      <c r="M6458" s="3">
        <v>309</v>
      </c>
    </row>
    <row r="6459" spans="1:13" x14ac:dyDescent="0.25">
      <c r="A6459" s="1" t="str">
        <f>HYPERLINK("http://www.rosaceae.org/Prunus/Prunus_persica/p.persica_gdr_reftransV1_0035826","p.persica_gdr_reftransV1_0035826")</f>
        <v>p.persica_gdr_reftransV1_0035826</v>
      </c>
      <c r="B6459" s="3">
        <v>3309</v>
      </c>
      <c r="C6459" s="1" t="str">
        <f>HYPERLINK("http://www.uniprot.org/uniprot/CEBPZ_HUMAN","CEBPZ_HUMAN")</f>
        <v>CEBPZ_HUMAN</v>
      </c>
      <c r="D6459" t="s">
        <v>5296</v>
      </c>
      <c r="E6459" s="3" t="s">
        <v>28</v>
      </c>
      <c r="F6459" s="4">
        <v>3.4100000000000001E-109</v>
      </c>
      <c r="G6459" s="3">
        <v>955</v>
      </c>
      <c r="H6459" s="3">
        <v>34</v>
      </c>
      <c r="I6459" s="3">
        <v>708</v>
      </c>
      <c r="J6459" s="3">
        <v>790</v>
      </c>
      <c r="K6459" s="3">
        <v>2817</v>
      </c>
      <c r="L6459" s="3">
        <v>199</v>
      </c>
      <c r="M6459" s="3">
        <v>818</v>
      </c>
    </row>
    <row r="6460" spans="1:13" x14ac:dyDescent="0.25">
      <c r="A6460" s="1" t="str">
        <f>HYPERLINK("http://www.rosaceae.org/Prunus/Prunus_persica/p.persica_gdr_reftransV1_0035926","p.persica_gdr_reftransV1_0035926")</f>
        <v>p.persica_gdr_reftransV1_0035926</v>
      </c>
      <c r="B6460" s="3">
        <v>3178</v>
      </c>
      <c r="C6460" s="1" t="str">
        <f>HYPERLINK("http://www.uniprot.org/uniprot/PLDD1_ARATH","PLDD1_ARATH")</f>
        <v>PLDD1_ARATH</v>
      </c>
      <c r="D6460" t="s">
        <v>2454</v>
      </c>
      <c r="E6460" s="3" t="s">
        <v>3</v>
      </c>
      <c r="F6460" s="4">
        <v>0</v>
      </c>
      <c r="G6460" s="3">
        <v>2202</v>
      </c>
      <c r="H6460" s="3">
        <v>63</v>
      </c>
      <c r="I6460" s="3">
        <v>660</v>
      </c>
      <c r="J6460" s="3">
        <v>4</v>
      </c>
      <c r="K6460" s="3">
        <v>1926</v>
      </c>
      <c r="L6460" s="3">
        <v>279</v>
      </c>
      <c r="M6460" s="3">
        <v>857</v>
      </c>
    </row>
    <row r="6461" spans="1:13" x14ac:dyDescent="0.25">
      <c r="A6461" s="1" t="str">
        <f>HYPERLINK("http://www.rosaceae.org/Prunus/Prunus_persica/p.persica_gdr_reftransV1_0036326","p.persica_gdr_reftransV1_0036326")</f>
        <v>p.persica_gdr_reftransV1_0036326</v>
      </c>
      <c r="B6461" s="3">
        <v>3017</v>
      </c>
      <c r="C6461" s="1" t="str">
        <f>HYPERLINK("http://www.uniprot.org/uniprot/PTBP2_ARATH","PTBP2_ARATH")</f>
        <v>PTBP2_ARATH</v>
      </c>
      <c r="D6461" t="s">
        <v>5297</v>
      </c>
      <c r="E6461" s="3" t="s">
        <v>3</v>
      </c>
      <c r="F6461" s="4">
        <v>2.1000000000000001E-124</v>
      </c>
      <c r="G6461" s="3">
        <v>1007</v>
      </c>
      <c r="H6461" s="3">
        <v>88</v>
      </c>
      <c r="I6461" s="3">
        <v>207</v>
      </c>
      <c r="J6461" s="3">
        <v>1806</v>
      </c>
      <c r="K6461" s="3">
        <v>2426</v>
      </c>
      <c r="L6461" s="3">
        <v>133</v>
      </c>
      <c r="M6461" s="3">
        <v>339</v>
      </c>
    </row>
    <row r="6462" spans="1:13" x14ac:dyDescent="0.25">
      <c r="A6462" s="1" t="str">
        <f>HYPERLINK("http://www.rosaceae.org/Prunus/Prunus_persica/p.persica_gdr_reftransV1_0036426","p.persica_gdr_reftransV1_0036426")</f>
        <v>p.persica_gdr_reftransV1_0036426</v>
      </c>
      <c r="B6462" s="3">
        <v>4072</v>
      </c>
      <c r="C6462" s="1" t="str">
        <f>HYPERLINK("http://www.uniprot.org/uniprot/Y2165_ARATH","Y2165_ARATH")</f>
        <v>Y2165_ARATH</v>
      </c>
      <c r="D6462" t="s">
        <v>1481</v>
      </c>
      <c r="E6462" s="3" t="s">
        <v>3</v>
      </c>
      <c r="F6462" s="4">
        <v>3.0200000000000002E-170</v>
      </c>
      <c r="G6462" s="3">
        <v>1388</v>
      </c>
      <c r="H6462" s="3">
        <v>52</v>
      </c>
      <c r="I6462" s="3">
        <v>648</v>
      </c>
      <c r="J6462" s="3">
        <v>996</v>
      </c>
      <c r="K6462" s="3">
        <v>2912</v>
      </c>
      <c r="L6462" s="3">
        <v>53</v>
      </c>
      <c r="M6462" s="3">
        <v>698</v>
      </c>
    </row>
    <row r="6463" spans="1:13" x14ac:dyDescent="0.25">
      <c r="A6463" s="1" t="str">
        <f>HYPERLINK("http://www.rosaceae.org/Prunus/Prunus_persica/p.persica_gdr_reftransV1_0036526","p.persica_gdr_reftransV1_0036526")</f>
        <v>p.persica_gdr_reftransV1_0036526</v>
      </c>
      <c r="B6463" s="3">
        <v>1806</v>
      </c>
      <c r="C6463" s="1" t="str">
        <f>HYPERLINK("http://www.uniprot.org/uniprot/NHP2_ARATH","NHP2_ARATH")</f>
        <v>NHP2_ARATH</v>
      </c>
      <c r="D6463" t="s">
        <v>5298</v>
      </c>
      <c r="E6463" s="3" t="s">
        <v>3</v>
      </c>
      <c r="F6463" s="4">
        <v>3.7599999999999996E-71</v>
      </c>
      <c r="G6463" s="3">
        <v>592</v>
      </c>
      <c r="H6463" s="3">
        <v>73</v>
      </c>
      <c r="I6463" s="3">
        <v>157</v>
      </c>
      <c r="J6463" s="3">
        <v>86</v>
      </c>
      <c r="K6463" s="3">
        <v>556</v>
      </c>
      <c r="L6463" s="3">
        <v>1</v>
      </c>
      <c r="M6463" s="3">
        <v>156</v>
      </c>
    </row>
    <row r="6464" spans="1:13" x14ac:dyDescent="0.25">
      <c r="A6464" s="1" t="str">
        <f>HYPERLINK("http://www.rosaceae.org/Prunus/Prunus_persica/p.persica_gdr_reftransV1_0036626","p.persica_gdr_reftransV1_0036626")</f>
        <v>p.persica_gdr_reftransV1_0036626</v>
      </c>
      <c r="B6464" s="3">
        <v>316</v>
      </c>
      <c r="C6464" s="1" t="str">
        <f>HYPERLINK("http://www.uniprot.org/uniprot/MAL12_MALDO","MAL12_MALDO")</f>
        <v>MAL12_MALDO</v>
      </c>
      <c r="D6464" t="s">
        <v>5299</v>
      </c>
      <c r="E6464" s="3" t="s">
        <v>540</v>
      </c>
      <c r="F6464" s="4">
        <v>1.29E-50</v>
      </c>
      <c r="G6464" s="3">
        <v>413</v>
      </c>
      <c r="H6464" s="3">
        <v>76</v>
      </c>
      <c r="I6464" s="3">
        <v>104</v>
      </c>
      <c r="J6464" s="3">
        <v>4</v>
      </c>
      <c r="K6464" s="3">
        <v>315</v>
      </c>
      <c r="L6464" s="3">
        <v>37</v>
      </c>
      <c r="M6464" s="3">
        <v>140</v>
      </c>
    </row>
    <row r="6465" spans="1:13" x14ac:dyDescent="0.25">
      <c r="A6465" s="1" t="str">
        <f>HYPERLINK("http://www.rosaceae.org/Prunus/Prunus_persica/p.persica_gdr_reftransV1_0036726","p.persica_gdr_reftransV1_0036726")</f>
        <v>p.persica_gdr_reftransV1_0036726</v>
      </c>
      <c r="B6465" s="3">
        <v>2853</v>
      </c>
      <c r="C6465" s="1" t="str">
        <f>HYPERLINK("http://www.uniprot.org/uniprot/GLO2D_ARATH","GLO2D_ARATH")</f>
        <v>GLO2D_ARATH</v>
      </c>
      <c r="D6465" t="s">
        <v>5300</v>
      </c>
      <c r="E6465" s="3" t="s">
        <v>3</v>
      </c>
      <c r="F6465" s="4">
        <v>3.7800000000000001E-96</v>
      </c>
      <c r="G6465" s="3">
        <v>800</v>
      </c>
      <c r="H6465" s="3">
        <v>72</v>
      </c>
      <c r="I6465" s="3">
        <v>232</v>
      </c>
      <c r="J6465" s="3">
        <v>135</v>
      </c>
      <c r="K6465" s="3">
        <v>827</v>
      </c>
      <c r="L6465" s="3">
        <v>1</v>
      </c>
      <c r="M6465" s="3">
        <v>231</v>
      </c>
    </row>
    <row r="6466" spans="1:13" x14ac:dyDescent="0.25">
      <c r="A6466" s="1" t="str">
        <f>HYPERLINK("http://www.rosaceae.org/Prunus/Prunus_persica/p.persica_gdr_reftransV1_0036876","p.persica_gdr_reftransV1_0036876")</f>
        <v>p.persica_gdr_reftransV1_0036876</v>
      </c>
      <c r="B6466" s="3">
        <v>2819</v>
      </c>
      <c r="C6466" s="1" t="str">
        <f>HYPERLINK("http://www.uniprot.org/uniprot/ACCR3_ARATH","ACCR3_ARATH")</f>
        <v>ACCR3_ARATH</v>
      </c>
      <c r="D6466" t="s">
        <v>5301</v>
      </c>
      <c r="E6466" s="3" t="s">
        <v>3</v>
      </c>
      <c r="F6466" s="4">
        <v>0</v>
      </c>
      <c r="G6466" s="3">
        <v>2079</v>
      </c>
      <c r="H6466" s="3">
        <v>62</v>
      </c>
      <c r="I6466" s="3">
        <v>780</v>
      </c>
      <c r="J6466" s="3">
        <v>254</v>
      </c>
      <c r="K6466" s="3">
        <v>2533</v>
      </c>
      <c r="L6466" s="3">
        <v>30</v>
      </c>
      <c r="M6466" s="3">
        <v>799</v>
      </c>
    </row>
    <row r="6467" spans="1:13" x14ac:dyDescent="0.25">
      <c r="A6467" s="1" t="str">
        <f>HYPERLINK("http://www.rosaceae.org/Prunus/Prunus_persica/p.persica_gdr_reftransV1_0036976","p.persica_gdr_reftransV1_0036976")</f>
        <v>p.persica_gdr_reftransV1_0036976</v>
      </c>
      <c r="B6467" s="3">
        <v>1386</v>
      </c>
      <c r="C6467" s="1" t="str">
        <f>HYPERLINK("http://www.uniprot.org/uniprot/OSGEP_BOVIN","OSGEP_BOVIN")</f>
        <v>OSGEP_BOVIN</v>
      </c>
      <c r="D6467" t="s">
        <v>5302</v>
      </c>
      <c r="E6467" s="3" t="s">
        <v>184</v>
      </c>
      <c r="F6467" s="4">
        <v>1.4600000000000001E-107</v>
      </c>
      <c r="G6467" s="3">
        <v>843</v>
      </c>
      <c r="H6467" s="3">
        <v>75</v>
      </c>
      <c r="I6467" s="3">
        <v>207</v>
      </c>
      <c r="J6467" s="3">
        <v>4</v>
      </c>
      <c r="K6467" s="3">
        <v>624</v>
      </c>
      <c r="L6467" s="3">
        <v>128</v>
      </c>
      <c r="M6467" s="3">
        <v>334</v>
      </c>
    </row>
    <row r="6468" spans="1:13" x14ac:dyDescent="0.25">
      <c r="A6468" s="1" t="str">
        <f>HYPERLINK("http://www.rosaceae.org/Prunus/Prunus_persica/p.persica_gdr_reftransV1_0037176","p.persica_gdr_reftransV1_0037176")</f>
        <v>p.persica_gdr_reftransV1_0037176</v>
      </c>
      <c r="B6468" s="3">
        <v>2696</v>
      </c>
      <c r="C6468" s="1" t="str">
        <f>HYPERLINK("http://www.uniprot.org/uniprot/Y5349_ARATH","Y5349_ARATH")</f>
        <v>Y5349_ARATH</v>
      </c>
      <c r="D6468" t="s">
        <v>5303</v>
      </c>
      <c r="E6468" s="3" t="s">
        <v>3</v>
      </c>
      <c r="F6468" s="4">
        <v>2.8E-170</v>
      </c>
      <c r="G6468" s="3">
        <v>1320</v>
      </c>
      <c r="H6468" s="3">
        <v>75</v>
      </c>
      <c r="I6468" s="3">
        <v>405</v>
      </c>
      <c r="J6468" s="3">
        <v>527</v>
      </c>
      <c r="K6468" s="3">
        <v>1735</v>
      </c>
      <c r="L6468" s="3">
        <v>21</v>
      </c>
      <c r="M6468" s="3">
        <v>419</v>
      </c>
    </row>
    <row r="6469" spans="1:13" x14ac:dyDescent="0.25">
      <c r="A6469" s="1" t="str">
        <f>HYPERLINK("http://www.rosaceae.org/Prunus/Prunus_persica/p.persica_gdr_reftransV1_0037326","p.persica_gdr_reftransV1_0037326")</f>
        <v>p.persica_gdr_reftransV1_0037326</v>
      </c>
      <c r="B6469" s="3">
        <v>4522</v>
      </c>
      <c r="C6469" s="1" t="str">
        <f>HYPERLINK("http://www.uniprot.org/uniprot/WSD1_ARATH","WSD1_ARATH")</f>
        <v>WSD1_ARATH</v>
      </c>
      <c r="D6469" t="s">
        <v>84</v>
      </c>
      <c r="E6469" s="3" t="s">
        <v>3</v>
      </c>
      <c r="F6469" s="4">
        <v>2.3399999999999998E-50</v>
      </c>
      <c r="G6469" s="3">
        <v>487</v>
      </c>
      <c r="H6469" s="3">
        <v>30</v>
      </c>
      <c r="I6469" s="3">
        <v>525</v>
      </c>
      <c r="J6469" s="3">
        <v>171</v>
      </c>
      <c r="K6469" s="3">
        <v>1685</v>
      </c>
      <c r="L6469" s="3">
        <v>17</v>
      </c>
      <c r="M6469" s="3">
        <v>471</v>
      </c>
    </row>
    <row r="6470" spans="1:13" x14ac:dyDescent="0.25">
      <c r="A6470" s="1" t="str">
        <f>HYPERLINK("http://www.rosaceae.org/Prunus/Prunus_persica/p.persica_gdr_reftransV1_0037776","p.persica_gdr_reftransV1_0037776")</f>
        <v>p.persica_gdr_reftransV1_0037776</v>
      </c>
      <c r="B6470" s="3">
        <v>1211</v>
      </c>
      <c r="C6470" s="1" t="str">
        <f>HYPERLINK("http://www.uniprot.org/uniprot/PSMG2_DANRE","PSMG2_DANRE")</f>
        <v>PSMG2_DANRE</v>
      </c>
      <c r="D6470" t="s">
        <v>5304</v>
      </c>
      <c r="E6470" s="3" t="s">
        <v>704</v>
      </c>
      <c r="F6470" s="4">
        <v>3.6099999999999999E-25</v>
      </c>
      <c r="G6470" s="3">
        <v>266</v>
      </c>
      <c r="H6470" s="3">
        <v>30</v>
      </c>
      <c r="I6470" s="3">
        <v>267</v>
      </c>
      <c r="J6470" s="3">
        <v>282</v>
      </c>
      <c r="K6470" s="3">
        <v>1061</v>
      </c>
      <c r="L6470" s="3">
        <v>16</v>
      </c>
      <c r="M6470" s="3">
        <v>257</v>
      </c>
    </row>
    <row r="6471" spans="1:13" x14ac:dyDescent="0.25">
      <c r="A6471" s="1" t="str">
        <f>HYPERLINK("http://www.rosaceae.org/Prunus/Prunus_persica/p.persica_gdr_reftransV1_0038426","p.persica_gdr_reftransV1_0038426")</f>
        <v>p.persica_gdr_reftransV1_0038426</v>
      </c>
      <c r="B6471" s="3">
        <v>1565</v>
      </c>
      <c r="C6471" s="1" t="str">
        <f>HYPERLINK("http://www.uniprot.org/uniprot/LRP6A_ARATH","LRP6A_ARATH")</f>
        <v>LRP6A_ARATH</v>
      </c>
      <c r="D6471" t="s">
        <v>3039</v>
      </c>
      <c r="E6471" s="3" t="s">
        <v>3</v>
      </c>
      <c r="F6471" s="4">
        <v>6.1700000000000004E-75</v>
      </c>
      <c r="G6471" s="3">
        <v>437</v>
      </c>
      <c r="H6471" s="3">
        <v>53</v>
      </c>
      <c r="I6471" s="3">
        <v>180</v>
      </c>
      <c r="J6471" s="3">
        <v>676</v>
      </c>
      <c r="K6471" s="3">
        <v>1185</v>
      </c>
      <c r="L6471" s="3">
        <v>218</v>
      </c>
      <c r="M6471" s="3">
        <v>397</v>
      </c>
    </row>
    <row r="6472" spans="1:13" x14ac:dyDescent="0.25">
      <c r="A6472" s="1" t="str">
        <f>HYPERLINK("http://www.rosaceae.org/Prunus/Prunus_persica/p.persica_gdr_reftransV1_0038576","p.persica_gdr_reftransV1_0038576")</f>
        <v>p.persica_gdr_reftransV1_0038576</v>
      </c>
      <c r="B6472" s="3">
        <v>2533</v>
      </c>
      <c r="C6472" s="1" t="str">
        <f>HYPERLINK("http://www.uniprot.org/uniprot/P4KG1_ARATH","P4KG1_ARATH")</f>
        <v>P4KG1_ARATH</v>
      </c>
      <c r="D6472" t="s">
        <v>5305</v>
      </c>
      <c r="E6472" s="3" t="s">
        <v>3</v>
      </c>
      <c r="F6472" s="4">
        <v>6.4399999999999995E-175</v>
      </c>
      <c r="G6472" s="3">
        <v>1349</v>
      </c>
      <c r="H6472" s="3">
        <v>52</v>
      </c>
      <c r="I6472" s="3">
        <v>565</v>
      </c>
      <c r="J6472" s="3">
        <v>508</v>
      </c>
      <c r="K6472" s="3">
        <v>2127</v>
      </c>
      <c r="L6472" s="3">
        <v>9</v>
      </c>
      <c r="M6472" s="3">
        <v>547</v>
      </c>
    </row>
    <row r="6473" spans="1:13" x14ac:dyDescent="0.25">
      <c r="A6473" s="1" t="str">
        <f>HYPERLINK("http://www.rosaceae.org/Prunus/Prunus_persica/p.persica_gdr_reftransV1_0038776","p.persica_gdr_reftransV1_0038776")</f>
        <v>p.persica_gdr_reftransV1_0038776</v>
      </c>
      <c r="B6473" s="3">
        <v>1769</v>
      </c>
      <c r="C6473" s="1" t="str">
        <f>HYPERLINK("http://www.uniprot.org/uniprot/CRCK1_ARATH","CRCK1_ARATH")</f>
        <v>CRCK1_ARATH</v>
      </c>
      <c r="D6473" t="s">
        <v>5306</v>
      </c>
      <c r="E6473" s="3" t="s">
        <v>3</v>
      </c>
      <c r="F6473" s="4">
        <v>1.99E-109</v>
      </c>
      <c r="G6473" s="3">
        <v>879</v>
      </c>
      <c r="H6473" s="3">
        <v>70</v>
      </c>
      <c r="I6473" s="3">
        <v>232</v>
      </c>
      <c r="J6473" s="3">
        <v>594</v>
      </c>
      <c r="K6473" s="3">
        <v>1286</v>
      </c>
      <c r="L6473" s="3">
        <v>135</v>
      </c>
      <c r="M6473" s="3">
        <v>366</v>
      </c>
    </row>
    <row r="6474" spans="1:13" x14ac:dyDescent="0.25">
      <c r="A6474" s="1" t="str">
        <f>HYPERLINK("http://www.rosaceae.org/Prunus/Prunus_persica/p.persica_gdr_reftransV1_0039026","p.persica_gdr_reftransV1_0039026")</f>
        <v>p.persica_gdr_reftransV1_0039026</v>
      </c>
      <c r="B6474" s="3">
        <v>2335</v>
      </c>
      <c r="C6474" s="1" t="str">
        <f>HYPERLINK("http://www.uniprot.org/uniprot/DRL4_ARATH","DRL4_ARATH")</f>
        <v>DRL4_ARATH</v>
      </c>
      <c r="D6474" t="s">
        <v>2765</v>
      </c>
      <c r="E6474" s="3" t="s">
        <v>3</v>
      </c>
      <c r="F6474" s="4">
        <v>1.9299999999999999E-87</v>
      </c>
      <c r="G6474" s="3">
        <v>769</v>
      </c>
      <c r="H6474" s="3">
        <v>45</v>
      </c>
      <c r="I6474" s="3">
        <v>349</v>
      </c>
      <c r="J6474" s="3">
        <v>426</v>
      </c>
      <c r="K6474" s="3">
        <v>1463</v>
      </c>
      <c r="L6474" s="3">
        <v>1</v>
      </c>
      <c r="M6474" s="3">
        <v>343</v>
      </c>
    </row>
    <row r="6475" spans="1:13" x14ac:dyDescent="0.25">
      <c r="A6475" s="1" t="str">
        <f>HYPERLINK("http://www.rosaceae.org/Prunus/Prunus_persica/p.persica_gdr_reftransV1_0039176","p.persica_gdr_reftransV1_0039176")</f>
        <v>p.persica_gdr_reftransV1_0039176</v>
      </c>
      <c r="B6475" s="3">
        <v>2415</v>
      </c>
      <c r="C6475" s="1" t="str">
        <f>HYPERLINK("http://www.uniprot.org/uniprot/PUM5_ARATH","PUM5_ARATH")</f>
        <v>PUM5_ARATH</v>
      </c>
      <c r="D6475" t="s">
        <v>1687</v>
      </c>
      <c r="E6475" s="3" t="s">
        <v>3</v>
      </c>
      <c r="F6475" s="4">
        <v>3.3000000000000002E-70</v>
      </c>
      <c r="G6475" s="3">
        <v>648</v>
      </c>
      <c r="H6475" s="3">
        <v>35</v>
      </c>
      <c r="I6475" s="3">
        <v>702</v>
      </c>
      <c r="J6475" s="3">
        <v>402</v>
      </c>
      <c r="K6475" s="3">
        <v>2414</v>
      </c>
      <c r="L6475" s="3">
        <v>4</v>
      </c>
      <c r="M6475" s="3">
        <v>612</v>
      </c>
    </row>
    <row r="6476" spans="1:13" x14ac:dyDescent="0.25">
      <c r="A6476" s="1" t="str">
        <f>HYPERLINK("http://www.rosaceae.org/Prunus/Prunus_persica/p.persica_gdr_reftransV1_0039376","p.persica_gdr_reftransV1_0039376")</f>
        <v>p.persica_gdr_reftransV1_0039376</v>
      </c>
      <c r="B6476" s="3">
        <v>697</v>
      </c>
      <c r="C6476" s="1" t="str">
        <f>HYPERLINK("http://www.uniprot.org/uniprot/GME_ARATH","GME_ARATH")</f>
        <v>GME_ARATH</v>
      </c>
      <c r="D6476" t="s">
        <v>5307</v>
      </c>
      <c r="E6476" s="3" t="s">
        <v>3</v>
      </c>
      <c r="F6476" s="4">
        <v>1.98E-107</v>
      </c>
      <c r="G6476" s="3">
        <v>823</v>
      </c>
      <c r="H6476" s="3">
        <v>88</v>
      </c>
      <c r="I6476" s="3">
        <v>167</v>
      </c>
      <c r="J6476" s="3">
        <v>3</v>
      </c>
      <c r="K6476" s="3">
        <v>503</v>
      </c>
      <c r="L6476" s="3">
        <v>1</v>
      </c>
      <c r="M6476" s="3">
        <v>167</v>
      </c>
    </row>
    <row r="6477" spans="1:13" x14ac:dyDescent="0.25">
      <c r="A6477" s="1" t="str">
        <f>HYPERLINK("http://www.rosaceae.org/Prunus/Prunus_persica/p.persica_gdr_reftransV1_0039726","p.persica_gdr_reftransV1_0039726")</f>
        <v>p.persica_gdr_reftransV1_0039726</v>
      </c>
      <c r="B6477" s="3">
        <v>1583</v>
      </c>
      <c r="C6477" s="1" t="str">
        <f>HYPERLINK("http://www.uniprot.org/uniprot/VDAC5_ORYSJ","VDAC5_ORYSJ")</f>
        <v>VDAC5_ORYSJ</v>
      </c>
      <c r="D6477" t="s">
        <v>5308</v>
      </c>
      <c r="E6477" s="3" t="s">
        <v>38</v>
      </c>
      <c r="F6477" s="4">
        <v>4.8299999999999996E-28</v>
      </c>
      <c r="G6477" s="3">
        <v>292</v>
      </c>
      <c r="H6477" s="3">
        <v>55</v>
      </c>
      <c r="I6477" s="3">
        <v>104</v>
      </c>
      <c r="J6477" s="3">
        <v>1260</v>
      </c>
      <c r="K6477" s="3">
        <v>1571</v>
      </c>
      <c r="L6477" s="3">
        <v>172</v>
      </c>
      <c r="M6477" s="3">
        <v>275</v>
      </c>
    </row>
    <row r="6478" spans="1:13" x14ac:dyDescent="0.25">
      <c r="A6478" s="1" t="str">
        <f>HYPERLINK("http://www.rosaceae.org/Prunus/Prunus_persica/p.persica_gdr_reftransV1_0039826","p.persica_gdr_reftransV1_0039826")</f>
        <v>p.persica_gdr_reftransV1_0039826</v>
      </c>
      <c r="B6478" s="3">
        <v>766</v>
      </c>
      <c r="C6478" s="1" t="str">
        <f>HYPERLINK("http://www.uniprot.org/uniprot/CRK_DAUCA","CRK_DAUCA")</f>
        <v>CRK_DAUCA</v>
      </c>
      <c r="D6478" t="s">
        <v>5309</v>
      </c>
      <c r="E6478" s="3" t="s">
        <v>32</v>
      </c>
      <c r="F6478" s="4">
        <v>7.9400000000000004E-22</v>
      </c>
      <c r="G6478" s="3">
        <v>244</v>
      </c>
      <c r="H6478" s="3">
        <v>65</v>
      </c>
      <c r="I6478" s="3">
        <v>74</v>
      </c>
      <c r="J6478" s="3">
        <v>1</v>
      </c>
      <c r="K6478" s="3">
        <v>222</v>
      </c>
      <c r="L6478" s="3">
        <v>101</v>
      </c>
      <c r="M6478" s="3">
        <v>174</v>
      </c>
    </row>
    <row r="6479" spans="1:13" x14ac:dyDescent="0.25">
      <c r="A6479" s="1" t="str">
        <f>HYPERLINK("http://www.rosaceae.org/Prunus/Prunus_persica/p.persica_gdr_reftransV1_0040026","p.persica_gdr_reftransV1_0040026")</f>
        <v>p.persica_gdr_reftransV1_0040026</v>
      </c>
      <c r="B6479" s="3">
        <v>2280</v>
      </c>
      <c r="C6479" s="1" t="str">
        <f>HYPERLINK("http://www.uniprot.org/uniprot/GAUT8_ARATH","GAUT8_ARATH")</f>
        <v>GAUT8_ARATH</v>
      </c>
      <c r="D6479" t="s">
        <v>5310</v>
      </c>
      <c r="E6479" s="3" t="s">
        <v>3</v>
      </c>
      <c r="F6479" s="4">
        <v>0</v>
      </c>
      <c r="G6479" s="3">
        <v>2411</v>
      </c>
      <c r="H6479" s="3">
        <v>90</v>
      </c>
      <c r="I6479" s="3">
        <v>502</v>
      </c>
      <c r="J6479" s="3">
        <v>495</v>
      </c>
      <c r="K6479" s="3">
        <v>2000</v>
      </c>
      <c r="L6479" s="3">
        <v>59</v>
      </c>
      <c r="M6479" s="3">
        <v>559</v>
      </c>
    </row>
    <row r="6480" spans="1:13" x14ac:dyDescent="0.25">
      <c r="A6480" s="1" t="str">
        <f>HYPERLINK("http://www.rosaceae.org/Prunus/Prunus_persica/p.persica_gdr_reftransV1_0040126","p.persica_gdr_reftransV1_0040126")</f>
        <v>p.persica_gdr_reftransV1_0040126</v>
      </c>
      <c r="B6480" s="3">
        <v>3487</v>
      </c>
      <c r="C6480" s="1" t="str">
        <f>HYPERLINK("http://www.uniprot.org/uniprot/CDPKW_ARATH","CDPKW_ARATH")</f>
        <v>CDPKW_ARATH</v>
      </c>
      <c r="D6480" t="s">
        <v>5311</v>
      </c>
      <c r="E6480" s="3" t="s">
        <v>3</v>
      </c>
      <c r="F6480" s="4">
        <v>0</v>
      </c>
      <c r="G6480" s="3">
        <v>1694</v>
      </c>
      <c r="H6480" s="3">
        <v>79</v>
      </c>
      <c r="I6480" s="3">
        <v>411</v>
      </c>
      <c r="J6480" s="3">
        <v>1792</v>
      </c>
      <c r="K6480" s="3">
        <v>2997</v>
      </c>
      <c r="L6480" s="3">
        <v>1</v>
      </c>
      <c r="M6480" s="3">
        <v>411</v>
      </c>
    </row>
    <row r="6481" spans="1:13" x14ac:dyDescent="0.25">
      <c r="A6481" s="1" t="str">
        <f>HYPERLINK("http://www.rosaceae.org/Prunus/Prunus_persica/p.persica_gdr_reftransV1_0040326","p.persica_gdr_reftransV1_0040326")</f>
        <v>p.persica_gdr_reftransV1_0040326</v>
      </c>
      <c r="B6481" s="3">
        <v>961</v>
      </c>
      <c r="C6481" s="1" t="str">
        <f>HYPERLINK("http://www.uniprot.org/uniprot/RBG4_ARATH","RBG4_ARATH")</f>
        <v>RBG4_ARATH</v>
      </c>
      <c r="D6481" t="s">
        <v>881</v>
      </c>
      <c r="E6481" s="3" t="s">
        <v>3</v>
      </c>
      <c r="F6481" s="4">
        <v>3.7599999999999999E-23</v>
      </c>
      <c r="G6481" s="3">
        <v>241</v>
      </c>
      <c r="H6481" s="3">
        <v>49</v>
      </c>
      <c r="I6481" s="3">
        <v>92</v>
      </c>
      <c r="J6481" s="3">
        <v>172</v>
      </c>
      <c r="K6481" s="3">
        <v>447</v>
      </c>
      <c r="L6481" s="3">
        <v>25</v>
      </c>
      <c r="M6481" s="3">
        <v>116</v>
      </c>
    </row>
    <row r="6482" spans="1:13" x14ac:dyDescent="0.25">
      <c r="A6482" s="1" t="str">
        <f>HYPERLINK("http://www.rosaceae.org/Prunus/Prunus_persica/p.persica_gdr_reftransV1_0040476","p.persica_gdr_reftransV1_0040476")</f>
        <v>p.persica_gdr_reftransV1_0040476</v>
      </c>
      <c r="B6482" s="3">
        <v>2154</v>
      </c>
      <c r="C6482" s="1" t="str">
        <f>HYPERLINK("http://www.uniprot.org/uniprot/D2HDH_ARATH","D2HDH_ARATH")</f>
        <v>D2HDH_ARATH</v>
      </c>
      <c r="D6482" t="s">
        <v>5041</v>
      </c>
      <c r="E6482" s="3" t="s">
        <v>3</v>
      </c>
      <c r="F6482" s="4">
        <v>0</v>
      </c>
      <c r="G6482" s="3">
        <v>2056</v>
      </c>
      <c r="H6482" s="3">
        <v>71</v>
      </c>
      <c r="I6482" s="3">
        <v>573</v>
      </c>
      <c r="J6482" s="3">
        <v>33</v>
      </c>
      <c r="K6482" s="3">
        <v>1742</v>
      </c>
      <c r="L6482" s="3">
        <v>1</v>
      </c>
      <c r="M6482" s="3">
        <v>551</v>
      </c>
    </row>
    <row r="6483" spans="1:13" x14ac:dyDescent="0.25">
      <c r="A6483" s="1" t="str">
        <f>HYPERLINK("http://www.rosaceae.org/Prunus/Prunus_persica/p.persica_gdr_reftransV1_0040626","p.persica_gdr_reftransV1_0040626")</f>
        <v>p.persica_gdr_reftransV1_0040626</v>
      </c>
      <c r="B6483" s="3">
        <v>3543</v>
      </c>
      <c r="C6483" s="1" t="str">
        <f>HYPERLINK("http://www.uniprot.org/uniprot/FH6_ARATH","FH6_ARATH")</f>
        <v>FH6_ARATH</v>
      </c>
      <c r="D6483" t="s">
        <v>5312</v>
      </c>
      <c r="E6483" s="3" t="s">
        <v>3</v>
      </c>
      <c r="F6483" s="4">
        <v>0</v>
      </c>
      <c r="G6483" s="3">
        <v>1732</v>
      </c>
      <c r="H6483" s="3">
        <v>74</v>
      </c>
      <c r="I6483" s="3">
        <v>462</v>
      </c>
      <c r="J6483" s="3">
        <v>1525</v>
      </c>
      <c r="K6483" s="3">
        <v>2901</v>
      </c>
      <c r="L6483" s="3">
        <v>434</v>
      </c>
      <c r="M6483" s="3">
        <v>886</v>
      </c>
    </row>
    <row r="6484" spans="1:13" x14ac:dyDescent="0.25">
      <c r="A6484" s="1" t="str">
        <f>HYPERLINK("http://www.rosaceae.org/Prunus/Prunus_persica/p.persica_gdr_reftransV1_0040726","p.persica_gdr_reftransV1_0040726")</f>
        <v>p.persica_gdr_reftransV1_0040726</v>
      </c>
      <c r="B6484" s="3">
        <v>2322</v>
      </c>
      <c r="C6484" s="1" t="str">
        <f>HYPERLINK("http://www.uniprot.org/uniprot/HCAR_ARATH","HCAR_ARATH")</f>
        <v>HCAR_ARATH</v>
      </c>
      <c r="D6484" t="s">
        <v>5313</v>
      </c>
      <c r="E6484" s="3" t="s">
        <v>3</v>
      </c>
      <c r="F6484" s="4">
        <v>2.3299999999999999E-132</v>
      </c>
      <c r="G6484" s="3">
        <v>1048</v>
      </c>
      <c r="H6484" s="3">
        <v>85</v>
      </c>
      <c r="I6484" s="3">
        <v>224</v>
      </c>
      <c r="J6484" s="3">
        <v>1566</v>
      </c>
      <c r="K6484" s="3">
        <v>2237</v>
      </c>
      <c r="L6484" s="3">
        <v>35</v>
      </c>
      <c r="M6484" s="3">
        <v>258</v>
      </c>
    </row>
    <row r="6485" spans="1:13" x14ac:dyDescent="0.25">
      <c r="A6485" s="1" t="str">
        <f>HYPERLINK("http://www.rosaceae.org/Prunus/Prunus_persica/p.persica_gdr_reftransV1_0041626","p.persica_gdr_reftransV1_0041626")</f>
        <v>p.persica_gdr_reftransV1_0041626</v>
      </c>
      <c r="B6485" s="3">
        <v>1891</v>
      </c>
      <c r="C6485" s="1" t="str">
        <f>HYPERLINK("http://www.uniprot.org/uniprot/SLK2_ARATH","SLK2_ARATH")</f>
        <v>SLK2_ARATH</v>
      </c>
      <c r="D6485" t="s">
        <v>795</v>
      </c>
      <c r="E6485" s="3" t="s">
        <v>3</v>
      </c>
      <c r="F6485" s="4">
        <v>9.3500000000000001E-16</v>
      </c>
      <c r="G6485" s="3">
        <v>208</v>
      </c>
      <c r="H6485" s="3">
        <v>71</v>
      </c>
      <c r="I6485" s="3">
        <v>66</v>
      </c>
      <c r="J6485" s="3">
        <v>480</v>
      </c>
      <c r="K6485" s="3">
        <v>674</v>
      </c>
      <c r="L6485" s="3">
        <v>41</v>
      </c>
      <c r="M6485" s="3">
        <v>106</v>
      </c>
    </row>
    <row r="6486" spans="1:13" x14ac:dyDescent="0.25">
      <c r="A6486" s="1" t="str">
        <f>HYPERLINK("http://www.rosaceae.org/Prunus/Prunus_persica/p.persica_gdr_reftransV1_0041926","p.persica_gdr_reftransV1_0041926")</f>
        <v>p.persica_gdr_reftransV1_0041926</v>
      </c>
      <c r="B6486" s="3">
        <v>1369</v>
      </c>
      <c r="C6486" s="1" t="str">
        <f>HYPERLINK("http://www.uniprot.org/uniprot/ERD15_ARATH","ERD15_ARATH")</f>
        <v>ERD15_ARATH</v>
      </c>
      <c r="D6486" t="s">
        <v>2450</v>
      </c>
      <c r="E6486" s="3" t="s">
        <v>3</v>
      </c>
      <c r="F6486" s="4">
        <v>4.1300000000000002E-11</v>
      </c>
      <c r="G6486" s="3">
        <v>158</v>
      </c>
      <c r="H6486" s="3">
        <v>54</v>
      </c>
      <c r="I6486" s="3">
        <v>56</v>
      </c>
      <c r="J6486" s="3">
        <v>982</v>
      </c>
      <c r="K6486" s="3">
        <v>1149</v>
      </c>
      <c r="L6486" s="3">
        <v>1</v>
      </c>
      <c r="M6486" s="3">
        <v>53</v>
      </c>
    </row>
    <row r="6487" spans="1:13" x14ac:dyDescent="0.25">
      <c r="A6487" s="1" t="str">
        <f>HYPERLINK("http://www.rosaceae.org/Prunus/Prunus_persica/p.persica_gdr_reftransV1_0042376","p.persica_gdr_reftransV1_0042376")</f>
        <v>p.persica_gdr_reftransV1_0042376</v>
      </c>
      <c r="B6487" s="3">
        <v>2169</v>
      </c>
      <c r="C6487" s="1" t="str">
        <f>HYPERLINK("http://www.uniprot.org/uniprot/XYLL2_ARATH","XYLL2_ARATH")</f>
        <v>XYLL2_ARATH</v>
      </c>
      <c r="D6487" t="s">
        <v>5314</v>
      </c>
      <c r="E6487" s="3" t="s">
        <v>3</v>
      </c>
      <c r="F6487" s="4">
        <v>5.2899999999999999E-151</v>
      </c>
      <c r="G6487" s="3">
        <v>1173</v>
      </c>
      <c r="H6487" s="3">
        <v>71</v>
      </c>
      <c r="I6487" s="3">
        <v>361</v>
      </c>
      <c r="J6487" s="3">
        <v>241</v>
      </c>
      <c r="K6487" s="3">
        <v>1314</v>
      </c>
      <c r="L6487" s="3">
        <v>1</v>
      </c>
      <c r="M6487" s="3">
        <v>361</v>
      </c>
    </row>
    <row r="6488" spans="1:13" x14ac:dyDescent="0.25">
      <c r="A6488" s="1" t="str">
        <f>HYPERLINK("http://www.rosaceae.org/Prunus/Prunus_persica/p.persica_gdr_reftransV1_0042626","p.persica_gdr_reftransV1_0042626")</f>
        <v>p.persica_gdr_reftransV1_0042626</v>
      </c>
      <c r="B6488" s="3">
        <v>685</v>
      </c>
      <c r="C6488" s="1" t="str">
        <f>HYPERLINK("http://www.uniprot.org/uniprot/PP359_ARATH","PP359_ARATH")</f>
        <v>PP359_ARATH</v>
      </c>
      <c r="D6488" t="s">
        <v>861</v>
      </c>
      <c r="E6488" s="3" t="s">
        <v>3</v>
      </c>
      <c r="F6488" s="4">
        <v>2.2900000000000001E-89</v>
      </c>
      <c r="G6488" s="3">
        <v>730</v>
      </c>
      <c r="H6488" s="3">
        <v>58</v>
      </c>
      <c r="I6488" s="3">
        <v>227</v>
      </c>
      <c r="J6488" s="3">
        <v>3</v>
      </c>
      <c r="K6488" s="3">
        <v>683</v>
      </c>
      <c r="L6488" s="3">
        <v>478</v>
      </c>
      <c r="M6488" s="3">
        <v>704</v>
      </c>
    </row>
    <row r="6489" spans="1:13" x14ac:dyDescent="0.25">
      <c r="A6489" s="1" t="str">
        <f>HYPERLINK("http://www.rosaceae.org/Prunus/Prunus_persica/p.persica_gdr_reftransV1_0042726","p.persica_gdr_reftransV1_0042726")</f>
        <v>p.persica_gdr_reftransV1_0042726</v>
      </c>
      <c r="B6489" s="3">
        <v>2995</v>
      </c>
      <c r="C6489" s="1" t="str">
        <f>HYPERLINK("http://www.uniprot.org/uniprot/XTH28_ARATH","XTH28_ARATH")</f>
        <v>XTH28_ARATH</v>
      </c>
      <c r="D6489" t="s">
        <v>5315</v>
      </c>
      <c r="E6489" s="3" t="s">
        <v>3</v>
      </c>
      <c r="F6489" s="4">
        <v>2.4199999999999999E-60</v>
      </c>
      <c r="G6489" s="3">
        <v>544</v>
      </c>
      <c r="H6489" s="3">
        <v>68</v>
      </c>
      <c r="I6489" s="3">
        <v>143</v>
      </c>
      <c r="J6489" s="3">
        <v>2111</v>
      </c>
      <c r="K6489" s="3">
        <v>2539</v>
      </c>
      <c r="L6489" s="3">
        <v>166</v>
      </c>
      <c r="M6489" s="3">
        <v>308</v>
      </c>
    </row>
    <row r="6490" spans="1:13" x14ac:dyDescent="0.25">
      <c r="A6490" s="1" t="str">
        <f>HYPERLINK("http://www.rosaceae.org/Prunus/Prunus_persica/p.persica_gdr_reftransV1_0042826","p.persica_gdr_reftransV1_0042826")</f>
        <v>p.persica_gdr_reftransV1_0042826</v>
      </c>
      <c r="B6490" s="3">
        <v>799</v>
      </c>
      <c r="C6490" s="1" t="str">
        <f>HYPERLINK("http://www.uniprot.org/uniprot/Y2416_ARATH","Y2416_ARATH")</f>
        <v>Y2416_ARATH</v>
      </c>
      <c r="D6490" t="s">
        <v>5316</v>
      </c>
      <c r="E6490" s="3" t="s">
        <v>3</v>
      </c>
      <c r="F6490" s="4">
        <v>2.7600000000000002E-30</v>
      </c>
      <c r="G6490" s="3">
        <v>289</v>
      </c>
      <c r="H6490" s="3">
        <v>59</v>
      </c>
      <c r="I6490" s="3">
        <v>105</v>
      </c>
      <c r="J6490" s="3">
        <v>297</v>
      </c>
      <c r="K6490" s="3">
        <v>611</v>
      </c>
      <c r="L6490" s="3">
        <v>15</v>
      </c>
      <c r="M6490" s="3">
        <v>117</v>
      </c>
    </row>
    <row r="6491" spans="1:13" x14ac:dyDescent="0.25">
      <c r="A6491" s="1" t="str">
        <f>HYPERLINK("http://www.rosaceae.org/Prunus/Prunus_persica/p.persica_gdr_reftransV1_0043026","p.persica_gdr_reftransV1_0043026")</f>
        <v>p.persica_gdr_reftransV1_0043026</v>
      </c>
      <c r="B6491" s="3">
        <v>376</v>
      </c>
      <c r="C6491" s="1" t="str">
        <f>HYPERLINK("http://www.uniprot.org/uniprot/G3P_SHEEP","G3P_SHEEP")</f>
        <v>G3P_SHEEP</v>
      </c>
      <c r="D6491" t="s">
        <v>5317</v>
      </c>
      <c r="E6491" s="3" t="s">
        <v>5318</v>
      </c>
      <c r="F6491" s="4">
        <v>5.5499999999999995E-85</v>
      </c>
      <c r="G6491" s="3">
        <v>657</v>
      </c>
      <c r="H6491" s="3">
        <v>100</v>
      </c>
      <c r="I6491" s="3">
        <v>124</v>
      </c>
      <c r="J6491" s="3">
        <v>3</v>
      </c>
      <c r="K6491" s="3">
        <v>374</v>
      </c>
      <c r="L6491" s="3">
        <v>176</v>
      </c>
      <c r="M6491" s="3">
        <v>299</v>
      </c>
    </row>
    <row r="6492" spans="1:13" x14ac:dyDescent="0.25">
      <c r="A6492" s="1" t="str">
        <f>HYPERLINK("http://www.rosaceae.org/Prunus/Prunus_persica/p.persica_gdr_reftransV1_0043076","p.persica_gdr_reftransV1_0043076")</f>
        <v>p.persica_gdr_reftransV1_0043076</v>
      </c>
      <c r="B6492" s="3">
        <v>1096</v>
      </c>
      <c r="C6492" s="1" t="str">
        <f>HYPERLINK("http://www.uniprot.org/uniprot/RPM1_ARATH","RPM1_ARATH")</f>
        <v>RPM1_ARATH</v>
      </c>
      <c r="D6492" t="s">
        <v>453</v>
      </c>
      <c r="E6492" s="3" t="s">
        <v>3</v>
      </c>
      <c r="F6492" s="4">
        <v>5.25E-75</v>
      </c>
      <c r="G6492" s="3">
        <v>650</v>
      </c>
      <c r="H6492" s="3">
        <v>44</v>
      </c>
      <c r="I6492" s="3">
        <v>372</v>
      </c>
      <c r="J6492" s="3">
        <v>5</v>
      </c>
      <c r="K6492" s="3">
        <v>1081</v>
      </c>
      <c r="L6492" s="3">
        <v>255</v>
      </c>
      <c r="M6492" s="3">
        <v>616</v>
      </c>
    </row>
    <row r="6493" spans="1:13" x14ac:dyDescent="0.25">
      <c r="A6493" s="1" t="str">
        <f>HYPERLINK("http://www.rosaceae.org/Prunus/Prunus_persica/p.persica_gdr_reftransV1_0043126","p.persica_gdr_reftransV1_0043126")</f>
        <v>p.persica_gdr_reftransV1_0043126</v>
      </c>
      <c r="B6493" s="3">
        <v>300</v>
      </c>
      <c r="C6493" s="1" t="str">
        <f>HYPERLINK("http://www.uniprot.org/uniprot/YUC6_ARATH","YUC6_ARATH")</f>
        <v>YUC6_ARATH</v>
      </c>
      <c r="D6493" t="s">
        <v>5319</v>
      </c>
      <c r="E6493" s="3" t="s">
        <v>3</v>
      </c>
      <c r="F6493" s="4">
        <v>6.5099999999999997E-43</v>
      </c>
      <c r="G6493" s="3">
        <v>378</v>
      </c>
      <c r="H6493" s="3">
        <v>72</v>
      </c>
      <c r="I6493" s="3">
        <v>99</v>
      </c>
      <c r="J6493" s="3">
        <v>2</v>
      </c>
      <c r="K6493" s="3">
        <v>298</v>
      </c>
      <c r="L6493" s="3">
        <v>268</v>
      </c>
      <c r="M6493" s="3">
        <v>366</v>
      </c>
    </row>
    <row r="6494" spans="1:13" x14ac:dyDescent="0.25">
      <c r="A6494" s="1" t="str">
        <f>HYPERLINK("http://www.rosaceae.org/Prunus/Prunus_persica/p.persica_gdr_reftransV1_0043176","p.persica_gdr_reftransV1_0043176")</f>
        <v>p.persica_gdr_reftransV1_0043176</v>
      </c>
      <c r="B6494" s="3">
        <v>335</v>
      </c>
      <c r="C6494" s="1" t="str">
        <f>HYPERLINK("http://www.uniprot.org/uniprot/PP181_ARATH","PP181_ARATH")</f>
        <v>PP181_ARATH</v>
      </c>
      <c r="D6494" t="s">
        <v>5320</v>
      </c>
      <c r="E6494" s="3" t="s">
        <v>3</v>
      </c>
      <c r="F6494" s="4">
        <v>1.7099999999999999E-24</v>
      </c>
      <c r="G6494" s="3">
        <v>253</v>
      </c>
      <c r="H6494" s="3">
        <v>43</v>
      </c>
      <c r="I6494" s="3">
        <v>111</v>
      </c>
      <c r="J6494" s="3">
        <v>2</v>
      </c>
      <c r="K6494" s="3">
        <v>334</v>
      </c>
      <c r="L6494" s="3">
        <v>307</v>
      </c>
      <c r="M6494" s="3">
        <v>417</v>
      </c>
    </row>
    <row r="6495" spans="1:13" x14ac:dyDescent="0.25">
      <c r="A6495" s="1" t="str">
        <f>HYPERLINK("http://www.rosaceae.org/Prunus/Prunus_persica/p.persica_gdr_reftransV1_0043276","p.persica_gdr_reftransV1_0043276")</f>
        <v>p.persica_gdr_reftransV1_0043276</v>
      </c>
      <c r="B6495" s="3">
        <v>956</v>
      </c>
      <c r="C6495" s="1" t="str">
        <f>HYPERLINK("http://www.uniprot.org/uniprot/RS92_ARATH","RS92_ARATH")</f>
        <v>RS92_ARATH</v>
      </c>
      <c r="D6495" t="s">
        <v>5321</v>
      </c>
      <c r="E6495" s="3" t="s">
        <v>3</v>
      </c>
      <c r="F6495" s="4">
        <v>1.8000000000000001E-118</v>
      </c>
      <c r="G6495" s="3">
        <v>888</v>
      </c>
      <c r="H6495" s="3">
        <v>93</v>
      </c>
      <c r="I6495" s="3">
        <v>179</v>
      </c>
      <c r="J6495" s="3">
        <v>85</v>
      </c>
      <c r="K6495" s="3">
        <v>621</v>
      </c>
      <c r="L6495" s="3">
        <v>1</v>
      </c>
      <c r="M6495" s="3">
        <v>179</v>
      </c>
    </row>
    <row r="6496" spans="1:13" x14ac:dyDescent="0.25">
      <c r="A6496" s="1" t="str">
        <f>HYPERLINK("http://www.rosaceae.org/Prunus/Prunus_persica/p.persica_gdr_reftransV1_0043326","p.persica_gdr_reftransV1_0043326")</f>
        <v>p.persica_gdr_reftransV1_0043326</v>
      </c>
      <c r="B6496" s="3">
        <v>4457</v>
      </c>
      <c r="C6496" s="1" t="str">
        <f>HYPERLINK("http://www.uniprot.org/uniprot/AB1B_ARATH","AB1B_ARATH")</f>
        <v>AB1B_ARATH</v>
      </c>
      <c r="D6496" t="s">
        <v>5322</v>
      </c>
      <c r="E6496" s="3" t="s">
        <v>3</v>
      </c>
      <c r="F6496" s="4">
        <v>0</v>
      </c>
      <c r="G6496" s="3">
        <v>5541</v>
      </c>
      <c r="H6496" s="3">
        <v>89</v>
      </c>
      <c r="I6496" s="3">
        <v>1259</v>
      </c>
      <c r="J6496" s="3">
        <v>241</v>
      </c>
      <c r="K6496" s="3">
        <v>4014</v>
      </c>
      <c r="L6496" s="3">
        <v>27</v>
      </c>
      <c r="M6496" s="3">
        <v>1285</v>
      </c>
    </row>
    <row r="6497" spans="1:13" x14ac:dyDescent="0.25">
      <c r="A6497" s="1" t="str">
        <f>HYPERLINK("http://www.rosaceae.org/Prunus/Prunus_persica/p.persica_gdr_reftransV1_0043426","p.persica_gdr_reftransV1_0043426")</f>
        <v>p.persica_gdr_reftransV1_0043426</v>
      </c>
      <c r="B6497" s="3">
        <v>505</v>
      </c>
      <c r="C6497" s="1" t="str">
        <f>HYPERLINK("http://www.uniprot.org/uniprot/FBK70_ARATH","FBK70_ARATH")</f>
        <v>FBK70_ARATH</v>
      </c>
      <c r="D6497" t="s">
        <v>5323</v>
      </c>
      <c r="E6497" s="3" t="s">
        <v>3</v>
      </c>
      <c r="F6497" s="4">
        <v>1.2399999999999999E-16</v>
      </c>
      <c r="G6497" s="3">
        <v>196</v>
      </c>
      <c r="H6497" s="3">
        <v>52</v>
      </c>
      <c r="I6497" s="3">
        <v>117</v>
      </c>
      <c r="J6497" s="3">
        <v>173</v>
      </c>
      <c r="K6497" s="3">
        <v>502</v>
      </c>
      <c r="L6497" s="3">
        <v>310</v>
      </c>
      <c r="M6497" s="3">
        <v>422</v>
      </c>
    </row>
    <row r="6498" spans="1:13" x14ac:dyDescent="0.25">
      <c r="A6498" s="1" t="str">
        <f>HYPERLINK("http://www.rosaceae.org/Prunus/Prunus_persica/p.persica_gdr_reftransV1_0043476","p.persica_gdr_reftransV1_0043476")</f>
        <v>p.persica_gdr_reftransV1_0043476</v>
      </c>
      <c r="B6498" s="3">
        <v>1060</v>
      </c>
      <c r="C6498" s="1" t="str">
        <f>HYPERLINK("http://www.uniprot.org/uniprot/PRX2B_ARATH","PRX2B_ARATH")</f>
        <v>PRX2B_ARATH</v>
      </c>
      <c r="D6498" t="s">
        <v>5324</v>
      </c>
      <c r="E6498" s="3" t="s">
        <v>3</v>
      </c>
      <c r="F6498" s="4">
        <v>4.5600000000000002E-92</v>
      </c>
      <c r="G6498" s="3">
        <v>713</v>
      </c>
      <c r="H6498" s="3">
        <v>81</v>
      </c>
      <c r="I6498" s="3">
        <v>161</v>
      </c>
      <c r="J6498" s="3">
        <v>242</v>
      </c>
      <c r="K6498" s="3">
        <v>724</v>
      </c>
      <c r="L6498" s="3">
        <v>1</v>
      </c>
      <c r="M6498" s="3">
        <v>161</v>
      </c>
    </row>
    <row r="6499" spans="1:13" x14ac:dyDescent="0.25">
      <c r="A6499" s="1" t="str">
        <f>HYPERLINK("http://www.rosaceae.org/Prunus/Prunus_persica/p.persica_gdr_reftransV1_0043526","p.persica_gdr_reftransV1_0043526")</f>
        <v>p.persica_gdr_reftransV1_0043526</v>
      </c>
      <c r="B6499" s="3">
        <v>981</v>
      </c>
      <c r="C6499" s="1" t="str">
        <f>HYPERLINK("http://www.uniprot.org/uniprot/OFP11_ARATH","OFP11_ARATH")</f>
        <v>OFP11_ARATH</v>
      </c>
      <c r="D6499" t="s">
        <v>5325</v>
      </c>
      <c r="E6499" s="3" t="s">
        <v>3</v>
      </c>
      <c r="F6499" s="4">
        <v>4.8000000000000001E-16</v>
      </c>
      <c r="G6499" s="3">
        <v>192</v>
      </c>
      <c r="H6499" s="3">
        <v>57</v>
      </c>
      <c r="I6499" s="3">
        <v>75</v>
      </c>
      <c r="J6499" s="3">
        <v>241</v>
      </c>
      <c r="K6499" s="3">
        <v>462</v>
      </c>
      <c r="L6499" s="3">
        <v>109</v>
      </c>
      <c r="M6499" s="3">
        <v>176</v>
      </c>
    </row>
    <row r="6500" spans="1:13" x14ac:dyDescent="0.25">
      <c r="A6500" s="1" t="str">
        <f>HYPERLINK("http://www.rosaceae.org/Prunus/Prunus_persica/p.persica_gdr_reftransV1_0043626","p.persica_gdr_reftransV1_0043626")</f>
        <v>p.persica_gdr_reftransV1_0043626</v>
      </c>
      <c r="B6500" s="3">
        <v>1875</v>
      </c>
      <c r="C6500" s="1" t="str">
        <f>HYPERLINK("http://www.uniprot.org/uniprot/C78A5_ARATH","C78A5_ARATH")</f>
        <v>C78A5_ARATH</v>
      </c>
      <c r="D6500" t="s">
        <v>656</v>
      </c>
      <c r="E6500" s="3" t="s">
        <v>3</v>
      </c>
      <c r="F6500" s="4">
        <v>0</v>
      </c>
      <c r="G6500" s="3">
        <v>1700</v>
      </c>
      <c r="H6500" s="3">
        <v>63</v>
      </c>
      <c r="I6500" s="3">
        <v>527</v>
      </c>
      <c r="J6500" s="3">
        <v>103</v>
      </c>
      <c r="K6500" s="3">
        <v>1668</v>
      </c>
      <c r="L6500" s="3">
        <v>1</v>
      </c>
      <c r="M6500" s="3">
        <v>514</v>
      </c>
    </row>
    <row r="6501" spans="1:13" x14ac:dyDescent="0.25">
      <c r="A6501" s="1" t="str">
        <f>HYPERLINK("http://www.rosaceae.org/Prunus/Prunus_persica/p.persica_gdr_reftransV1_0043676","p.persica_gdr_reftransV1_0043676")</f>
        <v>p.persica_gdr_reftransV1_0043676</v>
      </c>
      <c r="B6501" s="3">
        <v>2819</v>
      </c>
      <c r="C6501" s="1" t="str">
        <f>HYPERLINK("http://www.uniprot.org/uniprot/MCM3_ARATH","MCM3_ARATH")</f>
        <v>MCM3_ARATH</v>
      </c>
      <c r="D6501" t="s">
        <v>5326</v>
      </c>
      <c r="E6501" s="3" t="s">
        <v>3</v>
      </c>
      <c r="F6501" s="4">
        <v>0</v>
      </c>
      <c r="G6501" s="3">
        <v>2842</v>
      </c>
      <c r="H6501" s="3">
        <v>71</v>
      </c>
      <c r="I6501" s="3">
        <v>795</v>
      </c>
      <c r="J6501" s="3">
        <v>365</v>
      </c>
      <c r="K6501" s="3">
        <v>2728</v>
      </c>
      <c r="L6501" s="3">
        <v>1</v>
      </c>
      <c r="M6501" s="3">
        <v>776</v>
      </c>
    </row>
    <row r="6502" spans="1:13" x14ac:dyDescent="0.25">
      <c r="A6502" s="1" t="str">
        <f>HYPERLINK("http://www.rosaceae.org/Prunus/Prunus_persica/p.persica_gdr_reftransV1_0043726","p.persica_gdr_reftransV1_0043726")</f>
        <v>p.persica_gdr_reftransV1_0043726</v>
      </c>
      <c r="B6502" s="3">
        <v>560</v>
      </c>
      <c r="C6502" s="1" t="str">
        <f>HYPERLINK("http://www.uniprot.org/uniprot/Y3037_ARATH","Y3037_ARATH")</f>
        <v>Y3037_ARATH</v>
      </c>
      <c r="D6502" t="s">
        <v>566</v>
      </c>
      <c r="E6502" s="3" t="s">
        <v>3</v>
      </c>
      <c r="F6502" s="4">
        <v>6.9800000000000003E-14</v>
      </c>
      <c r="G6502" s="3">
        <v>179</v>
      </c>
      <c r="H6502" s="3">
        <v>38</v>
      </c>
      <c r="I6502" s="3">
        <v>78</v>
      </c>
      <c r="J6502" s="3">
        <v>18</v>
      </c>
      <c r="K6502" s="3">
        <v>248</v>
      </c>
      <c r="L6502" s="3">
        <v>463</v>
      </c>
      <c r="M6502" s="3">
        <v>540</v>
      </c>
    </row>
    <row r="6503" spans="1:13" x14ac:dyDescent="0.25">
      <c r="A6503" s="1" t="str">
        <f>HYPERLINK("http://www.rosaceae.org/Prunus/Prunus_persica/p.persica_gdr_reftransV1_0043776","p.persica_gdr_reftransV1_0043776")</f>
        <v>p.persica_gdr_reftransV1_0043776</v>
      </c>
      <c r="B6503" s="3">
        <v>339</v>
      </c>
      <c r="C6503" s="1" t="str">
        <f>HYPERLINK("http://www.uniprot.org/uniprot/RP8L2_ARATH","RP8L2_ARATH")</f>
        <v>RP8L2_ARATH</v>
      </c>
      <c r="D6503" t="s">
        <v>1701</v>
      </c>
      <c r="E6503" s="3" t="s">
        <v>3</v>
      </c>
      <c r="F6503" s="4">
        <v>9.0100000000000006E-20</v>
      </c>
      <c r="G6503" s="3">
        <v>219</v>
      </c>
      <c r="H6503" s="3">
        <v>46</v>
      </c>
      <c r="I6503" s="3">
        <v>93</v>
      </c>
      <c r="J6503" s="3">
        <v>59</v>
      </c>
      <c r="K6503" s="3">
        <v>337</v>
      </c>
      <c r="L6503" s="3">
        <v>809</v>
      </c>
      <c r="M6503" s="3">
        <v>901</v>
      </c>
    </row>
    <row r="6504" spans="1:13" x14ac:dyDescent="0.25">
      <c r="A6504" s="1" t="str">
        <f>HYPERLINK("http://www.rosaceae.org/Prunus/Prunus_persica/p.persica_gdr_reftransV1_0043826","p.persica_gdr_reftransV1_0043826")</f>
        <v>p.persica_gdr_reftransV1_0043826</v>
      </c>
      <c r="B6504" s="3">
        <v>1085</v>
      </c>
      <c r="C6504" s="1" t="str">
        <f>HYPERLINK("http://www.uniprot.org/uniprot/RPE5A_ARATH","RPE5A_ARATH")</f>
        <v>RPE5A_ARATH</v>
      </c>
      <c r="D6504" t="s">
        <v>5327</v>
      </c>
      <c r="E6504" s="3" t="s">
        <v>3</v>
      </c>
      <c r="F6504" s="4">
        <v>4.7400000000000001E-89</v>
      </c>
      <c r="G6504" s="3">
        <v>700</v>
      </c>
      <c r="H6504" s="3">
        <v>58</v>
      </c>
      <c r="I6504" s="3">
        <v>223</v>
      </c>
      <c r="J6504" s="3">
        <v>304</v>
      </c>
      <c r="K6504" s="3">
        <v>972</v>
      </c>
      <c r="L6504" s="3">
        <v>2</v>
      </c>
      <c r="M6504" s="3">
        <v>222</v>
      </c>
    </row>
    <row r="6505" spans="1:13" x14ac:dyDescent="0.25">
      <c r="A6505" s="1" t="str">
        <f>HYPERLINK("http://www.rosaceae.org/Prunus/Prunus_persica/p.persica_gdr_reftransV1_0043876","p.persica_gdr_reftransV1_0043876")</f>
        <v>p.persica_gdr_reftransV1_0043876</v>
      </c>
      <c r="B6505" s="3">
        <v>1165</v>
      </c>
      <c r="C6505" s="1" t="str">
        <f>HYPERLINK("http://www.uniprot.org/uniprot/STR18_ARATH","STR18_ARATH")</f>
        <v>STR18_ARATH</v>
      </c>
      <c r="D6505" t="s">
        <v>5328</v>
      </c>
      <c r="E6505" s="3" t="s">
        <v>3</v>
      </c>
      <c r="F6505" s="4">
        <v>2.63E-45</v>
      </c>
      <c r="G6505" s="3">
        <v>400</v>
      </c>
      <c r="H6505" s="3">
        <v>55</v>
      </c>
      <c r="I6505" s="3">
        <v>128</v>
      </c>
      <c r="J6505" s="3">
        <v>500</v>
      </c>
      <c r="K6505" s="3">
        <v>883</v>
      </c>
      <c r="L6505" s="3">
        <v>9</v>
      </c>
      <c r="M6505" s="3">
        <v>136</v>
      </c>
    </row>
    <row r="6506" spans="1:13" x14ac:dyDescent="0.25">
      <c r="A6506" s="1" t="str">
        <f>HYPERLINK("http://www.rosaceae.org/Prunus/Prunus_persica/p.persica_gdr_reftransV1_0043976","p.persica_gdr_reftransV1_0043976")</f>
        <v>p.persica_gdr_reftransV1_0043976</v>
      </c>
      <c r="B6506" s="3">
        <v>1234</v>
      </c>
      <c r="C6506" s="1" t="str">
        <f>HYPERLINK("http://www.uniprot.org/uniprot/BRAP_MOUSE","BRAP_MOUSE")</f>
        <v>BRAP_MOUSE</v>
      </c>
      <c r="D6506" t="s">
        <v>5329</v>
      </c>
      <c r="E6506" s="3" t="s">
        <v>157</v>
      </c>
      <c r="F6506" s="4">
        <v>8.0899999999999998E-27</v>
      </c>
      <c r="G6506" s="3">
        <v>290</v>
      </c>
      <c r="H6506" s="3">
        <v>41</v>
      </c>
      <c r="I6506" s="3">
        <v>139</v>
      </c>
      <c r="J6506" s="3">
        <v>158</v>
      </c>
      <c r="K6506" s="3">
        <v>568</v>
      </c>
      <c r="L6506" s="3">
        <v>301</v>
      </c>
      <c r="M6506" s="3">
        <v>419</v>
      </c>
    </row>
    <row r="6507" spans="1:13" x14ac:dyDescent="0.25">
      <c r="A6507" s="1" t="str">
        <f>HYPERLINK("http://www.rosaceae.org/Prunus/Prunus_persica/p.persica_gdr_reftransV1_0044026","p.persica_gdr_reftransV1_0044026")</f>
        <v>p.persica_gdr_reftransV1_0044026</v>
      </c>
      <c r="B6507" s="3">
        <v>1400</v>
      </c>
      <c r="C6507" s="1" t="str">
        <f>HYPERLINK("http://www.uniprot.org/uniprot/PPR21_ARATH","PPR21_ARATH")</f>
        <v>PPR21_ARATH</v>
      </c>
      <c r="D6507" t="s">
        <v>3398</v>
      </c>
      <c r="E6507" s="3" t="s">
        <v>3</v>
      </c>
      <c r="F6507" s="4">
        <v>5.9400000000000001E-157</v>
      </c>
      <c r="G6507" s="3">
        <v>1209</v>
      </c>
      <c r="H6507" s="3">
        <v>50</v>
      </c>
      <c r="I6507" s="3">
        <v>460</v>
      </c>
      <c r="J6507" s="3">
        <v>27</v>
      </c>
      <c r="K6507" s="3">
        <v>1400</v>
      </c>
      <c r="L6507" s="3">
        <v>282</v>
      </c>
      <c r="M6507" s="3">
        <v>741</v>
      </c>
    </row>
    <row r="6508" spans="1:13" x14ac:dyDescent="0.25">
      <c r="A6508" s="1" t="str">
        <f>HYPERLINK("http://www.rosaceae.org/Prunus/Prunus_persica/p.persica_gdr_reftransV1_0044076","p.persica_gdr_reftransV1_0044076")</f>
        <v>p.persica_gdr_reftransV1_0044076</v>
      </c>
      <c r="B6508" s="3">
        <v>544</v>
      </c>
      <c r="C6508" s="1" t="str">
        <f>HYPERLINK("http://www.uniprot.org/uniprot/MATE8_ARATH","MATE8_ARATH")</f>
        <v>MATE8_ARATH</v>
      </c>
      <c r="D6508" t="s">
        <v>843</v>
      </c>
      <c r="E6508" s="3" t="s">
        <v>3</v>
      </c>
      <c r="F6508" s="4">
        <v>6.8000000000000003E-26</v>
      </c>
      <c r="G6508" s="3">
        <v>266</v>
      </c>
      <c r="H6508" s="3">
        <v>49</v>
      </c>
      <c r="I6508" s="3">
        <v>104</v>
      </c>
      <c r="J6508" s="3">
        <v>227</v>
      </c>
      <c r="K6508" s="3">
        <v>538</v>
      </c>
      <c r="L6508" s="3">
        <v>368</v>
      </c>
      <c r="M6508" s="3">
        <v>471</v>
      </c>
    </row>
    <row r="6509" spans="1:13" x14ac:dyDescent="0.25">
      <c r="A6509" s="1" t="str">
        <f>HYPERLINK("http://www.rosaceae.org/Prunus/Prunus_persica/p.persica_gdr_reftransV1_0044176","p.persica_gdr_reftransV1_0044176")</f>
        <v>p.persica_gdr_reftransV1_0044176</v>
      </c>
      <c r="B6509" s="3">
        <v>1670</v>
      </c>
      <c r="C6509" s="1" t="str">
        <f>HYPERLINK("http://www.uniprot.org/uniprot/RADL3_ARATH","RADL3_ARATH")</f>
        <v>RADL3_ARATH</v>
      </c>
      <c r="D6509" t="s">
        <v>163</v>
      </c>
      <c r="E6509" s="3" t="s">
        <v>3</v>
      </c>
      <c r="F6509" s="4">
        <v>1.7199999999999999E-12</v>
      </c>
      <c r="G6509" s="3">
        <v>166</v>
      </c>
      <c r="H6509" s="3">
        <v>52</v>
      </c>
      <c r="I6509" s="3">
        <v>61</v>
      </c>
      <c r="J6509" s="3">
        <v>299</v>
      </c>
      <c r="K6509" s="3">
        <v>481</v>
      </c>
      <c r="L6509" s="3">
        <v>12</v>
      </c>
      <c r="M6509" s="3">
        <v>71</v>
      </c>
    </row>
    <row r="6510" spans="1:13" x14ac:dyDescent="0.25">
      <c r="A6510" s="1" t="str">
        <f>HYPERLINK("http://www.rosaceae.org/Prunus/Prunus_persica/p.persica_gdr_reftransV1_0044226","p.persica_gdr_reftransV1_0044226")</f>
        <v>p.persica_gdr_reftransV1_0044226</v>
      </c>
      <c r="B6510" s="3">
        <v>769</v>
      </c>
      <c r="C6510" s="1" t="str">
        <f>HYPERLINK("http://www.uniprot.org/uniprot/SPO11_ARATH","SPO11_ARATH")</f>
        <v>SPO11_ARATH</v>
      </c>
      <c r="D6510" t="s">
        <v>1430</v>
      </c>
      <c r="E6510" s="3" t="s">
        <v>3</v>
      </c>
      <c r="F6510" s="4">
        <v>1.0100000000000001E-96</v>
      </c>
      <c r="G6510" s="3">
        <v>753</v>
      </c>
      <c r="H6510" s="3">
        <v>74</v>
      </c>
      <c r="I6510" s="3">
        <v>183</v>
      </c>
      <c r="J6510" s="3">
        <v>27</v>
      </c>
      <c r="K6510" s="3">
        <v>575</v>
      </c>
      <c r="L6510" s="3">
        <v>177</v>
      </c>
      <c r="M6510" s="3">
        <v>359</v>
      </c>
    </row>
    <row r="6511" spans="1:13" x14ac:dyDescent="0.25">
      <c r="A6511" s="1" t="str">
        <f>HYPERLINK("http://www.rosaceae.org/Prunus/Prunus_persica/p.persica_gdr_reftransV1_0044326","p.persica_gdr_reftransV1_0044326")</f>
        <v>p.persica_gdr_reftransV1_0044326</v>
      </c>
      <c r="B6511" s="3">
        <v>683</v>
      </c>
      <c r="C6511" s="1" t="str">
        <f>HYPERLINK("http://www.uniprot.org/uniprot/F3PH_PETHY","F3PH_PETHY")</f>
        <v>F3PH_PETHY</v>
      </c>
      <c r="D6511" t="s">
        <v>3265</v>
      </c>
      <c r="E6511" s="3" t="s">
        <v>509</v>
      </c>
      <c r="F6511" s="4">
        <v>9.4700000000000004E-50</v>
      </c>
      <c r="G6511" s="3">
        <v>443</v>
      </c>
      <c r="H6511" s="3">
        <v>74</v>
      </c>
      <c r="I6511" s="3">
        <v>149</v>
      </c>
      <c r="J6511" s="3">
        <v>72</v>
      </c>
      <c r="K6511" s="3">
        <v>512</v>
      </c>
      <c r="L6511" s="3">
        <v>2</v>
      </c>
      <c r="M6511" s="3">
        <v>150</v>
      </c>
    </row>
    <row r="6512" spans="1:13" x14ac:dyDescent="0.25">
      <c r="A6512" s="1" t="str">
        <f>HYPERLINK("http://www.rosaceae.org/Prunus/Prunus_persica/p.persica_gdr_reftransV1_0044426","p.persica_gdr_reftransV1_0044426")</f>
        <v>p.persica_gdr_reftransV1_0044426</v>
      </c>
      <c r="B6512" s="3">
        <v>417</v>
      </c>
      <c r="C6512" s="1" t="str">
        <f>HYPERLINK("http://www.uniprot.org/uniprot/CESA7_ARATH","CESA7_ARATH")</f>
        <v>CESA7_ARATH</v>
      </c>
      <c r="D6512" t="s">
        <v>2147</v>
      </c>
      <c r="E6512" s="3" t="s">
        <v>3</v>
      </c>
      <c r="F6512" s="4">
        <v>8.9899999999999998E-48</v>
      </c>
      <c r="G6512" s="3">
        <v>429</v>
      </c>
      <c r="H6512" s="3">
        <v>89</v>
      </c>
      <c r="I6512" s="3">
        <v>94</v>
      </c>
      <c r="J6512" s="3">
        <v>134</v>
      </c>
      <c r="K6512" s="3">
        <v>415</v>
      </c>
      <c r="L6512" s="3">
        <v>1</v>
      </c>
      <c r="M6512" s="3">
        <v>94</v>
      </c>
    </row>
    <row r="6513" spans="1:13" x14ac:dyDescent="0.25">
      <c r="A6513" s="1" t="str">
        <f>HYPERLINK("http://www.rosaceae.org/Prunus/Prunus_persica/p.persica_gdr_reftransV1_0044476","p.persica_gdr_reftransV1_0044476")</f>
        <v>p.persica_gdr_reftransV1_0044476</v>
      </c>
      <c r="B6513" s="3">
        <v>3568</v>
      </c>
      <c r="C6513" s="1" t="str">
        <f>HYPERLINK("http://www.uniprot.org/uniprot/TI100_ARATH","TI100_ARATH")</f>
        <v>TI100_ARATH</v>
      </c>
      <c r="D6513" t="s">
        <v>5330</v>
      </c>
      <c r="E6513" s="3" t="s">
        <v>3</v>
      </c>
      <c r="F6513" s="4">
        <v>0</v>
      </c>
      <c r="G6513" s="3">
        <v>2191</v>
      </c>
      <c r="H6513" s="3">
        <v>74</v>
      </c>
      <c r="I6513" s="3">
        <v>544</v>
      </c>
      <c r="J6513" s="3">
        <v>239</v>
      </c>
      <c r="K6513" s="3">
        <v>1864</v>
      </c>
      <c r="L6513" s="3">
        <v>58</v>
      </c>
      <c r="M6513" s="3">
        <v>601</v>
      </c>
    </row>
    <row r="6514" spans="1:13" x14ac:dyDescent="0.25">
      <c r="A6514" s="1" t="str">
        <f>HYPERLINK("http://www.rosaceae.org/Prunus/Prunus_persica/p.persica_gdr_reftransV1_0044526","p.persica_gdr_reftransV1_0044526")</f>
        <v>p.persica_gdr_reftransV1_0044526</v>
      </c>
      <c r="B6514" s="3">
        <v>662</v>
      </c>
      <c r="C6514" s="1" t="str">
        <f>HYPERLINK("http://www.uniprot.org/uniprot/UTP18_ARATH","UTP18_ARATH")</f>
        <v>UTP18_ARATH</v>
      </c>
      <c r="D6514" t="s">
        <v>5331</v>
      </c>
      <c r="E6514" s="3" t="s">
        <v>3</v>
      </c>
      <c r="F6514" s="4">
        <v>5.5400000000000003E-73</v>
      </c>
      <c r="G6514" s="3">
        <v>604</v>
      </c>
      <c r="H6514" s="3">
        <v>60</v>
      </c>
      <c r="I6514" s="3">
        <v>223</v>
      </c>
      <c r="J6514" s="3">
        <v>26</v>
      </c>
      <c r="K6514" s="3">
        <v>661</v>
      </c>
      <c r="L6514" s="3">
        <v>85</v>
      </c>
      <c r="M6514" s="3">
        <v>294</v>
      </c>
    </row>
    <row r="6515" spans="1:13" x14ac:dyDescent="0.25">
      <c r="A6515" s="1" t="str">
        <f>HYPERLINK("http://www.rosaceae.org/Prunus/Prunus_persica/p.persica_gdr_reftransV1_0044626","p.persica_gdr_reftransV1_0044626")</f>
        <v>p.persica_gdr_reftransV1_0044626</v>
      </c>
      <c r="B6515" s="3">
        <v>1262</v>
      </c>
      <c r="C6515" s="1" t="str">
        <f>HYPERLINK("http://www.uniprot.org/uniprot/ERD2_CAEEL","ERD2_CAEEL")</f>
        <v>ERD2_CAEEL</v>
      </c>
      <c r="D6515" t="s">
        <v>5332</v>
      </c>
      <c r="E6515" s="3" t="s">
        <v>281</v>
      </c>
      <c r="F6515" s="4">
        <v>8.7600000000000005E-26</v>
      </c>
      <c r="G6515" s="3">
        <v>268</v>
      </c>
      <c r="H6515" s="3">
        <v>34</v>
      </c>
      <c r="I6515" s="3">
        <v>206</v>
      </c>
      <c r="J6515" s="3">
        <v>297</v>
      </c>
      <c r="K6515" s="3">
        <v>911</v>
      </c>
      <c r="L6515" s="3">
        <v>8</v>
      </c>
      <c r="M6515" s="3">
        <v>199</v>
      </c>
    </row>
    <row r="6516" spans="1:13" x14ac:dyDescent="0.25">
      <c r="A6516" s="1" t="str">
        <f>HYPERLINK("http://www.rosaceae.org/Prunus/Prunus_persica/p.persica_gdr_reftransV1_0044726","p.persica_gdr_reftransV1_0044726")</f>
        <v>p.persica_gdr_reftransV1_0044726</v>
      </c>
      <c r="B6516" s="3">
        <v>1785</v>
      </c>
      <c r="C6516" s="1" t="str">
        <f>HYPERLINK("http://www.uniprot.org/uniprot/C93A1_SOYBN","C93A1_SOYBN")</f>
        <v>C93A1_SOYBN</v>
      </c>
      <c r="D6516" t="s">
        <v>2171</v>
      </c>
      <c r="E6516" s="3" t="s">
        <v>307</v>
      </c>
      <c r="F6516" s="4">
        <v>0</v>
      </c>
      <c r="G6516" s="3">
        <v>1474</v>
      </c>
      <c r="H6516" s="3">
        <v>59</v>
      </c>
      <c r="I6516" s="3">
        <v>507</v>
      </c>
      <c r="J6516" s="3">
        <v>150</v>
      </c>
      <c r="K6516" s="3">
        <v>1661</v>
      </c>
      <c r="L6516" s="3">
        <v>6</v>
      </c>
      <c r="M6516" s="3">
        <v>506</v>
      </c>
    </row>
    <row r="6517" spans="1:13" x14ac:dyDescent="0.25">
      <c r="A6517" s="1" t="str">
        <f>HYPERLINK("http://www.rosaceae.org/Prunus/Prunus_persica/p.persica_gdr_reftransV1_0044776","p.persica_gdr_reftransV1_0044776")</f>
        <v>p.persica_gdr_reftransV1_0044776</v>
      </c>
      <c r="B6517" s="3">
        <v>2616</v>
      </c>
      <c r="C6517" s="1" t="str">
        <f>HYPERLINK("http://www.uniprot.org/uniprot/ALA1_ARATH","ALA1_ARATH")</f>
        <v>ALA1_ARATH</v>
      </c>
      <c r="D6517" t="s">
        <v>969</v>
      </c>
      <c r="E6517" s="3" t="s">
        <v>3</v>
      </c>
      <c r="F6517" s="4">
        <v>0</v>
      </c>
      <c r="G6517" s="3">
        <v>1881</v>
      </c>
      <c r="H6517" s="3">
        <v>59</v>
      </c>
      <c r="I6517" s="3">
        <v>628</v>
      </c>
      <c r="J6517" s="3">
        <v>37</v>
      </c>
      <c r="K6517" s="3">
        <v>1920</v>
      </c>
      <c r="L6517" s="3">
        <v>553</v>
      </c>
      <c r="M6517" s="3">
        <v>1136</v>
      </c>
    </row>
    <row r="6518" spans="1:13" x14ac:dyDescent="0.25">
      <c r="A6518" s="1" t="str">
        <f>HYPERLINK("http://www.rosaceae.org/Prunus/Prunus_persica/p.persica_gdr_reftransV1_0044876","p.persica_gdr_reftransV1_0044876")</f>
        <v>p.persica_gdr_reftransV1_0044876</v>
      </c>
      <c r="B6518" s="3">
        <v>1934</v>
      </c>
      <c r="C6518" s="1" t="str">
        <f>HYPERLINK("http://www.uniprot.org/uniprot/GUAA_HELHP","GUAA_HELHP")</f>
        <v>GUAA_HELHP</v>
      </c>
      <c r="D6518" t="s">
        <v>5027</v>
      </c>
      <c r="E6518" s="3" t="s">
        <v>5028</v>
      </c>
      <c r="F6518" s="4">
        <v>1.6399999999999999E-39</v>
      </c>
      <c r="G6518" s="3">
        <v>404</v>
      </c>
      <c r="H6518" s="3">
        <v>40</v>
      </c>
      <c r="I6518" s="3">
        <v>200</v>
      </c>
      <c r="J6518" s="3">
        <v>624</v>
      </c>
      <c r="K6518" s="3">
        <v>1208</v>
      </c>
      <c r="L6518" s="3">
        <v>769</v>
      </c>
      <c r="M6518" s="3">
        <v>968</v>
      </c>
    </row>
    <row r="6519" spans="1:13" x14ac:dyDescent="0.25">
      <c r="A6519" s="1" t="str">
        <f>HYPERLINK("http://www.rosaceae.org/Prunus/Prunus_persica/p.persica_gdr_reftransV1_0044926","p.persica_gdr_reftransV1_0044926")</f>
        <v>p.persica_gdr_reftransV1_0044926</v>
      </c>
      <c r="B6519" s="3">
        <v>991</v>
      </c>
      <c r="C6519" s="1" t="str">
        <f>HYPERLINK("http://www.uniprot.org/uniprot/SODC_NICPL","SODC_NICPL")</f>
        <v>SODC_NICPL</v>
      </c>
      <c r="D6519" t="s">
        <v>5333</v>
      </c>
      <c r="E6519" s="3" t="s">
        <v>1450</v>
      </c>
      <c r="F6519" s="4">
        <v>2.0900000000000001E-87</v>
      </c>
      <c r="G6519" s="3">
        <v>679</v>
      </c>
      <c r="H6519" s="3">
        <v>86</v>
      </c>
      <c r="I6519" s="3">
        <v>151</v>
      </c>
      <c r="J6519" s="3">
        <v>204</v>
      </c>
      <c r="K6519" s="3">
        <v>656</v>
      </c>
      <c r="L6519" s="3">
        <v>1</v>
      </c>
      <c r="M6519" s="3">
        <v>151</v>
      </c>
    </row>
    <row r="6520" spans="1:13" x14ac:dyDescent="0.25">
      <c r="A6520" s="1" t="str">
        <f>HYPERLINK("http://www.rosaceae.org/Prunus/Prunus_persica/p.persica_gdr_reftransV1_0045026","p.persica_gdr_reftransV1_0045026")</f>
        <v>p.persica_gdr_reftransV1_0045026</v>
      </c>
      <c r="B6520" s="3">
        <v>1224</v>
      </c>
      <c r="C6520" s="1" t="str">
        <f>HYPERLINK("http://www.uniprot.org/uniprot/PYRG2_XENLA","PYRG2_XENLA")</f>
        <v>PYRG2_XENLA</v>
      </c>
      <c r="D6520" t="s">
        <v>3962</v>
      </c>
      <c r="E6520" s="3" t="s">
        <v>475</v>
      </c>
      <c r="F6520" s="4">
        <v>2.5599999999999999E-58</v>
      </c>
      <c r="G6520" s="3">
        <v>523</v>
      </c>
      <c r="H6520" s="3">
        <v>46</v>
      </c>
      <c r="I6520" s="3">
        <v>227</v>
      </c>
      <c r="J6520" s="3">
        <v>395</v>
      </c>
      <c r="K6520" s="3">
        <v>1075</v>
      </c>
      <c r="L6520" s="3">
        <v>358</v>
      </c>
      <c r="M6520" s="3">
        <v>555</v>
      </c>
    </row>
    <row r="6521" spans="1:13" x14ac:dyDescent="0.25">
      <c r="A6521" s="1" t="str">
        <f>HYPERLINK("http://www.rosaceae.org/Prunus/Prunus_persica/p.persica_gdr_reftransV1_0045126","p.persica_gdr_reftransV1_0045126")</f>
        <v>p.persica_gdr_reftransV1_0045126</v>
      </c>
      <c r="B6521" s="3">
        <v>475</v>
      </c>
      <c r="C6521" s="1" t="str">
        <f>HYPERLINK("http://www.uniprot.org/uniprot/KCS4_ARATH","KCS4_ARATH")</f>
        <v>KCS4_ARATH</v>
      </c>
      <c r="D6521" t="s">
        <v>148</v>
      </c>
      <c r="E6521" s="3" t="s">
        <v>3</v>
      </c>
      <c r="F6521" s="4">
        <v>1.3899999999999999E-83</v>
      </c>
      <c r="G6521" s="3">
        <v>667</v>
      </c>
      <c r="H6521" s="3">
        <v>81</v>
      </c>
      <c r="I6521" s="3">
        <v>158</v>
      </c>
      <c r="J6521" s="3">
        <v>2</v>
      </c>
      <c r="K6521" s="3">
        <v>475</v>
      </c>
      <c r="L6521" s="3">
        <v>66</v>
      </c>
      <c r="M6521" s="3">
        <v>223</v>
      </c>
    </row>
    <row r="6522" spans="1:13" x14ac:dyDescent="0.25">
      <c r="A6522" s="1" t="str">
        <f>HYPERLINK("http://www.rosaceae.org/Prunus/Prunus_persica/p.persica_gdr_reftransV1_0045176","p.persica_gdr_reftransV1_0045176")</f>
        <v>p.persica_gdr_reftransV1_0045176</v>
      </c>
      <c r="B6522" s="3">
        <v>916</v>
      </c>
      <c r="C6522" s="1" t="str">
        <f>HYPERLINK("http://www.uniprot.org/uniprot/RBM8A_DROME","RBM8A_DROME")</f>
        <v>RBM8A_DROME</v>
      </c>
      <c r="D6522" t="s">
        <v>5334</v>
      </c>
      <c r="E6522" s="3" t="s">
        <v>5</v>
      </c>
      <c r="F6522" s="4">
        <v>1.22E-32</v>
      </c>
      <c r="G6522" s="3">
        <v>310</v>
      </c>
      <c r="H6522" s="3">
        <v>61</v>
      </c>
      <c r="I6522" s="3">
        <v>90</v>
      </c>
      <c r="J6522" s="3">
        <v>286</v>
      </c>
      <c r="K6522" s="3">
        <v>555</v>
      </c>
      <c r="L6522" s="3">
        <v>65</v>
      </c>
      <c r="M6522" s="3">
        <v>154</v>
      </c>
    </row>
    <row r="6523" spans="1:13" x14ac:dyDescent="0.25">
      <c r="A6523" s="1" t="str">
        <f>HYPERLINK("http://www.rosaceae.org/Prunus/Prunus_persica/p.persica_gdr_reftransV1_0045226","p.persica_gdr_reftransV1_0045226")</f>
        <v>p.persica_gdr_reftransV1_0045226</v>
      </c>
      <c r="B6523" s="3">
        <v>1215</v>
      </c>
      <c r="C6523" s="1" t="str">
        <f>HYPERLINK("http://www.uniprot.org/uniprot/KAI2_ARATH","KAI2_ARATH")</f>
        <v>KAI2_ARATH</v>
      </c>
      <c r="D6523" t="s">
        <v>5335</v>
      </c>
      <c r="E6523" s="3" t="s">
        <v>3</v>
      </c>
      <c r="F6523" s="4">
        <v>2.9700000000000002E-165</v>
      </c>
      <c r="G6523" s="3">
        <v>1213</v>
      </c>
      <c r="H6523" s="3">
        <v>81</v>
      </c>
      <c r="I6523" s="3">
        <v>269</v>
      </c>
      <c r="J6523" s="3">
        <v>331</v>
      </c>
      <c r="K6523" s="3">
        <v>1137</v>
      </c>
      <c r="L6523" s="3">
        <v>1</v>
      </c>
      <c r="M6523" s="3">
        <v>269</v>
      </c>
    </row>
    <row r="6524" spans="1:13" x14ac:dyDescent="0.25">
      <c r="A6524" s="1" t="str">
        <f>HYPERLINK("http://www.rosaceae.org/Prunus/Prunus_persica/p.persica_gdr_reftransV1_0045276","p.persica_gdr_reftransV1_0045276")</f>
        <v>p.persica_gdr_reftransV1_0045276</v>
      </c>
      <c r="B6524" s="3">
        <v>1404</v>
      </c>
      <c r="C6524" s="1" t="str">
        <f>HYPERLINK("http://www.uniprot.org/uniprot/GDL8_ARATH","GDL8_ARATH")</f>
        <v>GDL8_ARATH</v>
      </c>
      <c r="D6524" t="s">
        <v>5336</v>
      </c>
      <c r="E6524" s="3" t="s">
        <v>3</v>
      </c>
      <c r="F6524" s="4">
        <v>2.0000000000000001E-128</v>
      </c>
      <c r="G6524" s="3">
        <v>989</v>
      </c>
      <c r="H6524" s="3">
        <v>54</v>
      </c>
      <c r="I6524" s="3">
        <v>369</v>
      </c>
      <c r="J6524" s="3">
        <v>148</v>
      </c>
      <c r="K6524" s="3">
        <v>1251</v>
      </c>
      <c r="L6524" s="3">
        <v>34</v>
      </c>
      <c r="M6524" s="3">
        <v>396</v>
      </c>
    </row>
    <row r="6525" spans="1:13" x14ac:dyDescent="0.25">
      <c r="A6525" s="1" t="str">
        <f>HYPERLINK("http://www.rosaceae.org/Prunus/Prunus_persica/p.persica_gdr_reftransV1_0045426","p.persica_gdr_reftransV1_0045426")</f>
        <v>p.persica_gdr_reftransV1_0045426</v>
      </c>
      <c r="B6525" s="3">
        <v>829</v>
      </c>
      <c r="C6525" s="1" t="str">
        <f>HYPERLINK("http://www.uniprot.org/uniprot/WR52N_ARATH","WR52N_ARATH")</f>
        <v>WR52N_ARATH</v>
      </c>
      <c r="D6525" t="s">
        <v>5337</v>
      </c>
      <c r="E6525" s="3" t="s">
        <v>3</v>
      </c>
      <c r="F6525" s="4">
        <v>4.5800000000000003E-15</v>
      </c>
      <c r="G6525" s="3">
        <v>193</v>
      </c>
      <c r="H6525" s="3">
        <v>30</v>
      </c>
      <c r="I6525" s="3">
        <v>287</v>
      </c>
      <c r="J6525" s="3">
        <v>2</v>
      </c>
      <c r="K6525" s="3">
        <v>814</v>
      </c>
      <c r="L6525" s="3">
        <v>500</v>
      </c>
      <c r="M6525" s="3">
        <v>763</v>
      </c>
    </row>
    <row r="6526" spans="1:13" x14ac:dyDescent="0.25">
      <c r="A6526" s="1" t="str">
        <f>HYPERLINK("http://www.rosaceae.org/Prunus/Prunus_persica/p.persica_gdr_reftransV1_0045526","p.persica_gdr_reftransV1_0045526")</f>
        <v>p.persica_gdr_reftransV1_0045526</v>
      </c>
      <c r="B6526" s="3">
        <v>668</v>
      </c>
      <c r="C6526" s="1" t="str">
        <f>HYPERLINK("http://www.uniprot.org/uniprot/ACOX1_ARATH","ACOX1_ARATH")</f>
        <v>ACOX1_ARATH</v>
      </c>
      <c r="D6526" t="s">
        <v>5338</v>
      </c>
      <c r="E6526" s="3" t="s">
        <v>3</v>
      </c>
      <c r="F6526" s="4">
        <v>3.4200000000000002E-90</v>
      </c>
      <c r="G6526" s="3">
        <v>729</v>
      </c>
      <c r="H6526" s="3">
        <v>73</v>
      </c>
      <c r="I6526" s="3">
        <v>188</v>
      </c>
      <c r="J6526" s="3">
        <v>105</v>
      </c>
      <c r="K6526" s="3">
        <v>668</v>
      </c>
      <c r="L6526" s="3">
        <v>477</v>
      </c>
      <c r="M6526" s="3">
        <v>664</v>
      </c>
    </row>
    <row r="6527" spans="1:13" x14ac:dyDescent="0.25">
      <c r="A6527" s="1" t="str">
        <f>HYPERLINK("http://www.rosaceae.org/Prunus/Prunus_persica/p.persica_gdr_reftransV1_0045576","p.persica_gdr_reftransV1_0045576")</f>
        <v>p.persica_gdr_reftransV1_0045576</v>
      </c>
      <c r="B6527" s="3">
        <v>747</v>
      </c>
      <c r="C6527" s="1" t="str">
        <f>HYPERLINK("http://www.uniprot.org/uniprot/SUT13_ARATH","SUT13_ARATH")</f>
        <v>SUT13_ARATH</v>
      </c>
      <c r="D6527" t="s">
        <v>5339</v>
      </c>
      <c r="E6527" s="3" t="s">
        <v>3</v>
      </c>
      <c r="F6527" s="4">
        <v>3.8099999999999999E-44</v>
      </c>
      <c r="G6527" s="3">
        <v>408</v>
      </c>
      <c r="H6527" s="3">
        <v>75</v>
      </c>
      <c r="I6527" s="3">
        <v>101</v>
      </c>
      <c r="J6527" s="3">
        <v>132</v>
      </c>
      <c r="K6527" s="3">
        <v>434</v>
      </c>
      <c r="L6527" s="3">
        <v>555</v>
      </c>
      <c r="M6527" s="3">
        <v>655</v>
      </c>
    </row>
    <row r="6528" spans="1:13" x14ac:dyDescent="0.25">
      <c r="A6528" s="1" t="str">
        <f>HYPERLINK("http://www.rosaceae.org/Prunus/Prunus_persica/p.persica_gdr_reftransV1_0045626","p.persica_gdr_reftransV1_0045626")</f>
        <v>p.persica_gdr_reftransV1_0045626</v>
      </c>
      <c r="B6528" s="3">
        <v>1480</v>
      </c>
      <c r="C6528" s="1" t="str">
        <f>HYPERLINK("http://www.uniprot.org/uniprot/REMO_SOLTU","REMO_SOLTU")</f>
        <v>REMO_SOLTU</v>
      </c>
      <c r="D6528" t="s">
        <v>1895</v>
      </c>
      <c r="E6528" s="3" t="s">
        <v>11</v>
      </c>
      <c r="F6528" s="4">
        <v>4.0799999999999999E-10</v>
      </c>
      <c r="G6528" s="3">
        <v>152</v>
      </c>
      <c r="H6528" s="3">
        <v>41</v>
      </c>
      <c r="I6528" s="3">
        <v>100</v>
      </c>
      <c r="J6528" s="3">
        <v>972</v>
      </c>
      <c r="K6528" s="3">
        <v>1271</v>
      </c>
      <c r="L6528" s="3">
        <v>95</v>
      </c>
      <c r="M6528" s="3">
        <v>194</v>
      </c>
    </row>
    <row r="6529" spans="1:13" x14ac:dyDescent="0.25">
      <c r="A6529" s="1" t="str">
        <f>HYPERLINK("http://www.rosaceae.org/Prunus/Prunus_persica/p.persica_gdr_reftransV1_0045676","p.persica_gdr_reftransV1_0045676")</f>
        <v>p.persica_gdr_reftransV1_0045676</v>
      </c>
      <c r="B6529" s="3">
        <v>737</v>
      </c>
      <c r="C6529" s="1" t="str">
        <f>HYPERLINK("http://www.uniprot.org/uniprot/WRK65_ARATH","WRK65_ARATH")</f>
        <v>WRK65_ARATH</v>
      </c>
      <c r="D6529" t="s">
        <v>5340</v>
      </c>
      <c r="E6529" s="3" t="s">
        <v>3</v>
      </c>
      <c r="F6529" s="4">
        <v>1.8499999999999999E-48</v>
      </c>
      <c r="G6529" s="3">
        <v>421</v>
      </c>
      <c r="H6529" s="3">
        <v>50</v>
      </c>
      <c r="I6529" s="3">
        <v>190</v>
      </c>
      <c r="J6529" s="3">
        <v>9</v>
      </c>
      <c r="K6529" s="3">
        <v>545</v>
      </c>
      <c r="L6529" s="3">
        <v>45</v>
      </c>
      <c r="M6529" s="3">
        <v>219</v>
      </c>
    </row>
    <row r="6530" spans="1:13" x14ac:dyDescent="0.25">
      <c r="A6530" s="1" t="str">
        <f>HYPERLINK("http://www.rosaceae.org/Prunus/Prunus_persica/p.persica_gdr_reftransV1_0045726","p.persica_gdr_reftransV1_0045726")</f>
        <v>p.persica_gdr_reftransV1_0045726</v>
      </c>
      <c r="B6530" s="3">
        <v>1945</v>
      </c>
      <c r="C6530" s="1" t="str">
        <f>HYPERLINK("http://www.uniprot.org/uniprot/AL2B7_ARATH","AL2B7_ARATH")</f>
        <v>AL2B7_ARATH</v>
      </c>
      <c r="D6530" t="s">
        <v>5341</v>
      </c>
      <c r="E6530" s="3" t="s">
        <v>3</v>
      </c>
      <c r="F6530" s="4">
        <v>0</v>
      </c>
      <c r="G6530" s="3">
        <v>2228</v>
      </c>
      <c r="H6530" s="3">
        <v>79</v>
      </c>
      <c r="I6530" s="3">
        <v>506</v>
      </c>
      <c r="J6530" s="3">
        <v>207</v>
      </c>
      <c r="K6530" s="3">
        <v>1721</v>
      </c>
      <c r="L6530" s="3">
        <v>29</v>
      </c>
      <c r="M6530" s="3">
        <v>534</v>
      </c>
    </row>
    <row r="6531" spans="1:13" x14ac:dyDescent="0.25">
      <c r="A6531" s="1" t="str">
        <f>HYPERLINK("http://www.rosaceae.org/Prunus/Prunus_persica/p.persica_gdr_reftransV1_0045776","p.persica_gdr_reftransV1_0045776")</f>
        <v>p.persica_gdr_reftransV1_0045776</v>
      </c>
      <c r="B6531" s="3">
        <v>1830</v>
      </c>
      <c r="C6531" s="1" t="str">
        <f>HYPERLINK("http://www.uniprot.org/uniprot/AROG_SOLLC","AROG_SOLLC")</f>
        <v>AROG_SOLLC</v>
      </c>
      <c r="D6531" t="s">
        <v>581</v>
      </c>
      <c r="E6531" s="3" t="s">
        <v>64</v>
      </c>
      <c r="F6531" s="4">
        <v>0</v>
      </c>
      <c r="G6531" s="3">
        <v>2294</v>
      </c>
      <c r="H6531" s="3">
        <v>78</v>
      </c>
      <c r="I6531" s="3">
        <v>541</v>
      </c>
      <c r="J6531" s="3">
        <v>146</v>
      </c>
      <c r="K6531" s="3">
        <v>1726</v>
      </c>
      <c r="L6531" s="3">
        <v>1</v>
      </c>
      <c r="M6531" s="3">
        <v>539</v>
      </c>
    </row>
    <row r="6532" spans="1:13" x14ac:dyDescent="0.25">
      <c r="A6532" s="1" t="str">
        <f>HYPERLINK("http://www.rosaceae.org/Prunus/Prunus_persica/p.persica_gdr_reftransV1_0045826","p.persica_gdr_reftransV1_0045826")</f>
        <v>p.persica_gdr_reftransV1_0045826</v>
      </c>
      <c r="B6532" s="3">
        <v>2602</v>
      </c>
      <c r="C6532" s="1" t="str">
        <f>HYPERLINK("http://www.uniprot.org/uniprot/HSP7S_PEA","HSP7S_PEA")</f>
        <v>HSP7S_PEA</v>
      </c>
      <c r="D6532" t="s">
        <v>5342</v>
      </c>
      <c r="E6532" s="3" t="s">
        <v>60</v>
      </c>
      <c r="F6532" s="4">
        <v>0</v>
      </c>
      <c r="G6532" s="3">
        <v>2986</v>
      </c>
      <c r="H6532" s="3">
        <v>87</v>
      </c>
      <c r="I6532" s="3">
        <v>711</v>
      </c>
      <c r="J6532" s="3">
        <v>210</v>
      </c>
      <c r="K6532" s="3">
        <v>2327</v>
      </c>
      <c r="L6532" s="3">
        <v>1</v>
      </c>
      <c r="M6532" s="3">
        <v>706</v>
      </c>
    </row>
    <row r="6533" spans="1:13" x14ac:dyDescent="0.25">
      <c r="A6533" s="1" t="str">
        <f>HYPERLINK("http://www.rosaceae.org/Prunus/Prunus_persica/p.persica_gdr_reftransV1_0045876","p.persica_gdr_reftransV1_0045876")</f>
        <v>p.persica_gdr_reftransV1_0045876</v>
      </c>
      <c r="B6533" s="3">
        <v>2785</v>
      </c>
      <c r="C6533" s="1" t="str">
        <f>HYPERLINK("http://www.uniprot.org/uniprot/ALY3_ARATH","ALY3_ARATH")</f>
        <v>ALY3_ARATH</v>
      </c>
      <c r="D6533" t="s">
        <v>4549</v>
      </c>
      <c r="E6533" s="3" t="s">
        <v>3</v>
      </c>
      <c r="F6533" s="4">
        <v>4.91E-153</v>
      </c>
      <c r="G6533" s="3">
        <v>889</v>
      </c>
      <c r="H6533" s="3">
        <v>49</v>
      </c>
      <c r="I6533" s="3">
        <v>424</v>
      </c>
      <c r="J6533" s="3">
        <v>176</v>
      </c>
      <c r="K6533" s="3">
        <v>1387</v>
      </c>
      <c r="L6533" s="3">
        <v>719</v>
      </c>
      <c r="M6533" s="3">
        <v>1132</v>
      </c>
    </row>
    <row r="6534" spans="1:13" x14ac:dyDescent="0.25">
      <c r="A6534" s="1" t="str">
        <f>HYPERLINK("http://www.rosaceae.org/Prunus/Prunus_persica/p.persica_gdr_reftransV1_0046026","p.persica_gdr_reftransV1_0046026")</f>
        <v>p.persica_gdr_reftransV1_0046026</v>
      </c>
      <c r="B6534" s="3">
        <v>1693</v>
      </c>
      <c r="C6534" s="1" t="str">
        <f>HYPERLINK("http://www.uniprot.org/uniprot/ALFC3_ARATH","ALFC3_ARATH")</f>
        <v>ALFC3_ARATH</v>
      </c>
      <c r="D6534" t="s">
        <v>5343</v>
      </c>
      <c r="E6534" s="3" t="s">
        <v>3</v>
      </c>
      <c r="F6534" s="4">
        <v>0</v>
      </c>
      <c r="G6534" s="3">
        <v>1771</v>
      </c>
      <c r="H6534" s="3">
        <v>85</v>
      </c>
      <c r="I6534" s="3">
        <v>393</v>
      </c>
      <c r="J6534" s="3">
        <v>295</v>
      </c>
      <c r="K6534" s="3">
        <v>1473</v>
      </c>
      <c r="L6534" s="3">
        <v>1</v>
      </c>
      <c r="M6534" s="3">
        <v>391</v>
      </c>
    </row>
    <row r="6535" spans="1:13" x14ac:dyDescent="0.25">
      <c r="A6535" s="1" t="str">
        <f>HYPERLINK("http://www.rosaceae.org/Prunus/Prunus_persica/p.persica_gdr_reftransV1_0046126","p.persica_gdr_reftransV1_0046126")</f>
        <v>p.persica_gdr_reftransV1_0046126</v>
      </c>
      <c r="B6535" s="3">
        <v>739</v>
      </c>
      <c r="C6535" s="1" t="str">
        <f>HYPERLINK("http://www.uniprot.org/uniprot/LIGV1_LIGVU","LIGV1_LIGVU")</f>
        <v>LIGV1_LIGVU</v>
      </c>
      <c r="D6535" t="s">
        <v>5344</v>
      </c>
      <c r="E6535" s="3" t="s">
        <v>5345</v>
      </c>
      <c r="F6535" s="4">
        <v>1.5900000000000001E-7</v>
      </c>
      <c r="G6535" s="3">
        <v>125</v>
      </c>
      <c r="H6535" s="3">
        <v>37</v>
      </c>
      <c r="I6535" s="3">
        <v>91</v>
      </c>
      <c r="J6535" s="3">
        <v>338</v>
      </c>
      <c r="K6535" s="3">
        <v>601</v>
      </c>
      <c r="L6535" s="3">
        <v>5</v>
      </c>
      <c r="M6535" s="3">
        <v>90</v>
      </c>
    </row>
    <row r="6536" spans="1:13" x14ac:dyDescent="0.25">
      <c r="A6536" s="1" t="str">
        <f>HYPERLINK("http://www.rosaceae.org/Prunus/Prunus_persica/p.persica_gdr_reftransV1_0046176","p.persica_gdr_reftransV1_0046176")</f>
        <v>p.persica_gdr_reftransV1_0046176</v>
      </c>
      <c r="B6536" s="3">
        <v>1426</v>
      </c>
      <c r="C6536" s="1" t="str">
        <f>HYPERLINK("http://www.uniprot.org/uniprot/NRPB3_ARATH","NRPB3_ARATH")</f>
        <v>NRPB3_ARATH</v>
      </c>
      <c r="D6536" t="s">
        <v>5346</v>
      </c>
      <c r="E6536" s="3" t="s">
        <v>3</v>
      </c>
      <c r="F6536" s="4">
        <v>7.1800000000000003E-153</v>
      </c>
      <c r="G6536" s="3">
        <v>1144</v>
      </c>
      <c r="H6536" s="3">
        <v>70</v>
      </c>
      <c r="I6536" s="3">
        <v>319</v>
      </c>
      <c r="J6536" s="3">
        <v>97</v>
      </c>
      <c r="K6536" s="3">
        <v>963</v>
      </c>
      <c r="L6536" s="3">
        <v>1</v>
      </c>
      <c r="M6536" s="3">
        <v>319</v>
      </c>
    </row>
    <row r="6537" spans="1:13" x14ac:dyDescent="0.25">
      <c r="A6537" s="1" t="str">
        <f>HYPERLINK("http://www.rosaceae.org/Prunus/Prunus_persica/p.persica_gdr_reftransV1_0046376","p.persica_gdr_reftransV1_0046376")</f>
        <v>p.persica_gdr_reftransV1_0046376</v>
      </c>
      <c r="B6537" s="3">
        <v>2816</v>
      </c>
      <c r="C6537" s="1" t="str">
        <f>HYPERLINK("http://www.uniprot.org/uniprot/TYPA_HELPY","TYPA_HELPY")</f>
        <v>TYPA_HELPY</v>
      </c>
      <c r="D6537" t="s">
        <v>3372</v>
      </c>
      <c r="E6537" s="3" t="s">
        <v>3373</v>
      </c>
      <c r="F6537" s="4">
        <v>9.0400000000000002E-139</v>
      </c>
      <c r="G6537" s="3">
        <v>824</v>
      </c>
      <c r="H6537" s="3">
        <v>45</v>
      </c>
      <c r="I6537" s="3">
        <v>356</v>
      </c>
      <c r="J6537" s="3">
        <v>1237</v>
      </c>
      <c r="K6537" s="3">
        <v>2304</v>
      </c>
      <c r="L6537" s="3">
        <v>246</v>
      </c>
      <c r="M6537" s="3">
        <v>599</v>
      </c>
    </row>
    <row r="6538" spans="1:13" x14ac:dyDescent="0.25">
      <c r="A6538" s="1" t="str">
        <f>HYPERLINK("http://www.rosaceae.org/Prunus/Prunus_persica/p.persica_gdr_reftransV1_0046476","p.persica_gdr_reftransV1_0046476")</f>
        <v>p.persica_gdr_reftransV1_0046476</v>
      </c>
      <c r="B6538" s="3">
        <v>409</v>
      </c>
      <c r="C6538" s="1" t="str">
        <f>HYPERLINK("http://www.uniprot.org/uniprot/GASA4_ARATH","GASA4_ARATH")</f>
        <v>GASA4_ARATH</v>
      </c>
      <c r="D6538" t="s">
        <v>5347</v>
      </c>
      <c r="E6538" s="3" t="s">
        <v>3</v>
      </c>
      <c r="F6538" s="4">
        <v>4.2000000000000002E-23</v>
      </c>
      <c r="G6538" s="3">
        <v>228</v>
      </c>
      <c r="H6538" s="3">
        <v>68</v>
      </c>
      <c r="I6538" s="3">
        <v>90</v>
      </c>
      <c r="J6538" s="3">
        <v>138</v>
      </c>
      <c r="K6538" s="3">
        <v>407</v>
      </c>
      <c r="L6538" s="3">
        <v>16</v>
      </c>
      <c r="M6538" s="3">
        <v>104</v>
      </c>
    </row>
    <row r="6539" spans="1:13" x14ac:dyDescent="0.25">
      <c r="A6539" s="1" t="str">
        <f>HYPERLINK("http://www.rosaceae.org/Prunus/Prunus_persica/p.persica_gdr_reftransV1_0046526","p.persica_gdr_reftransV1_0046526")</f>
        <v>p.persica_gdr_reftransV1_0046526</v>
      </c>
      <c r="B6539" s="3">
        <v>1491</v>
      </c>
      <c r="C6539" s="1" t="str">
        <f>HYPERLINK("http://www.uniprot.org/uniprot/ARR8_ARATH","ARR8_ARATH")</f>
        <v>ARR8_ARATH</v>
      </c>
      <c r="D6539" t="s">
        <v>1193</v>
      </c>
      <c r="E6539" s="3" t="s">
        <v>3</v>
      </c>
      <c r="F6539" s="4">
        <v>1.6300000000000001E-50</v>
      </c>
      <c r="G6539" s="3">
        <v>450</v>
      </c>
      <c r="H6539" s="3">
        <v>55</v>
      </c>
      <c r="I6539" s="3">
        <v>192</v>
      </c>
      <c r="J6539" s="3">
        <v>671</v>
      </c>
      <c r="K6539" s="3">
        <v>1240</v>
      </c>
      <c r="L6539" s="3">
        <v>35</v>
      </c>
      <c r="M6539" s="3">
        <v>225</v>
      </c>
    </row>
    <row r="6540" spans="1:13" x14ac:dyDescent="0.25">
      <c r="A6540" s="1" t="str">
        <f>HYPERLINK("http://www.rosaceae.org/Prunus/Prunus_persica/p.persica_gdr_reftransV1_0046776","p.persica_gdr_reftransV1_0046776")</f>
        <v>p.persica_gdr_reftransV1_0046776</v>
      </c>
      <c r="B6540" s="3">
        <v>625</v>
      </c>
      <c r="C6540" s="1" t="str">
        <f>HYPERLINK("http://www.uniprot.org/uniprot/RLK1_ARATH","RLK1_ARATH")</f>
        <v>RLK1_ARATH</v>
      </c>
      <c r="D6540" t="s">
        <v>806</v>
      </c>
      <c r="E6540" s="3" t="s">
        <v>3</v>
      </c>
      <c r="F6540" s="4">
        <v>6.47E-51</v>
      </c>
      <c r="G6540" s="3">
        <v>457</v>
      </c>
      <c r="H6540" s="3">
        <v>58</v>
      </c>
      <c r="I6540" s="3">
        <v>143</v>
      </c>
      <c r="J6540" s="3">
        <v>195</v>
      </c>
      <c r="K6540" s="3">
        <v>623</v>
      </c>
      <c r="L6540" s="3">
        <v>682</v>
      </c>
      <c r="M6540" s="3">
        <v>818</v>
      </c>
    </row>
    <row r="6541" spans="1:13" x14ac:dyDescent="0.25">
      <c r="A6541" s="1" t="str">
        <f>HYPERLINK("http://www.rosaceae.org/Prunus/Prunus_persica/p.persica_gdr_reftransV1_0046976","p.persica_gdr_reftransV1_0046976")</f>
        <v>p.persica_gdr_reftransV1_0046976</v>
      </c>
      <c r="B6541" s="3">
        <v>2685</v>
      </c>
      <c r="C6541" s="1" t="str">
        <f>HYPERLINK("http://www.uniprot.org/uniprot/EIN3_ARATH","EIN3_ARATH")</f>
        <v>EIN3_ARATH</v>
      </c>
      <c r="D6541" t="s">
        <v>5348</v>
      </c>
      <c r="E6541" s="3" t="s">
        <v>3</v>
      </c>
      <c r="F6541" s="4">
        <v>0</v>
      </c>
      <c r="G6541" s="3">
        <v>1538</v>
      </c>
      <c r="H6541" s="3">
        <v>63</v>
      </c>
      <c r="I6541" s="3">
        <v>506</v>
      </c>
      <c r="J6541" s="3">
        <v>846</v>
      </c>
      <c r="K6541" s="3">
        <v>2339</v>
      </c>
      <c r="L6541" s="3">
        <v>2</v>
      </c>
      <c r="M6541" s="3">
        <v>495</v>
      </c>
    </row>
    <row r="6542" spans="1:13" x14ac:dyDescent="0.25">
      <c r="A6542" s="1" t="str">
        <f>HYPERLINK("http://www.rosaceae.org/Prunus/Prunus_persica/p.persica_gdr_reftransV1_0047076","p.persica_gdr_reftransV1_0047076")</f>
        <v>p.persica_gdr_reftransV1_0047076</v>
      </c>
      <c r="B6542" s="3">
        <v>1625</v>
      </c>
      <c r="C6542" s="1" t="str">
        <f>HYPERLINK("http://www.uniprot.org/uniprot/CNGC1_ARATH","CNGC1_ARATH")</f>
        <v>CNGC1_ARATH</v>
      </c>
      <c r="D6542" t="s">
        <v>241</v>
      </c>
      <c r="E6542" s="3" t="s">
        <v>3</v>
      </c>
      <c r="F6542" s="4">
        <v>4.7000000000000001E-82</v>
      </c>
      <c r="G6542" s="3">
        <v>707</v>
      </c>
      <c r="H6542" s="3">
        <v>39</v>
      </c>
      <c r="I6542" s="3">
        <v>445</v>
      </c>
      <c r="J6542" s="3">
        <v>90</v>
      </c>
      <c r="K6542" s="3">
        <v>1403</v>
      </c>
      <c r="L6542" s="3">
        <v>190</v>
      </c>
      <c r="M6542" s="3">
        <v>612</v>
      </c>
    </row>
    <row r="6543" spans="1:13" x14ac:dyDescent="0.25">
      <c r="A6543" s="1" t="str">
        <f>HYPERLINK("http://www.rosaceae.org/Prunus/Prunus_persica/p.persica_gdr_reftransV1_0047226","p.persica_gdr_reftransV1_0047226")</f>
        <v>p.persica_gdr_reftransV1_0047226</v>
      </c>
      <c r="B6543" s="3">
        <v>4064</v>
      </c>
      <c r="C6543" s="1" t="str">
        <f>HYPERLINK("http://www.uniprot.org/uniprot/TPL_ARATH","TPL_ARATH")</f>
        <v>TPL_ARATH</v>
      </c>
      <c r="D6543" t="s">
        <v>5349</v>
      </c>
      <c r="E6543" s="3" t="s">
        <v>3</v>
      </c>
      <c r="F6543" s="4">
        <v>0</v>
      </c>
      <c r="G6543" s="3">
        <v>4285</v>
      </c>
      <c r="H6543" s="3">
        <v>74</v>
      </c>
      <c r="I6543" s="3">
        <v>1151</v>
      </c>
      <c r="J6543" s="3">
        <v>256</v>
      </c>
      <c r="K6543" s="3">
        <v>3654</v>
      </c>
      <c r="L6543" s="3">
        <v>1</v>
      </c>
      <c r="M6543" s="3">
        <v>1131</v>
      </c>
    </row>
    <row r="6544" spans="1:13" x14ac:dyDescent="0.25">
      <c r="A6544" s="1" t="str">
        <f>HYPERLINK("http://www.rosaceae.org/Prunus/Prunus_persica/p.persica_gdr_reftransV1_0047276","p.persica_gdr_reftransV1_0047276")</f>
        <v>p.persica_gdr_reftransV1_0047276</v>
      </c>
      <c r="B6544" s="3">
        <v>1884</v>
      </c>
      <c r="C6544" s="1" t="str">
        <f>HYPERLINK("http://www.uniprot.org/uniprot/COG5_HUMAN","COG5_HUMAN")</f>
        <v>COG5_HUMAN</v>
      </c>
      <c r="D6544" t="s">
        <v>5350</v>
      </c>
      <c r="E6544" s="3" t="s">
        <v>28</v>
      </c>
      <c r="F6544" s="4">
        <v>8.7800000000000007E-81</v>
      </c>
      <c r="G6544" s="3">
        <v>711</v>
      </c>
      <c r="H6544" s="3">
        <v>32</v>
      </c>
      <c r="I6544" s="3">
        <v>537</v>
      </c>
      <c r="J6544" s="3">
        <v>353</v>
      </c>
      <c r="K6544" s="3">
        <v>1876</v>
      </c>
      <c r="L6544" s="3">
        <v>321</v>
      </c>
      <c r="M6544" s="3">
        <v>830</v>
      </c>
    </row>
    <row r="6545" spans="1:13" x14ac:dyDescent="0.25">
      <c r="A6545" s="1" t="str">
        <f>HYPERLINK("http://www.rosaceae.org/Prunus/Prunus_persica/p.persica_gdr_reftransV1_0047376","p.persica_gdr_reftransV1_0047376")</f>
        <v>p.persica_gdr_reftransV1_0047376</v>
      </c>
      <c r="B6545" s="3">
        <v>803</v>
      </c>
      <c r="C6545" s="1" t="str">
        <f>HYPERLINK("http://www.uniprot.org/uniprot/RS242_ARATH","RS242_ARATH")</f>
        <v>RS242_ARATH</v>
      </c>
      <c r="D6545" t="s">
        <v>5099</v>
      </c>
      <c r="E6545" s="3" t="s">
        <v>3</v>
      </c>
      <c r="F6545" s="4">
        <v>7.2199999999999999E-72</v>
      </c>
      <c r="G6545" s="3">
        <v>568</v>
      </c>
      <c r="H6545" s="3">
        <v>88</v>
      </c>
      <c r="I6545" s="3">
        <v>123</v>
      </c>
      <c r="J6545" s="3">
        <v>353</v>
      </c>
      <c r="K6545" s="3">
        <v>721</v>
      </c>
      <c r="L6545" s="3">
        <v>1</v>
      </c>
      <c r="M6545" s="3">
        <v>122</v>
      </c>
    </row>
    <row r="6546" spans="1:13" x14ac:dyDescent="0.25">
      <c r="A6546" s="1" t="str">
        <f>HYPERLINK("http://www.rosaceae.org/Prunus/Prunus_persica/p.persica_gdr_reftransV1_0047526","p.persica_gdr_reftransV1_0047526")</f>
        <v>p.persica_gdr_reftransV1_0047526</v>
      </c>
      <c r="B6546" s="3">
        <v>672</v>
      </c>
      <c r="C6546" s="1" t="str">
        <f>HYPERLINK("http://www.uniprot.org/uniprot/CALS8_ARATH","CALS8_ARATH")</f>
        <v>CALS8_ARATH</v>
      </c>
      <c r="D6546" t="s">
        <v>2236</v>
      </c>
      <c r="E6546" s="3" t="s">
        <v>3</v>
      </c>
      <c r="F6546" s="4">
        <v>8.8999999999999998E-90</v>
      </c>
      <c r="G6546" s="3">
        <v>755</v>
      </c>
      <c r="H6546" s="3">
        <v>65</v>
      </c>
      <c r="I6546" s="3">
        <v>228</v>
      </c>
      <c r="J6546" s="3">
        <v>3</v>
      </c>
      <c r="K6546" s="3">
        <v>671</v>
      </c>
      <c r="L6546" s="3">
        <v>367</v>
      </c>
      <c r="M6546" s="3">
        <v>594</v>
      </c>
    </row>
    <row r="6547" spans="1:13" x14ac:dyDescent="0.25">
      <c r="A6547" s="1" t="str">
        <f>HYPERLINK("http://www.rosaceae.org/Prunus/Prunus_persica/p.persica_gdr_reftransV1_0047576","p.persica_gdr_reftransV1_0047576")</f>
        <v>p.persica_gdr_reftransV1_0047576</v>
      </c>
      <c r="B6547" s="3">
        <v>493</v>
      </c>
      <c r="C6547" s="1" t="str">
        <f>HYPERLINK("http://www.uniprot.org/uniprot/PPR53_ARATH","PPR53_ARATH")</f>
        <v>PPR53_ARATH</v>
      </c>
      <c r="D6547" t="s">
        <v>1197</v>
      </c>
      <c r="E6547" s="3" t="s">
        <v>3</v>
      </c>
      <c r="F6547" s="4">
        <v>5.3100000000000002E-73</v>
      </c>
      <c r="G6547" s="3">
        <v>609</v>
      </c>
      <c r="H6547" s="3">
        <v>63</v>
      </c>
      <c r="I6547" s="3">
        <v>164</v>
      </c>
      <c r="J6547" s="3">
        <v>1</v>
      </c>
      <c r="K6547" s="3">
        <v>492</v>
      </c>
      <c r="L6547" s="3">
        <v>397</v>
      </c>
      <c r="M6547" s="3">
        <v>560</v>
      </c>
    </row>
    <row r="6548" spans="1:13" x14ac:dyDescent="0.25">
      <c r="A6548" s="1" t="str">
        <f>HYPERLINK("http://www.rosaceae.org/Prunus/Prunus_persica/p.persica_gdr_reftransV1_0047626","p.persica_gdr_reftransV1_0047626")</f>
        <v>p.persica_gdr_reftransV1_0047626</v>
      </c>
      <c r="B6548" s="3">
        <v>370</v>
      </c>
      <c r="C6548" s="1" t="str">
        <f>HYPERLINK("http://www.uniprot.org/uniprot/PXL1_ARATH","PXL1_ARATH")</f>
        <v>PXL1_ARATH</v>
      </c>
      <c r="D6548" t="s">
        <v>5351</v>
      </c>
      <c r="E6548" s="3" t="s">
        <v>3</v>
      </c>
      <c r="F6548" s="4">
        <v>7.9400000000000003E-65</v>
      </c>
      <c r="G6548" s="3">
        <v>551</v>
      </c>
      <c r="H6548" s="3">
        <v>78</v>
      </c>
      <c r="I6548" s="3">
        <v>122</v>
      </c>
      <c r="J6548" s="3">
        <v>3</v>
      </c>
      <c r="K6548" s="3">
        <v>368</v>
      </c>
      <c r="L6548" s="3">
        <v>887</v>
      </c>
      <c r="M6548" s="3">
        <v>1008</v>
      </c>
    </row>
    <row r="6549" spans="1:13" x14ac:dyDescent="0.25">
      <c r="A6549" s="1" t="str">
        <f>HYPERLINK("http://www.rosaceae.org/Prunus/Prunus_persica/p.persica_gdr_reftransV1_0047676","p.persica_gdr_reftransV1_0047676")</f>
        <v>p.persica_gdr_reftransV1_0047676</v>
      </c>
      <c r="B6549" s="3">
        <v>1063</v>
      </c>
      <c r="C6549" s="1" t="str">
        <f>HYPERLINK("http://www.uniprot.org/uniprot/ATG8C_ORYSJ","ATG8C_ORYSJ")</f>
        <v>ATG8C_ORYSJ</v>
      </c>
      <c r="D6549" t="s">
        <v>1590</v>
      </c>
      <c r="E6549" s="3" t="s">
        <v>38</v>
      </c>
      <c r="F6549" s="4">
        <v>1.69E-64</v>
      </c>
      <c r="G6549" s="3">
        <v>526</v>
      </c>
      <c r="H6549" s="3">
        <v>97</v>
      </c>
      <c r="I6549" s="3">
        <v>117</v>
      </c>
      <c r="J6549" s="3">
        <v>162</v>
      </c>
      <c r="K6549" s="3">
        <v>512</v>
      </c>
      <c r="L6549" s="3">
        <v>1</v>
      </c>
      <c r="M6549" s="3">
        <v>117</v>
      </c>
    </row>
    <row r="6550" spans="1:13" x14ac:dyDescent="0.25">
      <c r="A6550" s="1" t="str">
        <f>HYPERLINK("http://www.rosaceae.org/Prunus/Prunus_persica/p.persica_gdr_reftransV1_0047726","p.persica_gdr_reftransV1_0047726")</f>
        <v>p.persica_gdr_reftransV1_0047726</v>
      </c>
      <c r="B6550" s="3">
        <v>2107</v>
      </c>
      <c r="C6550" s="1" t="str">
        <f>HYPERLINK("http://www.uniprot.org/uniprot/MLO11_ARATH","MLO11_ARATH")</f>
        <v>MLO11_ARATH</v>
      </c>
      <c r="D6550" t="s">
        <v>5352</v>
      </c>
      <c r="E6550" s="3" t="s">
        <v>3</v>
      </c>
      <c r="F6550" s="4">
        <v>0</v>
      </c>
      <c r="G6550" s="3">
        <v>1882</v>
      </c>
      <c r="H6550" s="3">
        <v>71</v>
      </c>
      <c r="I6550" s="3">
        <v>531</v>
      </c>
      <c r="J6550" s="3">
        <v>296</v>
      </c>
      <c r="K6550" s="3">
        <v>1855</v>
      </c>
      <c r="L6550" s="3">
        <v>10</v>
      </c>
      <c r="M6550" s="3">
        <v>535</v>
      </c>
    </row>
    <row r="6551" spans="1:13" x14ac:dyDescent="0.25">
      <c r="A6551" s="1" t="str">
        <f>HYPERLINK("http://www.rosaceae.org/Prunus/Prunus_persica/p.persica_gdr_reftransV1_0047776","p.persica_gdr_reftransV1_0047776")</f>
        <v>p.persica_gdr_reftransV1_0047776</v>
      </c>
      <c r="B6551" s="3">
        <v>380</v>
      </c>
      <c r="C6551" s="1" t="str">
        <f>HYPERLINK("http://www.uniprot.org/uniprot/PP120_ARATH","PP120_ARATH")</f>
        <v>PP120_ARATH</v>
      </c>
      <c r="D6551" t="s">
        <v>5353</v>
      </c>
      <c r="E6551" s="3" t="s">
        <v>3</v>
      </c>
      <c r="F6551" s="4">
        <v>1.26E-45</v>
      </c>
      <c r="G6551" s="3">
        <v>408</v>
      </c>
      <c r="H6551" s="3">
        <v>60</v>
      </c>
      <c r="I6551" s="3">
        <v>126</v>
      </c>
      <c r="J6551" s="3">
        <v>3</v>
      </c>
      <c r="K6551" s="3">
        <v>380</v>
      </c>
      <c r="L6551" s="3">
        <v>553</v>
      </c>
      <c r="M6551" s="3">
        <v>678</v>
      </c>
    </row>
    <row r="6552" spans="1:13" x14ac:dyDescent="0.25">
      <c r="A6552" s="1" t="str">
        <f>HYPERLINK("http://www.rosaceae.org/Prunus/Prunus_persica/p.persica_gdr_reftransV1_0047876","p.persica_gdr_reftransV1_0047876")</f>
        <v>p.persica_gdr_reftransV1_0047876</v>
      </c>
      <c r="B6552" s="3">
        <v>615</v>
      </c>
      <c r="C6552" s="1" t="str">
        <f>HYPERLINK("http://www.uniprot.org/uniprot/C78A5_ARATH","C78A5_ARATH")</f>
        <v>C78A5_ARATH</v>
      </c>
      <c r="D6552" t="s">
        <v>656</v>
      </c>
      <c r="E6552" s="3" t="s">
        <v>3</v>
      </c>
      <c r="F6552" s="4">
        <v>5.9800000000000002E-50</v>
      </c>
      <c r="G6552" s="3">
        <v>443</v>
      </c>
      <c r="H6552" s="3">
        <v>67</v>
      </c>
      <c r="I6552" s="3">
        <v>117</v>
      </c>
      <c r="J6552" s="3">
        <v>1</v>
      </c>
      <c r="K6552" s="3">
        <v>351</v>
      </c>
      <c r="L6552" s="3">
        <v>399</v>
      </c>
      <c r="M6552" s="3">
        <v>514</v>
      </c>
    </row>
    <row r="6553" spans="1:13" x14ac:dyDescent="0.25">
      <c r="A6553" s="1" t="str">
        <f>HYPERLINK("http://www.rosaceae.org/Prunus/Prunus_persica/p.persica_gdr_reftransV1_0047926","p.persica_gdr_reftransV1_0047926")</f>
        <v>p.persica_gdr_reftransV1_0047926</v>
      </c>
      <c r="B6553" s="3">
        <v>1607</v>
      </c>
      <c r="C6553" s="1" t="str">
        <f>HYPERLINK("http://www.uniprot.org/uniprot/MYO13_ARATH","MYO13_ARATH")</f>
        <v>MYO13_ARATH</v>
      </c>
      <c r="D6553" t="s">
        <v>5354</v>
      </c>
      <c r="E6553" s="3" t="s">
        <v>3</v>
      </c>
      <c r="F6553" s="4">
        <v>2.7399999999999999E-7</v>
      </c>
      <c r="G6553" s="3">
        <v>137</v>
      </c>
      <c r="H6553" s="3">
        <v>50</v>
      </c>
      <c r="I6553" s="3">
        <v>50</v>
      </c>
      <c r="J6553" s="3">
        <v>162</v>
      </c>
      <c r="K6553" s="3">
        <v>311</v>
      </c>
      <c r="L6553" s="3">
        <v>6</v>
      </c>
      <c r="M6553" s="3">
        <v>55</v>
      </c>
    </row>
    <row r="6554" spans="1:13" x14ac:dyDescent="0.25">
      <c r="A6554" s="1" t="str">
        <f>HYPERLINK("http://www.rosaceae.org/Prunus/Prunus_persica/p.persica_gdr_reftransV1_0047976","p.persica_gdr_reftransV1_0047976")</f>
        <v>p.persica_gdr_reftransV1_0047976</v>
      </c>
      <c r="B6554" s="3">
        <v>3397</v>
      </c>
      <c r="C6554" s="1" t="str">
        <f>HYPERLINK("http://www.uniprot.org/uniprot/UBP9_ARATH","UBP9_ARATH")</f>
        <v>UBP9_ARATH</v>
      </c>
      <c r="D6554" t="s">
        <v>5355</v>
      </c>
      <c r="E6554" s="3" t="s">
        <v>3</v>
      </c>
      <c r="F6554" s="4">
        <v>0</v>
      </c>
      <c r="G6554" s="3">
        <v>2926</v>
      </c>
      <c r="H6554" s="3">
        <v>63</v>
      </c>
      <c r="I6554" s="3">
        <v>930</v>
      </c>
      <c r="J6554" s="3">
        <v>241</v>
      </c>
      <c r="K6554" s="3">
        <v>3009</v>
      </c>
      <c r="L6554" s="3">
        <v>1</v>
      </c>
      <c r="M6554" s="3">
        <v>906</v>
      </c>
    </row>
    <row r="6555" spans="1:13" x14ac:dyDescent="0.25">
      <c r="A6555" s="1" t="str">
        <f>HYPERLINK("http://www.rosaceae.org/Prunus/Prunus_persica/p.persica_gdr_reftransV1_0048026","p.persica_gdr_reftransV1_0048026")</f>
        <v>p.persica_gdr_reftransV1_0048026</v>
      </c>
      <c r="B6555" s="3">
        <v>2037</v>
      </c>
      <c r="C6555" s="1" t="str">
        <f>HYPERLINK("http://www.uniprot.org/uniprot/NDUV1_ARATH","NDUV1_ARATH")</f>
        <v>NDUV1_ARATH</v>
      </c>
      <c r="D6555" t="s">
        <v>605</v>
      </c>
      <c r="E6555" s="3" t="s">
        <v>3</v>
      </c>
      <c r="F6555" s="4">
        <v>0</v>
      </c>
      <c r="G6555" s="3">
        <v>2218</v>
      </c>
      <c r="H6555" s="3">
        <v>92</v>
      </c>
      <c r="I6555" s="3">
        <v>465</v>
      </c>
      <c r="J6555" s="3">
        <v>189</v>
      </c>
      <c r="K6555" s="3">
        <v>1583</v>
      </c>
      <c r="L6555" s="3">
        <v>1</v>
      </c>
      <c r="M6555" s="3">
        <v>465</v>
      </c>
    </row>
    <row r="6556" spans="1:13" x14ac:dyDescent="0.25">
      <c r="A6556" s="1" t="str">
        <f>HYPERLINK("http://www.rosaceae.org/Prunus/Prunus_persica/p.persica_gdr_reftransV1_0048076","p.persica_gdr_reftransV1_0048076")</f>
        <v>p.persica_gdr_reftransV1_0048076</v>
      </c>
      <c r="B6556" s="3">
        <v>592</v>
      </c>
      <c r="C6556" s="1" t="str">
        <f>HYPERLINK("http://www.uniprot.org/uniprot/PP250_ARATH","PP250_ARATH")</f>
        <v>PP250_ARATH</v>
      </c>
      <c r="D6556" t="s">
        <v>5356</v>
      </c>
      <c r="E6556" s="3" t="s">
        <v>3</v>
      </c>
      <c r="F6556" s="4">
        <v>3.12E-42</v>
      </c>
      <c r="G6556" s="3">
        <v>393</v>
      </c>
      <c r="H6556" s="3">
        <v>48</v>
      </c>
      <c r="I6556" s="3">
        <v>200</v>
      </c>
      <c r="J6556" s="3">
        <v>1</v>
      </c>
      <c r="K6556" s="3">
        <v>591</v>
      </c>
      <c r="L6556" s="3">
        <v>6</v>
      </c>
      <c r="M6556" s="3">
        <v>191</v>
      </c>
    </row>
    <row r="6557" spans="1:13" x14ac:dyDescent="0.25">
      <c r="A6557" s="1" t="str">
        <f>HYPERLINK("http://www.rosaceae.org/Prunus/Prunus_persica/p.persica_gdr_reftransV1_0048176","p.persica_gdr_reftransV1_0048176")</f>
        <v>p.persica_gdr_reftransV1_0048176</v>
      </c>
      <c r="B6557" s="3">
        <v>1651</v>
      </c>
      <c r="C6557" s="1" t="str">
        <f>HYPERLINK("http://www.uniprot.org/uniprot/CSCL1_ARATH","CSCL1_ARATH")</f>
        <v>CSCL1_ARATH</v>
      </c>
      <c r="D6557" t="s">
        <v>5357</v>
      </c>
      <c r="E6557" s="3" t="s">
        <v>3</v>
      </c>
      <c r="F6557" s="4">
        <v>0</v>
      </c>
      <c r="G6557" s="3">
        <v>1820</v>
      </c>
      <c r="H6557" s="3">
        <v>75</v>
      </c>
      <c r="I6557" s="3">
        <v>476</v>
      </c>
      <c r="J6557" s="3">
        <v>2</v>
      </c>
      <c r="K6557" s="3">
        <v>1378</v>
      </c>
      <c r="L6557" s="3">
        <v>329</v>
      </c>
      <c r="M6557" s="3">
        <v>802</v>
      </c>
    </row>
    <row r="6558" spans="1:13" x14ac:dyDescent="0.25">
      <c r="A6558" s="1" t="str">
        <f>HYPERLINK("http://www.rosaceae.org/Prunus/Prunus_persica/p.persica_gdr_reftransV1_0048226","p.persica_gdr_reftransV1_0048226")</f>
        <v>p.persica_gdr_reftransV1_0048226</v>
      </c>
      <c r="B6558" s="3">
        <v>1963</v>
      </c>
      <c r="C6558" s="1" t="str">
        <f>HYPERLINK("http://www.uniprot.org/uniprot/RGA4_SOLBU","RGA4_SOLBU")</f>
        <v>RGA4_SOLBU</v>
      </c>
      <c r="D6558" t="s">
        <v>1657</v>
      </c>
      <c r="E6558" s="3" t="s">
        <v>560</v>
      </c>
      <c r="F6558" s="4">
        <v>1.4600000000000001E-15</v>
      </c>
      <c r="G6558" s="3">
        <v>208</v>
      </c>
      <c r="H6558" s="3">
        <v>37</v>
      </c>
      <c r="I6558" s="3">
        <v>146</v>
      </c>
      <c r="J6558" s="3">
        <v>866</v>
      </c>
      <c r="K6558" s="3">
        <v>1294</v>
      </c>
      <c r="L6558" s="3">
        <v>845</v>
      </c>
      <c r="M6558" s="3">
        <v>987</v>
      </c>
    </row>
    <row r="6559" spans="1:13" x14ac:dyDescent="0.25">
      <c r="A6559" s="1" t="str">
        <f>HYPERLINK("http://www.rosaceae.org/Prunus/Prunus_persica/p.persica_gdr_reftransV1_0048276","p.persica_gdr_reftransV1_0048276")</f>
        <v>p.persica_gdr_reftransV1_0048276</v>
      </c>
      <c r="B6559" s="3">
        <v>461</v>
      </c>
      <c r="C6559" s="1" t="str">
        <f>HYPERLINK("http://www.uniprot.org/uniprot/B561K_ARATH","B561K_ARATH")</f>
        <v>B561K_ARATH</v>
      </c>
      <c r="D6559" t="s">
        <v>5358</v>
      </c>
      <c r="E6559" s="3" t="s">
        <v>3</v>
      </c>
      <c r="F6559" s="4">
        <v>2.96E-35</v>
      </c>
      <c r="G6559" s="3">
        <v>328</v>
      </c>
      <c r="H6559" s="3">
        <v>49</v>
      </c>
      <c r="I6559" s="3">
        <v>140</v>
      </c>
      <c r="J6559" s="3">
        <v>56</v>
      </c>
      <c r="K6559" s="3">
        <v>460</v>
      </c>
      <c r="L6559" s="3">
        <v>16</v>
      </c>
      <c r="M6559" s="3">
        <v>153</v>
      </c>
    </row>
    <row r="6560" spans="1:13" x14ac:dyDescent="0.25">
      <c r="A6560" s="1" t="str">
        <f>HYPERLINK("http://www.rosaceae.org/Prunus/Prunus_persica/p.persica_gdr_reftransV1_0048326","p.persica_gdr_reftransV1_0048326")</f>
        <v>p.persica_gdr_reftransV1_0048326</v>
      </c>
      <c r="B6560" s="3">
        <v>363</v>
      </c>
      <c r="C6560" s="1" t="str">
        <f>HYPERLINK("http://www.uniprot.org/uniprot/B561K_ARATH","B561K_ARATH")</f>
        <v>B561K_ARATH</v>
      </c>
      <c r="D6560" t="s">
        <v>5358</v>
      </c>
      <c r="E6560" s="3" t="s">
        <v>3</v>
      </c>
      <c r="F6560" s="4">
        <v>8.5300000000000005E-43</v>
      </c>
      <c r="G6560" s="3">
        <v>377</v>
      </c>
      <c r="H6560" s="3">
        <v>62</v>
      </c>
      <c r="I6560" s="3">
        <v>121</v>
      </c>
      <c r="J6560" s="3">
        <v>3</v>
      </c>
      <c r="K6560" s="3">
        <v>362</v>
      </c>
      <c r="L6560" s="3">
        <v>205</v>
      </c>
      <c r="M6560" s="3">
        <v>325</v>
      </c>
    </row>
    <row r="6561" spans="1:13" x14ac:dyDescent="0.25">
      <c r="A6561" s="1" t="str">
        <f>HYPERLINK("http://www.rosaceae.org/Prunus/Prunus_persica/p.persica_gdr_reftransV1_0048376","p.persica_gdr_reftransV1_0048376")</f>
        <v>p.persica_gdr_reftransV1_0048376</v>
      </c>
      <c r="B6561" s="3">
        <v>1283</v>
      </c>
      <c r="C6561" s="1" t="str">
        <f>HYPERLINK("http://www.uniprot.org/uniprot/YM39_YEAST","YM39_YEAST")</f>
        <v>YM39_YEAST</v>
      </c>
      <c r="D6561" t="s">
        <v>5359</v>
      </c>
      <c r="E6561" s="3" t="s">
        <v>34</v>
      </c>
      <c r="F6561" s="4">
        <v>2.0500000000000001E-41</v>
      </c>
      <c r="G6561" s="3">
        <v>393</v>
      </c>
      <c r="H6561" s="3">
        <v>32</v>
      </c>
      <c r="I6561" s="3">
        <v>329</v>
      </c>
      <c r="J6561" s="3">
        <v>203</v>
      </c>
      <c r="K6561" s="3">
        <v>1123</v>
      </c>
      <c r="L6561" s="3">
        <v>60</v>
      </c>
      <c r="M6561" s="3">
        <v>363</v>
      </c>
    </row>
    <row r="6562" spans="1:13" x14ac:dyDescent="0.25">
      <c r="A6562" s="1" t="str">
        <f>HYPERLINK("http://www.rosaceae.org/Prunus/Prunus_persica/p.persica_gdr_reftransV1_0048426","p.persica_gdr_reftransV1_0048426")</f>
        <v>p.persica_gdr_reftransV1_0048426</v>
      </c>
      <c r="B6562" s="3">
        <v>1774</v>
      </c>
      <c r="C6562" s="1" t="str">
        <f>HYPERLINK("http://www.uniprot.org/uniprot/GPN1_DICDI","GPN1_DICDI")</f>
        <v>GPN1_DICDI</v>
      </c>
      <c r="D6562" t="s">
        <v>5360</v>
      </c>
      <c r="E6562" s="3" t="s">
        <v>9</v>
      </c>
      <c r="F6562" s="4">
        <v>1.21E-109</v>
      </c>
      <c r="G6562" s="3">
        <v>874</v>
      </c>
      <c r="H6562" s="3">
        <v>64</v>
      </c>
      <c r="I6562" s="3">
        <v>253</v>
      </c>
      <c r="J6562" s="3">
        <v>472</v>
      </c>
      <c r="K6562" s="3">
        <v>1230</v>
      </c>
      <c r="L6562" s="3">
        <v>33</v>
      </c>
      <c r="M6562" s="3">
        <v>285</v>
      </c>
    </row>
    <row r="6563" spans="1:13" x14ac:dyDescent="0.25">
      <c r="A6563" s="1" t="str">
        <f>HYPERLINK("http://www.rosaceae.org/Prunus/Prunus_persica/p.persica_gdr_reftransV1_0048476","p.persica_gdr_reftransV1_0048476")</f>
        <v>p.persica_gdr_reftransV1_0048476</v>
      </c>
      <c r="B6563" s="3">
        <v>1281</v>
      </c>
      <c r="C6563" s="1" t="str">
        <f>HYPERLINK("http://www.uniprot.org/uniprot/RBL10_ARATH","RBL10_ARATH")</f>
        <v>RBL10_ARATH</v>
      </c>
      <c r="D6563" t="s">
        <v>1336</v>
      </c>
      <c r="E6563" s="3" t="s">
        <v>3</v>
      </c>
      <c r="F6563" s="4">
        <v>4.3299999999999998E-85</v>
      </c>
      <c r="G6563" s="3">
        <v>448</v>
      </c>
      <c r="H6563" s="3">
        <v>50</v>
      </c>
      <c r="I6563" s="3">
        <v>191</v>
      </c>
      <c r="J6563" s="3">
        <v>601</v>
      </c>
      <c r="K6563" s="3">
        <v>1122</v>
      </c>
      <c r="L6563" s="3">
        <v>27</v>
      </c>
      <c r="M6563" s="3">
        <v>216</v>
      </c>
    </row>
    <row r="6564" spans="1:13" x14ac:dyDescent="0.25">
      <c r="A6564" s="1" t="str">
        <f>HYPERLINK("http://www.rosaceae.org/Prunus/Prunus_persica/p.persica_gdr_reftransV1_0048576","p.persica_gdr_reftransV1_0048576")</f>
        <v>p.persica_gdr_reftransV1_0048576</v>
      </c>
      <c r="B6564" s="3">
        <v>1529</v>
      </c>
      <c r="C6564" s="1" t="str">
        <f>HYPERLINK("http://www.uniprot.org/uniprot/NAC73_ARATH","NAC73_ARATH")</f>
        <v>NAC73_ARATH</v>
      </c>
      <c r="D6564" t="s">
        <v>5361</v>
      </c>
      <c r="E6564" s="3" t="s">
        <v>3</v>
      </c>
      <c r="F6564" s="4">
        <v>9.2399999999999996E-118</v>
      </c>
      <c r="G6564" s="3">
        <v>913</v>
      </c>
      <c r="H6564" s="3">
        <v>76</v>
      </c>
      <c r="I6564" s="3">
        <v>229</v>
      </c>
      <c r="J6564" s="3">
        <v>370</v>
      </c>
      <c r="K6564" s="3">
        <v>1050</v>
      </c>
      <c r="L6564" s="3">
        <v>1</v>
      </c>
      <c r="M6564" s="3">
        <v>229</v>
      </c>
    </row>
    <row r="6565" spans="1:13" x14ac:dyDescent="0.25">
      <c r="A6565" s="1" t="str">
        <f>HYPERLINK("http://www.rosaceae.org/Prunus/Prunus_persica/p.persica_gdr_reftransV1_0048676","p.persica_gdr_reftransV1_0048676")</f>
        <v>p.persica_gdr_reftransV1_0048676</v>
      </c>
      <c r="B6565" s="3">
        <v>2751</v>
      </c>
      <c r="C6565" s="1" t="str">
        <f>HYPERLINK("http://www.uniprot.org/uniprot/TMVRN_NICGU","TMVRN_NICGU")</f>
        <v>TMVRN_NICGU</v>
      </c>
      <c r="D6565" t="s">
        <v>151</v>
      </c>
      <c r="E6565" s="3" t="s">
        <v>152</v>
      </c>
      <c r="F6565" s="4">
        <v>0</v>
      </c>
      <c r="G6565" s="3">
        <v>1502</v>
      </c>
      <c r="H6565" s="3">
        <v>39</v>
      </c>
      <c r="I6565" s="3">
        <v>901</v>
      </c>
      <c r="J6565" s="3">
        <v>15</v>
      </c>
      <c r="K6565" s="3">
        <v>2540</v>
      </c>
      <c r="L6565" s="3">
        <v>9</v>
      </c>
      <c r="M6565" s="3">
        <v>900</v>
      </c>
    </row>
    <row r="6566" spans="1:13" x14ac:dyDescent="0.25">
      <c r="A6566" s="1" t="str">
        <f>HYPERLINK("http://www.rosaceae.org/Prunus/Prunus_persica/p.persica_gdr_reftransV1_0048776","p.persica_gdr_reftransV1_0048776")</f>
        <v>p.persica_gdr_reftransV1_0048776</v>
      </c>
      <c r="B6566" s="3">
        <v>515</v>
      </c>
      <c r="C6566" s="1" t="str">
        <f>HYPERLINK("http://www.uniprot.org/uniprot/BGA13_ARATH","BGA13_ARATH")</f>
        <v>BGA13_ARATH</v>
      </c>
      <c r="D6566" t="s">
        <v>5362</v>
      </c>
      <c r="E6566" s="3" t="s">
        <v>3</v>
      </c>
      <c r="F6566" s="4">
        <v>2.9700000000000002E-26</v>
      </c>
      <c r="G6566" s="3">
        <v>273</v>
      </c>
      <c r="H6566" s="3">
        <v>41</v>
      </c>
      <c r="I6566" s="3">
        <v>121</v>
      </c>
      <c r="J6566" s="3">
        <v>3</v>
      </c>
      <c r="K6566" s="3">
        <v>359</v>
      </c>
      <c r="L6566" s="3">
        <v>724</v>
      </c>
      <c r="M6566" s="3">
        <v>843</v>
      </c>
    </row>
    <row r="6567" spans="1:13" x14ac:dyDescent="0.25">
      <c r="A6567" s="1" t="str">
        <f>HYPERLINK("http://www.rosaceae.org/Prunus/Prunus_persica/p.persica_gdr_reftransV1_0048926","p.persica_gdr_reftransV1_0048926")</f>
        <v>p.persica_gdr_reftransV1_0048926</v>
      </c>
      <c r="B6567" s="3">
        <v>2399</v>
      </c>
      <c r="C6567" s="1" t="str">
        <f>HYPERLINK("http://www.uniprot.org/uniprot/YCF2_VITVI","YCF2_VITVI")</f>
        <v>YCF2_VITVI</v>
      </c>
      <c r="D6567" t="s">
        <v>5363</v>
      </c>
      <c r="E6567" s="3" t="s">
        <v>362</v>
      </c>
      <c r="F6567" s="4">
        <v>0</v>
      </c>
      <c r="G6567" s="3">
        <v>1622</v>
      </c>
      <c r="H6567" s="3">
        <v>98</v>
      </c>
      <c r="I6567" s="3">
        <v>310</v>
      </c>
      <c r="J6567" s="3">
        <v>41</v>
      </c>
      <c r="K6567" s="3">
        <v>970</v>
      </c>
      <c r="L6567" s="3">
        <v>1755</v>
      </c>
      <c r="M6567" s="3">
        <v>2064</v>
      </c>
    </row>
    <row r="6568" spans="1:13" x14ac:dyDescent="0.25">
      <c r="A6568" s="1" t="str">
        <f>HYPERLINK("http://www.rosaceae.org/Prunus/Prunus_persica/p.persica_gdr_reftransV1_0048976","p.persica_gdr_reftransV1_0048976")</f>
        <v>p.persica_gdr_reftransV1_0048976</v>
      </c>
      <c r="B6568" s="3">
        <v>2616</v>
      </c>
      <c r="C6568" s="1" t="str">
        <f>HYPERLINK("http://www.uniprot.org/uniprot/C3H29_ARATH","C3H29_ARATH")</f>
        <v>C3H29_ARATH</v>
      </c>
      <c r="D6568" t="s">
        <v>5364</v>
      </c>
      <c r="E6568" s="3" t="s">
        <v>3</v>
      </c>
      <c r="F6568" s="4">
        <v>0</v>
      </c>
      <c r="G6568" s="3">
        <v>1532</v>
      </c>
      <c r="H6568" s="3">
        <v>50</v>
      </c>
      <c r="I6568" s="3">
        <v>689</v>
      </c>
      <c r="J6568" s="3">
        <v>78</v>
      </c>
      <c r="K6568" s="3">
        <v>2099</v>
      </c>
      <c r="L6568" s="3">
        <v>1</v>
      </c>
      <c r="M6568" s="3">
        <v>594</v>
      </c>
    </row>
    <row r="6569" spans="1:13" x14ac:dyDescent="0.25">
      <c r="A6569" s="1" t="str">
        <f>HYPERLINK("http://www.rosaceae.org/Prunus/Prunus_persica/p.persica_gdr_reftransV1_0049026","p.persica_gdr_reftransV1_0049026")</f>
        <v>p.persica_gdr_reftransV1_0049026</v>
      </c>
      <c r="B6569" s="3">
        <v>666</v>
      </c>
      <c r="C6569" s="1" t="str">
        <f>HYPERLINK("http://www.uniprot.org/uniprot/HAL3A_ARATH","HAL3A_ARATH")</f>
        <v>HAL3A_ARATH</v>
      </c>
      <c r="D6569" t="s">
        <v>5365</v>
      </c>
      <c r="E6569" s="3" t="s">
        <v>3</v>
      </c>
      <c r="F6569" s="4">
        <v>6.2300000000000005E-54</v>
      </c>
      <c r="G6569" s="3">
        <v>451</v>
      </c>
      <c r="H6569" s="3">
        <v>75</v>
      </c>
      <c r="I6569" s="3">
        <v>108</v>
      </c>
      <c r="J6569" s="3">
        <v>96</v>
      </c>
      <c r="K6569" s="3">
        <v>419</v>
      </c>
      <c r="L6569" s="3">
        <v>11</v>
      </c>
      <c r="M6569" s="3">
        <v>118</v>
      </c>
    </row>
    <row r="6570" spans="1:13" x14ac:dyDescent="0.25">
      <c r="A6570" s="1" t="str">
        <f>HYPERLINK("http://www.rosaceae.org/Prunus/Prunus_persica/p.persica_gdr_reftransV1_0049076","p.persica_gdr_reftransV1_0049076")</f>
        <v>p.persica_gdr_reftransV1_0049076</v>
      </c>
      <c r="B6570" s="3">
        <v>2911</v>
      </c>
      <c r="C6570" s="1" t="str">
        <f>HYPERLINK("http://www.uniprot.org/uniprot/CAND1_ARATH","CAND1_ARATH")</f>
        <v>CAND1_ARATH</v>
      </c>
      <c r="D6570" t="s">
        <v>5366</v>
      </c>
      <c r="E6570" s="3" t="s">
        <v>3</v>
      </c>
      <c r="F6570" s="4">
        <v>0</v>
      </c>
      <c r="G6570" s="3">
        <v>2378</v>
      </c>
      <c r="H6570" s="3">
        <v>80</v>
      </c>
      <c r="I6570" s="3">
        <v>629</v>
      </c>
      <c r="J6570" s="3">
        <v>213</v>
      </c>
      <c r="K6570" s="3">
        <v>2093</v>
      </c>
      <c r="L6570" s="3">
        <v>1</v>
      </c>
      <c r="M6570" s="3">
        <v>628</v>
      </c>
    </row>
    <row r="6571" spans="1:13" x14ac:dyDescent="0.25">
      <c r="A6571" s="1" t="str">
        <f>HYPERLINK("http://www.rosaceae.org/Prunus/Prunus_persica/p.persica_gdr_reftransV1_0049176","p.persica_gdr_reftransV1_0049176")</f>
        <v>p.persica_gdr_reftransV1_0049176</v>
      </c>
      <c r="B6571" s="3">
        <v>3024</v>
      </c>
      <c r="C6571" s="1" t="str">
        <f>HYPERLINK("http://www.uniprot.org/uniprot/QKY_ARATH","QKY_ARATH")</f>
        <v>QKY_ARATH</v>
      </c>
      <c r="D6571" t="s">
        <v>707</v>
      </c>
      <c r="E6571" s="3" t="s">
        <v>3</v>
      </c>
      <c r="F6571" s="4">
        <v>0</v>
      </c>
      <c r="G6571" s="3">
        <v>1933</v>
      </c>
      <c r="H6571" s="3">
        <v>50</v>
      </c>
      <c r="I6571" s="3">
        <v>773</v>
      </c>
      <c r="J6571" s="3">
        <v>194</v>
      </c>
      <c r="K6571" s="3">
        <v>2437</v>
      </c>
      <c r="L6571" s="3">
        <v>323</v>
      </c>
      <c r="M6571" s="3">
        <v>1081</v>
      </c>
    </row>
    <row r="6572" spans="1:13" x14ac:dyDescent="0.25">
      <c r="A6572" s="1" t="str">
        <f>HYPERLINK("http://www.rosaceae.org/Prunus/Prunus_persica/p.persica_gdr_reftransV1_0000027","p.persica_gdr_reftransV1_0000027")</f>
        <v>p.persica_gdr_reftransV1_0000027</v>
      </c>
      <c r="B6572" s="3">
        <v>1988</v>
      </c>
      <c r="C6572" s="1" t="str">
        <f>HYPERLINK("http://www.uniprot.org/uniprot/GPDHC_ARATH","GPDHC_ARATH")</f>
        <v>GPDHC_ARATH</v>
      </c>
      <c r="D6572" t="s">
        <v>5367</v>
      </c>
      <c r="E6572" s="3" t="s">
        <v>3</v>
      </c>
      <c r="F6572" s="4">
        <v>0</v>
      </c>
      <c r="G6572" s="3">
        <v>2100</v>
      </c>
      <c r="H6572" s="3">
        <v>87</v>
      </c>
      <c r="I6572" s="3">
        <v>464</v>
      </c>
      <c r="J6572" s="3">
        <v>526</v>
      </c>
      <c r="K6572" s="3">
        <v>1914</v>
      </c>
      <c r="L6572" s="3">
        <v>1</v>
      </c>
      <c r="M6572" s="3">
        <v>462</v>
      </c>
    </row>
    <row r="6573" spans="1:13" x14ac:dyDescent="0.25">
      <c r="A6573" s="1" t="str">
        <f>HYPERLINK("http://www.rosaceae.org/Prunus/Prunus_persica/p.persica_gdr_reftransV1_0000077","p.persica_gdr_reftransV1_0000077")</f>
        <v>p.persica_gdr_reftransV1_0000077</v>
      </c>
      <c r="B6573" s="3">
        <v>1512</v>
      </c>
      <c r="C6573" s="1" t="str">
        <f>HYPERLINK("http://www.uniprot.org/uniprot/DHMA_MYCMM","DHMA_MYCMM")</f>
        <v>DHMA_MYCMM</v>
      </c>
      <c r="D6573" t="s">
        <v>5368</v>
      </c>
      <c r="E6573" s="3" t="s">
        <v>5369</v>
      </c>
      <c r="F6573" s="4">
        <v>4.3299999999999999E-16</v>
      </c>
      <c r="G6573" s="3">
        <v>202</v>
      </c>
      <c r="H6573" s="3">
        <v>26</v>
      </c>
      <c r="I6573" s="3">
        <v>277</v>
      </c>
      <c r="J6573" s="3">
        <v>149</v>
      </c>
      <c r="K6573" s="3">
        <v>934</v>
      </c>
      <c r="L6573" s="3">
        <v>35</v>
      </c>
      <c r="M6573" s="3">
        <v>293</v>
      </c>
    </row>
    <row r="6574" spans="1:13" x14ac:dyDescent="0.25">
      <c r="A6574" s="1" t="str">
        <f>HYPERLINK("http://www.rosaceae.org/Prunus/Prunus_persica/p.persica_gdr_reftransV1_0000127","p.persica_gdr_reftransV1_0000127")</f>
        <v>p.persica_gdr_reftransV1_0000127</v>
      </c>
      <c r="B6574" s="3">
        <v>1574</v>
      </c>
      <c r="C6574" s="1" t="str">
        <f>HYPERLINK("http://www.uniprot.org/uniprot/FAX3_ARATH","FAX3_ARATH")</f>
        <v>FAX3_ARATH</v>
      </c>
      <c r="D6574" t="s">
        <v>290</v>
      </c>
      <c r="E6574" s="3" t="s">
        <v>3</v>
      </c>
      <c r="F6574" s="4">
        <v>4.6299999999999997E-78</v>
      </c>
      <c r="G6574" s="3">
        <v>650</v>
      </c>
      <c r="H6574" s="3">
        <v>57</v>
      </c>
      <c r="I6574" s="3">
        <v>261</v>
      </c>
      <c r="J6574" s="3">
        <v>362</v>
      </c>
      <c r="K6574" s="3">
        <v>1138</v>
      </c>
      <c r="L6574" s="3">
        <v>66</v>
      </c>
      <c r="M6574" s="3">
        <v>323</v>
      </c>
    </row>
    <row r="6575" spans="1:13" x14ac:dyDescent="0.25">
      <c r="A6575" s="1" t="str">
        <f>HYPERLINK("http://www.rosaceae.org/Prunus/Prunus_persica/p.persica_gdr_reftransV1_0000327","p.persica_gdr_reftransV1_0000327")</f>
        <v>p.persica_gdr_reftransV1_0000327</v>
      </c>
      <c r="B6575" s="3">
        <v>1416</v>
      </c>
      <c r="C6575" s="1" t="str">
        <f>HYPERLINK("http://www.uniprot.org/uniprot/U73C1_ARATH","U73C1_ARATH")</f>
        <v>U73C1_ARATH</v>
      </c>
      <c r="D6575" t="s">
        <v>5370</v>
      </c>
      <c r="E6575" s="3" t="s">
        <v>3</v>
      </c>
      <c r="F6575" s="4">
        <v>0</v>
      </c>
      <c r="G6575" s="3">
        <v>1450</v>
      </c>
      <c r="H6575" s="3">
        <v>58</v>
      </c>
      <c r="I6575" s="3">
        <v>466</v>
      </c>
      <c r="J6575" s="3">
        <v>25</v>
      </c>
      <c r="K6575" s="3">
        <v>1416</v>
      </c>
      <c r="L6575" s="3">
        <v>1</v>
      </c>
      <c r="M6575" s="3">
        <v>466</v>
      </c>
    </row>
    <row r="6576" spans="1:13" x14ac:dyDescent="0.25">
      <c r="A6576" s="1" t="str">
        <f>HYPERLINK("http://www.rosaceae.org/Prunus/Prunus_persica/p.persica_gdr_reftransV1_0000377","p.persica_gdr_reftransV1_0000377")</f>
        <v>p.persica_gdr_reftransV1_0000377</v>
      </c>
      <c r="B6576" s="3">
        <v>2749</v>
      </c>
      <c r="C6576" s="1" t="str">
        <f>HYPERLINK("http://www.uniprot.org/uniprot/PHS1_DICDI","PHS1_DICDI")</f>
        <v>PHS1_DICDI</v>
      </c>
      <c r="D6576" t="s">
        <v>5371</v>
      </c>
      <c r="E6576" s="3" t="s">
        <v>9</v>
      </c>
      <c r="F6576" s="4">
        <v>0</v>
      </c>
      <c r="G6576" s="3">
        <v>2300</v>
      </c>
      <c r="H6576" s="3">
        <v>53</v>
      </c>
      <c r="I6576" s="3">
        <v>797</v>
      </c>
      <c r="J6576" s="3">
        <v>371</v>
      </c>
      <c r="K6576" s="3">
        <v>2749</v>
      </c>
      <c r="L6576" s="3">
        <v>49</v>
      </c>
      <c r="M6576" s="3">
        <v>843</v>
      </c>
    </row>
    <row r="6577" spans="1:13" x14ac:dyDescent="0.25">
      <c r="A6577" s="1" t="str">
        <f>HYPERLINK("http://www.rosaceae.org/Prunus/Prunus_persica/p.persica_gdr_reftransV1_0000427","p.persica_gdr_reftransV1_0000427")</f>
        <v>p.persica_gdr_reftransV1_0000427</v>
      </c>
      <c r="B6577" s="3">
        <v>1863</v>
      </c>
      <c r="C6577" s="1" t="str">
        <f>HYPERLINK("http://www.uniprot.org/uniprot/VPE_CITSI","VPE_CITSI")</f>
        <v>VPE_CITSI</v>
      </c>
      <c r="D6577" t="s">
        <v>2329</v>
      </c>
      <c r="E6577" s="3" t="s">
        <v>1276</v>
      </c>
      <c r="F6577" s="4">
        <v>0</v>
      </c>
      <c r="G6577" s="3">
        <v>2002</v>
      </c>
      <c r="H6577" s="3">
        <v>81</v>
      </c>
      <c r="I6577" s="3">
        <v>495</v>
      </c>
      <c r="J6577" s="3">
        <v>289</v>
      </c>
      <c r="K6577" s="3">
        <v>1770</v>
      </c>
      <c r="L6577" s="3">
        <v>1</v>
      </c>
      <c r="M6577" s="3">
        <v>494</v>
      </c>
    </row>
    <row r="6578" spans="1:13" x14ac:dyDescent="0.25">
      <c r="A6578" s="1" t="str">
        <f>HYPERLINK("http://www.rosaceae.org/Prunus/Prunus_persica/p.persica_gdr_reftransV1_0000527","p.persica_gdr_reftransV1_0000527")</f>
        <v>p.persica_gdr_reftransV1_0000527</v>
      </c>
      <c r="B6578" s="3">
        <v>912</v>
      </c>
      <c r="C6578" s="1" t="str">
        <f>HYPERLINK("http://www.uniprot.org/uniprot/NRAM4_ARATH","NRAM4_ARATH")</f>
        <v>NRAM4_ARATH</v>
      </c>
      <c r="D6578" t="s">
        <v>4652</v>
      </c>
      <c r="E6578" s="3" t="s">
        <v>3</v>
      </c>
      <c r="F6578" s="4">
        <v>3.38E-24</v>
      </c>
      <c r="G6578" s="3">
        <v>263</v>
      </c>
      <c r="H6578" s="3">
        <v>85</v>
      </c>
      <c r="I6578" s="3">
        <v>59</v>
      </c>
      <c r="J6578" s="3">
        <v>354</v>
      </c>
      <c r="K6578" s="3">
        <v>530</v>
      </c>
      <c r="L6578" s="3">
        <v>176</v>
      </c>
      <c r="M6578" s="3">
        <v>234</v>
      </c>
    </row>
    <row r="6579" spans="1:13" x14ac:dyDescent="0.25">
      <c r="A6579" s="1" t="str">
        <f>HYPERLINK("http://www.rosaceae.org/Prunus/Prunus_persica/p.persica_gdr_reftransV1_0000577","p.persica_gdr_reftransV1_0000577")</f>
        <v>p.persica_gdr_reftransV1_0000577</v>
      </c>
      <c r="B6579" s="3">
        <v>1044</v>
      </c>
      <c r="C6579" s="1" t="str">
        <f>HYPERLINK("http://www.uniprot.org/uniprot/FB44_ARATH","FB44_ARATH")</f>
        <v>FB44_ARATH</v>
      </c>
      <c r="D6579" t="s">
        <v>2529</v>
      </c>
      <c r="E6579" s="3" t="s">
        <v>3</v>
      </c>
      <c r="F6579" s="4">
        <v>1.11E-8</v>
      </c>
      <c r="G6579" s="3">
        <v>144</v>
      </c>
      <c r="H6579" s="3">
        <v>53</v>
      </c>
      <c r="I6579" s="3">
        <v>49</v>
      </c>
      <c r="J6579" s="3">
        <v>773</v>
      </c>
      <c r="K6579" s="3">
        <v>919</v>
      </c>
      <c r="L6579" s="3">
        <v>25</v>
      </c>
      <c r="M6579" s="3">
        <v>73</v>
      </c>
    </row>
    <row r="6580" spans="1:13" x14ac:dyDescent="0.25">
      <c r="A6580" s="1" t="str">
        <f>HYPERLINK("http://www.rosaceae.org/Prunus/Prunus_persica/p.persica_gdr_reftransV1_0000627","p.persica_gdr_reftransV1_0000627")</f>
        <v>p.persica_gdr_reftransV1_0000627</v>
      </c>
      <c r="B6580" s="3">
        <v>2202</v>
      </c>
      <c r="C6580" s="1" t="str">
        <f>HYPERLINK("http://www.uniprot.org/uniprot/DET1_SOLLC","DET1_SOLLC")</f>
        <v>DET1_SOLLC</v>
      </c>
      <c r="D6580" t="s">
        <v>1413</v>
      </c>
      <c r="E6580" s="3" t="s">
        <v>64</v>
      </c>
      <c r="F6580" s="4">
        <v>0</v>
      </c>
      <c r="G6580" s="3">
        <v>2179</v>
      </c>
      <c r="H6580" s="3">
        <v>75</v>
      </c>
      <c r="I6580" s="3">
        <v>536</v>
      </c>
      <c r="J6580" s="3">
        <v>246</v>
      </c>
      <c r="K6580" s="3">
        <v>1847</v>
      </c>
      <c r="L6580" s="3">
        <v>1</v>
      </c>
      <c r="M6580" s="3">
        <v>523</v>
      </c>
    </row>
    <row r="6581" spans="1:13" x14ac:dyDescent="0.25">
      <c r="A6581" s="1" t="str">
        <f>HYPERLINK("http://www.rosaceae.org/Prunus/Prunus_persica/p.persica_gdr_reftransV1_0000677","p.persica_gdr_reftransV1_0000677")</f>
        <v>p.persica_gdr_reftransV1_0000677</v>
      </c>
      <c r="B6581" s="3">
        <v>397</v>
      </c>
      <c r="C6581" s="1" t="str">
        <f>HYPERLINK("http://www.uniprot.org/uniprot/NACK2_TOBAC","NACK2_TOBAC")</f>
        <v>NACK2_TOBAC</v>
      </c>
      <c r="D6581" t="s">
        <v>5372</v>
      </c>
      <c r="E6581" s="3" t="s">
        <v>200</v>
      </c>
      <c r="F6581" s="4">
        <v>8.5599999999999998E-51</v>
      </c>
      <c r="G6581" s="3">
        <v>450</v>
      </c>
      <c r="H6581" s="3">
        <v>78</v>
      </c>
      <c r="I6581" s="3">
        <v>131</v>
      </c>
      <c r="J6581" s="3">
        <v>3</v>
      </c>
      <c r="K6581" s="3">
        <v>395</v>
      </c>
      <c r="L6581" s="3">
        <v>60</v>
      </c>
      <c r="M6581" s="3">
        <v>190</v>
      </c>
    </row>
    <row r="6582" spans="1:13" x14ac:dyDescent="0.25">
      <c r="A6582" s="1" t="str">
        <f>HYPERLINK("http://www.rosaceae.org/Prunus/Prunus_persica/p.persica_gdr_reftransV1_0000777","p.persica_gdr_reftransV1_0000777")</f>
        <v>p.persica_gdr_reftransV1_0000777</v>
      </c>
      <c r="B6582" s="3">
        <v>2843</v>
      </c>
      <c r="C6582" s="1" t="str">
        <f>HYPERLINK("http://www.uniprot.org/uniprot/Y2913_ARATH","Y2913_ARATH")</f>
        <v>Y2913_ARATH</v>
      </c>
      <c r="D6582" t="s">
        <v>5373</v>
      </c>
      <c r="E6582" s="3" t="s">
        <v>3</v>
      </c>
      <c r="F6582" s="4">
        <v>0</v>
      </c>
      <c r="G6582" s="3">
        <v>2376</v>
      </c>
      <c r="H6582" s="3">
        <v>61</v>
      </c>
      <c r="I6582" s="3">
        <v>791</v>
      </c>
      <c r="J6582" s="3">
        <v>328</v>
      </c>
      <c r="K6582" s="3">
        <v>2670</v>
      </c>
      <c r="L6582" s="3">
        <v>18</v>
      </c>
      <c r="M6582" s="3">
        <v>796</v>
      </c>
    </row>
    <row r="6583" spans="1:13" x14ac:dyDescent="0.25">
      <c r="A6583" s="1" t="str">
        <f>HYPERLINK("http://www.rosaceae.org/Prunus/Prunus_persica/p.persica_gdr_reftransV1_0000827","p.persica_gdr_reftransV1_0000827")</f>
        <v>p.persica_gdr_reftransV1_0000827</v>
      </c>
      <c r="B6583" s="3">
        <v>391</v>
      </c>
      <c r="C6583" s="1" t="str">
        <f>HYPERLINK("http://www.uniprot.org/uniprot/DHX8_ARATH","DHX8_ARATH")</f>
        <v>DHX8_ARATH</v>
      </c>
      <c r="D6583" t="s">
        <v>653</v>
      </c>
      <c r="E6583" s="3" t="s">
        <v>3</v>
      </c>
      <c r="F6583" s="4">
        <v>1.5999999999999999E-66</v>
      </c>
      <c r="G6583" s="3">
        <v>567</v>
      </c>
      <c r="H6583" s="3">
        <v>83</v>
      </c>
      <c r="I6583" s="3">
        <v>129</v>
      </c>
      <c r="J6583" s="3">
        <v>3</v>
      </c>
      <c r="K6583" s="3">
        <v>389</v>
      </c>
      <c r="L6583" s="3">
        <v>614</v>
      </c>
      <c r="M6583" s="3">
        <v>742</v>
      </c>
    </row>
    <row r="6584" spans="1:13" x14ac:dyDescent="0.25">
      <c r="A6584" s="1" t="str">
        <f>HYPERLINK("http://www.rosaceae.org/Prunus/Prunus_persica/p.persica_gdr_reftransV1_0000927","p.persica_gdr_reftransV1_0000927")</f>
        <v>p.persica_gdr_reftransV1_0000927</v>
      </c>
      <c r="B6584" s="3">
        <v>1156</v>
      </c>
      <c r="C6584" s="1" t="str">
        <f>HYPERLINK("http://www.uniprot.org/uniprot/RL25_NOVAD","RL25_NOVAD")</f>
        <v>RL25_NOVAD</v>
      </c>
      <c r="D6584" t="s">
        <v>5374</v>
      </c>
      <c r="E6584" s="3" t="s">
        <v>5375</v>
      </c>
      <c r="F6584" s="4">
        <v>1.6199999999999999E-20</v>
      </c>
      <c r="G6584" s="3">
        <v>228</v>
      </c>
      <c r="H6584" s="3">
        <v>29</v>
      </c>
      <c r="I6584" s="3">
        <v>179</v>
      </c>
      <c r="J6584" s="3">
        <v>410</v>
      </c>
      <c r="K6584" s="3">
        <v>946</v>
      </c>
      <c r="L6584" s="3">
        <v>9</v>
      </c>
      <c r="M6584" s="3">
        <v>171</v>
      </c>
    </row>
    <row r="6585" spans="1:13" x14ac:dyDescent="0.25">
      <c r="A6585" s="1" t="str">
        <f>HYPERLINK("http://www.rosaceae.org/Prunus/Prunus_persica/p.persica_gdr_reftransV1_0001027","p.persica_gdr_reftransV1_0001027")</f>
        <v>p.persica_gdr_reftransV1_0001027</v>
      </c>
      <c r="B6585" s="3">
        <v>2244</v>
      </c>
      <c r="C6585" s="1" t="str">
        <f>HYPERLINK("http://www.uniprot.org/uniprot/NSL1_ARATH","NSL1_ARATH")</f>
        <v>NSL1_ARATH</v>
      </c>
      <c r="D6585" t="s">
        <v>5376</v>
      </c>
      <c r="E6585" s="3" t="s">
        <v>3</v>
      </c>
      <c r="F6585" s="4">
        <v>0</v>
      </c>
      <c r="G6585" s="3">
        <v>2091</v>
      </c>
      <c r="H6585" s="3">
        <v>64</v>
      </c>
      <c r="I6585" s="3">
        <v>614</v>
      </c>
      <c r="J6585" s="3">
        <v>241</v>
      </c>
      <c r="K6585" s="3">
        <v>2046</v>
      </c>
      <c r="L6585" s="3">
        <v>1</v>
      </c>
      <c r="M6585" s="3">
        <v>612</v>
      </c>
    </row>
    <row r="6586" spans="1:13" x14ac:dyDescent="0.25">
      <c r="A6586" s="1" t="str">
        <f>HYPERLINK("http://www.rosaceae.org/Prunus/Prunus_persica/p.persica_gdr_reftransV1_0001177","p.persica_gdr_reftransV1_0001177")</f>
        <v>p.persica_gdr_reftransV1_0001177</v>
      </c>
      <c r="B6586" s="3">
        <v>554</v>
      </c>
      <c r="C6586" s="1" t="str">
        <f>HYPERLINK("http://www.uniprot.org/uniprot/Y5614_ARATH","Y5614_ARATH")</f>
        <v>Y5614_ARATH</v>
      </c>
      <c r="D6586" t="s">
        <v>3631</v>
      </c>
      <c r="E6586" s="3" t="s">
        <v>3</v>
      </c>
      <c r="F6586" s="4">
        <v>1.0599999999999999E-99</v>
      </c>
      <c r="G6586" s="3">
        <v>809</v>
      </c>
      <c r="H6586" s="3">
        <v>82</v>
      </c>
      <c r="I6586" s="3">
        <v>184</v>
      </c>
      <c r="J6586" s="3">
        <v>1</v>
      </c>
      <c r="K6586" s="3">
        <v>552</v>
      </c>
      <c r="L6586" s="3">
        <v>730</v>
      </c>
      <c r="M6586" s="3">
        <v>913</v>
      </c>
    </row>
    <row r="6587" spans="1:13" x14ac:dyDescent="0.25">
      <c r="A6587" s="1" t="str">
        <f>HYPERLINK("http://www.rosaceae.org/Prunus/Prunus_persica/p.persica_gdr_reftransV1_0001227","p.persica_gdr_reftransV1_0001227")</f>
        <v>p.persica_gdr_reftransV1_0001227</v>
      </c>
      <c r="B6587" s="3">
        <v>667</v>
      </c>
      <c r="C6587" s="1" t="str">
        <f>HYPERLINK("http://www.uniprot.org/uniprot/FUS3_ARATH","FUS3_ARATH")</f>
        <v>FUS3_ARATH</v>
      </c>
      <c r="D6587" t="s">
        <v>5377</v>
      </c>
      <c r="E6587" s="3" t="s">
        <v>3</v>
      </c>
      <c r="F6587" s="4">
        <v>6.8999999999999995E-86</v>
      </c>
      <c r="G6587" s="3">
        <v>673</v>
      </c>
      <c r="H6587" s="3">
        <v>61</v>
      </c>
      <c r="I6587" s="3">
        <v>238</v>
      </c>
      <c r="J6587" s="3">
        <v>34</v>
      </c>
      <c r="K6587" s="3">
        <v>663</v>
      </c>
      <c r="L6587" s="3">
        <v>79</v>
      </c>
      <c r="M6587" s="3">
        <v>313</v>
      </c>
    </row>
    <row r="6588" spans="1:13" x14ac:dyDescent="0.25">
      <c r="A6588" s="1" t="str">
        <f>HYPERLINK("http://www.rosaceae.org/Prunus/Prunus_persica/p.persica_gdr_reftransV1_0001277","p.persica_gdr_reftransV1_0001277")</f>
        <v>p.persica_gdr_reftransV1_0001277</v>
      </c>
      <c r="B6588" s="3">
        <v>1505</v>
      </c>
      <c r="C6588" s="1" t="str">
        <f>HYPERLINK("http://www.uniprot.org/uniprot/BCH2_CAPAN","BCH2_CAPAN")</f>
        <v>BCH2_CAPAN</v>
      </c>
      <c r="D6588" t="s">
        <v>5378</v>
      </c>
      <c r="E6588" s="3" t="s">
        <v>588</v>
      </c>
      <c r="F6588" s="4">
        <v>2.2400000000000002E-139</v>
      </c>
      <c r="G6588" s="3">
        <v>1057</v>
      </c>
      <c r="H6588" s="3">
        <v>75</v>
      </c>
      <c r="I6588" s="3">
        <v>269</v>
      </c>
      <c r="J6588" s="3">
        <v>231</v>
      </c>
      <c r="K6588" s="3">
        <v>1031</v>
      </c>
      <c r="L6588" s="3">
        <v>27</v>
      </c>
      <c r="M6588" s="3">
        <v>290</v>
      </c>
    </row>
    <row r="6589" spans="1:13" x14ac:dyDescent="0.25">
      <c r="A6589" s="1" t="str">
        <f>HYPERLINK("http://www.rosaceae.org/Prunus/Prunus_persica/p.persica_gdr_reftransV1_0001327","p.persica_gdr_reftransV1_0001327")</f>
        <v>p.persica_gdr_reftransV1_0001327</v>
      </c>
      <c r="B6589" s="3">
        <v>1311</v>
      </c>
      <c r="C6589" s="1" t="str">
        <f>HYPERLINK("http://www.uniprot.org/uniprot/Y5838_ARATH","Y5838_ARATH")</f>
        <v>Y5838_ARATH</v>
      </c>
      <c r="D6589" t="s">
        <v>5379</v>
      </c>
      <c r="E6589" s="3" t="s">
        <v>3</v>
      </c>
      <c r="F6589" s="4">
        <v>2.1500000000000002E-61</v>
      </c>
      <c r="G6589" s="3">
        <v>549</v>
      </c>
      <c r="H6589" s="3">
        <v>53</v>
      </c>
      <c r="I6589" s="3">
        <v>189</v>
      </c>
      <c r="J6589" s="3">
        <v>534</v>
      </c>
      <c r="K6589" s="3">
        <v>1097</v>
      </c>
      <c r="L6589" s="3">
        <v>29</v>
      </c>
      <c r="M6589" s="3">
        <v>217</v>
      </c>
    </row>
    <row r="6590" spans="1:13" x14ac:dyDescent="0.25">
      <c r="A6590" s="1" t="str">
        <f>HYPERLINK("http://www.rosaceae.org/Prunus/Prunus_persica/p.persica_gdr_reftransV1_0001377","p.persica_gdr_reftransV1_0001377")</f>
        <v>p.persica_gdr_reftransV1_0001377</v>
      </c>
      <c r="B6590" s="3">
        <v>975</v>
      </c>
      <c r="C6590" s="1" t="str">
        <f>HYPERLINK("http://www.uniprot.org/uniprot/AB8B_ARATH","AB8B_ARATH")</f>
        <v>AB8B_ARATH</v>
      </c>
      <c r="D6590" t="s">
        <v>3622</v>
      </c>
      <c r="E6590" s="3" t="s">
        <v>3</v>
      </c>
      <c r="F6590" s="4">
        <v>3.28E-122</v>
      </c>
      <c r="G6590" s="3">
        <v>991</v>
      </c>
      <c r="H6590" s="3">
        <v>59</v>
      </c>
      <c r="I6590" s="3">
        <v>336</v>
      </c>
      <c r="J6590" s="3">
        <v>1</v>
      </c>
      <c r="K6590" s="3">
        <v>975</v>
      </c>
      <c r="L6590" s="3">
        <v>576</v>
      </c>
      <c r="M6590" s="3">
        <v>907</v>
      </c>
    </row>
    <row r="6591" spans="1:13" x14ac:dyDescent="0.25">
      <c r="A6591" s="1" t="str">
        <f>HYPERLINK("http://www.rosaceae.org/Prunus/Prunus_persica/p.persica_gdr_reftransV1_0001427","p.persica_gdr_reftransV1_0001427")</f>
        <v>p.persica_gdr_reftransV1_0001427</v>
      </c>
      <c r="B6591" s="3">
        <v>2029</v>
      </c>
      <c r="C6591" s="1" t="str">
        <f>HYPERLINK("http://www.uniprot.org/uniprot/Y5713_ARATH","Y5713_ARATH")</f>
        <v>Y5713_ARATH</v>
      </c>
      <c r="D6591" t="s">
        <v>5380</v>
      </c>
      <c r="E6591" s="3" t="s">
        <v>3</v>
      </c>
      <c r="F6591" s="4">
        <v>0</v>
      </c>
      <c r="G6591" s="3">
        <v>1569</v>
      </c>
      <c r="H6591" s="3">
        <v>72</v>
      </c>
      <c r="I6591" s="3">
        <v>418</v>
      </c>
      <c r="J6591" s="3">
        <v>147</v>
      </c>
      <c r="K6591" s="3">
        <v>1379</v>
      </c>
      <c r="L6591" s="3">
        <v>2</v>
      </c>
      <c r="M6591" s="3">
        <v>416</v>
      </c>
    </row>
    <row r="6592" spans="1:13" x14ac:dyDescent="0.25">
      <c r="A6592" s="1" t="str">
        <f>HYPERLINK("http://www.rosaceae.org/Prunus/Prunus_persica/p.persica_gdr_reftransV1_0001577","p.persica_gdr_reftransV1_0001577")</f>
        <v>p.persica_gdr_reftransV1_0001577</v>
      </c>
      <c r="B6592" s="3">
        <v>1075</v>
      </c>
      <c r="C6592" s="1" t="str">
        <f>HYPERLINK("http://www.uniprot.org/uniprot/ATMA_ECOLI","ATMA_ECOLI")</f>
        <v>ATMA_ECOLI</v>
      </c>
      <c r="D6592" t="s">
        <v>2825</v>
      </c>
      <c r="E6592" s="3" t="s">
        <v>2372</v>
      </c>
      <c r="F6592" s="4">
        <v>2.5000000000000001E-27</v>
      </c>
      <c r="G6592" s="3">
        <v>295</v>
      </c>
      <c r="H6592" s="3">
        <v>38</v>
      </c>
      <c r="I6592" s="3">
        <v>195</v>
      </c>
      <c r="J6592" s="3">
        <v>61</v>
      </c>
      <c r="K6592" s="3">
        <v>639</v>
      </c>
      <c r="L6592" s="3">
        <v>63</v>
      </c>
      <c r="M6592" s="3">
        <v>254</v>
      </c>
    </row>
    <row r="6593" spans="1:13" x14ac:dyDescent="0.25">
      <c r="A6593" s="1" t="str">
        <f>HYPERLINK("http://www.rosaceae.org/Prunus/Prunus_persica/p.persica_gdr_reftransV1_0001627","p.persica_gdr_reftransV1_0001627")</f>
        <v>p.persica_gdr_reftransV1_0001627</v>
      </c>
      <c r="B6593" s="3">
        <v>1450</v>
      </c>
      <c r="C6593" s="1" t="str">
        <f>HYPERLINK("http://www.uniprot.org/uniprot/CCR4E_ARATH","CCR4E_ARATH")</f>
        <v>CCR4E_ARATH</v>
      </c>
      <c r="D6593" t="s">
        <v>5381</v>
      </c>
      <c r="E6593" s="3" t="s">
        <v>3</v>
      </c>
      <c r="F6593" s="4">
        <v>1.8400000000000001E-91</v>
      </c>
      <c r="G6593" s="3">
        <v>359</v>
      </c>
      <c r="H6593" s="3">
        <v>48</v>
      </c>
      <c r="I6593" s="3">
        <v>145</v>
      </c>
      <c r="J6593" s="3">
        <v>748</v>
      </c>
      <c r="K6593" s="3">
        <v>1182</v>
      </c>
      <c r="L6593" s="3">
        <v>308</v>
      </c>
      <c r="M6593" s="3">
        <v>452</v>
      </c>
    </row>
    <row r="6594" spans="1:13" x14ac:dyDescent="0.25">
      <c r="A6594" s="1" t="str">
        <f>HYPERLINK("http://www.rosaceae.org/Prunus/Prunus_persica/p.persica_gdr_reftransV1_0001727","p.persica_gdr_reftransV1_0001727")</f>
        <v>p.persica_gdr_reftransV1_0001727</v>
      </c>
      <c r="B6594" s="3">
        <v>561</v>
      </c>
      <c r="C6594" s="1" t="str">
        <f>HYPERLINK("http://www.uniprot.org/uniprot/PP188_ARATH","PP188_ARATH")</f>
        <v>PP188_ARATH</v>
      </c>
      <c r="D6594" t="s">
        <v>271</v>
      </c>
      <c r="E6594" s="3" t="s">
        <v>3</v>
      </c>
      <c r="F6594" s="4">
        <v>4.1000000000000001E-84</v>
      </c>
      <c r="G6594" s="3">
        <v>673</v>
      </c>
      <c r="H6594" s="3">
        <v>67</v>
      </c>
      <c r="I6594" s="3">
        <v>172</v>
      </c>
      <c r="J6594" s="3">
        <v>45</v>
      </c>
      <c r="K6594" s="3">
        <v>560</v>
      </c>
      <c r="L6594" s="3">
        <v>321</v>
      </c>
      <c r="M6594" s="3">
        <v>492</v>
      </c>
    </row>
    <row r="6595" spans="1:13" x14ac:dyDescent="0.25">
      <c r="A6595" s="1" t="str">
        <f>HYPERLINK("http://www.rosaceae.org/Prunus/Prunus_persica/p.persica_gdr_reftransV1_0001777","p.persica_gdr_reftransV1_0001777")</f>
        <v>p.persica_gdr_reftransV1_0001777</v>
      </c>
      <c r="B6595" s="3">
        <v>884</v>
      </c>
      <c r="C6595" s="1" t="str">
        <f>HYPERLINK("http://www.uniprot.org/uniprot/4CLL1_ARATH","4CLL1_ARATH")</f>
        <v>4CLL1_ARATH</v>
      </c>
      <c r="D6595" t="s">
        <v>5382</v>
      </c>
      <c r="E6595" s="3" t="s">
        <v>3</v>
      </c>
      <c r="F6595" s="4">
        <v>5.1200000000000003E-156</v>
      </c>
      <c r="G6595" s="3">
        <v>1167</v>
      </c>
      <c r="H6595" s="3">
        <v>77</v>
      </c>
      <c r="I6595" s="3">
        <v>297</v>
      </c>
      <c r="J6595" s="3">
        <v>1</v>
      </c>
      <c r="K6595" s="3">
        <v>882</v>
      </c>
      <c r="L6595" s="3">
        <v>146</v>
      </c>
      <c r="M6595" s="3">
        <v>441</v>
      </c>
    </row>
    <row r="6596" spans="1:13" x14ac:dyDescent="0.25">
      <c r="A6596" s="1" t="str">
        <f>HYPERLINK("http://www.rosaceae.org/Prunus/Prunus_persica/p.persica_gdr_reftransV1_0001827","p.persica_gdr_reftransV1_0001827")</f>
        <v>p.persica_gdr_reftransV1_0001827</v>
      </c>
      <c r="B6596" s="3">
        <v>1908</v>
      </c>
      <c r="C6596" s="1" t="str">
        <f>HYPERLINK("http://www.uniprot.org/uniprot/HHP4_ARATH","HHP4_ARATH")</f>
        <v>HHP4_ARATH</v>
      </c>
      <c r="D6596" t="s">
        <v>2053</v>
      </c>
      <c r="E6596" s="3" t="s">
        <v>3</v>
      </c>
      <c r="F6596" s="4">
        <v>0</v>
      </c>
      <c r="G6596" s="3">
        <v>1527</v>
      </c>
      <c r="H6596" s="3">
        <v>73</v>
      </c>
      <c r="I6596" s="3">
        <v>411</v>
      </c>
      <c r="J6596" s="3">
        <v>301</v>
      </c>
      <c r="K6596" s="3">
        <v>1530</v>
      </c>
      <c r="L6596" s="3">
        <v>5</v>
      </c>
      <c r="M6596" s="3">
        <v>385</v>
      </c>
    </row>
    <row r="6597" spans="1:13" x14ac:dyDescent="0.25">
      <c r="A6597" s="1" t="str">
        <f>HYPERLINK("http://www.rosaceae.org/Prunus/Prunus_persica/p.persica_gdr_reftransV1_0001877","p.persica_gdr_reftransV1_0001877")</f>
        <v>p.persica_gdr_reftransV1_0001877</v>
      </c>
      <c r="B6597" s="3">
        <v>484</v>
      </c>
      <c r="C6597" s="1" t="str">
        <f>HYPERLINK("http://www.uniprot.org/uniprot/7SB1_SOYBN","7SB1_SOYBN")</f>
        <v>7SB1_SOYBN</v>
      </c>
      <c r="D6597" t="s">
        <v>5383</v>
      </c>
      <c r="E6597" s="3" t="s">
        <v>307</v>
      </c>
      <c r="F6597" s="4">
        <v>2.02E-20</v>
      </c>
      <c r="G6597" s="3">
        <v>223</v>
      </c>
      <c r="H6597" s="3">
        <v>33</v>
      </c>
      <c r="I6597" s="3">
        <v>157</v>
      </c>
      <c r="J6597" s="3">
        <v>20</v>
      </c>
      <c r="K6597" s="3">
        <v>481</v>
      </c>
      <c r="L6597" s="3">
        <v>174</v>
      </c>
      <c r="M6597" s="3">
        <v>318</v>
      </c>
    </row>
    <row r="6598" spans="1:13" x14ac:dyDescent="0.25">
      <c r="A6598" s="1" t="str">
        <f>HYPERLINK("http://www.rosaceae.org/Prunus/Prunus_persica/p.persica_gdr_reftransV1_0001977","p.persica_gdr_reftransV1_0001977")</f>
        <v>p.persica_gdr_reftransV1_0001977</v>
      </c>
      <c r="B6598" s="3">
        <v>1606</v>
      </c>
      <c r="C6598" s="1" t="str">
        <f>HYPERLINK("http://www.uniprot.org/uniprot/AT18B_ARATH","AT18B_ARATH")</f>
        <v>AT18B_ARATH</v>
      </c>
      <c r="D6598" t="s">
        <v>5384</v>
      </c>
      <c r="E6598" s="3" t="s">
        <v>3</v>
      </c>
      <c r="F6598" s="4">
        <v>1.1500000000000001E-167</v>
      </c>
      <c r="G6598" s="3">
        <v>1252</v>
      </c>
      <c r="H6598" s="3">
        <v>78</v>
      </c>
      <c r="I6598" s="3">
        <v>303</v>
      </c>
      <c r="J6598" s="3">
        <v>44</v>
      </c>
      <c r="K6598" s="3">
        <v>952</v>
      </c>
      <c r="L6598" s="3">
        <v>1</v>
      </c>
      <c r="M6598" s="3">
        <v>303</v>
      </c>
    </row>
    <row r="6599" spans="1:13" x14ac:dyDescent="0.25">
      <c r="A6599" s="1" t="str">
        <f>HYPERLINK("http://www.rosaceae.org/Prunus/Prunus_persica/p.persica_gdr_reftransV1_0002027","p.persica_gdr_reftransV1_0002027")</f>
        <v>p.persica_gdr_reftransV1_0002027</v>
      </c>
      <c r="B6599" s="3">
        <v>339</v>
      </c>
      <c r="C6599" s="1" t="str">
        <f>HYPERLINK("http://www.uniprot.org/uniprot/ADT_NEUCR","ADT_NEUCR")</f>
        <v>ADT_NEUCR</v>
      </c>
      <c r="D6599" t="s">
        <v>5385</v>
      </c>
      <c r="E6599" s="3" t="s">
        <v>435</v>
      </c>
      <c r="F6599" s="4">
        <v>4.2600000000000003E-39</v>
      </c>
      <c r="G6599" s="3">
        <v>348</v>
      </c>
      <c r="H6599" s="3">
        <v>84</v>
      </c>
      <c r="I6599" s="3">
        <v>77</v>
      </c>
      <c r="J6599" s="3">
        <v>109</v>
      </c>
      <c r="K6599" s="3">
        <v>339</v>
      </c>
      <c r="L6599" s="3">
        <v>2</v>
      </c>
      <c r="M6599" s="3">
        <v>77</v>
      </c>
    </row>
    <row r="6600" spans="1:13" x14ac:dyDescent="0.25">
      <c r="A6600" s="1" t="str">
        <f>HYPERLINK("http://www.rosaceae.org/Prunus/Prunus_persica/p.persica_gdr_reftransV1_0002077","p.persica_gdr_reftransV1_0002077")</f>
        <v>p.persica_gdr_reftransV1_0002077</v>
      </c>
      <c r="B6600" s="3">
        <v>1852</v>
      </c>
      <c r="C6600" s="1" t="str">
        <f>HYPERLINK("http://www.uniprot.org/uniprot/TYDC2_PAPSO","TYDC2_PAPSO")</f>
        <v>TYDC2_PAPSO</v>
      </c>
      <c r="D6600" t="s">
        <v>5386</v>
      </c>
      <c r="E6600" s="3" t="s">
        <v>2250</v>
      </c>
      <c r="F6600" s="4">
        <v>0</v>
      </c>
      <c r="G6600" s="3">
        <v>1917</v>
      </c>
      <c r="H6600" s="3">
        <v>67</v>
      </c>
      <c r="I6600" s="3">
        <v>530</v>
      </c>
      <c r="J6600" s="3">
        <v>208</v>
      </c>
      <c r="K6600" s="3">
        <v>1776</v>
      </c>
      <c r="L6600" s="3">
        <v>1</v>
      </c>
      <c r="M6600" s="3">
        <v>521</v>
      </c>
    </row>
    <row r="6601" spans="1:13" x14ac:dyDescent="0.25">
      <c r="A6601" s="1" t="str">
        <f>HYPERLINK("http://www.rosaceae.org/Prunus/Prunus_persica/p.persica_gdr_reftransV1_0002127","p.persica_gdr_reftransV1_0002127")</f>
        <v>p.persica_gdr_reftransV1_0002127</v>
      </c>
      <c r="B6601" s="3">
        <v>522</v>
      </c>
      <c r="C6601" s="1" t="str">
        <f>HYPERLINK("http://www.uniprot.org/uniprot/UFOG7_FRAAN","UFOG7_FRAAN")</f>
        <v>UFOG7_FRAAN</v>
      </c>
      <c r="D6601" t="s">
        <v>2824</v>
      </c>
      <c r="E6601" s="3" t="s">
        <v>15</v>
      </c>
      <c r="F6601" s="4">
        <v>4.5199999999999998E-72</v>
      </c>
      <c r="G6601" s="3">
        <v>589</v>
      </c>
      <c r="H6601" s="3">
        <v>64</v>
      </c>
      <c r="I6601" s="3">
        <v>166</v>
      </c>
      <c r="J6601" s="3">
        <v>9</v>
      </c>
      <c r="K6601" s="3">
        <v>506</v>
      </c>
      <c r="L6601" s="3">
        <v>1</v>
      </c>
      <c r="M6601" s="3">
        <v>161</v>
      </c>
    </row>
    <row r="6602" spans="1:13" x14ac:dyDescent="0.25">
      <c r="A6602" s="1" t="str">
        <f>HYPERLINK("http://www.rosaceae.org/Prunus/Prunus_persica/p.persica_gdr_reftransV1_0002177","p.persica_gdr_reftransV1_0002177")</f>
        <v>p.persica_gdr_reftransV1_0002177</v>
      </c>
      <c r="B6602" s="3">
        <v>581</v>
      </c>
      <c r="C6602" s="1" t="str">
        <f>HYPERLINK("http://www.uniprot.org/uniprot/EPD1_CANMA","EPD1_CANMA")</f>
        <v>EPD1_CANMA</v>
      </c>
      <c r="D6602" t="s">
        <v>5387</v>
      </c>
      <c r="E6602" s="3" t="s">
        <v>1837</v>
      </c>
      <c r="F6602" s="4">
        <v>4.2799999999999998E-72</v>
      </c>
      <c r="G6602" s="3">
        <v>595</v>
      </c>
      <c r="H6602" s="3">
        <v>57</v>
      </c>
      <c r="I6602" s="3">
        <v>191</v>
      </c>
      <c r="J6602" s="3">
        <v>12</v>
      </c>
      <c r="K6602" s="3">
        <v>581</v>
      </c>
      <c r="L6602" s="3">
        <v>21</v>
      </c>
      <c r="M6602" s="3">
        <v>205</v>
      </c>
    </row>
    <row r="6603" spans="1:13" x14ac:dyDescent="0.25">
      <c r="A6603" s="1" t="str">
        <f>HYPERLINK("http://www.rosaceae.org/Prunus/Prunus_persica/p.persica_gdr_reftransV1_0002227","p.persica_gdr_reftransV1_0002227")</f>
        <v>p.persica_gdr_reftransV1_0002227</v>
      </c>
      <c r="B6603" s="3">
        <v>667</v>
      </c>
      <c r="C6603" s="1" t="str">
        <f>HYPERLINK("http://www.uniprot.org/uniprot/BABL_ARATH","BABL_ARATH")</f>
        <v>BABL_ARATH</v>
      </c>
      <c r="D6603" t="s">
        <v>5388</v>
      </c>
      <c r="E6603" s="3" t="s">
        <v>3</v>
      </c>
      <c r="F6603" s="4">
        <v>8.3300000000000003E-41</v>
      </c>
      <c r="G6603" s="3">
        <v>356</v>
      </c>
      <c r="H6603" s="3">
        <v>59</v>
      </c>
      <c r="I6603" s="3">
        <v>123</v>
      </c>
      <c r="J6603" s="3">
        <v>216</v>
      </c>
      <c r="K6603" s="3">
        <v>575</v>
      </c>
      <c r="L6603" s="3">
        <v>1</v>
      </c>
      <c r="M6603" s="3">
        <v>123</v>
      </c>
    </row>
    <row r="6604" spans="1:13" x14ac:dyDescent="0.25">
      <c r="A6604" s="1" t="str">
        <f>HYPERLINK("http://www.rosaceae.org/Prunus/Prunus_persica/p.persica_gdr_reftransV1_0002277","p.persica_gdr_reftransV1_0002277")</f>
        <v>p.persica_gdr_reftransV1_0002277</v>
      </c>
      <c r="B6604" s="3">
        <v>787</v>
      </c>
      <c r="C6604" s="1" t="str">
        <f>HYPERLINK("http://www.uniprot.org/uniprot/PP307_ARATH","PP307_ARATH")</f>
        <v>PP307_ARATH</v>
      </c>
      <c r="D6604" t="s">
        <v>5226</v>
      </c>
      <c r="E6604" s="3" t="s">
        <v>3</v>
      </c>
      <c r="F6604" s="4">
        <v>3.4899999999999999E-96</v>
      </c>
      <c r="G6604" s="3">
        <v>794</v>
      </c>
      <c r="H6604" s="3">
        <v>58</v>
      </c>
      <c r="I6604" s="3">
        <v>258</v>
      </c>
      <c r="J6604" s="3">
        <v>13</v>
      </c>
      <c r="K6604" s="3">
        <v>786</v>
      </c>
      <c r="L6604" s="3">
        <v>122</v>
      </c>
      <c r="M6604" s="3">
        <v>379</v>
      </c>
    </row>
    <row r="6605" spans="1:13" x14ac:dyDescent="0.25">
      <c r="A6605" s="1" t="str">
        <f>HYPERLINK("http://www.rosaceae.org/Prunus/Prunus_persica/p.persica_gdr_reftransV1_0002327","p.persica_gdr_reftransV1_0002327")</f>
        <v>p.persica_gdr_reftransV1_0002327</v>
      </c>
      <c r="B6605" s="3">
        <v>638</v>
      </c>
      <c r="C6605" s="1" t="str">
        <f>HYPERLINK("http://www.uniprot.org/uniprot/GLPK_DICDI","GLPK_DICDI")</f>
        <v>GLPK_DICDI</v>
      </c>
      <c r="D6605" t="s">
        <v>5389</v>
      </c>
      <c r="E6605" s="3" t="s">
        <v>9</v>
      </c>
      <c r="F6605" s="4">
        <v>3.8E-31</v>
      </c>
      <c r="G6605" s="3">
        <v>308</v>
      </c>
      <c r="H6605" s="3">
        <v>48</v>
      </c>
      <c r="I6605" s="3">
        <v>142</v>
      </c>
      <c r="J6605" s="3">
        <v>209</v>
      </c>
      <c r="K6605" s="3">
        <v>634</v>
      </c>
      <c r="L6605" s="3">
        <v>400</v>
      </c>
      <c r="M6605" s="3">
        <v>536</v>
      </c>
    </row>
    <row r="6606" spans="1:13" x14ac:dyDescent="0.25">
      <c r="A6606" s="1" t="str">
        <f>HYPERLINK("http://www.rosaceae.org/Prunus/Prunus_persica/p.persica_gdr_reftransV1_0002427","p.persica_gdr_reftransV1_0002427")</f>
        <v>p.persica_gdr_reftransV1_0002427</v>
      </c>
      <c r="B6606" s="3">
        <v>1362</v>
      </c>
      <c r="C6606" s="1" t="str">
        <f>HYPERLINK("http://www.uniprot.org/uniprot/NU98A_ARATH","NU98A_ARATH")</f>
        <v>NU98A_ARATH</v>
      </c>
      <c r="D6606" t="s">
        <v>2674</v>
      </c>
      <c r="E6606" s="3" t="s">
        <v>3</v>
      </c>
      <c r="F6606" s="4">
        <v>5.2499999999999997E-14</v>
      </c>
      <c r="G6606" s="3">
        <v>191</v>
      </c>
      <c r="H6606" s="3">
        <v>43</v>
      </c>
      <c r="I6606" s="3">
        <v>367</v>
      </c>
      <c r="J6606" s="3">
        <v>312</v>
      </c>
      <c r="K6606" s="3">
        <v>1361</v>
      </c>
      <c r="L6606" s="3">
        <v>1</v>
      </c>
      <c r="M6606" s="3">
        <v>263</v>
      </c>
    </row>
    <row r="6607" spans="1:13" x14ac:dyDescent="0.25">
      <c r="A6607" s="1" t="str">
        <f>HYPERLINK("http://www.rosaceae.org/Prunus/Prunus_persica/p.persica_gdr_reftransV1_0002527","p.persica_gdr_reftransV1_0002527")</f>
        <v>p.persica_gdr_reftransV1_0002527</v>
      </c>
      <c r="B6607" s="3">
        <v>1878</v>
      </c>
      <c r="C6607" s="1" t="str">
        <f>HYPERLINK("http://www.uniprot.org/uniprot/AAPT1_ARATH","AAPT1_ARATH")</f>
        <v>AAPT1_ARATH</v>
      </c>
      <c r="D6607" t="s">
        <v>3597</v>
      </c>
      <c r="E6607" s="3" t="s">
        <v>3</v>
      </c>
      <c r="F6607" s="4">
        <v>0</v>
      </c>
      <c r="G6607" s="3">
        <v>1766</v>
      </c>
      <c r="H6607" s="3">
        <v>83</v>
      </c>
      <c r="I6607" s="3">
        <v>389</v>
      </c>
      <c r="J6607" s="3">
        <v>355</v>
      </c>
      <c r="K6607" s="3">
        <v>1521</v>
      </c>
      <c r="L6607" s="3">
        <v>1</v>
      </c>
      <c r="M6607" s="3">
        <v>389</v>
      </c>
    </row>
    <row r="6608" spans="1:13" x14ac:dyDescent="0.25">
      <c r="A6608" s="1" t="str">
        <f>HYPERLINK("http://www.rosaceae.org/Prunus/Prunus_persica/p.persica_gdr_reftransV1_0002577","p.persica_gdr_reftransV1_0002577")</f>
        <v>p.persica_gdr_reftransV1_0002577</v>
      </c>
      <c r="B6608" s="3">
        <v>1758</v>
      </c>
      <c r="C6608" s="1" t="str">
        <f>HYPERLINK("http://www.uniprot.org/uniprot/HT1_ARATH","HT1_ARATH")</f>
        <v>HT1_ARATH</v>
      </c>
      <c r="D6608" t="s">
        <v>1169</v>
      </c>
      <c r="E6608" s="3" t="s">
        <v>3</v>
      </c>
      <c r="F6608" s="4">
        <v>5.76E-96</v>
      </c>
      <c r="G6608" s="3">
        <v>781</v>
      </c>
      <c r="H6608" s="3">
        <v>51</v>
      </c>
      <c r="I6608" s="3">
        <v>265</v>
      </c>
      <c r="J6608" s="3">
        <v>325</v>
      </c>
      <c r="K6608" s="3">
        <v>1119</v>
      </c>
      <c r="L6608" s="3">
        <v>77</v>
      </c>
      <c r="M6608" s="3">
        <v>341</v>
      </c>
    </row>
    <row r="6609" spans="1:13" x14ac:dyDescent="0.25">
      <c r="A6609" s="1" t="str">
        <f>HYPERLINK("http://www.rosaceae.org/Prunus/Prunus_persica/p.persica_gdr_reftransV1_0002677","p.persica_gdr_reftransV1_0002677")</f>
        <v>p.persica_gdr_reftransV1_0002677</v>
      </c>
      <c r="B6609" s="3">
        <v>1189</v>
      </c>
      <c r="C6609" s="1" t="str">
        <f>HYPERLINK("http://www.uniprot.org/uniprot/C71A1_PERAE","C71A1_PERAE")</f>
        <v>C71A1_PERAE</v>
      </c>
      <c r="D6609" t="s">
        <v>102</v>
      </c>
      <c r="E6609" s="3" t="s">
        <v>103</v>
      </c>
      <c r="F6609" s="4">
        <v>6.7299999999999999E-84</v>
      </c>
      <c r="G6609" s="3">
        <v>693</v>
      </c>
      <c r="H6609" s="3">
        <v>58</v>
      </c>
      <c r="I6609" s="3">
        <v>235</v>
      </c>
      <c r="J6609" s="3">
        <v>480</v>
      </c>
      <c r="K6609" s="3">
        <v>1184</v>
      </c>
      <c r="L6609" s="3">
        <v>268</v>
      </c>
      <c r="M6609" s="3">
        <v>501</v>
      </c>
    </row>
    <row r="6610" spans="1:13" x14ac:dyDescent="0.25">
      <c r="A6610" s="1" t="str">
        <f>HYPERLINK("http://www.rosaceae.org/Prunus/Prunus_persica/p.persica_gdr_reftransV1_0002727","p.persica_gdr_reftransV1_0002727")</f>
        <v>p.persica_gdr_reftransV1_0002727</v>
      </c>
      <c r="B6610" s="3">
        <v>1688</v>
      </c>
      <c r="C6610" s="1" t="str">
        <f>HYPERLINK("http://www.uniprot.org/uniprot/RB11C_LOTJA","RB11C_LOTJA")</f>
        <v>RB11C_LOTJA</v>
      </c>
      <c r="D6610" t="s">
        <v>2835</v>
      </c>
      <c r="E6610" s="3" t="s">
        <v>880</v>
      </c>
      <c r="F6610" s="4">
        <v>5.7300000000000003E-137</v>
      </c>
      <c r="G6610" s="3">
        <v>1036</v>
      </c>
      <c r="H6610" s="3">
        <v>90</v>
      </c>
      <c r="I6610" s="3">
        <v>217</v>
      </c>
      <c r="J6610" s="3">
        <v>667</v>
      </c>
      <c r="K6610" s="3">
        <v>1314</v>
      </c>
      <c r="L6610" s="3">
        <v>1</v>
      </c>
      <c r="M6610" s="3">
        <v>216</v>
      </c>
    </row>
    <row r="6611" spans="1:13" x14ac:dyDescent="0.25">
      <c r="A6611" s="1" t="str">
        <f>HYPERLINK("http://www.rosaceae.org/Prunus/Prunus_persica/p.persica_gdr_reftransV1_0002827","p.persica_gdr_reftransV1_0002827")</f>
        <v>p.persica_gdr_reftransV1_0002827</v>
      </c>
      <c r="B6611" s="3">
        <v>599</v>
      </c>
      <c r="C6611" s="1" t="str">
        <f>HYPERLINK("http://www.uniprot.org/uniprot/PCKA_NEUCR","PCKA_NEUCR")</f>
        <v>PCKA_NEUCR</v>
      </c>
      <c r="D6611" t="s">
        <v>5390</v>
      </c>
      <c r="E6611" s="3" t="s">
        <v>435</v>
      </c>
      <c r="F6611" s="4">
        <v>7.88E-131</v>
      </c>
      <c r="G6611" s="3">
        <v>994</v>
      </c>
      <c r="H6611" s="3">
        <v>91</v>
      </c>
      <c r="I6611" s="3">
        <v>199</v>
      </c>
      <c r="J6611" s="3">
        <v>3</v>
      </c>
      <c r="K6611" s="3">
        <v>599</v>
      </c>
      <c r="L6611" s="3">
        <v>190</v>
      </c>
      <c r="M6611" s="3">
        <v>388</v>
      </c>
    </row>
    <row r="6612" spans="1:13" x14ac:dyDescent="0.25">
      <c r="A6612" s="1" t="str">
        <f>HYPERLINK("http://www.rosaceae.org/Prunus/Prunus_persica/p.persica_gdr_reftransV1_0002977","p.persica_gdr_reftransV1_0002977")</f>
        <v>p.persica_gdr_reftransV1_0002977</v>
      </c>
      <c r="B6612" s="3">
        <v>619</v>
      </c>
      <c r="C6612" s="1" t="str">
        <f>HYPERLINK("http://www.uniprot.org/uniprot/NIP51_ARATH","NIP51_ARATH")</f>
        <v>NIP51_ARATH</v>
      </c>
      <c r="D6612" t="s">
        <v>3315</v>
      </c>
      <c r="E6612" s="3" t="s">
        <v>3</v>
      </c>
      <c r="F6612" s="4">
        <v>4.2499999999999999E-91</v>
      </c>
      <c r="G6612" s="3">
        <v>705</v>
      </c>
      <c r="H6612" s="3">
        <v>88</v>
      </c>
      <c r="I6612" s="3">
        <v>181</v>
      </c>
      <c r="J6612" s="3">
        <v>75</v>
      </c>
      <c r="K6612" s="3">
        <v>617</v>
      </c>
      <c r="L6612" s="3">
        <v>79</v>
      </c>
      <c r="M6612" s="3">
        <v>259</v>
      </c>
    </row>
    <row r="6613" spans="1:13" x14ac:dyDescent="0.25">
      <c r="A6613" s="1" t="str">
        <f>HYPERLINK("http://www.rosaceae.org/Prunus/Prunus_persica/p.persica_gdr_reftransV1_0003077","p.persica_gdr_reftransV1_0003077")</f>
        <v>p.persica_gdr_reftransV1_0003077</v>
      </c>
      <c r="B6613" s="3">
        <v>582</v>
      </c>
      <c r="C6613" s="1" t="str">
        <f>HYPERLINK("http://www.uniprot.org/uniprot/PP435_ARATH","PP435_ARATH")</f>
        <v>PP435_ARATH</v>
      </c>
      <c r="D6613" t="s">
        <v>5391</v>
      </c>
      <c r="E6613" s="3" t="s">
        <v>3</v>
      </c>
      <c r="F6613" s="4">
        <v>1.9699999999999999E-58</v>
      </c>
      <c r="G6613" s="3">
        <v>502</v>
      </c>
      <c r="H6613" s="3">
        <v>51</v>
      </c>
      <c r="I6613" s="3">
        <v>190</v>
      </c>
      <c r="J6613" s="3">
        <v>7</v>
      </c>
      <c r="K6613" s="3">
        <v>573</v>
      </c>
      <c r="L6613" s="3">
        <v>1</v>
      </c>
      <c r="M6613" s="3">
        <v>186</v>
      </c>
    </row>
    <row r="6614" spans="1:13" x14ac:dyDescent="0.25">
      <c r="A6614" s="1" t="str">
        <f>HYPERLINK("http://www.rosaceae.org/Prunus/Prunus_persica/p.persica_gdr_reftransV1_0003377","p.persica_gdr_reftransV1_0003377")</f>
        <v>p.persica_gdr_reftransV1_0003377</v>
      </c>
      <c r="B6614" s="3">
        <v>1066</v>
      </c>
      <c r="C6614" s="1" t="str">
        <f>HYPERLINK("http://www.uniprot.org/uniprot/RCA1_LARTR","RCA1_LARTR")</f>
        <v>RCA1_LARTR</v>
      </c>
      <c r="D6614" t="s">
        <v>5392</v>
      </c>
      <c r="E6614" s="3" t="s">
        <v>5393</v>
      </c>
      <c r="F6614" s="4">
        <v>2.0599999999999999E-131</v>
      </c>
      <c r="G6614" s="3">
        <v>1004</v>
      </c>
      <c r="H6614" s="3">
        <v>72</v>
      </c>
      <c r="I6614" s="3">
        <v>269</v>
      </c>
      <c r="J6614" s="3">
        <v>2</v>
      </c>
      <c r="K6614" s="3">
        <v>805</v>
      </c>
      <c r="L6614" s="3">
        <v>247</v>
      </c>
      <c r="M6614" s="3">
        <v>476</v>
      </c>
    </row>
    <row r="6615" spans="1:13" x14ac:dyDescent="0.25">
      <c r="A6615" s="1" t="str">
        <f>HYPERLINK("http://www.rosaceae.org/Prunus/Prunus_persica/p.persica_gdr_reftransV1_0003477","p.persica_gdr_reftransV1_0003477")</f>
        <v>p.persica_gdr_reftransV1_0003477</v>
      </c>
      <c r="B6615" s="3">
        <v>2431</v>
      </c>
      <c r="C6615" s="1" t="str">
        <f>HYPERLINK("http://www.uniprot.org/uniprot/RF2B_ORYSJ","RF2B_ORYSJ")</f>
        <v>RF2B_ORYSJ</v>
      </c>
      <c r="D6615" t="s">
        <v>2975</v>
      </c>
      <c r="E6615" s="3" t="s">
        <v>38</v>
      </c>
      <c r="F6615" s="4">
        <v>7.7900000000000001E-44</v>
      </c>
      <c r="G6615" s="3">
        <v>419</v>
      </c>
      <c r="H6615" s="3">
        <v>64</v>
      </c>
      <c r="I6615" s="3">
        <v>142</v>
      </c>
      <c r="J6615" s="3">
        <v>1503</v>
      </c>
      <c r="K6615" s="3">
        <v>1919</v>
      </c>
      <c r="L6615" s="3">
        <v>90</v>
      </c>
      <c r="M6615" s="3">
        <v>230</v>
      </c>
    </row>
    <row r="6616" spans="1:13" x14ac:dyDescent="0.25">
      <c r="A6616" s="1" t="str">
        <f>HYPERLINK("http://www.rosaceae.org/Prunus/Prunus_persica/p.persica_gdr_reftransV1_0003527","p.persica_gdr_reftransV1_0003527")</f>
        <v>p.persica_gdr_reftransV1_0003527</v>
      </c>
      <c r="B6616" s="3">
        <v>1742</v>
      </c>
      <c r="C6616" s="1" t="str">
        <f>HYPERLINK("http://www.uniprot.org/uniprot/BPOC_MYCTU","BPOC_MYCTU")</f>
        <v>BPOC_MYCTU</v>
      </c>
      <c r="D6616" t="s">
        <v>5394</v>
      </c>
      <c r="E6616" s="3" t="s">
        <v>1596</v>
      </c>
      <c r="F6616" s="4">
        <v>2.9700000000000002E-14</v>
      </c>
      <c r="G6616" s="3">
        <v>188</v>
      </c>
      <c r="H6616" s="3">
        <v>30</v>
      </c>
      <c r="I6616" s="3">
        <v>250</v>
      </c>
      <c r="J6616" s="3">
        <v>685</v>
      </c>
      <c r="K6616" s="3">
        <v>1416</v>
      </c>
      <c r="L6616" s="3">
        <v>35</v>
      </c>
      <c r="M6616" s="3">
        <v>262</v>
      </c>
    </row>
    <row r="6617" spans="1:13" x14ac:dyDescent="0.25">
      <c r="A6617" s="1" t="str">
        <f>HYPERLINK("http://www.rosaceae.org/Prunus/Prunus_persica/p.persica_gdr_reftransV1_0003627","p.persica_gdr_reftransV1_0003627")</f>
        <v>p.persica_gdr_reftransV1_0003627</v>
      </c>
      <c r="B6617" s="3">
        <v>876</v>
      </c>
      <c r="C6617" s="1" t="str">
        <f>HYPERLINK("http://www.uniprot.org/uniprot/SMG1_DROME","SMG1_DROME")</f>
        <v>SMG1_DROME</v>
      </c>
      <c r="D6617" t="s">
        <v>5395</v>
      </c>
      <c r="E6617" s="3" t="s">
        <v>5</v>
      </c>
      <c r="F6617" s="4">
        <v>1.2699999999999999E-13</v>
      </c>
      <c r="G6617" s="3">
        <v>182</v>
      </c>
      <c r="H6617" s="3">
        <v>37</v>
      </c>
      <c r="I6617" s="3">
        <v>117</v>
      </c>
      <c r="J6617" s="3">
        <v>485</v>
      </c>
      <c r="K6617" s="3">
        <v>823</v>
      </c>
      <c r="L6617" s="3">
        <v>853</v>
      </c>
      <c r="M6617" s="3">
        <v>969</v>
      </c>
    </row>
    <row r="6618" spans="1:13" x14ac:dyDescent="0.25">
      <c r="A6618" s="1" t="str">
        <f>HYPERLINK("http://www.rosaceae.org/Prunus/Prunus_persica/p.persica_gdr_reftransV1_0003727","p.persica_gdr_reftransV1_0003727")</f>
        <v>p.persica_gdr_reftransV1_0003727</v>
      </c>
      <c r="B6618" s="3">
        <v>2032</v>
      </c>
      <c r="C6618" s="1" t="str">
        <f>HYPERLINK("http://www.uniprot.org/uniprot/STT7_ARATH","STT7_ARATH")</f>
        <v>STT7_ARATH</v>
      </c>
      <c r="D6618" t="s">
        <v>1035</v>
      </c>
      <c r="E6618" s="3" t="s">
        <v>3</v>
      </c>
      <c r="F6618" s="4">
        <v>0</v>
      </c>
      <c r="G6618" s="3">
        <v>1212</v>
      </c>
      <c r="H6618" s="3">
        <v>87</v>
      </c>
      <c r="I6618" s="3">
        <v>276</v>
      </c>
      <c r="J6618" s="3">
        <v>765</v>
      </c>
      <c r="K6618" s="3">
        <v>1592</v>
      </c>
      <c r="L6618" s="3">
        <v>234</v>
      </c>
      <c r="M6618" s="3">
        <v>509</v>
      </c>
    </row>
    <row r="6619" spans="1:13" x14ac:dyDescent="0.25">
      <c r="A6619" s="1" t="str">
        <f>HYPERLINK("http://www.rosaceae.org/Prunus/Prunus_persica/p.persica_gdr_reftransV1_0003827","p.persica_gdr_reftransV1_0003827")</f>
        <v>p.persica_gdr_reftransV1_0003827</v>
      </c>
      <c r="B6619" s="3">
        <v>1291</v>
      </c>
      <c r="C6619" s="1" t="str">
        <f>HYPERLINK("http://www.uniprot.org/uniprot/QORH_ARATH","QORH_ARATH")</f>
        <v>QORH_ARATH</v>
      </c>
      <c r="D6619" t="s">
        <v>1938</v>
      </c>
      <c r="E6619" s="3" t="s">
        <v>3</v>
      </c>
      <c r="F6619" s="4">
        <v>5.7900000000000004E-175</v>
      </c>
      <c r="G6619" s="3">
        <v>1286</v>
      </c>
      <c r="H6619" s="3">
        <v>78</v>
      </c>
      <c r="I6619" s="3">
        <v>329</v>
      </c>
      <c r="J6619" s="3">
        <v>212</v>
      </c>
      <c r="K6619" s="3">
        <v>1198</v>
      </c>
      <c r="L6619" s="3">
        <v>1</v>
      </c>
      <c r="M6619" s="3">
        <v>329</v>
      </c>
    </row>
    <row r="6620" spans="1:13" x14ac:dyDescent="0.25">
      <c r="A6620" s="1" t="str">
        <f>HYPERLINK("http://www.rosaceae.org/Prunus/Prunus_persica/p.persica_gdr_reftransV1_0003977","p.persica_gdr_reftransV1_0003977")</f>
        <v>p.persica_gdr_reftransV1_0003977</v>
      </c>
      <c r="B6620" s="3">
        <v>427</v>
      </c>
      <c r="C6620" s="1" t="str">
        <f>HYPERLINK("http://www.uniprot.org/uniprot/PME7_ARATH","PME7_ARATH")</f>
        <v>PME7_ARATH</v>
      </c>
      <c r="D6620" t="s">
        <v>5396</v>
      </c>
      <c r="E6620" s="3" t="s">
        <v>3</v>
      </c>
      <c r="F6620" s="4">
        <v>6.5200000000000001E-23</v>
      </c>
      <c r="G6620" s="3">
        <v>243</v>
      </c>
      <c r="H6620" s="3">
        <v>46</v>
      </c>
      <c r="I6620" s="3">
        <v>109</v>
      </c>
      <c r="J6620" s="3">
        <v>2</v>
      </c>
      <c r="K6620" s="3">
        <v>325</v>
      </c>
      <c r="L6620" s="3">
        <v>5</v>
      </c>
      <c r="M6620" s="3">
        <v>113</v>
      </c>
    </row>
    <row r="6621" spans="1:13" x14ac:dyDescent="0.25">
      <c r="A6621" s="1" t="str">
        <f>HYPERLINK("http://www.rosaceae.org/Prunus/Prunus_persica/p.persica_gdr_reftransV1_0004027","p.persica_gdr_reftransV1_0004027")</f>
        <v>p.persica_gdr_reftransV1_0004027</v>
      </c>
      <c r="B6621" s="3">
        <v>506</v>
      </c>
      <c r="C6621" s="1" t="str">
        <f>HYPERLINK("http://www.uniprot.org/uniprot/WAXS1_SIMCH","WAXS1_SIMCH")</f>
        <v>WAXS1_SIMCH</v>
      </c>
      <c r="D6621" t="s">
        <v>5397</v>
      </c>
      <c r="E6621" s="3" t="s">
        <v>5398</v>
      </c>
      <c r="F6621" s="4">
        <v>1.34E-30</v>
      </c>
      <c r="G6621" s="3">
        <v>296</v>
      </c>
      <c r="H6621" s="3">
        <v>58</v>
      </c>
      <c r="I6621" s="3">
        <v>97</v>
      </c>
      <c r="J6621" s="3">
        <v>129</v>
      </c>
      <c r="K6621" s="3">
        <v>419</v>
      </c>
      <c r="L6621" s="3">
        <v>250</v>
      </c>
      <c r="M6621" s="3">
        <v>346</v>
      </c>
    </row>
    <row r="6622" spans="1:13" x14ac:dyDescent="0.25">
      <c r="A6622" s="1" t="str">
        <f>HYPERLINK("http://www.rosaceae.org/Prunus/Prunus_persica/p.persica_gdr_reftransV1_0004227","p.persica_gdr_reftransV1_0004227")</f>
        <v>p.persica_gdr_reftransV1_0004227</v>
      </c>
      <c r="B6622" s="3">
        <v>1421</v>
      </c>
      <c r="C6622" s="1" t="str">
        <f>HYPERLINK("http://www.uniprot.org/uniprot/YCF4_PLAOC","YCF4_PLAOC")</f>
        <v>YCF4_PLAOC</v>
      </c>
      <c r="D6622" t="s">
        <v>5399</v>
      </c>
      <c r="E6622" s="3" t="s">
        <v>5400</v>
      </c>
      <c r="F6622" s="4">
        <v>5.4199999999999998E-105</v>
      </c>
      <c r="G6622" s="3">
        <v>812</v>
      </c>
      <c r="H6622" s="3">
        <v>94</v>
      </c>
      <c r="I6622" s="3">
        <v>184</v>
      </c>
      <c r="J6622" s="3">
        <v>195</v>
      </c>
      <c r="K6622" s="3">
        <v>746</v>
      </c>
      <c r="L6622" s="3">
        <v>1</v>
      </c>
      <c r="M6622" s="3">
        <v>184</v>
      </c>
    </row>
    <row r="6623" spans="1:13" x14ac:dyDescent="0.25">
      <c r="A6623" s="1" t="str">
        <f>HYPERLINK("http://www.rosaceae.org/Prunus/Prunus_persica/p.persica_gdr_reftransV1_0004277","p.persica_gdr_reftransV1_0004277")</f>
        <v>p.persica_gdr_reftransV1_0004277</v>
      </c>
      <c r="B6623" s="3">
        <v>1830</v>
      </c>
      <c r="C6623" s="1" t="str">
        <f>HYPERLINK("http://www.uniprot.org/uniprot/Y1049_ARATH","Y1049_ARATH")</f>
        <v>Y1049_ARATH</v>
      </c>
      <c r="D6623" t="s">
        <v>5282</v>
      </c>
      <c r="E6623" s="3" t="s">
        <v>3</v>
      </c>
      <c r="F6623" s="4">
        <v>7.3500000000000004E-167</v>
      </c>
      <c r="G6623" s="3">
        <v>1266</v>
      </c>
      <c r="H6623" s="3">
        <v>52</v>
      </c>
      <c r="I6623" s="3">
        <v>455</v>
      </c>
      <c r="J6623" s="3">
        <v>233</v>
      </c>
      <c r="K6623" s="3">
        <v>1591</v>
      </c>
      <c r="L6623" s="3">
        <v>28</v>
      </c>
      <c r="M6623" s="3">
        <v>482</v>
      </c>
    </row>
    <row r="6624" spans="1:13" x14ac:dyDescent="0.25">
      <c r="A6624" s="1" t="str">
        <f>HYPERLINK("http://www.rosaceae.org/Prunus/Prunus_persica/p.persica_gdr_reftransV1_0004327","p.persica_gdr_reftransV1_0004327")</f>
        <v>p.persica_gdr_reftransV1_0004327</v>
      </c>
      <c r="B6624" s="3">
        <v>1754</v>
      </c>
      <c r="C6624" s="1" t="str">
        <f>HYPERLINK("http://www.uniprot.org/uniprot/CHD3_DROME","CHD3_DROME")</f>
        <v>CHD3_DROME</v>
      </c>
      <c r="D6624" t="s">
        <v>5401</v>
      </c>
      <c r="E6624" s="3" t="s">
        <v>5</v>
      </c>
      <c r="F6624" s="4">
        <v>5.5800000000000004E-19</v>
      </c>
      <c r="G6624" s="3">
        <v>235</v>
      </c>
      <c r="H6624" s="3">
        <v>29</v>
      </c>
      <c r="I6624" s="3">
        <v>238</v>
      </c>
      <c r="J6624" s="3">
        <v>58</v>
      </c>
      <c r="K6624" s="3">
        <v>708</v>
      </c>
      <c r="L6624" s="3">
        <v>26</v>
      </c>
      <c r="M6624" s="3">
        <v>236</v>
      </c>
    </row>
    <row r="6625" spans="1:13" x14ac:dyDescent="0.25">
      <c r="A6625" s="1" t="str">
        <f>HYPERLINK("http://www.rosaceae.org/Prunus/Prunus_persica/p.persica_gdr_reftransV1_0004377","p.persica_gdr_reftransV1_0004377")</f>
        <v>p.persica_gdr_reftransV1_0004377</v>
      </c>
      <c r="B6625" s="3">
        <v>3537</v>
      </c>
      <c r="C6625" s="1" t="str">
        <f>HYPERLINK("http://www.uniprot.org/uniprot/ADCS_SOLLC","ADCS_SOLLC")</f>
        <v>ADCS_SOLLC</v>
      </c>
      <c r="D6625" t="s">
        <v>5402</v>
      </c>
      <c r="E6625" s="3" t="s">
        <v>64</v>
      </c>
      <c r="F6625" s="4">
        <v>0</v>
      </c>
      <c r="G6625" s="3">
        <v>2895</v>
      </c>
      <c r="H6625" s="3">
        <v>66</v>
      </c>
      <c r="I6625" s="3">
        <v>864</v>
      </c>
      <c r="J6625" s="3">
        <v>734</v>
      </c>
      <c r="K6625" s="3">
        <v>3325</v>
      </c>
      <c r="L6625" s="3">
        <v>47</v>
      </c>
      <c r="M6625" s="3">
        <v>890</v>
      </c>
    </row>
    <row r="6626" spans="1:13" x14ac:dyDescent="0.25">
      <c r="A6626" s="1" t="str">
        <f>HYPERLINK("http://www.rosaceae.org/Prunus/Prunus_persica/p.persica_gdr_reftransV1_0004427","p.persica_gdr_reftransV1_0004427")</f>
        <v>p.persica_gdr_reftransV1_0004427</v>
      </c>
      <c r="B6626" s="3">
        <v>847</v>
      </c>
      <c r="C6626" s="1" t="str">
        <f>HYPERLINK("http://www.uniprot.org/uniprot/YIPL_SOLTU","YIPL_SOLTU")</f>
        <v>YIPL_SOLTU</v>
      </c>
      <c r="D6626" t="s">
        <v>5403</v>
      </c>
      <c r="E6626" s="3" t="s">
        <v>11</v>
      </c>
      <c r="F6626" s="4">
        <v>2.2699999999999999E-50</v>
      </c>
      <c r="G6626" s="3">
        <v>426</v>
      </c>
      <c r="H6626" s="3">
        <v>69</v>
      </c>
      <c r="I6626" s="3">
        <v>130</v>
      </c>
      <c r="J6626" s="3">
        <v>72</v>
      </c>
      <c r="K6626" s="3">
        <v>461</v>
      </c>
      <c r="L6626" s="3">
        <v>1</v>
      </c>
      <c r="M6626" s="3">
        <v>102</v>
      </c>
    </row>
    <row r="6627" spans="1:13" x14ac:dyDescent="0.25">
      <c r="A6627" s="1" t="str">
        <f>HYPERLINK("http://www.rosaceae.org/Prunus/Prunus_persica/p.persica_gdr_reftransV1_0004527","p.persica_gdr_reftransV1_0004527")</f>
        <v>p.persica_gdr_reftransV1_0004527</v>
      </c>
      <c r="B6627" s="3">
        <v>1761</v>
      </c>
      <c r="C6627" s="1" t="str">
        <f>HYPERLINK("http://www.uniprot.org/uniprot/CLPR3_ARATH","CLPR3_ARATH")</f>
        <v>CLPR3_ARATH</v>
      </c>
      <c r="D6627" t="s">
        <v>5404</v>
      </c>
      <c r="E6627" s="3" t="s">
        <v>3</v>
      </c>
      <c r="F6627" s="4">
        <v>4.1199999999999999E-167</v>
      </c>
      <c r="G6627" s="3">
        <v>1250</v>
      </c>
      <c r="H6627" s="3">
        <v>85</v>
      </c>
      <c r="I6627" s="3">
        <v>270</v>
      </c>
      <c r="J6627" s="3">
        <v>330</v>
      </c>
      <c r="K6627" s="3">
        <v>1139</v>
      </c>
      <c r="L6627" s="3">
        <v>61</v>
      </c>
      <c r="M6627" s="3">
        <v>329</v>
      </c>
    </row>
    <row r="6628" spans="1:13" x14ac:dyDescent="0.25">
      <c r="A6628" s="1" t="str">
        <f>HYPERLINK("http://www.rosaceae.org/Prunus/Prunus_persica/p.persica_gdr_reftransV1_0004577","p.persica_gdr_reftransV1_0004577")</f>
        <v>p.persica_gdr_reftransV1_0004577</v>
      </c>
      <c r="B6628" s="3">
        <v>1940</v>
      </c>
      <c r="C6628" s="1" t="str">
        <f>HYPERLINK("http://www.uniprot.org/uniprot/BRAP_HUMAN","BRAP_HUMAN")</f>
        <v>BRAP_HUMAN</v>
      </c>
      <c r="D6628" t="s">
        <v>5405</v>
      </c>
      <c r="E6628" s="3" t="s">
        <v>28</v>
      </c>
      <c r="F6628" s="4">
        <v>1.8899999999999999E-73</v>
      </c>
      <c r="G6628" s="3">
        <v>647</v>
      </c>
      <c r="H6628" s="3">
        <v>33</v>
      </c>
      <c r="I6628" s="3">
        <v>432</v>
      </c>
      <c r="J6628" s="3">
        <v>269</v>
      </c>
      <c r="K6628" s="3">
        <v>1489</v>
      </c>
      <c r="L6628" s="3">
        <v>140</v>
      </c>
      <c r="M6628" s="3">
        <v>549</v>
      </c>
    </row>
    <row r="6629" spans="1:13" x14ac:dyDescent="0.25">
      <c r="A6629" s="1" t="str">
        <f>HYPERLINK("http://www.rosaceae.org/Prunus/Prunus_persica/p.persica_gdr_reftransV1_0004677","p.persica_gdr_reftransV1_0004677")</f>
        <v>p.persica_gdr_reftransV1_0004677</v>
      </c>
      <c r="B6629" s="3">
        <v>3286</v>
      </c>
      <c r="C6629" s="1" t="str">
        <f>HYPERLINK("http://www.uniprot.org/uniprot/DCP1B_PONAB","DCP1B_PONAB")</f>
        <v>DCP1B_PONAB</v>
      </c>
      <c r="D6629" t="s">
        <v>5406</v>
      </c>
      <c r="E6629" s="3" t="s">
        <v>176</v>
      </c>
      <c r="F6629" s="4">
        <v>2.98E-27</v>
      </c>
      <c r="G6629" s="3">
        <v>305</v>
      </c>
      <c r="H6629" s="3">
        <v>40</v>
      </c>
      <c r="I6629" s="3">
        <v>134</v>
      </c>
      <c r="J6629" s="3">
        <v>1937</v>
      </c>
      <c r="K6629" s="3">
        <v>2338</v>
      </c>
      <c r="L6629" s="3">
        <v>16</v>
      </c>
      <c r="M6629" s="3">
        <v>138</v>
      </c>
    </row>
    <row r="6630" spans="1:13" x14ac:dyDescent="0.25">
      <c r="A6630" s="1" t="str">
        <f>HYPERLINK("http://www.rosaceae.org/Prunus/Prunus_persica/p.persica_gdr_reftransV1_0004727","p.persica_gdr_reftransV1_0004727")</f>
        <v>p.persica_gdr_reftransV1_0004727</v>
      </c>
      <c r="B6630" s="3">
        <v>1513</v>
      </c>
      <c r="C6630" s="1" t="str">
        <f>HYPERLINK("http://www.uniprot.org/uniprot/CHUP1_ARATH","CHUP1_ARATH")</f>
        <v>CHUP1_ARATH</v>
      </c>
      <c r="D6630" t="s">
        <v>3256</v>
      </c>
      <c r="E6630" s="3" t="s">
        <v>3</v>
      </c>
      <c r="F6630" s="4">
        <v>1.18E-74</v>
      </c>
      <c r="G6630" s="3">
        <v>662</v>
      </c>
      <c r="H6630" s="3">
        <v>51</v>
      </c>
      <c r="I6630" s="3">
        <v>263</v>
      </c>
      <c r="J6630" s="3">
        <v>546</v>
      </c>
      <c r="K6630" s="3">
        <v>1313</v>
      </c>
      <c r="L6630" s="3">
        <v>718</v>
      </c>
      <c r="M6630" s="3">
        <v>979</v>
      </c>
    </row>
    <row r="6631" spans="1:13" x14ac:dyDescent="0.25">
      <c r="A6631" s="1" t="str">
        <f>HYPERLINK("http://www.rosaceae.org/Prunus/Prunus_persica/p.persica_gdr_reftransV1_0004777","p.persica_gdr_reftransV1_0004777")</f>
        <v>p.persica_gdr_reftransV1_0004777</v>
      </c>
      <c r="B6631" s="3">
        <v>2788</v>
      </c>
      <c r="C6631" s="1" t="str">
        <f>HYPERLINK("http://www.uniprot.org/uniprot/VIP5_ARATH","VIP5_ARATH")</f>
        <v>VIP5_ARATH</v>
      </c>
      <c r="D6631" t="s">
        <v>5407</v>
      </c>
      <c r="E6631" s="3" t="s">
        <v>3</v>
      </c>
      <c r="F6631" s="4">
        <v>0</v>
      </c>
      <c r="G6631" s="3">
        <v>1761</v>
      </c>
      <c r="H6631" s="3">
        <v>66</v>
      </c>
      <c r="I6631" s="3">
        <v>658</v>
      </c>
      <c r="J6631" s="3">
        <v>165</v>
      </c>
      <c r="K6631" s="3">
        <v>2132</v>
      </c>
      <c r="L6631" s="3">
        <v>1</v>
      </c>
      <c r="M6631" s="3">
        <v>643</v>
      </c>
    </row>
    <row r="6632" spans="1:13" x14ac:dyDescent="0.25">
      <c r="A6632" s="1" t="str">
        <f>HYPERLINK("http://www.rosaceae.org/Prunus/Prunus_persica/p.persica_gdr_reftransV1_0004927","p.persica_gdr_reftransV1_0004927")</f>
        <v>p.persica_gdr_reftransV1_0004927</v>
      </c>
      <c r="B6632" s="3">
        <v>1598</v>
      </c>
      <c r="C6632" s="1" t="str">
        <f>HYPERLINK("http://www.uniprot.org/uniprot/DHSO_ARATH","DHSO_ARATH")</f>
        <v>DHSO_ARATH</v>
      </c>
      <c r="D6632" t="s">
        <v>5408</v>
      </c>
      <c r="E6632" s="3" t="s">
        <v>3</v>
      </c>
      <c r="F6632" s="4">
        <v>0</v>
      </c>
      <c r="G6632" s="3">
        <v>1584</v>
      </c>
      <c r="H6632" s="3">
        <v>82</v>
      </c>
      <c r="I6632" s="3">
        <v>353</v>
      </c>
      <c r="J6632" s="3">
        <v>336</v>
      </c>
      <c r="K6632" s="3">
        <v>1394</v>
      </c>
      <c r="L6632" s="3">
        <v>12</v>
      </c>
      <c r="M6632" s="3">
        <v>364</v>
      </c>
    </row>
    <row r="6633" spans="1:13" x14ac:dyDescent="0.25">
      <c r="A6633" s="1" t="str">
        <f>HYPERLINK("http://www.rosaceae.org/Prunus/Prunus_persica/p.persica_gdr_reftransV1_0005027","p.persica_gdr_reftransV1_0005027")</f>
        <v>p.persica_gdr_reftransV1_0005027</v>
      </c>
      <c r="B6633" s="3">
        <v>754</v>
      </c>
      <c r="C6633" s="1" t="str">
        <f>HYPERLINK("http://www.uniprot.org/uniprot/ACPM1_ARATH","ACPM1_ARATH")</f>
        <v>ACPM1_ARATH</v>
      </c>
      <c r="D6633" t="s">
        <v>5409</v>
      </c>
      <c r="E6633" s="3" t="s">
        <v>3</v>
      </c>
      <c r="F6633" s="4">
        <v>1.29E-52</v>
      </c>
      <c r="G6633" s="3">
        <v>438</v>
      </c>
      <c r="H6633" s="3">
        <v>69</v>
      </c>
      <c r="I6633" s="3">
        <v>126</v>
      </c>
      <c r="J6633" s="3">
        <v>299</v>
      </c>
      <c r="K6633" s="3">
        <v>673</v>
      </c>
      <c r="L6633" s="3">
        <v>1</v>
      </c>
      <c r="M6633" s="3">
        <v>122</v>
      </c>
    </row>
    <row r="6634" spans="1:13" x14ac:dyDescent="0.25">
      <c r="A6634" s="1" t="str">
        <f>HYPERLINK("http://www.rosaceae.org/Prunus/Prunus_persica/p.persica_gdr_reftransV1_0005077","p.persica_gdr_reftransV1_0005077")</f>
        <v>p.persica_gdr_reftransV1_0005077</v>
      </c>
      <c r="B6634" s="3">
        <v>1354</v>
      </c>
      <c r="C6634" s="1" t="str">
        <f>HYPERLINK("http://www.uniprot.org/uniprot/SLX1_MOUSE","SLX1_MOUSE")</f>
        <v>SLX1_MOUSE</v>
      </c>
      <c r="D6634" t="s">
        <v>5410</v>
      </c>
      <c r="E6634" s="3" t="s">
        <v>157</v>
      </c>
      <c r="F6634" s="4">
        <v>7.3400000000000005E-35</v>
      </c>
      <c r="G6634" s="3">
        <v>340</v>
      </c>
      <c r="H6634" s="3">
        <v>42</v>
      </c>
      <c r="I6634" s="3">
        <v>149</v>
      </c>
      <c r="J6634" s="3">
        <v>142</v>
      </c>
      <c r="K6634" s="3">
        <v>585</v>
      </c>
      <c r="L6634" s="3">
        <v>2</v>
      </c>
      <c r="M6634" s="3">
        <v>148</v>
      </c>
    </row>
    <row r="6635" spans="1:13" x14ac:dyDescent="0.25">
      <c r="A6635" s="1" t="str">
        <f>HYPERLINK("http://www.rosaceae.org/Prunus/Prunus_persica/p.persica_gdr_reftransV1_0005127","p.persica_gdr_reftransV1_0005127")</f>
        <v>p.persica_gdr_reftransV1_0005127</v>
      </c>
      <c r="B6635" s="3">
        <v>2043</v>
      </c>
      <c r="C6635" s="1" t="str">
        <f>HYPERLINK("http://www.uniprot.org/uniprot/GGT2_ARATH","GGT2_ARATH")</f>
        <v>GGT2_ARATH</v>
      </c>
      <c r="D6635" t="s">
        <v>1224</v>
      </c>
      <c r="E6635" s="3" t="s">
        <v>3</v>
      </c>
      <c r="F6635" s="4">
        <v>0</v>
      </c>
      <c r="G6635" s="3">
        <v>2317</v>
      </c>
      <c r="H6635" s="3">
        <v>88</v>
      </c>
      <c r="I6635" s="3">
        <v>481</v>
      </c>
      <c r="J6635" s="3">
        <v>316</v>
      </c>
      <c r="K6635" s="3">
        <v>1758</v>
      </c>
      <c r="L6635" s="3">
        <v>1</v>
      </c>
      <c r="M6635" s="3">
        <v>481</v>
      </c>
    </row>
    <row r="6636" spans="1:13" x14ac:dyDescent="0.25">
      <c r="A6636" s="1" t="str">
        <f>HYPERLINK("http://www.rosaceae.org/Prunus/Prunus_persica/p.persica_gdr_reftransV1_0005277","p.persica_gdr_reftransV1_0005277")</f>
        <v>p.persica_gdr_reftransV1_0005277</v>
      </c>
      <c r="B6636" s="3">
        <v>1277</v>
      </c>
      <c r="C6636" s="1" t="str">
        <f>HYPERLINK("http://www.uniprot.org/uniprot/IMP3_SOLLC","IMP3_SOLLC")</f>
        <v>IMP3_SOLLC</v>
      </c>
      <c r="D6636" t="s">
        <v>2834</v>
      </c>
      <c r="E6636" s="3" t="s">
        <v>64</v>
      </c>
      <c r="F6636" s="4">
        <v>4.5799999999999998E-131</v>
      </c>
      <c r="G6636" s="3">
        <v>989</v>
      </c>
      <c r="H6636" s="3">
        <v>84</v>
      </c>
      <c r="I6636" s="3">
        <v>220</v>
      </c>
      <c r="J6636" s="3">
        <v>122</v>
      </c>
      <c r="K6636" s="3">
        <v>781</v>
      </c>
      <c r="L6636" s="3">
        <v>1</v>
      </c>
      <c r="M6636" s="3">
        <v>220</v>
      </c>
    </row>
    <row r="6637" spans="1:13" x14ac:dyDescent="0.25">
      <c r="A6637" s="1" t="str">
        <f>HYPERLINK("http://www.rosaceae.org/Prunus/Prunus_persica/p.persica_gdr_reftransV1_0005327","p.persica_gdr_reftransV1_0005327")</f>
        <v>p.persica_gdr_reftransV1_0005327</v>
      </c>
      <c r="B6637" s="3">
        <v>409</v>
      </c>
      <c r="C6637" s="1" t="str">
        <f>HYPERLINK("http://www.uniprot.org/uniprot/R13L1_ARATH","R13L1_ARATH")</f>
        <v>R13L1_ARATH</v>
      </c>
      <c r="D6637" t="s">
        <v>100</v>
      </c>
      <c r="E6637" s="3" t="s">
        <v>3</v>
      </c>
      <c r="F6637" s="4">
        <v>3.07E-33</v>
      </c>
      <c r="G6637" s="3">
        <v>322</v>
      </c>
      <c r="H6637" s="3">
        <v>53</v>
      </c>
      <c r="I6637" s="3">
        <v>138</v>
      </c>
      <c r="J6637" s="3">
        <v>2</v>
      </c>
      <c r="K6637" s="3">
        <v>409</v>
      </c>
      <c r="L6637" s="3">
        <v>214</v>
      </c>
      <c r="M6637" s="3">
        <v>351</v>
      </c>
    </row>
    <row r="6638" spans="1:13" x14ac:dyDescent="0.25">
      <c r="A6638" s="1" t="str">
        <f>HYPERLINK("http://www.rosaceae.org/Prunus/Prunus_persica/p.persica_gdr_reftransV1_0005477","p.persica_gdr_reftransV1_0005477")</f>
        <v>p.persica_gdr_reftransV1_0005477</v>
      </c>
      <c r="B6638" s="3">
        <v>1497</v>
      </c>
      <c r="C6638" s="1" t="str">
        <f>HYPERLINK("http://www.uniprot.org/uniprot/LPXC5_ARATH","LPXC5_ARATH")</f>
        <v>LPXC5_ARATH</v>
      </c>
      <c r="D6638" t="s">
        <v>5411</v>
      </c>
      <c r="E6638" s="3" t="s">
        <v>3</v>
      </c>
      <c r="F6638" s="4">
        <v>6.2200000000000005E-135</v>
      </c>
      <c r="G6638" s="3">
        <v>1028</v>
      </c>
      <c r="H6638" s="3">
        <v>67</v>
      </c>
      <c r="I6638" s="3">
        <v>290</v>
      </c>
      <c r="J6638" s="3">
        <v>354</v>
      </c>
      <c r="K6638" s="3">
        <v>1223</v>
      </c>
      <c r="L6638" s="3">
        <v>35</v>
      </c>
      <c r="M6638" s="3">
        <v>324</v>
      </c>
    </row>
    <row r="6639" spans="1:13" x14ac:dyDescent="0.25">
      <c r="A6639" s="1" t="str">
        <f>HYPERLINK("http://www.rosaceae.org/Prunus/Prunus_persica/p.persica_gdr_reftransV1_0005577","p.persica_gdr_reftransV1_0005577")</f>
        <v>p.persica_gdr_reftransV1_0005577</v>
      </c>
      <c r="B6639" s="3">
        <v>1396</v>
      </c>
      <c r="C6639" s="1" t="str">
        <f>HYPERLINK("http://www.uniprot.org/uniprot/AAE6_ARATH","AAE6_ARATH")</f>
        <v>AAE6_ARATH</v>
      </c>
      <c r="D6639" t="s">
        <v>5412</v>
      </c>
      <c r="E6639" s="3" t="s">
        <v>3</v>
      </c>
      <c r="F6639" s="4">
        <v>0</v>
      </c>
      <c r="G6639" s="3">
        <v>1490</v>
      </c>
      <c r="H6639" s="3">
        <v>64</v>
      </c>
      <c r="I6639" s="3">
        <v>460</v>
      </c>
      <c r="J6639" s="3">
        <v>20</v>
      </c>
      <c r="K6639" s="3">
        <v>1396</v>
      </c>
      <c r="L6639" s="3">
        <v>1</v>
      </c>
      <c r="M6639" s="3">
        <v>454</v>
      </c>
    </row>
    <row r="6640" spans="1:13" x14ac:dyDescent="0.25">
      <c r="A6640" s="1" t="str">
        <f>HYPERLINK("http://www.rosaceae.org/Prunus/Prunus_persica/p.persica_gdr_reftransV1_0005677","p.persica_gdr_reftransV1_0005677")</f>
        <v>p.persica_gdr_reftransV1_0005677</v>
      </c>
      <c r="B6640" s="3">
        <v>902</v>
      </c>
      <c r="C6640" s="1" t="str">
        <f>HYPERLINK("http://www.uniprot.org/uniprot/RIBA3_ORYSJ","RIBA3_ORYSJ")</f>
        <v>RIBA3_ORYSJ</v>
      </c>
      <c r="D6640" t="s">
        <v>5413</v>
      </c>
      <c r="E6640" s="3" t="s">
        <v>38</v>
      </c>
      <c r="F6640" s="4">
        <v>1.19E-140</v>
      </c>
      <c r="G6640" s="3">
        <v>1065</v>
      </c>
      <c r="H6640" s="3">
        <v>82</v>
      </c>
      <c r="I6640" s="3">
        <v>237</v>
      </c>
      <c r="J6640" s="3">
        <v>190</v>
      </c>
      <c r="K6640" s="3">
        <v>897</v>
      </c>
      <c r="L6640" s="3">
        <v>287</v>
      </c>
      <c r="M6640" s="3">
        <v>523</v>
      </c>
    </row>
    <row r="6641" spans="1:13" x14ac:dyDescent="0.25">
      <c r="A6641" s="1" t="str">
        <f>HYPERLINK("http://www.rosaceae.org/Prunus/Prunus_persica/p.persica_gdr_reftransV1_0005827","p.persica_gdr_reftransV1_0005827")</f>
        <v>p.persica_gdr_reftransV1_0005827</v>
      </c>
      <c r="B6641" s="3">
        <v>441</v>
      </c>
      <c r="C6641" s="1" t="str">
        <f>HYPERLINK("http://www.uniprot.org/uniprot/R13L3_ARATH","R13L3_ARATH")</f>
        <v>R13L3_ARATH</v>
      </c>
      <c r="D6641" t="s">
        <v>5414</v>
      </c>
      <c r="E6641" s="3" t="s">
        <v>3</v>
      </c>
      <c r="F6641" s="4">
        <v>6.2700000000000001E-10</v>
      </c>
      <c r="G6641" s="3">
        <v>146</v>
      </c>
      <c r="H6641" s="3">
        <v>42</v>
      </c>
      <c r="I6641" s="3">
        <v>66</v>
      </c>
      <c r="J6641" s="3">
        <v>228</v>
      </c>
      <c r="K6641" s="3">
        <v>419</v>
      </c>
      <c r="L6641" s="3">
        <v>162</v>
      </c>
      <c r="M6641" s="3">
        <v>227</v>
      </c>
    </row>
    <row r="6642" spans="1:13" x14ac:dyDescent="0.25">
      <c r="A6642" s="1" t="str">
        <f>HYPERLINK("http://www.rosaceae.org/Prunus/Prunus_persica/p.persica_gdr_reftransV1_0005877","p.persica_gdr_reftransV1_0005877")</f>
        <v>p.persica_gdr_reftransV1_0005877</v>
      </c>
      <c r="B6642" s="3">
        <v>1655</v>
      </c>
      <c r="C6642" s="1" t="str">
        <f>HYPERLINK("http://www.uniprot.org/uniprot/Y4990_ARATH","Y4990_ARATH")</f>
        <v>Y4990_ARATH</v>
      </c>
      <c r="D6642" t="s">
        <v>5415</v>
      </c>
      <c r="E6642" s="3" t="s">
        <v>3</v>
      </c>
      <c r="F6642" s="4">
        <v>7.6500000000000001E-34</v>
      </c>
      <c r="G6642" s="3">
        <v>350</v>
      </c>
      <c r="H6642" s="3">
        <v>31</v>
      </c>
      <c r="I6642" s="3">
        <v>299</v>
      </c>
      <c r="J6642" s="3">
        <v>322</v>
      </c>
      <c r="K6642" s="3">
        <v>1191</v>
      </c>
      <c r="L6642" s="3">
        <v>363</v>
      </c>
      <c r="M6642" s="3">
        <v>643</v>
      </c>
    </row>
    <row r="6643" spans="1:13" x14ac:dyDescent="0.25">
      <c r="A6643" s="1" t="str">
        <f>HYPERLINK("http://www.rosaceae.org/Prunus/Prunus_persica/p.persica_gdr_reftransV1_0005927","p.persica_gdr_reftransV1_0005927")</f>
        <v>p.persica_gdr_reftransV1_0005927</v>
      </c>
      <c r="B6643" s="3">
        <v>507</v>
      </c>
      <c r="C6643" s="1" t="str">
        <f>HYPERLINK("http://www.uniprot.org/uniprot/Y5262_ARATH","Y5262_ARATH")</f>
        <v>Y5262_ARATH</v>
      </c>
      <c r="D6643" t="s">
        <v>399</v>
      </c>
      <c r="E6643" s="3" t="s">
        <v>3</v>
      </c>
      <c r="F6643" s="4">
        <v>3.7300000000000003E-8</v>
      </c>
      <c r="G6643" s="3">
        <v>132</v>
      </c>
      <c r="H6643" s="3">
        <v>30</v>
      </c>
      <c r="I6643" s="3">
        <v>162</v>
      </c>
      <c r="J6643" s="3">
        <v>12</v>
      </c>
      <c r="K6643" s="3">
        <v>476</v>
      </c>
      <c r="L6643" s="3">
        <v>154</v>
      </c>
      <c r="M6643" s="3">
        <v>309</v>
      </c>
    </row>
    <row r="6644" spans="1:13" x14ac:dyDescent="0.25">
      <c r="A6644" s="1" t="str">
        <f>HYPERLINK("http://www.rosaceae.org/Prunus/Prunus_persica/p.persica_gdr_reftransV1_0005977","p.persica_gdr_reftransV1_0005977")</f>
        <v>p.persica_gdr_reftransV1_0005977</v>
      </c>
      <c r="B6644" s="3">
        <v>2609</v>
      </c>
      <c r="C6644" s="1" t="str">
        <f>HYPERLINK("http://www.uniprot.org/uniprot/SBT11_ARATH","SBT11_ARATH")</f>
        <v>SBT11_ARATH</v>
      </c>
      <c r="D6644" t="s">
        <v>5416</v>
      </c>
      <c r="E6644" s="3" t="s">
        <v>3</v>
      </c>
      <c r="F6644" s="4">
        <v>0</v>
      </c>
      <c r="G6644" s="3">
        <v>2092</v>
      </c>
      <c r="H6644" s="3">
        <v>57</v>
      </c>
      <c r="I6644" s="3">
        <v>744</v>
      </c>
      <c r="J6644" s="3">
        <v>104</v>
      </c>
      <c r="K6644" s="3">
        <v>2329</v>
      </c>
      <c r="L6644" s="3">
        <v>40</v>
      </c>
      <c r="M6644" s="3">
        <v>773</v>
      </c>
    </row>
    <row r="6645" spans="1:13" x14ac:dyDescent="0.25">
      <c r="A6645" s="1" t="str">
        <f>HYPERLINK("http://www.rosaceae.org/Prunus/Prunus_persica/p.persica_gdr_reftransV1_0006177","p.persica_gdr_reftransV1_0006177")</f>
        <v>p.persica_gdr_reftransV1_0006177</v>
      </c>
      <c r="B6645" s="3">
        <v>1344</v>
      </c>
      <c r="C6645" s="1" t="str">
        <f>HYPERLINK("http://www.uniprot.org/uniprot/CMBL_HUMAN","CMBL_HUMAN")</f>
        <v>CMBL_HUMAN</v>
      </c>
      <c r="D6645" t="s">
        <v>5417</v>
      </c>
      <c r="E6645" s="3" t="s">
        <v>28</v>
      </c>
      <c r="F6645" s="4">
        <v>3.8899999999999999E-23</v>
      </c>
      <c r="G6645" s="3">
        <v>252</v>
      </c>
      <c r="H6645" s="3">
        <v>29</v>
      </c>
      <c r="I6645" s="3">
        <v>224</v>
      </c>
      <c r="J6645" s="3">
        <v>406</v>
      </c>
      <c r="K6645" s="3">
        <v>1047</v>
      </c>
      <c r="L6645" s="3">
        <v>28</v>
      </c>
      <c r="M6645" s="3">
        <v>242</v>
      </c>
    </row>
    <row r="6646" spans="1:13" x14ac:dyDescent="0.25">
      <c r="A6646" s="1" t="str">
        <f>HYPERLINK("http://www.rosaceae.org/Prunus/Prunus_persica/p.persica_gdr_reftransV1_0006427","p.persica_gdr_reftransV1_0006427")</f>
        <v>p.persica_gdr_reftransV1_0006427</v>
      </c>
      <c r="B6646" s="3">
        <v>784</v>
      </c>
      <c r="C6646" s="1" t="str">
        <f>HYPERLINK("http://www.uniprot.org/uniprot/RKS1_ARATH","RKS1_ARATH")</f>
        <v>RKS1_ARATH</v>
      </c>
      <c r="D6646" t="s">
        <v>3709</v>
      </c>
      <c r="E6646" s="3" t="s">
        <v>3</v>
      </c>
      <c r="F6646" s="4">
        <v>2.9300000000000002E-56</v>
      </c>
      <c r="G6646" s="3">
        <v>501</v>
      </c>
      <c r="H6646" s="3">
        <v>39</v>
      </c>
      <c r="I6646" s="3">
        <v>270</v>
      </c>
      <c r="J6646" s="3">
        <v>20</v>
      </c>
      <c r="K6646" s="3">
        <v>769</v>
      </c>
      <c r="L6646" s="3">
        <v>140</v>
      </c>
      <c r="M6646" s="3">
        <v>405</v>
      </c>
    </row>
    <row r="6647" spans="1:13" x14ac:dyDescent="0.25">
      <c r="A6647" s="1" t="str">
        <f>HYPERLINK("http://www.rosaceae.org/Prunus/Prunus_persica/p.persica_gdr_reftransV1_0006577","p.persica_gdr_reftransV1_0006577")</f>
        <v>p.persica_gdr_reftransV1_0006577</v>
      </c>
      <c r="B6647" s="3">
        <v>1051</v>
      </c>
      <c r="C6647" s="1" t="str">
        <f>HYPERLINK("http://www.uniprot.org/uniprot/SAU32_ARATH","SAU32_ARATH")</f>
        <v>SAU32_ARATH</v>
      </c>
      <c r="D6647" t="s">
        <v>770</v>
      </c>
      <c r="E6647" s="3" t="s">
        <v>3</v>
      </c>
      <c r="F6647" s="4">
        <v>8.6099999999999994E-14</v>
      </c>
      <c r="G6647" s="3">
        <v>174</v>
      </c>
      <c r="H6647" s="3">
        <v>39</v>
      </c>
      <c r="I6647" s="3">
        <v>102</v>
      </c>
      <c r="J6647" s="3">
        <v>170</v>
      </c>
      <c r="K6647" s="3">
        <v>457</v>
      </c>
      <c r="L6647" s="3">
        <v>16</v>
      </c>
      <c r="M6647" s="3">
        <v>115</v>
      </c>
    </row>
    <row r="6648" spans="1:13" x14ac:dyDescent="0.25">
      <c r="A6648" s="1" t="str">
        <f>HYPERLINK("http://www.rosaceae.org/Prunus/Prunus_persica/p.persica_gdr_reftransV1_0006627","p.persica_gdr_reftransV1_0006627")</f>
        <v>p.persica_gdr_reftransV1_0006627</v>
      </c>
      <c r="B6648" s="3">
        <v>491</v>
      </c>
      <c r="C6648" s="1" t="str">
        <f>HYPERLINK("http://www.uniprot.org/uniprot/RPM1_ARATH","RPM1_ARATH")</f>
        <v>RPM1_ARATH</v>
      </c>
      <c r="D6648" t="s">
        <v>453</v>
      </c>
      <c r="E6648" s="3" t="s">
        <v>3</v>
      </c>
      <c r="F6648" s="4">
        <v>5.25E-19</v>
      </c>
      <c r="G6648" s="3">
        <v>218</v>
      </c>
      <c r="H6648" s="3">
        <v>32</v>
      </c>
      <c r="I6648" s="3">
        <v>148</v>
      </c>
      <c r="J6648" s="3">
        <v>13</v>
      </c>
      <c r="K6648" s="3">
        <v>450</v>
      </c>
      <c r="L6648" s="3">
        <v>110</v>
      </c>
      <c r="M6648" s="3">
        <v>257</v>
      </c>
    </row>
    <row r="6649" spans="1:13" x14ac:dyDescent="0.25">
      <c r="A6649" s="1" t="str">
        <f>HYPERLINK("http://www.rosaceae.org/Prunus/Prunus_persica/p.persica_gdr_reftransV1_0006777","p.persica_gdr_reftransV1_0006777")</f>
        <v>p.persica_gdr_reftransV1_0006777</v>
      </c>
      <c r="B6649" s="3">
        <v>806</v>
      </c>
      <c r="C6649" s="1" t="str">
        <f>HYPERLINK("http://www.uniprot.org/uniprot/CHX18_ARATH","CHX18_ARATH")</f>
        <v>CHX18_ARATH</v>
      </c>
      <c r="D6649" t="s">
        <v>543</v>
      </c>
      <c r="E6649" s="3" t="s">
        <v>3</v>
      </c>
      <c r="F6649" s="4">
        <v>6.9299999999999995E-76</v>
      </c>
      <c r="G6649" s="3">
        <v>643</v>
      </c>
      <c r="H6649" s="3">
        <v>80</v>
      </c>
      <c r="I6649" s="3">
        <v>182</v>
      </c>
      <c r="J6649" s="3">
        <v>260</v>
      </c>
      <c r="K6649" s="3">
        <v>805</v>
      </c>
      <c r="L6649" s="3">
        <v>1</v>
      </c>
      <c r="M6649" s="3">
        <v>180</v>
      </c>
    </row>
    <row r="6650" spans="1:13" x14ac:dyDescent="0.25">
      <c r="A6650" s="1" t="str">
        <f>HYPERLINK("http://www.rosaceae.org/Prunus/Prunus_persica/p.persica_gdr_reftransV1_0006877","p.persica_gdr_reftransV1_0006877")</f>
        <v>p.persica_gdr_reftransV1_0006877</v>
      </c>
      <c r="B6650" s="3">
        <v>548</v>
      </c>
      <c r="C6650" s="1" t="str">
        <f>HYPERLINK("http://www.uniprot.org/uniprot/CUCM1_CUCME","CUCM1_CUCME")</f>
        <v>CUCM1_CUCME</v>
      </c>
      <c r="D6650" t="s">
        <v>265</v>
      </c>
      <c r="E6650" s="3" t="s">
        <v>266</v>
      </c>
      <c r="F6650" s="4">
        <v>1.53E-17</v>
      </c>
      <c r="G6650" s="3">
        <v>207</v>
      </c>
      <c r="H6650" s="3">
        <v>38</v>
      </c>
      <c r="I6650" s="3">
        <v>136</v>
      </c>
      <c r="J6650" s="3">
        <v>143</v>
      </c>
      <c r="K6650" s="3">
        <v>547</v>
      </c>
      <c r="L6650" s="3">
        <v>598</v>
      </c>
      <c r="M6650" s="3">
        <v>730</v>
      </c>
    </row>
    <row r="6651" spans="1:13" x14ac:dyDescent="0.25">
      <c r="A6651" s="1" t="str">
        <f>HYPERLINK("http://www.rosaceae.org/Prunus/Prunus_persica/p.persica_gdr_reftransV1_0006927","p.persica_gdr_reftransV1_0006927")</f>
        <v>p.persica_gdr_reftransV1_0006927</v>
      </c>
      <c r="B6651" s="3">
        <v>666</v>
      </c>
      <c r="C6651" s="1" t="str">
        <f>HYPERLINK("http://www.uniprot.org/uniprot/BCH_GENLU","BCH_GENLU")</f>
        <v>BCH_GENLU</v>
      </c>
      <c r="D6651" t="s">
        <v>5418</v>
      </c>
      <c r="E6651" s="3" t="s">
        <v>5419</v>
      </c>
      <c r="F6651" s="4">
        <v>5.7500000000000003E-65</v>
      </c>
      <c r="G6651" s="3">
        <v>534</v>
      </c>
      <c r="H6651" s="3">
        <v>80</v>
      </c>
      <c r="I6651" s="3">
        <v>137</v>
      </c>
      <c r="J6651" s="3">
        <v>41</v>
      </c>
      <c r="K6651" s="3">
        <v>451</v>
      </c>
      <c r="L6651" s="3">
        <v>184</v>
      </c>
      <c r="M6651" s="3">
        <v>320</v>
      </c>
    </row>
    <row r="6652" spans="1:13" x14ac:dyDescent="0.25">
      <c r="A6652" s="1" t="str">
        <f>HYPERLINK("http://www.rosaceae.org/Prunus/Prunus_persica/p.persica_gdr_reftransV1_0007077","p.persica_gdr_reftransV1_0007077")</f>
        <v>p.persica_gdr_reftransV1_0007077</v>
      </c>
      <c r="B6652" s="3">
        <v>584</v>
      </c>
      <c r="C6652" s="1" t="str">
        <f>HYPERLINK("http://www.uniprot.org/uniprot/CAX3_ARATH","CAX3_ARATH")</f>
        <v>CAX3_ARATH</v>
      </c>
      <c r="D6652" t="s">
        <v>1301</v>
      </c>
      <c r="E6652" s="3" t="s">
        <v>3</v>
      </c>
      <c r="F6652" s="4">
        <v>8.1799999999999997E-45</v>
      </c>
      <c r="G6652" s="3">
        <v>403</v>
      </c>
      <c r="H6652" s="3">
        <v>75</v>
      </c>
      <c r="I6652" s="3">
        <v>106</v>
      </c>
      <c r="J6652" s="3">
        <v>265</v>
      </c>
      <c r="K6652" s="3">
        <v>582</v>
      </c>
      <c r="L6652" s="3">
        <v>333</v>
      </c>
      <c r="M6652" s="3">
        <v>438</v>
      </c>
    </row>
    <row r="6653" spans="1:13" x14ac:dyDescent="0.25">
      <c r="A6653" s="1" t="str">
        <f>HYPERLINK("http://www.rosaceae.org/Prunus/Prunus_persica/p.persica_gdr_reftransV1_0007177","p.persica_gdr_reftransV1_0007177")</f>
        <v>p.persica_gdr_reftransV1_0007177</v>
      </c>
      <c r="B6653" s="3">
        <v>3388</v>
      </c>
      <c r="C6653" s="1" t="str">
        <f>HYPERLINK("http://www.uniprot.org/uniprot/UTP21_SCHPO","UTP21_SCHPO")</f>
        <v>UTP21_SCHPO</v>
      </c>
      <c r="D6653" t="s">
        <v>5420</v>
      </c>
      <c r="E6653" s="3" t="s">
        <v>464</v>
      </c>
      <c r="F6653" s="4">
        <v>4.06E-179</v>
      </c>
      <c r="G6653" s="3">
        <v>1431</v>
      </c>
      <c r="H6653" s="3">
        <v>36</v>
      </c>
      <c r="I6653" s="3">
        <v>919</v>
      </c>
      <c r="J6653" s="3">
        <v>536</v>
      </c>
      <c r="K6653" s="3">
        <v>3256</v>
      </c>
      <c r="L6653" s="3">
        <v>5</v>
      </c>
      <c r="M6653" s="3">
        <v>878</v>
      </c>
    </row>
    <row r="6654" spans="1:13" x14ac:dyDescent="0.25">
      <c r="A6654" s="1" t="str">
        <f>HYPERLINK("http://www.rosaceae.org/Prunus/Prunus_persica/p.persica_gdr_reftransV1_0007227","p.persica_gdr_reftransV1_0007227")</f>
        <v>p.persica_gdr_reftransV1_0007227</v>
      </c>
      <c r="B6654" s="3">
        <v>598</v>
      </c>
      <c r="C6654" s="1" t="str">
        <f>HYPERLINK("http://www.uniprot.org/uniprot/LSM6B_ARATH","LSM6B_ARATH")</f>
        <v>LSM6B_ARATH</v>
      </c>
      <c r="D6654" t="s">
        <v>5421</v>
      </c>
      <c r="E6654" s="3" t="s">
        <v>3</v>
      </c>
      <c r="F6654" s="4">
        <v>4.9999999999999998E-45</v>
      </c>
      <c r="G6654" s="3">
        <v>380</v>
      </c>
      <c r="H6654" s="3">
        <v>88</v>
      </c>
      <c r="I6654" s="3">
        <v>91</v>
      </c>
      <c r="J6654" s="3">
        <v>88</v>
      </c>
      <c r="K6654" s="3">
        <v>360</v>
      </c>
      <c r="L6654" s="3">
        <v>1</v>
      </c>
      <c r="M6654" s="3">
        <v>91</v>
      </c>
    </row>
    <row r="6655" spans="1:13" x14ac:dyDescent="0.25">
      <c r="A6655" s="1" t="str">
        <f>HYPERLINK("http://www.rosaceae.org/Prunus/Prunus_persica/p.persica_gdr_reftransV1_0007327","p.persica_gdr_reftransV1_0007327")</f>
        <v>p.persica_gdr_reftransV1_0007327</v>
      </c>
      <c r="B6655" s="3">
        <v>2344</v>
      </c>
      <c r="C6655" s="1" t="str">
        <f>HYPERLINK("http://www.uniprot.org/uniprot/NDOR1_ARATH","NDOR1_ARATH")</f>
        <v>NDOR1_ARATH</v>
      </c>
      <c r="D6655" t="s">
        <v>5422</v>
      </c>
      <c r="E6655" s="3" t="s">
        <v>3</v>
      </c>
      <c r="F6655" s="4">
        <v>0</v>
      </c>
      <c r="G6655" s="3">
        <v>2150</v>
      </c>
      <c r="H6655" s="3">
        <v>68</v>
      </c>
      <c r="I6655" s="3">
        <v>630</v>
      </c>
      <c r="J6655" s="3">
        <v>383</v>
      </c>
      <c r="K6655" s="3">
        <v>2254</v>
      </c>
      <c r="L6655" s="3">
        <v>1</v>
      </c>
      <c r="M6655" s="3">
        <v>623</v>
      </c>
    </row>
    <row r="6656" spans="1:13" x14ac:dyDescent="0.25">
      <c r="A6656" s="1" t="str">
        <f>HYPERLINK("http://www.rosaceae.org/Prunus/Prunus_persica/p.persica_gdr_reftransV1_0007377","p.persica_gdr_reftransV1_0007377")</f>
        <v>p.persica_gdr_reftransV1_0007377</v>
      </c>
      <c r="B6656" s="3">
        <v>1771</v>
      </c>
      <c r="C6656" s="1" t="str">
        <f>HYPERLINK("http://www.uniprot.org/uniprot/Y1917_SYNY3","Y1917_SYNY3")</f>
        <v>Y1917_SYNY3</v>
      </c>
      <c r="D6656" t="s">
        <v>5423</v>
      </c>
      <c r="E6656" s="3" t="s">
        <v>527</v>
      </c>
      <c r="F6656" s="4">
        <v>2.9E-94</v>
      </c>
      <c r="G6656" s="3">
        <v>772</v>
      </c>
      <c r="H6656" s="3">
        <v>38</v>
      </c>
      <c r="I6656" s="3">
        <v>419</v>
      </c>
      <c r="J6656" s="3">
        <v>49</v>
      </c>
      <c r="K6656" s="3">
        <v>1287</v>
      </c>
      <c r="L6656" s="3">
        <v>11</v>
      </c>
      <c r="M6656" s="3">
        <v>408</v>
      </c>
    </row>
    <row r="6657" spans="1:13" x14ac:dyDescent="0.25">
      <c r="A6657" s="1" t="str">
        <f>HYPERLINK("http://www.rosaceae.org/Prunus/Prunus_persica/p.persica_gdr_reftransV1_0007477","p.persica_gdr_reftransV1_0007477")</f>
        <v>p.persica_gdr_reftransV1_0007477</v>
      </c>
      <c r="B6657" s="3">
        <v>1293</v>
      </c>
      <c r="C6657" s="1" t="str">
        <f>HYPERLINK("http://www.uniprot.org/uniprot/C75AK_ARATH","C75AK_ARATH")</f>
        <v>C75AK_ARATH</v>
      </c>
      <c r="D6657" t="s">
        <v>5424</v>
      </c>
      <c r="E6657" s="3" t="s">
        <v>3</v>
      </c>
      <c r="F6657" s="4">
        <v>6.1399999999999997E-115</v>
      </c>
      <c r="G6657" s="3">
        <v>905</v>
      </c>
      <c r="H6657" s="3">
        <v>47</v>
      </c>
      <c r="I6657" s="3">
        <v>392</v>
      </c>
      <c r="J6657" s="3">
        <v>125</v>
      </c>
      <c r="K6657" s="3">
        <v>1291</v>
      </c>
      <c r="L6657" s="3">
        <v>132</v>
      </c>
      <c r="M6657" s="3">
        <v>504</v>
      </c>
    </row>
    <row r="6658" spans="1:13" x14ac:dyDescent="0.25">
      <c r="A6658" s="1" t="str">
        <f>HYPERLINK("http://www.rosaceae.org/Prunus/Prunus_persica/p.persica_gdr_reftransV1_0007627","p.persica_gdr_reftransV1_0007627")</f>
        <v>p.persica_gdr_reftransV1_0007627</v>
      </c>
      <c r="B6658" s="3">
        <v>1026</v>
      </c>
      <c r="C6658" s="1" t="str">
        <f>HYPERLINK("http://www.uniprot.org/uniprot/YLS3_ARATH","YLS3_ARATH")</f>
        <v>YLS3_ARATH</v>
      </c>
      <c r="D6658" t="s">
        <v>1374</v>
      </c>
      <c r="E6658" s="3" t="s">
        <v>3</v>
      </c>
      <c r="F6658" s="4">
        <v>7.8899999999999996E-41</v>
      </c>
      <c r="G6658" s="3">
        <v>372</v>
      </c>
      <c r="H6658" s="3">
        <v>37</v>
      </c>
      <c r="I6658" s="3">
        <v>201</v>
      </c>
      <c r="J6658" s="3">
        <v>200</v>
      </c>
      <c r="K6658" s="3">
        <v>745</v>
      </c>
      <c r="L6658" s="3">
        <v>2</v>
      </c>
      <c r="M6658" s="3">
        <v>202</v>
      </c>
    </row>
    <row r="6659" spans="1:13" x14ac:dyDescent="0.25">
      <c r="A6659" s="1" t="str">
        <f>HYPERLINK("http://www.rosaceae.org/Prunus/Prunus_persica/p.persica_gdr_reftransV1_0007677","p.persica_gdr_reftransV1_0007677")</f>
        <v>p.persica_gdr_reftransV1_0007677</v>
      </c>
      <c r="B6659" s="3">
        <v>4541</v>
      </c>
      <c r="C6659" s="1" t="str">
        <f>HYPERLINK("http://www.uniprot.org/uniprot/PEX1_ARATH","PEX1_ARATH")</f>
        <v>PEX1_ARATH</v>
      </c>
      <c r="D6659" t="s">
        <v>5425</v>
      </c>
      <c r="E6659" s="3" t="s">
        <v>3</v>
      </c>
      <c r="F6659" s="4">
        <v>0</v>
      </c>
      <c r="G6659" s="3">
        <v>2831</v>
      </c>
      <c r="H6659" s="3">
        <v>61</v>
      </c>
      <c r="I6659" s="3">
        <v>995</v>
      </c>
      <c r="J6659" s="3">
        <v>1407</v>
      </c>
      <c r="K6659" s="3">
        <v>4370</v>
      </c>
      <c r="L6659" s="3">
        <v>14</v>
      </c>
      <c r="M6659" s="3">
        <v>987</v>
      </c>
    </row>
    <row r="6660" spans="1:13" x14ac:dyDescent="0.25">
      <c r="A6660" s="1" t="str">
        <f>HYPERLINK("http://www.rosaceae.org/Prunus/Prunus_persica/p.persica_gdr_reftransV1_0007727","p.persica_gdr_reftransV1_0007727")</f>
        <v>p.persica_gdr_reftransV1_0007727</v>
      </c>
      <c r="B6660" s="3">
        <v>464</v>
      </c>
      <c r="C6660" s="1" t="str">
        <f>HYPERLINK("http://www.uniprot.org/uniprot/CNGC1_ARATH","CNGC1_ARATH")</f>
        <v>CNGC1_ARATH</v>
      </c>
      <c r="D6660" t="s">
        <v>241</v>
      </c>
      <c r="E6660" s="3" t="s">
        <v>3</v>
      </c>
      <c r="F6660" s="4">
        <v>1.23E-51</v>
      </c>
      <c r="G6660" s="3">
        <v>454</v>
      </c>
      <c r="H6660" s="3">
        <v>65</v>
      </c>
      <c r="I6660" s="3">
        <v>155</v>
      </c>
      <c r="J6660" s="3">
        <v>9</v>
      </c>
      <c r="K6660" s="3">
        <v>464</v>
      </c>
      <c r="L6660" s="3">
        <v>267</v>
      </c>
      <c r="M6660" s="3">
        <v>420</v>
      </c>
    </row>
    <row r="6661" spans="1:13" x14ac:dyDescent="0.25">
      <c r="A6661" s="1" t="str">
        <f>HYPERLINK("http://www.rosaceae.org/Prunus/Prunus_persica/p.persica_gdr_reftransV1_0007777","p.persica_gdr_reftransV1_0007777")</f>
        <v>p.persica_gdr_reftransV1_0007777</v>
      </c>
      <c r="B6661" s="3">
        <v>673</v>
      </c>
      <c r="C6661" s="1" t="str">
        <f>HYPERLINK("http://www.uniprot.org/uniprot/POP3_ARATH","POP3_ARATH")</f>
        <v>POP3_ARATH</v>
      </c>
      <c r="D6661" t="s">
        <v>2411</v>
      </c>
      <c r="E6661" s="3" t="s">
        <v>3</v>
      </c>
      <c r="F6661" s="4">
        <v>6.2399999999999997E-39</v>
      </c>
      <c r="G6661" s="3">
        <v>342</v>
      </c>
      <c r="H6661" s="3">
        <v>64</v>
      </c>
      <c r="I6661" s="3">
        <v>96</v>
      </c>
      <c r="J6661" s="3">
        <v>315</v>
      </c>
      <c r="K6661" s="3">
        <v>602</v>
      </c>
      <c r="L6661" s="3">
        <v>2</v>
      </c>
      <c r="M6661" s="3">
        <v>97</v>
      </c>
    </row>
    <row r="6662" spans="1:13" x14ac:dyDescent="0.25">
      <c r="A6662" s="1" t="str">
        <f>HYPERLINK("http://www.rosaceae.org/Prunus/Prunus_persica/p.persica_gdr_reftransV1_0007927","p.persica_gdr_reftransV1_0007927")</f>
        <v>p.persica_gdr_reftransV1_0007927</v>
      </c>
      <c r="B6662" s="3">
        <v>5180</v>
      </c>
      <c r="C6662" s="1" t="str">
        <f>HYPERLINK("http://www.uniprot.org/uniprot/VPS15_DICDI","VPS15_DICDI")</f>
        <v>VPS15_DICDI</v>
      </c>
      <c r="D6662" t="s">
        <v>5426</v>
      </c>
      <c r="E6662" s="3" t="s">
        <v>9</v>
      </c>
      <c r="F6662" s="4">
        <v>3.2000000000000001E-83</v>
      </c>
      <c r="G6662" s="3">
        <v>788</v>
      </c>
      <c r="H6662" s="3">
        <v>50</v>
      </c>
      <c r="I6662" s="3">
        <v>335</v>
      </c>
      <c r="J6662" s="3">
        <v>268</v>
      </c>
      <c r="K6662" s="3">
        <v>1266</v>
      </c>
      <c r="L6662" s="3">
        <v>21</v>
      </c>
      <c r="M6662" s="3">
        <v>351</v>
      </c>
    </row>
    <row r="6663" spans="1:13" x14ac:dyDescent="0.25">
      <c r="A6663" s="1" t="str">
        <f>HYPERLINK("http://www.rosaceae.org/Prunus/Prunus_persica/p.persica_gdr_reftransV1_0008027","p.persica_gdr_reftransV1_0008027")</f>
        <v>p.persica_gdr_reftransV1_0008027</v>
      </c>
      <c r="B6663" s="3">
        <v>500</v>
      </c>
      <c r="C6663" s="1" t="str">
        <f>HYPERLINK("http://www.uniprot.org/uniprot/PP164_ARATH","PP164_ARATH")</f>
        <v>PP164_ARATH</v>
      </c>
      <c r="D6663" t="s">
        <v>5427</v>
      </c>
      <c r="E6663" s="3" t="s">
        <v>3</v>
      </c>
      <c r="F6663" s="4">
        <v>6.49E-47</v>
      </c>
      <c r="G6663" s="3">
        <v>421</v>
      </c>
      <c r="H6663" s="3">
        <v>52</v>
      </c>
      <c r="I6663" s="3">
        <v>166</v>
      </c>
      <c r="J6663" s="3">
        <v>6</v>
      </c>
      <c r="K6663" s="3">
        <v>500</v>
      </c>
      <c r="L6663" s="3">
        <v>153</v>
      </c>
      <c r="M6663" s="3">
        <v>318</v>
      </c>
    </row>
    <row r="6664" spans="1:13" x14ac:dyDescent="0.25">
      <c r="A6664" s="1" t="str">
        <f>HYPERLINK("http://www.rosaceae.org/Prunus/Prunus_persica/p.persica_gdr_reftransV1_0008077","p.persica_gdr_reftransV1_0008077")</f>
        <v>p.persica_gdr_reftransV1_0008077</v>
      </c>
      <c r="B6664" s="3">
        <v>923</v>
      </c>
      <c r="C6664" s="1" t="str">
        <f>HYPERLINK("http://www.uniprot.org/uniprot/KC1D_ARATH","KC1D_ARATH")</f>
        <v>KC1D_ARATH</v>
      </c>
      <c r="D6664" t="s">
        <v>109</v>
      </c>
      <c r="E6664" s="3" t="s">
        <v>3</v>
      </c>
      <c r="F6664" s="4">
        <v>1.08E-122</v>
      </c>
      <c r="G6664" s="3">
        <v>939</v>
      </c>
      <c r="H6664" s="3">
        <v>76</v>
      </c>
      <c r="I6664" s="3">
        <v>225</v>
      </c>
      <c r="J6664" s="3">
        <v>249</v>
      </c>
      <c r="K6664" s="3">
        <v>923</v>
      </c>
      <c r="L6664" s="3">
        <v>1</v>
      </c>
      <c r="M6664" s="3">
        <v>225</v>
      </c>
    </row>
    <row r="6665" spans="1:13" x14ac:dyDescent="0.25">
      <c r="A6665" s="1" t="str">
        <f>HYPERLINK("http://www.rosaceae.org/Prunus/Prunus_persica/p.persica_gdr_reftransV1_0008277","p.persica_gdr_reftransV1_0008277")</f>
        <v>p.persica_gdr_reftransV1_0008277</v>
      </c>
      <c r="B6665" s="3">
        <v>2241</v>
      </c>
      <c r="C6665" s="1" t="str">
        <f>HYPERLINK("http://www.uniprot.org/uniprot/NAC86_ARATH","NAC86_ARATH")</f>
        <v>NAC86_ARATH</v>
      </c>
      <c r="D6665" t="s">
        <v>5428</v>
      </c>
      <c r="E6665" s="3" t="s">
        <v>3</v>
      </c>
      <c r="F6665" s="4">
        <v>1.68E-64</v>
      </c>
      <c r="G6665" s="3">
        <v>581</v>
      </c>
      <c r="H6665" s="3">
        <v>64</v>
      </c>
      <c r="I6665" s="3">
        <v>171</v>
      </c>
      <c r="J6665" s="3">
        <v>1100</v>
      </c>
      <c r="K6665" s="3">
        <v>1606</v>
      </c>
      <c r="L6665" s="3">
        <v>1</v>
      </c>
      <c r="M6665" s="3">
        <v>170</v>
      </c>
    </row>
    <row r="6666" spans="1:13" x14ac:dyDescent="0.25">
      <c r="A6666" s="1" t="str">
        <f>HYPERLINK("http://www.rosaceae.org/Prunus/Prunus_persica/p.persica_gdr_reftransV1_0008377","p.persica_gdr_reftransV1_0008377")</f>
        <v>p.persica_gdr_reftransV1_0008377</v>
      </c>
      <c r="B6666" s="3">
        <v>770</v>
      </c>
      <c r="C6666" s="1" t="str">
        <f>HYPERLINK("http://www.uniprot.org/uniprot/CSPLG_POPTR","CSPLG_POPTR")</f>
        <v>CSPLG_POPTR</v>
      </c>
      <c r="D6666" t="s">
        <v>5429</v>
      </c>
      <c r="E6666" s="3" t="s">
        <v>340</v>
      </c>
      <c r="F6666" s="4">
        <v>8.9100000000000004E-58</v>
      </c>
      <c r="G6666" s="3">
        <v>478</v>
      </c>
      <c r="H6666" s="3">
        <v>65</v>
      </c>
      <c r="I6666" s="3">
        <v>153</v>
      </c>
      <c r="J6666" s="3">
        <v>108</v>
      </c>
      <c r="K6666" s="3">
        <v>566</v>
      </c>
      <c r="L6666" s="3">
        <v>28</v>
      </c>
      <c r="M6666" s="3">
        <v>180</v>
      </c>
    </row>
    <row r="6667" spans="1:13" x14ac:dyDescent="0.25">
      <c r="A6667" s="1" t="str">
        <f>HYPERLINK("http://www.rosaceae.org/Prunus/Prunus_persica/p.persica_gdr_reftransV1_0008577","p.persica_gdr_reftransV1_0008577")</f>
        <v>p.persica_gdr_reftransV1_0008577</v>
      </c>
      <c r="B6667" s="3">
        <v>1737</v>
      </c>
      <c r="C6667" s="1" t="str">
        <f>HYPERLINK("http://www.uniprot.org/uniprot/SKI15_ARATH","SKI15_ARATH")</f>
        <v>SKI15_ARATH</v>
      </c>
      <c r="D6667" t="s">
        <v>2085</v>
      </c>
      <c r="E6667" s="3" t="s">
        <v>3</v>
      </c>
      <c r="F6667" s="4">
        <v>3.2500000000000002E-171</v>
      </c>
      <c r="G6667" s="3">
        <v>1281</v>
      </c>
      <c r="H6667" s="3">
        <v>68</v>
      </c>
      <c r="I6667" s="3">
        <v>371</v>
      </c>
      <c r="J6667" s="3">
        <v>561</v>
      </c>
      <c r="K6667" s="3">
        <v>1640</v>
      </c>
      <c r="L6667" s="3">
        <v>6</v>
      </c>
      <c r="M6667" s="3">
        <v>373</v>
      </c>
    </row>
    <row r="6668" spans="1:13" x14ac:dyDescent="0.25">
      <c r="A6668" s="1" t="str">
        <f>HYPERLINK("http://www.rosaceae.org/Prunus/Prunus_persica/p.persica_gdr_reftransV1_0008677","p.persica_gdr_reftransV1_0008677")</f>
        <v>p.persica_gdr_reftransV1_0008677</v>
      </c>
      <c r="B6668" s="3">
        <v>317</v>
      </c>
      <c r="C6668" s="1" t="str">
        <f>HYPERLINK("http://www.uniprot.org/uniprot/KPRO_MAIZE","KPRO_MAIZE")</f>
        <v>KPRO_MAIZE</v>
      </c>
      <c r="D6668" t="s">
        <v>4928</v>
      </c>
      <c r="E6668" s="3" t="s">
        <v>72</v>
      </c>
      <c r="F6668" s="4">
        <v>7.5500000000000003E-24</v>
      </c>
      <c r="G6668" s="3">
        <v>248</v>
      </c>
      <c r="H6668" s="3">
        <v>48</v>
      </c>
      <c r="I6668" s="3">
        <v>115</v>
      </c>
      <c r="J6668" s="3">
        <v>1</v>
      </c>
      <c r="K6668" s="3">
        <v>315</v>
      </c>
      <c r="L6668" s="3">
        <v>54</v>
      </c>
      <c r="M6668" s="3">
        <v>168</v>
      </c>
    </row>
    <row r="6669" spans="1:13" x14ac:dyDescent="0.25">
      <c r="A6669" s="1" t="str">
        <f>HYPERLINK("http://www.rosaceae.org/Prunus/Prunus_persica/p.persica_gdr_reftransV1_0008877","p.persica_gdr_reftransV1_0008877")</f>
        <v>p.persica_gdr_reftransV1_0008877</v>
      </c>
      <c r="B6669" s="3">
        <v>2890</v>
      </c>
      <c r="C6669" s="1" t="str">
        <f>HYPERLINK("http://www.uniprot.org/uniprot/CPL3_ARATH","CPL3_ARATH")</f>
        <v>CPL3_ARATH</v>
      </c>
      <c r="D6669" t="s">
        <v>5430</v>
      </c>
      <c r="E6669" s="3" t="s">
        <v>3</v>
      </c>
      <c r="F6669" s="4">
        <v>0</v>
      </c>
      <c r="G6669" s="3">
        <v>1812</v>
      </c>
      <c r="H6669" s="3">
        <v>60</v>
      </c>
      <c r="I6669" s="3">
        <v>704</v>
      </c>
      <c r="J6669" s="3">
        <v>800</v>
      </c>
      <c r="K6669" s="3">
        <v>2833</v>
      </c>
      <c r="L6669" s="3">
        <v>562</v>
      </c>
      <c r="M6669" s="3">
        <v>1241</v>
      </c>
    </row>
    <row r="6670" spans="1:13" x14ac:dyDescent="0.25">
      <c r="A6670" s="1" t="str">
        <f>HYPERLINK("http://www.rosaceae.org/Prunus/Prunus_persica/p.persica_gdr_reftransV1_0008977","p.persica_gdr_reftransV1_0008977")</f>
        <v>p.persica_gdr_reftransV1_0008977</v>
      </c>
      <c r="B6670" s="3">
        <v>2972</v>
      </c>
      <c r="C6670" s="1" t="str">
        <f>HYPERLINK("http://www.uniprot.org/uniprot/DIEXF_XENTR","DIEXF_XENTR")</f>
        <v>DIEXF_XENTR</v>
      </c>
      <c r="D6670" t="s">
        <v>5431</v>
      </c>
      <c r="E6670" s="3" t="s">
        <v>173</v>
      </c>
      <c r="F6670" s="4">
        <v>8.5699999999999996E-98</v>
      </c>
      <c r="G6670" s="3">
        <v>769</v>
      </c>
      <c r="H6670" s="3">
        <v>36</v>
      </c>
      <c r="I6670" s="3">
        <v>495</v>
      </c>
      <c r="J6670" s="3">
        <v>852</v>
      </c>
      <c r="K6670" s="3">
        <v>2309</v>
      </c>
      <c r="L6670" s="3">
        <v>203</v>
      </c>
      <c r="M6670" s="3">
        <v>665</v>
      </c>
    </row>
    <row r="6671" spans="1:13" x14ac:dyDescent="0.25">
      <c r="A6671" s="1" t="str">
        <f>HYPERLINK("http://www.rosaceae.org/Prunus/Prunus_persica/p.persica_gdr_reftransV1_0009327","p.persica_gdr_reftransV1_0009327")</f>
        <v>p.persica_gdr_reftransV1_0009327</v>
      </c>
      <c r="B6671" s="3">
        <v>2847</v>
      </c>
      <c r="C6671" s="1" t="str">
        <f>HYPERLINK("http://www.uniprot.org/uniprot/THADA_CHICK","THADA_CHICK")</f>
        <v>THADA_CHICK</v>
      </c>
      <c r="D6671" t="s">
        <v>5432</v>
      </c>
      <c r="E6671" s="3" t="s">
        <v>1278</v>
      </c>
      <c r="F6671" s="4">
        <v>1.4199999999999999E-23</v>
      </c>
      <c r="G6671" s="3">
        <v>279</v>
      </c>
      <c r="H6671" s="3">
        <v>27</v>
      </c>
      <c r="I6671" s="3">
        <v>447</v>
      </c>
      <c r="J6671" s="3">
        <v>1525</v>
      </c>
      <c r="K6671" s="3">
        <v>2847</v>
      </c>
      <c r="L6671" s="3">
        <v>1222</v>
      </c>
      <c r="M6671" s="3">
        <v>1614</v>
      </c>
    </row>
    <row r="6672" spans="1:13" x14ac:dyDescent="0.25">
      <c r="A6672" s="1" t="str">
        <f>HYPERLINK("http://www.rosaceae.org/Prunus/Prunus_persica/p.persica_gdr_reftransV1_0009427","p.persica_gdr_reftransV1_0009427")</f>
        <v>p.persica_gdr_reftransV1_0009427</v>
      </c>
      <c r="B6672" s="3">
        <v>1707</v>
      </c>
      <c r="C6672" s="1" t="str">
        <f>HYPERLINK("http://www.uniprot.org/uniprot/DGP3_ARATH","DGP3_ARATH")</f>
        <v>DGP3_ARATH</v>
      </c>
      <c r="D6672" t="s">
        <v>5433</v>
      </c>
      <c r="E6672" s="3" t="s">
        <v>3</v>
      </c>
      <c r="F6672" s="4">
        <v>1.68E-167</v>
      </c>
      <c r="G6672" s="3">
        <v>1255</v>
      </c>
      <c r="H6672" s="3">
        <v>66</v>
      </c>
      <c r="I6672" s="3">
        <v>372</v>
      </c>
      <c r="J6672" s="3">
        <v>565</v>
      </c>
      <c r="K6672" s="3">
        <v>1641</v>
      </c>
      <c r="L6672" s="3">
        <v>9</v>
      </c>
      <c r="M6672" s="3">
        <v>371</v>
      </c>
    </row>
    <row r="6673" spans="1:13" x14ac:dyDescent="0.25">
      <c r="A6673" s="1" t="str">
        <f>HYPERLINK("http://www.rosaceae.org/Prunus/Prunus_persica/p.persica_gdr_reftransV1_0009527","p.persica_gdr_reftransV1_0009527")</f>
        <v>p.persica_gdr_reftransV1_0009527</v>
      </c>
      <c r="B6673" s="3">
        <v>1265</v>
      </c>
      <c r="C6673" s="1" t="str">
        <f>HYPERLINK("http://www.uniprot.org/uniprot/SALAT_PAPSO","SALAT_PAPSO")</f>
        <v>SALAT_PAPSO</v>
      </c>
      <c r="D6673" t="s">
        <v>5434</v>
      </c>
      <c r="E6673" s="3" t="s">
        <v>2250</v>
      </c>
      <c r="F6673" s="4">
        <v>1.04E-30</v>
      </c>
      <c r="G6673" s="3">
        <v>317</v>
      </c>
      <c r="H6673" s="3">
        <v>37</v>
      </c>
      <c r="I6673" s="3">
        <v>278</v>
      </c>
      <c r="J6673" s="3">
        <v>1</v>
      </c>
      <c r="K6673" s="3">
        <v>768</v>
      </c>
      <c r="L6673" s="3">
        <v>9</v>
      </c>
      <c r="M6673" s="3">
        <v>278</v>
      </c>
    </row>
    <row r="6674" spans="1:13" x14ac:dyDescent="0.25">
      <c r="A6674" s="1" t="str">
        <f>HYPERLINK("http://www.rosaceae.org/Prunus/Prunus_persica/p.persica_gdr_reftransV1_0009627","p.persica_gdr_reftransV1_0009627")</f>
        <v>p.persica_gdr_reftransV1_0009627</v>
      </c>
      <c r="B6674" s="3">
        <v>1985</v>
      </c>
      <c r="C6674" s="1" t="str">
        <f>HYPERLINK("http://www.uniprot.org/uniprot/VAR3_ARATH","VAR3_ARATH")</f>
        <v>VAR3_ARATH</v>
      </c>
      <c r="D6674" t="s">
        <v>5435</v>
      </c>
      <c r="E6674" s="3" t="s">
        <v>3</v>
      </c>
      <c r="F6674" s="4">
        <v>2.8699999999999999E-34</v>
      </c>
      <c r="G6674" s="3">
        <v>360</v>
      </c>
      <c r="H6674" s="3">
        <v>28</v>
      </c>
      <c r="I6674" s="3">
        <v>351</v>
      </c>
      <c r="J6674" s="3">
        <v>178</v>
      </c>
      <c r="K6674" s="3">
        <v>1200</v>
      </c>
      <c r="L6674" s="3">
        <v>26</v>
      </c>
      <c r="M6674" s="3">
        <v>344</v>
      </c>
    </row>
    <row r="6675" spans="1:13" x14ac:dyDescent="0.25">
      <c r="A6675" s="1" t="str">
        <f>HYPERLINK("http://www.rosaceae.org/Prunus/Prunus_persica/p.persica_gdr_reftransV1_0009727","p.persica_gdr_reftransV1_0009727")</f>
        <v>p.persica_gdr_reftransV1_0009727</v>
      </c>
      <c r="B6675" s="3">
        <v>2312</v>
      </c>
      <c r="C6675" s="1" t="str">
        <f>HYPERLINK("http://www.uniprot.org/uniprot/PLT4_ARATH","PLT4_ARATH")</f>
        <v>PLT4_ARATH</v>
      </c>
      <c r="D6675" t="s">
        <v>5235</v>
      </c>
      <c r="E6675" s="3" t="s">
        <v>3</v>
      </c>
      <c r="F6675" s="4">
        <v>0</v>
      </c>
      <c r="G6675" s="3">
        <v>1800</v>
      </c>
      <c r="H6675" s="3">
        <v>74</v>
      </c>
      <c r="I6675" s="3">
        <v>523</v>
      </c>
      <c r="J6675" s="3">
        <v>477</v>
      </c>
      <c r="K6675" s="3">
        <v>2039</v>
      </c>
      <c r="L6675" s="3">
        <v>7</v>
      </c>
      <c r="M6675" s="3">
        <v>522</v>
      </c>
    </row>
    <row r="6676" spans="1:13" x14ac:dyDescent="0.25">
      <c r="A6676" s="1" t="str">
        <f>HYPERLINK("http://www.rosaceae.org/Prunus/Prunus_persica/p.persica_gdr_reftransV1_0009777","p.persica_gdr_reftransV1_0009777")</f>
        <v>p.persica_gdr_reftransV1_0009777</v>
      </c>
      <c r="B6676" s="3">
        <v>1237</v>
      </c>
      <c r="C6676" s="1" t="str">
        <f>HYPERLINK("http://www.uniprot.org/uniprot/ECI3_ARATH","ECI3_ARATH")</f>
        <v>ECI3_ARATH</v>
      </c>
      <c r="D6676" t="s">
        <v>5436</v>
      </c>
      <c r="E6676" s="3" t="s">
        <v>3</v>
      </c>
      <c r="F6676" s="4">
        <v>2.2899999999999999E-79</v>
      </c>
      <c r="G6676" s="3">
        <v>641</v>
      </c>
      <c r="H6676" s="3">
        <v>69</v>
      </c>
      <c r="I6676" s="3">
        <v>228</v>
      </c>
      <c r="J6676" s="3">
        <v>336</v>
      </c>
      <c r="K6676" s="3">
        <v>1016</v>
      </c>
      <c r="L6676" s="3">
        <v>1</v>
      </c>
      <c r="M6676" s="3">
        <v>226</v>
      </c>
    </row>
    <row r="6677" spans="1:13" x14ac:dyDescent="0.25">
      <c r="A6677" s="1" t="str">
        <f>HYPERLINK("http://www.rosaceae.org/Prunus/Prunus_persica/p.persica_gdr_reftransV1_0009827","p.persica_gdr_reftransV1_0009827")</f>
        <v>p.persica_gdr_reftransV1_0009827</v>
      </c>
      <c r="B6677" s="3">
        <v>754</v>
      </c>
      <c r="C6677" s="1" t="str">
        <f>HYPERLINK("http://www.uniprot.org/uniprot/GATL6_ARATH","GATL6_ARATH")</f>
        <v>GATL6_ARATH</v>
      </c>
      <c r="D6677" t="s">
        <v>5437</v>
      </c>
      <c r="E6677" s="3" t="s">
        <v>3</v>
      </c>
      <c r="F6677" s="4">
        <v>2.4100000000000002E-96</v>
      </c>
      <c r="G6677" s="3">
        <v>749</v>
      </c>
      <c r="H6677" s="3">
        <v>86</v>
      </c>
      <c r="I6677" s="3">
        <v>157</v>
      </c>
      <c r="J6677" s="3">
        <v>284</v>
      </c>
      <c r="K6677" s="3">
        <v>754</v>
      </c>
      <c r="L6677" s="3">
        <v>189</v>
      </c>
      <c r="M6677" s="3">
        <v>345</v>
      </c>
    </row>
    <row r="6678" spans="1:13" x14ac:dyDescent="0.25">
      <c r="A6678" s="1" t="str">
        <f>HYPERLINK("http://www.rosaceae.org/Prunus/Prunus_persica/p.persica_gdr_reftransV1_0010077","p.persica_gdr_reftransV1_0010077")</f>
        <v>p.persica_gdr_reftransV1_0010077</v>
      </c>
      <c r="B6678" s="3">
        <v>1100</v>
      </c>
      <c r="C6678" s="1" t="str">
        <f>HYPERLINK("http://www.uniprot.org/uniprot/DOF12_ARATH","DOF12_ARATH")</f>
        <v>DOF12_ARATH</v>
      </c>
      <c r="D6678" t="s">
        <v>5438</v>
      </c>
      <c r="E6678" s="3" t="s">
        <v>3</v>
      </c>
      <c r="F6678" s="4">
        <v>2.5399999999999998E-37</v>
      </c>
      <c r="G6678" s="3">
        <v>354</v>
      </c>
      <c r="H6678" s="3">
        <v>43</v>
      </c>
      <c r="I6678" s="3">
        <v>217</v>
      </c>
      <c r="J6678" s="3">
        <v>448</v>
      </c>
      <c r="K6678" s="3">
        <v>1098</v>
      </c>
      <c r="L6678" s="3">
        <v>40</v>
      </c>
      <c r="M6678" s="3">
        <v>226</v>
      </c>
    </row>
    <row r="6679" spans="1:13" x14ac:dyDescent="0.25">
      <c r="A6679" s="1" t="str">
        <f>HYPERLINK("http://www.rosaceae.org/Prunus/Prunus_persica/p.persica_gdr_reftransV1_0010527","p.persica_gdr_reftransV1_0010527")</f>
        <v>p.persica_gdr_reftransV1_0010527</v>
      </c>
      <c r="B6679" s="3">
        <v>1562</v>
      </c>
      <c r="C6679" s="1" t="str">
        <f>HYPERLINK("http://www.uniprot.org/uniprot/SEH1_ARATH","SEH1_ARATH")</f>
        <v>SEH1_ARATH</v>
      </c>
      <c r="D6679" t="s">
        <v>5439</v>
      </c>
      <c r="E6679" s="3" t="s">
        <v>3</v>
      </c>
      <c r="F6679" s="4">
        <v>1.82E-121</v>
      </c>
      <c r="G6679" s="3">
        <v>927</v>
      </c>
      <c r="H6679" s="3">
        <v>71</v>
      </c>
      <c r="I6679" s="3">
        <v>234</v>
      </c>
      <c r="J6679" s="3">
        <v>453</v>
      </c>
      <c r="K6679" s="3">
        <v>1154</v>
      </c>
      <c r="L6679" s="3">
        <v>91</v>
      </c>
      <c r="M6679" s="3">
        <v>324</v>
      </c>
    </row>
    <row r="6680" spans="1:13" x14ac:dyDescent="0.25">
      <c r="A6680" s="1" t="str">
        <f>HYPERLINK("http://www.rosaceae.org/Prunus/Prunus_persica/p.persica_gdr_reftransV1_0010577","p.persica_gdr_reftransV1_0010577")</f>
        <v>p.persica_gdr_reftransV1_0010577</v>
      </c>
      <c r="B6680" s="3">
        <v>1887</v>
      </c>
      <c r="C6680" s="1" t="str">
        <f>HYPERLINK("http://www.uniprot.org/uniprot/Y3567_ARATH","Y3567_ARATH")</f>
        <v>Y3567_ARATH</v>
      </c>
      <c r="D6680" t="s">
        <v>5440</v>
      </c>
      <c r="E6680" s="3" t="s">
        <v>3</v>
      </c>
      <c r="F6680" s="4">
        <v>5.6000000000000005E-171</v>
      </c>
      <c r="G6680" s="3">
        <v>1291</v>
      </c>
      <c r="H6680" s="3">
        <v>61</v>
      </c>
      <c r="I6680" s="3">
        <v>437</v>
      </c>
      <c r="J6680" s="3">
        <v>157</v>
      </c>
      <c r="K6680" s="3">
        <v>1446</v>
      </c>
      <c r="L6680" s="3">
        <v>1</v>
      </c>
      <c r="M6680" s="3">
        <v>433</v>
      </c>
    </row>
    <row r="6681" spans="1:13" x14ac:dyDescent="0.25">
      <c r="A6681" s="1" t="str">
        <f>HYPERLINK("http://www.rosaceae.org/Prunus/Prunus_persica/p.persica_gdr_reftransV1_0010677","p.persica_gdr_reftransV1_0010677")</f>
        <v>p.persica_gdr_reftransV1_0010677</v>
      </c>
      <c r="B6681" s="3">
        <v>4027</v>
      </c>
      <c r="C6681" s="1" t="str">
        <f>HYPERLINK("http://www.uniprot.org/uniprot/POLX_TOBAC","POLX_TOBAC")</f>
        <v>POLX_TOBAC</v>
      </c>
      <c r="D6681" t="s">
        <v>1253</v>
      </c>
      <c r="E6681" s="3" t="s">
        <v>200</v>
      </c>
      <c r="F6681" s="4">
        <v>6.0799999999999998E-83</v>
      </c>
      <c r="G6681" s="3">
        <v>507</v>
      </c>
      <c r="H6681" s="3">
        <v>44</v>
      </c>
      <c r="I6681" s="3">
        <v>214</v>
      </c>
      <c r="J6681" s="3">
        <v>2500</v>
      </c>
      <c r="K6681" s="3">
        <v>3135</v>
      </c>
      <c r="L6681" s="3">
        <v>840</v>
      </c>
      <c r="M6681" s="3">
        <v>1053</v>
      </c>
    </row>
    <row r="6682" spans="1:13" x14ac:dyDescent="0.25">
      <c r="A6682" s="1" t="str">
        <f>HYPERLINK("http://www.rosaceae.org/Prunus/Prunus_persica/p.persica_gdr_reftransV1_0010877","p.persica_gdr_reftransV1_0010877")</f>
        <v>p.persica_gdr_reftransV1_0010877</v>
      </c>
      <c r="B6682" s="3">
        <v>1799</v>
      </c>
      <c r="C6682" s="1" t="str">
        <f>HYPERLINK("http://www.uniprot.org/uniprot/DCTP1_RAT","DCTP1_RAT")</f>
        <v>DCTP1_RAT</v>
      </c>
      <c r="D6682" t="s">
        <v>5441</v>
      </c>
      <c r="E6682" s="3" t="s">
        <v>161</v>
      </c>
      <c r="F6682" s="4">
        <v>1.02E-10</v>
      </c>
      <c r="G6682" s="3">
        <v>157</v>
      </c>
      <c r="H6682" s="3">
        <v>49</v>
      </c>
      <c r="I6682" s="3">
        <v>80</v>
      </c>
      <c r="J6682" s="3">
        <v>794</v>
      </c>
      <c r="K6682" s="3">
        <v>1033</v>
      </c>
      <c r="L6682" s="3">
        <v>56</v>
      </c>
      <c r="M6682" s="3">
        <v>135</v>
      </c>
    </row>
    <row r="6683" spans="1:13" x14ac:dyDescent="0.25">
      <c r="A6683" s="1" t="str">
        <f>HYPERLINK("http://www.rosaceae.org/Prunus/Prunus_persica/p.persica_gdr_reftransV1_0010977","p.persica_gdr_reftransV1_0010977")</f>
        <v>p.persica_gdr_reftransV1_0010977</v>
      </c>
      <c r="B6683" s="3">
        <v>3516</v>
      </c>
      <c r="C6683" s="1" t="str">
        <f>HYPERLINK("http://www.uniprot.org/uniprot/AP3D_ARATH","AP3D_ARATH")</f>
        <v>AP3D_ARATH</v>
      </c>
      <c r="D6683" t="s">
        <v>5442</v>
      </c>
      <c r="E6683" s="3" t="s">
        <v>3</v>
      </c>
      <c r="F6683" s="4">
        <v>0</v>
      </c>
      <c r="G6683" s="3">
        <v>2026</v>
      </c>
      <c r="H6683" s="3">
        <v>73</v>
      </c>
      <c r="I6683" s="3">
        <v>523</v>
      </c>
      <c r="J6683" s="3">
        <v>304</v>
      </c>
      <c r="K6683" s="3">
        <v>1872</v>
      </c>
      <c r="L6683" s="3">
        <v>4</v>
      </c>
      <c r="M6683" s="3">
        <v>526</v>
      </c>
    </row>
    <row r="6684" spans="1:13" x14ac:dyDescent="0.25">
      <c r="A6684" s="1" t="str">
        <f>HYPERLINK("http://www.rosaceae.org/Prunus/Prunus_persica/p.persica_gdr_reftransV1_0011577","p.persica_gdr_reftransV1_0011577")</f>
        <v>p.persica_gdr_reftransV1_0011577</v>
      </c>
      <c r="B6684" s="3">
        <v>1077</v>
      </c>
      <c r="C6684" s="1" t="str">
        <f>HYPERLINK("http://www.uniprot.org/uniprot/PSDE_ARATH","PSDE_ARATH")</f>
        <v>PSDE_ARATH</v>
      </c>
      <c r="D6684" t="s">
        <v>5443</v>
      </c>
      <c r="E6684" s="3" t="s">
        <v>3</v>
      </c>
      <c r="F6684" s="4">
        <v>3.0499999999999999E-112</v>
      </c>
      <c r="G6684" s="3">
        <v>464</v>
      </c>
      <c r="H6684" s="3">
        <v>92</v>
      </c>
      <c r="I6684" s="3">
        <v>91</v>
      </c>
      <c r="J6684" s="3">
        <v>464</v>
      </c>
      <c r="K6684" s="3">
        <v>736</v>
      </c>
      <c r="L6684" s="3">
        <v>110</v>
      </c>
      <c r="M6684" s="3">
        <v>200</v>
      </c>
    </row>
    <row r="6685" spans="1:13" x14ac:dyDescent="0.25">
      <c r="A6685" s="1" t="str">
        <f>HYPERLINK("http://www.rosaceae.org/Prunus/Prunus_persica/p.persica_gdr_reftransV1_0011727","p.persica_gdr_reftransV1_0011727")</f>
        <v>p.persica_gdr_reftransV1_0011727</v>
      </c>
      <c r="B6685" s="3">
        <v>1270</v>
      </c>
      <c r="C6685" s="1" t="str">
        <f>HYPERLINK("http://www.uniprot.org/uniprot/CVIF1_ARATH","CVIF1_ARATH")</f>
        <v>CVIF1_ARATH</v>
      </c>
      <c r="D6685" t="s">
        <v>3116</v>
      </c>
      <c r="E6685" s="3" t="s">
        <v>3</v>
      </c>
      <c r="F6685" s="4">
        <v>3.2600000000000002E-34</v>
      </c>
      <c r="G6685" s="3">
        <v>330</v>
      </c>
      <c r="H6685" s="3">
        <v>52</v>
      </c>
      <c r="I6685" s="3">
        <v>125</v>
      </c>
      <c r="J6685" s="3">
        <v>676</v>
      </c>
      <c r="K6685" s="3">
        <v>1047</v>
      </c>
      <c r="L6685" s="3">
        <v>21</v>
      </c>
      <c r="M6685" s="3">
        <v>145</v>
      </c>
    </row>
    <row r="6686" spans="1:13" x14ac:dyDescent="0.25">
      <c r="A6686" s="1" t="str">
        <f>HYPERLINK("http://www.rosaceae.org/Prunus/Prunus_persica/p.persica_gdr_reftransV1_0011777","p.persica_gdr_reftransV1_0011777")</f>
        <v>p.persica_gdr_reftransV1_0011777</v>
      </c>
      <c r="B6686" s="3">
        <v>4909</v>
      </c>
      <c r="C6686" s="1" t="str">
        <f>HYPERLINK("http://www.uniprot.org/uniprot/YDQ4_SCHPO","YDQ4_SCHPO")</f>
        <v>YDQ4_SCHPO</v>
      </c>
      <c r="D6686" t="s">
        <v>2900</v>
      </c>
      <c r="E6686" s="3" t="s">
        <v>464</v>
      </c>
      <c r="F6686" s="4">
        <v>2.2399999999999999E-7</v>
      </c>
      <c r="G6686" s="3">
        <v>142</v>
      </c>
      <c r="H6686" s="3">
        <v>22</v>
      </c>
      <c r="I6686" s="3">
        <v>308</v>
      </c>
      <c r="J6686" s="3">
        <v>972</v>
      </c>
      <c r="K6686" s="3">
        <v>1832</v>
      </c>
      <c r="L6686" s="3">
        <v>13</v>
      </c>
      <c r="M6686" s="3">
        <v>311</v>
      </c>
    </row>
    <row r="6687" spans="1:13" x14ac:dyDescent="0.25">
      <c r="A6687" s="1" t="str">
        <f>HYPERLINK("http://www.rosaceae.org/Prunus/Prunus_persica/p.persica_gdr_reftransV1_0012027","p.persica_gdr_reftransV1_0012027")</f>
        <v>p.persica_gdr_reftransV1_0012027</v>
      </c>
      <c r="B6687" s="3">
        <v>3818</v>
      </c>
      <c r="C6687" s="1" t="str">
        <f>HYPERLINK("http://www.uniprot.org/uniprot/RRP12_CHICK","RRP12_CHICK")</f>
        <v>RRP12_CHICK</v>
      </c>
      <c r="D6687" t="s">
        <v>5444</v>
      </c>
      <c r="E6687" s="3" t="s">
        <v>1278</v>
      </c>
      <c r="F6687" s="4">
        <v>1.06E-30</v>
      </c>
      <c r="G6687" s="3">
        <v>340</v>
      </c>
      <c r="H6687" s="3">
        <v>21</v>
      </c>
      <c r="I6687" s="3">
        <v>1037</v>
      </c>
      <c r="J6687" s="3">
        <v>697</v>
      </c>
      <c r="K6687" s="3">
        <v>3726</v>
      </c>
      <c r="L6687" s="3">
        <v>101</v>
      </c>
      <c r="M6687" s="3">
        <v>1050</v>
      </c>
    </row>
    <row r="6688" spans="1:13" x14ac:dyDescent="0.25">
      <c r="A6688" s="1" t="str">
        <f>HYPERLINK("http://www.rosaceae.org/Prunus/Prunus_persica/p.persica_gdr_reftransV1_0012077","p.persica_gdr_reftransV1_0012077")</f>
        <v>p.persica_gdr_reftransV1_0012077</v>
      </c>
      <c r="B6688" s="3">
        <v>1859</v>
      </c>
      <c r="C6688" s="1" t="str">
        <f>HYPERLINK("http://www.uniprot.org/uniprot/GRPE_THEEB","GRPE_THEEB")</f>
        <v>GRPE_THEEB</v>
      </c>
      <c r="D6688" t="s">
        <v>5445</v>
      </c>
      <c r="E6688" s="3" t="s">
        <v>5446</v>
      </c>
      <c r="F6688" s="4">
        <v>1.31E-45</v>
      </c>
      <c r="G6688" s="3">
        <v>422</v>
      </c>
      <c r="H6688" s="3">
        <v>51</v>
      </c>
      <c r="I6688" s="3">
        <v>154</v>
      </c>
      <c r="J6688" s="3">
        <v>594</v>
      </c>
      <c r="K6688" s="3">
        <v>1055</v>
      </c>
      <c r="L6688" s="3">
        <v>82</v>
      </c>
      <c r="M6688" s="3">
        <v>235</v>
      </c>
    </row>
    <row r="6689" spans="1:13" x14ac:dyDescent="0.25">
      <c r="A6689" s="1" t="str">
        <f>HYPERLINK("http://www.rosaceae.org/Prunus/Prunus_persica/p.persica_gdr_reftransV1_0012377","p.persica_gdr_reftransV1_0012377")</f>
        <v>p.persica_gdr_reftransV1_0012377</v>
      </c>
      <c r="B6689" s="3">
        <v>3018</v>
      </c>
      <c r="C6689" s="1" t="str">
        <f>HYPERLINK("http://www.uniprot.org/uniprot/SSY2_SOLTU","SSY2_SOLTU")</f>
        <v>SSY2_SOLTU</v>
      </c>
      <c r="D6689" t="s">
        <v>5447</v>
      </c>
      <c r="E6689" s="3" t="s">
        <v>11</v>
      </c>
      <c r="F6689" s="4">
        <v>0</v>
      </c>
      <c r="G6689" s="3">
        <v>2625</v>
      </c>
      <c r="H6689" s="3">
        <v>65</v>
      </c>
      <c r="I6689" s="3">
        <v>791</v>
      </c>
      <c r="J6689" s="3">
        <v>516</v>
      </c>
      <c r="K6689" s="3">
        <v>2789</v>
      </c>
      <c r="L6689" s="3">
        <v>2</v>
      </c>
      <c r="M6689" s="3">
        <v>767</v>
      </c>
    </row>
    <row r="6690" spans="1:13" x14ac:dyDescent="0.25">
      <c r="A6690" s="1" t="str">
        <f>HYPERLINK("http://www.rosaceae.org/Prunus/Prunus_persica/p.persica_gdr_reftransV1_0012427","p.persica_gdr_reftransV1_0012427")</f>
        <v>p.persica_gdr_reftransV1_0012427</v>
      </c>
      <c r="B6690" s="3">
        <v>2844</v>
      </c>
      <c r="C6690" s="1" t="str">
        <f>HYPERLINK("http://www.uniprot.org/uniprot/IKU2_ARATH","IKU2_ARATH")</f>
        <v>IKU2_ARATH</v>
      </c>
      <c r="D6690" t="s">
        <v>1920</v>
      </c>
      <c r="E6690" s="3" t="s">
        <v>3</v>
      </c>
      <c r="F6690" s="4">
        <v>0</v>
      </c>
      <c r="G6690" s="3">
        <v>2127</v>
      </c>
      <c r="H6690" s="3">
        <v>57</v>
      </c>
      <c r="I6690" s="3">
        <v>875</v>
      </c>
      <c r="J6690" s="3">
        <v>288</v>
      </c>
      <c r="K6690" s="3">
        <v>2843</v>
      </c>
      <c r="L6690" s="3">
        <v>26</v>
      </c>
      <c r="M6690" s="3">
        <v>892</v>
      </c>
    </row>
    <row r="6691" spans="1:13" x14ac:dyDescent="0.25">
      <c r="A6691" s="1" t="str">
        <f>HYPERLINK("http://www.rosaceae.org/Prunus/Prunus_persica/p.persica_gdr_reftransV1_0012527","p.persica_gdr_reftransV1_0012527")</f>
        <v>p.persica_gdr_reftransV1_0012527</v>
      </c>
      <c r="B6691" s="3">
        <v>1486</v>
      </c>
      <c r="C6691" s="1" t="str">
        <f>HYPERLINK("http://www.uniprot.org/uniprot/WRK32_ARATH","WRK32_ARATH")</f>
        <v>WRK32_ARATH</v>
      </c>
      <c r="D6691" t="s">
        <v>5448</v>
      </c>
      <c r="E6691" s="3" t="s">
        <v>3</v>
      </c>
      <c r="F6691" s="4">
        <v>6.2699999999999997E-120</v>
      </c>
      <c r="G6691" s="3">
        <v>941</v>
      </c>
      <c r="H6691" s="3">
        <v>56</v>
      </c>
      <c r="I6691" s="3">
        <v>385</v>
      </c>
      <c r="J6691" s="3">
        <v>9</v>
      </c>
      <c r="K6691" s="3">
        <v>1151</v>
      </c>
      <c r="L6691" s="3">
        <v>103</v>
      </c>
      <c r="M6691" s="3">
        <v>466</v>
      </c>
    </row>
    <row r="6692" spans="1:13" x14ac:dyDescent="0.25">
      <c r="A6692" s="1" t="str">
        <f>HYPERLINK("http://www.rosaceae.org/Prunus/Prunus_persica/p.persica_gdr_reftransV1_0012577","p.persica_gdr_reftransV1_0012577")</f>
        <v>p.persica_gdr_reftransV1_0012577</v>
      </c>
      <c r="B6692" s="3">
        <v>2035</v>
      </c>
      <c r="C6692" s="1" t="str">
        <f>HYPERLINK("http://www.uniprot.org/uniprot/RK14_COFAR","RK14_COFAR")</f>
        <v>RK14_COFAR</v>
      </c>
      <c r="D6692" t="s">
        <v>5449</v>
      </c>
      <c r="E6692" s="3" t="s">
        <v>5450</v>
      </c>
      <c r="F6692" s="4">
        <v>1.47E-75</v>
      </c>
      <c r="G6692" s="3">
        <v>623</v>
      </c>
      <c r="H6692" s="3">
        <v>98</v>
      </c>
      <c r="I6692" s="3">
        <v>122</v>
      </c>
      <c r="J6692" s="3">
        <v>1161</v>
      </c>
      <c r="K6692" s="3">
        <v>1526</v>
      </c>
      <c r="L6692" s="3">
        <v>1</v>
      </c>
      <c r="M6692" s="3">
        <v>122</v>
      </c>
    </row>
    <row r="6693" spans="1:13" x14ac:dyDescent="0.25">
      <c r="A6693" s="1" t="str">
        <f>HYPERLINK("http://www.rosaceae.org/Prunus/Prunus_persica/p.persica_gdr_reftransV1_0012877","p.persica_gdr_reftransV1_0012877")</f>
        <v>p.persica_gdr_reftransV1_0012877</v>
      </c>
      <c r="B6693" s="3">
        <v>1930</v>
      </c>
      <c r="C6693" s="1" t="str">
        <f>HYPERLINK("http://www.uniprot.org/uniprot/DCN1L_DROME","DCN1L_DROME")</f>
        <v>DCN1L_DROME</v>
      </c>
      <c r="D6693" t="s">
        <v>5451</v>
      </c>
      <c r="E6693" s="3" t="s">
        <v>5</v>
      </c>
      <c r="F6693" s="4">
        <v>9.4300000000000006E-15</v>
      </c>
      <c r="G6693" s="3">
        <v>193</v>
      </c>
      <c r="H6693" s="3">
        <v>36</v>
      </c>
      <c r="I6693" s="3">
        <v>105</v>
      </c>
      <c r="J6693" s="3">
        <v>484</v>
      </c>
      <c r="K6693" s="3">
        <v>786</v>
      </c>
      <c r="L6693" s="3">
        <v>128</v>
      </c>
      <c r="M6693" s="3">
        <v>232</v>
      </c>
    </row>
    <row r="6694" spans="1:13" x14ac:dyDescent="0.25">
      <c r="A6694" s="1" t="str">
        <f>HYPERLINK("http://www.rosaceae.org/Prunus/Prunus_persica/p.persica_gdr_reftransV1_0013277","p.persica_gdr_reftransV1_0013277")</f>
        <v>p.persica_gdr_reftransV1_0013277</v>
      </c>
      <c r="B6694" s="3">
        <v>1736</v>
      </c>
      <c r="C6694" s="1" t="str">
        <f>HYPERLINK("http://www.uniprot.org/uniprot/Y3720_ARATH","Y3720_ARATH")</f>
        <v>Y3720_ARATH</v>
      </c>
      <c r="D6694" t="s">
        <v>104</v>
      </c>
      <c r="E6694" s="3" t="s">
        <v>3</v>
      </c>
      <c r="F6694" s="4">
        <v>7.4700000000000007E-43</v>
      </c>
      <c r="G6694" s="3">
        <v>416</v>
      </c>
      <c r="H6694" s="3">
        <v>29</v>
      </c>
      <c r="I6694" s="3">
        <v>428</v>
      </c>
      <c r="J6694" s="3">
        <v>341</v>
      </c>
      <c r="K6694" s="3">
        <v>1531</v>
      </c>
      <c r="L6694" s="3">
        <v>43</v>
      </c>
      <c r="M6694" s="3">
        <v>457</v>
      </c>
    </row>
    <row r="6695" spans="1:13" x14ac:dyDescent="0.25">
      <c r="A6695" s="1" t="str">
        <f>HYPERLINK("http://www.rosaceae.org/Prunus/Prunus_persica/p.persica_gdr_reftransV1_0013677","p.persica_gdr_reftransV1_0013677")</f>
        <v>p.persica_gdr_reftransV1_0013677</v>
      </c>
      <c r="B6695" s="3">
        <v>1221</v>
      </c>
      <c r="C6695" s="1" t="str">
        <f>HYPERLINK("http://www.uniprot.org/uniprot/SDH5_ARATH","SDH5_ARATH")</f>
        <v>SDH5_ARATH</v>
      </c>
      <c r="D6695" t="s">
        <v>5452</v>
      </c>
      <c r="E6695" s="3" t="s">
        <v>3</v>
      </c>
      <c r="F6695" s="4">
        <v>9.13E-88</v>
      </c>
      <c r="G6695" s="3">
        <v>699</v>
      </c>
      <c r="H6695" s="3">
        <v>66</v>
      </c>
      <c r="I6695" s="3">
        <v>187</v>
      </c>
      <c r="J6695" s="3">
        <v>460</v>
      </c>
      <c r="K6695" s="3">
        <v>1020</v>
      </c>
      <c r="L6695" s="3">
        <v>71</v>
      </c>
      <c r="M6695" s="3">
        <v>257</v>
      </c>
    </row>
    <row r="6696" spans="1:13" x14ac:dyDescent="0.25">
      <c r="A6696" s="1" t="str">
        <f>HYPERLINK("http://www.rosaceae.org/Prunus/Prunus_persica/p.persica_gdr_reftransV1_0013727","p.persica_gdr_reftransV1_0013727")</f>
        <v>p.persica_gdr_reftransV1_0013727</v>
      </c>
      <c r="B6696" s="3">
        <v>4882</v>
      </c>
      <c r="C6696" s="1" t="str">
        <f>HYPERLINK("http://www.uniprot.org/uniprot/VCS_ARATH","VCS_ARATH")</f>
        <v>VCS_ARATH</v>
      </c>
      <c r="D6696" t="s">
        <v>5453</v>
      </c>
      <c r="E6696" s="3" t="s">
        <v>3</v>
      </c>
      <c r="F6696" s="4">
        <v>0</v>
      </c>
      <c r="G6696" s="3">
        <v>3550</v>
      </c>
      <c r="H6696" s="3">
        <v>60</v>
      </c>
      <c r="I6696" s="3">
        <v>1333</v>
      </c>
      <c r="J6696" s="3">
        <v>387</v>
      </c>
      <c r="K6696" s="3">
        <v>4334</v>
      </c>
      <c r="L6696" s="3">
        <v>81</v>
      </c>
      <c r="M6696" s="3">
        <v>1344</v>
      </c>
    </row>
    <row r="6697" spans="1:13" x14ac:dyDescent="0.25">
      <c r="A6697" s="1" t="str">
        <f>HYPERLINK("http://www.rosaceae.org/Prunus/Prunus_persica/p.persica_gdr_reftransV1_0013777","p.persica_gdr_reftransV1_0013777")</f>
        <v>p.persica_gdr_reftransV1_0013777</v>
      </c>
      <c r="B6697" s="3">
        <v>1755</v>
      </c>
      <c r="C6697" s="1" t="str">
        <f>HYPERLINK("http://www.uniprot.org/uniprot/CPR30_ARATH","CPR30_ARATH")</f>
        <v>CPR30_ARATH</v>
      </c>
      <c r="D6697" t="s">
        <v>1594</v>
      </c>
      <c r="E6697" s="3" t="s">
        <v>3</v>
      </c>
      <c r="F6697" s="4">
        <v>9.32E-21</v>
      </c>
      <c r="G6697" s="3">
        <v>244</v>
      </c>
      <c r="H6697" s="3">
        <v>30</v>
      </c>
      <c r="I6697" s="3">
        <v>330</v>
      </c>
      <c r="J6697" s="3">
        <v>186</v>
      </c>
      <c r="K6697" s="3">
        <v>1097</v>
      </c>
      <c r="L6697" s="3">
        <v>4</v>
      </c>
      <c r="M6697" s="3">
        <v>301</v>
      </c>
    </row>
    <row r="6698" spans="1:13" x14ac:dyDescent="0.25">
      <c r="A6698" s="1" t="str">
        <f>HYPERLINK("http://www.rosaceae.org/Prunus/Prunus_persica/p.persica_gdr_reftransV1_0014127","p.persica_gdr_reftransV1_0014127")</f>
        <v>p.persica_gdr_reftransV1_0014127</v>
      </c>
      <c r="B6698" s="3">
        <v>609</v>
      </c>
      <c r="C6698" s="1" t="str">
        <f>HYPERLINK("http://www.uniprot.org/uniprot/RCI2B_ARATH","RCI2B_ARATH")</f>
        <v>RCI2B_ARATH</v>
      </c>
      <c r="D6698" t="s">
        <v>3269</v>
      </c>
      <c r="E6698" s="3" t="s">
        <v>3</v>
      </c>
      <c r="F6698" s="4">
        <v>1.59E-14</v>
      </c>
      <c r="G6698" s="3">
        <v>169</v>
      </c>
      <c r="H6698" s="3">
        <v>77</v>
      </c>
      <c r="I6698" s="3">
        <v>53</v>
      </c>
      <c r="J6698" s="3">
        <v>262</v>
      </c>
      <c r="K6698" s="3">
        <v>420</v>
      </c>
      <c r="L6698" s="3">
        <v>2</v>
      </c>
      <c r="M6698" s="3">
        <v>54</v>
      </c>
    </row>
    <row r="6699" spans="1:13" x14ac:dyDescent="0.25">
      <c r="A6699" s="1" t="str">
        <f>HYPERLINK("http://www.rosaceae.org/Prunus/Prunus_persica/p.persica_gdr_reftransV1_0014227","p.persica_gdr_reftransV1_0014227")</f>
        <v>p.persica_gdr_reftransV1_0014227</v>
      </c>
      <c r="B6699" s="3">
        <v>3168</v>
      </c>
      <c r="C6699" s="1" t="str">
        <f>HYPERLINK("http://www.uniprot.org/uniprot/ANAG_HUMAN","ANAG_HUMAN")</f>
        <v>ANAG_HUMAN</v>
      </c>
      <c r="D6699" t="s">
        <v>1379</v>
      </c>
      <c r="E6699" s="3" t="s">
        <v>28</v>
      </c>
      <c r="F6699" s="4">
        <v>0</v>
      </c>
      <c r="G6699" s="3">
        <v>1466</v>
      </c>
      <c r="H6699" s="3">
        <v>40</v>
      </c>
      <c r="I6699" s="3">
        <v>714</v>
      </c>
      <c r="J6699" s="3">
        <v>498</v>
      </c>
      <c r="K6699" s="3">
        <v>2627</v>
      </c>
      <c r="L6699" s="3">
        <v>74</v>
      </c>
      <c r="M6699" s="3">
        <v>735</v>
      </c>
    </row>
    <row r="6700" spans="1:13" x14ac:dyDescent="0.25">
      <c r="A6700" s="1" t="str">
        <f>HYPERLINK("http://www.rosaceae.org/Prunus/Prunus_persica/p.persica_gdr_reftransV1_0014277","p.persica_gdr_reftransV1_0014277")</f>
        <v>p.persica_gdr_reftransV1_0014277</v>
      </c>
      <c r="B6700" s="3">
        <v>1799</v>
      </c>
      <c r="C6700" s="1" t="str">
        <f>HYPERLINK("http://www.uniprot.org/uniprot/HEM21_ARATH","HEM21_ARATH")</f>
        <v>HEM21_ARATH</v>
      </c>
      <c r="D6700" t="s">
        <v>2076</v>
      </c>
      <c r="E6700" s="3" t="s">
        <v>3</v>
      </c>
      <c r="F6700" s="4">
        <v>1.09E-179</v>
      </c>
      <c r="G6700" s="3">
        <v>1345</v>
      </c>
      <c r="H6700" s="3">
        <v>81</v>
      </c>
      <c r="I6700" s="3">
        <v>362</v>
      </c>
      <c r="J6700" s="3">
        <v>559</v>
      </c>
      <c r="K6700" s="3">
        <v>1632</v>
      </c>
      <c r="L6700" s="3">
        <v>17</v>
      </c>
      <c r="M6700" s="3">
        <v>377</v>
      </c>
    </row>
    <row r="6701" spans="1:13" x14ac:dyDescent="0.25">
      <c r="A6701" s="1" t="str">
        <f>HYPERLINK("http://www.rosaceae.org/Prunus/Prunus_persica/p.persica_gdr_reftransV1_0014377","p.persica_gdr_reftransV1_0014377")</f>
        <v>p.persica_gdr_reftransV1_0014377</v>
      </c>
      <c r="B6701" s="3">
        <v>1979</v>
      </c>
      <c r="C6701" s="1" t="str">
        <f>HYPERLINK("http://www.uniprot.org/uniprot/RIO2_DICDI","RIO2_DICDI")</f>
        <v>RIO2_DICDI</v>
      </c>
      <c r="D6701" t="s">
        <v>5454</v>
      </c>
      <c r="E6701" s="3" t="s">
        <v>9</v>
      </c>
      <c r="F6701" s="4">
        <v>1.12E-123</v>
      </c>
      <c r="G6701" s="3">
        <v>986</v>
      </c>
      <c r="H6701" s="3">
        <v>59</v>
      </c>
      <c r="I6701" s="3">
        <v>322</v>
      </c>
      <c r="J6701" s="3">
        <v>849</v>
      </c>
      <c r="K6701" s="3">
        <v>1814</v>
      </c>
      <c r="L6701" s="3">
        <v>1</v>
      </c>
      <c r="M6701" s="3">
        <v>305</v>
      </c>
    </row>
    <row r="6702" spans="1:13" x14ac:dyDescent="0.25">
      <c r="A6702" s="1" t="str">
        <f>HYPERLINK("http://www.rosaceae.org/Prunus/Prunus_persica/p.persica_gdr_reftransV1_0014577","p.persica_gdr_reftransV1_0014577")</f>
        <v>p.persica_gdr_reftransV1_0014577</v>
      </c>
      <c r="B6702" s="3">
        <v>721</v>
      </c>
      <c r="C6702" s="1" t="str">
        <f>HYPERLINK("http://www.uniprot.org/uniprot/GLYT3_ARATH","GLYT3_ARATH")</f>
        <v>GLYT3_ARATH</v>
      </c>
      <c r="D6702" t="s">
        <v>2169</v>
      </c>
      <c r="E6702" s="3" t="s">
        <v>3</v>
      </c>
      <c r="F6702" s="4">
        <v>4.2800000000000001E-78</v>
      </c>
      <c r="G6702" s="3">
        <v>639</v>
      </c>
      <c r="H6702" s="3">
        <v>78</v>
      </c>
      <c r="I6702" s="3">
        <v>157</v>
      </c>
      <c r="J6702" s="3">
        <v>3</v>
      </c>
      <c r="K6702" s="3">
        <v>473</v>
      </c>
      <c r="L6702" s="3">
        <v>361</v>
      </c>
      <c r="M6702" s="3">
        <v>517</v>
      </c>
    </row>
    <row r="6703" spans="1:13" x14ac:dyDescent="0.25">
      <c r="A6703" s="1" t="str">
        <f>HYPERLINK("http://www.rosaceae.org/Prunus/Prunus_persica/p.persica_gdr_reftransV1_0014677","p.persica_gdr_reftransV1_0014677")</f>
        <v>p.persica_gdr_reftransV1_0014677</v>
      </c>
      <c r="B6703" s="3">
        <v>2287</v>
      </c>
      <c r="C6703" s="1" t="str">
        <f>HYPERLINK("http://www.uniprot.org/uniprot/OMT15_ORYSJ","OMT15_ORYSJ")</f>
        <v>OMT15_ORYSJ</v>
      </c>
      <c r="D6703" t="s">
        <v>5455</v>
      </c>
      <c r="E6703" s="3" t="s">
        <v>38</v>
      </c>
      <c r="F6703" s="4">
        <v>3.9700000000000002E-50</v>
      </c>
      <c r="G6703" s="3">
        <v>458</v>
      </c>
      <c r="H6703" s="3">
        <v>45</v>
      </c>
      <c r="I6703" s="3">
        <v>220</v>
      </c>
      <c r="J6703" s="3">
        <v>417</v>
      </c>
      <c r="K6703" s="3">
        <v>1037</v>
      </c>
      <c r="L6703" s="3">
        <v>31</v>
      </c>
      <c r="M6703" s="3">
        <v>250</v>
      </c>
    </row>
    <row r="6704" spans="1:13" x14ac:dyDescent="0.25">
      <c r="A6704" s="1" t="str">
        <f>HYPERLINK("http://www.rosaceae.org/Prunus/Prunus_persica/p.persica_gdr_reftransV1_0014827","p.persica_gdr_reftransV1_0014827")</f>
        <v>p.persica_gdr_reftransV1_0014827</v>
      </c>
      <c r="B6704" s="3">
        <v>2489</v>
      </c>
      <c r="C6704" s="1" t="str">
        <f>HYPERLINK("http://www.uniprot.org/uniprot/PI5K8_ARATH","PI5K8_ARATH")</f>
        <v>PI5K8_ARATH</v>
      </c>
      <c r="D6704" t="s">
        <v>5456</v>
      </c>
      <c r="E6704" s="3" t="s">
        <v>3</v>
      </c>
      <c r="F6704" s="4">
        <v>1.7699999999999998E-18</v>
      </c>
      <c r="G6704" s="3">
        <v>233</v>
      </c>
      <c r="H6704" s="3">
        <v>32</v>
      </c>
      <c r="I6704" s="3">
        <v>189</v>
      </c>
      <c r="J6704" s="3">
        <v>835</v>
      </c>
      <c r="K6704" s="3">
        <v>1401</v>
      </c>
      <c r="L6704" s="3">
        <v>1</v>
      </c>
      <c r="M6704" s="3">
        <v>162</v>
      </c>
    </row>
    <row r="6705" spans="1:13" x14ac:dyDescent="0.25">
      <c r="A6705" s="1" t="str">
        <f>HYPERLINK("http://www.rosaceae.org/Prunus/Prunus_persica/p.persica_gdr_reftransV1_0014877","p.persica_gdr_reftransV1_0014877")</f>
        <v>p.persica_gdr_reftransV1_0014877</v>
      </c>
      <c r="B6705" s="3">
        <v>1741</v>
      </c>
      <c r="C6705" s="1" t="str">
        <f>HYPERLINK("http://www.uniprot.org/uniprot/BRG1_ARATH","BRG1_ARATH")</f>
        <v>BRG1_ARATH</v>
      </c>
      <c r="D6705" t="s">
        <v>5457</v>
      </c>
      <c r="E6705" s="3" t="s">
        <v>3</v>
      </c>
      <c r="F6705" s="4">
        <v>2.9200000000000002E-55</v>
      </c>
      <c r="G6705" s="3">
        <v>493</v>
      </c>
      <c r="H6705" s="3">
        <v>59</v>
      </c>
      <c r="I6705" s="3">
        <v>194</v>
      </c>
      <c r="J6705" s="3">
        <v>941</v>
      </c>
      <c r="K6705" s="3">
        <v>1516</v>
      </c>
      <c r="L6705" s="3">
        <v>120</v>
      </c>
      <c r="M6705" s="3">
        <v>293</v>
      </c>
    </row>
    <row r="6706" spans="1:13" x14ac:dyDescent="0.25">
      <c r="A6706" s="1" t="str">
        <f>HYPERLINK("http://www.rosaceae.org/Prunus/Prunus_persica/p.persica_gdr_reftransV1_0015077","p.persica_gdr_reftransV1_0015077")</f>
        <v>p.persica_gdr_reftransV1_0015077</v>
      </c>
      <c r="B6706" s="3">
        <v>2917</v>
      </c>
      <c r="C6706" s="1" t="str">
        <f>HYPERLINK("http://www.uniprot.org/uniprot/EI2BG_DICDI","EI2BG_DICDI")</f>
        <v>EI2BG_DICDI</v>
      </c>
      <c r="D6706" t="s">
        <v>5458</v>
      </c>
      <c r="E6706" s="3" t="s">
        <v>9</v>
      </c>
      <c r="F6706" s="4">
        <v>2.27E-45</v>
      </c>
      <c r="G6706" s="3">
        <v>442</v>
      </c>
      <c r="H6706" s="3">
        <v>29</v>
      </c>
      <c r="I6706" s="3">
        <v>462</v>
      </c>
      <c r="J6706" s="3">
        <v>1016</v>
      </c>
      <c r="K6706" s="3">
        <v>2356</v>
      </c>
      <c r="L6706" s="3">
        <v>6</v>
      </c>
      <c r="M6706" s="3">
        <v>431</v>
      </c>
    </row>
    <row r="6707" spans="1:13" x14ac:dyDescent="0.25">
      <c r="A6707" s="1" t="str">
        <f>HYPERLINK("http://www.rosaceae.org/Prunus/Prunus_persica/p.persica_gdr_reftransV1_0015127","p.persica_gdr_reftransV1_0015127")</f>
        <v>p.persica_gdr_reftransV1_0015127</v>
      </c>
      <c r="B6707" s="3">
        <v>3146</v>
      </c>
      <c r="C6707" s="1" t="str">
        <f>HYPERLINK("http://www.uniprot.org/uniprot/P2C29_ARATH","P2C29_ARATH")</f>
        <v>P2C29_ARATH</v>
      </c>
      <c r="D6707" t="s">
        <v>5459</v>
      </c>
      <c r="E6707" s="3" t="s">
        <v>3</v>
      </c>
      <c r="F6707" s="4">
        <v>0</v>
      </c>
      <c r="G6707" s="3">
        <v>2024</v>
      </c>
      <c r="H6707" s="3">
        <v>60</v>
      </c>
      <c r="I6707" s="3">
        <v>819</v>
      </c>
      <c r="J6707" s="3">
        <v>663</v>
      </c>
      <c r="K6707" s="3">
        <v>2993</v>
      </c>
      <c r="L6707" s="3">
        <v>1</v>
      </c>
      <c r="M6707" s="3">
        <v>783</v>
      </c>
    </row>
    <row r="6708" spans="1:13" x14ac:dyDescent="0.25">
      <c r="A6708" s="1" t="str">
        <f>HYPERLINK("http://www.rosaceae.org/Prunus/Prunus_persica/p.persica_gdr_reftransV1_0015177","p.persica_gdr_reftransV1_0015177")</f>
        <v>p.persica_gdr_reftransV1_0015177</v>
      </c>
      <c r="B6708" s="3">
        <v>1866</v>
      </c>
      <c r="C6708" s="1" t="str">
        <f>HYPERLINK("http://www.uniprot.org/uniprot/COQ6_DANRE","COQ6_DANRE")</f>
        <v>COQ6_DANRE</v>
      </c>
      <c r="D6708" t="s">
        <v>5460</v>
      </c>
      <c r="E6708" s="3" t="s">
        <v>704</v>
      </c>
      <c r="F6708" s="4">
        <v>6.09E-70</v>
      </c>
      <c r="G6708" s="3">
        <v>613</v>
      </c>
      <c r="H6708" s="3">
        <v>31</v>
      </c>
      <c r="I6708" s="3">
        <v>514</v>
      </c>
      <c r="J6708" s="3">
        <v>219</v>
      </c>
      <c r="K6708" s="3">
        <v>1727</v>
      </c>
      <c r="L6708" s="3">
        <v>41</v>
      </c>
      <c r="M6708" s="3">
        <v>483</v>
      </c>
    </row>
    <row r="6709" spans="1:13" x14ac:dyDescent="0.25">
      <c r="A6709" s="1" t="str">
        <f>HYPERLINK("http://www.rosaceae.org/Prunus/Prunus_persica/p.persica_gdr_reftransV1_0015377","p.persica_gdr_reftransV1_0015377")</f>
        <v>p.persica_gdr_reftransV1_0015377</v>
      </c>
      <c r="B6709" s="3">
        <v>1625</v>
      </c>
      <c r="C6709" s="1" t="str">
        <f>HYPERLINK("http://www.uniprot.org/uniprot/Y5597_ARATH","Y5597_ARATH")</f>
        <v>Y5597_ARATH</v>
      </c>
      <c r="D6709" t="s">
        <v>5461</v>
      </c>
      <c r="E6709" s="3" t="s">
        <v>3</v>
      </c>
      <c r="F6709" s="4">
        <v>1.22E-79</v>
      </c>
      <c r="G6709" s="3">
        <v>696</v>
      </c>
      <c r="H6709" s="3">
        <v>49</v>
      </c>
      <c r="I6709" s="3">
        <v>310</v>
      </c>
      <c r="J6709" s="3">
        <v>641</v>
      </c>
      <c r="K6709" s="3">
        <v>1567</v>
      </c>
      <c r="L6709" s="3">
        <v>1</v>
      </c>
      <c r="M6709" s="3">
        <v>305</v>
      </c>
    </row>
    <row r="6710" spans="1:13" x14ac:dyDescent="0.25">
      <c r="A6710" s="1" t="str">
        <f>HYPERLINK("http://www.rosaceae.org/Prunus/Prunus_persica/p.persica_gdr_reftransV1_0015577","p.persica_gdr_reftransV1_0015577")</f>
        <v>p.persica_gdr_reftransV1_0015577</v>
      </c>
      <c r="B6710" s="3">
        <v>4364</v>
      </c>
      <c r="C6710" s="1" t="str">
        <f>HYPERLINK("http://www.uniprot.org/uniprot/BTR1_ARATH","BTR1_ARATH")</f>
        <v>BTR1_ARATH</v>
      </c>
      <c r="D6710" t="s">
        <v>4120</v>
      </c>
      <c r="E6710" s="3" t="s">
        <v>3</v>
      </c>
      <c r="F6710" s="4">
        <v>1.53E-63</v>
      </c>
      <c r="G6710" s="3">
        <v>573</v>
      </c>
      <c r="H6710" s="3">
        <v>67</v>
      </c>
      <c r="I6710" s="3">
        <v>207</v>
      </c>
      <c r="J6710" s="3">
        <v>3477</v>
      </c>
      <c r="K6710" s="3">
        <v>4097</v>
      </c>
      <c r="L6710" s="3">
        <v>1</v>
      </c>
      <c r="M6710" s="3">
        <v>207</v>
      </c>
    </row>
    <row r="6711" spans="1:13" x14ac:dyDescent="0.25">
      <c r="A6711" s="1" t="str">
        <f>HYPERLINK("http://www.rosaceae.org/Prunus/Prunus_persica/p.persica_gdr_reftransV1_0015927","p.persica_gdr_reftransV1_0015927")</f>
        <v>p.persica_gdr_reftransV1_0015927</v>
      </c>
      <c r="B6711" s="3">
        <v>1224</v>
      </c>
      <c r="C6711" s="1" t="str">
        <f>HYPERLINK("http://www.uniprot.org/uniprot/HS174_ARATH","HS174_ARATH")</f>
        <v>HS174_ARATH</v>
      </c>
      <c r="D6711" t="s">
        <v>5462</v>
      </c>
      <c r="E6711" s="3" t="s">
        <v>3</v>
      </c>
      <c r="F6711" s="4">
        <v>1.43E-37</v>
      </c>
      <c r="G6711" s="3">
        <v>349</v>
      </c>
      <c r="H6711" s="3">
        <v>56</v>
      </c>
      <c r="I6711" s="3">
        <v>129</v>
      </c>
      <c r="J6711" s="3">
        <v>390</v>
      </c>
      <c r="K6711" s="3">
        <v>761</v>
      </c>
      <c r="L6711" s="3">
        <v>3</v>
      </c>
      <c r="M6711" s="3">
        <v>131</v>
      </c>
    </row>
    <row r="6712" spans="1:13" x14ac:dyDescent="0.25">
      <c r="A6712" s="1" t="str">
        <f>HYPERLINK("http://www.rosaceae.org/Prunus/Prunus_persica/p.persica_gdr_reftransV1_0016227","p.persica_gdr_reftransV1_0016227")</f>
        <v>p.persica_gdr_reftransV1_0016227</v>
      </c>
      <c r="B6712" s="3">
        <v>2426</v>
      </c>
      <c r="C6712" s="1" t="str">
        <f>HYPERLINK("http://www.uniprot.org/uniprot/PT311_ARATH","PT311_ARATH")</f>
        <v>PT311_ARATH</v>
      </c>
      <c r="D6712" t="s">
        <v>5463</v>
      </c>
      <c r="E6712" s="3" t="s">
        <v>3</v>
      </c>
      <c r="F6712" s="4">
        <v>3.4699999999999998E-164</v>
      </c>
      <c r="G6712" s="3">
        <v>1249</v>
      </c>
      <c r="H6712" s="3">
        <v>90</v>
      </c>
      <c r="I6712" s="3">
        <v>260</v>
      </c>
      <c r="J6712" s="3">
        <v>433</v>
      </c>
      <c r="K6712" s="3">
        <v>1212</v>
      </c>
      <c r="L6712" s="3">
        <v>2</v>
      </c>
      <c r="M6712" s="3">
        <v>261</v>
      </c>
    </row>
    <row r="6713" spans="1:13" x14ac:dyDescent="0.25">
      <c r="A6713" s="1" t="str">
        <f>HYPERLINK("http://www.rosaceae.org/Prunus/Prunus_persica/p.persica_gdr_reftransV1_0016377","p.persica_gdr_reftransV1_0016377")</f>
        <v>p.persica_gdr_reftransV1_0016377</v>
      </c>
      <c r="B6713" s="3">
        <v>2584</v>
      </c>
      <c r="C6713" s="1" t="str">
        <f>HYPERLINK("http://www.uniprot.org/uniprot/GAUT6_ARATH","GAUT6_ARATH")</f>
        <v>GAUT6_ARATH</v>
      </c>
      <c r="D6713" t="s">
        <v>5464</v>
      </c>
      <c r="E6713" s="3" t="s">
        <v>3</v>
      </c>
      <c r="F6713" s="4">
        <v>0</v>
      </c>
      <c r="G6713" s="3">
        <v>1638</v>
      </c>
      <c r="H6713" s="3">
        <v>54</v>
      </c>
      <c r="I6713" s="3">
        <v>633</v>
      </c>
      <c r="J6713" s="3">
        <v>451</v>
      </c>
      <c r="K6713" s="3">
        <v>2331</v>
      </c>
      <c r="L6713" s="3">
        <v>1</v>
      </c>
      <c r="M6713" s="3">
        <v>589</v>
      </c>
    </row>
    <row r="6714" spans="1:13" x14ac:dyDescent="0.25">
      <c r="A6714" s="1" t="str">
        <f>HYPERLINK("http://www.rosaceae.org/Prunus/Prunus_persica/p.persica_gdr_reftransV1_0016427","p.persica_gdr_reftransV1_0016427")</f>
        <v>p.persica_gdr_reftransV1_0016427</v>
      </c>
      <c r="B6714" s="3">
        <v>1259</v>
      </c>
      <c r="C6714" s="1" t="str">
        <f>HYPERLINK("http://www.uniprot.org/uniprot/ECE2_HUMAN","ECE2_HUMAN")</f>
        <v>ECE2_HUMAN</v>
      </c>
      <c r="D6714" t="s">
        <v>5465</v>
      </c>
      <c r="E6714" s="3" t="s">
        <v>28</v>
      </c>
      <c r="F6714" s="4">
        <v>9.6899999999999994E-17</v>
      </c>
      <c r="G6714" s="3">
        <v>212</v>
      </c>
      <c r="H6714" s="3">
        <v>35</v>
      </c>
      <c r="I6714" s="3">
        <v>126</v>
      </c>
      <c r="J6714" s="3">
        <v>157</v>
      </c>
      <c r="K6714" s="3">
        <v>525</v>
      </c>
      <c r="L6714" s="3">
        <v>14</v>
      </c>
      <c r="M6714" s="3">
        <v>137</v>
      </c>
    </row>
    <row r="6715" spans="1:13" x14ac:dyDescent="0.25">
      <c r="A6715" s="1" t="str">
        <f>HYPERLINK("http://www.rosaceae.org/Prunus/Prunus_persica/p.persica_gdr_reftransV1_0016527","p.persica_gdr_reftransV1_0016527")</f>
        <v>p.persica_gdr_reftransV1_0016527</v>
      </c>
      <c r="B6715" s="3">
        <v>3195</v>
      </c>
      <c r="C6715" s="1" t="str">
        <f>HYPERLINK("http://www.uniprot.org/uniprot/PP287_ARATH","PP287_ARATH")</f>
        <v>PP287_ARATH</v>
      </c>
      <c r="D6715" t="s">
        <v>3664</v>
      </c>
      <c r="E6715" s="3" t="s">
        <v>3</v>
      </c>
      <c r="F6715" s="4">
        <v>0</v>
      </c>
      <c r="G6715" s="3">
        <v>1494</v>
      </c>
      <c r="H6715" s="3">
        <v>75</v>
      </c>
      <c r="I6715" s="3">
        <v>379</v>
      </c>
      <c r="J6715" s="3">
        <v>1949</v>
      </c>
      <c r="K6715" s="3">
        <v>3082</v>
      </c>
      <c r="L6715" s="3">
        <v>1</v>
      </c>
      <c r="M6715" s="3">
        <v>379</v>
      </c>
    </row>
    <row r="6716" spans="1:13" x14ac:dyDescent="0.25">
      <c r="A6716" s="1" t="str">
        <f>HYPERLINK("http://www.rosaceae.org/Prunus/Prunus_persica/p.persica_gdr_reftransV1_0016727","p.persica_gdr_reftransV1_0016727")</f>
        <v>p.persica_gdr_reftransV1_0016727</v>
      </c>
      <c r="B6716" s="3">
        <v>4807</v>
      </c>
      <c r="C6716" s="1" t="str">
        <f>HYPERLINK("http://www.uniprot.org/uniprot/T11L1_HUMAN","T11L1_HUMAN")</f>
        <v>T11L1_HUMAN</v>
      </c>
      <c r="D6716" t="s">
        <v>5466</v>
      </c>
      <c r="E6716" s="3" t="s">
        <v>28</v>
      </c>
      <c r="F6716" s="4">
        <v>9.5499999999999996E-7</v>
      </c>
      <c r="G6716" s="3">
        <v>137</v>
      </c>
      <c r="H6716" s="3">
        <v>27</v>
      </c>
      <c r="I6716" s="3">
        <v>106</v>
      </c>
      <c r="J6716" s="3">
        <v>2350</v>
      </c>
      <c r="K6716" s="3">
        <v>2658</v>
      </c>
      <c r="L6716" s="3">
        <v>97</v>
      </c>
      <c r="M6716" s="3">
        <v>199</v>
      </c>
    </row>
    <row r="6717" spans="1:13" x14ac:dyDescent="0.25">
      <c r="A6717" s="1" t="str">
        <f>HYPERLINK("http://www.rosaceae.org/Prunus/Prunus_persica/p.persica_gdr_reftransV1_0016777","p.persica_gdr_reftransV1_0016777")</f>
        <v>p.persica_gdr_reftransV1_0016777</v>
      </c>
      <c r="B6717" s="3">
        <v>2389</v>
      </c>
      <c r="C6717" s="1" t="str">
        <f>HYPERLINK("http://www.uniprot.org/uniprot/ARR11_ARATH","ARR11_ARATH")</f>
        <v>ARR11_ARATH</v>
      </c>
      <c r="D6717" t="s">
        <v>5467</v>
      </c>
      <c r="E6717" s="3" t="s">
        <v>3</v>
      </c>
      <c r="F6717" s="4">
        <v>6.3499999999999995E-126</v>
      </c>
      <c r="G6717" s="3">
        <v>1012</v>
      </c>
      <c r="H6717" s="3">
        <v>54</v>
      </c>
      <c r="I6717" s="3">
        <v>428</v>
      </c>
      <c r="J6717" s="3">
        <v>152</v>
      </c>
      <c r="K6717" s="3">
        <v>1414</v>
      </c>
      <c r="L6717" s="3">
        <v>8</v>
      </c>
      <c r="M6717" s="3">
        <v>374</v>
      </c>
    </row>
    <row r="6718" spans="1:13" x14ac:dyDescent="0.25">
      <c r="A6718" s="1" t="str">
        <f>HYPERLINK("http://www.rosaceae.org/Prunus/Prunus_persica/p.persica_gdr_reftransV1_0016877","p.persica_gdr_reftransV1_0016877")</f>
        <v>p.persica_gdr_reftransV1_0016877</v>
      </c>
      <c r="B6718" s="3">
        <v>3778</v>
      </c>
      <c r="C6718" s="1" t="str">
        <f>HYPERLINK("http://www.uniprot.org/uniprot/CDC5L_ARATH","CDC5L_ARATH")</f>
        <v>CDC5L_ARATH</v>
      </c>
      <c r="D6718" t="s">
        <v>5468</v>
      </c>
      <c r="E6718" s="3" t="s">
        <v>3</v>
      </c>
      <c r="F6718" s="4">
        <v>0</v>
      </c>
      <c r="G6718" s="3">
        <v>2985</v>
      </c>
      <c r="H6718" s="3">
        <v>77</v>
      </c>
      <c r="I6718" s="3">
        <v>818</v>
      </c>
      <c r="J6718" s="3">
        <v>1061</v>
      </c>
      <c r="K6718" s="3">
        <v>3487</v>
      </c>
      <c r="L6718" s="3">
        <v>1</v>
      </c>
      <c r="M6718" s="3">
        <v>815</v>
      </c>
    </row>
    <row r="6719" spans="1:13" x14ac:dyDescent="0.25">
      <c r="A6719" s="1" t="str">
        <f>HYPERLINK("http://www.rosaceae.org/Prunus/Prunus_persica/p.persica_gdr_reftransV1_0017077","p.persica_gdr_reftransV1_0017077")</f>
        <v>p.persica_gdr_reftransV1_0017077</v>
      </c>
      <c r="B6719" s="3">
        <v>1598</v>
      </c>
      <c r="C6719" s="1" t="str">
        <f>HYPERLINK("http://www.uniprot.org/uniprot/EIF1A_DANRE","EIF1A_DANRE")</f>
        <v>EIF1A_DANRE</v>
      </c>
      <c r="D6719" t="s">
        <v>5469</v>
      </c>
      <c r="E6719" s="3" t="s">
        <v>704</v>
      </c>
      <c r="F6719" s="4">
        <v>1.19E-12</v>
      </c>
      <c r="G6719" s="3">
        <v>172</v>
      </c>
      <c r="H6719" s="3">
        <v>37</v>
      </c>
      <c r="I6719" s="3">
        <v>102</v>
      </c>
      <c r="J6719" s="3">
        <v>1105</v>
      </c>
      <c r="K6719" s="3">
        <v>1410</v>
      </c>
      <c r="L6719" s="3">
        <v>7</v>
      </c>
      <c r="M6719" s="3">
        <v>102</v>
      </c>
    </row>
    <row r="6720" spans="1:13" x14ac:dyDescent="0.25">
      <c r="A6720" s="1" t="str">
        <f>HYPERLINK("http://www.rosaceae.org/Prunus/Prunus_persica/p.persica_gdr_reftransV1_0017177","p.persica_gdr_reftransV1_0017177")</f>
        <v>p.persica_gdr_reftransV1_0017177</v>
      </c>
      <c r="B6720" s="3">
        <v>1163</v>
      </c>
      <c r="C6720" s="1" t="str">
        <f>HYPERLINK("http://www.uniprot.org/uniprot/TMVRN_NICGU","TMVRN_NICGU")</f>
        <v>TMVRN_NICGU</v>
      </c>
      <c r="D6720" t="s">
        <v>151</v>
      </c>
      <c r="E6720" s="3" t="s">
        <v>152</v>
      </c>
      <c r="F6720" s="4">
        <v>5.9700000000000003E-76</v>
      </c>
      <c r="G6720" s="3">
        <v>663</v>
      </c>
      <c r="H6720" s="3">
        <v>39</v>
      </c>
      <c r="I6720" s="3">
        <v>380</v>
      </c>
      <c r="J6720" s="3">
        <v>26</v>
      </c>
      <c r="K6720" s="3">
        <v>1150</v>
      </c>
      <c r="L6720" s="3">
        <v>310</v>
      </c>
      <c r="M6720" s="3">
        <v>683</v>
      </c>
    </row>
    <row r="6721" spans="1:13" x14ac:dyDescent="0.25">
      <c r="A6721" s="1" t="str">
        <f>HYPERLINK("http://www.rosaceae.org/Prunus/Prunus_persica/p.persica_gdr_reftransV1_0017377","p.persica_gdr_reftransV1_0017377")</f>
        <v>p.persica_gdr_reftransV1_0017377</v>
      </c>
      <c r="B6721" s="3">
        <v>1707</v>
      </c>
      <c r="C6721" s="1" t="str">
        <f>HYPERLINK("http://www.uniprot.org/uniprot/PUP9_ARATH","PUP9_ARATH")</f>
        <v>PUP9_ARATH</v>
      </c>
      <c r="D6721" t="s">
        <v>1496</v>
      </c>
      <c r="E6721" s="3" t="s">
        <v>3</v>
      </c>
      <c r="F6721" s="4">
        <v>3.1100000000000002E-119</v>
      </c>
      <c r="G6721" s="3">
        <v>936</v>
      </c>
      <c r="H6721" s="3">
        <v>59</v>
      </c>
      <c r="I6721" s="3">
        <v>380</v>
      </c>
      <c r="J6721" s="3">
        <v>223</v>
      </c>
      <c r="K6721" s="3">
        <v>1341</v>
      </c>
      <c r="L6721" s="3">
        <v>1</v>
      </c>
      <c r="M6721" s="3">
        <v>370</v>
      </c>
    </row>
    <row r="6722" spans="1:13" x14ac:dyDescent="0.25">
      <c r="A6722" s="1" t="str">
        <f>HYPERLINK("http://www.rosaceae.org/Prunus/Prunus_persica/p.persica_gdr_reftransV1_0017477","p.persica_gdr_reftransV1_0017477")</f>
        <v>p.persica_gdr_reftransV1_0017477</v>
      </c>
      <c r="B6722" s="3">
        <v>489</v>
      </c>
      <c r="C6722" s="1" t="str">
        <f>HYPERLINK("http://www.uniprot.org/uniprot/TLP1_PYRPY","TLP1_PYRPY")</f>
        <v>TLP1_PYRPY</v>
      </c>
      <c r="D6722" t="s">
        <v>5470</v>
      </c>
      <c r="E6722" s="3" t="s">
        <v>2862</v>
      </c>
      <c r="F6722" s="4">
        <v>5.34E-60</v>
      </c>
      <c r="G6722" s="3">
        <v>489</v>
      </c>
      <c r="H6722" s="3">
        <v>81</v>
      </c>
      <c r="I6722" s="3">
        <v>136</v>
      </c>
      <c r="J6722" s="3">
        <v>3</v>
      </c>
      <c r="K6722" s="3">
        <v>401</v>
      </c>
      <c r="L6722" s="3">
        <v>1</v>
      </c>
      <c r="M6722" s="3">
        <v>136</v>
      </c>
    </row>
    <row r="6723" spans="1:13" x14ac:dyDescent="0.25">
      <c r="A6723" s="1" t="str">
        <f>HYPERLINK("http://www.rosaceae.org/Prunus/Prunus_persica/p.persica_gdr_reftransV1_0017577","p.persica_gdr_reftransV1_0017577")</f>
        <v>p.persica_gdr_reftransV1_0017577</v>
      </c>
      <c r="B6723" s="3">
        <v>1774</v>
      </c>
      <c r="C6723" s="1" t="str">
        <f>HYPERLINK("http://www.uniprot.org/uniprot/ACA1_ORYSJ","ACA1_ORYSJ")</f>
        <v>ACA1_ORYSJ</v>
      </c>
      <c r="D6723" t="s">
        <v>5471</v>
      </c>
      <c r="E6723" s="3" t="s">
        <v>38</v>
      </c>
      <c r="F6723" s="4">
        <v>6.3599999999999997E-83</v>
      </c>
      <c r="G6723" s="3">
        <v>465</v>
      </c>
      <c r="H6723" s="3">
        <v>81</v>
      </c>
      <c r="I6723" s="3">
        <v>101</v>
      </c>
      <c r="J6723" s="3">
        <v>330</v>
      </c>
      <c r="K6723" s="3">
        <v>632</v>
      </c>
      <c r="L6723" s="3">
        <v>839</v>
      </c>
      <c r="M6723" s="3">
        <v>939</v>
      </c>
    </row>
    <row r="6724" spans="1:13" x14ac:dyDescent="0.25">
      <c r="A6724" s="1" t="str">
        <f>HYPERLINK("http://www.rosaceae.org/Prunus/Prunus_persica/p.persica_gdr_reftransV1_0017727","p.persica_gdr_reftransV1_0017727")</f>
        <v>p.persica_gdr_reftransV1_0017727</v>
      </c>
      <c r="B6724" s="3">
        <v>2009</v>
      </c>
      <c r="C6724" s="1" t="str">
        <f>HYPERLINK("http://www.uniprot.org/uniprot/U80B1_ARATH","U80B1_ARATH")</f>
        <v>U80B1_ARATH</v>
      </c>
      <c r="D6724" t="s">
        <v>5472</v>
      </c>
      <c r="E6724" s="3" t="s">
        <v>3</v>
      </c>
      <c r="F6724" s="4">
        <v>2.4900000000000002E-7</v>
      </c>
      <c r="G6724" s="3">
        <v>138</v>
      </c>
      <c r="H6724" s="3">
        <v>26</v>
      </c>
      <c r="I6724" s="3">
        <v>310</v>
      </c>
      <c r="J6724" s="3">
        <v>447</v>
      </c>
      <c r="K6724" s="3">
        <v>1367</v>
      </c>
      <c r="L6724" s="3">
        <v>332</v>
      </c>
      <c r="M6724" s="3">
        <v>567</v>
      </c>
    </row>
    <row r="6725" spans="1:13" x14ac:dyDescent="0.25">
      <c r="A6725" s="1" t="str">
        <f>HYPERLINK("http://www.rosaceae.org/Prunus/Prunus_persica/p.persica_gdr_reftransV1_0017777","p.persica_gdr_reftransV1_0017777")</f>
        <v>p.persica_gdr_reftransV1_0017777</v>
      </c>
      <c r="B6725" s="3">
        <v>2046</v>
      </c>
      <c r="C6725" s="1" t="str">
        <f>HYPERLINK("http://www.uniprot.org/uniprot/YA71_SCHPO","YA71_SCHPO")</f>
        <v>YA71_SCHPO</v>
      </c>
      <c r="D6725" t="s">
        <v>5473</v>
      </c>
      <c r="E6725" s="3" t="s">
        <v>464</v>
      </c>
      <c r="F6725" s="4">
        <v>1.41E-79</v>
      </c>
      <c r="G6725" s="3">
        <v>691</v>
      </c>
      <c r="H6725" s="3">
        <v>32</v>
      </c>
      <c r="I6725" s="3">
        <v>488</v>
      </c>
      <c r="J6725" s="3">
        <v>402</v>
      </c>
      <c r="K6725" s="3">
        <v>1841</v>
      </c>
      <c r="L6725" s="3">
        <v>95</v>
      </c>
      <c r="M6725" s="3">
        <v>575</v>
      </c>
    </row>
    <row r="6726" spans="1:13" x14ac:dyDescent="0.25">
      <c r="A6726" s="1" t="str">
        <f>HYPERLINK("http://www.rosaceae.org/Prunus/Prunus_persica/p.persica_gdr_reftransV1_0018077","p.persica_gdr_reftransV1_0018077")</f>
        <v>p.persica_gdr_reftransV1_0018077</v>
      </c>
      <c r="B6726" s="3">
        <v>1256</v>
      </c>
      <c r="C6726" s="1" t="str">
        <f>HYPERLINK("http://www.uniprot.org/uniprot/RAB7_PRUAR","RAB7_PRUAR")</f>
        <v>RAB7_PRUAR</v>
      </c>
      <c r="D6726" t="s">
        <v>5474</v>
      </c>
      <c r="E6726" s="3" t="s">
        <v>62</v>
      </c>
      <c r="F6726" s="4">
        <v>8.6399999999999999E-125</v>
      </c>
      <c r="G6726" s="3">
        <v>941</v>
      </c>
      <c r="H6726" s="3">
        <v>96</v>
      </c>
      <c r="I6726" s="3">
        <v>181</v>
      </c>
      <c r="J6726" s="3">
        <v>390</v>
      </c>
      <c r="K6726" s="3">
        <v>932</v>
      </c>
      <c r="L6726" s="3">
        <v>27</v>
      </c>
      <c r="M6726" s="3">
        <v>207</v>
      </c>
    </row>
    <row r="6727" spans="1:13" x14ac:dyDescent="0.25">
      <c r="A6727" s="1" t="str">
        <f>HYPERLINK("http://www.rosaceae.org/Prunus/Prunus_persica/p.persica_gdr_reftransV1_0018227","p.persica_gdr_reftransV1_0018227")</f>
        <v>p.persica_gdr_reftransV1_0018227</v>
      </c>
      <c r="B6727" s="3">
        <v>2134</v>
      </c>
      <c r="C6727" s="1" t="str">
        <f>HYPERLINK("http://www.uniprot.org/uniprot/PSUK_ECOLI","PSUK_ECOLI")</f>
        <v>PSUK_ECOLI</v>
      </c>
      <c r="D6727" t="s">
        <v>5475</v>
      </c>
      <c r="E6727" s="3" t="s">
        <v>2372</v>
      </c>
      <c r="F6727" s="4">
        <v>3.6600000000000002E-7</v>
      </c>
      <c r="G6727" s="3">
        <v>134</v>
      </c>
      <c r="H6727" s="3">
        <v>29</v>
      </c>
      <c r="I6727" s="3">
        <v>124</v>
      </c>
      <c r="J6727" s="3">
        <v>522</v>
      </c>
      <c r="K6727" s="3">
        <v>893</v>
      </c>
      <c r="L6727" s="3">
        <v>27</v>
      </c>
      <c r="M6727" s="3">
        <v>149</v>
      </c>
    </row>
    <row r="6728" spans="1:13" x14ac:dyDescent="0.25">
      <c r="A6728" s="1" t="str">
        <f>HYPERLINK("http://www.rosaceae.org/Prunus/Prunus_persica/p.persica_gdr_reftransV1_0018627","p.persica_gdr_reftransV1_0018627")</f>
        <v>p.persica_gdr_reftransV1_0018627</v>
      </c>
      <c r="B6728" s="3">
        <v>1279</v>
      </c>
      <c r="C6728" s="1" t="str">
        <f>HYPERLINK("http://www.uniprot.org/uniprot/CAF1I_ARATH","CAF1I_ARATH")</f>
        <v>CAF1I_ARATH</v>
      </c>
      <c r="D6728" t="s">
        <v>5476</v>
      </c>
      <c r="E6728" s="3" t="s">
        <v>3</v>
      </c>
      <c r="F6728" s="4">
        <v>2.6499999999999998E-121</v>
      </c>
      <c r="G6728" s="3">
        <v>926</v>
      </c>
      <c r="H6728" s="3">
        <v>65</v>
      </c>
      <c r="I6728" s="3">
        <v>286</v>
      </c>
      <c r="J6728" s="3">
        <v>205</v>
      </c>
      <c r="K6728" s="3">
        <v>1053</v>
      </c>
      <c r="L6728" s="3">
        <v>2</v>
      </c>
      <c r="M6728" s="3">
        <v>279</v>
      </c>
    </row>
    <row r="6729" spans="1:13" x14ac:dyDescent="0.25">
      <c r="A6729" s="1" t="str">
        <f>HYPERLINK("http://www.rosaceae.org/Prunus/Prunus_persica/p.persica_gdr_reftransV1_0018677","p.persica_gdr_reftransV1_0018677")</f>
        <v>p.persica_gdr_reftransV1_0018677</v>
      </c>
      <c r="B6729" s="3">
        <v>2871</v>
      </c>
      <c r="C6729" s="1" t="str">
        <f>HYPERLINK("http://www.uniprot.org/uniprot/RENT3_ARATH","RENT3_ARATH")</f>
        <v>RENT3_ARATH</v>
      </c>
      <c r="D6729" t="s">
        <v>5477</v>
      </c>
      <c r="E6729" s="3" t="s">
        <v>3</v>
      </c>
      <c r="F6729" s="4">
        <v>5.4099999999999996E-60</v>
      </c>
      <c r="G6729" s="3">
        <v>553</v>
      </c>
      <c r="H6729" s="3">
        <v>39</v>
      </c>
      <c r="I6729" s="3">
        <v>425</v>
      </c>
      <c r="J6729" s="3">
        <v>882</v>
      </c>
      <c r="K6729" s="3">
        <v>2072</v>
      </c>
      <c r="L6729" s="3">
        <v>83</v>
      </c>
      <c r="M6729" s="3">
        <v>477</v>
      </c>
    </row>
    <row r="6730" spans="1:13" x14ac:dyDescent="0.25">
      <c r="A6730" s="1" t="str">
        <f>HYPERLINK("http://www.rosaceae.org/Prunus/Prunus_persica/p.persica_gdr_reftransV1_0018727","p.persica_gdr_reftransV1_0018727")</f>
        <v>p.persica_gdr_reftransV1_0018727</v>
      </c>
      <c r="B6730" s="3">
        <v>1365</v>
      </c>
      <c r="C6730" s="1" t="str">
        <f>HYPERLINK("http://www.uniprot.org/uniprot/SLMH_HYDIT","SLMH_HYDIT")</f>
        <v>SLMH_HYDIT</v>
      </c>
      <c r="D6730" t="s">
        <v>5478</v>
      </c>
      <c r="E6730" s="3" t="s">
        <v>5479</v>
      </c>
      <c r="F6730" s="4">
        <v>7.2300000000000001E-9</v>
      </c>
      <c r="G6730" s="3">
        <v>146</v>
      </c>
      <c r="H6730" s="3">
        <v>24</v>
      </c>
      <c r="I6730" s="3">
        <v>288</v>
      </c>
      <c r="J6730" s="3">
        <v>472</v>
      </c>
      <c r="K6730" s="3">
        <v>1308</v>
      </c>
      <c r="L6730" s="3">
        <v>2</v>
      </c>
      <c r="M6730" s="3">
        <v>254</v>
      </c>
    </row>
    <row r="6731" spans="1:13" x14ac:dyDescent="0.25">
      <c r="A6731" s="1" t="str">
        <f>HYPERLINK("http://www.rosaceae.org/Prunus/Prunus_persica/p.persica_gdr_reftransV1_0018977","p.persica_gdr_reftransV1_0018977")</f>
        <v>p.persica_gdr_reftransV1_0018977</v>
      </c>
      <c r="B6731" s="3">
        <v>1681</v>
      </c>
      <c r="C6731" s="1" t="str">
        <f>HYPERLINK("http://www.uniprot.org/uniprot/KPRS5_ARATH","KPRS5_ARATH")</f>
        <v>KPRS5_ARATH</v>
      </c>
      <c r="D6731" t="s">
        <v>5480</v>
      </c>
      <c r="E6731" s="3" t="s">
        <v>3</v>
      </c>
      <c r="F6731" s="4">
        <v>0</v>
      </c>
      <c r="G6731" s="3">
        <v>1657</v>
      </c>
      <c r="H6731" s="3">
        <v>83</v>
      </c>
      <c r="I6731" s="3">
        <v>379</v>
      </c>
      <c r="J6731" s="3">
        <v>181</v>
      </c>
      <c r="K6731" s="3">
        <v>1305</v>
      </c>
      <c r="L6731" s="3">
        <v>17</v>
      </c>
      <c r="M6731" s="3">
        <v>394</v>
      </c>
    </row>
    <row r="6732" spans="1:13" x14ac:dyDescent="0.25">
      <c r="A6732" s="1" t="str">
        <f>HYPERLINK("http://www.rosaceae.org/Prunus/Prunus_persica/p.persica_gdr_reftransV1_0019027","p.persica_gdr_reftransV1_0019027")</f>
        <v>p.persica_gdr_reftransV1_0019027</v>
      </c>
      <c r="B6732" s="3">
        <v>823</v>
      </c>
      <c r="C6732" s="1" t="str">
        <f>HYPERLINK("http://www.uniprot.org/uniprot/ATCA1_ARATH","ATCA1_ARATH")</f>
        <v>ATCA1_ARATH</v>
      </c>
      <c r="D6732" t="s">
        <v>5481</v>
      </c>
      <c r="E6732" s="3" t="s">
        <v>3</v>
      </c>
      <c r="F6732" s="4">
        <v>1.26E-42</v>
      </c>
      <c r="G6732" s="3">
        <v>385</v>
      </c>
      <c r="H6732" s="3">
        <v>51</v>
      </c>
      <c r="I6732" s="3">
        <v>145</v>
      </c>
      <c r="J6732" s="3">
        <v>77</v>
      </c>
      <c r="K6732" s="3">
        <v>508</v>
      </c>
      <c r="L6732" s="3">
        <v>126</v>
      </c>
      <c r="M6732" s="3">
        <v>270</v>
      </c>
    </row>
    <row r="6733" spans="1:13" x14ac:dyDescent="0.25">
      <c r="A6733" s="1" t="str">
        <f>HYPERLINK("http://www.rosaceae.org/Prunus/Prunus_persica/p.persica_gdr_reftransV1_0019077","p.persica_gdr_reftransV1_0019077")</f>
        <v>p.persica_gdr_reftransV1_0019077</v>
      </c>
      <c r="B6733" s="3">
        <v>5286</v>
      </c>
      <c r="C6733" s="1" t="str">
        <f>HYPERLINK("http://www.uniprot.org/uniprot/NLP5_ARATH","NLP5_ARATH")</f>
        <v>NLP5_ARATH</v>
      </c>
      <c r="D6733" t="s">
        <v>5482</v>
      </c>
      <c r="E6733" s="3" t="s">
        <v>3</v>
      </c>
      <c r="F6733" s="4">
        <v>3.11E-91</v>
      </c>
      <c r="G6733" s="3">
        <v>823</v>
      </c>
      <c r="H6733" s="3">
        <v>59</v>
      </c>
      <c r="I6733" s="3">
        <v>299</v>
      </c>
      <c r="J6733" s="3">
        <v>1675</v>
      </c>
      <c r="K6733" s="3">
        <v>2568</v>
      </c>
      <c r="L6733" s="3">
        <v>287</v>
      </c>
      <c r="M6733" s="3">
        <v>571</v>
      </c>
    </row>
    <row r="6734" spans="1:13" x14ac:dyDescent="0.25">
      <c r="A6734" s="1" t="str">
        <f>HYPERLINK("http://www.rosaceae.org/Prunus/Prunus_persica/p.persica_gdr_reftransV1_0019227","p.persica_gdr_reftransV1_0019227")</f>
        <v>p.persica_gdr_reftransV1_0019227</v>
      </c>
      <c r="B6734" s="3">
        <v>7899</v>
      </c>
      <c r="C6734" s="1" t="str">
        <f>HYPERLINK("http://www.uniprot.org/uniprot/CYB_SOLTU","CYB_SOLTU")</f>
        <v>CYB_SOLTU</v>
      </c>
      <c r="D6734" t="s">
        <v>5483</v>
      </c>
      <c r="E6734" s="3" t="s">
        <v>11</v>
      </c>
      <c r="F6734" s="4">
        <v>0</v>
      </c>
      <c r="G6734" s="3">
        <v>1968</v>
      </c>
      <c r="H6734" s="3">
        <v>99</v>
      </c>
      <c r="I6734" s="3">
        <v>391</v>
      </c>
      <c r="J6734" s="3">
        <v>5360</v>
      </c>
      <c r="K6734" s="3">
        <v>6532</v>
      </c>
      <c r="L6734" s="3">
        <v>3</v>
      </c>
      <c r="M6734" s="3">
        <v>393</v>
      </c>
    </row>
    <row r="6735" spans="1:13" x14ac:dyDescent="0.25">
      <c r="A6735" s="1" t="str">
        <f>HYPERLINK("http://www.rosaceae.org/Prunus/Prunus_persica/p.persica_gdr_reftransV1_0019327","p.persica_gdr_reftransV1_0019327")</f>
        <v>p.persica_gdr_reftransV1_0019327</v>
      </c>
      <c r="B6735" s="3">
        <v>1866</v>
      </c>
      <c r="C6735" s="1" t="str">
        <f>HYPERLINK("http://www.uniprot.org/uniprot/URH2_ARATH","URH2_ARATH")</f>
        <v>URH2_ARATH</v>
      </c>
      <c r="D6735" t="s">
        <v>5484</v>
      </c>
      <c r="E6735" s="3" t="s">
        <v>3</v>
      </c>
      <c r="F6735" s="4">
        <v>6.5099999999999995E-162</v>
      </c>
      <c r="G6735" s="3">
        <v>1218</v>
      </c>
      <c r="H6735" s="3">
        <v>79</v>
      </c>
      <c r="I6735" s="3">
        <v>287</v>
      </c>
      <c r="J6735" s="3">
        <v>695</v>
      </c>
      <c r="K6735" s="3">
        <v>1555</v>
      </c>
      <c r="L6735" s="3">
        <v>1</v>
      </c>
      <c r="M6735" s="3">
        <v>287</v>
      </c>
    </row>
    <row r="6736" spans="1:13" x14ac:dyDescent="0.25">
      <c r="A6736" s="1" t="str">
        <f>HYPERLINK("http://www.rosaceae.org/Prunus/Prunus_persica/p.persica_gdr_reftransV1_0019427","p.persica_gdr_reftransV1_0019427")</f>
        <v>p.persica_gdr_reftransV1_0019427</v>
      </c>
      <c r="B6736" s="3">
        <v>2533</v>
      </c>
      <c r="C6736" s="1" t="str">
        <f>HYPERLINK("http://www.uniprot.org/uniprot/C3H17_ORYSJ","C3H17_ORYSJ")</f>
        <v>C3H17_ORYSJ</v>
      </c>
      <c r="D6736" t="s">
        <v>2901</v>
      </c>
      <c r="E6736" s="3" t="s">
        <v>38</v>
      </c>
      <c r="F6736" s="4">
        <v>2.8599999999999999E-128</v>
      </c>
      <c r="G6736" s="3">
        <v>1023</v>
      </c>
      <c r="H6736" s="3">
        <v>44</v>
      </c>
      <c r="I6736" s="3">
        <v>483</v>
      </c>
      <c r="J6736" s="3">
        <v>762</v>
      </c>
      <c r="K6736" s="3">
        <v>2210</v>
      </c>
      <c r="L6736" s="3">
        <v>30</v>
      </c>
      <c r="M6736" s="3">
        <v>428</v>
      </c>
    </row>
    <row r="6737" spans="1:13" x14ac:dyDescent="0.25">
      <c r="A6737" s="1" t="str">
        <f>HYPERLINK("http://www.rosaceae.org/Prunus/Prunus_persica/p.persica_gdr_reftransV1_0019527","p.persica_gdr_reftransV1_0019527")</f>
        <v>p.persica_gdr_reftransV1_0019527</v>
      </c>
      <c r="B6737" s="3">
        <v>2725</v>
      </c>
      <c r="C6737" s="1" t="str">
        <f>HYPERLINK("http://www.uniprot.org/uniprot/AMO_ARATH","AMO_ARATH")</f>
        <v>AMO_ARATH</v>
      </c>
      <c r="D6737" t="s">
        <v>5485</v>
      </c>
      <c r="E6737" s="3" t="s">
        <v>3</v>
      </c>
      <c r="F6737" s="4">
        <v>0</v>
      </c>
      <c r="G6737" s="3">
        <v>2131</v>
      </c>
      <c r="H6737" s="3">
        <v>63</v>
      </c>
      <c r="I6737" s="3">
        <v>618</v>
      </c>
      <c r="J6737" s="3">
        <v>358</v>
      </c>
      <c r="K6737" s="3">
        <v>2208</v>
      </c>
      <c r="L6737" s="3">
        <v>96</v>
      </c>
      <c r="M6737" s="3">
        <v>712</v>
      </c>
    </row>
    <row r="6738" spans="1:13" x14ac:dyDescent="0.25">
      <c r="A6738" s="1" t="str">
        <f>HYPERLINK("http://www.rosaceae.org/Prunus/Prunus_persica/p.persica_gdr_reftransV1_0019577","p.persica_gdr_reftransV1_0019577")</f>
        <v>p.persica_gdr_reftransV1_0019577</v>
      </c>
      <c r="B6738" s="3">
        <v>3481</v>
      </c>
      <c r="C6738" s="1" t="str">
        <f>HYPERLINK("http://www.uniprot.org/uniprot/HIAT1_MOUSE","HIAT1_MOUSE")</f>
        <v>HIAT1_MOUSE</v>
      </c>
      <c r="D6738" t="s">
        <v>5486</v>
      </c>
      <c r="E6738" s="3" t="s">
        <v>157</v>
      </c>
      <c r="F6738" s="4">
        <v>3.9399999999999998E-12</v>
      </c>
      <c r="G6738" s="3">
        <v>180</v>
      </c>
      <c r="H6738" s="3">
        <v>24</v>
      </c>
      <c r="I6738" s="3">
        <v>363</v>
      </c>
      <c r="J6738" s="3">
        <v>2098</v>
      </c>
      <c r="K6738" s="3">
        <v>3171</v>
      </c>
      <c r="L6738" s="3">
        <v>39</v>
      </c>
      <c r="M6738" s="3">
        <v>369</v>
      </c>
    </row>
    <row r="6739" spans="1:13" x14ac:dyDescent="0.25">
      <c r="A6739" s="1" t="str">
        <f>HYPERLINK("http://www.rosaceae.org/Prunus/Prunus_persica/p.persica_gdr_reftransV1_0019677","p.persica_gdr_reftransV1_0019677")</f>
        <v>p.persica_gdr_reftransV1_0019677</v>
      </c>
      <c r="B6739" s="3">
        <v>3384</v>
      </c>
      <c r="C6739" s="1" t="str">
        <f>HYPERLINK("http://www.uniprot.org/uniprot/PHS1_DICDI","PHS1_DICDI")</f>
        <v>PHS1_DICDI</v>
      </c>
      <c r="D6739" t="s">
        <v>5371</v>
      </c>
      <c r="E6739" s="3" t="s">
        <v>9</v>
      </c>
      <c r="F6739" s="4">
        <v>0</v>
      </c>
      <c r="G6739" s="3">
        <v>2343</v>
      </c>
      <c r="H6739" s="3">
        <v>53</v>
      </c>
      <c r="I6739" s="3">
        <v>830</v>
      </c>
      <c r="J6739" s="3">
        <v>212</v>
      </c>
      <c r="K6739" s="3">
        <v>2689</v>
      </c>
      <c r="L6739" s="3">
        <v>25</v>
      </c>
      <c r="M6739" s="3">
        <v>843</v>
      </c>
    </row>
    <row r="6740" spans="1:13" x14ac:dyDescent="0.25">
      <c r="A6740" s="1" t="str">
        <f>HYPERLINK("http://www.rosaceae.org/Prunus/Prunus_persica/p.persica_gdr_reftransV1_0019727","p.persica_gdr_reftransV1_0019727")</f>
        <v>p.persica_gdr_reftransV1_0019727</v>
      </c>
      <c r="B6740" s="3">
        <v>1755</v>
      </c>
      <c r="C6740" s="1" t="str">
        <f>HYPERLINK("http://www.uniprot.org/uniprot/U74F2_ARATH","U74F2_ARATH")</f>
        <v>U74F2_ARATH</v>
      </c>
      <c r="D6740" t="s">
        <v>4444</v>
      </c>
      <c r="E6740" s="3" t="s">
        <v>3</v>
      </c>
      <c r="F6740" s="4">
        <v>8.4399999999999995E-175</v>
      </c>
      <c r="G6740" s="3">
        <v>1313</v>
      </c>
      <c r="H6740" s="3">
        <v>55</v>
      </c>
      <c r="I6740" s="3">
        <v>467</v>
      </c>
      <c r="J6740" s="3">
        <v>97</v>
      </c>
      <c r="K6740" s="3">
        <v>1485</v>
      </c>
      <c r="L6740" s="3">
        <v>5</v>
      </c>
      <c r="M6740" s="3">
        <v>448</v>
      </c>
    </row>
    <row r="6741" spans="1:13" x14ac:dyDescent="0.25">
      <c r="A6741" s="1" t="str">
        <f>HYPERLINK("http://www.rosaceae.org/Prunus/Prunus_persica/p.persica_gdr_reftransV1_0019977","p.persica_gdr_reftransV1_0019977")</f>
        <v>p.persica_gdr_reftransV1_0019977</v>
      </c>
      <c r="B6741" s="3">
        <v>2441</v>
      </c>
      <c r="C6741" s="1" t="str">
        <f>HYPERLINK("http://www.uniprot.org/uniprot/ILV5_PEA","ILV5_PEA")</f>
        <v>ILV5_PEA</v>
      </c>
      <c r="D6741" t="s">
        <v>5487</v>
      </c>
      <c r="E6741" s="3" t="s">
        <v>60</v>
      </c>
      <c r="F6741" s="4">
        <v>0</v>
      </c>
      <c r="G6741" s="3">
        <v>2563</v>
      </c>
      <c r="H6741" s="3">
        <v>87</v>
      </c>
      <c r="I6741" s="3">
        <v>563</v>
      </c>
      <c r="J6741" s="3">
        <v>606</v>
      </c>
      <c r="K6741" s="3">
        <v>2294</v>
      </c>
      <c r="L6741" s="3">
        <v>28</v>
      </c>
      <c r="M6741" s="3">
        <v>581</v>
      </c>
    </row>
    <row r="6742" spans="1:13" x14ac:dyDescent="0.25">
      <c r="A6742" s="1" t="str">
        <f>HYPERLINK("http://www.rosaceae.org/Prunus/Prunus_persica/p.persica_gdr_reftransV1_0020077","p.persica_gdr_reftransV1_0020077")</f>
        <v>p.persica_gdr_reftransV1_0020077</v>
      </c>
      <c r="B6742" s="3">
        <v>2967</v>
      </c>
      <c r="C6742" s="1" t="str">
        <f>HYPERLINK("http://www.uniprot.org/uniprot/PP409_ARATH","PP409_ARATH")</f>
        <v>PP409_ARATH</v>
      </c>
      <c r="D6742" t="s">
        <v>5488</v>
      </c>
      <c r="E6742" s="3" t="s">
        <v>3</v>
      </c>
      <c r="F6742" s="4">
        <v>0</v>
      </c>
      <c r="G6742" s="3">
        <v>1693</v>
      </c>
      <c r="H6742" s="3">
        <v>56</v>
      </c>
      <c r="I6742" s="3">
        <v>576</v>
      </c>
      <c r="J6742" s="3">
        <v>1021</v>
      </c>
      <c r="K6742" s="3">
        <v>2736</v>
      </c>
      <c r="L6742" s="3">
        <v>31</v>
      </c>
      <c r="M6742" s="3">
        <v>605</v>
      </c>
    </row>
    <row r="6743" spans="1:13" x14ac:dyDescent="0.25">
      <c r="A6743" s="1" t="str">
        <f>HYPERLINK("http://www.rosaceae.org/Prunus/Prunus_persica/p.persica_gdr_reftransV1_0020177","p.persica_gdr_reftransV1_0020177")</f>
        <v>p.persica_gdr_reftransV1_0020177</v>
      </c>
      <c r="B6743" s="3">
        <v>1871</v>
      </c>
      <c r="C6743" s="1" t="str">
        <f>HYPERLINK("http://www.uniprot.org/uniprot/HEX6_RICCO","HEX6_RICCO")</f>
        <v>HEX6_RICCO</v>
      </c>
      <c r="D6743" t="s">
        <v>5489</v>
      </c>
      <c r="E6743" s="3" t="s">
        <v>421</v>
      </c>
      <c r="F6743" s="4">
        <v>0</v>
      </c>
      <c r="G6743" s="3">
        <v>1887</v>
      </c>
      <c r="H6743" s="3">
        <v>75</v>
      </c>
      <c r="I6743" s="3">
        <v>499</v>
      </c>
      <c r="J6743" s="3">
        <v>53</v>
      </c>
      <c r="K6743" s="3">
        <v>1549</v>
      </c>
      <c r="L6743" s="3">
        <v>7</v>
      </c>
      <c r="M6743" s="3">
        <v>504</v>
      </c>
    </row>
    <row r="6744" spans="1:13" x14ac:dyDescent="0.25">
      <c r="A6744" s="1" t="str">
        <f>HYPERLINK("http://www.rosaceae.org/Prunus/Prunus_persica/p.persica_gdr_reftransV1_0020477","p.persica_gdr_reftransV1_0020477")</f>
        <v>p.persica_gdr_reftransV1_0020477</v>
      </c>
      <c r="B6744" s="3">
        <v>1084</v>
      </c>
      <c r="C6744" s="1" t="str">
        <f>HYPERLINK("http://www.uniprot.org/uniprot/Y1572_ARATH","Y1572_ARATH")</f>
        <v>Y1572_ARATH</v>
      </c>
      <c r="D6744" t="s">
        <v>5490</v>
      </c>
      <c r="E6744" s="3" t="s">
        <v>3</v>
      </c>
      <c r="F6744" s="4">
        <v>2.9800000000000002E-26</v>
      </c>
      <c r="G6744" s="3">
        <v>269</v>
      </c>
      <c r="H6744" s="3">
        <v>41</v>
      </c>
      <c r="I6744" s="3">
        <v>213</v>
      </c>
      <c r="J6744" s="3">
        <v>167</v>
      </c>
      <c r="K6744" s="3">
        <v>775</v>
      </c>
      <c r="L6744" s="3">
        <v>6</v>
      </c>
      <c r="M6744" s="3">
        <v>190</v>
      </c>
    </row>
    <row r="6745" spans="1:13" x14ac:dyDescent="0.25">
      <c r="A6745" s="1" t="str">
        <f>HYPERLINK("http://www.rosaceae.org/Prunus/Prunus_persica/p.persica_gdr_reftransV1_0020527","p.persica_gdr_reftransV1_0020527")</f>
        <v>p.persica_gdr_reftransV1_0020527</v>
      </c>
      <c r="B6745" s="3">
        <v>908</v>
      </c>
      <c r="C6745" s="1" t="str">
        <f>HYPERLINK("http://www.uniprot.org/uniprot/GLB3_ARATH","GLB3_ARATH")</f>
        <v>GLB3_ARATH</v>
      </c>
      <c r="D6745" t="s">
        <v>5491</v>
      </c>
      <c r="E6745" s="3" t="s">
        <v>3</v>
      </c>
      <c r="F6745" s="4">
        <v>1.28E-87</v>
      </c>
      <c r="G6745" s="3">
        <v>680</v>
      </c>
      <c r="H6745" s="3">
        <v>77</v>
      </c>
      <c r="I6745" s="3">
        <v>161</v>
      </c>
      <c r="J6745" s="3">
        <v>386</v>
      </c>
      <c r="K6745" s="3">
        <v>868</v>
      </c>
      <c r="L6745" s="3">
        <v>1</v>
      </c>
      <c r="M6745" s="3">
        <v>161</v>
      </c>
    </row>
    <row r="6746" spans="1:13" x14ac:dyDescent="0.25">
      <c r="A6746" s="1" t="str">
        <f>HYPERLINK("http://www.rosaceae.org/Prunus/Prunus_persica/p.persica_gdr_reftransV1_0020627","p.persica_gdr_reftransV1_0020627")</f>
        <v>p.persica_gdr_reftransV1_0020627</v>
      </c>
      <c r="B6746" s="3">
        <v>2866</v>
      </c>
      <c r="C6746" s="1" t="str">
        <f>HYPERLINK("http://www.uniprot.org/uniprot/SCL9_ARATH","SCL9_ARATH")</f>
        <v>SCL9_ARATH</v>
      </c>
      <c r="D6746" t="s">
        <v>5492</v>
      </c>
      <c r="E6746" s="3" t="s">
        <v>3</v>
      </c>
      <c r="F6746" s="4">
        <v>0</v>
      </c>
      <c r="G6746" s="3">
        <v>1789</v>
      </c>
      <c r="H6746" s="3">
        <v>55</v>
      </c>
      <c r="I6746" s="3">
        <v>702</v>
      </c>
      <c r="J6746" s="3">
        <v>412</v>
      </c>
      <c r="K6746" s="3">
        <v>2490</v>
      </c>
      <c r="L6746" s="3">
        <v>53</v>
      </c>
      <c r="M6746" s="3">
        <v>714</v>
      </c>
    </row>
    <row r="6747" spans="1:13" x14ac:dyDescent="0.25">
      <c r="A6747" s="1" t="str">
        <f>HYPERLINK("http://www.rosaceae.org/Prunus/Prunus_persica/p.persica_gdr_reftransV1_0020827","p.persica_gdr_reftransV1_0020827")</f>
        <v>p.persica_gdr_reftransV1_0020827</v>
      </c>
      <c r="B6747" s="3">
        <v>2168</v>
      </c>
      <c r="C6747" s="1" t="str">
        <f>HYPERLINK("http://www.uniprot.org/uniprot/INT4_ARATH","INT4_ARATH")</f>
        <v>INT4_ARATH</v>
      </c>
      <c r="D6747" t="s">
        <v>5493</v>
      </c>
      <c r="E6747" s="3" t="s">
        <v>3</v>
      </c>
      <c r="F6747" s="4">
        <v>0</v>
      </c>
      <c r="G6747" s="3">
        <v>2165</v>
      </c>
      <c r="H6747" s="3">
        <v>73</v>
      </c>
      <c r="I6747" s="3">
        <v>581</v>
      </c>
      <c r="J6747" s="3">
        <v>255</v>
      </c>
      <c r="K6747" s="3">
        <v>1982</v>
      </c>
      <c r="L6747" s="3">
        <v>2</v>
      </c>
      <c r="M6747" s="3">
        <v>582</v>
      </c>
    </row>
    <row r="6748" spans="1:13" x14ac:dyDescent="0.25">
      <c r="A6748" s="1" t="str">
        <f>HYPERLINK("http://www.rosaceae.org/Prunus/Prunus_persica/p.persica_gdr_reftransV1_0020927","p.persica_gdr_reftransV1_0020927")</f>
        <v>p.persica_gdr_reftransV1_0020927</v>
      </c>
      <c r="B6748" s="3">
        <v>435</v>
      </c>
      <c r="C6748" s="1" t="str">
        <f>HYPERLINK("http://www.uniprot.org/uniprot/RGA4_SOLBU","RGA4_SOLBU")</f>
        <v>RGA4_SOLBU</v>
      </c>
      <c r="D6748" t="s">
        <v>1657</v>
      </c>
      <c r="E6748" s="3" t="s">
        <v>560</v>
      </c>
      <c r="F6748" s="4">
        <v>1.9900000000000001E-10</v>
      </c>
      <c r="G6748" s="3">
        <v>150</v>
      </c>
      <c r="H6748" s="3">
        <v>35</v>
      </c>
      <c r="I6748" s="3">
        <v>89</v>
      </c>
      <c r="J6748" s="3">
        <v>90</v>
      </c>
      <c r="K6748" s="3">
        <v>356</v>
      </c>
      <c r="L6748" s="3">
        <v>1</v>
      </c>
      <c r="M6748" s="3">
        <v>85</v>
      </c>
    </row>
    <row r="6749" spans="1:13" x14ac:dyDescent="0.25">
      <c r="A6749" s="1" t="str">
        <f>HYPERLINK("http://www.rosaceae.org/Prunus/Prunus_persica/p.persica_gdr_reftransV1_0020977","p.persica_gdr_reftransV1_0020977")</f>
        <v>p.persica_gdr_reftransV1_0020977</v>
      </c>
      <c r="B6749" s="3">
        <v>3314</v>
      </c>
      <c r="C6749" s="1" t="str">
        <f>HYPERLINK("http://www.uniprot.org/uniprot/PUB15_ARATH","PUB15_ARATH")</f>
        <v>PUB15_ARATH</v>
      </c>
      <c r="D6749" t="s">
        <v>5494</v>
      </c>
      <c r="E6749" s="3" t="s">
        <v>3</v>
      </c>
      <c r="F6749" s="4">
        <v>2.6600000000000001E-142</v>
      </c>
      <c r="G6749" s="3">
        <v>1157</v>
      </c>
      <c r="H6749" s="3">
        <v>71</v>
      </c>
      <c r="I6749" s="3">
        <v>351</v>
      </c>
      <c r="J6749" s="3">
        <v>384</v>
      </c>
      <c r="K6749" s="3">
        <v>1436</v>
      </c>
      <c r="L6749" s="3">
        <v>313</v>
      </c>
      <c r="M6749" s="3">
        <v>660</v>
      </c>
    </row>
    <row r="6750" spans="1:13" x14ac:dyDescent="0.25">
      <c r="A6750" s="1" t="str">
        <f>HYPERLINK("http://www.rosaceae.org/Prunus/Prunus_persica/p.persica_gdr_reftransV1_0021227","p.persica_gdr_reftransV1_0021227")</f>
        <v>p.persica_gdr_reftransV1_0021227</v>
      </c>
      <c r="B6750" s="3">
        <v>704</v>
      </c>
      <c r="C6750" s="1" t="str">
        <f>HYPERLINK("http://www.uniprot.org/uniprot/1A1C_SOYBN","1A1C_SOYBN")</f>
        <v>1A1C_SOYBN</v>
      </c>
      <c r="D6750" t="s">
        <v>5495</v>
      </c>
      <c r="E6750" s="3" t="s">
        <v>307</v>
      </c>
      <c r="F6750" s="4">
        <v>2.6499999999999999E-87</v>
      </c>
      <c r="G6750" s="3">
        <v>698</v>
      </c>
      <c r="H6750" s="3">
        <v>78</v>
      </c>
      <c r="I6750" s="3">
        <v>156</v>
      </c>
      <c r="J6750" s="3">
        <v>79</v>
      </c>
      <c r="K6750" s="3">
        <v>546</v>
      </c>
      <c r="L6750" s="3">
        <v>1</v>
      </c>
      <c r="M6750" s="3">
        <v>156</v>
      </c>
    </row>
    <row r="6751" spans="1:13" x14ac:dyDescent="0.25">
      <c r="A6751" s="1" t="str">
        <f>HYPERLINK("http://www.rosaceae.org/Prunus/Prunus_persica/p.persica_gdr_reftransV1_0021477","p.persica_gdr_reftransV1_0021477")</f>
        <v>p.persica_gdr_reftransV1_0021477</v>
      </c>
      <c r="B6751" s="3">
        <v>3558</v>
      </c>
      <c r="C6751" s="1" t="str">
        <f>HYPERLINK("http://www.uniprot.org/uniprot/Y1723_ARATH","Y1723_ARATH")</f>
        <v>Y1723_ARATH</v>
      </c>
      <c r="D6751" t="s">
        <v>4688</v>
      </c>
      <c r="E6751" s="3" t="s">
        <v>3</v>
      </c>
      <c r="F6751" s="4">
        <v>5.3899999999999999E-95</v>
      </c>
      <c r="G6751" s="3">
        <v>857</v>
      </c>
      <c r="H6751" s="3">
        <v>33</v>
      </c>
      <c r="I6751" s="3">
        <v>970</v>
      </c>
      <c r="J6751" s="3">
        <v>234</v>
      </c>
      <c r="K6751" s="3">
        <v>2990</v>
      </c>
      <c r="L6751" s="3">
        <v>185</v>
      </c>
      <c r="M6751" s="3">
        <v>1076</v>
      </c>
    </row>
    <row r="6752" spans="1:13" x14ac:dyDescent="0.25">
      <c r="A6752" s="1" t="str">
        <f>HYPERLINK("http://www.rosaceae.org/Prunus/Prunus_persica/p.persica_gdr_reftransV1_0021677","p.persica_gdr_reftransV1_0021677")</f>
        <v>p.persica_gdr_reftransV1_0021677</v>
      </c>
      <c r="B6752" s="3">
        <v>830</v>
      </c>
      <c r="C6752" s="1" t="str">
        <f>HYPERLINK("http://www.uniprot.org/uniprot/PPR79_ARATH","PPR79_ARATH")</f>
        <v>PPR79_ARATH</v>
      </c>
      <c r="D6752" t="s">
        <v>5496</v>
      </c>
      <c r="E6752" s="3" t="s">
        <v>3</v>
      </c>
      <c r="F6752" s="4">
        <v>1.1699999999999999E-90</v>
      </c>
      <c r="G6752" s="3">
        <v>724</v>
      </c>
      <c r="H6752" s="3">
        <v>55</v>
      </c>
      <c r="I6752" s="3">
        <v>251</v>
      </c>
      <c r="J6752" s="3">
        <v>3</v>
      </c>
      <c r="K6752" s="3">
        <v>755</v>
      </c>
      <c r="L6752" s="3">
        <v>205</v>
      </c>
      <c r="M6752" s="3">
        <v>455</v>
      </c>
    </row>
    <row r="6753" spans="1:13" x14ac:dyDescent="0.25">
      <c r="A6753" s="1" t="str">
        <f>HYPERLINK("http://www.rosaceae.org/Prunus/Prunus_persica/p.persica_gdr_reftransV1_0022027","p.persica_gdr_reftransV1_0022027")</f>
        <v>p.persica_gdr_reftransV1_0022027</v>
      </c>
      <c r="B6753" s="3">
        <v>2480</v>
      </c>
      <c r="C6753" s="1" t="str">
        <f>HYPERLINK("http://www.uniprot.org/uniprot/HMG10_ARATH","HMG10_ARATH")</f>
        <v>HMG10_ARATH</v>
      </c>
      <c r="D6753" t="s">
        <v>5497</v>
      </c>
      <c r="E6753" s="3" t="s">
        <v>3</v>
      </c>
      <c r="F6753" s="4">
        <v>3.4400000000000001E-85</v>
      </c>
      <c r="G6753" s="3">
        <v>717</v>
      </c>
      <c r="H6753" s="3">
        <v>57</v>
      </c>
      <c r="I6753" s="3">
        <v>256</v>
      </c>
      <c r="J6753" s="3">
        <v>1362</v>
      </c>
      <c r="K6753" s="3">
        <v>2102</v>
      </c>
      <c r="L6753" s="3">
        <v>62</v>
      </c>
      <c r="M6753" s="3">
        <v>307</v>
      </c>
    </row>
    <row r="6754" spans="1:13" x14ac:dyDescent="0.25">
      <c r="A6754" s="1" t="str">
        <f>HYPERLINK("http://www.rosaceae.org/Prunus/Prunus_persica/p.persica_gdr_reftransV1_0022227","p.persica_gdr_reftransV1_0022227")</f>
        <v>p.persica_gdr_reftransV1_0022227</v>
      </c>
      <c r="B6754" s="3">
        <v>1741</v>
      </c>
      <c r="C6754" s="1" t="str">
        <f>HYPERLINK("http://www.uniprot.org/uniprot/2A5B_ARATH","2A5B_ARATH")</f>
        <v>2A5B_ARATH</v>
      </c>
      <c r="D6754" t="s">
        <v>5498</v>
      </c>
      <c r="E6754" s="3" t="s">
        <v>3</v>
      </c>
      <c r="F6754" s="4">
        <v>0</v>
      </c>
      <c r="G6754" s="3">
        <v>1442</v>
      </c>
      <c r="H6754" s="3">
        <v>70</v>
      </c>
      <c r="I6754" s="3">
        <v>431</v>
      </c>
      <c r="J6754" s="3">
        <v>376</v>
      </c>
      <c r="K6754" s="3">
        <v>1641</v>
      </c>
      <c r="L6754" s="3">
        <v>68</v>
      </c>
      <c r="M6754" s="3">
        <v>498</v>
      </c>
    </row>
    <row r="6755" spans="1:13" x14ac:dyDescent="0.25">
      <c r="A6755" s="1" t="str">
        <f>HYPERLINK("http://www.rosaceae.org/Prunus/Prunus_persica/p.persica_gdr_reftransV1_0022277","p.persica_gdr_reftransV1_0022277")</f>
        <v>p.persica_gdr_reftransV1_0022277</v>
      </c>
      <c r="B6755" s="3">
        <v>1015</v>
      </c>
      <c r="C6755" s="1" t="str">
        <f>HYPERLINK("http://www.uniprot.org/uniprot/UBC23_ARATH","UBC23_ARATH")</f>
        <v>UBC23_ARATH</v>
      </c>
      <c r="D6755" t="s">
        <v>1955</v>
      </c>
      <c r="E6755" s="3" t="s">
        <v>3</v>
      </c>
      <c r="F6755" s="4">
        <v>3.5799999999999998E-40</v>
      </c>
      <c r="G6755" s="3">
        <v>393</v>
      </c>
      <c r="H6755" s="3">
        <v>45</v>
      </c>
      <c r="I6755" s="3">
        <v>175</v>
      </c>
      <c r="J6755" s="3">
        <v>4</v>
      </c>
      <c r="K6755" s="3">
        <v>507</v>
      </c>
      <c r="L6755" s="3">
        <v>917</v>
      </c>
      <c r="M6755" s="3">
        <v>1091</v>
      </c>
    </row>
    <row r="6756" spans="1:13" x14ac:dyDescent="0.25">
      <c r="A6756" s="1" t="str">
        <f>HYPERLINK("http://www.rosaceae.org/Prunus/Prunus_persica/p.persica_gdr_reftransV1_0022327","p.persica_gdr_reftransV1_0022327")</f>
        <v>p.persica_gdr_reftransV1_0022327</v>
      </c>
      <c r="B6756" s="3">
        <v>3078</v>
      </c>
      <c r="C6756" s="1" t="str">
        <f>HYPERLINK("http://www.uniprot.org/uniprot/RBK1_ARATH","RBK1_ARATH")</f>
        <v>RBK1_ARATH</v>
      </c>
      <c r="D6756" t="s">
        <v>5499</v>
      </c>
      <c r="E6756" s="3" t="s">
        <v>3</v>
      </c>
      <c r="F6756" s="4">
        <v>2.56E-71</v>
      </c>
      <c r="G6756" s="3">
        <v>637</v>
      </c>
      <c r="H6756" s="3">
        <v>43</v>
      </c>
      <c r="I6756" s="3">
        <v>296</v>
      </c>
      <c r="J6756" s="3">
        <v>1517</v>
      </c>
      <c r="K6756" s="3">
        <v>2389</v>
      </c>
      <c r="L6756" s="3">
        <v>137</v>
      </c>
      <c r="M6756" s="3">
        <v>425</v>
      </c>
    </row>
    <row r="6757" spans="1:13" x14ac:dyDescent="0.25">
      <c r="A6757" s="1" t="str">
        <f>HYPERLINK("http://www.rosaceae.org/Prunus/Prunus_persica/p.persica_gdr_reftransV1_0022527","p.persica_gdr_reftransV1_0022527")</f>
        <v>p.persica_gdr_reftransV1_0022527</v>
      </c>
      <c r="B6757" s="3">
        <v>2506</v>
      </c>
      <c r="C6757" s="1" t="str">
        <f>HYPERLINK("http://www.uniprot.org/uniprot/MEBL_ARATH","MEBL_ARATH")</f>
        <v>MEBL_ARATH</v>
      </c>
      <c r="D6757" t="s">
        <v>5500</v>
      </c>
      <c r="E6757" s="3" t="s">
        <v>3</v>
      </c>
      <c r="F6757" s="4">
        <v>2.9300000000000002E-42</v>
      </c>
      <c r="G6757" s="3">
        <v>427</v>
      </c>
      <c r="H6757" s="3">
        <v>44</v>
      </c>
      <c r="I6757" s="3">
        <v>263</v>
      </c>
      <c r="J6757" s="3">
        <v>1313</v>
      </c>
      <c r="K6757" s="3">
        <v>2080</v>
      </c>
      <c r="L6757" s="3">
        <v>506</v>
      </c>
      <c r="M6757" s="3">
        <v>745</v>
      </c>
    </row>
    <row r="6758" spans="1:13" x14ac:dyDescent="0.25">
      <c r="A6758" s="1" t="str">
        <f>HYPERLINK("http://www.rosaceae.org/Prunus/Prunus_persica/p.persica_gdr_reftransV1_0022977","p.persica_gdr_reftransV1_0022977")</f>
        <v>p.persica_gdr_reftransV1_0022977</v>
      </c>
      <c r="B6758" s="3">
        <v>1690</v>
      </c>
      <c r="C6758" s="1" t="str">
        <f>HYPERLINK("http://www.uniprot.org/uniprot/FNTA_PEA","FNTA_PEA")</f>
        <v>FNTA_PEA</v>
      </c>
      <c r="D6758" t="s">
        <v>5501</v>
      </c>
      <c r="E6758" s="3" t="s">
        <v>60</v>
      </c>
      <c r="F6758" s="4">
        <v>4.22E-52</v>
      </c>
      <c r="G6758" s="3">
        <v>473</v>
      </c>
      <c r="H6758" s="3">
        <v>63</v>
      </c>
      <c r="I6758" s="3">
        <v>144</v>
      </c>
      <c r="J6758" s="3">
        <v>318</v>
      </c>
      <c r="K6758" s="3">
        <v>749</v>
      </c>
      <c r="L6758" s="3">
        <v>190</v>
      </c>
      <c r="M6758" s="3">
        <v>333</v>
      </c>
    </row>
    <row r="6759" spans="1:13" x14ac:dyDescent="0.25">
      <c r="A6759" s="1" t="str">
        <f>HYPERLINK("http://www.rosaceae.org/Prunus/Prunus_persica/p.persica_gdr_reftransV1_0023027","p.persica_gdr_reftransV1_0023027")</f>
        <v>p.persica_gdr_reftransV1_0023027</v>
      </c>
      <c r="B6759" s="3">
        <v>2044</v>
      </c>
      <c r="C6759" s="1" t="str">
        <f>HYPERLINK("http://www.uniprot.org/uniprot/SUOX_ARATH","SUOX_ARATH")</f>
        <v>SUOX_ARATH</v>
      </c>
      <c r="D6759" t="s">
        <v>5502</v>
      </c>
      <c r="E6759" s="3" t="s">
        <v>3</v>
      </c>
      <c r="F6759" s="4">
        <v>9.4500000000000003E-171</v>
      </c>
      <c r="G6759" s="3">
        <v>1290</v>
      </c>
      <c r="H6759" s="3">
        <v>87</v>
      </c>
      <c r="I6759" s="3">
        <v>267</v>
      </c>
      <c r="J6759" s="3">
        <v>1020</v>
      </c>
      <c r="K6759" s="3">
        <v>1820</v>
      </c>
      <c r="L6759" s="3">
        <v>1</v>
      </c>
      <c r="M6759" s="3">
        <v>267</v>
      </c>
    </row>
    <row r="6760" spans="1:13" x14ac:dyDescent="0.25">
      <c r="A6760" s="1" t="str">
        <f>HYPERLINK("http://www.rosaceae.org/Prunus/Prunus_persica/p.persica_gdr_reftransV1_0023077","p.persica_gdr_reftransV1_0023077")</f>
        <v>p.persica_gdr_reftransV1_0023077</v>
      </c>
      <c r="B6760" s="3">
        <v>3114</v>
      </c>
      <c r="C6760" s="1" t="str">
        <f>HYPERLINK("http://www.uniprot.org/uniprot/WAKLH_ARATH","WAKLH_ARATH")</f>
        <v>WAKLH_ARATH</v>
      </c>
      <c r="D6760" t="s">
        <v>5503</v>
      </c>
      <c r="E6760" s="3" t="s">
        <v>3</v>
      </c>
      <c r="F6760" s="4">
        <v>5.1599999999999999E-138</v>
      </c>
      <c r="G6760" s="3">
        <v>1135</v>
      </c>
      <c r="H6760" s="3">
        <v>59</v>
      </c>
      <c r="I6760" s="3">
        <v>391</v>
      </c>
      <c r="J6760" s="3">
        <v>1432</v>
      </c>
      <c r="K6760" s="3">
        <v>2592</v>
      </c>
      <c r="L6760" s="3">
        <v>338</v>
      </c>
      <c r="M6760" s="3">
        <v>723</v>
      </c>
    </row>
    <row r="6761" spans="1:13" x14ac:dyDescent="0.25">
      <c r="A6761" s="1" t="str">
        <f>HYPERLINK("http://www.rosaceae.org/Prunus/Prunus_persica/p.persica_gdr_reftransV1_0023127","p.persica_gdr_reftransV1_0023127")</f>
        <v>p.persica_gdr_reftransV1_0023127</v>
      </c>
      <c r="B6761" s="3">
        <v>2349</v>
      </c>
      <c r="C6761" s="1" t="str">
        <f>HYPERLINK("http://www.uniprot.org/uniprot/ZFPL1_CAEBR","ZFPL1_CAEBR")</f>
        <v>ZFPL1_CAEBR</v>
      </c>
      <c r="D6761" t="s">
        <v>5504</v>
      </c>
      <c r="E6761" s="3" t="s">
        <v>5505</v>
      </c>
      <c r="F6761" s="4">
        <v>1.5200000000000001E-25</v>
      </c>
      <c r="G6761" s="3">
        <v>281</v>
      </c>
      <c r="H6761" s="3">
        <v>42</v>
      </c>
      <c r="I6761" s="3">
        <v>142</v>
      </c>
      <c r="J6761" s="3">
        <v>238</v>
      </c>
      <c r="K6761" s="3">
        <v>657</v>
      </c>
      <c r="L6761" s="3">
        <v>1</v>
      </c>
      <c r="M6761" s="3">
        <v>133</v>
      </c>
    </row>
    <row r="6762" spans="1:13" x14ac:dyDescent="0.25">
      <c r="A6762" s="1" t="str">
        <f>HYPERLINK("http://www.rosaceae.org/Prunus/Prunus_persica/p.persica_gdr_reftransV1_0023377","p.persica_gdr_reftransV1_0023377")</f>
        <v>p.persica_gdr_reftransV1_0023377</v>
      </c>
      <c r="B6762" s="3">
        <v>1302</v>
      </c>
      <c r="C6762" s="1" t="str">
        <f>HYPERLINK("http://www.uniprot.org/uniprot/PRF1_SOLLC","PRF1_SOLLC")</f>
        <v>PRF1_SOLLC</v>
      </c>
      <c r="D6762" t="s">
        <v>2686</v>
      </c>
      <c r="E6762" s="3" t="s">
        <v>64</v>
      </c>
      <c r="F6762" s="4">
        <v>4.8299999999999996E-13</v>
      </c>
      <c r="G6762" s="3">
        <v>179</v>
      </c>
      <c r="H6762" s="3">
        <v>83</v>
      </c>
      <c r="I6762" s="3">
        <v>86</v>
      </c>
      <c r="J6762" s="3">
        <v>640</v>
      </c>
      <c r="K6762" s="3">
        <v>894</v>
      </c>
      <c r="L6762" s="3">
        <v>260</v>
      </c>
      <c r="M6762" s="3">
        <v>345</v>
      </c>
    </row>
    <row r="6763" spans="1:13" x14ac:dyDescent="0.25">
      <c r="A6763" s="1" t="str">
        <f>HYPERLINK("http://www.rosaceae.org/Prunus/Prunus_persica/p.persica_gdr_reftransV1_0023477","p.persica_gdr_reftransV1_0023477")</f>
        <v>p.persica_gdr_reftransV1_0023477</v>
      </c>
      <c r="B6763" s="3">
        <v>1453</v>
      </c>
      <c r="C6763" s="1" t="str">
        <f>HYPERLINK("http://www.uniprot.org/uniprot/Y4967_ARATH","Y4967_ARATH")</f>
        <v>Y4967_ARATH</v>
      </c>
      <c r="D6763" t="s">
        <v>911</v>
      </c>
      <c r="E6763" s="3" t="s">
        <v>3</v>
      </c>
      <c r="F6763" s="4">
        <v>2.5200000000000002E-152</v>
      </c>
      <c r="G6763" s="3">
        <v>1145</v>
      </c>
      <c r="H6763" s="3">
        <v>64</v>
      </c>
      <c r="I6763" s="3">
        <v>359</v>
      </c>
      <c r="J6763" s="3">
        <v>108</v>
      </c>
      <c r="K6763" s="3">
        <v>1181</v>
      </c>
      <c r="L6763" s="3">
        <v>1</v>
      </c>
      <c r="M6763" s="3">
        <v>359</v>
      </c>
    </row>
    <row r="6764" spans="1:13" x14ac:dyDescent="0.25">
      <c r="A6764" s="1" t="str">
        <f>HYPERLINK("http://www.rosaceae.org/Prunus/Prunus_persica/p.persica_gdr_reftransV1_0023627","p.persica_gdr_reftransV1_0023627")</f>
        <v>p.persica_gdr_reftransV1_0023627</v>
      </c>
      <c r="B6764" s="3">
        <v>2981</v>
      </c>
      <c r="C6764" s="1" t="str">
        <f>HYPERLINK("http://www.uniprot.org/uniprot/COG5_HUMAN","COG5_HUMAN")</f>
        <v>COG5_HUMAN</v>
      </c>
      <c r="D6764" t="s">
        <v>5350</v>
      </c>
      <c r="E6764" s="3" t="s">
        <v>28</v>
      </c>
      <c r="F6764" s="4">
        <v>7.7599999999999997E-98</v>
      </c>
      <c r="G6764" s="3">
        <v>855</v>
      </c>
      <c r="H6764" s="3">
        <v>32</v>
      </c>
      <c r="I6764" s="3">
        <v>708</v>
      </c>
      <c r="J6764" s="3">
        <v>523</v>
      </c>
      <c r="K6764" s="3">
        <v>2559</v>
      </c>
      <c r="L6764" s="3">
        <v>154</v>
      </c>
      <c r="M6764" s="3">
        <v>830</v>
      </c>
    </row>
    <row r="6765" spans="1:13" x14ac:dyDescent="0.25">
      <c r="A6765" s="1" t="str">
        <f>HYPERLINK("http://www.rosaceae.org/Prunus/Prunus_persica/p.persica_gdr_reftransV1_0023677","p.persica_gdr_reftransV1_0023677")</f>
        <v>p.persica_gdr_reftransV1_0023677</v>
      </c>
      <c r="B6765" s="3">
        <v>2211</v>
      </c>
      <c r="C6765" s="1" t="str">
        <f>HYPERLINK("http://www.uniprot.org/uniprot/NOP56_SCHPO","NOP56_SCHPO")</f>
        <v>NOP56_SCHPO</v>
      </c>
      <c r="D6765" t="s">
        <v>3558</v>
      </c>
      <c r="E6765" s="3" t="s">
        <v>464</v>
      </c>
      <c r="F6765" s="4">
        <v>0</v>
      </c>
      <c r="G6765" s="3">
        <v>1378</v>
      </c>
      <c r="H6765" s="3">
        <v>61</v>
      </c>
      <c r="I6765" s="3">
        <v>431</v>
      </c>
      <c r="J6765" s="3">
        <v>156</v>
      </c>
      <c r="K6765" s="3">
        <v>1442</v>
      </c>
      <c r="L6765" s="3">
        <v>1</v>
      </c>
      <c r="M6765" s="3">
        <v>429</v>
      </c>
    </row>
    <row r="6766" spans="1:13" x14ac:dyDescent="0.25">
      <c r="A6766" s="1" t="str">
        <f>HYPERLINK("http://www.rosaceae.org/Prunus/Prunus_persica/p.persica_gdr_reftransV1_0023727","p.persica_gdr_reftransV1_0023727")</f>
        <v>p.persica_gdr_reftransV1_0023727</v>
      </c>
      <c r="B6766" s="3">
        <v>3706</v>
      </c>
      <c r="C6766" s="1" t="str">
        <f>HYPERLINK("http://www.uniprot.org/uniprot/LUMI_ARATH","LUMI_ARATH")</f>
        <v>LUMI_ARATH</v>
      </c>
      <c r="D6766" t="s">
        <v>5506</v>
      </c>
      <c r="E6766" s="3" t="s">
        <v>3</v>
      </c>
      <c r="F6766" s="4">
        <v>7.8100000000000004E-111</v>
      </c>
      <c r="G6766" s="3">
        <v>967</v>
      </c>
      <c r="H6766" s="3">
        <v>66</v>
      </c>
      <c r="I6766" s="3">
        <v>290</v>
      </c>
      <c r="J6766" s="3">
        <v>199</v>
      </c>
      <c r="K6766" s="3">
        <v>1050</v>
      </c>
      <c r="L6766" s="3">
        <v>7</v>
      </c>
      <c r="M6766" s="3">
        <v>291</v>
      </c>
    </row>
    <row r="6767" spans="1:13" x14ac:dyDescent="0.25">
      <c r="A6767" s="1" t="str">
        <f>HYPERLINK("http://www.rosaceae.org/Prunus/Prunus_persica/p.persica_gdr_reftransV1_0023827","p.persica_gdr_reftransV1_0023827")</f>
        <v>p.persica_gdr_reftransV1_0023827</v>
      </c>
      <c r="B6767" s="3">
        <v>2130</v>
      </c>
      <c r="C6767" s="1" t="str">
        <f>HYPERLINK("http://www.uniprot.org/uniprot/S35F5_HUMAN","S35F5_HUMAN")</f>
        <v>S35F5_HUMAN</v>
      </c>
      <c r="D6767" t="s">
        <v>5507</v>
      </c>
      <c r="E6767" s="3" t="s">
        <v>28</v>
      </c>
      <c r="F6767" s="4">
        <v>7.7200000000000002E-10</v>
      </c>
      <c r="G6767" s="3">
        <v>159</v>
      </c>
      <c r="H6767" s="3">
        <v>32</v>
      </c>
      <c r="I6767" s="3">
        <v>136</v>
      </c>
      <c r="J6767" s="3">
        <v>898</v>
      </c>
      <c r="K6767" s="3">
        <v>1305</v>
      </c>
      <c r="L6767" s="3">
        <v>294</v>
      </c>
      <c r="M6767" s="3">
        <v>415</v>
      </c>
    </row>
    <row r="6768" spans="1:13" x14ac:dyDescent="0.25">
      <c r="A6768" s="1" t="str">
        <f>HYPERLINK("http://www.rosaceae.org/Prunus/Prunus_persica/p.persica_gdr_reftransV1_0023927","p.persica_gdr_reftransV1_0023927")</f>
        <v>p.persica_gdr_reftransV1_0023927</v>
      </c>
      <c r="B6768" s="3">
        <v>2971</v>
      </c>
      <c r="C6768" s="1" t="str">
        <f>HYPERLINK("http://www.uniprot.org/uniprot/TIF4B_ARATH","TIF4B_ARATH")</f>
        <v>TIF4B_ARATH</v>
      </c>
      <c r="D6768" t="s">
        <v>5508</v>
      </c>
      <c r="E6768" s="3" t="s">
        <v>3</v>
      </c>
      <c r="F6768" s="4">
        <v>4.6999999999999997E-51</v>
      </c>
      <c r="G6768" s="3">
        <v>475</v>
      </c>
      <c r="H6768" s="3">
        <v>42</v>
      </c>
      <c r="I6768" s="3">
        <v>278</v>
      </c>
      <c r="J6768" s="3">
        <v>2042</v>
      </c>
      <c r="K6768" s="3">
        <v>2827</v>
      </c>
      <c r="L6768" s="3">
        <v>1</v>
      </c>
      <c r="M6768" s="3">
        <v>227</v>
      </c>
    </row>
    <row r="6769" spans="1:13" x14ac:dyDescent="0.25">
      <c r="A6769" s="1" t="str">
        <f>HYPERLINK("http://www.rosaceae.org/Prunus/Prunus_persica/p.persica_gdr_reftransV1_0024277","p.persica_gdr_reftransV1_0024277")</f>
        <v>p.persica_gdr_reftransV1_0024277</v>
      </c>
      <c r="B6769" s="3">
        <v>1281</v>
      </c>
      <c r="C6769" s="1" t="str">
        <f>HYPERLINK("http://www.uniprot.org/uniprot/ATXR4_ARATH","ATXR4_ARATH")</f>
        <v>ATXR4_ARATH</v>
      </c>
      <c r="D6769" t="s">
        <v>2393</v>
      </c>
      <c r="E6769" s="3" t="s">
        <v>3</v>
      </c>
      <c r="F6769" s="4">
        <v>1.6799999999999999E-98</v>
      </c>
      <c r="G6769" s="3">
        <v>485</v>
      </c>
      <c r="H6769" s="3">
        <v>56</v>
      </c>
      <c r="I6769" s="3">
        <v>179</v>
      </c>
      <c r="J6769" s="3">
        <v>4</v>
      </c>
      <c r="K6769" s="3">
        <v>540</v>
      </c>
      <c r="L6769" s="3">
        <v>8</v>
      </c>
      <c r="M6769" s="3">
        <v>176</v>
      </c>
    </row>
    <row r="6770" spans="1:13" x14ac:dyDescent="0.25">
      <c r="A6770" s="1" t="str">
        <f>HYPERLINK("http://www.rosaceae.org/Prunus/Prunus_persica/p.persica_gdr_reftransV1_0024677","p.persica_gdr_reftransV1_0024677")</f>
        <v>p.persica_gdr_reftransV1_0024677</v>
      </c>
      <c r="B6770" s="3">
        <v>1902</v>
      </c>
      <c r="C6770" s="1" t="str">
        <f>HYPERLINK("http://www.uniprot.org/uniprot/SR45_ARATH","SR45_ARATH")</f>
        <v>SR45_ARATH</v>
      </c>
      <c r="D6770" t="s">
        <v>5509</v>
      </c>
      <c r="E6770" s="3" t="s">
        <v>3</v>
      </c>
      <c r="F6770" s="4">
        <v>1.19E-41</v>
      </c>
      <c r="G6770" s="3">
        <v>404</v>
      </c>
      <c r="H6770" s="3">
        <v>74</v>
      </c>
      <c r="I6770" s="3">
        <v>117</v>
      </c>
      <c r="J6770" s="3">
        <v>1135</v>
      </c>
      <c r="K6770" s="3">
        <v>1479</v>
      </c>
      <c r="L6770" s="3">
        <v>94</v>
      </c>
      <c r="M6770" s="3">
        <v>210</v>
      </c>
    </row>
    <row r="6771" spans="1:13" x14ac:dyDescent="0.25">
      <c r="A6771" s="1" t="str">
        <f>HYPERLINK("http://www.rosaceae.org/Prunus/Prunus_persica/p.persica_gdr_reftransV1_0025527","p.persica_gdr_reftransV1_0025527")</f>
        <v>p.persica_gdr_reftransV1_0025527</v>
      </c>
      <c r="B6771" s="3">
        <v>1302</v>
      </c>
      <c r="C6771" s="1" t="str">
        <f>HYPERLINK("http://www.uniprot.org/uniprot/TOC34_PEA","TOC34_PEA")</f>
        <v>TOC34_PEA</v>
      </c>
      <c r="D6771" t="s">
        <v>5510</v>
      </c>
      <c r="E6771" s="3" t="s">
        <v>60</v>
      </c>
      <c r="F6771" s="4">
        <v>3.37E-133</v>
      </c>
      <c r="G6771" s="3">
        <v>1008</v>
      </c>
      <c r="H6771" s="3">
        <v>81</v>
      </c>
      <c r="I6771" s="3">
        <v>237</v>
      </c>
      <c r="J6771" s="3">
        <v>438</v>
      </c>
      <c r="K6771" s="3">
        <v>1148</v>
      </c>
      <c r="L6771" s="3">
        <v>72</v>
      </c>
      <c r="M6771" s="3">
        <v>307</v>
      </c>
    </row>
    <row r="6772" spans="1:13" x14ac:dyDescent="0.25">
      <c r="A6772" s="1" t="str">
        <f>HYPERLINK("http://www.rosaceae.org/Prunus/Prunus_persica/p.persica_gdr_reftransV1_0025927","p.persica_gdr_reftransV1_0025927")</f>
        <v>p.persica_gdr_reftransV1_0025927</v>
      </c>
      <c r="B6772" s="3">
        <v>1490</v>
      </c>
      <c r="C6772" s="1" t="str">
        <f>HYPERLINK("http://www.uniprot.org/uniprot/ADK2_ARATH","ADK2_ARATH")</f>
        <v>ADK2_ARATH</v>
      </c>
      <c r="D6772" t="s">
        <v>1502</v>
      </c>
      <c r="E6772" s="3" t="s">
        <v>3</v>
      </c>
      <c r="F6772" s="4">
        <v>7.6400000000000006E-176</v>
      </c>
      <c r="G6772" s="3">
        <v>834</v>
      </c>
      <c r="H6772" s="3">
        <v>87</v>
      </c>
      <c r="I6772" s="3">
        <v>176</v>
      </c>
      <c r="J6772" s="3">
        <v>714</v>
      </c>
      <c r="K6772" s="3">
        <v>1241</v>
      </c>
      <c r="L6772" s="3">
        <v>170</v>
      </c>
      <c r="M6772" s="3">
        <v>345</v>
      </c>
    </row>
    <row r="6773" spans="1:13" x14ac:dyDescent="0.25">
      <c r="A6773" s="1" t="str">
        <f>HYPERLINK("http://www.rosaceae.org/Prunus/Prunus_persica/p.persica_gdr_reftransV1_0026477","p.persica_gdr_reftransV1_0026477")</f>
        <v>p.persica_gdr_reftransV1_0026477</v>
      </c>
      <c r="B6773" s="3">
        <v>1424</v>
      </c>
      <c r="C6773" s="1" t="str">
        <f>HYPERLINK("http://www.uniprot.org/uniprot/PTST_ARATH","PTST_ARATH")</f>
        <v>PTST_ARATH</v>
      </c>
      <c r="D6773" t="s">
        <v>5511</v>
      </c>
      <c r="E6773" s="3" t="s">
        <v>3</v>
      </c>
      <c r="F6773" s="4">
        <v>5.1699999999999997E-76</v>
      </c>
      <c r="G6773" s="3">
        <v>552</v>
      </c>
      <c r="H6773" s="3">
        <v>76</v>
      </c>
      <c r="I6773" s="3">
        <v>136</v>
      </c>
      <c r="J6773" s="3">
        <v>344</v>
      </c>
      <c r="K6773" s="3">
        <v>751</v>
      </c>
      <c r="L6773" s="3">
        <v>142</v>
      </c>
      <c r="M6773" s="3">
        <v>277</v>
      </c>
    </row>
    <row r="6774" spans="1:13" x14ac:dyDescent="0.25">
      <c r="A6774" s="1" t="str">
        <f>HYPERLINK("http://www.rosaceae.org/Prunus/Prunus_persica/p.persica_gdr_reftransV1_0026527","p.persica_gdr_reftransV1_0026527")</f>
        <v>p.persica_gdr_reftransV1_0026527</v>
      </c>
      <c r="B6774" s="3">
        <v>1721</v>
      </c>
      <c r="C6774" s="1" t="str">
        <f>HYPERLINK("http://www.uniprot.org/uniprot/C94A1_VICSA","C94A1_VICSA")</f>
        <v>C94A1_VICSA</v>
      </c>
      <c r="D6774" t="s">
        <v>5512</v>
      </c>
      <c r="E6774" s="3" t="s">
        <v>395</v>
      </c>
      <c r="F6774" s="4">
        <v>1.3600000000000001E-137</v>
      </c>
      <c r="G6774" s="3">
        <v>1071</v>
      </c>
      <c r="H6774" s="3">
        <v>44</v>
      </c>
      <c r="I6774" s="3">
        <v>482</v>
      </c>
      <c r="J6774" s="3">
        <v>151</v>
      </c>
      <c r="K6774" s="3">
        <v>1563</v>
      </c>
      <c r="L6774" s="3">
        <v>51</v>
      </c>
      <c r="M6774" s="3">
        <v>514</v>
      </c>
    </row>
    <row r="6775" spans="1:13" x14ac:dyDescent="0.25">
      <c r="A6775" s="1" t="str">
        <f>HYPERLINK("http://www.rosaceae.org/Prunus/Prunus_persica/p.persica_gdr_reftransV1_0026577","p.persica_gdr_reftransV1_0026577")</f>
        <v>p.persica_gdr_reftransV1_0026577</v>
      </c>
      <c r="B6775" s="3">
        <v>3003</v>
      </c>
      <c r="C6775" s="1" t="str">
        <f>HYPERLINK("http://www.uniprot.org/uniprot/GME1_ORYSI","GME1_ORYSI")</f>
        <v>GME1_ORYSI</v>
      </c>
      <c r="D6775" t="s">
        <v>4172</v>
      </c>
      <c r="E6775" s="3" t="s">
        <v>38</v>
      </c>
      <c r="F6775" s="4">
        <v>0</v>
      </c>
      <c r="G6775" s="3">
        <v>1874</v>
      </c>
      <c r="H6775" s="3">
        <v>91</v>
      </c>
      <c r="I6775" s="3">
        <v>378</v>
      </c>
      <c r="J6775" s="3">
        <v>1632</v>
      </c>
      <c r="K6775" s="3">
        <v>2759</v>
      </c>
      <c r="L6775" s="3">
        <v>1</v>
      </c>
      <c r="M6775" s="3">
        <v>378</v>
      </c>
    </row>
    <row r="6776" spans="1:13" x14ac:dyDescent="0.25">
      <c r="A6776" s="1" t="str">
        <f>HYPERLINK("http://www.rosaceae.org/Prunus/Prunus_persica/p.persica_gdr_reftransV1_0026627","p.persica_gdr_reftransV1_0026627")</f>
        <v>p.persica_gdr_reftransV1_0026627</v>
      </c>
      <c r="B6776" s="3">
        <v>2757</v>
      </c>
      <c r="C6776" s="1" t="str">
        <f>HYPERLINK("http://www.uniprot.org/uniprot/NCPR_VIGRR","NCPR_VIGRR")</f>
        <v>NCPR_VIGRR</v>
      </c>
      <c r="D6776" t="s">
        <v>5513</v>
      </c>
      <c r="E6776" s="3" t="s">
        <v>2261</v>
      </c>
      <c r="F6776" s="4">
        <v>0</v>
      </c>
      <c r="G6776" s="3">
        <v>2770</v>
      </c>
      <c r="H6776" s="3">
        <v>81</v>
      </c>
      <c r="I6776" s="3">
        <v>693</v>
      </c>
      <c r="J6776" s="3">
        <v>387</v>
      </c>
      <c r="K6776" s="3">
        <v>2462</v>
      </c>
      <c r="L6776" s="3">
        <v>1</v>
      </c>
      <c r="M6776" s="3">
        <v>690</v>
      </c>
    </row>
    <row r="6777" spans="1:13" x14ac:dyDescent="0.25">
      <c r="A6777" s="1" t="str">
        <f>HYPERLINK("http://www.rosaceae.org/Prunus/Prunus_persica/p.persica_gdr_reftransV1_0026727","p.persica_gdr_reftransV1_0026727")</f>
        <v>p.persica_gdr_reftransV1_0026727</v>
      </c>
      <c r="B6777" s="3">
        <v>384</v>
      </c>
      <c r="C6777" s="1" t="str">
        <f>HYPERLINK("http://www.uniprot.org/uniprot/C7A29_PANGI","C7A29_PANGI")</f>
        <v>C7A29_PANGI</v>
      </c>
      <c r="D6777" t="s">
        <v>3855</v>
      </c>
      <c r="E6777" s="3" t="s">
        <v>1477</v>
      </c>
      <c r="F6777" s="4">
        <v>1.1E-46</v>
      </c>
      <c r="G6777" s="3">
        <v>411</v>
      </c>
      <c r="H6777" s="3">
        <v>62</v>
      </c>
      <c r="I6777" s="3">
        <v>128</v>
      </c>
      <c r="J6777" s="3">
        <v>3</v>
      </c>
      <c r="K6777" s="3">
        <v>383</v>
      </c>
      <c r="L6777" s="3">
        <v>249</v>
      </c>
      <c r="M6777" s="3">
        <v>375</v>
      </c>
    </row>
    <row r="6778" spans="1:13" x14ac:dyDescent="0.25">
      <c r="A6778" s="1" t="str">
        <f>HYPERLINK("http://www.rosaceae.org/Prunus/Prunus_persica/p.persica_gdr_reftransV1_0027027","p.persica_gdr_reftransV1_0027027")</f>
        <v>p.persica_gdr_reftransV1_0027027</v>
      </c>
      <c r="B6778" s="3">
        <v>1468</v>
      </c>
      <c r="C6778" s="1" t="str">
        <f>HYPERLINK("http://www.uniprot.org/uniprot/PME63_ARATH","PME63_ARATH")</f>
        <v>PME63_ARATH</v>
      </c>
      <c r="D6778" t="s">
        <v>1799</v>
      </c>
      <c r="E6778" s="3" t="s">
        <v>3</v>
      </c>
      <c r="F6778" s="4">
        <v>1.71E-123</v>
      </c>
      <c r="G6778" s="3">
        <v>952</v>
      </c>
      <c r="H6778" s="3">
        <v>57</v>
      </c>
      <c r="I6778" s="3">
        <v>294</v>
      </c>
      <c r="J6778" s="3">
        <v>195</v>
      </c>
      <c r="K6778" s="3">
        <v>1073</v>
      </c>
      <c r="L6778" s="3">
        <v>45</v>
      </c>
      <c r="M6778" s="3">
        <v>338</v>
      </c>
    </row>
    <row r="6779" spans="1:13" x14ac:dyDescent="0.25">
      <c r="A6779" s="1" t="str">
        <f>HYPERLINK("http://www.rosaceae.org/Prunus/Prunus_persica/p.persica_gdr_reftransV1_0027177","p.persica_gdr_reftransV1_0027177")</f>
        <v>p.persica_gdr_reftransV1_0027177</v>
      </c>
      <c r="B6779" s="3">
        <v>2897</v>
      </c>
      <c r="C6779" s="1" t="str">
        <f>HYPERLINK("http://www.uniprot.org/uniprot/ATG1_MAGO7","ATG1_MAGO7")</f>
        <v>ATG1_MAGO7</v>
      </c>
      <c r="D6779" t="s">
        <v>5514</v>
      </c>
      <c r="E6779" s="3" t="s">
        <v>3904</v>
      </c>
      <c r="F6779" s="4">
        <v>5.96E-78</v>
      </c>
      <c r="G6779" s="3">
        <v>715</v>
      </c>
      <c r="H6779" s="3">
        <v>45</v>
      </c>
      <c r="I6779" s="3">
        <v>310</v>
      </c>
      <c r="J6779" s="3">
        <v>441</v>
      </c>
      <c r="K6779" s="3">
        <v>1223</v>
      </c>
      <c r="L6779" s="3">
        <v>16</v>
      </c>
      <c r="M6779" s="3">
        <v>324</v>
      </c>
    </row>
    <row r="6780" spans="1:13" x14ac:dyDescent="0.25">
      <c r="A6780" s="1" t="str">
        <f>HYPERLINK("http://www.rosaceae.org/Prunus/Prunus_persica/p.persica_gdr_reftransV1_0027277","p.persica_gdr_reftransV1_0027277")</f>
        <v>p.persica_gdr_reftransV1_0027277</v>
      </c>
      <c r="B6780" s="3">
        <v>913</v>
      </c>
      <c r="C6780" s="1" t="str">
        <f>HYPERLINK("http://www.uniprot.org/uniprot/TI143_ARATH","TI143_ARATH")</f>
        <v>TI143_ARATH</v>
      </c>
      <c r="D6780" t="s">
        <v>5515</v>
      </c>
      <c r="E6780" s="3" t="s">
        <v>3</v>
      </c>
      <c r="F6780" s="4">
        <v>7.2600000000000004E-45</v>
      </c>
      <c r="G6780" s="3">
        <v>389</v>
      </c>
      <c r="H6780" s="3">
        <v>79</v>
      </c>
      <c r="I6780" s="3">
        <v>112</v>
      </c>
      <c r="J6780" s="3">
        <v>430</v>
      </c>
      <c r="K6780" s="3">
        <v>765</v>
      </c>
      <c r="L6780" s="3">
        <v>1</v>
      </c>
      <c r="M6780" s="3">
        <v>112</v>
      </c>
    </row>
    <row r="6781" spans="1:13" x14ac:dyDescent="0.25">
      <c r="A6781" s="1" t="str">
        <f>HYPERLINK("http://www.rosaceae.org/Prunus/Prunus_persica/p.persica_gdr_reftransV1_0027327","p.persica_gdr_reftransV1_0027327")</f>
        <v>p.persica_gdr_reftransV1_0027327</v>
      </c>
      <c r="B6781" s="3">
        <v>3610</v>
      </c>
      <c r="C6781" s="1" t="str">
        <f>HYPERLINK("http://www.uniprot.org/uniprot/RPA1_DICDI","RPA1_DICDI")</f>
        <v>RPA1_DICDI</v>
      </c>
      <c r="D6781" t="s">
        <v>5516</v>
      </c>
      <c r="E6781" s="3" t="s">
        <v>9</v>
      </c>
      <c r="F6781" s="4">
        <v>3.4300000000000002E-169</v>
      </c>
      <c r="G6781" s="3">
        <v>1417</v>
      </c>
      <c r="H6781" s="3">
        <v>42</v>
      </c>
      <c r="I6781" s="3">
        <v>725</v>
      </c>
      <c r="J6781" s="3">
        <v>1551</v>
      </c>
      <c r="K6781" s="3">
        <v>3608</v>
      </c>
      <c r="L6781" s="3">
        <v>579</v>
      </c>
      <c r="M6781" s="3">
        <v>1242</v>
      </c>
    </row>
    <row r="6782" spans="1:13" x14ac:dyDescent="0.25">
      <c r="A6782" s="1" t="str">
        <f>HYPERLINK("http://www.rosaceae.org/Prunus/Prunus_persica/p.persica_gdr_reftransV1_0027427","p.persica_gdr_reftransV1_0027427")</f>
        <v>p.persica_gdr_reftransV1_0027427</v>
      </c>
      <c r="B6782" s="3">
        <v>3029</v>
      </c>
      <c r="C6782" s="1" t="str">
        <f>HYPERLINK("http://www.uniprot.org/uniprot/PP6R1_HUMAN","PP6R1_HUMAN")</f>
        <v>PP6R1_HUMAN</v>
      </c>
      <c r="D6782" t="s">
        <v>5517</v>
      </c>
      <c r="E6782" s="3" t="s">
        <v>28</v>
      </c>
      <c r="F6782" s="4">
        <v>2.4099999999999998E-13</v>
      </c>
      <c r="G6782" s="3">
        <v>191</v>
      </c>
      <c r="H6782" s="3">
        <v>28</v>
      </c>
      <c r="I6782" s="3">
        <v>191</v>
      </c>
      <c r="J6782" s="3">
        <v>1502</v>
      </c>
      <c r="K6782" s="3">
        <v>2005</v>
      </c>
      <c r="L6782" s="3">
        <v>338</v>
      </c>
      <c r="M6782" s="3">
        <v>514</v>
      </c>
    </row>
    <row r="6783" spans="1:13" x14ac:dyDescent="0.25">
      <c r="A6783" s="1" t="str">
        <f>HYPERLINK("http://www.rosaceae.org/Prunus/Prunus_persica/p.persica_gdr_reftransV1_0027477","p.persica_gdr_reftransV1_0027477")</f>
        <v>p.persica_gdr_reftransV1_0027477</v>
      </c>
      <c r="B6783" s="3">
        <v>459</v>
      </c>
      <c r="C6783" s="1" t="str">
        <f>HYPERLINK("http://www.uniprot.org/uniprot/RLM1B_ARATH","RLM1B_ARATH")</f>
        <v>RLM1B_ARATH</v>
      </c>
      <c r="D6783" t="s">
        <v>3318</v>
      </c>
      <c r="E6783" s="3" t="s">
        <v>3</v>
      </c>
      <c r="F6783" s="4">
        <v>6.8300000000000002E-31</v>
      </c>
      <c r="G6783" s="3">
        <v>306</v>
      </c>
      <c r="H6783" s="3">
        <v>39</v>
      </c>
      <c r="I6783" s="3">
        <v>150</v>
      </c>
      <c r="J6783" s="3">
        <v>2</v>
      </c>
      <c r="K6783" s="3">
        <v>451</v>
      </c>
      <c r="L6783" s="3">
        <v>293</v>
      </c>
      <c r="M6783" s="3">
        <v>442</v>
      </c>
    </row>
    <row r="6784" spans="1:13" x14ac:dyDescent="0.25">
      <c r="A6784" s="1" t="str">
        <f>HYPERLINK("http://www.rosaceae.org/Prunus/Prunus_persica/p.persica_gdr_reftransV1_0027627","p.persica_gdr_reftransV1_0027627")</f>
        <v>p.persica_gdr_reftransV1_0027627</v>
      </c>
      <c r="B6784" s="3">
        <v>2884</v>
      </c>
      <c r="C6784" s="1" t="str">
        <f>HYPERLINK("http://www.uniprot.org/uniprot/PERK9_ARATH","PERK9_ARATH")</f>
        <v>PERK9_ARATH</v>
      </c>
      <c r="D6784" t="s">
        <v>5518</v>
      </c>
      <c r="E6784" s="3" t="s">
        <v>3</v>
      </c>
      <c r="F6784" s="4">
        <v>2.7100000000000001E-65</v>
      </c>
      <c r="G6784" s="3">
        <v>607</v>
      </c>
      <c r="H6784" s="3">
        <v>88</v>
      </c>
      <c r="I6784" s="3">
        <v>123</v>
      </c>
      <c r="J6784" s="3">
        <v>6</v>
      </c>
      <c r="K6784" s="3">
        <v>374</v>
      </c>
      <c r="L6784" s="3">
        <v>468</v>
      </c>
      <c r="M6784" s="3">
        <v>590</v>
      </c>
    </row>
    <row r="6785" spans="1:13" x14ac:dyDescent="0.25">
      <c r="A6785" s="1" t="str">
        <f>HYPERLINK("http://www.rosaceae.org/Prunus/Prunus_persica/p.persica_gdr_reftransV1_0027677","p.persica_gdr_reftransV1_0027677")</f>
        <v>p.persica_gdr_reftransV1_0027677</v>
      </c>
      <c r="B6785" s="3">
        <v>1294</v>
      </c>
      <c r="C6785" s="1" t="str">
        <f>HYPERLINK("http://www.uniprot.org/uniprot/CAHC_PEA","CAHC_PEA")</f>
        <v>CAHC_PEA</v>
      </c>
      <c r="D6785" t="s">
        <v>5519</v>
      </c>
      <c r="E6785" s="3" t="s">
        <v>60</v>
      </c>
      <c r="F6785" s="4">
        <v>3.76E-126</v>
      </c>
      <c r="G6785" s="3">
        <v>963</v>
      </c>
      <c r="H6785" s="3">
        <v>72</v>
      </c>
      <c r="I6785" s="3">
        <v>282</v>
      </c>
      <c r="J6785" s="3">
        <v>349</v>
      </c>
      <c r="K6785" s="3">
        <v>1179</v>
      </c>
      <c r="L6785" s="3">
        <v>48</v>
      </c>
      <c r="M6785" s="3">
        <v>328</v>
      </c>
    </row>
    <row r="6786" spans="1:13" x14ac:dyDescent="0.25">
      <c r="A6786" s="1" t="str">
        <f>HYPERLINK("http://www.rosaceae.org/Prunus/Prunus_persica/p.persica_gdr_reftransV1_0027827","p.persica_gdr_reftransV1_0027827")</f>
        <v>p.persica_gdr_reftransV1_0027827</v>
      </c>
      <c r="B6786" s="3">
        <v>2821</v>
      </c>
      <c r="C6786" s="1" t="str">
        <f>HYPERLINK("http://www.uniprot.org/uniprot/PPR50_ARATH","PPR50_ARATH")</f>
        <v>PPR50_ARATH</v>
      </c>
      <c r="D6786" t="s">
        <v>5520</v>
      </c>
      <c r="E6786" s="3" t="s">
        <v>3</v>
      </c>
      <c r="F6786" s="4">
        <v>0</v>
      </c>
      <c r="G6786" s="3">
        <v>1774</v>
      </c>
      <c r="H6786" s="3">
        <v>54</v>
      </c>
      <c r="I6786" s="3">
        <v>682</v>
      </c>
      <c r="J6786" s="3">
        <v>170</v>
      </c>
      <c r="K6786" s="3">
        <v>2200</v>
      </c>
      <c r="L6786" s="3">
        <v>175</v>
      </c>
      <c r="M6786" s="3">
        <v>855</v>
      </c>
    </row>
    <row r="6787" spans="1:13" x14ac:dyDescent="0.25">
      <c r="A6787" s="1" t="str">
        <f>HYPERLINK("http://www.rosaceae.org/Prunus/Prunus_persica/p.persica_gdr_reftransV1_0028727","p.persica_gdr_reftransV1_0028727")</f>
        <v>p.persica_gdr_reftransV1_0028727</v>
      </c>
      <c r="B6787" s="3">
        <v>2928</v>
      </c>
      <c r="C6787" s="1" t="str">
        <f>HYPERLINK("http://www.uniprot.org/uniprot/KEA6_ARATH","KEA6_ARATH")</f>
        <v>KEA6_ARATH</v>
      </c>
      <c r="D6787" t="s">
        <v>5521</v>
      </c>
      <c r="E6787" s="3" t="s">
        <v>3</v>
      </c>
      <c r="F6787" s="4">
        <v>1.3800000000000001E-162</v>
      </c>
      <c r="G6787" s="3">
        <v>1280</v>
      </c>
      <c r="H6787" s="3">
        <v>85</v>
      </c>
      <c r="I6787" s="3">
        <v>292</v>
      </c>
      <c r="J6787" s="3">
        <v>1746</v>
      </c>
      <c r="K6787" s="3">
        <v>2618</v>
      </c>
      <c r="L6787" s="3">
        <v>68</v>
      </c>
      <c r="M6787" s="3">
        <v>356</v>
      </c>
    </row>
    <row r="6788" spans="1:13" x14ac:dyDescent="0.25">
      <c r="A6788" s="1" t="str">
        <f>HYPERLINK("http://www.rosaceae.org/Prunus/Prunus_persica/p.persica_gdr_reftransV1_0029027","p.persica_gdr_reftransV1_0029027")</f>
        <v>p.persica_gdr_reftransV1_0029027</v>
      </c>
      <c r="B6788" s="3">
        <v>4966</v>
      </c>
      <c r="C6788" s="1" t="str">
        <f>HYPERLINK("http://www.uniprot.org/uniprot/IPO11_MOUSE","IPO11_MOUSE")</f>
        <v>IPO11_MOUSE</v>
      </c>
      <c r="D6788" t="s">
        <v>5522</v>
      </c>
      <c r="E6788" s="3" t="s">
        <v>157</v>
      </c>
      <c r="F6788" s="4">
        <v>9.8099999999999994E-114</v>
      </c>
      <c r="G6788" s="3">
        <v>1002</v>
      </c>
      <c r="H6788" s="3">
        <v>31</v>
      </c>
      <c r="I6788" s="3">
        <v>833</v>
      </c>
      <c r="J6788" s="3">
        <v>2362</v>
      </c>
      <c r="K6788" s="3">
        <v>4851</v>
      </c>
      <c r="L6788" s="3">
        <v>13</v>
      </c>
      <c r="M6788" s="3">
        <v>805</v>
      </c>
    </row>
    <row r="6789" spans="1:13" x14ac:dyDescent="0.25">
      <c r="A6789" s="1" t="str">
        <f>HYPERLINK("http://www.rosaceae.org/Prunus/Prunus_persica/p.persica_gdr_reftransV1_0029077","p.persica_gdr_reftransV1_0029077")</f>
        <v>p.persica_gdr_reftransV1_0029077</v>
      </c>
      <c r="B6789" s="3">
        <v>2152</v>
      </c>
      <c r="C6789" s="1" t="str">
        <f>HYPERLINK("http://www.uniprot.org/uniprot/TWIH_ARATH","TWIH_ARATH")</f>
        <v>TWIH_ARATH</v>
      </c>
      <c r="D6789" t="s">
        <v>5523</v>
      </c>
      <c r="E6789" s="3" t="s">
        <v>3</v>
      </c>
      <c r="F6789" s="4">
        <v>7.4700000000000004E-38</v>
      </c>
      <c r="G6789" s="3">
        <v>291</v>
      </c>
      <c r="H6789" s="3">
        <v>44</v>
      </c>
      <c r="I6789" s="3">
        <v>149</v>
      </c>
      <c r="J6789" s="3">
        <v>508</v>
      </c>
      <c r="K6789" s="3">
        <v>951</v>
      </c>
      <c r="L6789" s="3">
        <v>139</v>
      </c>
      <c r="M6789" s="3">
        <v>285</v>
      </c>
    </row>
    <row r="6790" spans="1:13" x14ac:dyDescent="0.25">
      <c r="A6790" s="1" t="str">
        <f>HYPERLINK("http://www.rosaceae.org/Prunus/Prunus_persica/p.persica_gdr_reftransV1_0029127","p.persica_gdr_reftransV1_0029127")</f>
        <v>p.persica_gdr_reftransV1_0029127</v>
      </c>
      <c r="B6790" s="3">
        <v>1228</v>
      </c>
      <c r="C6790" s="1" t="str">
        <f>HYPERLINK("http://www.uniprot.org/uniprot/STR12_ARATH","STR12_ARATH")</f>
        <v>STR12_ARATH</v>
      </c>
      <c r="D6790" t="s">
        <v>5524</v>
      </c>
      <c r="E6790" s="3" t="s">
        <v>3</v>
      </c>
      <c r="F6790" s="4">
        <v>8.5399999999999997E-94</v>
      </c>
      <c r="G6790" s="3">
        <v>743</v>
      </c>
      <c r="H6790" s="3">
        <v>61</v>
      </c>
      <c r="I6790" s="3">
        <v>243</v>
      </c>
      <c r="J6790" s="3">
        <v>328</v>
      </c>
      <c r="K6790" s="3">
        <v>1026</v>
      </c>
      <c r="L6790" s="3">
        <v>59</v>
      </c>
      <c r="M6790" s="3">
        <v>299</v>
      </c>
    </row>
    <row r="6791" spans="1:13" x14ac:dyDescent="0.25">
      <c r="A6791" s="1" t="str">
        <f>HYPERLINK("http://www.rosaceae.org/Prunus/Prunus_persica/p.persica_gdr_reftransV1_0029277","p.persica_gdr_reftransV1_0029277")</f>
        <v>p.persica_gdr_reftransV1_0029277</v>
      </c>
      <c r="B6791" s="3">
        <v>4204</v>
      </c>
      <c r="C6791" s="1" t="str">
        <f>HYPERLINK("http://www.uniprot.org/uniprot/YL728_MIMIV","YL728_MIMIV")</f>
        <v>YL728_MIMIV</v>
      </c>
      <c r="D6791" t="s">
        <v>2032</v>
      </c>
      <c r="E6791" s="3" t="s">
        <v>2033</v>
      </c>
      <c r="F6791" s="4">
        <v>2.2399999999999998E-22</v>
      </c>
      <c r="G6791" s="3">
        <v>266</v>
      </c>
      <c r="H6791" s="3">
        <v>34</v>
      </c>
      <c r="I6791" s="3">
        <v>192</v>
      </c>
      <c r="J6791" s="3">
        <v>385</v>
      </c>
      <c r="K6791" s="3">
        <v>957</v>
      </c>
      <c r="L6791" s="3">
        <v>270</v>
      </c>
      <c r="M6791" s="3">
        <v>456</v>
      </c>
    </row>
    <row r="6792" spans="1:13" x14ac:dyDescent="0.25">
      <c r="A6792" s="1" t="str">
        <f>HYPERLINK("http://www.rosaceae.org/Prunus/Prunus_persica/p.persica_gdr_reftransV1_0029477","p.persica_gdr_reftransV1_0029477")</f>
        <v>p.persica_gdr_reftransV1_0029477</v>
      </c>
      <c r="B6792" s="3">
        <v>2147</v>
      </c>
      <c r="C6792" s="1" t="str">
        <f>HYPERLINK("http://www.uniprot.org/uniprot/CARME_RAT","CARME_RAT")</f>
        <v>CARME_RAT</v>
      </c>
      <c r="D6792" t="s">
        <v>5525</v>
      </c>
      <c r="E6792" s="3" t="s">
        <v>161</v>
      </c>
      <c r="F6792" s="4">
        <v>8.6600000000000004E-72</v>
      </c>
      <c r="G6792" s="3">
        <v>625</v>
      </c>
      <c r="H6792" s="3">
        <v>48</v>
      </c>
      <c r="I6792" s="3">
        <v>247</v>
      </c>
      <c r="J6792" s="3">
        <v>995</v>
      </c>
      <c r="K6792" s="3">
        <v>1720</v>
      </c>
      <c r="L6792" s="3">
        <v>145</v>
      </c>
      <c r="M6792" s="3">
        <v>385</v>
      </c>
    </row>
    <row r="6793" spans="1:13" x14ac:dyDescent="0.25">
      <c r="A6793" s="1" t="str">
        <f>HYPERLINK("http://www.rosaceae.org/Prunus/Prunus_persica/p.persica_gdr_reftransV1_0029527","p.persica_gdr_reftransV1_0029527")</f>
        <v>p.persica_gdr_reftransV1_0029527</v>
      </c>
      <c r="B6793" s="3">
        <v>510</v>
      </c>
      <c r="C6793" s="1" t="str">
        <f>HYPERLINK("http://www.uniprot.org/uniprot/REV_ARATH","REV_ARATH")</f>
        <v>REV_ARATH</v>
      </c>
      <c r="D6793" t="s">
        <v>1306</v>
      </c>
      <c r="E6793" s="3" t="s">
        <v>3</v>
      </c>
      <c r="F6793" s="4">
        <v>5.1699999999999997E-53</v>
      </c>
      <c r="G6793" s="3">
        <v>468</v>
      </c>
      <c r="H6793" s="3">
        <v>81</v>
      </c>
      <c r="I6793" s="3">
        <v>108</v>
      </c>
      <c r="J6793" s="3">
        <v>1</v>
      </c>
      <c r="K6793" s="3">
        <v>315</v>
      </c>
      <c r="L6793" s="3">
        <v>735</v>
      </c>
      <c r="M6793" s="3">
        <v>842</v>
      </c>
    </row>
    <row r="6794" spans="1:13" x14ac:dyDescent="0.25">
      <c r="A6794" s="1" t="str">
        <f>HYPERLINK("http://www.rosaceae.org/Prunus/Prunus_persica/p.persica_gdr_reftransV1_0029627","p.persica_gdr_reftransV1_0029627")</f>
        <v>p.persica_gdr_reftransV1_0029627</v>
      </c>
      <c r="B6794" s="3">
        <v>3885</v>
      </c>
      <c r="C6794" s="1" t="str">
        <f>HYPERLINK("http://www.uniprot.org/uniprot/ATX3_ARATH","ATX3_ARATH")</f>
        <v>ATX3_ARATH</v>
      </c>
      <c r="D6794" t="s">
        <v>5526</v>
      </c>
      <c r="E6794" s="3" t="s">
        <v>3</v>
      </c>
      <c r="F6794" s="4">
        <v>0</v>
      </c>
      <c r="G6794" s="3">
        <v>2942</v>
      </c>
      <c r="H6794" s="3">
        <v>58</v>
      </c>
      <c r="I6794" s="3">
        <v>972</v>
      </c>
      <c r="J6794" s="3">
        <v>354</v>
      </c>
      <c r="K6794" s="3">
        <v>3140</v>
      </c>
      <c r="L6794" s="3">
        <v>83</v>
      </c>
      <c r="M6794" s="3">
        <v>1018</v>
      </c>
    </row>
    <row r="6795" spans="1:13" x14ac:dyDescent="0.25">
      <c r="A6795" s="1" t="str">
        <f>HYPERLINK("http://www.rosaceae.org/Prunus/Prunus_persica/p.persica_gdr_reftransV1_0029727","p.persica_gdr_reftransV1_0029727")</f>
        <v>p.persica_gdr_reftransV1_0029727</v>
      </c>
      <c r="B6795" s="3">
        <v>1197</v>
      </c>
      <c r="C6795" s="1" t="str">
        <f>HYPERLINK("http://www.uniprot.org/uniprot/XTH23_ARATH","XTH23_ARATH")</f>
        <v>XTH23_ARATH</v>
      </c>
      <c r="D6795" t="s">
        <v>5527</v>
      </c>
      <c r="E6795" s="3" t="s">
        <v>3</v>
      </c>
      <c r="F6795" s="4">
        <v>3.0099999999999999E-138</v>
      </c>
      <c r="G6795" s="3">
        <v>1036</v>
      </c>
      <c r="H6795" s="3">
        <v>71</v>
      </c>
      <c r="I6795" s="3">
        <v>286</v>
      </c>
      <c r="J6795" s="3">
        <v>278</v>
      </c>
      <c r="K6795" s="3">
        <v>1132</v>
      </c>
      <c r="L6795" s="3">
        <v>1</v>
      </c>
      <c r="M6795" s="3">
        <v>286</v>
      </c>
    </row>
    <row r="6796" spans="1:13" x14ac:dyDescent="0.25">
      <c r="A6796" s="1" t="str">
        <f>HYPERLINK("http://www.rosaceae.org/Prunus/Prunus_persica/p.persica_gdr_reftransV1_0029827","p.persica_gdr_reftransV1_0029827")</f>
        <v>p.persica_gdr_reftransV1_0029827</v>
      </c>
      <c r="B6796" s="3">
        <v>4859</v>
      </c>
      <c r="C6796" s="1" t="str">
        <f>HYPERLINK("http://www.uniprot.org/uniprot/SYFB_ARATH","SYFB_ARATH")</f>
        <v>SYFB_ARATH</v>
      </c>
      <c r="D6796" t="s">
        <v>4373</v>
      </c>
      <c r="E6796" s="3" t="s">
        <v>3</v>
      </c>
      <c r="F6796" s="4">
        <v>0</v>
      </c>
      <c r="G6796" s="3">
        <v>2375</v>
      </c>
      <c r="H6796" s="3">
        <v>74</v>
      </c>
      <c r="I6796" s="3">
        <v>600</v>
      </c>
      <c r="J6796" s="3">
        <v>3004</v>
      </c>
      <c r="K6796" s="3">
        <v>4770</v>
      </c>
      <c r="L6796" s="3">
        <v>1</v>
      </c>
      <c r="M6796" s="3">
        <v>598</v>
      </c>
    </row>
    <row r="6797" spans="1:13" x14ac:dyDescent="0.25">
      <c r="A6797" s="1" t="str">
        <f>HYPERLINK("http://www.rosaceae.org/Prunus/Prunus_persica/p.persica_gdr_reftransV1_0030027","p.persica_gdr_reftransV1_0030027")</f>
        <v>p.persica_gdr_reftransV1_0030027</v>
      </c>
      <c r="B6797" s="3">
        <v>1125</v>
      </c>
      <c r="C6797" s="1" t="str">
        <f>HYPERLINK("http://www.uniprot.org/uniprot/RS25_SOLLC","RS25_SOLLC")</f>
        <v>RS25_SOLLC</v>
      </c>
      <c r="D6797" t="s">
        <v>5528</v>
      </c>
      <c r="E6797" s="3" t="s">
        <v>64</v>
      </c>
      <c r="F6797" s="4">
        <v>1.8E-38</v>
      </c>
      <c r="G6797" s="3">
        <v>350</v>
      </c>
      <c r="H6797" s="3">
        <v>90</v>
      </c>
      <c r="I6797" s="3">
        <v>72</v>
      </c>
      <c r="J6797" s="3">
        <v>717</v>
      </c>
      <c r="K6797" s="3">
        <v>932</v>
      </c>
      <c r="L6797" s="3">
        <v>37</v>
      </c>
      <c r="M6797" s="3">
        <v>108</v>
      </c>
    </row>
    <row r="6798" spans="1:13" x14ac:dyDescent="0.25">
      <c r="A6798" s="1" t="str">
        <f>HYPERLINK("http://www.rosaceae.org/Prunus/Prunus_persica/p.persica_gdr_reftransV1_0030127","p.persica_gdr_reftransV1_0030127")</f>
        <v>p.persica_gdr_reftransV1_0030127</v>
      </c>
      <c r="B6798" s="3">
        <v>3380</v>
      </c>
      <c r="C6798" s="1" t="str">
        <f>HYPERLINK("http://www.uniprot.org/uniprot/IF4A6_TOBAC","IF4A6_TOBAC")</f>
        <v>IF4A6_TOBAC</v>
      </c>
      <c r="D6798" t="s">
        <v>5529</v>
      </c>
      <c r="E6798" s="3" t="s">
        <v>200</v>
      </c>
      <c r="F6798" s="4">
        <v>2.0400000000000002E-136</v>
      </c>
      <c r="G6798" s="3">
        <v>1079</v>
      </c>
      <c r="H6798" s="3">
        <v>96</v>
      </c>
      <c r="I6798" s="3">
        <v>211</v>
      </c>
      <c r="J6798" s="3">
        <v>342</v>
      </c>
      <c r="K6798" s="3">
        <v>974</v>
      </c>
      <c r="L6798" s="3">
        <v>43</v>
      </c>
      <c r="M6798" s="3">
        <v>253</v>
      </c>
    </row>
    <row r="6799" spans="1:13" x14ac:dyDescent="0.25">
      <c r="A6799" s="1" t="str">
        <f>HYPERLINK("http://www.rosaceae.org/Prunus/Prunus_persica/p.persica_gdr_reftransV1_0030227","p.persica_gdr_reftransV1_0030227")</f>
        <v>p.persica_gdr_reftransV1_0030227</v>
      </c>
      <c r="B6799" s="3">
        <v>3453</v>
      </c>
      <c r="C6799" s="1" t="str">
        <f>HYPERLINK("http://www.uniprot.org/uniprot/KTNB1_ARATH","KTNB1_ARATH")</f>
        <v>KTNB1_ARATH</v>
      </c>
      <c r="D6799" t="s">
        <v>5530</v>
      </c>
      <c r="E6799" s="3" t="s">
        <v>3</v>
      </c>
      <c r="F6799" s="4">
        <v>1.04E-154</v>
      </c>
      <c r="G6799" s="3">
        <v>1261</v>
      </c>
      <c r="H6799" s="3">
        <v>69</v>
      </c>
      <c r="I6799" s="3">
        <v>316</v>
      </c>
      <c r="J6799" s="3">
        <v>324</v>
      </c>
      <c r="K6799" s="3">
        <v>1271</v>
      </c>
      <c r="L6799" s="3">
        <v>4</v>
      </c>
      <c r="M6799" s="3">
        <v>318</v>
      </c>
    </row>
    <row r="6800" spans="1:13" x14ac:dyDescent="0.25">
      <c r="A6800" s="1" t="str">
        <f>HYPERLINK("http://www.rosaceae.org/Prunus/Prunus_persica/p.persica_gdr_reftransV1_0030327","p.persica_gdr_reftransV1_0030327")</f>
        <v>p.persica_gdr_reftransV1_0030327</v>
      </c>
      <c r="B6800" s="3">
        <v>3045</v>
      </c>
      <c r="C6800" s="1" t="str">
        <f>HYPERLINK("http://www.uniprot.org/uniprot/RFWD3_AILME","RFWD3_AILME")</f>
        <v>RFWD3_AILME</v>
      </c>
      <c r="D6800" t="s">
        <v>5531</v>
      </c>
      <c r="E6800" s="3" t="s">
        <v>5532</v>
      </c>
      <c r="F6800" s="4">
        <v>3.4200000000000001E-10</v>
      </c>
      <c r="G6800" s="3">
        <v>165</v>
      </c>
      <c r="H6800" s="3">
        <v>24</v>
      </c>
      <c r="I6800" s="3">
        <v>312</v>
      </c>
      <c r="J6800" s="3">
        <v>469</v>
      </c>
      <c r="K6800" s="3">
        <v>1353</v>
      </c>
      <c r="L6800" s="3">
        <v>477</v>
      </c>
      <c r="M6800" s="3">
        <v>773</v>
      </c>
    </row>
    <row r="6801" spans="1:13" x14ac:dyDescent="0.25">
      <c r="A6801" s="1" t="str">
        <f>HYPERLINK("http://www.rosaceae.org/Prunus/Prunus_persica/p.persica_gdr_reftransV1_0030577","p.persica_gdr_reftransV1_0030577")</f>
        <v>p.persica_gdr_reftransV1_0030577</v>
      </c>
      <c r="B6801" s="3">
        <v>1173</v>
      </c>
      <c r="C6801" s="1" t="str">
        <f>HYPERLINK("http://www.uniprot.org/uniprot/FH20_ARATH","FH20_ARATH")</f>
        <v>FH20_ARATH</v>
      </c>
      <c r="D6801" t="s">
        <v>551</v>
      </c>
      <c r="E6801" s="3" t="s">
        <v>3</v>
      </c>
      <c r="F6801" s="4">
        <v>1.03E-126</v>
      </c>
      <c r="G6801" s="3">
        <v>1042</v>
      </c>
      <c r="H6801" s="3">
        <v>75</v>
      </c>
      <c r="I6801" s="3">
        <v>233</v>
      </c>
      <c r="J6801" s="3">
        <v>15</v>
      </c>
      <c r="K6801" s="3">
        <v>710</v>
      </c>
      <c r="L6801" s="3">
        <v>1</v>
      </c>
      <c r="M6801" s="3">
        <v>233</v>
      </c>
    </row>
    <row r="6802" spans="1:13" x14ac:dyDescent="0.25">
      <c r="A6802" s="1" t="str">
        <f>HYPERLINK("http://www.rosaceae.org/Prunus/Prunus_persica/p.persica_gdr_reftransV1_0030727","p.persica_gdr_reftransV1_0030727")</f>
        <v>p.persica_gdr_reftransV1_0030727</v>
      </c>
      <c r="B6802" s="3">
        <v>1513</v>
      </c>
      <c r="C6802" s="1" t="str">
        <f>HYPERLINK("http://www.uniprot.org/uniprot/DNAT1_ARATH","DNAT1_ARATH")</f>
        <v>DNAT1_ARATH</v>
      </c>
      <c r="D6802" t="s">
        <v>5533</v>
      </c>
      <c r="E6802" s="3" t="s">
        <v>3</v>
      </c>
      <c r="F6802" s="4">
        <v>1.19E-64</v>
      </c>
      <c r="G6802" s="3">
        <v>541</v>
      </c>
      <c r="H6802" s="3">
        <v>66</v>
      </c>
      <c r="I6802" s="3">
        <v>149</v>
      </c>
      <c r="J6802" s="3">
        <v>196</v>
      </c>
      <c r="K6802" s="3">
        <v>642</v>
      </c>
      <c r="L6802" s="3">
        <v>8</v>
      </c>
      <c r="M6802" s="3">
        <v>156</v>
      </c>
    </row>
    <row r="6803" spans="1:13" x14ac:dyDescent="0.25">
      <c r="A6803" s="1" t="str">
        <f>HYPERLINK("http://www.rosaceae.org/Prunus/Prunus_persica/p.persica_gdr_reftransV1_0030827","p.persica_gdr_reftransV1_0030827")</f>
        <v>p.persica_gdr_reftransV1_0030827</v>
      </c>
      <c r="B6803" s="3">
        <v>4062</v>
      </c>
      <c r="C6803" s="1" t="str">
        <f>HYPERLINK("http://www.uniprot.org/uniprot/FCF1_PONAB","FCF1_PONAB")</f>
        <v>FCF1_PONAB</v>
      </c>
      <c r="D6803" t="s">
        <v>5534</v>
      </c>
      <c r="E6803" s="3" t="s">
        <v>176</v>
      </c>
      <c r="F6803" s="4">
        <v>1.03E-15</v>
      </c>
      <c r="G6803" s="3">
        <v>202</v>
      </c>
      <c r="H6803" s="3">
        <v>76</v>
      </c>
      <c r="I6803" s="3">
        <v>51</v>
      </c>
      <c r="J6803" s="3">
        <v>3061</v>
      </c>
      <c r="K6803" s="3">
        <v>3213</v>
      </c>
      <c r="L6803" s="3">
        <v>150</v>
      </c>
      <c r="M6803" s="3">
        <v>198</v>
      </c>
    </row>
    <row r="6804" spans="1:13" x14ac:dyDescent="0.25">
      <c r="A6804" s="1" t="str">
        <f>HYPERLINK("http://www.rosaceae.org/Prunus/Prunus_persica/p.persica_gdr_reftransV1_0031277","p.persica_gdr_reftransV1_0031277")</f>
        <v>p.persica_gdr_reftransV1_0031277</v>
      </c>
      <c r="B6804" s="3">
        <v>1316</v>
      </c>
      <c r="C6804" s="1" t="str">
        <f>HYPERLINK("http://www.uniprot.org/uniprot/VDAC2_ARATH","VDAC2_ARATH")</f>
        <v>VDAC2_ARATH</v>
      </c>
      <c r="D6804" t="s">
        <v>5535</v>
      </c>
      <c r="E6804" s="3" t="s">
        <v>3</v>
      </c>
      <c r="F6804" s="4">
        <v>1.97E-146</v>
      </c>
      <c r="G6804" s="3">
        <v>1093</v>
      </c>
      <c r="H6804" s="3">
        <v>73</v>
      </c>
      <c r="I6804" s="3">
        <v>276</v>
      </c>
      <c r="J6804" s="3">
        <v>395</v>
      </c>
      <c r="K6804" s="3">
        <v>1222</v>
      </c>
      <c r="L6804" s="3">
        <v>1</v>
      </c>
      <c r="M6804" s="3">
        <v>276</v>
      </c>
    </row>
    <row r="6805" spans="1:13" x14ac:dyDescent="0.25">
      <c r="A6805" s="1" t="str">
        <f>HYPERLINK("http://www.rosaceae.org/Prunus/Prunus_persica/p.persica_gdr_reftransV1_0031327","p.persica_gdr_reftransV1_0031327")</f>
        <v>p.persica_gdr_reftransV1_0031327</v>
      </c>
      <c r="B6805" s="3">
        <v>3171</v>
      </c>
      <c r="C6805" s="1" t="str">
        <f>HYPERLINK("http://www.uniprot.org/uniprot/CP062_HUMAN","CP062_HUMAN")</f>
        <v>CP062_HUMAN</v>
      </c>
      <c r="D6805" t="s">
        <v>5536</v>
      </c>
      <c r="E6805" s="3" t="s">
        <v>28</v>
      </c>
      <c r="F6805" s="4">
        <v>4.33E-98</v>
      </c>
      <c r="G6805" s="3">
        <v>867</v>
      </c>
      <c r="H6805" s="3">
        <v>30</v>
      </c>
      <c r="I6805" s="3">
        <v>741</v>
      </c>
      <c r="J6805" s="3">
        <v>557</v>
      </c>
      <c r="K6805" s="3">
        <v>2710</v>
      </c>
      <c r="L6805" s="3">
        <v>162</v>
      </c>
      <c r="M6805" s="3">
        <v>876</v>
      </c>
    </row>
    <row r="6806" spans="1:13" x14ac:dyDescent="0.25">
      <c r="A6806" s="1" t="str">
        <f>HYPERLINK("http://www.rosaceae.org/Prunus/Prunus_persica/p.persica_gdr_reftransV1_0031527","p.persica_gdr_reftransV1_0031527")</f>
        <v>p.persica_gdr_reftransV1_0031527</v>
      </c>
      <c r="B6806" s="3">
        <v>1866</v>
      </c>
      <c r="C6806" s="1" t="str">
        <f>HYPERLINK("http://www.uniprot.org/uniprot/ADNT1_ARATH","ADNT1_ARATH")</f>
        <v>ADNT1_ARATH</v>
      </c>
      <c r="D6806" t="s">
        <v>786</v>
      </c>
      <c r="E6806" s="3" t="s">
        <v>3</v>
      </c>
      <c r="F6806" s="4">
        <v>2.3800000000000001E-152</v>
      </c>
      <c r="G6806" s="3">
        <v>866</v>
      </c>
      <c r="H6806" s="3">
        <v>83</v>
      </c>
      <c r="I6806" s="3">
        <v>223</v>
      </c>
      <c r="J6806" s="3">
        <v>890</v>
      </c>
      <c r="K6806" s="3">
        <v>1555</v>
      </c>
      <c r="L6806" s="3">
        <v>1</v>
      </c>
      <c r="M6806" s="3">
        <v>219</v>
      </c>
    </row>
    <row r="6807" spans="1:13" x14ac:dyDescent="0.25">
      <c r="A6807" s="1" t="str">
        <f>HYPERLINK("http://www.rosaceae.org/Prunus/Prunus_persica/p.persica_gdr_reftransV1_0032527","p.persica_gdr_reftransV1_0032527")</f>
        <v>p.persica_gdr_reftransV1_0032527</v>
      </c>
      <c r="B6807" s="3">
        <v>1071</v>
      </c>
      <c r="C6807" s="1" t="str">
        <f>HYPERLINK("http://www.uniprot.org/uniprot/RL23_AERHH","RL23_AERHH")</f>
        <v>RL23_AERHH</v>
      </c>
      <c r="D6807" t="s">
        <v>5537</v>
      </c>
      <c r="E6807" s="3" t="s">
        <v>5538</v>
      </c>
      <c r="F6807" s="4">
        <v>1.7199999999999999E-8</v>
      </c>
      <c r="G6807" s="3">
        <v>134</v>
      </c>
      <c r="H6807" s="3">
        <v>43</v>
      </c>
      <c r="I6807" s="3">
        <v>72</v>
      </c>
      <c r="J6807" s="3">
        <v>277</v>
      </c>
      <c r="K6807" s="3">
        <v>492</v>
      </c>
      <c r="L6807" s="3">
        <v>30</v>
      </c>
      <c r="M6807" s="3">
        <v>97</v>
      </c>
    </row>
    <row r="6808" spans="1:13" x14ac:dyDescent="0.25">
      <c r="A6808" s="1" t="str">
        <f>HYPERLINK("http://www.rosaceae.org/Prunus/Prunus_persica/p.persica_gdr_reftransV1_0032577","p.persica_gdr_reftransV1_0032577")</f>
        <v>p.persica_gdr_reftransV1_0032577</v>
      </c>
      <c r="B6808" s="3">
        <v>3871</v>
      </c>
      <c r="C6808" s="1" t="str">
        <f>HYPERLINK("http://www.uniprot.org/uniprot/UBC37_ARATH","UBC37_ARATH")</f>
        <v>UBC37_ARATH</v>
      </c>
      <c r="D6808" t="s">
        <v>5539</v>
      </c>
      <c r="E6808" s="3" t="s">
        <v>3</v>
      </c>
      <c r="F6808" s="4">
        <v>4.9399999999999998E-73</v>
      </c>
      <c r="G6808" s="3">
        <v>650</v>
      </c>
      <c r="H6808" s="3">
        <v>57</v>
      </c>
      <c r="I6808" s="3">
        <v>281</v>
      </c>
      <c r="J6808" s="3">
        <v>2964</v>
      </c>
      <c r="K6808" s="3">
        <v>3764</v>
      </c>
      <c r="L6808" s="3">
        <v>1</v>
      </c>
      <c r="M6808" s="3">
        <v>264</v>
      </c>
    </row>
    <row r="6809" spans="1:13" x14ac:dyDescent="0.25">
      <c r="A6809" s="1" t="str">
        <f>HYPERLINK("http://www.rosaceae.org/Prunus/Prunus_persica/p.persica_gdr_reftransV1_0032877","p.persica_gdr_reftransV1_0032877")</f>
        <v>p.persica_gdr_reftransV1_0032877</v>
      </c>
      <c r="B6809" s="3">
        <v>1792</v>
      </c>
      <c r="C6809" s="1" t="str">
        <f>HYPERLINK("http://www.uniprot.org/uniprot/ARGD_ALNGL","ARGD_ALNGL")</f>
        <v>ARGD_ALNGL</v>
      </c>
      <c r="D6809" t="s">
        <v>5540</v>
      </c>
      <c r="E6809" s="3" t="s">
        <v>5541</v>
      </c>
      <c r="F6809" s="4">
        <v>0</v>
      </c>
      <c r="G6809" s="3">
        <v>1661</v>
      </c>
      <c r="H6809" s="3">
        <v>74</v>
      </c>
      <c r="I6809" s="3">
        <v>447</v>
      </c>
      <c r="J6809" s="3">
        <v>245</v>
      </c>
      <c r="K6809" s="3">
        <v>1585</v>
      </c>
      <c r="L6809" s="3">
        <v>5</v>
      </c>
      <c r="M6809" s="3">
        <v>448</v>
      </c>
    </row>
    <row r="6810" spans="1:13" x14ac:dyDescent="0.25">
      <c r="A6810" s="1" t="str">
        <f>HYPERLINK("http://www.rosaceae.org/Prunus/Prunus_persica/p.persica_gdr_reftransV1_0032977","p.persica_gdr_reftransV1_0032977")</f>
        <v>p.persica_gdr_reftransV1_0032977</v>
      </c>
      <c r="B6810" s="3">
        <v>2371</v>
      </c>
      <c r="C6810" s="1" t="str">
        <f>HYPERLINK("http://www.uniprot.org/uniprot/SKIP3_ARATH","SKIP3_ARATH")</f>
        <v>SKIP3_ARATH</v>
      </c>
      <c r="D6810" t="s">
        <v>5542</v>
      </c>
      <c r="E6810" s="3" t="s">
        <v>3</v>
      </c>
      <c r="F6810" s="4">
        <v>1.11E-19</v>
      </c>
      <c r="G6810" s="3">
        <v>234</v>
      </c>
      <c r="H6810" s="3">
        <v>42</v>
      </c>
      <c r="I6810" s="3">
        <v>118</v>
      </c>
      <c r="J6810" s="3">
        <v>162</v>
      </c>
      <c r="K6810" s="3">
        <v>506</v>
      </c>
      <c r="L6810" s="3">
        <v>22</v>
      </c>
      <c r="M6810" s="3">
        <v>139</v>
      </c>
    </row>
    <row r="6811" spans="1:13" x14ac:dyDescent="0.25">
      <c r="A6811" s="1" t="str">
        <f>HYPERLINK("http://www.rosaceae.org/Prunus/Prunus_persica/p.persica_gdr_reftransV1_0033277","p.persica_gdr_reftransV1_0033277")</f>
        <v>p.persica_gdr_reftransV1_0033277</v>
      </c>
      <c r="B6811" s="3">
        <v>7504</v>
      </c>
      <c r="C6811" s="1" t="str">
        <f>HYPERLINK("http://www.uniprot.org/uniprot/SPA1_ARATH","SPA1_ARATH")</f>
        <v>SPA1_ARATH</v>
      </c>
      <c r="D6811" t="s">
        <v>5543</v>
      </c>
      <c r="E6811" s="3" t="s">
        <v>3</v>
      </c>
      <c r="F6811" s="4">
        <v>1.24E-139</v>
      </c>
      <c r="G6811" s="3">
        <v>1212</v>
      </c>
      <c r="H6811" s="3">
        <v>43</v>
      </c>
      <c r="I6811" s="3">
        <v>734</v>
      </c>
      <c r="J6811" s="3">
        <v>4705</v>
      </c>
      <c r="K6811" s="3">
        <v>6798</v>
      </c>
      <c r="L6811" s="3">
        <v>71</v>
      </c>
      <c r="M6811" s="3">
        <v>792</v>
      </c>
    </row>
    <row r="6812" spans="1:13" x14ac:dyDescent="0.25">
      <c r="A6812" s="1" t="str">
        <f>HYPERLINK("http://www.rosaceae.org/Prunus/Prunus_persica/p.persica_gdr_reftransV1_0033377","p.persica_gdr_reftransV1_0033377")</f>
        <v>p.persica_gdr_reftransV1_0033377</v>
      </c>
      <c r="B6812" s="3">
        <v>2702</v>
      </c>
      <c r="C6812" s="1" t="str">
        <f>HYPERLINK("http://www.uniprot.org/uniprot/TF2H4_PANTR","TF2H4_PANTR")</f>
        <v>TF2H4_PANTR</v>
      </c>
      <c r="D6812" t="s">
        <v>5544</v>
      </c>
      <c r="E6812" s="3" t="s">
        <v>986</v>
      </c>
      <c r="F6812" s="4">
        <v>7.8499999999999994E-57</v>
      </c>
      <c r="G6812" s="3">
        <v>526</v>
      </c>
      <c r="H6812" s="3">
        <v>35</v>
      </c>
      <c r="I6812" s="3">
        <v>361</v>
      </c>
      <c r="J6812" s="3">
        <v>311</v>
      </c>
      <c r="K6812" s="3">
        <v>1369</v>
      </c>
      <c r="L6812" s="3">
        <v>11</v>
      </c>
      <c r="M6812" s="3">
        <v>363</v>
      </c>
    </row>
    <row r="6813" spans="1:13" x14ac:dyDescent="0.25">
      <c r="A6813" s="1" t="str">
        <f>HYPERLINK("http://www.rosaceae.org/Prunus/Prunus_persica/p.persica_gdr_reftransV1_0033427","p.persica_gdr_reftransV1_0033427")</f>
        <v>p.persica_gdr_reftransV1_0033427</v>
      </c>
      <c r="B6813" s="3">
        <v>2140</v>
      </c>
      <c r="C6813" s="1" t="str">
        <f>HYPERLINK("http://www.uniprot.org/uniprot/U89B1_ARATH","U89B1_ARATH")</f>
        <v>U89B1_ARATH</v>
      </c>
      <c r="D6813" t="s">
        <v>5545</v>
      </c>
      <c r="E6813" s="3" t="s">
        <v>3</v>
      </c>
      <c r="F6813" s="4">
        <v>6.5500000000000004E-171</v>
      </c>
      <c r="G6813" s="3">
        <v>1302</v>
      </c>
      <c r="H6813" s="3">
        <v>62</v>
      </c>
      <c r="I6813" s="3">
        <v>474</v>
      </c>
      <c r="J6813" s="3">
        <v>393</v>
      </c>
      <c r="K6813" s="3">
        <v>1805</v>
      </c>
      <c r="L6813" s="3">
        <v>13</v>
      </c>
      <c r="M6813" s="3">
        <v>469</v>
      </c>
    </row>
    <row r="6814" spans="1:13" x14ac:dyDescent="0.25">
      <c r="A6814" s="1" t="str">
        <f>HYPERLINK("http://www.rosaceae.org/Prunus/Prunus_persica/p.persica_gdr_reftransV1_0033727","p.persica_gdr_reftransV1_0033727")</f>
        <v>p.persica_gdr_reftransV1_0033727</v>
      </c>
      <c r="B6814" s="3">
        <v>1836</v>
      </c>
      <c r="C6814" s="1" t="str">
        <f>HYPERLINK("http://www.uniprot.org/uniprot/BH066_ARATH","BH066_ARATH")</f>
        <v>BH066_ARATH</v>
      </c>
      <c r="D6814" t="s">
        <v>3908</v>
      </c>
      <c r="E6814" s="3" t="s">
        <v>3</v>
      </c>
      <c r="F6814" s="4">
        <v>4.8199999999999997E-13</v>
      </c>
      <c r="G6814" s="3">
        <v>181</v>
      </c>
      <c r="H6814" s="3">
        <v>35</v>
      </c>
      <c r="I6814" s="3">
        <v>127</v>
      </c>
      <c r="J6814" s="3">
        <v>1188</v>
      </c>
      <c r="K6814" s="3">
        <v>1532</v>
      </c>
      <c r="L6814" s="3">
        <v>156</v>
      </c>
      <c r="M6814" s="3">
        <v>282</v>
      </c>
    </row>
    <row r="6815" spans="1:13" x14ac:dyDescent="0.25">
      <c r="A6815" s="1" t="str">
        <f>HYPERLINK("http://www.rosaceae.org/Prunus/Prunus_persica/p.persica_gdr_reftransV1_0034027","p.persica_gdr_reftransV1_0034027")</f>
        <v>p.persica_gdr_reftransV1_0034027</v>
      </c>
      <c r="B6815" s="3">
        <v>3555</v>
      </c>
      <c r="C6815" s="1" t="str">
        <f>HYPERLINK("http://www.uniprot.org/uniprot/SRRM2_HUMAN","SRRM2_HUMAN")</f>
        <v>SRRM2_HUMAN</v>
      </c>
      <c r="D6815" t="s">
        <v>5546</v>
      </c>
      <c r="E6815" s="3" t="s">
        <v>28</v>
      </c>
      <c r="F6815" s="4">
        <v>9.8000000000000002E-18</v>
      </c>
      <c r="G6815" s="3">
        <v>231</v>
      </c>
      <c r="H6815" s="3">
        <v>35</v>
      </c>
      <c r="I6815" s="3">
        <v>160</v>
      </c>
      <c r="J6815" s="3">
        <v>2743</v>
      </c>
      <c r="K6815" s="3">
        <v>3180</v>
      </c>
      <c r="L6815" s="3">
        <v>1</v>
      </c>
      <c r="M6815" s="3">
        <v>142</v>
      </c>
    </row>
    <row r="6816" spans="1:13" x14ac:dyDescent="0.25">
      <c r="A6816" s="1" t="str">
        <f>HYPERLINK("http://www.rosaceae.org/Prunus/Prunus_persica/p.persica_gdr_reftransV1_0034127","p.persica_gdr_reftransV1_0034127")</f>
        <v>p.persica_gdr_reftransV1_0034127</v>
      </c>
      <c r="B6816" s="3">
        <v>1587</v>
      </c>
      <c r="C6816" s="1" t="str">
        <f>HYPERLINK("http://www.uniprot.org/uniprot/PRT1_ARATH","PRT1_ARATH")</f>
        <v>PRT1_ARATH</v>
      </c>
      <c r="D6816" t="s">
        <v>5547</v>
      </c>
      <c r="E6816" s="3" t="s">
        <v>3</v>
      </c>
      <c r="F6816" s="4">
        <v>1.0299999999999999E-98</v>
      </c>
      <c r="G6816" s="3">
        <v>797</v>
      </c>
      <c r="H6816" s="3">
        <v>45</v>
      </c>
      <c r="I6816" s="3">
        <v>372</v>
      </c>
      <c r="J6816" s="3">
        <v>438</v>
      </c>
      <c r="K6816" s="3">
        <v>1451</v>
      </c>
      <c r="L6816" s="3">
        <v>16</v>
      </c>
      <c r="M6816" s="3">
        <v>382</v>
      </c>
    </row>
    <row r="6817" spans="1:13" x14ac:dyDescent="0.25">
      <c r="A6817" s="1" t="str">
        <f>HYPERLINK("http://www.rosaceae.org/Prunus/Prunus_persica/p.persica_gdr_reftransV1_0034177","p.persica_gdr_reftransV1_0034177")</f>
        <v>p.persica_gdr_reftransV1_0034177</v>
      </c>
      <c r="B6817" s="3">
        <v>1120</v>
      </c>
      <c r="C6817" s="1" t="str">
        <f>HYPERLINK("http://www.uniprot.org/uniprot/PROSC_HUMAN","PROSC_HUMAN")</f>
        <v>PROSC_HUMAN</v>
      </c>
      <c r="D6817" t="s">
        <v>2902</v>
      </c>
      <c r="E6817" s="3" t="s">
        <v>28</v>
      </c>
      <c r="F6817" s="4">
        <v>9.4600000000000001E-51</v>
      </c>
      <c r="G6817" s="3">
        <v>338</v>
      </c>
      <c r="H6817" s="3">
        <v>48</v>
      </c>
      <c r="I6817" s="3">
        <v>145</v>
      </c>
      <c r="J6817" s="3">
        <v>209</v>
      </c>
      <c r="K6817" s="3">
        <v>631</v>
      </c>
      <c r="L6817" s="3">
        <v>120</v>
      </c>
      <c r="M6817" s="3">
        <v>258</v>
      </c>
    </row>
    <row r="6818" spans="1:13" x14ac:dyDescent="0.25">
      <c r="A6818" s="1" t="str">
        <f>HYPERLINK("http://www.rosaceae.org/Prunus/Prunus_persica/p.persica_gdr_reftransV1_0034777","p.persica_gdr_reftransV1_0034777")</f>
        <v>p.persica_gdr_reftransV1_0034777</v>
      </c>
      <c r="B6818" s="3">
        <v>2716</v>
      </c>
      <c r="C6818" s="1" t="str">
        <f>HYPERLINK("http://www.uniprot.org/uniprot/PPR23_ARATH","PPR23_ARATH")</f>
        <v>PPR23_ARATH</v>
      </c>
      <c r="D6818" t="s">
        <v>5548</v>
      </c>
      <c r="E6818" s="3" t="s">
        <v>3</v>
      </c>
      <c r="F6818" s="4">
        <v>1.2600000000000001E-152</v>
      </c>
      <c r="G6818" s="3">
        <v>1197</v>
      </c>
      <c r="H6818" s="3">
        <v>60</v>
      </c>
      <c r="I6818" s="3">
        <v>370</v>
      </c>
      <c r="J6818" s="3">
        <v>1608</v>
      </c>
      <c r="K6818" s="3">
        <v>2714</v>
      </c>
      <c r="L6818" s="3">
        <v>110</v>
      </c>
      <c r="M6818" s="3">
        <v>479</v>
      </c>
    </row>
    <row r="6819" spans="1:13" x14ac:dyDescent="0.25">
      <c r="A6819" s="1" t="str">
        <f>HYPERLINK("http://www.rosaceae.org/Prunus/Prunus_persica/p.persica_gdr_reftransV1_0035027","p.persica_gdr_reftransV1_0035027")</f>
        <v>p.persica_gdr_reftransV1_0035027</v>
      </c>
      <c r="B6819" s="3">
        <v>2645</v>
      </c>
      <c r="C6819" s="1" t="str">
        <f>HYPERLINK("http://www.uniprot.org/uniprot/MYB08_ANTMA","MYB08_ANTMA")</f>
        <v>MYB08_ANTMA</v>
      </c>
      <c r="D6819" t="s">
        <v>5549</v>
      </c>
      <c r="E6819" s="3" t="s">
        <v>1408</v>
      </c>
      <c r="F6819" s="4">
        <v>8.6399999999999995E-103</v>
      </c>
      <c r="G6819" s="3">
        <v>833</v>
      </c>
      <c r="H6819" s="3">
        <v>74</v>
      </c>
      <c r="I6819" s="3">
        <v>226</v>
      </c>
      <c r="J6819" s="3">
        <v>1631</v>
      </c>
      <c r="K6819" s="3">
        <v>2290</v>
      </c>
      <c r="L6819" s="3">
        <v>1</v>
      </c>
      <c r="M6819" s="3">
        <v>226</v>
      </c>
    </row>
    <row r="6820" spans="1:13" x14ac:dyDescent="0.25">
      <c r="A6820" s="1" t="str">
        <f>HYPERLINK("http://www.rosaceae.org/Prunus/Prunus_persica/p.persica_gdr_reftransV1_0035227","p.persica_gdr_reftransV1_0035227")</f>
        <v>p.persica_gdr_reftransV1_0035227</v>
      </c>
      <c r="B6820" s="3">
        <v>3287</v>
      </c>
      <c r="C6820" s="1" t="str">
        <f>HYPERLINK("http://www.uniprot.org/uniprot/EZA1_ARATH","EZA1_ARATH")</f>
        <v>EZA1_ARATH</v>
      </c>
      <c r="D6820" t="s">
        <v>5550</v>
      </c>
      <c r="E6820" s="3" t="s">
        <v>3</v>
      </c>
      <c r="F6820" s="4">
        <v>0</v>
      </c>
      <c r="G6820" s="3">
        <v>1686</v>
      </c>
      <c r="H6820" s="3">
        <v>55</v>
      </c>
      <c r="I6820" s="3">
        <v>697</v>
      </c>
      <c r="J6820" s="3">
        <v>772</v>
      </c>
      <c r="K6820" s="3">
        <v>2850</v>
      </c>
      <c r="L6820" s="3">
        <v>213</v>
      </c>
      <c r="M6820" s="3">
        <v>856</v>
      </c>
    </row>
    <row r="6821" spans="1:13" x14ac:dyDescent="0.25">
      <c r="A6821" s="1" t="str">
        <f>HYPERLINK("http://www.rosaceae.org/Prunus/Prunus_persica/p.persica_gdr_reftransV1_0035877","p.persica_gdr_reftransV1_0035877")</f>
        <v>p.persica_gdr_reftransV1_0035877</v>
      </c>
      <c r="B6821" s="3">
        <v>2649</v>
      </c>
      <c r="C6821" s="1" t="str">
        <f>HYPERLINK("http://www.uniprot.org/uniprot/PP250_ARATH","PP250_ARATH")</f>
        <v>PP250_ARATH</v>
      </c>
      <c r="D6821" t="s">
        <v>5356</v>
      </c>
      <c r="E6821" s="3" t="s">
        <v>3</v>
      </c>
      <c r="F6821" s="4">
        <v>0</v>
      </c>
      <c r="G6821" s="3">
        <v>1919</v>
      </c>
      <c r="H6821" s="3">
        <v>67</v>
      </c>
      <c r="I6821" s="3">
        <v>544</v>
      </c>
      <c r="J6821" s="3">
        <v>1014</v>
      </c>
      <c r="K6821" s="3">
        <v>2645</v>
      </c>
      <c r="L6821" s="3">
        <v>138</v>
      </c>
      <c r="M6821" s="3">
        <v>664</v>
      </c>
    </row>
    <row r="6822" spans="1:13" x14ac:dyDescent="0.25">
      <c r="A6822" s="1" t="str">
        <f>HYPERLINK("http://www.rosaceae.org/Prunus/Prunus_persica/p.persica_gdr_reftransV1_0036127","p.persica_gdr_reftransV1_0036127")</f>
        <v>p.persica_gdr_reftransV1_0036127</v>
      </c>
      <c r="B6822" s="3">
        <v>4354</v>
      </c>
      <c r="C6822" s="1" t="str">
        <f>HYPERLINK("http://www.uniprot.org/uniprot/AGD14_ARATH","AGD14_ARATH")</f>
        <v>AGD14_ARATH</v>
      </c>
      <c r="D6822" t="s">
        <v>5551</v>
      </c>
      <c r="E6822" s="3" t="s">
        <v>3</v>
      </c>
      <c r="F6822" s="4">
        <v>2.9599999999999998E-101</v>
      </c>
      <c r="G6822" s="3">
        <v>881</v>
      </c>
      <c r="H6822" s="3">
        <v>41</v>
      </c>
      <c r="I6822" s="3">
        <v>624</v>
      </c>
      <c r="J6822" s="3">
        <v>1279</v>
      </c>
      <c r="K6822" s="3">
        <v>3120</v>
      </c>
      <c r="L6822" s="3">
        <v>55</v>
      </c>
      <c r="M6822" s="3">
        <v>630</v>
      </c>
    </row>
    <row r="6823" spans="1:13" x14ac:dyDescent="0.25">
      <c r="A6823" s="1" t="str">
        <f>HYPERLINK("http://www.rosaceae.org/Prunus/Prunus_persica/p.persica_gdr_reftransV1_0036327","p.persica_gdr_reftransV1_0036327")</f>
        <v>p.persica_gdr_reftransV1_0036327</v>
      </c>
      <c r="B6823" s="3">
        <v>796</v>
      </c>
      <c r="C6823" s="1" t="str">
        <f>HYPERLINK("http://www.uniprot.org/uniprot/DNLZ_XENLA","DNLZ_XENLA")</f>
        <v>DNLZ_XENLA</v>
      </c>
      <c r="D6823" t="s">
        <v>5552</v>
      </c>
      <c r="E6823" s="3" t="s">
        <v>475</v>
      </c>
      <c r="F6823" s="4">
        <v>2.7800000000000003E-17</v>
      </c>
      <c r="G6823" s="3">
        <v>199</v>
      </c>
      <c r="H6823" s="3">
        <v>46</v>
      </c>
      <c r="I6823" s="3">
        <v>83</v>
      </c>
      <c r="J6823" s="3">
        <v>400</v>
      </c>
      <c r="K6823" s="3">
        <v>639</v>
      </c>
      <c r="L6823" s="3">
        <v>73</v>
      </c>
      <c r="M6823" s="3">
        <v>155</v>
      </c>
    </row>
    <row r="6824" spans="1:13" x14ac:dyDescent="0.25">
      <c r="A6824" s="1" t="str">
        <f>HYPERLINK("http://www.rosaceae.org/Prunus/Prunus_persica/p.persica_gdr_reftransV1_0036527","p.persica_gdr_reftransV1_0036527")</f>
        <v>p.persica_gdr_reftransV1_0036527</v>
      </c>
      <c r="B6824" s="3">
        <v>2867</v>
      </c>
      <c r="C6824" s="1" t="str">
        <f>HYPERLINK("http://www.uniprot.org/uniprot/PHO1_ARATH","PHO1_ARATH")</f>
        <v>PHO1_ARATH</v>
      </c>
      <c r="D6824" t="s">
        <v>5553</v>
      </c>
      <c r="E6824" s="3" t="s">
        <v>3</v>
      </c>
      <c r="F6824" s="4">
        <v>0</v>
      </c>
      <c r="G6824" s="3">
        <v>2609</v>
      </c>
      <c r="H6824" s="3">
        <v>67</v>
      </c>
      <c r="I6824" s="3">
        <v>796</v>
      </c>
      <c r="J6824" s="3">
        <v>450</v>
      </c>
      <c r="K6824" s="3">
        <v>2786</v>
      </c>
      <c r="L6824" s="3">
        <v>1</v>
      </c>
      <c r="M6824" s="3">
        <v>782</v>
      </c>
    </row>
    <row r="6825" spans="1:13" x14ac:dyDescent="0.25">
      <c r="A6825" s="1" t="str">
        <f>HYPERLINK("http://www.rosaceae.org/Prunus/Prunus_persica/p.persica_gdr_reftransV1_0036627","p.persica_gdr_reftransV1_0036627")</f>
        <v>p.persica_gdr_reftransV1_0036627</v>
      </c>
      <c r="B6825" s="3">
        <v>553</v>
      </c>
      <c r="C6825" s="1" t="str">
        <f>HYPERLINK("http://www.uniprot.org/uniprot/PP272_ARATH","PP272_ARATH")</f>
        <v>PP272_ARATH</v>
      </c>
      <c r="D6825" t="s">
        <v>658</v>
      </c>
      <c r="E6825" s="3" t="s">
        <v>3</v>
      </c>
      <c r="F6825" s="4">
        <v>2.4899999999999999E-63</v>
      </c>
      <c r="G6825" s="3">
        <v>545</v>
      </c>
      <c r="H6825" s="3">
        <v>59</v>
      </c>
      <c r="I6825" s="3">
        <v>185</v>
      </c>
      <c r="J6825" s="3">
        <v>2</v>
      </c>
      <c r="K6825" s="3">
        <v>553</v>
      </c>
      <c r="L6825" s="3">
        <v>242</v>
      </c>
      <c r="M6825" s="3">
        <v>424</v>
      </c>
    </row>
    <row r="6826" spans="1:13" x14ac:dyDescent="0.25">
      <c r="A6826" s="1" t="str">
        <f>HYPERLINK("http://www.rosaceae.org/Prunus/Prunus_persica/p.persica_gdr_reftransV1_0036677","p.persica_gdr_reftransV1_0036677")</f>
        <v>p.persica_gdr_reftransV1_0036677</v>
      </c>
      <c r="B6826" s="3">
        <v>1739</v>
      </c>
      <c r="C6826" s="1" t="str">
        <f>HYPERLINK("http://www.uniprot.org/uniprot/Y5986_ARATH","Y5986_ARATH")</f>
        <v>Y5986_ARATH</v>
      </c>
      <c r="D6826" t="s">
        <v>4689</v>
      </c>
      <c r="E6826" s="3" t="s">
        <v>3</v>
      </c>
      <c r="F6826" s="4">
        <v>5.5800000000000002E-42</v>
      </c>
      <c r="G6826" s="3">
        <v>404</v>
      </c>
      <c r="H6826" s="3">
        <v>50</v>
      </c>
      <c r="I6826" s="3">
        <v>164</v>
      </c>
      <c r="J6826" s="3">
        <v>746</v>
      </c>
      <c r="K6826" s="3">
        <v>1183</v>
      </c>
      <c r="L6826" s="3">
        <v>225</v>
      </c>
      <c r="M6826" s="3">
        <v>388</v>
      </c>
    </row>
    <row r="6827" spans="1:13" x14ac:dyDescent="0.25">
      <c r="A6827" s="1" t="str">
        <f>HYPERLINK("http://www.rosaceae.org/Prunus/Prunus_persica/p.persica_gdr_reftransV1_0036727","p.persica_gdr_reftransV1_0036727")</f>
        <v>p.persica_gdr_reftransV1_0036727</v>
      </c>
      <c r="B6827" s="3">
        <v>1266</v>
      </c>
      <c r="C6827" s="1" t="str">
        <f>HYPERLINK("http://www.uniprot.org/uniprot/TAF11_ARATH","TAF11_ARATH")</f>
        <v>TAF11_ARATH</v>
      </c>
      <c r="D6827" t="s">
        <v>5554</v>
      </c>
      <c r="E6827" s="3" t="s">
        <v>3</v>
      </c>
      <c r="F6827" s="4">
        <v>9.38E-58</v>
      </c>
      <c r="G6827" s="3">
        <v>494</v>
      </c>
      <c r="H6827" s="3">
        <v>74</v>
      </c>
      <c r="I6827" s="3">
        <v>125</v>
      </c>
      <c r="J6827" s="3">
        <v>472</v>
      </c>
      <c r="K6827" s="3">
        <v>846</v>
      </c>
      <c r="L6827" s="3">
        <v>86</v>
      </c>
      <c r="M6827" s="3">
        <v>210</v>
      </c>
    </row>
    <row r="6828" spans="1:13" x14ac:dyDescent="0.25">
      <c r="A6828" s="1" t="str">
        <f>HYPERLINK("http://www.rosaceae.org/Prunus/Prunus_persica/p.persica_gdr_reftransV1_0036977","p.persica_gdr_reftransV1_0036977")</f>
        <v>p.persica_gdr_reftransV1_0036977</v>
      </c>
      <c r="B6828" s="3">
        <v>1820</v>
      </c>
      <c r="C6828" s="1" t="str">
        <f>HYPERLINK("http://www.uniprot.org/uniprot/RLMN_GEOSL","RLMN_GEOSL")</f>
        <v>RLMN_GEOSL</v>
      </c>
      <c r="D6828" t="s">
        <v>5555</v>
      </c>
      <c r="E6828" s="3" t="s">
        <v>669</v>
      </c>
      <c r="F6828" s="4">
        <v>2.89E-95</v>
      </c>
      <c r="G6828" s="3">
        <v>775</v>
      </c>
      <c r="H6828" s="3">
        <v>48</v>
      </c>
      <c r="I6828" s="3">
        <v>337</v>
      </c>
      <c r="J6828" s="3">
        <v>328</v>
      </c>
      <c r="K6828" s="3">
        <v>1338</v>
      </c>
      <c r="L6828" s="3">
        <v>7</v>
      </c>
      <c r="M6828" s="3">
        <v>334</v>
      </c>
    </row>
    <row r="6829" spans="1:13" x14ac:dyDescent="0.25">
      <c r="A6829" s="1" t="str">
        <f>HYPERLINK("http://www.rosaceae.org/Prunus/Prunus_persica/p.persica_gdr_reftransV1_0037027","p.persica_gdr_reftransV1_0037027")</f>
        <v>p.persica_gdr_reftransV1_0037027</v>
      </c>
      <c r="B6829" s="3">
        <v>2150</v>
      </c>
      <c r="C6829" s="1" t="str">
        <f>HYPERLINK("http://www.uniprot.org/uniprot/Y5713_ARATH","Y5713_ARATH")</f>
        <v>Y5713_ARATH</v>
      </c>
      <c r="D6829" t="s">
        <v>5380</v>
      </c>
      <c r="E6829" s="3" t="s">
        <v>3</v>
      </c>
      <c r="F6829" s="4">
        <v>7.1400000000000001E-130</v>
      </c>
      <c r="G6829" s="3">
        <v>1023</v>
      </c>
      <c r="H6829" s="3">
        <v>54</v>
      </c>
      <c r="I6829" s="3">
        <v>343</v>
      </c>
      <c r="J6829" s="3">
        <v>613</v>
      </c>
      <c r="K6829" s="3">
        <v>1641</v>
      </c>
      <c r="L6829" s="3">
        <v>29</v>
      </c>
      <c r="M6829" s="3">
        <v>368</v>
      </c>
    </row>
    <row r="6830" spans="1:13" x14ac:dyDescent="0.25">
      <c r="A6830" s="1" t="str">
        <f>HYPERLINK("http://www.rosaceae.org/Prunus/Prunus_persica/p.persica_gdr_reftransV1_0037327","p.persica_gdr_reftransV1_0037327")</f>
        <v>p.persica_gdr_reftransV1_0037327</v>
      </c>
      <c r="B6830" s="3">
        <v>4601</v>
      </c>
      <c r="C6830" s="1" t="str">
        <f>HYPERLINK("http://www.uniprot.org/uniprot/TPL_ARATH","TPL_ARATH")</f>
        <v>TPL_ARATH</v>
      </c>
      <c r="D6830" t="s">
        <v>5349</v>
      </c>
      <c r="E6830" s="3" t="s">
        <v>3</v>
      </c>
      <c r="F6830" s="4">
        <v>0</v>
      </c>
      <c r="G6830" s="3">
        <v>3944</v>
      </c>
      <c r="H6830" s="3">
        <v>67</v>
      </c>
      <c r="I6830" s="3">
        <v>1124</v>
      </c>
      <c r="J6830" s="3">
        <v>807</v>
      </c>
      <c r="K6830" s="3">
        <v>4124</v>
      </c>
      <c r="L6830" s="3">
        <v>1</v>
      </c>
      <c r="M6830" s="3">
        <v>1105</v>
      </c>
    </row>
    <row r="6831" spans="1:13" x14ac:dyDescent="0.25">
      <c r="A6831" s="1" t="str">
        <f>HYPERLINK("http://www.rosaceae.org/Prunus/Prunus_persica/p.persica_gdr_reftransV1_0037477","p.persica_gdr_reftransV1_0037477")</f>
        <v>p.persica_gdr_reftransV1_0037477</v>
      </c>
      <c r="B6831" s="3">
        <v>1656</v>
      </c>
      <c r="C6831" s="1" t="str">
        <f>HYPERLINK("http://www.uniprot.org/uniprot/UBC4_SOLLC","UBC4_SOLLC")</f>
        <v>UBC4_SOLLC</v>
      </c>
      <c r="D6831" t="s">
        <v>5556</v>
      </c>
      <c r="E6831" s="3" t="s">
        <v>64</v>
      </c>
      <c r="F6831" s="4">
        <v>7.9000000000000002E-50</v>
      </c>
      <c r="G6831" s="3">
        <v>441</v>
      </c>
      <c r="H6831" s="3">
        <v>99</v>
      </c>
      <c r="I6831" s="3">
        <v>83</v>
      </c>
      <c r="J6831" s="3">
        <v>261</v>
      </c>
      <c r="K6831" s="3">
        <v>509</v>
      </c>
      <c r="L6831" s="3">
        <v>66</v>
      </c>
      <c r="M6831" s="3">
        <v>148</v>
      </c>
    </row>
    <row r="6832" spans="1:13" x14ac:dyDescent="0.25">
      <c r="A6832" s="1" t="str">
        <f>HYPERLINK("http://www.rosaceae.org/Prunus/Prunus_persica/p.persica_gdr_reftransV1_0037677","p.persica_gdr_reftransV1_0037677")</f>
        <v>p.persica_gdr_reftransV1_0037677</v>
      </c>
      <c r="B6832" s="3">
        <v>2486</v>
      </c>
      <c r="C6832" s="1" t="str">
        <f>HYPERLINK("http://www.uniprot.org/uniprot/PUS3_BOVIN","PUS3_BOVIN")</f>
        <v>PUS3_BOVIN</v>
      </c>
      <c r="D6832" t="s">
        <v>5557</v>
      </c>
      <c r="E6832" s="3" t="s">
        <v>184</v>
      </c>
      <c r="F6832" s="4">
        <v>1.63E-61</v>
      </c>
      <c r="G6832" s="3">
        <v>562</v>
      </c>
      <c r="H6832" s="3">
        <v>48</v>
      </c>
      <c r="I6832" s="3">
        <v>249</v>
      </c>
      <c r="J6832" s="3">
        <v>745</v>
      </c>
      <c r="K6832" s="3">
        <v>1461</v>
      </c>
      <c r="L6832" s="3">
        <v>60</v>
      </c>
      <c r="M6832" s="3">
        <v>303</v>
      </c>
    </row>
    <row r="6833" spans="1:13" x14ac:dyDescent="0.25">
      <c r="A6833" s="1" t="str">
        <f>HYPERLINK("http://www.rosaceae.org/Prunus/Prunus_persica/p.persica_gdr_reftransV1_0037827","p.persica_gdr_reftransV1_0037827")</f>
        <v>p.persica_gdr_reftransV1_0037827</v>
      </c>
      <c r="B6833" s="3">
        <v>4015</v>
      </c>
      <c r="C6833" s="1" t="str">
        <f>HYPERLINK("http://www.uniprot.org/uniprot/LACS2_ARATH","LACS2_ARATH")</f>
        <v>LACS2_ARATH</v>
      </c>
      <c r="D6833" t="s">
        <v>5558</v>
      </c>
      <c r="E6833" s="3" t="s">
        <v>3</v>
      </c>
      <c r="F6833" s="4">
        <v>0</v>
      </c>
      <c r="G6833" s="3">
        <v>2311</v>
      </c>
      <c r="H6833" s="3">
        <v>69</v>
      </c>
      <c r="I6833" s="3">
        <v>599</v>
      </c>
      <c r="J6833" s="3">
        <v>1984</v>
      </c>
      <c r="K6833" s="3">
        <v>3771</v>
      </c>
      <c r="L6833" s="3">
        <v>52</v>
      </c>
      <c r="M6833" s="3">
        <v>650</v>
      </c>
    </row>
    <row r="6834" spans="1:13" x14ac:dyDescent="0.25">
      <c r="A6834" s="1" t="str">
        <f>HYPERLINK("http://www.rosaceae.org/Prunus/Prunus_persica/p.persica_gdr_reftransV1_0037927","p.persica_gdr_reftransV1_0037927")</f>
        <v>p.persica_gdr_reftransV1_0037927</v>
      </c>
      <c r="B6834" s="3">
        <v>793</v>
      </c>
      <c r="C6834" s="1" t="str">
        <f>HYPERLINK("http://www.uniprot.org/uniprot/RPAC2_MOUSE","RPAC2_MOUSE")</f>
        <v>RPAC2_MOUSE</v>
      </c>
      <c r="D6834" t="s">
        <v>5559</v>
      </c>
      <c r="E6834" s="3" t="s">
        <v>157</v>
      </c>
      <c r="F6834" s="4">
        <v>5.0499999999999997E-20</v>
      </c>
      <c r="G6834" s="3">
        <v>216</v>
      </c>
      <c r="H6834" s="3">
        <v>38</v>
      </c>
      <c r="I6834" s="3">
        <v>99</v>
      </c>
      <c r="J6834" s="3">
        <v>282</v>
      </c>
      <c r="K6834" s="3">
        <v>575</v>
      </c>
      <c r="L6834" s="3">
        <v>28</v>
      </c>
      <c r="M6834" s="3">
        <v>126</v>
      </c>
    </row>
    <row r="6835" spans="1:13" x14ac:dyDescent="0.25">
      <c r="A6835" s="1" t="str">
        <f>HYPERLINK("http://www.rosaceae.org/Prunus/Prunus_persica/p.persica_gdr_reftransV1_0038227","p.persica_gdr_reftransV1_0038227")</f>
        <v>p.persica_gdr_reftransV1_0038227</v>
      </c>
      <c r="B6835" s="3">
        <v>2192</v>
      </c>
      <c r="C6835" s="1" t="str">
        <f>HYPERLINK("http://www.uniprot.org/uniprot/OBGC2_ORYSJ","OBGC2_ORYSJ")</f>
        <v>OBGC2_ORYSJ</v>
      </c>
      <c r="D6835" t="s">
        <v>5560</v>
      </c>
      <c r="E6835" s="3" t="s">
        <v>38</v>
      </c>
      <c r="F6835" s="4">
        <v>1.6700000000000001E-178</v>
      </c>
      <c r="G6835" s="3">
        <v>1357</v>
      </c>
      <c r="H6835" s="3">
        <v>64</v>
      </c>
      <c r="I6835" s="3">
        <v>466</v>
      </c>
      <c r="J6835" s="3">
        <v>621</v>
      </c>
      <c r="K6835" s="3">
        <v>1979</v>
      </c>
      <c r="L6835" s="3">
        <v>43</v>
      </c>
      <c r="M6835" s="3">
        <v>496</v>
      </c>
    </row>
    <row r="6836" spans="1:13" x14ac:dyDescent="0.25">
      <c r="A6836" s="1" t="str">
        <f>HYPERLINK("http://www.rosaceae.org/Prunus/Prunus_persica/p.persica_gdr_reftransV1_0038277","p.persica_gdr_reftransV1_0038277")</f>
        <v>p.persica_gdr_reftransV1_0038277</v>
      </c>
      <c r="B6836" s="3">
        <v>2704</v>
      </c>
      <c r="C6836" s="1" t="str">
        <f>HYPERLINK("http://www.uniprot.org/uniprot/MCM9_ARATH","MCM9_ARATH")</f>
        <v>MCM9_ARATH</v>
      </c>
      <c r="D6836" t="s">
        <v>5561</v>
      </c>
      <c r="E6836" s="3" t="s">
        <v>3</v>
      </c>
      <c r="F6836" s="4">
        <v>0</v>
      </c>
      <c r="G6836" s="3">
        <v>1883</v>
      </c>
      <c r="H6836" s="3">
        <v>78</v>
      </c>
      <c r="I6836" s="3">
        <v>467</v>
      </c>
      <c r="J6836" s="3">
        <v>84</v>
      </c>
      <c r="K6836" s="3">
        <v>1475</v>
      </c>
      <c r="L6836" s="3">
        <v>10</v>
      </c>
      <c r="M6836" s="3">
        <v>476</v>
      </c>
    </row>
    <row r="6837" spans="1:13" x14ac:dyDescent="0.25">
      <c r="A6837" s="1" t="str">
        <f>HYPERLINK("http://www.rosaceae.org/Prunus/Prunus_persica/p.persica_gdr_reftransV1_0038327","p.persica_gdr_reftransV1_0038327")</f>
        <v>p.persica_gdr_reftransV1_0038327</v>
      </c>
      <c r="B6837" s="3">
        <v>1706</v>
      </c>
      <c r="C6837" s="1" t="str">
        <f>HYPERLINK("http://www.uniprot.org/uniprot/T184C_PONAB","T184C_PONAB")</f>
        <v>T184C_PONAB</v>
      </c>
      <c r="D6837" t="s">
        <v>5562</v>
      </c>
      <c r="E6837" s="3" t="s">
        <v>176</v>
      </c>
      <c r="F6837" s="4">
        <v>1.5000000000000001E-26</v>
      </c>
      <c r="G6837" s="3">
        <v>289</v>
      </c>
      <c r="H6837" s="3">
        <v>33</v>
      </c>
      <c r="I6837" s="3">
        <v>217</v>
      </c>
      <c r="J6837" s="3">
        <v>703</v>
      </c>
      <c r="K6837" s="3">
        <v>1335</v>
      </c>
      <c r="L6837" s="3">
        <v>56</v>
      </c>
      <c r="M6837" s="3">
        <v>265</v>
      </c>
    </row>
    <row r="6838" spans="1:13" x14ac:dyDescent="0.25">
      <c r="A6838" s="1" t="str">
        <f>HYPERLINK("http://www.rosaceae.org/Prunus/Prunus_persica/p.persica_gdr_reftransV1_0038577","p.persica_gdr_reftransV1_0038577")</f>
        <v>p.persica_gdr_reftransV1_0038577</v>
      </c>
      <c r="B6838" s="3">
        <v>547</v>
      </c>
      <c r="C6838" s="1" t="str">
        <f>HYPERLINK("http://www.uniprot.org/uniprot/MYB08_ANTMA","MYB08_ANTMA")</f>
        <v>MYB08_ANTMA</v>
      </c>
      <c r="D6838" t="s">
        <v>5549</v>
      </c>
      <c r="E6838" s="3" t="s">
        <v>1408</v>
      </c>
      <c r="F6838" s="4">
        <v>5.9599999999999997E-49</v>
      </c>
      <c r="G6838" s="3">
        <v>416</v>
      </c>
      <c r="H6838" s="3">
        <v>93</v>
      </c>
      <c r="I6838" s="3">
        <v>81</v>
      </c>
      <c r="J6838" s="3">
        <v>3</v>
      </c>
      <c r="K6838" s="3">
        <v>245</v>
      </c>
      <c r="L6838" s="3">
        <v>51</v>
      </c>
      <c r="M6838" s="3">
        <v>131</v>
      </c>
    </row>
    <row r="6839" spans="1:13" x14ac:dyDescent="0.25">
      <c r="A6839" s="1" t="str">
        <f>HYPERLINK("http://www.rosaceae.org/Prunus/Prunus_persica/p.persica_gdr_reftransV1_0039427","p.persica_gdr_reftransV1_0039427")</f>
        <v>p.persica_gdr_reftransV1_0039427</v>
      </c>
      <c r="B6839" s="3">
        <v>3021</v>
      </c>
      <c r="C6839" s="1" t="str">
        <f>HYPERLINK("http://www.uniprot.org/uniprot/RS40_ARATH","RS40_ARATH")</f>
        <v>RS40_ARATH</v>
      </c>
      <c r="D6839" t="s">
        <v>5563</v>
      </c>
      <c r="E6839" s="3" t="s">
        <v>3</v>
      </c>
      <c r="F6839" s="4">
        <v>3.6399999999999999E-63</v>
      </c>
      <c r="G6839" s="3">
        <v>567</v>
      </c>
      <c r="H6839" s="3">
        <v>65</v>
      </c>
      <c r="I6839" s="3">
        <v>191</v>
      </c>
      <c r="J6839" s="3">
        <v>1739</v>
      </c>
      <c r="K6839" s="3">
        <v>2263</v>
      </c>
      <c r="L6839" s="3">
        <v>36</v>
      </c>
      <c r="M6839" s="3">
        <v>226</v>
      </c>
    </row>
    <row r="6840" spans="1:13" x14ac:dyDescent="0.25">
      <c r="A6840" s="1" t="str">
        <f>HYPERLINK("http://www.rosaceae.org/Prunus/Prunus_persica/p.persica_gdr_reftransV1_0039477","p.persica_gdr_reftransV1_0039477")</f>
        <v>p.persica_gdr_reftransV1_0039477</v>
      </c>
      <c r="B6840" s="3">
        <v>1644</v>
      </c>
      <c r="C6840" s="1" t="str">
        <f>HYPERLINK("http://www.uniprot.org/uniprot/PPR13_ARATH","PPR13_ARATH")</f>
        <v>PPR13_ARATH</v>
      </c>
      <c r="D6840" t="s">
        <v>5564</v>
      </c>
      <c r="E6840" s="3" t="s">
        <v>3</v>
      </c>
      <c r="F6840" s="4">
        <v>0</v>
      </c>
      <c r="G6840" s="3">
        <v>1415</v>
      </c>
      <c r="H6840" s="3">
        <v>60</v>
      </c>
      <c r="I6840" s="3">
        <v>426</v>
      </c>
      <c r="J6840" s="3">
        <v>105</v>
      </c>
      <c r="K6840" s="3">
        <v>1373</v>
      </c>
      <c r="L6840" s="3">
        <v>68</v>
      </c>
      <c r="M6840" s="3">
        <v>493</v>
      </c>
    </row>
    <row r="6841" spans="1:13" x14ac:dyDescent="0.25">
      <c r="A6841" s="1" t="str">
        <f>HYPERLINK("http://www.rosaceae.org/Prunus/Prunus_persica/p.persica_gdr_reftransV1_0039727","p.persica_gdr_reftransV1_0039727")</f>
        <v>p.persica_gdr_reftransV1_0039727</v>
      </c>
      <c r="B6841" s="3">
        <v>3069</v>
      </c>
      <c r="C6841" s="1" t="str">
        <f>HYPERLINK("http://www.uniprot.org/uniprot/ASCC2_MOUSE","ASCC2_MOUSE")</f>
        <v>ASCC2_MOUSE</v>
      </c>
      <c r="D6841" t="s">
        <v>5565</v>
      </c>
      <c r="E6841" s="3" t="s">
        <v>157</v>
      </c>
      <c r="F6841" s="4">
        <v>8.8299999999999995E-16</v>
      </c>
      <c r="G6841" s="3">
        <v>212</v>
      </c>
      <c r="H6841" s="3">
        <v>25</v>
      </c>
      <c r="I6841" s="3">
        <v>481</v>
      </c>
      <c r="J6841" s="3">
        <v>580</v>
      </c>
      <c r="K6841" s="3">
        <v>1920</v>
      </c>
      <c r="L6841" s="3">
        <v>76</v>
      </c>
      <c r="M6841" s="3">
        <v>520</v>
      </c>
    </row>
    <row r="6842" spans="1:13" x14ac:dyDescent="0.25">
      <c r="A6842" s="1" t="str">
        <f>HYPERLINK("http://www.rosaceae.org/Prunus/Prunus_persica/p.persica_gdr_reftransV1_0039927","p.persica_gdr_reftransV1_0039927")</f>
        <v>p.persica_gdr_reftransV1_0039927</v>
      </c>
      <c r="B6842" s="3">
        <v>1243</v>
      </c>
      <c r="C6842" s="1" t="str">
        <f>HYPERLINK("http://www.uniprot.org/uniprot/PUB29_ARATH","PUB29_ARATH")</f>
        <v>PUB29_ARATH</v>
      </c>
      <c r="D6842" t="s">
        <v>5566</v>
      </c>
      <c r="E6842" s="3" t="s">
        <v>3</v>
      </c>
      <c r="F6842" s="4">
        <v>6.2600000000000005E-8</v>
      </c>
      <c r="G6842" s="3">
        <v>139</v>
      </c>
      <c r="H6842" s="3">
        <v>40</v>
      </c>
      <c r="I6842" s="3">
        <v>77</v>
      </c>
      <c r="J6842" s="3">
        <v>1003</v>
      </c>
      <c r="K6842" s="3">
        <v>1233</v>
      </c>
      <c r="L6842" s="3">
        <v>4</v>
      </c>
      <c r="M6842" s="3">
        <v>80</v>
      </c>
    </row>
    <row r="6843" spans="1:13" x14ac:dyDescent="0.25">
      <c r="A6843" s="1" t="str">
        <f>HYPERLINK("http://www.rosaceae.org/Prunus/Prunus_persica/p.persica_gdr_reftransV1_0040877","p.persica_gdr_reftransV1_0040877")</f>
        <v>p.persica_gdr_reftransV1_0040877</v>
      </c>
      <c r="B6843" s="3">
        <v>1925</v>
      </c>
      <c r="C6843" s="1" t="str">
        <f>HYPERLINK("http://www.uniprot.org/uniprot/EI2BA_RAT","EI2BA_RAT")</f>
        <v>EI2BA_RAT</v>
      </c>
      <c r="D6843" t="s">
        <v>5567</v>
      </c>
      <c r="E6843" s="3" t="s">
        <v>161</v>
      </c>
      <c r="F6843" s="4">
        <v>1.4099999999999999E-41</v>
      </c>
      <c r="G6843" s="3">
        <v>397</v>
      </c>
      <c r="H6843" s="3">
        <v>51</v>
      </c>
      <c r="I6843" s="3">
        <v>156</v>
      </c>
      <c r="J6843" s="3">
        <v>248</v>
      </c>
      <c r="K6843" s="3">
        <v>694</v>
      </c>
      <c r="L6843" s="3">
        <v>154</v>
      </c>
      <c r="M6843" s="3">
        <v>305</v>
      </c>
    </row>
    <row r="6844" spans="1:13" x14ac:dyDescent="0.25">
      <c r="A6844" s="1" t="str">
        <f>HYPERLINK("http://www.rosaceae.org/Prunus/Prunus_persica/p.persica_gdr_reftransV1_0040977","p.persica_gdr_reftransV1_0040977")</f>
        <v>p.persica_gdr_reftransV1_0040977</v>
      </c>
      <c r="B6844" s="3">
        <v>710</v>
      </c>
      <c r="C6844" s="1" t="str">
        <f>HYPERLINK("http://www.uniprot.org/uniprot/H32_WHEAT","H32_WHEAT")</f>
        <v>H32_WHEAT</v>
      </c>
      <c r="D6844" t="s">
        <v>5568</v>
      </c>
      <c r="E6844" s="3" t="s">
        <v>710</v>
      </c>
      <c r="F6844" s="4">
        <v>5.4199999999999997E-77</v>
      </c>
      <c r="G6844" s="3">
        <v>599</v>
      </c>
      <c r="H6844" s="3">
        <v>99</v>
      </c>
      <c r="I6844" s="3">
        <v>136</v>
      </c>
      <c r="J6844" s="3">
        <v>68</v>
      </c>
      <c r="K6844" s="3">
        <v>475</v>
      </c>
      <c r="L6844" s="3">
        <v>1</v>
      </c>
      <c r="M6844" s="3">
        <v>136</v>
      </c>
    </row>
    <row r="6845" spans="1:13" x14ac:dyDescent="0.25">
      <c r="A6845" s="1" t="str">
        <f>HYPERLINK("http://www.rosaceae.org/Prunus/Prunus_persica/p.persica_gdr_reftransV1_0041077","p.persica_gdr_reftransV1_0041077")</f>
        <v>p.persica_gdr_reftransV1_0041077</v>
      </c>
      <c r="B6845" s="3">
        <v>2907</v>
      </c>
      <c r="C6845" s="1" t="str">
        <f>HYPERLINK("http://www.uniprot.org/uniprot/STA1_ARATH","STA1_ARATH")</f>
        <v>STA1_ARATH</v>
      </c>
      <c r="D6845" t="s">
        <v>1090</v>
      </c>
      <c r="E6845" s="3" t="s">
        <v>3</v>
      </c>
      <c r="F6845" s="4">
        <v>0</v>
      </c>
      <c r="G6845" s="3">
        <v>3282</v>
      </c>
      <c r="H6845" s="3">
        <v>74</v>
      </c>
      <c r="I6845" s="3">
        <v>914</v>
      </c>
      <c r="J6845" s="3">
        <v>2</v>
      </c>
      <c r="K6845" s="3">
        <v>2707</v>
      </c>
      <c r="L6845" s="3">
        <v>1</v>
      </c>
      <c r="M6845" s="3">
        <v>909</v>
      </c>
    </row>
    <row r="6846" spans="1:13" x14ac:dyDescent="0.25">
      <c r="A6846" s="1" t="str">
        <f>HYPERLINK("http://www.rosaceae.org/Prunus/Prunus_persica/p.persica_gdr_reftransV1_0041277","p.persica_gdr_reftransV1_0041277")</f>
        <v>p.persica_gdr_reftransV1_0041277</v>
      </c>
      <c r="B6846" s="3">
        <v>1502</v>
      </c>
      <c r="C6846" s="1" t="str">
        <f>HYPERLINK("http://www.uniprot.org/uniprot/ASPG_LUPAN","ASPG_LUPAN")</f>
        <v>ASPG_LUPAN</v>
      </c>
      <c r="D6846" t="s">
        <v>5569</v>
      </c>
      <c r="E6846" s="3" t="s">
        <v>5570</v>
      </c>
      <c r="F6846" s="4">
        <v>2.5599999999999998E-122</v>
      </c>
      <c r="G6846" s="3">
        <v>781</v>
      </c>
      <c r="H6846" s="3">
        <v>78</v>
      </c>
      <c r="I6846" s="3">
        <v>197</v>
      </c>
      <c r="J6846" s="3">
        <v>226</v>
      </c>
      <c r="K6846" s="3">
        <v>801</v>
      </c>
      <c r="L6846" s="3">
        <v>128</v>
      </c>
      <c r="M6846" s="3">
        <v>324</v>
      </c>
    </row>
    <row r="6847" spans="1:13" x14ac:dyDescent="0.25">
      <c r="A6847" s="1" t="str">
        <f>HYPERLINK("http://www.rosaceae.org/Prunus/Prunus_persica/p.persica_gdr_reftransV1_0041377","p.persica_gdr_reftransV1_0041377")</f>
        <v>p.persica_gdr_reftransV1_0041377</v>
      </c>
      <c r="B6847" s="3">
        <v>1788</v>
      </c>
      <c r="C6847" s="1" t="str">
        <f>HYPERLINK("http://www.uniprot.org/uniprot/TSNAX_RAT","TSNAX_RAT")</f>
        <v>TSNAX_RAT</v>
      </c>
      <c r="D6847" t="s">
        <v>5571</v>
      </c>
      <c r="E6847" s="3" t="s">
        <v>161</v>
      </c>
      <c r="F6847" s="4">
        <v>3.88E-31</v>
      </c>
      <c r="G6847" s="3">
        <v>318</v>
      </c>
      <c r="H6847" s="3">
        <v>33</v>
      </c>
      <c r="I6847" s="3">
        <v>230</v>
      </c>
      <c r="J6847" s="3">
        <v>203</v>
      </c>
      <c r="K6847" s="3">
        <v>838</v>
      </c>
      <c r="L6847" s="3">
        <v>30</v>
      </c>
      <c r="M6847" s="3">
        <v>256</v>
      </c>
    </row>
    <row r="6848" spans="1:13" x14ac:dyDescent="0.25">
      <c r="A6848" s="1" t="str">
        <f>HYPERLINK("http://www.rosaceae.org/Prunus/Prunus_persica/p.persica_gdr_reftransV1_0041627","p.persica_gdr_reftransV1_0041627")</f>
        <v>p.persica_gdr_reftransV1_0041627</v>
      </c>
      <c r="B6848" s="3">
        <v>2198</v>
      </c>
      <c r="C6848" s="1" t="str">
        <f>HYPERLINK("http://www.uniprot.org/uniprot/PP320_ARATH","PP320_ARATH")</f>
        <v>PP320_ARATH</v>
      </c>
      <c r="D6848" t="s">
        <v>579</v>
      </c>
      <c r="E6848" s="3" t="s">
        <v>3</v>
      </c>
      <c r="F6848" s="4">
        <v>2.1799999999999999E-144</v>
      </c>
      <c r="G6848" s="3">
        <v>1160</v>
      </c>
      <c r="H6848" s="3">
        <v>38</v>
      </c>
      <c r="I6848" s="3">
        <v>629</v>
      </c>
      <c r="J6848" s="3">
        <v>244</v>
      </c>
      <c r="K6848" s="3">
        <v>2109</v>
      </c>
      <c r="L6848" s="3">
        <v>243</v>
      </c>
      <c r="M6848" s="3">
        <v>871</v>
      </c>
    </row>
    <row r="6849" spans="1:13" x14ac:dyDescent="0.25">
      <c r="A6849" s="1" t="str">
        <f>HYPERLINK("http://www.rosaceae.org/Prunus/Prunus_persica/p.persica_gdr_reftransV1_0041827","p.persica_gdr_reftransV1_0041827")</f>
        <v>p.persica_gdr_reftransV1_0041827</v>
      </c>
      <c r="B6849" s="3">
        <v>3295</v>
      </c>
      <c r="C6849" s="1" t="str">
        <f>HYPERLINK("http://www.uniprot.org/uniprot/PTBP3_ARATH","PTBP3_ARATH")</f>
        <v>PTBP3_ARATH</v>
      </c>
      <c r="D6849" t="s">
        <v>5572</v>
      </c>
      <c r="E6849" s="3" t="s">
        <v>3</v>
      </c>
      <c r="F6849" s="4">
        <v>5.3600000000000001E-114</v>
      </c>
      <c r="G6849" s="3">
        <v>941</v>
      </c>
      <c r="H6849" s="3">
        <v>87</v>
      </c>
      <c r="I6849" s="3">
        <v>203</v>
      </c>
      <c r="J6849" s="3">
        <v>585</v>
      </c>
      <c r="K6849" s="3">
        <v>1193</v>
      </c>
      <c r="L6849" s="3">
        <v>230</v>
      </c>
      <c r="M6849" s="3">
        <v>432</v>
      </c>
    </row>
    <row r="6850" spans="1:13" x14ac:dyDescent="0.25">
      <c r="A6850" s="1" t="str">
        <f>HYPERLINK("http://www.rosaceae.org/Prunus/Prunus_persica/p.persica_gdr_reftransV1_0041977","p.persica_gdr_reftransV1_0041977")</f>
        <v>p.persica_gdr_reftransV1_0041977</v>
      </c>
      <c r="B6850" s="3">
        <v>1234</v>
      </c>
      <c r="C6850" s="1" t="str">
        <f>HYPERLINK("http://www.uniprot.org/uniprot/TI204_ARATH","TI204_ARATH")</f>
        <v>TI204_ARATH</v>
      </c>
      <c r="D6850" t="s">
        <v>5573</v>
      </c>
      <c r="E6850" s="3" t="s">
        <v>3</v>
      </c>
      <c r="F6850" s="4">
        <v>9.9800000000000008E-68</v>
      </c>
      <c r="G6850" s="3">
        <v>567</v>
      </c>
      <c r="H6850" s="3">
        <v>50</v>
      </c>
      <c r="I6850" s="3">
        <v>193</v>
      </c>
      <c r="J6850" s="3">
        <v>324</v>
      </c>
      <c r="K6850" s="3">
        <v>902</v>
      </c>
      <c r="L6850" s="3">
        <v>91</v>
      </c>
      <c r="M6850" s="3">
        <v>283</v>
      </c>
    </row>
    <row r="6851" spans="1:13" x14ac:dyDescent="0.25">
      <c r="A6851" s="1" t="str">
        <f>HYPERLINK("http://www.rosaceae.org/Prunus/Prunus_persica/p.persica_gdr_reftransV1_0042227","p.persica_gdr_reftransV1_0042227")</f>
        <v>p.persica_gdr_reftransV1_0042227</v>
      </c>
      <c r="B6851" s="3">
        <v>5268</v>
      </c>
      <c r="C6851" s="1" t="str">
        <f>HYPERLINK("http://www.uniprot.org/uniprot/TAF2_ARATH","TAF2_ARATH")</f>
        <v>TAF2_ARATH</v>
      </c>
      <c r="D6851" t="s">
        <v>5574</v>
      </c>
      <c r="E6851" s="3" t="s">
        <v>3</v>
      </c>
      <c r="F6851" s="4">
        <v>0</v>
      </c>
      <c r="G6851" s="3">
        <v>2996</v>
      </c>
      <c r="H6851" s="3">
        <v>69</v>
      </c>
      <c r="I6851" s="3">
        <v>827</v>
      </c>
      <c r="J6851" s="3">
        <v>2717</v>
      </c>
      <c r="K6851" s="3">
        <v>5185</v>
      </c>
      <c r="L6851" s="3">
        <v>1</v>
      </c>
      <c r="M6851" s="3">
        <v>824</v>
      </c>
    </row>
    <row r="6852" spans="1:13" x14ac:dyDescent="0.25">
      <c r="A6852" s="1" t="str">
        <f>HYPERLINK("http://www.rosaceae.org/Prunus/Prunus_persica/p.persica_gdr_reftransV1_0042677","p.persica_gdr_reftransV1_0042677")</f>
        <v>p.persica_gdr_reftransV1_0042677</v>
      </c>
      <c r="B6852" s="3">
        <v>1975</v>
      </c>
      <c r="C6852" s="1" t="str">
        <f>HYPERLINK("http://www.uniprot.org/uniprot/WDL1_ARATH","WDL1_ARATH")</f>
        <v>WDL1_ARATH</v>
      </c>
      <c r="D6852" t="s">
        <v>5008</v>
      </c>
      <c r="E6852" s="3" t="s">
        <v>3</v>
      </c>
      <c r="F6852" s="4">
        <v>4.2699999999999999E-8</v>
      </c>
      <c r="G6852" s="3">
        <v>133</v>
      </c>
      <c r="H6852" s="3">
        <v>64</v>
      </c>
      <c r="I6852" s="3">
        <v>45</v>
      </c>
      <c r="J6852" s="3">
        <v>1187</v>
      </c>
      <c r="K6852" s="3">
        <v>1318</v>
      </c>
      <c r="L6852" s="3">
        <v>167</v>
      </c>
      <c r="M6852" s="3">
        <v>211</v>
      </c>
    </row>
    <row r="6853" spans="1:13" x14ac:dyDescent="0.25">
      <c r="A6853" s="1" t="str">
        <f>HYPERLINK("http://www.rosaceae.org/Prunus/Prunus_persica/p.persica_gdr_reftransV1_0043027","p.persica_gdr_reftransV1_0043027")</f>
        <v>p.persica_gdr_reftransV1_0043027</v>
      </c>
      <c r="B6853" s="3">
        <v>313</v>
      </c>
      <c r="C6853" s="1" t="str">
        <f>HYPERLINK("http://www.uniprot.org/uniprot/KCRM_PIG","KCRM_PIG")</f>
        <v>KCRM_PIG</v>
      </c>
      <c r="D6853" t="s">
        <v>5575</v>
      </c>
      <c r="E6853" s="3" t="s">
        <v>1126</v>
      </c>
      <c r="F6853" s="4">
        <v>5.2500000000000002E-69</v>
      </c>
      <c r="G6853" s="3">
        <v>553</v>
      </c>
      <c r="H6853" s="3">
        <v>100</v>
      </c>
      <c r="I6853" s="3">
        <v>103</v>
      </c>
      <c r="J6853" s="3">
        <v>3</v>
      </c>
      <c r="K6853" s="3">
        <v>311</v>
      </c>
      <c r="L6853" s="3">
        <v>148</v>
      </c>
      <c r="M6853" s="3">
        <v>250</v>
      </c>
    </row>
    <row r="6854" spans="1:13" x14ac:dyDescent="0.25">
      <c r="A6854" s="1" t="str">
        <f>HYPERLINK("http://www.rosaceae.org/Prunus/Prunus_persica/p.persica_gdr_reftransV1_0043077","p.persica_gdr_reftransV1_0043077")</f>
        <v>p.persica_gdr_reftransV1_0043077</v>
      </c>
      <c r="B6854" s="3">
        <v>1663</v>
      </c>
      <c r="C6854" s="1" t="str">
        <f>HYPERLINK("http://www.uniprot.org/uniprot/RBL_LIQST","RBL_LIQST")</f>
        <v>RBL_LIQST</v>
      </c>
      <c r="D6854" t="s">
        <v>5576</v>
      </c>
      <c r="E6854" s="3" t="s">
        <v>5577</v>
      </c>
      <c r="F6854" s="4">
        <v>0</v>
      </c>
      <c r="G6854" s="3">
        <v>2440</v>
      </c>
      <c r="H6854" s="3">
        <v>99</v>
      </c>
      <c r="I6854" s="3">
        <v>474</v>
      </c>
      <c r="J6854" s="3">
        <v>180</v>
      </c>
      <c r="K6854" s="3">
        <v>1601</v>
      </c>
      <c r="L6854" s="3">
        <v>1</v>
      </c>
      <c r="M6854" s="3">
        <v>474</v>
      </c>
    </row>
    <row r="6855" spans="1:13" x14ac:dyDescent="0.25">
      <c r="A6855" s="1" t="str">
        <f>HYPERLINK("http://www.rosaceae.org/Prunus/Prunus_persica/p.persica_gdr_reftransV1_0043177","p.persica_gdr_reftransV1_0043177")</f>
        <v>p.persica_gdr_reftransV1_0043177</v>
      </c>
      <c r="B6855" s="3">
        <v>435</v>
      </c>
      <c r="C6855" s="1" t="str">
        <f>HYPERLINK("http://www.uniprot.org/uniprot/LEA5_CITSI","LEA5_CITSI")</f>
        <v>LEA5_CITSI</v>
      </c>
      <c r="D6855" t="s">
        <v>5578</v>
      </c>
      <c r="E6855" s="3" t="s">
        <v>1276</v>
      </c>
      <c r="F6855" s="4">
        <v>4.31E-17</v>
      </c>
      <c r="G6855" s="3">
        <v>187</v>
      </c>
      <c r="H6855" s="3">
        <v>46</v>
      </c>
      <c r="I6855" s="3">
        <v>103</v>
      </c>
      <c r="J6855" s="3">
        <v>48</v>
      </c>
      <c r="K6855" s="3">
        <v>356</v>
      </c>
      <c r="L6855" s="3">
        <v>1</v>
      </c>
      <c r="M6855" s="3">
        <v>95</v>
      </c>
    </row>
    <row r="6856" spans="1:13" x14ac:dyDescent="0.25">
      <c r="A6856" s="1" t="str">
        <f>HYPERLINK("http://www.rosaceae.org/Prunus/Prunus_persica/p.persica_gdr_reftransV1_0043477","p.persica_gdr_reftransV1_0043477")</f>
        <v>p.persica_gdr_reftransV1_0043477</v>
      </c>
      <c r="B6856" s="3">
        <v>2023</v>
      </c>
      <c r="C6856" s="1" t="str">
        <f>HYPERLINK("http://www.uniprot.org/uniprot/ATH1_ARATH","ATH1_ARATH")</f>
        <v>ATH1_ARATH</v>
      </c>
      <c r="D6856" t="s">
        <v>5579</v>
      </c>
      <c r="E6856" s="3" t="s">
        <v>3</v>
      </c>
      <c r="F6856" s="4">
        <v>1.6200000000000001E-81</v>
      </c>
      <c r="G6856" s="3">
        <v>696</v>
      </c>
      <c r="H6856" s="3">
        <v>53</v>
      </c>
      <c r="I6856" s="3">
        <v>325</v>
      </c>
      <c r="J6856" s="3">
        <v>761</v>
      </c>
      <c r="K6856" s="3">
        <v>1705</v>
      </c>
      <c r="L6856" s="3">
        <v>147</v>
      </c>
      <c r="M6856" s="3">
        <v>450</v>
      </c>
    </row>
    <row r="6857" spans="1:13" x14ac:dyDescent="0.25">
      <c r="A6857" s="1" t="str">
        <f>HYPERLINK("http://www.rosaceae.org/Prunus/Prunus_persica/p.persica_gdr_reftransV1_0043527","p.persica_gdr_reftransV1_0043527")</f>
        <v>p.persica_gdr_reftransV1_0043527</v>
      </c>
      <c r="B6857" s="3">
        <v>790</v>
      </c>
      <c r="C6857" s="1" t="str">
        <f>HYPERLINK("http://www.uniprot.org/uniprot/CKS1_ORYSJ","CKS1_ORYSJ")</f>
        <v>CKS1_ORYSJ</v>
      </c>
      <c r="D6857" t="s">
        <v>5580</v>
      </c>
      <c r="E6857" s="3" t="s">
        <v>38</v>
      </c>
      <c r="F6857" s="4">
        <v>3.8900000000000003E-43</v>
      </c>
      <c r="G6857" s="3">
        <v>372</v>
      </c>
      <c r="H6857" s="3">
        <v>96</v>
      </c>
      <c r="I6857" s="3">
        <v>73</v>
      </c>
      <c r="J6857" s="3">
        <v>377</v>
      </c>
      <c r="K6857" s="3">
        <v>595</v>
      </c>
      <c r="L6857" s="3">
        <v>1</v>
      </c>
      <c r="M6857" s="3">
        <v>73</v>
      </c>
    </row>
    <row r="6858" spans="1:13" x14ac:dyDescent="0.25">
      <c r="A6858" s="1" t="str">
        <f>HYPERLINK("http://www.rosaceae.org/Prunus/Prunus_persica/p.persica_gdr_reftransV1_0043577","p.persica_gdr_reftransV1_0043577")</f>
        <v>p.persica_gdr_reftransV1_0043577</v>
      </c>
      <c r="B6858" s="3">
        <v>1555</v>
      </c>
      <c r="C6858" s="1" t="str">
        <f>HYPERLINK("http://www.uniprot.org/uniprot/B3GT6_ARATH","B3GT6_ARATH")</f>
        <v>B3GT6_ARATH</v>
      </c>
      <c r="D6858" t="s">
        <v>5581</v>
      </c>
      <c r="E6858" s="3" t="s">
        <v>3</v>
      </c>
      <c r="F6858" s="4">
        <v>0</v>
      </c>
      <c r="G6858" s="3">
        <v>1644</v>
      </c>
      <c r="H6858" s="3">
        <v>76</v>
      </c>
      <c r="I6858" s="3">
        <v>404</v>
      </c>
      <c r="J6858" s="3">
        <v>191</v>
      </c>
      <c r="K6858" s="3">
        <v>1399</v>
      </c>
      <c r="L6858" s="3">
        <v>1</v>
      </c>
      <c r="M6858" s="3">
        <v>399</v>
      </c>
    </row>
    <row r="6859" spans="1:13" x14ac:dyDescent="0.25">
      <c r="A6859" s="1" t="str">
        <f>HYPERLINK("http://www.rosaceae.org/Prunus/Prunus_persica/p.persica_gdr_reftransV1_0043677","p.persica_gdr_reftransV1_0043677")</f>
        <v>p.persica_gdr_reftransV1_0043677</v>
      </c>
      <c r="B6859" s="3">
        <v>371</v>
      </c>
      <c r="C6859" s="1" t="str">
        <f>HYPERLINK("http://www.uniprot.org/uniprot/Y3264_ARATH","Y3264_ARATH")</f>
        <v>Y3264_ARATH</v>
      </c>
      <c r="D6859" t="s">
        <v>5582</v>
      </c>
      <c r="E6859" s="3" t="s">
        <v>3</v>
      </c>
      <c r="F6859" s="4">
        <v>5.1900000000000002E-8</v>
      </c>
      <c r="G6859" s="3">
        <v>129</v>
      </c>
      <c r="H6859" s="3">
        <v>28</v>
      </c>
      <c r="I6859" s="3">
        <v>108</v>
      </c>
      <c r="J6859" s="3">
        <v>40</v>
      </c>
      <c r="K6859" s="3">
        <v>360</v>
      </c>
      <c r="L6859" s="3">
        <v>376</v>
      </c>
      <c r="M6859" s="3">
        <v>482</v>
      </c>
    </row>
    <row r="6860" spans="1:13" x14ac:dyDescent="0.25">
      <c r="A6860" s="1" t="str">
        <f>HYPERLINK("http://www.rosaceae.org/Prunus/Prunus_persica/p.persica_gdr_reftransV1_0043727","p.persica_gdr_reftransV1_0043727")</f>
        <v>p.persica_gdr_reftransV1_0043727</v>
      </c>
      <c r="B6860" s="3">
        <v>1190</v>
      </c>
      <c r="C6860" s="1" t="str">
        <f>HYPERLINK("http://www.uniprot.org/uniprot/SUT_SPIOL","SUT_SPIOL")</f>
        <v>SUT_SPIOL</v>
      </c>
      <c r="D6860" t="s">
        <v>5583</v>
      </c>
      <c r="E6860" s="3" t="s">
        <v>131</v>
      </c>
      <c r="F6860" s="4">
        <v>2.87E-154</v>
      </c>
      <c r="G6860" s="3">
        <v>1165</v>
      </c>
      <c r="H6860" s="3">
        <v>67</v>
      </c>
      <c r="I6860" s="3">
        <v>388</v>
      </c>
      <c r="J6860" s="3">
        <v>2</v>
      </c>
      <c r="K6860" s="3">
        <v>1156</v>
      </c>
      <c r="L6860" s="3">
        <v>130</v>
      </c>
      <c r="M6860" s="3">
        <v>515</v>
      </c>
    </row>
    <row r="6861" spans="1:13" x14ac:dyDescent="0.25">
      <c r="A6861" s="1" t="str">
        <f>HYPERLINK("http://www.rosaceae.org/Prunus/Prunus_persica/p.persica_gdr_reftransV1_0043877","p.persica_gdr_reftransV1_0043877")</f>
        <v>p.persica_gdr_reftransV1_0043877</v>
      </c>
      <c r="B6861" s="3">
        <v>708</v>
      </c>
      <c r="C6861" s="1" t="str">
        <f>HYPERLINK("http://www.uniprot.org/uniprot/PCKA_ARATH","PCKA_ARATH")</f>
        <v>PCKA_ARATH</v>
      </c>
      <c r="D6861" t="s">
        <v>4882</v>
      </c>
      <c r="E6861" s="3" t="s">
        <v>3</v>
      </c>
      <c r="F6861" s="4">
        <v>5.95E-77</v>
      </c>
      <c r="G6861" s="3">
        <v>640</v>
      </c>
      <c r="H6861" s="3">
        <v>83</v>
      </c>
      <c r="I6861" s="3">
        <v>171</v>
      </c>
      <c r="J6861" s="3">
        <v>194</v>
      </c>
      <c r="K6861" s="3">
        <v>706</v>
      </c>
      <c r="L6861" s="3">
        <v>499</v>
      </c>
      <c r="M6861" s="3">
        <v>669</v>
      </c>
    </row>
    <row r="6862" spans="1:13" x14ac:dyDescent="0.25">
      <c r="A6862" s="1" t="str">
        <f>HYPERLINK("http://www.rosaceae.org/Prunus/Prunus_persica/p.persica_gdr_reftransV1_0043927","p.persica_gdr_reftransV1_0043927")</f>
        <v>p.persica_gdr_reftransV1_0043927</v>
      </c>
      <c r="B6862" s="3">
        <v>344</v>
      </c>
      <c r="C6862" s="1" t="str">
        <f>HYPERLINK("http://www.uniprot.org/uniprot/HTH_ARATH","HTH_ARATH")</f>
        <v>HTH_ARATH</v>
      </c>
      <c r="D6862" t="s">
        <v>5584</v>
      </c>
      <c r="E6862" s="3" t="s">
        <v>3</v>
      </c>
      <c r="F6862" s="4">
        <v>7.7300000000000006E-15</v>
      </c>
      <c r="G6862" s="3">
        <v>180</v>
      </c>
      <c r="H6862" s="3">
        <v>34</v>
      </c>
      <c r="I6862" s="3">
        <v>120</v>
      </c>
      <c r="J6862" s="3">
        <v>1</v>
      </c>
      <c r="K6862" s="3">
        <v>309</v>
      </c>
      <c r="L6862" s="3">
        <v>424</v>
      </c>
      <c r="M6862" s="3">
        <v>543</v>
      </c>
    </row>
    <row r="6863" spans="1:13" x14ac:dyDescent="0.25">
      <c r="A6863" s="1" t="str">
        <f>HYPERLINK("http://www.rosaceae.org/Prunus/Prunus_persica/p.persica_gdr_reftransV1_0044027","p.persica_gdr_reftransV1_0044027")</f>
        <v>p.persica_gdr_reftransV1_0044027</v>
      </c>
      <c r="B6863" s="3">
        <v>398</v>
      </c>
      <c r="C6863" s="1" t="str">
        <f>HYPERLINK("http://www.uniprot.org/uniprot/RA51B_ARATH","RA51B_ARATH")</f>
        <v>RA51B_ARATH</v>
      </c>
      <c r="D6863" t="s">
        <v>2984</v>
      </c>
      <c r="E6863" s="3" t="s">
        <v>3</v>
      </c>
      <c r="F6863" s="4">
        <v>3.0700000000000002E-65</v>
      </c>
      <c r="G6863" s="3">
        <v>530</v>
      </c>
      <c r="H6863" s="3">
        <v>77</v>
      </c>
      <c r="I6863" s="3">
        <v>130</v>
      </c>
      <c r="J6863" s="3">
        <v>1</v>
      </c>
      <c r="K6863" s="3">
        <v>390</v>
      </c>
      <c r="L6863" s="3">
        <v>133</v>
      </c>
      <c r="M6863" s="3">
        <v>262</v>
      </c>
    </row>
    <row r="6864" spans="1:13" x14ac:dyDescent="0.25">
      <c r="A6864" s="1" t="str">
        <f>HYPERLINK("http://www.rosaceae.org/Prunus/Prunus_persica/p.persica_gdr_reftransV1_0044127","p.persica_gdr_reftransV1_0044127")</f>
        <v>p.persica_gdr_reftransV1_0044127</v>
      </c>
      <c r="B6864" s="3">
        <v>745</v>
      </c>
      <c r="C6864" s="1" t="str">
        <f>HYPERLINK("http://www.uniprot.org/uniprot/USPAL_ARATH","USPAL_ARATH")</f>
        <v>USPAL_ARATH</v>
      </c>
      <c r="D6864" t="s">
        <v>430</v>
      </c>
      <c r="E6864" s="3" t="s">
        <v>3</v>
      </c>
      <c r="F6864" s="4">
        <v>5.9000000000000001E-14</v>
      </c>
      <c r="G6864" s="3">
        <v>173</v>
      </c>
      <c r="H6864" s="3">
        <v>29</v>
      </c>
      <c r="I6864" s="3">
        <v>143</v>
      </c>
      <c r="J6864" s="3">
        <v>156</v>
      </c>
      <c r="K6864" s="3">
        <v>566</v>
      </c>
      <c r="L6864" s="3">
        <v>29</v>
      </c>
      <c r="M6864" s="3">
        <v>163</v>
      </c>
    </row>
    <row r="6865" spans="1:13" x14ac:dyDescent="0.25">
      <c r="A6865" s="1" t="str">
        <f>HYPERLINK("http://www.rosaceae.org/Prunus/Prunus_persica/p.persica_gdr_reftransV1_0044177","p.persica_gdr_reftransV1_0044177")</f>
        <v>p.persica_gdr_reftransV1_0044177</v>
      </c>
      <c r="B6865" s="3">
        <v>2104</v>
      </c>
      <c r="C6865" s="1" t="str">
        <f>HYPERLINK("http://www.uniprot.org/uniprot/RH39_ORYSJ","RH39_ORYSJ")</f>
        <v>RH39_ORYSJ</v>
      </c>
      <c r="D6865" t="s">
        <v>5585</v>
      </c>
      <c r="E6865" s="3" t="s">
        <v>38</v>
      </c>
      <c r="F6865" s="4">
        <v>0</v>
      </c>
      <c r="G6865" s="3">
        <v>1827</v>
      </c>
      <c r="H6865" s="3">
        <v>68</v>
      </c>
      <c r="I6865" s="3">
        <v>527</v>
      </c>
      <c r="J6865" s="3">
        <v>464</v>
      </c>
      <c r="K6865" s="3">
        <v>2017</v>
      </c>
      <c r="L6865" s="3">
        <v>99</v>
      </c>
      <c r="M6865" s="3">
        <v>625</v>
      </c>
    </row>
    <row r="6866" spans="1:13" x14ac:dyDescent="0.25">
      <c r="A6866" s="1" t="str">
        <f>HYPERLINK("http://www.rosaceae.org/Prunus/Prunus_persica/p.persica_gdr_reftransV1_0044227","p.persica_gdr_reftransV1_0044227")</f>
        <v>p.persica_gdr_reftransV1_0044227</v>
      </c>
      <c r="B6866" s="3">
        <v>2077</v>
      </c>
      <c r="C6866" s="1" t="str">
        <f>HYPERLINK("http://www.uniprot.org/uniprot/HXK4_ARATH","HXK4_ARATH")</f>
        <v>HXK4_ARATH</v>
      </c>
      <c r="D6866" t="s">
        <v>3703</v>
      </c>
      <c r="E6866" s="3" t="s">
        <v>3</v>
      </c>
      <c r="F6866" s="4">
        <v>0</v>
      </c>
      <c r="G6866" s="3">
        <v>1514</v>
      </c>
      <c r="H6866" s="3">
        <v>68</v>
      </c>
      <c r="I6866" s="3">
        <v>444</v>
      </c>
      <c r="J6866" s="3">
        <v>261</v>
      </c>
      <c r="K6866" s="3">
        <v>1592</v>
      </c>
      <c r="L6866" s="3">
        <v>41</v>
      </c>
      <c r="M6866" s="3">
        <v>480</v>
      </c>
    </row>
    <row r="6867" spans="1:13" x14ac:dyDescent="0.25">
      <c r="A6867" s="1" t="str">
        <f>HYPERLINK("http://www.rosaceae.org/Prunus/Prunus_persica/p.persica_gdr_reftransV1_0044277","p.persica_gdr_reftransV1_0044277")</f>
        <v>p.persica_gdr_reftransV1_0044277</v>
      </c>
      <c r="B6867" s="3">
        <v>1988</v>
      </c>
      <c r="C6867" s="1" t="str">
        <f>HYPERLINK("http://www.uniprot.org/uniprot/CNG20_ARATH","CNG20_ARATH")</f>
        <v>CNG20_ARATH</v>
      </c>
      <c r="D6867" t="s">
        <v>5586</v>
      </c>
      <c r="E6867" s="3" t="s">
        <v>3</v>
      </c>
      <c r="F6867" s="4">
        <v>0</v>
      </c>
      <c r="G6867" s="3">
        <v>1418</v>
      </c>
      <c r="H6867" s="3">
        <v>59</v>
      </c>
      <c r="I6867" s="3">
        <v>527</v>
      </c>
      <c r="J6867" s="3">
        <v>112</v>
      </c>
      <c r="K6867" s="3">
        <v>1686</v>
      </c>
      <c r="L6867" s="3">
        <v>6</v>
      </c>
      <c r="M6867" s="3">
        <v>517</v>
      </c>
    </row>
    <row r="6868" spans="1:13" x14ac:dyDescent="0.25">
      <c r="A6868" s="1" t="str">
        <f>HYPERLINK("http://www.rosaceae.org/Prunus/Prunus_persica/p.persica_gdr_reftransV1_0044327","p.persica_gdr_reftransV1_0044327")</f>
        <v>p.persica_gdr_reftransV1_0044327</v>
      </c>
      <c r="B6868" s="3">
        <v>465</v>
      </c>
      <c r="C6868" s="1" t="str">
        <f>HYPERLINK("http://www.uniprot.org/uniprot/DPA_ARATH","DPA_ARATH")</f>
        <v>DPA_ARATH</v>
      </c>
      <c r="D6868" t="s">
        <v>5587</v>
      </c>
      <c r="E6868" s="3" t="s">
        <v>3</v>
      </c>
      <c r="F6868" s="4">
        <v>1.67E-16</v>
      </c>
      <c r="G6868" s="3">
        <v>191</v>
      </c>
      <c r="H6868" s="3">
        <v>48</v>
      </c>
      <c r="I6868" s="3">
        <v>95</v>
      </c>
      <c r="J6868" s="3">
        <v>187</v>
      </c>
      <c r="K6868" s="3">
        <v>465</v>
      </c>
      <c r="L6868" s="3">
        <v>27</v>
      </c>
      <c r="M6868" s="3">
        <v>114</v>
      </c>
    </row>
    <row r="6869" spans="1:13" x14ac:dyDescent="0.25">
      <c r="A6869" s="1" t="str">
        <f>HYPERLINK("http://www.rosaceae.org/Prunus/Prunus_persica/p.persica_gdr_reftransV1_0044377","p.persica_gdr_reftransV1_0044377")</f>
        <v>p.persica_gdr_reftransV1_0044377</v>
      </c>
      <c r="B6869" s="3">
        <v>2474</v>
      </c>
      <c r="C6869" s="1" t="str">
        <f>HYPERLINK("http://www.uniprot.org/uniprot/PEG3_BOVIN","PEG3_BOVIN")</f>
        <v>PEG3_BOVIN</v>
      </c>
      <c r="D6869" t="s">
        <v>5588</v>
      </c>
      <c r="E6869" s="3" t="s">
        <v>184</v>
      </c>
      <c r="F6869" s="4">
        <v>1.01E-7</v>
      </c>
      <c r="G6869" s="3">
        <v>144</v>
      </c>
      <c r="H6869" s="3">
        <v>26</v>
      </c>
      <c r="I6869" s="3">
        <v>158</v>
      </c>
      <c r="J6869" s="3">
        <v>167</v>
      </c>
      <c r="K6869" s="3">
        <v>610</v>
      </c>
      <c r="L6869" s="3">
        <v>1344</v>
      </c>
      <c r="M6869" s="3">
        <v>1501</v>
      </c>
    </row>
    <row r="6870" spans="1:13" x14ac:dyDescent="0.25">
      <c r="A6870" s="1" t="str">
        <f>HYPERLINK("http://www.rosaceae.org/Prunus/Prunus_persica/p.persica_gdr_reftransV1_0044427","p.persica_gdr_reftransV1_0044427")</f>
        <v>p.persica_gdr_reftransV1_0044427</v>
      </c>
      <c r="B6870" s="3">
        <v>1715</v>
      </c>
      <c r="C6870" s="1" t="str">
        <f>HYPERLINK("http://www.uniprot.org/uniprot/SPN1_RAT","SPN1_RAT")</f>
        <v>SPN1_RAT</v>
      </c>
      <c r="D6870" t="s">
        <v>5589</v>
      </c>
      <c r="E6870" s="3" t="s">
        <v>161</v>
      </c>
      <c r="F6870" s="4">
        <v>6.75E-47</v>
      </c>
      <c r="G6870" s="3">
        <v>438</v>
      </c>
      <c r="H6870" s="3">
        <v>44</v>
      </c>
      <c r="I6870" s="3">
        <v>182</v>
      </c>
      <c r="J6870" s="3">
        <v>872</v>
      </c>
      <c r="K6870" s="3">
        <v>1417</v>
      </c>
      <c r="L6870" s="3">
        <v>97</v>
      </c>
      <c r="M6870" s="3">
        <v>276</v>
      </c>
    </row>
    <row r="6871" spans="1:13" x14ac:dyDescent="0.25">
      <c r="A6871" s="1" t="str">
        <f>HYPERLINK("http://www.rosaceae.org/Prunus/Prunus_persica/p.persica_gdr_reftransV1_0044477","p.persica_gdr_reftransV1_0044477")</f>
        <v>p.persica_gdr_reftransV1_0044477</v>
      </c>
      <c r="B6871" s="3">
        <v>1382</v>
      </c>
      <c r="C6871" s="1" t="str">
        <f>HYPERLINK("http://www.uniprot.org/uniprot/LWD1_ARATH","LWD1_ARATH")</f>
        <v>LWD1_ARATH</v>
      </c>
      <c r="D6871" t="s">
        <v>5590</v>
      </c>
      <c r="E6871" s="3" t="s">
        <v>3</v>
      </c>
      <c r="F6871" s="4">
        <v>1.1500000000000001E-131</v>
      </c>
      <c r="G6871" s="3">
        <v>1004</v>
      </c>
      <c r="H6871" s="3">
        <v>57</v>
      </c>
      <c r="I6871" s="3">
        <v>324</v>
      </c>
      <c r="J6871" s="3">
        <v>258</v>
      </c>
      <c r="K6871" s="3">
        <v>1223</v>
      </c>
      <c r="L6871" s="3">
        <v>16</v>
      </c>
      <c r="M6871" s="3">
        <v>337</v>
      </c>
    </row>
    <row r="6872" spans="1:13" x14ac:dyDescent="0.25">
      <c r="A6872" s="1" t="str">
        <f>HYPERLINK("http://www.rosaceae.org/Prunus/Prunus_persica/p.persica_gdr_reftransV1_0044527","p.persica_gdr_reftransV1_0044527")</f>
        <v>p.persica_gdr_reftransV1_0044527</v>
      </c>
      <c r="B6872" s="3">
        <v>1907</v>
      </c>
      <c r="C6872" s="1" t="str">
        <f>HYPERLINK("http://www.uniprot.org/uniprot/MSI4_ARATH","MSI4_ARATH")</f>
        <v>MSI4_ARATH</v>
      </c>
      <c r="D6872" t="s">
        <v>5591</v>
      </c>
      <c r="E6872" s="3" t="s">
        <v>3</v>
      </c>
      <c r="F6872" s="4">
        <v>0</v>
      </c>
      <c r="G6872" s="3">
        <v>1880</v>
      </c>
      <c r="H6872" s="3">
        <v>78</v>
      </c>
      <c r="I6872" s="3">
        <v>469</v>
      </c>
      <c r="J6872" s="3">
        <v>163</v>
      </c>
      <c r="K6872" s="3">
        <v>1563</v>
      </c>
      <c r="L6872" s="3">
        <v>50</v>
      </c>
      <c r="M6872" s="3">
        <v>503</v>
      </c>
    </row>
    <row r="6873" spans="1:13" x14ac:dyDescent="0.25">
      <c r="A6873" s="1" t="str">
        <f>HYPERLINK("http://www.rosaceae.org/Prunus/Prunus_persica/p.persica_gdr_reftransV1_0044627","p.persica_gdr_reftransV1_0044627")</f>
        <v>p.persica_gdr_reftransV1_0044627</v>
      </c>
      <c r="B6873" s="3">
        <v>1846</v>
      </c>
      <c r="C6873" s="1" t="str">
        <f>HYPERLINK("http://www.uniprot.org/uniprot/Y5457_ARATH","Y5457_ARATH")</f>
        <v>Y5457_ARATH</v>
      </c>
      <c r="D6873" t="s">
        <v>5592</v>
      </c>
      <c r="E6873" s="3" t="s">
        <v>3</v>
      </c>
      <c r="F6873" s="4">
        <v>0</v>
      </c>
      <c r="G6873" s="3">
        <v>1685</v>
      </c>
      <c r="H6873" s="3">
        <v>72</v>
      </c>
      <c r="I6873" s="3">
        <v>471</v>
      </c>
      <c r="J6873" s="3">
        <v>335</v>
      </c>
      <c r="K6873" s="3">
        <v>1744</v>
      </c>
      <c r="L6873" s="3">
        <v>157</v>
      </c>
      <c r="M6873" s="3">
        <v>614</v>
      </c>
    </row>
    <row r="6874" spans="1:13" x14ac:dyDescent="0.25">
      <c r="A6874" s="1" t="str">
        <f>HYPERLINK("http://www.rosaceae.org/Prunus/Prunus_persica/p.persica_gdr_reftransV1_0044677","p.persica_gdr_reftransV1_0044677")</f>
        <v>p.persica_gdr_reftransV1_0044677</v>
      </c>
      <c r="B6874" s="3">
        <v>2062</v>
      </c>
      <c r="C6874" s="1" t="str">
        <f>HYPERLINK("http://www.uniprot.org/uniprot/ACT7_ARATH","ACT7_ARATH")</f>
        <v>ACT7_ARATH</v>
      </c>
      <c r="D6874" t="s">
        <v>4814</v>
      </c>
      <c r="E6874" s="3" t="s">
        <v>3</v>
      </c>
      <c r="F6874" s="4">
        <v>0</v>
      </c>
      <c r="G6874" s="3">
        <v>2000</v>
      </c>
      <c r="H6874" s="3">
        <v>99</v>
      </c>
      <c r="I6874" s="3">
        <v>377</v>
      </c>
      <c r="J6874" s="3">
        <v>231</v>
      </c>
      <c r="K6874" s="3">
        <v>1361</v>
      </c>
      <c r="L6874" s="3">
        <v>1</v>
      </c>
      <c r="M6874" s="3">
        <v>377</v>
      </c>
    </row>
    <row r="6875" spans="1:13" x14ac:dyDescent="0.25">
      <c r="A6875" s="1" t="str">
        <f>HYPERLINK("http://www.rosaceae.org/Prunus/Prunus_persica/p.persica_gdr_reftransV1_0044727","p.persica_gdr_reftransV1_0044727")</f>
        <v>p.persica_gdr_reftransV1_0044727</v>
      </c>
      <c r="B6875" s="3">
        <v>1497</v>
      </c>
      <c r="C6875" s="1" t="str">
        <f>HYPERLINK("http://www.uniprot.org/uniprot/CAS_ARATH","CAS_ARATH")</f>
        <v>CAS_ARATH</v>
      </c>
      <c r="D6875" t="s">
        <v>4752</v>
      </c>
      <c r="E6875" s="3" t="s">
        <v>3</v>
      </c>
      <c r="F6875" s="4">
        <v>5.1799999999999999E-171</v>
      </c>
      <c r="G6875" s="3">
        <v>1273</v>
      </c>
      <c r="H6875" s="3">
        <v>70</v>
      </c>
      <c r="I6875" s="3">
        <v>365</v>
      </c>
      <c r="J6875" s="3">
        <v>207</v>
      </c>
      <c r="K6875" s="3">
        <v>1292</v>
      </c>
      <c r="L6875" s="3">
        <v>29</v>
      </c>
      <c r="M6875" s="3">
        <v>387</v>
      </c>
    </row>
    <row r="6876" spans="1:13" x14ac:dyDescent="0.25">
      <c r="A6876" s="1" t="str">
        <f>HYPERLINK("http://www.rosaceae.org/Prunus/Prunus_persica/p.persica_gdr_reftransV1_0044777","p.persica_gdr_reftransV1_0044777")</f>
        <v>p.persica_gdr_reftransV1_0044777</v>
      </c>
      <c r="B6876" s="3">
        <v>2842</v>
      </c>
      <c r="C6876" s="1" t="str">
        <f>HYPERLINK("http://www.uniprot.org/uniprot/AMO2_ARTS1","AMO2_ARTS1")</f>
        <v>AMO2_ARTS1</v>
      </c>
      <c r="D6876" t="s">
        <v>5593</v>
      </c>
      <c r="E6876" s="3" t="s">
        <v>1844</v>
      </c>
      <c r="F6876" s="4">
        <v>5.5299999999999997E-159</v>
      </c>
      <c r="G6876" s="3">
        <v>1258</v>
      </c>
      <c r="H6876" s="3">
        <v>41</v>
      </c>
      <c r="I6876" s="3">
        <v>677</v>
      </c>
      <c r="J6876" s="3">
        <v>457</v>
      </c>
      <c r="K6876" s="3">
        <v>2472</v>
      </c>
      <c r="L6876" s="3">
        <v>14</v>
      </c>
      <c r="M6876" s="3">
        <v>633</v>
      </c>
    </row>
    <row r="6877" spans="1:13" x14ac:dyDescent="0.25">
      <c r="A6877" s="1" t="str">
        <f>HYPERLINK("http://www.rosaceae.org/Prunus/Prunus_persica/p.persica_gdr_reftransV1_0044877","p.persica_gdr_reftransV1_0044877")</f>
        <v>p.persica_gdr_reftransV1_0044877</v>
      </c>
      <c r="B6877" s="3">
        <v>1237</v>
      </c>
      <c r="C6877" s="1" t="str">
        <f>HYPERLINK("http://www.uniprot.org/uniprot/WOX4_ARATH","WOX4_ARATH")</f>
        <v>WOX4_ARATH</v>
      </c>
      <c r="D6877" t="s">
        <v>5594</v>
      </c>
      <c r="E6877" s="3" t="s">
        <v>3</v>
      </c>
      <c r="F6877" s="4">
        <v>2.5899999999999999E-67</v>
      </c>
      <c r="G6877" s="3">
        <v>561</v>
      </c>
      <c r="H6877" s="3">
        <v>52</v>
      </c>
      <c r="I6877" s="3">
        <v>261</v>
      </c>
      <c r="J6877" s="3">
        <v>511</v>
      </c>
      <c r="K6877" s="3">
        <v>1182</v>
      </c>
      <c r="L6877" s="3">
        <v>1</v>
      </c>
      <c r="M6877" s="3">
        <v>251</v>
      </c>
    </row>
    <row r="6878" spans="1:13" x14ac:dyDescent="0.25">
      <c r="A6878" s="1" t="str">
        <f>HYPERLINK("http://www.rosaceae.org/Prunus/Prunus_persica/p.persica_gdr_reftransV1_0044927","p.persica_gdr_reftransV1_0044927")</f>
        <v>p.persica_gdr_reftransV1_0044927</v>
      </c>
      <c r="B6878" s="3">
        <v>615</v>
      </c>
      <c r="C6878" s="1" t="str">
        <f>HYPERLINK("http://www.uniprot.org/uniprot/GAOA_GIBZE","GAOA_GIBZE")</f>
        <v>GAOA_GIBZE</v>
      </c>
      <c r="D6878" t="s">
        <v>5595</v>
      </c>
      <c r="E6878" s="3" t="s">
        <v>2278</v>
      </c>
      <c r="F6878" s="4">
        <v>1.11E-8</v>
      </c>
      <c r="G6878" s="3">
        <v>138</v>
      </c>
      <c r="H6878" s="3">
        <v>27</v>
      </c>
      <c r="I6878" s="3">
        <v>193</v>
      </c>
      <c r="J6878" s="3">
        <v>11</v>
      </c>
      <c r="K6878" s="3">
        <v>580</v>
      </c>
      <c r="L6878" s="3">
        <v>510</v>
      </c>
      <c r="M6878" s="3">
        <v>680</v>
      </c>
    </row>
    <row r="6879" spans="1:13" x14ac:dyDescent="0.25">
      <c r="A6879" s="1" t="str">
        <f>HYPERLINK("http://www.rosaceae.org/Prunus/Prunus_persica/p.persica_gdr_reftransV1_0044977","p.persica_gdr_reftransV1_0044977")</f>
        <v>p.persica_gdr_reftransV1_0044977</v>
      </c>
      <c r="B6879" s="3">
        <v>1550</v>
      </c>
      <c r="C6879" s="1" t="str">
        <f>HYPERLINK("http://www.uniprot.org/uniprot/CER26_ARATH","CER26_ARATH")</f>
        <v>CER26_ARATH</v>
      </c>
      <c r="D6879" t="s">
        <v>5596</v>
      </c>
      <c r="E6879" s="3" t="s">
        <v>3</v>
      </c>
      <c r="F6879" s="4">
        <v>1.2799999999999999E-102</v>
      </c>
      <c r="G6879" s="3">
        <v>823</v>
      </c>
      <c r="H6879" s="3">
        <v>40</v>
      </c>
      <c r="I6879" s="3">
        <v>423</v>
      </c>
      <c r="J6879" s="3">
        <v>194</v>
      </c>
      <c r="K6879" s="3">
        <v>1444</v>
      </c>
      <c r="L6879" s="3">
        <v>8</v>
      </c>
      <c r="M6879" s="3">
        <v>417</v>
      </c>
    </row>
    <row r="6880" spans="1:13" x14ac:dyDescent="0.25">
      <c r="A6880" s="1" t="str">
        <f>HYPERLINK("http://www.rosaceae.org/Prunus/Prunus_persica/p.persica_gdr_reftransV1_0045477","p.persica_gdr_reftransV1_0045477")</f>
        <v>p.persica_gdr_reftransV1_0045477</v>
      </c>
      <c r="B6880" s="3">
        <v>657</v>
      </c>
      <c r="C6880" s="1" t="str">
        <f>HYPERLINK("http://www.uniprot.org/uniprot/SP1L1_ARATH","SP1L1_ARATH")</f>
        <v>SP1L1_ARATH</v>
      </c>
      <c r="D6880" t="s">
        <v>3348</v>
      </c>
      <c r="E6880" s="3" t="s">
        <v>3</v>
      </c>
      <c r="F6880" s="4">
        <v>3.09E-25</v>
      </c>
      <c r="G6880" s="3">
        <v>249</v>
      </c>
      <c r="H6880" s="3">
        <v>66</v>
      </c>
      <c r="I6880" s="3">
        <v>82</v>
      </c>
      <c r="J6880" s="3">
        <v>238</v>
      </c>
      <c r="K6880" s="3">
        <v>468</v>
      </c>
      <c r="L6880" s="3">
        <v>29</v>
      </c>
      <c r="M6880" s="3">
        <v>110</v>
      </c>
    </row>
    <row r="6881" spans="1:13" x14ac:dyDescent="0.25">
      <c r="A6881" s="1" t="str">
        <f>HYPERLINK("http://www.rosaceae.org/Prunus/Prunus_persica/p.persica_gdr_reftransV1_0045527","p.persica_gdr_reftransV1_0045527")</f>
        <v>p.persica_gdr_reftransV1_0045527</v>
      </c>
      <c r="B6881" s="3">
        <v>1729</v>
      </c>
      <c r="C6881" s="1" t="str">
        <f>HYPERLINK("http://www.uniprot.org/uniprot/TRC_DROPS","TRC_DROPS")</f>
        <v>TRC_DROPS</v>
      </c>
      <c r="D6881" t="s">
        <v>5597</v>
      </c>
      <c r="E6881" s="3" t="s">
        <v>3741</v>
      </c>
      <c r="F6881" s="4">
        <v>5.7800000000000001E-140</v>
      </c>
      <c r="G6881" s="3">
        <v>1081</v>
      </c>
      <c r="H6881" s="3">
        <v>54</v>
      </c>
      <c r="I6881" s="3">
        <v>393</v>
      </c>
      <c r="J6881" s="3">
        <v>49</v>
      </c>
      <c r="K6881" s="3">
        <v>1212</v>
      </c>
      <c r="L6881" s="3">
        <v>74</v>
      </c>
      <c r="M6881" s="3">
        <v>456</v>
      </c>
    </row>
    <row r="6882" spans="1:13" x14ac:dyDescent="0.25">
      <c r="A6882" s="1" t="str">
        <f>HYPERLINK("http://www.rosaceae.org/Prunus/Prunus_persica/p.persica_gdr_reftransV1_0045677","p.persica_gdr_reftransV1_0045677")</f>
        <v>p.persica_gdr_reftransV1_0045677</v>
      </c>
      <c r="B6882" s="3">
        <v>793</v>
      </c>
      <c r="C6882" s="1" t="str">
        <f>HYPERLINK("http://www.uniprot.org/uniprot/HST_ARATH","HST_ARATH")</f>
        <v>HST_ARATH</v>
      </c>
      <c r="D6882" t="s">
        <v>2435</v>
      </c>
      <c r="E6882" s="3" t="s">
        <v>3</v>
      </c>
      <c r="F6882" s="4">
        <v>5.4900000000000005E-116</v>
      </c>
      <c r="G6882" s="3">
        <v>888</v>
      </c>
      <c r="H6882" s="3">
        <v>80</v>
      </c>
      <c r="I6882" s="3">
        <v>207</v>
      </c>
      <c r="J6882" s="3">
        <v>2</v>
      </c>
      <c r="K6882" s="3">
        <v>622</v>
      </c>
      <c r="L6882" s="3">
        <v>228</v>
      </c>
      <c r="M6882" s="3">
        <v>433</v>
      </c>
    </row>
    <row r="6883" spans="1:13" x14ac:dyDescent="0.25">
      <c r="A6883" s="1" t="str">
        <f>HYPERLINK("http://www.rosaceae.org/Prunus/Prunus_persica/p.persica_gdr_reftransV1_0045727","p.persica_gdr_reftransV1_0045727")</f>
        <v>p.persica_gdr_reftransV1_0045727</v>
      </c>
      <c r="B6883" s="3">
        <v>833</v>
      </c>
      <c r="C6883" s="1" t="str">
        <f>HYPERLINK("http://www.uniprot.org/uniprot/DOF34_ARATH","DOF34_ARATH")</f>
        <v>DOF34_ARATH</v>
      </c>
      <c r="D6883" t="s">
        <v>5598</v>
      </c>
      <c r="E6883" s="3" t="s">
        <v>3</v>
      </c>
      <c r="F6883" s="4">
        <v>4.8899999999999997E-17</v>
      </c>
      <c r="G6883" s="3">
        <v>200</v>
      </c>
      <c r="H6883" s="3">
        <v>43</v>
      </c>
      <c r="I6883" s="3">
        <v>200</v>
      </c>
      <c r="J6883" s="3">
        <v>276</v>
      </c>
      <c r="K6883" s="3">
        <v>833</v>
      </c>
      <c r="L6883" s="3">
        <v>55</v>
      </c>
      <c r="M6883" s="3">
        <v>250</v>
      </c>
    </row>
    <row r="6884" spans="1:13" x14ac:dyDescent="0.25">
      <c r="A6884" s="1" t="str">
        <f>HYPERLINK("http://www.rosaceae.org/Prunus/Prunus_persica/p.persica_gdr_reftransV1_0045777","p.persica_gdr_reftransV1_0045777")</f>
        <v>p.persica_gdr_reftransV1_0045777</v>
      </c>
      <c r="B6884" s="3">
        <v>1380</v>
      </c>
      <c r="C6884" s="1" t="str">
        <f>HYPERLINK("http://www.uniprot.org/uniprot/Y3720_ARATH","Y3720_ARATH")</f>
        <v>Y3720_ARATH</v>
      </c>
      <c r="D6884" t="s">
        <v>104</v>
      </c>
      <c r="E6884" s="3" t="s">
        <v>3</v>
      </c>
      <c r="F6884" s="4">
        <v>1.4699999999999999E-22</v>
      </c>
      <c r="G6884" s="3">
        <v>257</v>
      </c>
      <c r="H6884" s="3">
        <v>26</v>
      </c>
      <c r="I6884" s="3">
        <v>325</v>
      </c>
      <c r="J6884" s="3">
        <v>368</v>
      </c>
      <c r="K6884" s="3">
        <v>1267</v>
      </c>
      <c r="L6884" s="3">
        <v>116</v>
      </c>
      <c r="M6884" s="3">
        <v>432</v>
      </c>
    </row>
    <row r="6885" spans="1:13" x14ac:dyDescent="0.25">
      <c r="A6885" s="1" t="str">
        <f>HYPERLINK("http://www.rosaceae.org/Prunus/Prunus_persica/p.persica_gdr_reftransV1_0045827","p.persica_gdr_reftransV1_0045827")</f>
        <v>p.persica_gdr_reftransV1_0045827</v>
      </c>
      <c r="B6885" s="3">
        <v>785</v>
      </c>
      <c r="C6885" s="1" t="str">
        <f>HYPERLINK("http://www.uniprot.org/uniprot/YLS8_ARATH","YLS8_ARATH")</f>
        <v>YLS8_ARATH</v>
      </c>
      <c r="D6885" t="s">
        <v>3393</v>
      </c>
      <c r="E6885" s="3" t="s">
        <v>3</v>
      </c>
      <c r="F6885" s="4">
        <v>7.7199999999999995E-100</v>
      </c>
      <c r="G6885" s="3">
        <v>754</v>
      </c>
      <c r="H6885" s="3">
        <v>97</v>
      </c>
      <c r="I6885" s="3">
        <v>142</v>
      </c>
      <c r="J6885" s="3">
        <v>212</v>
      </c>
      <c r="K6885" s="3">
        <v>637</v>
      </c>
      <c r="L6885" s="3">
        <v>1</v>
      </c>
      <c r="M6885" s="3">
        <v>142</v>
      </c>
    </row>
    <row r="6886" spans="1:13" x14ac:dyDescent="0.25">
      <c r="A6886" s="1" t="str">
        <f>HYPERLINK("http://www.rosaceae.org/Prunus/Prunus_persica/p.persica_gdr_reftransV1_0046077","p.persica_gdr_reftransV1_0046077")</f>
        <v>p.persica_gdr_reftransV1_0046077</v>
      </c>
      <c r="B6886" s="3">
        <v>529</v>
      </c>
      <c r="C6886" s="1" t="str">
        <f>HYPERLINK("http://www.uniprot.org/uniprot/CSPLA_RICCO","CSPLA_RICCO")</f>
        <v>CSPLA_RICCO</v>
      </c>
      <c r="D6886" t="s">
        <v>1889</v>
      </c>
      <c r="E6886" s="3" t="s">
        <v>421</v>
      </c>
      <c r="F6886" s="4">
        <v>6.2400000000000004E-14</v>
      </c>
      <c r="G6886" s="3">
        <v>171</v>
      </c>
      <c r="H6886" s="3">
        <v>53</v>
      </c>
      <c r="I6886" s="3">
        <v>66</v>
      </c>
      <c r="J6886" s="3">
        <v>90</v>
      </c>
      <c r="K6886" s="3">
        <v>287</v>
      </c>
      <c r="L6886" s="3">
        <v>24</v>
      </c>
      <c r="M6886" s="3">
        <v>89</v>
      </c>
    </row>
    <row r="6887" spans="1:13" x14ac:dyDescent="0.25">
      <c r="A6887" s="1" t="str">
        <f>HYPERLINK("http://www.rosaceae.org/Prunus/Prunus_persica/p.persica_gdr_reftransV1_0046127","p.persica_gdr_reftransV1_0046127")</f>
        <v>p.persica_gdr_reftransV1_0046127</v>
      </c>
      <c r="B6887" s="3">
        <v>1164</v>
      </c>
      <c r="C6887" s="1" t="str">
        <f>HYPERLINK("http://www.uniprot.org/uniprot/CCH_ARATH","CCH_ARATH")</f>
        <v>CCH_ARATH</v>
      </c>
      <c r="D6887" t="s">
        <v>4510</v>
      </c>
      <c r="E6887" s="3" t="s">
        <v>3</v>
      </c>
      <c r="F6887" s="4">
        <v>6.1300000000000001E-13</v>
      </c>
      <c r="G6887" s="3">
        <v>169</v>
      </c>
      <c r="H6887" s="3">
        <v>48</v>
      </c>
      <c r="I6887" s="3">
        <v>64</v>
      </c>
      <c r="J6887" s="3">
        <v>210</v>
      </c>
      <c r="K6887" s="3">
        <v>398</v>
      </c>
      <c r="L6887" s="3">
        <v>5</v>
      </c>
      <c r="M6887" s="3">
        <v>68</v>
      </c>
    </row>
    <row r="6888" spans="1:13" x14ac:dyDescent="0.25">
      <c r="A6888" s="1" t="str">
        <f>HYPERLINK("http://www.rosaceae.org/Prunus/Prunus_persica/p.persica_gdr_reftransV1_0046177","p.persica_gdr_reftransV1_0046177")</f>
        <v>p.persica_gdr_reftransV1_0046177</v>
      </c>
      <c r="B6888" s="3">
        <v>1653</v>
      </c>
      <c r="C6888" s="1" t="str">
        <f>HYPERLINK("http://www.uniprot.org/uniprot/PLY12_ARATH","PLY12_ARATH")</f>
        <v>PLY12_ARATH</v>
      </c>
      <c r="D6888" t="s">
        <v>3581</v>
      </c>
      <c r="E6888" s="3" t="s">
        <v>3</v>
      </c>
      <c r="F6888" s="4">
        <v>0</v>
      </c>
      <c r="G6888" s="3">
        <v>1749</v>
      </c>
      <c r="H6888" s="3">
        <v>80</v>
      </c>
      <c r="I6888" s="3">
        <v>419</v>
      </c>
      <c r="J6888" s="3">
        <v>139</v>
      </c>
      <c r="K6888" s="3">
        <v>1395</v>
      </c>
      <c r="L6888" s="3">
        <v>31</v>
      </c>
      <c r="M6888" s="3">
        <v>447</v>
      </c>
    </row>
    <row r="6889" spans="1:13" x14ac:dyDescent="0.25">
      <c r="A6889" s="1" t="str">
        <f>HYPERLINK("http://www.rosaceae.org/Prunus/Prunus_persica/p.persica_gdr_reftransV1_0046277","p.persica_gdr_reftransV1_0046277")</f>
        <v>p.persica_gdr_reftransV1_0046277</v>
      </c>
      <c r="B6889" s="3">
        <v>1448</v>
      </c>
      <c r="C6889" s="1" t="str">
        <f>HYPERLINK("http://www.uniprot.org/uniprot/SPL9_ARATH","SPL9_ARATH")</f>
        <v>SPL9_ARATH</v>
      </c>
      <c r="D6889" t="s">
        <v>5599</v>
      </c>
      <c r="E6889" s="3" t="s">
        <v>3</v>
      </c>
      <c r="F6889" s="4">
        <v>5.3799999999999997E-64</v>
      </c>
      <c r="G6889" s="3">
        <v>555</v>
      </c>
      <c r="H6889" s="3">
        <v>43</v>
      </c>
      <c r="I6889" s="3">
        <v>383</v>
      </c>
      <c r="J6889" s="3">
        <v>128</v>
      </c>
      <c r="K6889" s="3">
        <v>1186</v>
      </c>
      <c r="L6889" s="3">
        <v>32</v>
      </c>
      <c r="M6889" s="3">
        <v>375</v>
      </c>
    </row>
    <row r="6890" spans="1:13" x14ac:dyDescent="0.25">
      <c r="A6890" s="1" t="str">
        <f>HYPERLINK("http://www.rosaceae.org/Prunus/Prunus_persica/p.persica_gdr_reftransV1_0046377","p.persica_gdr_reftransV1_0046377")</f>
        <v>p.persica_gdr_reftransV1_0046377</v>
      </c>
      <c r="B6890" s="3">
        <v>3919</v>
      </c>
      <c r="C6890" s="1" t="str">
        <f>HYPERLINK("http://www.uniprot.org/uniprot/Y1591_ARATH","Y1591_ARATH")</f>
        <v>Y1591_ARATH</v>
      </c>
      <c r="D6890" t="s">
        <v>4019</v>
      </c>
      <c r="E6890" s="3" t="s">
        <v>3</v>
      </c>
      <c r="F6890" s="4">
        <v>0</v>
      </c>
      <c r="G6890" s="3">
        <v>3537</v>
      </c>
      <c r="H6890" s="3">
        <v>64</v>
      </c>
      <c r="I6890" s="3">
        <v>1277</v>
      </c>
      <c r="J6890" s="3">
        <v>3</v>
      </c>
      <c r="K6890" s="3">
        <v>3767</v>
      </c>
      <c r="L6890" s="3">
        <v>8</v>
      </c>
      <c r="M6890" s="3">
        <v>1210</v>
      </c>
    </row>
    <row r="6891" spans="1:13" x14ac:dyDescent="0.25">
      <c r="A6891" s="1" t="str">
        <f>HYPERLINK("http://www.rosaceae.org/Prunus/Prunus_persica/p.persica_gdr_reftransV1_0046577","p.persica_gdr_reftransV1_0046577")</f>
        <v>p.persica_gdr_reftransV1_0046577</v>
      </c>
      <c r="B6891" s="3">
        <v>1276</v>
      </c>
      <c r="C6891" s="1" t="str">
        <f>HYPERLINK("http://www.uniprot.org/uniprot/MNS5_ARATH","MNS5_ARATH")</f>
        <v>MNS5_ARATH</v>
      </c>
      <c r="D6891" t="s">
        <v>2930</v>
      </c>
      <c r="E6891" s="3" t="s">
        <v>3</v>
      </c>
      <c r="F6891" s="4">
        <v>5.2599999999999999E-94</v>
      </c>
      <c r="G6891" s="3">
        <v>582</v>
      </c>
      <c r="H6891" s="3">
        <v>58</v>
      </c>
      <c r="I6891" s="3">
        <v>212</v>
      </c>
      <c r="J6891" s="3">
        <v>488</v>
      </c>
      <c r="K6891" s="3">
        <v>1099</v>
      </c>
      <c r="L6891" s="3">
        <v>32</v>
      </c>
      <c r="M6891" s="3">
        <v>216</v>
      </c>
    </row>
    <row r="6892" spans="1:13" x14ac:dyDescent="0.25">
      <c r="A6892" s="1" t="str">
        <f>HYPERLINK("http://www.rosaceae.org/Prunus/Prunus_persica/p.persica_gdr_reftransV1_0046677","p.persica_gdr_reftransV1_0046677")</f>
        <v>p.persica_gdr_reftransV1_0046677</v>
      </c>
      <c r="B6892" s="3">
        <v>2594</v>
      </c>
      <c r="C6892" s="1" t="str">
        <f>HYPERLINK("http://www.uniprot.org/uniprot/THE1_ARATH","THE1_ARATH")</f>
        <v>THE1_ARATH</v>
      </c>
      <c r="D6892" t="s">
        <v>5600</v>
      </c>
      <c r="E6892" s="3" t="s">
        <v>3</v>
      </c>
      <c r="F6892" s="4">
        <v>0</v>
      </c>
      <c r="G6892" s="3">
        <v>2672</v>
      </c>
      <c r="H6892" s="3">
        <v>72</v>
      </c>
      <c r="I6892" s="3">
        <v>763</v>
      </c>
      <c r="J6892" s="3">
        <v>3</v>
      </c>
      <c r="K6892" s="3">
        <v>2249</v>
      </c>
      <c r="L6892" s="3">
        <v>22</v>
      </c>
      <c r="M6892" s="3">
        <v>783</v>
      </c>
    </row>
    <row r="6893" spans="1:13" x14ac:dyDescent="0.25">
      <c r="A6893" s="1" t="str">
        <f>HYPERLINK("http://www.rosaceae.org/Prunus/Prunus_persica/p.persica_gdr_reftransV1_0046727","p.persica_gdr_reftransV1_0046727")</f>
        <v>p.persica_gdr_reftransV1_0046727</v>
      </c>
      <c r="B6893" s="3">
        <v>312</v>
      </c>
      <c r="C6893" s="1" t="str">
        <f>HYPERLINK("http://www.uniprot.org/uniprot/PINS_FRAVE","PINS_FRAVE")</f>
        <v>PINS_FRAVE</v>
      </c>
      <c r="D6893" t="s">
        <v>1165</v>
      </c>
      <c r="E6893" s="3" t="s">
        <v>1166</v>
      </c>
      <c r="F6893" s="4">
        <v>8.8900000000000003E-45</v>
      </c>
      <c r="G6893" s="3">
        <v>396</v>
      </c>
      <c r="H6893" s="3">
        <v>74</v>
      </c>
      <c r="I6893" s="3">
        <v>98</v>
      </c>
      <c r="J6893" s="3">
        <v>13</v>
      </c>
      <c r="K6893" s="3">
        <v>306</v>
      </c>
      <c r="L6893" s="3">
        <v>459</v>
      </c>
      <c r="M6893" s="3">
        <v>556</v>
      </c>
    </row>
    <row r="6894" spans="1:13" x14ac:dyDescent="0.25">
      <c r="A6894" s="1" t="str">
        <f>HYPERLINK("http://www.rosaceae.org/Prunus/Prunus_persica/p.persica_gdr_reftransV1_0046777","p.persica_gdr_reftransV1_0046777")</f>
        <v>p.persica_gdr_reftransV1_0046777</v>
      </c>
      <c r="B6894" s="3">
        <v>2556</v>
      </c>
      <c r="C6894" s="1" t="str">
        <f>HYPERLINK("http://www.uniprot.org/uniprot/E136_ARATH","E136_ARATH")</f>
        <v>E136_ARATH</v>
      </c>
      <c r="D6894" t="s">
        <v>5601</v>
      </c>
      <c r="E6894" s="3" t="s">
        <v>3</v>
      </c>
      <c r="F6894" s="4">
        <v>0</v>
      </c>
      <c r="G6894" s="3">
        <v>1876</v>
      </c>
      <c r="H6894" s="3">
        <v>76</v>
      </c>
      <c r="I6894" s="3">
        <v>455</v>
      </c>
      <c r="J6894" s="3">
        <v>377</v>
      </c>
      <c r="K6894" s="3">
        <v>1741</v>
      </c>
      <c r="L6894" s="3">
        <v>20</v>
      </c>
      <c r="M6894" s="3">
        <v>472</v>
      </c>
    </row>
    <row r="6895" spans="1:13" x14ac:dyDescent="0.25">
      <c r="A6895" s="1" t="str">
        <f>HYPERLINK("http://www.rosaceae.org/Prunus/Prunus_persica/p.persica_gdr_reftransV1_0046877","p.persica_gdr_reftransV1_0046877")</f>
        <v>p.persica_gdr_reftransV1_0046877</v>
      </c>
      <c r="B6895" s="3">
        <v>773</v>
      </c>
      <c r="C6895" s="1" t="str">
        <f>HYPERLINK("http://www.uniprot.org/uniprot/TMVRN_NICGU","TMVRN_NICGU")</f>
        <v>TMVRN_NICGU</v>
      </c>
      <c r="D6895" t="s">
        <v>151</v>
      </c>
      <c r="E6895" s="3" t="s">
        <v>152</v>
      </c>
      <c r="F6895" s="4">
        <v>9.7700000000000006E-37</v>
      </c>
      <c r="G6895" s="3">
        <v>361</v>
      </c>
      <c r="H6895" s="3">
        <v>44</v>
      </c>
      <c r="I6895" s="3">
        <v>196</v>
      </c>
      <c r="J6895" s="3">
        <v>112</v>
      </c>
      <c r="K6895" s="3">
        <v>645</v>
      </c>
      <c r="L6895" s="3">
        <v>10</v>
      </c>
      <c r="M6895" s="3">
        <v>205</v>
      </c>
    </row>
    <row r="6896" spans="1:13" x14ac:dyDescent="0.25">
      <c r="A6896" s="1" t="str">
        <f>HYPERLINK("http://www.rosaceae.org/Prunus/Prunus_persica/p.persica_gdr_reftransV1_0046927","p.persica_gdr_reftransV1_0046927")</f>
        <v>p.persica_gdr_reftransV1_0046927</v>
      </c>
      <c r="B6896" s="3">
        <v>1275</v>
      </c>
      <c r="C6896" s="1" t="str">
        <f>HYPERLINK("http://www.uniprot.org/uniprot/YVRI_CAEEL","YVRI_CAEEL")</f>
        <v>YVRI_CAEEL</v>
      </c>
      <c r="D6896" t="s">
        <v>5602</v>
      </c>
      <c r="E6896" s="3" t="s">
        <v>281</v>
      </c>
      <c r="F6896" s="4">
        <v>5.13E-14</v>
      </c>
      <c r="G6896" s="3">
        <v>177</v>
      </c>
      <c r="H6896" s="3">
        <v>32</v>
      </c>
      <c r="I6896" s="3">
        <v>115</v>
      </c>
      <c r="J6896" s="3">
        <v>707</v>
      </c>
      <c r="K6896" s="3">
        <v>1042</v>
      </c>
      <c r="L6896" s="3">
        <v>73</v>
      </c>
      <c r="M6896" s="3">
        <v>185</v>
      </c>
    </row>
    <row r="6897" spans="1:13" x14ac:dyDescent="0.25">
      <c r="A6897" s="1" t="str">
        <f>HYPERLINK("http://www.rosaceae.org/Prunus/Prunus_persica/p.persica_gdr_reftransV1_0046977","p.persica_gdr_reftransV1_0046977")</f>
        <v>p.persica_gdr_reftransV1_0046977</v>
      </c>
      <c r="B6897" s="3">
        <v>360</v>
      </c>
      <c r="C6897" s="1" t="str">
        <f>HYPERLINK("http://www.uniprot.org/uniprot/MYO7_ARATH","MYO7_ARATH")</f>
        <v>MYO7_ARATH</v>
      </c>
      <c r="D6897" t="s">
        <v>1183</v>
      </c>
      <c r="E6897" s="3" t="s">
        <v>3</v>
      </c>
      <c r="F6897" s="4">
        <v>6.2799999999999998E-34</v>
      </c>
      <c r="G6897" s="3">
        <v>327</v>
      </c>
      <c r="H6897" s="3">
        <v>61</v>
      </c>
      <c r="I6897" s="3">
        <v>128</v>
      </c>
      <c r="J6897" s="3">
        <v>4</v>
      </c>
      <c r="K6897" s="3">
        <v>360</v>
      </c>
      <c r="L6897" s="3">
        <v>1349</v>
      </c>
      <c r="M6897" s="3">
        <v>1473</v>
      </c>
    </row>
    <row r="6898" spans="1:13" x14ac:dyDescent="0.25">
      <c r="A6898" s="1" t="str">
        <f>HYPERLINK("http://www.rosaceae.org/Prunus/Prunus_persica/p.persica_gdr_reftransV1_0047127","p.persica_gdr_reftransV1_0047127")</f>
        <v>p.persica_gdr_reftransV1_0047127</v>
      </c>
      <c r="B6898" s="3">
        <v>986</v>
      </c>
      <c r="C6898" s="1" t="str">
        <f>HYPERLINK("http://www.uniprot.org/uniprot/Y4117_ARATH","Y4117_ARATH")</f>
        <v>Y4117_ARATH</v>
      </c>
      <c r="D6898" t="s">
        <v>5603</v>
      </c>
      <c r="E6898" s="3" t="s">
        <v>3</v>
      </c>
      <c r="F6898" s="4">
        <v>6.2100000000000002E-45</v>
      </c>
      <c r="G6898" s="3">
        <v>429</v>
      </c>
      <c r="H6898" s="3">
        <v>44</v>
      </c>
      <c r="I6898" s="3">
        <v>248</v>
      </c>
      <c r="J6898" s="3">
        <v>6</v>
      </c>
      <c r="K6898" s="3">
        <v>749</v>
      </c>
      <c r="L6898" s="3">
        <v>9</v>
      </c>
      <c r="M6898" s="3">
        <v>244</v>
      </c>
    </row>
    <row r="6899" spans="1:13" x14ac:dyDescent="0.25">
      <c r="A6899" s="1" t="str">
        <f>HYPERLINK("http://www.rosaceae.org/Prunus/Prunus_persica/p.persica_gdr_reftransV1_0047177","p.persica_gdr_reftransV1_0047177")</f>
        <v>p.persica_gdr_reftransV1_0047177</v>
      </c>
      <c r="B6899" s="3">
        <v>1802</v>
      </c>
      <c r="C6899" s="1" t="str">
        <f>HYPERLINK("http://www.uniprot.org/uniprot/BAHD1_ARATH","BAHD1_ARATH")</f>
        <v>BAHD1_ARATH</v>
      </c>
      <c r="D6899" t="s">
        <v>897</v>
      </c>
      <c r="E6899" s="3" t="s">
        <v>3</v>
      </c>
      <c r="F6899" s="4">
        <v>2.6000000000000001E-61</v>
      </c>
      <c r="G6899" s="3">
        <v>548</v>
      </c>
      <c r="H6899" s="3">
        <v>32</v>
      </c>
      <c r="I6899" s="3">
        <v>486</v>
      </c>
      <c r="J6899" s="3">
        <v>184</v>
      </c>
      <c r="K6899" s="3">
        <v>1599</v>
      </c>
      <c r="L6899" s="3">
        <v>3</v>
      </c>
      <c r="M6899" s="3">
        <v>442</v>
      </c>
    </row>
    <row r="6900" spans="1:13" x14ac:dyDescent="0.25">
      <c r="A6900" s="1" t="str">
        <f>HYPERLINK("http://www.rosaceae.org/Prunus/Prunus_persica/p.persica_gdr_reftransV1_0047277","p.persica_gdr_reftransV1_0047277")</f>
        <v>p.persica_gdr_reftransV1_0047277</v>
      </c>
      <c r="B6900" s="3">
        <v>738</v>
      </c>
      <c r="C6900" s="1" t="str">
        <f>HYPERLINK("http://www.uniprot.org/uniprot/H4_SOYBN","H4_SOYBN")</f>
        <v>H4_SOYBN</v>
      </c>
      <c r="D6900" t="s">
        <v>4009</v>
      </c>
      <c r="E6900" s="3" t="s">
        <v>307</v>
      </c>
      <c r="F6900" s="4">
        <v>7.2599999999999995E-49</v>
      </c>
      <c r="G6900" s="3">
        <v>410</v>
      </c>
      <c r="H6900" s="3">
        <v>100</v>
      </c>
      <c r="I6900" s="3">
        <v>82</v>
      </c>
      <c r="J6900" s="3">
        <v>141</v>
      </c>
      <c r="K6900" s="3">
        <v>386</v>
      </c>
      <c r="L6900" s="3">
        <v>22</v>
      </c>
      <c r="M6900" s="3">
        <v>103</v>
      </c>
    </row>
    <row r="6901" spans="1:13" x14ac:dyDescent="0.25">
      <c r="A6901" s="1" t="str">
        <f>HYPERLINK("http://www.rosaceae.org/Prunus/Prunus_persica/p.persica_gdr_reftransV1_0047327","p.persica_gdr_reftransV1_0047327")</f>
        <v>p.persica_gdr_reftransV1_0047327</v>
      </c>
      <c r="B6901" s="3">
        <v>742</v>
      </c>
      <c r="C6901" s="1" t="str">
        <f>HYPERLINK("http://www.uniprot.org/uniprot/AHL1_ARATH","AHL1_ARATH")</f>
        <v>AHL1_ARATH</v>
      </c>
      <c r="D6901" t="s">
        <v>2753</v>
      </c>
      <c r="E6901" s="3" t="s">
        <v>3</v>
      </c>
      <c r="F6901" s="4">
        <v>2.5800000000000001E-35</v>
      </c>
      <c r="G6901" s="3">
        <v>337</v>
      </c>
      <c r="H6901" s="3">
        <v>55</v>
      </c>
      <c r="I6901" s="3">
        <v>130</v>
      </c>
      <c r="J6901" s="3">
        <v>102</v>
      </c>
      <c r="K6901" s="3">
        <v>479</v>
      </c>
      <c r="L6901" s="3">
        <v>169</v>
      </c>
      <c r="M6901" s="3">
        <v>298</v>
      </c>
    </row>
    <row r="6902" spans="1:13" x14ac:dyDescent="0.25">
      <c r="A6902" s="1" t="str">
        <f>HYPERLINK("http://www.rosaceae.org/Prunus/Prunus_persica/p.persica_gdr_reftransV1_0047377","p.persica_gdr_reftransV1_0047377")</f>
        <v>p.persica_gdr_reftransV1_0047377</v>
      </c>
      <c r="B6902" s="3">
        <v>2256</v>
      </c>
      <c r="C6902" s="1" t="str">
        <f>HYPERLINK("http://www.uniprot.org/uniprot/PYRH_SYNS9","PYRH_SYNS9")</f>
        <v>PYRH_SYNS9</v>
      </c>
      <c r="D6902" t="s">
        <v>3283</v>
      </c>
      <c r="E6902" s="3" t="s">
        <v>2403</v>
      </c>
      <c r="F6902" s="4">
        <v>2.8000000000000001E-67</v>
      </c>
      <c r="G6902" s="3">
        <v>580</v>
      </c>
      <c r="H6902" s="3">
        <v>49</v>
      </c>
      <c r="I6902" s="3">
        <v>237</v>
      </c>
      <c r="J6902" s="3">
        <v>905</v>
      </c>
      <c r="K6902" s="3">
        <v>1606</v>
      </c>
      <c r="L6902" s="3">
        <v>1</v>
      </c>
      <c r="M6902" s="3">
        <v>233</v>
      </c>
    </row>
    <row r="6903" spans="1:13" x14ac:dyDescent="0.25">
      <c r="A6903" s="1" t="str">
        <f>HYPERLINK("http://www.rosaceae.org/Prunus/Prunus_persica/p.persica_gdr_reftransV1_0047427","p.persica_gdr_reftransV1_0047427")</f>
        <v>p.persica_gdr_reftransV1_0047427</v>
      </c>
      <c r="B6903" s="3">
        <v>737</v>
      </c>
      <c r="C6903" s="1" t="str">
        <f>HYPERLINK("http://www.uniprot.org/uniprot/MPC1_ARATH","MPC1_ARATH")</f>
        <v>MPC1_ARATH</v>
      </c>
      <c r="D6903" t="s">
        <v>29</v>
      </c>
      <c r="E6903" s="3" t="s">
        <v>3</v>
      </c>
      <c r="F6903" s="4">
        <v>2.6100000000000001E-61</v>
      </c>
      <c r="G6903" s="3">
        <v>494</v>
      </c>
      <c r="H6903" s="3">
        <v>87</v>
      </c>
      <c r="I6903" s="3">
        <v>100</v>
      </c>
      <c r="J6903" s="3">
        <v>232</v>
      </c>
      <c r="K6903" s="3">
        <v>531</v>
      </c>
      <c r="L6903" s="3">
        <v>6</v>
      </c>
      <c r="M6903" s="3">
        <v>105</v>
      </c>
    </row>
    <row r="6904" spans="1:13" x14ac:dyDescent="0.25">
      <c r="A6904" s="1" t="str">
        <f>HYPERLINK("http://www.rosaceae.org/Prunus/Prunus_persica/p.persica_gdr_reftransV1_0047477","p.persica_gdr_reftransV1_0047477")</f>
        <v>p.persica_gdr_reftransV1_0047477</v>
      </c>
      <c r="B6904" s="3">
        <v>1464</v>
      </c>
      <c r="C6904" s="1" t="str">
        <f>HYPERLINK("http://www.uniprot.org/uniprot/URIC2_CANLI","URIC2_CANLI")</f>
        <v>URIC2_CANLI</v>
      </c>
      <c r="D6904" t="s">
        <v>643</v>
      </c>
      <c r="E6904" s="3" t="s">
        <v>644</v>
      </c>
      <c r="F6904" s="4">
        <v>7.0799999999999997E-101</v>
      </c>
      <c r="G6904" s="3">
        <v>798</v>
      </c>
      <c r="H6904" s="3">
        <v>75</v>
      </c>
      <c r="I6904" s="3">
        <v>195</v>
      </c>
      <c r="J6904" s="3">
        <v>81</v>
      </c>
      <c r="K6904" s="3">
        <v>665</v>
      </c>
      <c r="L6904" s="3">
        <v>6</v>
      </c>
      <c r="M6904" s="3">
        <v>200</v>
      </c>
    </row>
    <row r="6905" spans="1:13" x14ac:dyDescent="0.25">
      <c r="A6905" s="1" t="str">
        <f>HYPERLINK("http://www.rosaceae.org/Prunus/Prunus_persica/p.persica_gdr_reftransV1_0047627","p.persica_gdr_reftransV1_0047627")</f>
        <v>p.persica_gdr_reftransV1_0047627</v>
      </c>
      <c r="B6905" s="3">
        <v>1001</v>
      </c>
      <c r="C6905" s="1" t="str">
        <f>HYPERLINK("http://www.uniprot.org/uniprot/TOM1_TOBAC","TOM1_TOBAC")</f>
        <v>TOM1_TOBAC</v>
      </c>
      <c r="D6905" t="s">
        <v>4961</v>
      </c>
      <c r="E6905" s="3" t="s">
        <v>200</v>
      </c>
      <c r="F6905" s="4">
        <v>1.58E-111</v>
      </c>
      <c r="G6905" s="3">
        <v>853</v>
      </c>
      <c r="H6905" s="3">
        <v>66</v>
      </c>
      <c r="I6905" s="3">
        <v>271</v>
      </c>
      <c r="J6905" s="3">
        <v>115</v>
      </c>
      <c r="K6905" s="3">
        <v>927</v>
      </c>
      <c r="L6905" s="3">
        <v>19</v>
      </c>
      <c r="M6905" s="3">
        <v>288</v>
      </c>
    </row>
    <row r="6906" spans="1:13" x14ac:dyDescent="0.25">
      <c r="A6906" s="1" t="str">
        <f>HYPERLINK("http://www.rosaceae.org/Prunus/Prunus_persica/p.persica_gdr_reftransV1_0047677","p.persica_gdr_reftransV1_0047677")</f>
        <v>p.persica_gdr_reftransV1_0047677</v>
      </c>
      <c r="B6906" s="3">
        <v>1255</v>
      </c>
      <c r="C6906" s="1" t="str">
        <f>HYPERLINK("http://www.uniprot.org/uniprot/CB12_SOLLC","CB12_SOLLC")</f>
        <v>CB12_SOLLC</v>
      </c>
      <c r="D6906" t="s">
        <v>5604</v>
      </c>
      <c r="E6906" s="3" t="s">
        <v>64</v>
      </c>
      <c r="F6906" s="4">
        <v>5.38E-158</v>
      </c>
      <c r="G6906" s="3">
        <v>1167</v>
      </c>
      <c r="H6906" s="3">
        <v>86</v>
      </c>
      <c r="I6906" s="3">
        <v>251</v>
      </c>
      <c r="J6906" s="3">
        <v>145</v>
      </c>
      <c r="K6906" s="3">
        <v>897</v>
      </c>
      <c r="L6906" s="3">
        <v>21</v>
      </c>
      <c r="M6906" s="3">
        <v>270</v>
      </c>
    </row>
    <row r="6907" spans="1:13" x14ac:dyDescent="0.25">
      <c r="A6907" s="1" t="str">
        <f>HYPERLINK("http://www.rosaceae.org/Prunus/Prunus_persica/p.persica_gdr_reftransV1_0047727","p.persica_gdr_reftransV1_0047727")</f>
        <v>p.persica_gdr_reftransV1_0047727</v>
      </c>
      <c r="B6907" s="3">
        <v>1334</v>
      </c>
      <c r="C6907" s="1" t="str">
        <f>HYPERLINK("http://www.uniprot.org/uniprot/VA721_ARATH","VA721_ARATH")</f>
        <v>VA721_ARATH</v>
      </c>
      <c r="D6907" t="s">
        <v>380</v>
      </c>
      <c r="E6907" s="3" t="s">
        <v>3</v>
      </c>
      <c r="F6907" s="4">
        <v>1.3E-126</v>
      </c>
      <c r="G6907" s="3">
        <v>957</v>
      </c>
      <c r="H6907" s="3">
        <v>88</v>
      </c>
      <c r="I6907" s="3">
        <v>219</v>
      </c>
      <c r="J6907" s="3">
        <v>130</v>
      </c>
      <c r="K6907" s="3">
        <v>786</v>
      </c>
      <c r="L6907" s="3">
        <v>1</v>
      </c>
      <c r="M6907" s="3">
        <v>219</v>
      </c>
    </row>
    <row r="6908" spans="1:13" x14ac:dyDescent="0.25">
      <c r="A6908" s="1" t="str">
        <f>HYPERLINK("http://www.rosaceae.org/Prunus/Prunus_persica/p.persica_gdr_reftransV1_0047977","p.persica_gdr_reftransV1_0047977")</f>
        <v>p.persica_gdr_reftransV1_0047977</v>
      </c>
      <c r="B6908" s="3">
        <v>1977</v>
      </c>
      <c r="C6908" s="1" t="str">
        <f>HYPERLINK("http://www.uniprot.org/uniprot/SFH10_ARATH","SFH10_ARATH")</f>
        <v>SFH10_ARATH</v>
      </c>
      <c r="D6908" t="s">
        <v>5605</v>
      </c>
      <c r="E6908" s="3" t="s">
        <v>3</v>
      </c>
      <c r="F6908" s="4">
        <v>0</v>
      </c>
      <c r="G6908" s="3">
        <v>1716</v>
      </c>
      <c r="H6908" s="3">
        <v>65</v>
      </c>
      <c r="I6908" s="3">
        <v>519</v>
      </c>
      <c r="J6908" s="3">
        <v>227</v>
      </c>
      <c r="K6908" s="3">
        <v>1765</v>
      </c>
      <c r="L6908" s="3">
        <v>47</v>
      </c>
      <c r="M6908" s="3">
        <v>534</v>
      </c>
    </row>
    <row r="6909" spans="1:13" x14ac:dyDescent="0.25">
      <c r="A6909" s="1" t="str">
        <f>HYPERLINK("http://www.rosaceae.org/Prunus/Prunus_persica/p.persica_gdr_reftransV1_0048027","p.persica_gdr_reftransV1_0048027")</f>
        <v>p.persica_gdr_reftransV1_0048027</v>
      </c>
      <c r="B6909" s="3">
        <v>2758</v>
      </c>
      <c r="C6909" s="1" t="str">
        <f>HYPERLINK("http://www.uniprot.org/uniprot/BAMS_BETPL","BAMS_BETPL")</f>
        <v>BAMS_BETPL</v>
      </c>
      <c r="D6909" t="s">
        <v>4306</v>
      </c>
      <c r="E6909" s="3" t="s">
        <v>2061</v>
      </c>
      <c r="F6909" s="4">
        <v>0</v>
      </c>
      <c r="G6909" s="3">
        <v>3804</v>
      </c>
      <c r="H6909" s="3">
        <v>90</v>
      </c>
      <c r="I6909" s="3">
        <v>758</v>
      </c>
      <c r="J6909" s="3">
        <v>228</v>
      </c>
      <c r="K6909" s="3">
        <v>2501</v>
      </c>
      <c r="L6909" s="3">
        <v>1</v>
      </c>
      <c r="M6909" s="3">
        <v>758</v>
      </c>
    </row>
    <row r="6910" spans="1:13" x14ac:dyDescent="0.25">
      <c r="A6910" s="1" t="str">
        <f>HYPERLINK("http://www.rosaceae.org/Prunus/Prunus_persica/p.persica_gdr_reftransV1_0048077","p.persica_gdr_reftransV1_0048077")</f>
        <v>p.persica_gdr_reftransV1_0048077</v>
      </c>
      <c r="B6910" s="3">
        <v>2391</v>
      </c>
      <c r="C6910" s="1" t="str">
        <f>HYPERLINK("http://www.uniprot.org/uniprot/BH078_ARATH","BH078_ARATH")</f>
        <v>BH078_ARATH</v>
      </c>
      <c r="D6910" t="s">
        <v>4045</v>
      </c>
      <c r="E6910" s="3" t="s">
        <v>3</v>
      </c>
      <c r="F6910" s="4">
        <v>6.0099999999999997E-67</v>
      </c>
      <c r="G6910" s="3">
        <v>602</v>
      </c>
      <c r="H6910" s="3">
        <v>38</v>
      </c>
      <c r="I6910" s="3">
        <v>516</v>
      </c>
      <c r="J6910" s="3">
        <v>543</v>
      </c>
      <c r="K6910" s="3">
        <v>2024</v>
      </c>
      <c r="L6910" s="3">
        <v>84</v>
      </c>
      <c r="M6910" s="3">
        <v>498</v>
      </c>
    </row>
    <row r="6911" spans="1:13" x14ac:dyDescent="0.25">
      <c r="A6911" s="1" t="str">
        <f>HYPERLINK("http://www.rosaceae.org/Prunus/Prunus_persica/p.persica_gdr_reftransV1_0048127","p.persica_gdr_reftransV1_0048127")</f>
        <v>p.persica_gdr_reftransV1_0048127</v>
      </c>
      <c r="B6911" s="3">
        <v>1587</v>
      </c>
      <c r="C6911" s="1" t="str">
        <f>HYPERLINK("http://www.uniprot.org/uniprot/GLNA1_MEDSA","GLNA1_MEDSA")</f>
        <v>GLNA1_MEDSA</v>
      </c>
      <c r="D6911" t="s">
        <v>5606</v>
      </c>
      <c r="E6911" s="3" t="s">
        <v>515</v>
      </c>
      <c r="F6911" s="4">
        <v>0</v>
      </c>
      <c r="G6911" s="3">
        <v>1599</v>
      </c>
      <c r="H6911" s="3">
        <v>92</v>
      </c>
      <c r="I6911" s="3">
        <v>341</v>
      </c>
      <c r="J6911" s="3">
        <v>414</v>
      </c>
      <c r="K6911" s="3">
        <v>1436</v>
      </c>
      <c r="L6911" s="3">
        <v>16</v>
      </c>
      <c r="M6911" s="3">
        <v>356</v>
      </c>
    </row>
    <row r="6912" spans="1:13" x14ac:dyDescent="0.25">
      <c r="A6912" s="1" t="str">
        <f>HYPERLINK("http://www.rosaceae.org/Prunus/Prunus_persica/p.persica_gdr_reftransV1_0048177","p.persica_gdr_reftransV1_0048177")</f>
        <v>p.persica_gdr_reftransV1_0048177</v>
      </c>
      <c r="B6912" s="3">
        <v>2159</v>
      </c>
      <c r="C6912" s="1" t="str">
        <f>HYPERLINK("http://www.uniprot.org/uniprot/MPK12_ORYSJ","MPK12_ORYSJ")</f>
        <v>MPK12_ORYSJ</v>
      </c>
      <c r="D6912" t="s">
        <v>5112</v>
      </c>
      <c r="E6912" s="3" t="s">
        <v>38</v>
      </c>
      <c r="F6912" s="4">
        <v>0</v>
      </c>
      <c r="G6912" s="3">
        <v>1917</v>
      </c>
      <c r="H6912" s="3">
        <v>74</v>
      </c>
      <c r="I6912" s="3">
        <v>535</v>
      </c>
      <c r="J6912" s="3">
        <v>350</v>
      </c>
      <c r="K6912" s="3">
        <v>1948</v>
      </c>
      <c r="L6912" s="3">
        <v>31</v>
      </c>
      <c r="M6912" s="3">
        <v>557</v>
      </c>
    </row>
    <row r="6913" spans="1:13" x14ac:dyDescent="0.25">
      <c r="A6913" s="1" t="str">
        <f>HYPERLINK("http://www.rosaceae.org/Prunus/Prunus_persica/p.persica_gdr_reftransV1_0048277","p.persica_gdr_reftransV1_0048277")</f>
        <v>p.persica_gdr_reftransV1_0048277</v>
      </c>
      <c r="B6913" s="3">
        <v>1163</v>
      </c>
      <c r="C6913" s="1" t="str">
        <f>HYPERLINK("http://www.uniprot.org/uniprot/BI1L_ARATH","BI1L_ARATH")</f>
        <v>BI1L_ARATH</v>
      </c>
      <c r="D6913" t="s">
        <v>5607</v>
      </c>
      <c r="E6913" s="3" t="s">
        <v>3</v>
      </c>
      <c r="F6913" s="4">
        <v>2.4699999999999999E-108</v>
      </c>
      <c r="G6913" s="3">
        <v>834</v>
      </c>
      <c r="H6913" s="3">
        <v>69</v>
      </c>
      <c r="I6913" s="3">
        <v>256</v>
      </c>
      <c r="J6913" s="3">
        <v>280</v>
      </c>
      <c r="K6913" s="3">
        <v>1029</v>
      </c>
      <c r="L6913" s="3">
        <v>1</v>
      </c>
      <c r="M6913" s="3">
        <v>256</v>
      </c>
    </row>
    <row r="6914" spans="1:13" x14ac:dyDescent="0.25">
      <c r="A6914" s="1" t="str">
        <f>HYPERLINK("http://www.rosaceae.org/Prunus/Prunus_persica/p.persica_gdr_reftransV1_0048327","p.persica_gdr_reftransV1_0048327")</f>
        <v>p.persica_gdr_reftransV1_0048327</v>
      </c>
      <c r="B6914" s="3">
        <v>469</v>
      </c>
      <c r="C6914" s="1" t="str">
        <f>HYPERLINK("http://www.uniprot.org/uniprot/C3H49_ARATH","C3H49_ARATH")</f>
        <v>C3H49_ARATH</v>
      </c>
      <c r="D6914" t="s">
        <v>5608</v>
      </c>
      <c r="E6914" s="3" t="s">
        <v>3</v>
      </c>
      <c r="F6914" s="4">
        <v>1.8399999999999999E-27</v>
      </c>
      <c r="G6914" s="3">
        <v>272</v>
      </c>
      <c r="H6914" s="3">
        <v>51</v>
      </c>
      <c r="I6914" s="3">
        <v>122</v>
      </c>
      <c r="J6914" s="3">
        <v>120</v>
      </c>
      <c r="K6914" s="3">
        <v>467</v>
      </c>
      <c r="L6914" s="3">
        <v>1</v>
      </c>
      <c r="M6914" s="3">
        <v>106</v>
      </c>
    </row>
    <row r="6915" spans="1:13" x14ac:dyDescent="0.25">
      <c r="A6915" s="1" t="str">
        <f>HYPERLINK("http://www.rosaceae.org/Prunus/Prunus_persica/p.persica_gdr_reftransV1_0048377","p.persica_gdr_reftransV1_0048377")</f>
        <v>p.persica_gdr_reftransV1_0048377</v>
      </c>
      <c r="B6915" s="3">
        <v>3883</v>
      </c>
      <c r="C6915" s="1" t="str">
        <f>HYPERLINK("http://www.uniprot.org/uniprot/AHK4_ARATH","AHK4_ARATH")</f>
        <v>AHK4_ARATH</v>
      </c>
      <c r="D6915" t="s">
        <v>5609</v>
      </c>
      <c r="E6915" s="3" t="s">
        <v>3</v>
      </c>
      <c r="F6915" s="4">
        <v>0</v>
      </c>
      <c r="G6915" s="3">
        <v>3659</v>
      </c>
      <c r="H6915" s="3">
        <v>72</v>
      </c>
      <c r="I6915" s="3">
        <v>1009</v>
      </c>
      <c r="J6915" s="3">
        <v>384</v>
      </c>
      <c r="K6915" s="3">
        <v>3365</v>
      </c>
      <c r="L6915" s="3">
        <v>96</v>
      </c>
      <c r="M6915" s="3">
        <v>1079</v>
      </c>
    </row>
    <row r="6916" spans="1:13" x14ac:dyDescent="0.25">
      <c r="A6916" s="1" t="str">
        <f>HYPERLINK("http://www.rosaceae.org/Prunus/Prunus_persica/p.persica_gdr_reftransV1_0048427","p.persica_gdr_reftransV1_0048427")</f>
        <v>p.persica_gdr_reftransV1_0048427</v>
      </c>
      <c r="B6916" s="3">
        <v>1598</v>
      </c>
      <c r="C6916" s="1" t="str">
        <f>HYPERLINK("http://www.uniprot.org/uniprot/METK3_CATRO","METK3_CATRO")</f>
        <v>METK3_CATRO</v>
      </c>
      <c r="D6916" t="s">
        <v>5610</v>
      </c>
      <c r="E6916" s="3" t="s">
        <v>457</v>
      </c>
      <c r="F6916" s="4">
        <v>0</v>
      </c>
      <c r="G6916" s="3">
        <v>1872</v>
      </c>
      <c r="H6916" s="3">
        <v>92</v>
      </c>
      <c r="I6916" s="3">
        <v>389</v>
      </c>
      <c r="J6916" s="3">
        <v>59</v>
      </c>
      <c r="K6916" s="3">
        <v>1225</v>
      </c>
      <c r="L6916" s="3">
        <v>1</v>
      </c>
      <c r="M6916" s="3">
        <v>389</v>
      </c>
    </row>
    <row r="6917" spans="1:13" x14ac:dyDescent="0.25">
      <c r="A6917" s="1" t="str">
        <f>HYPERLINK("http://www.rosaceae.org/Prunus/Prunus_persica/p.persica_gdr_reftransV1_0048477","p.persica_gdr_reftransV1_0048477")</f>
        <v>p.persica_gdr_reftransV1_0048477</v>
      </c>
      <c r="B6917" s="3">
        <v>1724</v>
      </c>
      <c r="C6917" s="1" t="str">
        <f>HYPERLINK("http://www.uniprot.org/uniprot/E131_ARATH","E131_ARATH")</f>
        <v>E131_ARATH</v>
      </c>
      <c r="D6917" t="s">
        <v>4122</v>
      </c>
      <c r="E6917" s="3" t="s">
        <v>3</v>
      </c>
      <c r="F6917" s="4">
        <v>2.2499999999999998E-21</v>
      </c>
      <c r="G6917" s="3">
        <v>252</v>
      </c>
      <c r="H6917" s="3">
        <v>44</v>
      </c>
      <c r="I6917" s="3">
        <v>102</v>
      </c>
      <c r="J6917" s="3">
        <v>1147</v>
      </c>
      <c r="K6917" s="3">
        <v>1452</v>
      </c>
      <c r="L6917" s="3">
        <v>364</v>
      </c>
      <c r="M6917" s="3">
        <v>465</v>
      </c>
    </row>
    <row r="6918" spans="1:13" x14ac:dyDescent="0.25">
      <c r="A6918" s="1" t="str">
        <f>HYPERLINK("http://www.rosaceae.org/Prunus/Prunus_persica/p.persica_gdr_reftransV1_0048527","p.persica_gdr_reftransV1_0048527")</f>
        <v>p.persica_gdr_reftransV1_0048527</v>
      </c>
      <c r="B6918" s="3">
        <v>2474</v>
      </c>
      <c r="C6918" s="1" t="str">
        <f>HYPERLINK("http://www.uniprot.org/uniprot/SCAI_HUMAN","SCAI_HUMAN")</f>
        <v>SCAI_HUMAN</v>
      </c>
      <c r="D6918" t="s">
        <v>401</v>
      </c>
      <c r="E6918" s="3" t="s">
        <v>28</v>
      </c>
      <c r="F6918" s="4">
        <v>1.5499999999999999E-66</v>
      </c>
      <c r="G6918" s="3">
        <v>607</v>
      </c>
      <c r="H6918" s="3">
        <v>33</v>
      </c>
      <c r="I6918" s="3">
        <v>491</v>
      </c>
      <c r="J6918" s="3">
        <v>190</v>
      </c>
      <c r="K6918" s="3">
        <v>1641</v>
      </c>
      <c r="L6918" s="3">
        <v>62</v>
      </c>
      <c r="M6918" s="3">
        <v>494</v>
      </c>
    </row>
    <row r="6919" spans="1:13" x14ac:dyDescent="0.25">
      <c r="A6919" s="1" t="str">
        <f>HYPERLINK("http://www.rosaceae.org/Prunus/Prunus_persica/p.persica_gdr_reftransV1_0048627","p.persica_gdr_reftransV1_0048627")</f>
        <v>p.persica_gdr_reftransV1_0048627</v>
      </c>
      <c r="B6919" s="3">
        <v>428</v>
      </c>
      <c r="C6919" s="1" t="str">
        <f>HYPERLINK("http://www.uniprot.org/uniprot/MDN1_HUMAN","MDN1_HUMAN")</f>
        <v>MDN1_HUMAN</v>
      </c>
      <c r="D6919" t="s">
        <v>5611</v>
      </c>
      <c r="E6919" s="3" t="s">
        <v>28</v>
      </c>
      <c r="F6919" s="4">
        <v>8.2700000000000002E-37</v>
      </c>
      <c r="G6919" s="3">
        <v>352</v>
      </c>
      <c r="H6919" s="3">
        <v>48</v>
      </c>
      <c r="I6919" s="3">
        <v>132</v>
      </c>
      <c r="J6919" s="3">
        <v>20</v>
      </c>
      <c r="K6919" s="3">
        <v>415</v>
      </c>
      <c r="L6919" s="3">
        <v>810</v>
      </c>
      <c r="M6919" s="3">
        <v>941</v>
      </c>
    </row>
    <row r="6920" spans="1:13" x14ac:dyDescent="0.25">
      <c r="A6920" s="1" t="str">
        <f>HYPERLINK("http://www.rosaceae.org/Prunus/Prunus_persica/p.persica_gdr_reftransV1_0048677","p.persica_gdr_reftransV1_0048677")</f>
        <v>p.persica_gdr_reftransV1_0048677</v>
      </c>
      <c r="B6920" s="3">
        <v>1858</v>
      </c>
      <c r="C6920" s="1" t="str">
        <f>HYPERLINK("http://www.uniprot.org/uniprot/COPG2_ORYSJ","COPG2_ORYSJ")</f>
        <v>COPG2_ORYSJ</v>
      </c>
      <c r="D6920" t="s">
        <v>5612</v>
      </c>
      <c r="E6920" s="3" t="s">
        <v>38</v>
      </c>
      <c r="F6920" s="4">
        <v>1.03E-128</v>
      </c>
      <c r="G6920" s="3">
        <v>1045</v>
      </c>
      <c r="H6920" s="3">
        <v>78</v>
      </c>
      <c r="I6920" s="3">
        <v>270</v>
      </c>
      <c r="J6920" s="3">
        <v>514</v>
      </c>
      <c r="K6920" s="3">
        <v>1320</v>
      </c>
      <c r="L6920" s="3">
        <v>620</v>
      </c>
      <c r="M6920" s="3">
        <v>889</v>
      </c>
    </row>
    <row r="6921" spans="1:13" x14ac:dyDescent="0.25">
      <c r="A6921" s="1" t="str">
        <f>HYPERLINK("http://www.rosaceae.org/Prunus/Prunus_persica/p.persica_gdr_reftransV1_0048727","p.persica_gdr_reftransV1_0048727")</f>
        <v>p.persica_gdr_reftransV1_0048727</v>
      </c>
      <c r="B6921" s="3">
        <v>3196</v>
      </c>
      <c r="C6921" s="1" t="str">
        <f>HYPERLINK("http://www.uniprot.org/uniprot/Y1677_ARATH","Y1677_ARATH")</f>
        <v>Y1677_ARATH</v>
      </c>
      <c r="D6921" t="s">
        <v>5613</v>
      </c>
      <c r="E6921" s="3" t="s">
        <v>3</v>
      </c>
      <c r="F6921" s="4">
        <v>0</v>
      </c>
      <c r="G6921" s="3">
        <v>3218</v>
      </c>
      <c r="H6921" s="3">
        <v>69</v>
      </c>
      <c r="I6921" s="3">
        <v>926</v>
      </c>
      <c r="J6921" s="3">
        <v>301</v>
      </c>
      <c r="K6921" s="3">
        <v>3063</v>
      </c>
      <c r="L6921" s="3">
        <v>10</v>
      </c>
      <c r="M6921" s="3">
        <v>929</v>
      </c>
    </row>
    <row r="6922" spans="1:13" x14ac:dyDescent="0.25">
      <c r="A6922" s="1" t="str">
        <f>HYPERLINK("http://www.rosaceae.org/Prunus/Prunus_persica/p.persica_gdr_reftransV1_0048827","p.persica_gdr_reftransV1_0048827")</f>
        <v>p.persica_gdr_reftransV1_0048827</v>
      </c>
      <c r="B6922" s="3">
        <v>1980</v>
      </c>
      <c r="C6922" s="1" t="str">
        <f>HYPERLINK("http://www.uniprot.org/uniprot/BRAP_HUMAN","BRAP_HUMAN")</f>
        <v>BRAP_HUMAN</v>
      </c>
      <c r="D6922" t="s">
        <v>5405</v>
      </c>
      <c r="E6922" s="3" t="s">
        <v>28</v>
      </c>
      <c r="F6922" s="4">
        <v>2.45E-95</v>
      </c>
      <c r="G6922" s="3">
        <v>799</v>
      </c>
      <c r="H6922" s="3">
        <v>38</v>
      </c>
      <c r="I6922" s="3">
        <v>455</v>
      </c>
      <c r="J6922" s="3">
        <v>195</v>
      </c>
      <c r="K6922" s="3">
        <v>1463</v>
      </c>
      <c r="L6922" s="3">
        <v>128</v>
      </c>
      <c r="M6922" s="3">
        <v>560</v>
      </c>
    </row>
    <row r="6923" spans="1:13" x14ac:dyDescent="0.25">
      <c r="A6923" s="1" t="str">
        <f>HYPERLINK("http://www.rosaceae.org/Prunus/Prunus_persica/p.persica_gdr_reftransV1_0048877","p.persica_gdr_reftransV1_0048877")</f>
        <v>p.persica_gdr_reftransV1_0048877</v>
      </c>
      <c r="B6923" s="3">
        <v>937</v>
      </c>
      <c r="C6923" s="1" t="str">
        <f>HYPERLINK("http://www.uniprot.org/uniprot/YDR2_SCHPO","YDR2_SCHPO")</f>
        <v>YDR2_SCHPO</v>
      </c>
      <c r="D6923" t="s">
        <v>5614</v>
      </c>
      <c r="E6923" s="3" t="s">
        <v>464</v>
      </c>
      <c r="F6923" s="4">
        <v>2.3499999999999998E-25</v>
      </c>
      <c r="G6923" s="3">
        <v>263</v>
      </c>
      <c r="H6923" s="3">
        <v>37</v>
      </c>
      <c r="I6923" s="3">
        <v>187</v>
      </c>
      <c r="J6923" s="3">
        <v>187</v>
      </c>
      <c r="K6923" s="3">
        <v>717</v>
      </c>
      <c r="L6923" s="3">
        <v>4</v>
      </c>
      <c r="M6923" s="3">
        <v>169</v>
      </c>
    </row>
    <row r="6924" spans="1:13" x14ac:dyDescent="0.25">
      <c r="A6924" s="1" t="str">
        <f>HYPERLINK("http://www.rosaceae.org/Prunus/Prunus_persica/p.persica_gdr_reftransV1_0049027","p.persica_gdr_reftransV1_0049027")</f>
        <v>p.persica_gdr_reftransV1_0049027</v>
      </c>
      <c r="B6924" s="3">
        <v>2096</v>
      </c>
      <c r="C6924" s="1" t="str">
        <f>HYPERLINK("http://www.uniprot.org/uniprot/PDI16_ARATH","PDI16_ARATH")</f>
        <v>PDI16_ARATH</v>
      </c>
      <c r="D6924" t="s">
        <v>5615</v>
      </c>
      <c r="E6924" s="3" t="s">
        <v>3</v>
      </c>
      <c r="F6924" s="4">
        <v>0</v>
      </c>
      <c r="G6924" s="3">
        <v>1685</v>
      </c>
      <c r="H6924" s="3">
        <v>66</v>
      </c>
      <c r="I6924" s="3">
        <v>464</v>
      </c>
      <c r="J6924" s="3">
        <v>359</v>
      </c>
      <c r="K6924" s="3">
        <v>1747</v>
      </c>
      <c r="L6924" s="3">
        <v>70</v>
      </c>
      <c r="M6924" s="3">
        <v>533</v>
      </c>
    </row>
    <row r="6925" spans="1:13" x14ac:dyDescent="0.25">
      <c r="A6925" s="1" t="str">
        <f>HYPERLINK("http://www.rosaceae.org/Prunus/Prunus_persica/p.persica_gdr_reftransV1_0049077","p.persica_gdr_reftransV1_0049077")</f>
        <v>p.persica_gdr_reftransV1_0049077</v>
      </c>
      <c r="B6925" s="3">
        <v>1694</v>
      </c>
      <c r="C6925" s="1" t="str">
        <f>HYPERLINK("http://www.uniprot.org/uniprot/PER42_ARATH","PER42_ARATH")</f>
        <v>PER42_ARATH</v>
      </c>
      <c r="D6925" t="s">
        <v>5616</v>
      </c>
      <c r="E6925" s="3" t="s">
        <v>3</v>
      </c>
      <c r="F6925" s="4">
        <v>0</v>
      </c>
      <c r="G6925" s="3">
        <v>1368</v>
      </c>
      <c r="H6925" s="3">
        <v>83</v>
      </c>
      <c r="I6925" s="3">
        <v>306</v>
      </c>
      <c r="J6925" s="3">
        <v>343</v>
      </c>
      <c r="K6925" s="3">
        <v>1260</v>
      </c>
      <c r="L6925" s="3">
        <v>25</v>
      </c>
      <c r="M6925" s="3">
        <v>330</v>
      </c>
    </row>
    <row r="6926" spans="1:13" x14ac:dyDescent="0.25">
      <c r="A6926" s="1" t="str">
        <f>HYPERLINK("http://www.rosaceae.org/Prunus/Prunus_persica/p.persica_gdr_reftransV1_0049177","p.persica_gdr_reftransV1_0049177")</f>
        <v>p.persica_gdr_reftransV1_0049177</v>
      </c>
      <c r="B6926" s="3">
        <v>1856</v>
      </c>
      <c r="C6926" s="1" t="str">
        <f>HYPERLINK("http://www.uniprot.org/uniprot/CARA_ARATH","CARA_ARATH")</f>
        <v>CARA_ARATH</v>
      </c>
      <c r="D6926" t="s">
        <v>3582</v>
      </c>
      <c r="E6926" s="3" t="s">
        <v>3</v>
      </c>
      <c r="F6926" s="4">
        <v>0</v>
      </c>
      <c r="G6926" s="3">
        <v>1747</v>
      </c>
      <c r="H6926" s="3">
        <v>75</v>
      </c>
      <c r="I6926" s="3">
        <v>429</v>
      </c>
      <c r="J6926" s="3">
        <v>363</v>
      </c>
      <c r="K6926" s="3">
        <v>1634</v>
      </c>
      <c r="L6926" s="3">
        <v>1</v>
      </c>
      <c r="M6926" s="3">
        <v>427</v>
      </c>
    </row>
    <row r="6927" spans="1:13" x14ac:dyDescent="0.25">
      <c r="A6927" s="1" t="str">
        <f>HYPERLINK("http://www.rosaceae.org/Prunus/Prunus_persica/p.persica_gdr_reftransV1_0000028","p.persica_gdr_reftransV1_0000028")</f>
        <v>p.persica_gdr_reftransV1_0000028</v>
      </c>
      <c r="B6927" s="3">
        <v>1216</v>
      </c>
      <c r="C6927" s="1" t="str">
        <f>HYPERLINK("http://www.uniprot.org/uniprot/OCS1_MAIZE","OCS1_MAIZE")</f>
        <v>OCS1_MAIZE</v>
      </c>
      <c r="D6927" t="s">
        <v>2396</v>
      </c>
      <c r="E6927" s="3" t="s">
        <v>72</v>
      </c>
      <c r="F6927" s="4">
        <v>9.71E-16</v>
      </c>
      <c r="G6927" s="3">
        <v>191</v>
      </c>
      <c r="H6927" s="3">
        <v>39</v>
      </c>
      <c r="I6927" s="3">
        <v>110</v>
      </c>
      <c r="J6927" s="3">
        <v>316</v>
      </c>
      <c r="K6927" s="3">
        <v>642</v>
      </c>
      <c r="L6927" s="3">
        <v>26</v>
      </c>
      <c r="M6927" s="3">
        <v>132</v>
      </c>
    </row>
    <row r="6928" spans="1:13" x14ac:dyDescent="0.25">
      <c r="A6928" s="1" t="str">
        <f>HYPERLINK("http://www.rosaceae.org/Prunus/Prunus_persica/p.persica_gdr_reftransV1_0000078","p.persica_gdr_reftransV1_0000078")</f>
        <v>p.persica_gdr_reftransV1_0000078</v>
      </c>
      <c r="B6928" s="3">
        <v>1721</v>
      </c>
      <c r="C6928" s="1" t="str">
        <f>HYPERLINK("http://www.uniprot.org/uniprot/PABP8_ARATH","PABP8_ARATH")</f>
        <v>PABP8_ARATH</v>
      </c>
      <c r="D6928" t="s">
        <v>4238</v>
      </c>
      <c r="E6928" s="3" t="s">
        <v>3</v>
      </c>
      <c r="F6928" s="4">
        <v>0</v>
      </c>
      <c r="G6928" s="3">
        <v>1690</v>
      </c>
      <c r="H6928" s="3">
        <v>78</v>
      </c>
      <c r="I6928" s="3">
        <v>392</v>
      </c>
      <c r="J6928" s="3">
        <v>20</v>
      </c>
      <c r="K6928" s="3">
        <v>1195</v>
      </c>
      <c r="L6928" s="3">
        <v>44</v>
      </c>
      <c r="M6928" s="3">
        <v>435</v>
      </c>
    </row>
    <row r="6929" spans="1:13" x14ac:dyDescent="0.25">
      <c r="A6929" s="1" t="str">
        <f>HYPERLINK("http://www.rosaceae.org/Prunus/Prunus_persica/p.persica_gdr_reftransV1_0000128","p.persica_gdr_reftransV1_0000128")</f>
        <v>p.persica_gdr_reftransV1_0000128</v>
      </c>
      <c r="B6929" s="3">
        <v>3086</v>
      </c>
      <c r="C6929" s="1" t="str">
        <f>HYPERLINK("http://www.uniprot.org/uniprot/PP380_ARATH","PP380_ARATH")</f>
        <v>PP380_ARATH</v>
      </c>
      <c r="D6929" t="s">
        <v>5617</v>
      </c>
      <c r="E6929" s="3" t="s">
        <v>3</v>
      </c>
      <c r="F6929" s="4">
        <v>0</v>
      </c>
      <c r="G6929" s="3">
        <v>1628</v>
      </c>
      <c r="H6929" s="3">
        <v>51</v>
      </c>
      <c r="I6929" s="3">
        <v>605</v>
      </c>
      <c r="J6929" s="3">
        <v>1355</v>
      </c>
      <c r="K6929" s="3">
        <v>3052</v>
      </c>
      <c r="L6929" s="3">
        <v>4</v>
      </c>
      <c r="M6929" s="3">
        <v>607</v>
      </c>
    </row>
    <row r="6930" spans="1:13" x14ac:dyDescent="0.25">
      <c r="A6930" s="1" t="str">
        <f>HYPERLINK("http://www.rosaceae.org/Prunus/Prunus_persica/p.persica_gdr_reftransV1_0000378","p.persica_gdr_reftransV1_0000378")</f>
        <v>p.persica_gdr_reftransV1_0000378</v>
      </c>
      <c r="B6930" s="3">
        <v>502</v>
      </c>
      <c r="C6930" s="1" t="str">
        <f>HYPERLINK("http://www.uniprot.org/uniprot/UVR3_ARATH","UVR3_ARATH")</f>
        <v>UVR3_ARATH</v>
      </c>
      <c r="D6930" t="s">
        <v>5618</v>
      </c>
      <c r="E6930" s="3" t="s">
        <v>3</v>
      </c>
      <c r="F6930" s="4">
        <v>1.3E-58</v>
      </c>
      <c r="G6930" s="3">
        <v>501</v>
      </c>
      <c r="H6930" s="3">
        <v>79</v>
      </c>
      <c r="I6930" s="3">
        <v>126</v>
      </c>
      <c r="J6930" s="3">
        <v>1</v>
      </c>
      <c r="K6930" s="3">
        <v>378</v>
      </c>
      <c r="L6930" s="3">
        <v>16</v>
      </c>
      <c r="M6930" s="3">
        <v>141</v>
      </c>
    </row>
    <row r="6931" spans="1:13" x14ac:dyDescent="0.25">
      <c r="A6931" s="1" t="str">
        <f>HYPERLINK("http://www.rosaceae.org/Prunus/Prunus_persica/p.persica_gdr_reftransV1_0000428","p.persica_gdr_reftransV1_0000428")</f>
        <v>p.persica_gdr_reftransV1_0000428</v>
      </c>
      <c r="B6931" s="3">
        <v>678</v>
      </c>
      <c r="C6931" s="1" t="str">
        <f>HYPERLINK("http://www.uniprot.org/uniprot/AB11G_ARATH","AB11G_ARATH")</f>
        <v>AB11G_ARATH</v>
      </c>
      <c r="D6931" t="s">
        <v>5619</v>
      </c>
      <c r="E6931" s="3" t="s">
        <v>3</v>
      </c>
      <c r="F6931" s="4">
        <v>2.5000000000000001E-34</v>
      </c>
      <c r="G6931" s="3">
        <v>336</v>
      </c>
      <c r="H6931" s="3">
        <v>68</v>
      </c>
      <c r="I6931" s="3">
        <v>101</v>
      </c>
      <c r="J6931" s="3">
        <v>2</v>
      </c>
      <c r="K6931" s="3">
        <v>280</v>
      </c>
      <c r="L6931" s="3">
        <v>1</v>
      </c>
      <c r="M6931" s="3">
        <v>101</v>
      </c>
    </row>
    <row r="6932" spans="1:13" x14ac:dyDescent="0.25">
      <c r="A6932" s="1" t="str">
        <f>HYPERLINK("http://www.rosaceae.org/Prunus/Prunus_persica/p.persica_gdr_reftransV1_0000478","p.persica_gdr_reftransV1_0000478")</f>
        <v>p.persica_gdr_reftransV1_0000478</v>
      </c>
      <c r="B6932" s="3">
        <v>3561</v>
      </c>
      <c r="C6932" s="1" t="str">
        <f>HYPERLINK("http://www.uniprot.org/uniprot/THRC_SOLTU","THRC_SOLTU")</f>
        <v>THRC_SOLTU</v>
      </c>
      <c r="D6932" t="s">
        <v>1628</v>
      </c>
      <c r="E6932" s="3" t="s">
        <v>11</v>
      </c>
      <c r="F6932" s="4">
        <v>0</v>
      </c>
      <c r="G6932" s="3">
        <v>2106</v>
      </c>
      <c r="H6932" s="3">
        <v>87</v>
      </c>
      <c r="I6932" s="3">
        <v>469</v>
      </c>
      <c r="J6932" s="3">
        <v>314</v>
      </c>
      <c r="K6932" s="3">
        <v>1720</v>
      </c>
      <c r="L6932" s="3">
        <v>58</v>
      </c>
      <c r="M6932" s="3">
        <v>518</v>
      </c>
    </row>
    <row r="6933" spans="1:13" x14ac:dyDescent="0.25">
      <c r="A6933" s="1" t="str">
        <f>HYPERLINK("http://www.rosaceae.org/Prunus/Prunus_persica/p.persica_gdr_reftransV1_0000578","p.persica_gdr_reftransV1_0000578")</f>
        <v>p.persica_gdr_reftransV1_0000578</v>
      </c>
      <c r="B6933" s="3">
        <v>2093</v>
      </c>
      <c r="C6933" s="1" t="str">
        <f>HYPERLINK("http://www.uniprot.org/uniprot/PMTN_ARATH","PMTN_ARATH")</f>
        <v>PMTN_ARATH</v>
      </c>
      <c r="D6933" t="s">
        <v>5620</v>
      </c>
      <c r="E6933" s="3" t="s">
        <v>3</v>
      </c>
      <c r="F6933" s="4">
        <v>0</v>
      </c>
      <c r="G6933" s="3">
        <v>1966</v>
      </c>
      <c r="H6933" s="3">
        <v>70</v>
      </c>
      <c r="I6933" s="3">
        <v>512</v>
      </c>
      <c r="J6933" s="3">
        <v>323</v>
      </c>
      <c r="K6933" s="3">
        <v>1846</v>
      </c>
      <c r="L6933" s="3">
        <v>78</v>
      </c>
      <c r="M6933" s="3">
        <v>585</v>
      </c>
    </row>
    <row r="6934" spans="1:13" x14ac:dyDescent="0.25">
      <c r="A6934" s="1" t="str">
        <f>HYPERLINK("http://www.rosaceae.org/Prunus/Prunus_persica/p.persica_gdr_reftransV1_0000678","p.persica_gdr_reftransV1_0000678")</f>
        <v>p.persica_gdr_reftransV1_0000678</v>
      </c>
      <c r="B6934" s="3">
        <v>3399</v>
      </c>
      <c r="C6934" s="1" t="str">
        <f>HYPERLINK("http://www.uniprot.org/uniprot/SPSA4_ARATH","SPSA4_ARATH")</f>
        <v>SPSA4_ARATH</v>
      </c>
      <c r="D6934" t="s">
        <v>5621</v>
      </c>
      <c r="E6934" s="3" t="s">
        <v>3</v>
      </c>
      <c r="F6934" s="4">
        <v>0</v>
      </c>
      <c r="G6934" s="3">
        <v>3614</v>
      </c>
      <c r="H6934" s="3">
        <v>71</v>
      </c>
      <c r="I6934" s="3">
        <v>1050</v>
      </c>
      <c r="J6934" s="3">
        <v>193</v>
      </c>
      <c r="K6934" s="3">
        <v>3261</v>
      </c>
      <c r="L6934" s="3">
        <v>1</v>
      </c>
      <c r="M6934" s="3">
        <v>1050</v>
      </c>
    </row>
    <row r="6935" spans="1:13" x14ac:dyDescent="0.25">
      <c r="A6935" s="1" t="str">
        <f>HYPERLINK("http://www.rosaceae.org/Prunus/Prunus_persica/p.persica_gdr_reftransV1_0000778","p.persica_gdr_reftransV1_0000778")</f>
        <v>p.persica_gdr_reftransV1_0000778</v>
      </c>
      <c r="B6935" s="3">
        <v>1563</v>
      </c>
      <c r="C6935" s="1" t="str">
        <f>HYPERLINK("http://www.uniprot.org/uniprot/GDIR_ARATH","GDIR_ARATH")</f>
        <v>GDIR_ARATH</v>
      </c>
      <c r="D6935" t="s">
        <v>838</v>
      </c>
      <c r="E6935" s="3" t="s">
        <v>3</v>
      </c>
      <c r="F6935" s="4">
        <v>1.6400000000000001E-98</v>
      </c>
      <c r="G6935" s="3">
        <v>779</v>
      </c>
      <c r="H6935" s="3">
        <v>78</v>
      </c>
      <c r="I6935" s="3">
        <v>178</v>
      </c>
      <c r="J6935" s="3">
        <v>244</v>
      </c>
      <c r="K6935" s="3">
        <v>777</v>
      </c>
      <c r="L6935" s="3">
        <v>60</v>
      </c>
      <c r="M6935" s="3">
        <v>237</v>
      </c>
    </row>
    <row r="6936" spans="1:13" x14ac:dyDescent="0.25">
      <c r="A6936" s="1" t="str">
        <f>HYPERLINK("http://www.rosaceae.org/Prunus/Prunus_persica/p.persica_gdr_reftransV1_0000878","p.persica_gdr_reftransV1_0000878")</f>
        <v>p.persica_gdr_reftransV1_0000878</v>
      </c>
      <c r="B6936" s="3">
        <v>907</v>
      </c>
      <c r="C6936" s="1" t="str">
        <f>HYPERLINK("http://www.uniprot.org/uniprot/BZP43_ARATH","BZP43_ARATH")</f>
        <v>BZP43_ARATH</v>
      </c>
      <c r="D6936" t="s">
        <v>5198</v>
      </c>
      <c r="E6936" s="3" t="s">
        <v>3</v>
      </c>
      <c r="F6936" s="4">
        <v>8.2900000000000006E-28</v>
      </c>
      <c r="G6936" s="3">
        <v>276</v>
      </c>
      <c r="H6936" s="3">
        <v>56</v>
      </c>
      <c r="I6936" s="3">
        <v>100</v>
      </c>
      <c r="J6936" s="3">
        <v>307</v>
      </c>
      <c r="K6936" s="3">
        <v>600</v>
      </c>
      <c r="L6936" s="3">
        <v>59</v>
      </c>
      <c r="M6936" s="3">
        <v>157</v>
      </c>
    </row>
    <row r="6937" spans="1:13" x14ac:dyDescent="0.25">
      <c r="A6937" s="1" t="str">
        <f>HYPERLINK("http://www.rosaceae.org/Prunus/Prunus_persica/p.persica_gdr_reftransV1_0001028","p.persica_gdr_reftransV1_0001028")</f>
        <v>p.persica_gdr_reftransV1_0001028</v>
      </c>
      <c r="B6937" s="3">
        <v>335</v>
      </c>
      <c r="C6937" s="1" t="str">
        <f>HYPERLINK("http://www.uniprot.org/uniprot/HS901_ARATH","HS901_ARATH")</f>
        <v>HS901_ARATH</v>
      </c>
      <c r="D6937" t="s">
        <v>4376</v>
      </c>
      <c r="E6937" s="3" t="s">
        <v>3</v>
      </c>
      <c r="F6937" s="4">
        <v>4.02E-57</v>
      </c>
      <c r="G6937" s="3">
        <v>488</v>
      </c>
      <c r="H6937" s="3">
        <v>88</v>
      </c>
      <c r="I6937" s="3">
        <v>107</v>
      </c>
      <c r="J6937" s="3">
        <v>13</v>
      </c>
      <c r="K6937" s="3">
        <v>333</v>
      </c>
      <c r="L6937" s="3">
        <v>1</v>
      </c>
      <c r="M6937" s="3">
        <v>107</v>
      </c>
    </row>
    <row r="6938" spans="1:13" x14ac:dyDescent="0.25">
      <c r="A6938" s="1" t="str">
        <f>HYPERLINK("http://www.rosaceae.org/Prunus/Prunus_persica/p.persica_gdr_reftransV1_0001078","p.persica_gdr_reftransV1_0001078")</f>
        <v>p.persica_gdr_reftransV1_0001078</v>
      </c>
      <c r="B6938" s="3">
        <v>1851</v>
      </c>
      <c r="C6938" s="1" t="str">
        <f>HYPERLINK("http://www.uniprot.org/uniprot/RFS2_ARATH","RFS2_ARATH")</f>
        <v>RFS2_ARATH</v>
      </c>
      <c r="D6938" t="s">
        <v>5622</v>
      </c>
      <c r="E6938" s="3" t="s">
        <v>3</v>
      </c>
      <c r="F6938" s="4">
        <v>1.7199999999999999E-87</v>
      </c>
      <c r="G6938" s="3">
        <v>358</v>
      </c>
      <c r="H6938" s="3">
        <v>34</v>
      </c>
      <c r="I6938" s="3">
        <v>302</v>
      </c>
      <c r="J6938" s="3">
        <v>1063</v>
      </c>
      <c r="K6938" s="3">
        <v>1779</v>
      </c>
      <c r="L6938" s="3">
        <v>8</v>
      </c>
      <c r="M6938" s="3">
        <v>300</v>
      </c>
    </row>
    <row r="6939" spans="1:13" x14ac:dyDescent="0.25">
      <c r="A6939" s="1" t="str">
        <f>HYPERLINK("http://www.rosaceae.org/Prunus/Prunus_persica/p.persica_gdr_reftransV1_0001178","p.persica_gdr_reftransV1_0001178")</f>
        <v>p.persica_gdr_reftransV1_0001178</v>
      </c>
      <c r="B6939" s="3">
        <v>862</v>
      </c>
      <c r="C6939" s="1" t="str">
        <f>HYPERLINK("http://www.uniprot.org/uniprot/SF3B6_ARATH","SF3B6_ARATH")</f>
        <v>SF3B6_ARATH</v>
      </c>
      <c r="D6939" t="s">
        <v>186</v>
      </c>
      <c r="E6939" s="3" t="s">
        <v>3</v>
      </c>
      <c r="F6939" s="4">
        <v>1.07E-66</v>
      </c>
      <c r="G6939" s="3">
        <v>535</v>
      </c>
      <c r="H6939" s="3">
        <v>89</v>
      </c>
      <c r="I6939" s="3">
        <v>124</v>
      </c>
      <c r="J6939" s="3">
        <v>354</v>
      </c>
      <c r="K6939" s="3">
        <v>725</v>
      </c>
      <c r="L6939" s="3">
        <v>1</v>
      </c>
      <c r="M6939" s="3">
        <v>124</v>
      </c>
    </row>
    <row r="6940" spans="1:13" x14ac:dyDescent="0.25">
      <c r="A6940" s="1" t="str">
        <f>HYPERLINK("http://www.rosaceae.org/Prunus/Prunus_persica/p.persica_gdr_reftransV1_0001228","p.persica_gdr_reftransV1_0001228")</f>
        <v>p.persica_gdr_reftransV1_0001228</v>
      </c>
      <c r="B6940" s="3">
        <v>2546</v>
      </c>
      <c r="C6940" s="1" t="str">
        <f>HYPERLINK("http://www.uniprot.org/uniprot/RPN2_ARATH","RPN2_ARATH")</f>
        <v>RPN2_ARATH</v>
      </c>
      <c r="D6940" t="s">
        <v>5623</v>
      </c>
      <c r="E6940" s="3" t="s">
        <v>3</v>
      </c>
      <c r="F6940" s="4">
        <v>0</v>
      </c>
      <c r="G6940" s="3">
        <v>2168</v>
      </c>
      <c r="H6940" s="3">
        <v>66</v>
      </c>
      <c r="I6940" s="3">
        <v>682</v>
      </c>
      <c r="J6940" s="3">
        <v>378</v>
      </c>
      <c r="K6940" s="3">
        <v>2420</v>
      </c>
      <c r="L6940" s="3">
        <v>2</v>
      </c>
      <c r="M6940" s="3">
        <v>680</v>
      </c>
    </row>
    <row r="6941" spans="1:13" x14ac:dyDescent="0.25">
      <c r="A6941" s="1" t="str">
        <f>HYPERLINK("http://www.rosaceae.org/Prunus/Prunus_persica/p.persica_gdr_reftransV1_0001328","p.persica_gdr_reftransV1_0001328")</f>
        <v>p.persica_gdr_reftransV1_0001328</v>
      </c>
      <c r="B6941" s="3">
        <v>1917</v>
      </c>
      <c r="C6941" s="1" t="str">
        <f>HYPERLINK("http://www.uniprot.org/uniprot/HMG13_ARATH","HMG13_ARATH")</f>
        <v>HMG13_ARATH</v>
      </c>
      <c r="D6941" t="s">
        <v>5624</v>
      </c>
      <c r="E6941" s="3" t="s">
        <v>3</v>
      </c>
      <c r="F6941" s="4">
        <v>1.7999999999999999E-90</v>
      </c>
      <c r="G6941" s="3">
        <v>753</v>
      </c>
      <c r="H6941" s="3">
        <v>64</v>
      </c>
      <c r="I6941" s="3">
        <v>349</v>
      </c>
      <c r="J6941" s="3">
        <v>252</v>
      </c>
      <c r="K6941" s="3">
        <v>1271</v>
      </c>
      <c r="L6941" s="3">
        <v>100</v>
      </c>
      <c r="M6941" s="3">
        <v>446</v>
      </c>
    </row>
    <row r="6942" spans="1:13" x14ac:dyDescent="0.25">
      <c r="A6942" s="1" t="str">
        <f>HYPERLINK("http://www.rosaceae.org/Prunus/Prunus_persica/p.persica_gdr_reftransV1_0001478","p.persica_gdr_reftransV1_0001478")</f>
        <v>p.persica_gdr_reftransV1_0001478</v>
      </c>
      <c r="B6942" s="3">
        <v>2243</v>
      </c>
      <c r="C6942" s="1" t="str">
        <f>HYPERLINK("http://www.uniprot.org/uniprot/4CLL5_ARATH","4CLL5_ARATH")</f>
        <v>4CLL5_ARATH</v>
      </c>
      <c r="D6942" t="s">
        <v>5625</v>
      </c>
      <c r="E6942" s="3" t="s">
        <v>3</v>
      </c>
      <c r="F6942" s="4">
        <v>0</v>
      </c>
      <c r="G6942" s="3">
        <v>2096</v>
      </c>
      <c r="H6942" s="3">
        <v>73</v>
      </c>
      <c r="I6942" s="3">
        <v>553</v>
      </c>
      <c r="J6942" s="3">
        <v>175</v>
      </c>
      <c r="K6942" s="3">
        <v>1833</v>
      </c>
      <c r="L6942" s="3">
        <v>2</v>
      </c>
      <c r="M6942" s="3">
        <v>541</v>
      </c>
    </row>
    <row r="6943" spans="1:13" x14ac:dyDescent="0.25">
      <c r="A6943" s="1" t="str">
        <f>HYPERLINK("http://www.rosaceae.org/Prunus/Prunus_persica/p.persica_gdr_reftransV1_0001528","p.persica_gdr_reftransV1_0001528")</f>
        <v>p.persica_gdr_reftransV1_0001528</v>
      </c>
      <c r="B6943" s="3">
        <v>1496</v>
      </c>
      <c r="C6943" s="1" t="str">
        <f>HYPERLINK("http://www.uniprot.org/uniprot/AHL20_ARATH","AHL20_ARATH")</f>
        <v>AHL20_ARATH</v>
      </c>
      <c r="D6943" t="s">
        <v>5626</v>
      </c>
      <c r="E6943" s="3" t="s">
        <v>3</v>
      </c>
      <c r="F6943" s="4">
        <v>7.2000000000000004E-69</v>
      </c>
      <c r="G6943" s="3">
        <v>581</v>
      </c>
      <c r="H6943" s="3">
        <v>57</v>
      </c>
      <c r="I6943" s="3">
        <v>309</v>
      </c>
      <c r="J6943" s="3">
        <v>249</v>
      </c>
      <c r="K6943" s="3">
        <v>1145</v>
      </c>
      <c r="L6943" s="3">
        <v>1</v>
      </c>
      <c r="M6943" s="3">
        <v>281</v>
      </c>
    </row>
    <row r="6944" spans="1:13" x14ac:dyDescent="0.25">
      <c r="A6944" s="1" t="str">
        <f>HYPERLINK("http://www.rosaceae.org/Prunus/Prunus_persica/p.persica_gdr_reftransV1_0001678","p.persica_gdr_reftransV1_0001678")</f>
        <v>p.persica_gdr_reftransV1_0001678</v>
      </c>
      <c r="B6944" s="3">
        <v>959</v>
      </c>
      <c r="C6944" s="1" t="str">
        <f>HYPERLINK("http://www.uniprot.org/uniprot/LOG8_ARATH","LOG8_ARATH")</f>
        <v>LOG8_ARATH</v>
      </c>
      <c r="D6944" t="s">
        <v>5627</v>
      </c>
      <c r="E6944" s="3" t="s">
        <v>3</v>
      </c>
      <c r="F6944" s="4">
        <v>2.57E-121</v>
      </c>
      <c r="G6944" s="3">
        <v>909</v>
      </c>
      <c r="H6944" s="3">
        <v>79</v>
      </c>
      <c r="I6944" s="3">
        <v>213</v>
      </c>
      <c r="J6944" s="3">
        <v>91</v>
      </c>
      <c r="K6944" s="3">
        <v>729</v>
      </c>
      <c r="L6944" s="3">
        <v>2</v>
      </c>
      <c r="M6944" s="3">
        <v>214</v>
      </c>
    </row>
    <row r="6945" spans="1:13" x14ac:dyDescent="0.25">
      <c r="A6945" s="1" t="str">
        <f>HYPERLINK("http://www.rosaceae.org/Prunus/Prunus_persica/p.persica_gdr_reftransV1_0001778","p.persica_gdr_reftransV1_0001778")</f>
        <v>p.persica_gdr_reftransV1_0001778</v>
      </c>
      <c r="B6945" s="3">
        <v>806</v>
      </c>
      <c r="C6945" s="1" t="str">
        <f>HYPERLINK("http://www.uniprot.org/uniprot/UGT8_CATRO","UGT8_CATRO")</f>
        <v>UGT8_CATRO</v>
      </c>
      <c r="D6945" t="s">
        <v>5628</v>
      </c>
      <c r="E6945" s="3" t="s">
        <v>457</v>
      </c>
      <c r="F6945" s="4">
        <v>2.58E-73</v>
      </c>
      <c r="G6945" s="3">
        <v>607</v>
      </c>
      <c r="H6945" s="3">
        <v>45</v>
      </c>
      <c r="I6945" s="3">
        <v>253</v>
      </c>
      <c r="J6945" s="3">
        <v>59</v>
      </c>
      <c r="K6945" s="3">
        <v>805</v>
      </c>
      <c r="L6945" s="3">
        <v>114</v>
      </c>
      <c r="M6945" s="3">
        <v>366</v>
      </c>
    </row>
    <row r="6946" spans="1:13" x14ac:dyDescent="0.25">
      <c r="A6946" s="1" t="str">
        <f>HYPERLINK("http://www.rosaceae.org/Prunus/Prunus_persica/p.persica_gdr_reftransV1_0001828","p.persica_gdr_reftransV1_0001828")</f>
        <v>p.persica_gdr_reftransV1_0001828</v>
      </c>
      <c r="B6946" s="3">
        <v>1265</v>
      </c>
      <c r="C6946" s="1" t="str">
        <f>HYPERLINK("http://www.uniprot.org/uniprot/PER4_VITVI","PER4_VITVI")</f>
        <v>PER4_VITVI</v>
      </c>
      <c r="D6946" t="s">
        <v>1069</v>
      </c>
      <c r="E6946" s="3" t="s">
        <v>362</v>
      </c>
      <c r="F6946" s="4">
        <v>1.42E-172</v>
      </c>
      <c r="G6946" s="3">
        <v>1269</v>
      </c>
      <c r="H6946" s="3">
        <v>76</v>
      </c>
      <c r="I6946" s="3">
        <v>322</v>
      </c>
      <c r="J6946" s="3">
        <v>98</v>
      </c>
      <c r="K6946" s="3">
        <v>1057</v>
      </c>
      <c r="L6946" s="3">
        <v>2</v>
      </c>
      <c r="M6946" s="3">
        <v>321</v>
      </c>
    </row>
    <row r="6947" spans="1:13" x14ac:dyDescent="0.25">
      <c r="A6947" s="1" t="str">
        <f>HYPERLINK("http://www.rosaceae.org/Prunus/Prunus_persica/p.persica_gdr_reftransV1_0001978","p.persica_gdr_reftransV1_0001978")</f>
        <v>p.persica_gdr_reftransV1_0001978</v>
      </c>
      <c r="B6947" s="3">
        <v>406</v>
      </c>
      <c r="C6947" s="1" t="str">
        <f>HYPERLINK("http://www.uniprot.org/uniprot/CXE12_ARATH","CXE12_ARATH")</f>
        <v>CXE12_ARATH</v>
      </c>
      <c r="D6947" t="s">
        <v>5629</v>
      </c>
      <c r="E6947" s="3" t="s">
        <v>3</v>
      </c>
      <c r="F6947" s="4">
        <v>9.7299999999999996E-32</v>
      </c>
      <c r="G6947" s="3">
        <v>300</v>
      </c>
      <c r="H6947" s="3">
        <v>46</v>
      </c>
      <c r="I6947" s="3">
        <v>140</v>
      </c>
      <c r="J6947" s="3">
        <v>1</v>
      </c>
      <c r="K6947" s="3">
        <v>399</v>
      </c>
      <c r="L6947" s="3">
        <v>145</v>
      </c>
      <c r="M6947" s="3">
        <v>284</v>
      </c>
    </row>
    <row r="6948" spans="1:13" x14ac:dyDescent="0.25">
      <c r="A6948" s="1" t="str">
        <f>HYPERLINK("http://www.rosaceae.org/Prunus/Prunus_persica/p.persica_gdr_reftransV1_0002078","p.persica_gdr_reftransV1_0002078")</f>
        <v>p.persica_gdr_reftransV1_0002078</v>
      </c>
      <c r="B6948" s="3">
        <v>874</v>
      </c>
      <c r="C6948" s="1" t="str">
        <f>HYPERLINK("http://www.uniprot.org/uniprot/SBP2_ANTMA","SBP2_ANTMA")</f>
        <v>SBP2_ANTMA</v>
      </c>
      <c r="D6948" t="s">
        <v>5630</v>
      </c>
      <c r="E6948" s="3" t="s">
        <v>1408</v>
      </c>
      <c r="F6948" s="4">
        <v>1.19E-37</v>
      </c>
      <c r="G6948" s="3">
        <v>344</v>
      </c>
      <c r="H6948" s="3">
        <v>54</v>
      </c>
      <c r="I6948" s="3">
        <v>129</v>
      </c>
      <c r="J6948" s="3">
        <v>296</v>
      </c>
      <c r="K6948" s="3">
        <v>634</v>
      </c>
      <c r="L6948" s="3">
        <v>42</v>
      </c>
      <c r="M6948" s="3">
        <v>170</v>
      </c>
    </row>
    <row r="6949" spans="1:13" x14ac:dyDescent="0.25">
      <c r="A6949" s="1" t="str">
        <f>HYPERLINK("http://www.rosaceae.org/Prunus/Prunus_persica/p.persica_gdr_reftransV1_0002128","p.persica_gdr_reftransV1_0002128")</f>
        <v>p.persica_gdr_reftransV1_0002128</v>
      </c>
      <c r="B6949" s="3">
        <v>2112</v>
      </c>
      <c r="C6949" s="1" t="str">
        <f>HYPERLINK("http://www.uniprot.org/uniprot/UVR8_ARATH","UVR8_ARATH")</f>
        <v>UVR8_ARATH</v>
      </c>
      <c r="D6949" t="s">
        <v>2154</v>
      </c>
      <c r="E6949" s="3" t="s">
        <v>3</v>
      </c>
      <c r="F6949" s="4">
        <v>2.0099999999999999E-48</v>
      </c>
      <c r="G6949" s="3">
        <v>459</v>
      </c>
      <c r="H6949" s="3">
        <v>34</v>
      </c>
      <c r="I6949" s="3">
        <v>372</v>
      </c>
      <c r="J6949" s="3">
        <v>950</v>
      </c>
      <c r="K6949" s="3">
        <v>2029</v>
      </c>
      <c r="L6949" s="3">
        <v>16</v>
      </c>
      <c r="M6949" s="3">
        <v>371</v>
      </c>
    </row>
    <row r="6950" spans="1:13" x14ac:dyDescent="0.25">
      <c r="A6950" s="1" t="str">
        <f>HYPERLINK("http://www.rosaceae.org/Prunus/Prunus_persica/p.persica_gdr_reftransV1_0002228","p.persica_gdr_reftransV1_0002228")</f>
        <v>p.persica_gdr_reftransV1_0002228</v>
      </c>
      <c r="B6950" s="3">
        <v>329</v>
      </c>
      <c r="C6950" s="1" t="str">
        <f>HYPERLINK("http://www.uniprot.org/uniprot/UGT9_GARJA","UGT9_GARJA")</f>
        <v>UGT9_GARJA</v>
      </c>
      <c r="D6950" t="s">
        <v>623</v>
      </c>
      <c r="E6950" s="3" t="s">
        <v>624</v>
      </c>
      <c r="F6950" s="4">
        <v>1.5599999999999999E-25</v>
      </c>
      <c r="G6950" s="3">
        <v>255</v>
      </c>
      <c r="H6950" s="3">
        <v>50</v>
      </c>
      <c r="I6950" s="3">
        <v>92</v>
      </c>
      <c r="J6950" s="3">
        <v>53</v>
      </c>
      <c r="K6950" s="3">
        <v>328</v>
      </c>
      <c r="L6950" s="3">
        <v>70</v>
      </c>
      <c r="M6950" s="3">
        <v>161</v>
      </c>
    </row>
    <row r="6951" spans="1:13" x14ac:dyDescent="0.25">
      <c r="A6951" s="1" t="str">
        <f>HYPERLINK("http://www.rosaceae.org/Prunus/Prunus_persica/p.persica_gdr_reftransV1_0002328","p.persica_gdr_reftransV1_0002328")</f>
        <v>p.persica_gdr_reftransV1_0002328</v>
      </c>
      <c r="B6951" s="3">
        <v>755</v>
      </c>
      <c r="C6951" s="1" t="str">
        <f>HYPERLINK("http://www.uniprot.org/uniprot/CAP2_ARATH","CAP2_ARATH")</f>
        <v>CAP2_ARATH</v>
      </c>
      <c r="D6951" t="s">
        <v>5631</v>
      </c>
      <c r="E6951" s="3" t="s">
        <v>3</v>
      </c>
      <c r="F6951" s="4">
        <v>1.5400000000000001E-88</v>
      </c>
      <c r="G6951" s="3">
        <v>720</v>
      </c>
      <c r="H6951" s="3">
        <v>84</v>
      </c>
      <c r="I6951" s="3">
        <v>159</v>
      </c>
      <c r="J6951" s="3">
        <v>247</v>
      </c>
      <c r="K6951" s="3">
        <v>723</v>
      </c>
      <c r="L6951" s="3">
        <v>1</v>
      </c>
      <c r="M6951" s="3">
        <v>158</v>
      </c>
    </row>
    <row r="6952" spans="1:13" x14ac:dyDescent="0.25">
      <c r="A6952" s="1" t="str">
        <f>HYPERLINK("http://www.rosaceae.org/Prunus/Prunus_persica/p.persica_gdr_reftransV1_0002478","p.persica_gdr_reftransV1_0002478")</f>
        <v>p.persica_gdr_reftransV1_0002478</v>
      </c>
      <c r="B6952" s="3">
        <v>2422</v>
      </c>
      <c r="C6952" s="1" t="str">
        <f>HYPERLINK("http://www.uniprot.org/uniprot/SUC3_ARATH","SUC3_ARATH")</f>
        <v>SUC3_ARATH</v>
      </c>
      <c r="D6952" t="s">
        <v>4063</v>
      </c>
      <c r="E6952" s="3" t="s">
        <v>3</v>
      </c>
      <c r="F6952" s="4">
        <v>0</v>
      </c>
      <c r="G6952" s="3">
        <v>1762</v>
      </c>
      <c r="H6952" s="3">
        <v>74</v>
      </c>
      <c r="I6952" s="3">
        <v>453</v>
      </c>
      <c r="J6952" s="3">
        <v>425</v>
      </c>
      <c r="K6952" s="3">
        <v>1783</v>
      </c>
      <c r="L6952" s="3">
        <v>150</v>
      </c>
      <c r="M6952" s="3">
        <v>594</v>
      </c>
    </row>
    <row r="6953" spans="1:13" x14ac:dyDescent="0.25">
      <c r="A6953" s="1" t="str">
        <f>HYPERLINK("http://www.rosaceae.org/Prunus/Prunus_persica/p.persica_gdr_reftransV1_0002528","p.persica_gdr_reftransV1_0002528")</f>
        <v>p.persica_gdr_reftransV1_0002528</v>
      </c>
      <c r="B6953" s="3">
        <v>1376</v>
      </c>
      <c r="C6953" s="1" t="str">
        <f>HYPERLINK("http://www.uniprot.org/uniprot/14334_SOLLC","14334_SOLLC")</f>
        <v>14334_SOLLC</v>
      </c>
      <c r="D6953" t="s">
        <v>5632</v>
      </c>
      <c r="E6953" s="3" t="s">
        <v>64</v>
      </c>
      <c r="F6953" s="4">
        <v>5.4499999999999996E-168</v>
      </c>
      <c r="G6953" s="3">
        <v>1236</v>
      </c>
      <c r="H6953" s="3">
        <v>92</v>
      </c>
      <c r="I6953" s="3">
        <v>258</v>
      </c>
      <c r="J6953" s="3">
        <v>422</v>
      </c>
      <c r="K6953" s="3">
        <v>1195</v>
      </c>
      <c r="L6953" s="3">
        <v>3</v>
      </c>
      <c r="M6953" s="3">
        <v>260</v>
      </c>
    </row>
    <row r="6954" spans="1:13" x14ac:dyDescent="0.25">
      <c r="A6954" s="1" t="str">
        <f>HYPERLINK("http://www.rosaceae.org/Prunus/Prunus_persica/p.persica_gdr_reftransV1_0002628","p.persica_gdr_reftransV1_0002628")</f>
        <v>p.persica_gdr_reftransV1_0002628</v>
      </c>
      <c r="B6954" s="3">
        <v>1670</v>
      </c>
      <c r="C6954" s="1" t="str">
        <f>HYPERLINK("http://www.uniprot.org/uniprot/BCAT2_ARATH","BCAT2_ARATH")</f>
        <v>BCAT2_ARATH</v>
      </c>
      <c r="D6954" t="s">
        <v>5633</v>
      </c>
      <c r="E6954" s="3" t="s">
        <v>3</v>
      </c>
      <c r="F6954" s="4">
        <v>3.3599999999999999E-165</v>
      </c>
      <c r="G6954" s="3">
        <v>1240</v>
      </c>
      <c r="H6954" s="3">
        <v>73</v>
      </c>
      <c r="I6954" s="3">
        <v>335</v>
      </c>
      <c r="J6954" s="3">
        <v>470</v>
      </c>
      <c r="K6954" s="3">
        <v>1474</v>
      </c>
      <c r="L6954" s="3">
        <v>53</v>
      </c>
      <c r="M6954" s="3">
        <v>387</v>
      </c>
    </row>
    <row r="6955" spans="1:13" x14ac:dyDescent="0.25">
      <c r="A6955" s="1" t="str">
        <f>HYPERLINK("http://www.rosaceae.org/Prunus/Prunus_persica/p.persica_gdr_reftransV1_0002678","p.persica_gdr_reftransV1_0002678")</f>
        <v>p.persica_gdr_reftransV1_0002678</v>
      </c>
      <c r="B6955" s="3">
        <v>995</v>
      </c>
      <c r="C6955" s="1" t="str">
        <f>HYPERLINK("http://www.uniprot.org/uniprot/ALLB3_BETPN","ALLB3_BETPN")</f>
        <v>ALLB3_BETPN</v>
      </c>
      <c r="D6955" t="s">
        <v>5634</v>
      </c>
      <c r="E6955" s="3" t="s">
        <v>5635</v>
      </c>
      <c r="F6955" s="4">
        <v>4.7599999999999998E-57</v>
      </c>
      <c r="G6955" s="3">
        <v>482</v>
      </c>
      <c r="H6955" s="3">
        <v>61</v>
      </c>
      <c r="I6955" s="3">
        <v>166</v>
      </c>
      <c r="J6955" s="3">
        <v>269</v>
      </c>
      <c r="K6955" s="3">
        <v>766</v>
      </c>
      <c r="L6955" s="3">
        <v>44</v>
      </c>
      <c r="M6955" s="3">
        <v>205</v>
      </c>
    </row>
    <row r="6956" spans="1:13" x14ac:dyDescent="0.25">
      <c r="A6956" s="1" t="str">
        <f>HYPERLINK("http://www.rosaceae.org/Prunus/Prunus_persica/p.persica_gdr_reftransV1_0002728","p.persica_gdr_reftransV1_0002728")</f>
        <v>p.persica_gdr_reftransV1_0002728</v>
      </c>
      <c r="B6956" s="3">
        <v>329</v>
      </c>
      <c r="C6956" s="1" t="str">
        <f>HYPERLINK("http://www.uniprot.org/uniprot/RLP12_ARATH","RLP12_ARATH")</f>
        <v>RLP12_ARATH</v>
      </c>
      <c r="D6956" t="s">
        <v>1219</v>
      </c>
      <c r="E6956" s="3" t="s">
        <v>3</v>
      </c>
      <c r="F6956" s="4">
        <v>3.4999999999999998E-7</v>
      </c>
      <c r="G6956" s="3">
        <v>122</v>
      </c>
      <c r="H6956" s="3">
        <v>30</v>
      </c>
      <c r="I6956" s="3">
        <v>69</v>
      </c>
      <c r="J6956" s="3">
        <v>2</v>
      </c>
      <c r="K6956" s="3">
        <v>208</v>
      </c>
      <c r="L6956" s="3">
        <v>34</v>
      </c>
      <c r="M6956" s="3">
        <v>95</v>
      </c>
    </row>
    <row r="6957" spans="1:13" x14ac:dyDescent="0.25">
      <c r="A6957" s="1" t="str">
        <f>HYPERLINK("http://www.rosaceae.org/Prunus/Prunus_persica/p.persica_gdr_reftransV1_0002828","p.persica_gdr_reftransV1_0002828")</f>
        <v>p.persica_gdr_reftransV1_0002828</v>
      </c>
      <c r="B6957" s="3">
        <v>1533</v>
      </c>
      <c r="C6957" s="1" t="str">
        <f>HYPERLINK("http://www.uniprot.org/uniprot/BUD13_MOUSE","BUD13_MOUSE")</f>
        <v>BUD13_MOUSE</v>
      </c>
      <c r="D6957" t="s">
        <v>5636</v>
      </c>
      <c r="E6957" s="3" t="s">
        <v>157</v>
      </c>
      <c r="F6957" s="4">
        <v>7.4700000000000001E-34</v>
      </c>
      <c r="G6957" s="3">
        <v>348</v>
      </c>
      <c r="H6957" s="3">
        <v>37</v>
      </c>
      <c r="I6957" s="3">
        <v>329</v>
      </c>
      <c r="J6957" s="3">
        <v>249</v>
      </c>
      <c r="K6957" s="3">
        <v>1160</v>
      </c>
      <c r="L6957" s="3">
        <v>339</v>
      </c>
      <c r="M6957" s="3">
        <v>637</v>
      </c>
    </row>
    <row r="6958" spans="1:13" x14ac:dyDescent="0.25">
      <c r="A6958" s="1" t="str">
        <f>HYPERLINK("http://www.rosaceae.org/Prunus/Prunus_persica/p.persica_gdr_reftransV1_0002878","p.persica_gdr_reftransV1_0002878")</f>
        <v>p.persica_gdr_reftransV1_0002878</v>
      </c>
      <c r="B6958" s="3">
        <v>476</v>
      </c>
      <c r="C6958" s="1" t="str">
        <f>HYPERLINK("http://www.uniprot.org/uniprot/TAM41_MOUSE","TAM41_MOUSE")</f>
        <v>TAM41_MOUSE</v>
      </c>
      <c r="D6958" t="s">
        <v>5637</v>
      </c>
      <c r="E6958" s="3" t="s">
        <v>157</v>
      </c>
      <c r="F6958" s="4">
        <v>3.12E-9</v>
      </c>
      <c r="G6958" s="3">
        <v>139</v>
      </c>
      <c r="H6958" s="3">
        <v>34</v>
      </c>
      <c r="I6958" s="3">
        <v>100</v>
      </c>
      <c r="J6958" s="3">
        <v>1</v>
      </c>
      <c r="K6958" s="3">
        <v>291</v>
      </c>
      <c r="L6958" s="3">
        <v>13</v>
      </c>
      <c r="M6958" s="3">
        <v>110</v>
      </c>
    </row>
    <row r="6959" spans="1:13" x14ac:dyDescent="0.25">
      <c r="A6959" s="1" t="str">
        <f>HYPERLINK("http://www.rosaceae.org/Prunus/Prunus_persica/p.persica_gdr_reftransV1_0002928","p.persica_gdr_reftransV1_0002928")</f>
        <v>p.persica_gdr_reftransV1_0002928</v>
      </c>
      <c r="B6959" s="3">
        <v>592</v>
      </c>
      <c r="C6959" s="1" t="str">
        <f>HYPERLINK("http://www.uniprot.org/uniprot/CSPLB_POPTR","CSPLB_POPTR")</f>
        <v>CSPLB_POPTR</v>
      </c>
      <c r="D6959" t="s">
        <v>5638</v>
      </c>
      <c r="E6959" s="3" t="s">
        <v>340</v>
      </c>
      <c r="F6959" s="4">
        <v>5.75E-64</v>
      </c>
      <c r="G6959" s="3">
        <v>514</v>
      </c>
      <c r="H6959" s="3">
        <v>72</v>
      </c>
      <c r="I6959" s="3">
        <v>146</v>
      </c>
      <c r="J6959" s="3">
        <v>9</v>
      </c>
      <c r="K6959" s="3">
        <v>446</v>
      </c>
      <c r="L6959" s="3">
        <v>19</v>
      </c>
      <c r="M6959" s="3">
        <v>164</v>
      </c>
    </row>
    <row r="6960" spans="1:13" x14ac:dyDescent="0.25">
      <c r="A6960" s="1" t="str">
        <f>HYPERLINK("http://www.rosaceae.org/Prunus/Prunus_persica/p.persica_gdr_reftransV1_0002978","p.persica_gdr_reftransV1_0002978")</f>
        <v>p.persica_gdr_reftransV1_0002978</v>
      </c>
      <c r="B6960" s="3">
        <v>1008</v>
      </c>
      <c r="C6960" s="1" t="str">
        <f>HYPERLINK("http://www.uniprot.org/uniprot/YLMG2_ARATH","YLMG2_ARATH")</f>
        <v>YLMG2_ARATH</v>
      </c>
      <c r="D6960" t="s">
        <v>5639</v>
      </c>
      <c r="E6960" s="3" t="s">
        <v>3</v>
      </c>
      <c r="F6960" s="4">
        <v>2.8000000000000001E-61</v>
      </c>
      <c r="G6960" s="3">
        <v>514</v>
      </c>
      <c r="H6960" s="3">
        <v>55</v>
      </c>
      <c r="I6960" s="3">
        <v>246</v>
      </c>
      <c r="J6960" s="3">
        <v>65</v>
      </c>
      <c r="K6960" s="3">
        <v>763</v>
      </c>
      <c r="L6960" s="3">
        <v>1</v>
      </c>
      <c r="M6960" s="3">
        <v>234</v>
      </c>
    </row>
    <row r="6961" spans="1:13" x14ac:dyDescent="0.25">
      <c r="A6961" s="1" t="str">
        <f>HYPERLINK("http://www.rosaceae.org/Prunus/Prunus_persica/p.persica_gdr_reftransV1_0003028","p.persica_gdr_reftransV1_0003028")</f>
        <v>p.persica_gdr_reftransV1_0003028</v>
      </c>
      <c r="B6961" s="3">
        <v>2246</v>
      </c>
      <c r="C6961" s="1" t="str">
        <f>HYPERLINK("http://www.uniprot.org/uniprot/TPS4_RICCO","TPS4_RICCO")</f>
        <v>TPS4_RICCO</v>
      </c>
      <c r="D6961" t="s">
        <v>5640</v>
      </c>
      <c r="E6961" s="3" t="s">
        <v>421</v>
      </c>
      <c r="F6961" s="4">
        <v>2.09E-141</v>
      </c>
      <c r="G6961" s="3">
        <v>751</v>
      </c>
      <c r="H6961" s="3">
        <v>40</v>
      </c>
      <c r="I6961" s="3">
        <v>413</v>
      </c>
      <c r="J6961" s="3">
        <v>896</v>
      </c>
      <c r="K6961" s="3">
        <v>2119</v>
      </c>
      <c r="L6961" s="3">
        <v>54</v>
      </c>
      <c r="M6961" s="3">
        <v>383</v>
      </c>
    </row>
    <row r="6962" spans="1:13" x14ac:dyDescent="0.25">
      <c r="A6962" s="1" t="str">
        <f>HYPERLINK("http://www.rosaceae.org/Prunus/Prunus_persica/p.persica_gdr_reftransV1_0003078","p.persica_gdr_reftransV1_0003078")</f>
        <v>p.persica_gdr_reftransV1_0003078</v>
      </c>
      <c r="B6962" s="3">
        <v>880</v>
      </c>
      <c r="C6962" s="1" t="str">
        <f>HYPERLINK("http://www.uniprot.org/uniprot/GLYC7_ARATH","GLYC7_ARATH")</f>
        <v>GLYC7_ARATH</v>
      </c>
      <c r="D6962" t="s">
        <v>1446</v>
      </c>
      <c r="E6962" s="3" t="s">
        <v>3</v>
      </c>
      <c r="F6962" s="4">
        <v>8.1199999999999997E-86</v>
      </c>
      <c r="G6962" s="3">
        <v>702</v>
      </c>
      <c r="H6962" s="3">
        <v>81</v>
      </c>
      <c r="I6962" s="3">
        <v>188</v>
      </c>
      <c r="J6962" s="3">
        <v>317</v>
      </c>
      <c r="K6962" s="3">
        <v>880</v>
      </c>
      <c r="L6962" s="3">
        <v>404</v>
      </c>
      <c r="M6962" s="3">
        <v>591</v>
      </c>
    </row>
    <row r="6963" spans="1:13" x14ac:dyDescent="0.25">
      <c r="A6963" s="1" t="str">
        <f>HYPERLINK("http://www.rosaceae.org/Prunus/Prunus_persica/p.persica_gdr_reftransV1_0003128","p.persica_gdr_reftransV1_0003128")</f>
        <v>p.persica_gdr_reftransV1_0003128</v>
      </c>
      <c r="B6963" s="3">
        <v>470</v>
      </c>
      <c r="C6963" s="1" t="str">
        <f>HYPERLINK("http://www.uniprot.org/uniprot/MCAC2_ARATH","MCAC2_ARATH")</f>
        <v>MCAC2_ARATH</v>
      </c>
      <c r="D6963" t="s">
        <v>5641</v>
      </c>
      <c r="E6963" s="3" t="s">
        <v>3</v>
      </c>
      <c r="F6963" s="4">
        <v>3.3599999999999999E-30</v>
      </c>
      <c r="G6963" s="3">
        <v>293</v>
      </c>
      <c r="H6963" s="3">
        <v>45</v>
      </c>
      <c r="I6963" s="3">
        <v>173</v>
      </c>
      <c r="J6963" s="3">
        <v>4</v>
      </c>
      <c r="K6963" s="3">
        <v>468</v>
      </c>
      <c r="L6963" s="3">
        <v>141</v>
      </c>
      <c r="M6963" s="3">
        <v>309</v>
      </c>
    </row>
    <row r="6964" spans="1:13" x14ac:dyDescent="0.25">
      <c r="A6964" s="1" t="str">
        <f>HYPERLINK("http://www.rosaceae.org/Prunus/Prunus_persica/p.persica_gdr_reftransV1_0003278","p.persica_gdr_reftransV1_0003278")</f>
        <v>p.persica_gdr_reftransV1_0003278</v>
      </c>
      <c r="B6964" s="3">
        <v>1063</v>
      </c>
      <c r="C6964" s="1" t="str">
        <f>HYPERLINK("http://www.uniprot.org/uniprot/NUD15_ARATH","NUD15_ARATH")</f>
        <v>NUD15_ARATH</v>
      </c>
      <c r="D6964" t="s">
        <v>5010</v>
      </c>
      <c r="E6964" s="3" t="s">
        <v>3</v>
      </c>
      <c r="F6964" s="4">
        <v>7.5299999999999995E-79</v>
      </c>
      <c r="G6964" s="3">
        <v>577</v>
      </c>
      <c r="H6964" s="3">
        <v>75</v>
      </c>
      <c r="I6964" s="3">
        <v>159</v>
      </c>
      <c r="J6964" s="3">
        <v>152</v>
      </c>
      <c r="K6964" s="3">
        <v>628</v>
      </c>
      <c r="L6964" s="3">
        <v>127</v>
      </c>
      <c r="M6964" s="3">
        <v>285</v>
      </c>
    </row>
    <row r="6965" spans="1:13" x14ac:dyDescent="0.25">
      <c r="A6965" s="1" t="str">
        <f>HYPERLINK("http://www.rosaceae.org/Prunus/Prunus_persica/p.persica_gdr_reftransV1_0003428","p.persica_gdr_reftransV1_0003428")</f>
        <v>p.persica_gdr_reftransV1_0003428</v>
      </c>
      <c r="B6965" s="3">
        <v>463</v>
      </c>
      <c r="C6965" s="1" t="str">
        <f>HYPERLINK("http://www.uniprot.org/uniprot/3MAT_DAHPI","3MAT_DAHPI")</f>
        <v>3MAT_DAHPI</v>
      </c>
      <c r="D6965" t="s">
        <v>5642</v>
      </c>
      <c r="E6965" s="3" t="s">
        <v>5643</v>
      </c>
      <c r="F6965" s="4">
        <v>1.2799999999999999E-27</v>
      </c>
      <c r="G6965" s="3">
        <v>275</v>
      </c>
      <c r="H6965" s="3">
        <v>50</v>
      </c>
      <c r="I6965" s="3">
        <v>137</v>
      </c>
      <c r="J6965" s="3">
        <v>45</v>
      </c>
      <c r="K6965" s="3">
        <v>443</v>
      </c>
      <c r="L6965" s="3">
        <v>9</v>
      </c>
      <c r="M6965" s="3">
        <v>141</v>
      </c>
    </row>
    <row r="6966" spans="1:13" x14ac:dyDescent="0.25">
      <c r="A6966" s="1" t="str">
        <f>HYPERLINK("http://www.rosaceae.org/Prunus/Prunus_persica/p.persica_gdr_reftransV1_0003578","p.persica_gdr_reftransV1_0003578")</f>
        <v>p.persica_gdr_reftransV1_0003578</v>
      </c>
      <c r="B6966" s="3">
        <v>747</v>
      </c>
      <c r="C6966" s="1" t="str">
        <f>HYPERLINK("http://www.uniprot.org/uniprot/PPME1_ARATH","PPME1_ARATH")</f>
        <v>PPME1_ARATH</v>
      </c>
      <c r="D6966" t="s">
        <v>5644</v>
      </c>
      <c r="E6966" s="3" t="s">
        <v>3</v>
      </c>
      <c r="F6966" s="4">
        <v>3.2599999999999997E-98</v>
      </c>
      <c r="G6966" s="3">
        <v>762</v>
      </c>
      <c r="H6966" s="3">
        <v>63</v>
      </c>
      <c r="I6966" s="3">
        <v>212</v>
      </c>
      <c r="J6966" s="3">
        <v>112</v>
      </c>
      <c r="K6966" s="3">
        <v>747</v>
      </c>
      <c r="L6966" s="3">
        <v>149</v>
      </c>
      <c r="M6966" s="3">
        <v>359</v>
      </c>
    </row>
    <row r="6967" spans="1:13" x14ac:dyDescent="0.25">
      <c r="A6967" s="1" t="str">
        <f>HYPERLINK("http://www.rosaceae.org/Prunus/Prunus_persica/p.persica_gdr_reftransV1_0003678","p.persica_gdr_reftransV1_0003678")</f>
        <v>p.persica_gdr_reftransV1_0003678</v>
      </c>
      <c r="B6967" s="3">
        <v>1001</v>
      </c>
      <c r="C6967" s="1" t="str">
        <f>HYPERLINK("http://www.uniprot.org/uniprot/MCM10_MOUSE","MCM10_MOUSE")</f>
        <v>MCM10_MOUSE</v>
      </c>
      <c r="D6967" t="s">
        <v>4105</v>
      </c>
      <c r="E6967" s="3" t="s">
        <v>157</v>
      </c>
      <c r="F6967" s="4">
        <v>4.0700000000000002E-28</v>
      </c>
      <c r="G6967" s="3">
        <v>299</v>
      </c>
      <c r="H6967" s="3">
        <v>32</v>
      </c>
      <c r="I6967" s="3">
        <v>208</v>
      </c>
      <c r="J6967" s="3">
        <v>283</v>
      </c>
      <c r="K6967" s="3">
        <v>888</v>
      </c>
      <c r="L6967" s="3">
        <v>253</v>
      </c>
      <c r="M6967" s="3">
        <v>460</v>
      </c>
    </row>
    <row r="6968" spans="1:13" x14ac:dyDescent="0.25">
      <c r="A6968" s="1" t="str">
        <f>HYPERLINK("http://www.rosaceae.org/Prunus/Prunus_persica/p.persica_gdr_reftransV1_0003778","p.persica_gdr_reftransV1_0003778")</f>
        <v>p.persica_gdr_reftransV1_0003778</v>
      </c>
      <c r="B6968" s="3">
        <v>311</v>
      </c>
      <c r="C6968" s="1" t="str">
        <f>HYPERLINK("http://www.uniprot.org/uniprot/RL10B_SCHPO","RL10B_SCHPO")</f>
        <v>RL10B_SCHPO</v>
      </c>
      <c r="D6968" t="s">
        <v>5645</v>
      </c>
      <c r="E6968" s="3" t="s">
        <v>464</v>
      </c>
      <c r="F6968" s="4">
        <v>1.67E-60</v>
      </c>
      <c r="G6968" s="3">
        <v>483</v>
      </c>
      <c r="H6968" s="3">
        <v>87</v>
      </c>
      <c r="I6968" s="3">
        <v>103</v>
      </c>
      <c r="J6968" s="3">
        <v>1</v>
      </c>
      <c r="K6968" s="3">
        <v>309</v>
      </c>
      <c r="L6968" s="3">
        <v>21</v>
      </c>
      <c r="M6968" s="3">
        <v>123</v>
      </c>
    </row>
    <row r="6969" spans="1:13" x14ac:dyDescent="0.25">
      <c r="A6969" s="1" t="str">
        <f>HYPERLINK("http://www.rosaceae.org/Prunus/Prunus_persica/p.persica_gdr_reftransV1_0003828","p.persica_gdr_reftransV1_0003828")</f>
        <v>p.persica_gdr_reftransV1_0003828</v>
      </c>
      <c r="B6969" s="3">
        <v>1986</v>
      </c>
      <c r="C6969" s="1" t="str">
        <f>HYPERLINK("http://www.uniprot.org/uniprot/XB31_ARATH","XB31_ARATH")</f>
        <v>XB31_ARATH</v>
      </c>
      <c r="D6969" t="s">
        <v>4977</v>
      </c>
      <c r="E6969" s="3" t="s">
        <v>3</v>
      </c>
      <c r="F6969" s="4">
        <v>0</v>
      </c>
      <c r="G6969" s="3">
        <v>1659</v>
      </c>
      <c r="H6969" s="3">
        <v>72</v>
      </c>
      <c r="I6969" s="3">
        <v>456</v>
      </c>
      <c r="J6969" s="3">
        <v>64</v>
      </c>
      <c r="K6969" s="3">
        <v>1398</v>
      </c>
      <c r="L6969" s="3">
        <v>1</v>
      </c>
      <c r="M6969" s="3">
        <v>454</v>
      </c>
    </row>
    <row r="6970" spans="1:13" x14ac:dyDescent="0.25">
      <c r="A6970" s="1" t="str">
        <f>HYPERLINK("http://www.rosaceae.org/Prunus/Prunus_persica/p.persica_gdr_reftransV1_0003878","p.persica_gdr_reftransV1_0003878")</f>
        <v>p.persica_gdr_reftransV1_0003878</v>
      </c>
      <c r="B6970" s="3">
        <v>722</v>
      </c>
      <c r="C6970" s="1" t="str">
        <f>HYPERLINK("http://www.uniprot.org/uniprot/AGL11_ARATH","AGL11_ARATH")</f>
        <v>AGL11_ARATH</v>
      </c>
      <c r="D6970" t="s">
        <v>5646</v>
      </c>
      <c r="E6970" s="3" t="s">
        <v>3</v>
      </c>
      <c r="F6970" s="4">
        <v>1.08E-42</v>
      </c>
      <c r="G6970" s="3">
        <v>379</v>
      </c>
      <c r="H6970" s="3">
        <v>61</v>
      </c>
      <c r="I6970" s="3">
        <v>131</v>
      </c>
      <c r="J6970" s="3">
        <v>72</v>
      </c>
      <c r="K6970" s="3">
        <v>437</v>
      </c>
      <c r="L6970" s="3">
        <v>100</v>
      </c>
      <c r="M6970" s="3">
        <v>230</v>
      </c>
    </row>
    <row r="6971" spans="1:13" x14ac:dyDescent="0.25">
      <c r="A6971" s="1" t="str">
        <f>HYPERLINK("http://www.rosaceae.org/Prunus/Prunus_persica/p.persica_gdr_reftransV1_0003928","p.persica_gdr_reftransV1_0003928")</f>
        <v>p.persica_gdr_reftransV1_0003928</v>
      </c>
      <c r="B6971" s="3">
        <v>1183</v>
      </c>
      <c r="C6971" s="1" t="str">
        <f>HYPERLINK("http://www.uniprot.org/uniprot/WAK3_ARATH","WAK3_ARATH")</f>
        <v>WAK3_ARATH</v>
      </c>
      <c r="D6971" t="s">
        <v>5647</v>
      </c>
      <c r="E6971" s="3" t="s">
        <v>3</v>
      </c>
      <c r="F6971" s="4">
        <v>1.5999999999999999E-123</v>
      </c>
      <c r="G6971" s="3">
        <v>977</v>
      </c>
      <c r="H6971" s="3">
        <v>63</v>
      </c>
      <c r="I6971" s="3">
        <v>313</v>
      </c>
      <c r="J6971" s="3">
        <v>249</v>
      </c>
      <c r="K6971" s="3">
        <v>1181</v>
      </c>
      <c r="L6971" s="3">
        <v>401</v>
      </c>
      <c r="M6971" s="3">
        <v>710</v>
      </c>
    </row>
    <row r="6972" spans="1:13" x14ac:dyDescent="0.25">
      <c r="A6972" s="1" t="str">
        <f>HYPERLINK("http://www.rosaceae.org/Prunus/Prunus_persica/p.persica_gdr_reftransV1_0004028","p.persica_gdr_reftransV1_0004028")</f>
        <v>p.persica_gdr_reftransV1_0004028</v>
      </c>
      <c r="B6972" s="3">
        <v>593</v>
      </c>
      <c r="C6972" s="1" t="str">
        <f>HYPERLINK("http://www.uniprot.org/uniprot/RGA1_SOLBU","RGA1_SOLBU")</f>
        <v>RGA1_SOLBU</v>
      </c>
      <c r="D6972" t="s">
        <v>559</v>
      </c>
      <c r="E6972" s="3" t="s">
        <v>560</v>
      </c>
      <c r="F6972" s="4">
        <v>2.6299999999999999E-11</v>
      </c>
      <c r="G6972" s="3">
        <v>160</v>
      </c>
      <c r="H6972" s="3">
        <v>33</v>
      </c>
      <c r="I6972" s="3">
        <v>111</v>
      </c>
      <c r="J6972" s="3">
        <v>148</v>
      </c>
      <c r="K6972" s="3">
        <v>480</v>
      </c>
      <c r="L6972" s="3">
        <v>1</v>
      </c>
      <c r="M6972" s="3">
        <v>105</v>
      </c>
    </row>
    <row r="6973" spans="1:13" x14ac:dyDescent="0.25">
      <c r="A6973" s="1" t="str">
        <f>HYPERLINK("http://www.rosaceae.org/Prunus/Prunus_persica/p.persica_gdr_reftransV1_0004078","p.persica_gdr_reftransV1_0004078")</f>
        <v>p.persica_gdr_reftransV1_0004078</v>
      </c>
      <c r="B6973" s="3">
        <v>1154</v>
      </c>
      <c r="C6973" s="1" t="str">
        <f>HYPERLINK("http://www.uniprot.org/uniprot/ADT_NEUCR","ADT_NEUCR")</f>
        <v>ADT_NEUCR</v>
      </c>
      <c r="D6973" t="s">
        <v>5385</v>
      </c>
      <c r="E6973" s="3" t="s">
        <v>435</v>
      </c>
      <c r="F6973" s="4">
        <v>1.61E-162</v>
      </c>
      <c r="G6973" s="3">
        <v>1197</v>
      </c>
      <c r="H6973" s="3">
        <v>90</v>
      </c>
      <c r="I6973" s="3">
        <v>288</v>
      </c>
      <c r="J6973" s="3">
        <v>291</v>
      </c>
      <c r="K6973" s="3">
        <v>1154</v>
      </c>
      <c r="L6973" s="3">
        <v>22</v>
      </c>
      <c r="M6973" s="3">
        <v>309</v>
      </c>
    </row>
    <row r="6974" spans="1:13" x14ac:dyDescent="0.25">
      <c r="A6974" s="1" t="str">
        <f>HYPERLINK("http://www.rosaceae.org/Prunus/Prunus_persica/p.persica_gdr_reftransV1_0004228","p.persica_gdr_reftransV1_0004228")</f>
        <v>p.persica_gdr_reftransV1_0004228</v>
      </c>
      <c r="B6974" s="3">
        <v>644</v>
      </c>
      <c r="C6974" s="1" t="str">
        <f>HYPERLINK("http://www.uniprot.org/uniprot/UTP18_ARATH","UTP18_ARATH")</f>
        <v>UTP18_ARATH</v>
      </c>
      <c r="D6974" t="s">
        <v>5331</v>
      </c>
      <c r="E6974" s="3" t="s">
        <v>3</v>
      </c>
      <c r="F6974" s="4">
        <v>1.1700000000000001E-8</v>
      </c>
      <c r="G6974" s="3">
        <v>138</v>
      </c>
      <c r="H6974" s="3">
        <v>60</v>
      </c>
      <c r="I6974" s="3">
        <v>50</v>
      </c>
      <c r="J6974" s="3">
        <v>89</v>
      </c>
      <c r="K6974" s="3">
        <v>238</v>
      </c>
      <c r="L6974" s="3">
        <v>58</v>
      </c>
      <c r="M6974" s="3">
        <v>100</v>
      </c>
    </row>
    <row r="6975" spans="1:13" x14ac:dyDescent="0.25">
      <c r="A6975" s="1" t="str">
        <f>HYPERLINK("http://www.rosaceae.org/Prunus/Prunus_persica/p.persica_gdr_reftransV1_0004278","p.persica_gdr_reftransV1_0004278")</f>
        <v>p.persica_gdr_reftransV1_0004278</v>
      </c>
      <c r="B6975" s="3">
        <v>1463</v>
      </c>
      <c r="C6975" s="1" t="str">
        <f>HYPERLINK("http://www.uniprot.org/uniprot/COQ2_ARATH","COQ2_ARATH")</f>
        <v>COQ2_ARATH</v>
      </c>
      <c r="D6975" t="s">
        <v>4862</v>
      </c>
      <c r="E6975" s="3" t="s">
        <v>3</v>
      </c>
      <c r="F6975" s="4">
        <v>1.03E-120</v>
      </c>
      <c r="G6975" s="3">
        <v>940</v>
      </c>
      <c r="H6975" s="3">
        <v>74</v>
      </c>
      <c r="I6975" s="3">
        <v>286</v>
      </c>
      <c r="J6975" s="3">
        <v>227</v>
      </c>
      <c r="K6975" s="3">
        <v>1084</v>
      </c>
      <c r="L6975" s="3">
        <v>108</v>
      </c>
      <c r="M6975" s="3">
        <v>392</v>
      </c>
    </row>
    <row r="6976" spans="1:13" x14ac:dyDescent="0.25">
      <c r="A6976" s="1" t="str">
        <f>HYPERLINK("http://www.rosaceae.org/Prunus/Prunus_persica/p.persica_gdr_reftransV1_0004428","p.persica_gdr_reftransV1_0004428")</f>
        <v>p.persica_gdr_reftransV1_0004428</v>
      </c>
      <c r="B6976" s="3">
        <v>1056</v>
      </c>
      <c r="C6976" s="1" t="str">
        <f>HYPERLINK("http://www.uniprot.org/uniprot/DRL4_ARATH","DRL4_ARATH")</f>
        <v>DRL4_ARATH</v>
      </c>
      <c r="D6976" t="s">
        <v>2765</v>
      </c>
      <c r="E6976" s="3" t="s">
        <v>3</v>
      </c>
      <c r="F6976" s="4">
        <v>2.89E-62</v>
      </c>
      <c r="G6976" s="3">
        <v>555</v>
      </c>
      <c r="H6976" s="3">
        <v>38</v>
      </c>
      <c r="I6976" s="3">
        <v>360</v>
      </c>
      <c r="J6976" s="3">
        <v>3</v>
      </c>
      <c r="K6976" s="3">
        <v>1046</v>
      </c>
      <c r="L6976" s="3">
        <v>1</v>
      </c>
      <c r="M6976" s="3">
        <v>355</v>
      </c>
    </row>
    <row r="6977" spans="1:13" x14ac:dyDescent="0.25">
      <c r="A6977" s="1" t="str">
        <f>HYPERLINK("http://www.rosaceae.org/Prunus/Prunus_persica/p.persica_gdr_reftransV1_0004478","p.persica_gdr_reftransV1_0004478")</f>
        <v>p.persica_gdr_reftransV1_0004478</v>
      </c>
      <c r="B6977" s="3">
        <v>665</v>
      </c>
      <c r="C6977" s="1" t="str">
        <f>HYPERLINK("http://www.uniprot.org/uniprot/BZP61_ARATH","BZP61_ARATH")</f>
        <v>BZP61_ARATH</v>
      </c>
      <c r="D6977" t="s">
        <v>1778</v>
      </c>
      <c r="E6977" s="3" t="s">
        <v>3</v>
      </c>
      <c r="F6977" s="4">
        <v>4.3699999999999997E-59</v>
      </c>
      <c r="G6977" s="3">
        <v>495</v>
      </c>
      <c r="H6977" s="3">
        <v>92</v>
      </c>
      <c r="I6977" s="3">
        <v>106</v>
      </c>
      <c r="J6977" s="3">
        <v>19</v>
      </c>
      <c r="K6977" s="3">
        <v>336</v>
      </c>
      <c r="L6977" s="3">
        <v>202</v>
      </c>
      <c r="M6977" s="3">
        <v>307</v>
      </c>
    </row>
    <row r="6978" spans="1:13" x14ac:dyDescent="0.25">
      <c r="A6978" s="1" t="str">
        <f>HYPERLINK("http://www.rosaceae.org/Prunus/Prunus_persica/p.persica_gdr_reftransV1_0004728","p.persica_gdr_reftransV1_0004728")</f>
        <v>p.persica_gdr_reftransV1_0004728</v>
      </c>
      <c r="B6978" s="3">
        <v>5442</v>
      </c>
      <c r="C6978" s="1" t="str">
        <f>HYPERLINK("http://www.uniprot.org/uniprot/MOM1_ARATH","MOM1_ARATH")</f>
        <v>MOM1_ARATH</v>
      </c>
      <c r="D6978" t="s">
        <v>3457</v>
      </c>
      <c r="E6978" s="3" t="s">
        <v>3</v>
      </c>
      <c r="F6978" s="4">
        <v>1.1000000000000001E-112</v>
      </c>
      <c r="G6978" s="3">
        <v>1032</v>
      </c>
      <c r="H6978" s="3">
        <v>42</v>
      </c>
      <c r="I6978" s="3">
        <v>598</v>
      </c>
      <c r="J6978" s="3">
        <v>3651</v>
      </c>
      <c r="K6978" s="3">
        <v>5327</v>
      </c>
      <c r="L6978" s="3">
        <v>470</v>
      </c>
      <c r="M6978" s="3">
        <v>1058</v>
      </c>
    </row>
    <row r="6979" spans="1:13" x14ac:dyDescent="0.25">
      <c r="A6979" s="1" t="str">
        <f>HYPERLINK("http://www.rosaceae.org/Prunus/Prunus_persica/p.persica_gdr_reftransV1_0004778","p.persica_gdr_reftransV1_0004778")</f>
        <v>p.persica_gdr_reftransV1_0004778</v>
      </c>
      <c r="B6979" s="3">
        <v>367</v>
      </c>
      <c r="C6979" s="1" t="str">
        <f>HYPERLINK("http://www.uniprot.org/uniprot/PP246_ARATH","PP246_ARATH")</f>
        <v>PP246_ARATH</v>
      </c>
      <c r="D6979" t="s">
        <v>5648</v>
      </c>
      <c r="E6979" s="3" t="s">
        <v>3</v>
      </c>
      <c r="F6979" s="4">
        <v>6.6299999999999997E-60</v>
      </c>
      <c r="G6979" s="3">
        <v>512</v>
      </c>
      <c r="H6979" s="3">
        <v>75</v>
      </c>
      <c r="I6979" s="3">
        <v>121</v>
      </c>
      <c r="J6979" s="3">
        <v>2</v>
      </c>
      <c r="K6979" s="3">
        <v>364</v>
      </c>
      <c r="L6979" s="3">
        <v>494</v>
      </c>
      <c r="M6979" s="3">
        <v>614</v>
      </c>
    </row>
    <row r="6980" spans="1:13" x14ac:dyDescent="0.25">
      <c r="A6980" s="1" t="str">
        <f>HYPERLINK("http://www.rosaceae.org/Prunus/Prunus_persica/p.persica_gdr_reftransV1_0004828","p.persica_gdr_reftransV1_0004828")</f>
        <v>p.persica_gdr_reftransV1_0004828</v>
      </c>
      <c r="B6980" s="3">
        <v>1574</v>
      </c>
      <c r="C6980" s="1" t="str">
        <f>HYPERLINK("http://www.uniprot.org/uniprot/CSTR3_ARATH","CSTR3_ARATH")</f>
        <v>CSTR3_ARATH</v>
      </c>
      <c r="D6980" t="s">
        <v>5649</v>
      </c>
      <c r="E6980" s="3" t="s">
        <v>3</v>
      </c>
      <c r="F6980" s="4">
        <v>0</v>
      </c>
      <c r="G6980" s="3">
        <v>1793</v>
      </c>
      <c r="H6980" s="3">
        <v>83</v>
      </c>
      <c r="I6980" s="3">
        <v>404</v>
      </c>
      <c r="J6980" s="3">
        <v>168</v>
      </c>
      <c r="K6980" s="3">
        <v>1376</v>
      </c>
      <c r="L6980" s="3">
        <v>1</v>
      </c>
      <c r="M6980" s="3">
        <v>404</v>
      </c>
    </row>
    <row r="6981" spans="1:13" x14ac:dyDescent="0.25">
      <c r="A6981" s="1" t="str">
        <f>HYPERLINK("http://www.rosaceae.org/Prunus/Prunus_persica/p.persica_gdr_reftransV1_0004878","p.persica_gdr_reftransV1_0004878")</f>
        <v>p.persica_gdr_reftransV1_0004878</v>
      </c>
      <c r="B6981" s="3">
        <v>556</v>
      </c>
      <c r="C6981" s="1" t="str">
        <f>HYPERLINK("http://www.uniprot.org/uniprot/EST_HEVBR","EST_HEVBR")</f>
        <v>EST_HEVBR</v>
      </c>
      <c r="D6981" t="s">
        <v>5650</v>
      </c>
      <c r="E6981" s="3" t="s">
        <v>24</v>
      </c>
      <c r="F6981" s="4">
        <v>4E-90</v>
      </c>
      <c r="G6981" s="3">
        <v>704</v>
      </c>
      <c r="H6981" s="3">
        <v>70</v>
      </c>
      <c r="I6981" s="3">
        <v>186</v>
      </c>
      <c r="J6981" s="3">
        <v>1</v>
      </c>
      <c r="K6981" s="3">
        <v>555</v>
      </c>
      <c r="L6981" s="3">
        <v>69</v>
      </c>
      <c r="M6981" s="3">
        <v>253</v>
      </c>
    </row>
    <row r="6982" spans="1:13" x14ac:dyDescent="0.25">
      <c r="A6982" s="1" t="str">
        <f>HYPERLINK("http://www.rosaceae.org/Prunus/Prunus_persica/p.persica_gdr_reftransV1_0004928","p.persica_gdr_reftransV1_0004928")</f>
        <v>p.persica_gdr_reftransV1_0004928</v>
      </c>
      <c r="B6982" s="3">
        <v>2453</v>
      </c>
      <c r="C6982" s="1" t="str">
        <f>HYPERLINK("http://www.uniprot.org/uniprot/UBA2C_ARATH","UBA2C_ARATH")</f>
        <v>UBA2C_ARATH</v>
      </c>
      <c r="D6982" t="s">
        <v>188</v>
      </c>
      <c r="E6982" s="3" t="s">
        <v>3</v>
      </c>
      <c r="F6982" s="4">
        <v>4.8700000000000003E-102</v>
      </c>
      <c r="G6982" s="3">
        <v>840</v>
      </c>
      <c r="H6982" s="3">
        <v>70</v>
      </c>
      <c r="I6982" s="3">
        <v>246</v>
      </c>
      <c r="J6982" s="3">
        <v>97</v>
      </c>
      <c r="K6982" s="3">
        <v>825</v>
      </c>
      <c r="L6982" s="3">
        <v>1</v>
      </c>
      <c r="M6982" s="3">
        <v>243</v>
      </c>
    </row>
    <row r="6983" spans="1:13" x14ac:dyDescent="0.25">
      <c r="A6983" s="1" t="str">
        <f>HYPERLINK("http://www.rosaceae.org/Prunus/Prunus_persica/p.persica_gdr_reftransV1_0004978","p.persica_gdr_reftransV1_0004978")</f>
        <v>p.persica_gdr_reftransV1_0004978</v>
      </c>
      <c r="B6983" s="3">
        <v>1087</v>
      </c>
      <c r="C6983" s="1" t="str">
        <f>HYPERLINK("http://www.uniprot.org/uniprot/WRK65_ARATH","WRK65_ARATH")</f>
        <v>WRK65_ARATH</v>
      </c>
      <c r="D6983" t="s">
        <v>5340</v>
      </c>
      <c r="E6983" s="3" t="s">
        <v>3</v>
      </c>
      <c r="F6983" s="4">
        <v>3.6400000000000001E-40</v>
      </c>
      <c r="G6983" s="3">
        <v>373</v>
      </c>
      <c r="H6983" s="3">
        <v>72</v>
      </c>
      <c r="I6983" s="3">
        <v>92</v>
      </c>
      <c r="J6983" s="3">
        <v>313</v>
      </c>
      <c r="K6983" s="3">
        <v>573</v>
      </c>
      <c r="L6983" s="3">
        <v>45</v>
      </c>
      <c r="M6983" s="3">
        <v>136</v>
      </c>
    </row>
    <row r="6984" spans="1:13" x14ac:dyDescent="0.25">
      <c r="A6984" s="1" t="str">
        <f>HYPERLINK("http://www.rosaceae.org/Prunus/Prunus_persica/p.persica_gdr_reftransV1_0005078","p.persica_gdr_reftransV1_0005078")</f>
        <v>p.persica_gdr_reftransV1_0005078</v>
      </c>
      <c r="B6984" s="3">
        <v>614</v>
      </c>
      <c r="C6984" s="1" t="str">
        <f>HYPERLINK("http://www.uniprot.org/uniprot/UBP12_ARATH","UBP12_ARATH")</f>
        <v>UBP12_ARATH</v>
      </c>
      <c r="D6984" t="s">
        <v>5651</v>
      </c>
      <c r="E6984" s="3" t="s">
        <v>3</v>
      </c>
      <c r="F6984" s="4">
        <v>5.6299999999999998E-46</v>
      </c>
      <c r="G6984" s="3">
        <v>424</v>
      </c>
      <c r="H6984" s="3">
        <v>60</v>
      </c>
      <c r="I6984" s="3">
        <v>129</v>
      </c>
      <c r="J6984" s="3">
        <v>75</v>
      </c>
      <c r="K6984" s="3">
        <v>461</v>
      </c>
      <c r="L6984" s="3">
        <v>57</v>
      </c>
      <c r="M6984" s="3">
        <v>182</v>
      </c>
    </row>
    <row r="6985" spans="1:13" x14ac:dyDescent="0.25">
      <c r="A6985" s="1" t="str">
        <f>HYPERLINK("http://www.rosaceae.org/Prunus/Prunus_persica/p.persica_gdr_reftransV1_0005178","p.persica_gdr_reftransV1_0005178")</f>
        <v>p.persica_gdr_reftransV1_0005178</v>
      </c>
      <c r="B6985" s="3">
        <v>1641</v>
      </c>
      <c r="C6985" s="1" t="str">
        <f>HYPERLINK("http://www.uniprot.org/uniprot/PP299_ARATH","PP299_ARATH")</f>
        <v>PP299_ARATH</v>
      </c>
      <c r="D6985" t="s">
        <v>5652</v>
      </c>
      <c r="E6985" s="3" t="s">
        <v>3</v>
      </c>
      <c r="F6985" s="4">
        <v>0</v>
      </c>
      <c r="G6985" s="3">
        <v>1713</v>
      </c>
      <c r="H6985" s="3">
        <v>62</v>
      </c>
      <c r="I6985" s="3">
        <v>548</v>
      </c>
      <c r="J6985" s="3">
        <v>7</v>
      </c>
      <c r="K6985" s="3">
        <v>1575</v>
      </c>
      <c r="L6985" s="3">
        <v>1</v>
      </c>
      <c r="M6985" s="3">
        <v>547</v>
      </c>
    </row>
    <row r="6986" spans="1:13" x14ac:dyDescent="0.25">
      <c r="A6986" s="1" t="str">
        <f>HYPERLINK("http://www.rosaceae.org/Prunus/Prunus_persica/p.persica_gdr_reftransV1_0005278","p.persica_gdr_reftransV1_0005278")</f>
        <v>p.persica_gdr_reftransV1_0005278</v>
      </c>
      <c r="B6986" s="3">
        <v>893</v>
      </c>
      <c r="C6986" s="1" t="str">
        <f>HYPERLINK("http://www.uniprot.org/uniprot/DCTP1_RAT","DCTP1_RAT")</f>
        <v>DCTP1_RAT</v>
      </c>
      <c r="D6986" t="s">
        <v>5441</v>
      </c>
      <c r="E6986" s="3" t="s">
        <v>161</v>
      </c>
      <c r="F6986" s="4">
        <v>6.6500000000000001E-18</v>
      </c>
      <c r="G6986" s="3">
        <v>204</v>
      </c>
      <c r="H6986" s="3">
        <v>56</v>
      </c>
      <c r="I6986" s="3">
        <v>106</v>
      </c>
      <c r="J6986" s="3">
        <v>190</v>
      </c>
      <c r="K6986" s="3">
        <v>507</v>
      </c>
      <c r="L6986" s="3">
        <v>30</v>
      </c>
      <c r="M6986" s="3">
        <v>135</v>
      </c>
    </row>
    <row r="6987" spans="1:13" x14ac:dyDescent="0.25">
      <c r="A6987" s="1" t="str">
        <f>HYPERLINK("http://www.rosaceae.org/Prunus/Prunus_persica/p.persica_gdr_reftransV1_0005428","p.persica_gdr_reftransV1_0005428")</f>
        <v>p.persica_gdr_reftransV1_0005428</v>
      </c>
      <c r="B6987" s="3">
        <v>925</v>
      </c>
      <c r="C6987" s="1" t="str">
        <f>HYPERLINK("http://www.uniprot.org/uniprot/TATB_HERAR","TATB_HERAR")</f>
        <v>TATB_HERAR</v>
      </c>
      <c r="D6987" t="s">
        <v>144</v>
      </c>
      <c r="E6987" s="3" t="s">
        <v>145</v>
      </c>
      <c r="F6987" s="4">
        <v>7.8699999999999997E-8</v>
      </c>
      <c r="G6987" s="3">
        <v>130</v>
      </c>
      <c r="H6987" s="3">
        <v>32</v>
      </c>
      <c r="I6987" s="3">
        <v>74</v>
      </c>
      <c r="J6987" s="3">
        <v>498</v>
      </c>
      <c r="K6987" s="3">
        <v>719</v>
      </c>
      <c r="L6987" s="3">
        <v>1</v>
      </c>
      <c r="M6987" s="3">
        <v>74</v>
      </c>
    </row>
    <row r="6988" spans="1:13" x14ac:dyDescent="0.25">
      <c r="A6988" s="1" t="str">
        <f>HYPERLINK("http://www.rosaceae.org/Prunus/Prunus_persica/p.persica_gdr_reftransV1_0005478","p.persica_gdr_reftransV1_0005478")</f>
        <v>p.persica_gdr_reftransV1_0005478</v>
      </c>
      <c r="B6988" s="3">
        <v>1396</v>
      </c>
      <c r="C6988" s="1" t="str">
        <f>HYPERLINK("http://www.uniprot.org/uniprot/WDR89_DICDI","WDR89_DICDI")</f>
        <v>WDR89_DICDI</v>
      </c>
      <c r="D6988" t="s">
        <v>5653</v>
      </c>
      <c r="E6988" s="3" t="s">
        <v>9</v>
      </c>
      <c r="F6988" s="4">
        <v>1.53E-38</v>
      </c>
      <c r="G6988" s="3">
        <v>374</v>
      </c>
      <c r="H6988" s="3">
        <v>34</v>
      </c>
      <c r="I6988" s="3">
        <v>277</v>
      </c>
      <c r="J6988" s="3">
        <v>359</v>
      </c>
      <c r="K6988" s="3">
        <v>1183</v>
      </c>
      <c r="L6988" s="3">
        <v>40</v>
      </c>
      <c r="M6988" s="3">
        <v>303</v>
      </c>
    </row>
    <row r="6989" spans="1:13" x14ac:dyDescent="0.25">
      <c r="A6989" s="1" t="str">
        <f>HYPERLINK("http://www.rosaceae.org/Prunus/Prunus_persica/p.persica_gdr_reftransV1_0005678","p.persica_gdr_reftransV1_0005678")</f>
        <v>p.persica_gdr_reftransV1_0005678</v>
      </c>
      <c r="B6989" s="3">
        <v>547</v>
      </c>
      <c r="C6989" s="1" t="str">
        <f>HYPERLINK("http://www.uniprot.org/uniprot/PXL1_ARATH","PXL1_ARATH")</f>
        <v>PXL1_ARATH</v>
      </c>
      <c r="D6989" t="s">
        <v>5351</v>
      </c>
      <c r="E6989" s="3" t="s">
        <v>3</v>
      </c>
      <c r="F6989" s="4">
        <v>3.0699999999999998E-21</v>
      </c>
      <c r="G6989" s="3">
        <v>237</v>
      </c>
      <c r="H6989" s="3">
        <v>39</v>
      </c>
      <c r="I6989" s="3">
        <v>178</v>
      </c>
      <c r="J6989" s="3">
        <v>13</v>
      </c>
      <c r="K6989" s="3">
        <v>546</v>
      </c>
      <c r="L6989" s="3">
        <v>154</v>
      </c>
      <c r="M6989" s="3">
        <v>324</v>
      </c>
    </row>
    <row r="6990" spans="1:13" x14ac:dyDescent="0.25">
      <c r="A6990" s="1" t="str">
        <f>HYPERLINK("http://www.rosaceae.org/Prunus/Prunus_persica/p.persica_gdr_reftransV1_0005778","p.persica_gdr_reftransV1_0005778")</f>
        <v>p.persica_gdr_reftransV1_0005778</v>
      </c>
      <c r="B6990" s="3">
        <v>479</v>
      </c>
      <c r="C6990" s="1" t="str">
        <f>HYPERLINK("http://www.uniprot.org/uniprot/Y2579_ARATH","Y2579_ARATH")</f>
        <v>Y2579_ARATH</v>
      </c>
      <c r="D6990" t="s">
        <v>5654</v>
      </c>
      <c r="E6990" s="3" t="s">
        <v>3</v>
      </c>
      <c r="F6990" s="4">
        <v>5.5000000000000004E-12</v>
      </c>
      <c r="G6990" s="3">
        <v>163</v>
      </c>
      <c r="H6990" s="3">
        <v>37</v>
      </c>
      <c r="I6990" s="3">
        <v>164</v>
      </c>
      <c r="J6990" s="3">
        <v>6</v>
      </c>
      <c r="K6990" s="3">
        <v>479</v>
      </c>
      <c r="L6990" s="3">
        <v>150</v>
      </c>
      <c r="M6990" s="3">
        <v>307</v>
      </c>
    </row>
    <row r="6991" spans="1:13" x14ac:dyDescent="0.25">
      <c r="A6991" s="1" t="str">
        <f>HYPERLINK("http://www.rosaceae.org/Prunus/Prunus_persica/p.persica_gdr_reftransV1_0005878","p.persica_gdr_reftransV1_0005878")</f>
        <v>p.persica_gdr_reftransV1_0005878</v>
      </c>
      <c r="B6991" s="3">
        <v>1335</v>
      </c>
      <c r="C6991" s="1" t="str">
        <f>HYPERLINK("http://www.uniprot.org/uniprot/PSAH_BRACM","PSAH_BRACM")</f>
        <v>PSAH_BRACM</v>
      </c>
      <c r="D6991" t="s">
        <v>5655</v>
      </c>
      <c r="E6991" s="3" t="s">
        <v>825</v>
      </c>
      <c r="F6991" s="4">
        <v>1.3199999999999999E-38</v>
      </c>
      <c r="G6991" s="3">
        <v>357</v>
      </c>
      <c r="H6991" s="3">
        <v>72</v>
      </c>
      <c r="I6991" s="3">
        <v>93</v>
      </c>
      <c r="J6991" s="3">
        <v>120</v>
      </c>
      <c r="K6991" s="3">
        <v>395</v>
      </c>
      <c r="L6991" s="3">
        <v>1</v>
      </c>
      <c r="M6991" s="3">
        <v>93</v>
      </c>
    </row>
    <row r="6992" spans="1:13" x14ac:dyDescent="0.25">
      <c r="A6992" s="1" t="str">
        <f>HYPERLINK("http://www.rosaceae.org/Prunus/Prunus_persica/p.persica_gdr_reftransV1_0005928","p.persica_gdr_reftransV1_0005928")</f>
        <v>p.persica_gdr_reftransV1_0005928</v>
      </c>
      <c r="B6992" s="3">
        <v>358</v>
      </c>
      <c r="C6992" s="1" t="str">
        <f>HYPERLINK("http://www.uniprot.org/uniprot/RLM1A_ARATH","RLM1A_ARATH")</f>
        <v>RLM1A_ARATH</v>
      </c>
      <c r="D6992" t="s">
        <v>4662</v>
      </c>
      <c r="E6992" s="3" t="s">
        <v>3</v>
      </c>
      <c r="F6992" s="4">
        <v>6.2699999999999997E-12</v>
      </c>
      <c r="G6992" s="3">
        <v>160</v>
      </c>
      <c r="H6992" s="3">
        <v>34</v>
      </c>
      <c r="I6992" s="3">
        <v>114</v>
      </c>
      <c r="J6992" s="3">
        <v>6</v>
      </c>
      <c r="K6992" s="3">
        <v>329</v>
      </c>
      <c r="L6992" s="3">
        <v>161</v>
      </c>
      <c r="M6992" s="3">
        <v>272</v>
      </c>
    </row>
    <row r="6993" spans="1:13" x14ac:dyDescent="0.25">
      <c r="A6993" s="1" t="str">
        <f>HYPERLINK("http://www.rosaceae.org/Prunus/Prunus_persica/p.persica_gdr_reftransV1_0006078","p.persica_gdr_reftransV1_0006078")</f>
        <v>p.persica_gdr_reftransV1_0006078</v>
      </c>
      <c r="B6993" s="3">
        <v>1704</v>
      </c>
      <c r="C6993" s="1" t="str">
        <f>HYPERLINK("http://www.uniprot.org/uniprot/GDT11_ARATH","GDT11_ARATH")</f>
        <v>GDT11_ARATH</v>
      </c>
      <c r="D6993" t="s">
        <v>5656</v>
      </c>
      <c r="E6993" s="3" t="s">
        <v>3</v>
      </c>
      <c r="F6993" s="4">
        <v>5.7299999999999996E-103</v>
      </c>
      <c r="G6993" s="3">
        <v>825</v>
      </c>
      <c r="H6993" s="3">
        <v>62</v>
      </c>
      <c r="I6993" s="3">
        <v>344</v>
      </c>
      <c r="J6993" s="3">
        <v>448</v>
      </c>
      <c r="K6993" s="3">
        <v>1464</v>
      </c>
      <c r="L6993" s="3">
        <v>40</v>
      </c>
      <c r="M6993" s="3">
        <v>370</v>
      </c>
    </row>
    <row r="6994" spans="1:13" x14ac:dyDescent="0.25">
      <c r="A6994" s="1" t="str">
        <f>HYPERLINK("http://www.rosaceae.org/Prunus/Prunus_persica/p.persica_gdr_reftransV1_0006128","p.persica_gdr_reftransV1_0006128")</f>
        <v>p.persica_gdr_reftransV1_0006128</v>
      </c>
      <c r="B6994" s="3">
        <v>482</v>
      </c>
      <c r="C6994" s="1" t="str">
        <f>HYPERLINK("http://www.uniprot.org/uniprot/MYO11_ARATH","MYO11_ARATH")</f>
        <v>MYO11_ARATH</v>
      </c>
      <c r="D6994" t="s">
        <v>5657</v>
      </c>
      <c r="E6994" s="3" t="s">
        <v>3</v>
      </c>
      <c r="F6994" s="4">
        <v>4.8099999999999998E-102</v>
      </c>
      <c r="G6994" s="3">
        <v>832</v>
      </c>
      <c r="H6994" s="3">
        <v>93</v>
      </c>
      <c r="I6994" s="3">
        <v>160</v>
      </c>
      <c r="J6994" s="3">
        <v>2</v>
      </c>
      <c r="K6994" s="3">
        <v>481</v>
      </c>
      <c r="L6994" s="3">
        <v>1302</v>
      </c>
      <c r="M6994" s="3">
        <v>1461</v>
      </c>
    </row>
    <row r="6995" spans="1:13" x14ac:dyDescent="0.25">
      <c r="A6995" s="1" t="str">
        <f>HYPERLINK("http://www.rosaceae.org/Prunus/Prunus_persica/p.persica_gdr_reftransV1_0006228","p.persica_gdr_reftransV1_0006228")</f>
        <v>p.persica_gdr_reftransV1_0006228</v>
      </c>
      <c r="B6995" s="3">
        <v>1725</v>
      </c>
      <c r="C6995" s="1" t="str">
        <f>HYPERLINK("http://www.uniprot.org/uniprot/UGT_FRAAN","UGT_FRAAN")</f>
        <v>UGT_FRAAN</v>
      </c>
      <c r="D6995" t="s">
        <v>5658</v>
      </c>
      <c r="E6995" s="3" t="s">
        <v>15</v>
      </c>
      <c r="F6995" s="4">
        <v>0</v>
      </c>
      <c r="G6995" s="3">
        <v>1863</v>
      </c>
      <c r="H6995" s="3">
        <v>77</v>
      </c>
      <c r="I6995" s="3">
        <v>476</v>
      </c>
      <c r="J6995" s="3">
        <v>26</v>
      </c>
      <c r="K6995" s="3">
        <v>1444</v>
      </c>
      <c r="L6995" s="3">
        <v>1</v>
      </c>
      <c r="M6995" s="3">
        <v>475</v>
      </c>
    </row>
    <row r="6996" spans="1:13" x14ac:dyDescent="0.25">
      <c r="A6996" s="1" t="str">
        <f>HYPERLINK("http://www.rosaceae.org/Prunus/Prunus_persica/p.persica_gdr_reftransV1_0006278","p.persica_gdr_reftransV1_0006278")</f>
        <v>p.persica_gdr_reftransV1_0006278</v>
      </c>
      <c r="B6996" s="3">
        <v>1170</v>
      </c>
      <c r="C6996" s="1" t="str">
        <f>HYPERLINK("http://www.uniprot.org/uniprot/Y8948_DICDI","Y8948_DICDI")</f>
        <v>Y8948_DICDI</v>
      </c>
      <c r="D6996" t="s">
        <v>2706</v>
      </c>
      <c r="E6996" s="3" t="s">
        <v>9</v>
      </c>
      <c r="F6996" s="4">
        <v>2.3100000000000001E-24</v>
      </c>
      <c r="G6996" s="3">
        <v>260</v>
      </c>
      <c r="H6996" s="3">
        <v>31</v>
      </c>
      <c r="I6996" s="3">
        <v>256</v>
      </c>
      <c r="J6996" s="3">
        <v>326</v>
      </c>
      <c r="K6996" s="3">
        <v>1066</v>
      </c>
      <c r="L6996" s="3">
        <v>22</v>
      </c>
      <c r="M6996" s="3">
        <v>261</v>
      </c>
    </row>
    <row r="6997" spans="1:13" x14ac:dyDescent="0.25">
      <c r="A6997" s="1" t="str">
        <f>HYPERLINK("http://www.rosaceae.org/Prunus/Prunus_persica/p.persica_gdr_reftransV1_0006528","p.persica_gdr_reftransV1_0006528")</f>
        <v>p.persica_gdr_reftransV1_0006528</v>
      </c>
      <c r="B6997" s="3">
        <v>1399</v>
      </c>
      <c r="C6997" s="1" t="str">
        <f>HYPERLINK("http://www.uniprot.org/uniprot/KAT3_ARATH","KAT3_ARATH")</f>
        <v>KAT3_ARATH</v>
      </c>
      <c r="D6997" t="s">
        <v>4359</v>
      </c>
      <c r="E6997" s="3" t="s">
        <v>3</v>
      </c>
      <c r="F6997" s="4">
        <v>0</v>
      </c>
      <c r="G6997" s="3">
        <v>1410</v>
      </c>
      <c r="H6997" s="3">
        <v>66</v>
      </c>
      <c r="I6997" s="3">
        <v>432</v>
      </c>
      <c r="J6997" s="3">
        <v>104</v>
      </c>
      <c r="K6997" s="3">
        <v>1399</v>
      </c>
      <c r="L6997" s="3">
        <v>39</v>
      </c>
      <c r="M6997" s="3">
        <v>470</v>
      </c>
    </row>
    <row r="6998" spans="1:13" x14ac:dyDescent="0.25">
      <c r="A6998" s="1" t="str">
        <f>HYPERLINK("http://www.rosaceae.org/Prunus/Prunus_persica/p.persica_gdr_reftransV1_0006628","p.persica_gdr_reftransV1_0006628")</f>
        <v>p.persica_gdr_reftransV1_0006628</v>
      </c>
      <c r="B6998" s="3">
        <v>737</v>
      </c>
      <c r="C6998" s="1" t="str">
        <f>HYPERLINK("http://www.uniprot.org/uniprot/3HidH_ARATH","3HidH_ARATH")</f>
        <v>3HidH_ARATH</v>
      </c>
      <c r="D6998" t="s">
        <v>5659</v>
      </c>
      <c r="E6998" s="3" t="s">
        <v>3</v>
      </c>
      <c r="F6998" s="4">
        <v>8.9200000000000002E-97</v>
      </c>
      <c r="G6998" s="3">
        <v>751</v>
      </c>
      <c r="H6998" s="3">
        <v>77</v>
      </c>
      <c r="I6998" s="3">
        <v>176</v>
      </c>
      <c r="J6998" s="3">
        <v>3</v>
      </c>
      <c r="K6998" s="3">
        <v>530</v>
      </c>
      <c r="L6998" s="3">
        <v>172</v>
      </c>
      <c r="M6998" s="3">
        <v>347</v>
      </c>
    </row>
    <row r="6999" spans="1:13" x14ac:dyDescent="0.25">
      <c r="A6999" s="1" t="str">
        <f>HYPERLINK("http://www.rosaceae.org/Prunus/Prunus_persica/p.persica_gdr_reftransV1_0006728","p.persica_gdr_reftransV1_0006728")</f>
        <v>p.persica_gdr_reftransV1_0006728</v>
      </c>
      <c r="B6999" s="3">
        <v>2238</v>
      </c>
      <c r="C6999" s="1" t="str">
        <f>HYPERLINK("http://www.uniprot.org/uniprot/ACEA_GOSHI","ACEA_GOSHI")</f>
        <v>ACEA_GOSHI</v>
      </c>
      <c r="D6999" t="s">
        <v>5660</v>
      </c>
      <c r="E6999" s="3" t="s">
        <v>816</v>
      </c>
      <c r="F6999" s="4">
        <v>0</v>
      </c>
      <c r="G6999" s="3">
        <v>2756</v>
      </c>
      <c r="H6999" s="3">
        <v>88</v>
      </c>
      <c r="I6999" s="3">
        <v>576</v>
      </c>
      <c r="J6999" s="3">
        <v>360</v>
      </c>
      <c r="K6999" s="3">
        <v>2084</v>
      </c>
      <c r="L6999" s="3">
        <v>1</v>
      </c>
      <c r="M6999" s="3">
        <v>576</v>
      </c>
    </row>
    <row r="7000" spans="1:13" x14ac:dyDescent="0.25">
      <c r="A7000" s="1" t="str">
        <f>HYPERLINK("http://www.rosaceae.org/Prunus/Prunus_persica/p.persica_gdr_reftransV1_0006928","p.persica_gdr_reftransV1_0006928")</f>
        <v>p.persica_gdr_reftransV1_0006928</v>
      </c>
      <c r="B7000" s="3">
        <v>1536</v>
      </c>
      <c r="C7000" s="1" t="str">
        <f>HYPERLINK("http://www.uniprot.org/uniprot/PCP_MOUSE","PCP_MOUSE")</f>
        <v>PCP_MOUSE</v>
      </c>
      <c r="D7000" t="s">
        <v>5661</v>
      </c>
      <c r="E7000" s="3" t="s">
        <v>157</v>
      </c>
      <c r="F7000" s="4">
        <v>2.0399999999999999E-42</v>
      </c>
      <c r="G7000" s="3">
        <v>411</v>
      </c>
      <c r="H7000" s="3">
        <v>33</v>
      </c>
      <c r="I7000" s="3">
        <v>281</v>
      </c>
      <c r="J7000" s="3">
        <v>5</v>
      </c>
      <c r="K7000" s="3">
        <v>796</v>
      </c>
      <c r="L7000" s="3">
        <v>216</v>
      </c>
      <c r="M7000" s="3">
        <v>491</v>
      </c>
    </row>
    <row r="7001" spans="1:13" x14ac:dyDescent="0.25">
      <c r="A7001" s="1" t="str">
        <f>HYPERLINK("http://www.rosaceae.org/Prunus/Prunus_persica/p.persica_gdr_reftransV1_0007028","p.persica_gdr_reftransV1_0007028")</f>
        <v>p.persica_gdr_reftransV1_0007028</v>
      </c>
      <c r="B7001" s="3">
        <v>1867</v>
      </c>
      <c r="C7001" s="1" t="str">
        <f>HYPERLINK("http://www.uniprot.org/uniprot/C7A10_PANGI","C7A10_PANGI")</f>
        <v>C7A10_PANGI</v>
      </c>
      <c r="D7001" t="s">
        <v>5662</v>
      </c>
      <c r="E7001" s="3" t="s">
        <v>1477</v>
      </c>
      <c r="F7001" s="4">
        <v>0</v>
      </c>
      <c r="G7001" s="3">
        <v>2032</v>
      </c>
      <c r="H7001" s="3">
        <v>86</v>
      </c>
      <c r="I7001" s="3">
        <v>480</v>
      </c>
      <c r="J7001" s="3">
        <v>220</v>
      </c>
      <c r="K7001" s="3">
        <v>1653</v>
      </c>
      <c r="L7001" s="3">
        <v>54</v>
      </c>
      <c r="M7001" s="3">
        <v>531</v>
      </c>
    </row>
    <row r="7002" spans="1:13" x14ac:dyDescent="0.25">
      <c r="A7002" s="1" t="str">
        <f>HYPERLINK("http://www.rosaceae.org/Prunus/Prunus_persica/p.persica_gdr_reftransV1_0007128","p.persica_gdr_reftransV1_0007128")</f>
        <v>p.persica_gdr_reftransV1_0007128</v>
      </c>
      <c r="B7002" s="3">
        <v>438</v>
      </c>
      <c r="C7002" s="1" t="str">
        <f>HYPERLINK("http://www.uniprot.org/uniprot/CSLD1_ORYSJ","CSLD1_ORYSJ")</f>
        <v>CSLD1_ORYSJ</v>
      </c>
      <c r="D7002" t="s">
        <v>5663</v>
      </c>
      <c r="E7002" s="3" t="s">
        <v>38</v>
      </c>
      <c r="F7002" s="4">
        <v>3.8699999999999999E-56</v>
      </c>
      <c r="G7002" s="3">
        <v>493</v>
      </c>
      <c r="H7002" s="3">
        <v>77</v>
      </c>
      <c r="I7002" s="3">
        <v>110</v>
      </c>
      <c r="J7002" s="3">
        <v>2</v>
      </c>
      <c r="K7002" s="3">
        <v>331</v>
      </c>
      <c r="L7002" s="3">
        <v>263</v>
      </c>
      <c r="M7002" s="3">
        <v>372</v>
      </c>
    </row>
    <row r="7003" spans="1:13" x14ac:dyDescent="0.25">
      <c r="A7003" s="1" t="str">
        <f>HYPERLINK("http://www.rosaceae.org/Prunus/Prunus_persica/p.persica_gdr_reftransV1_0007428","p.persica_gdr_reftransV1_0007428")</f>
        <v>p.persica_gdr_reftransV1_0007428</v>
      </c>
      <c r="B7003" s="3">
        <v>578</v>
      </c>
      <c r="C7003" s="1" t="str">
        <f>HYPERLINK("http://www.uniprot.org/uniprot/PPR30_ARATH","PPR30_ARATH")</f>
        <v>PPR30_ARATH</v>
      </c>
      <c r="D7003" t="s">
        <v>5664</v>
      </c>
      <c r="E7003" s="3" t="s">
        <v>3</v>
      </c>
      <c r="F7003" s="4">
        <v>2.7500000000000001E-39</v>
      </c>
      <c r="G7003" s="3">
        <v>364</v>
      </c>
      <c r="H7003" s="3">
        <v>65</v>
      </c>
      <c r="I7003" s="3">
        <v>100</v>
      </c>
      <c r="J7003" s="3">
        <v>1</v>
      </c>
      <c r="K7003" s="3">
        <v>300</v>
      </c>
      <c r="L7003" s="3">
        <v>367</v>
      </c>
      <c r="M7003" s="3">
        <v>466</v>
      </c>
    </row>
    <row r="7004" spans="1:13" x14ac:dyDescent="0.25">
      <c r="A7004" s="1" t="str">
        <f>HYPERLINK("http://www.rosaceae.org/Prunus/Prunus_persica/p.persica_gdr_reftransV1_0007478","p.persica_gdr_reftransV1_0007478")</f>
        <v>p.persica_gdr_reftransV1_0007478</v>
      </c>
      <c r="B7004" s="3">
        <v>1706</v>
      </c>
      <c r="C7004" s="1" t="str">
        <f>HYPERLINK("http://www.uniprot.org/uniprot/DOF36_ARATH","DOF36_ARATH")</f>
        <v>DOF36_ARATH</v>
      </c>
      <c r="D7004" t="s">
        <v>5665</v>
      </c>
      <c r="E7004" s="3" t="s">
        <v>3</v>
      </c>
      <c r="F7004" s="4">
        <v>1.32E-34</v>
      </c>
      <c r="G7004" s="3">
        <v>345</v>
      </c>
      <c r="H7004" s="3">
        <v>43</v>
      </c>
      <c r="I7004" s="3">
        <v>332</v>
      </c>
      <c r="J7004" s="3">
        <v>183</v>
      </c>
      <c r="K7004" s="3">
        <v>1151</v>
      </c>
      <c r="L7004" s="3">
        <v>1</v>
      </c>
      <c r="M7004" s="3">
        <v>288</v>
      </c>
    </row>
    <row r="7005" spans="1:13" x14ac:dyDescent="0.25">
      <c r="A7005" s="1" t="str">
        <f>HYPERLINK("http://www.rosaceae.org/Prunus/Prunus_persica/p.persica_gdr_reftransV1_0007578","p.persica_gdr_reftransV1_0007578")</f>
        <v>p.persica_gdr_reftransV1_0007578</v>
      </c>
      <c r="B7005" s="3">
        <v>4332</v>
      </c>
      <c r="C7005" s="1" t="str">
        <f>HYPERLINK("http://www.uniprot.org/uniprot/C2GR1_ARATH","C2GR1_ARATH")</f>
        <v>C2GR1_ARATH</v>
      </c>
      <c r="D7005" t="s">
        <v>4192</v>
      </c>
      <c r="E7005" s="3" t="s">
        <v>3</v>
      </c>
      <c r="F7005" s="4">
        <v>0</v>
      </c>
      <c r="G7005" s="3">
        <v>2688</v>
      </c>
      <c r="H7005" s="3">
        <v>69</v>
      </c>
      <c r="I7005" s="3">
        <v>751</v>
      </c>
      <c r="J7005" s="3">
        <v>1576</v>
      </c>
      <c r="K7005" s="3">
        <v>3807</v>
      </c>
      <c r="L7005" s="3">
        <v>1</v>
      </c>
      <c r="M7005" s="3">
        <v>742</v>
      </c>
    </row>
    <row r="7006" spans="1:13" x14ac:dyDescent="0.25">
      <c r="A7006" s="1" t="str">
        <f>HYPERLINK("http://www.rosaceae.org/Prunus/Prunus_persica/p.persica_gdr_reftransV1_0007728","p.persica_gdr_reftransV1_0007728")</f>
        <v>p.persica_gdr_reftransV1_0007728</v>
      </c>
      <c r="B7006" s="3">
        <v>2237</v>
      </c>
      <c r="C7006" s="1" t="str">
        <f>HYPERLINK("http://www.uniprot.org/uniprot/idD14_ARATH","idD14_ARATH")</f>
        <v>idD14_ARATH</v>
      </c>
      <c r="D7006" t="s">
        <v>5666</v>
      </c>
      <c r="E7006" s="3" t="s">
        <v>3</v>
      </c>
      <c r="F7006" s="4">
        <v>4.1399999999999996E-115</v>
      </c>
      <c r="G7006" s="3">
        <v>925</v>
      </c>
      <c r="H7006" s="3">
        <v>47</v>
      </c>
      <c r="I7006" s="3">
        <v>479</v>
      </c>
      <c r="J7006" s="3">
        <v>328</v>
      </c>
      <c r="K7006" s="3">
        <v>1737</v>
      </c>
      <c r="L7006" s="3">
        <v>39</v>
      </c>
      <c r="M7006" s="3">
        <v>411</v>
      </c>
    </row>
    <row r="7007" spans="1:13" x14ac:dyDescent="0.25">
      <c r="A7007" s="1" t="str">
        <f>HYPERLINK("http://www.rosaceae.org/Prunus/Prunus_persica/p.persica_gdr_reftransV1_0007978","p.persica_gdr_reftransV1_0007978")</f>
        <v>p.persica_gdr_reftransV1_0007978</v>
      </c>
      <c r="B7007" s="3">
        <v>534</v>
      </c>
      <c r="C7007" s="1" t="str">
        <f>HYPERLINK("http://www.uniprot.org/uniprot/IF4E2_WHEAT","IF4E2_WHEAT")</f>
        <v>IF4E2_WHEAT</v>
      </c>
      <c r="D7007" t="s">
        <v>5667</v>
      </c>
      <c r="E7007" s="3" t="s">
        <v>710</v>
      </c>
      <c r="F7007" s="4">
        <v>1.8799999999999999E-50</v>
      </c>
      <c r="G7007" s="3">
        <v>424</v>
      </c>
      <c r="H7007" s="3">
        <v>76</v>
      </c>
      <c r="I7007" s="3">
        <v>94</v>
      </c>
      <c r="J7007" s="3">
        <v>1</v>
      </c>
      <c r="K7007" s="3">
        <v>282</v>
      </c>
      <c r="L7007" s="3">
        <v>31</v>
      </c>
      <c r="M7007" s="3">
        <v>124</v>
      </c>
    </row>
    <row r="7008" spans="1:13" x14ac:dyDescent="0.25">
      <c r="A7008" s="1" t="str">
        <f>HYPERLINK("http://www.rosaceae.org/Prunus/Prunus_persica/p.persica_gdr_reftransV1_0008028","p.persica_gdr_reftransV1_0008028")</f>
        <v>p.persica_gdr_reftransV1_0008028</v>
      </c>
      <c r="B7008" s="3">
        <v>479</v>
      </c>
      <c r="C7008" s="1" t="str">
        <f>HYPERLINK("http://www.uniprot.org/uniprot/NFD4_ARATH","NFD4_ARATH")</f>
        <v>NFD4_ARATH</v>
      </c>
      <c r="D7008" t="s">
        <v>404</v>
      </c>
      <c r="E7008" s="3" t="s">
        <v>3</v>
      </c>
      <c r="F7008" s="4">
        <v>9.5199999999999997E-36</v>
      </c>
      <c r="G7008" s="3">
        <v>337</v>
      </c>
      <c r="H7008" s="3">
        <v>57</v>
      </c>
      <c r="I7008" s="3">
        <v>132</v>
      </c>
      <c r="J7008" s="3">
        <v>87</v>
      </c>
      <c r="K7008" s="3">
        <v>479</v>
      </c>
      <c r="L7008" s="3">
        <v>440</v>
      </c>
      <c r="M7008" s="3">
        <v>569</v>
      </c>
    </row>
    <row r="7009" spans="1:13" x14ac:dyDescent="0.25">
      <c r="A7009" s="1" t="str">
        <f>HYPERLINK("http://www.rosaceae.org/Prunus/Prunus_persica/p.persica_gdr_reftransV1_0008078","p.persica_gdr_reftransV1_0008078")</f>
        <v>p.persica_gdr_reftransV1_0008078</v>
      </c>
      <c r="B7009" s="3">
        <v>3337</v>
      </c>
      <c r="C7009" s="1" t="str">
        <f>HYPERLINK("http://www.uniprot.org/uniprot/Y2579_ARATH","Y2579_ARATH")</f>
        <v>Y2579_ARATH</v>
      </c>
      <c r="D7009" t="s">
        <v>5654</v>
      </c>
      <c r="E7009" s="3" t="s">
        <v>3</v>
      </c>
      <c r="F7009" s="4">
        <v>0</v>
      </c>
      <c r="G7009" s="3">
        <v>1659</v>
      </c>
      <c r="H7009" s="3">
        <v>52</v>
      </c>
      <c r="I7009" s="3">
        <v>660</v>
      </c>
      <c r="J7009" s="3">
        <v>1050</v>
      </c>
      <c r="K7009" s="3">
        <v>3002</v>
      </c>
      <c r="L7009" s="3">
        <v>307</v>
      </c>
      <c r="M7009" s="3">
        <v>940</v>
      </c>
    </row>
    <row r="7010" spans="1:13" x14ac:dyDescent="0.25">
      <c r="A7010" s="1" t="str">
        <f>HYPERLINK("http://www.rosaceae.org/Prunus/Prunus_persica/p.persica_gdr_reftransV1_0008278","p.persica_gdr_reftransV1_0008278")</f>
        <v>p.persica_gdr_reftransV1_0008278</v>
      </c>
      <c r="B7010" s="3">
        <v>2806</v>
      </c>
      <c r="C7010" s="1" t="str">
        <f>HYPERLINK("http://www.uniprot.org/uniprot/C04C1_PINTA","C04C1_PINTA")</f>
        <v>C04C1_PINTA</v>
      </c>
      <c r="D7010" t="s">
        <v>2983</v>
      </c>
      <c r="E7010" s="3" t="s">
        <v>1</v>
      </c>
      <c r="F7010" s="4">
        <v>6.6300000000000002E-165</v>
      </c>
      <c r="G7010" s="3">
        <v>1285</v>
      </c>
      <c r="H7010" s="3">
        <v>47</v>
      </c>
      <c r="I7010" s="3">
        <v>521</v>
      </c>
      <c r="J7010" s="3">
        <v>69</v>
      </c>
      <c r="K7010" s="3">
        <v>1574</v>
      </c>
      <c r="L7010" s="3">
        <v>3</v>
      </c>
      <c r="M7010" s="3">
        <v>514</v>
      </c>
    </row>
    <row r="7011" spans="1:13" x14ac:dyDescent="0.25">
      <c r="A7011" s="1" t="str">
        <f>HYPERLINK("http://www.rosaceae.org/Prunus/Prunus_persica/p.persica_gdr_reftransV1_0008478","p.persica_gdr_reftransV1_0008478")</f>
        <v>p.persica_gdr_reftransV1_0008478</v>
      </c>
      <c r="B7011" s="3">
        <v>834</v>
      </c>
      <c r="C7011" s="1" t="str">
        <f>HYPERLINK("http://www.uniprot.org/uniprot/Y3471_ARATH","Y3471_ARATH")</f>
        <v>Y3471_ARATH</v>
      </c>
      <c r="D7011" t="s">
        <v>5668</v>
      </c>
      <c r="E7011" s="3" t="s">
        <v>3</v>
      </c>
      <c r="F7011" s="4">
        <v>1.12E-57</v>
      </c>
      <c r="G7011" s="3">
        <v>517</v>
      </c>
      <c r="H7011" s="3">
        <v>53</v>
      </c>
      <c r="I7011" s="3">
        <v>223</v>
      </c>
      <c r="J7011" s="3">
        <v>10</v>
      </c>
      <c r="K7011" s="3">
        <v>678</v>
      </c>
      <c r="L7011" s="3">
        <v>341</v>
      </c>
      <c r="M7011" s="3">
        <v>562</v>
      </c>
    </row>
    <row r="7012" spans="1:13" x14ac:dyDescent="0.25">
      <c r="A7012" s="1" t="str">
        <f>HYPERLINK("http://www.rosaceae.org/Prunus/Prunus_persica/p.persica_gdr_reftransV1_0008578","p.persica_gdr_reftransV1_0008578")</f>
        <v>p.persica_gdr_reftransV1_0008578</v>
      </c>
      <c r="B7012" s="3">
        <v>2557</v>
      </c>
      <c r="C7012" s="1" t="str">
        <f>HYPERLINK("http://www.uniprot.org/uniprot/PUB34_ARATH","PUB34_ARATH")</f>
        <v>PUB34_ARATH</v>
      </c>
      <c r="D7012" t="s">
        <v>5669</v>
      </c>
      <c r="E7012" s="3" t="s">
        <v>3</v>
      </c>
      <c r="F7012" s="4">
        <v>0</v>
      </c>
      <c r="G7012" s="3">
        <v>1815</v>
      </c>
      <c r="H7012" s="3">
        <v>50</v>
      </c>
      <c r="I7012" s="3">
        <v>772</v>
      </c>
      <c r="J7012" s="3">
        <v>253</v>
      </c>
      <c r="K7012" s="3">
        <v>2454</v>
      </c>
      <c r="L7012" s="3">
        <v>47</v>
      </c>
      <c r="M7012" s="3">
        <v>796</v>
      </c>
    </row>
    <row r="7013" spans="1:13" x14ac:dyDescent="0.25">
      <c r="A7013" s="1" t="str">
        <f>HYPERLINK("http://www.rosaceae.org/Prunus/Prunus_persica/p.persica_gdr_reftransV1_0008628","p.persica_gdr_reftransV1_0008628")</f>
        <v>p.persica_gdr_reftransV1_0008628</v>
      </c>
      <c r="B7013" s="3">
        <v>1270</v>
      </c>
      <c r="C7013" s="1" t="str">
        <f>HYPERLINK("http://www.uniprot.org/uniprot/CDPKK_ARATH","CDPKK_ARATH")</f>
        <v>CDPKK_ARATH</v>
      </c>
      <c r="D7013" t="s">
        <v>5670</v>
      </c>
      <c r="E7013" s="3" t="s">
        <v>3</v>
      </c>
      <c r="F7013" s="4">
        <v>1.01E-91</v>
      </c>
      <c r="G7013" s="3">
        <v>754</v>
      </c>
      <c r="H7013" s="3">
        <v>58</v>
      </c>
      <c r="I7013" s="3">
        <v>273</v>
      </c>
      <c r="J7013" s="3">
        <v>1</v>
      </c>
      <c r="K7013" s="3">
        <v>786</v>
      </c>
      <c r="L7013" s="3">
        <v>1</v>
      </c>
      <c r="M7013" s="3">
        <v>245</v>
      </c>
    </row>
    <row r="7014" spans="1:13" x14ac:dyDescent="0.25">
      <c r="A7014" s="1" t="str">
        <f>HYPERLINK("http://www.rosaceae.org/Prunus/Prunus_persica/p.persica_gdr_reftransV1_0008678","p.persica_gdr_reftransV1_0008678")</f>
        <v>p.persica_gdr_reftransV1_0008678</v>
      </c>
      <c r="B7014" s="3">
        <v>2137</v>
      </c>
      <c r="C7014" s="1" t="str">
        <f>HYPERLINK("http://www.uniprot.org/uniprot/PEK13_ARATH","PEK13_ARATH")</f>
        <v>PEK13_ARATH</v>
      </c>
      <c r="D7014" t="s">
        <v>5671</v>
      </c>
      <c r="E7014" s="3" t="s">
        <v>3</v>
      </c>
      <c r="F7014" s="4">
        <v>2.8699999999999998E-65</v>
      </c>
      <c r="G7014" s="3">
        <v>598</v>
      </c>
      <c r="H7014" s="3">
        <v>40</v>
      </c>
      <c r="I7014" s="3">
        <v>342</v>
      </c>
      <c r="J7014" s="3">
        <v>380</v>
      </c>
      <c r="K7014" s="3">
        <v>1390</v>
      </c>
      <c r="L7014" s="3">
        <v>334</v>
      </c>
      <c r="M7014" s="3">
        <v>658</v>
      </c>
    </row>
    <row r="7015" spans="1:13" x14ac:dyDescent="0.25">
      <c r="A7015" s="1" t="str">
        <f>HYPERLINK("http://www.rosaceae.org/Prunus/Prunus_persica/p.persica_gdr_reftransV1_0008878","p.persica_gdr_reftransV1_0008878")</f>
        <v>p.persica_gdr_reftransV1_0008878</v>
      </c>
      <c r="B7015" s="3">
        <v>2922</v>
      </c>
      <c r="C7015" s="1" t="str">
        <f>HYPERLINK("http://www.uniprot.org/uniprot/AB4F_ARATH","AB4F_ARATH")</f>
        <v>AB4F_ARATH</v>
      </c>
      <c r="D7015" t="s">
        <v>5672</v>
      </c>
      <c r="E7015" s="3" t="s">
        <v>3</v>
      </c>
      <c r="F7015" s="4">
        <v>0</v>
      </c>
      <c r="G7015" s="3">
        <v>2695</v>
      </c>
      <c r="H7015" s="3">
        <v>80</v>
      </c>
      <c r="I7015" s="3">
        <v>711</v>
      </c>
      <c r="J7015" s="3">
        <v>351</v>
      </c>
      <c r="K7015" s="3">
        <v>2459</v>
      </c>
      <c r="L7015" s="3">
        <v>15</v>
      </c>
      <c r="M7015" s="3">
        <v>723</v>
      </c>
    </row>
    <row r="7016" spans="1:13" x14ac:dyDescent="0.25">
      <c r="A7016" s="1" t="str">
        <f>HYPERLINK("http://www.rosaceae.org/Prunus/Prunus_persica/p.persica_gdr_reftransV1_0008928","p.persica_gdr_reftransV1_0008928")</f>
        <v>p.persica_gdr_reftransV1_0008928</v>
      </c>
      <c r="B7016" s="3">
        <v>1125</v>
      </c>
      <c r="C7016" s="1" t="str">
        <f>HYPERLINK("http://www.uniprot.org/uniprot/BUD32_DICDI","BUD32_DICDI")</f>
        <v>BUD32_DICDI</v>
      </c>
      <c r="D7016" t="s">
        <v>5673</v>
      </c>
      <c r="E7016" s="3" t="s">
        <v>9</v>
      </c>
      <c r="F7016" s="4">
        <v>1.0699999999999999E-59</v>
      </c>
      <c r="G7016" s="3">
        <v>507</v>
      </c>
      <c r="H7016" s="3">
        <v>46</v>
      </c>
      <c r="I7016" s="3">
        <v>216</v>
      </c>
      <c r="J7016" s="3">
        <v>334</v>
      </c>
      <c r="K7016" s="3">
        <v>981</v>
      </c>
      <c r="L7016" s="3">
        <v>39</v>
      </c>
      <c r="M7016" s="3">
        <v>252</v>
      </c>
    </row>
    <row r="7017" spans="1:13" x14ac:dyDescent="0.25">
      <c r="A7017" s="1" t="str">
        <f>HYPERLINK("http://www.rosaceae.org/Prunus/Prunus_persica/p.persica_gdr_reftransV1_0008978","p.persica_gdr_reftransV1_0008978")</f>
        <v>p.persica_gdr_reftransV1_0008978</v>
      </c>
      <c r="B7017" s="3">
        <v>1582</v>
      </c>
      <c r="C7017" s="1" t="str">
        <f>HYPERLINK("http://www.uniprot.org/uniprot/LHTL8_ARATH","LHTL8_ARATH")</f>
        <v>LHTL8_ARATH</v>
      </c>
      <c r="D7017" t="s">
        <v>1580</v>
      </c>
      <c r="E7017" s="3" t="s">
        <v>3</v>
      </c>
      <c r="F7017" s="4">
        <v>7.9799999999999994E-136</v>
      </c>
      <c r="G7017" s="3">
        <v>1055</v>
      </c>
      <c r="H7017" s="3">
        <v>53</v>
      </c>
      <c r="I7017" s="3">
        <v>440</v>
      </c>
      <c r="J7017" s="3">
        <v>67</v>
      </c>
      <c r="K7017" s="3">
        <v>1374</v>
      </c>
      <c r="L7017" s="3">
        <v>80</v>
      </c>
      <c r="M7017" s="3">
        <v>517</v>
      </c>
    </row>
    <row r="7018" spans="1:13" x14ac:dyDescent="0.25">
      <c r="A7018" s="1" t="str">
        <f>HYPERLINK("http://www.rosaceae.org/Prunus/Prunus_persica/p.persica_gdr_reftransV1_0009078","p.persica_gdr_reftransV1_0009078")</f>
        <v>p.persica_gdr_reftransV1_0009078</v>
      </c>
      <c r="B7018" s="3">
        <v>965</v>
      </c>
      <c r="C7018" s="1" t="str">
        <f>HYPERLINK("http://www.uniprot.org/uniprot/SODC2_MESCR","SODC2_MESCR")</f>
        <v>SODC2_MESCR</v>
      </c>
      <c r="D7018" t="s">
        <v>5674</v>
      </c>
      <c r="E7018" s="3" t="s">
        <v>2486</v>
      </c>
      <c r="F7018" s="4">
        <v>4.7999999999999998E-81</v>
      </c>
      <c r="G7018" s="3">
        <v>637</v>
      </c>
      <c r="H7018" s="3">
        <v>81</v>
      </c>
      <c r="I7018" s="3">
        <v>150</v>
      </c>
      <c r="J7018" s="3">
        <v>463</v>
      </c>
      <c r="K7018" s="3">
        <v>912</v>
      </c>
      <c r="L7018" s="3">
        <v>1</v>
      </c>
      <c r="M7018" s="3">
        <v>150</v>
      </c>
    </row>
    <row r="7019" spans="1:13" x14ac:dyDescent="0.25">
      <c r="A7019" s="1" t="str">
        <f>HYPERLINK("http://www.rosaceae.org/Prunus/Prunus_persica/p.persica_gdr_reftransV1_0009228","p.persica_gdr_reftransV1_0009228")</f>
        <v>p.persica_gdr_reftransV1_0009228</v>
      </c>
      <c r="B7019" s="3">
        <v>1161</v>
      </c>
      <c r="C7019" s="1" t="str">
        <f>HYPERLINK("http://www.uniprot.org/uniprot/MTP5_ORYSJ","MTP5_ORYSJ")</f>
        <v>MTP5_ORYSJ</v>
      </c>
      <c r="D7019" t="s">
        <v>5675</v>
      </c>
      <c r="E7019" s="3" t="s">
        <v>38</v>
      </c>
      <c r="F7019" s="4">
        <v>1.9199999999999999E-123</v>
      </c>
      <c r="G7019" s="3">
        <v>949</v>
      </c>
      <c r="H7019" s="3">
        <v>85</v>
      </c>
      <c r="I7019" s="3">
        <v>219</v>
      </c>
      <c r="J7019" s="3">
        <v>356</v>
      </c>
      <c r="K7019" s="3">
        <v>1012</v>
      </c>
      <c r="L7019" s="3">
        <v>195</v>
      </c>
      <c r="M7019" s="3">
        <v>413</v>
      </c>
    </row>
    <row r="7020" spans="1:13" x14ac:dyDescent="0.25">
      <c r="A7020" s="1" t="str">
        <f>HYPERLINK("http://www.rosaceae.org/Prunus/Prunus_persica/p.persica_gdr_reftransV1_0009328","p.persica_gdr_reftransV1_0009328")</f>
        <v>p.persica_gdr_reftransV1_0009328</v>
      </c>
      <c r="B7020" s="3">
        <v>2266</v>
      </c>
      <c r="C7020" s="1" t="str">
        <f>HYPERLINK("http://www.uniprot.org/uniprot/4CLL7_ARATH","4CLL7_ARATH")</f>
        <v>4CLL7_ARATH</v>
      </c>
      <c r="D7020" t="s">
        <v>4393</v>
      </c>
      <c r="E7020" s="3" t="s">
        <v>3</v>
      </c>
      <c r="F7020" s="4">
        <v>0</v>
      </c>
      <c r="G7020" s="3">
        <v>1802</v>
      </c>
      <c r="H7020" s="3">
        <v>65</v>
      </c>
      <c r="I7020" s="3">
        <v>545</v>
      </c>
      <c r="J7020" s="3">
        <v>472</v>
      </c>
      <c r="K7020" s="3">
        <v>2091</v>
      </c>
      <c r="L7020" s="3">
        <v>3</v>
      </c>
      <c r="M7020" s="3">
        <v>544</v>
      </c>
    </row>
    <row r="7021" spans="1:13" x14ac:dyDescent="0.25">
      <c r="A7021" s="1" t="str">
        <f>HYPERLINK("http://www.rosaceae.org/Prunus/Prunus_persica/p.persica_gdr_reftransV1_0009378","p.persica_gdr_reftransV1_0009378")</f>
        <v>p.persica_gdr_reftransV1_0009378</v>
      </c>
      <c r="B7021" s="3">
        <v>2416</v>
      </c>
      <c r="C7021" s="1" t="str">
        <f>HYPERLINK("http://www.uniprot.org/uniprot/RHIE_DICD3","RHIE_DICD3")</f>
        <v>RHIE_DICD3</v>
      </c>
      <c r="D7021" t="s">
        <v>5676</v>
      </c>
      <c r="E7021" s="3" t="s">
        <v>5677</v>
      </c>
      <c r="F7021" s="4">
        <v>4.4000000000000001E-22</v>
      </c>
      <c r="G7021" s="3">
        <v>261</v>
      </c>
      <c r="H7021" s="3">
        <v>24</v>
      </c>
      <c r="I7021" s="3">
        <v>558</v>
      </c>
      <c r="J7021" s="3">
        <v>263</v>
      </c>
      <c r="K7021" s="3">
        <v>1906</v>
      </c>
      <c r="L7021" s="3">
        <v>25</v>
      </c>
      <c r="M7021" s="3">
        <v>495</v>
      </c>
    </row>
    <row r="7022" spans="1:13" x14ac:dyDescent="0.25">
      <c r="A7022" s="1" t="str">
        <f>HYPERLINK("http://www.rosaceae.org/Prunus/Prunus_persica/p.persica_gdr_reftransV1_0009428","p.persica_gdr_reftransV1_0009428")</f>
        <v>p.persica_gdr_reftransV1_0009428</v>
      </c>
      <c r="B7022" s="3">
        <v>2049</v>
      </c>
      <c r="C7022" s="1" t="str">
        <f>HYPERLINK("http://www.uniprot.org/uniprot/CIPKC_ARATH","CIPKC_ARATH")</f>
        <v>CIPKC_ARATH</v>
      </c>
      <c r="D7022" t="s">
        <v>5678</v>
      </c>
      <c r="E7022" s="3" t="s">
        <v>3</v>
      </c>
      <c r="F7022" s="4">
        <v>0</v>
      </c>
      <c r="G7022" s="3">
        <v>1979</v>
      </c>
      <c r="H7022" s="3">
        <v>78</v>
      </c>
      <c r="I7022" s="3">
        <v>483</v>
      </c>
      <c r="J7022" s="3">
        <v>393</v>
      </c>
      <c r="K7022" s="3">
        <v>1796</v>
      </c>
      <c r="L7022" s="3">
        <v>9</v>
      </c>
      <c r="M7022" s="3">
        <v>489</v>
      </c>
    </row>
    <row r="7023" spans="1:13" x14ac:dyDescent="0.25">
      <c r="A7023" s="1" t="str">
        <f>HYPERLINK("http://www.rosaceae.org/Prunus/Prunus_persica/p.persica_gdr_reftransV1_0009678","p.persica_gdr_reftransV1_0009678")</f>
        <v>p.persica_gdr_reftransV1_0009678</v>
      </c>
      <c r="B7023" s="3">
        <v>2751</v>
      </c>
      <c r="C7023" s="1" t="str">
        <f>HYPERLINK("http://www.uniprot.org/uniprot/OEP80_ARATH","OEP80_ARATH")</f>
        <v>OEP80_ARATH</v>
      </c>
      <c r="D7023" t="s">
        <v>5679</v>
      </c>
      <c r="E7023" s="3" t="s">
        <v>3</v>
      </c>
      <c r="F7023" s="4">
        <v>0</v>
      </c>
      <c r="G7023" s="3">
        <v>2153</v>
      </c>
      <c r="H7023" s="3">
        <v>63</v>
      </c>
      <c r="I7023" s="3">
        <v>797</v>
      </c>
      <c r="J7023" s="3">
        <v>243</v>
      </c>
      <c r="K7023" s="3">
        <v>2567</v>
      </c>
      <c r="L7023" s="3">
        <v>5</v>
      </c>
      <c r="M7023" s="3">
        <v>732</v>
      </c>
    </row>
    <row r="7024" spans="1:13" x14ac:dyDescent="0.25">
      <c r="A7024" s="1" t="str">
        <f>HYPERLINK("http://www.rosaceae.org/Prunus/Prunus_persica/p.persica_gdr_reftransV1_0009778","p.persica_gdr_reftransV1_0009778")</f>
        <v>p.persica_gdr_reftransV1_0009778</v>
      </c>
      <c r="B7024" s="3">
        <v>2310</v>
      </c>
      <c r="C7024" s="1" t="str">
        <f>HYPERLINK("http://www.uniprot.org/uniprot/PP321_ARATH","PP321_ARATH")</f>
        <v>PP321_ARATH</v>
      </c>
      <c r="D7024" t="s">
        <v>444</v>
      </c>
      <c r="E7024" s="3" t="s">
        <v>3</v>
      </c>
      <c r="F7024" s="4">
        <v>3.5999999999999999E-110</v>
      </c>
      <c r="G7024" s="3">
        <v>905</v>
      </c>
      <c r="H7024" s="3">
        <v>39</v>
      </c>
      <c r="I7024" s="3">
        <v>509</v>
      </c>
      <c r="J7024" s="3">
        <v>161</v>
      </c>
      <c r="K7024" s="3">
        <v>1678</v>
      </c>
      <c r="L7024" s="3">
        <v>52</v>
      </c>
      <c r="M7024" s="3">
        <v>542</v>
      </c>
    </row>
    <row r="7025" spans="1:13" x14ac:dyDescent="0.25">
      <c r="A7025" s="1" t="str">
        <f>HYPERLINK("http://www.rosaceae.org/Prunus/Prunus_persica/p.persica_gdr_reftransV1_0009878","p.persica_gdr_reftransV1_0009878")</f>
        <v>p.persica_gdr_reftransV1_0009878</v>
      </c>
      <c r="B7025" s="3">
        <v>1546</v>
      </c>
      <c r="C7025" s="1" t="str">
        <f>HYPERLINK("http://www.uniprot.org/uniprot/BIPS1_SORAU","BIPS1_SORAU")</f>
        <v>BIPS1_SORAU</v>
      </c>
      <c r="D7025" t="s">
        <v>2064</v>
      </c>
      <c r="E7025" s="3" t="s">
        <v>2065</v>
      </c>
      <c r="F7025" s="4">
        <v>0</v>
      </c>
      <c r="G7025" s="3">
        <v>1542</v>
      </c>
      <c r="H7025" s="3">
        <v>75</v>
      </c>
      <c r="I7025" s="3">
        <v>376</v>
      </c>
      <c r="J7025" s="3">
        <v>312</v>
      </c>
      <c r="K7025" s="3">
        <v>1439</v>
      </c>
      <c r="L7025" s="3">
        <v>14</v>
      </c>
      <c r="M7025" s="3">
        <v>388</v>
      </c>
    </row>
    <row r="7026" spans="1:13" x14ac:dyDescent="0.25">
      <c r="A7026" s="1" t="str">
        <f>HYPERLINK("http://www.rosaceae.org/Prunus/Prunus_persica/p.persica_gdr_reftransV1_0010078","p.persica_gdr_reftransV1_0010078")</f>
        <v>p.persica_gdr_reftransV1_0010078</v>
      </c>
      <c r="B7026" s="3">
        <v>1054</v>
      </c>
      <c r="C7026" s="1" t="str">
        <f>HYPERLINK("http://www.uniprot.org/uniprot/ISAM1_ARATH","ISAM1_ARATH")</f>
        <v>ISAM1_ARATH</v>
      </c>
      <c r="D7026" t="s">
        <v>5680</v>
      </c>
      <c r="E7026" s="3" t="s">
        <v>3</v>
      </c>
      <c r="F7026" s="4">
        <v>5.6499999999999998E-64</v>
      </c>
      <c r="G7026" s="3">
        <v>524</v>
      </c>
      <c r="H7026" s="3">
        <v>80</v>
      </c>
      <c r="I7026" s="3">
        <v>130</v>
      </c>
      <c r="J7026" s="3">
        <v>578</v>
      </c>
      <c r="K7026" s="3">
        <v>967</v>
      </c>
      <c r="L7026" s="3">
        <v>3</v>
      </c>
      <c r="M7026" s="3">
        <v>132</v>
      </c>
    </row>
    <row r="7027" spans="1:13" x14ac:dyDescent="0.25">
      <c r="A7027" s="1" t="str">
        <f>HYPERLINK("http://www.rosaceae.org/Prunus/Prunus_persica/p.persica_gdr_reftransV1_0010228","p.persica_gdr_reftransV1_0010228")</f>
        <v>p.persica_gdr_reftransV1_0010228</v>
      </c>
      <c r="B7027" s="3">
        <v>3238</v>
      </c>
      <c r="C7027" s="1" t="str">
        <f>HYPERLINK("http://www.uniprot.org/uniprot/PHSC_ARATH","PHSC_ARATH")</f>
        <v>PHSC_ARATH</v>
      </c>
      <c r="D7027" t="s">
        <v>5681</v>
      </c>
      <c r="E7027" s="3" t="s">
        <v>3</v>
      </c>
      <c r="F7027" s="4">
        <v>0</v>
      </c>
      <c r="G7027" s="3">
        <v>1619</v>
      </c>
      <c r="H7027" s="3">
        <v>78</v>
      </c>
      <c r="I7027" s="3">
        <v>416</v>
      </c>
      <c r="J7027" s="3">
        <v>320</v>
      </c>
      <c r="K7027" s="3">
        <v>1567</v>
      </c>
      <c r="L7027" s="3">
        <v>28</v>
      </c>
      <c r="M7027" s="3">
        <v>441</v>
      </c>
    </row>
    <row r="7028" spans="1:13" x14ac:dyDescent="0.25">
      <c r="A7028" s="1" t="str">
        <f>HYPERLINK("http://www.rosaceae.org/Prunus/Prunus_persica/p.persica_gdr_reftransV1_0010328","p.persica_gdr_reftransV1_0010328")</f>
        <v>p.persica_gdr_reftransV1_0010328</v>
      </c>
      <c r="B7028" s="3">
        <v>2451</v>
      </c>
      <c r="C7028" s="1" t="str">
        <f>HYPERLINK("http://www.uniprot.org/uniprot/PIGG_HUMAN","PIGG_HUMAN")</f>
        <v>PIGG_HUMAN</v>
      </c>
      <c r="D7028" t="s">
        <v>5682</v>
      </c>
      <c r="E7028" s="3" t="s">
        <v>28</v>
      </c>
      <c r="F7028" s="4">
        <v>1.1700000000000001E-8</v>
      </c>
      <c r="G7028" s="3">
        <v>151</v>
      </c>
      <c r="H7028" s="3">
        <v>29</v>
      </c>
      <c r="I7028" s="3">
        <v>175</v>
      </c>
      <c r="J7028" s="3">
        <v>841</v>
      </c>
      <c r="K7028" s="3">
        <v>1365</v>
      </c>
      <c r="L7028" s="3">
        <v>795</v>
      </c>
      <c r="M7028" s="3">
        <v>954</v>
      </c>
    </row>
    <row r="7029" spans="1:13" x14ac:dyDescent="0.25">
      <c r="A7029" s="1" t="str">
        <f>HYPERLINK("http://www.rosaceae.org/Prunus/Prunus_persica/p.persica_gdr_reftransV1_0010428","p.persica_gdr_reftransV1_0010428")</f>
        <v>p.persica_gdr_reftransV1_0010428</v>
      </c>
      <c r="B7029" s="3">
        <v>2254</v>
      </c>
      <c r="C7029" s="1" t="str">
        <f>HYPERLINK("http://www.uniprot.org/uniprot/CAAT8_ARATH","CAAT8_ARATH")</f>
        <v>CAAT8_ARATH</v>
      </c>
      <c r="D7029" t="s">
        <v>5683</v>
      </c>
      <c r="E7029" s="3" t="s">
        <v>3</v>
      </c>
      <c r="F7029" s="4">
        <v>0</v>
      </c>
      <c r="G7029" s="3">
        <v>1972</v>
      </c>
      <c r="H7029" s="3">
        <v>71</v>
      </c>
      <c r="I7029" s="3">
        <v>587</v>
      </c>
      <c r="J7029" s="3">
        <v>180</v>
      </c>
      <c r="K7029" s="3">
        <v>1919</v>
      </c>
      <c r="L7029" s="3">
        <v>3</v>
      </c>
      <c r="M7029" s="3">
        <v>587</v>
      </c>
    </row>
    <row r="7030" spans="1:13" x14ac:dyDescent="0.25">
      <c r="A7030" s="1" t="str">
        <f>HYPERLINK("http://www.rosaceae.org/Prunus/Prunus_persica/p.persica_gdr_reftransV1_0010478","p.persica_gdr_reftransV1_0010478")</f>
        <v>p.persica_gdr_reftransV1_0010478</v>
      </c>
      <c r="B7030" s="3">
        <v>1403</v>
      </c>
      <c r="C7030" s="1" t="str">
        <f>HYPERLINK("http://www.uniprot.org/uniprot/BKI1_ARATH","BKI1_ARATH")</f>
        <v>BKI1_ARATH</v>
      </c>
      <c r="D7030" t="s">
        <v>5684</v>
      </c>
      <c r="E7030" s="3" t="s">
        <v>3</v>
      </c>
      <c r="F7030" s="4">
        <v>1.9799999999999999E-17</v>
      </c>
      <c r="G7030" s="3">
        <v>213</v>
      </c>
      <c r="H7030" s="3">
        <v>48</v>
      </c>
      <c r="I7030" s="3">
        <v>282</v>
      </c>
      <c r="J7030" s="3">
        <v>224</v>
      </c>
      <c r="K7030" s="3">
        <v>979</v>
      </c>
      <c r="L7030" s="3">
        <v>77</v>
      </c>
      <c r="M7030" s="3">
        <v>335</v>
      </c>
    </row>
    <row r="7031" spans="1:13" x14ac:dyDescent="0.25">
      <c r="A7031" s="1" t="str">
        <f>HYPERLINK("http://www.rosaceae.org/Prunus/Prunus_persica/p.persica_gdr_reftransV1_0010528","p.persica_gdr_reftransV1_0010528")</f>
        <v>p.persica_gdr_reftransV1_0010528</v>
      </c>
      <c r="B7031" s="3">
        <v>1904</v>
      </c>
      <c r="C7031" s="1" t="str">
        <f>HYPERLINK("http://www.uniprot.org/uniprot/RL1_RHOCS","RL1_RHOCS")</f>
        <v>RL1_RHOCS</v>
      </c>
      <c r="D7031" t="s">
        <v>5685</v>
      </c>
      <c r="E7031" s="3" t="s">
        <v>702</v>
      </c>
      <c r="F7031" s="4">
        <v>5.1399999999999997E-44</v>
      </c>
      <c r="G7031" s="3">
        <v>409</v>
      </c>
      <c r="H7031" s="3">
        <v>47</v>
      </c>
      <c r="I7031" s="3">
        <v>206</v>
      </c>
      <c r="J7031" s="3">
        <v>786</v>
      </c>
      <c r="K7031" s="3">
        <v>1397</v>
      </c>
      <c r="L7031" s="3">
        <v>30</v>
      </c>
      <c r="M7031" s="3">
        <v>229</v>
      </c>
    </row>
    <row r="7032" spans="1:13" x14ac:dyDescent="0.25">
      <c r="A7032" s="1" t="str">
        <f>HYPERLINK("http://www.rosaceae.org/Prunus/Prunus_persica/p.persica_gdr_reftransV1_0010578","p.persica_gdr_reftransV1_0010578")</f>
        <v>p.persica_gdr_reftransV1_0010578</v>
      </c>
      <c r="B7032" s="3">
        <v>452</v>
      </c>
      <c r="C7032" s="1" t="str">
        <f>HYPERLINK("http://www.uniprot.org/uniprot/Y1725_ARATH","Y1725_ARATH")</f>
        <v>Y1725_ARATH</v>
      </c>
      <c r="D7032" t="s">
        <v>5686</v>
      </c>
      <c r="E7032" s="3" t="s">
        <v>3</v>
      </c>
      <c r="F7032" s="4">
        <v>9.4499999999999995E-17</v>
      </c>
      <c r="G7032" s="3">
        <v>196</v>
      </c>
      <c r="H7032" s="3">
        <v>57</v>
      </c>
      <c r="I7032" s="3">
        <v>81</v>
      </c>
      <c r="J7032" s="3">
        <v>210</v>
      </c>
      <c r="K7032" s="3">
        <v>449</v>
      </c>
      <c r="L7032" s="3">
        <v>39</v>
      </c>
      <c r="M7032" s="3">
        <v>117</v>
      </c>
    </row>
    <row r="7033" spans="1:13" x14ac:dyDescent="0.25">
      <c r="A7033" s="1" t="str">
        <f>HYPERLINK("http://www.rosaceae.org/Prunus/Prunus_persica/p.persica_gdr_reftransV1_0010978","p.persica_gdr_reftransV1_0010978")</f>
        <v>p.persica_gdr_reftransV1_0010978</v>
      </c>
      <c r="B7033" s="3">
        <v>1025</v>
      </c>
      <c r="C7033" s="1" t="str">
        <f>HYPERLINK("http://www.uniprot.org/uniprot/PIP21_MAIZE","PIP21_MAIZE")</f>
        <v>PIP21_MAIZE</v>
      </c>
      <c r="D7033" t="s">
        <v>5687</v>
      </c>
      <c r="E7033" s="3" t="s">
        <v>72</v>
      </c>
      <c r="F7033" s="4">
        <v>1.0500000000000001E-129</v>
      </c>
      <c r="G7033" s="3">
        <v>974</v>
      </c>
      <c r="H7033" s="3">
        <v>89</v>
      </c>
      <c r="I7033" s="3">
        <v>208</v>
      </c>
      <c r="J7033" s="3">
        <v>1</v>
      </c>
      <c r="K7033" s="3">
        <v>624</v>
      </c>
      <c r="L7033" s="3">
        <v>83</v>
      </c>
      <c r="M7033" s="3">
        <v>290</v>
      </c>
    </row>
    <row r="7034" spans="1:13" x14ac:dyDescent="0.25">
      <c r="A7034" s="1" t="str">
        <f>HYPERLINK("http://www.rosaceae.org/Prunus/Prunus_persica/p.persica_gdr_reftransV1_0011078","p.persica_gdr_reftransV1_0011078")</f>
        <v>p.persica_gdr_reftransV1_0011078</v>
      </c>
      <c r="B7034" s="3">
        <v>868</v>
      </c>
      <c r="C7034" s="1" t="str">
        <f>HYPERLINK("http://www.uniprot.org/uniprot/SYM_ORYSJ","SYM_ORYSJ")</f>
        <v>SYM_ORYSJ</v>
      </c>
      <c r="D7034" t="s">
        <v>4162</v>
      </c>
      <c r="E7034" s="3" t="s">
        <v>38</v>
      </c>
      <c r="F7034" s="4">
        <v>6.7700000000000001E-121</v>
      </c>
      <c r="G7034" s="3">
        <v>953</v>
      </c>
      <c r="H7034" s="3">
        <v>71</v>
      </c>
      <c r="I7034" s="3">
        <v>252</v>
      </c>
      <c r="J7034" s="3">
        <v>115</v>
      </c>
      <c r="K7034" s="3">
        <v>864</v>
      </c>
      <c r="L7034" s="3">
        <v>362</v>
      </c>
      <c r="M7034" s="3">
        <v>613</v>
      </c>
    </row>
    <row r="7035" spans="1:13" x14ac:dyDescent="0.25">
      <c r="A7035" s="1" t="str">
        <f>HYPERLINK("http://www.rosaceae.org/Prunus/Prunus_persica/p.persica_gdr_reftransV1_0011278","p.persica_gdr_reftransV1_0011278")</f>
        <v>p.persica_gdr_reftransV1_0011278</v>
      </c>
      <c r="B7035" s="3">
        <v>1244</v>
      </c>
      <c r="C7035" s="1" t="str">
        <f>HYPERLINK("http://www.uniprot.org/uniprot/MIZ1_ARATH","MIZ1_ARATH")</f>
        <v>MIZ1_ARATH</v>
      </c>
      <c r="D7035" t="s">
        <v>4971</v>
      </c>
      <c r="E7035" s="3" t="s">
        <v>3</v>
      </c>
      <c r="F7035" s="4">
        <v>1.9600000000000002E-34</v>
      </c>
      <c r="G7035" s="3">
        <v>338</v>
      </c>
      <c r="H7035" s="3">
        <v>43</v>
      </c>
      <c r="I7035" s="3">
        <v>167</v>
      </c>
      <c r="J7035" s="3">
        <v>400</v>
      </c>
      <c r="K7035" s="3">
        <v>873</v>
      </c>
      <c r="L7035" s="3">
        <v>130</v>
      </c>
      <c r="M7035" s="3">
        <v>296</v>
      </c>
    </row>
    <row r="7036" spans="1:13" x14ac:dyDescent="0.25">
      <c r="A7036" s="1" t="str">
        <f>HYPERLINK("http://www.rosaceae.org/Prunus/Prunus_persica/p.persica_gdr_reftransV1_0011628","p.persica_gdr_reftransV1_0011628")</f>
        <v>p.persica_gdr_reftransV1_0011628</v>
      </c>
      <c r="B7036" s="3">
        <v>1810</v>
      </c>
      <c r="C7036" s="1" t="str">
        <f>HYPERLINK("http://www.uniprot.org/uniprot/AGAL1_ARATH","AGAL1_ARATH")</f>
        <v>AGAL1_ARATH</v>
      </c>
      <c r="D7036" t="s">
        <v>5688</v>
      </c>
      <c r="E7036" s="3" t="s">
        <v>3</v>
      </c>
      <c r="F7036" s="4">
        <v>0</v>
      </c>
      <c r="G7036" s="3">
        <v>1765</v>
      </c>
      <c r="H7036" s="3">
        <v>79</v>
      </c>
      <c r="I7036" s="3">
        <v>405</v>
      </c>
      <c r="J7036" s="3">
        <v>336</v>
      </c>
      <c r="K7036" s="3">
        <v>1550</v>
      </c>
      <c r="L7036" s="3">
        <v>6</v>
      </c>
      <c r="M7036" s="3">
        <v>410</v>
      </c>
    </row>
    <row r="7037" spans="1:13" x14ac:dyDescent="0.25">
      <c r="A7037" s="1" t="str">
        <f>HYPERLINK("http://www.rosaceae.org/Prunus/Prunus_persica/p.persica_gdr_reftransV1_0011878","p.persica_gdr_reftransV1_0011878")</f>
        <v>p.persica_gdr_reftransV1_0011878</v>
      </c>
      <c r="B7037" s="3">
        <v>560</v>
      </c>
      <c r="C7037" s="1" t="str">
        <f>HYPERLINK("http://www.uniprot.org/uniprot/PP141_ARATH","PP141_ARATH")</f>
        <v>PP141_ARATH</v>
      </c>
      <c r="D7037" t="s">
        <v>5689</v>
      </c>
      <c r="E7037" s="3" t="s">
        <v>3</v>
      </c>
      <c r="F7037" s="4">
        <v>5.7699999999999996E-69</v>
      </c>
      <c r="G7037" s="3">
        <v>574</v>
      </c>
      <c r="H7037" s="3">
        <v>55</v>
      </c>
      <c r="I7037" s="3">
        <v>188</v>
      </c>
      <c r="J7037" s="3">
        <v>4</v>
      </c>
      <c r="K7037" s="3">
        <v>558</v>
      </c>
      <c r="L7037" s="3">
        <v>5</v>
      </c>
      <c r="M7037" s="3">
        <v>192</v>
      </c>
    </row>
    <row r="7038" spans="1:13" x14ac:dyDescent="0.25">
      <c r="A7038" s="1" t="str">
        <f>HYPERLINK("http://www.rosaceae.org/Prunus/Prunus_persica/p.persica_gdr_reftransV1_0011928","p.persica_gdr_reftransV1_0011928")</f>
        <v>p.persica_gdr_reftransV1_0011928</v>
      </c>
      <c r="B7038" s="3">
        <v>615</v>
      </c>
      <c r="C7038" s="1" t="str">
        <f>HYPERLINK("http://www.uniprot.org/uniprot/AB42G_ORYSJ","AB42G_ORYSJ")</f>
        <v>AB42G_ORYSJ</v>
      </c>
      <c r="D7038" t="s">
        <v>1137</v>
      </c>
      <c r="E7038" s="3" t="s">
        <v>38</v>
      </c>
      <c r="F7038" s="4">
        <v>4.3400000000000003E-77</v>
      </c>
      <c r="G7038" s="3">
        <v>657</v>
      </c>
      <c r="H7038" s="3">
        <v>75</v>
      </c>
      <c r="I7038" s="3">
        <v>169</v>
      </c>
      <c r="J7038" s="3">
        <v>2</v>
      </c>
      <c r="K7038" s="3">
        <v>496</v>
      </c>
      <c r="L7038" s="3">
        <v>843</v>
      </c>
      <c r="M7038" s="3">
        <v>1007</v>
      </c>
    </row>
    <row r="7039" spans="1:13" x14ac:dyDescent="0.25">
      <c r="A7039" s="1" t="str">
        <f>HYPERLINK("http://www.rosaceae.org/Prunus/Prunus_persica/p.persica_gdr_reftransV1_0011978","p.persica_gdr_reftransV1_0011978")</f>
        <v>p.persica_gdr_reftransV1_0011978</v>
      </c>
      <c r="B7039" s="3">
        <v>2785</v>
      </c>
      <c r="C7039" s="1" t="str">
        <f>HYPERLINK("http://www.uniprot.org/uniprot/MARH1_HUMAN","MARH1_HUMAN")</f>
        <v>MARH1_HUMAN</v>
      </c>
      <c r="D7039" t="s">
        <v>5690</v>
      </c>
      <c r="E7039" s="3" t="s">
        <v>28</v>
      </c>
      <c r="F7039" s="4">
        <v>4.6999999999999999E-9</v>
      </c>
      <c r="G7039" s="3">
        <v>150</v>
      </c>
      <c r="H7039" s="3">
        <v>29</v>
      </c>
      <c r="I7039" s="3">
        <v>214</v>
      </c>
      <c r="J7039" s="3">
        <v>1343</v>
      </c>
      <c r="K7039" s="3">
        <v>1924</v>
      </c>
      <c r="L7039" s="3">
        <v>16</v>
      </c>
      <c r="M7039" s="3">
        <v>217</v>
      </c>
    </row>
    <row r="7040" spans="1:13" x14ac:dyDescent="0.25">
      <c r="A7040" s="1" t="str">
        <f>HYPERLINK("http://www.rosaceae.org/Prunus/Prunus_persica/p.persica_gdr_reftransV1_0012128","p.persica_gdr_reftransV1_0012128")</f>
        <v>p.persica_gdr_reftransV1_0012128</v>
      </c>
      <c r="B7040" s="3">
        <v>4328</v>
      </c>
      <c r="C7040" s="1" t="str">
        <f>HYPERLINK("http://www.uniprot.org/uniprot/ATAD5_MOUSE","ATAD5_MOUSE")</f>
        <v>ATAD5_MOUSE</v>
      </c>
      <c r="D7040" t="s">
        <v>5691</v>
      </c>
      <c r="E7040" s="3" t="s">
        <v>157</v>
      </c>
      <c r="F7040" s="4">
        <v>1.2900000000000001E-29</v>
      </c>
      <c r="G7040" s="3">
        <v>333</v>
      </c>
      <c r="H7040" s="3">
        <v>28</v>
      </c>
      <c r="I7040" s="3">
        <v>387</v>
      </c>
      <c r="J7040" s="3">
        <v>2332</v>
      </c>
      <c r="K7040" s="3">
        <v>3297</v>
      </c>
      <c r="L7040" s="3">
        <v>1015</v>
      </c>
      <c r="M7040" s="3">
        <v>1393</v>
      </c>
    </row>
    <row r="7041" spans="1:13" x14ac:dyDescent="0.25">
      <c r="A7041" s="1" t="str">
        <f>HYPERLINK("http://www.rosaceae.org/Prunus/Prunus_persica/p.persica_gdr_reftransV1_0012228","p.persica_gdr_reftransV1_0012228")</f>
        <v>p.persica_gdr_reftransV1_0012228</v>
      </c>
      <c r="B7041" s="3">
        <v>2378</v>
      </c>
      <c r="C7041" s="1" t="str">
        <f>HYPERLINK("http://www.uniprot.org/uniprot/KCS4_ARATH","KCS4_ARATH")</f>
        <v>KCS4_ARATH</v>
      </c>
      <c r="D7041" t="s">
        <v>148</v>
      </c>
      <c r="E7041" s="3" t="s">
        <v>3</v>
      </c>
      <c r="F7041" s="4">
        <v>0</v>
      </c>
      <c r="G7041" s="3">
        <v>2385</v>
      </c>
      <c r="H7041" s="3">
        <v>88</v>
      </c>
      <c r="I7041" s="3">
        <v>493</v>
      </c>
      <c r="J7041" s="3">
        <v>456</v>
      </c>
      <c r="K7041" s="3">
        <v>1934</v>
      </c>
      <c r="L7041" s="3">
        <v>22</v>
      </c>
      <c r="M7041" s="3">
        <v>514</v>
      </c>
    </row>
    <row r="7042" spans="1:13" x14ac:dyDescent="0.25">
      <c r="A7042" s="1" t="str">
        <f>HYPERLINK("http://www.rosaceae.org/Prunus/Prunus_persica/p.persica_gdr_reftransV1_0012328","p.persica_gdr_reftransV1_0012328")</f>
        <v>p.persica_gdr_reftransV1_0012328</v>
      </c>
      <c r="B7042" s="3">
        <v>1827</v>
      </c>
      <c r="C7042" s="1" t="str">
        <f>HYPERLINK("http://www.uniprot.org/uniprot/Y1699_ARATH","Y1699_ARATH")</f>
        <v>Y1699_ARATH</v>
      </c>
      <c r="D7042" t="s">
        <v>5692</v>
      </c>
      <c r="E7042" s="3" t="s">
        <v>3</v>
      </c>
      <c r="F7042" s="4">
        <v>1.6099999999999999E-20</v>
      </c>
      <c r="G7042" s="3">
        <v>246</v>
      </c>
      <c r="H7042" s="3">
        <v>35</v>
      </c>
      <c r="I7042" s="3">
        <v>252</v>
      </c>
      <c r="J7042" s="3">
        <v>502</v>
      </c>
      <c r="K7042" s="3">
        <v>1242</v>
      </c>
      <c r="L7042" s="3">
        <v>4</v>
      </c>
      <c r="M7042" s="3">
        <v>243</v>
      </c>
    </row>
    <row r="7043" spans="1:13" x14ac:dyDescent="0.25">
      <c r="A7043" s="1" t="str">
        <f>HYPERLINK("http://www.rosaceae.org/Prunus/Prunus_persica/p.persica_gdr_reftransV1_0012428","p.persica_gdr_reftransV1_0012428")</f>
        <v>p.persica_gdr_reftransV1_0012428</v>
      </c>
      <c r="B7043" s="3">
        <v>355</v>
      </c>
      <c r="C7043" s="1" t="str">
        <f>HYPERLINK("http://www.uniprot.org/uniprot/AGO1B_ORYSJ","AGO1B_ORYSJ")</f>
        <v>AGO1B_ORYSJ</v>
      </c>
      <c r="D7043" t="s">
        <v>1109</v>
      </c>
      <c r="E7043" s="3" t="s">
        <v>38</v>
      </c>
      <c r="F7043" s="4">
        <v>1.0600000000000001E-62</v>
      </c>
      <c r="G7043" s="3">
        <v>537</v>
      </c>
      <c r="H7043" s="3">
        <v>83</v>
      </c>
      <c r="I7043" s="3">
        <v>118</v>
      </c>
      <c r="J7043" s="3">
        <v>1</v>
      </c>
      <c r="K7043" s="3">
        <v>354</v>
      </c>
      <c r="L7043" s="3">
        <v>567</v>
      </c>
      <c r="M7043" s="3">
        <v>684</v>
      </c>
    </row>
    <row r="7044" spans="1:13" x14ac:dyDescent="0.25">
      <c r="A7044" s="1" t="str">
        <f>HYPERLINK("http://www.rosaceae.org/Prunus/Prunus_persica/p.persica_gdr_reftransV1_0012528","p.persica_gdr_reftransV1_0012528")</f>
        <v>p.persica_gdr_reftransV1_0012528</v>
      </c>
      <c r="B7044" s="3">
        <v>1703</v>
      </c>
      <c r="C7044" s="1" t="str">
        <f>HYPERLINK("http://www.uniprot.org/uniprot/PIRL_SOLLC","PIRL_SOLLC")</f>
        <v>PIRL_SOLLC</v>
      </c>
      <c r="D7044" t="s">
        <v>1793</v>
      </c>
      <c r="E7044" s="3" t="s">
        <v>64</v>
      </c>
      <c r="F7044" s="4">
        <v>2.1700000000000001E-150</v>
      </c>
      <c r="G7044" s="3">
        <v>1133</v>
      </c>
      <c r="H7044" s="3">
        <v>72</v>
      </c>
      <c r="I7044" s="3">
        <v>288</v>
      </c>
      <c r="J7044" s="3">
        <v>272</v>
      </c>
      <c r="K7044" s="3">
        <v>1126</v>
      </c>
      <c r="L7044" s="3">
        <v>4</v>
      </c>
      <c r="M7044" s="3">
        <v>291</v>
      </c>
    </row>
    <row r="7045" spans="1:13" x14ac:dyDescent="0.25">
      <c r="A7045" s="1" t="str">
        <f>HYPERLINK("http://www.rosaceae.org/Prunus/Prunus_persica/p.persica_gdr_reftransV1_0012778","p.persica_gdr_reftransV1_0012778")</f>
        <v>p.persica_gdr_reftransV1_0012778</v>
      </c>
      <c r="B7045" s="3">
        <v>2224</v>
      </c>
      <c r="C7045" s="1" t="str">
        <f>HYPERLINK("http://www.uniprot.org/uniprot/RVE8_ARATH","RVE8_ARATH")</f>
        <v>RVE8_ARATH</v>
      </c>
      <c r="D7045" t="s">
        <v>5693</v>
      </c>
      <c r="E7045" s="3" t="s">
        <v>3</v>
      </c>
      <c r="F7045" s="4">
        <v>3.6500000000000002E-47</v>
      </c>
      <c r="G7045" s="3">
        <v>439</v>
      </c>
      <c r="H7045" s="3">
        <v>46</v>
      </c>
      <c r="I7045" s="3">
        <v>186</v>
      </c>
      <c r="J7045" s="3">
        <v>1090</v>
      </c>
      <c r="K7045" s="3">
        <v>1638</v>
      </c>
      <c r="L7045" s="3">
        <v>85</v>
      </c>
      <c r="M7045" s="3">
        <v>266</v>
      </c>
    </row>
    <row r="7046" spans="1:13" x14ac:dyDescent="0.25">
      <c r="A7046" s="1" t="str">
        <f>HYPERLINK("http://www.rosaceae.org/Prunus/Prunus_persica/p.persica_gdr_reftransV1_0012928","p.persica_gdr_reftransV1_0012928")</f>
        <v>p.persica_gdr_reftransV1_0012928</v>
      </c>
      <c r="B7046" s="3">
        <v>1709</v>
      </c>
      <c r="C7046" s="1" t="str">
        <f>HYPERLINK("http://www.uniprot.org/uniprot/CNGC1_ARATH","CNGC1_ARATH")</f>
        <v>CNGC1_ARATH</v>
      </c>
      <c r="D7046" t="s">
        <v>241</v>
      </c>
      <c r="E7046" s="3" t="s">
        <v>3</v>
      </c>
      <c r="F7046" s="4">
        <v>2.01E-25</v>
      </c>
      <c r="G7046" s="3">
        <v>286</v>
      </c>
      <c r="H7046" s="3">
        <v>49</v>
      </c>
      <c r="I7046" s="3">
        <v>131</v>
      </c>
      <c r="J7046" s="3">
        <v>1</v>
      </c>
      <c r="K7046" s="3">
        <v>384</v>
      </c>
      <c r="L7046" s="3">
        <v>272</v>
      </c>
      <c r="M7046" s="3">
        <v>399</v>
      </c>
    </row>
    <row r="7047" spans="1:13" x14ac:dyDescent="0.25">
      <c r="A7047" s="1" t="str">
        <f>HYPERLINK("http://www.rosaceae.org/Prunus/Prunus_persica/p.persica_gdr_reftransV1_0012978","p.persica_gdr_reftransV1_0012978")</f>
        <v>p.persica_gdr_reftransV1_0012978</v>
      </c>
      <c r="B7047" s="3">
        <v>1424</v>
      </c>
      <c r="C7047" s="1" t="str">
        <f>HYPERLINK("http://www.uniprot.org/uniprot/PUMP1_ARATH","PUMP1_ARATH")</f>
        <v>PUMP1_ARATH</v>
      </c>
      <c r="D7047" t="s">
        <v>5694</v>
      </c>
      <c r="E7047" s="3" t="s">
        <v>3</v>
      </c>
      <c r="F7047" s="4">
        <v>1.25E-168</v>
      </c>
      <c r="G7047" s="3">
        <v>1246</v>
      </c>
      <c r="H7047" s="3">
        <v>83</v>
      </c>
      <c r="I7047" s="3">
        <v>300</v>
      </c>
      <c r="J7047" s="3">
        <v>251</v>
      </c>
      <c r="K7047" s="3">
        <v>1147</v>
      </c>
      <c r="L7047" s="3">
        <v>6</v>
      </c>
      <c r="M7047" s="3">
        <v>303</v>
      </c>
    </row>
    <row r="7048" spans="1:13" x14ac:dyDescent="0.25">
      <c r="A7048" s="1" t="str">
        <f>HYPERLINK("http://www.rosaceae.org/Prunus/Prunus_persica/p.persica_gdr_reftransV1_0013078","p.persica_gdr_reftransV1_0013078")</f>
        <v>p.persica_gdr_reftransV1_0013078</v>
      </c>
      <c r="B7048" s="3">
        <v>1926</v>
      </c>
      <c r="C7048" s="1" t="str">
        <f>HYPERLINK("http://www.uniprot.org/uniprot/GLGS2_VICFA","GLGS2_VICFA")</f>
        <v>GLGS2_VICFA</v>
      </c>
      <c r="D7048" t="s">
        <v>5695</v>
      </c>
      <c r="E7048" s="3" t="s">
        <v>2253</v>
      </c>
      <c r="F7048" s="4">
        <v>0</v>
      </c>
      <c r="G7048" s="3">
        <v>2346</v>
      </c>
      <c r="H7048" s="3">
        <v>92</v>
      </c>
      <c r="I7048" s="3">
        <v>489</v>
      </c>
      <c r="J7048" s="3">
        <v>299</v>
      </c>
      <c r="K7048" s="3">
        <v>1765</v>
      </c>
      <c r="L7048" s="3">
        <v>26</v>
      </c>
      <c r="M7048" s="3">
        <v>512</v>
      </c>
    </row>
    <row r="7049" spans="1:13" x14ac:dyDescent="0.25">
      <c r="A7049" s="1" t="str">
        <f>HYPERLINK("http://www.rosaceae.org/Prunus/Prunus_persica/p.persica_gdr_reftransV1_0013178","p.persica_gdr_reftransV1_0013178")</f>
        <v>p.persica_gdr_reftransV1_0013178</v>
      </c>
      <c r="B7049" s="3">
        <v>1143</v>
      </c>
      <c r="C7049" s="1" t="str">
        <f>HYPERLINK("http://www.uniprot.org/uniprot/FKB18_ARATH","FKB18_ARATH")</f>
        <v>FKB18_ARATH</v>
      </c>
      <c r="D7049" t="s">
        <v>5696</v>
      </c>
      <c r="E7049" s="3" t="s">
        <v>3</v>
      </c>
      <c r="F7049" s="4">
        <v>1.2700000000000001E-36</v>
      </c>
      <c r="G7049" s="3">
        <v>347</v>
      </c>
      <c r="H7049" s="3">
        <v>87</v>
      </c>
      <c r="I7049" s="3">
        <v>87</v>
      </c>
      <c r="J7049" s="3">
        <v>585</v>
      </c>
      <c r="K7049" s="3">
        <v>845</v>
      </c>
      <c r="L7049" s="3">
        <v>142</v>
      </c>
      <c r="M7049" s="3">
        <v>228</v>
      </c>
    </row>
    <row r="7050" spans="1:13" x14ac:dyDescent="0.25">
      <c r="A7050" s="1" t="str">
        <f>HYPERLINK("http://www.rosaceae.org/Prunus/Prunus_persica/p.persica_gdr_reftransV1_0013278","p.persica_gdr_reftransV1_0013278")</f>
        <v>p.persica_gdr_reftransV1_0013278</v>
      </c>
      <c r="B7050" s="3">
        <v>718</v>
      </c>
      <c r="C7050" s="1" t="str">
        <f>HYPERLINK("http://www.uniprot.org/uniprot/HMGB1_ARATH","HMGB1_ARATH")</f>
        <v>HMGB1_ARATH</v>
      </c>
      <c r="D7050" t="s">
        <v>5697</v>
      </c>
      <c r="E7050" s="3" t="s">
        <v>3</v>
      </c>
      <c r="F7050" s="4">
        <v>5.5799999999999998E-25</v>
      </c>
      <c r="G7050" s="3">
        <v>254</v>
      </c>
      <c r="H7050" s="3">
        <v>80</v>
      </c>
      <c r="I7050" s="3">
        <v>79</v>
      </c>
      <c r="J7050" s="3">
        <v>478</v>
      </c>
      <c r="K7050" s="3">
        <v>714</v>
      </c>
      <c r="L7050" s="3">
        <v>44</v>
      </c>
      <c r="M7050" s="3">
        <v>122</v>
      </c>
    </row>
    <row r="7051" spans="1:13" x14ac:dyDescent="0.25">
      <c r="A7051" s="1" t="str">
        <f>HYPERLINK("http://www.rosaceae.org/Prunus/Prunus_persica/p.persica_gdr_reftransV1_0013378","p.persica_gdr_reftransV1_0013378")</f>
        <v>p.persica_gdr_reftransV1_0013378</v>
      </c>
      <c r="B7051" s="3">
        <v>2033</v>
      </c>
      <c r="C7051" s="1" t="str">
        <f>HYPERLINK("http://www.uniprot.org/uniprot/K0930_XENLA","K0930_XENLA")</f>
        <v>K0930_XENLA</v>
      </c>
      <c r="D7051" t="s">
        <v>3332</v>
      </c>
      <c r="E7051" s="3" t="s">
        <v>475</v>
      </c>
      <c r="F7051" s="4">
        <v>3.2000000000000002E-14</v>
      </c>
      <c r="G7051" s="3">
        <v>193</v>
      </c>
      <c r="H7051" s="3">
        <v>26</v>
      </c>
      <c r="I7051" s="3">
        <v>292</v>
      </c>
      <c r="J7051" s="3">
        <v>297</v>
      </c>
      <c r="K7051" s="3">
        <v>1124</v>
      </c>
      <c r="L7051" s="3">
        <v>31</v>
      </c>
      <c r="M7051" s="3">
        <v>276</v>
      </c>
    </row>
    <row r="7052" spans="1:13" x14ac:dyDescent="0.25">
      <c r="A7052" s="1" t="str">
        <f>HYPERLINK("http://www.rosaceae.org/Prunus/Prunus_persica/p.persica_gdr_reftransV1_0013478","p.persica_gdr_reftransV1_0013478")</f>
        <v>p.persica_gdr_reftransV1_0013478</v>
      </c>
      <c r="B7052" s="3">
        <v>2388</v>
      </c>
      <c r="C7052" s="1" t="str">
        <f>HYPERLINK("http://www.uniprot.org/uniprot/Y5780_ARATH","Y5780_ARATH")</f>
        <v>Y5780_ARATH</v>
      </c>
      <c r="D7052" t="s">
        <v>5698</v>
      </c>
      <c r="E7052" s="3" t="s">
        <v>3</v>
      </c>
      <c r="F7052" s="4">
        <v>0</v>
      </c>
      <c r="G7052" s="3">
        <v>1773</v>
      </c>
      <c r="H7052" s="3">
        <v>63</v>
      </c>
      <c r="I7052" s="3">
        <v>531</v>
      </c>
      <c r="J7052" s="3">
        <v>256</v>
      </c>
      <c r="K7052" s="3">
        <v>1833</v>
      </c>
      <c r="L7052" s="3">
        <v>1</v>
      </c>
      <c r="M7052" s="3">
        <v>506</v>
      </c>
    </row>
    <row r="7053" spans="1:13" x14ac:dyDescent="0.25">
      <c r="A7053" s="1" t="str">
        <f>HYPERLINK("http://www.rosaceae.org/Prunus/Prunus_persica/p.persica_gdr_reftransV1_0013678","p.persica_gdr_reftransV1_0013678")</f>
        <v>p.persica_gdr_reftransV1_0013678</v>
      </c>
      <c r="B7053" s="3">
        <v>2101</v>
      </c>
      <c r="C7053" s="1" t="str">
        <f>HYPERLINK("http://www.uniprot.org/uniprot/Y5126_ARATH","Y5126_ARATH")</f>
        <v>Y5126_ARATH</v>
      </c>
      <c r="D7053" t="s">
        <v>4301</v>
      </c>
      <c r="E7053" s="3" t="s">
        <v>3</v>
      </c>
      <c r="F7053" s="4">
        <v>0</v>
      </c>
      <c r="G7053" s="3">
        <v>1263</v>
      </c>
      <c r="H7053" s="3">
        <v>72</v>
      </c>
      <c r="I7053" s="3">
        <v>321</v>
      </c>
      <c r="J7053" s="3">
        <v>719</v>
      </c>
      <c r="K7053" s="3">
        <v>1681</v>
      </c>
      <c r="L7053" s="3">
        <v>1</v>
      </c>
      <c r="M7053" s="3">
        <v>321</v>
      </c>
    </row>
    <row r="7054" spans="1:13" x14ac:dyDescent="0.25">
      <c r="A7054" s="1" t="str">
        <f>HYPERLINK("http://www.rosaceae.org/Prunus/Prunus_persica/p.persica_gdr_reftransV1_0013728","p.persica_gdr_reftransV1_0013728")</f>
        <v>p.persica_gdr_reftransV1_0013728</v>
      </c>
      <c r="B7054" s="3">
        <v>1009</v>
      </c>
      <c r="C7054" s="1" t="str">
        <f>HYPERLINK("http://www.uniprot.org/uniprot/ATOX1_ARATH","ATOX1_ARATH")</f>
        <v>ATOX1_ARATH</v>
      </c>
      <c r="D7054" t="s">
        <v>1423</v>
      </c>
      <c r="E7054" s="3" t="s">
        <v>3</v>
      </c>
      <c r="F7054" s="4">
        <v>4.3599999999999998E-14</v>
      </c>
      <c r="G7054" s="3">
        <v>174</v>
      </c>
      <c r="H7054" s="3">
        <v>47</v>
      </c>
      <c r="I7054" s="3">
        <v>76</v>
      </c>
      <c r="J7054" s="3">
        <v>206</v>
      </c>
      <c r="K7054" s="3">
        <v>430</v>
      </c>
      <c r="L7054" s="3">
        <v>22</v>
      </c>
      <c r="M7054" s="3">
        <v>97</v>
      </c>
    </row>
    <row r="7055" spans="1:13" x14ac:dyDescent="0.25">
      <c r="A7055" s="1" t="str">
        <f>HYPERLINK("http://www.rosaceae.org/Prunus/Prunus_persica/p.persica_gdr_reftransV1_0013828","p.persica_gdr_reftransV1_0013828")</f>
        <v>p.persica_gdr_reftransV1_0013828</v>
      </c>
      <c r="B7055" s="3">
        <v>3494</v>
      </c>
      <c r="C7055" s="1" t="str">
        <f>HYPERLINK("http://www.uniprot.org/uniprot/GUX3_ARATH","GUX3_ARATH")</f>
        <v>GUX3_ARATH</v>
      </c>
      <c r="D7055" t="s">
        <v>826</v>
      </c>
      <c r="E7055" s="3" t="s">
        <v>3</v>
      </c>
      <c r="F7055" s="4">
        <v>0</v>
      </c>
      <c r="G7055" s="3">
        <v>1538</v>
      </c>
      <c r="H7055" s="3">
        <v>88</v>
      </c>
      <c r="I7055" s="3">
        <v>320</v>
      </c>
      <c r="J7055" s="3">
        <v>425</v>
      </c>
      <c r="K7055" s="3">
        <v>1381</v>
      </c>
      <c r="L7055" s="3">
        <v>275</v>
      </c>
      <c r="M7055" s="3">
        <v>594</v>
      </c>
    </row>
    <row r="7056" spans="1:13" x14ac:dyDescent="0.25">
      <c r="A7056" s="1" t="str">
        <f>HYPERLINK("http://www.rosaceae.org/Prunus/Prunus_persica/p.persica_gdr_reftransV1_0013928","p.persica_gdr_reftransV1_0013928")</f>
        <v>p.persica_gdr_reftransV1_0013928</v>
      </c>
      <c r="B7056" s="3">
        <v>2846</v>
      </c>
      <c r="C7056" s="1" t="str">
        <f>HYPERLINK("http://www.uniprot.org/uniprot/CSCLD_ARATH","CSCLD_ARATH")</f>
        <v>CSCLD_ARATH</v>
      </c>
      <c r="D7056" t="s">
        <v>5699</v>
      </c>
      <c r="E7056" s="3" t="s">
        <v>3</v>
      </c>
      <c r="F7056" s="4">
        <v>0</v>
      </c>
      <c r="G7056" s="3">
        <v>2523</v>
      </c>
      <c r="H7056" s="3">
        <v>69</v>
      </c>
      <c r="I7056" s="3">
        <v>721</v>
      </c>
      <c r="J7056" s="3">
        <v>325</v>
      </c>
      <c r="K7056" s="3">
        <v>2472</v>
      </c>
      <c r="L7056" s="3">
        <v>1</v>
      </c>
      <c r="M7056" s="3">
        <v>714</v>
      </c>
    </row>
    <row r="7057" spans="1:13" x14ac:dyDescent="0.25">
      <c r="A7057" s="1" t="str">
        <f>HYPERLINK("http://www.rosaceae.org/Prunus/Prunus_persica/p.persica_gdr_reftransV1_0014078","p.persica_gdr_reftransV1_0014078")</f>
        <v>p.persica_gdr_reftransV1_0014078</v>
      </c>
      <c r="B7057" s="3">
        <v>2369</v>
      </c>
      <c r="C7057" s="1" t="str">
        <f>HYPERLINK("http://www.uniprot.org/uniprot/XERIC_ARATH","XERIC_ARATH")</f>
        <v>XERIC_ARATH</v>
      </c>
      <c r="D7057" t="s">
        <v>5700</v>
      </c>
      <c r="E7057" s="3" t="s">
        <v>3</v>
      </c>
      <c r="F7057" s="4">
        <v>7.3899999999999996E-46</v>
      </c>
      <c r="G7057" s="3">
        <v>420</v>
      </c>
      <c r="H7057" s="3">
        <v>63</v>
      </c>
      <c r="I7057" s="3">
        <v>153</v>
      </c>
      <c r="J7057" s="3">
        <v>1334</v>
      </c>
      <c r="K7057" s="3">
        <v>1789</v>
      </c>
      <c r="L7057" s="3">
        <v>1</v>
      </c>
      <c r="M7057" s="3">
        <v>149</v>
      </c>
    </row>
    <row r="7058" spans="1:13" x14ac:dyDescent="0.25">
      <c r="A7058" s="1" t="str">
        <f>HYPERLINK("http://www.rosaceae.org/Prunus/Prunus_persica/p.persica_gdr_reftransV1_0014228","p.persica_gdr_reftransV1_0014228")</f>
        <v>p.persica_gdr_reftransV1_0014228</v>
      </c>
      <c r="B7058" s="3">
        <v>1963</v>
      </c>
      <c r="C7058" s="1" t="str">
        <f>HYPERLINK("http://www.uniprot.org/uniprot/PP254_ARATH","PP254_ARATH")</f>
        <v>PP254_ARATH</v>
      </c>
      <c r="D7058" t="s">
        <v>5701</v>
      </c>
      <c r="E7058" s="3" t="s">
        <v>3</v>
      </c>
      <c r="F7058" s="4">
        <v>6.9100000000000003E-153</v>
      </c>
      <c r="G7058" s="3">
        <v>1167</v>
      </c>
      <c r="H7058" s="3">
        <v>69</v>
      </c>
      <c r="I7058" s="3">
        <v>317</v>
      </c>
      <c r="J7058" s="3">
        <v>251</v>
      </c>
      <c r="K7058" s="3">
        <v>1201</v>
      </c>
      <c r="L7058" s="3">
        <v>61</v>
      </c>
      <c r="M7058" s="3">
        <v>377</v>
      </c>
    </row>
    <row r="7059" spans="1:13" x14ac:dyDescent="0.25">
      <c r="A7059" s="1" t="str">
        <f>HYPERLINK("http://www.rosaceae.org/Prunus/Prunus_persica/p.persica_gdr_reftransV1_0014328","p.persica_gdr_reftransV1_0014328")</f>
        <v>p.persica_gdr_reftransV1_0014328</v>
      </c>
      <c r="B7059" s="3">
        <v>739</v>
      </c>
      <c r="C7059" s="1" t="str">
        <f>HYPERLINK("http://www.uniprot.org/uniprot/MLP31_ARATH","MLP31_ARATH")</f>
        <v>MLP31_ARATH</v>
      </c>
      <c r="D7059" t="s">
        <v>722</v>
      </c>
      <c r="E7059" s="3" t="s">
        <v>3</v>
      </c>
      <c r="F7059" s="4">
        <v>1.0699999999999999E-30</v>
      </c>
      <c r="G7059" s="3">
        <v>293</v>
      </c>
      <c r="H7059" s="3">
        <v>40</v>
      </c>
      <c r="I7059" s="3">
        <v>151</v>
      </c>
      <c r="J7059" s="3">
        <v>91</v>
      </c>
      <c r="K7059" s="3">
        <v>543</v>
      </c>
      <c r="L7059" s="3">
        <v>22</v>
      </c>
      <c r="M7059" s="3">
        <v>169</v>
      </c>
    </row>
    <row r="7060" spans="1:13" x14ac:dyDescent="0.25">
      <c r="A7060" s="1" t="str">
        <f>HYPERLINK("http://www.rosaceae.org/Prunus/Prunus_persica/p.persica_gdr_reftransV1_0014428","p.persica_gdr_reftransV1_0014428")</f>
        <v>p.persica_gdr_reftransV1_0014428</v>
      </c>
      <c r="B7060" s="3">
        <v>8401</v>
      </c>
      <c r="C7060" s="1" t="str">
        <f>HYPERLINK("http://www.uniprot.org/uniprot/FAB1B_ARATH","FAB1B_ARATH")</f>
        <v>FAB1B_ARATH</v>
      </c>
      <c r="D7060" t="s">
        <v>3042</v>
      </c>
      <c r="E7060" s="3" t="s">
        <v>3</v>
      </c>
      <c r="F7060" s="4">
        <v>0</v>
      </c>
      <c r="G7060" s="3">
        <v>5115</v>
      </c>
      <c r="H7060" s="3">
        <v>65</v>
      </c>
      <c r="I7060" s="3">
        <v>1635</v>
      </c>
      <c r="J7060" s="3">
        <v>1805</v>
      </c>
      <c r="K7060" s="3">
        <v>6652</v>
      </c>
      <c r="L7060" s="3">
        <v>204</v>
      </c>
      <c r="M7060" s="3">
        <v>1791</v>
      </c>
    </row>
    <row r="7061" spans="1:13" x14ac:dyDescent="0.25">
      <c r="A7061" s="1" t="str">
        <f>HYPERLINK("http://www.rosaceae.org/Prunus/Prunus_persica/p.persica_gdr_reftransV1_0014478","p.persica_gdr_reftransV1_0014478")</f>
        <v>p.persica_gdr_reftransV1_0014478</v>
      </c>
      <c r="B7061" s="3">
        <v>1819</v>
      </c>
      <c r="C7061" s="1" t="str">
        <f>HYPERLINK("http://www.uniprot.org/uniprot/NAC86_ARATH","NAC86_ARATH")</f>
        <v>NAC86_ARATH</v>
      </c>
      <c r="D7061" t="s">
        <v>5428</v>
      </c>
      <c r="E7061" s="3" t="s">
        <v>3</v>
      </c>
      <c r="F7061" s="4">
        <v>1.51E-8</v>
      </c>
      <c r="G7061" s="3">
        <v>147</v>
      </c>
      <c r="H7061" s="3">
        <v>31</v>
      </c>
      <c r="I7061" s="3">
        <v>147</v>
      </c>
      <c r="J7061" s="3">
        <v>779</v>
      </c>
      <c r="K7061" s="3">
        <v>1213</v>
      </c>
      <c r="L7061" s="3">
        <v>306</v>
      </c>
      <c r="M7061" s="3">
        <v>430</v>
      </c>
    </row>
    <row r="7062" spans="1:13" x14ac:dyDescent="0.25">
      <c r="A7062" s="1" t="str">
        <f>HYPERLINK("http://www.rosaceae.org/Prunus/Prunus_persica/p.persica_gdr_reftransV1_0014628","p.persica_gdr_reftransV1_0014628")</f>
        <v>p.persica_gdr_reftransV1_0014628</v>
      </c>
      <c r="B7062" s="3">
        <v>7193</v>
      </c>
      <c r="C7062" s="1" t="str">
        <f>HYPERLINK("http://www.uniprot.org/uniprot/DCL1_ARATH","DCL1_ARATH")</f>
        <v>DCL1_ARATH</v>
      </c>
      <c r="D7062" t="s">
        <v>5702</v>
      </c>
      <c r="E7062" s="3" t="s">
        <v>3</v>
      </c>
      <c r="F7062" s="4">
        <v>0</v>
      </c>
      <c r="G7062" s="3">
        <v>4681</v>
      </c>
      <c r="H7062" s="3">
        <v>70</v>
      </c>
      <c r="I7062" s="3">
        <v>1347</v>
      </c>
      <c r="J7062" s="3">
        <v>102</v>
      </c>
      <c r="K7062" s="3">
        <v>4109</v>
      </c>
      <c r="L7062" s="3">
        <v>1</v>
      </c>
      <c r="M7062" s="3">
        <v>1269</v>
      </c>
    </row>
    <row r="7063" spans="1:13" x14ac:dyDescent="0.25">
      <c r="A7063" s="1" t="str">
        <f>HYPERLINK("http://www.rosaceae.org/Prunus/Prunus_persica/p.persica_gdr_reftransV1_0014678","p.persica_gdr_reftransV1_0014678")</f>
        <v>p.persica_gdr_reftransV1_0014678</v>
      </c>
      <c r="B7063" s="3">
        <v>692</v>
      </c>
      <c r="C7063" s="1" t="str">
        <f>HYPERLINK("http://www.uniprot.org/uniprot/WRI1_ARATH","WRI1_ARATH")</f>
        <v>WRI1_ARATH</v>
      </c>
      <c r="D7063" t="s">
        <v>5703</v>
      </c>
      <c r="E7063" s="3" t="s">
        <v>3</v>
      </c>
      <c r="F7063" s="4">
        <v>6.0900000000000002E-29</v>
      </c>
      <c r="G7063" s="3">
        <v>291</v>
      </c>
      <c r="H7063" s="3">
        <v>94</v>
      </c>
      <c r="I7063" s="3">
        <v>67</v>
      </c>
      <c r="J7063" s="3">
        <v>490</v>
      </c>
      <c r="K7063" s="3">
        <v>690</v>
      </c>
      <c r="L7063" s="3">
        <v>170</v>
      </c>
      <c r="M7063" s="3">
        <v>236</v>
      </c>
    </row>
    <row r="7064" spans="1:13" x14ac:dyDescent="0.25">
      <c r="A7064" s="1" t="str">
        <f>HYPERLINK("http://www.rosaceae.org/Prunus/Prunus_persica/p.persica_gdr_reftransV1_0014978","p.persica_gdr_reftransV1_0014978")</f>
        <v>p.persica_gdr_reftransV1_0014978</v>
      </c>
      <c r="B7064" s="3">
        <v>3331</v>
      </c>
      <c r="C7064" s="1" t="str">
        <f>HYPERLINK("http://www.uniprot.org/uniprot/SDE3_ARATH","SDE3_ARATH")</f>
        <v>SDE3_ARATH</v>
      </c>
      <c r="D7064" t="s">
        <v>697</v>
      </c>
      <c r="E7064" s="3" t="s">
        <v>3</v>
      </c>
      <c r="F7064" s="4">
        <v>0</v>
      </c>
      <c r="G7064" s="3">
        <v>2748</v>
      </c>
      <c r="H7064" s="3">
        <v>60</v>
      </c>
      <c r="I7064" s="3">
        <v>918</v>
      </c>
      <c r="J7064" s="3">
        <v>246</v>
      </c>
      <c r="K7064" s="3">
        <v>2936</v>
      </c>
      <c r="L7064" s="3">
        <v>1</v>
      </c>
      <c r="M7064" s="3">
        <v>905</v>
      </c>
    </row>
    <row r="7065" spans="1:13" x14ac:dyDescent="0.25">
      <c r="A7065" s="1" t="str">
        <f>HYPERLINK("http://www.rosaceae.org/Prunus/Prunus_persica/p.persica_gdr_reftransV1_0015028","p.persica_gdr_reftransV1_0015028")</f>
        <v>p.persica_gdr_reftransV1_0015028</v>
      </c>
      <c r="B7065" s="3">
        <v>1977</v>
      </c>
      <c r="C7065" s="1" t="str">
        <f>HYPERLINK("http://www.uniprot.org/uniprot/TBL27_ARATH","TBL27_ARATH")</f>
        <v>TBL27_ARATH</v>
      </c>
      <c r="D7065" t="s">
        <v>5704</v>
      </c>
      <c r="E7065" s="3" t="s">
        <v>3</v>
      </c>
      <c r="F7065" s="4">
        <v>4.0199999999999997E-157</v>
      </c>
      <c r="G7065" s="3">
        <v>1199</v>
      </c>
      <c r="H7065" s="3">
        <v>57</v>
      </c>
      <c r="I7065" s="3">
        <v>424</v>
      </c>
      <c r="J7065" s="3">
        <v>262</v>
      </c>
      <c r="K7065" s="3">
        <v>1527</v>
      </c>
      <c r="L7065" s="3">
        <v>13</v>
      </c>
      <c r="M7065" s="3">
        <v>414</v>
      </c>
    </row>
    <row r="7066" spans="1:13" x14ac:dyDescent="0.25">
      <c r="A7066" s="1" t="str">
        <f>HYPERLINK("http://www.rosaceae.org/Prunus/Prunus_persica/p.persica_gdr_reftransV1_0015078","p.persica_gdr_reftransV1_0015078")</f>
        <v>p.persica_gdr_reftransV1_0015078</v>
      </c>
      <c r="B7066" s="3">
        <v>394</v>
      </c>
      <c r="C7066" s="1" t="str">
        <f>HYPERLINK("http://www.uniprot.org/uniprot/Y4885_ARATH","Y4885_ARATH")</f>
        <v>Y4885_ARATH</v>
      </c>
      <c r="D7066" t="s">
        <v>468</v>
      </c>
      <c r="E7066" s="3" t="s">
        <v>3</v>
      </c>
      <c r="F7066" s="4">
        <v>9.589999999999999E-44</v>
      </c>
      <c r="G7066" s="3">
        <v>399</v>
      </c>
      <c r="H7066" s="3">
        <v>57</v>
      </c>
      <c r="I7066" s="3">
        <v>129</v>
      </c>
      <c r="J7066" s="3">
        <v>17</v>
      </c>
      <c r="K7066" s="3">
        <v>394</v>
      </c>
      <c r="L7066" s="3">
        <v>753</v>
      </c>
      <c r="M7066" s="3">
        <v>880</v>
      </c>
    </row>
    <row r="7067" spans="1:13" x14ac:dyDescent="0.25">
      <c r="A7067" s="1" t="str">
        <f>HYPERLINK("http://www.rosaceae.org/Prunus/Prunus_persica/p.persica_gdr_reftransV1_0015128","p.persica_gdr_reftransV1_0015128")</f>
        <v>p.persica_gdr_reftransV1_0015128</v>
      </c>
      <c r="B7067" s="3">
        <v>1095</v>
      </c>
      <c r="C7067" s="1" t="str">
        <f>HYPERLINK("http://www.uniprot.org/uniprot/GL21_ARATH","GL21_ARATH")</f>
        <v>GL21_ARATH</v>
      </c>
      <c r="D7067" t="s">
        <v>5705</v>
      </c>
      <c r="E7067" s="3" t="s">
        <v>3</v>
      </c>
      <c r="F7067" s="4">
        <v>8.2499999999999999E-101</v>
      </c>
      <c r="G7067" s="3">
        <v>778</v>
      </c>
      <c r="H7067" s="3">
        <v>71</v>
      </c>
      <c r="I7067" s="3">
        <v>201</v>
      </c>
      <c r="J7067" s="3">
        <v>208</v>
      </c>
      <c r="K7067" s="3">
        <v>810</v>
      </c>
      <c r="L7067" s="3">
        <v>18</v>
      </c>
      <c r="M7067" s="3">
        <v>218</v>
      </c>
    </row>
    <row r="7068" spans="1:13" x14ac:dyDescent="0.25">
      <c r="A7068" s="1" t="str">
        <f>HYPERLINK("http://www.rosaceae.org/Prunus/Prunus_persica/p.persica_gdr_reftransV1_0015378","p.persica_gdr_reftransV1_0015378")</f>
        <v>p.persica_gdr_reftransV1_0015378</v>
      </c>
      <c r="B7068" s="3">
        <v>3944</v>
      </c>
      <c r="C7068" s="1" t="str">
        <f>HYPERLINK("http://www.uniprot.org/uniprot/Y2921_ARATH","Y2921_ARATH")</f>
        <v>Y2921_ARATH</v>
      </c>
      <c r="D7068" t="s">
        <v>5706</v>
      </c>
      <c r="E7068" s="3" t="s">
        <v>3</v>
      </c>
      <c r="F7068" s="4">
        <v>8.8600000000000006E-164</v>
      </c>
      <c r="G7068" s="3">
        <v>1338</v>
      </c>
      <c r="H7068" s="3">
        <v>53</v>
      </c>
      <c r="I7068" s="3">
        <v>474</v>
      </c>
      <c r="J7068" s="3">
        <v>2160</v>
      </c>
      <c r="K7068" s="3">
        <v>3560</v>
      </c>
      <c r="L7068" s="3">
        <v>384</v>
      </c>
      <c r="M7068" s="3">
        <v>851</v>
      </c>
    </row>
    <row r="7069" spans="1:13" x14ac:dyDescent="0.25">
      <c r="A7069" s="1" t="str">
        <f>HYPERLINK("http://www.rosaceae.org/Prunus/Prunus_persica/p.persica_gdr_reftransV1_0015478","p.persica_gdr_reftransV1_0015478")</f>
        <v>p.persica_gdr_reftransV1_0015478</v>
      </c>
      <c r="B7069" s="3">
        <v>2826</v>
      </c>
      <c r="C7069" s="1" t="str">
        <f>HYPERLINK("http://www.uniprot.org/uniprot/ZMY15_HUMAN","ZMY15_HUMAN")</f>
        <v>ZMY15_HUMAN</v>
      </c>
      <c r="D7069" t="s">
        <v>5707</v>
      </c>
      <c r="E7069" s="3" t="s">
        <v>28</v>
      </c>
      <c r="F7069" s="4">
        <v>1.81E-24</v>
      </c>
      <c r="G7069" s="3">
        <v>283</v>
      </c>
      <c r="H7069" s="3">
        <v>25</v>
      </c>
      <c r="I7069" s="3">
        <v>394</v>
      </c>
      <c r="J7069" s="3">
        <v>1353</v>
      </c>
      <c r="K7069" s="3">
        <v>2411</v>
      </c>
      <c r="L7069" s="3">
        <v>304</v>
      </c>
      <c r="M7069" s="3">
        <v>693</v>
      </c>
    </row>
    <row r="7070" spans="1:13" x14ac:dyDescent="0.25">
      <c r="A7070" s="1" t="str">
        <f>HYPERLINK("http://www.rosaceae.org/Prunus/Prunus_persica/p.persica_gdr_reftransV1_0015628","p.persica_gdr_reftransV1_0015628")</f>
        <v>p.persica_gdr_reftransV1_0015628</v>
      </c>
      <c r="B7070" s="3">
        <v>2138</v>
      </c>
      <c r="C7070" s="1" t="str">
        <f>HYPERLINK("http://www.uniprot.org/uniprot/NU50A_ARATH","NU50A_ARATH")</f>
        <v>NU50A_ARATH</v>
      </c>
      <c r="D7070" t="s">
        <v>5708</v>
      </c>
      <c r="E7070" s="3" t="s">
        <v>3</v>
      </c>
      <c r="F7070" s="4">
        <v>2.84E-62</v>
      </c>
      <c r="G7070" s="3">
        <v>561</v>
      </c>
      <c r="H7070" s="3">
        <v>63</v>
      </c>
      <c r="I7070" s="3">
        <v>168</v>
      </c>
      <c r="J7070" s="3">
        <v>619</v>
      </c>
      <c r="K7070" s="3">
        <v>1101</v>
      </c>
      <c r="L7070" s="3">
        <v>273</v>
      </c>
      <c r="M7070" s="3">
        <v>439</v>
      </c>
    </row>
    <row r="7071" spans="1:13" x14ac:dyDescent="0.25">
      <c r="A7071" s="1" t="str">
        <f>HYPERLINK("http://www.rosaceae.org/Prunus/Prunus_persica/p.persica_gdr_reftransV1_0015978","p.persica_gdr_reftransV1_0015978")</f>
        <v>p.persica_gdr_reftransV1_0015978</v>
      </c>
      <c r="B7071" s="3">
        <v>2528</v>
      </c>
      <c r="C7071" s="1" t="str">
        <f>HYPERLINK("http://www.uniprot.org/uniprot/NEK2_ORYSJ","NEK2_ORYSJ")</f>
        <v>NEK2_ORYSJ</v>
      </c>
      <c r="D7071" t="s">
        <v>5709</v>
      </c>
      <c r="E7071" s="3" t="s">
        <v>38</v>
      </c>
      <c r="F7071" s="4">
        <v>0</v>
      </c>
      <c r="G7071" s="3">
        <v>1432</v>
      </c>
      <c r="H7071" s="3">
        <v>60</v>
      </c>
      <c r="I7071" s="3">
        <v>512</v>
      </c>
      <c r="J7071" s="3">
        <v>251</v>
      </c>
      <c r="K7071" s="3">
        <v>1783</v>
      </c>
      <c r="L7071" s="3">
        <v>104</v>
      </c>
      <c r="M7071" s="3">
        <v>591</v>
      </c>
    </row>
    <row r="7072" spans="1:13" x14ac:dyDescent="0.25">
      <c r="A7072" s="1" t="str">
        <f>HYPERLINK("http://www.rosaceae.org/Prunus/Prunus_persica/p.persica_gdr_reftransV1_0016628","p.persica_gdr_reftransV1_0016628")</f>
        <v>p.persica_gdr_reftransV1_0016628</v>
      </c>
      <c r="B7072" s="3">
        <v>1151</v>
      </c>
      <c r="C7072" s="1" t="str">
        <f>HYPERLINK("http://www.uniprot.org/uniprot/NDHT_ARATH","NDHT_ARATH")</f>
        <v>NDHT_ARATH</v>
      </c>
      <c r="D7072" t="s">
        <v>5710</v>
      </c>
      <c r="E7072" s="3" t="s">
        <v>3</v>
      </c>
      <c r="F7072" s="4">
        <v>1.0899999999999999E-83</v>
      </c>
      <c r="G7072" s="3">
        <v>669</v>
      </c>
      <c r="H7072" s="3">
        <v>70</v>
      </c>
      <c r="I7072" s="3">
        <v>191</v>
      </c>
      <c r="J7072" s="3">
        <v>358</v>
      </c>
      <c r="K7072" s="3">
        <v>927</v>
      </c>
      <c r="L7072" s="3">
        <v>43</v>
      </c>
      <c r="M7072" s="3">
        <v>225</v>
      </c>
    </row>
    <row r="7073" spans="1:13" x14ac:dyDescent="0.25">
      <c r="A7073" s="1" t="str">
        <f>HYPERLINK("http://www.rosaceae.org/Prunus/Prunus_persica/p.persica_gdr_reftransV1_0016778","p.persica_gdr_reftransV1_0016778")</f>
        <v>p.persica_gdr_reftransV1_0016778</v>
      </c>
      <c r="B7073" s="3">
        <v>1544</v>
      </c>
      <c r="C7073" s="1" t="str">
        <f>HYPERLINK("http://www.uniprot.org/uniprot/FDL38_ARATH","FDL38_ARATH")</f>
        <v>FDL38_ARATH</v>
      </c>
      <c r="D7073" t="s">
        <v>5711</v>
      </c>
      <c r="E7073" s="3" t="s">
        <v>3</v>
      </c>
      <c r="F7073" s="4">
        <v>2.3800000000000002E-21</v>
      </c>
      <c r="G7073" s="3">
        <v>248</v>
      </c>
      <c r="H7073" s="3">
        <v>37</v>
      </c>
      <c r="I7073" s="3">
        <v>192</v>
      </c>
      <c r="J7073" s="3">
        <v>188</v>
      </c>
      <c r="K7073" s="3">
        <v>742</v>
      </c>
      <c r="L7073" s="3">
        <v>8</v>
      </c>
      <c r="M7073" s="3">
        <v>196</v>
      </c>
    </row>
    <row r="7074" spans="1:13" x14ac:dyDescent="0.25">
      <c r="A7074" s="1" t="str">
        <f>HYPERLINK("http://www.rosaceae.org/Prunus/Prunus_persica/p.persica_gdr_reftransV1_0016878","p.persica_gdr_reftransV1_0016878")</f>
        <v>p.persica_gdr_reftransV1_0016878</v>
      </c>
      <c r="B7074" s="3">
        <v>1072</v>
      </c>
      <c r="C7074" s="1" t="str">
        <f>HYPERLINK("http://www.uniprot.org/uniprot/ATL17_ARATH","ATL17_ARATH")</f>
        <v>ATL17_ARATH</v>
      </c>
      <c r="D7074" t="s">
        <v>5712</v>
      </c>
      <c r="E7074" s="3" t="s">
        <v>3</v>
      </c>
      <c r="F7074" s="4">
        <v>1.1300000000000001E-11</v>
      </c>
      <c r="G7074" s="3">
        <v>163</v>
      </c>
      <c r="H7074" s="3">
        <v>43</v>
      </c>
      <c r="I7074" s="3">
        <v>68</v>
      </c>
      <c r="J7074" s="3">
        <v>588</v>
      </c>
      <c r="K7074" s="3">
        <v>791</v>
      </c>
      <c r="L7074" s="3">
        <v>75</v>
      </c>
      <c r="M7074" s="3">
        <v>139</v>
      </c>
    </row>
    <row r="7075" spans="1:13" x14ac:dyDescent="0.25">
      <c r="A7075" s="1" t="str">
        <f>HYPERLINK("http://www.rosaceae.org/Prunus/Prunus_persica/p.persica_gdr_reftransV1_0016928","p.persica_gdr_reftransV1_0016928")</f>
        <v>p.persica_gdr_reftransV1_0016928</v>
      </c>
      <c r="B7075" s="3">
        <v>1477</v>
      </c>
      <c r="C7075" s="1" t="str">
        <f>HYPERLINK("http://www.uniprot.org/uniprot/SBH1_ARATH","SBH1_ARATH")</f>
        <v>SBH1_ARATH</v>
      </c>
      <c r="D7075" t="s">
        <v>5713</v>
      </c>
      <c r="E7075" s="3" t="s">
        <v>3</v>
      </c>
      <c r="F7075" s="4">
        <v>4.4700000000000004E-106</v>
      </c>
      <c r="G7075" s="3">
        <v>829</v>
      </c>
      <c r="H7075" s="3">
        <v>66</v>
      </c>
      <c r="I7075" s="3">
        <v>253</v>
      </c>
      <c r="J7075" s="3">
        <v>340</v>
      </c>
      <c r="K7075" s="3">
        <v>1098</v>
      </c>
      <c r="L7075" s="3">
        <v>7</v>
      </c>
      <c r="M7075" s="3">
        <v>259</v>
      </c>
    </row>
    <row r="7076" spans="1:13" x14ac:dyDescent="0.25">
      <c r="A7076" s="1" t="str">
        <f>HYPERLINK("http://www.rosaceae.org/Prunus/Prunus_persica/p.persica_gdr_reftransV1_0017028","p.persica_gdr_reftransV1_0017028")</f>
        <v>p.persica_gdr_reftransV1_0017028</v>
      </c>
      <c r="B7076" s="3">
        <v>1618</v>
      </c>
      <c r="C7076" s="1" t="str">
        <f>HYPERLINK("http://www.uniprot.org/uniprot/STR14_ARATH","STR14_ARATH")</f>
        <v>STR14_ARATH</v>
      </c>
      <c r="D7076" t="s">
        <v>5714</v>
      </c>
      <c r="E7076" s="3" t="s">
        <v>3</v>
      </c>
      <c r="F7076" s="4">
        <v>5.4899999999999999E-62</v>
      </c>
      <c r="G7076" s="3">
        <v>497</v>
      </c>
      <c r="H7076" s="3">
        <v>76</v>
      </c>
      <c r="I7076" s="3">
        <v>140</v>
      </c>
      <c r="J7076" s="3">
        <v>612</v>
      </c>
      <c r="K7076" s="3">
        <v>1031</v>
      </c>
      <c r="L7076" s="3">
        <v>44</v>
      </c>
      <c r="M7076" s="3">
        <v>183</v>
      </c>
    </row>
    <row r="7077" spans="1:13" x14ac:dyDescent="0.25">
      <c r="A7077" s="1" t="str">
        <f>HYPERLINK("http://www.rosaceae.org/Prunus/Prunus_persica/p.persica_gdr_reftransV1_0017128","p.persica_gdr_reftransV1_0017128")</f>
        <v>p.persica_gdr_reftransV1_0017128</v>
      </c>
      <c r="B7077" s="3">
        <v>447</v>
      </c>
      <c r="C7077" s="1" t="str">
        <f>HYPERLINK("http://www.uniprot.org/uniprot/METK2_CATRO","METK2_CATRO")</f>
        <v>METK2_CATRO</v>
      </c>
      <c r="D7077" t="s">
        <v>5715</v>
      </c>
      <c r="E7077" s="3" t="s">
        <v>457</v>
      </c>
      <c r="F7077" s="4">
        <v>2.4299999999999999E-100</v>
      </c>
      <c r="G7077" s="3">
        <v>768</v>
      </c>
      <c r="H7077" s="3">
        <v>97</v>
      </c>
      <c r="I7077" s="3">
        <v>148</v>
      </c>
      <c r="J7077" s="3">
        <v>3</v>
      </c>
      <c r="K7077" s="3">
        <v>446</v>
      </c>
      <c r="L7077" s="3">
        <v>116</v>
      </c>
      <c r="M7077" s="3">
        <v>263</v>
      </c>
    </row>
    <row r="7078" spans="1:13" x14ac:dyDescent="0.25">
      <c r="A7078" s="1" t="str">
        <f>HYPERLINK("http://www.rosaceae.org/Prunus/Prunus_persica/p.persica_gdr_reftransV1_0017328","p.persica_gdr_reftransV1_0017328")</f>
        <v>p.persica_gdr_reftransV1_0017328</v>
      </c>
      <c r="B7078" s="3">
        <v>1317</v>
      </c>
      <c r="C7078" s="1" t="str">
        <f>HYPERLINK("http://www.uniprot.org/uniprot/CSPL5_RICCO","CSPL5_RICCO")</f>
        <v>CSPL5_RICCO</v>
      </c>
      <c r="D7078" t="s">
        <v>5716</v>
      </c>
      <c r="E7078" s="3" t="s">
        <v>421</v>
      </c>
      <c r="F7078" s="4">
        <v>4.8199999999999999E-17</v>
      </c>
      <c r="G7078" s="3">
        <v>205</v>
      </c>
      <c r="H7078" s="3">
        <v>58</v>
      </c>
      <c r="I7078" s="3">
        <v>86</v>
      </c>
      <c r="J7078" s="3">
        <v>239</v>
      </c>
      <c r="K7078" s="3">
        <v>472</v>
      </c>
      <c r="L7078" s="3">
        <v>42</v>
      </c>
      <c r="M7078" s="3">
        <v>126</v>
      </c>
    </row>
    <row r="7079" spans="1:13" x14ac:dyDescent="0.25">
      <c r="A7079" s="1" t="str">
        <f>HYPERLINK("http://www.rosaceae.org/Prunus/Prunus_persica/p.persica_gdr_reftransV1_0017578","p.persica_gdr_reftransV1_0017578")</f>
        <v>p.persica_gdr_reftransV1_0017578</v>
      </c>
      <c r="B7079" s="3">
        <v>979</v>
      </c>
      <c r="C7079" s="1" t="str">
        <f>HYPERLINK("http://www.uniprot.org/uniprot/RL273_ARATH","RL273_ARATH")</f>
        <v>RL273_ARATH</v>
      </c>
      <c r="D7079" t="s">
        <v>1814</v>
      </c>
      <c r="E7079" s="3" t="s">
        <v>3</v>
      </c>
      <c r="F7079" s="4">
        <v>3.4399999999999999E-77</v>
      </c>
      <c r="G7079" s="3">
        <v>609</v>
      </c>
      <c r="H7079" s="3">
        <v>84</v>
      </c>
      <c r="I7079" s="3">
        <v>135</v>
      </c>
      <c r="J7079" s="3">
        <v>420</v>
      </c>
      <c r="K7079" s="3">
        <v>824</v>
      </c>
      <c r="L7079" s="3">
        <v>1</v>
      </c>
      <c r="M7079" s="3">
        <v>135</v>
      </c>
    </row>
    <row r="7080" spans="1:13" x14ac:dyDescent="0.25">
      <c r="A7080" s="1" t="str">
        <f>HYPERLINK("http://www.rosaceae.org/Prunus/Prunus_persica/p.persica_gdr_reftransV1_0017828","p.persica_gdr_reftransV1_0017828")</f>
        <v>p.persica_gdr_reftransV1_0017828</v>
      </c>
      <c r="B7080" s="3">
        <v>2333</v>
      </c>
      <c r="C7080" s="1" t="str">
        <f>HYPERLINK("http://www.uniprot.org/uniprot/YI01_SCHPO","YI01_SCHPO")</f>
        <v>YI01_SCHPO</v>
      </c>
      <c r="D7080" t="s">
        <v>1561</v>
      </c>
      <c r="E7080" s="3" t="s">
        <v>464</v>
      </c>
      <c r="F7080" s="4">
        <v>1.3499999999999999E-81</v>
      </c>
      <c r="G7080" s="3">
        <v>711</v>
      </c>
      <c r="H7080" s="3">
        <v>39</v>
      </c>
      <c r="I7080" s="3">
        <v>519</v>
      </c>
      <c r="J7080" s="3">
        <v>621</v>
      </c>
      <c r="K7080" s="3">
        <v>2084</v>
      </c>
      <c r="L7080" s="3">
        <v>58</v>
      </c>
      <c r="M7080" s="3">
        <v>570</v>
      </c>
    </row>
    <row r="7081" spans="1:13" x14ac:dyDescent="0.25">
      <c r="A7081" s="1" t="str">
        <f>HYPERLINK("http://www.rosaceae.org/Prunus/Prunus_persica/p.persica_gdr_reftransV1_0018128","p.persica_gdr_reftransV1_0018128")</f>
        <v>p.persica_gdr_reftransV1_0018128</v>
      </c>
      <c r="B7081" s="3">
        <v>2219</v>
      </c>
      <c r="C7081" s="1" t="str">
        <f>HYPERLINK("http://www.uniprot.org/uniprot/P2C60_ARATH","P2C60_ARATH")</f>
        <v>P2C60_ARATH</v>
      </c>
      <c r="D7081" t="s">
        <v>5717</v>
      </c>
      <c r="E7081" s="3" t="s">
        <v>3</v>
      </c>
      <c r="F7081" s="4">
        <v>0</v>
      </c>
      <c r="G7081" s="3">
        <v>1564</v>
      </c>
      <c r="H7081" s="3">
        <v>78</v>
      </c>
      <c r="I7081" s="3">
        <v>365</v>
      </c>
      <c r="J7081" s="3">
        <v>832</v>
      </c>
      <c r="K7081" s="3">
        <v>1926</v>
      </c>
      <c r="L7081" s="3">
        <v>1</v>
      </c>
      <c r="M7081" s="3">
        <v>353</v>
      </c>
    </row>
    <row r="7082" spans="1:13" x14ac:dyDescent="0.25">
      <c r="A7082" s="1" t="str">
        <f>HYPERLINK("http://www.rosaceae.org/Prunus/Prunus_persica/p.persica_gdr_reftransV1_0018328","p.persica_gdr_reftransV1_0018328")</f>
        <v>p.persica_gdr_reftransV1_0018328</v>
      </c>
      <c r="B7082" s="3">
        <v>999</v>
      </c>
      <c r="C7082" s="1" t="str">
        <f>HYPERLINK("http://www.uniprot.org/uniprot/SABP2_TOBAC","SABP2_TOBAC")</f>
        <v>SABP2_TOBAC</v>
      </c>
      <c r="D7082" t="s">
        <v>1322</v>
      </c>
      <c r="E7082" s="3" t="s">
        <v>200</v>
      </c>
      <c r="F7082" s="4">
        <v>1.8999999999999999E-113</v>
      </c>
      <c r="G7082" s="3">
        <v>862</v>
      </c>
      <c r="H7082" s="3">
        <v>65</v>
      </c>
      <c r="I7082" s="3">
        <v>258</v>
      </c>
      <c r="J7082" s="3">
        <v>32</v>
      </c>
      <c r="K7082" s="3">
        <v>802</v>
      </c>
      <c r="L7082" s="3">
        <v>2</v>
      </c>
      <c r="M7082" s="3">
        <v>259</v>
      </c>
    </row>
    <row r="7083" spans="1:13" x14ac:dyDescent="0.25">
      <c r="A7083" s="1" t="str">
        <f>HYPERLINK("http://www.rosaceae.org/Prunus/Prunus_persica/p.persica_gdr_reftransV1_0018428","p.persica_gdr_reftransV1_0018428")</f>
        <v>p.persica_gdr_reftransV1_0018428</v>
      </c>
      <c r="B7083" s="3">
        <v>2562</v>
      </c>
      <c r="C7083" s="1" t="str">
        <f>HYPERLINK("http://www.uniprot.org/uniprot/HSP7C_PETHY","HSP7C_PETHY")</f>
        <v>HSP7C_PETHY</v>
      </c>
      <c r="D7083" t="s">
        <v>804</v>
      </c>
      <c r="E7083" s="3" t="s">
        <v>509</v>
      </c>
      <c r="F7083" s="4">
        <v>0</v>
      </c>
      <c r="G7083" s="3">
        <v>1612</v>
      </c>
      <c r="H7083" s="3">
        <v>63</v>
      </c>
      <c r="I7083" s="3">
        <v>509</v>
      </c>
      <c r="J7083" s="3">
        <v>766</v>
      </c>
      <c r="K7083" s="3">
        <v>2292</v>
      </c>
      <c r="L7083" s="3">
        <v>9</v>
      </c>
      <c r="M7083" s="3">
        <v>513</v>
      </c>
    </row>
    <row r="7084" spans="1:13" x14ac:dyDescent="0.25">
      <c r="A7084" s="1" t="str">
        <f>HYPERLINK("http://www.rosaceae.org/Prunus/Prunus_persica/p.persica_gdr_reftransV1_0019028","p.persica_gdr_reftransV1_0019028")</f>
        <v>p.persica_gdr_reftransV1_0019028</v>
      </c>
      <c r="B7084" s="3">
        <v>1508</v>
      </c>
      <c r="C7084" s="1" t="str">
        <f>HYPERLINK("http://www.uniprot.org/uniprot/GLGS2_VICFA","GLGS2_VICFA")</f>
        <v>GLGS2_VICFA</v>
      </c>
      <c r="D7084" t="s">
        <v>5695</v>
      </c>
      <c r="E7084" s="3" t="s">
        <v>2253</v>
      </c>
      <c r="F7084" s="4">
        <v>0</v>
      </c>
      <c r="G7084" s="3">
        <v>1395</v>
      </c>
      <c r="H7084" s="3">
        <v>84</v>
      </c>
      <c r="I7084" s="3">
        <v>334</v>
      </c>
      <c r="J7084" s="3">
        <v>337</v>
      </c>
      <c r="K7084" s="3">
        <v>1314</v>
      </c>
      <c r="L7084" s="3">
        <v>26</v>
      </c>
      <c r="M7084" s="3">
        <v>357</v>
      </c>
    </row>
    <row r="7085" spans="1:13" x14ac:dyDescent="0.25">
      <c r="A7085" s="1" t="str">
        <f>HYPERLINK("http://www.rosaceae.org/Prunus/Prunus_persica/p.persica_gdr_reftransV1_0019128","p.persica_gdr_reftransV1_0019128")</f>
        <v>p.persica_gdr_reftransV1_0019128</v>
      </c>
      <c r="B7085" s="3">
        <v>841</v>
      </c>
      <c r="C7085" s="1" t="str">
        <f>HYPERLINK("http://www.uniprot.org/uniprot/ENDO2_ARATH","ENDO2_ARATH")</f>
        <v>ENDO2_ARATH</v>
      </c>
      <c r="D7085" t="s">
        <v>5718</v>
      </c>
      <c r="E7085" s="3" t="s">
        <v>3</v>
      </c>
      <c r="F7085" s="4">
        <v>4.3699999999999998E-122</v>
      </c>
      <c r="G7085" s="3">
        <v>917</v>
      </c>
      <c r="H7085" s="3">
        <v>77</v>
      </c>
      <c r="I7085" s="3">
        <v>221</v>
      </c>
      <c r="J7085" s="3">
        <v>179</v>
      </c>
      <c r="K7085" s="3">
        <v>838</v>
      </c>
      <c r="L7085" s="3">
        <v>72</v>
      </c>
      <c r="M7085" s="3">
        <v>290</v>
      </c>
    </row>
    <row r="7086" spans="1:13" x14ac:dyDescent="0.25">
      <c r="A7086" s="1" t="str">
        <f>HYPERLINK("http://www.rosaceae.org/Prunus/Prunus_persica/p.persica_gdr_reftransV1_0019178","p.persica_gdr_reftransV1_0019178")</f>
        <v>p.persica_gdr_reftransV1_0019178</v>
      </c>
      <c r="B7086" s="3">
        <v>3904</v>
      </c>
      <c r="C7086" s="1" t="str">
        <f>HYPERLINK("http://www.uniprot.org/uniprot/POLX_TOBAC","POLX_TOBAC")</f>
        <v>POLX_TOBAC</v>
      </c>
      <c r="D7086" t="s">
        <v>1253</v>
      </c>
      <c r="E7086" s="3" t="s">
        <v>200</v>
      </c>
      <c r="F7086" s="4">
        <v>1.24E-96</v>
      </c>
      <c r="G7086" s="3">
        <v>880</v>
      </c>
      <c r="H7086" s="3">
        <v>37</v>
      </c>
      <c r="I7086" s="3">
        <v>572</v>
      </c>
      <c r="J7086" s="3">
        <v>1966</v>
      </c>
      <c r="K7086" s="3">
        <v>3627</v>
      </c>
      <c r="L7086" s="3">
        <v>754</v>
      </c>
      <c r="M7086" s="3">
        <v>1320</v>
      </c>
    </row>
    <row r="7087" spans="1:13" x14ac:dyDescent="0.25">
      <c r="A7087" s="1" t="str">
        <f>HYPERLINK("http://www.rosaceae.org/Prunus/Prunus_persica/p.persica_gdr_reftransV1_0019278","p.persica_gdr_reftransV1_0019278")</f>
        <v>p.persica_gdr_reftransV1_0019278</v>
      </c>
      <c r="B7087" s="3">
        <v>4365</v>
      </c>
      <c r="C7087" s="1" t="str">
        <f>HYPERLINK("http://www.uniprot.org/uniprot/AGD2_ARATH","AGD2_ARATH")</f>
        <v>AGD2_ARATH</v>
      </c>
      <c r="D7087" t="s">
        <v>5719</v>
      </c>
      <c r="E7087" s="3" t="s">
        <v>3</v>
      </c>
      <c r="F7087" s="4">
        <v>2.28E-178</v>
      </c>
      <c r="G7087" s="3">
        <v>1437</v>
      </c>
      <c r="H7087" s="3">
        <v>61</v>
      </c>
      <c r="I7087" s="3">
        <v>450</v>
      </c>
      <c r="J7087" s="3">
        <v>1730</v>
      </c>
      <c r="K7087" s="3">
        <v>3070</v>
      </c>
      <c r="L7087" s="3">
        <v>336</v>
      </c>
      <c r="M7087" s="3">
        <v>774</v>
      </c>
    </row>
    <row r="7088" spans="1:13" x14ac:dyDescent="0.25">
      <c r="A7088" s="1" t="str">
        <f>HYPERLINK("http://www.rosaceae.org/Prunus/Prunus_persica/p.persica_gdr_reftransV1_0019378","p.persica_gdr_reftransV1_0019378")</f>
        <v>p.persica_gdr_reftransV1_0019378</v>
      </c>
      <c r="B7088" s="3">
        <v>2881</v>
      </c>
      <c r="C7088" s="1" t="str">
        <f>HYPERLINK("http://www.uniprot.org/uniprot/PLST1_ARATH","PLST1_ARATH")</f>
        <v>PLST1_ARATH</v>
      </c>
      <c r="D7088" t="s">
        <v>5720</v>
      </c>
      <c r="E7088" s="3" t="s">
        <v>3</v>
      </c>
      <c r="F7088" s="4">
        <v>6.1300000000000004E-140</v>
      </c>
      <c r="G7088" s="3">
        <v>1119</v>
      </c>
      <c r="H7088" s="3">
        <v>78</v>
      </c>
      <c r="I7088" s="3">
        <v>270</v>
      </c>
      <c r="J7088" s="3">
        <v>1824</v>
      </c>
      <c r="K7088" s="3">
        <v>2627</v>
      </c>
      <c r="L7088" s="3">
        <v>51</v>
      </c>
      <c r="M7088" s="3">
        <v>319</v>
      </c>
    </row>
    <row r="7089" spans="1:13" x14ac:dyDescent="0.25">
      <c r="A7089" s="1" t="str">
        <f>HYPERLINK("http://www.rosaceae.org/Prunus/Prunus_persica/p.persica_gdr_reftransV1_0019478","p.persica_gdr_reftransV1_0019478")</f>
        <v>p.persica_gdr_reftransV1_0019478</v>
      </c>
      <c r="B7089" s="3">
        <v>3330</v>
      </c>
      <c r="C7089" s="1" t="str">
        <f>HYPERLINK("http://www.uniprot.org/uniprot/Y1457_ARATH","Y1457_ARATH")</f>
        <v>Y1457_ARATH</v>
      </c>
      <c r="D7089" t="s">
        <v>5721</v>
      </c>
      <c r="E7089" s="3" t="s">
        <v>3</v>
      </c>
      <c r="F7089" s="4">
        <v>0</v>
      </c>
      <c r="G7089" s="3">
        <v>1474</v>
      </c>
      <c r="H7089" s="3">
        <v>65</v>
      </c>
      <c r="I7089" s="3">
        <v>460</v>
      </c>
      <c r="J7089" s="3">
        <v>1666</v>
      </c>
      <c r="K7089" s="3">
        <v>3030</v>
      </c>
      <c r="L7089" s="3">
        <v>246</v>
      </c>
      <c r="M7089" s="3">
        <v>704</v>
      </c>
    </row>
    <row r="7090" spans="1:13" x14ac:dyDescent="0.25">
      <c r="A7090" s="1" t="str">
        <f>HYPERLINK("http://www.rosaceae.org/Prunus/Prunus_persica/p.persica_gdr_reftransV1_0019628","p.persica_gdr_reftransV1_0019628")</f>
        <v>p.persica_gdr_reftransV1_0019628</v>
      </c>
      <c r="B7090" s="3">
        <v>2378</v>
      </c>
      <c r="C7090" s="1" t="str">
        <f>HYPERLINK("http://www.uniprot.org/uniprot/TT12_ARATH","TT12_ARATH")</f>
        <v>TT12_ARATH</v>
      </c>
      <c r="D7090" t="s">
        <v>353</v>
      </c>
      <c r="E7090" s="3" t="s">
        <v>3</v>
      </c>
      <c r="F7090" s="4">
        <v>1.22E-76</v>
      </c>
      <c r="G7090" s="3">
        <v>671</v>
      </c>
      <c r="H7090" s="3">
        <v>46</v>
      </c>
      <c r="I7090" s="3">
        <v>310</v>
      </c>
      <c r="J7090" s="3">
        <v>1321</v>
      </c>
      <c r="K7090" s="3">
        <v>2241</v>
      </c>
      <c r="L7090" s="3">
        <v>8</v>
      </c>
      <c r="M7090" s="3">
        <v>316</v>
      </c>
    </row>
    <row r="7091" spans="1:13" x14ac:dyDescent="0.25">
      <c r="A7091" s="1" t="str">
        <f>HYPERLINK("http://www.rosaceae.org/Prunus/Prunus_persica/p.persica_gdr_reftransV1_0019678","p.persica_gdr_reftransV1_0019678")</f>
        <v>p.persica_gdr_reftransV1_0019678</v>
      </c>
      <c r="B7091" s="3">
        <v>846</v>
      </c>
      <c r="C7091" s="1" t="str">
        <f>HYPERLINK("http://www.uniprot.org/uniprot/PRB1_TOBAC","PRB1_TOBAC")</f>
        <v>PRB1_TOBAC</v>
      </c>
      <c r="D7091" t="s">
        <v>5722</v>
      </c>
      <c r="E7091" s="3" t="s">
        <v>200</v>
      </c>
      <c r="F7091" s="4">
        <v>2.09E-54</v>
      </c>
      <c r="G7091" s="3">
        <v>457</v>
      </c>
      <c r="H7091" s="3">
        <v>58</v>
      </c>
      <c r="I7091" s="3">
        <v>141</v>
      </c>
      <c r="J7091" s="3">
        <v>301</v>
      </c>
      <c r="K7091" s="3">
        <v>723</v>
      </c>
      <c r="L7091" s="3">
        <v>19</v>
      </c>
      <c r="M7091" s="3">
        <v>159</v>
      </c>
    </row>
    <row r="7092" spans="1:13" x14ac:dyDescent="0.25">
      <c r="A7092" s="1" t="str">
        <f>HYPERLINK("http://www.rosaceae.org/Prunus/Prunus_persica/p.persica_gdr_reftransV1_0019728","p.persica_gdr_reftransV1_0019728")</f>
        <v>p.persica_gdr_reftransV1_0019728</v>
      </c>
      <c r="B7092" s="3">
        <v>1648</v>
      </c>
      <c r="C7092" s="1" t="str">
        <f>HYPERLINK("http://www.uniprot.org/uniprot/OLA1_ARATH","OLA1_ARATH")</f>
        <v>OLA1_ARATH</v>
      </c>
      <c r="D7092" t="s">
        <v>5723</v>
      </c>
      <c r="E7092" s="3" t="s">
        <v>3</v>
      </c>
      <c r="F7092" s="4">
        <v>0</v>
      </c>
      <c r="G7092" s="3">
        <v>1821</v>
      </c>
      <c r="H7092" s="3">
        <v>85</v>
      </c>
      <c r="I7092" s="3">
        <v>389</v>
      </c>
      <c r="J7092" s="3">
        <v>301</v>
      </c>
      <c r="K7092" s="3">
        <v>1467</v>
      </c>
      <c r="L7092" s="3">
        <v>1</v>
      </c>
      <c r="M7092" s="3">
        <v>389</v>
      </c>
    </row>
    <row r="7093" spans="1:13" x14ac:dyDescent="0.25">
      <c r="A7093" s="1" t="str">
        <f>HYPERLINK("http://www.rosaceae.org/Prunus/Prunus_persica/p.persica_gdr_reftransV1_0020378","p.persica_gdr_reftransV1_0020378")</f>
        <v>p.persica_gdr_reftransV1_0020378</v>
      </c>
      <c r="B7093" s="3">
        <v>2978</v>
      </c>
      <c r="C7093" s="1" t="str">
        <f>HYPERLINK("http://www.uniprot.org/uniprot/ALG9_ARATH","ALG9_ARATH")</f>
        <v>ALG9_ARATH</v>
      </c>
      <c r="D7093" t="s">
        <v>5724</v>
      </c>
      <c r="E7093" s="3" t="s">
        <v>3</v>
      </c>
      <c r="F7093" s="4">
        <v>1.16E-112</v>
      </c>
      <c r="G7093" s="3">
        <v>939</v>
      </c>
      <c r="H7093" s="3">
        <v>75</v>
      </c>
      <c r="I7093" s="3">
        <v>224</v>
      </c>
      <c r="J7093" s="3">
        <v>2009</v>
      </c>
      <c r="K7093" s="3">
        <v>2680</v>
      </c>
      <c r="L7093" s="3">
        <v>348</v>
      </c>
      <c r="M7093" s="3">
        <v>570</v>
      </c>
    </row>
    <row r="7094" spans="1:13" x14ac:dyDescent="0.25">
      <c r="A7094" s="1" t="str">
        <f>HYPERLINK("http://www.rosaceae.org/Prunus/Prunus_persica/p.persica_gdr_reftransV1_0020428","p.persica_gdr_reftransV1_0020428")</f>
        <v>p.persica_gdr_reftransV1_0020428</v>
      </c>
      <c r="B7094" s="3">
        <v>2585</v>
      </c>
      <c r="C7094" s="1" t="str">
        <f>HYPERLINK("http://www.uniprot.org/uniprot/U1165_ARATH","U1165_ARATH")</f>
        <v>U1165_ARATH</v>
      </c>
      <c r="D7094" t="s">
        <v>5725</v>
      </c>
      <c r="E7094" s="3" t="s">
        <v>3</v>
      </c>
      <c r="F7094" s="4">
        <v>5.5199999999999999E-153</v>
      </c>
      <c r="G7094" s="3">
        <v>1192</v>
      </c>
      <c r="H7094" s="3">
        <v>57</v>
      </c>
      <c r="I7094" s="3">
        <v>438</v>
      </c>
      <c r="J7094" s="3">
        <v>518</v>
      </c>
      <c r="K7094" s="3">
        <v>1822</v>
      </c>
      <c r="L7094" s="3">
        <v>28</v>
      </c>
      <c r="M7094" s="3">
        <v>441</v>
      </c>
    </row>
    <row r="7095" spans="1:13" x14ac:dyDescent="0.25">
      <c r="A7095" s="1" t="str">
        <f>HYPERLINK("http://www.rosaceae.org/Prunus/Prunus_persica/p.persica_gdr_reftransV1_0020478","p.persica_gdr_reftransV1_0020478")</f>
        <v>p.persica_gdr_reftransV1_0020478</v>
      </c>
      <c r="B7095" s="3">
        <v>2075</v>
      </c>
      <c r="C7095" s="1" t="str">
        <f>HYPERLINK("http://www.uniprot.org/uniprot/MED18_ARATH","MED18_ARATH")</f>
        <v>MED18_ARATH</v>
      </c>
      <c r="D7095" t="s">
        <v>5726</v>
      </c>
      <c r="E7095" s="3" t="s">
        <v>3</v>
      </c>
      <c r="F7095" s="4">
        <v>3.0299999999999999E-116</v>
      </c>
      <c r="G7095" s="3">
        <v>909</v>
      </c>
      <c r="H7095" s="3">
        <v>80</v>
      </c>
      <c r="I7095" s="3">
        <v>215</v>
      </c>
      <c r="J7095" s="3">
        <v>981</v>
      </c>
      <c r="K7095" s="3">
        <v>1625</v>
      </c>
      <c r="L7095" s="3">
        <v>5</v>
      </c>
      <c r="M7095" s="3">
        <v>219</v>
      </c>
    </row>
    <row r="7096" spans="1:13" x14ac:dyDescent="0.25">
      <c r="A7096" s="1" t="str">
        <f>HYPERLINK("http://www.rosaceae.org/Prunus/Prunus_persica/p.persica_gdr_reftransV1_0020528","p.persica_gdr_reftransV1_0020528")</f>
        <v>p.persica_gdr_reftransV1_0020528</v>
      </c>
      <c r="B7096" s="3">
        <v>4245</v>
      </c>
      <c r="C7096" s="1" t="str">
        <f>HYPERLINK("http://www.uniprot.org/uniprot/SPL14_ARATH","SPL14_ARATH")</f>
        <v>SPL14_ARATH</v>
      </c>
      <c r="D7096" t="s">
        <v>5727</v>
      </c>
      <c r="E7096" s="3" t="s">
        <v>3</v>
      </c>
      <c r="F7096" s="4">
        <v>0</v>
      </c>
      <c r="G7096" s="3">
        <v>2522</v>
      </c>
      <c r="H7096" s="3">
        <v>56</v>
      </c>
      <c r="I7096" s="3">
        <v>1112</v>
      </c>
      <c r="J7096" s="3">
        <v>314</v>
      </c>
      <c r="K7096" s="3">
        <v>3607</v>
      </c>
      <c r="L7096" s="3">
        <v>1</v>
      </c>
      <c r="M7096" s="3">
        <v>1035</v>
      </c>
    </row>
    <row r="7097" spans="1:13" x14ac:dyDescent="0.25">
      <c r="A7097" s="1" t="str">
        <f>HYPERLINK("http://www.rosaceae.org/Prunus/Prunus_persica/p.persica_gdr_reftransV1_0020678","p.persica_gdr_reftransV1_0020678")</f>
        <v>p.persica_gdr_reftransV1_0020678</v>
      </c>
      <c r="B7097" s="3">
        <v>3872</v>
      </c>
      <c r="C7097" s="1" t="str">
        <f>HYPERLINK("http://www.uniprot.org/uniprot/SYIC_ARATH","SYIC_ARATH")</f>
        <v>SYIC_ARATH</v>
      </c>
      <c r="D7097" t="s">
        <v>5728</v>
      </c>
      <c r="E7097" s="3" t="s">
        <v>3</v>
      </c>
      <c r="F7097" s="4">
        <v>0</v>
      </c>
      <c r="G7097" s="3">
        <v>4993</v>
      </c>
      <c r="H7097" s="3">
        <v>78</v>
      </c>
      <c r="I7097" s="3">
        <v>1186</v>
      </c>
      <c r="J7097" s="3">
        <v>56</v>
      </c>
      <c r="K7097" s="3">
        <v>3583</v>
      </c>
      <c r="L7097" s="3">
        <v>1</v>
      </c>
      <c r="M7097" s="3">
        <v>1182</v>
      </c>
    </row>
    <row r="7098" spans="1:13" x14ac:dyDescent="0.25">
      <c r="A7098" s="1" t="str">
        <f>HYPERLINK("http://www.rosaceae.org/Prunus/Prunus_persica/p.persica_gdr_reftransV1_0020778","p.persica_gdr_reftransV1_0020778")</f>
        <v>p.persica_gdr_reftransV1_0020778</v>
      </c>
      <c r="B7098" s="3">
        <v>1843</v>
      </c>
      <c r="C7098" s="1" t="str">
        <f>HYPERLINK("http://www.uniprot.org/uniprot/DGLA_HUMAN","DGLA_HUMAN")</f>
        <v>DGLA_HUMAN</v>
      </c>
      <c r="D7098" t="s">
        <v>2955</v>
      </c>
      <c r="E7098" s="3" t="s">
        <v>28</v>
      </c>
      <c r="F7098" s="4">
        <v>2.5899999999999998E-7</v>
      </c>
      <c r="G7098" s="3">
        <v>138</v>
      </c>
      <c r="H7098" s="3">
        <v>27</v>
      </c>
      <c r="I7098" s="3">
        <v>169</v>
      </c>
      <c r="J7098" s="3">
        <v>948</v>
      </c>
      <c r="K7098" s="3">
        <v>1421</v>
      </c>
      <c r="L7098" s="3">
        <v>368</v>
      </c>
      <c r="M7098" s="3">
        <v>528</v>
      </c>
    </row>
    <row r="7099" spans="1:13" x14ac:dyDescent="0.25">
      <c r="A7099" s="1" t="str">
        <f>HYPERLINK("http://www.rosaceae.org/Prunus/Prunus_persica/p.persica_gdr_reftransV1_0020828","p.persica_gdr_reftransV1_0020828")</f>
        <v>p.persica_gdr_reftransV1_0020828</v>
      </c>
      <c r="B7099" s="3">
        <v>2883</v>
      </c>
      <c r="C7099" s="1" t="str">
        <f>HYPERLINK("http://www.uniprot.org/uniprot/RPM1_ARATH","RPM1_ARATH")</f>
        <v>RPM1_ARATH</v>
      </c>
      <c r="D7099" t="s">
        <v>453</v>
      </c>
      <c r="E7099" s="3" t="s">
        <v>3</v>
      </c>
      <c r="F7099" s="4">
        <v>4.9000000000000001E-66</v>
      </c>
      <c r="G7099" s="3">
        <v>620</v>
      </c>
      <c r="H7099" s="3">
        <v>29</v>
      </c>
      <c r="I7099" s="3">
        <v>651</v>
      </c>
      <c r="J7099" s="3">
        <v>783</v>
      </c>
      <c r="K7099" s="3">
        <v>2657</v>
      </c>
      <c r="L7099" s="3">
        <v>72</v>
      </c>
      <c r="M7099" s="3">
        <v>703</v>
      </c>
    </row>
    <row r="7100" spans="1:13" x14ac:dyDescent="0.25">
      <c r="A7100" s="1" t="str">
        <f>HYPERLINK("http://www.rosaceae.org/Prunus/Prunus_persica/p.persica_gdr_reftransV1_0020978","p.persica_gdr_reftransV1_0020978")</f>
        <v>p.persica_gdr_reftransV1_0020978</v>
      </c>
      <c r="B7100" s="3">
        <v>4209</v>
      </c>
      <c r="C7100" s="1" t="str">
        <f>HYPERLINK("http://www.uniprot.org/uniprot/NHX7_ARATH","NHX7_ARATH")</f>
        <v>NHX7_ARATH</v>
      </c>
      <c r="D7100" t="s">
        <v>5729</v>
      </c>
      <c r="E7100" s="3" t="s">
        <v>3</v>
      </c>
      <c r="F7100" s="4">
        <v>0</v>
      </c>
      <c r="G7100" s="3">
        <v>3566</v>
      </c>
      <c r="H7100" s="3">
        <v>66</v>
      </c>
      <c r="I7100" s="3">
        <v>1169</v>
      </c>
      <c r="J7100" s="3">
        <v>299</v>
      </c>
      <c r="K7100" s="3">
        <v>3781</v>
      </c>
      <c r="L7100" s="3">
        <v>33</v>
      </c>
      <c r="M7100" s="3">
        <v>1144</v>
      </c>
    </row>
    <row r="7101" spans="1:13" x14ac:dyDescent="0.25">
      <c r="A7101" s="1" t="str">
        <f>HYPERLINK("http://www.rosaceae.org/Prunus/Prunus_persica/p.persica_gdr_reftransV1_0021028","p.persica_gdr_reftransV1_0021028")</f>
        <v>p.persica_gdr_reftransV1_0021028</v>
      </c>
      <c r="B7101" s="3">
        <v>3763</v>
      </c>
      <c r="C7101" s="1" t="str">
        <f>HYPERLINK("http://www.uniprot.org/uniprot/PIN3_ARATH","PIN3_ARATH")</f>
        <v>PIN3_ARATH</v>
      </c>
      <c r="D7101" t="s">
        <v>5730</v>
      </c>
      <c r="E7101" s="3" t="s">
        <v>3</v>
      </c>
      <c r="F7101" s="4">
        <v>0</v>
      </c>
      <c r="G7101" s="3">
        <v>1923</v>
      </c>
      <c r="H7101" s="3">
        <v>71</v>
      </c>
      <c r="I7101" s="3">
        <v>566</v>
      </c>
      <c r="J7101" s="3">
        <v>1672</v>
      </c>
      <c r="K7101" s="3">
        <v>3360</v>
      </c>
      <c r="L7101" s="3">
        <v>1</v>
      </c>
      <c r="M7101" s="3">
        <v>541</v>
      </c>
    </row>
    <row r="7102" spans="1:13" x14ac:dyDescent="0.25">
      <c r="A7102" s="1" t="str">
        <f>HYPERLINK("http://www.rosaceae.org/Prunus/Prunus_persica/p.persica_gdr_reftransV1_0021478","p.persica_gdr_reftransV1_0021478")</f>
        <v>p.persica_gdr_reftransV1_0021478</v>
      </c>
      <c r="B7102" s="3">
        <v>3093</v>
      </c>
      <c r="C7102" s="1" t="str">
        <f>HYPERLINK("http://www.uniprot.org/uniprot/INVC_ARATH","INVC_ARATH")</f>
        <v>INVC_ARATH</v>
      </c>
      <c r="D7102" t="s">
        <v>5731</v>
      </c>
      <c r="E7102" s="3" t="s">
        <v>3</v>
      </c>
      <c r="F7102" s="4">
        <v>0</v>
      </c>
      <c r="G7102" s="3">
        <v>1834</v>
      </c>
      <c r="H7102" s="3">
        <v>64</v>
      </c>
      <c r="I7102" s="3">
        <v>561</v>
      </c>
      <c r="J7102" s="3">
        <v>325</v>
      </c>
      <c r="K7102" s="3">
        <v>1992</v>
      </c>
      <c r="L7102" s="3">
        <v>1</v>
      </c>
      <c r="M7102" s="3">
        <v>541</v>
      </c>
    </row>
    <row r="7103" spans="1:13" x14ac:dyDescent="0.25">
      <c r="A7103" s="1" t="str">
        <f>HYPERLINK("http://www.rosaceae.org/Prunus/Prunus_persica/p.persica_gdr_reftransV1_0021528","p.persica_gdr_reftransV1_0021528")</f>
        <v>p.persica_gdr_reftransV1_0021528</v>
      </c>
      <c r="B7103" s="3">
        <v>774</v>
      </c>
      <c r="C7103" s="1" t="str">
        <f>HYPERLINK("http://www.uniprot.org/uniprot/HS157_ARATH","HS157_ARATH")</f>
        <v>HS157_ARATH</v>
      </c>
      <c r="D7103" t="s">
        <v>2737</v>
      </c>
      <c r="E7103" s="3" t="s">
        <v>3</v>
      </c>
      <c r="F7103" s="4">
        <v>1.1E-56</v>
      </c>
      <c r="G7103" s="3">
        <v>467</v>
      </c>
      <c r="H7103" s="3">
        <v>66</v>
      </c>
      <c r="I7103" s="3">
        <v>146</v>
      </c>
      <c r="J7103" s="3">
        <v>157</v>
      </c>
      <c r="K7103" s="3">
        <v>585</v>
      </c>
      <c r="L7103" s="3">
        <v>1</v>
      </c>
      <c r="M7103" s="3">
        <v>137</v>
      </c>
    </row>
    <row r="7104" spans="1:13" x14ac:dyDescent="0.25">
      <c r="A7104" s="1" t="str">
        <f>HYPERLINK("http://www.rosaceae.org/Prunus/Prunus_persica/p.persica_gdr_reftransV1_0021678","p.persica_gdr_reftransV1_0021678")</f>
        <v>p.persica_gdr_reftransV1_0021678</v>
      </c>
      <c r="B7104" s="3">
        <v>1150</v>
      </c>
      <c r="C7104" s="1" t="str">
        <f>HYPERLINK("http://www.uniprot.org/uniprot/MED8_ARATH","MED8_ARATH")</f>
        <v>MED8_ARATH</v>
      </c>
      <c r="D7104" t="s">
        <v>366</v>
      </c>
      <c r="E7104" s="3" t="s">
        <v>3</v>
      </c>
      <c r="F7104" s="4">
        <v>5.5800000000000001E-36</v>
      </c>
      <c r="G7104" s="3">
        <v>356</v>
      </c>
      <c r="H7104" s="3">
        <v>68</v>
      </c>
      <c r="I7104" s="3">
        <v>122</v>
      </c>
      <c r="J7104" s="3">
        <v>36</v>
      </c>
      <c r="K7104" s="3">
        <v>392</v>
      </c>
      <c r="L7104" s="3">
        <v>362</v>
      </c>
      <c r="M7104" s="3">
        <v>475</v>
      </c>
    </row>
    <row r="7105" spans="1:13" x14ac:dyDescent="0.25">
      <c r="A7105" s="1" t="str">
        <f>HYPERLINK("http://www.rosaceae.org/Prunus/Prunus_persica/p.persica_gdr_reftransV1_0021728","p.persica_gdr_reftransV1_0021728")</f>
        <v>p.persica_gdr_reftransV1_0021728</v>
      </c>
      <c r="B7105" s="3">
        <v>3412</v>
      </c>
      <c r="C7105" s="1" t="str">
        <f>HYPERLINK("http://www.uniprot.org/uniprot/BIP_SOLLC","BIP_SOLLC")</f>
        <v>BIP_SOLLC</v>
      </c>
      <c r="D7105" t="s">
        <v>5732</v>
      </c>
      <c r="E7105" s="3" t="s">
        <v>64</v>
      </c>
      <c r="F7105" s="4">
        <v>0</v>
      </c>
      <c r="G7105" s="3">
        <v>2914</v>
      </c>
      <c r="H7105" s="3">
        <v>95</v>
      </c>
      <c r="I7105" s="3">
        <v>629</v>
      </c>
      <c r="J7105" s="3">
        <v>973</v>
      </c>
      <c r="K7105" s="3">
        <v>2859</v>
      </c>
      <c r="L7105" s="3">
        <v>18</v>
      </c>
      <c r="M7105" s="3">
        <v>646</v>
      </c>
    </row>
    <row r="7106" spans="1:13" x14ac:dyDescent="0.25">
      <c r="A7106" s="1" t="str">
        <f>HYPERLINK("http://www.rosaceae.org/Prunus/Prunus_persica/p.persica_gdr_reftransV1_0021778","p.persica_gdr_reftransV1_0021778")</f>
        <v>p.persica_gdr_reftransV1_0021778</v>
      </c>
      <c r="B7106" s="3">
        <v>1900</v>
      </c>
      <c r="C7106" s="1" t="str">
        <f>HYPERLINK("http://www.uniprot.org/uniprot/CPR30_ARATH","CPR30_ARATH")</f>
        <v>CPR30_ARATH</v>
      </c>
      <c r="D7106" t="s">
        <v>1594</v>
      </c>
      <c r="E7106" s="3" t="s">
        <v>3</v>
      </c>
      <c r="F7106" s="4">
        <v>4.6700000000000001E-32</v>
      </c>
      <c r="G7106" s="3">
        <v>332</v>
      </c>
      <c r="H7106" s="3">
        <v>31</v>
      </c>
      <c r="I7106" s="3">
        <v>343</v>
      </c>
      <c r="J7106" s="3">
        <v>863</v>
      </c>
      <c r="K7106" s="3">
        <v>1834</v>
      </c>
      <c r="L7106" s="3">
        <v>4</v>
      </c>
      <c r="M7106" s="3">
        <v>330</v>
      </c>
    </row>
    <row r="7107" spans="1:13" x14ac:dyDescent="0.25">
      <c r="A7107" s="1" t="str">
        <f>HYPERLINK("http://www.rosaceae.org/Prunus/Prunus_persica/p.persica_gdr_reftransV1_0022078","p.persica_gdr_reftransV1_0022078")</f>
        <v>p.persica_gdr_reftransV1_0022078</v>
      </c>
      <c r="B7107" s="3">
        <v>3049</v>
      </c>
      <c r="C7107" s="1" t="str">
        <f>HYPERLINK("http://www.uniprot.org/uniprot/MATE3_ARATH","MATE3_ARATH")</f>
        <v>MATE3_ARATH</v>
      </c>
      <c r="D7107" t="s">
        <v>5107</v>
      </c>
      <c r="E7107" s="3" t="s">
        <v>3</v>
      </c>
      <c r="F7107" s="4">
        <v>0</v>
      </c>
      <c r="G7107" s="3">
        <v>1497</v>
      </c>
      <c r="H7107" s="3">
        <v>66</v>
      </c>
      <c r="I7107" s="3">
        <v>485</v>
      </c>
      <c r="J7107" s="3">
        <v>1242</v>
      </c>
      <c r="K7107" s="3">
        <v>2678</v>
      </c>
      <c r="L7107" s="3">
        <v>81</v>
      </c>
      <c r="M7107" s="3">
        <v>558</v>
      </c>
    </row>
    <row r="7108" spans="1:13" x14ac:dyDescent="0.25">
      <c r="A7108" s="1" t="str">
        <f>HYPERLINK("http://www.rosaceae.org/Prunus/Prunus_persica/p.persica_gdr_reftransV1_0022128","p.persica_gdr_reftransV1_0022128")</f>
        <v>p.persica_gdr_reftransV1_0022128</v>
      </c>
      <c r="B7108" s="3">
        <v>2437</v>
      </c>
      <c r="C7108" s="1" t="str">
        <f>HYPERLINK("http://www.uniprot.org/uniprot/RFA1B_ORYSJ","RFA1B_ORYSJ")</f>
        <v>RFA1B_ORYSJ</v>
      </c>
      <c r="D7108" t="s">
        <v>5733</v>
      </c>
      <c r="E7108" s="3" t="s">
        <v>38</v>
      </c>
      <c r="F7108" s="4">
        <v>2.3799999999999999E-7</v>
      </c>
      <c r="G7108" s="3">
        <v>139</v>
      </c>
      <c r="H7108" s="3">
        <v>24</v>
      </c>
      <c r="I7108" s="3">
        <v>246</v>
      </c>
      <c r="J7108" s="3">
        <v>1016</v>
      </c>
      <c r="K7108" s="3">
        <v>1723</v>
      </c>
      <c r="L7108" s="3">
        <v>320</v>
      </c>
      <c r="M7108" s="3">
        <v>560</v>
      </c>
    </row>
    <row r="7109" spans="1:13" x14ac:dyDescent="0.25">
      <c r="A7109" s="1" t="str">
        <f>HYPERLINK("http://www.rosaceae.org/Prunus/Prunus_persica/p.persica_gdr_reftransV1_0022228","p.persica_gdr_reftransV1_0022228")</f>
        <v>p.persica_gdr_reftransV1_0022228</v>
      </c>
      <c r="B7109" s="3">
        <v>1567</v>
      </c>
      <c r="C7109" s="1" t="str">
        <f>HYPERLINK("http://www.uniprot.org/uniprot/Y2991_ARATH","Y2991_ARATH")</f>
        <v>Y2991_ARATH</v>
      </c>
      <c r="D7109" t="s">
        <v>5734</v>
      </c>
      <c r="E7109" s="3" t="s">
        <v>3</v>
      </c>
      <c r="F7109" s="4">
        <v>3.6300000000000003E-123</v>
      </c>
      <c r="G7109" s="3">
        <v>962</v>
      </c>
      <c r="H7109" s="3">
        <v>55</v>
      </c>
      <c r="I7109" s="3">
        <v>418</v>
      </c>
      <c r="J7109" s="3">
        <v>230</v>
      </c>
      <c r="K7109" s="3">
        <v>1480</v>
      </c>
      <c r="L7109" s="3">
        <v>24</v>
      </c>
      <c r="M7109" s="3">
        <v>427</v>
      </c>
    </row>
    <row r="7110" spans="1:13" x14ac:dyDescent="0.25">
      <c r="A7110" s="1" t="str">
        <f>HYPERLINK("http://www.rosaceae.org/Prunus/Prunus_persica/p.persica_gdr_reftransV1_0022378","p.persica_gdr_reftransV1_0022378")</f>
        <v>p.persica_gdr_reftransV1_0022378</v>
      </c>
      <c r="B7110" s="3">
        <v>1207</v>
      </c>
      <c r="C7110" s="1" t="str">
        <f>HYPERLINK("http://www.uniprot.org/uniprot/E13B_WHEAT","E13B_WHEAT")</f>
        <v>E13B_WHEAT</v>
      </c>
      <c r="D7110" t="s">
        <v>1559</v>
      </c>
      <c r="E7110" s="3" t="s">
        <v>710</v>
      </c>
      <c r="F7110" s="4">
        <v>4.6700000000000001E-43</v>
      </c>
      <c r="G7110" s="3">
        <v>408</v>
      </c>
      <c r="H7110" s="3">
        <v>48</v>
      </c>
      <c r="I7110" s="3">
        <v>181</v>
      </c>
      <c r="J7110" s="3">
        <v>661</v>
      </c>
      <c r="K7110" s="3">
        <v>1200</v>
      </c>
      <c r="L7110" s="3">
        <v>291</v>
      </c>
      <c r="M7110" s="3">
        <v>453</v>
      </c>
    </row>
    <row r="7111" spans="1:13" x14ac:dyDescent="0.25">
      <c r="A7111" s="1" t="str">
        <f>HYPERLINK("http://www.rosaceae.org/Prunus/Prunus_persica/p.persica_gdr_reftransV1_0022678","p.persica_gdr_reftransV1_0022678")</f>
        <v>p.persica_gdr_reftransV1_0022678</v>
      </c>
      <c r="B7111" s="3">
        <v>2312</v>
      </c>
      <c r="C7111" s="1" t="str">
        <f>HYPERLINK("http://www.uniprot.org/uniprot/ARFS_ARATH","ARFS_ARATH")</f>
        <v>ARFS_ARATH</v>
      </c>
      <c r="D7111" t="s">
        <v>2705</v>
      </c>
      <c r="E7111" s="3" t="s">
        <v>3</v>
      </c>
      <c r="F7111" s="4">
        <v>0</v>
      </c>
      <c r="G7111" s="3">
        <v>1941</v>
      </c>
      <c r="H7111" s="3">
        <v>84</v>
      </c>
      <c r="I7111" s="3">
        <v>474</v>
      </c>
      <c r="J7111" s="3">
        <v>805</v>
      </c>
      <c r="K7111" s="3">
        <v>2226</v>
      </c>
      <c r="L7111" s="3">
        <v>1</v>
      </c>
      <c r="M7111" s="3">
        <v>474</v>
      </c>
    </row>
    <row r="7112" spans="1:13" x14ac:dyDescent="0.25">
      <c r="A7112" s="1" t="str">
        <f>HYPERLINK("http://www.rosaceae.org/Prunus/Prunus_persica/p.persica_gdr_reftransV1_0023028","p.persica_gdr_reftransV1_0023028")</f>
        <v>p.persica_gdr_reftransV1_0023028</v>
      </c>
      <c r="B7112" s="3">
        <v>1612</v>
      </c>
      <c r="C7112" s="1" t="str">
        <f>HYPERLINK("http://www.uniprot.org/uniprot/ARP2_ARATH","ARP2_ARATH")</f>
        <v>ARP2_ARATH</v>
      </c>
      <c r="D7112" t="s">
        <v>5735</v>
      </c>
      <c r="E7112" s="3" t="s">
        <v>3</v>
      </c>
      <c r="F7112" s="4">
        <v>0</v>
      </c>
      <c r="G7112" s="3">
        <v>1231</v>
      </c>
      <c r="H7112" s="3">
        <v>93</v>
      </c>
      <c r="I7112" s="3">
        <v>250</v>
      </c>
      <c r="J7112" s="3">
        <v>343</v>
      </c>
      <c r="K7112" s="3">
        <v>1092</v>
      </c>
      <c r="L7112" s="3">
        <v>140</v>
      </c>
      <c r="M7112" s="3">
        <v>389</v>
      </c>
    </row>
    <row r="7113" spans="1:13" x14ac:dyDescent="0.25">
      <c r="A7113" s="1" t="str">
        <f>HYPERLINK("http://www.rosaceae.org/Prunus/Prunus_persica/p.persica_gdr_reftransV1_0023178","p.persica_gdr_reftransV1_0023178")</f>
        <v>p.persica_gdr_reftransV1_0023178</v>
      </c>
      <c r="B7113" s="3">
        <v>1066</v>
      </c>
      <c r="C7113" s="1" t="str">
        <f>HYPERLINK("http://www.uniprot.org/uniprot/ATG8F_ARATH","ATG8F_ARATH")</f>
        <v>ATG8F_ARATH</v>
      </c>
      <c r="D7113" t="s">
        <v>5736</v>
      </c>
      <c r="E7113" s="3" t="s">
        <v>3</v>
      </c>
      <c r="F7113" s="4">
        <v>5.4300000000000002E-61</v>
      </c>
      <c r="G7113" s="3">
        <v>503</v>
      </c>
      <c r="H7113" s="3">
        <v>91</v>
      </c>
      <c r="I7113" s="3">
        <v>121</v>
      </c>
      <c r="J7113" s="3">
        <v>340</v>
      </c>
      <c r="K7113" s="3">
        <v>702</v>
      </c>
      <c r="L7113" s="3">
        <v>1</v>
      </c>
      <c r="M7113" s="3">
        <v>121</v>
      </c>
    </row>
    <row r="7114" spans="1:13" x14ac:dyDescent="0.25">
      <c r="A7114" s="1" t="str">
        <f>HYPERLINK("http://www.rosaceae.org/Prunus/Prunus_persica/p.persica_gdr_reftransV1_0023228","p.persica_gdr_reftransV1_0023228")</f>
        <v>p.persica_gdr_reftransV1_0023228</v>
      </c>
      <c r="B7114" s="3">
        <v>3895</v>
      </c>
      <c r="C7114" s="1" t="str">
        <f>HYPERLINK("http://www.uniprot.org/uniprot/PLDD1_ARATH","PLDD1_ARATH")</f>
        <v>PLDD1_ARATH</v>
      </c>
      <c r="D7114" t="s">
        <v>2454</v>
      </c>
      <c r="E7114" s="3" t="s">
        <v>3</v>
      </c>
      <c r="F7114" s="4">
        <v>0</v>
      </c>
      <c r="G7114" s="3">
        <v>2210</v>
      </c>
      <c r="H7114" s="3">
        <v>75</v>
      </c>
      <c r="I7114" s="3">
        <v>553</v>
      </c>
      <c r="J7114" s="3">
        <v>343</v>
      </c>
      <c r="K7114" s="3">
        <v>1959</v>
      </c>
      <c r="L7114" s="3">
        <v>316</v>
      </c>
      <c r="M7114" s="3">
        <v>864</v>
      </c>
    </row>
    <row r="7115" spans="1:13" x14ac:dyDescent="0.25">
      <c r="A7115" s="1" t="str">
        <f>HYPERLINK("http://www.rosaceae.org/Prunus/Prunus_persica/p.persica_gdr_reftransV1_0023328","p.persica_gdr_reftransV1_0023328")</f>
        <v>p.persica_gdr_reftransV1_0023328</v>
      </c>
      <c r="B7115" s="3">
        <v>2550</v>
      </c>
      <c r="C7115" s="1" t="str">
        <f>HYPERLINK("http://www.uniprot.org/uniprot/ECH2_ARATH","ECH2_ARATH")</f>
        <v>ECH2_ARATH</v>
      </c>
      <c r="D7115" t="s">
        <v>5737</v>
      </c>
      <c r="E7115" s="3" t="s">
        <v>3</v>
      </c>
      <c r="F7115" s="4">
        <v>2.08E-42</v>
      </c>
      <c r="G7115" s="3">
        <v>409</v>
      </c>
      <c r="H7115" s="3">
        <v>70</v>
      </c>
      <c r="I7115" s="3">
        <v>125</v>
      </c>
      <c r="J7115" s="3">
        <v>135</v>
      </c>
      <c r="K7115" s="3">
        <v>509</v>
      </c>
      <c r="L7115" s="3">
        <v>1</v>
      </c>
      <c r="M7115" s="3">
        <v>125</v>
      </c>
    </row>
    <row r="7116" spans="1:13" x14ac:dyDescent="0.25">
      <c r="A7116" s="1" t="str">
        <f>HYPERLINK("http://www.rosaceae.org/Prunus/Prunus_persica/p.persica_gdr_reftransV1_0023378","p.persica_gdr_reftransV1_0023378")</f>
        <v>p.persica_gdr_reftransV1_0023378</v>
      </c>
      <c r="B7116" s="3">
        <v>1325</v>
      </c>
      <c r="C7116" s="1" t="str">
        <f>HYPERLINK("http://www.uniprot.org/uniprot/UBA1C_ARATH","UBA1C_ARATH")</f>
        <v>UBA1C_ARATH</v>
      </c>
      <c r="D7116" t="s">
        <v>5738</v>
      </c>
      <c r="E7116" s="3" t="s">
        <v>3</v>
      </c>
      <c r="F7116" s="4">
        <v>3.0999999999999998E-34</v>
      </c>
      <c r="G7116" s="3">
        <v>348</v>
      </c>
      <c r="H7116" s="3">
        <v>52</v>
      </c>
      <c r="I7116" s="3">
        <v>142</v>
      </c>
      <c r="J7116" s="3">
        <v>102</v>
      </c>
      <c r="K7116" s="3">
        <v>527</v>
      </c>
      <c r="L7116" s="3">
        <v>1</v>
      </c>
      <c r="M7116" s="3">
        <v>132</v>
      </c>
    </row>
    <row r="7117" spans="1:13" x14ac:dyDescent="0.25">
      <c r="A7117" s="1" t="str">
        <f>HYPERLINK("http://www.rosaceae.org/Prunus/Prunus_persica/p.persica_gdr_reftransV1_0023428","p.persica_gdr_reftransV1_0023428")</f>
        <v>p.persica_gdr_reftransV1_0023428</v>
      </c>
      <c r="B7117" s="3">
        <v>2009</v>
      </c>
      <c r="C7117" s="1" t="str">
        <f>HYPERLINK("http://www.uniprot.org/uniprot/NPC2_ARATH","NPC2_ARATH")</f>
        <v>NPC2_ARATH</v>
      </c>
      <c r="D7117" t="s">
        <v>5739</v>
      </c>
      <c r="E7117" s="3" t="s">
        <v>3</v>
      </c>
      <c r="F7117" s="4">
        <v>0</v>
      </c>
      <c r="G7117" s="3">
        <v>2020</v>
      </c>
      <c r="H7117" s="3">
        <v>73</v>
      </c>
      <c r="I7117" s="3">
        <v>504</v>
      </c>
      <c r="J7117" s="3">
        <v>342</v>
      </c>
      <c r="K7117" s="3">
        <v>1844</v>
      </c>
      <c r="L7117" s="3">
        <v>9</v>
      </c>
      <c r="M7117" s="3">
        <v>512</v>
      </c>
    </row>
    <row r="7118" spans="1:13" x14ac:dyDescent="0.25">
      <c r="A7118" s="1" t="str">
        <f>HYPERLINK("http://www.rosaceae.org/Prunus/Prunus_persica/p.persica_gdr_reftransV1_0023528","p.persica_gdr_reftransV1_0023528")</f>
        <v>p.persica_gdr_reftransV1_0023528</v>
      </c>
      <c r="B7118" s="3">
        <v>787</v>
      </c>
      <c r="C7118" s="1" t="str">
        <f>HYPERLINK("http://www.uniprot.org/uniprot/ALFC_SPIOL","ALFC_SPIOL")</f>
        <v>ALFC_SPIOL</v>
      </c>
      <c r="D7118" t="s">
        <v>5740</v>
      </c>
      <c r="E7118" s="3" t="s">
        <v>131</v>
      </c>
      <c r="F7118" s="4">
        <v>1.4099999999999999E-51</v>
      </c>
      <c r="G7118" s="3">
        <v>453</v>
      </c>
      <c r="H7118" s="3">
        <v>83</v>
      </c>
      <c r="I7118" s="3">
        <v>111</v>
      </c>
      <c r="J7118" s="3">
        <v>381</v>
      </c>
      <c r="K7118" s="3">
        <v>713</v>
      </c>
      <c r="L7118" s="3">
        <v>1</v>
      </c>
      <c r="M7118" s="3">
        <v>110</v>
      </c>
    </row>
    <row r="7119" spans="1:13" x14ac:dyDescent="0.25">
      <c r="A7119" s="1" t="str">
        <f>HYPERLINK("http://www.rosaceae.org/Prunus/Prunus_persica/p.persica_gdr_reftransV1_0023628","p.persica_gdr_reftransV1_0023628")</f>
        <v>p.persica_gdr_reftransV1_0023628</v>
      </c>
      <c r="B7119" s="3">
        <v>1011</v>
      </c>
      <c r="C7119" s="1" t="str">
        <f>HYPERLINK("http://www.uniprot.org/uniprot/WTR24_ARATH","WTR24_ARATH")</f>
        <v>WTR24_ARATH</v>
      </c>
      <c r="D7119" t="s">
        <v>2752</v>
      </c>
      <c r="E7119" s="3" t="s">
        <v>3</v>
      </c>
      <c r="F7119" s="4">
        <v>7.1000000000000004E-75</v>
      </c>
      <c r="G7119" s="3">
        <v>615</v>
      </c>
      <c r="H7119" s="3">
        <v>49</v>
      </c>
      <c r="I7119" s="3">
        <v>233</v>
      </c>
      <c r="J7119" s="3">
        <v>312</v>
      </c>
      <c r="K7119" s="3">
        <v>1010</v>
      </c>
      <c r="L7119" s="3">
        <v>120</v>
      </c>
      <c r="M7119" s="3">
        <v>339</v>
      </c>
    </row>
    <row r="7120" spans="1:13" x14ac:dyDescent="0.25">
      <c r="A7120" s="1" t="str">
        <f>HYPERLINK("http://www.rosaceae.org/Prunus/Prunus_persica/p.persica_gdr_reftransV1_0023678","p.persica_gdr_reftransV1_0023678")</f>
        <v>p.persica_gdr_reftransV1_0023678</v>
      </c>
      <c r="B7120" s="3">
        <v>3496</v>
      </c>
      <c r="C7120" s="1" t="str">
        <f>HYPERLINK("http://www.uniprot.org/uniprot/SQD2_ARATH","SQD2_ARATH")</f>
        <v>SQD2_ARATH</v>
      </c>
      <c r="D7120" t="s">
        <v>5741</v>
      </c>
      <c r="E7120" s="3" t="s">
        <v>3</v>
      </c>
      <c r="F7120" s="4">
        <v>0</v>
      </c>
      <c r="G7120" s="3">
        <v>1773</v>
      </c>
      <c r="H7120" s="3">
        <v>83</v>
      </c>
      <c r="I7120" s="3">
        <v>388</v>
      </c>
      <c r="J7120" s="3">
        <v>1777</v>
      </c>
      <c r="K7120" s="3">
        <v>2940</v>
      </c>
      <c r="L7120" s="3">
        <v>117</v>
      </c>
      <c r="M7120" s="3">
        <v>504</v>
      </c>
    </row>
    <row r="7121" spans="1:13" x14ac:dyDescent="0.25">
      <c r="A7121" s="1" t="str">
        <f>HYPERLINK("http://www.rosaceae.org/Prunus/Prunus_persica/p.persica_gdr_reftransV1_0023778","p.persica_gdr_reftransV1_0023778")</f>
        <v>p.persica_gdr_reftransV1_0023778</v>
      </c>
      <c r="B7121" s="3">
        <v>2504</v>
      </c>
      <c r="C7121" s="1" t="str">
        <f>HYPERLINK("http://www.uniprot.org/uniprot/Y1839_ARATH","Y1839_ARATH")</f>
        <v>Y1839_ARATH</v>
      </c>
      <c r="D7121" t="s">
        <v>3075</v>
      </c>
      <c r="E7121" s="3" t="s">
        <v>3</v>
      </c>
      <c r="F7121" s="4">
        <v>4.1E-122</v>
      </c>
      <c r="G7121" s="3">
        <v>1000</v>
      </c>
      <c r="H7121" s="3">
        <v>70</v>
      </c>
      <c r="I7121" s="3">
        <v>261</v>
      </c>
      <c r="J7121" s="3">
        <v>1282</v>
      </c>
      <c r="K7121" s="3">
        <v>2064</v>
      </c>
      <c r="L7121" s="3">
        <v>361</v>
      </c>
      <c r="M7121" s="3">
        <v>621</v>
      </c>
    </row>
    <row r="7122" spans="1:13" x14ac:dyDescent="0.25">
      <c r="A7122" s="1" t="str">
        <f>HYPERLINK("http://www.rosaceae.org/Prunus/Prunus_persica/p.persica_gdr_reftransV1_0024128","p.persica_gdr_reftransV1_0024128")</f>
        <v>p.persica_gdr_reftransV1_0024128</v>
      </c>
      <c r="B7122" s="3">
        <v>1726</v>
      </c>
      <c r="C7122" s="1" t="str">
        <f>HYPERLINK("http://www.uniprot.org/uniprot/SYP52_ARATH","SYP52_ARATH")</f>
        <v>SYP52_ARATH</v>
      </c>
      <c r="D7122" t="s">
        <v>5742</v>
      </c>
      <c r="E7122" s="3" t="s">
        <v>3</v>
      </c>
      <c r="F7122" s="4">
        <v>1.0200000000000001E-48</v>
      </c>
      <c r="G7122" s="3">
        <v>402</v>
      </c>
      <c r="H7122" s="3">
        <v>55</v>
      </c>
      <c r="I7122" s="3">
        <v>139</v>
      </c>
      <c r="J7122" s="3">
        <v>1098</v>
      </c>
      <c r="K7122" s="3">
        <v>1514</v>
      </c>
      <c r="L7122" s="3">
        <v>3</v>
      </c>
      <c r="M7122" s="3">
        <v>141</v>
      </c>
    </row>
    <row r="7123" spans="1:13" x14ac:dyDescent="0.25">
      <c r="A7123" s="1" t="str">
        <f>HYPERLINK("http://www.rosaceae.org/Prunus/Prunus_persica/p.persica_gdr_reftransV1_0024428","p.persica_gdr_reftransV1_0024428")</f>
        <v>p.persica_gdr_reftransV1_0024428</v>
      </c>
      <c r="B7123" s="3">
        <v>1407</v>
      </c>
      <c r="C7123" s="1" t="str">
        <f>HYPERLINK("http://www.uniprot.org/uniprot/P2C34_ARATH","P2C34_ARATH")</f>
        <v>P2C34_ARATH</v>
      </c>
      <c r="D7123" t="s">
        <v>5743</v>
      </c>
      <c r="E7123" s="3" t="s">
        <v>3</v>
      </c>
      <c r="F7123" s="4">
        <v>1.13E-156</v>
      </c>
      <c r="G7123" s="3">
        <v>1172</v>
      </c>
      <c r="H7123" s="3">
        <v>63</v>
      </c>
      <c r="I7123" s="3">
        <v>356</v>
      </c>
      <c r="J7123" s="3">
        <v>179</v>
      </c>
      <c r="K7123" s="3">
        <v>1240</v>
      </c>
      <c r="L7123" s="3">
        <v>1</v>
      </c>
      <c r="M7123" s="3">
        <v>350</v>
      </c>
    </row>
    <row r="7124" spans="1:13" x14ac:dyDescent="0.25">
      <c r="A7124" s="1" t="str">
        <f>HYPERLINK("http://www.rosaceae.org/Prunus/Prunus_persica/p.persica_gdr_reftransV1_0024628","p.persica_gdr_reftransV1_0024628")</f>
        <v>p.persica_gdr_reftransV1_0024628</v>
      </c>
      <c r="B7124" s="3">
        <v>2429</v>
      </c>
      <c r="C7124" s="1" t="str">
        <f>HYPERLINK("http://www.uniprot.org/uniprot/AMY2_ARATH","AMY2_ARATH")</f>
        <v>AMY2_ARATH</v>
      </c>
      <c r="D7124" t="s">
        <v>5744</v>
      </c>
      <c r="E7124" s="3" t="s">
        <v>3</v>
      </c>
      <c r="F7124" s="4">
        <v>1.37E-127</v>
      </c>
      <c r="G7124" s="3">
        <v>1014</v>
      </c>
      <c r="H7124" s="3">
        <v>83</v>
      </c>
      <c r="I7124" s="3">
        <v>216</v>
      </c>
      <c r="J7124" s="3">
        <v>1181</v>
      </c>
      <c r="K7124" s="3">
        <v>1828</v>
      </c>
      <c r="L7124" s="3">
        <v>198</v>
      </c>
      <c r="M7124" s="3">
        <v>413</v>
      </c>
    </row>
    <row r="7125" spans="1:13" x14ac:dyDescent="0.25">
      <c r="A7125" s="1" t="str">
        <f>HYPERLINK("http://www.rosaceae.org/Prunus/Prunus_persica/p.persica_gdr_reftransV1_0024728","p.persica_gdr_reftransV1_0024728")</f>
        <v>p.persica_gdr_reftransV1_0024728</v>
      </c>
      <c r="B7125" s="3">
        <v>3945</v>
      </c>
      <c r="C7125" s="1" t="str">
        <f>HYPERLINK("http://www.uniprot.org/uniprot/CRY2_ARATH","CRY2_ARATH")</f>
        <v>CRY2_ARATH</v>
      </c>
      <c r="D7125" t="s">
        <v>5745</v>
      </c>
      <c r="E7125" s="3" t="s">
        <v>3</v>
      </c>
      <c r="F7125" s="4">
        <v>0</v>
      </c>
      <c r="G7125" s="3">
        <v>2033</v>
      </c>
      <c r="H7125" s="3">
        <v>68</v>
      </c>
      <c r="I7125" s="3">
        <v>558</v>
      </c>
      <c r="J7125" s="3">
        <v>1321</v>
      </c>
      <c r="K7125" s="3">
        <v>2985</v>
      </c>
      <c r="L7125" s="3">
        <v>5</v>
      </c>
      <c r="M7125" s="3">
        <v>549</v>
      </c>
    </row>
    <row r="7126" spans="1:13" x14ac:dyDescent="0.25">
      <c r="A7126" s="1" t="str">
        <f>HYPERLINK("http://www.rosaceae.org/Prunus/Prunus_persica/p.persica_gdr_reftransV1_0024778","p.persica_gdr_reftransV1_0024778")</f>
        <v>p.persica_gdr_reftransV1_0024778</v>
      </c>
      <c r="B7126" s="3">
        <v>2869</v>
      </c>
      <c r="C7126" s="1" t="str">
        <f>HYPERLINK("http://www.uniprot.org/uniprot/NIPA3_ARATH","NIPA3_ARATH")</f>
        <v>NIPA3_ARATH</v>
      </c>
      <c r="D7126" t="s">
        <v>5746</v>
      </c>
      <c r="E7126" s="3" t="s">
        <v>3</v>
      </c>
      <c r="F7126" s="4">
        <v>3.7599999999999999E-104</v>
      </c>
      <c r="G7126" s="3">
        <v>860</v>
      </c>
      <c r="H7126" s="3">
        <v>70</v>
      </c>
      <c r="I7126" s="3">
        <v>269</v>
      </c>
      <c r="J7126" s="3">
        <v>185</v>
      </c>
      <c r="K7126" s="3">
        <v>991</v>
      </c>
      <c r="L7126" s="3">
        <v>9</v>
      </c>
      <c r="M7126" s="3">
        <v>275</v>
      </c>
    </row>
    <row r="7127" spans="1:13" x14ac:dyDescent="0.25">
      <c r="A7127" s="1" t="str">
        <f>HYPERLINK("http://www.rosaceae.org/Prunus/Prunus_persica/p.persica_gdr_reftransV1_0024878","p.persica_gdr_reftransV1_0024878")</f>
        <v>p.persica_gdr_reftransV1_0024878</v>
      </c>
      <c r="B7127" s="3">
        <v>984</v>
      </c>
      <c r="C7127" s="1" t="str">
        <f>HYPERLINK("http://www.uniprot.org/uniprot/YJL2_SCHPO","YJL2_SCHPO")</f>
        <v>YJL2_SCHPO</v>
      </c>
      <c r="D7127" t="s">
        <v>5747</v>
      </c>
      <c r="E7127" s="3" t="s">
        <v>464</v>
      </c>
      <c r="F7127" s="4">
        <v>5.4300000000000003E-7</v>
      </c>
      <c r="G7127" s="3">
        <v>131</v>
      </c>
      <c r="H7127" s="3">
        <v>23</v>
      </c>
      <c r="I7127" s="3">
        <v>225</v>
      </c>
      <c r="J7127" s="3">
        <v>319</v>
      </c>
      <c r="K7127" s="3">
        <v>957</v>
      </c>
      <c r="L7127" s="3">
        <v>18</v>
      </c>
      <c r="M7127" s="3">
        <v>236</v>
      </c>
    </row>
    <row r="7128" spans="1:13" x14ac:dyDescent="0.25">
      <c r="A7128" s="1" t="str">
        <f>HYPERLINK("http://www.rosaceae.org/Prunus/Prunus_persica/p.persica_gdr_reftransV1_0024978","p.persica_gdr_reftransV1_0024978")</f>
        <v>p.persica_gdr_reftransV1_0024978</v>
      </c>
      <c r="B7128" s="3">
        <v>1864</v>
      </c>
      <c r="C7128" s="1" t="str">
        <f>HYPERLINK("http://www.uniprot.org/uniprot/RL7_SOLUE","RL7_SOLUE")</f>
        <v>RL7_SOLUE</v>
      </c>
      <c r="D7128" t="s">
        <v>5748</v>
      </c>
      <c r="E7128" s="3" t="s">
        <v>4299</v>
      </c>
      <c r="F7128" s="4">
        <v>1.8799999999999999E-14</v>
      </c>
      <c r="G7128" s="3">
        <v>184</v>
      </c>
      <c r="H7128" s="3">
        <v>45</v>
      </c>
      <c r="I7128" s="3">
        <v>133</v>
      </c>
      <c r="J7128" s="3">
        <v>333</v>
      </c>
      <c r="K7128" s="3">
        <v>731</v>
      </c>
      <c r="L7128" s="3">
        <v>4</v>
      </c>
      <c r="M7128" s="3">
        <v>123</v>
      </c>
    </row>
    <row r="7129" spans="1:13" x14ac:dyDescent="0.25">
      <c r="A7129" s="1" t="str">
        <f>HYPERLINK("http://www.rosaceae.org/Prunus/Prunus_persica/p.persica_gdr_reftransV1_0025178","p.persica_gdr_reftransV1_0025178")</f>
        <v>p.persica_gdr_reftransV1_0025178</v>
      </c>
      <c r="B7129" s="3">
        <v>4714</v>
      </c>
      <c r="C7129" s="1" t="str">
        <f>HYPERLINK("http://www.uniprot.org/uniprot/WDR11_MOUSE","WDR11_MOUSE")</f>
        <v>WDR11_MOUSE</v>
      </c>
      <c r="D7129" t="s">
        <v>3097</v>
      </c>
      <c r="E7129" s="3" t="s">
        <v>157</v>
      </c>
      <c r="F7129" s="4">
        <v>7.2299999999999997E-25</v>
      </c>
      <c r="G7129" s="3">
        <v>292</v>
      </c>
      <c r="H7129" s="3">
        <v>23</v>
      </c>
      <c r="I7129" s="3">
        <v>628</v>
      </c>
      <c r="J7129" s="3">
        <v>1840</v>
      </c>
      <c r="K7129" s="3">
        <v>3681</v>
      </c>
      <c r="L7129" s="3">
        <v>249</v>
      </c>
      <c r="M7129" s="3">
        <v>824</v>
      </c>
    </row>
    <row r="7130" spans="1:13" x14ac:dyDescent="0.25">
      <c r="A7130" s="1" t="str">
        <f>HYPERLINK("http://www.rosaceae.org/Prunus/Prunus_persica/p.persica_gdr_reftransV1_0025228","p.persica_gdr_reftransV1_0025228")</f>
        <v>p.persica_gdr_reftransV1_0025228</v>
      </c>
      <c r="B7130" s="3">
        <v>3517</v>
      </c>
      <c r="C7130" s="1" t="str">
        <f>HYPERLINK("http://www.uniprot.org/uniprot/AL3F1_ARATH","AL3F1_ARATH")</f>
        <v>AL3F1_ARATH</v>
      </c>
      <c r="D7130" t="s">
        <v>5749</v>
      </c>
      <c r="E7130" s="3" t="s">
        <v>3</v>
      </c>
      <c r="F7130" s="4">
        <v>0</v>
      </c>
      <c r="G7130" s="3">
        <v>1409</v>
      </c>
      <c r="H7130" s="3">
        <v>65</v>
      </c>
      <c r="I7130" s="3">
        <v>376</v>
      </c>
      <c r="J7130" s="3">
        <v>820</v>
      </c>
      <c r="K7130" s="3">
        <v>1947</v>
      </c>
      <c r="L7130" s="3">
        <v>90</v>
      </c>
      <c r="M7130" s="3">
        <v>465</v>
      </c>
    </row>
    <row r="7131" spans="1:13" x14ac:dyDescent="0.25">
      <c r="A7131" s="1" t="str">
        <f>HYPERLINK("http://www.rosaceae.org/Prunus/Prunus_persica/p.persica_gdr_reftransV1_0025328","p.persica_gdr_reftransV1_0025328")</f>
        <v>p.persica_gdr_reftransV1_0025328</v>
      </c>
      <c r="B7131" s="3">
        <v>2778</v>
      </c>
      <c r="C7131" s="1" t="str">
        <f>HYPERLINK("http://www.uniprot.org/uniprot/SYMM_ARATH","SYMM_ARATH")</f>
        <v>SYMM_ARATH</v>
      </c>
      <c r="D7131" t="s">
        <v>5750</v>
      </c>
      <c r="E7131" s="3" t="s">
        <v>3</v>
      </c>
      <c r="F7131" s="4">
        <v>0</v>
      </c>
      <c r="G7131" s="3">
        <v>1883</v>
      </c>
      <c r="H7131" s="3">
        <v>77</v>
      </c>
      <c r="I7131" s="3">
        <v>469</v>
      </c>
      <c r="J7131" s="3">
        <v>1213</v>
      </c>
      <c r="K7131" s="3">
        <v>2589</v>
      </c>
      <c r="L7131" s="3">
        <v>15</v>
      </c>
      <c r="M7131" s="3">
        <v>478</v>
      </c>
    </row>
    <row r="7132" spans="1:13" x14ac:dyDescent="0.25">
      <c r="A7132" s="1" t="str">
        <f>HYPERLINK("http://www.rosaceae.org/Prunus/Prunus_persica/p.persica_gdr_reftransV1_0025528","p.persica_gdr_reftransV1_0025528")</f>
        <v>p.persica_gdr_reftransV1_0025528</v>
      </c>
      <c r="B7132" s="3">
        <v>4293</v>
      </c>
      <c r="C7132" s="1" t="str">
        <f>HYPERLINK("http://www.uniprot.org/uniprot/OPLA_ARATH","OPLA_ARATH")</f>
        <v>OPLA_ARATH</v>
      </c>
      <c r="D7132" t="s">
        <v>5751</v>
      </c>
      <c r="E7132" s="3" t="s">
        <v>3</v>
      </c>
      <c r="F7132" s="4">
        <v>0</v>
      </c>
      <c r="G7132" s="3">
        <v>3775</v>
      </c>
      <c r="H7132" s="3">
        <v>83</v>
      </c>
      <c r="I7132" s="3">
        <v>849</v>
      </c>
      <c r="J7132" s="3">
        <v>114</v>
      </c>
      <c r="K7132" s="3">
        <v>2660</v>
      </c>
      <c r="L7132" s="3">
        <v>1</v>
      </c>
      <c r="M7132" s="3">
        <v>849</v>
      </c>
    </row>
    <row r="7133" spans="1:13" x14ac:dyDescent="0.25">
      <c r="A7133" s="1" t="str">
        <f>HYPERLINK("http://www.rosaceae.org/Prunus/Prunus_persica/p.persica_gdr_reftransV1_0025728","p.persica_gdr_reftransV1_0025728")</f>
        <v>p.persica_gdr_reftransV1_0025728</v>
      </c>
      <c r="B7133" s="3">
        <v>4814</v>
      </c>
      <c r="C7133" s="1" t="str">
        <f>HYPERLINK("http://www.uniprot.org/uniprot/FPA_ARATH","FPA_ARATH")</f>
        <v>FPA_ARATH</v>
      </c>
      <c r="D7133" t="s">
        <v>1119</v>
      </c>
      <c r="E7133" s="3" t="s">
        <v>3</v>
      </c>
      <c r="F7133" s="4">
        <v>0</v>
      </c>
      <c r="G7133" s="3">
        <v>1698</v>
      </c>
      <c r="H7133" s="3">
        <v>44</v>
      </c>
      <c r="I7133" s="3">
        <v>982</v>
      </c>
      <c r="J7133" s="3">
        <v>1753</v>
      </c>
      <c r="K7133" s="3">
        <v>4638</v>
      </c>
      <c r="L7133" s="3">
        <v>1</v>
      </c>
      <c r="M7133" s="3">
        <v>879</v>
      </c>
    </row>
    <row r="7134" spans="1:13" x14ac:dyDescent="0.25">
      <c r="A7134" s="1" t="str">
        <f>HYPERLINK("http://www.rosaceae.org/Prunus/Prunus_persica/p.persica_gdr_reftransV1_0025928","p.persica_gdr_reftransV1_0025928")</f>
        <v>p.persica_gdr_reftransV1_0025928</v>
      </c>
      <c r="B7134" s="3">
        <v>2467</v>
      </c>
      <c r="C7134" s="1" t="str">
        <f>HYPERLINK("http://www.uniprot.org/uniprot/IX14H_ARATH","IX14H_ARATH")</f>
        <v>IX14H_ARATH</v>
      </c>
      <c r="D7134" t="s">
        <v>5752</v>
      </c>
      <c r="E7134" s="3" t="s">
        <v>3</v>
      </c>
      <c r="F7134" s="4">
        <v>0</v>
      </c>
      <c r="G7134" s="3">
        <v>1451</v>
      </c>
      <c r="H7134" s="3">
        <v>65</v>
      </c>
      <c r="I7134" s="3">
        <v>465</v>
      </c>
      <c r="J7134" s="3">
        <v>480</v>
      </c>
      <c r="K7134" s="3">
        <v>1859</v>
      </c>
      <c r="L7134" s="3">
        <v>1</v>
      </c>
      <c r="M7134" s="3">
        <v>454</v>
      </c>
    </row>
    <row r="7135" spans="1:13" x14ac:dyDescent="0.25">
      <c r="A7135" s="1" t="str">
        <f>HYPERLINK("http://www.rosaceae.org/Prunus/Prunus_persica/p.persica_gdr_reftransV1_0026278","p.persica_gdr_reftransV1_0026278")</f>
        <v>p.persica_gdr_reftransV1_0026278</v>
      </c>
      <c r="B7135" s="3">
        <v>5138</v>
      </c>
      <c r="C7135" s="1" t="str">
        <f>HYPERLINK("http://www.uniprot.org/uniprot/CMTA2_ARATH","CMTA2_ARATH")</f>
        <v>CMTA2_ARATH</v>
      </c>
      <c r="D7135" t="s">
        <v>5753</v>
      </c>
      <c r="E7135" s="3" t="s">
        <v>3</v>
      </c>
      <c r="F7135" s="4">
        <v>0</v>
      </c>
      <c r="G7135" s="3">
        <v>2122</v>
      </c>
      <c r="H7135" s="3">
        <v>54</v>
      </c>
      <c r="I7135" s="3">
        <v>874</v>
      </c>
      <c r="J7135" s="3">
        <v>1586</v>
      </c>
      <c r="K7135" s="3">
        <v>4162</v>
      </c>
      <c r="L7135" s="3">
        <v>178</v>
      </c>
      <c r="M7135" s="3">
        <v>1010</v>
      </c>
    </row>
    <row r="7136" spans="1:13" x14ac:dyDescent="0.25">
      <c r="A7136" s="1" t="str">
        <f>HYPERLINK("http://www.rosaceae.org/Prunus/Prunus_persica/p.persica_gdr_reftransV1_0026428","p.persica_gdr_reftransV1_0026428")</f>
        <v>p.persica_gdr_reftransV1_0026428</v>
      </c>
      <c r="B7136" s="3">
        <v>2334</v>
      </c>
      <c r="C7136" s="1" t="str">
        <f>HYPERLINK("http://www.uniprot.org/uniprot/MDARP_ARATH","MDARP_ARATH")</f>
        <v>MDARP_ARATH</v>
      </c>
      <c r="D7136" t="s">
        <v>5754</v>
      </c>
      <c r="E7136" s="3" t="s">
        <v>3</v>
      </c>
      <c r="F7136" s="4">
        <v>0</v>
      </c>
      <c r="G7136" s="3">
        <v>1807</v>
      </c>
      <c r="H7136" s="3">
        <v>69</v>
      </c>
      <c r="I7136" s="3">
        <v>542</v>
      </c>
      <c r="J7136" s="3">
        <v>307</v>
      </c>
      <c r="K7136" s="3">
        <v>1920</v>
      </c>
      <c r="L7136" s="3">
        <v>2</v>
      </c>
      <c r="M7136" s="3">
        <v>491</v>
      </c>
    </row>
    <row r="7137" spans="1:13" x14ac:dyDescent="0.25">
      <c r="A7137" s="1" t="str">
        <f>HYPERLINK("http://www.rosaceae.org/Prunus/Prunus_persica/p.persica_gdr_reftransV1_0026528","p.persica_gdr_reftransV1_0026528")</f>
        <v>p.persica_gdr_reftransV1_0026528</v>
      </c>
      <c r="B7137" s="3">
        <v>1213</v>
      </c>
      <c r="C7137" s="1" t="str">
        <f>HYPERLINK("http://www.uniprot.org/uniprot/TMCO1_RAT","TMCO1_RAT")</f>
        <v>TMCO1_RAT</v>
      </c>
      <c r="D7137" t="s">
        <v>5755</v>
      </c>
      <c r="E7137" s="3" t="s">
        <v>161</v>
      </c>
      <c r="F7137" s="4">
        <v>4.5300000000000002E-37</v>
      </c>
      <c r="G7137" s="3">
        <v>348</v>
      </c>
      <c r="H7137" s="3">
        <v>46</v>
      </c>
      <c r="I7137" s="3">
        <v>179</v>
      </c>
      <c r="J7137" s="3">
        <v>96</v>
      </c>
      <c r="K7137" s="3">
        <v>626</v>
      </c>
      <c r="L7137" s="3">
        <v>5</v>
      </c>
      <c r="M7137" s="3">
        <v>182</v>
      </c>
    </row>
    <row r="7138" spans="1:13" x14ac:dyDescent="0.25">
      <c r="A7138" s="1" t="str">
        <f>HYPERLINK("http://www.rosaceae.org/Prunus/Prunus_persica/p.persica_gdr_reftransV1_0026628","p.persica_gdr_reftransV1_0026628")</f>
        <v>p.persica_gdr_reftransV1_0026628</v>
      </c>
      <c r="B7138" s="3">
        <v>2058</v>
      </c>
      <c r="C7138" s="1" t="str">
        <f>HYPERLINK("http://www.uniprot.org/uniprot/CCR35_ARATH","CCR35_ARATH")</f>
        <v>CCR35_ARATH</v>
      </c>
      <c r="D7138" t="s">
        <v>5756</v>
      </c>
      <c r="E7138" s="3" t="s">
        <v>3</v>
      </c>
      <c r="F7138" s="4">
        <v>1.2100000000000001E-131</v>
      </c>
      <c r="G7138" s="3">
        <v>1026</v>
      </c>
      <c r="H7138" s="3">
        <v>59</v>
      </c>
      <c r="I7138" s="3">
        <v>375</v>
      </c>
      <c r="J7138" s="3">
        <v>734</v>
      </c>
      <c r="K7138" s="3">
        <v>1813</v>
      </c>
      <c r="L7138" s="3">
        <v>1</v>
      </c>
      <c r="M7138" s="3">
        <v>362</v>
      </c>
    </row>
    <row r="7139" spans="1:13" x14ac:dyDescent="0.25">
      <c r="A7139" s="1" t="str">
        <f>HYPERLINK("http://www.rosaceae.org/Prunus/Prunus_persica/p.persica_gdr_reftransV1_0026778","p.persica_gdr_reftransV1_0026778")</f>
        <v>p.persica_gdr_reftransV1_0026778</v>
      </c>
      <c r="B7139" s="3">
        <v>1723</v>
      </c>
      <c r="C7139" s="1" t="str">
        <f>HYPERLINK("http://www.uniprot.org/uniprot/Eid1_ARATH","Eid1_ARATH")</f>
        <v>Eid1_ARATH</v>
      </c>
      <c r="D7139" t="s">
        <v>5757</v>
      </c>
      <c r="E7139" s="3" t="s">
        <v>3</v>
      </c>
      <c r="F7139" s="4">
        <v>1.2299999999999999E-111</v>
      </c>
      <c r="G7139" s="3">
        <v>880</v>
      </c>
      <c r="H7139" s="3">
        <v>52</v>
      </c>
      <c r="I7139" s="3">
        <v>372</v>
      </c>
      <c r="J7139" s="3">
        <v>347</v>
      </c>
      <c r="K7139" s="3">
        <v>1375</v>
      </c>
      <c r="L7139" s="3">
        <v>1</v>
      </c>
      <c r="M7139" s="3">
        <v>336</v>
      </c>
    </row>
    <row r="7140" spans="1:13" x14ac:dyDescent="0.25">
      <c r="A7140" s="1" t="str">
        <f>HYPERLINK("http://www.rosaceae.org/Prunus/Prunus_persica/p.persica_gdr_reftransV1_0026878","p.persica_gdr_reftransV1_0026878")</f>
        <v>p.persica_gdr_reftransV1_0026878</v>
      </c>
      <c r="B7140" s="3">
        <v>1865</v>
      </c>
      <c r="C7140" s="1" t="str">
        <f>HYPERLINK("http://www.uniprot.org/uniprot/SCP40_ARATH","SCP40_ARATH")</f>
        <v>SCP40_ARATH</v>
      </c>
      <c r="D7140" t="s">
        <v>2680</v>
      </c>
      <c r="E7140" s="3" t="s">
        <v>3</v>
      </c>
      <c r="F7140" s="4">
        <v>0</v>
      </c>
      <c r="G7140" s="3">
        <v>1580</v>
      </c>
      <c r="H7140" s="3">
        <v>63</v>
      </c>
      <c r="I7140" s="3">
        <v>483</v>
      </c>
      <c r="J7140" s="3">
        <v>156</v>
      </c>
      <c r="K7140" s="3">
        <v>1580</v>
      </c>
      <c r="L7140" s="3">
        <v>24</v>
      </c>
      <c r="M7140" s="3">
        <v>502</v>
      </c>
    </row>
    <row r="7141" spans="1:13" x14ac:dyDescent="0.25">
      <c r="A7141" s="1" t="str">
        <f>HYPERLINK("http://www.rosaceae.org/Prunus/Prunus_persica/p.persica_gdr_reftransV1_0027128","p.persica_gdr_reftransV1_0027128")</f>
        <v>p.persica_gdr_reftransV1_0027128</v>
      </c>
      <c r="B7141" s="3">
        <v>2155</v>
      </c>
      <c r="C7141" s="1" t="str">
        <f>HYPERLINK("http://www.uniprot.org/uniprot/HSFA3_ARATH","HSFA3_ARATH")</f>
        <v>HSFA3_ARATH</v>
      </c>
      <c r="D7141" t="s">
        <v>5758</v>
      </c>
      <c r="E7141" s="3" t="s">
        <v>3</v>
      </c>
      <c r="F7141" s="4">
        <v>1.0800000000000001E-61</v>
      </c>
      <c r="G7141" s="3">
        <v>555</v>
      </c>
      <c r="H7141" s="3">
        <v>59</v>
      </c>
      <c r="I7141" s="3">
        <v>193</v>
      </c>
      <c r="J7141" s="3">
        <v>1603</v>
      </c>
      <c r="K7141" s="3">
        <v>2154</v>
      </c>
      <c r="L7141" s="3">
        <v>88</v>
      </c>
      <c r="M7141" s="3">
        <v>275</v>
      </c>
    </row>
    <row r="7142" spans="1:13" x14ac:dyDescent="0.25">
      <c r="A7142" s="1" t="str">
        <f>HYPERLINK("http://www.rosaceae.org/Prunus/Prunus_persica/p.persica_gdr_reftransV1_0027228","p.persica_gdr_reftransV1_0027228")</f>
        <v>p.persica_gdr_reftransV1_0027228</v>
      </c>
      <c r="B7142" s="3">
        <v>4060</v>
      </c>
      <c r="C7142" s="1" t="str">
        <f>HYPERLINK("http://www.uniprot.org/uniprot/RQSIM_ARATH","RQSIM_ARATH")</f>
        <v>RQSIM_ARATH</v>
      </c>
      <c r="D7142" t="s">
        <v>5759</v>
      </c>
      <c r="E7142" s="3" t="s">
        <v>3</v>
      </c>
      <c r="F7142" s="4">
        <v>2.7699999999999999E-160</v>
      </c>
      <c r="G7142" s="3">
        <v>1314</v>
      </c>
      <c r="H7142" s="3">
        <v>53</v>
      </c>
      <c r="I7142" s="3">
        <v>560</v>
      </c>
      <c r="J7142" s="3">
        <v>144</v>
      </c>
      <c r="K7142" s="3">
        <v>1808</v>
      </c>
      <c r="L7142" s="3">
        <v>3</v>
      </c>
      <c r="M7142" s="3">
        <v>531</v>
      </c>
    </row>
    <row r="7143" spans="1:13" x14ac:dyDescent="0.25">
      <c r="A7143" s="1" t="str">
        <f>HYPERLINK("http://www.rosaceae.org/Prunus/Prunus_persica/p.persica_gdr_reftransV1_0027328","p.persica_gdr_reftransV1_0027328")</f>
        <v>p.persica_gdr_reftransV1_0027328</v>
      </c>
      <c r="B7143" s="3">
        <v>780</v>
      </c>
      <c r="C7143" s="1" t="str">
        <f>HYPERLINK("http://www.uniprot.org/uniprot/RT13_SOYBN","RT13_SOYBN")</f>
        <v>RT13_SOYBN</v>
      </c>
      <c r="D7143" t="s">
        <v>5760</v>
      </c>
      <c r="E7143" s="3" t="s">
        <v>307</v>
      </c>
      <c r="F7143" s="4">
        <v>1.28E-44</v>
      </c>
      <c r="G7143" s="3">
        <v>387</v>
      </c>
      <c r="H7143" s="3">
        <v>55</v>
      </c>
      <c r="I7143" s="3">
        <v>137</v>
      </c>
      <c r="J7143" s="3">
        <v>259</v>
      </c>
      <c r="K7143" s="3">
        <v>663</v>
      </c>
      <c r="L7143" s="3">
        <v>3</v>
      </c>
      <c r="M7143" s="3">
        <v>139</v>
      </c>
    </row>
    <row r="7144" spans="1:13" x14ac:dyDescent="0.25">
      <c r="A7144" s="1" t="str">
        <f>HYPERLINK("http://www.rosaceae.org/Prunus/Prunus_persica/p.persica_gdr_reftransV1_0027378","p.persica_gdr_reftransV1_0027378")</f>
        <v>p.persica_gdr_reftransV1_0027378</v>
      </c>
      <c r="B7144" s="3">
        <v>1094</v>
      </c>
      <c r="C7144" s="1" t="str">
        <f>HYPERLINK("http://www.uniprot.org/uniprot/ISCAP_ARATH","ISCAP_ARATH")</f>
        <v>ISCAP_ARATH</v>
      </c>
      <c r="D7144" t="s">
        <v>5761</v>
      </c>
      <c r="E7144" s="3" t="s">
        <v>3</v>
      </c>
      <c r="F7144" s="4">
        <v>9.4800000000000003E-73</v>
      </c>
      <c r="G7144" s="3">
        <v>587</v>
      </c>
      <c r="H7144" s="3">
        <v>84</v>
      </c>
      <c r="I7144" s="3">
        <v>127</v>
      </c>
      <c r="J7144" s="3">
        <v>451</v>
      </c>
      <c r="K7144" s="3">
        <v>831</v>
      </c>
      <c r="L7144" s="3">
        <v>54</v>
      </c>
      <c r="M7144" s="3">
        <v>180</v>
      </c>
    </row>
    <row r="7145" spans="1:13" x14ac:dyDescent="0.25">
      <c r="A7145" s="1" t="str">
        <f>HYPERLINK("http://www.rosaceae.org/Prunus/Prunus_persica/p.persica_gdr_reftransV1_0027828","p.persica_gdr_reftransV1_0027828")</f>
        <v>p.persica_gdr_reftransV1_0027828</v>
      </c>
      <c r="B7145" s="3">
        <v>5068</v>
      </c>
      <c r="C7145" s="1" t="str">
        <f>HYPERLINK("http://www.uniprot.org/uniprot/WDR7_HUMAN","WDR7_HUMAN")</f>
        <v>WDR7_HUMAN</v>
      </c>
      <c r="D7145" t="s">
        <v>5762</v>
      </c>
      <c r="E7145" s="3" t="s">
        <v>28</v>
      </c>
      <c r="F7145" s="4">
        <v>8.2399999999999997E-7</v>
      </c>
      <c r="G7145" s="3">
        <v>139</v>
      </c>
      <c r="H7145" s="3">
        <v>24</v>
      </c>
      <c r="I7145" s="3">
        <v>193</v>
      </c>
      <c r="J7145" s="3">
        <v>2984</v>
      </c>
      <c r="K7145" s="3">
        <v>3553</v>
      </c>
      <c r="L7145" s="3">
        <v>462</v>
      </c>
      <c r="M7145" s="3">
        <v>642</v>
      </c>
    </row>
    <row r="7146" spans="1:13" x14ac:dyDescent="0.25">
      <c r="A7146" s="1" t="str">
        <f>HYPERLINK("http://www.rosaceae.org/Prunus/Prunus_persica/p.persica_gdr_reftransV1_0028028","p.persica_gdr_reftransV1_0028028")</f>
        <v>p.persica_gdr_reftransV1_0028028</v>
      </c>
      <c r="B7146" s="3">
        <v>1792</v>
      </c>
      <c r="C7146" s="1" t="str">
        <f>HYPERLINK("http://www.uniprot.org/uniprot/MATE1_ARATH","MATE1_ARATH")</f>
        <v>MATE1_ARATH</v>
      </c>
      <c r="D7146" t="s">
        <v>1536</v>
      </c>
      <c r="E7146" s="3" t="s">
        <v>3</v>
      </c>
      <c r="F7146" s="4">
        <v>5.4899999999999997E-72</v>
      </c>
      <c r="G7146" s="3">
        <v>628</v>
      </c>
      <c r="H7146" s="3">
        <v>82</v>
      </c>
      <c r="I7146" s="3">
        <v>195</v>
      </c>
      <c r="J7146" s="3">
        <v>523</v>
      </c>
      <c r="K7146" s="3">
        <v>1107</v>
      </c>
      <c r="L7146" s="3">
        <v>308</v>
      </c>
      <c r="M7146" s="3">
        <v>502</v>
      </c>
    </row>
    <row r="7147" spans="1:13" x14ac:dyDescent="0.25">
      <c r="A7147" s="1" t="str">
        <f>HYPERLINK("http://www.rosaceae.org/Prunus/Prunus_persica/p.persica_gdr_reftransV1_0028228","p.persica_gdr_reftransV1_0028228")</f>
        <v>p.persica_gdr_reftransV1_0028228</v>
      </c>
      <c r="B7147" s="3">
        <v>2583</v>
      </c>
      <c r="C7147" s="1" t="str">
        <f>HYPERLINK("http://www.uniprot.org/uniprot/SRC30_ARATH","SRC30_ARATH")</f>
        <v>SRC30_ARATH</v>
      </c>
      <c r="D7147" t="s">
        <v>3867</v>
      </c>
      <c r="E7147" s="3" t="s">
        <v>3</v>
      </c>
      <c r="F7147" s="4">
        <v>5.3500000000000002E-16</v>
      </c>
      <c r="G7147" s="3">
        <v>204</v>
      </c>
      <c r="H7147" s="3">
        <v>71</v>
      </c>
      <c r="I7147" s="3">
        <v>55</v>
      </c>
      <c r="J7147" s="3">
        <v>1153</v>
      </c>
      <c r="K7147" s="3">
        <v>1317</v>
      </c>
      <c r="L7147" s="3">
        <v>86</v>
      </c>
      <c r="M7147" s="3">
        <v>140</v>
      </c>
    </row>
    <row r="7148" spans="1:13" x14ac:dyDescent="0.25">
      <c r="A7148" s="1" t="str">
        <f>HYPERLINK("http://www.rosaceae.org/Prunus/Prunus_persica/p.persica_gdr_reftransV1_0028428","p.persica_gdr_reftransV1_0028428")</f>
        <v>p.persica_gdr_reftransV1_0028428</v>
      </c>
      <c r="B7148" s="3">
        <v>2467</v>
      </c>
      <c r="C7148" s="1" t="str">
        <f>HYPERLINK("http://www.uniprot.org/uniprot/HIP1_ORYSJ","HIP1_ORYSJ")</f>
        <v>HIP1_ORYSJ</v>
      </c>
      <c r="D7148" t="s">
        <v>5763</v>
      </c>
      <c r="E7148" s="3" t="s">
        <v>38</v>
      </c>
      <c r="F7148" s="4">
        <v>2.9099999999999999E-18</v>
      </c>
      <c r="G7148" s="3">
        <v>230</v>
      </c>
      <c r="H7148" s="3">
        <v>49</v>
      </c>
      <c r="I7148" s="3">
        <v>98</v>
      </c>
      <c r="J7148" s="3">
        <v>444</v>
      </c>
      <c r="K7148" s="3">
        <v>737</v>
      </c>
      <c r="L7148" s="3">
        <v>570</v>
      </c>
      <c r="M7148" s="3">
        <v>660</v>
      </c>
    </row>
    <row r="7149" spans="1:13" x14ac:dyDescent="0.25">
      <c r="A7149" s="1" t="str">
        <f>HYPERLINK("http://www.rosaceae.org/Prunus/Prunus_persica/p.persica_gdr_reftransV1_0028678","p.persica_gdr_reftransV1_0028678")</f>
        <v>p.persica_gdr_reftransV1_0028678</v>
      </c>
      <c r="B7149" s="3">
        <v>955</v>
      </c>
      <c r="C7149" s="1" t="str">
        <f>HYPERLINK("http://www.uniprot.org/uniprot/PNSB5_ARATH","PNSB5_ARATH")</f>
        <v>PNSB5_ARATH</v>
      </c>
      <c r="D7149" t="s">
        <v>5764</v>
      </c>
      <c r="E7149" s="3" t="s">
        <v>3</v>
      </c>
      <c r="F7149" s="4">
        <v>7.9900000000000003E-89</v>
      </c>
      <c r="G7149" s="3">
        <v>693</v>
      </c>
      <c r="H7149" s="3">
        <v>61</v>
      </c>
      <c r="I7149" s="3">
        <v>217</v>
      </c>
      <c r="J7149" s="3">
        <v>72</v>
      </c>
      <c r="K7149" s="3">
        <v>716</v>
      </c>
      <c r="L7149" s="3">
        <v>2</v>
      </c>
      <c r="M7149" s="3">
        <v>212</v>
      </c>
    </row>
    <row r="7150" spans="1:13" x14ac:dyDescent="0.25">
      <c r="A7150" s="1" t="str">
        <f>HYPERLINK("http://www.rosaceae.org/Prunus/Prunus_persica/p.persica_gdr_reftransV1_0029228","p.persica_gdr_reftransV1_0029228")</f>
        <v>p.persica_gdr_reftransV1_0029228</v>
      </c>
      <c r="B7150" s="3">
        <v>1409</v>
      </c>
      <c r="C7150" s="1" t="str">
        <f>HYPERLINK("http://www.uniprot.org/uniprot/FBL48_ARATH","FBL48_ARATH")</f>
        <v>FBL48_ARATH</v>
      </c>
      <c r="D7150" t="s">
        <v>5765</v>
      </c>
      <c r="E7150" s="3" t="s">
        <v>3</v>
      </c>
      <c r="F7150" s="4">
        <v>3.0299999999999999E-15</v>
      </c>
      <c r="G7150" s="3">
        <v>200</v>
      </c>
      <c r="H7150" s="3">
        <v>28</v>
      </c>
      <c r="I7150" s="3">
        <v>240</v>
      </c>
      <c r="J7150" s="3">
        <v>255</v>
      </c>
      <c r="K7150" s="3">
        <v>911</v>
      </c>
      <c r="L7150" s="3">
        <v>27</v>
      </c>
      <c r="M7150" s="3">
        <v>232</v>
      </c>
    </row>
    <row r="7151" spans="1:13" x14ac:dyDescent="0.25">
      <c r="A7151" s="1" t="str">
        <f>HYPERLINK("http://www.rosaceae.org/Prunus/Prunus_persica/p.persica_gdr_reftransV1_0029878","p.persica_gdr_reftransV1_0029878")</f>
        <v>p.persica_gdr_reftransV1_0029878</v>
      </c>
      <c r="B7151" s="3">
        <v>1628</v>
      </c>
      <c r="C7151" s="1" t="str">
        <f>HYPERLINK("http://www.uniprot.org/uniprot/M2K6_ARATH","M2K6_ARATH")</f>
        <v>M2K6_ARATH</v>
      </c>
      <c r="D7151" t="s">
        <v>5766</v>
      </c>
      <c r="E7151" s="3" t="s">
        <v>3</v>
      </c>
      <c r="F7151" s="4">
        <v>1.31E-164</v>
      </c>
      <c r="G7151" s="3">
        <v>1212</v>
      </c>
      <c r="H7151" s="3">
        <v>79</v>
      </c>
      <c r="I7151" s="3">
        <v>296</v>
      </c>
      <c r="J7151" s="3">
        <v>593</v>
      </c>
      <c r="K7151" s="3">
        <v>1477</v>
      </c>
      <c r="L7151" s="3">
        <v>92</v>
      </c>
      <c r="M7151" s="3">
        <v>356</v>
      </c>
    </row>
    <row r="7152" spans="1:13" x14ac:dyDescent="0.25">
      <c r="A7152" s="1" t="str">
        <f>HYPERLINK("http://www.rosaceae.org/Prunus/Prunus_persica/p.persica_gdr_reftransV1_0030028","p.persica_gdr_reftransV1_0030028")</f>
        <v>p.persica_gdr_reftransV1_0030028</v>
      </c>
      <c r="B7152" s="3">
        <v>2803</v>
      </c>
      <c r="C7152" s="1" t="str">
        <f>HYPERLINK("http://www.uniprot.org/uniprot/RH29_ARATH","RH29_ARATH")</f>
        <v>RH29_ARATH</v>
      </c>
      <c r="D7152" t="s">
        <v>5767</v>
      </c>
      <c r="E7152" s="3" t="s">
        <v>3</v>
      </c>
      <c r="F7152" s="4">
        <v>0</v>
      </c>
      <c r="G7152" s="3">
        <v>2807</v>
      </c>
      <c r="H7152" s="3">
        <v>73</v>
      </c>
      <c r="I7152" s="3">
        <v>764</v>
      </c>
      <c r="J7152" s="3">
        <v>366</v>
      </c>
      <c r="K7152" s="3">
        <v>2633</v>
      </c>
      <c r="L7152" s="3">
        <v>9</v>
      </c>
      <c r="M7152" s="3">
        <v>762</v>
      </c>
    </row>
    <row r="7153" spans="1:13" x14ac:dyDescent="0.25">
      <c r="A7153" s="1" t="str">
        <f>HYPERLINK("http://www.rosaceae.org/Prunus/Prunus_persica/p.persica_gdr_reftransV1_0030428","p.persica_gdr_reftransV1_0030428")</f>
        <v>p.persica_gdr_reftransV1_0030428</v>
      </c>
      <c r="B7153" s="3">
        <v>2606</v>
      </c>
      <c r="C7153" s="1" t="str">
        <f>HYPERLINK("http://www.uniprot.org/uniprot/TOPB1_HUMAN","TOPB1_HUMAN")</f>
        <v>TOPB1_HUMAN</v>
      </c>
      <c r="D7153" t="s">
        <v>1483</v>
      </c>
      <c r="E7153" s="3" t="s">
        <v>28</v>
      </c>
      <c r="F7153" s="4">
        <v>6.4800000000000004E-10</v>
      </c>
      <c r="G7153" s="3">
        <v>162</v>
      </c>
      <c r="H7153" s="3">
        <v>43</v>
      </c>
      <c r="I7153" s="3">
        <v>87</v>
      </c>
      <c r="J7153" s="3">
        <v>790</v>
      </c>
      <c r="K7153" s="3">
        <v>1047</v>
      </c>
      <c r="L7153" s="3">
        <v>200</v>
      </c>
      <c r="M7153" s="3">
        <v>282</v>
      </c>
    </row>
    <row r="7154" spans="1:13" x14ac:dyDescent="0.25">
      <c r="A7154" s="1" t="str">
        <f>HYPERLINK("http://www.rosaceae.org/Prunus/Prunus_persica/p.persica_gdr_reftransV1_0030528","p.persica_gdr_reftransV1_0030528")</f>
        <v>p.persica_gdr_reftransV1_0030528</v>
      </c>
      <c r="B7154" s="3">
        <v>2516</v>
      </c>
      <c r="C7154" s="1" t="str">
        <f>HYPERLINK("http://www.uniprot.org/uniprot/P2C04_ORYSJ","P2C04_ORYSJ")</f>
        <v>P2C04_ORYSJ</v>
      </c>
      <c r="D7154" t="s">
        <v>5768</v>
      </c>
      <c r="E7154" s="3" t="s">
        <v>38</v>
      </c>
      <c r="F7154" s="4">
        <v>0</v>
      </c>
      <c r="G7154" s="3">
        <v>2356</v>
      </c>
      <c r="H7154" s="3">
        <v>69</v>
      </c>
      <c r="I7154" s="3">
        <v>664</v>
      </c>
      <c r="J7154" s="3">
        <v>480</v>
      </c>
      <c r="K7154" s="3">
        <v>2450</v>
      </c>
      <c r="L7154" s="3">
        <v>1</v>
      </c>
      <c r="M7154" s="3">
        <v>657</v>
      </c>
    </row>
    <row r="7155" spans="1:13" x14ac:dyDescent="0.25">
      <c r="A7155" s="1" t="str">
        <f>HYPERLINK("http://www.rosaceae.org/Prunus/Prunus_persica/p.persica_gdr_reftransV1_0031378","p.persica_gdr_reftransV1_0031378")</f>
        <v>p.persica_gdr_reftransV1_0031378</v>
      </c>
      <c r="B7155" s="3">
        <v>2970</v>
      </c>
      <c r="C7155" s="1" t="str">
        <f>HYPERLINK("http://www.uniprot.org/uniprot/LAZH1_ARATH","LAZH1_ARATH")</f>
        <v>LAZH1_ARATH</v>
      </c>
      <c r="D7155" t="s">
        <v>5769</v>
      </c>
      <c r="E7155" s="3" t="s">
        <v>3</v>
      </c>
      <c r="F7155" s="4">
        <v>2.4199999999999999E-135</v>
      </c>
      <c r="G7155" s="3">
        <v>1086</v>
      </c>
      <c r="H7155" s="3">
        <v>82</v>
      </c>
      <c r="I7155" s="3">
        <v>239</v>
      </c>
      <c r="J7155" s="3">
        <v>1633</v>
      </c>
      <c r="K7155" s="3">
        <v>2349</v>
      </c>
      <c r="L7155" s="3">
        <v>219</v>
      </c>
      <c r="M7155" s="3">
        <v>457</v>
      </c>
    </row>
    <row r="7156" spans="1:13" x14ac:dyDescent="0.25">
      <c r="A7156" s="1" t="str">
        <f>HYPERLINK("http://www.rosaceae.org/Prunus/Prunus_persica/p.persica_gdr_reftransV1_0031678","p.persica_gdr_reftransV1_0031678")</f>
        <v>p.persica_gdr_reftransV1_0031678</v>
      </c>
      <c r="B7156" s="3">
        <v>2226</v>
      </c>
      <c r="C7156" s="1" t="str">
        <f>HYPERLINK("http://www.uniprot.org/uniprot/PEX13_ARATH","PEX13_ARATH")</f>
        <v>PEX13_ARATH</v>
      </c>
      <c r="D7156" t="s">
        <v>5770</v>
      </c>
      <c r="E7156" s="3" t="s">
        <v>3</v>
      </c>
      <c r="F7156" s="4">
        <v>2.0999999999999998E-15</v>
      </c>
      <c r="G7156" s="3">
        <v>199</v>
      </c>
      <c r="H7156" s="3">
        <v>60</v>
      </c>
      <c r="I7156" s="3">
        <v>72</v>
      </c>
      <c r="J7156" s="3">
        <v>91</v>
      </c>
      <c r="K7156" s="3">
        <v>300</v>
      </c>
      <c r="L7156" s="3">
        <v>6</v>
      </c>
      <c r="M7156" s="3">
        <v>77</v>
      </c>
    </row>
    <row r="7157" spans="1:13" x14ac:dyDescent="0.25">
      <c r="A7157" s="1" t="str">
        <f>HYPERLINK("http://www.rosaceae.org/Prunus/Prunus_persica/p.persica_gdr_reftransV1_0031828","p.persica_gdr_reftransV1_0031828")</f>
        <v>p.persica_gdr_reftransV1_0031828</v>
      </c>
      <c r="B7157" s="3">
        <v>3489</v>
      </c>
      <c r="C7157" s="1" t="str">
        <f>HYPERLINK("http://www.uniprot.org/uniprot/DSCR3_MOUSE","DSCR3_MOUSE")</f>
        <v>DSCR3_MOUSE</v>
      </c>
      <c r="D7157" t="s">
        <v>5771</v>
      </c>
      <c r="E7157" s="3" t="s">
        <v>157</v>
      </c>
      <c r="F7157" s="4">
        <v>1.4800000000000001E-40</v>
      </c>
      <c r="G7157" s="3">
        <v>398</v>
      </c>
      <c r="H7157" s="3">
        <v>38</v>
      </c>
      <c r="I7157" s="3">
        <v>253</v>
      </c>
      <c r="J7157" s="3">
        <v>588</v>
      </c>
      <c r="K7157" s="3">
        <v>1325</v>
      </c>
      <c r="L7157" s="3">
        <v>73</v>
      </c>
      <c r="M7157" s="3">
        <v>297</v>
      </c>
    </row>
    <row r="7158" spans="1:13" x14ac:dyDescent="0.25">
      <c r="A7158" s="1" t="str">
        <f>HYPERLINK("http://www.rosaceae.org/Prunus/Prunus_persica/p.persica_gdr_reftransV1_0032378","p.persica_gdr_reftransV1_0032378")</f>
        <v>p.persica_gdr_reftransV1_0032378</v>
      </c>
      <c r="B7158" s="3">
        <v>1329</v>
      </c>
      <c r="C7158" s="1" t="str">
        <f>HYPERLINK("http://www.uniprot.org/uniprot/ASB1_ARATH","ASB1_ARATH")</f>
        <v>ASB1_ARATH</v>
      </c>
      <c r="D7158" t="s">
        <v>5772</v>
      </c>
      <c r="E7158" s="3" t="s">
        <v>3</v>
      </c>
      <c r="F7158" s="4">
        <v>1.03E-137</v>
      </c>
      <c r="G7158" s="3">
        <v>1036</v>
      </c>
      <c r="H7158" s="3">
        <v>72</v>
      </c>
      <c r="I7158" s="3">
        <v>277</v>
      </c>
      <c r="J7158" s="3">
        <v>70</v>
      </c>
      <c r="K7158" s="3">
        <v>891</v>
      </c>
      <c r="L7158" s="3">
        <v>1</v>
      </c>
      <c r="M7158" s="3">
        <v>273</v>
      </c>
    </row>
    <row r="7159" spans="1:13" x14ac:dyDescent="0.25">
      <c r="A7159" s="1" t="str">
        <f>HYPERLINK("http://www.rosaceae.org/Prunus/Prunus_persica/p.persica_gdr_reftransV1_0032678","p.persica_gdr_reftransV1_0032678")</f>
        <v>p.persica_gdr_reftransV1_0032678</v>
      </c>
      <c r="B7159" s="3">
        <v>2376</v>
      </c>
      <c r="C7159" s="1" t="str">
        <f>HYPERLINK("http://www.uniprot.org/uniprot/GDT14_ORYSJ","GDT14_ORYSJ")</f>
        <v>GDT14_ORYSJ</v>
      </c>
      <c r="D7159" t="s">
        <v>5773</v>
      </c>
      <c r="E7159" s="3" t="s">
        <v>38</v>
      </c>
      <c r="F7159" s="4">
        <v>2.57E-37</v>
      </c>
      <c r="G7159" s="3">
        <v>281</v>
      </c>
      <c r="H7159" s="3">
        <v>90</v>
      </c>
      <c r="I7159" s="3">
        <v>62</v>
      </c>
      <c r="J7159" s="3">
        <v>1871</v>
      </c>
      <c r="K7159" s="3">
        <v>2056</v>
      </c>
      <c r="L7159" s="3">
        <v>221</v>
      </c>
      <c r="M7159" s="3">
        <v>282</v>
      </c>
    </row>
    <row r="7160" spans="1:13" x14ac:dyDescent="0.25">
      <c r="A7160" s="1" t="str">
        <f>HYPERLINK("http://www.rosaceae.org/Prunus/Prunus_persica/p.persica_gdr_reftransV1_0032728","p.persica_gdr_reftransV1_0032728")</f>
        <v>p.persica_gdr_reftransV1_0032728</v>
      </c>
      <c r="B7160" s="3">
        <v>4053</v>
      </c>
      <c r="C7160" s="1" t="str">
        <f>HYPERLINK("http://www.uniprot.org/uniprot/COPB1_ARATH","COPB1_ARATH")</f>
        <v>COPB1_ARATH</v>
      </c>
      <c r="D7160" t="s">
        <v>1167</v>
      </c>
      <c r="E7160" s="3" t="s">
        <v>3</v>
      </c>
      <c r="F7160" s="4">
        <v>0</v>
      </c>
      <c r="G7160" s="3">
        <v>3727</v>
      </c>
      <c r="H7160" s="3">
        <v>81</v>
      </c>
      <c r="I7160" s="3">
        <v>883</v>
      </c>
      <c r="J7160" s="3">
        <v>338</v>
      </c>
      <c r="K7160" s="3">
        <v>2986</v>
      </c>
      <c r="L7160" s="3">
        <v>1</v>
      </c>
      <c r="M7160" s="3">
        <v>881</v>
      </c>
    </row>
    <row r="7161" spans="1:13" x14ac:dyDescent="0.25">
      <c r="A7161" s="1" t="str">
        <f>HYPERLINK("http://www.rosaceae.org/Prunus/Prunus_persica/p.persica_gdr_reftransV1_0032878","p.persica_gdr_reftransV1_0032878")</f>
        <v>p.persica_gdr_reftransV1_0032878</v>
      </c>
      <c r="B7161" s="3">
        <v>1519</v>
      </c>
      <c r="C7161" s="1" t="str">
        <f>HYPERLINK("http://www.uniprot.org/uniprot/HIS7_ARATH","HIS7_ARATH")</f>
        <v>HIS7_ARATH</v>
      </c>
      <c r="D7161" t="s">
        <v>5774</v>
      </c>
      <c r="E7161" s="3" t="s">
        <v>3</v>
      </c>
      <c r="F7161" s="4">
        <v>3.7499999999999998E-156</v>
      </c>
      <c r="G7161" s="3">
        <v>1171</v>
      </c>
      <c r="H7161" s="3">
        <v>74</v>
      </c>
      <c r="I7161" s="3">
        <v>288</v>
      </c>
      <c r="J7161" s="3">
        <v>285</v>
      </c>
      <c r="K7161" s="3">
        <v>1142</v>
      </c>
      <c r="L7161" s="3">
        <v>59</v>
      </c>
      <c r="M7161" s="3">
        <v>346</v>
      </c>
    </row>
    <row r="7162" spans="1:13" x14ac:dyDescent="0.25">
      <c r="A7162" s="1" t="str">
        <f>HYPERLINK("http://www.rosaceae.org/Prunus/Prunus_persica/p.persica_gdr_reftransV1_0033428","p.persica_gdr_reftransV1_0033428")</f>
        <v>p.persica_gdr_reftransV1_0033428</v>
      </c>
      <c r="B7162" s="3">
        <v>998</v>
      </c>
      <c r="C7162" s="1" t="str">
        <f>HYPERLINK("http://www.uniprot.org/uniprot/CX5B2_ARATH","CX5B2_ARATH")</f>
        <v>CX5B2_ARATH</v>
      </c>
      <c r="D7162" t="s">
        <v>5775</v>
      </c>
      <c r="E7162" s="3" t="s">
        <v>3</v>
      </c>
      <c r="F7162" s="4">
        <v>1.1799999999999999E-36</v>
      </c>
      <c r="G7162" s="3">
        <v>340</v>
      </c>
      <c r="H7162" s="3">
        <v>81</v>
      </c>
      <c r="I7162" s="3">
        <v>96</v>
      </c>
      <c r="J7162" s="3">
        <v>379</v>
      </c>
      <c r="K7162" s="3">
        <v>666</v>
      </c>
      <c r="L7162" s="3">
        <v>63</v>
      </c>
      <c r="M7162" s="3">
        <v>157</v>
      </c>
    </row>
    <row r="7163" spans="1:13" x14ac:dyDescent="0.25">
      <c r="A7163" s="1" t="str">
        <f>HYPERLINK("http://www.rosaceae.org/Prunus/Prunus_persica/p.persica_gdr_reftransV1_0033578","p.persica_gdr_reftransV1_0033578")</f>
        <v>p.persica_gdr_reftransV1_0033578</v>
      </c>
      <c r="B7163" s="3">
        <v>3411</v>
      </c>
      <c r="C7163" s="1" t="str">
        <f>HYPERLINK("http://www.uniprot.org/uniprot/LC7L3_MOUSE","LC7L3_MOUSE")</f>
        <v>LC7L3_MOUSE</v>
      </c>
      <c r="D7163" t="s">
        <v>5776</v>
      </c>
      <c r="E7163" s="3" t="s">
        <v>157</v>
      </c>
      <c r="F7163" s="4">
        <v>8.9599999999999991E-22</v>
      </c>
      <c r="G7163" s="3">
        <v>256</v>
      </c>
      <c r="H7163" s="3">
        <v>37</v>
      </c>
      <c r="I7163" s="3">
        <v>145</v>
      </c>
      <c r="J7163" s="3">
        <v>1337</v>
      </c>
      <c r="K7163" s="3">
        <v>1765</v>
      </c>
      <c r="L7163" s="3">
        <v>81</v>
      </c>
      <c r="M7163" s="3">
        <v>224</v>
      </c>
    </row>
    <row r="7164" spans="1:13" x14ac:dyDescent="0.25">
      <c r="A7164" s="1" t="str">
        <f>HYPERLINK("http://www.rosaceae.org/Prunus/Prunus_persica/p.persica_gdr_reftransV1_0033628","p.persica_gdr_reftransV1_0033628")</f>
        <v>p.persica_gdr_reftransV1_0033628</v>
      </c>
      <c r="B7164" s="3">
        <v>2151</v>
      </c>
      <c r="C7164" s="1" t="str">
        <f>HYPERLINK("http://www.uniprot.org/uniprot/SHH2_ARATH","SHH2_ARATH")</f>
        <v>SHH2_ARATH</v>
      </c>
      <c r="D7164" t="s">
        <v>5777</v>
      </c>
      <c r="E7164" s="3" t="s">
        <v>3</v>
      </c>
      <c r="F7164" s="4">
        <v>5.2000000000000002E-74</v>
      </c>
      <c r="G7164" s="3">
        <v>636</v>
      </c>
      <c r="H7164" s="3">
        <v>62</v>
      </c>
      <c r="I7164" s="3">
        <v>233</v>
      </c>
      <c r="J7164" s="3">
        <v>1147</v>
      </c>
      <c r="K7164" s="3">
        <v>1830</v>
      </c>
      <c r="L7164" s="3">
        <v>132</v>
      </c>
      <c r="M7164" s="3">
        <v>348</v>
      </c>
    </row>
    <row r="7165" spans="1:13" x14ac:dyDescent="0.25">
      <c r="A7165" s="1" t="str">
        <f>HYPERLINK("http://www.rosaceae.org/Prunus/Prunus_persica/p.persica_gdr_reftransV1_0034378","p.persica_gdr_reftransV1_0034378")</f>
        <v>p.persica_gdr_reftransV1_0034378</v>
      </c>
      <c r="B7165" s="3">
        <v>2215</v>
      </c>
      <c r="C7165" s="1" t="str">
        <f>HYPERLINK("http://www.uniprot.org/uniprot/ASPRX_ORYSJ","ASPRX_ORYSJ")</f>
        <v>ASPRX_ORYSJ</v>
      </c>
      <c r="D7165" t="s">
        <v>5778</v>
      </c>
      <c r="E7165" s="3" t="s">
        <v>38</v>
      </c>
      <c r="F7165" s="4">
        <v>1.2999999999999999E-150</v>
      </c>
      <c r="G7165" s="3">
        <v>1171</v>
      </c>
      <c r="H7165" s="3">
        <v>64</v>
      </c>
      <c r="I7165" s="3">
        <v>354</v>
      </c>
      <c r="J7165" s="3">
        <v>145</v>
      </c>
      <c r="K7165" s="3">
        <v>1197</v>
      </c>
      <c r="L7165" s="3">
        <v>7</v>
      </c>
      <c r="M7165" s="3">
        <v>351</v>
      </c>
    </row>
    <row r="7166" spans="1:13" x14ac:dyDescent="0.25">
      <c r="A7166" s="1" t="str">
        <f>HYPERLINK("http://www.rosaceae.org/Prunus/Prunus_persica/p.persica_gdr_reftransV1_0034828","p.persica_gdr_reftransV1_0034828")</f>
        <v>p.persica_gdr_reftransV1_0034828</v>
      </c>
      <c r="B7166" s="3">
        <v>1521</v>
      </c>
      <c r="C7166" s="1" t="str">
        <f>HYPERLINK("http://www.uniprot.org/uniprot/LP14_BACIU","LP14_BACIU")</f>
        <v>LP14_BACIU</v>
      </c>
      <c r="D7166" t="s">
        <v>5779</v>
      </c>
      <c r="E7166" s="3" t="s">
        <v>1630</v>
      </c>
      <c r="F7166" s="4">
        <v>3.3199999999999999E-15</v>
      </c>
      <c r="G7166" s="3">
        <v>193</v>
      </c>
      <c r="H7166" s="3">
        <v>34</v>
      </c>
      <c r="I7166" s="3">
        <v>140</v>
      </c>
      <c r="J7166" s="3">
        <v>492</v>
      </c>
      <c r="K7166" s="3">
        <v>911</v>
      </c>
      <c r="L7166" s="3">
        <v>51</v>
      </c>
      <c r="M7166" s="3">
        <v>174</v>
      </c>
    </row>
    <row r="7167" spans="1:13" x14ac:dyDescent="0.25">
      <c r="A7167" s="1" t="str">
        <f>HYPERLINK("http://www.rosaceae.org/Prunus/Prunus_persica/p.persica_gdr_reftransV1_0034878","p.persica_gdr_reftransV1_0034878")</f>
        <v>p.persica_gdr_reftransV1_0034878</v>
      </c>
      <c r="B7167" s="3">
        <v>3805</v>
      </c>
      <c r="C7167" s="1" t="str">
        <f>HYPERLINK("http://www.uniprot.org/uniprot/LPCT1_ARATH","LPCT1_ARATH")</f>
        <v>LPCT1_ARATH</v>
      </c>
      <c r="D7167" t="s">
        <v>5780</v>
      </c>
      <c r="E7167" s="3" t="s">
        <v>3</v>
      </c>
      <c r="F7167" s="4">
        <v>8.4100000000000008E-171</v>
      </c>
      <c r="G7167" s="3">
        <v>1337</v>
      </c>
      <c r="H7167" s="3">
        <v>63</v>
      </c>
      <c r="I7167" s="3">
        <v>419</v>
      </c>
      <c r="J7167" s="3">
        <v>2196</v>
      </c>
      <c r="K7167" s="3">
        <v>3392</v>
      </c>
      <c r="L7167" s="3">
        <v>1</v>
      </c>
      <c r="M7167" s="3">
        <v>398</v>
      </c>
    </row>
    <row r="7168" spans="1:13" x14ac:dyDescent="0.25">
      <c r="A7168" s="1" t="str">
        <f>HYPERLINK("http://www.rosaceae.org/Prunus/Prunus_persica/p.persica_gdr_reftransV1_0034978","p.persica_gdr_reftransV1_0034978")</f>
        <v>p.persica_gdr_reftransV1_0034978</v>
      </c>
      <c r="B7168" s="3">
        <v>4518</v>
      </c>
      <c r="C7168" s="1" t="str">
        <f>HYPERLINK("http://www.uniprot.org/uniprot/TRM13_HUMAN","TRM13_HUMAN")</f>
        <v>TRM13_HUMAN</v>
      </c>
      <c r="D7168" t="s">
        <v>5781</v>
      </c>
      <c r="E7168" s="3" t="s">
        <v>28</v>
      </c>
      <c r="F7168" s="4">
        <v>2.0899999999999999E-39</v>
      </c>
      <c r="G7168" s="3">
        <v>402</v>
      </c>
      <c r="H7168" s="3">
        <v>27</v>
      </c>
      <c r="I7168" s="3">
        <v>551</v>
      </c>
      <c r="J7168" s="3">
        <v>2586</v>
      </c>
      <c r="K7168" s="3">
        <v>4091</v>
      </c>
      <c r="L7168" s="3">
        <v>16</v>
      </c>
      <c r="M7168" s="3">
        <v>473</v>
      </c>
    </row>
    <row r="7169" spans="1:13" x14ac:dyDescent="0.25">
      <c r="A7169" s="1" t="str">
        <f>HYPERLINK("http://www.rosaceae.org/Prunus/Prunus_persica/p.persica_gdr_reftransV1_0035028","p.persica_gdr_reftransV1_0035028")</f>
        <v>p.persica_gdr_reftransV1_0035028</v>
      </c>
      <c r="B7169" s="3">
        <v>1909</v>
      </c>
      <c r="C7169" s="1" t="str">
        <f>HYPERLINK("http://www.uniprot.org/uniprot/Y3272_ARATH","Y3272_ARATH")</f>
        <v>Y3272_ARATH</v>
      </c>
      <c r="D7169" t="s">
        <v>3461</v>
      </c>
      <c r="E7169" s="3" t="s">
        <v>3</v>
      </c>
      <c r="F7169" s="4">
        <v>0</v>
      </c>
      <c r="G7169" s="3">
        <v>1412</v>
      </c>
      <c r="H7169" s="3">
        <v>65</v>
      </c>
      <c r="I7169" s="3">
        <v>414</v>
      </c>
      <c r="J7169" s="3">
        <v>371</v>
      </c>
      <c r="K7169" s="3">
        <v>1609</v>
      </c>
      <c r="L7169" s="3">
        <v>20</v>
      </c>
      <c r="M7169" s="3">
        <v>426</v>
      </c>
    </row>
    <row r="7170" spans="1:13" x14ac:dyDescent="0.25">
      <c r="A7170" s="1" t="str">
        <f>HYPERLINK("http://www.rosaceae.org/Prunus/Prunus_persica/p.persica_gdr_reftransV1_0035128","p.persica_gdr_reftransV1_0035128")</f>
        <v>p.persica_gdr_reftransV1_0035128</v>
      </c>
      <c r="B7170" s="3">
        <v>859</v>
      </c>
      <c r="C7170" s="1" t="str">
        <f>HYPERLINK("http://www.uniprot.org/uniprot/PP241_ARATH","PP241_ARATH")</f>
        <v>PP241_ARATH</v>
      </c>
      <c r="D7170" t="s">
        <v>5782</v>
      </c>
      <c r="E7170" s="3" t="s">
        <v>3</v>
      </c>
      <c r="F7170" s="4">
        <v>7.8300000000000004E-52</v>
      </c>
      <c r="G7170" s="3">
        <v>478</v>
      </c>
      <c r="H7170" s="3">
        <v>56</v>
      </c>
      <c r="I7170" s="3">
        <v>197</v>
      </c>
      <c r="J7170" s="3">
        <v>282</v>
      </c>
      <c r="K7170" s="3">
        <v>857</v>
      </c>
      <c r="L7170" s="3">
        <v>29</v>
      </c>
      <c r="M7170" s="3">
        <v>211</v>
      </c>
    </row>
    <row r="7171" spans="1:13" x14ac:dyDescent="0.25">
      <c r="A7171" s="1" t="str">
        <f>HYPERLINK("http://www.rosaceae.org/Prunus/Prunus_persica/p.persica_gdr_reftransV1_0035328","p.persica_gdr_reftransV1_0035328")</f>
        <v>p.persica_gdr_reftransV1_0035328</v>
      </c>
      <c r="B7171" s="3">
        <v>4117</v>
      </c>
      <c r="C7171" s="1" t="str">
        <f>HYPERLINK("http://www.uniprot.org/uniprot/FBK17_ARATH","FBK17_ARATH")</f>
        <v>FBK17_ARATH</v>
      </c>
      <c r="D7171" t="s">
        <v>5783</v>
      </c>
      <c r="E7171" s="3" t="s">
        <v>3</v>
      </c>
      <c r="F7171" s="4">
        <v>0</v>
      </c>
      <c r="G7171" s="3">
        <v>1602</v>
      </c>
      <c r="H7171" s="3">
        <v>72</v>
      </c>
      <c r="I7171" s="3">
        <v>406</v>
      </c>
      <c r="J7171" s="3">
        <v>799</v>
      </c>
      <c r="K7171" s="3">
        <v>2013</v>
      </c>
      <c r="L7171" s="3">
        <v>1</v>
      </c>
      <c r="M7171" s="3">
        <v>398</v>
      </c>
    </row>
    <row r="7172" spans="1:13" x14ac:dyDescent="0.25">
      <c r="A7172" s="1" t="str">
        <f>HYPERLINK("http://www.rosaceae.org/Prunus/Prunus_persica/p.persica_gdr_reftransV1_0035378","p.persica_gdr_reftransV1_0035378")</f>
        <v>p.persica_gdr_reftransV1_0035378</v>
      </c>
      <c r="B7172" s="3">
        <v>2576</v>
      </c>
      <c r="C7172" s="1" t="str">
        <f>HYPERLINK("http://www.uniprot.org/uniprot/CAHC_TOBAC","CAHC_TOBAC")</f>
        <v>CAHC_TOBAC</v>
      </c>
      <c r="D7172" t="s">
        <v>1200</v>
      </c>
      <c r="E7172" s="3" t="s">
        <v>200</v>
      </c>
      <c r="F7172" s="4">
        <v>5.1100000000000001E-48</v>
      </c>
      <c r="G7172" s="3">
        <v>451</v>
      </c>
      <c r="H7172" s="3">
        <v>66</v>
      </c>
      <c r="I7172" s="3">
        <v>128</v>
      </c>
      <c r="J7172" s="3">
        <v>158</v>
      </c>
      <c r="K7172" s="3">
        <v>529</v>
      </c>
      <c r="L7172" s="3">
        <v>62</v>
      </c>
      <c r="M7172" s="3">
        <v>189</v>
      </c>
    </row>
    <row r="7173" spans="1:13" x14ac:dyDescent="0.25">
      <c r="A7173" s="1" t="str">
        <f>HYPERLINK("http://www.rosaceae.org/Prunus/Prunus_persica/p.persica_gdr_reftransV1_0035528","p.persica_gdr_reftransV1_0035528")</f>
        <v>p.persica_gdr_reftransV1_0035528</v>
      </c>
      <c r="B7173" s="3">
        <v>3949</v>
      </c>
      <c r="C7173" s="1" t="str">
        <f>HYPERLINK("http://www.uniprot.org/uniprot/SKP2A_ARATH","SKP2A_ARATH")</f>
        <v>SKP2A_ARATH</v>
      </c>
      <c r="D7173" t="s">
        <v>5784</v>
      </c>
      <c r="E7173" s="3" t="s">
        <v>3</v>
      </c>
      <c r="F7173" s="4">
        <v>2.74E-76</v>
      </c>
      <c r="G7173" s="3">
        <v>670</v>
      </c>
      <c r="H7173" s="3">
        <v>75</v>
      </c>
      <c r="I7173" s="3">
        <v>163</v>
      </c>
      <c r="J7173" s="3">
        <v>2361</v>
      </c>
      <c r="K7173" s="3">
        <v>2849</v>
      </c>
      <c r="L7173" s="3">
        <v>74</v>
      </c>
      <c r="M7173" s="3">
        <v>236</v>
      </c>
    </row>
    <row r="7174" spans="1:13" x14ac:dyDescent="0.25">
      <c r="A7174" s="1" t="str">
        <f>HYPERLINK("http://www.rosaceae.org/Prunus/Prunus_persica/p.persica_gdr_reftransV1_0035678","p.persica_gdr_reftransV1_0035678")</f>
        <v>p.persica_gdr_reftransV1_0035678</v>
      </c>
      <c r="B7174" s="3">
        <v>3095</v>
      </c>
      <c r="C7174" s="1" t="str">
        <f>HYPERLINK("http://www.uniprot.org/uniprot/VP35B_ARATH","VP35B_ARATH")</f>
        <v>VP35B_ARATH</v>
      </c>
      <c r="D7174" t="s">
        <v>3185</v>
      </c>
      <c r="E7174" s="3" t="s">
        <v>3</v>
      </c>
      <c r="F7174" s="4">
        <v>4.6099999999999999E-19</v>
      </c>
      <c r="G7174" s="3">
        <v>239</v>
      </c>
      <c r="H7174" s="3">
        <v>63</v>
      </c>
      <c r="I7174" s="3">
        <v>68</v>
      </c>
      <c r="J7174" s="3">
        <v>2470</v>
      </c>
      <c r="K7174" s="3">
        <v>2673</v>
      </c>
      <c r="L7174" s="3">
        <v>723</v>
      </c>
      <c r="M7174" s="3">
        <v>790</v>
      </c>
    </row>
    <row r="7175" spans="1:13" x14ac:dyDescent="0.25">
      <c r="A7175" s="1" t="str">
        <f>HYPERLINK("http://www.rosaceae.org/Prunus/Prunus_persica/p.persica_gdr_reftransV1_0035828","p.persica_gdr_reftransV1_0035828")</f>
        <v>p.persica_gdr_reftransV1_0035828</v>
      </c>
      <c r="B7175" s="3">
        <v>2429</v>
      </c>
      <c r="C7175" s="1" t="str">
        <f>HYPERLINK("http://www.uniprot.org/uniprot/NET4A_ARATH","NET4A_ARATH")</f>
        <v>NET4A_ARATH</v>
      </c>
      <c r="D7175" t="s">
        <v>5785</v>
      </c>
      <c r="E7175" s="3" t="s">
        <v>3</v>
      </c>
      <c r="F7175" s="4">
        <v>2.29E-138</v>
      </c>
      <c r="G7175" s="3">
        <v>1100</v>
      </c>
      <c r="H7175" s="3">
        <v>46</v>
      </c>
      <c r="I7175" s="3">
        <v>636</v>
      </c>
      <c r="J7175" s="3">
        <v>193</v>
      </c>
      <c r="K7175" s="3">
        <v>2082</v>
      </c>
      <c r="L7175" s="3">
        <v>1</v>
      </c>
      <c r="M7175" s="3">
        <v>558</v>
      </c>
    </row>
    <row r="7176" spans="1:13" x14ac:dyDescent="0.25">
      <c r="A7176" s="1" t="str">
        <f>HYPERLINK("http://www.rosaceae.org/Prunus/Prunus_persica/p.persica_gdr_reftransV1_0036178","p.persica_gdr_reftransV1_0036178")</f>
        <v>p.persica_gdr_reftransV1_0036178</v>
      </c>
      <c r="B7176" s="3">
        <v>4122</v>
      </c>
      <c r="C7176" s="1" t="str">
        <f>HYPERLINK("http://www.uniprot.org/uniprot/RFS2_ARATH","RFS2_ARATH")</f>
        <v>RFS2_ARATH</v>
      </c>
      <c r="D7176" t="s">
        <v>5622</v>
      </c>
      <c r="E7176" s="3" t="s">
        <v>3</v>
      </c>
      <c r="F7176" s="4">
        <v>0</v>
      </c>
      <c r="G7176" s="3">
        <v>2239</v>
      </c>
      <c r="H7176" s="3">
        <v>80</v>
      </c>
      <c r="I7176" s="3">
        <v>507</v>
      </c>
      <c r="J7176" s="3">
        <v>1565</v>
      </c>
      <c r="K7176" s="3">
        <v>3085</v>
      </c>
      <c r="L7176" s="3">
        <v>125</v>
      </c>
      <c r="M7176" s="3">
        <v>625</v>
      </c>
    </row>
    <row r="7177" spans="1:13" x14ac:dyDescent="0.25">
      <c r="A7177" s="1" t="str">
        <f>HYPERLINK("http://www.rosaceae.org/Prunus/Prunus_persica/p.persica_gdr_reftransV1_0036578","p.persica_gdr_reftransV1_0036578")</f>
        <v>p.persica_gdr_reftransV1_0036578</v>
      </c>
      <c r="B7177" s="3">
        <v>1391</v>
      </c>
      <c r="C7177" s="1" t="str">
        <f>HYPERLINK("http://www.uniprot.org/uniprot/HEMH_ORYSI","HEMH_ORYSI")</f>
        <v>HEMH_ORYSI</v>
      </c>
      <c r="D7177" t="s">
        <v>5786</v>
      </c>
      <c r="E7177" s="3" t="s">
        <v>38</v>
      </c>
      <c r="F7177" s="4">
        <v>0</v>
      </c>
      <c r="G7177" s="3">
        <v>1394</v>
      </c>
      <c r="H7177" s="3">
        <v>91</v>
      </c>
      <c r="I7177" s="3">
        <v>301</v>
      </c>
      <c r="J7177" s="3">
        <v>326</v>
      </c>
      <c r="K7177" s="3">
        <v>1228</v>
      </c>
      <c r="L7177" s="3">
        <v>224</v>
      </c>
      <c r="M7177" s="3">
        <v>524</v>
      </c>
    </row>
    <row r="7178" spans="1:13" x14ac:dyDescent="0.25">
      <c r="A7178" s="1" t="str">
        <f>HYPERLINK("http://www.rosaceae.org/Prunus/Prunus_persica/p.persica_gdr_reftransV1_0036678","p.persica_gdr_reftransV1_0036678")</f>
        <v>p.persica_gdr_reftransV1_0036678</v>
      </c>
      <c r="B7178" s="3">
        <v>4903</v>
      </c>
      <c r="C7178" s="1" t="str">
        <f>HYPERLINK("http://www.uniprot.org/uniprot/AMY3_ARATH","AMY3_ARATH")</f>
        <v>AMY3_ARATH</v>
      </c>
      <c r="D7178" t="s">
        <v>660</v>
      </c>
      <c r="E7178" s="3" t="s">
        <v>3</v>
      </c>
      <c r="F7178" s="4">
        <v>5.6699999999999998E-160</v>
      </c>
      <c r="G7178" s="3">
        <v>1329</v>
      </c>
      <c r="H7178" s="3">
        <v>60</v>
      </c>
      <c r="I7178" s="3">
        <v>403</v>
      </c>
      <c r="J7178" s="3">
        <v>1830</v>
      </c>
      <c r="K7178" s="3">
        <v>3032</v>
      </c>
      <c r="L7178" s="3">
        <v>487</v>
      </c>
      <c r="M7178" s="3">
        <v>884</v>
      </c>
    </row>
    <row r="7179" spans="1:13" x14ac:dyDescent="0.25">
      <c r="A7179" s="1" t="str">
        <f>HYPERLINK("http://www.rosaceae.org/Prunus/Prunus_persica/p.persica_gdr_reftransV1_0037228","p.persica_gdr_reftransV1_0037228")</f>
        <v>p.persica_gdr_reftransV1_0037228</v>
      </c>
      <c r="B7179" s="3">
        <v>3393</v>
      </c>
      <c r="C7179" s="1" t="str">
        <f>HYPERLINK("http://www.uniprot.org/uniprot/AAT1_ARATH","AAT1_ARATH")</f>
        <v>AAT1_ARATH</v>
      </c>
      <c r="D7179" t="s">
        <v>5787</v>
      </c>
      <c r="E7179" s="3" t="s">
        <v>3</v>
      </c>
      <c r="F7179" s="4">
        <v>0</v>
      </c>
      <c r="G7179" s="3">
        <v>1916</v>
      </c>
      <c r="H7179" s="3">
        <v>85</v>
      </c>
      <c r="I7179" s="3">
        <v>408</v>
      </c>
      <c r="J7179" s="3">
        <v>180</v>
      </c>
      <c r="K7179" s="3">
        <v>1400</v>
      </c>
      <c r="L7179" s="3">
        <v>23</v>
      </c>
      <c r="M7179" s="3">
        <v>430</v>
      </c>
    </row>
    <row r="7180" spans="1:13" x14ac:dyDescent="0.25">
      <c r="A7180" s="1" t="str">
        <f>HYPERLINK("http://www.rosaceae.org/Prunus/Prunus_persica/p.persica_gdr_reftransV1_0037328","p.persica_gdr_reftransV1_0037328")</f>
        <v>p.persica_gdr_reftransV1_0037328</v>
      </c>
      <c r="B7180" s="3">
        <v>1113</v>
      </c>
      <c r="C7180" s="1" t="str">
        <f>HYPERLINK("http://www.uniprot.org/uniprot/HAT14_ARATH","HAT14_ARATH")</f>
        <v>HAT14_ARATH</v>
      </c>
      <c r="D7180" t="s">
        <v>5215</v>
      </c>
      <c r="E7180" s="3" t="s">
        <v>3</v>
      </c>
      <c r="F7180" s="4">
        <v>2.7599999999999998E-61</v>
      </c>
      <c r="G7180" s="3">
        <v>524</v>
      </c>
      <c r="H7180" s="3">
        <v>72</v>
      </c>
      <c r="I7180" s="3">
        <v>177</v>
      </c>
      <c r="J7180" s="3">
        <v>105</v>
      </c>
      <c r="K7180" s="3">
        <v>629</v>
      </c>
      <c r="L7180" s="3">
        <v>137</v>
      </c>
      <c r="M7180" s="3">
        <v>303</v>
      </c>
    </row>
    <row r="7181" spans="1:13" x14ac:dyDescent="0.25">
      <c r="A7181" s="1" t="str">
        <f>HYPERLINK("http://www.rosaceae.org/Prunus/Prunus_persica/p.persica_gdr_reftransV1_0037428","p.persica_gdr_reftransV1_0037428")</f>
        <v>p.persica_gdr_reftransV1_0037428</v>
      </c>
      <c r="B7181" s="3">
        <v>1945</v>
      </c>
      <c r="C7181" s="1" t="str">
        <f>HYPERLINK("http://www.uniprot.org/uniprot/ECHM_DICDI","ECHM_DICDI")</f>
        <v>ECHM_DICDI</v>
      </c>
      <c r="D7181" t="s">
        <v>5788</v>
      </c>
      <c r="E7181" s="3" t="s">
        <v>9</v>
      </c>
      <c r="F7181" s="4">
        <v>1.12E-32</v>
      </c>
      <c r="G7181" s="3">
        <v>330</v>
      </c>
      <c r="H7181" s="3">
        <v>36</v>
      </c>
      <c r="I7181" s="3">
        <v>249</v>
      </c>
      <c r="J7181" s="3">
        <v>1007</v>
      </c>
      <c r="K7181" s="3">
        <v>1741</v>
      </c>
      <c r="L7181" s="3">
        <v>6</v>
      </c>
      <c r="M7181" s="3">
        <v>252</v>
      </c>
    </row>
    <row r="7182" spans="1:13" x14ac:dyDescent="0.25">
      <c r="A7182" s="1" t="str">
        <f>HYPERLINK("http://www.rosaceae.org/Prunus/Prunus_persica/p.persica_gdr_reftransV1_0037578","p.persica_gdr_reftransV1_0037578")</f>
        <v>p.persica_gdr_reftransV1_0037578</v>
      </c>
      <c r="B7182" s="3">
        <v>2105</v>
      </c>
      <c r="C7182" s="1" t="str">
        <f>HYPERLINK("http://www.uniprot.org/uniprot/WTR42_ARATH","WTR42_ARATH")</f>
        <v>WTR42_ARATH</v>
      </c>
      <c r="D7182" t="s">
        <v>5789</v>
      </c>
      <c r="E7182" s="3" t="s">
        <v>3</v>
      </c>
      <c r="F7182" s="4">
        <v>2.4E-67</v>
      </c>
      <c r="G7182" s="3">
        <v>590</v>
      </c>
      <c r="H7182" s="3">
        <v>48</v>
      </c>
      <c r="I7182" s="3">
        <v>253</v>
      </c>
      <c r="J7182" s="3">
        <v>1067</v>
      </c>
      <c r="K7182" s="3">
        <v>1825</v>
      </c>
      <c r="L7182" s="3">
        <v>104</v>
      </c>
      <c r="M7182" s="3">
        <v>350</v>
      </c>
    </row>
    <row r="7183" spans="1:13" x14ac:dyDescent="0.25">
      <c r="A7183" s="1" t="str">
        <f>HYPERLINK("http://www.rosaceae.org/Prunus/Prunus_persica/p.persica_gdr_reftransV1_0037778","p.persica_gdr_reftransV1_0037778")</f>
        <v>p.persica_gdr_reftransV1_0037778</v>
      </c>
      <c r="B7183" s="3">
        <v>1502</v>
      </c>
      <c r="C7183" s="1" t="str">
        <f>HYPERLINK("http://www.uniprot.org/uniprot/CPRF2_PETCR","CPRF2_PETCR")</f>
        <v>CPRF2_PETCR</v>
      </c>
      <c r="D7183" t="s">
        <v>1039</v>
      </c>
      <c r="E7183" s="3" t="s">
        <v>1040</v>
      </c>
      <c r="F7183" s="4">
        <v>2.4800000000000002E-63</v>
      </c>
      <c r="G7183" s="3">
        <v>553</v>
      </c>
      <c r="H7183" s="3">
        <v>68</v>
      </c>
      <c r="I7183" s="3">
        <v>191</v>
      </c>
      <c r="J7183" s="3">
        <v>680</v>
      </c>
      <c r="K7183" s="3">
        <v>1246</v>
      </c>
      <c r="L7183" s="3">
        <v>204</v>
      </c>
      <c r="M7183" s="3">
        <v>389</v>
      </c>
    </row>
    <row r="7184" spans="1:13" x14ac:dyDescent="0.25">
      <c r="A7184" s="1" t="str">
        <f>HYPERLINK("http://www.rosaceae.org/Prunus/Prunus_persica/p.persica_gdr_reftransV1_0037878","p.persica_gdr_reftransV1_0037878")</f>
        <v>p.persica_gdr_reftransV1_0037878</v>
      </c>
      <c r="B7184" s="3">
        <v>1860</v>
      </c>
      <c r="C7184" s="1" t="str">
        <f>HYPERLINK("http://www.uniprot.org/uniprot/UBP12_ARATH","UBP12_ARATH")</f>
        <v>UBP12_ARATH</v>
      </c>
      <c r="D7184" t="s">
        <v>5651</v>
      </c>
      <c r="E7184" s="3" t="s">
        <v>3</v>
      </c>
      <c r="F7184" s="4">
        <v>4.89E-44</v>
      </c>
      <c r="G7184" s="3">
        <v>439</v>
      </c>
      <c r="H7184" s="3">
        <v>54</v>
      </c>
      <c r="I7184" s="3">
        <v>134</v>
      </c>
      <c r="J7184" s="3">
        <v>510</v>
      </c>
      <c r="K7184" s="3">
        <v>911</v>
      </c>
      <c r="L7184" s="3">
        <v>50</v>
      </c>
      <c r="M7184" s="3">
        <v>183</v>
      </c>
    </row>
    <row r="7185" spans="1:13" x14ac:dyDescent="0.25">
      <c r="A7185" s="1" t="str">
        <f>HYPERLINK("http://www.rosaceae.org/Prunus/Prunus_persica/p.persica_gdr_reftransV1_0038028","p.persica_gdr_reftransV1_0038028")</f>
        <v>p.persica_gdr_reftransV1_0038028</v>
      </c>
      <c r="B7185" s="3">
        <v>1375</v>
      </c>
      <c r="C7185" s="1" t="str">
        <f>HYPERLINK("http://www.uniprot.org/uniprot/FK161_ARATH","FK161_ARATH")</f>
        <v>FK161_ARATH</v>
      </c>
      <c r="D7185" t="s">
        <v>5790</v>
      </c>
      <c r="E7185" s="3" t="s">
        <v>3</v>
      </c>
      <c r="F7185" s="4">
        <v>2.2500000000000001E-27</v>
      </c>
      <c r="G7185" s="3">
        <v>211</v>
      </c>
      <c r="H7185" s="3">
        <v>36</v>
      </c>
      <c r="I7185" s="3">
        <v>152</v>
      </c>
      <c r="J7185" s="3">
        <v>757</v>
      </c>
      <c r="K7185" s="3">
        <v>1203</v>
      </c>
      <c r="L7185" s="3">
        <v>24</v>
      </c>
      <c r="M7185" s="3">
        <v>122</v>
      </c>
    </row>
    <row r="7186" spans="1:13" x14ac:dyDescent="0.25">
      <c r="A7186" s="1" t="str">
        <f>HYPERLINK("http://www.rosaceae.org/Prunus/Prunus_persica/p.persica_gdr_reftransV1_0038428","p.persica_gdr_reftransV1_0038428")</f>
        <v>p.persica_gdr_reftransV1_0038428</v>
      </c>
      <c r="B7186" s="3">
        <v>1943</v>
      </c>
      <c r="C7186" s="1" t="str">
        <f>HYPERLINK("http://www.uniprot.org/uniprot/LHP1_ARATH","LHP1_ARATH")</f>
        <v>LHP1_ARATH</v>
      </c>
      <c r="D7186" t="s">
        <v>5791</v>
      </c>
      <c r="E7186" s="3" t="s">
        <v>3</v>
      </c>
      <c r="F7186" s="4">
        <v>7.1199999999999998E-77</v>
      </c>
      <c r="G7186" s="3">
        <v>660</v>
      </c>
      <c r="H7186" s="3">
        <v>46</v>
      </c>
      <c r="I7186" s="3">
        <v>364</v>
      </c>
      <c r="J7186" s="3">
        <v>557</v>
      </c>
      <c r="K7186" s="3">
        <v>1609</v>
      </c>
      <c r="L7186" s="3">
        <v>100</v>
      </c>
      <c r="M7186" s="3">
        <v>444</v>
      </c>
    </row>
    <row r="7187" spans="1:13" x14ac:dyDescent="0.25">
      <c r="A7187" s="1" t="str">
        <f>HYPERLINK("http://www.rosaceae.org/Prunus/Prunus_persica/p.persica_gdr_reftransV1_0038728","p.persica_gdr_reftransV1_0038728")</f>
        <v>p.persica_gdr_reftransV1_0038728</v>
      </c>
      <c r="B7187" s="3">
        <v>2916</v>
      </c>
      <c r="C7187" s="1" t="str">
        <f>HYPERLINK("http://www.uniprot.org/uniprot/Y1015_ARATH","Y1015_ARATH")</f>
        <v>Y1015_ARATH</v>
      </c>
      <c r="D7187" t="s">
        <v>5792</v>
      </c>
      <c r="E7187" s="3" t="s">
        <v>3</v>
      </c>
      <c r="F7187" s="4">
        <v>4.4700000000000001E-27</v>
      </c>
      <c r="G7187" s="3">
        <v>295</v>
      </c>
      <c r="H7187" s="3">
        <v>40</v>
      </c>
      <c r="I7187" s="3">
        <v>198</v>
      </c>
      <c r="J7187" s="3">
        <v>1214</v>
      </c>
      <c r="K7187" s="3">
        <v>1792</v>
      </c>
      <c r="L7187" s="3">
        <v>42</v>
      </c>
      <c r="M7187" s="3">
        <v>235</v>
      </c>
    </row>
    <row r="7188" spans="1:13" x14ac:dyDescent="0.25">
      <c r="A7188" s="1" t="str">
        <f>HYPERLINK("http://www.rosaceae.org/Prunus/Prunus_persica/p.persica_gdr_reftransV1_0038828","p.persica_gdr_reftransV1_0038828")</f>
        <v>p.persica_gdr_reftransV1_0038828</v>
      </c>
      <c r="B7188" s="3">
        <v>888</v>
      </c>
      <c r="C7188" s="1" t="str">
        <f>HYPERLINK("http://www.uniprot.org/uniprot/EXD1_MOUSE","EXD1_MOUSE")</f>
        <v>EXD1_MOUSE</v>
      </c>
      <c r="D7188" t="s">
        <v>5793</v>
      </c>
      <c r="E7188" s="3" t="s">
        <v>157</v>
      </c>
      <c r="F7188" s="4">
        <v>2.3999999999999999E-14</v>
      </c>
      <c r="G7188" s="3">
        <v>187</v>
      </c>
      <c r="H7188" s="3">
        <v>43</v>
      </c>
      <c r="I7188" s="3">
        <v>89</v>
      </c>
      <c r="J7188" s="3">
        <v>218</v>
      </c>
      <c r="K7188" s="3">
        <v>481</v>
      </c>
      <c r="L7188" s="3">
        <v>153</v>
      </c>
      <c r="M7188" s="3">
        <v>241</v>
      </c>
    </row>
    <row r="7189" spans="1:13" x14ac:dyDescent="0.25">
      <c r="A7189" s="1" t="str">
        <f>HYPERLINK("http://www.rosaceae.org/Prunus/Prunus_persica/p.persica_gdr_reftransV1_0038878","p.persica_gdr_reftransV1_0038878")</f>
        <v>p.persica_gdr_reftransV1_0038878</v>
      </c>
      <c r="B7189" s="3">
        <v>1211</v>
      </c>
      <c r="C7189" s="1" t="str">
        <f>HYPERLINK("http://www.uniprot.org/uniprot/PKS3_ARATH","PKS3_ARATH")</f>
        <v>PKS3_ARATH</v>
      </c>
      <c r="D7189" t="s">
        <v>5794</v>
      </c>
      <c r="E7189" s="3" t="s">
        <v>3</v>
      </c>
      <c r="F7189" s="4">
        <v>7.8399999999999998E-10</v>
      </c>
      <c r="G7189" s="3">
        <v>154</v>
      </c>
      <c r="H7189" s="3">
        <v>28</v>
      </c>
      <c r="I7189" s="3">
        <v>323</v>
      </c>
      <c r="J7189" s="3">
        <v>46</v>
      </c>
      <c r="K7189" s="3">
        <v>927</v>
      </c>
      <c r="L7189" s="3">
        <v>45</v>
      </c>
      <c r="M7189" s="3">
        <v>299</v>
      </c>
    </row>
    <row r="7190" spans="1:13" x14ac:dyDescent="0.25">
      <c r="A7190" s="1" t="str">
        <f>HYPERLINK("http://www.rosaceae.org/Prunus/Prunus_persica/p.persica_gdr_reftransV1_0039578","p.persica_gdr_reftransV1_0039578")</f>
        <v>p.persica_gdr_reftransV1_0039578</v>
      </c>
      <c r="B7190" s="3">
        <v>2666</v>
      </c>
      <c r="C7190" s="1" t="str">
        <f>HYPERLINK("http://www.uniprot.org/uniprot/AI5L2_ARATH","AI5L2_ARATH")</f>
        <v>AI5L2_ARATH</v>
      </c>
      <c r="D7190" t="s">
        <v>4719</v>
      </c>
      <c r="E7190" s="3" t="s">
        <v>3</v>
      </c>
      <c r="F7190" s="4">
        <v>3.6700000000000003E-41</v>
      </c>
      <c r="G7190" s="3">
        <v>399</v>
      </c>
      <c r="H7190" s="3">
        <v>48</v>
      </c>
      <c r="I7190" s="3">
        <v>246</v>
      </c>
      <c r="J7190" s="3">
        <v>1642</v>
      </c>
      <c r="K7190" s="3">
        <v>2274</v>
      </c>
      <c r="L7190" s="3">
        <v>16</v>
      </c>
      <c r="M7190" s="3">
        <v>259</v>
      </c>
    </row>
    <row r="7191" spans="1:13" x14ac:dyDescent="0.25">
      <c r="A7191" s="1" t="str">
        <f>HYPERLINK("http://www.rosaceae.org/Prunus/Prunus_persica/p.persica_gdr_reftransV1_0039628","p.persica_gdr_reftransV1_0039628")</f>
        <v>p.persica_gdr_reftransV1_0039628</v>
      </c>
      <c r="B7191" s="3">
        <v>3046</v>
      </c>
      <c r="C7191" s="1" t="str">
        <f>HYPERLINK("http://www.uniprot.org/uniprot/S38A7_DANRE","S38A7_DANRE")</f>
        <v>S38A7_DANRE</v>
      </c>
      <c r="D7191" t="s">
        <v>5795</v>
      </c>
      <c r="E7191" s="3" t="s">
        <v>704</v>
      </c>
      <c r="F7191" s="4">
        <v>4.8900000000000002E-27</v>
      </c>
      <c r="G7191" s="3">
        <v>299</v>
      </c>
      <c r="H7191" s="3">
        <v>27</v>
      </c>
      <c r="I7191" s="3">
        <v>474</v>
      </c>
      <c r="J7191" s="3">
        <v>1659</v>
      </c>
      <c r="K7191" s="3">
        <v>2987</v>
      </c>
      <c r="L7191" s="3">
        <v>4</v>
      </c>
      <c r="M7191" s="3">
        <v>460</v>
      </c>
    </row>
    <row r="7192" spans="1:13" x14ac:dyDescent="0.25">
      <c r="A7192" s="1" t="str">
        <f>HYPERLINK("http://www.rosaceae.org/Prunus/Prunus_persica/p.persica_gdr_reftransV1_0039678","p.persica_gdr_reftransV1_0039678")</f>
        <v>p.persica_gdr_reftransV1_0039678</v>
      </c>
      <c r="B7192" s="3">
        <v>767</v>
      </c>
      <c r="C7192" s="1" t="str">
        <f>HYPERLINK("http://www.uniprot.org/uniprot/IRE_ARATH","IRE_ARATH")</f>
        <v>IRE_ARATH</v>
      </c>
      <c r="D7192" t="s">
        <v>5267</v>
      </c>
      <c r="E7192" s="3" t="s">
        <v>3</v>
      </c>
      <c r="F7192" s="4">
        <v>8.1999999999999997E-65</v>
      </c>
      <c r="G7192" s="3">
        <v>569</v>
      </c>
      <c r="H7192" s="3">
        <v>51</v>
      </c>
      <c r="I7192" s="3">
        <v>257</v>
      </c>
      <c r="J7192" s="3">
        <v>3</v>
      </c>
      <c r="K7192" s="3">
        <v>767</v>
      </c>
      <c r="L7192" s="3">
        <v>416</v>
      </c>
      <c r="M7192" s="3">
        <v>642</v>
      </c>
    </row>
    <row r="7193" spans="1:13" x14ac:dyDescent="0.25">
      <c r="A7193" s="1" t="str">
        <f>HYPERLINK("http://www.rosaceae.org/Prunus/Prunus_persica/p.persica_gdr_reftransV1_0039828","p.persica_gdr_reftransV1_0039828")</f>
        <v>p.persica_gdr_reftransV1_0039828</v>
      </c>
      <c r="B7193" s="3">
        <v>1891</v>
      </c>
      <c r="C7193" s="1" t="str">
        <f>HYPERLINK("http://www.uniprot.org/uniprot/GILT_HUMAN","GILT_HUMAN")</f>
        <v>GILT_HUMAN</v>
      </c>
      <c r="D7193" t="s">
        <v>5796</v>
      </c>
      <c r="E7193" s="3" t="s">
        <v>28</v>
      </c>
      <c r="F7193" s="4">
        <v>1.53E-13</v>
      </c>
      <c r="G7193" s="3">
        <v>182</v>
      </c>
      <c r="H7193" s="3">
        <v>41</v>
      </c>
      <c r="I7193" s="3">
        <v>119</v>
      </c>
      <c r="J7193" s="3">
        <v>484</v>
      </c>
      <c r="K7193" s="3">
        <v>831</v>
      </c>
      <c r="L7193" s="3">
        <v>118</v>
      </c>
      <c r="M7193" s="3">
        <v>231</v>
      </c>
    </row>
    <row r="7194" spans="1:13" x14ac:dyDescent="0.25">
      <c r="A7194" s="1" t="str">
        <f>HYPERLINK("http://www.rosaceae.org/Prunus/Prunus_persica/p.persica_gdr_reftransV1_0039878","p.persica_gdr_reftransV1_0039878")</f>
        <v>p.persica_gdr_reftransV1_0039878</v>
      </c>
      <c r="B7194" s="3">
        <v>3160</v>
      </c>
      <c r="C7194" s="1" t="str">
        <f>HYPERLINK("http://www.uniprot.org/uniprot/U2A2B_NICPL","U2A2B_NICPL")</f>
        <v>U2A2B_NICPL</v>
      </c>
      <c r="D7194" t="s">
        <v>5797</v>
      </c>
      <c r="E7194" s="3" t="s">
        <v>1450</v>
      </c>
      <c r="F7194" s="4">
        <v>0</v>
      </c>
      <c r="G7194" s="3">
        <v>1478</v>
      </c>
      <c r="H7194" s="3">
        <v>88</v>
      </c>
      <c r="I7194" s="3">
        <v>318</v>
      </c>
      <c r="J7194" s="3">
        <v>753</v>
      </c>
      <c r="K7194" s="3">
        <v>1706</v>
      </c>
      <c r="L7194" s="3">
        <v>194</v>
      </c>
      <c r="M7194" s="3">
        <v>508</v>
      </c>
    </row>
    <row r="7195" spans="1:13" x14ac:dyDescent="0.25">
      <c r="A7195" s="1" t="str">
        <f>HYPERLINK("http://www.rosaceae.org/Prunus/Prunus_persica/p.persica_gdr_reftransV1_0039928","p.persica_gdr_reftransV1_0039928")</f>
        <v>p.persica_gdr_reftransV1_0039928</v>
      </c>
      <c r="B7195" s="3">
        <v>3088</v>
      </c>
      <c r="C7195" s="1" t="str">
        <f>HYPERLINK("http://www.uniprot.org/uniprot/E136_ARATH","E136_ARATH")</f>
        <v>E136_ARATH</v>
      </c>
      <c r="D7195" t="s">
        <v>5601</v>
      </c>
      <c r="E7195" s="3" t="s">
        <v>3</v>
      </c>
      <c r="F7195" s="4">
        <v>4.5199999999999999E-142</v>
      </c>
      <c r="G7195" s="3">
        <v>1134</v>
      </c>
      <c r="H7195" s="3">
        <v>53</v>
      </c>
      <c r="I7195" s="3">
        <v>432</v>
      </c>
      <c r="J7195" s="3">
        <v>1446</v>
      </c>
      <c r="K7195" s="3">
        <v>2726</v>
      </c>
      <c r="L7195" s="3">
        <v>20</v>
      </c>
      <c r="M7195" s="3">
        <v>449</v>
      </c>
    </row>
    <row r="7196" spans="1:13" x14ac:dyDescent="0.25">
      <c r="A7196" s="1" t="str">
        <f>HYPERLINK("http://www.rosaceae.org/Prunus/Prunus_persica/p.persica_gdr_reftransV1_0039978","p.persica_gdr_reftransV1_0039978")</f>
        <v>p.persica_gdr_reftransV1_0039978</v>
      </c>
      <c r="B7196" s="3">
        <v>1303</v>
      </c>
      <c r="C7196" s="1" t="str">
        <f>HYPERLINK("http://www.uniprot.org/uniprot/EMB74_ARATH","EMB74_ARATH")</f>
        <v>EMB74_ARATH</v>
      </c>
      <c r="D7196" t="s">
        <v>5798</v>
      </c>
      <c r="E7196" s="3" t="s">
        <v>3</v>
      </c>
      <c r="F7196" s="4">
        <v>4.67E-19</v>
      </c>
      <c r="G7196" s="3">
        <v>223</v>
      </c>
      <c r="H7196" s="3">
        <v>48</v>
      </c>
      <c r="I7196" s="3">
        <v>93</v>
      </c>
      <c r="J7196" s="3">
        <v>188</v>
      </c>
      <c r="K7196" s="3">
        <v>466</v>
      </c>
      <c r="L7196" s="3">
        <v>62</v>
      </c>
      <c r="M7196" s="3">
        <v>153</v>
      </c>
    </row>
    <row r="7197" spans="1:13" x14ac:dyDescent="0.25">
      <c r="A7197" s="1" t="str">
        <f>HYPERLINK("http://www.rosaceae.org/Prunus/Prunus_persica/p.persica_gdr_reftransV1_0040328","p.persica_gdr_reftransV1_0040328")</f>
        <v>p.persica_gdr_reftransV1_0040328</v>
      </c>
      <c r="B7197" s="3">
        <v>2952</v>
      </c>
      <c r="C7197" s="1" t="str">
        <f>HYPERLINK("http://www.uniprot.org/uniprot/ATG13_YARLI","ATG13_YARLI")</f>
        <v>ATG13_YARLI</v>
      </c>
      <c r="D7197" t="s">
        <v>5799</v>
      </c>
      <c r="E7197" s="3" t="s">
        <v>1669</v>
      </c>
      <c r="F7197" s="4">
        <v>2.1299999999999999E-15</v>
      </c>
      <c r="G7197" s="3">
        <v>208</v>
      </c>
      <c r="H7197" s="3">
        <v>27</v>
      </c>
      <c r="I7197" s="3">
        <v>256</v>
      </c>
      <c r="J7197" s="3">
        <v>1620</v>
      </c>
      <c r="K7197" s="3">
        <v>2324</v>
      </c>
      <c r="L7197" s="3">
        <v>18</v>
      </c>
      <c r="M7197" s="3">
        <v>243</v>
      </c>
    </row>
    <row r="7198" spans="1:13" x14ac:dyDescent="0.25">
      <c r="A7198" s="1" t="str">
        <f>HYPERLINK("http://www.rosaceae.org/Prunus/Prunus_persica/p.persica_gdr_reftransV1_0040578","p.persica_gdr_reftransV1_0040578")</f>
        <v>p.persica_gdr_reftransV1_0040578</v>
      </c>
      <c r="B7198" s="3">
        <v>2571</v>
      </c>
      <c r="C7198" s="1" t="str">
        <f>HYPERLINK("http://www.uniprot.org/uniprot/FBK29_ARATH","FBK29_ARATH")</f>
        <v>FBK29_ARATH</v>
      </c>
      <c r="D7198" t="s">
        <v>5800</v>
      </c>
      <c r="E7198" s="3" t="s">
        <v>3</v>
      </c>
      <c r="F7198" s="4">
        <v>0</v>
      </c>
      <c r="G7198" s="3">
        <v>1381</v>
      </c>
      <c r="H7198" s="3">
        <v>63</v>
      </c>
      <c r="I7198" s="3">
        <v>451</v>
      </c>
      <c r="J7198" s="3">
        <v>327</v>
      </c>
      <c r="K7198" s="3">
        <v>1655</v>
      </c>
      <c r="L7198" s="3">
        <v>1</v>
      </c>
      <c r="M7198" s="3">
        <v>451</v>
      </c>
    </row>
    <row r="7199" spans="1:13" x14ac:dyDescent="0.25">
      <c r="A7199" s="1" t="str">
        <f>HYPERLINK("http://www.rosaceae.org/Prunus/Prunus_persica/p.persica_gdr_reftransV1_0040628","p.persica_gdr_reftransV1_0040628")</f>
        <v>p.persica_gdr_reftransV1_0040628</v>
      </c>
      <c r="B7199" s="3">
        <v>1185</v>
      </c>
      <c r="C7199" s="1" t="str">
        <f>HYPERLINK("http://www.uniprot.org/uniprot/NLTP3_HORVU","NLTP3_HORVU")</f>
        <v>NLTP3_HORVU</v>
      </c>
      <c r="D7199" t="s">
        <v>5801</v>
      </c>
      <c r="E7199" s="3" t="s">
        <v>769</v>
      </c>
      <c r="F7199" s="4">
        <v>2.2699999999999998E-12</v>
      </c>
      <c r="G7199" s="3">
        <v>164</v>
      </c>
      <c r="H7199" s="3">
        <v>38</v>
      </c>
      <c r="I7199" s="3">
        <v>90</v>
      </c>
      <c r="J7199" s="3">
        <v>414</v>
      </c>
      <c r="K7199" s="3">
        <v>683</v>
      </c>
      <c r="L7199" s="3">
        <v>28</v>
      </c>
      <c r="M7199" s="3">
        <v>116</v>
      </c>
    </row>
    <row r="7200" spans="1:13" x14ac:dyDescent="0.25">
      <c r="A7200" s="1" t="str">
        <f>HYPERLINK("http://www.rosaceae.org/Prunus/Prunus_persica/p.persica_gdr_reftransV1_0040678","p.persica_gdr_reftransV1_0040678")</f>
        <v>p.persica_gdr_reftransV1_0040678</v>
      </c>
      <c r="B7200" s="3">
        <v>2226</v>
      </c>
      <c r="C7200" s="1" t="str">
        <f>HYPERLINK("http://www.uniprot.org/uniprot/TRM52_VITVI","TRM52_VITVI")</f>
        <v>TRM52_VITVI</v>
      </c>
      <c r="D7200" t="s">
        <v>5802</v>
      </c>
      <c r="E7200" s="3" t="s">
        <v>362</v>
      </c>
      <c r="F7200" s="4">
        <v>0</v>
      </c>
      <c r="G7200" s="3">
        <v>1926</v>
      </c>
      <c r="H7200" s="3">
        <v>73</v>
      </c>
      <c r="I7200" s="3">
        <v>501</v>
      </c>
      <c r="J7200" s="3">
        <v>273</v>
      </c>
      <c r="K7200" s="3">
        <v>1757</v>
      </c>
      <c r="L7200" s="3">
        <v>2</v>
      </c>
      <c r="M7200" s="3">
        <v>502</v>
      </c>
    </row>
    <row r="7201" spans="1:13" x14ac:dyDescent="0.25">
      <c r="A7201" s="1" t="str">
        <f>HYPERLINK("http://www.rosaceae.org/Prunus/Prunus_persica/p.persica_gdr_reftransV1_0040928","p.persica_gdr_reftransV1_0040928")</f>
        <v>p.persica_gdr_reftransV1_0040928</v>
      </c>
      <c r="B7201" s="3">
        <v>2435</v>
      </c>
      <c r="C7201" s="1" t="str">
        <f>HYPERLINK("http://www.uniprot.org/uniprot/EPN1_ARATH","EPN1_ARATH")</f>
        <v>EPN1_ARATH</v>
      </c>
      <c r="D7201" t="s">
        <v>5803</v>
      </c>
      <c r="E7201" s="3" t="s">
        <v>3</v>
      </c>
      <c r="F7201" s="4">
        <v>1.26E-147</v>
      </c>
      <c r="G7201" s="3">
        <v>1163</v>
      </c>
      <c r="H7201" s="3">
        <v>58</v>
      </c>
      <c r="I7201" s="3">
        <v>519</v>
      </c>
      <c r="J7201" s="3">
        <v>798</v>
      </c>
      <c r="K7201" s="3">
        <v>2318</v>
      </c>
      <c r="L7201" s="3">
        <v>1</v>
      </c>
      <c r="M7201" s="3">
        <v>479</v>
      </c>
    </row>
    <row r="7202" spans="1:13" x14ac:dyDescent="0.25">
      <c r="A7202" s="1" t="str">
        <f>HYPERLINK("http://www.rosaceae.org/Prunus/Prunus_persica/p.persica_gdr_reftransV1_0040978","p.persica_gdr_reftransV1_0040978")</f>
        <v>p.persica_gdr_reftransV1_0040978</v>
      </c>
      <c r="B7202" s="3">
        <v>322</v>
      </c>
      <c r="C7202" s="1" t="str">
        <f>HYPERLINK("http://www.uniprot.org/uniprot/14339_SOLLC","14339_SOLLC")</f>
        <v>14339_SOLLC</v>
      </c>
      <c r="D7202" t="s">
        <v>5804</v>
      </c>
      <c r="E7202" s="3" t="s">
        <v>64</v>
      </c>
      <c r="F7202" s="4">
        <v>5.7300000000000001E-44</v>
      </c>
      <c r="G7202" s="3">
        <v>377</v>
      </c>
      <c r="H7202" s="3">
        <v>85</v>
      </c>
      <c r="I7202" s="3">
        <v>85</v>
      </c>
      <c r="J7202" s="3">
        <v>2</v>
      </c>
      <c r="K7202" s="3">
        <v>256</v>
      </c>
      <c r="L7202" s="3">
        <v>1</v>
      </c>
      <c r="M7202" s="3">
        <v>85</v>
      </c>
    </row>
    <row r="7203" spans="1:13" x14ac:dyDescent="0.25">
      <c r="A7203" s="1" t="str">
        <f>HYPERLINK("http://www.rosaceae.org/Prunus/Prunus_persica/p.persica_gdr_reftransV1_0041928","p.persica_gdr_reftransV1_0041928")</f>
        <v>p.persica_gdr_reftransV1_0041928</v>
      </c>
      <c r="B7203" s="3">
        <v>2073</v>
      </c>
      <c r="C7203" s="1" t="str">
        <f>HYPERLINK("http://www.uniprot.org/uniprot/NTF2_ARATH","NTF2_ARATH")</f>
        <v>NTF2_ARATH</v>
      </c>
      <c r="D7203" t="s">
        <v>3691</v>
      </c>
      <c r="E7203" s="3" t="s">
        <v>3</v>
      </c>
      <c r="F7203" s="4">
        <v>1.2E-8</v>
      </c>
      <c r="G7203" s="3">
        <v>140</v>
      </c>
      <c r="H7203" s="3">
        <v>53</v>
      </c>
      <c r="I7203" s="3">
        <v>59</v>
      </c>
      <c r="J7203" s="3">
        <v>1402</v>
      </c>
      <c r="K7203" s="3">
        <v>1575</v>
      </c>
      <c r="L7203" s="3">
        <v>72</v>
      </c>
      <c r="M7203" s="3">
        <v>126</v>
      </c>
    </row>
    <row r="7204" spans="1:13" x14ac:dyDescent="0.25">
      <c r="A7204" s="1" t="str">
        <f>HYPERLINK("http://www.rosaceae.org/Prunus/Prunus_persica/p.persica_gdr_reftransV1_0041978","p.persica_gdr_reftransV1_0041978")</f>
        <v>p.persica_gdr_reftransV1_0041978</v>
      </c>
      <c r="B7204" s="3">
        <v>2300</v>
      </c>
      <c r="C7204" s="1" t="str">
        <f>HYPERLINK("http://www.uniprot.org/uniprot/TMN12_ARATH","TMN12_ARATH")</f>
        <v>TMN12_ARATH</v>
      </c>
      <c r="D7204" t="s">
        <v>5805</v>
      </c>
      <c r="E7204" s="3" t="s">
        <v>3</v>
      </c>
      <c r="F7204" s="4">
        <v>0</v>
      </c>
      <c r="G7204" s="3">
        <v>2551</v>
      </c>
      <c r="H7204" s="3">
        <v>83</v>
      </c>
      <c r="I7204" s="3">
        <v>576</v>
      </c>
      <c r="J7204" s="3">
        <v>3</v>
      </c>
      <c r="K7204" s="3">
        <v>1730</v>
      </c>
      <c r="L7204" s="3">
        <v>9</v>
      </c>
      <c r="M7204" s="3">
        <v>584</v>
      </c>
    </row>
    <row r="7205" spans="1:13" x14ac:dyDescent="0.25">
      <c r="A7205" s="1" t="str">
        <f>HYPERLINK("http://www.rosaceae.org/Prunus/Prunus_persica/p.persica_gdr_reftransV1_0042628","p.persica_gdr_reftransV1_0042628")</f>
        <v>p.persica_gdr_reftransV1_0042628</v>
      </c>
      <c r="B7205" s="3">
        <v>2923</v>
      </c>
      <c r="C7205" s="1" t="str">
        <f>HYPERLINK("http://www.uniprot.org/uniprot/MRE11_ARATH","MRE11_ARATH")</f>
        <v>MRE11_ARATH</v>
      </c>
      <c r="D7205" t="s">
        <v>5806</v>
      </c>
      <c r="E7205" s="3" t="s">
        <v>3</v>
      </c>
      <c r="F7205" s="4">
        <v>0</v>
      </c>
      <c r="G7205" s="3">
        <v>2709</v>
      </c>
      <c r="H7205" s="3">
        <v>76</v>
      </c>
      <c r="I7205" s="3">
        <v>726</v>
      </c>
      <c r="J7205" s="3">
        <v>513</v>
      </c>
      <c r="K7205" s="3">
        <v>2675</v>
      </c>
      <c r="L7205" s="3">
        <v>1</v>
      </c>
      <c r="M7205" s="3">
        <v>720</v>
      </c>
    </row>
    <row r="7206" spans="1:13" x14ac:dyDescent="0.25">
      <c r="A7206" s="1" t="str">
        <f>HYPERLINK("http://www.rosaceae.org/Prunus/Prunus_persica/p.persica_gdr_reftransV1_0043028","p.persica_gdr_reftransV1_0043028")</f>
        <v>p.persica_gdr_reftransV1_0043028</v>
      </c>
      <c r="B7206" s="3">
        <v>348</v>
      </c>
      <c r="C7206" s="1" t="str">
        <f>HYPERLINK("http://www.uniprot.org/uniprot/TPM2_RAT","TPM2_RAT")</f>
        <v>TPM2_RAT</v>
      </c>
      <c r="D7206" t="s">
        <v>5807</v>
      </c>
      <c r="E7206" s="3" t="s">
        <v>161</v>
      </c>
      <c r="F7206" s="4">
        <v>3.84E-21</v>
      </c>
      <c r="G7206" s="3">
        <v>221</v>
      </c>
      <c r="H7206" s="3">
        <v>100</v>
      </c>
      <c r="I7206" s="3">
        <v>77</v>
      </c>
      <c r="J7206" s="3">
        <v>3</v>
      </c>
      <c r="K7206" s="3">
        <v>233</v>
      </c>
      <c r="L7206" s="3">
        <v>1</v>
      </c>
      <c r="M7206" s="3">
        <v>77</v>
      </c>
    </row>
    <row r="7207" spans="1:13" x14ac:dyDescent="0.25">
      <c r="A7207" s="1" t="str">
        <f>HYPERLINK("http://www.rosaceae.org/Prunus/Prunus_persica/p.persica_gdr_reftransV1_0043078","p.persica_gdr_reftransV1_0043078")</f>
        <v>p.persica_gdr_reftransV1_0043078</v>
      </c>
      <c r="B7207" s="3">
        <v>578</v>
      </c>
      <c r="C7207" s="1" t="str">
        <f>HYPERLINK("http://www.uniprot.org/uniprot/AHL29_ARATH","AHL29_ARATH")</f>
        <v>AHL29_ARATH</v>
      </c>
      <c r="D7207" t="s">
        <v>5808</v>
      </c>
      <c r="E7207" s="3" t="s">
        <v>3</v>
      </c>
      <c r="F7207" s="4">
        <v>4.5100000000000003E-16</v>
      </c>
      <c r="G7207" s="3">
        <v>190</v>
      </c>
      <c r="H7207" s="3">
        <v>67</v>
      </c>
      <c r="I7207" s="3">
        <v>93</v>
      </c>
      <c r="J7207" s="3">
        <v>298</v>
      </c>
      <c r="K7207" s="3">
        <v>573</v>
      </c>
      <c r="L7207" s="3">
        <v>138</v>
      </c>
      <c r="M7207" s="3">
        <v>230</v>
      </c>
    </row>
    <row r="7208" spans="1:13" x14ac:dyDescent="0.25">
      <c r="A7208" s="1" t="str">
        <f>HYPERLINK("http://www.rosaceae.org/Prunus/Prunus_persica/p.persica_gdr_reftransV1_0043128","p.persica_gdr_reftransV1_0043128")</f>
        <v>p.persica_gdr_reftransV1_0043128</v>
      </c>
      <c r="B7208" s="3">
        <v>500</v>
      </c>
      <c r="C7208" s="1" t="str">
        <f>HYPERLINK("http://www.uniprot.org/uniprot/CXE18_ARATH","CXE18_ARATH")</f>
        <v>CXE18_ARATH</v>
      </c>
      <c r="D7208" t="s">
        <v>485</v>
      </c>
      <c r="E7208" s="3" t="s">
        <v>3</v>
      </c>
      <c r="F7208" s="4">
        <v>2.22E-37</v>
      </c>
      <c r="G7208" s="3">
        <v>343</v>
      </c>
      <c r="H7208" s="3">
        <v>53</v>
      </c>
      <c r="I7208" s="3">
        <v>138</v>
      </c>
      <c r="J7208" s="3">
        <v>22</v>
      </c>
      <c r="K7208" s="3">
        <v>435</v>
      </c>
      <c r="L7208" s="3">
        <v>18</v>
      </c>
      <c r="M7208" s="3">
        <v>153</v>
      </c>
    </row>
    <row r="7209" spans="1:13" x14ac:dyDescent="0.25">
      <c r="A7209" s="1" t="str">
        <f>HYPERLINK("http://www.rosaceae.org/Prunus/Prunus_persica/p.persica_gdr_reftransV1_0043178","p.persica_gdr_reftransV1_0043178")</f>
        <v>p.persica_gdr_reftransV1_0043178</v>
      </c>
      <c r="B7209" s="3">
        <v>3113</v>
      </c>
      <c r="C7209" s="1" t="str">
        <f>HYPERLINK("http://www.uniprot.org/uniprot/GLGB2_PEA","GLGB2_PEA")</f>
        <v>GLGB2_PEA</v>
      </c>
      <c r="D7209" t="s">
        <v>5809</v>
      </c>
      <c r="E7209" s="3" t="s">
        <v>60</v>
      </c>
      <c r="F7209" s="4">
        <v>0</v>
      </c>
      <c r="G7209" s="3">
        <v>3196</v>
      </c>
      <c r="H7209" s="3">
        <v>82</v>
      </c>
      <c r="I7209" s="3">
        <v>755</v>
      </c>
      <c r="J7209" s="3">
        <v>465</v>
      </c>
      <c r="K7209" s="3">
        <v>2720</v>
      </c>
      <c r="L7209" s="3">
        <v>12</v>
      </c>
      <c r="M7209" s="3">
        <v>764</v>
      </c>
    </row>
    <row r="7210" spans="1:13" x14ac:dyDescent="0.25">
      <c r="A7210" s="1" t="str">
        <f>HYPERLINK("http://www.rosaceae.org/Prunus/Prunus_persica/p.persica_gdr_reftransV1_0043278","p.persica_gdr_reftransV1_0043278")</f>
        <v>p.persica_gdr_reftransV1_0043278</v>
      </c>
      <c r="B7210" s="3">
        <v>1387</v>
      </c>
      <c r="C7210" s="1" t="str">
        <f>HYPERLINK("http://www.uniprot.org/uniprot/UCHL5_HUMAN","UCHL5_HUMAN")</f>
        <v>UCHL5_HUMAN</v>
      </c>
      <c r="D7210" t="s">
        <v>5810</v>
      </c>
      <c r="E7210" s="3" t="s">
        <v>28</v>
      </c>
      <c r="F7210" s="4">
        <v>1.12E-100</v>
      </c>
      <c r="G7210" s="3">
        <v>797</v>
      </c>
      <c r="H7210" s="3">
        <v>51</v>
      </c>
      <c r="I7210" s="3">
        <v>332</v>
      </c>
      <c r="J7210" s="3">
        <v>258</v>
      </c>
      <c r="K7210" s="3">
        <v>1238</v>
      </c>
      <c r="L7210" s="3">
        <v>8</v>
      </c>
      <c r="M7210" s="3">
        <v>319</v>
      </c>
    </row>
    <row r="7211" spans="1:13" x14ac:dyDescent="0.25">
      <c r="A7211" s="1" t="str">
        <f>HYPERLINK("http://www.rosaceae.org/Prunus/Prunus_persica/p.persica_gdr_reftransV1_0043328","p.persica_gdr_reftransV1_0043328")</f>
        <v>p.persica_gdr_reftransV1_0043328</v>
      </c>
      <c r="B7211" s="3">
        <v>2897</v>
      </c>
      <c r="C7211" s="1" t="str">
        <f>HYPERLINK("http://www.uniprot.org/uniprot/ASCC3_HUMAN","ASCC3_HUMAN")</f>
        <v>ASCC3_HUMAN</v>
      </c>
      <c r="D7211" t="s">
        <v>343</v>
      </c>
      <c r="E7211" s="3" t="s">
        <v>28</v>
      </c>
      <c r="F7211" s="4">
        <v>0</v>
      </c>
      <c r="G7211" s="3">
        <v>2416</v>
      </c>
      <c r="H7211" s="3">
        <v>51</v>
      </c>
      <c r="I7211" s="3">
        <v>936</v>
      </c>
      <c r="J7211" s="3">
        <v>71</v>
      </c>
      <c r="K7211" s="3">
        <v>2689</v>
      </c>
      <c r="L7211" s="3">
        <v>1250</v>
      </c>
      <c r="M7211" s="3">
        <v>2175</v>
      </c>
    </row>
    <row r="7212" spans="1:13" x14ac:dyDescent="0.25">
      <c r="A7212" s="1" t="str">
        <f>HYPERLINK("http://www.rosaceae.org/Prunus/Prunus_persica/p.persica_gdr_reftransV1_0043378","p.persica_gdr_reftransV1_0043378")</f>
        <v>p.persica_gdr_reftransV1_0043378</v>
      </c>
      <c r="B7212" s="3">
        <v>1366</v>
      </c>
      <c r="C7212" s="1" t="str">
        <f>HYPERLINK("http://www.uniprot.org/uniprot/PII2_ARATH","PII2_ARATH")</f>
        <v>PII2_ARATH</v>
      </c>
      <c r="D7212" t="s">
        <v>3670</v>
      </c>
      <c r="E7212" s="3" t="s">
        <v>3</v>
      </c>
      <c r="F7212" s="4">
        <v>1.9400000000000002E-49</v>
      </c>
      <c r="G7212" s="3">
        <v>455</v>
      </c>
      <c r="H7212" s="3">
        <v>39</v>
      </c>
      <c r="I7212" s="3">
        <v>323</v>
      </c>
      <c r="J7212" s="3">
        <v>376</v>
      </c>
      <c r="K7212" s="3">
        <v>1332</v>
      </c>
      <c r="L7212" s="3">
        <v>84</v>
      </c>
      <c r="M7212" s="3">
        <v>401</v>
      </c>
    </row>
    <row r="7213" spans="1:13" x14ac:dyDescent="0.25">
      <c r="A7213" s="1" t="str">
        <f>HYPERLINK("http://www.rosaceae.org/Prunus/Prunus_persica/p.persica_gdr_reftransV1_0043478","p.persica_gdr_reftransV1_0043478")</f>
        <v>p.persica_gdr_reftransV1_0043478</v>
      </c>
      <c r="B7213" s="3">
        <v>1257</v>
      </c>
      <c r="C7213" s="1" t="str">
        <f>HYPERLINK("http://www.uniprot.org/uniprot/SACS_MOUSE","SACS_MOUSE")</f>
        <v>SACS_MOUSE</v>
      </c>
      <c r="D7213" t="s">
        <v>5811</v>
      </c>
      <c r="E7213" s="3" t="s">
        <v>157</v>
      </c>
      <c r="F7213" s="4">
        <v>1.9299999999999999E-7</v>
      </c>
      <c r="G7213" s="3">
        <v>137</v>
      </c>
      <c r="H7213" s="3">
        <v>26</v>
      </c>
      <c r="I7213" s="3">
        <v>384</v>
      </c>
      <c r="J7213" s="3">
        <v>26</v>
      </c>
      <c r="K7213" s="3">
        <v>1117</v>
      </c>
      <c r="L7213" s="3">
        <v>968</v>
      </c>
      <c r="M7213" s="3">
        <v>1310</v>
      </c>
    </row>
    <row r="7214" spans="1:13" x14ac:dyDescent="0.25">
      <c r="A7214" s="1" t="str">
        <f>HYPERLINK("http://www.rosaceae.org/Prunus/Prunus_persica/p.persica_gdr_reftransV1_0043528","p.persica_gdr_reftransV1_0043528")</f>
        <v>p.persica_gdr_reftransV1_0043528</v>
      </c>
      <c r="B7214" s="3">
        <v>369</v>
      </c>
      <c r="C7214" s="1" t="str">
        <f>HYPERLINK("http://www.uniprot.org/uniprot/PP164_ARATH","PP164_ARATH")</f>
        <v>PP164_ARATH</v>
      </c>
      <c r="D7214" t="s">
        <v>5427</v>
      </c>
      <c r="E7214" s="3" t="s">
        <v>3</v>
      </c>
      <c r="F7214" s="4">
        <v>1.03E-35</v>
      </c>
      <c r="G7214" s="3">
        <v>336</v>
      </c>
      <c r="H7214" s="3">
        <v>52</v>
      </c>
      <c r="I7214" s="3">
        <v>120</v>
      </c>
      <c r="J7214" s="3">
        <v>2</v>
      </c>
      <c r="K7214" s="3">
        <v>361</v>
      </c>
      <c r="L7214" s="3">
        <v>302</v>
      </c>
      <c r="M7214" s="3">
        <v>421</v>
      </c>
    </row>
    <row r="7215" spans="1:13" x14ac:dyDescent="0.25">
      <c r="A7215" s="1" t="str">
        <f>HYPERLINK("http://www.rosaceae.org/Prunus/Prunus_persica/p.persica_gdr_reftransV1_0043578","p.persica_gdr_reftransV1_0043578")</f>
        <v>p.persica_gdr_reftransV1_0043578</v>
      </c>
      <c r="B7215" s="3">
        <v>1535</v>
      </c>
      <c r="C7215" s="1" t="str">
        <f>HYPERLINK("http://www.uniprot.org/uniprot/UGAL2_ARATH","UGAL2_ARATH")</f>
        <v>UGAL2_ARATH</v>
      </c>
      <c r="D7215" t="s">
        <v>3157</v>
      </c>
      <c r="E7215" s="3" t="s">
        <v>3</v>
      </c>
      <c r="F7215" s="4">
        <v>1.55E-167</v>
      </c>
      <c r="G7215" s="3">
        <v>1247</v>
      </c>
      <c r="H7215" s="3">
        <v>74</v>
      </c>
      <c r="I7215" s="3">
        <v>345</v>
      </c>
      <c r="J7215" s="3">
        <v>296</v>
      </c>
      <c r="K7215" s="3">
        <v>1324</v>
      </c>
      <c r="L7215" s="3">
        <v>2</v>
      </c>
      <c r="M7215" s="3">
        <v>346</v>
      </c>
    </row>
    <row r="7216" spans="1:13" x14ac:dyDescent="0.25">
      <c r="A7216" s="1" t="str">
        <f>HYPERLINK("http://www.rosaceae.org/Prunus/Prunus_persica/p.persica_gdr_reftransV1_0043678","p.persica_gdr_reftransV1_0043678")</f>
        <v>p.persica_gdr_reftransV1_0043678</v>
      </c>
      <c r="B7216" s="3">
        <v>1598</v>
      </c>
      <c r="C7216" s="1" t="str">
        <f>HYPERLINK("http://www.uniprot.org/uniprot/CRD1_GOSHI","CRD1_GOSHI")</f>
        <v>CRD1_GOSHI</v>
      </c>
      <c r="D7216" t="s">
        <v>3233</v>
      </c>
      <c r="E7216" s="3" t="s">
        <v>816</v>
      </c>
      <c r="F7216" s="4">
        <v>0</v>
      </c>
      <c r="G7216" s="3">
        <v>1827</v>
      </c>
      <c r="H7216" s="3">
        <v>87</v>
      </c>
      <c r="I7216" s="3">
        <v>409</v>
      </c>
      <c r="J7216" s="3">
        <v>215</v>
      </c>
      <c r="K7216" s="3">
        <v>1420</v>
      </c>
      <c r="L7216" s="3">
        <v>1</v>
      </c>
      <c r="M7216" s="3">
        <v>405</v>
      </c>
    </row>
    <row r="7217" spans="1:13" x14ac:dyDescent="0.25">
      <c r="A7217" s="1" t="str">
        <f>HYPERLINK("http://www.rosaceae.org/Prunus/Prunus_persica/p.persica_gdr_reftransV1_0043728","p.persica_gdr_reftransV1_0043728")</f>
        <v>p.persica_gdr_reftransV1_0043728</v>
      </c>
      <c r="B7217" s="3">
        <v>1610</v>
      </c>
      <c r="C7217" s="1" t="str">
        <f>HYPERLINK("http://www.uniprot.org/uniprot/MENA_ARATH","MENA_ARATH")</f>
        <v>MENA_ARATH</v>
      </c>
      <c r="D7217" t="s">
        <v>1018</v>
      </c>
      <c r="E7217" s="3" t="s">
        <v>3</v>
      </c>
      <c r="F7217" s="4">
        <v>1.14E-125</v>
      </c>
      <c r="G7217" s="3">
        <v>975</v>
      </c>
      <c r="H7217" s="3">
        <v>59</v>
      </c>
      <c r="I7217" s="3">
        <v>370</v>
      </c>
      <c r="J7217" s="3">
        <v>341</v>
      </c>
      <c r="K7217" s="3">
        <v>1444</v>
      </c>
      <c r="L7217" s="3">
        <v>6</v>
      </c>
      <c r="M7217" s="3">
        <v>365</v>
      </c>
    </row>
    <row r="7218" spans="1:13" x14ac:dyDescent="0.25">
      <c r="A7218" s="1" t="str">
        <f>HYPERLINK("http://www.rosaceae.org/Prunus/Prunus_persica/p.persica_gdr_reftransV1_0043778","p.persica_gdr_reftransV1_0043778")</f>
        <v>p.persica_gdr_reftransV1_0043778</v>
      </c>
      <c r="B7218" s="3">
        <v>549</v>
      </c>
      <c r="C7218" s="1" t="str">
        <f>HYPERLINK("http://www.uniprot.org/uniprot/CRSP_ARATH","CRSP_ARATH")</f>
        <v>CRSP_ARATH</v>
      </c>
      <c r="D7218" t="s">
        <v>1526</v>
      </c>
      <c r="E7218" s="3" t="s">
        <v>3</v>
      </c>
      <c r="F7218" s="4">
        <v>1.83E-41</v>
      </c>
      <c r="G7218" s="3">
        <v>385</v>
      </c>
      <c r="H7218" s="3">
        <v>44</v>
      </c>
      <c r="I7218" s="3">
        <v>180</v>
      </c>
      <c r="J7218" s="3">
        <v>2</v>
      </c>
      <c r="K7218" s="3">
        <v>541</v>
      </c>
      <c r="L7218" s="3">
        <v>338</v>
      </c>
      <c r="M7218" s="3">
        <v>517</v>
      </c>
    </row>
    <row r="7219" spans="1:13" x14ac:dyDescent="0.25">
      <c r="A7219" s="1" t="str">
        <f>HYPERLINK("http://www.rosaceae.org/Prunus/Prunus_persica/p.persica_gdr_reftransV1_0043828","p.persica_gdr_reftransV1_0043828")</f>
        <v>p.persica_gdr_reftransV1_0043828</v>
      </c>
      <c r="B7219" s="3">
        <v>408</v>
      </c>
      <c r="C7219" s="1" t="str">
        <f>HYPERLINK("http://www.uniprot.org/uniprot/MYB86_ARATH","MYB86_ARATH")</f>
        <v>MYB86_ARATH</v>
      </c>
      <c r="D7219" t="s">
        <v>5812</v>
      </c>
      <c r="E7219" s="3" t="s">
        <v>3</v>
      </c>
      <c r="F7219" s="4">
        <v>1.0900000000000001E-67</v>
      </c>
      <c r="G7219" s="3">
        <v>546</v>
      </c>
      <c r="H7219" s="3">
        <v>88</v>
      </c>
      <c r="I7219" s="3">
        <v>111</v>
      </c>
      <c r="J7219" s="3">
        <v>2</v>
      </c>
      <c r="K7219" s="3">
        <v>334</v>
      </c>
      <c r="L7219" s="3">
        <v>1</v>
      </c>
      <c r="M7219" s="3">
        <v>111</v>
      </c>
    </row>
    <row r="7220" spans="1:13" x14ac:dyDescent="0.25">
      <c r="A7220" s="1" t="str">
        <f>HYPERLINK("http://www.rosaceae.org/Prunus/Prunus_persica/p.persica_gdr_reftransV1_0043878","p.persica_gdr_reftransV1_0043878")</f>
        <v>p.persica_gdr_reftransV1_0043878</v>
      </c>
      <c r="B7220" s="3">
        <v>2007</v>
      </c>
      <c r="C7220" s="1" t="str">
        <f>HYPERLINK("http://www.uniprot.org/uniprot/CCA24_ARATH","CCA24_ARATH")</f>
        <v>CCA24_ARATH</v>
      </c>
      <c r="D7220" t="s">
        <v>5813</v>
      </c>
      <c r="E7220" s="3" t="s">
        <v>3</v>
      </c>
      <c r="F7220" s="4">
        <v>2.7000000000000001E-150</v>
      </c>
      <c r="G7220" s="3">
        <v>1159</v>
      </c>
      <c r="H7220" s="3">
        <v>54</v>
      </c>
      <c r="I7220" s="3">
        <v>489</v>
      </c>
      <c r="J7220" s="3">
        <v>191</v>
      </c>
      <c r="K7220" s="3">
        <v>1630</v>
      </c>
      <c r="L7220" s="3">
        <v>1</v>
      </c>
      <c r="M7220" s="3">
        <v>459</v>
      </c>
    </row>
    <row r="7221" spans="1:13" x14ac:dyDescent="0.25">
      <c r="A7221" s="1" t="str">
        <f>HYPERLINK("http://www.rosaceae.org/Prunus/Prunus_persica/p.persica_gdr_reftransV1_0043978","p.persica_gdr_reftransV1_0043978")</f>
        <v>p.persica_gdr_reftransV1_0043978</v>
      </c>
      <c r="B7221" s="3">
        <v>1408</v>
      </c>
      <c r="C7221" s="1" t="str">
        <f>HYPERLINK("http://www.uniprot.org/uniprot/ANR52_DANRE","ANR52_DANRE")</f>
        <v>ANR52_DANRE</v>
      </c>
      <c r="D7221" t="s">
        <v>5814</v>
      </c>
      <c r="E7221" s="3" t="s">
        <v>704</v>
      </c>
      <c r="F7221" s="4">
        <v>1.02E-19</v>
      </c>
      <c r="G7221" s="3">
        <v>238</v>
      </c>
      <c r="H7221" s="3">
        <v>30</v>
      </c>
      <c r="I7221" s="3">
        <v>279</v>
      </c>
      <c r="J7221" s="3">
        <v>8</v>
      </c>
      <c r="K7221" s="3">
        <v>823</v>
      </c>
      <c r="L7221" s="3">
        <v>56</v>
      </c>
      <c r="M7221" s="3">
        <v>322</v>
      </c>
    </row>
    <row r="7222" spans="1:13" x14ac:dyDescent="0.25">
      <c r="A7222" s="1" t="str">
        <f>HYPERLINK("http://www.rosaceae.org/Prunus/Prunus_persica/p.persica_gdr_reftransV1_0044028","p.persica_gdr_reftransV1_0044028")</f>
        <v>p.persica_gdr_reftransV1_0044028</v>
      </c>
      <c r="B7222" s="3">
        <v>1042</v>
      </c>
      <c r="C7222" s="1" t="str">
        <f>HYPERLINK("http://www.uniprot.org/uniprot/RAA1B_ARATH","RAA1B_ARATH")</f>
        <v>RAA1B_ARATH</v>
      </c>
      <c r="D7222" t="s">
        <v>5815</v>
      </c>
      <c r="E7222" s="3" t="s">
        <v>3</v>
      </c>
      <c r="F7222" s="4">
        <v>1.6500000000000001E-134</v>
      </c>
      <c r="G7222" s="3">
        <v>999</v>
      </c>
      <c r="H7222" s="3">
        <v>87</v>
      </c>
      <c r="I7222" s="3">
        <v>217</v>
      </c>
      <c r="J7222" s="3">
        <v>310</v>
      </c>
      <c r="K7222" s="3">
        <v>960</v>
      </c>
      <c r="L7222" s="3">
        <v>1</v>
      </c>
      <c r="M7222" s="3">
        <v>216</v>
      </c>
    </row>
    <row r="7223" spans="1:13" x14ac:dyDescent="0.25">
      <c r="A7223" s="1" t="str">
        <f>HYPERLINK("http://www.rosaceae.org/Prunus/Prunus_persica/p.persica_gdr_reftransV1_0044078","p.persica_gdr_reftransV1_0044078")</f>
        <v>p.persica_gdr_reftransV1_0044078</v>
      </c>
      <c r="B7223" s="3">
        <v>1810</v>
      </c>
      <c r="C7223" s="1" t="str">
        <f>HYPERLINK("http://www.uniprot.org/uniprot/C7A52_PANGI","C7A52_PANGI")</f>
        <v>C7A52_PANGI</v>
      </c>
      <c r="D7223" t="s">
        <v>4188</v>
      </c>
      <c r="E7223" s="3" t="s">
        <v>1477</v>
      </c>
      <c r="F7223" s="4">
        <v>0</v>
      </c>
      <c r="G7223" s="3">
        <v>1952</v>
      </c>
      <c r="H7223" s="3">
        <v>74</v>
      </c>
      <c r="I7223" s="3">
        <v>480</v>
      </c>
      <c r="J7223" s="3">
        <v>279</v>
      </c>
      <c r="K7223" s="3">
        <v>1715</v>
      </c>
      <c r="L7223" s="3">
        <v>1</v>
      </c>
      <c r="M7223" s="3">
        <v>480</v>
      </c>
    </row>
    <row r="7224" spans="1:13" x14ac:dyDescent="0.25">
      <c r="A7224" s="1" t="str">
        <f>HYPERLINK("http://www.rosaceae.org/Prunus/Prunus_persica/p.persica_gdr_reftransV1_0044128","p.persica_gdr_reftransV1_0044128")</f>
        <v>p.persica_gdr_reftransV1_0044128</v>
      </c>
      <c r="B7224" s="3">
        <v>1027</v>
      </c>
      <c r="C7224" s="1" t="str">
        <f>HYPERLINK("http://www.uniprot.org/uniprot/SKI27_ARATH","SKI27_ARATH")</f>
        <v>SKI27_ARATH</v>
      </c>
      <c r="D7224" t="s">
        <v>5816</v>
      </c>
      <c r="E7224" s="3" t="s">
        <v>3</v>
      </c>
      <c r="F7224" s="4">
        <v>1.3999999999999999E-30</v>
      </c>
      <c r="G7224" s="3">
        <v>302</v>
      </c>
      <c r="H7224" s="3">
        <v>46</v>
      </c>
      <c r="I7224" s="3">
        <v>164</v>
      </c>
      <c r="J7224" s="3">
        <v>371</v>
      </c>
      <c r="K7224" s="3">
        <v>805</v>
      </c>
      <c r="L7224" s="3">
        <v>63</v>
      </c>
      <c r="M7224" s="3">
        <v>224</v>
      </c>
    </row>
    <row r="7225" spans="1:13" x14ac:dyDescent="0.25">
      <c r="A7225" s="1" t="str">
        <f>HYPERLINK("http://www.rosaceae.org/Prunus/Prunus_persica/p.persica_gdr_reftransV1_0044228","p.persica_gdr_reftransV1_0044228")</f>
        <v>p.persica_gdr_reftransV1_0044228</v>
      </c>
      <c r="B7225" s="3">
        <v>3437</v>
      </c>
      <c r="C7225" s="1" t="str">
        <f>HYPERLINK("http://www.uniprot.org/uniprot/COPB1_ARATH","COPB1_ARATH")</f>
        <v>COPB1_ARATH</v>
      </c>
      <c r="D7225" t="s">
        <v>1167</v>
      </c>
      <c r="E7225" s="3" t="s">
        <v>3</v>
      </c>
      <c r="F7225" s="4">
        <v>0</v>
      </c>
      <c r="G7225" s="3">
        <v>4050</v>
      </c>
      <c r="H7225" s="3">
        <v>81</v>
      </c>
      <c r="I7225" s="3">
        <v>949</v>
      </c>
      <c r="J7225" s="3">
        <v>134</v>
      </c>
      <c r="K7225" s="3">
        <v>2980</v>
      </c>
      <c r="L7225" s="3">
        <v>1</v>
      </c>
      <c r="M7225" s="3">
        <v>947</v>
      </c>
    </row>
    <row r="7226" spans="1:13" x14ac:dyDescent="0.25">
      <c r="A7226" s="1" t="str">
        <f>HYPERLINK("http://www.rosaceae.org/Prunus/Prunus_persica/p.persica_gdr_reftransV1_0044278","p.persica_gdr_reftransV1_0044278")</f>
        <v>p.persica_gdr_reftransV1_0044278</v>
      </c>
      <c r="B7226" s="3">
        <v>2513</v>
      </c>
      <c r="C7226" s="1" t="str">
        <f>HYPERLINK("http://www.uniprot.org/uniprot/WAK2_ARATH","WAK2_ARATH")</f>
        <v>WAK2_ARATH</v>
      </c>
      <c r="D7226" t="s">
        <v>2792</v>
      </c>
      <c r="E7226" s="3" t="s">
        <v>3</v>
      </c>
      <c r="F7226" s="4">
        <v>3.55E-130</v>
      </c>
      <c r="G7226" s="3">
        <v>1062</v>
      </c>
      <c r="H7226" s="3">
        <v>38</v>
      </c>
      <c r="I7226" s="3">
        <v>695</v>
      </c>
      <c r="J7226" s="3">
        <v>293</v>
      </c>
      <c r="K7226" s="3">
        <v>2257</v>
      </c>
      <c r="L7226" s="3">
        <v>26</v>
      </c>
      <c r="M7226" s="3">
        <v>677</v>
      </c>
    </row>
    <row r="7227" spans="1:13" x14ac:dyDescent="0.25">
      <c r="A7227" s="1" t="str">
        <f>HYPERLINK("http://www.rosaceae.org/Prunus/Prunus_persica/p.persica_gdr_reftransV1_0044328","p.persica_gdr_reftransV1_0044328")</f>
        <v>p.persica_gdr_reftransV1_0044328</v>
      </c>
      <c r="B7227" s="3">
        <v>2412</v>
      </c>
      <c r="C7227" s="1" t="str">
        <f>HYPERLINK("http://www.uniprot.org/uniprot/PUS7_YEAST","PUS7_YEAST")</f>
        <v>PUS7_YEAST</v>
      </c>
      <c r="D7227" t="s">
        <v>5817</v>
      </c>
      <c r="E7227" s="3" t="s">
        <v>34</v>
      </c>
      <c r="F7227" s="4">
        <v>3.7900000000000001E-106</v>
      </c>
      <c r="G7227" s="3">
        <v>890</v>
      </c>
      <c r="H7227" s="3">
        <v>35</v>
      </c>
      <c r="I7227" s="3">
        <v>700</v>
      </c>
      <c r="J7227" s="3">
        <v>118</v>
      </c>
      <c r="K7227" s="3">
        <v>2121</v>
      </c>
      <c r="L7227" s="3">
        <v>40</v>
      </c>
      <c r="M7227" s="3">
        <v>664</v>
      </c>
    </row>
    <row r="7228" spans="1:13" x14ac:dyDescent="0.25">
      <c r="A7228" s="1" t="str">
        <f>HYPERLINK("http://www.rosaceae.org/Prunus/Prunus_persica/p.persica_gdr_reftransV1_0044428","p.persica_gdr_reftransV1_0044428")</f>
        <v>p.persica_gdr_reftransV1_0044428</v>
      </c>
      <c r="B7228" s="3">
        <v>1383</v>
      </c>
      <c r="C7228" s="1" t="str">
        <f>HYPERLINK("http://www.uniprot.org/uniprot/Y5487_ARATH","Y5487_ARATH")</f>
        <v>Y5487_ARATH</v>
      </c>
      <c r="D7228" t="s">
        <v>292</v>
      </c>
      <c r="E7228" s="3" t="s">
        <v>3</v>
      </c>
      <c r="F7228" s="4">
        <v>0</v>
      </c>
      <c r="G7228" s="3">
        <v>1485</v>
      </c>
      <c r="H7228" s="3">
        <v>71</v>
      </c>
      <c r="I7228" s="3">
        <v>407</v>
      </c>
      <c r="J7228" s="3">
        <v>48</v>
      </c>
      <c r="K7228" s="3">
        <v>1256</v>
      </c>
      <c r="L7228" s="3">
        <v>491</v>
      </c>
      <c r="M7228" s="3">
        <v>890</v>
      </c>
    </row>
    <row r="7229" spans="1:13" x14ac:dyDescent="0.25">
      <c r="A7229" s="1" t="str">
        <f>HYPERLINK("http://www.rosaceae.org/Prunus/Prunus_persica/p.persica_gdr_reftransV1_0044478","p.persica_gdr_reftransV1_0044478")</f>
        <v>p.persica_gdr_reftransV1_0044478</v>
      </c>
      <c r="B7229" s="3">
        <v>960</v>
      </c>
      <c r="C7229" s="1" t="str">
        <f>HYPERLINK("http://www.uniprot.org/uniprot/2MMP_ARATH","2MMP_ARATH")</f>
        <v>2MMP_ARATH</v>
      </c>
      <c r="D7229" t="s">
        <v>5123</v>
      </c>
      <c r="E7229" s="3" t="s">
        <v>3</v>
      </c>
      <c r="F7229" s="4">
        <v>2.8599999999999998E-78</v>
      </c>
      <c r="G7229" s="3">
        <v>638</v>
      </c>
      <c r="H7229" s="3">
        <v>46</v>
      </c>
      <c r="I7229" s="3">
        <v>288</v>
      </c>
      <c r="J7229" s="3">
        <v>139</v>
      </c>
      <c r="K7229" s="3">
        <v>930</v>
      </c>
      <c r="L7229" s="3">
        <v>41</v>
      </c>
      <c r="M7229" s="3">
        <v>323</v>
      </c>
    </row>
    <row r="7230" spans="1:13" x14ac:dyDescent="0.25">
      <c r="A7230" s="1" t="str">
        <f>HYPERLINK("http://www.rosaceae.org/Prunus/Prunus_persica/p.persica_gdr_reftransV1_0044528","p.persica_gdr_reftransV1_0044528")</f>
        <v>p.persica_gdr_reftransV1_0044528</v>
      </c>
      <c r="B7230" s="3">
        <v>1376</v>
      </c>
      <c r="C7230" s="1" t="str">
        <f>HYPERLINK("http://www.uniprot.org/uniprot/MYB5_ARATH","MYB5_ARATH")</f>
        <v>MYB5_ARATH</v>
      </c>
      <c r="D7230" t="s">
        <v>2743</v>
      </c>
      <c r="E7230" s="3" t="s">
        <v>3</v>
      </c>
      <c r="F7230" s="4">
        <v>5.6400000000000002E-60</v>
      </c>
      <c r="G7230" s="3">
        <v>515</v>
      </c>
      <c r="H7230" s="3">
        <v>69</v>
      </c>
      <c r="I7230" s="3">
        <v>130</v>
      </c>
      <c r="J7230" s="3">
        <v>871</v>
      </c>
      <c r="K7230" s="3">
        <v>1260</v>
      </c>
      <c r="L7230" s="3">
        <v>15</v>
      </c>
      <c r="M7230" s="3">
        <v>143</v>
      </c>
    </row>
    <row r="7231" spans="1:13" x14ac:dyDescent="0.25">
      <c r="A7231" s="1" t="str">
        <f>HYPERLINK("http://www.rosaceae.org/Prunus/Prunus_persica/p.persica_gdr_reftransV1_0044828","p.persica_gdr_reftransV1_0044828")</f>
        <v>p.persica_gdr_reftransV1_0044828</v>
      </c>
      <c r="B7231" s="3">
        <v>2232</v>
      </c>
      <c r="C7231" s="1" t="str">
        <f>HYPERLINK("http://www.uniprot.org/uniprot/RH35_ARATH","RH35_ARATH")</f>
        <v>RH35_ARATH</v>
      </c>
      <c r="D7231" t="s">
        <v>47</v>
      </c>
      <c r="E7231" s="3" t="s">
        <v>3</v>
      </c>
      <c r="F7231" s="4">
        <v>0</v>
      </c>
      <c r="G7231" s="3">
        <v>2734</v>
      </c>
      <c r="H7231" s="3">
        <v>86</v>
      </c>
      <c r="I7231" s="3">
        <v>587</v>
      </c>
      <c r="J7231" s="3">
        <v>219</v>
      </c>
      <c r="K7231" s="3">
        <v>1979</v>
      </c>
      <c r="L7231" s="3">
        <v>5</v>
      </c>
      <c r="M7231" s="3">
        <v>591</v>
      </c>
    </row>
    <row r="7232" spans="1:13" x14ac:dyDescent="0.25">
      <c r="A7232" s="1" t="str">
        <f>HYPERLINK("http://www.rosaceae.org/Prunus/Prunus_persica/p.persica_gdr_reftransV1_0044878","p.persica_gdr_reftransV1_0044878")</f>
        <v>p.persica_gdr_reftransV1_0044878</v>
      </c>
      <c r="B7232" s="3">
        <v>1726</v>
      </c>
      <c r="C7232" s="1" t="str">
        <f>HYPERLINK("http://www.uniprot.org/uniprot/FHYRK_ARATH","FHYRK_ARATH")</f>
        <v>FHYRK_ARATH</v>
      </c>
      <c r="D7232" t="s">
        <v>842</v>
      </c>
      <c r="E7232" s="3" t="s">
        <v>3</v>
      </c>
      <c r="F7232" s="4">
        <v>0</v>
      </c>
      <c r="G7232" s="3">
        <v>1454</v>
      </c>
      <c r="H7232" s="3">
        <v>74</v>
      </c>
      <c r="I7232" s="3">
        <v>377</v>
      </c>
      <c r="J7232" s="3">
        <v>432</v>
      </c>
      <c r="K7232" s="3">
        <v>1562</v>
      </c>
      <c r="L7232" s="3">
        <v>1</v>
      </c>
      <c r="M7232" s="3">
        <v>377</v>
      </c>
    </row>
    <row r="7233" spans="1:13" x14ac:dyDescent="0.25">
      <c r="A7233" s="1" t="str">
        <f>HYPERLINK("http://www.rosaceae.org/Prunus/Prunus_persica/p.persica_gdr_reftransV1_0044928","p.persica_gdr_reftransV1_0044928")</f>
        <v>p.persica_gdr_reftransV1_0044928</v>
      </c>
      <c r="B7233" s="3">
        <v>4251</v>
      </c>
      <c r="C7233" s="1" t="str">
        <f>HYPERLINK("http://www.uniprot.org/uniprot/PPD7_ARATH","PPD7_ARATH")</f>
        <v>PPD7_ARATH</v>
      </c>
      <c r="D7233" t="s">
        <v>5818</v>
      </c>
      <c r="E7233" s="3" t="s">
        <v>3</v>
      </c>
      <c r="F7233" s="4">
        <v>6.6400000000000004E-105</v>
      </c>
      <c r="G7233" s="3">
        <v>872</v>
      </c>
      <c r="H7233" s="3">
        <v>68</v>
      </c>
      <c r="I7233" s="3">
        <v>267</v>
      </c>
      <c r="J7233" s="3">
        <v>3279</v>
      </c>
      <c r="K7233" s="3">
        <v>4079</v>
      </c>
      <c r="L7233" s="3">
        <v>23</v>
      </c>
      <c r="M7233" s="3">
        <v>280</v>
      </c>
    </row>
    <row r="7234" spans="1:13" x14ac:dyDescent="0.25">
      <c r="A7234" s="1" t="str">
        <f>HYPERLINK("http://www.rosaceae.org/Prunus/Prunus_persica/p.persica_gdr_reftransV1_0044978","p.persica_gdr_reftransV1_0044978")</f>
        <v>p.persica_gdr_reftransV1_0044978</v>
      </c>
      <c r="B7234" s="3">
        <v>403</v>
      </c>
      <c r="C7234" s="1" t="str">
        <f>HYPERLINK("http://www.uniprot.org/uniprot/Y3028_ARATH","Y3028_ARATH")</f>
        <v>Y3028_ARATH</v>
      </c>
      <c r="D7234" t="s">
        <v>919</v>
      </c>
      <c r="E7234" s="3" t="s">
        <v>3</v>
      </c>
      <c r="F7234" s="4">
        <v>3.64E-37</v>
      </c>
      <c r="G7234" s="3">
        <v>342</v>
      </c>
      <c r="H7234" s="3">
        <v>48</v>
      </c>
      <c r="I7234" s="3">
        <v>134</v>
      </c>
      <c r="J7234" s="3">
        <v>3</v>
      </c>
      <c r="K7234" s="3">
        <v>398</v>
      </c>
      <c r="L7234" s="3">
        <v>41</v>
      </c>
      <c r="M7234" s="3">
        <v>169</v>
      </c>
    </row>
    <row r="7235" spans="1:13" x14ac:dyDescent="0.25">
      <c r="A7235" s="1" t="str">
        <f>HYPERLINK("http://www.rosaceae.org/Prunus/Prunus_persica/p.persica_gdr_reftransV1_0045028","p.persica_gdr_reftransV1_0045028")</f>
        <v>p.persica_gdr_reftransV1_0045028</v>
      </c>
      <c r="B7235" s="3">
        <v>1421</v>
      </c>
      <c r="C7235" s="1" t="str">
        <f>HYPERLINK("http://www.uniprot.org/uniprot/APE1L_ARATH","APE1L_ARATH")</f>
        <v>APE1L_ARATH</v>
      </c>
      <c r="D7235" t="s">
        <v>5819</v>
      </c>
      <c r="E7235" s="3" t="s">
        <v>3</v>
      </c>
      <c r="F7235" s="4">
        <v>4.1699999999999998E-127</v>
      </c>
      <c r="G7235" s="3">
        <v>977</v>
      </c>
      <c r="H7235" s="3">
        <v>73</v>
      </c>
      <c r="I7235" s="3">
        <v>266</v>
      </c>
      <c r="J7235" s="3">
        <v>26</v>
      </c>
      <c r="K7235" s="3">
        <v>808</v>
      </c>
      <c r="L7235" s="3">
        <v>1</v>
      </c>
      <c r="M7235" s="3">
        <v>261</v>
      </c>
    </row>
    <row r="7236" spans="1:13" x14ac:dyDescent="0.25">
      <c r="A7236" s="1" t="str">
        <f>HYPERLINK("http://www.rosaceae.org/Prunus/Prunus_persica/p.persica_gdr_reftransV1_0045078","p.persica_gdr_reftransV1_0045078")</f>
        <v>p.persica_gdr_reftransV1_0045078</v>
      </c>
      <c r="B7236" s="3">
        <v>1998</v>
      </c>
      <c r="C7236" s="1" t="str">
        <f>HYPERLINK("http://www.uniprot.org/uniprot/M310_ARATH","M310_ARATH")</f>
        <v>M310_ARATH</v>
      </c>
      <c r="D7236" t="s">
        <v>118</v>
      </c>
      <c r="E7236" s="3" t="s">
        <v>3</v>
      </c>
      <c r="F7236" s="4">
        <v>5.3899999999999996E-29</v>
      </c>
      <c r="G7236" s="3">
        <v>295</v>
      </c>
      <c r="H7236" s="3">
        <v>37</v>
      </c>
      <c r="I7236" s="3">
        <v>143</v>
      </c>
      <c r="J7236" s="3">
        <v>971</v>
      </c>
      <c r="K7236" s="3">
        <v>1396</v>
      </c>
      <c r="L7236" s="3">
        <v>2</v>
      </c>
      <c r="M7236" s="3">
        <v>144</v>
      </c>
    </row>
    <row r="7237" spans="1:13" x14ac:dyDescent="0.25">
      <c r="A7237" s="1" t="str">
        <f>HYPERLINK("http://www.rosaceae.org/Prunus/Prunus_persica/p.persica_gdr_reftransV1_0045178","p.persica_gdr_reftransV1_0045178")</f>
        <v>p.persica_gdr_reftransV1_0045178</v>
      </c>
      <c r="B7237" s="3">
        <v>2067</v>
      </c>
      <c r="C7237" s="1" t="str">
        <f>HYPERLINK("http://www.uniprot.org/uniprot/YidA_SHIFL","YidA_SHIFL")</f>
        <v>YidA_SHIFL</v>
      </c>
      <c r="D7237" t="s">
        <v>5820</v>
      </c>
      <c r="E7237" s="3" t="s">
        <v>1703</v>
      </c>
      <c r="F7237" s="4">
        <v>5.0600000000000004E-24</v>
      </c>
      <c r="G7237" s="3">
        <v>266</v>
      </c>
      <c r="H7237" s="3">
        <v>33</v>
      </c>
      <c r="I7237" s="3">
        <v>280</v>
      </c>
      <c r="J7237" s="3">
        <v>987</v>
      </c>
      <c r="K7237" s="3">
        <v>1805</v>
      </c>
      <c r="L7237" s="3">
        <v>3</v>
      </c>
      <c r="M7237" s="3">
        <v>269</v>
      </c>
    </row>
    <row r="7238" spans="1:13" x14ac:dyDescent="0.25">
      <c r="A7238" s="1" t="str">
        <f>HYPERLINK("http://www.rosaceae.org/Prunus/Prunus_persica/p.persica_gdr_reftransV1_0045328","p.persica_gdr_reftransV1_0045328")</f>
        <v>p.persica_gdr_reftransV1_0045328</v>
      </c>
      <c r="B7238" s="3">
        <v>1665</v>
      </c>
      <c r="C7238" s="1" t="str">
        <f>HYPERLINK("http://www.uniprot.org/uniprot/CARME_RAT","CARME_RAT")</f>
        <v>CARME_RAT</v>
      </c>
      <c r="D7238" t="s">
        <v>5525</v>
      </c>
      <c r="E7238" s="3" t="s">
        <v>161</v>
      </c>
      <c r="F7238" s="4">
        <v>3.8800000000000002E-79</v>
      </c>
      <c r="G7238" s="3">
        <v>665</v>
      </c>
      <c r="H7238" s="3">
        <v>48</v>
      </c>
      <c r="I7238" s="3">
        <v>260</v>
      </c>
      <c r="J7238" s="3">
        <v>234</v>
      </c>
      <c r="K7238" s="3">
        <v>1007</v>
      </c>
      <c r="L7238" s="3">
        <v>145</v>
      </c>
      <c r="M7238" s="3">
        <v>398</v>
      </c>
    </row>
    <row r="7239" spans="1:13" x14ac:dyDescent="0.25">
      <c r="A7239" s="1" t="str">
        <f>HYPERLINK("http://www.rosaceae.org/Prunus/Prunus_persica/p.persica_gdr_reftransV1_0045478","p.persica_gdr_reftransV1_0045478")</f>
        <v>p.persica_gdr_reftransV1_0045478</v>
      </c>
      <c r="B7239" s="3">
        <v>2254</v>
      </c>
      <c r="C7239" s="1" t="str">
        <f>HYPERLINK("http://www.uniprot.org/uniprot/RUBA_PEA","RUBA_PEA")</f>
        <v>RUBA_PEA</v>
      </c>
      <c r="D7239" t="s">
        <v>5821</v>
      </c>
      <c r="E7239" s="3" t="s">
        <v>60</v>
      </c>
      <c r="F7239" s="4">
        <v>0</v>
      </c>
      <c r="G7239" s="3">
        <v>2470</v>
      </c>
      <c r="H7239" s="3">
        <v>87</v>
      </c>
      <c r="I7239" s="3">
        <v>587</v>
      </c>
      <c r="J7239" s="3">
        <v>376</v>
      </c>
      <c r="K7239" s="3">
        <v>2130</v>
      </c>
      <c r="L7239" s="3">
        <v>1</v>
      </c>
      <c r="M7239" s="3">
        <v>587</v>
      </c>
    </row>
    <row r="7240" spans="1:13" x14ac:dyDescent="0.25">
      <c r="A7240" s="1" t="str">
        <f>HYPERLINK("http://www.rosaceae.org/Prunus/Prunus_persica/p.persica_gdr_reftransV1_0045528","p.persica_gdr_reftransV1_0045528")</f>
        <v>p.persica_gdr_reftransV1_0045528</v>
      </c>
      <c r="B7240" s="3">
        <v>1448</v>
      </c>
      <c r="C7240" s="1" t="str">
        <f>HYPERLINK("http://www.uniprot.org/uniprot/HCAR_ARATH","HCAR_ARATH")</f>
        <v>HCAR_ARATH</v>
      </c>
      <c r="D7240" t="s">
        <v>5313</v>
      </c>
      <c r="E7240" s="3" t="s">
        <v>3</v>
      </c>
      <c r="F7240" s="4">
        <v>2.5500000000000001E-150</v>
      </c>
      <c r="G7240" s="3">
        <v>1142</v>
      </c>
      <c r="H7240" s="3">
        <v>77</v>
      </c>
      <c r="I7240" s="3">
        <v>281</v>
      </c>
      <c r="J7240" s="3">
        <v>569</v>
      </c>
      <c r="K7240" s="3">
        <v>1408</v>
      </c>
      <c r="L7240" s="3">
        <v>204</v>
      </c>
      <c r="M7240" s="3">
        <v>462</v>
      </c>
    </row>
    <row r="7241" spans="1:13" x14ac:dyDescent="0.25">
      <c r="A7241" s="1" t="str">
        <f>HYPERLINK("http://www.rosaceae.org/Prunus/Prunus_persica/p.persica_gdr_reftransV1_0045578","p.persica_gdr_reftransV1_0045578")</f>
        <v>p.persica_gdr_reftransV1_0045578</v>
      </c>
      <c r="B7241" s="3">
        <v>822</v>
      </c>
      <c r="C7241" s="1" t="str">
        <f>HYPERLINK("http://www.uniprot.org/uniprot/NAC83_ARATH","NAC83_ARATH")</f>
        <v>NAC83_ARATH</v>
      </c>
      <c r="D7241" t="s">
        <v>4943</v>
      </c>
      <c r="E7241" s="3" t="s">
        <v>3</v>
      </c>
      <c r="F7241" s="4">
        <v>8.2599999999999997E-74</v>
      </c>
      <c r="G7241" s="3">
        <v>593</v>
      </c>
      <c r="H7241" s="3">
        <v>63</v>
      </c>
      <c r="I7241" s="3">
        <v>171</v>
      </c>
      <c r="J7241" s="3">
        <v>257</v>
      </c>
      <c r="K7241" s="3">
        <v>769</v>
      </c>
      <c r="L7241" s="3">
        <v>1</v>
      </c>
      <c r="M7241" s="3">
        <v>163</v>
      </c>
    </row>
    <row r="7242" spans="1:13" x14ac:dyDescent="0.25">
      <c r="A7242" s="1" t="str">
        <f>HYPERLINK("http://www.rosaceae.org/Prunus/Prunus_persica/p.persica_gdr_reftransV1_0045628","p.persica_gdr_reftransV1_0045628")</f>
        <v>p.persica_gdr_reftransV1_0045628</v>
      </c>
      <c r="B7242" s="3">
        <v>1312</v>
      </c>
      <c r="C7242" s="1" t="str">
        <f>HYPERLINK("http://www.uniprot.org/uniprot/GIF1_ARATH","GIF1_ARATH")</f>
        <v>GIF1_ARATH</v>
      </c>
      <c r="D7242" t="s">
        <v>5822</v>
      </c>
      <c r="E7242" s="3" t="s">
        <v>3</v>
      </c>
      <c r="F7242" s="4">
        <v>5.6899999999999997E-38</v>
      </c>
      <c r="G7242" s="3">
        <v>358</v>
      </c>
      <c r="H7242" s="3">
        <v>58</v>
      </c>
      <c r="I7242" s="3">
        <v>220</v>
      </c>
      <c r="J7242" s="3">
        <v>265</v>
      </c>
      <c r="K7242" s="3">
        <v>873</v>
      </c>
      <c r="L7242" s="3">
        <v>13</v>
      </c>
      <c r="M7242" s="3">
        <v>210</v>
      </c>
    </row>
    <row r="7243" spans="1:13" x14ac:dyDescent="0.25">
      <c r="A7243" s="1" t="str">
        <f>HYPERLINK("http://www.rosaceae.org/Prunus/Prunus_persica/p.persica_gdr_reftransV1_0045878","p.persica_gdr_reftransV1_0045878")</f>
        <v>p.persica_gdr_reftransV1_0045878</v>
      </c>
      <c r="B7243" s="3">
        <v>1141</v>
      </c>
      <c r="C7243" s="1" t="str">
        <f>HYPERLINK("http://www.uniprot.org/uniprot/ZHD6_ARATH","ZHD6_ARATH")</f>
        <v>ZHD6_ARATH</v>
      </c>
      <c r="D7243" t="s">
        <v>5823</v>
      </c>
      <c r="E7243" s="3" t="s">
        <v>3</v>
      </c>
      <c r="F7243" s="4">
        <v>4.0700000000000001E-49</v>
      </c>
      <c r="G7243" s="3">
        <v>436</v>
      </c>
      <c r="H7243" s="3">
        <v>51</v>
      </c>
      <c r="I7243" s="3">
        <v>200</v>
      </c>
      <c r="J7243" s="3">
        <v>422</v>
      </c>
      <c r="K7243" s="3">
        <v>1018</v>
      </c>
      <c r="L7243" s="3">
        <v>80</v>
      </c>
      <c r="M7243" s="3">
        <v>251</v>
      </c>
    </row>
    <row r="7244" spans="1:13" x14ac:dyDescent="0.25">
      <c r="A7244" s="1" t="str">
        <f>HYPERLINK("http://www.rosaceae.org/Prunus/Prunus_persica/p.persica_gdr_reftransV1_0046028","p.persica_gdr_reftransV1_0046028")</f>
        <v>p.persica_gdr_reftransV1_0046028</v>
      </c>
      <c r="B7244" s="3">
        <v>1836</v>
      </c>
      <c r="C7244" s="1" t="str">
        <f>HYPERLINK("http://www.uniprot.org/uniprot/MFAP1_CHICK","MFAP1_CHICK")</f>
        <v>MFAP1_CHICK</v>
      </c>
      <c r="D7244" t="s">
        <v>5824</v>
      </c>
      <c r="E7244" s="3" t="s">
        <v>1278</v>
      </c>
      <c r="F7244" s="4">
        <v>6.7499999999999996E-46</v>
      </c>
      <c r="G7244" s="3">
        <v>438</v>
      </c>
      <c r="H7244" s="3">
        <v>47</v>
      </c>
      <c r="I7244" s="3">
        <v>252</v>
      </c>
      <c r="J7244" s="3">
        <v>823</v>
      </c>
      <c r="K7244" s="3">
        <v>1563</v>
      </c>
      <c r="L7244" s="3">
        <v>202</v>
      </c>
      <c r="M7244" s="3">
        <v>439</v>
      </c>
    </row>
    <row r="7245" spans="1:13" x14ac:dyDescent="0.25">
      <c r="A7245" s="1" t="str">
        <f>HYPERLINK("http://www.rosaceae.org/Prunus/Prunus_persica/p.persica_gdr_reftransV1_0046128","p.persica_gdr_reftransV1_0046128")</f>
        <v>p.persica_gdr_reftransV1_0046128</v>
      </c>
      <c r="B7245" s="3">
        <v>1246</v>
      </c>
      <c r="C7245" s="1" t="str">
        <f>HYPERLINK("http://www.uniprot.org/uniprot/Y1680_ARATH","Y1680_ARATH")</f>
        <v>Y1680_ARATH</v>
      </c>
      <c r="D7245" t="s">
        <v>750</v>
      </c>
      <c r="E7245" s="3" t="s">
        <v>3</v>
      </c>
      <c r="F7245" s="4">
        <v>2.7400000000000001E-82</v>
      </c>
      <c r="G7245" s="3">
        <v>695</v>
      </c>
      <c r="H7245" s="3">
        <v>50</v>
      </c>
      <c r="I7245" s="3">
        <v>299</v>
      </c>
      <c r="J7245" s="3">
        <v>162</v>
      </c>
      <c r="K7245" s="3">
        <v>1028</v>
      </c>
      <c r="L7245" s="3">
        <v>346</v>
      </c>
      <c r="M7245" s="3">
        <v>637</v>
      </c>
    </row>
    <row r="7246" spans="1:13" x14ac:dyDescent="0.25">
      <c r="A7246" s="1" t="str">
        <f>HYPERLINK("http://www.rosaceae.org/Prunus/Prunus_persica/p.persica_gdr_reftransV1_0046178","p.persica_gdr_reftransV1_0046178")</f>
        <v>p.persica_gdr_reftransV1_0046178</v>
      </c>
      <c r="B7246" s="3">
        <v>1138</v>
      </c>
      <c r="C7246" s="1" t="str">
        <f>HYPERLINK("http://www.uniprot.org/uniprot/RL191_ARATH","RL191_ARATH")</f>
        <v>RL191_ARATH</v>
      </c>
      <c r="D7246" t="s">
        <v>3954</v>
      </c>
      <c r="E7246" s="3" t="s">
        <v>3</v>
      </c>
      <c r="F7246" s="4">
        <v>3.5899999999999998E-91</v>
      </c>
      <c r="G7246" s="3">
        <v>715</v>
      </c>
      <c r="H7246" s="3">
        <v>94</v>
      </c>
      <c r="I7246" s="3">
        <v>181</v>
      </c>
      <c r="J7246" s="3">
        <v>526</v>
      </c>
      <c r="K7246" s="3">
        <v>1068</v>
      </c>
      <c r="L7246" s="3">
        <v>1</v>
      </c>
      <c r="M7246" s="3">
        <v>181</v>
      </c>
    </row>
    <row r="7247" spans="1:13" x14ac:dyDescent="0.25">
      <c r="A7247" s="1" t="str">
        <f>HYPERLINK("http://www.rosaceae.org/Prunus/Prunus_persica/p.persica_gdr_reftransV1_0046278","p.persica_gdr_reftransV1_0046278")</f>
        <v>p.persica_gdr_reftransV1_0046278</v>
      </c>
      <c r="B7247" s="3">
        <v>2504</v>
      </c>
      <c r="C7247" s="1" t="str">
        <f>HYPERLINK("http://www.uniprot.org/uniprot/CSLA9_ARATH","CSLA9_ARATH")</f>
        <v>CSLA9_ARATH</v>
      </c>
      <c r="D7247" t="s">
        <v>5825</v>
      </c>
      <c r="E7247" s="3" t="s">
        <v>3</v>
      </c>
      <c r="F7247" s="4">
        <v>0</v>
      </c>
      <c r="G7247" s="3">
        <v>2321</v>
      </c>
      <c r="H7247" s="3">
        <v>77</v>
      </c>
      <c r="I7247" s="3">
        <v>533</v>
      </c>
      <c r="J7247" s="3">
        <v>453</v>
      </c>
      <c r="K7247" s="3">
        <v>2051</v>
      </c>
      <c r="L7247" s="3">
        <v>1</v>
      </c>
      <c r="M7247" s="3">
        <v>532</v>
      </c>
    </row>
    <row r="7248" spans="1:13" x14ac:dyDescent="0.25">
      <c r="A7248" s="1" t="str">
        <f>HYPERLINK("http://www.rosaceae.org/Prunus/Prunus_persica/p.persica_gdr_reftransV1_0046328","p.persica_gdr_reftransV1_0046328")</f>
        <v>p.persica_gdr_reftransV1_0046328</v>
      </c>
      <c r="B7248" s="3">
        <v>3347</v>
      </c>
      <c r="C7248" s="1" t="str">
        <f>HYPERLINK("http://www.uniprot.org/uniprot/PP126_ARATH","PP126_ARATH")</f>
        <v>PP126_ARATH</v>
      </c>
      <c r="D7248" t="s">
        <v>5826</v>
      </c>
      <c r="E7248" s="3" t="s">
        <v>3</v>
      </c>
      <c r="F7248" s="4">
        <v>0</v>
      </c>
      <c r="G7248" s="3">
        <v>2006</v>
      </c>
      <c r="H7248" s="3">
        <v>52</v>
      </c>
      <c r="I7248" s="3">
        <v>846</v>
      </c>
      <c r="J7248" s="3">
        <v>396</v>
      </c>
      <c r="K7248" s="3">
        <v>2909</v>
      </c>
      <c r="L7248" s="3">
        <v>1</v>
      </c>
      <c r="M7248" s="3">
        <v>772</v>
      </c>
    </row>
    <row r="7249" spans="1:13" x14ac:dyDescent="0.25">
      <c r="A7249" s="1" t="str">
        <f>HYPERLINK("http://www.rosaceae.org/Prunus/Prunus_persica/p.persica_gdr_reftransV1_0046428","p.persica_gdr_reftransV1_0046428")</f>
        <v>p.persica_gdr_reftransV1_0046428</v>
      </c>
      <c r="B7249" s="3">
        <v>3101</v>
      </c>
      <c r="C7249" s="1" t="str">
        <f>HYPERLINK("http://www.uniprot.org/uniprot/RGAP7_ARATH","RGAP7_ARATH")</f>
        <v>RGAP7_ARATH</v>
      </c>
      <c r="D7249" t="s">
        <v>5827</v>
      </c>
      <c r="E7249" s="3" t="s">
        <v>3</v>
      </c>
      <c r="F7249" s="4">
        <v>0</v>
      </c>
      <c r="G7249" s="3">
        <v>2610</v>
      </c>
      <c r="H7249" s="3">
        <v>71</v>
      </c>
      <c r="I7249" s="3">
        <v>884</v>
      </c>
      <c r="J7249" s="3">
        <v>314</v>
      </c>
      <c r="K7249" s="3">
        <v>2941</v>
      </c>
      <c r="L7249" s="3">
        <v>1</v>
      </c>
      <c r="M7249" s="3">
        <v>870</v>
      </c>
    </row>
    <row r="7250" spans="1:13" x14ac:dyDescent="0.25">
      <c r="A7250" s="1" t="str">
        <f>HYPERLINK("http://www.rosaceae.org/Prunus/Prunus_persica/p.persica_gdr_reftransV1_0046478","p.persica_gdr_reftransV1_0046478")</f>
        <v>p.persica_gdr_reftransV1_0046478</v>
      </c>
      <c r="B7250" s="3">
        <v>2288</v>
      </c>
      <c r="C7250" s="1" t="str">
        <f>HYPERLINK("http://www.uniprot.org/uniprot/DRL21_ARATH","DRL21_ARATH")</f>
        <v>DRL21_ARATH</v>
      </c>
      <c r="D7250" t="s">
        <v>3610</v>
      </c>
      <c r="E7250" s="3" t="s">
        <v>3</v>
      </c>
      <c r="F7250" s="4">
        <v>5.38E-27</v>
      </c>
      <c r="G7250" s="3">
        <v>305</v>
      </c>
      <c r="H7250" s="3">
        <v>33</v>
      </c>
      <c r="I7250" s="3">
        <v>293</v>
      </c>
      <c r="J7250" s="3">
        <v>70</v>
      </c>
      <c r="K7250" s="3">
        <v>921</v>
      </c>
      <c r="L7250" s="3">
        <v>1110</v>
      </c>
      <c r="M7250" s="3">
        <v>1393</v>
      </c>
    </row>
    <row r="7251" spans="1:13" x14ac:dyDescent="0.25">
      <c r="A7251" s="1" t="str">
        <f>HYPERLINK("http://www.rosaceae.org/Prunus/Prunus_persica/p.persica_gdr_reftransV1_0046528","p.persica_gdr_reftransV1_0046528")</f>
        <v>p.persica_gdr_reftransV1_0046528</v>
      </c>
      <c r="B7251" s="3">
        <v>3632</v>
      </c>
      <c r="C7251" s="1" t="str">
        <f>HYPERLINK("http://www.uniprot.org/uniprot/Y4294_ARATH","Y4294_ARATH")</f>
        <v>Y4294_ARATH</v>
      </c>
      <c r="D7251" t="s">
        <v>4309</v>
      </c>
      <c r="E7251" s="3" t="s">
        <v>3</v>
      </c>
      <c r="F7251" s="4">
        <v>0</v>
      </c>
      <c r="G7251" s="3">
        <v>3291</v>
      </c>
      <c r="H7251" s="3">
        <v>72</v>
      </c>
      <c r="I7251" s="3">
        <v>1051</v>
      </c>
      <c r="J7251" s="3">
        <v>176</v>
      </c>
      <c r="K7251" s="3">
        <v>3319</v>
      </c>
      <c r="L7251" s="3">
        <v>1</v>
      </c>
      <c r="M7251" s="3">
        <v>1037</v>
      </c>
    </row>
    <row r="7252" spans="1:13" x14ac:dyDescent="0.25">
      <c r="A7252" s="1" t="str">
        <f>HYPERLINK("http://www.rosaceae.org/Prunus/Prunus_persica/p.persica_gdr_reftransV1_0046928","p.persica_gdr_reftransV1_0046928")</f>
        <v>p.persica_gdr_reftransV1_0046928</v>
      </c>
      <c r="B7252" s="3">
        <v>1905</v>
      </c>
      <c r="C7252" s="1" t="str">
        <f>HYPERLINK("http://www.uniprot.org/uniprot/PDI_DATGL","PDI_DATGL")</f>
        <v>PDI_DATGL</v>
      </c>
      <c r="D7252" t="s">
        <v>2596</v>
      </c>
      <c r="E7252" s="3" t="s">
        <v>2597</v>
      </c>
      <c r="F7252" s="4">
        <v>0</v>
      </c>
      <c r="G7252" s="3">
        <v>1823</v>
      </c>
      <c r="H7252" s="3">
        <v>79</v>
      </c>
      <c r="I7252" s="3">
        <v>478</v>
      </c>
      <c r="J7252" s="3">
        <v>293</v>
      </c>
      <c r="K7252" s="3">
        <v>1723</v>
      </c>
      <c r="L7252" s="3">
        <v>24</v>
      </c>
      <c r="M7252" s="3">
        <v>500</v>
      </c>
    </row>
    <row r="7253" spans="1:13" x14ac:dyDescent="0.25">
      <c r="A7253" s="1" t="str">
        <f>HYPERLINK("http://www.rosaceae.org/Prunus/Prunus_persica/p.persica_gdr_reftransV1_0047028","p.persica_gdr_reftransV1_0047028")</f>
        <v>p.persica_gdr_reftransV1_0047028</v>
      </c>
      <c r="B7253" s="3">
        <v>962</v>
      </c>
      <c r="C7253" s="1" t="str">
        <f>HYPERLINK("http://www.uniprot.org/uniprot/MD10B_ARATH","MD10B_ARATH")</f>
        <v>MD10B_ARATH</v>
      </c>
      <c r="D7253" t="s">
        <v>2584</v>
      </c>
      <c r="E7253" s="3" t="s">
        <v>3</v>
      </c>
      <c r="F7253" s="4">
        <v>1.94E-80</v>
      </c>
      <c r="G7253" s="3">
        <v>636</v>
      </c>
      <c r="H7253" s="3">
        <v>71</v>
      </c>
      <c r="I7253" s="3">
        <v>169</v>
      </c>
      <c r="J7253" s="3">
        <v>303</v>
      </c>
      <c r="K7253" s="3">
        <v>803</v>
      </c>
      <c r="L7253" s="3">
        <v>1</v>
      </c>
      <c r="M7253" s="3">
        <v>169</v>
      </c>
    </row>
    <row r="7254" spans="1:13" x14ac:dyDescent="0.25">
      <c r="A7254" s="1" t="str">
        <f>HYPERLINK("http://www.rosaceae.org/Prunus/Prunus_persica/p.persica_gdr_reftransV1_0047078","p.persica_gdr_reftransV1_0047078")</f>
        <v>p.persica_gdr_reftransV1_0047078</v>
      </c>
      <c r="B7254" s="3">
        <v>2088</v>
      </c>
      <c r="C7254" s="1" t="str">
        <f>HYPERLINK("http://www.uniprot.org/uniprot/P2C60_ORYSJ","P2C60_ORYSJ")</f>
        <v>P2C60_ORYSJ</v>
      </c>
      <c r="D7254" t="s">
        <v>3375</v>
      </c>
      <c r="E7254" s="3" t="s">
        <v>38</v>
      </c>
      <c r="F7254" s="4">
        <v>0</v>
      </c>
      <c r="G7254" s="3">
        <v>1664</v>
      </c>
      <c r="H7254" s="3">
        <v>77</v>
      </c>
      <c r="I7254" s="3">
        <v>387</v>
      </c>
      <c r="J7254" s="3">
        <v>426</v>
      </c>
      <c r="K7254" s="3">
        <v>1586</v>
      </c>
      <c r="L7254" s="3">
        <v>1</v>
      </c>
      <c r="M7254" s="3">
        <v>387</v>
      </c>
    </row>
    <row r="7255" spans="1:13" x14ac:dyDescent="0.25">
      <c r="A7255" s="1" t="str">
        <f>HYPERLINK("http://www.rosaceae.org/Prunus/Prunus_persica/p.persica_gdr_reftransV1_0047128","p.persica_gdr_reftransV1_0047128")</f>
        <v>p.persica_gdr_reftransV1_0047128</v>
      </c>
      <c r="B7255" s="3">
        <v>1451</v>
      </c>
      <c r="C7255" s="1" t="str">
        <f>HYPERLINK("http://www.uniprot.org/uniprot/THF1_SOLTU","THF1_SOLTU")</f>
        <v>THF1_SOLTU</v>
      </c>
      <c r="D7255" t="s">
        <v>5828</v>
      </c>
      <c r="E7255" s="3" t="s">
        <v>11</v>
      </c>
      <c r="F7255" s="4">
        <v>5.2399999999999999E-132</v>
      </c>
      <c r="G7255" s="3">
        <v>1004</v>
      </c>
      <c r="H7255" s="3">
        <v>75</v>
      </c>
      <c r="I7255" s="3">
        <v>263</v>
      </c>
      <c r="J7255" s="3">
        <v>469</v>
      </c>
      <c r="K7255" s="3">
        <v>1254</v>
      </c>
      <c r="L7255" s="3">
        <v>29</v>
      </c>
      <c r="M7255" s="3">
        <v>290</v>
      </c>
    </row>
    <row r="7256" spans="1:13" x14ac:dyDescent="0.25">
      <c r="A7256" s="1" t="str">
        <f>HYPERLINK("http://www.rosaceae.org/Prunus/Prunus_persica/p.persica_gdr_reftransV1_0047228","p.persica_gdr_reftransV1_0047228")</f>
        <v>p.persica_gdr_reftransV1_0047228</v>
      </c>
      <c r="B7256" s="3">
        <v>475</v>
      </c>
      <c r="C7256" s="1" t="str">
        <f>HYPERLINK("http://www.uniprot.org/uniprot/NIFU1_ARATH","NIFU1_ARATH")</f>
        <v>NIFU1_ARATH</v>
      </c>
      <c r="D7256" t="s">
        <v>1579</v>
      </c>
      <c r="E7256" s="3" t="s">
        <v>3</v>
      </c>
      <c r="F7256" s="4">
        <v>4.7100000000000003E-10</v>
      </c>
      <c r="G7256" s="3">
        <v>142</v>
      </c>
      <c r="H7256" s="3">
        <v>54</v>
      </c>
      <c r="I7256" s="3">
        <v>109</v>
      </c>
      <c r="J7256" s="3">
        <v>83</v>
      </c>
      <c r="K7256" s="3">
        <v>394</v>
      </c>
      <c r="L7256" s="3">
        <v>16</v>
      </c>
      <c r="M7256" s="3">
        <v>124</v>
      </c>
    </row>
    <row r="7257" spans="1:13" x14ac:dyDescent="0.25">
      <c r="A7257" s="1" t="str">
        <f>HYPERLINK("http://www.rosaceae.org/Prunus/Prunus_persica/p.persica_gdr_reftransV1_0047378","p.persica_gdr_reftransV1_0047378")</f>
        <v>p.persica_gdr_reftransV1_0047378</v>
      </c>
      <c r="B7257" s="3">
        <v>1106</v>
      </c>
      <c r="C7257" s="1" t="str">
        <f>HYPERLINK("http://www.uniprot.org/uniprot/ALKB2_ARATH","ALKB2_ARATH")</f>
        <v>ALKB2_ARATH</v>
      </c>
      <c r="D7257" t="s">
        <v>5829</v>
      </c>
      <c r="E7257" s="3" t="s">
        <v>3</v>
      </c>
      <c r="F7257" s="4">
        <v>4.7099999999999998E-111</v>
      </c>
      <c r="G7257" s="3">
        <v>855</v>
      </c>
      <c r="H7257" s="3">
        <v>65</v>
      </c>
      <c r="I7257" s="3">
        <v>246</v>
      </c>
      <c r="J7257" s="3">
        <v>99</v>
      </c>
      <c r="K7257" s="3">
        <v>830</v>
      </c>
      <c r="L7257" s="3">
        <v>75</v>
      </c>
      <c r="M7257" s="3">
        <v>314</v>
      </c>
    </row>
    <row r="7258" spans="1:13" x14ac:dyDescent="0.25">
      <c r="A7258" s="1" t="str">
        <f>HYPERLINK("http://www.rosaceae.org/Prunus/Prunus_persica/p.persica_gdr_reftransV1_0047428","p.persica_gdr_reftransV1_0047428")</f>
        <v>p.persica_gdr_reftransV1_0047428</v>
      </c>
      <c r="B7258" s="3">
        <v>949</v>
      </c>
      <c r="C7258" s="1" t="str">
        <f>HYPERLINK("http://www.uniprot.org/uniprot/CALM_LILLO","CALM_LILLO")</f>
        <v>CALM_LILLO</v>
      </c>
      <c r="D7258" t="s">
        <v>3886</v>
      </c>
      <c r="E7258" s="3" t="s">
        <v>3887</v>
      </c>
      <c r="F7258" s="4">
        <v>6.7300000000000001E-101</v>
      </c>
      <c r="G7258" s="3">
        <v>767</v>
      </c>
      <c r="H7258" s="3">
        <v>100</v>
      </c>
      <c r="I7258" s="3">
        <v>149</v>
      </c>
      <c r="J7258" s="3">
        <v>104</v>
      </c>
      <c r="K7258" s="3">
        <v>550</v>
      </c>
      <c r="L7258" s="3">
        <v>1</v>
      </c>
      <c r="M7258" s="3">
        <v>149</v>
      </c>
    </row>
    <row r="7259" spans="1:13" x14ac:dyDescent="0.25">
      <c r="A7259" s="1" t="str">
        <f>HYPERLINK("http://www.rosaceae.org/Prunus/Prunus_persica/p.persica_gdr_reftransV1_0047478","p.persica_gdr_reftransV1_0047478")</f>
        <v>p.persica_gdr_reftransV1_0047478</v>
      </c>
      <c r="B7259" s="3">
        <v>1278</v>
      </c>
      <c r="C7259" s="1" t="str">
        <f>HYPERLINK("http://www.uniprot.org/uniprot/TTHL_ARATH","TTHL_ARATH")</f>
        <v>TTHL_ARATH</v>
      </c>
      <c r="D7259" t="s">
        <v>5830</v>
      </c>
      <c r="E7259" s="3" t="s">
        <v>3</v>
      </c>
      <c r="F7259" s="4">
        <v>8.9799999999999998E-128</v>
      </c>
      <c r="G7259" s="3">
        <v>973</v>
      </c>
      <c r="H7259" s="3">
        <v>58</v>
      </c>
      <c r="I7259" s="3">
        <v>332</v>
      </c>
      <c r="J7259" s="3">
        <v>190</v>
      </c>
      <c r="K7259" s="3">
        <v>1182</v>
      </c>
      <c r="L7259" s="3">
        <v>1</v>
      </c>
      <c r="M7259" s="3">
        <v>324</v>
      </c>
    </row>
    <row r="7260" spans="1:13" x14ac:dyDescent="0.25">
      <c r="A7260" s="1" t="str">
        <f>HYPERLINK("http://www.rosaceae.org/Prunus/Prunus_persica/p.persica_gdr_reftransV1_0047528","p.persica_gdr_reftransV1_0047528")</f>
        <v>p.persica_gdr_reftransV1_0047528</v>
      </c>
      <c r="B7260" s="3">
        <v>876</v>
      </c>
      <c r="C7260" s="1" t="str">
        <f>HYPERLINK("http://www.uniprot.org/uniprot/PERR_RAUSE","PERR_RAUSE")</f>
        <v>PERR_RAUSE</v>
      </c>
      <c r="D7260" t="s">
        <v>5831</v>
      </c>
      <c r="E7260" s="3" t="s">
        <v>2816</v>
      </c>
      <c r="F7260" s="4">
        <v>2.4600000000000002E-50</v>
      </c>
      <c r="G7260" s="3">
        <v>443</v>
      </c>
      <c r="H7260" s="3">
        <v>76</v>
      </c>
      <c r="I7260" s="3">
        <v>109</v>
      </c>
      <c r="J7260" s="3">
        <v>550</v>
      </c>
      <c r="K7260" s="3">
        <v>876</v>
      </c>
      <c r="L7260" s="3">
        <v>69</v>
      </c>
      <c r="M7260" s="3">
        <v>177</v>
      </c>
    </row>
    <row r="7261" spans="1:13" x14ac:dyDescent="0.25">
      <c r="A7261" s="1" t="str">
        <f>HYPERLINK("http://www.rosaceae.org/Prunus/Prunus_persica/p.persica_gdr_reftransV1_0047578","p.persica_gdr_reftransV1_0047578")</f>
        <v>p.persica_gdr_reftransV1_0047578</v>
      </c>
      <c r="B7261" s="3">
        <v>3045</v>
      </c>
      <c r="C7261" s="1" t="str">
        <f>HYPERLINK("http://www.uniprot.org/uniprot/OOPDA_ARATH","OOPDA_ARATH")</f>
        <v>OOPDA_ARATH</v>
      </c>
      <c r="D7261" t="s">
        <v>1708</v>
      </c>
      <c r="E7261" s="3" t="s">
        <v>3</v>
      </c>
      <c r="F7261" s="4">
        <v>0</v>
      </c>
      <c r="G7261" s="3">
        <v>3088</v>
      </c>
      <c r="H7261" s="3">
        <v>78</v>
      </c>
      <c r="I7261" s="3">
        <v>791</v>
      </c>
      <c r="J7261" s="3">
        <v>61</v>
      </c>
      <c r="K7261" s="3">
        <v>2394</v>
      </c>
      <c r="L7261" s="3">
        <v>1</v>
      </c>
      <c r="M7261" s="3">
        <v>790</v>
      </c>
    </row>
    <row r="7262" spans="1:13" x14ac:dyDescent="0.25">
      <c r="A7262" s="1" t="str">
        <f>HYPERLINK("http://www.rosaceae.org/Prunus/Prunus_persica/p.persica_gdr_reftransV1_0047628","p.persica_gdr_reftransV1_0047628")</f>
        <v>p.persica_gdr_reftransV1_0047628</v>
      </c>
      <c r="B7262" s="3">
        <v>430</v>
      </c>
      <c r="C7262" s="1" t="str">
        <f>HYPERLINK("http://www.uniprot.org/uniprot/ASPM_CANFA","ASPM_CANFA")</f>
        <v>ASPM_CANFA</v>
      </c>
      <c r="D7262" t="s">
        <v>5832</v>
      </c>
      <c r="E7262" s="3" t="s">
        <v>2940</v>
      </c>
      <c r="F7262" s="4">
        <v>1.7000000000000001E-26</v>
      </c>
      <c r="G7262" s="3">
        <v>274</v>
      </c>
      <c r="H7262" s="3">
        <v>44</v>
      </c>
      <c r="I7262" s="3">
        <v>135</v>
      </c>
      <c r="J7262" s="3">
        <v>4</v>
      </c>
      <c r="K7262" s="3">
        <v>408</v>
      </c>
      <c r="L7262" s="3">
        <v>929</v>
      </c>
      <c r="M7262" s="3">
        <v>1063</v>
      </c>
    </row>
    <row r="7263" spans="1:13" x14ac:dyDescent="0.25">
      <c r="A7263" s="1" t="str">
        <f>HYPERLINK("http://www.rosaceae.org/Prunus/Prunus_persica/p.persica_gdr_reftransV1_0047678","p.persica_gdr_reftransV1_0047678")</f>
        <v>p.persica_gdr_reftransV1_0047678</v>
      </c>
      <c r="B7263" s="3">
        <v>2302</v>
      </c>
      <c r="C7263" s="1" t="str">
        <f>HYPERLINK("http://www.uniprot.org/uniprot/Y5738_ARATH","Y5738_ARATH")</f>
        <v>Y5738_ARATH</v>
      </c>
      <c r="D7263" t="s">
        <v>5833</v>
      </c>
      <c r="E7263" s="3" t="s">
        <v>3</v>
      </c>
      <c r="F7263" s="4">
        <v>0</v>
      </c>
      <c r="G7263" s="3">
        <v>2105</v>
      </c>
      <c r="H7263" s="3">
        <v>69</v>
      </c>
      <c r="I7263" s="3">
        <v>601</v>
      </c>
      <c r="J7263" s="3">
        <v>400</v>
      </c>
      <c r="K7263" s="3">
        <v>2169</v>
      </c>
      <c r="L7263" s="3">
        <v>15</v>
      </c>
      <c r="M7263" s="3">
        <v>601</v>
      </c>
    </row>
    <row r="7264" spans="1:13" x14ac:dyDescent="0.25">
      <c r="A7264" s="1" t="str">
        <f>HYPERLINK("http://www.rosaceae.org/Prunus/Prunus_persica/p.persica_gdr_reftransV1_0047728","p.persica_gdr_reftransV1_0047728")</f>
        <v>p.persica_gdr_reftransV1_0047728</v>
      </c>
      <c r="B7264" s="3">
        <v>1045</v>
      </c>
      <c r="C7264" s="1" t="str">
        <f>HYPERLINK("http://www.uniprot.org/uniprot/DRIP2_ARATH","DRIP2_ARATH")</f>
        <v>DRIP2_ARATH</v>
      </c>
      <c r="D7264" t="s">
        <v>4270</v>
      </c>
      <c r="E7264" s="3" t="s">
        <v>3</v>
      </c>
      <c r="F7264" s="4">
        <v>6.1400000000000002E-16</v>
      </c>
      <c r="G7264" s="3">
        <v>201</v>
      </c>
      <c r="H7264" s="3">
        <v>53</v>
      </c>
      <c r="I7264" s="3">
        <v>76</v>
      </c>
      <c r="J7264" s="3">
        <v>757</v>
      </c>
      <c r="K7264" s="3">
        <v>984</v>
      </c>
      <c r="L7264" s="3">
        <v>310</v>
      </c>
      <c r="M7264" s="3">
        <v>384</v>
      </c>
    </row>
    <row r="7265" spans="1:13" x14ac:dyDescent="0.25">
      <c r="A7265" s="1" t="str">
        <f>HYPERLINK("http://www.rosaceae.org/Prunus/Prunus_persica/p.persica_gdr_reftransV1_0047778","p.persica_gdr_reftransV1_0047778")</f>
        <v>p.persica_gdr_reftransV1_0047778</v>
      </c>
      <c r="B7265" s="3">
        <v>937</v>
      </c>
      <c r="C7265" s="1" t="str">
        <f>HYPERLINK("http://www.uniprot.org/uniprot/RS8_ORYSJ","RS8_ORYSJ")</f>
        <v>RS8_ORYSJ</v>
      </c>
      <c r="D7265" t="s">
        <v>2058</v>
      </c>
      <c r="E7265" s="3" t="s">
        <v>38</v>
      </c>
      <c r="F7265" s="4">
        <v>6.2100000000000001E-112</v>
      </c>
      <c r="G7265" s="3">
        <v>846</v>
      </c>
      <c r="H7265" s="3">
        <v>84</v>
      </c>
      <c r="I7265" s="3">
        <v>225</v>
      </c>
      <c r="J7265" s="3">
        <v>74</v>
      </c>
      <c r="K7265" s="3">
        <v>748</v>
      </c>
      <c r="L7265" s="3">
        <v>1</v>
      </c>
      <c r="M7265" s="3">
        <v>220</v>
      </c>
    </row>
    <row r="7266" spans="1:13" x14ac:dyDescent="0.25">
      <c r="A7266" s="1" t="str">
        <f>HYPERLINK("http://www.rosaceae.org/Prunus/Prunus_persica/p.persica_gdr_reftransV1_0047978","p.persica_gdr_reftransV1_0047978")</f>
        <v>p.persica_gdr_reftransV1_0047978</v>
      </c>
      <c r="B7266" s="3">
        <v>1837</v>
      </c>
      <c r="C7266" s="1" t="str">
        <f>HYPERLINK("http://www.uniprot.org/uniprot/TLP1_PRUPE","TLP1_PRUPE")</f>
        <v>TLP1_PRUPE</v>
      </c>
      <c r="D7266" t="s">
        <v>3178</v>
      </c>
      <c r="E7266" s="3" t="s">
        <v>784</v>
      </c>
      <c r="F7266" s="4">
        <v>1.2300000000000001E-83</v>
      </c>
      <c r="G7266" s="3">
        <v>686</v>
      </c>
      <c r="H7266" s="3">
        <v>57</v>
      </c>
      <c r="I7266" s="3">
        <v>231</v>
      </c>
      <c r="J7266" s="3">
        <v>384</v>
      </c>
      <c r="K7266" s="3">
        <v>1073</v>
      </c>
      <c r="L7266" s="3">
        <v>18</v>
      </c>
      <c r="M7266" s="3">
        <v>246</v>
      </c>
    </row>
    <row r="7267" spans="1:13" x14ac:dyDescent="0.25">
      <c r="A7267" s="1" t="str">
        <f>HYPERLINK("http://www.rosaceae.org/Prunus/Prunus_persica/p.persica_gdr_reftransV1_0048028","p.persica_gdr_reftransV1_0048028")</f>
        <v>p.persica_gdr_reftransV1_0048028</v>
      </c>
      <c r="B7267" s="3">
        <v>714</v>
      </c>
      <c r="C7267" s="1" t="str">
        <f>HYPERLINK("http://www.uniprot.org/uniprot/AGL12_ARATH","AGL12_ARATH")</f>
        <v>AGL12_ARATH</v>
      </c>
      <c r="D7267" t="s">
        <v>5834</v>
      </c>
      <c r="E7267" s="3" t="s">
        <v>3</v>
      </c>
      <c r="F7267" s="4">
        <v>9.7199999999999997E-72</v>
      </c>
      <c r="G7267" s="3">
        <v>572</v>
      </c>
      <c r="H7267" s="3">
        <v>66</v>
      </c>
      <c r="I7267" s="3">
        <v>183</v>
      </c>
      <c r="J7267" s="3">
        <v>23</v>
      </c>
      <c r="K7267" s="3">
        <v>553</v>
      </c>
      <c r="L7267" s="3">
        <v>1</v>
      </c>
      <c r="M7267" s="3">
        <v>183</v>
      </c>
    </row>
    <row r="7268" spans="1:13" x14ac:dyDescent="0.25">
      <c r="A7268" s="1" t="str">
        <f>HYPERLINK("http://www.rosaceae.org/Prunus/Prunus_persica/p.persica_gdr_reftransV1_0048078","p.persica_gdr_reftransV1_0048078")</f>
        <v>p.persica_gdr_reftransV1_0048078</v>
      </c>
      <c r="B7268" s="3">
        <v>536</v>
      </c>
      <c r="C7268" s="1" t="str">
        <f>HYPERLINK("http://www.uniprot.org/uniprot/POP1_HUMAN","POP1_HUMAN")</f>
        <v>POP1_HUMAN</v>
      </c>
      <c r="D7268" t="s">
        <v>5835</v>
      </c>
      <c r="E7268" s="3" t="s">
        <v>28</v>
      </c>
      <c r="F7268" s="4">
        <v>2.84E-7</v>
      </c>
      <c r="G7268" s="3">
        <v>126</v>
      </c>
      <c r="H7268" s="3">
        <v>27</v>
      </c>
      <c r="I7268" s="3">
        <v>166</v>
      </c>
      <c r="J7268" s="3">
        <v>1</v>
      </c>
      <c r="K7268" s="3">
        <v>498</v>
      </c>
      <c r="L7268" s="3">
        <v>99</v>
      </c>
      <c r="M7268" s="3">
        <v>259</v>
      </c>
    </row>
    <row r="7269" spans="1:13" x14ac:dyDescent="0.25">
      <c r="A7269" s="1" t="str">
        <f>HYPERLINK("http://www.rosaceae.org/Prunus/Prunus_persica/p.persica_gdr_reftransV1_0048128","p.persica_gdr_reftransV1_0048128")</f>
        <v>p.persica_gdr_reftransV1_0048128</v>
      </c>
      <c r="B7269" s="3">
        <v>1766</v>
      </c>
      <c r="C7269" s="1" t="str">
        <f>HYPERLINK("http://www.uniprot.org/uniprot/PUR5_VIGUN","PUR5_VIGUN")</f>
        <v>PUR5_VIGUN</v>
      </c>
      <c r="D7269" t="s">
        <v>5836</v>
      </c>
      <c r="E7269" s="3" t="s">
        <v>1009</v>
      </c>
      <c r="F7269" s="4">
        <v>0</v>
      </c>
      <c r="G7269" s="3">
        <v>1403</v>
      </c>
      <c r="H7269" s="3">
        <v>73</v>
      </c>
      <c r="I7269" s="3">
        <v>401</v>
      </c>
      <c r="J7269" s="3">
        <v>403</v>
      </c>
      <c r="K7269" s="3">
        <v>1599</v>
      </c>
      <c r="L7269" s="3">
        <v>2</v>
      </c>
      <c r="M7269" s="3">
        <v>388</v>
      </c>
    </row>
    <row r="7270" spans="1:13" x14ac:dyDescent="0.25">
      <c r="A7270" s="1" t="str">
        <f>HYPERLINK("http://www.rosaceae.org/Prunus/Prunus_persica/p.persica_gdr_reftransV1_0048178","p.persica_gdr_reftransV1_0048178")</f>
        <v>p.persica_gdr_reftransV1_0048178</v>
      </c>
      <c r="B7270" s="3">
        <v>902</v>
      </c>
      <c r="C7270" s="1" t="str">
        <f>HYPERLINK("http://www.uniprot.org/uniprot/ELIP1_ARATH","ELIP1_ARATH")</f>
        <v>ELIP1_ARATH</v>
      </c>
      <c r="D7270" t="s">
        <v>586</v>
      </c>
      <c r="E7270" s="3" t="s">
        <v>3</v>
      </c>
      <c r="F7270" s="4">
        <v>2.0100000000000001E-63</v>
      </c>
      <c r="G7270" s="3">
        <v>521</v>
      </c>
      <c r="H7270" s="3">
        <v>63</v>
      </c>
      <c r="I7270" s="3">
        <v>197</v>
      </c>
      <c r="J7270" s="3">
        <v>206</v>
      </c>
      <c r="K7270" s="3">
        <v>793</v>
      </c>
      <c r="L7270" s="3">
        <v>4</v>
      </c>
      <c r="M7270" s="3">
        <v>195</v>
      </c>
    </row>
    <row r="7271" spans="1:13" x14ac:dyDescent="0.25">
      <c r="A7271" s="1" t="str">
        <f>HYPERLINK("http://www.rosaceae.org/Prunus/Prunus_persica/p.persica_gdr_reftransV1_0048228","p.persica_gdr_reftransV1_0048228")</f>
        <v>p.persica_gdr_reftransV1_0048228</v>
      </c>
      <c r="B7271" s="3">
        <v>1610</v>
      </c>
      <c r="C7271" s="1" t="str">
        <f>HYPERLINK("http://www.uniprot.org/uniprot/CHR24_ARATH","CHR24_ARATH")</f>
        <v>CHR24_ARATH</v>
      </c>
      <c r="D7271" t="s">
        <v>5837</v>
      </c>
      <c r="E7271" s="3" t="s">
        <v>3</v>
      </c>
      <c r="F7271" s="4">
        <v>0</v>
      </c>
      <c r="G7271" s="3">
        <v>1512</v>
      </c>
      <c r="H7271" s="3">
        <v>70</v>
      </c>
      <c r="I7271" s="3">
        <v>443</v>
      </c>
      <c r="J7271" s="3">
        <v>291</v>
      </c>
      <c r="K7271" s="3">
        <v>1610</v>
      </c>
      <c r="L7271" s="3">
        <v>642</v>
      </c>
      <c r="M7271" s="3">
        <v>1078</v>
      </c>
    </row>
    <row r="7272" spans="1:13" x14ac:dyDescent="0.25">
      <c r="A7272" s="1" t="str">
        <f>HYPERLINK("http://www.rosaceae.org/Prunus/Prunus_persica/p.persica_gdr_reftransV1_0048278","p.persica_gdr_reftransV1_0048278")</f>
        <v>p.persica_gdr_reftransV1_0048278</v>
      </c>
      <c r="B7272" s="3">
        <v>955</v>
      </c>
      <c r="C7272" s="1" t="str">
        <f>HYPERLINK("http://www.uniprot.org/uniprot/FLA11_ARATH","FLA11_ARATH")</f>
        <v>FLA11_ARATH</v>
      </c>
      <c r="D7272" t="s">
        <v>4459</v>
      </c>
      <c r="E7272" s="3" t="s">
        <v>3</v>
      </c>
      <c r="F7272" s="4">
        <v>9.6399999999999993E-55</v>
      </c>
      <c r="G7272" s="3">
        <v>468</v>
      </c>
      <c r="H7272" s="3">
        <v>71</v>
      </c>
      <c r="I7272" s="3">
        <v>147</v>
      </c>
      <c r="J7272" s="3">
        <v>234</v>
      </c>
      <c r="K7272" s="3">
        <v>671</v>
      </c>
      <c r="L7272" s="3">
        <v>40</v>
      </c>
      <c r="M7272" s="3">
        <v>186</v>
      </c>
    </row>
    <row r="7273" spans="1:13" x14ac:dyDescent="0.25">
      <c r="A7273" s="1" t="str">
        <f>HYPERLINK("http://www.rosaceae.org/Prunus/Prunus_persica/p.persica_gdr_reftransV1_0048328","p.persica_gdr_reftransV1_0048328")</f>
        <v>p.persica_gdr_reftransV1_0048328</v>
      </c>
      <c r="B7273" s="3">
        <v>1519</v>
      </c>
      <c r="C7273" s="1" t="str">
        <f>HYPERLINK("http://www.uniprot.org/uniprot/SK_SOLLC","SK_SOLLC")</f>
        <v>SK_SOLLC</v>
      </c>
      <c r="D7273" t="s">
        <v>5838</v>
      </c>
      <c r="E7273" s="3" t="s">
        <v>64</v>
      </c>
      <c r="F7273" s="4">
        <v>8.2599999999999994E-121</v>
      </c>
      <c r="G7273" s="3">
        <v>932</v>
      </c>
      <c r="H7273" s="3">
        <v>61</v>
      </c>
      <c r="I7273" s="3">
        <v>295</v>
      </c>
      <c r="J7273" s="3">
        <v>278</v>
      </c>
      <c r="K7273" s="3">
        <v>1162</v>
      </c>
      <c r="L7273" s="3">
        <v>1</v>
      </c>
      <c r="M7273" s="3">
        <v>294</v>
      </c>
    </row>
    <row r="7274" spans="1:13" x14ac:dyDescent="0.25">
      <c r="A7274" s="1" t="str">
        <f>HYPERLINK("http://www.rosaceae.org/Prunus/Prunus_persica/p.persica_gdr_reftransV1_0048378","p.persica_gdr_reftransV1_0048378")</f>
        <v>p.persica_gdr_reftransV1_0048378</v>
      </c>
      <c r="B7274" s="3">
        <v>2101</v>
      </c>
      <c r="C7274" s="1" t="str">
        <f>HYPERLINK("http://www.uniprot.org/uniprot/RL18A_CASSA","RL18A_CASSA")</f>
        <v>RL18A_CASSA</v>
      </c>
      <c r="D7274" t="s">
        <v>5839</v>
      </c>
      <c r="E7274" s="3" t="s">
        <v>5840</v>
      </c>
      <c r="F7274" s="4">
        <v>8.3200000000000001E-114</v>
      </c>
      <c r="G7274" s="3">
        <v>890</v>
      </c>
      <c r="H7274" s="3">
        <v>93</v>
      </c>
      <c r="I7274" s="3">
        <v>178</v>
      </c>
      <c r="J7274" s="3">
        <v>307</v>
      </c>
      <c r="K7274" s="3">
        <v>840</v>
      </c>
      <c r="L7274" s="3">
        <v>1</v>
      </c>
      <c r="M7274" s="3">
        <v>178</v>
      </c>
    </row>
    <row r="7275" spans="1:13" x14ac:dyDescent="0.25">
      <c r="A7275" s="1" t="str">
        <f>HYPERLINK("http://www.rosaceae.org/Prunus/Prunus_persica/p.persica_gdr_reftransV1_0048478","p.persica_gdr_reftransV1_0048478")</f>
        <v>p.persica_gdr_reftransV1_0048478</v>
      </c>
      <c r="B7275" s="3">
        <v>2246</v>
      </c>
      <c r="C7275" s="1" t="str">
        <f>HYPERLINK("http://www.uniprot.org/uniprot/DPOE1_ARATH","DPOE1_ARATH")</f>
        <v>DPOE1_ARATH</v>
      </c>
      <c r="D7275" t="s">
        <v>1246</v>
      </c>
      <c r="E7275" s="3" t="s">
        <v>3</v>
      </c>
      <c r="F7275" s="4">
        <v>0</v>
      </c>
      <c r="G7275" s="3">
        <v>3492</v>
      </c>
      <c r="H7275" s="3">
        <v>85</v>
      </c>
      <c r="I7275" s="3">
        <v>748</v>
      </c>
      <c r="J7275" s="3">
        <v>6</v>
      </c>
      <c r="K7275" s="3">
        <v>2246</v>
      </c>
      <c r="L7275" s="3">
        <v>24</v>
      </c>
      <c r="M7275" s="3">
        <v>771</v>
      </c>
    </row>
    <row r="7276" spans="1:13" x14ac:dyDescent="0.25">
      <c r="A7276" s="1" t="str">
        <f>HYPERLINK("http://www.rosaceae.org/Prunus/Prunus_persica/p.persica_gdr_reftransV1_0048528","p.persica_gdr_reftransV1_0048528")</f>
        <v>p.persica_gdr_reftransV1_0048528</v>
      </c>
      <c r="B7276" s="3">
        <v>1798</v>
      </c>
      <c r="C7276" s="1" t="str">
        <f>HYPERLINK("http://www.uniprot.org/uniprot/HSP70_SOYBN","HSP70_SOYBN")</f>
        <v>HSP70_SOYBN</v>
      </c>
      <c r="D7276" t="s">
        <v>4168</v>
      </c>
      <c r="E7276" s="3" t="s">
        <v>307</v>
      </c>
      <c r="F7276" s="4">
        <v>0</v>
      </c>
      <c r="G7276" s="3">
        <v>2272</v>
      </c>
      <c r="H7276" s="3">
        <v>92</v>
      </c>
      <c r="I7276" s="3">
        <v>528</v>
      </c>
      <c r="J7276" s="3">
        <v>2</v>
      </c>
      <c r="K7276" s="3">
        <v>1585</v>
      </c>
      <c r="L7276" s="3">
        <v>90</v>
      </c>
      <c r="M7276" s="3">
        <v>617</v>
      </c>
    </row>
    <row r="7277" spans="1:13" x14ac:dyDescent="0.25">
      <c r="A7277" s="1" t="str">
        <f>HYPERLINK("http://www.rosaceae.org/Prunus/Prunus_persica/p.persica_gdr_reftransV1_0048578","p.persica_gdr_reftransV1_0048578")</f>
        <v>p.persica_gdr_reftransV1_0048578</v>
      </c>
      <c r="B7277" s="3">
        <v>1547</v>
      </c>
      <c r="C7277" s="1" t="str">
        <f>HYPERLINK("http://www.uniprot.org/uniprot/CAHC_PEA","CAHC_PEA")</f>
        <v>CAHC_PEA</v>
      </c>
      <c r="D7277" t="s">
        <v>5519</v>
      </c>
      <c r="E7277" s="3" t="s">
        <v>60</v>
      </c>
      <c r="F7277" s="4">
        <v>8.8199999999999996E-118</v>
      </c>
      <c r="G7277" s="3">
        <v>916</v>
      </c>
      <c r="H7277" s="3">
        <v>76</v>
      </c>
      <c r="I7277" s="3">
        <v>251</v>
      </c>
      <c r="J7277" s="3">
        <v>15</v>
      </c>
      <c r="K7277" s="3">
        <v>764</v>
      </c>
      <c r="L7277" s="3">
        <v>67</v>
      </c>
      <c r="M7277" s="3">
        <v>316</v>
      </c>
    </row>
    <row r="7278" spans="1:13" x14ac:dyDescent="0.25">
      <c r="A7278" s="1" t="str">
        <f>HYPERLINK("http://www.rosaceae.org/Prunus/Prunus_persica/p.persica_gdr_reftransV1_0048678","p.persica_gdr_reftransV1_0048678")</f>
        <v>p.persica_gdr_reftransV1_0048678</v>
      </c>
      <c r="B7278" s="3">
        <v>1248</v>
      </c>
      <c r="C7278" s="1" t="str">
        <f>HYPERLINK("http://www.uniprot.org/uniprot/Y5158_ARATH","Y5158_ARATH")</f>
        <v>Y5158_ARATH</v>
      </c>
      <c r="D7278" t="s">
        <v>2423</v>
      </c>
      <c r="E7278" s="3" t="s">
        <v>3</v>
      </c>
      <c r="F7278" s="4">
        <v>1.4599999999999999E-38</v>
      </c>
      <c r="G7278" s="3">
        <v>377</v>
      </c>
      <c r="H7278" s="3">
        <v>59</v>
      </c>
      <c r="I7278" s="3">
        <v>137</v>
      </c>
      <c r="J7278" s="3">
        <v>852</v>
      </c>
      <c r="K7278" s="3">
        <v>1247</v>
      </c>
      <c r="L7278" s="3">
        <v>46</v>
      </c>
      <c r="M7278" s="3">
        <v>182</v>
      </c>
    </row>
    <row r="7279" spans="1:13" x14ac:dyDescent="0.25">
      <c r="A7279" s="1" t="str">
        <f>HYPERLINK("http://www.rosaceae.org/Prunus/Prunus_persica/p.persica_gdr_reftransV1_0048728","p.persica_gdr_reftransV1_0048728")</f>
        <v>p.persica_gdr_reftransV1_0048728</v>
      </c>
      <c r="B7279" s="3">
        <v>1807</v>
      </c>
      <c r="C7279" s="1" t="str">
        <f>HYPERLINK("http://www.uniprot.org/uniprot/OST1B_ARATH","OST1B_ARATH")</f>
        <v>OST1B_ARATH</v>
      </c>
      <c r="D7279" t="s">
        <v>5841</v>
      </c>
      <c r="E7279" s="3" t="s">
        <v>3</v>
      </c>
      <c r="F7279" s="4">
        <v>0</v>
      </c>
      <c r="G7279" s="3">
        <v>1753</v>
      </c>
      <c r="H7279" s="3">
        <v>73</v>
      </c>
      <c r="I7279" s="3">
        <v>439</v>
      </c>
      <c r="J7279" s="3">
        <v>162</v>
      </c>
      <c r="K7279" s="3">
        <v>1478</v>
      </c>
      <c r="L7279" s="3">
        <v>25</v>
      </c>
      <c r="M7279" s="3">
        <v>463</v>
      </c>
    </row>
    <row r="7280" spans="1:13" x14ac:dyDescent="0.25">
      <c r="A7280" s="1" t="str">
        <f>HYPERLINK("http://www.rosaceae.org/Prunus/Prunus_persica/p.persica_gdr_reftransV1_0048778","p.persica_gdr_reftransV1_0048778")</f>
        <v>p.persica_gdr_reftransV1_0048778</v>
      </c>
      <c r="B7280" s="3">
        <v>466</v>
      </c>
      <c r="C7280" s="1" t="str">
        <f>HYPERLINK("http://www.uniprot.org/uniprot/CLV1_ARATH","CLV1_ARATH")</f>
        <v>CLV1_ARATH</v>
      </c>
      <c r="D7280" t="s">
        <v>2635</v>
      </c>
      <c r="E7280" s="3" t="s">
        <v>3</v>
      </c>
      <c r="F7280" s="4">
        <v>8.8399999999999998E-53</v>
      </c>
      <c r="G7280" s="3">
        <v>467</v>
      </c>
      <c r="H7280" s="3">
        <v>59</v>
      </c>
      <c r="I7280" s="3">
        <v>155</v>
      </c>
      <c r="J7280" s="3">
        <v>2</v>
      </c>
      <c r="K7280" s="3">
        <v>463</v>
      </c>
      <c r="L7280" s="3">
        <v>69</v>
      </c>
      <c r="M7280" s="3">
        <v>223</v>
      </c>
    </row>
    <row r="7281" spans="1:13" x14ac:dyDescent="0.25">
      <c r="A7281" s="1" t="str">
        <f>HYPERLINK("http://www.rosaceae.org/Prunus/Prunus_persica/p.persica_gdr_reftransV1_0048828","p.persica_gdr_reftransV1_0048828")</f>
        <v>p.persica_gdr_reftransV1_0048828</v>
      </c>
      <c r="B7281" s="3">
        <v>2150</v>
      </c>
      <c r="C7281" s="1" t="str">
        <f>HYPERLINK("http://www.uniprot.org/uniprot/RPC1_HUMAN","RPC1_HUMAN")</f>
        <v>RPC1_HUMAN</v>
      </c>
      <c r="D7281" t="s">
        <v>5842</v>
      </c>
      <c r="E7281" s="3" t="s">
        <v>28</v>
      </c>
      <c r="F7281" s="4">
        <v>7.1399999999999998E-141</v>
      </c>
      <c r="G7281" s="3">
        <v>1167</v>
      </c>
      <c r="H7281" s="3">
        <v>47</v>
      </c>
      <c r="I7281" s="3">
        <v>539</v>
      </c>
      <c r="J7281" s="3">
        <v>536</v>
      </c>
      <c r="K7281" s="3">
        <v>2149</v>
      </c>
      <c r="L7281" s="3">
        <v>863</v>
      </c>
      <c r="M7281" s="3">
        <v>1373</v>
      </c>
    </row>
    <row r="7282" spans="1:13" x14ac:dyDescent="0.25">
      <c r="A7282" s="1" t="str">
        <f>HYPERLINK("http://www.rosaceae.org/Prunus/Prunus_persica/p.persica_gdr_reftransV1_0048928","p.persica_gdr_reftransV1_0048928")</f>
        <v>p.persica_gdr_reftransV1_0048928</v>
      </c>
      <c r="B7282" s="3">
        <v>3171</v>
      </c>
      <c r="C7282" s="1" t="str">
        <f>HYPERLINK("http://www.uniprot.org/uniprot/STA1_ARATH","STA1_ARATH")</f>
        <v>STA1_ARATH</v>
      </c>
      <c r="D7282" t="s">
        <v>1090</v>
      </c>
      <c r="E7282" s="3" t="s">
        <v>3</v>
      </c>
      <c r="F7282" s="4">
        <v>0</v>
      </c>
      <c r="G7282" s="3">
        <v>3674</v>
      </c>
      <c r="H7282" s="3">
        <v>71</v>
      </c>
      <c r="I7282" s="3">
        <v>1003</v>
      </c>
      <c r="J7282" s="3">
        <v>313</v>
      </c>
      <c r="K7282" s="3">
        <v>3153</v>
      </c>
      <c r="L7282" s="3">
        <v>29</v>
      </c>
      <c r="M7282" s="3">
        <v>1029</v>
      </c>
    </row>
    <row r="7283" spans="1:13" x14ac:dyDescent="0.25">
      <c r="A7283" s="1" t="str">
        <f>HYPERLINK("http://www.rosaceae.org/Prunus/Prunus_persica/p.persica_gdr_reftransV1_0048978","p.persica_gdr_reftransV1_0048978")</f>
        <v>p.persica_gdr_reftransV1_0048978</v>
      </c>
      <c r="B7283" s="3">
        <v>1781</v>
      </c>
      <c r="C7283" s="1" t="str">
        <f>HYPERLINK("http://www.uniprot.org/uniprot/HAK13_ORYSJ","HAK13_ORYSJ")</f>
        <v>HAK13_ORYSJ</v>
      </c>
      <c r="D7283" t="s">
        <v>3680</v>
      </c>
      <c r="E7283" s="3" t="s">
        <v>38</v>
      </c>
      <c r="F7283" s="4">
        <v>0</v>
      </c>
      <c r="G7283" s="3">
        <v>1605</v>
      </c>
      <c r="H7283" s="3">
        <v>59</v>
      </c>
      <c r="I7283" s="3">
        <v>569</v>
      </c>
      <c r="J7283" s="3">
        <v>1</v>
      </c>
      <c r="K7283" s="3">
        <v>1614</v>
      </c>
      <c r="L7283" s="3">
        <v>218</v>
      </c>
      <c r="M7283" s="3">
        <v>778</v>
      </c>
    </row>
    <row r="7284" spans="1:13" x14ac:dyDescent="0.25">
      <c r="A7284" s="1" t="str">
        <f>HYPERLINK("http://www.rosaceae.org/Prunus/Prunus_persica/p.persica_gdr_reftransV1_0049078","p.persica_gdr_reftransV1_0049078")</f>
        <v>p.persica_gdr_reftransV1_0049078</v>
      </c>
      <c r="B7284" s="3">
        <v>5689</v>
      </c>
      <c r="C7284" s="1" t="str">
        <f>HYPERLINK("http://www.uniprot.org/uniprot/AB10C_ARATH","AB10C_ARATH")</f>
        <v>AB10C_ARATH</v>
      </c>
      <c r="D7284" t="s">
        <v>1068</v>
      </c>
      <c r="E7284" s="3" t="s">
        <v>3</v>
      </c>
      <c r="F7284" s="4">
        <v>0</v>
      </c>
      <c r="G7284" s="3">
        <v>2591</v>
      </c>
      <c r="H7284" s="3">
        <v>75</v>
      </c>
      <c r="I7284" s="3">
        <v>691</v>
      </c>
      <c r="J7284" s="3">
        <v>788</v>
      </c>
      <c r="K7284" s="3">
        <v>2857</v>
      </c>
      <c r="L7284" s="3">
        <v>766</v>
      </c>
      <c r="M7284" s="3">
        <v>1453</v>
      </c>
    </row>
    <row r="7285" spans="1:13" x14ac:dyDescent="0.25">
      <c r="A7285" s="1" t="str">
        <f>HYPERLINK("http://www.rosaceae.org/Prunus/Prunus_persica/p.persica_gdr_reftransV1_0049128","p.persica_gdr_reftransV1_0049128")</f>
        <v>p.persica_gdr_reftransV1_0049128</v>
      </c>
      <c r="B7285" s="3">
        <v>657</v>
      </c>
      <c r="C7285" s="1" t="str">
        <f>HYPERLINK("http://www.uniprot.org/uniprot/LBD42_ARATH","LBD42_ARATH")</f>
        <v>LBD42_ARATH</v>
      </c>
      <c r="D7285" t="s">
        <v>5843</v>
      </c>
      <c r="E7285" s="3" t="s">
        <v>3</v>
      </c>
      <c r="F7285" s="4">
        <v>2.3899999999999999E-8</v>
      </c>
      <c r="G7285" s="3">
        <v>134</v>
      </c>
      <c r="H7285" s="3">
        <v>47</v>
      </c>
      <c r="I7285" s="3">
        <v>83</v>
      </c>
      <c r="J7285" s="3">
        <v>424</v>
      </c>
      <c r="K7285" s="3">
        <v>657</v>
      </c>
      <c r="L7285" s="3">
        <v>87</v>
      </c>
      <c r="M7285" s="3">
        <v>163</v>
      </c>
    </row>
    <row r="7286" spans="1:13" x14ac:dyDescent="0.25">
      <c r="A7286" s="1" t="str">
        <f>HYPERLINK("http://www.rosaceae.org/Prunus/Prunus_persica/p.persica_gdr_reftransV1_0049178","p.persica_gdr_reftransV1_0049178")</f>
        <v>p.persica_gdr_reftransV1_0049178</v>
      </c>
      <c r="B7286" s="3">
        <v>1258</v>
      </c>
      <c r="C7286" s="1" t="str">
        <f>HYPERLINK("http://www.uniprot.org/uniprot/SCL28_ARATH","SCL28_ARATH")</f>
        <v>SCL28_ARATH</v>
      </c>
      <c r="D7286" t="s">
        <v>5844</v>
      </c>
      <c r="E7286" s="3" t="s">
        <v>3</v>
      </c>
      <c r="F7286" s="4">
        <v>5.9599999999999997E-58</v>
      </c>
      <c r="G7286" s="3">
        <v>524</v>
      </c>
      <c r="H7286" s="3">
        <v>45</v>
      </c>
      <c r="I7286" s="3">
        <v>370</v>
      </c>
      <c r="J7286" s="3">
        <v>201</v>
      </c>
      <c r="K7286" s="3">
        <v>1250</v>
      </c>
      <c r="L7286" s="3">
        <v>1</v>
      </c>
      <c r="M7286" s="3">
        <v>310</v>
      </c>
    </row>
    <row r="7287" spans="1:13" x14ac:dyDescent="0.25">
      <c r="A7287" s="1" t="str">
        <f>HYPERLINK("http://www.rosaceae.org/Prunus/Prunus_persica/p.persica_gdr_reftransV1_0000029","p.persica_gdr_reftransV1_0000029")</f>
        <v>p.persica_gdr_reftransV1_0000029</v>
      </c>
      <c r="B7287" s="3">
        <v>1874</v>
      </c>
      <c r="C7287" s="1" t="str">
        <f>HYPERLINK("http://www.uniprot.org/uniprot/RAD23_ORYSJ","RAD23_ORYSJ")</f>
        <v>RAD23_ORYSJ</v>
      </c>
      <c r="D7287" t="s">
        <v>5845</v>
      </c>
      <c r="E7287" s="3" t="s">
        <v>38</v>
      </c>
      <c r="F7287" s="4">
        <v>6.6100000000000002E-122</v>
      </c>
      <c r="G7287" s="3">
        <v>959</v>
      </c>
      <c r="H7287" s="3">
        <v>57</v>
      </c>
      <c r="I7287" s="3">
        <v>391</v>
      </c>
      <c r="J7287" s="3">
        <v>126</v>
      </c>
      <c r="K7287" s="3">
        <v>1280</v>
      </c>
      <c r="L7287" s="3">
        <v>1</v>
      </c>
      <c r="M7287" s="3">
        <v>388</v>
      </c>
    </row>
    <row r="7288" spans="1:13" x14ac:dyDescent="0.25">
      <c r="A7288" s="1" t="str">
        <f>HYPERLINK("http://www.rosaceae.org/Prunus/Prunus_persica/p.persica_gdr_reftransV1_0000079","p.persica_gdr_reftransV1_0000079")</f>
        <v>p.persica_gdr_reftransV1_0000079</v>
      </c>
      <c r="B7288" s="3">
        <v>743</v>
      </c>
      <c r="C7288" s="1" t="str">
        <f>HYPERLINK("http://www.uniprot.org/uniprot/RL23A_DAUCA","RL23A_DAUCA")</f>
        <v>RL23A_DAUCA</v>
      </c>
      <c r="D7288" t="s">
        <v>3607</v>
      </c>
      <c r="E7288" s="3" t="s">
        <v>32</v>
      </c>
      <c r="F7288" s="4">
        <v>4.09E-74</v>
      </c>
      <c r="G7288" s="3">
        <v>583</v>
      </c>
      <c r="H7288" s="3">
        <v>86</v>
      </c>
      <c r="I7288" s="3">
        <v>154</v>
      </c>
      <c r="J7288" s="3">
        <v>89</v>
      </c>
      <c r="K7288" s="3">
        <v>550</v>
      </c>
      <c r="L7288" s="3">
        <v>1</v>
      </c>
      <c r="M7288" s="3">
        <v>154</v>
      </c>
    </row>
    <row r="7289" spans="1:13" x14ac:dyDescent="0.25">
      <c r="A7289" s="1" t="str">
        <f>HYPERLINK("http://www.rosaceae.org/Prunus/Prunus_persica/p.persica_gdr_reftransV1_0000129","p.persica_gdr_reftransV1_0000129")</f>
        <v>p.persica_gdr_reftransV1_0000129</v>
      </c>
      <c r="B7289" s="3">
        <v>1507</v>
      </c>
      <c r="C7289" s="1" t="str">
        <f>HYPERLINK("http://www.uniprot.org/uniprot/AROG_SOLLC","AROG_SOLLC")</f>
        <v>AROG_SOLLC</v>
      </c>
      <c r="D7289" t="s">
        <v>581</v>
      </c>
      <c r="E7289" s="3" t="s">
        <v>64</v>
      </c>
      <c r="F7289" s="4">
        <v>0</v>
      </c>
      <c r="G7289" s="3">
        <v>1266</v>
      </c>
      <c r="H7289" s="3">
        <v>89</v>
      </c>
      <c r="I7289" s="3">
        <v>256</v>
      </c>
      <c r="J7289" s="3">
        <v>317</v>
      </c>
      <c r="K7289" s="3">
        <v>1084</v>
      </c>
      <c r="L7289" s="3">
        <v>284</v>
      </c>
      <c r="M7289" s="3">
        <v>539</v>
      </c>
    </row>
    <row r="7290" spans="1:13" x14ac:dyDescent="0.25">
      <c r="A7290" s="1" t="str">
        <f>HYPERLINK("http://www.rosaceae.org/Prunus/Prunus_persica/p.persica_gdr_reftransV1_0000179","p.persica_gdr_reftransV1_0000179")</f>
        <v>p.persica_gdr_reftransV1_0000179</v>
      </c>
      <c r="B7290" s="3">
        <v>3130</v>
      </c>
      <c r="C7290" s="1" t="str">
        <f>HYPERLINK("http://www.uniprot.org/uniprot/NOG1_ARATH","NOG1_ARATH")</f>
        <v>NOG1_ARATH</v>
      </c>
      <c r="D7290" t="s">
        <v>1934</v>
      </c>
      <c r="E7290" s="3" t="s">
        <v>3</v>
      </c>
      <c r="F7290" s="4">
        <v>0</v>
      </c>
      <c r="G7290" s="3">
        <v>2585</v>
      </c>
      <c r="H7290" s="3">
        <v>78</v>
      </c>
      <c r="I7290" s="3">
        <v>680</v>
      </c>
      <c r="J7290" s="3">
        <v>922</v>
      </c>
      <c r="K7290" s="3">
        <v>2946</v>
      </c>
      <c r="L7290" s="3">
        <v>1</v>
      </c>
      <c r="M7290" s="3">
        <v>671</v>
      </c>
    </row>
    <row r="7291" spans="1:13" x14ac:dyDescent="0.25">
      <c r="A7291" s="1" t="str">
        <f>HYPERLINK("http://www.rosaceae.org/Prunus/Prunus_persica/p.persica_gdr_reftransV1_0000229","p.persica_gdr_reftransV1_0000229")</f>
        <v>p.persica_gdr_reftransV1_0000229</v>
      </c>
      <c r="B7291" s="3">
        <v>1931</v>
      </c>
      <c r="C7291" s="1" t="str">
        <f>HYPERLINK("http://www.uniprot.org/uniprot/IMP4_RAT","IMP4_RAT")</f>
        <v>IMP4_RAT</v>
      </c>
      <c r="D7291" t="s">
        <v>3983</v>
      </c>
      <c r="E7291" s="3" t="s">
        <v>161</v>
      </c>
      <c r="F7291" s="4">
        <v>1.59E-97</v>
      </c>
      <c r="G7291" s="3">
        <v>787</v>
      </c>
      <c r="H7291" s="3">
        <v>54</v>
      </c>
      <c r="I7291" s="3">
        <v>281</v>
      </c>
      <c r="J7291" s="3">
        <v>229</v>
      </c>
      <c r="K7291" s="3">
        <v>1068</v>
      </c>
      <c r="L7291" s="3">
        <v>12</v>
      </c>
      <c r="M7291" s="3">
        <v>288</v>
      </c>
    </row>
    <row r="7292" spans="1:13" x14ac:dyDescent="0.25">
      <c r="A7292" s="1" t="str">
        <f>HYPERLINK("http://www.rosaceae.org/Prunus/Prunus_persica/p.persica_gdr_reftransV1_0000279","p.persica_gdr_reftransV1_0000279")</f>
        <v>p.persica_gdr_reftransV1_0000279</v>
      </c>
      <c r="B7292" s="3">
        <v>813</v>
      </c>
      <c r="C7292" s="1" t="str">
        <f>HYPERLINK("http://www.uniprot.org/uniprot/TIC32_ARATH","TIC32_ARATH")</f>
        <v>TIC32_ARATH</v>
      </c>
      <c r="D7292" t="s">
        <v>2095</v>
      </c>
      <c r="E7292" s="3" t="s">
        <v>3</v>
      </c>
      <c r="F7292" s="4">
        <v>1.9000000000000001E-116</v>
      </c>
      <c r="G7292" s="3">
        <v>882</v>
      </c>
      <c r="H7292" s="3">
        <v>67</v>
      </c>
      <c r="I7292" s="3">
        <v>271</v>
      </c>
      <c r="J7292" s="3">
        <v>2</v>
      </c>
      <c r="K7292" s="3">
        <v>811</v>
      </c>
      <c r="L7292" s="3">
        <v>33</v>
      </c>
      <c r="M7292" s="3">
        <v>303</v>
      </c>
    </row>
    <row r="7293" spans="1:13" x14ac:dyDescent="0.25">
      <c r="A7293" s="1" t="str">
        <f>HYPERLINK("http://www.rosaceae.org/Prunus/Prunus_persica/p.persica_gdr_reftransV1_0000329","p.persica_gdr_reftransV1_0000329")</f>
        <v>p.persica_gdr_reftransV1_0000329</v>
      </c>
      <c r="B7293" s="3">
        <v>1567</v>
      </c>
      <c r="C7293" s="1" t="str">
        <f>HYPERLINK("http://www.uniprot.org/uniprot/MDHM_CITLA","MDHM_CITLA")</f>
        <v>MDHM_CITLA</v>
      </c>
      <c r="D7293" t="s">
        <v>5846</v>
      </c>
      <c r="E7293" s="3" t="s">
        <v>1259</v>
      </c>
      <c r="F7293" s="4">
        <v>5.7099999999999998E-151</v>
      </c>
      <c r="G7293" s="3">
        <v>1139</v>
      </c>
      <c r="H7293" s="3">
        <v>87</v>
      </c>
      <c r="I7293" s="3">
        <v>253</v>
      </c>
      <c r="J7293" s="3">
        <v>3</v>
      </c>
      <c r="K7293" s="3">
        <v>761</v>
      </c>
      <c r="L7293" s="3">
        <v>93</v>
      </c>
      <c r="M7293" s="3">
        <v>344</v>
      </c>
    </row>
    <row r="7294" spans="1:13" x14ac:dyDescent="0.25">
      <c r="A7294" s="1" t="str">
        <f>HYPERLINK("http://www.rosaceae.org/Prunus/Prunus_persica/p.persica_gdr_reftransV1_0000379","p.persica_gdr_reftransV1_0000379")</f>
        <v>p.persica_gdr_reftransV1_0000379</v>
      </c>
      <c r="B7294" s="3">
        <v>1077</v>
      </c>
      <c r="C7294" s="1" t="str">
        <f>HYPERLINK("http://www.uniprot.org/uniprot/UBP12_ARATH","UBP12_ARATH")</f>
        <v>UBP12_ARATH</v>
      </c>
      <c r="D7294" t="s">
        <v>5651</v>
      </c>
      <c r="E7294" s="3" t="s">
        <v>3</v>
      </c>
      <c r="F7294" s="4">
        <v>3.45E-10</v>
      </c>
      <c r="G7294" s="3">
        <v>158</v>
      </c>
      <c r="H7294" s="3">
        <v>31</v>
      </c>
      <c r="I7294" s="3">
        <v>137</v>
      </c>
      <c r="J7294" s="3">
        <v>70</v>
      </c>
      <c r="K7294" s="3">
        <v>462</v>
      </c>
      <c r="L7294" s="3">
        <v>51</v>
      </c>
      <c r="M7294" s="3">
        <v>182</v>
      </c>
    </row>
    <row r="7295" spans="1:13" x14ac:dyDescent="0.25">
      <c r="A7295" s="1" t="str">
        <f>HYPERLINK("http://www.rosaceae.org/Prunus/Prunus_persica/p.persica_gdr_reftransV1_0000429","p.persica_gdr_reftransV1_0000429")</f>
        <v>p.persica_gdr_reftransV1_0000429</v>
      </c>
      <c r="B7295" s="3">
        <v>1525</v>
      </c>
      <c r="C7295" s="1" t="str">
        <f>HYPERLINK("http://www.uniprot.org/uniprot/PLP2_ARATH","PLP2_ARATH")</f>
        <v>PLP2_ARATH</v>
      </c>
      <c r="D7295" t="s">
        <v>2299</v>
      </c>
      <c r="E7295" s="3" t="s">
        <v>3</v>
      </c>
      <c r="F7295" s="4">
        <v>0</v>
      </c>
      <c r="G7295" s="3">
        <v>1383</v>
      </c>
      <c r="H7295" s="3">
        <v>66</v>
      </c>
      <c r="I7295" s="3">
        <v>393</v>
      </c>
      <c r="J7295" s="3">
        <v>141</v>
      </c>
      <c r="K7295" s="3">
        <v>1319</v>
      </c>
      <c r="L7295" s="3">
        <v>3</v>
      </c>
      <c r="M7295" s="3">
        <v>394</v>
      </c>
    </row>
    <row r="7296" spans="1:13" x14ac:dyDescent="0.25">
      <c r="A7296" s="1" t="str">
        <f>HYPERLINK("http://www.rosaceae.org/Prunus/Prunus_persica/p.persica_gdr_reftransV1_0000579","p.persica_gdr_reftransV1_0000579")</f>
        <v>p.persica_gdr_reftransV1_0000579</v>
      </c>
      <c r="B7296" s="3">
        <v>497</v>
      </c>
      <c r="C7296" s="1" t="str">
        <f>HYPERLINK("http://www.uniprot.org/uniprot/MYB23_ARATH","MYB23_ARATH")</f>
        <v>MYB23_ARATH</v>
      </c>
      <c r="D7296" t="s">
        <v>4104</v>
      </c>
      <c r="E7296" s="3" t="s">
        <v>3</v>
      </c>
      <c r="F7296" s="4">
        <v>8.7300000000000002E-13</v>
      </c>
      <c r="G7296" s="3">
        <v>162</v>
      </c>
      <c r="H7296" s="3">
        <v>37</v>
      </c>
      <c r="I7296" s="3">
        <v>130</v>
      </c>
      <c r="J7296" s="3">
        <v>2</v>
      </c>
      <c r="K7296" s="3">
        <v>391</v>
      </c>
      <c r="L7296" s="3">
        <v>89</v>
      </c>
      <c r="M7296" s="3">
        <v>207</v>
      </c>
    </row>
    <row r="7297" spans="1:13" x14ac:dyDescent="0.25">
      <c r="A7297" s="1" t="str">
        <f>HYPERLINK("http://www.rosaceae.org/Prunus/Prunus_persica/p.persica_gdr_reftransV1_0000629","p.persica_gdr_reftransV1_0000629")</f>
        <v>p.persica_gdr_reftransV1_0000629</v>
      </c>
      <c r="B7297" s="3">
        <v>1016</v>
      </c>
      <c r="C7297" s="1" t="str">
        <f>HYPERLINK("http://www.uniprot.org/uniprot/PP407_ARATH","PP407_ARATH")</f>
        <v>PP407_ARATH</v>
      </c>
      <c r="D7297" t="s">
        <v>724</v>
      </c>
      <c r="E7297" s="3" t="s">
        <v>3</v>
      </c>
      <c r="F7297" s="4">
        <v>1.79E-39</v>
      </c>
      <c r="G7297" s="3">
        <v>384</v>
      </c>
      <c r="H7297" s="3">
        <v>33</v>
      </c>
      <c r="I7297" s="3">
        <v>289</v>
      </c>
      <c r="J7297" s="3">
        <v>20</v>
      </c>
      <c r="K7297" s="3">
        <v>850</v>
      </c>
      <c r="L7297" s="3">
        <v>188</v>
      </c>
      <c r="M7297" s="3">
        <v>472</v>
      </c>
    </row>
    <row r="7298" spans="1:13" x14ac:dyDescent="0.25">
      <c r="A7298" s="1" t="str">
        <f>HYPERLINK("http://www.rosaceae.org/Prunus/Prunus_persica/p.persica_gdr_reftransV1_0000679","p.persica_gdr_reftransV1_0000679")</f>
        <v>p.persica_gdr_reftransV1_0000679</v>
      </c>
      <c r="B7298" s="3">
        <v>1194</v>
      </c>
      <c r="C7298" s="1" t="str">
        <f>HYPERLINK("http://www.uniprot.org/uniprot/PSA7_CICAR","PSA7_CICAR")</f>
        <v>PSA7_CICAR</v>
      </c>
      <c r="D7298" t="s">
        <v>5847</v>
      </c>
      <c r="E7298" s="3" t="s">
        <v>944</v>
      </c>
      <c r="F7298" s="4">
        <v>2.5199999999999999E-153</v>
      </c>
      <c r="G7298" s="3">
        <v>1132</v>
      </c>
      <c r="H7298" s="3">
        <v>96</v>
      </c>
      <c r="I7298" s="3">
        <v>219</v>
      </c>
      <c r="J7298" s="3">
        <v>156</v>
      </c>
      <c r="K7298" s="3">
        <v>812</v>
      </c>
      <c r="L7298" s="3">
        <v>1</v>
      </c>
      <c r="M7298" s="3">
        <v>219</v>
      </c>
    </row>
    <row r="7299" spans="1:13" x14ac:dyDescent="0.25">
      <c r="A7299" s="1" t="str">
        <f>HYPERLINK("http://www.rosaceae.org/Prunus/Prunus_persica/p.persica_gdr_reftransV1_0000729","p.persica_gdr_reftransV1_0000729")</f>
        <v>p.persica_gdr_reftransV1_0000729</v>
      </c>
      <c r="B7299" s="3">
        <v>3258</v>
      </c>
      <c r="C7299" s="1" t="str">
        <f>HYPERLINK("http://www.uniprot.org/uniprot/RCD1_ARATH","RCD1_ARATH")</f>
        <v>RCD1_ARATH</v>
      </c>
      <c r="D7299" t="s">
        <v>4220</v>
      </c>
      <c r="E7299" s="3" t="s">
        <v>3</v>
      </c>
      <c r="F7299" s="4">
        <v>4.2399999999999998E-105</v>
      </c>
      <c r="G7299" s="3">
        <v>893</v>
      </c>
      <c r="H7299" s="3">
        <v>44</v>
      </c>
      <c r="I7299" s="3">
        <v>454</v>
      </c>
      <c r="J7299" s="3">
        <v>612</v>
      </c>
      <c r="K7299" s="3">
        <v>1946</v>
      </c>
      <c r="L7299" s="3">
        <v>1</v>
      </c>
      <c r="M7299" s="3">
        <v>443</v>
      </c>
    </row>
    <row r="7300" spans="1:13" x14ac:dyDescent="0.25">
      <c r="A7300" s="1" t="str">
        <f>HYPERLINK("http://www.rosaceae.org/Prunus/Prunus_persica/p.persica_gdr_reftransV1_0000779","p.persica_gdr_reftransV1_0000779")</f>
        <v>p.persica_gdr_reftransV1_0000779</v>
      </c>
      <c r="B7300" s="3">
        <v>1292</v>
      </c>
      <c r="C7300" s="1" t="str">
        <f>HYPERLINK("http://www.uniprot.org/uniprot/APX2_ARATH","APX2_ARATH")</f>
        <v>APX2_ARATH</v>
      </c>
      <c r="D7300" t="s">
        <v>5848</v>
      </c>
      <c r="E7300" s="3" t="s">
        <v>3</v>
      </c>
      <c r="F7300" s="4">
        <v>1.48E-136</v>
      </c>
      <c r="G7300" s="3">
        <v>1024</v>
      </c>
      <c r="H7300" s="3">
        <v>83</v>
      </c>
      <c r="I7300" s="3">
        <v>225</v>
      </c>
      <c r="J7300" s="3">
        <v>451</v>
      </c>
      <c r="K7300" s="3">
        <v>1125</v>
      </c>
      <c r="L7300" s="3">
        <v>2</v>
      </c>
      <c r="M7300" s="3">
        <v>226</v>
      </c>
    </row>
    <row r="7301" spans="1:13" x14ac:dyDescent="0.25">
      <c r="A7301" s="1" t="str">
        <f>HYPERLINK("http://www.rosaceae.org/Prunus/Prunus_persica/p.persica_gdr_reftransV1_0000879","p.persica_gdr_reftransV1_0000879")</f>
        <v>p.persica_gdr_reftransV1_0000879</v>
      </c>
      <c r="B7301" s="3">
        <v>684</v>
      </c>
      <c r="C7301" s="1" t="str">
        <f>HYPERLINK("http://www.uniprot.org/uniprot/PUR8_PSEAE","PUR8_PSEAE")</f>
        <v>PUR8_PSEAE</v>
      </c>
      <c r="D7301" t="s">
        <v>2932</v>
      </c>
      <c r="E7301" s="3" t="s">
        <v>2933</v>
      </c>
      <c r="F7301" s="4">
        <v>1.61E-97</v>
      </c>
      <c r="G7301" s="3">
        <v>763</v>
      </c>
      <c r="H7301" s="3">
        <v>61</v>
      </c>
      <c r="I7301" s="3">
        <v>225</v>
      </c>
      <c r="J7301" s="3">
        <v>1</v>
      </c>
      <c r="K7301" s="3">
        <v>672</v>
      </c>
      <c r="L7301" s="3">
        <v>108</v>
      </c>
      <c r="M7301" s="3">
        <v>332</v>
      </c>
    </row>
    <row r="7302" spans="1:13" x14ac:dyDescent="0.25">
      <c r="A7302" s="1" t="str">
        <f>HYPERLINK("http://www.rosaceae.org/Prunus/Prunus_persica/p.persica_gdr_reftransV1_0001029","p.persica_gdr_reftransV1_0001029")</f>
        <v>p.persica_gdr_reftransV1_0001029</v>
      </c>
      <c r="B7302" s="3">
        <v>477</v>
      </c>
      <c r="C7302" s="1" t="str">
        <f>HYPERLINK("http://www.uniprot.org/uniprot/Y3209_ORYSJ","Y3209_ORYSJ")</f>
        <v>Y3209_ORYSJ</v>
      </c>
      <c r="D7302" t="s">
        <v>5849</v>
      </c>
      <c r="E7302" s="3" t="s">
        <v>38</v>
      </c>
      <c r="F7302" s="4">
        <v>6.29E-66</v>
      </c>
      <c r="G7302" s="3">
        <v>533</v>
      </c>
      <c r="H7302" s="3">
        <v>85</v>
      </c>
      <c r="I7302" s="3">
        <v>112</v>
      </c>
      <c r="J7302" s="3">
        <v>124</v>
      </c>
      <c r="K7302" s="3">
        <v>459</v>
      </c>
      <c r="L7302" s="3">
        <v>30</v>
      </c>
      <c r="M7302" s="3">
        <v>141</v>
      </c>
    </row>
    <row r="7303" spans="1:13" x14ac:dyDescent="0.25">
      <c r="A7303" s="1" t="str">
        <f>HYPERLINK("http://www.rosaceae.org/Prunus/Prunus_persica/p.persica_gdr_reftransV1_0001179","p.persica_gdr_reftransV1_0001179")</f>
        <v>p.persica_gdr_reftransV1_0001179</v>
      </c>
      <c r="B7303" s="3">
        <v>422</v>
      </c>
      <c r="C7303" s="1" t="str">
        <f>HYPERLINK("http://www.uniprot.org/uniprot/PTR21_ARATH","PTR21_ARATH")</f>
        <v>PTR21_ARATH</v>
      </c>
      <c r="D7303" t="s">
        <v>415</v>
      </c>
      <c r="E7303" s="3" t="s">
        <v>3</v>
      </c>
      <c r="F7303" s="4">
        <v>4.2099999999999999E-39</v>
      </c>
      <c r="G7303" s="3">
        <v>360</v>
      </c>
      <c r="H7303" s="3">
        <v>59</v>
      </c>
      <c r="I7303" s="3">
        <v>140</v>
      </c>
      <c r="J7303" s="3">
        <v>1</v>
      </c>
      <c r="K7303" s="3">
        <v>420</v>
      </c>
      <c r="L7303" s="3">
        <v>130</v>
      </c>
      <c r="M7303" s="3">
        <v>266</v>
      </c>
    </row>
    <row r="7304" spans="1:13" x14ac:dyDescent="0.25">
      <c r="A7304" s="1" t="str">
        <f>HYPERLINK("http://www.rosaceae.org/Prunus/Prunus_persica/p.persica_gdr_reftransV1_0001229","p.persica_gdr_reftransV1_0001229")</f>
        <v>p.persica_gdr_reftransV1_0001229</v>
      </c>
      <c r="B7304" s="3">
        <v>1802</v>
      </c>
      <c r="C7304" s="1" t="str">
        <f>HYPERLINK("http://www.uniprot.org/uniprot/GCP6_HUMAN","GCP6_HUMAN")</f>
        <v>GCP6_HUMAN</v>
      </c>
      <c r="D7304" t="s">
        <v>5850</v>
      </c>
      <c r="E7304" s="3" t="s">
        <v>28</v>
      </c>
      <c r="F7304" s="4">
        <v>1.4E-19</v>
      </c>
      <c r="G7304" s="3">
        <v>195</v>
      </c>
      <c r="H7304" s="3">
        <v>26</v>
      </c>
      <c r="I7304" s="3">
        <v>237</v>
      </c>
      <c r="J7304" s="3">
        <v>832</v>
      </c>
      <c r="K7304" s="3">
        <v>1536</v>
      </c>
      <c r="L7304" s="3">
        <v>1474</v>
      </c>
      <c r="M7304" s="3">
        <v>1697</v>
      </c>
    </row>
    <row r="7305" spans="1:13" x14ac:dyDescent="0.25">
      <c r="A7305" s="1" t="str">
        <f>HYPERLINK("http://www.rosaceae.org/Prunus/Prunus_persica/p.persica_gdr_reftransV1_0001279","p.persica_gdr_reftransV1_0001279")</f>
        <v>p.persica_gdr_reftransV1_0001279</v>
      </c>
      <c r="B7305" s="3">
        <v>1265</v>
      </c>
      <c r="C7305" s="1" t="str">
        <f>HYPERLINK("http://www.uniprot.org/uniprot/UBP8_ARATH","UBP8_ARATH")</f>
        <v>UBP8_ARATH</v>
      </c>
      <c r="D7305" t="s">
        <v>2533</v>
      </c>
      <c r="E7305" s="3" t="s">
        <v>3</v>
      </c>
      <c r="F7305" s="4">
        <v>1.7500000000000001E-80</v>
      </c>
      <c r="G7305" s="3">
        <v>693</v>
      </c>
      <c r="H7305" s="3">
        <v>44</v>
      </c>
      <c r="I7305" s="3">
        <v>352</v>
      </c>
      <c r="J7305" s="3">
        <v>2</v>
      </c>
      <c r="K7305" s="3">
        <v>991</v>
      </c>
      <c r="L7305" s="3">
        <v>19</v>
      </c>
      <c r="M7305" s="3">
        <v>360</v>
      </c>
    </row>
    <row r="7306" spans="1:13" x14ac:dyDescent="0.25">
      <c r="A7306" s="1" t="str">
        <f>HYPERLINK("http://www.rosaceae.org/Prunus/Prunus_persica/p.persica_gdr_reftransV1_0001429","p.persica_gdr_reftransV1_0001429")</f>
        <v>p.persica_gdr_reftransV1_0001429</v>
      </c>
      <c r="B7306" s="3">
        <v>1779</v>
      </c>
      <c r="C7306" s="1" t="str">
        <f>HYPERLINK("http://www.uniprot.org/uniprot/ELP5_ARATH","ELP5_ARATH")</f>
        <v>ELP5_ARATH</v>
      </c>
      <c r="D7306" t="s">
        <v>158</v>
      </c>
      <c r="E7306" s="3" t="s">
        <v>3</v>
      </c>
      <c r="F7306" s="4">
        <v>1.47E-123</v>
      </c>
      <c r="G7306" s="3">
        <v>965</v>
      </c>
      <c r="H7306" s="3">
        <v>54</v>
      </c>
      <c r="I7306" s="3">
        <v>362</v>
      </c>
      <c r="J7306" s="3">
        <v>655</v>
      </c>
      <c r="K7306" s="3">
        <v>1734</v>
      </c>
      <c r="L7306" s="3">
        <v>1</v>
      </c>
      <c r="M7306" s="3">
        <v>355</v>
      </c>
    </row>
    <row r="7307" spans="1:13" x14ac:dyDescent="0.25">
      <c r="A7307" s="1" t="str">
        <f>HYPERLINK("http://www.rosaceae.org/Prunus/Prunus_persica/p.persica_gdr_reftransV1_0001479","p.persica_gdr_reftransV1_0001479")</f>
        <v>p.persica_gdr_reftransV1_0001479</v>
      </c>
      <c r="B7307" s="3">
        <v>2165</v>
      </c>
      <c r="C7307" s="1" t="str">
        <f>HYPERLINK("http://www.uniprot.org/uniprot/AIL6_ARATH","AIL6_ARATH")</f>
        <v>AIL6_ARATH</v>
      </c>
      <c r="D7307" t="s">
        <v>5851</v>
      </c>
      <c r="E7307" s="3" t="s">
        <v>3</v>
      </c>
      <c r="F7307" s="4">
        <v>4.9199999999999997E-180</v>
      </c>
      <c r="G7307" s="3">
        <v>1374</v>
      </c>
      <c r="H7307" s="3">
        <v>59</v>
      </c>
      <c r="I7307" s="3">
        <v>594</v>
      </c>
      <c r="J7307" s="3">
        <v>361</v>
      </c>
      <c r="K7307" s="3">
        <v>1920</v>
      </c>
      <c r="L7307" s="3">
        <v>2</v>
      </c>
      <c r="M7307" s="3">
        <v>578</v>
      </c>
    </row>
    <row r="7308" spans="1:13" x14ac:dyDescent="0.25">
      <c r="A7308" s="1" t="str">
        <f>HYPERLINK("http://www.rosaceae.org/Prunus/Prunus_persica/p.persica_gdr_reftransV1_0001529","p.persica_gdr_reftransV1_0001529")</f>
        <v>p.persica_gdr_reftransV1_0001529</v>
      </c>
      <c r="B7308" s="3">
        <v>353</v>
      </c>
      <c r="C7308" s="1" t="str">
        <f>HYPERLINK("http://www.uniprot.org/uniprot/TMVRN_NICGU","TMVRN_NICGU")</f>
        <v>TMVRN_NICGU</v>
      </c>
      <c r="D7308" t="s">
        <v>151</v>
      </c>
      <c r="E7308" s="3" t="s">
        <v>152</v>
      </c>
      <c r="F7308" s="4">
        <v>3.77E-9</v>
      </c>
      <c r="G7308" s="3">
        <v>138</v>
      </c>
      <c r="H7308" s="3">
        <v>34</v>
      </c>
      <c r="I7308" s="3">
        <v>89</v>
      </c>
      <c r="J7308" s="3">
        <v>19</v>
      </c>
      <c r="K7308" s="3">
        <v>285</v>
      </c>
      <c r="L7308" s="3">
        <v>828</v>
      </c>
      <c r="M7308" s="3">
        <v>916</v>
      </c>
    </row>
    <row r="7309" spans="1:13" x14ac:dyDescent="0.25">
      <c r="A7309" s="1" t="str">
        <f>HYPERLINK("http://www.rosaceae.org/Prunus/Prunus_persica/p.persica_gdr_reftransV1_0001579","p.persica_gdr_reftransV1_0001579")</f>
        <v>p.persica_gdr_reftransV1_0001579</v>
      </c>
      <c r="B7309" s="3">
        <v>1967</v>
      </c>
      <c r="C7309" s="1" t="str">
        <f>HYPERLINK("http://www.uniprot.org/uniprot/UXS1_ARATH","UXS1_ARATH")</f>
        <v>UXS1_ARATH</v>
      </c>
      <c r="D7309" t="s">
        <v>5852</v>
      </c>
      <c r="E7309" s="3" t="s">
        <v>3</v>
      </c>
      <c r="F7309" s="4">
        <v>0</v>
      </c>
      <c r="G7309" s="3">
        <v>1886</v>
      </c>
      <c r="H7309" s="3">
        <v>82</v>
      </c>
      <c r="I7309" s="3">
        <v>440</v>
      </c>
      <c r="J7309" s="3">
        <v>320</v>
      </c>
      <c r="K7309" s="3">
        <v>1612</v>
      </c>
      <c r="L7309" s="3">
        <v>1</v>
      </c>
      <c r="M7309" s="3">
        <v>435</v>
      </c>
    </row>
    <row r="7310" spans="1:13" x14ac:dyDescent="0.25">
      <c r="A7310" s="1" t="str">
        <f>HYPERLINK("http://www.rosaceae.org/Prunus/Prunus_persica/p.persica_gdr_reftransV1_0001629","p.persica_gdr_reftransV1_0001629")</f>
        <v>p.persica_gdr_reftransV1_0001629</v>
      </c>
      <c r="B7310" s="3">
        <v>2192</v>
      </c>
      <c r="C7310" s="1" t="str">
        <f>HYPERLINK("http://www.uniprot.org/uniprot/CBF5_ARATH","CBF5_ARATH")</f>
        <v>CBF5_ARATH</v>
      </c>
      <c r="D7310" t="s">
        <v>5853</v>
      </c>
      <c r="E7310" s="3" t="s">
        <v>3</v>
      </c>
      <c r="F7310" s="4">
        <v>0</v>
      </c>
      <c r="G7310" s="3">
        <v>1862</v>
      </c>
      <c r="H7310" s="3">
        <v>92</v>
      </c>
      <c r="I7310" s="3">
        <v>385</v>
      </c>
      <c r="J7310" s="3">
        <v>805</v>
      </c>
      <c r="K7310" s="3">
        <v>1959</v>
      </c>
      <c r="L7310" s="3">
        <v>27</v>
      </c>
      <c r="M7310" s="3">
        <v>411</v>
      </c>
    </row>
    <row r="7311" spans="1:13" x14ac:dyDescent="0.25">
      <c r="A7311" s="1" t="str">
        <f>HYPERLINK("http://www.rosaceae.org/Prunus/Prunus_persica/p.persica_gdr_reftransV1_0001779","p.persica_gdr_reftransV1_0001779")</f>
        <v>p.persica_gdr_reftransV1_0001779</v>
      </c>
      <c r="B7311" s="3">
        <v>618</v>
      </c>
      <c r="C7311" s="1" t="str">
        <f>HYPERLINK("http://www.uniprot.org/uniprot/PCP_HUMAN","PCP_HUMAN")</f>
        <v>PCP_HUMAN</v>
      </c>
      <c r="D7311" t="s">
        <v>5854</v>
      </c>
      <c r="E7311" s="3" t="s">
        <v>28</v>
      </c>
      <c r="F7311" s="4">
        <v>6.9600000000000001E-46</v>
      </c>
      <c r="G7311" s="3">
        <v>413</v>
      </c>
      <c r="H7311" s="3">
        <v>46</v>
      </c>
      <c r="I7311" s="3">
        <v>177</v>
      </c>
      <c r="J7311" s="3">
        <v>3</v>
      </c>
      <c r="K7311" s="3">
        <v>521</v>
      </c>
      <c r="L7311" s="3">
        <v>47</v>
      </c>
      <c r="M7311" s="3">
        <v>214</v>
      </c>
    </row>
    <row r="7312" spans="1:13" x14ac:dyDescent="0.25">
      <c r="A7312" s="1" t="str">
        <f>HYPERLINK("http://www.rosaceae.org/Prunus/Prunus_persica/p.persica_gdr_reftransV1_0001829","p.persica_gdr_reftransV1_0001829")</f>
        <v>p.persica_gdr_reftransV1_0001829</v>
      </c>
      <c r="B7312" s="3">
        <v>454</v>
      </c>
      <c r="C7312" s="1" t="str">
        <f>HYPERLINK("http://www.uniprot.org/uniprot/Y1675_ARATH","Y1675_ARATH")</f>
        <v>Y1675_ARATH</v>
      </c>
      <c r="D7312" t="s">
        <v>116</v>
      </c>
      <c r="E7312" s="3" t="s">
        <v>3</v>
      </c>
      <c r="F7312" s="4">
        <v>1.3800000000000001E-21</v>
      </c>
      <c r="G7312" s="3">
        <v>236</v>
      </c>
      <c r="H7312" s="3">
        <v>43</v>
      </c>
      <c r="I7312" s="3">
        <v>145</v>
      </c>
      <c r="J7312" s="3">
        <v>40</v>
      </c>
      <c r="K7312" s="3">
        <v>453</v>
      </c>
      <c r="L7312" s="3">
        <v>25</v>
      </c>
      <c r="M7312" s="3">
        <v>167</v>
      </c>
    </row>
    <row r="7313" spans="1:13" x14ac:dyDescent="0.25">
      <c r="A7313" s="1" t="str">
        <f>HYPERLINK("http://www.rosaceae.org/Prunus/Prunus_persica/p.persica_gdr_reftransV1_0001879","p.persica_gdr_reftransV1_0001879")</f>
        <v>p.persica_gdr_reftransV1_0001879</v>
      </c>
      <c r="B7313" s="3">
        <v>463</v>
      </c>
      <c r="C7313" s="1" t="str">
        <f>HYPERLINK("http://www.uniprot.org/uniprot/MDN1_DICDI","MDN1_DICDI")</f>
        <v>MDN1_DICDI</v>
      </c>
      <c r="D7313" t="s">
        <v>406</v>
      </c>
      <c r="E7313" s="3" t="s">
        <v>9</v>
      </c>
      <c r="F7313" s="4">
        <v>1.66E-36</v>
      </c>
      <c r="G7313" s="3">
        <v>351</v>
      </c>
      <c r="H7313" s="3">
        <v>46</v>
      </c>
      <c r="I7313" s="3">
        <v>160</v>
      </c>
      <c r="J7313" s="3">
        <v>15</v>
      </c>
      <c r="K7313" s="3">
        <v>458</v>
      </c>
      <c r="L7313" s="3">
        <v>1329</v>
      </c>
      <c r="M7313" s="3">
        <v>1488</v>
      </c>
    </row>
    <row r="7314" spans="1:13" x14ac:dyDescent="0.25">
      <c r="A7314" s="1" t="str">
        <f>HYPERLINK("http://www.rosaceae.org/Prunus/Prunus_persica/p.persica_gdr_reftransV1_0001979","p.persica_gdr_reftransV1_0001979")</f>
        <v>p.persica_gdr_reftransV1_0001979</v>
      </c>
      <c r="B7314" s="3">
        <v>489</v>
      </c>
      <c r="C7314" s="1" t="str">
        <f>HYPERLINK("http://www.uniprot.org/uniprot/MUG73_SCHPO","MUG73_SCHPO")</f>
        <v>MUG73_SCHPO</v>
      </c>
      <c r="D7314" t="s">
        <v>5855</v>
      </c>
      <c r="E7314" s="3" t="s">
        <v>464</v>
      </c>
      <c r="F7314" s="4">
        <v>9.9999999999999995E-21</v>
      </c>
      <c r="G7314" s="3">
        <v>223</v>
      </c>
      <c r="H7314" s="3">
        <v>35</v>
      </c>
      <c r="I7314" s="3">
        <v>160</v>
      </c>
      <c r="J7314" s="3">
        <v>12</v>
      </c>
      <c r="K7314" s="3">
        <v>488</v>
      </c>
      <c r="L7314" s="3">
        <v>25</v>
      </c>
      <c r="M7314" s="3">
        <v>183</v>
      </c>
    </row>
    <row r="7315" spans="1:13" x14ac:dyDescent="0.25">
      <c r="A7315" s="1" t="str">
        <f>HYPERLINK("http://www.rosaceae.org/Prunus/Prunus_persica/p.persica_gdr_reftransV1_0002029","p.persica_gdr_reftransV1_0002029")</f>
        <v>p.persica_gdr_reftransV1_0002029</v>
      </c>
      <c r="B7315" s="3">
        <v>2473</v>
      </c>
      <c r="C7315" s="1" t="str">
        <f>HYPERLINK("http://www.uniprot.org/uniprot/CTR1_ARATH","CTR1_ARATH")</f>
        <v>CTR1_ARATH</v>
      </c>
      <c r="D7315" t="s">
        <v>3566</v>
      </c>
      <c r="E7315" s="3" t="s">
        <v>3</v>
      </c>
      <c r="F7315" s="4">
        <v>5.01E-46</v>
      </c>
      <c r="G7315" s="3">
        <v>458</v>
      </c>
      <c r="H7315" s="3">
        <v>55</v>
      </c>
      <c r="I7315" s="3">
        <v>156</v>
      </c>
      <c r="J7315" s="3">
        <v>1279</v>
      </c>
      <c r="K7315" s="3">
        <v>1740</v>
      </c>
      <c r="L7315" s="3">
        <v>542</v>
      </c>
      <c r="M7315" s="3">
        <v>697</v>
      </c>
    </row>
    <row r="7316" spans="1:13" x14ac:dyDescent="0.25">
      <c r="A7316" s="1" t="str">
        <f>HYPERLINK("http://www.rosaceae.org/Prunus/Prunus_persica/p.persica_gdr_reftransV1_0002129","p.persica_gdr_reftransV1_0002129")</f>
        <v>p.persica_gdr_reftransV1_0002129</v>
      </c>
      <c r="B7316" s="3">
        <v>1189</v>
      </c>
      <c r="C7316" s="1" t="str">
        <f>HYPERLINK("http://www.uniprot.org/uniprot/CRR28_ARATH","CRR28_ARATH")</f>
        <v>CRR28_ARATH</v>
      </c>
      <c r="D7316" t="s">
        <v>5856</v>
      </c>
      <c r="E7316" s="3" t="s">
        <v>3</v>
      </c>
      <c r="F7316" s="4">
        <v>8.2699999999999995E-26</v>
      </c>
      <c r="G7316" s="3">
        <v>271</v>
      </c>
      <c r="H7316" s="3">
        <v>34</v>
      </c>
      <c r="I7316" s="3">
        <v>221</v>
      </c>
      <c r="J7316" s="3">
        <v>267</v>
      </c>
      <c r="K7316" s="3">
        <v>911</v>
      </c>
      <c r="L7316" s="3">
        <v>38</v>
      </c>
      <c r="M7316" s="3">
        <v>254</v>
      </c>
    </row>
    <row r="7317" spans="1:13" x14ac:dyDescent="0.25">
      <c r="A7317" s="1" t="str">
        <f>HYPERLINK("http://www.rosaceae.org/Prunus/Prunus_persica/p.persica_gdr_reftransV1_0002179","p.persica_gdr_reftransV1_0002179")</f>
        <v>p.persica_gdr_reftransV1_0002179</v>
      </c>
      <c r="B7317" s="3">
        <v>1403</v>
      </c>
      <c r="C7317" s="1" t="str">
        <f>HYPERLINK("http://www.uniprot.org/uniprot/ACCH1_ARATH","ACCH1_ARATH")</f>
        <v>ACCH1_ARATH</v>
      </c>
      <c r="D7317" t="s">
        <v>1325</v>
      </c>
      <c r="E7317" s="3" t="s">
        <v>3</v>
      </c>
      <c r="F7317" s="4">
        <v>5.59E-133</v>
      </c>
      <c r="G7317" s="3">
        <v>1016</v>
      </c>
      <c r="H7317" s="3">
        <v>55</v>
      </c>
      <c r="I7317" s="3">
        <v>356</v>
      </c>
      <c r="J7317" s="3">
        <v>97</v>
      </c>
      <c r="K7317" s="3">
        <v>1155</v>
      </c>
      <c r="L7317" s="3">
        <v>13</v>
      </c>
      <c r="M7317" s="3">
        <v>364</v>
      </c>
    </row>
    <row r="7318" spans="1:13" x14ac:dyDescent="0.25">
      <c r="A7318" s="1" t="str">
        <f>HYPERLINK("http://www.rosaceae.org/Prunus/Prunus_persica/p.persica_gdr_reftransV1_0002229","p.persica_gdr_reftransV1_0002229")</f>
        <v>p.persica_gdr_reftransV1_0002229</v>
      </c>
      <c r="B7318" s="3">
        <v>2097</v>
      </c>
      <c r="C7318" s="1" t="str">
        <f>HYPERLINK("http://www.uniprot.org/uniprot/AB29B_ARATH","AB29B_ARATH")</f>
        <v>AB29B_ARATH</v>
      </c>
      <c r="D7318" t="s">
        <v>4757</v>
      </c>
      <c r="E7318" s="3" t="s">
        <v>3</v>
      </c>
      <c r="F7318" s="4">
        <v>1.7400000000000001E-163</v>
      </c>
      <c r="G7318" s="3">
        <v>1035</v>
      </c>
      <c r="H7318" s="3">
        <v>54</v>
      </c>
      <c r="I7318" s="3">
        <v>494</v>
      </c>
      <c r="J7318" s="3">
        <v>508</v>
      </c>
      <c r="K7318" s="3">
        <v>1971</v>
      </c>
      <c r="L7318" s="3">
        <v>31</v>
      </c>
      <c r="M7318" s="3">
        <v>490</v>
      </c>
    </row>
    <row r="7319" spans="1:13" x14ac:dyDescent="0.25">
      <c r="A7319" s="1" t="str">
        <f>HYPERLINK("http://www.rosaceae.org/Prunus/Prunus_persica/p.persica_gdr_reftransV1_0002279","p.persica_gdr_reftransV1_0002279")</f>
        <v>p.persica_gdr_reftransV1_0002279</v>
      </c>
      <c r="B7319" s="3">
        <v>1000</v>
      </c>
      <c r="C7319" s="1" t="str">
        <f>HYPERLINK("http://www.uniprot.org/uniprot/WAKLM_ARATH","WAKLM_ARATH")</f>
        <v>WAKLM_ARATH</v>
      </c>
      <c r="D7319" t="s">
        <v>5857</v>
      </c>
      <c r="E7319" s="3" t="s">
        <v>3</v>
      </c>
      <c r="F7319" s="4">
        <v>1.17E-30</v>
      </c>
      <c r="G7319" s="3">
        <v>318</v>
      </c>
      <c r="H7319" s="3">
        <v>32</v>
      </c>
      <c r="I7319" s="3">
        <v>338</v>
      </c>
      <c r="J7319" s="3">
        <v>45</v>
      </c>
      <c r="K7319" s="3">
        <v>947</v>
      </c>
      <c r="L7319" s="3">
        <v>42</v>
      </c>
      <c r="M7319" s="3">
        <v>367</v>
      </c>
    </row>
    <row r="7320" spans="1:13" x14ac:dyDescent="0.25">
      <c r="A7320" s="1" t="str">
        <f>HYPERLINK("http://www.rosaceae.org/Prunus/Prunus_persica/p.persica_gdr_reftransV1_0002379","p.persica_gdr_reftransV1_0002379")</f>
        <v>p.persica_gdr_reftransV1_0002379</v>
      </c>
      <c r="B7320" s="3">
        <v>1240</v>
      </c>
      <c r="C7320" s="1" t="str">
        <f>HYPERLINK("http://www.uniprot.org/uniprot/Y637_PELLD","Y637_PELLD")</f>
        <v>Y637_PELLD</v>
      </c>
      <c r="D7320" t="s">
        <v>5858</v>
      </c>
      <c r="E7320" s="3" t="s">
        <v>5859</v>
      </c>
      <c r="F7320" s="4">
        <v>1.24E-13</v>
      </c>
      <c r="G7320" s="3">
        <v>178</v>
      </c>
      <c r="H7320" s="3">
        <v>31</v>
      </c>
      <c r="I7320" s="3">
        <v>157</v>
      </c>
      <c r="J7320" s="3">
        <v>550</v>
      </c>
      <c r="K7320" s="3">
        <v>1017</v>
      </c>
      <c r="L7320" s="3">
        <v>13</v>
      </c>
      <c r="M7320" s="3">
        <v>156</v>
      </c>
    </row>
    <row r="7321" spans="1:13" x14ac:dyDescent="0.25">
      <c r="A7321" s="1" t="str">
        <f>HYPERLINK("http://www.rosaceae.org/Prunus/Prunus_persica/p.persica_gdr_reftransV1_0002479","p.persica_gdr_reftransV1_0002479")</f>
        <v>p.persica_gdr_reftransV1_0002479</v>
      </c>
      <c r="B7321" s="3">
        <v>2410</v>
      </c>
      <c r="C7321" s="1" t="str">
        <f>HYPERLINK("http://www.uniprot.org/uniprot/PUM5_ARATH","PUM5_ARATH")</f>
        <v>PUM5_ARATH</v>
      </c>
      <c r="D7321" t="s">
        <v>1687</v>
      </c>
      <c r="E7321" s="3" t="s">
        <v>3</v>
      </c>
      <c r="F7321" s="4">
        <v>1.0700000000000001E-134</v>
      </c>
      <c r="G7321" s="3">
        <v>1107</v>
      </c>
      <c r="H7321" s="3">
        <v>40</v>
      </c>
      <c r="I7321" s="3">
        <v>805</v>
      </c>
      <c r="J7321" s="3">
        <v>82</v>
      </c>
      <c r="K7321" s="3">
        <v>2409</v>
      </c>
      <c r="L7321" s="3">
        <v>4</v>
      </c>
      <c r="M7321" s="3">
        <v>717</v>
      </c>
    </row>
    <row r="7322" spans="1:13" x14ac:dyDescent="0.25">
      <c r="A7322" s="1" t="str">
        <f>HYPERLINK("http://www.rosaceae.org/Prunus/Prunus_persica/p.persica_gdr_reftransV1_0002529","p.persica_gdr_reftransV1_0002529")</f>
        <v>p.persica_gdr_reftransV1_0002529</v>
      </c>
      <c r="B7322" s="3">
        <v>1802</v>
      </c>
      <c r="C7322" s="1" t="str">
        <f>HYPERLINK("http://www.uniprot.org/uniprot/RNG1L_ARATH","RNG1L_ARATH")</f>
        <v>RNG1L_ARATH</v>
      </c>
      <c r="D7322" t="s">
        <v>189</v>
      </c>
      <c r="E7322" s="3" t="s">
        <v>3</v>
      </c>
      <c r="F7322" s="4">
        <v>2.1999999999999998E-30</v>
      </c>
      <c r="G7322" s="3">
        <v>315</v>
      </c>
      <c r="H7322" s="3">
        <v>30</v>
      </c>
      <c r="I7322" s="3">
        <v>251</v>
      </c>
      <c r="J7322" s="3">
        <v>1005</v>
      </c>
      <c r="K7322" s="3">
        <v>1667</v>
      </c>
      <c r="L7322" s="3">
        <v>21</v>
      </c>
      <c r="M7322" s="3">
        <v>266</v>
      </c>
    </row>
    <row r="7323" spans="1:13" x14ac:dyDescent="0.25">
      <c r="A7323" s="1" t="str">
        <f>HYPERLINK("http://www.rosaceae.org/Prunus/Prunus_persica/p.persica_gdr_reftransV1_0002679","p.persica_gdr_reftransV1_0002679")</f>
        <v>p.persica_gdr_reftransV1_0002679</v>
      </c>
      <c r="B7323" s="3">
        <v>1148</v>
      </c>
      <c r="C7323" s="1" t="str">
        <f>HYPERLINK("http://www.uniprot.org/uniprot/EAAC_ARATH","EAAC_ARATH")</f>
        <v>EAAC_ARATH</v>
      </c>
      <c r="D7323" t="s">
        <v>5860</v>
      </c>
      <c r="E7323" s="3" t="s">
        <v>3</v>
      </c>
      <c r="F7323" s="4">
        <v>1.22E-99</v>
      </c>
      <c r="G7323" s="3">
        <v>787</v>
      </c>
      <c r="H7323" s="3">
        <v>77</v>
      </c>
      <c r="I7323" s="3">
        <v>183</v>
      </c>
      <c r="J7323" s="3">
        <v>440</v>
      </c>
      <c r="K7323" s="3">
        <v>988</v>
      </c>
      <c r="L7323" s="3">
        <v>199</v>
      </c>
      <c r="M7323" s="3">
        <v>381</v>
      </c>
    </row>
    <row r="7324" spans="1:13" x14ac:dyDescent="0.25">
      <c r="A7324" s="1" t="str">
        <f>HYPERLINK("http://www.rosaceae.org/Prunus/Prunus_persica/p.persica_gdr_reftransV1_0002729","p.persica_gdr_reftransV1_0002729")</f>
        <v>p.persica_gdr_reftransV1_0002729</v>
      </c>
      <c r="B7324" s="3">
        <v>2771</v>
      </c>
      <c r="C7324" s="1" t="str">
        <f>HYPERLINK("http://www.uniprot.org/uniprot/GLRX3_ECOLI","GLRX3_ECOLI")</f>
        <v>GLRX3_ECOLI</v>
      </c>
      <c r="D7324" t="s">
        <v>5861</v>
      </c>
      <c r="E7324" s="3" t="s">
        <v>2372</v>
      </c>
      <c r="F7324" s="4">
        <v>1.15E-8</v>
      </c>
      <c r="G7324" s="3">
        <v>140</v>
      </c>
      <c r="H7324" s="3">
        <v>33</v>
      </c>
      <c r="I7324" s="3">
        <v>80</v>
      </c>
      <c r="J7324" s="3">
        <v>1601</v>
      </c>
      <c r="K7324" s="3">
        <v>1840</v>
      </c>
      <c r="L7324" s="3">
        <v>4</v>
      </c>
      <c r="M7324" s="3">
        <v>83</v>
      </c>
    </row>
    <row r="7325" spans="1:13" x14ac:dyDescent="0.25">
      <c r="A7325" s="1" t="str">
        <f>HYPERLINK("http://www.rosaceae.org/Prunus/Prunus_persica/p.persica_gdr_reftransV1_0002779","p.persica_gdr_reftransV1_0002779")</f>
        <v>p.persica_gdr_reftransV1_0002779</v>
      </c>
      <c r="B7325" s="3">
        <v>1055</v>
      </c>
      <c r="C7325" s="1" t="str">
        <f>HYPERLINK("http://www.uniprot.org/uniprot/GEX2_ARATH","GEX2_ARATH")</f>
        <v>GEX2_ARATH</v>
      </c>
      <c r="D7325" t="s">
        <v>5862</v>
      </c>
      <c r="E7325" s="3" t="s">
        <v>3</v>
      </c>
      <c r="F7325" s="4">
        <v>2.55E-16</v>
      </c>
      <c r="G7325" s="3">
        <v>206</v>
      </c>
      <c r="H7325" s="3">
        <v>53</v>
      </c>
      <c r="I7325" s="3">
        <v>75</v>
      </c>
      <c r="J7325" s="3">
        <v>260</v>
      </c>
      <c r="K7325" s="3">
        <v>484</v>
      </c>
      <c r="L7325" s="3">
        <v>834</v>
      </c>
      <c r="M7325" s="3">
        <v>906</v>
      </c>
    </row>
    <row r="7326" spans="1:13" x14ac:dyDescent="0.25">
      <c r="A7326" s="1" t="str">
        <f>HYPERLINK("http://www.rosaceae.org/Prunus/Prunus_persica/p.persica_gdr_reftransV1_0002829","p.persica_gdr_reftransV1_0002829")</f>
        <v>p.persica_gdr_reftransV1_0002829</v>
      </c>
      <c r="B7326" s="3">
        <v>4049</v>
      </c>
      <c r="C7326" s="1" t="str">
        <f>HYPERLINK("http://www.uniprot.org/uniprot/BMS1_HUMAN","BMS1_HUMAN")</f>
        <v>BMS1_HUMAN</v>
      </c>
      <c r="D7326" t="s">
        <v>4793</v>
      </c>
      <c r="E7326" s="3" t="s">
        <v>28</v>
      </c>
      <c r="F7326" s="4">
        <v>5.7599999999999997E-142</v>
      </c>
      <c r="G7326" s="3">
        <v>1216</v>
      </c>
      <c r="H7326" s="3">
        <v>48</v>
      </c>
      <c r="I7326" s="3">
        <v>528</v>
      </c>
      <c r="J7326" s="3">
        <v>529</v>
      </c>
      <c r="K7326" s="3">
        <v>2073</v>
      </c>
      <c r="L7326" s="3">
        <v>733</v>
      </c>
      <c r="M7326" s="3">
        <v>1220</v>
      </c>
    </row>
    <row r="7327" spans="1:13" x14ac:dyDescent="0.25">
      <c r="A7327" s="1" t="str">
        <f>HYPERLINK("http://www.rosaceae.org/Prunus/Prunus_persica/p.persica_gdr_reftransV1_0002879","p.persica_gdr_reftransV1_0002879")</f>
        <v>p.persica_gdr_reftransV1_0002879</v>
      </c>
      <c r="B7327" s="3">
        <v>873</v>
      </c>
      <c r="C7327" s="1" t="str">
        <f>HYPERLINK("http://www.uniprot.org/uniprot/TPS7_ARATH","TPS7_ARATH")</f>
        <v>TPS7_ARATH</v>
      </c>
      <c r="D7327" t="s">
        <v>3928</v>
      </c>
      <c r="E7327" s="3" t="s">
        <v>3</v>
      </c>
      <c r="F7327" s="4">
        <v>1.52E-102</v>
      </c>
      <c r="G7327" s="3">
        <v>832</v>
      </c>
      <c r="H7327" s="3">
        <v>75</v>
      </c>
      <c r="I7327" s="3">
        <v>213</v>
      </c>
      <c r="J7327" s="3">
        <v>1</v>
      </c>
      <c r="K7327" s="3">
        <v>639</v>
      </c>
      <c r="L7327" s="3">
        <v>1</v>
      </c>
      <c r="M7327" s="3">
        <v>211</v>
      </c>
    </row>
    <row r="7328" spans="1:13" x14ac:dyDescent="0.25">
      <c r="A7328" s="1" t="str">
        <f>HYPERLINK("http://www.rosaceae.org/Prunus/Prunus_persica/p.persica_gdr_reftransV1_0002929","p.persica_gdr_reftransV1_0002929")</f>
        <v>p.persica_gdr_reftransV1_0002929</v>
      </c>
      <c r="B7328" s="3">
        <v>931</v>
      </c>
      <c r="C7328" s="1" t="str">
        <f>HYPERLINK("http://www.uniprot.org/uniprot/GAT12_ARATH","GAT12_ARATH")</f>
        <v>GAT12_ARATH</v>
      </c>
      <c r="D7328" t="s">
        <v>5863</v>
      </c>
      <c r="E7328" s="3" t="s">
        <v>3</v>
      </c>
      <c r="F7328" s="4">
        <v>1.4999999999999999E-63</v>
      </c>
      <c r="G7328" s="3">
        <v>534</v>
      </c>
      <c r="H7328" s="3">
        <v>48</v>
      </c>
      <c r="I7328" s="3">
        <v>280</v>
      </c>
      <c r="J7328" s="3">
        <v>112</v>
      </c>
      <c r="K7328" s="3">
        <v>852</v>
      </c>
      <c r="L7328" s="3">
        <v>55</v>
      </c>
      <c r="M7328" s="3">
        <v>331</v>
      </c>
    </row>
    <row r="7329" spans="1:13" x14ac:dyDescent="0.25">
      <c r="A7329" s="1" t="str">
        <f>HYPERLINK("http://www.rosaceae.org/Prunus/Prunus_persica/p.persica_gdr_reftransV1_0002979","p.persica_gdr_reftransV1_0002979")</f>
        <v>p.persica_gdr_reftransV1_0002979</v>
      </c>
      <c r="B7329" s="3">
        <v>2054</v>
      </c>
      <c r="C7329" s="1" t="str">
        <f>HYPERLINK("http://www.uniprot.org/uniprot/FATB_GOSHI","FATB_GOSHI")</f>
        <v>FATB_GOSHI</v>
      </c>
      <c r="D7329" t="s">
        <v>2105</v>
      </c>
      <c r="E7329" s="3" t="s">
        <v>816</v>
      </c>
      <c r="F7329" s="4">
        <v>0</v>
      </c>
      <c r="G7329" s="3">
        <v>1481</v>
      </c>
      <c r="H7329" s="3">
        <v>74</v>
      </c>
      <c r="I7329" s="3">
        <v>417</v>
      </c>
      <c r="J7329" s="3">
        <v>422</v>
      </c>
      <c r="K7329" s="3">
        <v>1672</v>
      </c>
      <c r="L7329" s="3">
        <v>1</v>
      </c>
      <c r="M7329" s="3">
        <v>413</v>
      </c>
    </row>
    <row r="7330" spans="1:13" x14ac:dyDescent="0.25">
      <c r="A7330" s="1" t="str">
        <f>HYPERLINK("http://www.rosaceae.org/Prunus/Prunus_persica/p.persica_gdr_reftransV1_0003279","p.persica_gdr_reftransV1_0003279")</f>
        <v>p.persica_gdr_reftransV1_0003279</v>
      </c>
      <c r="B7330" s="3">
        <v>1533</v>
      </c>
      <c r="C7330" s="1" t="str">
        <f>HYPERLINK("http://www.uniprot.org/uniprot/FUT13_ARATH","FUT13_ARATH")</f>
        <v>FUT13_ARATH</v>
      </c>
      <c r="D7330" t="s">
        <v>4535</v>
      </c>
      <c r="E7330" s="3" t="s">
        <v>3</v>
      </c>
      <c r="F7330" s="4">
        <v>0</v>
      </c>
      <c r="G7330" s="3">
        <v>1482</v>
      </c>
      <c r="H7330" s="3">
        <v>66</v>
      </c>
      <c r="I7330" s="3">
        <v>411</v>
      </c>
      <c r="J7330" s="3">
        <v>165</v>
      </c>
      <c r="K7330" s="3">
        <v>1397</v>
      </c>
      <c r="L7330" s="3">
        <v>1</v>
      </c>
      <c r="M7330" s="3">
        <v>399</v>
      </c>
    </row>
    <row r="7331" spans="1:13" x14ac:dyDescent="0.25">
      <c r="A7331" s="1" t="str">
        <f>HYPERLINK("http://www.rosaceae.org/Prunus/Prunus_persica/p.persica_gdr_reftransV1_0003379","p.persica_gdr_reftransV1_0003379")</f>
        <v>p.persica_gdr_reftransV1_0003379</v>
      </c>
      <c r="B7331" s="3">
        <v>340</v>
      </c>
      <c r="C7331" s="1" t="str">
        <f>HYPERLINK("http://www.uniprot.org/uniprot/PPR48_ARATH","PPR48_ARATH")</f>
        <v>PPR48_ARATH</v>
      </c>
      <c r="D7331" t="s">
        <v>2544</v>
      </c>
      <c r="E7331" s="3" t="s">
        <v>3</v>
      </c>
      <c r="F7331" s="4">
        <v>2.2899999999999998E-42</v>
      </c>
      <c r="G7331" s="3">
        <v>386</v>
      </c>
      <c r="H7331" s="3">
        <v>58</v>
      </c>
      <c r="I7331" s="3">
        <v>113</v>
      </c>
      <c r="J7331" s="3">
        <v>1</v>
      </c>
      <c r="K7331" s="3">
        <v>339</v>
      </c>
      <c r="L7331" s="3">
        <v>131</v>
      </c>
      <c r="M7331" s="3">
        <v>243</v>
      </c>
    </row>
    <row r="7332" spans="1:13" x14ac:dyDescent="0.25">
      <c r="A7332" s="1" t="str">
        <f>HYPERLINK("http://www.rosaceae.org/Prunus/Prunus_persica/p.persica_gdr_reftransV1_0003479","p.persica_gdr_reftransV1_0003479")</f>
        <v>p.persica_gdr_reftransV1_0003479</v>
      </c>
      <c r="B7332" s="3">
        <v>1131</v>
      </c>
      <c r="C7332" s="1" t="str">
        <f>HYPERLINK("http://www.uniprot.org/uniprot/SFGH_ARATH","SFGH_ARATH")</f>
        <v>SFGH_ARATH</v>
      </c>
      <c r="D7332" t="s">
        <v>5864</v>
      </c>
      <c r="E7332" s="3" t="s">
        <v>3</v>
      </c>
      <c r="F7332" s="4">
        <v>8.5900000000000005E-172</v>
      </c>
      <c r="G7332" s="3">
        <v>1255</v>
      </c>
      <c r="H7332" s="3">
        <v>80</v>
      </c>
      <c r="I7332" s="3">
        <v>286</v>
      </c>
      <c r="J7332" s="3">
        <v>190</v>
      </c>
      <c r="K7332" s="3">
        <v>1047</v>
      </c>
      <c r="L7332" s="3">
        <v>1</v>
      </c>
      <c r="M7332" s="3">
        <v>284</v>
      </c>
    </row>
    <row r="7333" spans="1:13" x14ac:dyDescent="0.25">
      <c r="A7333" s="1" t="str">
        <f>HYPERLINK("http://www.rosaceae.org/Prunus/Prunus_persica/p.persica_gdr_reftransV1_0003579","p.persica_gdr_reftransV1_0003579")</f>
        <v>p.persica_gdr_reftransV1_0003579</v>
      </c>
      <c r="B7333" s="3">
        <v>589</v>
      </c>
      <c r="C7333" s="1" t="str">
        <f>HYPERLINK("http://www.uniprot.org/uniprot/MES10_ARATH","MES10_ARATH")</f>
        <v>MES10_ARATH</v>
      </c>
      <c r="D7333" t="s">
        <v>5865</v>
      </c>
      <c r="E7333" s="3" t="s">
        <v>3</v>
      </c>
      <c r="F7333" s="4">
        <v>5.6900000000000002E-43</v>
      </c>
      <c r="G7333" s="3">
        <v>380</v>
      </c>
      <c r="H7333" s="3">
        <v>48</v>
      </c>
      <c r="I7333" s="3">
        <v>157</v>
      </c>
      <c r="J7333" s="3">
        <v>3</v>
      </c>
      <c r="K7333" s="3">
        <v>473</v>
      </c>
      <c r="L7333" s="3">
        <v>118</v>
      </c>
      <c r="M7333" s="3">
        <v>273</v>
      </c>
    </row>
    <row r="7334" spans="1:13" x14ac:dyDescent="0.25">
      <c r="A7334" s="1" t="str">
        <f>HYPERLINK("http://www.rosaceae.org/Prunus/Prunus_persica/p.persica_gdr_reftransV1_0003679","p.persica_gdr_reftransV1_0003679")</f>
        <v>p.persica_gdr_reftransV1_0003679</v>
      </c>
      <c r="B7334" s="3">
        <v>576</v>
      </c>
      <c r="C7334" s="1" t="str">
        <f>HYPERLINK("http://www.uniprot.org/uniprot/TEB_ARATH","TEB_ARATH")</f>
        <v>TEB_ARATH</v>
      </c>
      <c r="D7334" t="s">
        <v>3616</v>
      </c>
      <c r="E7334" s="3" t="s">
        <v>3</v>
      </c>
      <c r="F7334" s="4">
        <v>3.4999999999999996E-24</v>
      </c>
      <c r="G7334" s="3">
        <v>261</v>
      </c>
      <c r="H7334" s="3">
        <v>35</v>
      </c>
      <c r="I7334" s="3">
        <v>180</v>
      </c>
      <c r="J7334" s="3">
        <v>35</v>
      </c>
      <c r="K7334" s="3">
        <v>574</v>
      </c>
      <c r="L7334" s="3">
        <v>352</v>
      </c>
      <c r="M7334" s="3">
        <v>527</v>
      </c>
    </row>
    <row r="7335" spans="1:13" x14ac:dyDescent="0.25">
      <c r="A7335" s="1" t="str">
        <f>HYPERLINK("http://www.rosaceae.org/Prunus/Prunus_persica/p.persica_gdr_reftransV1_0003779","p.persica_gdr_reftransV1_0003779")</f>
        <v>p.persica_gdr_reftransV1_0003779</v>
      </c>
      <c r="B7335" s="3">
        <v>333</v>
      </c>
      <c r="C7335" s="1" t="str">
        <f>HYPERLINK("http://www.uniprot.org/uniprot/DHX8_ARATH","DHX8_ARATH")</f>
        <v>DHX8_ARATH</v>
      </c>
      <c r="D7335" t="s">
        <v>653</v>
      </c>
      <c r="E7335" s="3" t="s">
        <v>3</v>
      </c>
      <c r="F7335" s="4">
        <v>8.2399999999999999E-60</v>
      </c>
      <c r="G7335" s="3">
        <v>515</v>
      </c>
      <c r="H7335" s="3">
        <v>87</v>
      </c>
      <c r="I7335" s="3">
        <v>110</v>
      </c>
      <c r="J7335" s="3">
        <v>3</v>
      </c>
      <c r="K7335" s="3">
        <v>332</v>
      </c>
      <c r="L7335" s="3">
        <v>1018</v>
      </c>
      <c r="M7335" s="3">
        <v>1124</v>
      </c>
    </row>
    <row r="7336" spans="1:13" x14ac:dyDescent="0.25">
      <c r="A7336" s="1" t="str">
        <f>HYPERLINK("http://www.rosaceae.org/Prunus/Prunus_persica/p.persica_gdr_reftransV1_0003879","p.persica_gdr_reftransV1_0003879")</f>
        <v>p.persica_gdr_reftransV1_0003879</v>
      </c>
      <c r="B7336" s="3">
        <v>531</v>
      </c>
      <c r="C7336" s="1" t="str">
        <f>HYPERLINK("http://www.uniprot.org/uniprot/Y4826_ARATH","Y4826_ARATH")</f>
        <v>Y4826_ARATH</v>
      </c>
      <c r="D7336" t="s">
        <v>5866</v>
      </c>
      <c r="E7336" s="3" t="s">
        <v>3</v>
      </c>
      <c r="F7336" s="4">
        <v>5.1900000000000002E-8</v>
      </c>
      <c r="G7336" s="3">
        <v>129</v>
      </c>
      <c r="H7336" s="3">
        <v>85</v>
      </c>
      <c r="I7336" s="3">
        <v>46</v>
      </c>
      <c r="J7336" s="3">
        <v>116</v>
      </c>
      <c r="K7336" s="3">
        <v>253</v>
      </c>
      <c r="L7336" s="3">
        <v>201</v>
      </c>
      <c r="M7336" s="3">
        <v>246</v>
      </c>
    </row>
    <row r="7337" spans="1:13" x14ac:dyDescent="0.25">
      <c r="A7337" s="1" t="str">
        <f>HYPERLINK("http://www.rosaceae.org/Prunus/Prunus_persica/p.persica_gdr_reftransV1_0003929","p.persica_gdr_reftransV1_0003929")</f>
        <v>p.persica_gdr_reftransV1_0003929</v>
      </c>
      <c r="B7337" s="3">
        <v>1949</v>
      </c>
      <c r="C7337" s="1" t="str">
        <f>HYPERLINK("http://www.uniprot.org/uniprot/BPM2_ARATH","BPM2_ARATH")</f>
        <v>BPM2_ARATH</v>
      </c>
      <c r="D7337" t="s">
        <v>5867</v>
      </c>
      <c r="E7337" s="3" t="s">
        <v>3</v>
      </c>
      <c r="F7337" s="4">
        <v>0</v>
      </c>
      <c r="G7337" s="3">
        <v>1490</v>
      </c>
      <c r="H7337" s="3">
        <v>71</v>
      </c>
      <c r="I7337" s="3">
        <v>376</v>
      </c>
      <c r="J7337" s="3">
        <v>325</v>
      </c>
      <c r="K7337" s="3">
        <v>1452</v>
      </c>
      <c r="L7337" s="3">
        <v>32</v>
      </c>
      <c r="M7337" s="3">
        <v>406</v>
      </c>
    </row>
    <row r="7338" spans="1:13" x14ac:dyDescent="0.25">
      <c r="A7338" s="1" t="str">
        <f>HYPERLINK("http://www.rosaceae.org/Prunus/Prunus_persica/p.persica_gdr_reftransV1_0003979","p.persica_gdr_reftransV1_0003979")</f>
        <v>p.persica_gdr_reftransV1_0003979</v>
      </c>
      <c r="B7338" s="3">
        <v>2307</v>
      </c>
      <c r="C7338" s="1" t="str">
        <f>HYPERLINK("http://www.uniprot.org/uniprot/MMD1_ARATH","MMD1_ARATH")</f>
        <v>MMD1_ARATH</v>
      </c>
      <c r="D7338" t="s">
        <v>5868</v>
      </c>
      <c r="E7338" s="3" t="s">
        <v>3</v>
      </c>
      <c r="F7338" s="4">
        <v>1.2799999999999999E-27</v>
      </c>
      <c r="G7338" s="3">
        <v>308</v>
      </c>
      <c r="H7338" s="3">
        <v>35</v>
      </c>
      <c r="I7338" s="3">
        <v>296</v>
      </c>
      <c r="J7338" s="3">
        <v>527</v>
      </c>
      <c r="K7338" s="3">
        <v>1360</v>
      </c>
      <c r="L7338" s="3">
        <v>36</v>
      </c>
      <c r="M7338" s="3">
        <v>301</v>
      </c>
    </row>
    <row r="7339" spans="1:13" x14ac:dyDescent="0.25">
      <c r="A7339" s="1" t="str">
        <f>HYPERLINK("http://www.rosaceae.org/Prunus/Prunus_persica/p.persica_gdr_reftransV1_0004129","p.persica_gdr_reftransV1_0004129")</f>
        <v>p.persica_gdr_reftransV1_0004129</v>
      </c>
      <c r="B7339" s="3">
        <v>489</v>
      </c>
      <c r="C7339" s="1" t="str">
        <f>HYPERLINK("http://www.uniprot.org/uniprot/PP217_ARATH","PP217_ARATH")</f>
        <v>PP217_ARATH</v>
      </c>
      <c r="D7339" t="s">
        <v>5869</v>
      </c>
      <c r="E7339" s="3" t="s">
        <v>3</v>
      </c>
      <c r="F7339" s="4">
        <v>4.8300000000000004E-53</v>
      </c>
      <c r="G7339" s="3">
        <v>468</v>
      </c>
      <c r="H7339" s="3">
        <v>64</v>
      </c>
      <c r="I7339" s="3">
        <v>133</v>
      </c>
      <c r="J7339" s="3">
        <v>2</v>
      </c>
      <c r="K7339" s="3">
        <v>400</v>
      </c>
      <c r="L7339" s="3">
        <v>30</v>
      </c>
      <c r="M7339" s="3">
        <v>162</v>
      </c>
    </row>
    <row r="7340" spans="1:13" x14ac:dyDescent="0.25">
      <c r="A7340" s="1" t="str">
        <f>HYPERLINK("http://www.rosaceae.org/Prunus/Prunus_persica/p.persica_gdr_reftransV1_0004179","p.persica_gdr_reftransV1_0004179")</f>
        <v>p.persica_gdr_reftransV1_0004179</v>
      </c>
      <c r="B7340" s="3">
        <v>2110</v>
      </c>
      <c r="C7340" s="1" t="str">
        <f>HYPERLINK("http://www.uniprot.org/uniprot/Y2232_ARATH","Y2232_ARATH")</f>
        <v>Y2232_ARATH</v>
      </c>
      <c r="D7340" t="s">
        <v>252</v>
      </c>
      <c r="E7340" s="3" t="s">
        <v>3</v>
      </c>
      <c r="F7340" s="4">
        <v>7.0700000000000001E-164</v>
      </c>
      <c r="G7340" s="3">
        <v>1286</v>
      </c>
      <c r="H7340" s="3">
        <v>45</v>
      </c>
      <c r="I7340" s="3">
        <v>665</v>
      </c>
      <c r="J7340" s="3">
        <v>168</v>
      </c>
      <c r="K7340" s="3">
        <v>2108</v>
      </c>
      <c r="L7340" s="3">
        <v>33</v>
      </c>
      <c r="M7340" s="3">
        <v>665</v>
      </c>
    </row>
    <row r="7341" spans="1:13" x14ac:dyDescent="0.25">
      <c r="A7341" s="1" t="str">
        <f>HYPERLINK("http://www.rosaceae.org/Prunus/Prunus_persica/p.persica_gdr_reftransV1_0004329","p.persica_gdr_reftransV1_0004329")</f>
        <v>p.persica_gdr_reftransV1_0004329</v>
      </c>
      <c r="B7341" s="3">
        <v>735</v>
      </c>
      <c r="C7341" s="1" t="str">
        <f>HYPERLINK("http://www.uniprot.org/uniprot/AP1M2_ARATH","AP1M2_ARATH")</f>
        <v>AP1M2_ARATH</v>
      </c>
      <c r="D7341" t="s">
        <v>2</v>
      </c>
      <c r="E7341" s="3" t="s">
        <v>3</v>
      </c>
      <c r="F7341" s="4">
        <v>1.1499999999999999E-115</v>
      </c>
      <c r="G7341" s="3">
        <v>884</v>
      </c>
      <c r="H7341" s="3">
        <v>90</v>
      </c>
      <c r="I7341" s="3">
        <v>179</v>
      </c>
      <c r="J7341" s="3">
        <v>197</v>
      </c>
      <c r="K7341" s="3">
        <v>733</v>
      </c>
      <c r="L7341" s="3">
        <v>1</v>
      </c>
      <c r="M7341" s="3">
        <v>179</v>
      </c>
    </row>
    <row r="7342" spans="1:13" x14ac:dyDescent="0.25">
      <c r="A7342" s="1" t="str">
        <f>HYPERLINK("http://www.rosaceae.org/Prunus/Prunus_persica/p.persica_gdr_reftransV1_0004479","p.persica_gdr_reftransV1_0004479")</f>
        <v>p.persica_gdr_reftransV1_0004479</v>
      </c>
      <c r="B7342" s="3">
        <v>1508</v>
      </c>
      <c r="C7342" s="1" t="str">
        <f>HYPERLINK("http://www.uniprot.org/uniprot/BEH3_ARATH","BEH3_ARATH")</f>
        <v>BEH3_ARATH</v>
      </c>
      <c r="D7342" t="s">
        <v>961</v>
      </c>
      <c r="E7342" s="3" t="s">
        <v>3</v>
      </c>
      <c r="F7342" s="4">
        <v>1.3400000000000001E-49</v>
      </c>
      <c r="G7342" s="3">
        <v>449</v>
      </c>
      <c r="H7342" s="3">
        <v>57</v>
      </c>
      <c r="I7342" s="3">
        <v>260</v>
      </c>
      <c r="J7342" s="3">
        <v>397</v>
      </c>
      <c r="K7342" s="3">
        <v>1158</v>
      </c>
      <c r="L7342" s="3">
        <v>69</v>
      </c>
      <c r="M7342" s="3">
        <v>284</v>
      </c>
    </row>
    <row r="7343" spans="1:13" x14ac:dyDescent="0.25">
      <c r="A7343" s="1" t="str">
        <f>HYPERLINK("http://www.rosaceae.org/Prunus/Prunus_persica/p.persica_gdr_reftransV1_0004679","p.persica_gdr_reftransV1_0004679")</f>
        <v>p.persica_gdr_reftransV1_0004679</v>
      </c>
      <c r="B7343" s="3">
        <v>574</v>
      </c>
      <c r="C7343" s="1" t="str">
        <f>HYPERLINK("http://www.uniprot.org/uniprot/ANL2_ARATH","ANL2_ARATH")</f>
        <v>ANL2_ARATH</v>
      </c>
      <c r="D7343" t="s">
        <v>5870</v>
      </c>
      <c r="E7343" s="3" t="s">
        <v>3</v>
      </c>
      <c r="F7343" s="4">
        <v>9.0499999999999997E-55</v>
      </c>
      <c r="G7343" s="3">
        <v>482</v>
      </c>
      <c r="H7343" s="3">
        <v>73</v>
      </c>
      <c r="I7343" s="3">
        <v>135</v>
      </c>
      <c r="J7343" s="3">
        <v>168</v>
      </c>
      <c r="K7343" s="3">
        <v>572</v>
      </c>
      <c r="L7343" s="3">
        <v>94</v>
      </c>
      <c r="M7343" s="3">
        <v>227</v>
      </c>
    </row>
    <row r="7344" spans="1:13" x14ac:dyDescent="0.25">
      <c r="A7344" s="1" t="str">
        <f>HYPERLINK("http://www.rosaceae.org/Prunus/Prunus_persica/p.persica_gdr_reftransV1_0004729","p.persica_gdr_reftransV1_0004729")</f>
        <v>p.persica_gdr_reftransV1_0004729</v>
      </c>
      <c r="B7344" s="3">
        <v>1346</v>
      </c>
      <c r="C7344" s="1" t="str">
        <f>HYPERLINK("http://www.uniprot.org/uniprot/ERD15_ARATH","ERD15_ARATH")</f>
        <v>ERD15_ARATH</v>
      </c>
      <c r="D7344" t="s">
        <v>2450</v>
      </c>
      <c r="E7344" s="3" t="s">
        <v>3</v>
      </c>
      <c r="F7344" s="4">
        <v>8.2699999999999996E-11</v>
      </c>
      <c r="G7344" s="3">
        <v>156</v>
      </c>
      <c r="H7344" s="3">
        <v>53</v>
      </c>
      <c r="I7344" s="3">
        <v>57</v>
      </c>
      <c r="J7344" s="3">
        <v>1042</v>
      </c>
      <c r="K7344" s="3">
        <v>1212</v>
      </c>
      <c r="L7344" s="3">
        <v>1</v>
      </c>
      <c r="M7344" s="3">
        <v>54</v>
      </c>
    </row>
    <row r="7345" spans="1:13" x14ac:dyDescent="0.25">
      <c r="A7345" s="1" t="str">
        <f>HYPERLINK("http://www.rosaceae.org/Prunus/Prunus_persica/p.persica_gdr_reftransV1_0004779","p.persica_gdr_reftransV1_0004779")</f>
        <v>p.persica_gdr_reftransV1_0004779</v>
      </c>
      <c r="B7345" s="3">
        <v>2907</v>
      </c>
      <c r="C7345" s="1" t="str">
        <f>HYPERLINK("http://www.uniprot.org/uniprot/RINI_PIG","RINI_PIG")</f>
        <v>RINI_PIG</v>
      </c>
      <c r="D7345" t="s">
        <v>5871</v>
      </c>
      <c r="E7345" s="3" t="s">
        <v>1126</v>
      </c>
      <c r="F7345" s="4">
        <v>2.7300000000000002E-7</v>
      </c>
      <c r="G7345" s="3">
        <v>139</v>
      </c>
      <c r="H7345" s="3">
        <v>29</v>
      </c>
      <c r="I7345" s="3">
        <v>191</v>
      </c>
      <c r="J7345" s="3">
        <v>944</v>
      </c>
      <c r="K7345" s="3">
        <v>1504</v>
      </c>
      <c r="L7345" s="3">
        <v>104</v>
      </c>
      <c r="M7345" s="3">
        <v>289</v>
      </c>
    </row>
    <row r="7346" spans="1:13" x14ac:dyDescent="0.25">
      <c r="A7346" s="1" t="str">
        <f>HYPERLINK("http://www.rosaceae.org/Prunus/Prunus_persica/p.persica_gdr_reftransV1_0004879","p.persica_gdr_reftransV1_0004879")</f>
        <v>p.persica_gdr_reftransV1_0004879</v>
      </c>
      <c r="B7346" s="3">
        <v>1321</v>
      </c>
      <c r="C7346" s="1" t="str">
        <f>HYPERLINK("http://www.uniprot.org/uniprot/UREH_BACSB","UREH_BACSB")</f>
        <v>UREH_BACSB</v>
      </c>
      <c r="D7346" t="s">
        <v>5872</v>
      </c>
      <c r="E7346" s="3" t="s">
        <v>5873</v>
      </c>
      <c r="F7346" s="4">
        <v>8.7899999999999996E-9</v>
      </c>
      <c r="G7346" s="3">
        <v>142</v>
      </c>
      <c r="H7346" s="3">
        <v>28</v>
      </c>
      <c r="I7346" s="3">
        <v>191</v>
      </c>
      <c r="J7346" s="3">
        <v>496</v>
      </c>
      <c r="K7346" s="3">
        <v>1056</v>
      </c>
      <c r="L7346" s="3">
        <v>3</v>
      </c>
      <c r="M7346" s="3">
        <v>181</v>
      </c>
    </row>
    <row r="7347" spans="1:13" x14ac:dyDescent="0.25">
      <c r="A7347" s="1" t="str">
        <f>HYPERLINK("http://www.rosaceae.org/Prunus/Prunus_persica/p.persica_gdr_reftransV1_0004929","p.persica_gdr_reftransV1_0004929")</f>
        <v>p.persica_gdr_reftransV1_0004929</v>
      </c>
      <c r="B7347" s="3">
        <v>604</v>
      </c>
      <c r="C7347" s="1" t="str">
        <f>HYPERLINK("http://www.uniprot.org/uniprot/GATL2_ARATH","GATL2_ARATH")</f>
        <v>GATL2_ARATH</v>
      </c>
      <c r="D7347" t="s">
        <v>5874</v>
      </c>
      <c r="E7347" s="3" t="s">
        <v>3</v>
      </c>
      <c r="F7347" s="4">
        <v>2.1799999999999998E-96</v>
      </c>
      <c r="G7347" s="3">
        <v>743</v>
      </c>
      <c r="H7347" s="3">
        <v>81</v>
      </c>
      <c r="I7347" s="3">
        <v>204</v>
      </c>
      <c r="J7347" s="3">
        <v>1</v>
      </c>
      <c r="K7347" s="3">
        <v>603</v>
      </c>
      <c r="L7347" s="3">
        <v>108</v>
      </c>
      <c r="M7347" s="3">
        <v>311</v>
      </c>
    </row>
    <row r="7348" spans="1:13" x14ac:dyDescent="0.25">
      <c r="A7348" s="1" t="str">
        <f>HYPERLINK("http://www.rosaceae.org/Prunus/Prunus_persica/p.persica_gdr_reftransV1_0005079","p.persica_gdr_reftransV1_0005079")</f>
        <v>p.persica_gdr_reftransV1_0005079</v>
      </c>
      <c r="B7348" s="3">
        <v>3176</v>
      </c>
      <c r="C7348" s="1" t="str">
        <f>HYPERLINK("http://www.uniprot.org/uniprot/U2AF2_DROME","U2AF2_DROME")</f>
        <v>U2AF2_DROME</v>
      </c>
      <c r="D7348" t="s">
        <v>5875</v>
      </c>
      <c r="E7348" s="3" t="s">
        <v>5</v>
      </c>
      <c r="F7348" s="4">
        <v>2.3200000000000001E-21</v>
      </c>
      <c r="G7348" s="3">
        <v>252</v>
      </c>
      <c r="H7348" s="3">
        <v>36</v>
      </c>
      <c r="I7348" s="3">
        <v>233</v>
      </c>
      <c r="J7348" s="3">
        <v>1356</v>
      </c>
      <c r="K7348" s="3">
        <v>2024</v>
      </c>
      <c r="L7348" s="3">
        <v>129</v>
      </c>
      <c r="M7348" s="3">
        <v>359</v>
      </c>
    </row>
    <row r="7349" spans="1:13" x14ac:dyDescent="0.25">
      <c r="A7349" s="1" t="str">
        <f>HYPERLINK("http://www.rosaceae.org/Prunus/Prunus_persica/p.persica_gdr_reftransV1_0005129","p.persica_gdr_reftransV1_0005129")</f>
        <v>p.persica_gdr_reftransV1_0005129</v>
      </c>
      <c r="B7349" s="3">
        <v>1769</v>
      </c>
      <c r="C7349" s="1" t="str">
        <f>HYPERLINK("http://www.uniprot.org/uniprot/FL3H_CALCH","FL3H_CALCH")</f>
        <v>FL3H_CALCH</v>
      </c>
      <c r="D7349" t="s">
        <v>5876</v>
      </c>
      <c r="E7349" s="3" t="s">
        <v>5877</v>
      </c>
      <c r="F7349" s="4">
        <v>9.0699999999999993E-47</v>
      </c>
      <c r="G7349" s="3">
        <v>304</v>
      </c>
      <c r="H7349" s="3">
        <v>33</v>
      </c>
      <c r="I7349" s="3">
        <v>243</v>
      </c>
      <c r="J7349" s="3">
        <v>395</v>
      </c>
      <c r="K7349" s="3">
        <v>1114</v>
      </c>
      <c r="L7349" s="3">
        <v>152</v>
      </c>
      <c r="M7349" s="3">
        <v>342</v>
      </c>
    </row>
    <row r="7350" spans="1:13" x14ac:dyDescent="0.25">
      <c r="A7350" s="1" t="str">
        <f>HYPERLINK("http://www.rosaceae.org/Prunus/Prunus_persica/p.persica_gdr_reftransV1_0005179","p.persica_gdr_reftransV1_0005179")</f>
        <v>p.persica_gdr_reftransV1_0005179</v>
      </c>
      <c r="B7350" s="3">
        <v>2258</v>
      </c>
      <c r="C7350" s="1" t="str">
        <f>HYPERLINK("http://www.uniprot.org/uniprot/PSYR1_ARATH","PSYR1_ARATH")</f>
        <v>PSYR1_ARATH</v>
      </c>
      <c r="D7350" t="s">
        <v>177</v>
      </c>
      <c r="E7350" s="3" t="s">
        <v>3</v>
      </c>
      <c r="F7350" s="4">
        <v>0</v>
      </c>
      <c r="G7350" s="3">
        <v>1474</v>
      </c>
      <c r="H7350" s="3">
        <v>49</v>
      </c>
      <c r="I7350" s="3">
        <v>664</v>
      </c>
      <c r="J7350" s="3">
        <v>255</v>
      </c>
      <c r="K7350" s="3">
        <v>2195</v>
      </c>
      <c r="L7350" s="3">
        <v>39</v>
      </c>
      <c r="M7350" s="3">
        <v>698</v>
      </c>
    </row>
    <row r="7351" spans="1:13" x14ac:dyDescent="0.25">
      <c r="A7351" s="1" t="str">
        <f>HYPERLINK("http://www.rosaceae.org/Prunus/Prunus_persica/p.persica_gdr_reftransV1_0005229","p.persica_gdr_reftransV1_0005229")</f>
        <v>p.persica_gdr_reftransV1_0005229</v>
      </c>
      <c r="B7351" s="3">
        <v>416</v>
      </c>
      <c r="C7351" s="1" t="str">
        <f>HYPERLINK("http://www.uniprot.org/uniprot/POLG_MRFVC","POLG_MRFVC")</f>
        <v>POLG_MRFVC</v>
      </c>
      <c r="D7351" t="s">
        <v>5878</v>
      </c>
      <c r="E7351" s="3" t="s">
        <v>5879</v>
      </c>
      <c r="F7351" s="4">
        <v>1.5899999999999999E-10</v>
      </c>
      <c r="G7351" s="3">
        <v>151</v>
      </c>
      <c r="H7351" s="3">
        <v>54</v>
      </c>
      <c r="I7351" s="3">
        <v>72</v>
      </c>
      <c r="J7351" s="3">
        <v>59</v>
      </c>
      <c r="K7351" s="3">
        <v>274</v>
      </c>
      <c r="L7351" s="3">
        <v>475</v>
      </c>
      <c r="M7351" s="3">
        <v>546</v>
      </c>
    </row>
    <row r="7352" spans="1:13" x14ac:dyDescent="0.25">
      <c r="A7352" s="1" t="str">
        <f>HYPERLINK("http://www.rosaceae.org/Prunus/Prunus_persica/p.persica_gdr_reftransV1_0005279","p.persica_gdr_reftransV1_0005279")</f>
        <v>p.persica_gdr_reftransV1_0005279</v>
      </c>
      <c r="B7352" s="3">
        <v>3266</v>
      </c>
      <c r="C7352" s="1" t="str">
        <f>HYPERLINK("http://www.uniprot.org/uniprot/Y5707_ARATH","Y5707_ARATH")</f>
        <v>Y5707_ARATH</v>
      </c>
      <c r="D7352" t="s">
        <v>2730</v>
      </c>
      <c r="E7352" s="3" t="s">
        <v>3</v>
      </c>
      <c r="F7352" s="4">
        <v>1.8600000000000001E-87</v>
      </c>
      <c r="G7352" s="3">
        <v>752</v>
      </c>
      <c r="H7352" s="3">
        <v>62</v>
      </c>
      <c r="I7352" s="3">
        <v>264</v>
      </c>
      <c r="J7352" s="3">
        <v>1751</v>
      </c>
      <c r="K7352" s="3">
        <v>2500</v>
      </c>
      <c r="L7352" s="3">
        <v>1</v>
      </c>
      <c r="M7352" s="3">
        <v>257</v>
      </c>
    </row>
    <row r="7353" spans="1:13" x14ac:dyDescent="0.25">
      <c r="A7353" s="1" t="str">
        <f>HYPERLINK("http://www.rosaceae.org/Prunus/Prunus_persica/p.persica_gdr_reftransV1_0005329","p.persica_gdr_reftransV1_0005329")</f>
        <v>p.persica_gdr_reftransV1_0005329</v>
      </c>
      <c r="B7353" s="3">
        <v>2175</v>
      </c>
      <c r="C7353" s="1" t="str">
        <f>HYPERLINK("http://www.uniprot.org/uniprot/TBL6_ARATH","TBL6_ARATH")</f>
        <v>TBL6_ARATH</v>
      </c>
      <c r="D7353" t="s">
        <v>4861</v>
      </c>
      <c r="E7353" s="3" t="s">
        <v>3</v>
      </c>
      <c r="F7353" s="4">
        <v>1.0600000000000001E-137</v>
      </c>
      <c r="G7353" s="3">
        <v>1081</v>
      </c>
      <c r="H7353" s="3">
        <v>57</v>
      </c>
      <c r="I7353" s="3">
        <v>348</v>
      </c>
      <c r="J7353" s="3">
        <v>115</v>
      </c>
      <c r="K7353" s="3">
        <v>1098</v>
      </c>
      <c r="L7353" s="3">
        <v>126</v>
      </c>
      <c r="M7353" s="3">
        <v>472</v>
      </c>
    </row>
    <row r="7354" spans="1:13" x14ac:dyDescent="0.25">
      <c r="A7354" s="1" t="str">
        <f>HYPERLINK("http://www.rosaceae.org/Prunus/Prunus_persica/p.persica_gdr_reftransV1_0005429","p.persica_gdr_reftransV1_0005429")</f>
        <v>p.persica_gdr_reftransV1_0005429</v>
      </c>
      <c r="B7354" s="3">
        <v>2751</v>
      </c>
      <c r="C7354" s="1" t="str">
        <f>HYPERLINK("http://www.uniprot.org/uniprot/THIC_ARATH","THIC_ARATH")</f>
        <v>THIC_ARATH</v>
      </c>
      <c r="D7354" t="s">
        <v>5880</v>
      </c>
      <c r="E7354" s="3" t="s">
        <v>3</v>
      </c>
      <c r="F7354" s="4">
        <v>0</v>
      </c>
      <c r="G7354" s="3">
        <v>3085</v>
      </c>
      <c r="H7354" s="3">
        <v>88</v>
      </c>
      <c r="I7354" s="3">
        <v>648</v>
      </c>
      <c r="J7354" s="3">
        <v>698</v>
      </c>
      <c r="K7354" s="3">
        <v>2638</v>
      </c>
      <c r="L7354" s="3">
        <v>3</v>
      </c>
      <c r="M7354" s="3">
        <v>644</v>
      </c>
    </row>
    <row r="7355" spans="1:13" x14ac:dyDescent="0.25">
      <c r="A7355" s="1" t="str">
        <f>HYPERLINK("http://www.rosaceae.org/Prunus/Prunus_persica/p.persica_gdr_reftransV1_0005479","p.persica_gdr_reftransV1_0005479")</f>
        <v>p.persica_gdr_reftransV1_0005479</v>
      </c>
      <c r="B7355" s="3">
        <v>4317</v>
      </c>
      <c r="C7355" s="1" t="str">
        <f>HYPERLINK("http://www.uniprot.org/uniprot/SF3B1_XENLA","SF3B1_XENLA")</f>
        <v>SF3B1_XENLA</v>
      </c>
      <c r="D7355" t="s">
        <v>5881</v>
      </c>
      <c r="E7355" s="3" t="s">
        <v>475</v>
      </c>
      <c r="F7355" s="4">
        <v>0</v>
      </c>
      <c r="G7355" s="3">
        <v>4243</v>
      </c>
      <c r="H7355" s="3">
        <v>67</v>
      </c>
      <c r="I7355" s="3">
        <v>1320</v>
      </c>
      <c r="J7355" s="3">
        <v>268</v>
      </c>
      <c r="K7355" s="3">
        <v>4059</v>
      </c>
      <c r="L7355" s="3">
        <v>1</v>
      </c>
      <c r="M7355" s="3">
        <v>1303</v>
      </c>
    </row>
    <row r="7356" spans="1:13" x14ac:dyDescent="0.25">
      <c r="A7356" s="1" t="str">
        <f>HYPERLINK("http://www.rosaceae.org/Prunus/Prunus_persica/p.persica_gdr_reftransV1_0005679","p.persica_gdr_reftransV1_0005679")</f>
        <v>p.persica_gdr_reftransV1_0005679</v>
      </c>
      <c r="B7356" s="3">
        <v>673</v>
      </c>
      <c r="C7356" s="1" t="str">
        <f>HYPERLINK("http://www.uniprot.org/uniprot/PME6_ARATH","PME6_ARATH")</f>
        <v>PME6_ARATH</v>
      </c>
      <c r="D7356" t="s">
        <v>5882</v>
      </c>
      <c r="E7356" s="3" t="s">
        <v>3</v>
      </c>
      <c r="F7356" s="4">
        <v>1.3499999999999999E-45</v>
      </c>
      <c r="G7356" s="3">
        <v>415</v>
      </c>
      <c r="H7356" s="3">
        <v>43</v>
      </c>
      <c r="I7356" s="3">
        <v>240</v>
      </c>
      <c r="J7356" s="3">
        <v>2</v>
      </c>
      <c r="K7356" s="3">
        <v>673</v>
      </c>
      <c r="L7356" s="3">
        <v>59</v>
      </c>
      <c r="M7356" s="3">
        <v>297</v>
      </c>
    </row>
    <row r="7357" spans="1:13" x14ac:dyDescent="0.25">
      <c r="A7357" s="1" t="str">
        <f>HYPERLINK("http://www.rosaceae.org/Prunus/Prunus_persica/p.persica_gdr_reftransV1_0005729","p.persica_gdr_reftransV1_0005729")</f>
        <v>p.persica_gdr_reftransV1_0005729</v>
      </c>
      <c r="B7357" s="3">
        <v>1412</v>
      </c>
      <c r="C7357" s="1" t="str">
        <f>HYPERLINK("http://www.uniprot.org/uniprot/TPSGD_VITVI","TPSGD_VITVI")</f>
        <v>TPSGD_VITVI</v>
      </c>
      <c r="D7357" t="s">
        <v>5083</v>
      </c>
      <c r="E7357" s="3" t="s">
        <v>362</v>
      </c>
      <c r="F7357" s="4">
        <v>4.5800000000000001E-165</v>
      </c>
      <c r="G7357" s="3">
        <v>1247</v>
      </c>
      <c r="H7357" s="3">
        <v>61</v>
      </c>
      <c r="I7357" s="3">
        <v>419</v>
      </c>
      <c r="J7357" s="3">
        <v>12</v>
      </c>
      <c r="K7357" s="3">
        <v>1259</v>
      </c>
      <c r="L7357" s="3">
        <v>1</v>
      </c>
      <c r="M7357" s="3">
        <v>411</v>
      </c>
    </row>
    <row r="7358" spans="1:13" x14ac:dyDescent="0.25">
      <c r="A7358" s="1" t="str">
        <f>HYPERLINK("http://www.rosaceae.org/Prunus/Prunus_persica/p.persica_gdr_reftransV1_0006129","p.persica_gdr_reftransV1_0006129")</f>
        <v>p.persica_gdr_reftransV1_0006129</v>
      </c>
      <c r="B7358" s="3">
        <v>525</v>
      </c>
      <c r="C7358" s="1" t="str">
        <f>HYPERLINK("http://www.uniprot.org/uniprot/U87A1_ARATH","U87A1_ARATH")</f>
        <v>U87A1_ARATH</v>
      </c>
      <c r="D7358" t="s">
        <v>2427</v>
      </c>
      <c r="E7358" s="3" t="s">
        <v>3</v>
      </c>
      <c r="F7358" s="4">
        <v>2.1399999999999998E-49</v>
      </c>
      <c r="G7358" s="3">
        <v>432</v>
      </c>
      <c r="H7358" s="3">
        <v>60</v>
      </c>
      <c r="I7358" s="3">
        <v>133</v>
      </c>
      <c r="J7358" s="3">
        <v>3</v>
      </c>
      <c r="K7358" s="3">
        <v>401</v>
      </c>
      <c r="L7358" s="3">
        <v>308</v>
      </c>
      <c r="M7358" s="3">
        <v>436</v>
      </c>
    </row>
    <row r="7359" spans="1:13" x14ac:dyDescent="0.25">
      <c r="A7359" s="1" t="str">
        <f>HYPERLINK("http://www.rosaceae.org/Prunus/Prunus_persica/p.persica_gdr_reftransV1_0006229","p.persica_gdr_reftransV1_0006229")</f>
        <v>p.persica_gdr_reftransV1_0006229</v>
      </c>
      <c r="B7359" s="3">
        <v>478</v>
      </c>
      <c r="C7359" s="1" t="str">
        <f>HYPERLINK("http://www.uniprot.org/uniprot/Y1150_ARATH","Y1150_ARATH")</f>
        <v>Y1150_ARATH</v>
      </c>
      <c r="D7359" t="s">
        <v>5883</v>
      </c>
      <c r="E7359" s="3" t="s">
        <v>3</v>
      </c>
      <c r="F7359" s="4">
        <v>6.7400000000000002E-40</v>
      </c>
      <c r="G7359" s="3">
        <v>372</v>
      </c>
      <c r="H7359" s="3">
        <v>45</v>
      </c>
      <c r="I7359" s="3">
        <v>157</v>
      </c>
      <c r="J7359" s="3">
        <v>2</v>
      </c>
      <c r="K7359" s="3">
        <v>469</v>
      </c>
      <c r="L7359" s="3">
        <v>293</v>
      </c>
      <c r="M7359" s="3">
        <v>442</v>
      </c>
    </row>
    <row r="7360" spans="1:13" x14ac:dyDescent="0.25">
      <c r="A7360" s="1" t="str">
        <f>HYPERLINK("http://www.rosaceae.org/Prunus/Prunus_persica/p.persica_gdr_reftransV1_0006329","p.persica_gdr_reftransV1_0006329")</f>
        <v>p.persica_gdr_reftransV1_0006329</v>
      </c>
      <c r="B7360" s="3">
        <v>642</v>
      </c>
      <c r="C7360" s="1" t="str">
        <f>HYPERLINK("http://www.uniprot.org/uniprot/Y5713_ARATH","Y5713_ARATH")</f>
        <v>Y5713_ARATH</v>
      </c>
      <c r="D7360" t="s">
        <v>5380</v>
      </c>
      <c r="E7360" s="3" t="s">
        <v>3</v>
      </c>
      <c r="F7360" s="4">
        <v>1.1999999999999999E-62</v>
      </c>
      <c r="G7360" s="3">
        <v>526</v>
      </c>
      <c r="H7360" s="3">
        <v>56</v>
      </c>
      <c r="I7360" s="3">
        <v>165</v>
      </c>
      <c r="J7360" s="3">
        <v>3</v>
      </c>
      <c r="K7360" s="3">
        <v>497</v>
      </c>
      <c r="L7360" s="3">
        <v>194</v>
      </c>
      <c r="M7360" s="3">
        <v>358</v>
      </c>
    </row>
    <row r="7361" spans="1:13" x14ac:dyDescent="0.25">
      <c r="A7361" s="1" t="str">
        <f>HYPERLINK("http://www.rosaceae.org/Prunus/Prunus_persica/p.persica_gdr_reftransV1_0006429","p.persica_gdr_reftransV1_0006429")</f>
        <v>p.persica_gdr_reftransV1_0006429</v>
      </c>
      <c r="B7361" s="3">
        <v>781</v>
      </c>
      <c r="C7361" s="1" t="str">
        <f>HYPERLINK("http://www.uniprot.org/uniprot/KATAM_ARATH","KATAM_ARATH")</f>
        <v>KATAM_ARATH</v>
      </c>
      <c r="D7361" t="s">
        <v>5884</v>
      </c>
      <c r="E7361" s="3" t="s">
        <v>3</v>
      </c>
      <c r="F7361" s="4">
        <v>5.9200000000000004E-57</v>
      </c>
      <c r="G7361" s="3">
        <v>501</v>
      </c>
      <c r="H7361" s="3">
        <v>49</v>
      </c>
      <c r="I7361" s="3">
        <v>204</v>
      </c>
      <c r="J7361" s="3">
        <v>180</v>
      </c>
      <c r="K7361" s="3">
        <v>779</v>
      </c>
      <c r="L7361" s="3">
        <v>339</v>
      </c>
      <c r="M7361" s="3">
        <v>540</v>
      </c>
    </row>
    <row r="7362" spans="1:13" x14ac:dyDescent="0.25">
      <c r="A7362" s="1" t="str">
        <f>HYPERLINK("http://www.rosaceae.org/Prunus/Prunus_persica/p.persica_gdr_reftransV1_0006529","p.persica_gdr_reftransV1_0006529")</f>
        <v>p.persica_gdr_reftransV1_0006529</v>
      </c>
      <c r="B7362" s="3">
        <v>679</v>
      </c>
      <c r="C7362" s="1" t="str">
        <f>HYPERLINK("http://www.uniprot.org/uniprot/KAT1_ARATH","KAT1_ARATH")</f>
        <v>KAT1_ARATH</v>
      </c>
      <c r="D7362" t="s">
        <v>212</v>
      </c>
      <c r="E7362" s="3" t="s">
        <v>3</v>
      </c>
      <c r="F7362" s="4">
        <v>6.9100000000000002E-57</v>
      </c>
      <c r="G7362" s="3">
        <v>499</v>
      </c>
      <c r="H7362" s="3">
        <v>85</v>
      </c>
      <c r="I7362" s="3">
        <v>107</v>
      </c>
      <c r="J7362" s="3">
        <v>3</v>
      </c>
      <c r="K7362" s="3">
        <v>323</v>
      </c>
      <c r="L7362" s="3">
        <v>316</v>
      </c>
      <c r="M7362" s="3">
        <v>422</v>
      </c>
    </row>
    <row r="7363" spans="1:13" x14ac:dyDescent="0.25">
      <c r="A7363" s="1" t="str">
        <f>HYPERLINK("http://www.rosaceae.org/Prunus/Prunus_persica/p.persica_gdr_reftransV1_0006579","p.persica_gdr_reftransV1_0006579")</f>
        <v>p.persica_gdr_reftransV1_0006579</v>
      </c>
      <c r="B7363" s="3">
        <v>759</v>
      </c>
      <c r="C7363" s="1" t="str">
        <f>HYPERLINK("http://www.uniprot.org/uniprot/HR1_ARATH","HR1_ARATH")</f>
        <v>HR1_ARATH</v>
      </c>
      <c r="D7363" t="s">
        <v>5885</v>
      </c>
      <c r="E7363" s="3" t="s">
        <v>3</v>
      </c>
      <c r="F7363" s="4">
        <v>1.18E-13</v>
      </c>
      <c r="G7363" s="3">
        <v>172</v>
      </c>
      <c r="H7363" s="3">
        <v>33</v>
      </c>
      <c r="I7363" s="3">
        <v>159</v>
      </c>
      <c r="J7363" s="3">
        <v>281</v>
      </c>
      <c r="K7363" s="3">
        <v>742</v>
      </c>
      <c r="L7363" s="3">
        <v>1</v>
      </c>
      <c r="M7363" s="3">
        <v>158</v>
      </c>
    </row>
    <row r="7364" spans="1:13" x14ac:dyDescent="0.25">
      <c r="A7364" s="1" t="str">
        <f>HYPERLINK("http://www.rosaceae.org/Prunus/Prunus_persica/p.persica_gdr_reftransV1_0006779","p.persica_gdr_reftransV1_0006779")</f>
        <v>p.persica_gdr_reftransV1_0006779</v>
      </c>
      <c r="B7364" s="3">
        <v>948</v>
      </c>
      <c r="C7364" s="1" t="str">
        <f>HYPERLINK("http://www.uniprot.org/uniprot/PTR47_ARATH","PTR47_ARATH")</f>
        <v>PTR47_ARATH</v>
      </c>
      <c r="D7364" t="s">
        <v>3896</v>
      </c>
      <c r="E7364" s="3" t="s">
        <v>3</v>
      </c>
      <c r="F7364" s="4">
        <v>1.68E-50</v>
      </c>
      <c r="G7364" s="3">
        <v>460</v>
      </c>
      <c r="H7364" s="3">
        <v>79</v>
      </c>
      <c r="I7364" s="3">
        <v>110</v>
      </c>
      <c r="J7364" s="3">
        <v>145</v>
      </c>
      <c r="K7364" s="3">
        <v>468</v>
      </c>
      <c r="L7364" s="3">
        <v>2</v>
      </c>
      <c r="M7364" s="3">
        <v>111</v>
      </c>
    </row>
    <row r="7365" spans="1:13" x14ac:dyDescent="0.25">
      <c r="A7365" s="1" t="str">
        <f>HYPERLINK("http://www.rosaceae.org/Prunus/Prunus_persica/p.persica_gdr_reftransV1_0006879","p.persica_gdr_reftransV1_0006879")</f>
        <v>p.persica_gdr_reftransV1_0006879</v>
      </c>
      <c r="B7365" s="3">
        <v>1157</v>
      </c>
      <c r="C7365" s="1" t="str">
        <f>HYPERLINK("http://www.uniprot.org/uniprot/Y5157_ARATH","Y5157_ARATH")</f>
        <v>Y5157_ARATH</v>
      </c>
      <c r="D7365" t="s">
        <v>5886</v>
      </c>
      <c r="E7365" s="3" t="s">
        <v>3</v>
      </c>
      <c r="F7365" s="4">
        <v>1.4300000000000001E-83</v>
      </c>
      <c r="G7365" s="3">
        <v>684</v>
      </c>
      <c r="H7365" s="3">
        <v>50</v>
      </c>
      <c r="I7365" s="3">
        <v>266</v>
      </c>
      <c r="J7365" s="3">
        <v>3</v>
      </c>
      <c r="K7365" s="3">
        <v>797</v>
      </c>
      <c r="L7365" s="3">
        <v>122</v>
      </c>
      <c r="M7365" s="3">
        <v>381</v>
      </c>
    </row>
    <row r="7366" spans="1:13" x14ac:dyDescent="0.25">
      <c r="A7366" s="1" t="str">
        <f>HYPERLINK("http://www.rosaceae.org/Prunus/Prunus_persica/p.persica_gdr_reftransV1_0007029","p.persica_gdr_reftransV1_0007029")</f>
        <v>p.persica_gdr_reftransV1_0007029</v>
      </c>
      <c r="B7366" s="3">
        <v>1843</v>
      </c>
      <c r="C7366" s="1" t="str">
        <f>HYPERLINK("http://www.uniprot.org/uniprot/GPAT5_ARATH","GPAT5_ARATH")</f>
        <v>GPAT5_ARATH</v>
      </c>
      <c r="D7366" t="s">
        <v>5887</v>
      </c>
      <c r="E7366" s="3" t="s">
        <v>3</v>
      </c>
      <c r="F7366" s="4">
        <v>0</v>
      </c>
      <c r="G7366" s="3">
        <v>1805</v>
      </c>
      <c r="H7366" s="3">
        <v>71</v>
      </c>
      <c r="I7366" s="3">
        <v>499</v>
      </c>
      <c r="J7366" s="3">
        <v>266</v>
      </c>
      <c r="K7366" s="3">
        <v>1756</v>
      </c>
      <c r="L7366" s="3">
        <v>3</v>
      </c>
      <c r="M7366" s="3">
        <v>499</v>
      </c>
    </row>
    <row r="7367" spans="1:13" x14ac:dyDescent="0.25">
      <c r="A7367" s="1" t="str">
        <f>HYPERLINK("http://www.rosaceae.org/Prunus/Prunus_persica/p.persica_gdr_reftransV1_0007129","p.persica_gdr_reftransV1_0007129")</f>
        <v>p.persica_gdr_reftransV1_0007129</v>
      </c>
      <c r="B7367" s="3">
        <v>561</v>
      </c>
      <c r="C7367" s="1" t="str">
        <f>HYPERLINK("http://www.uniprot.org/uniprot/GL122_ORYSJ","GL122_ORYSJ")</f>
        <v>GL122_ORYSJ</v>
      </c>
      <c r="D7367" t="s">
        <v>5888</v>
      </c>
      <c r="E7367" s="3" t="s">
        <v>38</v>
      </c>
      <c r="F7367" s="4">
        <v>2.1800000000000001E-67</v>
      </c>
      <c r="G7367" s="3">
        <v>539</v>
      </c>
      <c r="H7367" s="3">
        <v>72</v>
      </c>
      <c r="I7367" s="3">
        <v>150</v>
      </c>
      <c r="J7367" s="3">
        <v>5</v>
      </c>
      <c r="K7367" s="3">
        <v>445</v>
      </c>
      <c r="L7367" s="3">
        <v>79</v>
      </c>
      <c r="M7367" s="3">
        <v>228</v>
      </c>
    </row>
    <row r="7368" spans="1:13" x14ac:dyDescent="0.25">
      <c r="A7368" s="1" t="str">
        <f>HYPERLINK("http://www.rosaceae.org/Prunus/Prunus_persica/p.persica_gdr_reftransV1_0007479","p.persica_gdr_reftransV1_0007479")</f>
        <v>p.persica_gdr_reftransV1_0007479</v>
      </c>
      <c r="B7368" s="3">
        <v>2559</v>
      </c>
      <c r="C7368" s="1" t="str">
        <f>HYPERLINK("http://www.uniprot.org/uniprot/METE_CATRO","METE_CATRO")</f>
        <v>METE_CATRO</v>
      </c>
      <c r="D7368" t="s">
        <v>5889</v>
      </c>
      <c r="E7368" s="3" t="s">
        <v>457</v>
      </c>
      <c r="F7368" s="4">
        <v>0</v>
      </c>
      <c r="G7368" s="3">
        <v>3395</v>
      </c>
      <c r="H7368" s="3">
        <v>82</v>
      </c>
      <c r="I7368" s="3">
        <v>751</v>
      </c>
      <c r="J7368" s="3">
        <v>2</v>
      </c>
      <c r="K7368" s="3">
        <v>2254</v>
      </c>
      <c r="L7368" s="3">
        <v>11</v>
      </c>
      <c r="M7368" s="3">
        <v>761</v>
      </c>
    </row>
    <row r="7369" spans="1:13" x14ac:dyDescent="0.25">
      <c r="A7369" s="1" t="str">
        <f>HYPERLINK("http://www.rosaceae.org/Prunus/Prunus_persica/p.persica_gdr_reftransV1_0007579","p.persica_gdr_reftransV1_0007579")</f>
        <v>p.persica_gdr_reftransV1_0007579</v>
      </c>
      <c r="B7369" s="3">
        <v>1332</v>
      </c>
      <c r="C7369" s="1" t="str">
        <f>HYPERLINK("http://www.uniprot.org/uniprot/BRX1_XENLA","BRX1_XENLA")</f>
        <v>BRX1_XENLA</v>
      </c>
      <c r="D7369" t="s">
        <v>5890</v>
      </c>
      <c r="E7369" s="3" t="s">
        <v>475</v>
      </c>
      <c r="F7369" s="4">
        <v>1.4900000000000001E-77</v>
      </c>
      <c r="G7369" s="3">
        <v>641</v>
      </c>
      <c r="H7369" s="3">
        <v>52</v>
      </c>
      <c r="I7369" s="3">
        <v>227</v>
      </c>
      <c r="J7369" s="3">
        <v>299</v>
      </c>
      <c r="K7369" s="3">
        <v>979</v>
      </c>
      <c r="L7369" s="3">
        <v>49</v>
      </c>
      <c r="M7369" s="3">
        <v>261</v>
      </c>
    </row>
    <row r="7370" spans="1:13" x14ac:dyDescent="0.25">
      <c r="A7370" s="1" t="str">
        <f>HYPERLINK("http://www.rosaceae.org/Prunus/Prunus_persica/p.persica_gdr_reftransV1_0007629","p.persica_gdr_reftransV1_0007629")</f>
        <v>p.persica_gdr_reftransV1_0007629</v>
      </c>
      <c r="B7370" s="3">
        <v>15615</v>
      </c>
      <c r="C7370" s="1" t="str">
        <f>HYPERLINK("http://www.uniprot.org/uniprot/BIG_ARATH","BIG_ARATH")</f>
        <v>BIG_ARATH</v>
      </c>
      <c r="D7370" t="s">
        <v>5891</v>
      </c>
      <c r="E7370" s="3" t="s">
        <v>3</v>
      </c>
      <c r="F7370" s="4">
        <v>0</v>
      </c>
      <c r="G7370" s="3">
        <v>16850</v>
      </c>
      <c r="H7370" s="3">
        <v>67</v>
      </c>
      <c r="I7370" s="3">
        <v>5113</v>
      </c>
      <c r="J7370" s="3">
        <v>226</v>
      </c>
      <c r="K7370" s="3">
        <v>15417</v>
      </c>
      <c r="L7370" s="3">
        <v>40</v>
      </c>
      <c r="M7370" s="3">
        <v>5096</v>
      </c>
    </row>
    <row r="7371" spans="1:13" x14ac:dyDescent="0.25">
      <c r="A7371" s="1" t="str">
        <f>HYPERLINK("http://www.rosaceae.org/Prunus/Prunus_persica/p.persica_gdr_reftransV1_0007829","p.persica_gdr_reftransV1_0007829")</f>
        <v>p.persica_gdr_reftransV1_0007829</v>
      </c>
      <c r="B7371" s="3">
        <v>921</v>
      </c>
      <c r="C7371" s="1" t="str">
        <f>HYPERLINK("http://www.uniprot.org/uniprot/ADF5_ARATH","ADF5_ARATH")</f>
        <v>ADF5_ARATH</v>
      </c>
      <c r="D7371" t="s">
        <v>5892</v>
      </c>
      <c r="E7371" s="3" t="s">
        <v>3</v>
      </c>
      <c r="F7371" s="4">
        <v>4.74E-74</v>
      </c>
      <c r="G7371" s="3">
        <v>587</v>
      </c>
      <c r="H7371" s="3">
        <v>85</v>
      </c>
      <c r="I7371" s="3">
        <v>130</v>
      </c>
      <c r="J7371" s="3">
        <v>180</v>
      </c>
      <c r="K7371" s="3">
        <v>569</v>
      </c>
      <c r="L7371" s="3">
        <v>14</v>
      </c>
      <c r="M7371" s="3">
        <v>143</v>
      </c>
    </row>
    <row r="7372" spans="1:13" x14ac:dyDescent="0.25">
      <c r="A7372" s="1" t="str">
        <f>HYPERLINK("http://www.rosaceae.org/Prunus/Prunus_persica/p.persica_gdr_reftransV1_0007879","p.persica_gdr_reftransV1_0007879")</f>
        <v>p.persica_gdr_reftransV1_0007879</v>
      </c>
      <c r="B7372" s="3">
        <v>935</v>
      </c>
      <c r="C7372" s="1" t="str">
        <f>HYPERLINK("http://www.uniprot.org/uniprot/DRL21_ARATH","DRL21_ARATH")</f>
        <v>DRL21_ARATH</v>
      </c>
      <c r="D7372" t="s">
        <v>3610</v>
      </c>
      <c r="E7372" s="3" t="s">
        <v>3</v>
      </c>
      <c r="F7372" s="4">
        <v>4.55E-24</v>
      </c>
      <c r="G7372" s="3">
        <v>268</v>
      </c>
      <c r="H7372" s="3">
        <v>35</v>
      </c>
      <c r="I7372" s="3">
        <v>258</v>
      </c>
      <c r="J7372" s="3">
        <v>10</v>
      </c>
      <c r="K7372" s="3">
        <v>759</v>
      </c>
      <c r="L7372" s="3">
        <v>1138</v>
      </c>
      <c r="M7372" s="3">
        <v>1385</v>
      </c>
    </row>
    <row r="7373" spans="1:13" x14ac:dyDescent="0.25">
      <c r="A7373" s="1" t="str">
        <f>HYPERLINK("http://www.rosaceae.org/Prunus/Prunus_persica/p.persica_gdr_reftransV1_0007979","p.persica_gdr_reftransV1_0007979")</f>
        <v>p.persica_gdr_reftransV1_0007979</v>
      </c>
      <c r="B7373" s="3">
        <v>1412</v>
      </c>
      <c r="C7373" s="1" t="str">
        <f>HYPERLINK("http://www.uniprot.org/uniprot/PP312_ARATH","PP312_ARATH")</f>
        <v>PP312_ARATH</v>
      </c>
      <c r="D7373" t="s">
        <v>4597</v>
      </c>
      <c r="E7373" s="3" t="s">
        <v>3</v>
      </c>
      <c r="F7373" s="4">
        <v>0</v>
      </c>
      <c r="G7373" s="3">
        <v>1659</v>
      </c>
      <c r="H7373" s="3">
        <v>69</v>
      </c>
      <c r="I7373" s="3">
        <v>441</v>
      </c>
      <c r="J7373" s="3">
        <v>90</v>
      </c>
      <c r="K7373" s="3">
        <v>1412</v>
      </c>
      <c r="L7373" s="3">
        <v>244</v>
      </c>
      <c r="M7373" s="3">
        <v>684</v>
      </c>
    </row>
    <row r="7374" spans="1:13" x14ac:dyDescent="0.25">
      <c r="A7374" s="1" t="str">
        <f>HYPERLINK("http://www.rosaceae.org/Prunus/Prunus_persica/p.persica_gdr_reftransV1_0008079","p.persica_gdr_reftransV1_0008079")</f>
        <v>p.persica_gdr_reftransV1_0008079</v>
      </c>
      <c r="B7374" s="3">
        <v>1576</v>
      </c>
      <c r="C7374" s="1" t="str">
        <f>HYPERLINK("http://www.uniprot.org/uniprot/PP449_ARATH","PP449_ARATH")</f>
        <v>PP449_ARATH</v>
      </c>
      <c r="D7374" t="s">
        <v>1725</v>
      </c>
      <c r="E7374" s="3" t="s">
        <v>3</v>
      </c>
      <c r="F7374" s="4">
        <v>2.18E-81</v>
      </c>
      <c r="G7374" s="3">
        <v>695</v>
      </c>
      <c r="H7374" s="3">
        <v>37</v>
      </c>
      <c r="I7374" s="3">
        <v>411</v>
      </c>
      <c r="J7374" s="3">
        <v>115</v>
      </c>
      <c r="K7374" s="3">
        <v>1341</v>
      </c>
      <c r="L7374" s="3">
        <v>83</v>
      </c>
      <c r="M7374" s="3">
        <v>486</v>
      </c>
    </row>
    <row r="7375" spans="1:13" x14ac:dyDescent="0.25">
      <c r="A7375" s="1" t="str">
        <f>HYPERLINK("http://www.rosaceae.org/Prunus/Prunus_persica/p.persica_gdr_reftransV1_0008279","p.persica_gdr_reftransV1_0008279")</f>
        <v>p.persica_gdr_reftransV1_0008279</v>
      </c>
      <c r="B7375" s="3">
        <v>741</v>
      </c>
      <c r="C7375" s="1" t="str">
        <f>HYPERLINK("http://www.uniprot.org/uniprot/PP223_ARATH","PP223_ARATH")</f>
        <v>PP223_ARATH</v>
      </c>
      <c r="D7375" t="s">
        <v>3430</v>
      </c>
      <c r="E7375" s="3" t="s">
        <v>3</v>
      </c>
      <c r="F7375" s="4">
        <v>4.3700000000000002E-53</v>
      </c>
      <c r="G7375" s="3">
        <v>473</v>
      </c>
      <c r="H7375" s="3">
        <v>41</v>
      </c>
      <c r="I7375" s="3">
        <v>230</v>
      </c>
      <c r="J7375" s="3">
        <v>54</v>
      </c>
      <c r="K7375" s="3">
        <v>740</v>
      </c>
      <c r="L7375" s="3">
        <v>201</v>
      </c>
      <c r="M7375" s="3">
        <v>429</v>
      </c>
    </row>
    <row r="7376" spans="1:13" x14ac:dyDescent="0.25">
      <c r="A7376" s="1" t="str">
        <f>HYPERLINK("http://www.rosaceae.org/Prunus/Prunus_persica/p.persica_gdr_reftransV1_0008479","p.persica_gdr_reftransV1_0008479")</f>
        <v>p.persica_gdr_reftransV1_0008479</v>
      </c>
      <c r="B7376" s="3">
        <v>2517</v>
      </c>
      <c r="C7376" s="1" t="str">
        <f>HYPERLINK("http://www.uniprot.org/uniprot/B3GTJ_ARATH","B3GTJ_ARATH")</f>
        <v>B3GTJ_ARATH</v>
      </c>
      <c r="D7376" t="s">
        <v>3881</v>
      </c>
      <c r="E7376" s="3" t="s">
        <v>3</v>
      </c>
      <c r="F7376" s="4">
        <v>0</v>
      </c>
      <c r="G7376" s="3">
        <v>2373</v>
      </c>
      <c r="H7376" s="3">
        <v>66</v>
      </c>
      <c r="I7376" s="3">
        <v>676</v>
      </c>
      <c r="J7376" s="3">
        <v>242</v>
      </c>
      <c r="K7376" s="3">
        <v>2233</v>
      </c>
      <c r="L7376" s="3">
        <v>14</v>
      </c>
      <c r="M7376" s="3">
        <v>681</v>
      </c>
    </row>
    <row r="7377" spans="1:13" x14ac:dyDescent="0.25">
      <c r="A7377" s="1" t="str">
        <f>HYPERLINK("http://www.rosaceae.org/Prunus/Prunus_persica/p.persica_gdr_reftransV1_0008579","p.persica_gdr_reftransV1_0008579")</f>
        <v>p.persica_gdr_reftransV1_0008579</v>
      </c>
      <c r="B7377" s="3">
        <v>1655</v>
      </c>
      <c r="C7377" s="1" t="str">
        <f>HYPERLINK("http://www.uniprot.org/uniprot/CCD94_DICDI","CCD94_DICDI")</f>
        <v>CCD94_DICDI</v>
      </c>
      <c r="D7377" t="s">
        <v>5893</v>
      </c>
      <c r="E7377" s="3" t="s">
        <v>9</v>
      </c>
      <c r="F7377" s="4">
        <v>5.3499999999999997E-69</v>
      </c>
      <c r="G7377" s="3">
        <v>589</v>
      </c>
      <c r="H7377" s="3">
        <v>53</v>
      </c>
      <c r="I7377" s="3">
        <v>204</v>
      </c>
      <c r="J7377" s="3">
        <v>208</v>
      </c>
      <c r="K7377" s="3">
        <v>819</v>
      </c>
      <c r="L7377" s="3">
        <v>1</v>
      </c>
      <c r="M7377" s="3">
        <v>203</v>
      </c>
    </row>
    <row r="7378" spans="1:13" x14ac:dyDescent="0.25">
      <c r="A7378" s="1" t="str">
        <f>HYPERLINK("http://www.rosaceae.org/Prunus/Prunus_persica/p.persica_gdr_reftransV1_0008929","p.persica_gdr_reftransV1_0008929")</f>
        <v>p.persica_gdr_reftransV1_0008929</v>
      </c>
      <c r="B7378" s="3">
        <v>1780</v>
      </c>
      <c r="C7378" s="1" t="str">
        <f>HYPERLINK("http://www.uniprot.org/uniprot/TBA6_MAIZE","TBA6_MAIZE")</f>
        <v>TBA6_MAIZE</v>
      </c>
      <c r="D7378" t="s">
        <v>5894</v>
      </c>
      <c r="E7378" s="3" t="s">
        <v>72</v>
      </c>
      <c r="F7378" s="4">
        <v>0</v>
      </c>
      <c r="G7378" s="3">
        <v>2174</v>
      </c>
      <c r="H7378" s="3">
        <v>97</v>
      </c>
      <c r="I7378" s="3">
        <v>430</v>
      </c>
      <c r="J7378" s="3">
        <v>314</v>
      </c>
      <c r="K7378" s="3">
        <v>1603</v>
      </c>
      <c r="L7378" s="3">
        <v>1</v>
      </c>
      <c r="M7378" s="3">
        <v>430</v>
      </c>
    </row>
    <row r="7379" spans="1:13" x14ac:dyDescent="0.25">
      <c r="A7379" s="1" t="str">
        <f>HYPERLINK("http://www.rosaceae.org/Prunus/Prunus_persica/p.persica_gdr_reftransV1_0009029","p.persica_gdr_reftransV1_0009029")</f>
        <v>p.persica_gdr_reftransV1_0009029</v>
      </c>
      <c r="B7379" s="3">
        <v>3647</v>
      </c>
      <c r="C7379" s="1" t="str">
        <f>HYPERLINK("http://www.uniprot.org/uniprot/EPN2_ARATH","EPN2_ARATH")</f>
        <v>EPN2_ARATH</v>
      </c>
      <c r="D7379" t="s">
        <v>5895</v>
      </c>
      <c r="E7379" s="3" t="s">
        <v>3</v>
      </c>
      <c r="F7379" s="4">
        <v>0</v>
      </c>
      <c r="G7379" s="3">
        <v>1562</v>
      </c>
      <c r="H7379" s="3">
        <v>53</v>
      </c>
      <c r="I7379" s="3">
        <v>859</v>
      </c>
      <c r="J7379" s="3">
        <v>811</v>
      </c>
      <c r="K7379" s="3">
        <v>3297</v>
      </c>
      <c r="L7379" s="3">
        <v>1</v>
      </c>
      <c r="M7379" s="3">
        <v>772</v>
      </c>
    </row>
    <row r="7380" spans="1:13" x14ac:dyDescent="0.25">
      <c r="A7380" s="1" t="str">
        <f>HYPERLINK("http://www.rosaceae.org/Prunus/Prunus_persica/p.persica_gdr_reftransV1_0009279","p.persica_gdr_reftransV1_0009279")</f>
        <v>p.persica_gdr_reftransV1_0009279</v>
      </c>
      <c r="B7380" s="3">
        <v>1229</v>
      </c>
      <c r="C7380" s="1" t="str">
        <f>HYPERLINK("http://www.uniprot.org/uniprot/R13L1_ARATH","R13L1_ARATH")</f>
        <v>R13L1_ARATH</v>
      </c>
      <c r="D7380" t="s">
        <v>100</v>
      </c>
      <c r="E7380" s="3" t="s">
        <v>3</v>
      </c>
      <c r="F7380" s="4">
        <v>6.3199999999999994E-64</v>
      </c>
      <c r="G7380" s="3">
        <v>575</v>
      </c>
      <c r="H7380" s="3">
        <v>38</v>
      </c>
      <c r="I7380" s="3">
        <v>396</v>
      </c>
      <c r="J7380" s="3">
        <v>37</v>
      </c>
      <c r="K7380" s="3">
        <v>1188</v>
      </c>
      <c r="L7380" s="3">
        <v>614</v>
      </c>
      <c r="M7380" s="3">
        <v>991</v>
      </c>
    </row>
    <row r="7381" spans="1:13" x14ac:dyDescent="0.25">
      <c r="A7381" s="1" t="str">
        <f>HYPERLINK("http://www.rosaceae.org/Prunus/Prunus_persica/p.persica_gdr_reftransV1_0009329","p.persica_gdr_reftransV1_0009329")</f>
        <v>p.persica_gdr_reftransV1_0009329</v>
      </c>
      <c r="B7381" s="3">
        <v>996</v>
      </c>
      <c r="C7381" s="1" t="str">
        <f>HYPERLINK("http://www.uniprot.org/uniprot/CNG13_ARATH","CNG13_ARATH")</f>
        <v>CNG13_ARATH</v>
      </c>
      <c r="D7381" t="s">
        <v>5896</v>
      </c>
      <c r="E7381" s="3" t="s">
        <v>3</v>
      </c>
      <c r="F7381" s="4">
        <v>8.6499999999999997E-14</v>
      </c>
      <c r="G7381" s="3">
        <v>185</v>
      </c>
      <c r="H7381" s="3">
        <v>32</v>
      </c>
      <c r="I7381" s="3">
        <v>184</v>
      </c>
      <c r="J7381" s="3">
        <v>113</v>
      </c>
      <c r="K7381" s="3">
        <v>655</v>
      </c>
      <c r="L7381" s="3">
        <v>416</v>
      </c>
      <c r="M7381" s="3">
        <v>588</v>
      </c>
    </row>
    <row r="7382" spans="1:13" x14ac:dyDescent="0.25">
      <c r="A7382" s="1" t="str">
        <f>HYPERLINK("http://www.rosaceae.org/Prunus/Prunus_persica/p.persica_gdr_reftransV1_0009379","p.persica_gdr_reftransV1_0009379")</f>
        <v>p.persica_gdr_reftransV1_0009379</v>
      </c>
      <c r="B7382" s="3">
        <v>1821</v>
      </c>
      <c r="C7382" s="1" t="str">
        <f>HYPERLINK("http://www.uniprot.org/uniprot/DR111_ARATH","DR111_ARATH")</f>
        <v>DR111_ARATH</v>
      </c>
      <c r="D7382" t="s">
        <v>5897</v>
      </c>
      <c r="E7382" s="3" t="s">
        <v>3</v>
      </c>
      <c r="F7382" s="4">
        <v>3.9800000000000001E-120</v>
      </c>
      <c r="G7382" s="3">
        <v>945</v>
      </c>
      <c r="H7382" s="3">
        <v>74</v>
      </c>
      <c r="I7382" s="3">
        <v>391</v>
      </c>
      <c r="J7382" s="3">
        <v>385</v>
      </c>
      <c r="K7382" s="3">
        <v>1527</v>
      </c>
      <c r="L7382" s="3">
        <v>1</v>
      </c>
      <c r="M7382" s="3">
        <v>387</v>
      </c>
    </row>
    <row r="7383" spans="1:13" x14ac:dyDescent="0.25">
      <c r="A7383" s="1" t="str">
        <f>HYPERLINK("http://www.rosaceae.org/Prunus/Prunus_persica/p.persica_gdr_reftransV1_0009629","p.persica_gdr_reftransV1_0009629")</f>
        <v>p.persica_gdr_reftransV1_0009629</v>
      </c>
      <c r="B7383" s="3">
        <v>3165</v>
      </c>
      <c r="C7383" s="1" t="str">
        <f>HYPERLINK("http://www.uniprot.org/uniprot/CHR19_ARATH","CHR19_ARATH")</f>
        <v>CHR19_ARATH</v>
      </c>
      <c r="D7383" t="s">
        <v>5898</v>
      </c>
      <c r="E7383" s="3" t="s">
        <v>3</v>
      </c>
      <c r="F7383" s="4">
        <v>0</v>
      </c>
      <c r="G7383" s="3">
        <v>2612</v>
      </c>
      <c r="H7383" s="3">
        <v>82</v>
      </c>
      <c r="I7383" s="3">
        <v>575</v>
      </c>
      <c r="J7383" s="3">
        <v>1099</v>
      </c>
      <c r="K7383" s="3">
        <v>2823</v>
      </c>
      <c r="L7383" s="3">
        <v>189</v>
      </c>
      <c r="M7383" s="3">
        <v>763</v>
      </c>
    </row>
    <row r="7384" spans="1:13" x14ac:dyDescent="0.25">
      <c r="A7384" s="1" t="str">
        <f>HYPERLINK("http://www.rosaceae.org/Prunus/Prunus_persica/p.persica_gdr_reftransV1_0009729","p.persica_gdr_reftransV1_0009729")</f>
        <v>p.persica_gdr_reftransV1_0009729</v>
      </c>
      <c r="B7384" s="3">
        <v>1709</v>
      </c>
      <c r="C7384" s="1" t="str">
        <f>HYPERLINK("http://www.uniprot.org/uniprot/U496N_ARATH","U496N_ARATH")</f>
        <v>U496N_ARATH</v>
      </c>
      <c r="D7384" t="s">
        <v>3460</v>
      </c>
      <c r="E7384" s="3" t="s">
        <v>3</v>
      </c>
      <c r="F7384" s="4">
        <v>2.3200000000000002E-84</v>
      </c>
      <c r="G7384" s="3">
        <v>703</v>
      </c>
      <c r="H7384" s="3">
        <v>45</v>
      </c>
      <c r="I7384" s="3">
        <v>411</v>
      </c>
      <c r="J7384" s="3">
        <v>401</v>
      </c>
      <c r="K7384" s="3">
        <v>1591</v>
      </c>
      <c r="L7384" s="3">
        <v>1</v>
      </c>
      <c r="M7384" s="3">
        <v>399</v>
      </c>
    </row>
    <row r="7385" spans="1:13" x14ac:dyDescent="0.25">
      <c r="A7385" s="1" t="str">
        <f>HYPERLINK("http://www.rosaceae.org/Prunus/Prunus_persica/p.persica_gdr_reftransV1_0009829","p.persica_gdr_reftransV1_0009829")</f>
        <v>p.persica_gdr_reftransV1_0009829</v>
      </c>
      <c r="B7385" s="3">
        <v>3057</v>
      </c>
      <c r="C7385" s="1" t="str">
        <f>HYPERLINK("http://www.uniprot.org/uniprot/CYF_MORIN","CYF_MORIN")</f>
        <v>CYF_MORIN</v>
      </c>
      <c r="D7385" t="s">
        <v>5899</v>
      </c>
      <c r="E7385" s="3" t="s">
        <v>69</v>
      </c>
      <c r="F7385" s="4">
        <v>0</v>
      </c>
      <c r="G7385" s="3">
        <v>1588</v>
      </c>
      <c r="H7385" s="3">
        <v>94</v>
      </c>
      <c r="I7385" s="3">
        <v>320</v>
      </c>
      <c r="J7385" s="3">
        <v>860</v>
      </c>
      <c r="K7385" s="3">
        <v>1819</v>
      </c>
      <c r="L7385" s="3">
        <v>1</v>
      </c>
      <c r="M7385" s="3">
        <v>320</v>
      </c>
    </row>
    <row r="7386" spans="1:13" x14ac:dyDescent="0.25">
      <c r="A7386" s="1" t="str">
        <f>HYPERLINK("http://www.rosaceae.org/Prunus/Prunus_persica/p.persica_gdr_reftransV1_0009879","p.persica_gdr_reftransV1_0009879")</f>
        <v>p.persica_gdr_reftransV1_0009879</v>
      </c>
      <c r="B7386" s="3">
        <v>439</v>
      </c>
      <c r="C7386" s="1" t="str">
        <f>HYPERLINK("http://www.uniprot.org/uniprot/PLCD2_ARATH","PLCD2_ARATH")</f>
        <v>PLCD2_ARATH</v>
      </c>
      <c r="D7386" t="s">
        <v>5900</v>
      </c>
      <c r="E7386" s="3" t="s">
        <v>3</v>
      </c>
      <c r="F7386" s="4">
        <v>1.23E-53</v>
      </c>
      <c r="G7386" s="3">
        <v>465</v>
      </c>
      <c r="H7386" s="3">
        <v>60</v>
      </c>
      <c r="I7386" s="3">
        <v>139</v>
      </c>
      <c r="J7386" s="3">
        <v>1</v>
      </c>
      <c r="K7386" s="3">
        <v>414</v>
      </c>
      <c r="L7386" s="3">
        <v>2</v>
      </c>
      <c r="M7386" s="3">
        <v>138</v>
      </c>
    </row>
    <row r="7387" spans="1:13" x14ac:dyDescent="0.25">
      <c r="A7387" s="1" t="str">
        <f>HYPERLINK("http://www.rosaceae.org/Prunus/Prunus_persica/p.persica_gdr_reftransV1_0010129","p.persica_gdr_reftransV1_0010129")</f>
        <v>p.persica_gdr_reftransV1_0010129</v>
      </c>
      <c r="B7387" s="3">
        <v>1879</v>
      </c>
      <c r="C7387" s="1" t="str">
        <f>HYPERLINK("http://www.uniprot.org/uniprot/TAL_RENSM","TAL_RENSM")</f>
        <v>TAL_RENSM</v>
      </c>
      <c r="D7387" t="s">
        <v>5901</v>
      </c>
      <c r="E7387" s="3" t="s">
        <v>5902</v>
      </c>
      <c r="F7387" s="4">
        <v>6.2199999999999995E-92</v>
      </c>
      <c r="G7387" s="3">
        <v>755</v>
      </c>
      <c r="H7387" s="3">
        <v>50</v>
      </c>
      <c r="I7387" s="3">
        <v>355</v>
      </c>
      <c r="J7387" s="3">
        <v>450</v>
      </c>
      <c r="K7387" s="3">
        <v>1493</v>
      </c>
      <c r="L7387" s="3">
        <v>12</v>
      </c>
      <c r="M7387" s="3">
        <v>366</v>
      </c>
    </row>
    <row r="7388" spans="1:13" x14ac:dyDescent="0.25">
      <c r="A7388" s="1" t="str">
        <f>HYPERLINK("http://www.rosaceae.org/Prunus/Prunus_persica/p.persica_gdr_reftransV1_0010329","p.persica_gdr_reftransV1_0010329")</f>
        <v>p.persica_gdr_reftransV1_0010329</v>
      </c>
      <c r="B7388" s="3">
        <v>1678</v>
      </c>
      <c r="C7388" s="1" t="str">
        <f>HYPERLINK("http://www.uniprot.org/uniprot/CSLA2_ARATH","CSLA2_ARATH")</f>
        <v>CSLA2_ARATH</v>
      </c>
      <c r="D7388" t="s">
        <v>2419</v>
      </c>
      <c r="E7388" s="3" t="s">
        <v>3</v>
      </c>
      <c r="F7388" s="4">
        <v>0</v>
      </c>
      <c r="G7388" s="3">
        <v>1754</v>
      </c>
      <c r="H7388" s="3">
        <v>84</v>
      </c>
      <c r="I7388" s="3">
        <v>394</v>
      </c>
      <c r="J7388" s="3">
        <v>227</v>
      </c>
      <c r="K7388" s="3">
        <v>1408</v>
      </c>
      <c r="L7388" s="3">
        <v>142</v>
      </c>
      <c r="M7388" s="3">
        <v>530</v>
      </c>
    </row>
    <row r="7389" spans="1:13" x14ac:dyDescent="0.25">
      <c r="A7389" s="1" t="str">
        <f>HYPERLINK("http://www.rosaceae.org/Prunus/Prunus_persica/p.persica_gdr_reftransV1_0010429","p.persica_gdr_reftransV1_0010429")</f>
        <v>p.persica_gdr_reftransV1_0010429</v>
      </c>
      <c r="B7389" s="3">
        <v>1955</v>
      </c>
      <c r="C7389" s="1" t="str">
        <f>HYPERLINK("http://www.uniprot.org/uniprot/AZG1_ARATH","AZG1_ARATH")</f>
        <v>AZG1_ARATH</v>
      </c>
      <c r="D7389" t="s">
        <v>5903</v>
      </c>
      <c r="E7389" s="3" t="s">
        <v>3</v>
      </c>
      <c r="F7389" s="4">
        <v>0</v>
      </c>
      <c r="G7389" s="3">
        <v>2302</v>
      </c>
      <c r="H7389" s="3">
        <v>83</v>
      </c>
      <c r="I7389" s="3">
        <v>528</v>
      </c>
      <c r="J7389" s="3">
        <v>198</v>
      </c>
      <c r="K7389" s="3">
        <v>1781</v>
      </c>
      <c r="L7389" s="3">
        <v>21</v>
      </c>
      <c r="M7389" s="3">
        <v>548</v>
      </c>
    </row>
    <row r="7390" spans="1:13" x14ac:dyDescent="0.25">
      <c r="A7390" s="1" t="str">
        <f>HYPERLINK("http://www.rosaceae.org/Prunus/Prunus_persica/p.persica_gdr_reftransV1_0010629","p.persica_gdr_reftransV1_0010629")</f>
        <v>p.persica_gdr_reftransV1_0010629</v>
      </c>
      <c r="B7390" s="3">
        <v>2059</v>
      </c>
      <c r="C7390" s="1" t="str">
        <f>HYPERLINK("http://www.uniprot.org/uniprot/Y4407_SELML","Y4407_SELML")</f>
        <v>Y4407_SELML</v>
      </c>
      <c r="D7390" t="s">
        <v>1658</v>
      </c>
      <c r="E7390" s="3" t="s">
        <v>1659</v>
      </c>
      <c r="F7390" s="4">
        <v>3.2599999999999997E-70</v>
      </c>
      <c r="G7390" s="3">
        <v>625</v>
      </c>
      <c r="H7390" s="3">
        <v>57</v>
      </c>
      <c r="I7390" s="3">
        <v>207</v>
      </c>
      <c r="J7390" s="3">
        <v>3</v>
      </c>
      <c r="K7390" s="3">
        <v>623</v>
      </c>
      <c r="L7390" s="3">
        <v>230</v>
      </c>
      <c r="M7390" s="3">
        <v>388</v>
      </c>
    </row>
    <row r="7391" spans="1:13" x14ac:dyDescent="0.25">
      <c r="A7391" s="1" t="str">
        <f>HYPERLINK("http://www.rosaceae.org/Prunus/Prunus_persica/p.persica_gdr_reftransV1_0010679","p.persica_gdr_reftransV1_0010679")</f>
        <v>p.persica_gdr_reftransV1_0010679</v>
      </c>
      <c r="B7391" s="3">
        <v>2463</v>
      </c>
      <c r="C7391" s="1" t="str">
        <f>HYPERLINK("http://www.uniprot.org/uniprot/IQD31_ARATH","IQD31_ARATH")</f>
        <v>IQD31_ARATH</v>
      </c>
      <c r="D7391" t="s">
        <v>2405</v>
      </c>
      <c r="E7391" s="3" t="s">
        <v>3</v>
      </c>
      <c r="F7391" s="4">
        <v>1.12E-136</v>
      </c>
      <c r="G7391" s="3">
        <v>1092</v>
      </c>
      <c r="H7391" s="3">
        <v>47</v>
      </c>
      <c r="I7391" s="3">
        <v>614</v>
      </c>
      <c r="J7391" s="3">
        <v>397</v>
      </c>
      <c r="K7391" s="3">
        <v>2163</v>
      </c>
      <c r="L7391" s="3">
        <v>1</v>
      </c>
      <c r="M7391" s="3">
        <v>587</v>
      </c>
    </row>
    <row r="7392" spans="1:13" x14ac:dyDescent="0.25">
      <c r="A7392" s="1" t="str">
        <f>HYPERLINK("http://www.rosaceae.org/Prunus/Prunus_persica/p.persica_gdr_reftransV1_0010729","p.persica_gdr_reftransV1_0010729")</f>
        <v>p.persica_gdr_reftransV1_0010729</v>
      </c>
      <c r="B7392" s="3">
        <v>1860</v>
      </c>
      <c r="C7392" s="1" t="str">
        <f>HYPERLINK("http://www.uniprot.org/uniprot/WDR12_CHLRE","WDR12_CHLRE")</f>
        <v>WDR12_CHLRE</v>
      </c>
      <c r="D7392" t="s">
        <v>5904</v>
      </c>
      <c r="E7392" s="3" t="s">
        <v>2091</v>
      </c>
      <c r="F7392" s="4">
        <v>8.1000000000000001E-67</v>
      </c>
      <c r="G7392" s="3">
        <v>409</v>
      </c>
      <c r="H7392" s="3">
        <v>35</v>
      </c>
      <c r="I7392" s="3">
        <v>308</v>
      </c>
      <c r="J7392" s="3">
        <v>495</v>
      </c>
      <c r="K7392" s="3">
        <v>1388</v>
      </c>
      <c r="L7392" s="3">
        <v>131</v>
      </c>
      <c r="M7392" s="3">
        <v>436</v>
      </c>
    </row>
    <row r="7393" spans="1:13" x14ac:dyDescent="0.25">
      <c r="A7393" s="1" t="str">
        <f>HYPERLINK("http://www.rosaceae.org/Prunus/Prunus_persica/p.persica_gdr_reftransV1_0010829","p.persica_gdr_reftransV1_0010829")</f>
        <v>p.persica_gdr_reftransV1_0010829</v>
      </c>
      <c r="B7393" s="3">
        <v>3042</v>
      </c>
      <c r="C7393" s="1" t="str">
        <f>HYPERLINK("http://www.uniprot.org/uniprot/Y202_CLOB8","Y202_CLOB8")</f>
        <v>Y202_CLOB8</v>
      </c>
      <c r="D7393" t="s">
        <v>5905</v>
      </c>
      <c r="E7393" s="3" t="s">
        <v>5906</v>
      </c>
      <c r="F7393" s="4">
        <v>7.4299999999999999E-59</v>
      </c>
      <c r="G7393" s="3">
        <v>549</v>
      </c>
      <c r="H7393" s="3">
        <v>37</v>
      </c>
      <c r="I7393" s="3">
        <v>354</v>
      </c>
      <c r="J7393" s="3">
        <v>831</v>
      </c>
      <c r="K7393" s="3">
        <v>1883</v>
      </c>
      <c r="L7393" s="3">
        <v>140</v>
      </c>
      <c r="M7393" s="3">
        <v>464</v>
      </c>
    </row>
    <row r="7394" spans="1:13" x14ac:dyDescent="0.25">
      <c r="A7394" s="1" t="str">
        <f>HYPERLINK("http://www.rosaceae.org/Prunus/Prunus_persica/p.persica_gdr_reftransV1_0010929","p.persica_gdr_reftransV1_0010929")</f>
        <v>p.persica_gdr_reftransV1_0010929</v>
      </c>
      <c r="B7394" s="3">
        <v>3066</v>
      </c>
      <c r="C7394" s="1" t="str">
        <f>HYPERLINK("http://www.uniprot.org/uniprot/DAPB1_PSEMX","DAPB1_PSEMX")</f>
        <v>DAPB1_PSEMX</v>
      </c>
      <c r="D7394" t="s">
        <v>5907</v>
      </c>
      <c r="E7394" s="3" t="s">
        <v>5908</v>
      </c>
      <c r="F7394" s="4">
        <v>1.9200000000000001E-60</v>
      </c>
      <c r="G7394" s="3">
        <v>571</v>
      </c>
      <c r="H7394" s="3">
        <v>41</v>
      </c>
      <c r="I7394" s="3">
        <v>272</v>
      </c>
      <c r="J7394" s="3">
        <v>1712</v>
      </c>
      <c r="K7394" s="3">
        <v>2512</v>
      </c>
      <c r="L7394" s="3">
        <v>455</v>
      </c>
      <c r="M7394" s="3">
        <v>720</v>
      </c>
    </row>
    <row r="7395" spans="1:13" x14ac:dyDescent="0.25">
      <c r="A7395" s="1" t="str">
        <f>HYPERLINK("http://www.rosaceae.org/Prunus/Prunus_persica/p.persica_gdr_reftransV1_0011179","p.persica_gdr_reftransV1_0011179")</f>
        <v>p.persica_gdr_reftransV1_0011179</v>
      </c>
      <c r="B7395" s="3">
        <v>4131</v>
      </c>
      <c r="C7395" s="1" t="str">
        <f>HYPERLINK("http://www.uniprot.org/uniprot/SKI3_ARATH","SKI3_ARATH")</f>
        <v>SKI3_ARATH</v>
      </c>
      <c r="D7395" t="s">
        <v>5909</v>
      </c>
      <c r="E7395" s="3" t="s">
        <v>3</v>
      </c>
      <c r="F7395" s="4">
        <v>0</v>
      </c>
      <c r="G7395" s="3">
        <v>3452</v>
      </c>
      <c r="H7395" s="3">
        <v>62</v>
      </c>
      <c r="I7395" s="3">
        <v>1161</v>
      </c>
      <c r="J7395" s="3">
        <v>289</v>
      </c>
      <c r="K7395" s="3">
        <v>3759</v>
      </c>
      <c r="L7395" s="3">
        <v>13</v>
      </c>
      <c r="M7395" s="3">
        <v>1164</v>
      </c>
    </row>
    <row r="7396" spans="1:13" x14ac:dyDescent="0.25">
      <c r="A7396" s="1" t="str">
        <f>HYPERLINK("http://www.rosaceae.org/Prunus/Prunus_persica/p.persica_gdr_reftransV1_0011379","p.persica_gdr_reftransV1_0011379")</f>
        <v>p.persica_gdr_reftransV1_0011379</v>
      </c>
      <c r="B7396" s="3">
        <v>2241</v>
      </c>
      <c r="C7396" s="1" t="str">
        <f>HYPERLINK("http://www.uniprot.org/uniprot/TTM3_ARATH","TTM3_ARATH")</f>
        <v>TTM3_ARATH</v>
      </c>
      <c r="D7396" t="s">
        <v>3575</v>
      </c>
      <c r="E7396" s="3" t="s">
        <v>3</v>
      </c>
      <c r="F7396" s="4">
        <v>1.4800000000000001E-41</v>
      </c>
      <c r="G7396" s="3">
        <v>392</v>
      </c>
      <c r="H7396" s="3">
        <v>52</v>
      </c>
      <c r="I7396" s="3">
        <v>210</v>
      </c>
      <c r="J7396" s="3">
        <v>296</v>
      </c>
      <c r="K7396" s="3">
        <v>889</v>
      </c>
      <c r="L7396" s="3">
        <v>1</v>
      </c>
      <c r="M7396" s="3">
        <v>210</v>
      </c>
    </row>
    <row r="7397" spans="1:13" x14ac:dyDescent="0.25">
      <c r="A7397" s="1" t="str">
        <f>HYPERLINK("http://www.rosaceae.org/Prunus/Prunus_persica/p.persica_gdr_reftransV1_0011429","p.persica_gdr_reftransV1_0011429")</f>
        <v>p.persica_gdr_reftransV1_0011429</v>
      </c>
      <c r="B7397" s="3">
        <v>2214</v>
      </c>
      <c r="C7397" s="1" t="str">
        <f>HYPERLINK("http://www.uniprot.org/uniprot/LSG12_ARATH","LSG12_ARATH")</f>
        <v>LSG12_ARATH</v>
      </c>
      <c r="D7397" t="s">
        <v>5910</v>
      </c>
      <c r="E7397" s="3" t="s">
        <v>3</v>
      </c>
      <c r="F7397" s="4">
        <v>0</v>
      </c>
      <c r="G7397" s="3">
        <v>1995</v>
      </c>
      <c r="H7397" s="3">
        <v>70</v>
      </c>
      <c r="I7397" s="3">
        <v>579</v>
      </c>
      <c r="J7397" s="3">
        <v>55</v>
      </c>
      <c r="K7397" s="3">
        <v>1761</v>
      </c>
      <c r="L7397" s="3">
        <v>1</v>
      </c>
      <c r="M7397" s="3">
        <v>576</v>
      </c>
    </row>
    <row r="7398" spans="1:13" x14ac:dyDescent="0.25">
      <c r="A7398" s="1" t="str">
        <f>HYPERLINK("http://www.rosaceae.org/Prunus/Prunus_persica/p.persica_gdr_reftransV1_0011479","p.persica_gdr_reftransV1_0011479")</f>
        <v>p.persica_gdr_reftransV1_0011479</v>
      </c>
      <c r="B7398" s="3">
        <v>877</v>
      </c>
      <c r="C7398" s="1" t="str">
        <f>HYPERLINK("http://www.uniprot.org/uniprot/NDUF3_XENTR","NDUF3_XENTR")</f>
        <v>NDUF3_XENTR</v>
      </c>
      <c r="D7398" t="s">
        <v>4663</v>
      </c>
      <c r="E7398" s="3" t="s">
        <v>173</v>
      </c>
      <c r="F7398" s="4">
        <v>1.4599999999999999E-17</v>
      </c>
      <c r="G7398" s="3">
        <v>202</v>
      </c>
      <c r="H7398" s="3">
        <v>35</v>
      </c>
      <c r="I7398" s="3">
        <v>109</v>
      </c>
      <c r="J7398" s="3">
        <v>264</v>
      </c>
      <c r="K7398" s="3">
        <v>590</v>
      </c>
      <c r="L7398" s="3">
        <v>66</v>
      </c>
      <c r="M7398" s="3">
        <v>174</v>
      </c>
    </row>
    <row r="7399" spans="1:13" x14ac:dyDescent="0.25">
      <c r="A7399" s="1" t="str">
        <f>HYPERLINK("http://www.rosaceae.org/Prunus/Prunus_persica/p.persica_gdr_reftransV1_0011729","p.persica_gdr_reftransV1_0011729")</f>
        <v>p.persica_gdr_reftransV1_0011729</v>
      </c>
      <c r="B7399" s="3">
        <v>2615</v>
      </c>
      <c r="C7399" s="1" t="str">
        <f>HYPERLINK("http://www.uniprot.org/uniprot/SIGE_ARATH","SIGE_ARATH")</f>
        <v>SIGE_ARATH</v>
      </c>
      <c r="D7399" t="s">
        <v>5911</v>
      </c>
      <c r="E7399" s="3" t="s">
        <v>3</v>
      </c>
      <c r="F7399" s="4">
        <v>6.8100000000000001E-179</v>
      </c>
      <c r="G7399" s="3">
        <v>1373</v>
      </c>
      <c r="H7399" s="3">
        <v>61</v>
      </c>
      <c r="I7399" s="3">
        <v>462</v>
      </c>
      <c r="J7399" s="3">
        <v>362</v>
      </c>
      <c r="K7399" s="3">
        <v>1726</v>
      </c>
      <c r="L7399" s="3">
        <v>1</v>
      </c>
      <c r="M7399" s="3">
        <v>453</v>
      </c>
    </row>
    <row r="7400" spans="1:13" x14ac:dyDescent="0.25">
      <c r="A7400" s="1" t="str">
        <f>HYPERLINK("http://www.rosaceae.org/Prunus/Prunus_persica/p.persica_gdr_reftransV1_0011829","p.persica_gdr_reftransV1_0011829")</f>
        <v>p.persica_gdr_reftransV1_0011829</v>
      </c>
      <c r="B7400" s="3">
        <v>1177</v>
      </c>
      <c r="C7400" s="1" t="str">
        <f>HYPERLINK("http://www.uniprot.org/uniprot/DNJ10_ARATH","DNJ10_ARATH")</f>
        <v>DNJ10_ARATH</v>
      </c>
      <c r="D7400" t="s">
        <v>1099</v>
      </c>
      <c r="E7400" s="3" t="s">
        <v>3</v>
      </c>
      <c r="F7400" s="4">
        <v>2.5800000000000002E-63</v>
      </c>
      <c r="G7400" s="3">
        <v>545</v>
      </c>
      <c r="H7400" s="3">
        <v>57</v>
      </c>
      <c r="I7400" s="3">
        <v>190</v>
      </c>
      <c r="J7400" s="3">
        <v>3</v>
      </c>
      <c r="K7400" s="3">
        <v>572</v>
      </c>
      <c r="L7400" s="3">
        <v>127</v>
      </c>
      <c r="M7400" s="3">
        <v>315</v>
      </c>
    </row>
    <row r="7401" spans="1:13" x14ac:dyDescent="0.25">
      <c r="A7401" s="1" t="str">
        <f>HYPERLINK("http://www.rosaceae.org/Prunus/Prunus_persica/p.persica_gdr_reftransV1_0012029","p.persica_gdr_reftransV1_0012029")</f>
        <v>p.persica_gdr_reftransV1_0012029</v>
      </c>
      <c r="B7401" s="3">
        <v>1501</v>
      </c>
      <c r="C7401" s="1" t="str">
        <f>HYPERLINK("http://www.uniprot.org/uniprot/FB333_ARATH","FB333_ARATH")</f>
        <v>FB333_ARATH</v>
      </c>
      <c r="D7401" t="s">
        <v>1203</v>
      </c>
      <c r="E7401" s="3" t="s">
        <v>3</v>
      </c>
      <c r="F7401" s="4">
        <v>2.2200000000000001E-72</v>
      </c>
      <c r="G7401" s="3">
        <v>631</v>
      </c>
      <c r="H7401" s="3">
        <v>47</v>
      </c>
      <c r="I7401" s="3">
        <v>406</v>
      </c>
      <c r="J7401" s="3">
        <v>257</v>
      </c>
      <c r="K7401" s="3">
        <v>1447</v>
      </c>
      <c r="L7401" s="3">
        <v>1</v>
      </c>
      <c r="M7401" s="3">
        <v>387</v>
      </c>
    </row>
    <row r="7402" spans="1:13" x14ac:dyDescent="0.25">
      <c r="A7402" s="1" t="str">
        <f>HYPERLINK("http://www.rosaceae.org/Prunus/Prunus_persica/p.persica_gdr_reftransV1_0012079","p.persica_gdr_reftransV1_0012079")</f>
        <v>p.persica_gdr_reftransV1_0012079</v>
      </c>
      <c r="B7402" s="3">
        <v>2422</v>
      </c>
      <c r="C7402" s="1" t="str">
        <f>HYPERLINK("http://www.uniprot.org/uniprot/PPR81_ARATH","PPR81_ARATH")</f>
        <v>PPR81_ARATH</v>
      </c>
      <c r="D7402" t="s">
        <v>5912</v>
      </c>
      <c r="E7402" s="3" t="s">
        <v>3</v>
      </c>
      <c r="F7402" s="4">
        <v>0</v>
      </c>
      <c r="G7402" s="3">
        <v>1690</v>
      </c>
      <c r="H7402" s="3">
        <v>64</v>
      </c>
      <c r="I7402" s="3">
        <v>487</v>
      </c>
      <c r="J7402" s="3">
        <v>494</v>
      </c>
      <c r="K7402" s="3">
        <v>1951</v>
      </c>
      <c r="L7402" s="3">
        <v>1</v>
      </c>
      <c r="M7402" s="3">
        <v>476</v>
      </c>
    </row>
    <row r="7403" spans="1:13" x14ac:dyDescent="0.25">
      <c r="A7403" s="1" t="str">
        <f>HYPERLINK("http://www.rosaceae.org/Prunus/Prunus_persica/p.persica_gdr_reftransV1_0012429","p.persica_gdr_reftransV1_0012429")</f>
        <v>p.persica_gdr_reftransV1_0012429</v>
      </c>
      <c r="B7403" s="3">
        <v>1826</v>
      </c>
      <c r="C7403" s="1" t="str">
        <f>HYPERLINK("http://www.uniprot.org/uniprot/GBB2_TOBAC","GBB2_TOBAC")</f>
        <v>GBB2_TOBAC</v>
      </c>
      <c r="D7403" t="s">
        <v>5913</v>
      </c>
      <c r="E7403" s="3" t="s">
        <v>200</v>
      </c>
      <c r="F7403" s="4">
        <v>0</v>
      </c>
      <c r="G7403" s="3">
        <v>1780</v>
      </c>
      <c r="H7403" s="3">
        <v>88</v>
      </c>
      <c r="I7403" s="3">
        <v>377</v>
      </c>
      <c r="J7403" s="3">
        <v>461</v>
      </c>
      <c r="K7403" s="3">
        <v>1591</v>
      </c>
      <c r="L7403" s="3">
        <v>1</v>
      </c>
      <c r="M7403" s="3">
        <v>377</v>
      </c>
    </row>
    <row r="7404" spans="1:13" x14ac:dyDescent="0.25">
      <c r="A7404" s="1" t="str">
        <f>HYPERLINK("http://www.rosaceae.org/Prunus/Prunus_persica/p.persica_gdr_reftransV1_0012629","p.persica_gdr_reftransV1_0012629")</f>
        <v>p.persica_gdr_reftransV1_0012629</v>
      </c>
      <c r="B7404" s="3">
        <v>1262</v>
      </c>
      <c r="C7404" s="1" t="str">
        <f>HYPERLINK("http://www.uniprot.org/uniprot/ABA2_ARATH","ABA2_ARATH")</f>
        <v>ABA2_ARATH</v>
      </c>
      <c r="D7404" t="s">
        <v>5914</v>
      </c>
      <c r="E7404" s="3" t="s">
        <v>3</v>
      </c>
      <c r="F7404" s="4">
        <v>9.9999999999999999E-132</v>
      </c>
      <c r="G7404" s="3">
        <v>995</v>
      </c>
      <c r="H7404" s="3">
        <v>74</v>
      </c>
      <c r="I7404" s="3">
        <v>270</v>
      </c>
      <c r="J7404" s="3">
        <v>324</v>
      </c>
      <c r="K7404" s="3">
        <v>1124</v>
      </c>
      <c r="L7404" s="3">
        <v>16</v>
      </c>
      <c r="M7404" s="3">
        <v>285</v>
      </c>
    </row>
    <row r="7405" spans="1:13" x14ac:dyDescent="0.25">
      <c r="A7405" s="1" t="str">
        <f>HYPERLINK("http://www.rosaceae.org/Prunus/Prunus_persica/p.persica_gdr_reftransV1_0013029","p.persica_gdr_reftransV1_0013029")</f>
        <v>p.persica_gdr_reftransV1_0013029</v>
      </c>
      <c r="B7405" s="3">
        <v>2159</v>
      </c>
      <c r="C7405" s="1" t="str">
        <f>HYPERLINK("http://www.uniprot.org/uniprot/U73C1_ARATH","U73C1_ARATH")</f>
        <v>U73C1_ARATH</v>
      </c>
      <c r="D7405" t="s">
        <v>5370</v>
      </c>
      <c r="E7405" s="3" t="s">
        <v>3</v>
      </c>
      <c r="F7405" s="4">
        <v>6.6999999999999996E-171</v>
      </c>
      <c r="G7405" s="3">
        <v>1304</v>
      </c>
      <c r="H7405" s="3">
        <v>56</v>
      </c>
      <c r="I7405" s="3">
        <v>486</v>
      </c>
      <c r="J7405" s="3">
        <v>238</v>
      </c>
      <c r="K7405" s="3">
        <v>1686</v>
      </c>
      <c r="L7405" s="3">
        <v>1</v>
      </c>
      <c r="M7405" s="3">
        <v>486</v>
      </c>
    </row>
    <row r="7406" spans="1:13" x14ac:dyDescent="0.25">
      <c r="A7406" s="1" t="str">
        <f>HYPERLINK("http://www.rosaceae.org/Prunus/Prunus_persica/p.persica_gdr_reftransV1_0013079","p.persica_gdr_reftransV1_0013079")</f>
        <v>p.persica_gdr_reftransV1_0013079</v>
      </c>
      <c r="B7406" s="3">
        <v>2366</v>
      </c>
      <c r="C7406" s="1" t="str">
        <f>HYPERLINK("http://www.uniprot.org/uniprot/PPR38_ARATH","PPR38_ARATH")</f>
        <v>PPR38_ARATH</v>
      </c>
      <c r="D7406" t="s">
        <v>749</v>
      </c>
      <c r="E7406" s="3" t="s">
        <v>3</v>
      </c>
      <c r="F7406" s="4">
        <v>2.4299999999999998E-134</v>
      </c>
      <c r="G7406" s="3">
        <v>1075</v>
      </c>
      <c r="H7406" s="3">
        <v>38</v>
      </c>
      <c r="I7406" s="3">
        <v>548</v>
      </c>
      <c r="J7406" s="3">
        <v>638</v>
      </c>
      <c r="K7406" s="3">
        <v>2275</v>
      </c>
      <c r="L7406" s="3">
        <v>61</v>
      </c>
      <c r="M7406" s="3">
        <v>602</v>
      </c>
    </row>
    <row r="7407" spans="1:13" x14ac:dyDescent="0.25">
      <c r="A7407" s="1" t="str">
        <f>HYPERLINK("http://www.rosaceae.org/Prunus/Prunus_persica/p.persica_gdr_reftransV1_0013229","p.persica_gdr_reftransV1_0013229")</f>
        <v>p.persica_gdr_reftransV1_0013229</v>
      </c>
      <c r="B7407" s="3">
        <v>2588</v>
      </c>
      <c r="C7407" s="1" t="str">
        <f>HYPERLINK("http://www.uniprot.org/uniprot/TMN5_ARATH","TMN5_ARATH")</f>
        <v>TMN5_ARATH</v>
      </c>
      <c r="D7407" t="s">
        <v>5915</v>
      </c>
      <c r="E7407" s="3" t="s">
        <v>3</v>
      </c>
      <c r="F7407" s="4">
        <v>0</v>
      </c>
      <c r="G7407" s="3">
        <v>1413</v>
      </c>
      <c r="H7407" s="3">
        <v>60</v>
      </c>
      <c r="I7407" s="3">
        <v>493</v>
      </c>
      <c r="J7407" s="3">
        <v>943</v>
      </c>
      <c r="K7407" s="3">
        <v>2415</v>
      </c>
      <c r="L7407" s="3">
        <v>29</v>
      </c>
      <c r="M7407" s="3">
        <v>521</v>
      </c>
    </row>
    <row r="7408" spans="1:13" x14ac:dyDescent="0.25">
      <c r="A7408" s="1" t="str">
        <f>HYPERLINK("http://www.rosaceae.org/Prunus/Prunus_persica/p.persica_gdr_reftransV1_0013279","p.persica_gdr_reftransV1_0013279")</f>
        <v>p.persica_gdr_reftransV1_0013279</v>
      </c>
      <c r="B7408" s="3">
        <v>1195</v>
      </c>
      <c r="C7408" s="1" t="str">
        <f>HYPERLINK("http://www.uniprot.org/uniprot/RPD1_ARATH","RPD1_ARATH")</f>
        <v>RPD1_ARATH</v>
      </c>
      <c r="D7408" t="s">
        <v>1883</v>
      </c>
      <c r="E7408" s="3" t="s">
        <v>3</v>
      </c>
      <c r="F7408" s="4">
        <v>7.7899999999999995E-21</v>
      </c>
      <c r="G7408" s="3">
        <v>239</v>
      </c>
      <c r="H7408" s="3">
        <v>27</v>
      </c>
      <c r="I7408" s="3">
        <v>262</v>
      </c>
      <c r="J7408" s="3">
        <v>2</v>
      </c>
      <c r="K7408" s="3">
        <v>751</v>
      </c>
      <c r="L7408" s="3">
        <v>157</v>
      </c>
      <c r="M7408" s="3">
        <v>401</v>
      </c>
    </row>
    <row r="7409" spans="1:13" x14ac:dyDescent="0.25">
      <c r="A7409" s="1" t="str">
        <f>HYPERLINK("http://www.rosaceae.org/Prunus/Prunus_persica/p.persica_gdr_reftransV1_0013329","p.persica_gdr_reftransV1_0013329")</f>
        <v>p.persica_gdr_reftransV1_0013329</v>
      </c>
      <c r="B7409" s="3">
        <v>3179</v>
      </c>
      <c r="C7409" s="1" t="str">
        <f>HYPERLINK("http://www.uniprot.org/uniprot/Y305_SYNY3","Y305_SYNY3")</f>
        <v>Y305_SYNY3</v>
      </c>
      <c r="D7409" t="s">
        <v>526</v>
      </c>
      <c r="E7409" s="3" t="s">
        <v>527</v>
      </c>
      <c r="F7409" s="4">
        <v>1.8600000000000001E-20</v>
      </c>
      <c r="G7409" s="3">
        <v>238</v>
      </c>
      <c r="H7409" s="3">
        <v>37</v>
      </c>
      <c r="I7409" s="3">
        <v>181</v>
      </c>
      <c r="J7409" s="3">
        <v>2007</v>
      </c>
      <c r="K7409" s="3">
        <v>2534</v>
      </c>
      <c r="L7409" s="3">
        <v>1</v>
      </c>
      <c r="M7409" s="3">
        <v>179</v>
      </c>
    </row>
    <row r="7410" spans="1:13" x14ac:dyDescent="0.25">
      <c r="A7410" s="1" t="str">
        <f>HYPERLINK("http://www.rosaceae.org/Prunus/Prunus_persica/p.persica_gdr_reftransV1_0013479","p.persica_gdr_reftransV1_0013479")</f>
        <v>p.persica_gdr_reftransV1_0013479</v>
      </c>
      <c r="B7410" s="3">
        <v>1393</v>
      </c>
      <c r="C7410" s="1" t="str">
        <f>HYPERLINK("http://www.uniprot.org/uniprot/DRP1A_ARATH","DRP1A_ARATH")</f>
        <v>DRP1A_ARATH</v>
      </c>
      <c r="D7410" t="s">
        <v>5916</v>
      </c>
      <c r="E7410" s="3" t="s">
        <v>3</v>
      </c>
      <c r="F7410" s="4">
        <v>1.03E-94</v>
      </c>
      <c r="G7410" s="3">
        <v>780</v>
      </c>
      <c r="H7410" s="3">
        <v>82</v>
      </c>
      <c r="I7410" s="3">
        <v>169</v>
      </c>
      <c r="J7410" s="3">
        <v>887</v>
      </c>
      <c r="K7410" s="3">
        <v>1393</v>
      </c>
      <c r="L7410" s="3">
        <v>224</v>
      </c>
      <c r="M7410" s="3">
        <v>392</v>
      </c>
    </row>
    <row r="7411" spans="1:13" x14ac:dyDescent="0.25">
      <c r="A7411" s="1" t="str">
        <f>HYPERLINK("http://www.rosaceae.org/Prunus/Prunus_persica/p.persica_gdr_reftransV1_0013529","p.persica_gdr_reftransV1_0013529")</f>
        <v>p.persica_gdr_reftransV1_0013529</v>
      </c>
      <c r="B7411" s="3">
        <v>2329</v>
      </c>
      <c r="C7411" s="1" t="str">
        <f>HYPERLINK("http://www.uniprot.org/uniprot/GLYP3_ARATH","GLYP3_ARATH")</f>
        <v>GLYP3_ARATH</v>
      </c>
      <c r="D7411" t="s">
        <v>5917</v>
      </c>
      <c r="E7411" s="3" t="s">
        <v>3</v>
      </c>
      <c r="F7411" s="4">
        <v>0</v>
      </c>
      <c r="G7411" s="3">
        <v>2166</v>
      </c>
      <c r="H7411" s="3">
        <v>76</v>
      </c>
      <c r="I7411" s="3">
        <v>531</v>
      </c>
      <c r="J7411" s="3">
        <v>538</v>
      </c>
      <c r="K7411" s="3">
        <v>2130</v>
      </c>
      <c r="L7411" s="3">
        <v>1</v>
      </c>
      <c r="M7411" s="3">
        <v>529</v>
      </c>
    </row>
    <row r="7412" spans="1:13" x14ac:dyDescent="0.25">
      <c r="A7412" s="1" t="str">
        <f>HYPERLINK("http://www.rosaceae.org/Prunus/Prunus_persica/p.persica_gdr_reftransV1_0013679","p.persica_gdr_reftransV1_0013679")</f>
        <v>p.persica_gdr_reftransV1_0013679</v>
      </c>
      <c r="B7412" s="3">
        <v>354</v>
      </c>
      <c r="C7412" s="1" t="str">
        <f>HYPERLINK("http://www.uniprot.org/uniprot/AB7A_ARATH","AB7A_ARATH")</f>
        <v>AB7A_ARATH</v>
      </c>
      <c r="D7412" t="s">
        <v>3242</v>
      </c>
      <c r="E7412" s="3" t="s">
        <v>3</v>
      </c>
      <c r="F7412" s="4">
        <v>1.6700000000000001E-45</v>
      </c>
      <c r="G7412" s="3">
        <v>409</v>
      </c>
      <c r="H7412" s="3">
        <v>70</v>
      </c>
      <c r="I7412" s="3">
        <v>116</v>
      </c>
      <c r="J7412" s="3">
        <v>3</v>
      </c>
      <c r="K7412" s="3">
        <v>350</v>
      </c>
      <c r="L7412" s="3">
        <v>529</v>
      </c>
      <c r="M7412" s="3">
        <v>641</v>
      </c>
    </row>
    <row r="7413" spans="1:13" x14ac:dyDescent="0.25">
      <c r="A7413" s="1" t="str">
        <f>HYPERLINK("http://www.rosaceae.org/Prunus/Prunus_persica/p.persica_gdr_reftransV1_0013929","p.persica_gdr_reftransV1_0013929")</f>
        <v>p.persica_gdr_reftransV1_0013929</v>
      </c>
      <c r="B7413" s="3">
        <v>983</v>
      </c>
      <c r="C7413" s="1" t="str">
        <f>HYPERLINK("http://www.uniprot.org/uniprot/MGDP1_MOUSE","MGDP1_MOUSE")</f>
        <v>MGDP1_MOUSE</v>
      </c>
      <c r="D7413" t="s">
        <v>1735</v>
      </c>
      <c r="E7413" s="3" t="s">
        <v>157</v>
      </c>
      <c r="F7413" s="4">
        <v>1.0900000000000001E-20</v>
      </c>
      <c r="G7413" s="3">
        <v>225</v>
      </c>
      <c r="H7413" s="3">
        <v>37</v>
      </c>
      <c r="I7413" s="3">
        <v>136</v>
      </c>
      <c r="J7413" s="3">
        <v>85</v>
      </c>
      <c r="K7413" s="3">
        <v>447</v>
      </c>
      <c r="L7413" s="3">
        <v>3</v>
      </c>
      <c r="M7413" s="3">
        <v>136</v>
      </c>
    </row>
    <row r="7414" spans="1:13" x14ac:dyDescent="0.25">
      <c r="A7414" s="1" t="str">
        <f>HYPERLINK("http://www.rosaceae.org/Prunus/Prunus_persica/p.persica_gdr_reftransV1_0014329","p.persica_gdr_reftransV1_0014329")</f>
        <v>p.persica_gdr_reftransV1_0014329</v>
      </c>
      <c r="B7414" s="3">
        <v>834</v>
      </c>
      <c r="C7414" s="1" t="str">
        <f>HYPERLINK("http://www.uniprot.org/uniprot/RL12_PRUAR","RL12_PRUAR")</f>
        <v>RL12_PRUAR</v>
      </c>
      <c r="D7414" t="s">
        <v>4648</v>
      </c>
      <c r="E7414" s="3" t="s">
        <v>62</v>
      </c>
      <c r="F7414" s="4">
        <v>1.0999999999999999E-90</v>
      </c>
      <c r="G7414" s="3">
        <v>697</v>
      </c>
      <c r="H7414" s="3">
        <v>98</v>
      </c>
      <c r="I7414" s="3">
        <v>142</v>
      </c>
      <c r="J7414" s="3">
        <v>3</v>
      </c>
      <c r="K7414" s="3">
        <v>428</v>
      </c>
      <c r="L7414" s="3">
        <v>25</v>
      </c>
      <c r="M7414" s="3">
        <v>166</v>
      </c>
    </row>
    <row r="7415" spans="1:13" x14ac:dyDescent="0.25">
      <c r="A7415" s="1" t="str">
        <f>HYPERLINK("http://www.rosaceae.org/Prunus/Prunus_persica/p.persica_gdr_reftransV1_0014479","p.persica_gdr_reftransV1_0014479")</f>
        <v>p.persica_gdr_reftransV1_0014479</v>
      </c>
      <c r="B7415" s="3">
        <v>947</v>
      </c>
      <c r="C7415" s="1" t="str">
        <f>HYPERLINK("http://www.uniprot.org/uniprot/MYO11_ARATH","MYO11_ARATH")</f>
        <v>MYO11_ARATH</v>
      </c>
      <c r="D7415" t="s">
        <v>5657</v>
      </c>
      <c r="E7415" s="3" t="s">
        <v>3</v>
      </c>
      <c r="F7415" s="4">
        <v>1.59E-167</v>
      </c>
      <c r="G7415" s="3">
        <v>1316</v>
      </c>
      <c r="H7415" s="3">
        <v>84</v>
      </c>
      <c r="I7415" s="3">
        <v>316</v>
      </c>
      <c r="J7415" s="3">
        <v>2</v>
      </c>
      <c r="K7415" s="3">
        <v>946</v>
      </c>
      <c r="L7415" s="3">
        <v>996</v>
      </c>
      <c r="M7415" s="3">
        <v>1307</v>
      </c>
    </row>
    <row r="7416" spans="1:13" x14ac:dyDescent="0.25">
      <c r="A7416" s="1" t="str">
        <f>HYPERLINK("http://www.rosaceae.org/Prunus/Prunus_persica/p.persica_gdr_reftransV1_0014579","p.persica_gdr_reftransV1_0014579")</f>
        <v>p.persica_gdr_reftransV1_0014579</v>
      </c>
      <c r="B7416" s="3">
        <v>647</v>
      </c>
      <c r="C7416" s="1" t="str">
        <f>HYPERLINK("http://www.uniprot.org/uniprot/AB28G_ARATH","AB28G_ARATH")</f>
        <v>AB28G_ARATH</v>
      </c>
      <c r="D7416" t="s">
        <v>5918</v>
      </c>
      <c r="E7416" s="3" t="s">
        <v>3</v>
      </c>
      <c r="F7416" s="4">
        <v>4.3400000000000001E-47</v>
      </c>
      <c r="G7416" s="3">
        <v>434</v>
      </c>
      <c r="H7416" s="3">
        <v>50</v>
      </c>
      <c r="I7416" s="3">
        <v>216</v>
      </c>
      <c r="J7416" s="3">
        <v>1</v>
      </c>
      <c r="K7416" s="3">
        <v>645</v>
      </c>
      <c r="L7416" s="3">
        <v>264</v>
      </c>
      <c r="M7416" s="3">
        <v>470</v>
      </c>
    </row>
    <row r="7417" spans="1:13" x14ac:dyDescent="0.25">
      <c r="A7417" s="1" t="str">
        <f>HYPERLINK("http://www.rosaceae.org/Prunus/Prunus_persica/p.persica_gdr_reftransV1_0014629","p.persica_gdr_reftransV1_0014629")</f>
        <v>p.persica_gdr_reftransV1_0014629</v>
      </c>
      <c r="B7417" s="3">
        <v>524</v>
      </c>
      <c r="C7417" s="1" t="str">
        <f>HYPERLINK("http://www.uniprot.org/uniprot/THCAS_CANSA","THCAS_CANSA")</f>
        <v>THCAS_CANSA</v>
      </c>
      <c r="D7417" t="s">
        <v>3290</v>
      </c>
      <c r="E7417" s="3" t="s">
        <v>3291</v>
      </c>
      <c r="F7417" s="4">
        <v>6.6199999999999999E-57</v>
      </c>
      <c r="G7417" s="3">
        <v>489</v>
      </c>
      <c r="H7417" s="3">
        <v>59</v>
      </c>
      <c r="I7417" s="3">
        <v>175</v>
      </c>
      <c r="J7417" s="3">
        <v>2</v>
      </c>
      <c r="K7417" s="3">
        <v>523</v>
      </c>
      <c r="L7417" s="3">
        <v>108</v>
      </c>
      <c r="M7417" s="3">
        <v>280</v>
      </c>
    </row>
    <row r="7418" spans="1:13" x14ac:dyDescent="0.25">
      <c r="A7418" s="1" t="str">
        <f>HYPERLINK("http://www.rosaceae.org/Prunus/Prunus_persica/p.persica_gdr_reftransV1_0014679","p.persica_gdr_reftransV1_0014679")</f>
        <v>p.persica_gdr_reftransV1_0014679</v>
      </c>
      <c r="B7418" s="3">
        <v>617</v>
      </c>
      <c r="C7418" s="1" t="str">
        <f>HYPERLINK("http://www.uniprot.org/uniprot/ALYS_ENTFA","ALYS_ENTFA")</f>
        <v>ALYS_ENTFA</v>
      </c>
      <c r="D7418" t="s">
        <v>5919</v>
      </c>
      <c r="E7418" s="3" t="s">
        <v>96</v>
      </c>
      <c r="F7418" s="4">
        <v>5.5100000000000002E-9</v>
      </c>
      <c r="G7418" s="3">
        <v>141</v>
      </c>
      <c r="H7418" s="3">
        <v>45</v>
      </c>
      <c r="I7418" s="3">
        <v>67</v>
      </c>
      <c r="J7418" s="3">
        <v>320</v>
      </c>
      <c r="K7418" s="3">
        <v>520</v>
      </c>
      <c r="L7418" s="3">
        <v>670</v>
      </c>
      <c r="M7418" s="3">
        <v>736</v>
      </c>
    </row>
    <row r="7419" spans="1:13" x14ac:dyDescent="0.25">
      <c r="A7419" s="1" t="str">
        <f>HYPERLINK("http://www.rosaceae.org/Prunus/Prunus_persica/p.persica_gdr_reftransV1_0014829","p.persica_gdr_reftransV1_0014829")</f>
        <v>p.persica_gdr_reftransV1_0014829</v>
      </c>
      <c r="B7419" s="3">
        <v>2588</v>
      </c>
      <c r="C7419" s="1" t="str">
        <f>HYPERLINK("http://www.uniprot.org/uniprot/LHTL8_ARATH","LHTL8_ARATH")</f>
        <v>LHTL8_ARATH</v>
      </c>
      <c r="D7419" t="s">
        <v>1580</v>
      </c>
      <c r="E7419" s="3" t="s">
        <v>3</v>
      </c>
      <c r="F7419" s="4">
        <v>6.1499999999999999E-167</v>
      </c>
      <c r="G7419" s="3">
        <v>1293</v>
      </c>
      <c r="H7419" s="3">
        <v>59</v>
      </c>
      <c r="I7419" s="3">
        <v>493</v>
      </c>
      <c r="J7419" s="3">
        <v>69</v>
      </c>
      <c r="K7419" s="3">
        <v>1514</v>
      </c>
      <c r="L7419" s="3">
        <v>31</v>
      </c>
      <c r="M7419" s="3">
        <v>517</v>
      </c>
    </row>
    <row r="7420" spans="1:13" x14ac:dyDescent="0.25">
      <c r="A7420" s="1" t="str">
        <f>HYPERLINK("http://www.rosaceae.org/Prunus/Prunus_persica/p.persica_gdr_reftransV1_0014929","p.persica_gdr_reftransV1_0014929")</f>
        <v>p.persica_gdr_reftransV1_0014929</v>
      </c>
      <c r="B7420" s="3">
        <v>2477</v>
      </c>
      <c r="C7420" s="1" t="str">
        <f>HYPERLINK("http://www.uniprot.org/uniprot/PIF1_ARATH","PIF1_ARATH")</f>
        <v>PIF1_ARATH</v>
      </c>
      <c r="D7420" t="s">
        <v>1501</v>
      </c>
      <c r="E7420" s="3" t="s">
        <v>3</v>
      </c>
      <c r="F7420" s="4">
        <v>4.6899999999999998E-60</v>
      </c>
      <c r="G7420" s="3">
        <v>551</v>
      </c>
      <c r="H7420" s="3">
        <v>43</v>
      </c>
      <c r="I7420" s="3">
        <v>387</v>
      </c>
      <c r="J7420" s="3">
        <v>346</v>
      </c>
      <c r="K7420" s="3">
        <v>1482</v>
      </c>
      <c r="L7420" s="3">
        <v>1</v>
      </c>
      <c r="M7420" s="3">
        <v>341</v>
      </c>
    </row>
    <row r="7421" spans="1:13" x14ac:dyDescent="0.25">
      <c r="A7421" s="1" t="str">
        <f>HYPERLINK("http://www.rosaceae.org/Prunus/Prunus_persica/p.persica_gdr_reftransV1_0015029","p.persica_gdr_reftransV1_0015029")</f>
        <v>p.persica_gdr_reftransV1_0015029</v>
      </c>
      <c r="B7421" s="3">
        <v>816</v>
      </c>
      <c r="C7421" s="1" t="str">
        <f>HYPERLINK("http://www.uniprot.org/uniprot/ILR3_ARATH","ILR3_ARATH")</f>
        <v>ILR3_ARATH</v>
      </c>
      <c r="D7421" t="s">
        <v>5287</v>
      </c>
      <c r="E7421" s="3" t="s">
        <v>3</v>
      </c>
      <c r="F7421" s="4">
        <v>2.6400000000000001E-45</v>
      </c>
      <c r="G7421" s="3">
        <v>256</v>
      </c>
      <c r="H7421" s="3">
        <v>91</v>
      </c>
      <c r="I7421" s="3">
        <v>56</v>
      </c>
      <c r="J7421" s="3">
        <v>595</v>
      </c>
      <c r="K7421" s="3">
        <v>762</v>
      </c>
      <c r="L7421" s="3">
        <v>93</v>
      </c>
      <c r="M7421" s="3">
        <v>148</v>
      </c>
    </row>
    <row r="7422" spans="1:13" x14ac:dyDescent="0.25">
      <c r="A7422" s="1" t="str">
        <f>HYPERLINK("http://www.rosaceae.org/Prunus/Prunus_persica/p.persica_gdr_reftransV1_0015129","p.persica_gdr_reftransV1_0015129")</f>
        <v>p.persica_gdr_reftransV1_0015129</v>
      </c>
      <c r="B7422" s="3">
        <v>3659</v>
      </c>
      <c r="C7422" s="1" t="str">
        <f>HYPERLINK("http://www.uniprot.org/uniprot/CSLCC_ARATH","CSLCC_ARATH")</f>
        <v>CSLCC_ARATH</v>
      </c>
      <c r="D7422" t="s">
        <v>5920</v>
      </c>
      <c r="E7422" s="3" t="s">
        <v>3</v>
      </c>
      <c r="F7422" s="4">
        <v>0</v>
      </c>
      <c r="G7422" s="3">
        <v>2757</v>
      </c>
      <c r="H7422" s="3">
        <v>79</v>
      </c>
      <c r="I7422" s="3">
        <v>709</v>
      </c>
      <c r="J7422" s="3">
        <v>348</v>
      </c>
      <c r="K7422" s="3">
        <v>2447</v>
      </c>
      <c r="L7422" s="3">
        <v>1</v>
      </c>
      <c r="M7422" s="3">
        <v>699</v>
      </c>
    </row>
    <row r="7423" spans="1:13" x14ac:dyDescent="0.25">
      <c r="A7423" s="1" t="str">
        <f>HYPERLINK("http://www.rosaceae.org/Prunus/Prunus_persica/p.persica_gdr_reftransV1_0015179","p.persica_gdr_reftransV1_0015179")</f>
        <v>p.persica_gdr_reftransV1_0015179</v>
      </c>
      <c r="B7423" s="3">
        <v>2135</v>
      </c>
      <c r="C7423" s="1" t="str">
        <f>HYPERLINK("http://www.uniprot.org/uniprot/NDC80_HUMAN","NDC80_HUMAN")</f>
        <v>NDC80_HUMAN</v>
      </c>
      <c r="D7423" t="s">
        <v>5921</v>
      </c>
      <c r="E7423" s="3" t="s">
        <v>28</v>
      </c>
      <c r="F7423" s="4">
        <v>2.0599999999999999E-7</v>
      </c>
      <c r="G7423" s="3">
        <v>139</v>
      </c>
      <c r="H7423" s="3">
        <v>22</v>
      </c>
      <c r="I7423" s="3">
        <v>392</v>
      </c>
      <c r="J7423" s="3">
        <v>216</v>
      </c>
      <c r="K7423" s="3">
        <v>1280</v>
      </c>
      <c r="L7423" s="3">
        <v>88</v>
      </c>
      <c r="M7423" s="3">
        <v>475</v>
      </c>
    </row>
    <row r="7424" spans="1:13" x14ac:dyDescent="0.25">
      <c r="A7424" s="1" t="str">
        <f>HYPERLINK("http://www.rosaceae.org/Prunus/Prunus_persica/p.persica_gdr_reftransV1_0015229","p.persica_gdr_reftransV1_0015229")</f>
        <v>p.persica_gdr_reftransV1_0015229</v>
      </c>
      <c r="B7424" s="3">
        <v>2326</v>
      </c>
      <c r="C7424" s="1" t="str">
        <f>HYPERLINK("http://www.uniprot.org/uniprot/SYDM_ARATH","SYDM_ARATH")</f>
        <v>SYDM_ARATH</v>
      </c>
      <c r="D7424" t="s">
        <v>5922</v>
      </c>
      <c r="E7424" s="3" t="s">
        <v>3</v>
      </c>
      <c r="F7424" s="4">
        <v>0</v>
      </c>
      <c r="G7424" s="3">
        <v>2618</v>
      </c>
      <c r="H7424" s="3">
        <v>80</v>
      </c>
      <c r="I7424" s="3">
        <v>594</v>
      </c>
      <c r="J7424" s="3">
        <v>249</v>
      </c>
      <c r="K7424" s="3">
        <v>2030</v>
      </c>
      <c r="L7424" s="3">
        <v>70</v>
      </c>
      <c r="M7424" s="3">
        <v>663</v>
      </c>
    </row>
    <row r="7425" spans="1:13" x14ac:dyDescent="0.25">
      <c r="A7425" s="1" t="str">
        <f>HYPERLINK("http://www.rosaceae.org/Prunus/Prunus_persica/p.persica_gdr_reftransV1_0015479","p.persica_gdr_reftransV1_0015479")</f>
        <v>p.persica_gdr_reftransV1_0015479</v>
      </c>
      <c r="B7425" s="3">
        <v>5217</v>
      </c>
      <c r="C7425" s="1" t="str">
        <f>HYPERLINK("http://www.uniprot.org/uniprot/SC16B_ARATH","SC16B_ARATH")</f>
        <v>SC16B_ARATH</v>
      </c>
      <c r="D7425" t="s">
        <v>5923</v>
      </c>
      <c r="E7425" s="3" t="s">
        <v>3</v>
      </c>
      <c r="F7425" s="4">
        <v>0</v>
      </c>
      <c r="G7425" s="3">
        <v>2203</v>
      </c>
      <c r="H7425" s="3">
        <v>50</v>
      </c>
      <c r="I7425" s="3">
        <v>1080</v>
      </c>
      <c r="J7425" s="3">
        <v>1381</v>
      </c>
      <c r="K7425" s="3">
        <v>4479</v>
      </c>
      <c r="L7425" s="3">
        <v>298</v>
      </c>
      <c r="M7425" s="3">
        <v>1333</v>
      </c>
    </row>
    <row r="7426" spans="1:13" x14ac:dyDescent="0.25">
      <c r="A7426" s="1" t="str">
        <f>HYPERLINK("http://www.rosaceae.org/Prunus/Prunus_persica/p.persica_gdr_reftransV1_0015629","p.persica_gdr_reftransV1_0015629")</f>
        <v>p.persica_gdr_reftransV1_0015629</v>
      </c>
      <c r="B7426" s="3">
        <v>1324</v>
      </c>
      <c r="C7426" s="1" t="str">
        <f>HYPERLINK("http://www.uniprot.org/uniprot/POLX_TOBAC","POLX_TOBAC")</f>
        <v>POLX_TOBAC</v>
      </c>
      <c r="D7426" t="s">
        <v>1253</v>
      </c>
      <c r="E7426" s="3" t="s">
        <v>200</v>
      </c>
      <c r="F7426" s="4">
        <v>3.6E-12</v>
      </c>
      <c r="G7426" s="3">
        <v>176</v>
      </c>
      <c r="H7426" s="3">
        <v>30</v>
      </c>
      <c r="I7426" s="3">
        <v>107</v>
      </c>
      <c r="J7426" s="3">
        <v>17</v>
      </c>
      <c r="K7426" s="3">
        <v>337</v>
      </c>
      <c r="L7426" s="3">
        <v>420</v>
      </c>
      <c r="M7426" s="3">
        <v>526</v>
      </c>
    </row>
    <row r="7427" spans="1:13" x14ac:dyDescent="0.25">
      <c r="A7427" s="1" t="str">
        <f>HYPERLINK("http://www.rosaceae.org/Prunus/Prunus_persica/p.persica_gdr_reftransV1_0016029","p.persica_gdr_reftransV1_0016029")</f>
        <v>p.persica_gdr_reftransV1_0016029</v>
      </c>
      <c r="B7427" s="3">
        <v>634</v>
      </c>
      <c r="C7427" s="1" t="str">
        <f>HYPERLINK("http://www.uniprot.org/uniprot/FD_ARATH","FD_ARATH")</f>
        <v>FD_ARATH</v>
      </c>
      <c r="D7427" t="s">
        <v>5924</v>
      </c>
      <c r="E7427" s="3" t="s">
        <v>3</v>
      </c>
      <c r="F7427" s="4">
        <v>8.8400000000000001E-33</v>
      </c>
      <c r="G7427" s="3">
        <v>312</v>
      </c>
      <c r="H7427" s="3">
        <v>75</v>
      </c>
      <c r="I7427" s="3">
        <v>88</v>
      </c>
      <c r="J7427" s="3">
        <v>79</v>
      </c>
      <c r="K7427" s="3">
        <v>342</v>
      </c>
      <c r="L7427" s="3">
        <v>200</v>
      </c>
      <c r="M7427" s="3">
        <v>285</v>
      </c>
    </row>
    <row r="7428" spans="1:13" x14ac:dyDescent="0.25">
      <c r="A7428" s="1" t="str">
        <f>HYPERLINK("http://www.rosaceae.org/Prunus/Prunus_persica/p.persica_gdr_reftransV1_0016329","p.persica_gdr_reftransV1_0016329")</f>
        <v>p.persica_gdr_reftransV1_0016329</v>
      </c>
      <c r="B7428" s="3">
        <v>3043</v>
      </c>
      <c r="C7428" s="1" t="str">
        <f>HYPERLINK("http://www.uniprot.org/uniprot/ACBP4_ARATH","ACBP4_ARATH")</f>
        <v>ACBP4_ARATH</v>
      </c>
      <c r="D7428" t="s">
        <v>5049</v>
      </c>
      <c r="E7428" s="3" t="s">
        <v>3</v>
      </c>
      <c r="F7428" s="4">
        <v>0</v>
      </c>
      <c r="G7428" s="3">
        <v>2200</v>
      </c>
      <c r="H7428" s="3">
        <v>73</v>
      </c>
      <c r="I7428" s="3">
        <v>594</v>
      </c>
      <c r="J7428" s="3">
        <v>340</v>
      </c>
      <c r="K7428" s="3">
        <v>2121</v>
      </c>
      <c r="L7428" s="3">
        <v>1</v>
      </c>
      <c r="M7428" s="3">
        <v>587</v>
      </c>
    </row>
    <row r="7429" spans="1:13" x14ac:dyDescent="0.25">
      <c r="A7429" s="1" t="str">
        <f>HYPERLINK("http://www.rosaceae.org/Prunus/Prunus_persica/p.persica_gdr_reftransV1_0016529","p.persica_gdr_reftransV1_0016529")</f>
        <v>p.persica_gdr_reftransV1_0016529</v>
      </c>
      <c r="B7429" s="3">
        <v>2010</v>
      </c>
      <c r="C7429" s="1" t="str">
        <f>HYPERLINK("http://www.uniprot.org/uniprot/SCAR1_ARATH","SCAR1_ARATH")</f>
        <v>SCAR1_ARATH</v>
      </c>
      <c r="D7429" t="s">
        <v>323</v>
      </c>
      <c r="E7429" s="3" t="s">
        <v>3</v>
      </c>
      <c r="F7429" s="4">
        <v>7.1900000000000006E-92</v>
      </c>
      <c r="G7429" s="3">
        <v>791</v>
      </c>
      <c r="H7429" s="3">
        <v>48</v>
      </c>
      <c r="I7429" s="3">
        <v>427</v>
      </c>
      <c r="J7429" s="3">
        <v>484</v>
      </c>
      <c r="K7429" s="3">
        <v>1743</v>
      </c>
      <c r="L7429" s="3">
        <v>1</v>
      </c>
      <c r="M7429" s="3">
        <v>386</v>
      </c>
    </row>
    <row r="7430" spans="1:13" x14ac:dyDescent="0.25">
      <c r="A7430" s="1" t="str">
        <f>HYPERLINK("http://www.rosaceae.org/Prunus/Prunus_persica/p.persica_gdr_reftransV1_0016579","p.persica_gdr_reftransV1_0016579")</f>
        <v>p.persica_gdr_reftransV1_0016579</v>
      </c>
      <c r="B7430" s="3">
        <v>1722</v>
      </c>
      <c r="C7430" s="1" t="str">
        <f>HYPERLINK("http://www.uniprot.org/uniprot/ABHDB_DANRE","ABHDB_DANRE")</f>
        <v>ABHDB_DANRE</v>
      </c>
      <c r="D7430" t="s">
        <v>5925</v>
      </c>
      <c r="E7430" s="3" t="s">
        <v>704</v>
      </c>
      <c r="F7430" s="4">
        <v>2.35E-11</v>
      </c>
      <c r="G7430" s="3">
        <v>167</v>
      </c>
      <c r="H7430" s="3">
        <v>26</v>
      </c>
      <c r="I7430" s="3">
        <v>273</v>
      </c>
      <c r="J7430" s="3">
        <v>564</v>
      </c>
      <c r="K7430" s="3">
        <v>1337</v>
      </c>
      <c r="L7430" s="3">
        <v>71</v>
      </c>
      <c r="M7430" s="3">
        <v>304</v>
      </c>
    </row>
    <row r="7431" spans="1:13" x14ac:dyDescent="0.25">
      <c r="A7431" s="1" t="str">
        <f>HYPERLINK("http://www.rosaceae.org/Prunus/Prunus_persica/p.persica_gdr_reftransV1_0016879","p.persica_gdr_reftransV1_0016879")</f>
        <v>p.persica_gdr_reftransV1_0016879</v>
      </c>
      <c r="B7431" s="3">
        <v>3076</v>
      </c>
      <c r="C7431" s="1" t="str">
        <f>HYPERLINK("http://www.uniprot.org/uniprot/PXC3_ARATH","PXC3_ARATH")</f>
        <v>PXC3_ARATH</v>
      </c>
      <c r="D7431" t="s">
        <v>5926</v>
      </c>
      <c r="E7431" s="3" t="s">
        <v>3</v>
      </c>
      <c r="F7431" s="4">
        <v>0</v>
      </c>
      <c r="G7431" s="3">
        <v>3304</v>
      </c>
      <c r="H7431" s="3">
        <v>77</v>
      </c>
      <c r="I7431" s="3">
        <v>873</v>
      </c>
      <c r="J7431" s="3">
        <v>411</v>
      </c>
      <c r="K7431" s="3">
        <v>3026</v>
      </c>
      <c r="L7431" s="3">
        <v>16</v>
      </c>
      <c r="M7431" s="3">
        <v>888</v>
      </c>
    </row>
    <row r="7432" spans="1:13" x14ac:dyDescent="0.25">
      <c r="A7432" s="1" t="str">
        <f>HYPERLINK("http://www.rosaceae.org/Prunus/Prunus_persica/p.persica_gdr_reftransV1_0017029","p.persica_gdr_reftransV1_0017029")</f>
        <v>p.persica_gdr_reftransV1_0017029</v>
      </c>
      <c r="B7432" s="3">
        <v>2033</v>
      </c>
      <c r="C7432" s="1" t="str">
        <f>HYPERLINK("http://www.uniprot.org/uniprot/E137_ARATH","E137_ARATH")</f>
        <v>E137_ARATH</v>
      </c>
      <c r="D7432" t="s">
        <v>1950</v>
      </c>
      <c r="E7432" s="3" t="s">
        <v>3</v>
      </c>
      <c r="F7432" s="4">
        <v>0</v>
      </c>
      <c r="G7432" s="3">
        <v>1484</v>
      </c>
      <c r="H7432" s="3">
        <v>69</v>
      </c>
      <c r="I7432" s="3">
        <v>438</v>
      </c>
      <c r="J7432" s="3">
        <v>301</v>
      </c>
      <c r="K7432" s="3">
        <v>1614</v>
      </c>
      <c r="L7432" s="3">
        <v>22</v>
      </c>
      <c r="M7432" s="3">
        <v>448</v>
      </c>
    </row>
    <row r="7433" spans="1:13" x14ac:dyDescent="0.25">
      <c r="A7433" s="1" t="str">
        <f>HYPERLINK("http://www.rosaceae.org/Prunus/Prunus_persica/p.persica_gdr_reftransV1_0017179","p.persica_gdr_reftransV1_0017179")</f>
        <v>p.persica_gdr_reftransV1_0017179</v>
      </c>
      <c r="B7433" s="3">
        <v>1589</v>
      </c>
      <c r="C7433" s="1" t="str">
        <f>HYPERLINK("http://www.uniprot.org/uniprot/LIMYB_ARATH","LIMYB_ARATH")</f>
        <v>LIMYB_ARATH</v>
      </c>
      <c r="D7433" t="s">
        <v>1896</v>
      </c>
      <c r="E7433" s="3" t="s">
        <v>3</v>
      </c>
      <c r="F7433" s="4">
        <v>1.4899999999999999E-17</v>
      </c>
      <c r="G7433" s="3">
        <v>219</v>
      </c>
      <c r="H7433" s="3">
        <v>26</v>
      </c>
      <c r="I7433" s="3">
        <v>299</v>
      </c>
      <c r="J7433" s="3">
        <v>498</v>
      </c>
      <c r="K7433" s="3">
        <v>1322</v>
      </c>
      <c r="L7433" s="3">
        <v>165</v>
      </c>
      <c r="M7433" s="3">
        <v>445</v>
      </c>
    </row>
    <row r="7434" spans="1:13" x14ac:dyDescent="0.25">
      <c r="A7434" s="1" t="str">
        <f>HYPERLINK("http://www.rosaceae.org/Prunus/Prunus_persica/p.persica_gdr_reftransV1_0017329","p.persica_gdr_reftransV1_0017329")</f>
        <v>p.persica_gdr_reftransV1_0017329</v>
      </c>
      <c r="B7434" s="3">
        <v>2282</v>
      </c>
      <c r="C7434" s="1" t="str">
        <f>HYPERLINK("http://www.uniprot.org/uniprot/U503A_ARATH","U503A_ARATH")</f>
        <v>U503A_ARATH</v>
      </c>
      <c r="D7434" t="s">
        <v>855</v>
      </c>
      <c r="E7434" s="3" t="s">
        <v>3</v>
      </c>
      <c r="F7434" s="4">
        <v>2.41E-63</v>
      </c>
      <c r="G7434" s="3">
        <v>585</v>
      </c>
      <c r="H7434" s="3">
        <v>55</v>
      </c>
      <c r="I7434" s="3">
        <v>362</v>
      </c>
      <c r="J7434" s="3">
        <v>1131</v>
      </c>
      <c r="K7434" s="3">
        <v>2072</v>
      </c>
      <c r="L7434" s="3">
        <v>245</v>
      </c>
      <c r="M7434" s="3">
        <v>589</v>
      </c>
    </row>
    <row r="7435" spans="1:13" x14ac:dyDescent="0.25">
      <c r="A7435" s="1" t="str">
        <f>HYPERLINK("http://www.rosaceae.org/Prunus/Prunus_persica/p.persica_gdr_reftransV1_0017529","p.persica_gdr_reftransV1_0017529")</f>
        <v>p.persica_gdr_reftransV1_0017529</v>
      </c>
      <c r="B7435" s="3">
        <v>3346</v>
      </c>
      <c r="C7435" s="1" t="str">
        <f>HYPERLINK("http://www.uniprot.org/uniprot/FTSH_CYACA","FTSH_CYACA")</f>
        <v>FTSH_CYACA</v>
      </c>
      <c r="D7435" t="s">
        <v>5927</v>
      </c>
      <c r="E7435" s="3" t="s">
        <v>1967</v>
      </c>
      <c r="F7435" s="4">
        <v>1.12E-90</v>
      </c>
      <c r="G7435" s="3">
        <v>793</v>
      </c>
      <c r="H7435" s="3">
        <v>42</v>
      </c>
      <c r="I7435" s="3">
        <v>470</v>
      </c>
      <c r="J7435" s="3">
        <v>1037</v>
      </c>
      <c r="K7435" s="3">
        <v>2404</v>
      </c>
      <c r="L7435" s="3">
        <v>152</v>
      </c>
      <c r="M7435" s="3">
        <v>609</v>
      </c>
    </row>
    <row r="7436" spans="1:13" x14ac:dyDescent="0.25">
      <c r="A7436" s="1" t="str">
        <f>HYPERLINK("http://www.rosaceae.org/Prunus/Prunus_persica/p.persica_gdr_reftransV1_0017579","p.persica_gdr_reftransV1_0017579")</f>
        <v>p.persica_gdr_reftransV1_0017579</v>
      </c>
      <c r="B7436" s="3">
        <v>1812</v>
      </c>
      <c r="C7436" s="1" t="str">
        <f>HYPERLINK("http://www.uniprot.org/uniprot/R3HD2_BOVIN","R3HD2_BOVIN")</f>
        <v>R3HD2_BOVIN</v>
      </c>
      <c r="D7436" t="s">
        <v>5928</v>
      </c>
      <c r="E7436" s="3" t="s">
        <v>184</v>
      </c>
      <c r="F7436" s="4">
        <v>2.0000000000000001E-9</v>
      </c>
      <c r="G7436" s="3">
        <v>156</v>
      </c>
      <c r="H7436" s="3">
        <v>32</v>
      </c>
      <c r="I7436" s="3">
        <v>157</v>
      </c>
      <c r="J7436" s="3">
        <v>285</v>
      </c>
      <c r="K7436" s="3">
        <v>728</v>
      </c>
      <c r="L7436" s="3">
        <v>157</v>
      </c>
      <c r="M7436" s="3">
        <v>299</v>
      </c>
    </row>
    <row r="7437" spans="1:13" x14ac:dyDescent="0.25">
      <c r="A7437" s="1" t="str">
        <f>HYPERLINK("http://www.rosaceae.org/Prunus/Prunus_persica/p.persica_gdr_reftransV1_0017679","p.persica_gdr_reftransV1_0017679")</f>
        <v>p.persica_gdr_reftransV1_0017679</v>
      </c>
      <c r="B7437" s="3">
        <v>2700</v>
      </c>
      <c r="C7437" s="1" t="str">
        <f>HYPERLINK("http://www.uniprot.org/uniprot/AB21G_ARATH","AB21G_ARATH")</f>
        <v>AB21G_ARATH</v>
      </c>
      <c r="D7437" t="s">
        <v>5929</v>
      </c>
      <c r="E7437" s="3" t="s">
        <v>3</v>
      </c>
      <c r="F7437" s="4">
        <v>0</v>
      </c>
      <c r="G7437" s="3">
        <v>2322</v>
      </c>
      <c r="H7437" s="3">
        <v>70</v>
      </c>
      <c r="I7437" s="3">
        <v>689</v>
      </c>
      <c r="J7437" s="3">
        <v>287</v>
      </c>
      <c r="K7437" s="3">
        <v>2320</v>
      </c>
      <c r="L7437" s="3">
        <v>1</v>
      </c>
      <c r="M7437" s="3">
        <v>670</v>
      </c>
    </row>
    <row r="7438" spans="1:13" x14ac:dyDescent="0.25">
      <c r="A7438" s="1" t="str">
        <f>HYPERLINK("http://www.rosaceae.org/Prunus/Prunus_persica/p.persica_gdr_reftransV1_0017729","p.persica_gdr_reftransV1_0017729")</f>
        <v>p.persica_gdr_reftransV1_0017729</v>
      </c>
      <c r="B7438" s="3">
        <v>1361</v>
      </c>
      <c r="C7438" s="1" t="str">
        <f>HYPERLINK("http://www.uniprot.org/uniprot/MYB39_ARATH","MYB39_ARATH")</f>
        <v>MYB39_ARATH</v>
      </c>
      <c r="D7438" t="s">
        <v>5930</v>
      </c>
      <c r="E7438" s="3" t="s">
        <v>3</v>
      </c>
      <c r="F7438" s="4">
        <v>1.4600000000000001E-63</v>
      </c>
      <c r="G7438" s="3">
        <v>548</v>
      </c>
      <c r="H7438" s="3">
        <v>64</v>
      </c>
      <c r="I7438" s="3">
        <v>150</v>
      </c>
      <c r="J7438" s="3">
        <v>138</v>
      </c>
      <c r="K7438" s="3">
        <v>572</v>
      </c>
      <c r="L7438" s="3">
        <v>1</v>
      </c>
      <c r="M7438" s="3">
        <v>150</v>
      </c>
    </row>
    <row r="7439" spans="1:13" x14ac:dyDescent="0.25">
      <c r="A7439" s="1" t="str">
        <f>HYPERLINK("http://www.rosaceae.org/Prunus/Prunus_persica/p.persica_gdr_reftransV1_0017779","p.persica_gdr_reftransV1_0017779")</f>
        <v>p.persica_gdr_reftransV1_0017779</v>
      </c>
      <c r="B7439" s="3">
        <v>1311</v>
      </c>
      <c r="C7439" s="1" t="str">
        <f>HYPERLINK("http://www.uniprot.org/uniprot/GRP1_DAUCA","GRP1_DAUCA")</f>
        <v>GRP1_DAUCA</v>
      </c>
      <c r="D7439" t="s">
        <v>5931</v>
      </c>
      <c r="E7439" s="3" t="s">
        <v>32</v>
      </c>
      <c r="F7439" s="4">
        <v>7.6900000000000007E-21</v>
      </c>
      <c r="G7439" s="3">
        <v>229</v>
      </c>
      <c r="H7439" s="3">
        <v>80</v>
      </c>
      <c r="I7439" s="3">
        <v>56</v>
      </c>
      <c r="J7439" s="3">
        <v>521</v>
      </c>
      <c r="K7439" s="3">
        <v>688</v>
      </c>
      <c r="L7439" s="3">
        <v>28</v>
      </c>
      <c r="M7439" s="3">
        <v>83</v>
      </c>
    </row>
    <row r="7440" spans="1:13" x14ac:dyDescent="0.25">
      <c r="A7440" s="1" t="str">
        <f>HYPERLINK("http://www.rosaceae.org/Prunus/Prunus_persica/p.persica_gdr_reftransV1_0017979","p.persica_gdr_reftransV1_0017979")</f>
        <v>p.persica_gdr_reftransV1_0017979</v>
      </c>
      <c r="B7440" s="3">
        <v>1275</v>
      </c>
      <c r="C7440" s="1" t="str">
        <f>HYPERLINK("http://www.uniprot.org/uniprot/MYB44_ARATH","MYB44_ARATH")</f>
        <v>MYB44_ARATH</v>
      </c>
      <c r="D7440" t="s">
        <v>1249</v>
      </c>
      <c r="E7440" s="3" t="s">
        <v>3</v>
      </c>
      <c r="F7440" s="4">
        <v>2.9500000000000002E-31</v>
      </c>
      <c r="G7440" s="3">
        <v>315</v>
      </c>
      <c r="H7440" s="3">
        <v>78</v>
      </c>
      <c r="I7440" s="3">
        <v>72</v>
      </c>
      <c r="J7440" s="3">
        <v>4</v>
      </c>
      <c r="K7440" s="3">
        <v>219</v>
      </c>
      <c r="L7440" s="3">
        <v>36</v>
      </c>
      <c r="M7440" s="3">
        <v>107</v>
      </c>
    </row>
    <row r="7441" spans="1:13" x14ac:dyDescent="0.25">
      <c r="A7441" s="1" t="str">
        <f>HYPERLINK("http://www.rosaceae.org/Prunus/Prunus_persica/p.persica_gdr_reftransV1_0018229","p.persica_gdr_reftransV1_0018229")</f>
        <v>p.persica_gdr_reftransV1_0018229</v>
      </c>
      <c r="B7441" s="3">
        <v>2013</v>
      </c>
      <c r="C7441" s="1" t="str">
        <f>HYPERLINK("http://www.uniprot.org/uniprot/UBA2B_ARATH","UBA2B_ARATH")</f>
        <v>UBA2B_ARATH</v>
      </c>
      <c r="D7441" t="s">
        <v>5932</v>
      </c>
      <c r="E7441" s="3" t="s">
        <v>3</v>
      </c>
      <c r="F7441" s="4">
        <v>2.59E-71</v>
      </c>
      <c r="G7441" s="3">
        <v>623</v>
      </c>
      <c r="H7441" s="3">
        <v>53</v>
      </c>
      <c r="I7441" s="3">
        <v>219</v>
      </c>
      <c r="J7441" s="3">
        <v>404</v>
      </c>
      <c r="K7441" s="3">
        <v>1060</v>
      </c>
      <c r="L7441" s="3">
        <v>90</v>
      </c>
      <c r="M7441" s="3">
        <v>307</v>
      </c>
    </row>
    <row r="7442" spans="1:13" x14ac:dyDescent="0.25">
      <c r="A7442" s="1" t="str">
        <f>HYPERLINK("http://www.rosaceae.org/Prunus/Prunus_persica/p.persica_gdr_reftransV1_0018329","p.persica_gdr_reftransV1_0018329")</f>
        <v>p.persica_gdr_reftransV1_0018329</v>
      </c>
      <c r="B7442" s="3">
        <v>1954</v>
      </c>
      <c r="C7442" s="1" t="str">
        <f>HYPERLINK("http://www.uniprot.org/uniprot/IRKI_ARATH","IRKI_ARATH")</f>
        <v>IRKI_ARATH</v>
      </c>
      <c r="D7442" t="s">
        <v>6</v>
      </c>
      <c r="E7442" s="3" t="s">
        <v>3</v>
      </c>
      <c r="F7442" s="4">
        <v>2.5500000000000001E-9</v>
      </c>
      <c r="G7442" s="3">
        <v>154</v>
      </c>
      <c r="H7442" s="3">
        <v>28</v>
      </c>
      <c r="I7442" s="3">
        <v>178</v>
      </c>
      <c r="J7442" s="3">
        <v>287</v>
      </c>
      <c r="K7442" s="3">
        <v>796</v>
      </c>
      <c r="L7442" s="3">
        <v>385</v>
      </c>
      <c r="M7442" s="3">
        <v>543</v>
      </c>
    </row>
    <row r="7443" spans="1:13" x14ac:dyDescent="0.25">
      <c r="A7443" s="1" t="str">
        <f>HYPERLINK("http://www.rosaceae.org/Prunus/Prunus_persica/p.persica_gdr_reftransV1_0018429","p.persica_gdr_reftransV1_0018429")</f>
        <v>p.persica_gdr_reftransV1_0018429</v>
      </c>
      <c r="B7443" s="3">
        <v>683</v>
      </c>
      <c r="C7443" s="1" t="str">
        <f>HYPERLINK("http://www.uniprot.org/uniprot/H2AX_CICAR","H2AX_CICAR")</f>
        <v>H2AX_CICAR</v>
      </c>
      <c r="D7443" t="s">
        <v>1095</v>
      </c>
      <c r="E7443" s="3" t="s">
        <v>944</v>
      </c>
      <c r="F7443" s="4">
        <v>5.5100000000000002E-70</v>
      </c>
      <c r="G7443" s="3">
        <v>552</v>
      </c>
      <c r="H7443" s="3">
        <v>93</v>
      </c>
      <c r="I7443" s="3">
        <v>137</v>
      </c>
      <c r="J7443" s="3">
        <v>186</v>
      </c>
      <c r="K7443" s="3">
        <v>596</v>
      </c>
      <c r="L7443" s="3">
        <v>3</v>
      </c>
      <c r="M7443" s="3">
        <v>139</v>
      </c>
    </row>
    <row r="7444" spans="1:13" x14ac:dyDescent="0.25">
      <c r="A7444" s="1" t="str">
        <f>HYPERLINK("http://www.rosaceae.org/Prunus/Prunus_persica/p.persica_gdr_reftransV1_0018479","p.persica_gdr_reftransV1_0018479")</f>
        <v>p.persica_gdr_reftransV1_0018479</v>
      </c>
      <c r="B7444" s="3">
        <v>3248</v>
      </c>
      <c r="C7444" s="1" t="str">
        <f>HYPERLINK("http://www.uniprot.org/uniprot/C3H6_ARATH","C3H6_ARATH")</f>
        <v>C3H6_ARATH</v>
      </c>
      <c r="D7444" t="s">
        <v>532</v>
      </c>
      <c r="E7444" s="3" t="s">
        <v>3</v>
      </c>
      <c r="F7444" s="4">
        <v>4.5199999999999999E-85</v>
      </c>
      <c r="G7444" s="3">
        <v>735</v>
      </c>
      <c r="H7444" s="3">
        <v>44</v>
      </c>
      <c r="I7444" s="3">
        <v>443</v>
      </c>
      <c r="J7444" s="3">
        <v>1729</v>
      </c>
      <c r="K7444" s="3">
        <v>2997</v>
      </c>
      <c r="L7444" s="3">
        <v>14</v>
      </c>
      <c r="M7444" s="3">
        <v>413</v>
      </c>
    </row>
    <row r="7445" spans="1:13" x14ac:dyDescent="0.25">
      <c r="A7445" s="1" t="str">
        <f>HYPERLINK("http://www.rosaceae.org/Prunus/Prunus_persica/p.persica_gdr_reftransV1_0018579","p.persica_gdr_reftransV1_0018579")</f>
        <v>p.persica_gdr_reftransV1_0018579</v>
      </c>
      <c r="B7445" s="3">
        <v>2916</v>
      </c>
      <c r="C7445" s="1" t="str">
        <f>HYPERLINK("http://www.uniprot.org/uniprot/MORF2_ARATH","MORF2_ARATH")</f>
        <v>MORF2_ARATH</v>
      </c>
      <c r="D7445" t="s">
        <v>5933</v>
      </c>
      <c r="E7445" s="3" t="s">
        <v>3</v>
      </c>
      <c r="F7445" s="4">
        <v>2.6900000000000001E-24</v>
      </c>
      <c r="G7445" s="3">
        <v>268</v>
      </c>
      <c r="H7445" s="3">
        <v>42</v>
      </c>
      <c r="I7445" s="3">
        <v>142</v>
      </c>
      <c r="J7445" s="3">
        <v>566</v>
      </c>
      <c r="K7445" s="3">
        <v>991</v>
      </c>
      <c r="L7445" s="3">
        <v>37</v>
      </c>
      <c r="M7445" s="3">
        <v>176</v>
      </c>
    </row>
    <row r="7446" spans="1:13" x14ac:dyDescent="0.25">
      <c r="A7446" s="1" t="str">
        <f>HYPERLINK("http://www.rosaceae.org/Prunus/Prunus_persica/p.persica_gdr_reftransV1_0018629","p.persica_gdr_reftransV1_0018629")</f>
        <v>p.persica_gdr_reftransV1_0018629</v>
      </c>
      <c r="B7446" s="3">
        <v>2280</v>
      </c>
      <c r="C7446" s="1" t="str">
        <f>HYPERLINK("http://www.uniprot.org/uniprot/POB1_ARATH","POB1_ARATH")</f>
        <v>POB1_ARATH</v>
      </c>
      <c r="D7446" t="s">
        <v>5934</v>
      </c>
      <c r="E7446" s="3" t="s">
        <v>3</v>
      </c>
      <c r="F7446" s="4">
        <v>0</v>
      </c>
      <c r="G7446" s="3">
        <v>1818</v>
      </c>
      <c r="H7446" s="3">
        <v>60</v>
      </c>
      <c r="I7446" s="3">
        <v>620</v>
      </c>
      <c r="J7446" s="3">
        <v>142</v>
      </c>
      <c r="K7446" s="3">
        <v>1971</v>
      </c>
      <c r="L7446" s="3">
        <v>4</v>
      </c>
      <c r="M7446" s="3">
        <v>557</v>
      </c>
    </row>
    <row r="7447" spans="1:13" x14ac:dyDescent="0.25">
      <c r="A7447" s="1" t="str">
        <f>HYPERLINK("http://www.rosaceae.org/Prunus/Prunus_persica/p.persica_gdr_reftransV1_0018779","p.persica_gdr_reftransV1_0018779")</f>
        <v>p.persica_gdr_reftransV1_0018779</v>
      </c>
      <c r="B7447" s="3">
        <v>826</v>
      </c>
      <c r="C7447" s="1" t="str">
        <f>HYPERLINK("http://www.uniprot.org/uniprot/TMVRN_NICGU","TMVRN_NICGU")</f>
        <v>TMVRN_NICGU</v>
      </c>
      <c r="D7447" t="s">
        <v>151</v>
      </c>
      <c r="E7447" s="3" t="s">
        <v>152</v>
      </c>
      <c r="F7447" s="4">
        <v>1.5100000000000001E-23</v>
      </c>
      <c r="G7447" s="3">
        <v>261</v>
      </c>
      <c r="H7447" s="3">
        <v>48</v>
      </c>
      <c r="I7447" s="3">
        <v>106</v>
      </c>
      <c r="J7447" s="3">
        <v>3</v>
      </c>
      <c r="K7447" s="3">
        <v>320</v>
      </c>
      <c r="L7447" s="3">
        <v>62</v>
      </c>
      <c r="M7447" s="3">
        <v>154</v>
      </c>
    </row>
    <row r="7448" spans="1:13" x14ac:dyDescent="0.25">
      <c r="A7448" s="1" t="str">
        <f>HYPERLINK("http://www.rosaceae.org/Prunus/Prunus_persica/p.persica_gdr_reftransV1_0018879","p.persica_gdr_reftransV1_0018879")</f>
        <v>p.persica_gdr_reftransV1_0018879</v>
      </c>
      <c r="B7448" s="3">
        <v>1040</v>
      </c>
      <c r="C7448" s="1" t="str">
        <f>HYPERLINK("http://www.uniprot.org/uniprot/YLS3_ARATH","YLS3_ARATH")</f>
        <v>YLS3_ARATH</v>
      </c>
      <c r="D7448" t="s">
        <v>1374</v>
      </c>
      <c r="E7448" s="3" t="s">
        <v>3</v>
      </c>
      <c r="F7448" s="4">
        <v>9.5600000000000004E-7</v>
      </c>
      <c r="G7448" s="3">
        <v>124</v>
      </c>
      <c r="H7448" s="3">
        <v>37</v>
      </c>
      <c r="I7448" s="3">
        <v>81</v>
      </c>
      <c r="J7448" s="3">
        <v>284</v>
      </c>
      <c r="K7448" s="3">
        <v>505</v>
      </c>
      <c r="L7448" s="3">
        <v>35</v>
      </c>
      <c r="M7448" s="3">
        <v>113</v>
      </c>
    </row>
    <row r="7449" spans="1:13" x14ac:dyDescent="0.25">
      <c r="A7449" s="1" t="str">
        <f>HYPERLINK("http://www.rosaceae.org/Prunus/Prunus_persica/p.persica_gdr_reftransV1_0018929","p.persica_gdr_reftransV1_0018929")</f>
        <v>p.persica_gdr_reftransV1_0018929</v>
      </c>
      <c r="B7449" s="3">
        <v>2771</v>
      </c>
      <c r="C7449" s="1" t="str">
        <f>HYPERLINK("http://www.uniprot.org/uniprot/INVA_VIGRR","INVA_VIGRR")</f>
        <v>INVA_VIGRR</v>
      </c>
      <c r="D7449" t="s">
        <v>5935</v>
      </c>
      <c r="E7449" s="3" t="s">
        <v>2261</v>
      </c>
      <c r="F7449" s="4">
        <v>0</v>
      </c>
      <c r="G7449" s="3">
        <v>2365</v>
      </c>
      <c r="H7449" s="3">
        <v>74</v>
      </c>
      <c r="I7449" s="3">
        <v>593</v>
      </c>
      <c r="J7449" s="3">
        <v>513</v>
      </c>
      <c r="K7449" s="3">
        <v>2282</v>
      </c>
      <c r="L7449" s="3">
        <v>49</v>
      </c>
      <c r="M7449" s="3">
        <v>641</v>
      </c>
    </row>
    <row r="7450" spans="1:13" x14ac:dyDescent="0.25">
      <c r="A7450" s="1" t="str">
        <f>HYPERLINK("http://www.rosaceae.org/Prunus/Prunus_persica/p.persica_gdr_reftransV1_0018979","p.persica_gdr_reftransV1_0018979")</f>
        <v>p.persica_gdr_reftransV1_0018979</v>
      </c>
      <c r="B7450" s="3">
        <v>2103</v>
      </c>
      <c r="C7450" s="1" t="str">
        <f>HYPERLINK("http://www.uniprot.org/uniprot/PSMD4_ARATH","PSMD4_ARATH")</f>
        <v>PSMD4_ARATH</v>
      </c>
      <c r="D7450" t="s">
        <v>4532</v>
      </c>
      <c r="E7450" s="3" t="s">
        <v>3</v>
      </c>
      <c r="F7450" s="4">
        <v>5.6000000000000002E-154</v>
      </c>
      <c r="G7450" s="3">
        <v>1179</v>
      </c>
      <c r="H7450" s="3">
        <v>66</v>
      </c>
      <c r="I7450" s="3">
        <v>408</v>
      </c>
      <c r="J7450" s="3">
        <v>781</v>
      </c>
      <c r="K7450" s="3">
        <v>1992</v>
      </c>
      <c r="L7450" s="3">
        <v>1</v>
      </c>
      <c r="M7450" s="3">
        <v>379</v>
      </c>
    </row>
    <row r="7451" spans="1:13" x14ac:dyDescent="0.25">
      <c r="A7451" s="1" t="str">
        <f>HYPERLINK("http://www.rosaceae.org/Prunus/Prunus_persica/p.persica_gdr_reftransV1_0019129","p.persica_gdr_reftransV1_0019129")</f>
        <v>p.persica_gdr_reftransV1_0019129</v>
      </c>
      <c r="B7451" s="3">
        <v>1795</v>
      </c>
      <c r="C7451" s="1" t="str">
        <f>HYPERLINK("http://www.uniprot.org/uniprot/AB1C_ARATH","AB1C_ARATH")</f>
        <v>AB1C_ARATH</v>
      </c>
      <c r="D7451" t="s">
        <v>5936</v>
      </c>
      <c r="E7451" s="3" t="s">
        <v>3</v>
      </c>
      <c r="F7451" s="4">
        <v>0</v>
      </c>
      <c r="G7451" s="3">
        <v>1831</v>
      </c>
      <c r="H7451" s="3">
        <v>73</v>
      </c>
      <c r="I7451" s="3">
        <v>497</v>
      </c>
      <c r="J7451" s="3">
        <v>2</v>
      </c>
      <c r="K7451" s="3">
        <v>1492</v>
      </c>
      <c r="L7451" s="3">
        <v>1</v>
      </c>
      <c r="M7451" s="3">
        <v>496</v>
      </c>
    </row>
    <row r="7452" spans="1:13" x14ac:dyDescent="0.25">
      <c r="A7452" s="1" t="str">
        <f>HYPERLINK("http://www.rosaceae.org/Prunus/Prunus_persica/p.persica_gdr_reftransV1_0019229","p.persica_gdr_reftransV1_0019229")</f>
        <v>p.persica_gdr_reftransV1_0019229</v>
      </c>
      <c r="B7452" s="3">
        <v>2228</v>
      </c>
      <c r="C7452" s="1" t="str">
        <f>HYPERLINK("http://www.uniprot.org/uniprot/PATL3_ARATH","PATL3_ARATH")</f>
        <v>PATL3_ARATH</v>
      </c>
      <c r="D7452" t="s">
        <v>2746</v>
      </c>
      <c r="E7452" s="3" t="s">
        <v>3</v>
      </c>
      <c r="F7452" s="4">
        <v>0</v>
      </c>
      <c r="G7452" s="3">
        <v>1457</v>
      </c>
      <c r="H7452" s="3">
        <v>60</v>
      </c>
      <c r="I7452" s="3">
        <v>475</v>
      </c>
      <c r="J7452" s="3">
        <v>297</v>
      </c>
      <c r="K7452" s="3">
        <v>1694</v>
      </c>
      <c r="L7452" s="3">
        <v>69</v>
      </c>
      <c r="M7452" s="3">
        <v>490</v>
      </c>
    </row>
    <row r="7453" spans="1:13" x14ac:dyDescent="0.25">
      <c r="A7453" s="1" t="str">
        <f>HYPERLINK("http://www.rosaceae.org/Prunus/Prunus_persica/p.persica_gdr_reftransV1_0019729","p.persica_gdr_reftransV1_0019729")</f>
        <v>p.persica_gdr_reftransV1_0019729</v>
      </c>
      <c r="B7453" s="3">
        <v>1190</v>
      </c>
      <c r="C7453" s="1" t="str">
        <f>HYPERLINK("http://www.uniprot.org/uniprot/PPR80_ARATH","PPR80_ARATH")</f>
        <v>PPR80_ARATH</v>
      </c>
      <c r="D7453" t="s">
        <v>4559</v>
      </c>
      <c r="E7453" s="3" t="s">
        <v>3</v>
      </c>
      <c r="F7453" s="4">
        <v>2.26E-157</v>
      </c>
      <c r="G7453" s="3">
        <v>1202</v>
      </c>
      <c r="H7453" s="3">
        <v>59</v>
      </c>
      <c r="I7453" s="3">
        <v>377</v>
      </c>
      <c r="J7453" s="3">
        <v>3</v>
      </c>
      <c r="K7453" s="3">
        <v>1133</v>
      </c>
      <c r="L7453" s="3">
        <v>61</v>
      </c>
      <c r="M7453" s="3">
        <v>437</v>
      </c>
    </row>
    <row r="7454" spans="1:13" x14ac:dyDescent="0.25">
      <c r="A7454" s="1" t="str">
        <f>HYPERLINK("http://www.rosaceae.org/Prunus/Prunus_persica/p.persica_gdr_reftransV1_0019779","p.persica_gdr_reftransV1_0019779")</f>
        <v>p.persica_gdr_reftransV1_0019779</v>
      </c>
      <c r="B7454" s="3">
        <v>1205</v>
      </c>
      <c r="C7454" s="1" t="str">
        <f>HYPERLINK("http://www.uniprot.org/uniprot/VDAC2_ARATH","VDAC2_ARATH")</f>
        <v>VDAC2_ARATH</v>
      </c>
      <c r="D7454" t="s">
        <v>5535</v>
      </c>
      <c r="E7454" s="3" t="s">
        <v>3</v>
      </c>
      <c r="F7454" s="4">
        <v>3.3700000000000001E-117</v>
      </c>
      <c r="G7454" s="3">
        <v>896</v>
      </c>
      <c r="H7454" s="3">
        <v>60</v>
      </c>
      <c r="I7454" s="3">
        <v>275</v>
      </c>
      <c r="J7454" s="3">
        <v>237</v>
      </c>
      <c r="K7454" s="3">
        <v>1061</v>
      </c>
      <c r="L7454" s="3">
        <v>2</v>
      </c>
      <c r="M7454" s="3">
        <v>276</v>
      </c>
    </row>
    <row r="7455" spans="1:13" x14ac:dyDescent="0.25">
      <c r="A7455" s="1" t="str">
        <f>HYPERLINK("http://www.rosaceae.org/Prunus/Prunus_persica/p.persica_gdr_reftransV1_0019829","p.persica_gdr_reftransV1_0019829")</f>
        <v>p.persica_gdr_reftransV1_0019829</v>
      </c>
      <c r="B7455" s="3">
        <v>3038</v>
      </c>
      <c r="C7455" s="1" t="str">
        <f>HYPERLINK("http://www.uniprot.org/uniprot/Y4885_ARATH","Y4885_ARATH")</f>
        <v>Y4885_ARATH</v>
      </c>
      <c r="D7455" t="s">
        <v>468</v>
      </c>
      <c r="E7455" s="3" t="s">
        <v>3</v>
      </c>
      <c r="F7455" s="4">
        <v>0</v>
      </c>
      <c r="G7455" s="3">
        <v>1513</v>
      </c>
      <c r="H7455" s="3">
        <v>43</v>
      </c>
      <c r="I7455" s="3">
        <v>796</v>
      </c>
      <c r="J7455" s="3">
        <v>721</v>
      </c>
      <c r="K7455" s="3">
        <v>3021</v>
      </c>
      <c r="L7455" s="3">
        <v>158</v>
      </c>
      <c r="M7455" s="3">
        <v>949</v>
      </c>
    </row>
    <row r="7456" spans="1:13" x14ac:dyDescent="0.25">
      <c r="A7456" s="1" t="str">
        <f>HYPERLINK("http://www.rosaceae.org/Prunus/Prunus_persica/p.persica_gdr_reftransV1_0020029","p.persica_gdr_reftransV1_0020029")</f>
        <v>p.persica_gdr_reftransV1_0020029</v>
      </c>
      <c r="B7456" s="3">
        <v>531</v>
      </c>
      <c r="C7456" s="1" t="str">
        <f>HYPERLINK("http://www.uniprot.org/uniprot/RBL5_ARATH","RBL5_ARATH")</f>
        <v>RBL5_ARATH</v>
      </c>
      <c r="D7456" t="s">
        <v>3105</v>
      </c>
      <c r="E7456" s="3" t="s">
        <v>3</v>
      </c>
      <c r="F7456" s="4">
        <v>1.6200000000000001E-46</v>
      </c>
      <c r="G7456" s="3">
        <v>405</v>
      </c>
      <c r="H7456" s="3">
        <v>57</v>
      </c>
      <c r="I7456" s="3">
        <v>171</v>
      </c>
      <c r="J7456" s="3">
        <v>18</v>
      </c>
      <c r="K7456" s="3">
        <v>530</v>
      </c>
      <c r="L7456" s="3">
        <v>104</v>
      </c>
      <c r="M7456" s="3">
        <v>270</v>
      </c>
    </row>
    <row r="7457" spans="1:13" x14ac:dyDescent="0.25">
      <c r="A7457" s="1" t="str">
        <f>HYPERLINK("http://www.rosaceae.org/Prunus/Prunus_persica/p.persica_gdr_reftransV1_0020129","p.persica_gdr_reftransV1_0020129")</f>
        <v>p.persica_gdr_reftransV1_0020129</v>
      </c>
      <c r="B7457" s="3">
        <v>1625</v>
      </c>
      <c r="C7457" s="1" t="str">
        <f>HYPERLINK("http://www.uniprot.org/uniprot/F126B_MOUSE","F126B_MOUSE")</f>
        <v>F126B_MOUSE</v>
      </c>
      <c r="D7457" t="s">
        <v>5937</v>
      </c>
      <c r="E7457" s="3" t="s">
        <v>157</v>
      </c>
      <c r="F7457" s="4">
        <v>7.4000000000000001E-9</v>
      </c>
      <c r="G7457" s="3">
        <v>149</v>
      </c>
      <c r="H7457" s="3">
        <v>29</v>
      </c>
      <c r="I7457" s="3">
        <v>191</v>
      </c>
      <c r="J7457" s="3">
        <v>259</v>
      </c>
      <c r="K7457" s="3">
        <v>810</v>
      </c>
      <c r="L7457" s="3">
        <v>21</v>
      </c>
      <c r="M7457" s="3">
        <v>206</v>
      </c>
    </row>
    <row r="7458" spans="1:13" x14ac:dyDescent="0.25">
      <c r="A7458" s="1" t="str">
        <f>HYPERLINK("http://www.rosaceae.org/Prunus/Prunus_persica/p.persica_gdr_reftransV1_0020179","p.persica_gdr_reftransV1_0020179")</f>
        <v>p.persica_gdr_reftransV1_0020179</v>
      </c>
      <c r="B7458" s="3">
        <v>3569</v>
      </c>
      <c r="C7458" s="1" t="str">
        <f>HYPERLINK("http://www.uniprot.org/uniprot/PRSP1_SPIOL","PRSP1_SPIOL")</f>
        <v>PRSP1_SPIOL</v>
      </c>
      <c r="D7458" t="s">
        <v>5938</v>
      </c>
      <c r="E7458" s="3" t="s">
        <v>131</v>
      </c>
      <c r="F7458" s="4">
        <v>1.36E-61</v>
      </c>
      <c r="G7458" s="3">
        <v>555</v>
      </c>
      <c r="H7458" s="3">
        <v>71</v>
      </c>
      <c r="I7458" s="3">
        <v>145</v>
      </c>
      <c r="J7458" s="3">
        <v>298</v>
      </c>
      <c r="K7458" s="3">
        <v>732</v>
      </c>
      <c r="L7458" s="3">
        <v>47</v>
      </c>
      <c r="M7458" s="3">
        <v>191</v>
      </c>
    </row>
    <row r="7459" spans="1:13" x14ac:dyDescent="0.25">
      <c r="A7459" s="1" t="str">
        <f>HYPERLINK("http://www.rosaceae.org/Prunus/Prunus_persica/p.persica_gdr_reftransV1_0020279","p.persica_gdr_reftransV1_0020279")</f>
        <v>p.persica_gdr_reftransV1_0020279</v>
      </c>
      <c r="B7459" s="3">
        <v>1432</v>
      </c>
      <c r="C7459" s="1" t="str">
        <f>HYPERLINK("http://www.uniprot.org/uniprot/AHL14_ARATH","AHL14_ARATH")</f>
        <v>AHL14_ARATH</v>
      </c>
      <c r="D7459" t="s">
        <v>5939</v>
      </c>
      <c r="E7459" s="3" t="s">
        <v>3</v>
      </c>
      <c r="F7459" s="4">
        <v>2.09E-84</v>
      </c>
      <c r="G7459" s="3">
        <v>696</v>
      </c>
      <c r="H7459" s="3">
        <v>57</v>
      </c>
      <c r="I7459" s="3">
        <v>328</v>
      </c>
      <c r="J7459" s="3">
        <v>192</v>
      </c>
      <c r="K7459" s="3">
        <v>1103</v>
      </c>
      <c r="L7459" s="3">
        <v>87</v>
      </c>
      <c r="M7459" s="3">
        <v>411</v>
      </c>
    </row>
    <row r="7460" spans="1:13" x14ac:dyDescent="0.25">
      <c r="A7460" s="1" t="str">
        <f>HYPERLINK("http://www.rosaceae.org/Prunus/Prunus_persica/p.persica_gdr_reftransV1_0020529","p.persica_gdr_reftransV1_0020529")</f>
        <v>p.persica_gdr_reftransV1_0020529</v>
      </c>
      <c r="B7460" s="3">
        <v>1904</v>
      </c>
      <c r="C7460" s="1" t="str">
        <f>HYPERLINK("http://www.uniprot.org/uniprot/AROC_ARATH","AROC_ARATH")</f>
        <v>AROC_ARATH</v>
      </c>
      <c r="D7460" t="s">
        <v>5940</v>
      </c>
      <c r="E7460" s="3" t="s">
        <v>3</v>
      </c>
      <c r="F7460" s="4">
        <v>0</v>
      </c>
      <c r="G7460" s="3">
        <v>1743</v>
      </c>
      <c r="H7460" s="3">
        <v>78</v>
      </c>
      <c r="I7460" s="3">
        <v>429</v>
      </c>
      <c r="J7460" s="3">
        <v>344</v>
      </c>
      <c r="K7460" s="3">
        <v>1630</v>
      </c>
      <c r="L7460" s="3">
        <v>3</v>
      </c>
      <c r="M7460" s="3">
        <v>427</v>
      </c>
    </row>
    <row r="7461" spans="1:13" x14ac:dyDescent="0.25">
      <c r="A7461" s="1" t="str">
        <f>HYPERLINK("http://www.rosaceae.org/Prunus/Prunus_persica/p.persica_gdr_reftransV1_0021179","p.persica_gdr_reftransV1_0021179")</f>
        <v>p.persica_gdr_reftransV1_0021179</v>
      </c>
      <c r="B7461" s="3">
        <v>2861</v>
      </c>
      <c r="C7461" s="1" t="str">
        <f>HYPERLINK("http://www.uniprot.org/uniprot/SGPL_ARATH","SGPL_ARATH")</f>
        <v>SGPL_ARATH</v>
      </c>
      <c r="D7461" t="s">
        <v>5941</v>
      </c>
      <c r="E7461" s="3" t="s">
        <v>3</v>
      </c>
      <c r="F7461" s="4">
        <v>0</v>
      </c>
      <c r="G7461" s="3">
        <v>1797</v>
      </c>
      <c r="H7461" s="3">
        <v>84</v>
      </c>
      <c r="I7461" s="3">
        <v>384</v>
      </c>
      <c r="J7461" s="3">
        <v>271</v>
      </c>
      <c r="K7461" s="3">
        <v>1422</v>
      </c>
      <c r="L7461" s="3">
        <v>158</v>
      </c>
      <c r="M7461" s="3">
        <v>541</v>
      </c>
    </row>
    <row r="7462" spans="1:13" x14ac:dyDescent="0.25">
      <c r="A7462" s="1" t="str">
        <f>HYPERLINK("http://www.rosaceae.org/Prunus/Prunus_persica/p.persica_gdr_reftransV1_0021229","p.persica_gdr_reftransV1_0021229")</f>
        <v>p.persica_gdr_reftransV1_0021229</v>
      </c>
      <c r="B7462" s="3">
        <v>1540</v>
      </c>
      <c r="C7462" s="1" t="str">
        <f>HYPERLINK("http://www.uniprot.org/uniprot/CTU1_ARATH","CTU1_ARATH")</f>
        <v>CTU1_ARATH</v>
      </c>
      <c r="D7462" t="s">
        <v>5942</v>
      </c>
      <c r="E7462" s="3" t="s">
        <v>3</v>
      </c>
      <c r="F7462" s="4">
        <v>2.26E-143</v>
      </c>
      <c r="G7462" s="3">
        <v>1088</v>
      </c>
      <c r="H7462" s="3">
        <v>73</v>
      </c>
      <c r="I7462" s="3">
        <v>311</v>
      </c>
      <c r="J7462" s="3">
        <v>3</v>
      </c>
      <c r="K7462" s="3">
        <v>932</v>
      </c>
      <c r="L7462" s="3">
        <v>107</v>
      </c>
      <c r="M7462" s="3">
        <v>355</v>
      </c>
    </row>
    <row r="7463" spans="1:13" x14ac:dyDescent="0.25">
      <c r="A7463" s="1" t="str">
        <f>HYPERLINK("http://www.rosaceae.org/Prunus/Prunus_persica/p.persica_gdr_reftransV1_0021729","p.persica_gdr_reftransV1_0021729")</f>
        <v>p.persica_gdr_reftransV1_0021729</v>
      </c>
      <c r="B7463" s="3">
        <v>2857</v>
      </c>
      <c r="C7463" s="1" t="str">
        <f>HYPERLINK("http://www.uniprot.org/uniprot/MED8_ARATH","MED8_ARATH")</f>
        <v>MED8_ARATH</v>
      </c>
      <c r="D7463" t="s">
        <v>366</v>
      </c>
      <c r="E7463" s="3" t="s">
        <v>3</v>
      </c>
      <c r="F7463" s="4">
        <v>5.8999999999999996E-162</v>
      </c>
      <c r="G7463" s="3">
        <v>1267</v>
      </c>
      <c r="H7463" s="3">
        <v>61</v>
      </c>
      <c r="I7463" s="3">
        <v>486</v>
      </c>
      <c r="J7463" s="3">
        <v>17</v>
      </c>
      <c r="K7463" s="3">
        <v>1456</v>
      </c>
      <c r="L7463" s="3">
        <v>14</v>
      </c>
      <c r="M7463" s="3">
        <v>475</v>
      </c>
    </row>
    <row r="7464" spans="1:13" x14ac:dyDescent="0.25">
      <c r="A7464" s="1" t="str">
        <f>HYPERLINK("http://www.rosaceae.org/Prunus/Prunus_persica/p.persica_gdr_reftransV1_0021929","p.persica_gdr_reftransV1_0021929")</f>
        <v>p.persica_gdr_reftransV1_0021929</v>
      </c>
      <c r="B7464" s="3">
        <v>2429</v>
      </c>
      <c r="C7464" s="1" t="str">
        <f>HYPERLINK("http://www.uniprot.org/uniprot/PDD2L_CHICK","PDD2L_CHICK")</f>
        <v>PDD2L_CHICK</v>
      </c>
      <c r="D7464" t="s">
        <v>5943</v>
      </c>
      <c r="E7464" s="3" t="s">
        <v>1278</v>
      </c>
      <c r="F7464" s="4">
        <v>7.9699999999999994E-12</v>
      </c>
      <c r="G7464" s="3">
        <v>174</v>
      </c>
      <c r="H7464" s="3">
        <v>36</v>
      </c>
      <c r="I7464" s="3">
        <v>126</v>
      </c>
      <c r="J7464" s="3">
        <v>1478</v>
      </c>
      <c r="K7464" s="3">
        <v>1831</v>
      </c>
      <c r="L7464" s="3">
        <v>241</v>
      </c>
      <c r="M7464" s="3">
        <v>359</v>
      </c>
    </row>
    <row r="7465" spans="1:13" x14ac:dyDescent="0.25">
      <c r="A7465" s="1" t="str">
        <f>HYPERLINK("http://www.rosaceae.org/Prunus/Prunus_persica/p.persica_gdr_reftransV1_0022029","p.persica_gdr_reftransV1_0022029")</f>
        <v>p.persica_gdr_reftransV1_0022029</v>
      </c>
      <c r="B7465" s="3">
        <v>1963</v>
      </c>
      <c r="C7465" s="1" t="str">
        <f>HYPERLINK("http://www.uniprot.org/uniprot/SYT3_ARATH","SYT3_ARATH")</f>
        <v>SYT3_ARATH</v>
      </c>
      <c r="D7465" t="s">
        <v>570</v>
      </c>
      <c r="E7465" s="3" t="s">
        <v>3</v>
      </c>
      <c r="F7465" s="4">
        <v>0</v>
      </c>
      <c r="G7465" s="3">
        <v>1494</v>
      </c>
      <c r="H7465" s="3">
        <v>57</v>
      </c>
      <c r="I7465" s="3">
        <v>526</v>
      </c>
      <c r="J7465" s="3">
        <v>278</v>
      </c>
      <c r="K7465" s="3">
        <v>1849</v>
      </c>
      <c r="L7465" s="3">
        <v>30</v>
      </c>
      <c r="M7465" s="3">
        <v>540</v>
      </c>
    </row>
    <row r="7466" spans="1:13" x14ac:dyDescent="0.25">
      <c r="A7466" s="1" t="str">
        <f>HYPERLINK("http://www.rosaceae.org/Prunus/Prunus_persica/p.persica_gdr_reftransV1_0022329","p.persica_gdr_reftransV1_0022329")</f>
        <v>p.persica_gdr_reftransV1_0022329</v>
      </c>
      <c r="B7466" s="3">
        <v>3007</v>
      </c>
      <c r="C7466" s="1" t="str">
        <f>HYPERLINK("http://www.uniprot.org/uniprot/ACCA_ARATH","ACCA_ARATH")</f>
        <v>ACCA_ARATH</v>
      </c>
      <c r="D7466" t="s">
        <v>5944</v>
      </c>
      <c r="E7466" s="3" t="s">
        <v>3</v>
      </c>
      <c r="F7466" s="4">
        <v>0</v>
      </c>
      <c r="G7466" s="3">
        <v>2092</v>
      </c>
      <c r="H7466" s="3">
        <v>65</v>
      </c>
      <c r="I7466" s="3">
        <v>734</v>
      </c>
      <c r="J7466" s="3">
        <v>349</v>
      </c>
      <c r="K7466" s="3">
        <v>2511</v>
      </c>
      <c r="L7466" s="3">
        <v>1</v>
      </c>
      <c r="M7466" s="3">
        <v>727</v>
      </c>
    </row>
    <row r="7467" spans="1:13" x14ac:dyDescent="0.25">
      <c r="A7467" s="1" t="str">
        <f>HYPERLINK("http://www.rosaceae.org/Prunus/Prunus_persica/p.persica_gdr_reftransV1_0022429","p.persica_gdr_reftransV1_0022429")</f>
        <v>p.persica_gdr_reftransV1_0022429</v>
      </c>
      <c r="B7467" s="3">
        <v>1317</v>
      </c>
      <c r="C7467" s="1" t="str">
        <f>HYPERLINK("http://www.uniprot.org/uniprot/CRPM4_ARATH","CRPM4_ARATH")</f>
        <v>CRPM4_ARATH</v>
      </c>
      <c r="D7467" t="s">
        <v>4623</v>
      </c>
      <c r="E7467" s="3" t="s">
        <v>3</v>
      </c>
      <c r="F7467" s="4">
        <v>2.08E-30</v>
      </c>
      <c r="G7467" s="3">
        <v>283</v>
      </c>
      <c r="H7467" s="3">
        <v>57</v>
      </c>
      <c r="I7467" s="3">
        <v>94</v>
      </c>
      <c r="J7467" s="3">
        <v>932</v>
      </c>
      <c r="K7467" s="3">
        <v>1213</v>
      </c>
      <c r="L7467" s="3">
        <v>1</v>
      </c>
      <c r="M7467" s="3">
        <v>94</v>
      </c>
    </row>
    <row r="7468" spans="1:13" x14ac:dyDescent="0.25">
      <c r="A7468" s="1" t="str">
        <f>HYPERLINK("http://www.rosaceae.org/Prunus/Prunus_persica/p.persica_gdr_reftransV1_0022679","p.persica_gdr_reftransV1_0022679")</f>
        <v>p.persica_gdr_reftransV1_0022679</v>
      </c>
      <c r="B7468" s="3">
        <v>1415</v>
      </c>
      <c r="C7468" s="1" t="str">
        <f>HYPERLINK("http://www.uniprot.org/uniprot/ERD2_CAEEL","ERD2_CAEEL")</f>
        <v>ERD2_CAEEL</v>
      </c>
      <c r="D7468" t="s">
        <v>5332</v>
      </c>
      <c r="E7468" s="3" t="s">
        <v>281</v>
      </c>
      <c r="F7468" s="4">
        <v>1.5900000000000001E-25</v>
      </c>
      <c r="G7468" s="3">
        <v>268</v>
      </c>
      <c r="H7468" s="3">
        <v>32</v>
      </c>
      <c r="I7468" s="3">
        <v>216</v>
      </c>
      <c r="J7468" s="3">
        <v>479</v>
      </c>
      <c r="K7468" s="3">
        <v>1114</v>
      </c>
      <c r="L7468" s="3">
        <v>2</v>
      </c>
      <c r="M7468" s="3">
        <v>202</v>
      </c>
    </row>
    <row r="7469" spans="1:13" x14ac:dyDescent="0.25">
      <c r="A7469" s="1" t="str">
        <f>HYPERLINK("http://www.rosaceae.org/Prunus/Prunus_persica/p.persica_gdr_reftransV1_0022779","p.persica_gdr_reftransV1_0022779")</f>
        <v>p.persica_gdr_reftransV1_0022779</v>
      </c>
      <c r="B7469" s="3">
        <v>778</v>
      </c>
      <c r="C7469" s="1" t="str">
        <f>HYPERLINK("http://www.uniprot.org/uniprot/BBX19_ARATH","BBX19_ARATH")</f>
        <v>BBX19_ARATH</v>
      </c>
      <c r="D7469" t="s">
        <v>1417</v>
      </c>
      <c r="E7469" s="3" t="s">
        <v>3</v>
      </c>
      <c r="F7469" s="4">
        <v>2.0600000000000001E-35</v>
      </c>
      <c r="G7469" s="3">
        <v>327</v>
      </c>
      <c r="H7469" s="3">
        <v>47</v>
      </c>
      <c r="I7469" s="3">
        <v>153</v>
      </c>
      <c r="J7469" s="3">
        <v>1</v>
      </c>
      <c r="K7469" s="3">
        <v>459</v>
      </c>
      <c r="L7469" s="3">
        <v>60</v>
      </c>
      <c r="M7469" s="3">
        <v>183</v>
      </c>
    </row>
    <row r="7470" spans="1:13" x14ac:dyDescent="0.25">
      <c r="A7470" s="1" t="str">
        <f>HYPERLINK("http://www.rosaceae.org/Prunus/Prunus_persica/p.persica_gdr_reftransV1_0022829","p.persica_gdr_reftransV1_0022829")</f>
        <v>p.persica_gdr_reftransV1_0022829</v>
      </c>
      <c r="B7470" s="3">
        <v>5076</v>
      </c>
      <c r="C7470" s="1" t="str">
        <f>HYPERLINK("http://www.uniprot.org/uniprot/C3H40_ARATH","C3H40_ARATH")</f>
        <v>C3H40_ARATH</v>
      </c>
      <c r="D7470" t="s">
        <v>5945</v>
      </c>
      <c r="E7470" s="3" t="s">
        <v>3</v>
      </c>
      <c r="F7470" s="4">
        <v>2.43E-30</v>
      </c>
      <c r="G7470" s="3">
        <v>329</v>
      </c>
      <c r="H7470" s="3">
        <v>39</v>
      </c>
      <c r="I7470" s="3">
        <v>228</v>
      </c>
      <c r="J7470" s="3">
        <v>3280</v>
      </c>
      <c r="K7470" s="3">
        <v>3936</v>
      </c>
      <c r="L7470" s="3">
        <v>68</v>
      </c>
      <c r="M7470" s="3">
        <v>286</v>
      </c>
    </row>
    <row r="7471" spans="1:13" x14ac:dyDescent="0.25">
      <c r="A7471" s="1" t="str">
        <f>HYPERLINK("http://www.rosaceae.org/Prunus/Prunus_persica/p.persica_gdr_reftransV1_0023029","p.persica_gdr_reftransV1_0023029")</f>
        <v>p.persica_gdr_reftransV1_0023029</v>
      </c>
      <c r="B7471" s="3">
        <v>627</v>
      </c>
      <c r="C7471" s="1" t="str">
        <f>HYPERLINK("http://www.uniprot.org/uniprot/SR34_ARATH","SR34_ARATH")</f>
        <v>SR34_ARATH</v>
      </c>
      <c r="D7471" t="s">
        <v>2317</v>
      </c>
      <c r="E7471" s="3" t="s">
        <v>3</v>
      </c>
      <c r="F7471" s="4">
        <v>7.1600000000000004E-63</v>
      </c>
      <c r="G7471" s="3">
        <v>518</v>
      </c>
      <c r="H7471" s="3">
        <v>71</v>
      </c>
      <c r="I7471" s="3">
        <v>161</v>
      </c>
      <c r="J7471" s="3">
        <v>169</v>
      </c>
      <c r="K7471" s="3">
        <v>627</v>
      </c>
      <c r="L7471" s="3">
        <v>1</v>
      </c>
      <c r="M7471" s="3">
        <v>160</v>
      </c>
    </row>
    <row r="7472" spans="1:13" x14ac:dyDescent="0.25">
      <c r="A7472" s="1" t="str">
        <f>HYPERLINK("http://www.rosaceae.org/Prunus/Prunus_persica/p.persica_gdr_reftransV1_0023079","p.persica_gdr_reftransV1_0023079")</f>
        <v>p.persica_gdr_reftransV1_0023079</v>
      </c>
      <c r="B7472" s="3">
        <v>2121</v>
      </c>
      <c r="C7472" s="1" t="str">
        <f>HYPERLINK("http://www.uniprot.org/uniprot/UTP7_SCHPO","UTP7_SCHPO")</f>
        <v>UTP7_SCHPO</v>
      </c>
      <c r="D7472" t="s">
        <v>5946</v>
      </c>
      <c r="E7472" s="3" t="s">
        <v>464</v>
      </c>
      <c r="F7472" s="4">
        <v>1.23E-109</v>
      </c>
      <c r="G7472" s="3">
        <v>894</v>
      </c>
      <c r="H7472" s="3">
        <v>42</v>
      </c>
      <c r="I7472" s="3">
        <v>421</v>
      </c>
      <c r="J7472" s="3">
        <v>671</v>
      </c>
      <c r="K7472" s="3">
        <v>1933</v>
      </c>
      <c r="L7472" s="3">
        <v>9</v>
      </c>
      <c r="M7472" s="3">
        <v>427</v>
      </c>
    </row>
    <row r="7473" spans="1:13" x14ac:dyDescent="0.25">
      <c r="A7473" s="1" t="str">
        <f>HYPERLINK("http://www.rosaceae.org/Prunus/Prunus_persica/p.persica_gdr_reftransV1_0023179","p.persica_gdr_reftransV1_0023179")</f>
        <v>p.persica_gdr_reftransV1_0023179</v>
      </c>
      <c r="B7473" s="3">
        <v>1177</v>
      </c>
      <c r="C7473" s="1" t="str">
        <f>HYPERLINK("http://www.uniprot.org/uniprot/ING2_ARATH","ING2_ARATH")</f>
        <v>ING2_ARATH</v>
      </c>
      <c r="D7473" t="s">
        <v>5947</v>
      </c>
      <c r="E7473" s="3" t="s">
        <v>3</v>
      </c>
      <c r="F7473" s="4">
        <v>4.97E-121</v>
      </c>
      <c r="G7473" s="3">
        <v>919</v>
      </c>
      <c r="H7473" s="3">
        <v>82</v>
      </c>
      <c r="I7473" s="3">
        <v>265</v>
      </c>
      <c r="J7473" s="3">
        <v>262</v>
      </c>
      <c r="K7473" s="3">
        <v>1056</v>
      </c>
      <c r="L7473" s="3">
        <v>1</v>
      </c>
      <c r="M7473" s="3">
        <v>261</v>
      </c>
    </row>
    <row r="7474" spans="1:13" x14ac:dyDescent="0.25">
      <c r="A7474" s="1" t="str">
        <f>HYPERLINK("http://www.rosaceae.org/Prunus/Prunus_persica/p.persica_gdr_reftransV1_0023279","p.persica_gdr_reftransV1_0023279")</f>
        <v>p.persica_gdr_reftransV1_0023279</v>
      </c>
      <c r="B7474" s="3">
        <v>5448</v>
      </c>
      <c r="C7474" s="1" t="str">
        <f>HYPERLINK("http://www.uniprot.org/uniprot/Y1461_ARATH","Y1461_ARATH")</f>
        <v>Y1461_ARATH</v>
      </c>
      <c r="D7474" t="s">
        <v>392</v>
      </c>
      <c r="E7474" s="3" t="s">
        <v>3</v>
      </c>
      <c r="F7474" s="4">
        <v>4.4599999999999998E-113</v>
      </c>
      <c r="G7474" s="3">
        <v>967</v>
      </c>
      <c r="H7474" s="3">
        <v>69</v>
      </c>
      <c r="I7474" s="3">
        <v>270</v>
      </c>
      <c r="J7474" s="3">
        <v>3712</v>
      </c>
      <c r="K7474" s="3">
        <v>4512</v>
      </c>
      <c r="L7474" s="3">
        <v>59</v>
      </c>
      <c r="M7474" s="3">
        <v>328</v>
      </c>
    </row>
    <row r="7475" spans="1:13" x14ac:dyDescent="0.25">
      <c r="A7475" s="1" t="str">
        <f>HYPERLINK("http://www.rosaceae.org/Prunus/Prunus_persica/p.persica_gdr_reftransV1_0023379","p.persica_gdr_reftransV1_0023379")</f>
        <v>p.persica_gdr_reftransV1_0023379</v>
      </c>
      <c r="B7475" s="3">
        <v>1172</v>
      </c>
      <c r="C7475" s="1" t="str">
        <f>HYPERLINK("http://www.uniprot.org/uniprot/COLX_ARATH","COLX_ARATH")</f>
        <v>COLX_ARATH</v>
      </c>
      <c r="D7475" t="s">
        <v>2146</v>
      </c>
      <c r="E7475" s="3" t="s">
        <v>3</v>
      </c>
      <c r="F7475" s="4">
        <v>7.7300000000000004E-12</v>
      </c>
      <c r="G7475" s="3">
        <v>169</v>
      </c>
      <c r="H7475" s="3">
        <v>54</v>
      </c>
      <c r="I7475" s="3">
        <v>69</v>
      </c>
      <c r="J7475" s="3">
        <v>211</v>
      </c>
      <c r="K7475" s="3">
        <v>414</v>
      </c>
      <c r="L7475" s="3">
        <v>223</v>
      </c>
      <c r="M7475" s="3">
        <v>283</v>
      </c>
    </row>
    <row r="7476" spans="1:13" x14ac:dyDescent="0.25">
      <c r="A7476" s="1" t="str">
        <f>HYPERLINK("http://www.rosaceae.org/Prunus/Prunus_persica/p.persica_gdr_reftransV1_0023529","p.persica_gdr_reftransV1_0023529")</f>
        <v>p.persica_gdr_reftransV1_0023529</v>
      </c>
      <c r="B7476" s="3">
        <v>2468</v>
      </c>
      <c r="C7476" s="1" t="str">
        <f>HYPERLINK("http://www.uniprot.org/uniprot/AVT1_YEAST","AVT1_YEAST")</f>
        <v>AVT1_YEAST</v>
      </c>
      <c r="D7476" t="s">
        <v>80</v>
      </c>
      <c r="E7476" s="3" t="s">
        <v>34</v>
      </c>
      <c r="F7476" s="4">
        <v>1.88E-39</v>
      </c>
      <c r="G7476" s="3">
        <v>400</v>
      </c>
      <c r="H7476" s="3">
        <v>32</v>
      </c>
      <c r="I7476" s="3">
        <v>317</v>
      </c>
      <c r="J7476" s="3">
        <v>787</v>
      </c>
      <c r="K7476" s="3">
        <v>1686</v>
      </c>
      <c r="L7476" s="3">
        <v>204</v>
      </c>
      <c r="M7476" s="3">
        <v>509</v>
      </c>
    </row>
    <row r="7477" spans="1:13" x14ac:dyDescent="0.25">
      <c r="A7477" s="1" t="str">
        <f>HYPERLINK("http://www.rosaceae.org/Prunus/Prunus_persica/p.persica_gdr_reftransV1_0023629","p.persica_gdr_reftransV1_0023629")</f>
        <v>p.persica_gdr_reftransV1_0023629</v>
      </c>
      <c r="B7477" s="3">
        <v>1991</v>
      </c>
      <c r="C7477" s="1" t="str">
        <f>HYPERLINK("http://www.uniprot.org/uniprot/JASON_ARATH","JASON_ARATH")</f>
        <v>JASON_ARATH</v>
      </c>
      <c r="D7477" t="s">
        <v>5948</v>
      </c>
      <c r="E7477" s="3" t="s">
        <v>3</v>
      </c>
      <c r="F7477" s="4">
        <v>2.3799999999999999E-90</v>
      </c>
      <c r="G7477" s="3">
        <v>757</v>
      </c>
      <c r="H7477" s="3">
        <v>45</v>
      </c>
      <c r="I7477" s="3">
        <v>464</v>
      </c>
      <c r="J7477" s="3">
        <v>125</v>
      </c>
      <c r="K7477" s="3">
        <v>1477</v>
      </c>
      <c r="L7477" s="3">
        <v>17</v>
      </c>
      <c r="M7477" s="3">
        <v>452</v>
      </c>
    </row>
    <row r="7478" spans="1:13" x14ac:dyDescent="0.25">
      <c r="A7478" s="1" t="str">
        <f>HYPERLINK("http://www.rosaceae.org/Prunus/Prunus_persica/p.persica_gdr_reftransV1_0023929","p.persica_gdr_reftransV1_0023929")</f>
        <v>p.persica_gdr_reftransV1_0023929</v>
      </c>
      <c r="B7478" s="3">
        <v>3788</v>
      </c>
      <c r="C7478" s="1" t="str">
        <f>HYPERLINK("http://www.uniprot.org/uniprot/Y1745_ARATH","Y1745_ARATH")</f>
        <v>Y1745_ARATH</v>
      </c>
      <c r="D7478" t="s">
        <v>2555</v>
      </c>
      <c r="E7478" s="3" t="s">
        <v>3</v>
      </c>
      <c r="F7478" s="4">
        <v>1.5499999999999998E-39</v>
      </c>
      <c r="G7478" s="3">
        <v>405</v>
      </c>
      <c r="H7478" s="3">
        <v>38</v>
      </c>
      <c r="I7478" s="3">
        <v>323</v>
      </c>
      <c r="J7478" s="3">
        <v>346</v>
      </c>
      <c r="K7478" s="3">
        <v>1272</v>
      </c>
      <c r="L7478" s="3">
        <v>15</v>
      </c>
      <c r="M7478" s="3">
        <v>311</v>
      </c>
    </row>
    <row r="7479" spans="1:13" x14ac:dyDescent="0.25">
      <c r="A7479" s="1" t="str">
        <f>HYPERLINK("http://www.rosaceae.org/Prunus/Prunus_persica/p.persica_gdr_reftransV1_0024179","p.persica_gdr_reftransV1_0024179")</f>
        <v>p.persica_gdr_reftransV1_0024179</v>
      </c>
      <c r="B7479" s="3">
        <v>1313</v>
      </c>
      <c r="C7479" s="1" t="str">
        <f>HYPERLINK("http://www.uniprot.org/uniprot/SKP1B_ARATH","SKP1B_ARATH")</f>
        <v>SKP1B_ARATH</v>
      </c>
      <c r="D7479" t="s">
        <v>5949</v>
      </c>
      <c r="E7479" s="3" t="s">
        <v>3</v>
      </c>
      <c r="F7479" s="4">
        <v>6.2900000000000005E-44</v>
      </c>
      <c r="G7479" s="3">
        <v>396</v>
      </c>
      <c r="H7479" s="3">
        <v>68</v>
      </c>
      <c r="I7479" s="3">
        <v>114</v>
      </c>
      <c r="J7479" s="3">
        <v>96</v>
      </c>
      <c r="K7479" s="3">
        <v>392</v>
      </c>
      <c r="L7479" s="3">
        <v>1</v>
      </c>
      <c r="M7479" s="3">
        <v>114</v>
      </c>
    </row>
    <row r="7480" spans="1:13" x14ac:dyDescent="0.25">
      <c r="A7480" s="1" t="str">
        <f>HYPERLINK("http://www.rosaceae.org/Prunus/Prunus_persica/p.persica_gdr_reftransV1_0024279","p.persica_gdr_reftransV1_0024279")</f>
        <v>p.persica_gdr_reftransV1_0024279</v>
      </c>
      <c r="B7480" s="3">
        <v>3353</v>
      </c>
      <c r="C7480" s="1" t="str">
        <f>HYPERLINK("http://www.uniprot.org/uniprot/VPS18_DANRE","VPS18_DANRE")</f>
        <v>VPS18_DANRE</v>
      </c>
      <c r="D7480" t="s">
        <v>5950</v>
      </c>
      <c r="E7480" s="3" t="s">
        <v>704</v>
      </c>
      <c r="F7480" s="4">
        <v>1.6700000000000001E-166</v>
      </c>
      <c r="G7480" s="3">
        <v>1350</v>
      </c>
      <c r="H7480" s="3">
        <v>34</v>
      </c>
      <c r="I7480" s="3">
        <v>1007</v>
      </c>
      <c r="J7480" s="3">
        <v>136</v>
      </c>
      <c r="K7480" s="3">
        <v>3057</v>
      </c>
      <c r="L7480" s="3">
        <v>33</v>
      </c>
      <c r="M7480" s="3">
        <v>973</v>
      </c>
    </row>
    <row r="7481" spans="1:13" x14ac:dyDescent="0.25">
      <c r="A7481" s="1" t="str">
        <f>HYPERLINK("http://www.rosaceae.org/Prunus/Prunus_persica/p.persica_gdr_reftransV1_0024629","p.persica_gdr_reftransV1_0024629")</f>
        <v>p.persica_gdr_reftransV1_0024629</v>
      </c>
      <c r="B7481" s="3">
        <v>1115</v>
      </c>
      <c r="C7481" s="1" t="str">
        <f>HYPERLINK("http://www.uniprot.org/uniprot/CP123_ARATH","CP123_ARATH")</f>
        <v>CP123_ARATH</v>
      </c>
      <c r="D7481" t="s">
        <v>4139</v>
      </c>
      <c r="E7481" s="3" t="s">
        <v>3</v>
      </c>
      <c r="F7481" s="4">
        <v>6.6100000000000003E-34</v>
      </c>
      <c r="G7481" s="3">
        <v>320</v>
      </c>
      <c r="H7481" s="3">
        <v>70</v>
      </c>
      <c r="I7481" s="3">
        <v>84</v>
      </c>
      <c r="J7481" s="3">
        <v>551</v>
      </c>
      <c r="K7481" s="3">
        <v>799</v>
      </c>
      <c r="L7481" s="3">
        <v>51</v>
      </c>
      <c r="M7481" s="3">
        <v>134</v>
      </c>
    </row>
    <row r="7482" spans="1:13" x14ac:dyDescent="0.25">
      <c r="A7482" s="1" t="str">
        <f>HYPERLINK("http://www.rosaceae.org/Prunus/Prunus_persica/p.persica_gdr_reftransV1_0024679","p.persica_gdr_reftransV1_0024679")</f>
        <v>p.persica_gdr_reftransV1_0024679</v>
      </c>
      <c r="B7482" s="3">
        <v>1883</v>
      </c>
      <c r="C7482" s="1" t="str">
        <f>HYPERLINK("http://www.uniprot.org/uniprot/HNRPQ_RAT","HNRPQ_RAT")</f>
        <v>HNRPQ_RAT</v>
      </c>
      <c r="D7482" t="s">
        <v>5951</v>
      </c>
      <c r="E7482" s="3" t="s">
        <v>161</v>
      </c>
      <c r="F7482" s="4">
        <v>8.5300000000000003E-46</v>
      </c>
      <c r="G7482" s="3">
        <v>442</v>
      </c>
      <c r="H7482" s="3">
        <v>33</v>
      </c>
      <c r="I7482" s="3">
        <v>266</v>
      </c>
      <c r="J7482" s="3">
        <v>539</v>
      </c>
      <c r="K7482" s="3">
        <v>1333</v>
      </c>
      <c r="L7482" s="3">
        <v>68</v>
      </c>
      <c r="M7482" s="3">
        <v>325</v>
      </c>
    </row>
    <row r="7483" spans="1:13" x14ac:dyDescent="0.25">
      <c r="A7483" s="1" t="str">
        <f>HYPERLINK("http://www.rosaceae.org/Prunus/Prunus_persica/p.persica_gdr_reftransV1_0024829","p.persica_gdr_reftransV1_0024829")</f>
        <v>p.persica_gdr_reftransV1_0024829</v>
      </c>
      <c r="B7483" s="3">
        <v>1915</v>
      </c>
      <c r="C7483" s="1" t="str">
        <f>HYPERLINK("http://www.uniprot.org/uniprot/LAG13_ARATH","LAG13_ARATH")</f>
        <v>LAG13_ARATH</v>
      </c>
      <c r="D7483" t="s">
        <v>5952</v>
      </c>
      <c r="E7483" s="3" t="s">
        <v>3</v>
      </c>
      <c r="F7483" s="4">
        <v>8.3700000000000002E-162</v>
      </c>
      <c r="G7483" s="3">
        <v>1218</v>
      </c>
      <c r="H7483" s="3">
        <v>75</v>
      </c>
      <c r="I7483" s="3">
        <v>297</v>
      </c>
      <c r="J7483" s="3">
        <v>283</v>
      </c>
      <c r="K7483" s="3">
        <v>1173</v>
      </c>
      <c r="L7483" s="3">
        <v>1</v>
      </c>
      <c r="M7483" s="3">
        <v>297</v>
      </c>
    </row>
    <row r="7484" spans="1:13" x14ac:dyDescent="0.25">
      <c r="A7484" s="1" t="str">
        <f>HYPERLINK("http://www.rosaceae.org/Prunus/Prunus_persica/p.persica_gdr_reftransV1_0024879","p.persica_gdr_reftransV1_0024879")</f>
        <v>p.persica_gdr_reftransV1_0024879</v>
      </c>
      <c r="B7484" s="3">
        <v>2414</v>
      </c>
      <c r="C7484" s="1" t="str">
        <f>HYPERLINK("http://www.uniprot.org/uniprot/TBL23_ARATH","TBL23_ARATH")</f>
        <v>TBL23_ARATH</v>
      </c>
      <c r="D7484" t="s">
        <v>5953</v>
      </c>
      <c r="E7484" s="3" t="s">
        <v>3</v>
      </c>
      <c r="F7484" s="4">
        <v>9.3799999999999995E-165</v>
      </c>
      <c r="G7484" s="3">
        <v>1265</v>
      </c>
      <c r="H7484" s="3">
        <v>61</v>
      </c>
      <c r="I7484" s="3">
        <v>373</v>
      </c>
      <c r="J7484" s="3">
        <v>678</v>
      </c>
      <c r="K7484" s="3">
        <v>1781</v>
      </c>
      <c r="L7484" s="3">
        <v>57</v>
      </c>
      <c r="M7484" s="3">
        <v>428</v>
      </c>
    </row>
    <row r="7485" spans="1:13" x14ac:dyDescent="0.25">
      <c r="A7485" s="1" t="str">
        <f>HYPERLINK("http://www.rosaceae.org/Prunus/Prunus_persica/p.persica_gdr_reftransV1_0024929","p.persica_gdr_reftransV1_0024929")</f>
        <v>p.persica_gdr_reftransV1_0024929</v>
      </c>
      <c r="B7485" s="3">
        <v>2385</v>
      </c>
      <c r="C7485" s="1" t="str">
        <f>HYPERLINK("http://www.uniprot.org/uniprot/CAR4_ARATH","CAR4_ARATH")</f>
        <v>CAR4_ARATH</v>
      </c>
      <c r="D7485" t="s">
        <v>2424</v>
      </c>
      <c r="E7485" s="3" t="s">
        <v>3</v>
      </c>
      <c r="F7485" s="4">
        <v>6.3500000000000003E-43</v>
      </c>
      <c r="G7485" s="3">
        <v>400</v>
      </c>
      <c r="H7485" s="3">
        <v>70</v>
      </c>
      <c r="I7485" s="3">
        <v>108</v>
      </c>
      <c r="J7485" s="3">
        <v>1355</v>
      </c>
      <c r="K7485" s="3">
        <v>1678</v>
      </c>
      <c r="L7485" s="3">
        <v>75</v>
      </c>
      <c r="M7485" s="3">
        <v>177</v>
      </c>
    </row>
    <row r="7486" spans="1:13" x14ac:dyDescent="0.25">
      <c r="A7486" s="1" t="str">
        <f>HYPERLINK("http://www.rosaceae.org/Prunus/Prunus_persica/p.persica_gdr_reftransV1_0025229","p.persica_gdr_reftransV1_0025229")</f>
        <v>p.persica_gdr_reftransV1_0025229</v>
      </c>
      <c r="B7486" s="3">
        <v>2921</v>
      </c>
      <c r="C7486" s="1" t="str">
        <f>HYPERLINK("http://www.uniprot.org/uniprot/Y1839_ARATH","Y1839_ARATH")</f>
        <v>Y1839_ARATH</v>
      </c>
      <c r="D7486" t="s">
        <v>3075</v>
      </c>
      <c r="E7486" s="3" t="s">
        <v>3</v>
      </c>
      <c r="F7486" s="4">
        <v>1.85E-155</v>
      </c>
      <c r="G7486" s="3">
        <v>1237</v>
      </c>
      <c r="H7486" s="3">
        <v>44</v>
      </c>
      <c r="I7486" s="3">
        <v>649</v>
      </c>
      <c r="J7486" s="3">
        <v>63</v>
      </c>
      <c r="K7486" s="3">
        <v>1988</v>
      </c>
      <c r="L7486" s="3">
        <v>17</v>
      </c>
      <c r="M7486" s="3">
        <v>627</v>
      </c>
    </row>
    <row r="7487" spans="1:13" x14ac:dyDescent="0.25">
      <c r="A7487" s="1" t="str">
        <f>HYPERLINK("http://www.rosaceae.org/Prunus/Prunus_persica/p.persica_gdr_reftransV1_0025529","p.persica_gdr_reftransV1_0025529")</f>
        <v>p.persica_gdr_reftransV1_0025529</v>
      </c>
      <c r="B7487" s="3">
        <v>1300</v>
      </c>
      <c r="C7487" s="1" t="str">
        <f>HYPERLINK("http://www.uniprot.org/uniprot/TRL32_ARATH","TRL32_ARATH")</f>
        <v>TRL32_ARATH</v>
      </c>
      <c r="D7487" t="s">
        <v>5954</v>
      </c>
      <c r="E7487" s="3" t="s">
        <v>3</v>
      </c>
      <c r="F7487" s="4">
        <v>5.8200000000000004E-69</v>
      </c>
      <c r="G7487" s="3">
        <v>569</v>
      </c>
      <c r="H7487" s="3">
        <v>75</v>
      </c>
      <c r="I7487" s="3">
        <v>139</v>
      </c>
      <c r="J7487" s="3">
        <v>451</v>
      </c>
      <c r="K7487" s="3">
        <v>867</v>
      </c>
      <c r="L7487" s="3">
        <v>54</v>
      </c>
      <c r="M7487" s="3">
        <v>192</v>
      </c>
    </row>
    <row r="7488" spans="1:13" x14ac:dyDescent="0.25">
      <c r="A7488" s="1" t="str">
        <f>HYPERLINK("http://www.rosaceae.org/Prunus/Prunus_persica/p.persica_gdr_reftransV1_0025629","p.persica_gdr_reftransV1_0025629")</f>
        <v>p.persica_gdr_reftransV1_0025629</v>
      </c>
      <c r="B7488" s="3">
        <v>881</v>
      </c>
      <c r="C7488" s="1" t="str">
        <f>HYPERLINK("http://www.uniprot.org/uniprot/YSL7_ARATH","YSL7_ARATH")</f>
        <v>YSL7_ARATH</v>
      </c>
      <c r="D7488" t="s">
        <v>5955</v>
      </c>
      <c r="E7488" s="3" t="s">
        <v>3</v>
      </c>
      <c r="F7488" s="4">
        <v>1.15E-86</v>
      </c>
      <c r="G7488" s="3">
        <v>714</v>
      </c>
      <c r="H7488" s="3">
        <v>61</v>
      </c>
      <c r="I7488" s="3">
        <v>229</v>
      </c>
      <c r="J7488" s="3">
        <v>1</v>
      </c>
      <c r="K7488" s="3">
        <v>681</v>
      </c>
      <c r="L7488" s="3">
        <v>1</v>
      </c>
      <c r="M7488" s="3">
        <v>227</v>
      </c>
    </row>
    <row r="7489" spans="1:13" x14ac:dyDescent="0.25">
      <c r="A7489" s="1" t="str">
        <f>HYPERLINK("http://www.rosaceae.org/Prunus/Prunus_persica/p.persica_gdr_reftransV1_0026379","p.persica_gdr_reftransV1_0026379")</f>
        <v>p.persica_gdr_reftransV1_0026379</v>
      </c>
      <c r="B7489" s="3">
        <v>1904</v>
      </c>
      <c r="C7489" s="1" t="str">
        <f>HYPERLINK("http://www.uniprot.org/uniprot/UBCD6_DROME","UBCD6_DROME")</f>
        <v>UBCD6_DROME</v>
      </c>
      <c r="D7489" t="s">
        <v>5956</v>
      </c>
      <c r="E7489" s="3" t="s">
        <v>5</v>
      </c>
      <c r="F7489" s="4">
        <v>2.4400000000000001E-19</v>
      </c>
      <c r="G7489" s="3">
        <v>223</v>
      </c>
      <c r="H7489" s="3">
        <v>57</v>
      </c>
      <c r="I7489" s="3">
        <v>69</v>
      </c>
      <c r="J7489" s="3">
        <v>1080</v>
      </c>
      <c r="K7489" s="3">
        <v>1286</v>
      </c>
      <c r="L7489" s="3">
        <v>81</v>
      </c>
      <c r="M7489" s="3">
        <v>149</v>
      </c>
    </row>
    <row r="7490" spans="1:13" x14ac:dyDescent="0.25">
      <c r="A7490" s="1" t="str">
        <f>HYPERLINK("http://www.rosaceae.org/Prunus/Prunus_persica/p.persica_gdr_reftransV1_0026529","p.persica_gdr_reftransV1_0026529")</f>
        <v>p.persica_gdr_reftransV1_0026529</v>
      </c>
      <c r="B7490" s="3">
        <v>549</v>
      </c>
      <c r="C7490" s="1" t="str">
        <f>HYPERLINK("http://www.uniprot.org/uniprot/Y1571_ARATH","Y1571_ARATH")</f>
        <v>Y1571_ARATH</v>
      </c>
      <c r="D7490" t="s">
        <v>2449</v>
      </c>
      <c r="E7490" s="3" t="s">
        <v>3</v>
      </c>
      <c r="F7490" s="4">
        <v>2.1200000000000001E-42</v>
      </c>
      <c r="G7490" s="3">
        <v>396</v>
      </c>
      <c r="H7490" s="3">
        <v>50</v>
      </c>
      <c r="I7490" s="3">
        <v>160</v>
      </c>
      <c r="J7490" s="3">
        <v>5</v>
      </c>
      <c r="K7490" s="3">
        <v>481</v>
      </c>
      <c r="L7490" s="3">
        <v>29</v>
      </c>
      <c r="M7490" s="3">
        <v>186</v>
      </c>
    </row>
    <row r="7491" spans="1:13" x14ac:dyDescent="0.25">
      <c r="A7491" s="1" t="str">
        <f>HYPERLINK("http://www.rosaceae.org/Prunus/Prunus_persica/p.persica_gdr_reftransV1_0026629","p.persica_gdr_reftransV1_0026629")</f>
        <v>p.persica_gdr_reftransV1_0026629</v>
      </c>
      <c r="B7491" s="3">
        <v>717</v>
      </c>
      <c r="C7491" s="1" t="str">
        <f>HYPERLINK("http://www.uniprot.org/uniprot/Y2289_ARATH","Y2289_ARATH")</f>
        <v>Y2289_ARATH</v>
      </c>
      <c r="D7491" t="s">
        <v>5957</v>
      </c>
      <c r="E7491" s="3" t="s">
        <v>3</v>
      </c>
      <c r="F7491" s="4">
        <v>2.32E-31</v>
      </c>
      <c r="G7491" s="3">
        <v>317</v>
      </c>
      <c r="H7491" s="3">
        <v>52</v>
      </c>
      <c r="I7491" s="3">
        <v>130</v>
      </c>
      <c r="J7491" s="3">
        <v>1</v>
      </c>
      <c r="K7491" s="3">
        <v>384</v>
      </c>
      <c r="L7491" s="3">
        <v>742</v>
      </c>
      <c r="M7491" s="3">
        <v>867</v>
      </c>
    </row>
    <row r="7492" spans="1:13" x14ac:dyDescent="0.25">
      <c r="A7492" s="1" t="str">
        <f>HYPERLINK("http://www.rosaceae.org/Prunus/Prunus_persica/p.persica_gdr_reftransV1_0026679","p.persica_gdr_reftransV1_0026679")</f>
        <v>p.persica_gdr_reftransV1_0026679</v>
      </c>
      <c r="B7492" s="3">
        <v>2938</v>
      </c>
      <c r="C7492" s="1" t="str">
        <f>HYPERLINK("http://www.uniprot.org/uniprot/PGLR_VITVI","PGLR_VITVI")</f>
        <v>PGLR_VITVI</v>
      </c>
      <c r="D7492" t="s">
        <v>2366</v>
      </c>
      <c r="E7492" s="3" t="s">
        <v>362</v>
      </c>
      <c r="F7492" s="4">
        <v>3.1499999999999999E-61</v>
      </c>
      <c r="G7492" s="3">
        <v>563</v>
      </c>
      <c r="H7492" s="3">
        <v>57</v>
      </c>
      <c r="I7492" s="3">
        <v>178</v>
      </c>
      <c r="J7492" s="3">
        <v>1611</v>
      </c>
      <c r="K7492" s="3">
        <v>2144</v>
      </c>
      <c r="L7492" s="3">
        <v>56</v>
      </c>
      <c r="M7492" s="3">
        <v>233</v>
      </c>
    </row>
    <row r="7493" spans="1:13" x14ac:dyDescent="0.25">
      <c r="A7493" s="1" t="str">
        <f>HYPERLINK("http://www.rosaceae.org/Prunus/Prunus_persica/p.persica_gdr_reftransV1_0026729","p.persica_gdr_reftransV1_0026729")</f>
        <v>p.persica_gdr_reftransV1_0026729</v>
      </c>
      <c r="B7493" s="3">
        <v>1498</v>
      </c>
      <c r="C7493" s="1" t="str">
        <f>HYPERLINK("http://www.uniprot.org/uniprot/GLYR2_ARATH","GLYR2_ARATH")</f>
        <v>GLYR2_ARATH</v>
      </c>
      <c r="D7493" t="s">
        <v>5958</v>
      </c>
      <c r="E7493" s="3" t="s">
        <v>3</v>
      </c>
      <c r="F7493" s="4">
        <v>8.5500000000000006E-136</v>
      </c>
      <c r="G7493" s="3">
        <v>804</v>
      </c>
      <c r="H7493" s="3">
        <v>72</v>
      </c>
      <c r="I7493" s="3">
        <v>225</v>
      </c>
      <c r="J7493" s="3">
        <v>201</v>
      </c>
      <c r="K7493" s="3">
        <v>866</v>
      </c>
      <c r="L7493" s="3">
        <v>20</v>
      </c>
      <c r="M7493" s="3">
        <v>244</v>
      </c>
    </row>
    <row r="7494" spans="1:13" x14ac:dyDescent="0.25">
      <c r="A7494" s="1" t="str">
        <f>HYPERLINK("http://www.rosaceae.org/Prunus/Prunus_persica/p.persica_gdr_reftransV1_0026879","p.persica_gdr_reftransV1_0026879")</f>
        <v>p.persica_gdr_reftransV1_0026879</v>
      </c>
      <c r="B7494" s="3">
        <v>2286</v>
      </c>
      <c r="C7494" s="1" t="str">
        <f>HYPERLINK("http://www.uniprot.org/uniprot/CDF2_ARATH","CDF2_ARATH")</f>
        <v>CDF2_ARATH</v>
      </c>
      <c r="D7494" t="s">
        <v>5959</v>
      </c>
      <c r="E7494" s="3" t="s">
        <v>3</v>
      </c>
      <c r="F7494" s="4">
        <v>1.9E-94</v>
      </c>
      <c r="G7494" s="3">
        <v>789</v>
      </c>
      <c r="H7494" s="3">
        <v>45</v>
      </c>
      <c r="I7494" s="3">
        <v>440</v>
      </c>
      <c r="J7494" s="3">
        <v>448</v>
      </c>
      <c r="K7494" s="3">
        <v>1722</v>
      </c>
      <c r="L7494" s="3">
        <v>75</v>
      </c>
      <c r="M7494" s="3">
        <v>455</v>
      </c>
    </row>
    <row r="7495" spans="1:13" x14ac:dyDescent="0.25">
      <c r="A7495" s="1" t="str">
        <f>HYPERLINK("http://www.rosaceae.org/Prunus/Prunus_persica/p.persica_gdr_reftransV1_0027129","p.persica_gdr_reftransV1_0027129")</f>
        <v>p.persica_gdr_reftransV1_0027129</v>
      </c>
      <c r="B7495" s="3">
        <v>871</v>
      </c>
      <c r="C7495" s="1" t="str">
        <f>HYPERLINK("http://www.uniprot.org/uniprot/NAC8_ARATH","NAC8_ARATH")</f>
        <v>NAC8_ARATH</v>
      </c>
      <c r="D7495" t="s">
        <v>1917</v>
      </c>
      <c r="E7495" s="3" t="s">
        <v>3</v>
      </c>
      <c r="F7495" s="4">
        <v>7.8599999999999995E-30</v>
      </c>
      <c r="G7495" s="3">
        <v>303</v>
      </c>
      <c r="H7495" s="3">
        <v>50</v>
      </c>
      <c r="I7495" s="3">
        <v>175</v>
      </c>
      <c r="J7495" s="3">
        <v>365</v>
      </c>
      <c r="K7495" s="3">
        <v>850</v>
      </c>
      <c r="L7495" s="3">
        <v>287</v>
      </c>
      <c r="M7495" s="3">
        <v>449</v>
      </c>
    </row>
    <row r="7496" spans="1:13" x14ac:dyDescent="0.25">
      <c r="A7496" s="1" t="str">
        <f>HYPERLINK("http://www.rosaceae.org/Prunus/Prunus_persica/p.persica_gdr_reftransV1_0027179","p.persica_gdr_reftransV1_0027179")</f>
        <v>p.persica_gdr_reftransV1_0027179</v>
      </c>
      <c r="B7496" s="3">
        <v>580</v>
      </c>
      <c r="C7496" s="1" t="str">
        <f>HYPERLINK("http://www.uniprot.org/uniprot/HST_TOBAC","HST_TOBAC")</f>
        <v>HST_TOBAC</v>
      </c>
      <c r="D7496" t="s">
        <v>3020</v>
      </c>
      <c r="E7496" s="3" t="s">
        <v>200</v>
      </c>
      <c r="F7496" s="4">
        <v>7.5099999999999998E-53</v>
      </c>
      <c r="G7496" s="3">
        <v>457</v>
      </c>
      <c r="H7496" s="3">
        <v>59</v>
      </c>
      <c r="I7496" s="3">
        <v>153</v>
      </c>
      <c r="J7496" s="3">
        <v>1</v>
      </c>
      <c r="K7496" s="3">
        <v>456</v>
      </c>
      <c r="L7496" s="3">
        <v>283</v>
      </c>
      <c r="M7496" s="3">
        <v>434</v>
      </c>
    </row>
    <row r="7497" spans="1:13" x14ac:dyDescent="0.25">
      <c r="A7497" s="1" t="str">
        <f>HYPERLINK("http://www.rosaceae.org/Prunus/Prunus_persica/p.persica_gdr_reftransV1_0027779","p.persica_gdr_reftransV1_0027779")</f>
        <v>p.persica_gdr_reftransV1_0027779</v>
      </c>
      <c r="B7497" s="3">
        <v>2404</v>
      </c>
      <c r="C7497" s="1" t="str">
        <f>HYPERLINK("http://www.uniprot.org/uniprot/Y5457_ARATH","Y5457_ARATH")</f>
        <v>Y5457_ARATH</v>
      </c>
      <c r="D7497" t="s">
        <v>5592</v>
      </c>
      <c r="E7497" s="3" t="s">
        <v>3</v>
      </c>
      <c r="F7497" s="4">
        <v>0</v>
      </c>
      <c r="G7497" s="3">
        <v>1684</v>
      </c>
      <c r="H7497" s="3">
        <v>72</v>
      </c>
      <c r="I7497" s="3">
        <v>474</v>
      </c>
      <c r="J7497" s="3">
        <v>113</v>
      </c>
      <c r="K7497" s="3">
        <v>1531</v>
      </c>
      <c r="L7497" s="3">
        <v>154</v>
      </c>
      <c r="M7497" s="3">
        <v>614</v>
      </c>
    </row>
    <row r="7498" spans="1:13" x14ac:dyDescent="0.25">
      <c r="A7498" s="1" t="str">
        <f>HYPERLINK("http://www.rosaceae.org/Prunus/Prunus_persica/p.persica_gdr_reftransV1_0027879","p.persica_gdr_reftransV1_0027879")</f>
        <v>p.persica_gdr_reftransV1_0027879</v>
      </c>
      <c r="B7498" s="3">
        <v>1953</v>
      </c>
      <c r="C7498" s="1" t="str">
        <f>HYPERLINK("http://www.uniprot.org/uniprot/LOR7_ARATH","LOR7_ARATH")</f>
        <v>LOR7_ARATH</v>
      </c>
      <c r="D7498" t="s">
        <v>5960</v>
      </c>
      <c r="E7498" s="3" t="s">
        <v>3</v>
      </c>
      <c r="F7498" s="4">
        <v>3.4699999999999998E-45</v>
      </c>
      <c r="G7498" s="3">
        <v>413</v>
      </c>
      <c r="H7498" s="3">
        <v>48</v>
      </c>
      <c r="I7498" s="3">
        <v>188</v>
      </c>
      <c r="J7498" s="3">
        <v>257</v>
      </c>
      <c r="K7498" s="3">
        <v>820</v>
      </c>
      <c r="L7498" s="3">
        <v>1</v>
      </c>
      <c r="M7498" s="3">
        <v>180</v>
      </c>
    </row>
    <row r="7499" spans="1:13" x14ac:dyDescent="0.25">
      <c r="A7499" s="1" t="str">
        <f>HYPERLINK("http://www.rosaceae.org/Prunus/Prunus_persica/p.persica_gdr_reftransV1_0028179","p.persica_gdr_reftransV1_0028179")</f>
        <v>p.persica_gdr_reftransV1_0028179</v>
      </c>
      <c r="B7499" s="3">
        <v>912</v>
      </c>
      <c r="C7499" s="1" t="str">
        <f>HYPERLINK("http://www.uniprot.org/uniprot/Y2296_ARATH","Y2296_ARATH")</f>
        <v>Y2296_ARATH</v>
      </c>
      <c r="D7499" t="s">
        <v>5961</v>
      </c>
      <c r="E7499" s="3" t="s">
        <v>3</v>
      </c>
      <c r="F7499" s="4">
        <v>2.96E-39</v>
      </c>
      <c r="G7499" s="3">
        <v>375</v>
      </c>
      <c r="H7499" s="3">
        <v>78</v>
      </c>
      <c r="I7499" s="3">
        <v>103</v>
      </c>
      <c r="J7499" s="3">
        <v>1</v>
      </c>
      <c r="K7499" s="3">
        <v>309</v>
      </c>
      <c r="L7499" s="3">
        <v>364</v>
      </c>
      <c r="M7499" s="3">
        <v>466</v>
      </c>
    </row>
    <row r="7500" spans="1:13" x14ac:dyDescent="0.25">
      <c r="A7500" s="1" t="str">
        <f>HYPERLINK("http://www.rosaceae.org/Prunus/Prunus_persica/p.persica_gdr_reftransV1_0028629","p.persica_gdr_reftransV1_0028629")</f>
        <v>p.persica_gdr_reftransV1_0028629</v>
      </c>
      <c r="B7500" s="3">
        <v>1195</v>
      </c>
      <c r="C7500" s="1" t="str">
        <f>HYPERLINK("http://www.uniprot.org/uniprot/PPOX2_ARATH","PPOX2_ARATH")</f>
        <v>PPOX2_ARATH</v>
      </c>
      <c r="D7500" t="s">
        <v>5962</v>
      </c>
      <c r="E7500" s="3" t="s">
        <v>3</v>
      </c>
      <c r="F7500" s="4">
        <v>4.9899999999999999E-73</v>
      </c>
      <c r="G7500" s="3">
        <v>565</v>
      </c>
      <c r="H7500" s="3">
        <v>64</v>
      </c>
      <c r="I7500" s="3">
        <v>154</v>
      </c>
      <c r="J7500" s="3">
        <v>546</v>
      </c>
      <c r="K7500" s="3">
        <v>1007</v>
      </c>
      <c r="L7500" s="3">
        <v>45</v>
      </c>
      <c r="M7500" s="3">
        <v>198</v>
      </c>
    </row>
    <row r="7501" spans="1:13" x14ac:dyDescent="0.25">
      <c r="A7501" s="1" t="str">
        <f>HYPERLINK("http://www.rosaceae.org/Prunus/Prunus_persica/p.persica_gdr_reftransV1_0028679","p.persica_gdr_reftransV1_0028679")</f>
        <v>p.persica_gdr_reftransV1_0028679</v>
      </c>
      <c r="B7501" s="3">
        <v>2065</v>
      </c>
      <c r="C7501" s="1" t="str">
        <f>HYPERLINK("http://www.uniprot.org/uniprot/Y1864_ARATH","Y1864_ARATH")</f>
        <v>Y1864_ARATH</v>
      </c>
      <c r="D7501" t="s">
        <v>5963</v>
      </c>
      <c r="E7501" s="3" t="s">
        <v>3</v>
      </c>
      <c r="F7501" s="4">
        <v>4.14E-155</v>
      </c>
      <c r="G7501" s="3">
        <v>1190</v>
      </c>
      <c r="H7501" s="3">
        <v>54</v>
      </c>
      <c r="I7501" s="3">
        <v>441</v>
      </c>
      <c r="J7501" s="3">
        <v>359</v>
      </c>
      <c r="K7501" s="3">
        <v>1678</v>
      </c>
      <c r="L7501" s="3">
        <v>1</v>
      </c>
      <c r="M7501" s="3">
        <v>426</v>
      </c>
    </row>
    <row r="7502" spans="1:13" x14ac:dyDescent="0.25">
      <c r="A7502" s="1" t="str">
        <f>HYPERLINK("http://www.rosaceae.org/Prunus/Prunus_persica/p.persica_gdr_reftransV1_0028829","p.persica_gdr_reftransV1_0028829")</f>
        <v>p.persica_gdr_reftransV1_0028829</v>
      </c>
      <c r="B7502" s="3">
        <v>1355</v>
      </c>
      <c r="C7502" s="1" t="str">
        <f>HYPERLINK("http://www.uniprot.org/uniprot/CB4A_SOLLC","CB4A_SOLLC")</f>
        <v>CB4A_SOLLC</v>
      </c>
      <c r="D7502" t="s">
        <v>5964</v>
      </c>
      <c r="E7502" s="3" t="s">
        <v>64</v>
      </c>
      <c r="F7502" s="4">
        <v>9.9899999999999998E-114</v>
      </c>
      <c r="G7502" s="3">
        <v>876</v>
      </c>
      <c r="H7502" s="3">
        <v>88</v>
      </c>
      <c r="I7502" s="3">
        <v>182</v>
      </c>
      <c r="J7502" s="3">
        <v>640</v>
      </c>
      <c r="K7502" s="3">
        <v>1185</v>
      </c>
      <c r="L7502" s="3">
        <v>75</v>
      </c>
      <c r="M7502" s="3">
        <v>256</v>
      </c>
    </row>
    <row r="7503" spans="1:13" x14ac:dyDescent="0.25">
      <c r="A7503" s="1" t="str">
        <f>HYPERLINK("http://www.rosaceae.org/Prunus/Prunus_persica/p.persica_gdr_reftransV1_0028879","p.persica_gdr_reftransV1_0028879")</f>
        <v>p.persica_gdr_reftransV1_0028879</v>
      </c>
      <c r="B7503" s="3">
        <v>2099</v>
      </c>
      <c r="C7503" s="1" t="str">
        <f>HYPERLINK("http://www.uniprot.org/uniprot/RH22_ARATH","RH22_ARATH")</f>
        <v>RH22_ARATH</v>
      </c>
      <c r="D7503" t="s">
        <v>5965</v>
      </c>
      <c r="E7503" s="3" t="s">
        <v>3</v>
      </c>
      <c r="F7503" s="4">
        <v>0</v>
      </c>
      <c r="G7503" s="3">
        <v>1595</v>
      </c>
      <c r="H7503" s="3">
        <v>57</v>
      </c>
      <c r="I7503" s="3">
        <v>577</v>
      </c>
      <c r="J7503" s="3">
        <v>175</v>
      </c>
      <c r="K7503" s="3">
        <v>1845</v>
      </c>
      <c r="L7503" s="3">
        <v>1</v>
      </c>
      <c r="M7503" s="3">
        <v>569</v>
      </c>
    </row>
    <row r="7504" spans="1:13" x14ac:dyDescent="0.25">
      <c r="A7504" s="1" t="str">
        <f>HYPERLINK("http://www.rosaceae.org/Prunus/Prunus_persica/p.persica_gdr_reftransV1_0029229","p.persica_gdr_reftransV1_0029229")</f>
        <v>p.persica_gdr_reftransV1_0029229</v>
      </c>
      <c r="B7504" s="3">
        <v>2598</v>
      </c>
      <c r="C7504" s="1" t="str">
        <f>HYPERLINK("http://www.uniprot.org/uniprot/VP321_ARATH","VP321_ARATH")</f>
        <v>VP321_ARATH</v>
      </c>
      <c r="D7504" t="s">
        <v>2682</v>
      </c>
      <c r="E7504" s="3" t="s">
        <v>3</v>
      </c>
      <c r="F7504" s="4">
        <v>8.7600000000000004E-50</v>
      </c>
      <c r="G7504" s="3">
        <v>454</v>
      </c>
      <c r="H7504" s="3">
        <v>97</v>
      </c>
      <c r="I7504" s="3">
        <v>89</v>
      </c>
      <c r="J7504" s="3">
        <v>1421</v>
      </c>
      <c r="K7504" s="3">
        <v>1687</v>
      </c>
      <c r="L7504" s="3">
        <v>61</v>
      </c>
      <c r="M7504" s="3">
        <v>149</v>
      </c>
    </row>
    <row r="7505" spans="1:13" x14ac:dyDescent="0.25">
      <c r="A7505" s="1" t="str">
        <f>HYPERLINK("http://www.rosaceae.org/Prunus/Prunus_persica/p.persica_gdr_reftransV1_0029529","p.persica_gdr_reftransV1_0029529")</f>
        <v>p.persica_gdr_reftransV1_0029529</v>
      </c>
      <c r="B7505" s="3">
        <v>4097</v>
      </c>
      <c r="C7505" s="1" t="str">
        <f>HYPERLINK("http://www.uniprot.org/uniprot/DEGP7_ARATH","DEGP7_ARATH")</f>
        <v>DEGP7_ARATH</v>
      </c>
      <c r="D7505" t="s">
        <v>5966</v>
      </c>
      <c r="E7505" s="3" t="s">
        <v>3</v>
      </c>
      <c r="F7505" s="4">
        <v>0</v>
      </c>
      <c r="G7505" s="3">
        <v>2087</v>
      </c>
      <c r="H7505" s="3">
        <v>70</v>
      </c>
      <c r="I7505" s="3">
        <v>610</v>
      </c>
      <c r="J7505" s="3">
        <v>858</v>
      </c>
      <c r="K7505" s="3">
        <v>2687</v>
      </c>
      <c r="L7505" s="3">
        <v>209</v>
      </c>
      <c r="M7505" s="3">
        <v>806</v>
      </c>
    </row>
    <row r="7506" spans="1:13" x14ac:dyDescent="0.25">
      <c r="A7506" s="1" t="str">
        <f>HYPERLINK("http://www.rosaceae.org/Prunus/Prunus_persica/p.persica_gdr_reftransV1_0029829","p.persica_gdr_reftransV1_0029829")</f>
        <v>p.persica_gdr_reftransV1_0029829</v>
      </c>
      <c r="B7506" s="3">
        <v>899</v>
      </c>
      <c r="C7506" s="1" t="str">
        <f>HYPERLINK("http://www.uniprot.org/uniprot/CML1_ARATH","CML1_ARATH")</f>
        <v>CML1_ARATH</v>
      </c>
      <c r="D7506" t="s">
        <v>5967</v>
      </c>
      <c r="E7506" s="3" t="s">
        <v>3</v>
      </c>
      <c r="F7506" s="4">
        <v>6.7500000000000004E-68</v>
      </c>
      <c r="G7506" s="3">
        <v>550</v>
      </c>
      <c r="H7506" s="3">
        <v>63</v>
      </c>
      <c r="I7506" s="3">
        <v>184</v>
      </c>
      <c r="J7506" s="3">
        <v>145</v>
      </c>
      <c r="K7506" s="3">
        <v>681</v>
      </c>
      <c r="L7506" s="3">
        <v>1</v>
      </c>
      <c r="M7506" s="3">
        <v>183</v>
      </c>
    </row>
    <row r="7507" spans="1:13" x14ac:dyDescent="0.25">
      <c r="A7507" s="1" t="str">
        <f>HYPERLINK("http://www.rosaceae.org/Prunus/Prunus_persica/p.persica_gdr_reftransV1_0030729","p.persica_gdr_reftransV1_0030729")</f>
        <v>p.persica_gdr_reftransV1_0030729</v>
      </c>
      <c r="B7507" s="3">
        <v>2208</v>
      </c>
      <c r="C7507" s="1" t="str">
        <f>HYPERLINK("http://www.uniprot.org/uniprot/PUR9_BACC3","PUR9_BACC3")</f>
        <v>PUR9_BACC3</v>
      </c>
      <c r="D7507" t="s">
        <v>5968</v>
      </c>
      <c r="E7507" s="3" t="s">
        <v>5969</v>
      </c>
      <c r="F7507" s="4">
        <v>2.1400000000000001E-162</v>
      </c>
      <c r="G7507" s="3">
        <v>1251</v>
      </c>
      <c r="H7507" s="3">
        <v>48</v>
      </c>
      <c r="I7507" s="3">
        <v>525</v>
      </c>
      <c r="J7507" s="3">
        <v>270</v>
      </c>
      <c r="K7507" s="3">
        <v>1835</v>
      </c>
      <c r="L7507" s="3">
        <v>5</v>
      </c>
      <c r="M7507" s="3">
        <v>511</v>
      </c>
    </row>
    <row r="7508" spans="1:13" x14ac:dyDescent="0.25">
      <c r="A7508" s="1" t="str">
        <f>HYPERLINK("http://www.rosaceae.org/Prunus/Prunus_persica/p.persica_gdr_reftransV1_0031279","p.persica_gdr_reftransV1_0031279")</f>
        <v>p.persica_gdr_reftransV1_0031279</v>
      </c>
      <c r="B7508" s="3">
        <v>1713</v>
      </c>
      <c r="C7508" s="1" t="str">
        <f>HYPERLINK("http://www.uniprot.org/uniprot/POL_SIVVG","POL_SIVVG")</f>
        <v>POL_SIVVG</v>
      </c>
      <c r="D7508" t="s">
        <v>5970</v>
      </c>
      <c r="E7508" s="3" t="s">
        <v>5971</v>
      </c>
      <c r="F7508" s="4">
        <v>9.8599999999999996E-8</v>
      </c>
      <c r="G7508" s="3">
        <v>141</v>
      </c>
      <c r="H7508" s="3">
        <v>53</v>
      </c>
      <c r="I7508" s="3">
        <v>47</v>
      </c>
      <c r="J7508" s="3">
        <v>1318</v>
      </c>
      <c r="K7508" s="3">
        <v>1458</v>
      </c>
      <c r="L7508" s="3">
        <v>403</v>
      </c>
      <c r="M7508" s="3">
        <v>448</v>
      </c>
    </row>
    <row r="7509" spans="1:13" x14ac:dyDescent="0.25">
      <c r="A7509" s="1" t="str">
        <f>HYPERLINK("http://www.rosaceae.org/Prunus/Prunus_persica/p.persica_gdr_reftransV1_0031479","p.persica_gdr_reftransV1_0031479")</f>
        <v>p.persica_gdr_reftransV1_0031479</v>
      </c>
      <c r="B7509" s="3">
        <v>1340</v>
      </c>
      <c r="C7509" s="1" t="str">
        <f>HYPERLINK("http://www.uniprot.org/uniprot/GLUBP_ARATH","GLUBP_ARATH")</f>
        <v>GLUBP_ARATH</v>
      </c>
      <c r="D7509" t="s">
        <v>5972</v>
      </c>
      <c r="E7509" s="3" t="s">
        <v>3</v>
      </c>
      <c r="F7509" s="4">
        <v>1.1000000000000001E-126</v>
      </c>
      <c r="G7509" s="3">
        <v>967</v>
      </c>
      <c r="H7509" s="3">
        <v>62</v>
      </c>
      <c r="I7509" s="3">
        <v>314</v>
      </c>
      <c r="J7509" s="3">
        <v>228</v>
      </c>
      <c r="K7509" s="3">
        <v>1169</v>
      </c>
      <c r="L7509" s="3">
        <v>1</v>
      </c>
      <c r="M7509" s="3">
        <v>305</v>
      </c>
    </row>
    <row r="7510" spans="1:13" x14ac:dyDescent="0.25">
      <c r="A7510" s="1" t="str">
        <f>HYPERLINK("http://www.rosaceae.org/Prunus/Prunus_persica/p.persica_gdr_reftransV1_0031829","p.persica_gdr_reftransV1_0031829")</f>
        <v>p.persica_gdr_reftransV1_0031829</v>
      </c>
      <c r="B7510" s="3">
        <v>1315</v>
      </c>
      <c r="C7510" s="1" t="str">
        <f>HYPERLINK("http://www.uniprot.org/uniprot/ELMOA_DICDI","ELMOA_DICDI")</f>
        <v>ELMOA_DICDI</v>
      </c>
      <c r="D7510" t="s">
        <v>4111</v>
      </c>
      <c r="E7510" s="3" t="s">
        <v>9</v>
      </c>
      <c r="F7510" s="4">
        <v>1.2299999999999999E-28</v>
      </c>
      <c r="G7510" s="3">
        <v>308</v>
      </c>
      <c r="H7510" s="3">
        <v>34</v>
      </c>
      <c r="I7510" s="3">
        <v>196</v>
      </c>
      <c r="J7510" s="3">
        <v>219</v>
      </c>
      <c r="K7510" s="3">
        <v>749</v>
      </c>
      <c r="L7510" s="3">
        <v>362</v>
      </c>
      <c r="M7510" s="3">
        <v>555</v>
      </c>
    </row>
    <row r="7511" spans="1:13" x14ac:dyDescent="0.25">
      <c r="A7511" s="1" t="str">
        <f>HYPERLINK("http://www.rosaceae.org/Prunus/Prunus_persica/p.persica_gdr_reftransV1_0032129","p.persica_gdr_reftransV1_0032129")</f>
        <v>p.persica_gdr_reftransV1_0032129</v>
      </c>
      <c r="B7511" s="3">
        <v>3127</v>
      </c>
      <c r="C7511" s="1" t="str">
        <f>HYPERLINK("http://www.uniprot.org/uniprot/SWI3C_ARATH","SWI3C_ARATH")</f>
        <v>SWI3C_ARATH</v>
      </c>
      <c r="D7511" t="s">
        <v>5973</v>
      </c>
      <c r="E7511" s="3" t="s">
        <v>3</v>
      </c>
      <c r="F7511" s="4">
        <v>0</v>
      </c>
      <c r="G7511" s="3">
        <v>1894</v>
      </c>
      <c r="H7511" s="3">
        <v>56</v>
      </c>
      <c r="I7511" s="3">
        <v>762</v>
      </c>
      <c r="J7511" s="3">
        <v>559</v>
      </c>
      <c r="K7511" s="3">
        <v>2739</v>
      </c>
      <c r="L7511" s="3">
        <v>61</v>
      </c>
      <c r="M7511" s="3">
        <v>793</v>
      </c>
    </row>
    <row r="7512" spans="1:13" x14ac:dyDescent="0.25">
      <c r="A7512" s="1" t="str">
        <f>HYPERLINK("http://www.rosaceae.org/Prunus/Prunus_persica/p.persica_gdr_reftransV1_0032229","p.persica_gdr_reftransV1_0032229")</f>
        <v>p.persica_gdr_reftransV1_0032229</v>
      </c>
      <c r="B7512" s="3">
        <v>1613</v>
      </c>
      <c r="C7512" s="1" t="str">
        <f>HYPERLINK("http://www.uniprot.org/uniprot/DHR12_BOVIN","DHR12_BOVIN")</f>
        <v>DHR12_BOVIN</v>
      </c>
      <c r="D7512" t="s">
        <v>5974</v>
      </c>
      <c r="E7512" s="3" t="s">
        <v>184</v>
      </c>
      <c r="F7512" s="4">
        <v>2.69E-76</v>
      </c>
      <c r="G7512" s="3">
        <v>638</v>
      </c>
      <c r="H7512" s="3">
        <v>44</v>
      </c>
      <c r="I7512" s="3">
        <v>301</v>
      </c>
      <c r="J7512" s="3">
        <v>566</v>
      </c>
      <c r="K7512" s="3">
        <v>1462</v>
      </c>
      <c r="L7512" s="3">
        <v>4</v>
      </c>
      <c r="M7512" s="3">
        <v>300</v>
      </c>
    </row>
    <row r="7513" spans="1:13" x14ac:dyDescent="0.25">
      <c r="A7513" s="1" t="str">
        <f>HYPERLINK("http://www.rosaceae.org/Prunus/Prunus_persica/p.persica_gdr_reftransV1_0032379","p.persica_gdr_reftransV1_0032379")</f>
        <v>p.persica_gdr_reftransV1_0032379</v>
      </c>
      <c r="B7513" s="3">
        <v>1799</v>
      </c>
      <c r="C7513" s="1" t="str">
        <f>HYPERLINK("http://www.uniprot.org/uniprot/PRS7_PRUPE","PRS7_PRUPE")</f>
        <v>PRS7_PRUPE</v>
      </c>
      <c r="D7513" t="s">
        <v>5975</v>
      </c>
      <c r="E7513" s="3" t="s">
        <v>784</v>
      </c>
      <c r="F7513" s="4">
        <v>0</v>
      </c>
      <c r="G7513" s="3">
        <v>2250</v>
      </c>
      <c r="H7513" s="3">
        <v>100</v>
      </c>
      <c r="I7513" s="3">
        <v>425</v>
      </c>
      <c r="J7513" s="3">
        <v>113</v>
      </c>
      <c r="K7513" s="3">
        <v>1387</v>
      </c>
      <c r="L7513" s="3">
        <v>1</v>
      </c>
      <c r="M7513" s="3">
        <v>425</v>
      </c>
    </row>
    <row r="7514" spans="1:13" x14ac:dyDescent="0.25">
      <c r="A7514" s="1" t="str">
        <f>HYPERLINK("http://www.rosaceae.org/Prunus/Prunus_persica/p.persica_gdr_reftransV1_0032529","p.persica_gdr_reftransV1_0032529")</f>
        <v>p.persica_gdr_reftransV1_0032529</v>
      </c>
      <c r="B7514" s="3">
        <v>3688</v>
      </c>
      <c r="C7514" s="1" t="str">
        <f>HYPERLINK("http://www.uniprot.org/uniprot/CYP38_ARATH","CYP38_ARATH")</f>
        <v>CYP38_ARATH</v>
      </c>
      <c r="D7514" t="s">
        <v>5976</v>
      </c>
      <c r="E7514" s="3" t="s">
        <v>3</v>
      </c>
      <c r="F7514" s="4">
        <v>0</v>
      </c>
      <c r="G7514" s="3">
        <v>1729</v>
      </c>
      <c r="H7514" s="3">
        <v>81</v>
      </c>
      <c r="I7514" s="3">
        <v>403</v>
      </c>
      <c r="J7514" s="3">
        <v>576</v>
      </c>
      <c r="K7514" s="3">
        <v>1781</v>
      </c>
      <c r="L7514" s="3">
        <v>46</v>
      </c>
      <c r="M7514" s="3">
        <v>437</v>
      </c>
    </row>
    <row r="7515" spans="1:13" x14ac:dyDescent="0.25">
      <c r="A7515" s="1" t="str">
        <f>HYPERLINK("http://www.rosaceae.org/Prunus/Prunus_persica/p.persica_gdr_reftransV1_0032729","p.persica_gdr_reftransV1_0032729")</f>
        <v>p.persica_gdr_reftransV1_0032729</v>
      </c>
      <c r="B7515" s="3">
        <v>1339</v>
      </c>
      <c r="C7515" s="1" t="str">
        <f>HYPERLINK("http://www.uniprot.org/uniprot/Y4102_ARATH","Y4102_ARATH")</f>
        <v>Y4102_ARATH</v>
      </c>
      <c r="D7515" t="s">
        <v>2385</v>
      </c>
      <c r="E7515" s="3" t="s">
        <v>3</v>
      </c>
      <c r="F7515" s="4">
        <v>3.7899999999999998E-10</v>
      </c>
      <c r="G7515" s="3">
        <v>160</v>
      </c>
      <c r="H7515" s="3">
        <v>26</v>
      </c>
      <c r="I7515" s="3">
        <v>196</v>
      </c>
      <c r="J7515" s="3">
        <v>290</v>
      </c>
      <c r="K7515" s="3">
        <v>868</v>
      </c>
      <c r="L7515" s="3">
        <v>1550</v>
      </c>
      <c r="M7515" s="3">
        <v>1738</v>
      </c>
    </row>
    <row r="7516" spans="1:13" x14ac:dyDescent="0.25">
      <c r="A7516" s="1" t="str">
        <f>HYPERLINK("http://www.rosaceae.org/Prunus/Prunus_persica/p.persica_gdr_reftransV1_0033029","p.persica_gdr_reftransV1_0033029")</f>
        <v>p.persica_gdr_reftransV1_0033029</v>
      </c>
      <c r="B7516" s="3">
        <v>2331</v>
      </c>
      <c r="C7516" s="1" t="str">
        <f>HYPERLINK("http://www.uniprot.org/uniprot/3Hid3_ARATH","3Hid3_ARATH")</f>
        <v>3Hid3_ARATH</v>
      </c>
      <c r="D7516" t="s">
        <v>5977</v>
      </c>
      <c r="E7516" s="3" t="s">
        <v>3</v>
      </c>
      <c r="F7516" s="4">
        <v>4.4500000000000004E-108</v>
      </c>
      <c r="G7516" s="3">
        <v>870</v>
      </c>
      <c r="H7516" s="3">
        <v>61</v>
      </c>
      <c r="I7516" s="3">
        <v>308</v>
      </c>
      <c r="J7516" s="3">
        <v>1210</v>
      </c>
      <c r="K7516" s="3">
        <v>2133</v>
      </c>
      <c r="L7516" s="3">
        <v>20</v>
      </c>
      <c r="M7516" s="3">
        <v>316</v>
      </c>
    </row>
    <row r="7517" spans="1:13" x14ac:dyDescent="0.25">
      <c r="A7517" s="1" t="str">
        <f>HYPERLINK("http://www.rosaceae.org/Prunus/Prunus_persica/p.persica_gdr_reftransV1_0033379","p.persica_gdr_reftransV1_0033379")</f>
        <v>p.persica_gdr_reftransV1_0033379</v>
      </c>
      <c r="B7517" s="3">
        <v>4079</v>
      </c>
      <c r="C7517" s="1" t="str">
        <f>HYPERLINK("http://www.uniprot.org/uniprot/CLPB1_SYNY3","CLPB1_SYNY3")</f>
        <v>CLPB1_SYNY3</v>
      </c>
      <c r="D7517" t="s">
        <v>5978</v>
      </c>
      <c r="E7517" s="3" t="s">
        <v>527</v>
      </c>
      <c r="F7517" s="4">
        <v>3.1899999999999999E-9</v>
      </c>
      <c r="G7517" s="3">
        <v>158</v>
      </c>
      <c r="H7517" s="3">
        <v>27</v>
      </c>
      <c r="I7517" s="3">
        <v>138</v>
      </c>
      <c r="J7517" s="3">
        <v>2728</v>
      </c>
      <c r="K7517" s="3">
        <v>3117</v>
      </c>
      <c r="L7517" s="3">
        <v>616</v>
      </c>
      <c r="M7517" s="3">
        <v>753</v>
      </c>
    </row>
    <row r="7518" spans="1:13" x14ac:dyDescent="0.25">
      <c r="A7518" s="1" t="str">
        <f>HYPERLINK("http://www.rosaceae.org/Prunus/Prunus_persica/p.persica_gdr_reftransV1_0033879","p.persica_gdr_reftransV1_0033879")</f>
        <v>p.persica_gdr_reftransV1_0033879</v>
      </c>
      <c r="B7518" s="3">
        <v>1547</v>
      </c>
      <c r="C7518" s="1" t="str">
        <f>HYPERLINK("http://www.uniprot.org/uniprot/IAA1_ORYSJ","IAA1_ORYSJ")</f>
        <v>IAA1_ORYSJ</v>
      </c>
      <c r="D7518" t="s">
        <v>5979</v>
      </c>
      <c r="E7518" s="3" t="s">
        <v>38</v>
      </c>
      <c r="F7518" s="4">
        <v>4.1399999999999998E-37</v>
      </c>
      <c r="G7518" s="3">
        <v>353</v>
      </c>
      <c r="H7518" s="3">
        <v>71</v>
      </c>
      <c r="I7518" s="3">
        <v>99</v>
      </c>
      <c r="J7518" s="3">
        <v>585</v>
      </c>
      <c r="K7518" s="3">
        <v>875</v>
      </c>
      <c r="L7518" s="3">
        <v>76</v>
      </c>
      <c r="M7518" s="3">
        <v>173</v>
      </c>
    </row>
    <row r="7519" spans="1:13" x14ac:dyDescent="0.25">
      <c r="A7519" s="1" t="str">
        <f>HYPERLINK("http://www.rosaceae.org/Prunus/Prunus_persica/p.persica_gdr_reftransV1_0034129","p.persica_gdr_reftransV1_0034129")</f>
        <v>p.persica_gdr_reftransV1_0034129</v>
      </c>
      <c r="B7519" s="3">
        <v>1201</v>
      </c>
      <c r="C7519" s="1" t="str">
        <f>HYPERLINK("http://www.uniprot.org/uniprot/TMM18_DANRE","TMM18_DANRE")</f>
        <v>TMM18_DANRE</v>
      </c>
      <c r="D7519" t="s">
        <v>5980</v>
      </c>
      <c r="E7519" s="3" t="s">
        <v>704</v>
      </c>
      <c r="F7519" s="4">
        <v>1.24E-14</v>
      </c>
      <c r="G7519" s="3">
        <v>183</v>
      </c>
      <c r="H7519" s="3">
        <v>44</v>
      </c>
      <c r="I7519" s="3">
        <v>85</v>
      </c>
      <c r="J7519" s="3">
        <v>638</v>
      </c>
      <c r="K7519" s="3">
        <v>892</v>
      </c>
      <c r="L7519" s="3">
        <v>27</v>
      </c>
      <c r="M7519" s="3">
        <v>111</v>
      </c>
    </row>
    <row r="7520" spans="1:13" x14ac:dyDescent="0.25">
      <c r="A7520" s="1" t="str">
        <f>HYPERLINK("http://www.rosaceae.org/Prunus/Prunus_persica/p.persica_gdr_reftransV1_0034179","p.persica_gdr_reftransV1_0034179")</f>
        <v>p.persica_gdr_reftransV1_0034179</v>
      </c>
      <c r="B7520" s="3">
        <v>571</v>
      </c>
      <c r="C7520" s="1" t="str">
        <f>HYPERLINK("http://www.uniprot.org/uniprot/RPP1_ARATH","RPP1_ARATH")</f>
        <v>RPP1_ARATH</v>
      </c>
      <c r="D7520" t="s">
        <v>1513</v>
      </c>
      <c r="E7520" s="3" t="s">
        <v>3</v>
      </c>
      <c r="F7520" s="4">
        <v>1.43E-27</v>
      </c>
      <c r="G7520" s="3">
        <v>286</v>
      </c>
      <c r="H7520" s="3">
        <v>37</v>
      </c>
      <c r="I7520" s="3">
        <v>178</v>
      </c>
      <c r="J7520" s="3">
        <v>53</v>
      </c>
      <c r="K7520" s="3">
        <v>571</v>
      </c>
      <c r="L7520" s="3">
        <v>310</v>
      </c>
      <c r="M7520" s="3">
        <v>483</v>
      </c>
    </row>
    <row r="7521" spans="1:13" x14ac:dyDescent="0.25">
      <c r="A7521" s="1" t="str">
        <f>HYPERLINK("http://www.rosaceae.org/Prunus/Prunus_persica/p.persica_gdr_reftransV1_0034329","p.persica_gdr_reftransV1_0034329")</f>
        <v>p.persica_gdr_reftransV1_0034329</v>
      </c>
      <c r="B7521" s="3">
        <v>2061</v>
      </c>
      <c r="C7521" s="1" t="str">
        <f>HYPERLINK("http://www.uniprot.org/uniprot/YG75_SCHPO","YG75_SCHPO")</f>
        <v>YG75_SCHPO</v>
      </c>
      <c r="D7521" t="s">
        <v>5981</v>
      </c>
      <c r="E7521" s="3" t="s">
        <v>464</v>
      </c>
      <c r="F7521" s="4">
        <v>1.8300000000000002E-15</v>
      </c>
      <c r="G7521" s="3">
        <v>203</v>
      </c>
      <c r="H7521" s="3">
        <v>36</v>
      </c>
      <c r="I7521" s="3">
        <v>97</v>
      </c>
      <c r="J7521" s="3">
        <v>1240</v>
      </c>
      <c r="K7521" s="3">
        <v>1530</v>
      </c>
      <c r="L7521" s="3">
        <v>132</v>
      </c>
      <c r="M7521" s="3">
        <v>228</v>
      </c>
    </row>
    <row r="7522" spans="1:13" x14ac:dyDescent="0.25">
      <c r="A7522" s="1" t="str">
        <f>HYPERLINK("http://www.rosaceae.org/Prunus/Prunus_persica/p.persica_gdr_reftransV1_0034429","p.persica_gdr_reftransV1_0034429")</f>
        <v>p.persica_gdr_reftransV1_0034429</v>
      </c>
      <c r="B7522" s="3">
        <v>3869</v>
      </c>
      <c r="C7522" s="1" t="str">
        <f>HYPERLINK("http://www.uniprot.org/uniprot/POT4_ARATH","POT4_ARATH")</f>
        <v>POT4_ARATH</v>
      </c>
      <c r="D7522" t="s">
        <v>5982</v>
      </c>
      <c r="E7522" s="3" t="s">
        <v>3</v>
      </c>
      <c r="F7522" s="4">
        <v>0</v>
      </c>
      <c r="G7522" s="3">
        <v>2412</v>
      </c>
      <c r="H7522" s="3">
        <v>77</v>
      </c>
      <c r="I7522" s="3">
        <v>633</v>
      </c>
      <c r="J7522" s="3">
        <v>1591</v>
      </c>
      <c r="K7522" s="3">
        <v>3477</v>
      </c>
      <c r="L7522" s="3">
        <v>187</v>
      </c>
      <c r="M7522" s="3">
        <v>789</v>
      </c>
    </row>
    <row r="7523" spans="1:13" x14ac:dyDescent="0.25">
      <c r="A7523" s="1" t="str">
        <f>HYPERLINK("http://www.rosaceae.org/Prunus/Prunus_persica/p.persica_gdr_reftransV1_0035179","p.persica_gdr_reftransV1_0035179")</f>
        <v>p.persica_gdr_reftransV1_0035179</v>
      </c>
      <c r="B7523" s="3">
        <v>556</v>
      </c>
      <c r="C7523" s="1" t="str">
        <f>HYPERLINK("http://www.uniprot.org/uniprot/MDN1_DICDI","MDN1_DICDI")</f>
        <v>MDN1_DICDI</v>
      </c>
      <c r="D7523" t="s">
        <v>406</v>
      </c>
      <c r="E7523" s="3" t="s">
        <v>9</v>
      </c>
      <c r="F7523" s="4">
        <v>2.4399999999999999E-56</v>
      </c>
      <c r="G7523" s="3">
        <v>503</v>
      </c>
      <c r="H7523" s="3">
        <v>64</v>
      </c>
      <c r="I7523" s="3">
        <v>147</v>
      </c>
      <c r="J7523" s="3">
        <v>114</v>
      </c>
      <c r="K7523" s="3">
        <v>554</v>
      </c>
      <c r="L7523" s="3">
        <v>1802</v>
      </c>
      <c r="M7523" s="3">
        <v>1948</v>
      </c>
    </row>
    <row r="7524" spans="1:13" x14ac:dyDescent="0.25">
      <c r="A7524" s="1" t="str">
        <f>HYPERLINK("http://www.rosaceae.org/Prunus/Prunus_persica/p.persica_gdr_reftransV1_0035679","p.persica_gdr_reftransV1_0035679")</f>
        <v>p.persica_gdr_reftransV1_0035679</v>
      </c>
      <c r="B7524" s="3">
        <v>2557</v>
      </c>
      <c r="C7524" s="1" t="str">
        <f>HYPERLINK("http://www.uniprot.org/uniprot/IKU1_ARATH","IKU1_ARATH")</f>
        <v>IKU1_ARATH</v>
      </c>
      <c r="D7524" t="s">
        <v>5983</v>
      </c>
      <c r="E7524" s="3" t="s">
        <v>3</v>
      </c>
      <c r="F7524" s="4">
        <v>3.5099999999999998E-20</v>
      </c>
      <c r="G7524" s="3">
        <v>241</v>
      </c>
      <c r="H7524" s="3">
        <v>51</v>
      </c>
      <c r="I7524" s="3">
        <v>172</v>
      </c>
      <c r="J7524" s="3">
        <v>1030</v>
      </c>
      <c r="K7524" s="3">
        <v>1518</v>
      </c>
      <c r="L7524" s="3">
        <v>5</v>
      </c>
      <c r="M7524" s="3">
        <v>170</v>
      </c>
    </row>
    <row r="7525" spans="1:13" x14ac:dyDescent="0.25">
      <c r="A7525" s="1" t="str">
        <f>HYPERLINK("http://www.rosaceae.org/Prunus/Prunus_persica/p.persica_gdr_reftransV1_0035779","p.persica_gdr_reftransV1_0035779")</f>
        <v>p.persica_gdr_reftransV1_0035779</v>
      </c>
      <c r="B7525" s="3">
        <v>3398</v>
      </c>
      <c r="C7525" s="1" t="str">
        <f>HYPERLINK("http://www.uniprot.org/uniprot/LOX31_SOLTU","LOX31_SOLTU")</f>
        <v>LOX31_SOLTU</v>
      </c>
      <c r="D7525" t="s">
        <v>3831</v>
      </c>
      <c r="E7525" s="3" t="s">
        <v>11</v>
      </c>
      <c r="F7525" s="4">
        <v>0</v>
      </c>
      <c r="G7525" s="3">
        <v>2493</v>
      </c>
      <c r="H7525" s="3">
        <v>75</v>
      </c>
      <c r="I7525" s="3">
        <v>669</v>
      </c>
      <c r="J7525" s="3">
        <v>289</v>
      </c>
      <c r="K7525" s="3">
        <v>2271</v>
      </c>
      <c r="L7525" s="3">
        <v>1</v>
      </c>
      <c r="M7525" s="3">
        <v>663</v>
      </c>
    </row>
    <row r="7526" spans="1:13" x14ac:dyDescent="0.25">
      <c r="A7526" s="1" t="str">
        <f>HYPERLINK("http://www.rosaceae.org/Prunus/Prunus_persica/p.persica_gdr_reftransV1_0035829","p.persica_gdr_reftransV1_0035829")</f>
        <v>p.persica_gdr_reftransV1_0035829</v>
      </c>
      <c r="B7526" s="3">
        <v>2029</v>
      </c>
      <c r="C7526" s="1" t="str">
        <f>HYPERLINK("http://www.uniprot.org/uniprot/DIV_ANTMA","DIV_ANTMA")</f>
        <v>DIV_ANTMA</v>
      </c>
      <c r="D7526" t="s">
        <v>4460</v>
      </c>
      <c r="E7526" s="3" t="s">
        <v>1408</v>
      </c>
      <c r="F7526" s="4">
        <v>2.5599999999999999E-101</v>
      </c>
      <c r="G7526" s="3">
        <v>816</v>
      </c>
      <c r="H7526" s="3">
        <v>60</v>
      </c>
      <c r="I7526" s="3">
        <v>302</v>
      </c>
      <c r="J7526" s="3">
        <v>399</v>
      </c>
      <c r="K7526" s="3">
        <v>1286</v>
      </c>
      <c r="L7526" s="3">
        <v>3</v>
      </c>
      <c r="M7526" s="3">
        <v>300</v>
      </c>
    </row>
    <row r="7527" spans="1:13" x14ac:dyDescent="0.25">
      <c r="A7527" s="1" t="str">
        <f>HYPERLINK("http://www.rosaceae.org/Prunus/Prunus_persica/p.persica_gdr_reftransV1_0035929","p.persica_gdr_reftransV1_0035929")</f>
        <v>p.persica_gdr_reftransV1_0035929</v>
      </c>
      <c r="B7527" s="3">
        <v>3214</v>
      </c>
      <c r="C7527" s="1" t="str">
        <f>HYPERLINK("http://www.uniprot.org/uniprot/CPR30_ARATH","CPR30_ARATH")</f>
        <v>CPR30_ARATH</v>
      </c>
      <c r="D7527" t="s">
        <v>1594</v>
      </c>
      <c r="E7527" s="3" t="s">
        <v>3</v>
      </c>
      <c r="F7527" s="4">
        <v>1.8299999999999999E-22</v>
      </c>
      <c r="G7527" s="3">
        <v>261</v>
      </c>
      <c r="H7527" s="3">
        <v>31</v>
      </c>
      <c r="I7527" s="3">
        <v>270</v>
      </c>
      <c r="J7527" s="3">
        <v>453</v>
      </c>
      <c r="K7527" s="3">
        <v>1190</v>
      </c>
      <c r="L7527" s="3">
        <v>41</v>
      </c>
      <c r="M7527" s="3">
        <v>301</v>
      </c>
    </row>
    <row r="7528" spans="1:13" x14ac:dyDescent="0.25">
      <c r="A7528" s="1" t="str">
        <f>HYPERLINK("http://www.rosaceae.org/Prunus/Prunus_persica/p.persica_gdr_reftransV1_0036379","p.persica_gdr_reftransV1_0036379")</f>
        <v>p.persica_gdr_reftransV1_0036379</v>
      </c>
      <c r="B7528" s="3">
        <v>2018</v>
      </c>
      <c r="C7528" s="1" t="str">
        <f>HYPERLINK("http://www.uniprot.org/uniprot/idHC_TOBAC","idHC_TOBAC")</f>
        <v>idHC_TOBAC</v>
      </c>
      <c r="D7528" t="s">
        <v>5984</v>
      </c>
      <c r="E7528" s="3" t="s">
        <v>200</v>
      </c>
      <c r="F7528" s="4">
        <v>2.7799999999999999E-135</v>
      </c>
      <c r="G7528" s="3">
        <v>1055</v>
      </c>
      <c r="H7528" s="3">
        <v>78</v>
      </c>
      <c r="I7528" s="3">
        <v>249</v>
      </c>
      <c r="J7528" s="3">
        <v>1028</v>
      </c>
      <c r="K7528" s="3">
        <v>1774</v>
      </c>
      <c r="L7528" s="3">
        <v>2</v>
      </c>
      <c r="M7528" s="3">
        <v>225</v>
      </c>
    </row>
    <row r="7529" spans="1:13" x14ac:dyDescent="0.25">
      <c r="A7529" s="1" t="str">
        <f>HYPERLINK("http://www.rosaceae.org/Prunus/Prunus_persica/p.persica_gdr_reftransV1_0036529","p.persica_gdr_reftransV1_0036529")</f>
        <v>p.persica_gdr_reftransV1_0036529</v>
      </c>
      <c r="B7529" s="3">
        <v>2723</v>
      </c>
      <c r="C7529" s="1" t="str">
        <f>HYPERLINK("http://www.uniprot.org/uniprot/EI2BE_DICDI","EI2BE_DICDI")</f>
        <v>EI2BE_DICDI</v>
      </c>
      <c r="D7529" t="s">
        <v>5985</v>
      </c>
      <c r="E7529" s="3" t="s">
        <v>9</v>
      </c>
      <c r="F7529" s="4">
        <v>2.4700000000000001E-114</v>
      </c>
      <c r="G7529" s="3">
        <v>956</v>
      </c>
      <c r="H7529" s="3">
        <v>44</v>
      </c>
      <c r="I7529" s="3">
        <v>430</v>
      </c>
      <c r="J7529" s="3">
        <v>199</v>
      </c>
      <c r="K7529" s="3">
        <v>1485</v>
      </c>
      <c r="L7529" s="3">
        <v>6</v>
      </c>
      <c r="M7529" s="3">
        <v>430</v>
      </c>
    </row>
    <row r="7530" spans="1:13" x14ac:dyDescent="0.25">
      <c r="A7530" s="1" t="str">
        <f>HYPERLINK("http://www.rosaceae.org/Prunus/Prunus_persica/p.persica_gdr_reftransV1_0036829","p.persica_gdr_reftransV1_0036829")</f>
        <v>p.persica_gdr_reftransV1_0036829</v>
      </c>
      <c r="B7530" s="3">
        <v>852</v>
      </c>
      <c r="C7530" s="1" t="str">
        <f>HYPERLINK("http://www.uniprot.org/uniprot/PP185_ARATH","PP185_ARATH")</f>
        <v>PP185_ARATH</v>
      </c>
      <c r="D7530" t="s">
        <v>1574</v>
      </c>
      <c r="E7530" s="3" t="s">
        <v>3</v>
      </c>
      <c r="F7530" s="4">
        <v>2.2200000000000001E-131</v>
      </c>
      <c r="G7530" s="3">
        <v>1009</v>
      </c>
      <c r="H7530" s="3">
        <v>64</v>
      </c>
      <c r="I7530" s="3">
        <v>282</v>
      </c>
      <c r="J7530" s="3">
        <v>5</v>
      </c>
      <c r="K7530" s="3">
        <v>850</v>
      </c>
      <c r="L7530" s="3">
        <v>157</v>
      </c>
      <c r="M7530" s="3">
        <v>438</v>
      </c>
    </row>
    <row r="7531" spans="1:13" x14ac:dyDescent="0.25">
      <c r="A7531" s="1" t="str">
        <f>HYPERLINK("http://www.rosaceae.org/Prunus/Prunus_persica/p.persica_gdr_reftransV1_0037029","p.persica_gdr_reftransV1_0037029")</f>
        <v>p.persica_gdr_reftransV1_0037029</v>
      </c>
      <c r="B7531" s="3">
        <v>3291</v>
      </c>
      <c r="C7531" s="1" t="str">
        <f>HYPERLINK("http://www.uniprot.org/uniprot/KIPK_ARATH","KIPK_ARATH")</f>
        <v>KIPK_ARATH</v>
      </c>
      <c r="D7531" t="s">
        <v>4498</v>
      </c>
      <c r="E7531" s="3" t="s">
        <v>3</v>
      </c>
      <c r="F7531" s="4">
        <v>0</v>
      </c>
      <c r="G7531" s="3">
        <v>1659</v>
      </c>
      <c r="H7531" s="3">
        <v>67</v>
      </c>
      <c r="I7531" s="3">
        <v>473</v>
      </c>
      <c r="J7531" s="3">
        <v>336</v>
      </c>
      <c r="K7531" s="3">
        <v>1718</v>
      </c>
      <c r="L7531" s="3">
        <v>463</v>
      </c>
      <c r="M7531" s="3">
        <v>934</v>
      </c>
    </row>
    <row r="7532" spans="1:13" x14ac:dyDescent="0.25">
      <c r="A7532" s="1" t="str">
        <f>HYPERLINK("http://www.rosaceae.org/Prunus/Prunus_persica/p.persica_gdr_reftransV1_0037629","p.persica_gdr_reftransV1_0037629")</f>
        <v>p.persica_gdr_reftransV1_0037629</v>
      </c>
      <c r="B7532" s="3">
        <v>2674</v>
      </c>
      <c r="C7532" s="1" t="str">
        <f>HYPERLINK("http://www.uniprot.org/uniprot/Y5161_ARATH","Y5161_ARATH")</f>
        <v>Y5161_ARATH</v>
      </c>
      <c r="D7532" t="s">
        <v>2905</v>
      </c>
      <c r="E7532" s="3" t="s">
        <v>3</v>
      </c>
      <c r="F7532" s="4">
        <v>6.9600000000000003E-32</v>
      </c>
      <c r="G7532" s="3">
        <v>285</v>
      </c>
      <c r="H7532" s="3">
        <v>53</v>
      </c>
      <c r="I7532" s="3">
        <v>126</v>
      </c>
      <c r="J7532" s="3">
        <v>1800</v>
      </c>
      <c r="K7532" s="3">
        <v>2177</v>
      </c>
      <c r="L7532" s="3">
        <v>48</v>
      </c>
      <c r="M7532" s="3">
        <v>170</v>
      </c>
    </row>
    <row r="7533" spans="1:13" x14ac:dyDescent="0.25">
      <c r="A7533" s="1" t="str">
        <f>HYPERLINK("http://www.rosaceae.org/Prunus/Prunus_persica/p.persica_gdr_reftransV1_0037929","p.persica_gdr_reftransV1_0037929")</f>
        <v>p.persica_gdr_reftransV1_0037929</v>
      </c>
      <c r="B7533" s="3">
        <v>1686</v>
      </c>
      <c r="C7533" s="1" t="str">
        <f>HYPERLINK("http://www.uniprot.org/uniprot/ANXD5_ARATH","ANXD5_ARATH")</f>
        <v>ANXD5_ARATH</v>
      </c>
      <c r="D7533" t="s">
        <v>4628</v>
      </c>
      <c r="E7533" s="3" t="s">
        <v>3</v>
      </c>
      <c r="F7533" s="4">
        <v>3.0999999999999998E-119</v>
      </c>
      <c r="G7533" s="3">
        <v>928</v>
      </c>
      <c r="H7533" s="3">
        <v>57</v>
      </c>
      <c r="I7533" s="3">
        <v>316</v>
      </c>
      <c r="J7533" s="3">
        <v>268</v>
      </c>
      <c r="K7533" s="3">
        <v>1215</v>
      </c>
      <c r="L7533" s="3">
        <v>1</v>
      </c>
      <c r="M7533" s="3">
        <v>315</v>
      </c>
    </row>
    <row r="7534" spans="1:13" x14ac:dyDescent="0.25">
      <c r="A7534" s="1" t="str">
        <f>HYPERLINK("http://www.rosaceae.org/Prunus/Prunus_persica/p.persica_gdr_reftransV1_0038229","p.persica_gdr_reftransV1_0038229")</f>
        <v>p.persica_gdr_reftransV1_0038229</v>
      </c>
      <c r="B7534" s="3">
        <v>1181</v>
      </c>
      <c r="C7534" s="1" t="str">
        <f>HYPERLINK("http://www.uniprot.org/uniprot/ARP1_ARATH","ARP1_ARATH")</f>
        <v>ARP1_ARATH</v>
      </c>
      <c r="D7534" t="s">
        <v>5986</v>
      </c>
      <c r="E7534" s="3" t="s">
        <v>3</v>
      </c>
      <c r="F7534" s="4">
        <v>9.3199999999999992E-31</v>
      </c>
      <c r="G7534" s="3">
        <v>308</v>
      </c>
      <c r="H7534" s="3">
        <v>64</v>
      </c>
      <c r="I7534" s="3">
        <v>84</v>
      </c>
      <c r="J7534" s="3">
        <v>250</v>
      </c>
      <c r="K7534" s="3">
        <v>501</v>
      </c>
      <c r="L7534" s="3">
        <v>11</v>
      </c>
      <c r="M7534" s="3">
        <v>94</v>
      </c>
    </row>
    <row r="7535" spans="1:13" x14ac:dyDescent="0.25">
      <c r="A7535" s="1" t="str">
        <f>HYPERLINK("http://www.rosaceae.org/Prunus/Prunus_persica/p.persica_gdr_reftransV1_0038329","p.persica_gdr_reftransV1_0038329")</f>
        <v>p.persica_gdr_reftransV1_0038329</v>
      </c>
      <c r="B7535" s="3">
        <v>2740</v>
      </c>
      <c r="C7535" s="1" t="str">
        <f>HYPERLINK("http://www.uniprot.org/uniprot/C7A12_PANGI","C7A12_PANGI")</f>
        <v>C7A12_PANGI</v>
      </c>
      <c r="D7535" t="s">
        <v>5987</v>
      </c>
      <c r="E7535" s="3" t="s">
        <v>1477</v>
      </c>
      <c r="F7535" s="4">
        <v>1.6799999999999999E-82</v>
      </c>
      <c r="G7535" s="3">
        <v>718</v>
      </c>
      <c r="H7535" s="3">
        <v>62</v>
      </c>
      <c r="I7535" s="3">
        <v>203</v>
      </c>
      <c r="J7535" s="3">
        <v>1735</v>
      </c>
      <c r="K7535" s="3">
        <v>2340</v>
      </c>
      <c r="L7535" s="3">
        <v>298</v>
      </c>
      <c r="M7535" s="3">
        <v>500</v>
      </c>
    </row>
    <row r="7536" spans="1:13" x14ac:dyDescent="0.25">
      <c r="A7536" s="1" t="str">
        <f>HYPERLINK("http://www.rosaceae.org/Prunus/Prunus_persica/p.persica_gdr_reftransV1_0038579","p.persica_gdr_reftransV1_0038579")</f>
        <v>p.persica_gdr_reftransV1_0038579</v>
      </c>
      <c r="B7536" s="3">
        <v>1947</v>
      </c>
      <c r="C7536" s="1" t="str">
        <f>HYPERLINK("http://www.uniprot.org/uniprot/TL225_ARATH","TL225_ARATH")</f>
        <v>TL225_ARATH</v>
      </c>
      <c r="D7536" t="s">
        <v>5988</v>
      </c>
      <c r="E7536" s="3" t="s">
        <v>3</v>
      </c>
      <c r="F7536" s="4">
        <v>2.28E-41</v>
      </c>
      <c r="G7536" s="3">
        <v>296</v>
      </c>
      <c r="H7536" s="3">
        <v>87</v>
      </c>
      <c r="I7536" s="3">
        <v>63</v>
      </c>
      <c r="J7536" s="3">
        <v>248</v>
      </c>
      <c r="K7536" s="3">
        <v>436</v>
      </c>
      <c r="L7536" s="3">
        <v>218</v>
      </c>
      <c r="M7536" s="3">
        <v>280</v>
      </c>
    </row>
    <row r="7537" spans="1:13" x14ac:dyDescent="0.25">
      <c r="A7537" s="1" t="str">
        <f>HYPERLINK("http://www.rosaceae.org/Prunus/Prunus_persica/p.persica_gdr_reftransV1_0038679","p.persica_gdr_reftransV1_0038679")</f>
        <v>p.persica_gdr_reftransV1_0038679</v>
      </c>
      <c r="B7537" s="3">
        <v>2868</v>
      </c>
      <c r="C7537" s="1" t="str">
        <f>HYPERLINK("http://www.uniprot.org/uniprot/S2P_ARATH","S2P_ARATH")</f>
        <v>S2P_ARATH</v>
      </c>
      <c r="D7537" t="s">
        <v>5989</v>
      </c>
      <c r="E7537" s="3" t="s">
        <v>3</v>
      </c>
      <c r="F7537" s="4">
        <v>3.8899999999999999E-118</v>
      </c>
      <c r="G7537" s="3">
        <v>969</v>
      </c>
      <c r="H7537" s="3">
        <v>54</v>
      </c>
      <c r="I7537" s="3">
        <v>395</v>
      </c>
      <c r="J7537" s="3">
        <v>467</v>
      </c>
      <c r="K7537" s="3">
        <v>1636</v>
      </c>
      <c r="L7537" s="3">
        <v>127</v>
      </c>
      <c r="M7537" s="3">
        <v>504</v>
      </c>
    </row>
    <row r="7538" spans="1:13" x14ac:dyDescent="0.25">
      <c r="A7538" s="1" t="str">
        <f>HYPERLINK("http://www.rosaceae.org/Prunus/Prunus_persica/p.persica_gdr_reftransV1_0038879","p.persica_gdr_reftransV1_0038879")</f>
        <v>p.persica_gdr_reftransV1_0038879</v>
      </c>
      <c r="B7538" s="3">
        <v>613</v>
      </c>
      <c r="C7538" s="1" t="str">
        <f>HYPERLINK("http://www.uniprot.org/uniprot/APM1_ARATH","APM1_ARATH")</f>
        <v>APM1_ARATH</v>
      </c>
      <c r="D7538" t="s">
        <v>5990</v>
      </c>
      <c r="E7538" s="3" t="s">
        <v>3</v>
      </c>
      <c r="F7538" s="4">
        <v>4.82E-67</v>
      </c>
      <c r="G7538" s="3">
        <v>574</v>
      </c>
      <c r="H7538" s="3">
        <v>75</v>
      </c>
      <c r="I7538" s="3">
        <v>170</v>
      </c>
      <c r="J7538" s="3">
        <v>111</v>
      </c>
      <c r="K7538" s="3">
        <v>611</v>
      </c>
      <c r="L7538" s="3">
        <v>1</v>
      </c>
      <c r="M7538" s="3">
        <v>168</v>
      </c>
    </row>
    <row r="7539" spans="1:13" x14ac:dyDescent="0.25">
      <c r="A7539" s="1" t="str">
        <f>HYPERLINK("http://www.rosaceae.org/Prunus/Prunus_persica/p.persica_gdr_reftransV1_0039229","p.persica_gdr_reftransV1_0039229")</f>
        <v>p.persica_gdr_reftransV1_0039229</v>
      </c>
      <c r="B7539" s="3">
        <v>3061</v>
      </c>
      <c r="C7539" s="1" t="str">
        <f>HYPERLINK("http://www.uniprot.org/uniprot/HIS4_ARATH","HIS4_ARATH")</f>
        <v>HIS4_ARATH</v>
      </c>
      <c r="D7539" t="s">
        <v>5991</v>
      </c>
      <c r="E7539" s="3" t="s">
        <v>3</v>
      </c>
      <c r="F7539" s="4">
        <v>0</v>
      </c>
      <c r="G7539" s="3">
        <v>1966</v>
      </c>
      <c r="H7539" s="3">
        <v>83</v>
      </c>
      <c r="I7539" s="3">
        <v>435</v>
      </c>
      <c r="J7539" s="3">
        <v>406</v>
      </c>
      <c r="K7539" s="3">
        <v>1710</v>
      </c>
      <c r="L7539" s="3">
        <v>50</v>
      </c>
      <c r="M7539" s="3">
        <v>484</v>
      </c>
    </row>
    <row r="7540" spans="1:13" x14ac:dyDescent="0.25">
      <c r="A7540" s="1" t="str">
        <f>HYPERLINK("http://www.rosaceae.org/Prunus/Prunus_persica/p.persica_gdr_reftransV1_0039479","p.persica_gdr_reftransV1_0039479")</f>
        <v>p.persica_gdr_reftransV1_0039479</v>
      </c>
      <c r="B7540" s="3">
        <v>1170</v>
      </c>
      <c r="C7540" s="1" t="str">
        <f>HYPERLINK("http://www.uniprot.org/uniprot/CREG1_HUMAN","CREG1_HUMAN")</f>
        <v>CREG1_HUMAN</v>
      </c>
      <c r="D7540" t="s">
        <v>5992</v>
      </c>
      <c r="E7540" s="3" t="s">
        <v>28</v>
      </c>
      <c r="F7540" s="4">
        <v>7.7100000000000005E-37</v>
      </c>
      <c r="G7540" s="3">
        <v>348</v>
      </c>
      <c r="H7540" s="3">
        <v>43</v>
      </c>
      <c r="I7540" s="3">
        <v>167</v>
      </c>
      <c r="J7540" s="3">
        <v>209</v>
      </c>
      <c r="K7540" s="3">
        <v>697</v>
      </c>
      <c r="L7540" s="3">
        <v>50</v>
      </c>
      <c r="M7540" s="3">
        <v>214</v>
      </c>
    </row>
    <row r="7541" spans="1:13" x14ac:dyDescent="0.25">
      <c r="A7541" s="1" t="str">
        <f>HYPERLINK("http://www.rosaceae.org/Prunus/Prunus_persica/p.persica_gdr_reftransV1_0039729","p.persica_gdr_reftransV1_0039729")</f>
        <v>p.persica_gdr_reftransV1_0039729</v>
      </c>
      <c r="B7541" s="3">
        <v>2514</v>
      </c>
      <c r="C7541" s="1" t="str">
        <f>HYPERLINK("http://www.uniprot.org/uniprot/MRS21_ARATH","MRS21_ARATH")</f>
        <v>MRS21_ARATH</v>
      </c>
      <c r="D7541" t="s">
        <v>5993</v>
      </c>
      <c r="E7541" s="3" t="s">
        <v>3</v>
      </c>
      <c r="F7541" s="4">
        <v>3.3800000000000002E-175</v>
      </c>
      <c r="G7541" s="3">
        <v>847</v>
      </c>
      <c r="H7541" s="3">
        <v>86</v>
      </c>
      <c r="I7541" s="3">
        <v>203</v>
      </c>
      <c r="J7541" s="3">
        <v>1742</v>
      </c>
      <c r="K7541" s="3">
        <v>2350</v>
      </c>
      <c r="L7541" s="3">
        <v>241</v>
      </c>
      <c r="M7541" s="3">
        <v>442</v>
      </c>
    </row>
    <row r="7542" spans="1:13" x14ac:dyDescent="0.25">
      <c r="A7542" s="1" t="str">
        <f>HYPERLINK("http://www.rosaceae.org/Prunus/Prunus_persica/p.persica_gdr_reftransV1_0039979","p.persica_gdr_reftransV1_0039979")</f>
        <v>p.persica_gdr_reftransV1_0039979</v>
      </c>
      <c r="B7542" s="3">
        <v>2662</v>
      </c>
      <c r="C7542" s="1" t="str">
        <f>HYPERLINK("http://www.uniprot.org/uniprot/LDHB_HORVU","LDHB_HORVU")</f>
        <v>LDHB_HORVU</v>
      </c>
      <c r="D7542" t="s">
        <v>5994</v>
      </c>
      <c r="E7542" s="3" t="s">
        <v>769</v>
      </c>
      <c r="F7542" s="4">
        <v>1.27E-152</v>
      </c>
      <c r="G7542" s="3">
        <v>1181</v>
      </c>
      <c r="H7542" s="3">
        <v>67</v>
      </c>
      <c r="I7542" s="3">
        <v>333</v>
      </c>
      <c r="J7542" s="3">
        <v>301</v>
      </c>
      <c r="K7542" s="3">
        <v>1296</v>
      </c>
      <c r="L7542" s="3">
        <v>12</v>
      </c>
      <c r="M7542" s="3">
        <v>344</v>
      </c>
    </row>
    <row r="7543" spans="1:13" x14ac:dyDescent="0.25">
      <c r="A7543" s="1" t="str">
        <f>HYPERLINK("http://www.rosaceae.org/Prunus/Prunus_persica/p.persica_gdr_reftransV1_0040079","p.persica_gdr_reftransV1_0040079")</f>
        <v>p.persica_gdr_reftransV1_0040079</v>
      </c>
      <c r="B7543" s="3">
        <v>5362</v>
      </c>
      <c r="C7543" s="1" t="str">
        <f>HYPERLINK("http://www.uniprot.org/uniprot/ULT1_ARATH","ULT1_ARATH")</f>
        <v>ULT1_ARATH</v>
      </c>
      <c r="D7543" t="s">
        <v>5995</v>
      </c>
      <c r="E7543" s="3" t="s">
        <v>3</v>
      </c>
      <c r="F7543" s="4">
        <v>8.0699999999999995E-79</v>
      </c>
      <c r="G7543" s="3">
        <v>681</v>
      </c>
      <c r="H7543" s="3">
        <v>73</v>
      </c>
      <c r="I7543" s="3">
        <v>166</v>
      </c>
      <c r="J7543" s="3">
        <v>267</v>
      </c>
      <c r="K7543" s="3">
        <v>764</v>
      </c>
      <c r="L7543" s="3">
        <v>72</v>
      </c>
      <c r="M7543" s="3">
        <v>237</v>
      </c>
    </row>
    <row r="7544" spans="1:13" x14ac:dyDescent="0.25">
      <c r="A7544" s="1" t="str">
        <f>HYPERLINK("http://www.rosaceae.org/Prunus/Prunus_persica/p.persica_gdr_reftransV1_0040179","p.persica_gdr_reftransV1_0040179")</f>
        <v>p.persica_gdr_reftransV1_0040179</v>
      </c>
      <c r="B7544" s="3">
        <v>3340</v>
      </c>
      <c r="C7544" s="1" t="str">
        <f>HYPERLINK("http://www.uniprot.org/uniprot/MSSP2_ARATH","MSSP2_ARATH")</f>
        <v>MSSP2_ARATH</v>
      </c>
      <c r="D7544" t="s">
        <v>5996</v>
      </c>
      <c r="E7544" s="3" t="s">
        <v>3</v>
      </c>
      <c r="F7544" s="4">
        <v>0</v>
      </c>
      <c r="G7544" s="3">
        <v>2624</v>
      </c>
      <c r="H7544" s="3">
        <v>77</v>
      </c>
      <c r="I7544" s="3">
        <v>731</v>
      </c>
      <c r="J7544" s="3">
        <v>343</v>
      </c>
      <c r="K7544" s="3">
        <v>2520</v>
      </c>
      <c r="L7544" s="3">
        <v>1</v>
      </c>
      <c r="M7544" s="3">
        <v>719</v>
      </c>
    </row>
    <row r="7545" spans="1:13" x14ac:dyDescent="0.25">
      <c r="A7545" s="1" t="str">
        <f>HYPERLINK("http://www.rosaceae.org/Prunus/Prunus_persica/p.persica_gdr_reftransV1_0040829","p.persica_gdr_reftransV1_0040829")</f>
        <v>p.persica_gdr_reftransV1_0040829</v>
      </c>
      <c r="B7545" s="3">
        <v>2529</v>
      </c>
      <c r="C7545" s="1" t="str">
        <f>HYPERLINK("http://www.uniprot.org/uniprot/PERK1_ARATH","PERK1_ARATH")</f>
        <v>PERK1_ARATH</v>
      </c>
      <c r="D7545" t="s">
        <v>5120</v>
      </c>
      <c r="E7545" s="3" t="s">
        <v>3</v>
      </c>
      <c r="F7545" s="4">
        <v>1.95E-108</v>
      </c>
      <c r="G7545" s="3">
        <v>907</v>
      </c>
      <c r="H7545" s="3">
        <v>87</v>
      </c>
      <c r="I7545" s="3">
        <v>188</v>
      </c>
      <c r="J7545" s="3">
        <v>1291</v>
      </c>
      <c r="K7545" s="3">
        <v>1854</v>
      </c>
      <c r="L7545" s="3">
        <v>258</v>
      </c>
      <c r="M7545" s="3">
        <v>445</v>
      </c>
    </row>
    <row r="7546" spans="1:13" x14ac:dyDescent="0.25">
      <c r="A7546" s="1" t="str">
        <f>HYPERLINK("http://www.rosaceae.org/Prunus/Prunus_persica/p.persica_gdr_reftransV1_0040929","p.persica_gdr_reftransV1_0040929")</f>
        <v>p.persica_gdr_reftransV1_0040929</v>
      </c>
      <c r="B7546" s="3">
        <v>1734</v>
      </c>
      <c r="C7546" s="1" t="str">
        <f>HYPERLINK("http://www.uniprot.org/uniprot/S38A4_RAT","S38A4_RAT")</f>
        <v>S38A4_RAT</v>
      </c>
      <c r="D7546" t="s">
        <v>5997</v>
      </c>
      <c r="E7546" s="3" t="s">
        <v>161</v>
      </c>
      <c r="F7546" s="4">
        <v>1.9100000000000001E-12</v>
      </c>
      <c r="G7546" s="3">
        <v>179</v>
      </c>
      <c r="H7546" s="3">
        <v>26</v>
      </c>
      <c r="I7546" s="3">
        <v>430</v>
      </c>
      <c r="J7546" s="3">
        <v>350</v>
      </c>
      <c r="K7546" s="3">
        <v>1450</v>
      </c>
      <c r="L7546" s="3">
        <v>82</v>
      </c>
      <c r="M7546" s="3">
        <v>500</v>
      </c>
    </row>
    <row r="7547" spans="1:13" x14ac:dyDescent="0.25">
      <c r="A7547" s="1" t="str">
        <f>HYPERLINK("http://www.rosaceae.org/Prunus/Prunus_persica/p.persica_gdr_reftransV1_0041229","p.persica_gdr_reftransV1_0041229")</f>
        <v>p.persica_gdr_reftransV1_0041229</v>
      </c>
      <c r="B7547" s="3">
        <v>1391</v>
      </c>
      <c r="C7547" s="1" t="str">
        <f>HYPERLINK("http://www.uniprot.org/uniprot/YQEG_BACSU","YQEG_BACSU")</f>
        <v>YQEG_BACSU</v>
      </c>
      <c r="D7547" t="s">
        <v>5998</v>
      </c>
      <c r="E7547" s="3" t="s">
        <v>1630</v>
      </c>
      <c r="F7547" s="4">
        <v>4.1100000000000001E-9</v>
      </c>
      <c r="G7547" s="3">
        <v>143</v>
      </c>
      <c r="H7547" s="3">
        <v>29</v>
      </c>
      <c r="I7547" s="3">
        <v>175</v>
      </c>
      <c r="J7547" s="3">
        <v>183</v>
      </c>
      <c r="K7547" s="3">
        <v>704</v>
      </c>
      <c r="L7547" s="3">
        <v>3</v>
      </c>
      <c r="M7547" s="3">
        <v>166</v>
      </c>
    </row>
    <row r="7548" spans="1:13" x14ac:dyDescent="0.25">
      <c r="A7548" s="1" t="str">
        <f>HYPERLINK("http://www.rosaceae.org/Prunus/Prunus_persica/p.persica_gdr_reftransV1_0041279","p.persica_gdr_reftransV1_0041279")</f>
        <v>p.persica_gdr_reftransV1_0041279</v>
      </c>
      <c r="B7548" s="3">
        <v>2144</v>
      </c>
      <c r="C7548" s="1" t="str">
        <f>HYPERLINK("http://www.uniprot.org/uniprot/STOP1_ARATH","STOP1_ARATH")</f>
        <v>STOP1_ARATH</v>
      </c>
      <c r="D7548" t="s">
        <v>1993</v>
      </c>
      <c r="E7548" s="3" t="s">
        <v>3</v>
      </c>
      <c r="F7548" s="4">
        <v>0</v>
      </c>
      <c r="G7548" s="3">
        <v>1401</v>
      </c>
      <c r="H7548" s="3">
        <v>59</v>
      </c>
      <c r="I7548" s="3">
        <v>533</v>
      </c>
      <c r="J7548" s="3">
        <v>131</v>
      </c>
      <c r="K7548" s="3">
        <v>1708</v>
      </c>
      <c r="L7548" s="3">
        <v>1</v>
      </c>
      <c r="M7548" s="3">
        <v>496</v>
      </c>
    </row>
    <row r="7549" spans="1:13" x14ac:dyDescent="0.25">
      <c r="A7549" s="1" t="str">
        <f>HYPERLINK("http://www.rosaceae.org/Prunus/Prunus_persica/p.persica_gdr_reftransV1_0041679","p.persica_gdr_reftransV1_0041679")</f>
        <v>p.persica_gdr_reftransV1_0041679</v>
      </c>
      <c r="B7549" s="3">
        <v>3539</v>
      </c>
      <c r="C7549" s="1" t="str">
        <f>HYPERLINK("http://www.uniprot.org/uniprot/KCY3_ARATH","KCY3_ARATH")</f>
        <v>KCY3_ARATH</v>
      </c>
      <c r="D7549" t="s">
        <v>5999</v>
      </c>
      <c r="E7549" s="3" t="s">
        <v>3</v>
      </c>
      <c r="F7549" s="4">
        <v>4.0500000000000002E-71</v>
      </c>
      <c r="G7549" s="3">
        <v>614</v>
      </c>
      <c r="H7549" s="3">
        <v>84</v>
      </c>
      <c r="I7549" s="3">
        <v>140</v>
      </c>
      <c r="J7549" s="3">
        <v>1918</v>
      </c>
      <c r="K7549" s="3">
        <v>2337</v>
      </c>
      <c r="L7549" s="3">
        <v>61</v>
      </c>
      <c r="M7549" s="3">
        <v>200</v>
      </c>
    </row>
    <row r="7550" spans="1:13" x14ac:dyDescent="0.25">
      <c r="A7550" s="1" t="str">
        <f>HYPERLINK("http://www.rosaceae.org/Prunus/Prunus_persica/p.persica_gdr_reftransV1_0041779","p.persica_gdr_reftransV1_0041779")</f>
        <v>p.persica_gdr_reftransV1_0041779</v>
      </c>
      <c r="B7550" s="3">
        <v>3242</v>
      </c>
      <c r="C7550" s="1" t="str">
        <f>HYPERLINK("http://www.uniprot.org/uniprot/LACS1_ARATH","LACS1_ARATH")</f>
        <v>LACS1_ARATH</v>
      </c>
      <c r="D7550" t="s">
        <v>1538</v>
      </c>
      <c r="E7550" s="3" t="s">
        <v>3</v>
      </c>
      <c r="F7550" s="4">
        <v>6.7000000000000001E-163</v>
      </c>
      <c r="G7550" s="3">
        <v>1273</v>
      </c>
      <c r="H7550" s="3">
        <v>70</v>
      </c>
      <c r="I7550" s="3">
        <v>345</v>
      </c>
      <c r="J7550" s="3">
        <v>1493</v>
      </c>
      <c r="K7550" s="3">
        <v>2527</v>
      </c>
      <c r="L7550" s="3">
        <v>72</v>
      </c>
      <c r="M7550" s="3">
        <v>416</v>
      </c>
    </row>
    <row r="7551" spans="1:13" x14ac:dyDescent="0.25">
      <c r="A7551" s="1" t="str">
        <f>HYPERLINK("http://www.rosaceae.org/Prunus/Prunus_persica/p.persica_gdr_reftransV1_0042129","p.persica_gdr_reftransV1_0042129")</f>
        <v>p.persica_gdr_reftransV1_0042129</v>
      </c>
      <c r="B7551" s="3">
        <v>7359</v>
      </c>
      <c r="C7551" s="1" t="str">
        <f>HYPERLINK("http://www.uniprot.org/uniprot/C3H7_ARATH","C3H7_ARATH")</f>
        <v>C3H7_ARATH</v>
      </c>
      <c r="D7551" t="s">
        <v>698</v>
      </c>
      <c r="E7551" s="3" t="s">
        <v>3</v>
      </c>
      <c r="F7551" s="4">
        <v>1.14E-111</v>
      </c>
      <c r="G7551" s="3">
        <v>688</v>
      </c>
      <c r="H7551" s="3">
        <v>66</v>
      </c>
      <c r="I7551" s="3">
        <v>192</v>
      </c>
      <c r="J7551" s="3">
        <v>5505</v>
      </c>
      <c r="K7551" s="3">
        <v>6080</v>
      </c>
      <c r="L7551" s="3">
        <v>185</v>
      </c>
      <c r="M7551" s="3">
        <v>341</v>
      </c>
    </row>
    <row r="7552" spans="1:13" x14ac:dyDescent="0.25">
      <c r="A7552" s="1" t="str">
        <f>HYPERLINK("http://www.rosaceae.org/Prunus/Prunus_persica/p.persica_gdr_reftransV1_0042429","p.persica_gdr_reftransV1_0042429")</f>
        <v>p.persica_gdr_reftransV1_0042429</v>
      </c>
      <c r="B7552" s="3">
        <v>1461</v>
      </c>
      <c r="C7552" s="1" t="str">
        <f>HYPERLINK("http://www.uniprot.org/uniprot/NUBPL_DICDI","NUBPL_DICDI")</f>
        <v>NUBPL_DICDI</v>
      </c>
      <c r="D7552" t="s">
        <v>6000</v>
      </c>
      <c r="E7552" s="3" t="s">
        <v>9</v>
      </c>
      <c r="F7552" s="4">
        <v>4.1899999999999998E-76</v>
      </c>
      <c r="G7552" s="3">
        <v>633</v>
      </c>
      <c r="H7552" s="3">
        <v>55</v>
      </c>
      <c r="I7552" s="3">
        <v>196</v>
      </c>
      <c r="J7552" s="3">
        <v>417</v>
      </c>
      <c r="K7552" s="3">
        <v>1004</v>
      </c>
      <c r="L7552" s="3">
        <v>117</v>
      </c>
      <c r="M7552" s="3">
        <v>312</v>
      </c>
    </row>
    <row r="7553" spans="1:13" x14ac:dyDescent="0.25">
      <c r="A7553" s="1" t="str">
        <f>HYPERLINK("http://www.rosaceae.org/Prunus/Prunus_persica/p.persica_gdr_reftransV1_0042629","p.persica_gdr_reftransV1_0042629")</f>
        <v>p.persica_gdr_reftransV1_0042629</v>
      </c>
      <c r="B7553" s="3">
        <v>1823</v>
      </c>
      <c r="C7553" s="1" t="str">
        <f>HYPERLINK("http://www.uniprot.org/uniprot/EF1G_PRUAV","EF1G_PRUAV")</f>
        <v>EF1G_PRUAV</v>
      </c>
      <c r="D7553" t="s">
        <v>4380</v>
      </c>
      <c r="E7553" s="3" t="s">
        <v>1404</v>
      </c>
      <c r="F7553" s="4">
        <v>0</v>
      </c>
      <c r="G7553" s="3">
        <v>1844</v>
      </c>
      <c r="H7553" s="3">
        <v>98</v>
      </c>
      <c r="I7553" s="3">
        <v>422</v>
      </c>
      <c r="J7553" s="3">
        <v>433</v>
      </c>
      <c r="K7553" s="3">
        <v>1698</v>
      </c>
      <c r="L7553" s="3">
        <v>1</v>
      </c>
      <c r="M7553" s="3">
        <v>422</v>
      </c>
    </row>
    <row r="7554" spans="1:13" x14ac:dyDescent="0.25">
      <c r="A7554" s="1" t="str">
        <f>HYPERLINK("http://www.rosaceae.org/Prunus/Prunus_persica/p.persica_gdr_reftransV1_0042829","p.persica_gdr_reftransV1_0042829")</f>
        <v>p.persica_gdr_reftransV1_0042829</v>
      </c>
      <c r="B7554" s="3">
        <v>3169</v>
      </c>
      <c r="C7554" s="1" t="str">
        <f>HYPERLINK("http://www.uniprot.org/uniprot/UBP1B_ARATH","UBP1B_ARATH")</f>
        <v>UBP1B_ARATH</v>
      </c>
      <c r="D7554" t="s">
        <v>6001</v>
      </c>
      <c r="E7554" s="3" t="s">
        <v>3</v>
      </c>
      <c r="F7554" s="4">
        <v>0</v>
      </c>
      <c r="G7554" s="3">
        <v>1771</v>
      </c>
      <c r="H7554" s="3">
        <v>85</v>
      </c>
      <c r="I7554" s="3">
        <v>392</v>
      </c>
      <c r="J7554" s="3">
        <v>200</v>
      </c>
      <c r="K7554" s="3">
        <v>1372</v>
      </c>
      <c r="L7554" s="3">
        <v>24</v>
      </c>
      <c r="M7554" s="3">
        <v>412</v>
      </c>
    </row>
    <row r="7555" spans="1:13" x14ac:dyDescent="0.25">
      <c r="A7555" s="1" t="str">
        <f>HYPERLINK("http://www.rosaceae.org/Prunus/Prunus_persica/p.persica_gdr_reftransV1_0043029","p.persica_gdr_reftransV1_0043029")</f>
        <v>p.persica_gdr_reftransV1_0043029</v>
      </c>
      <c r="B7555" s="3">
        <v>467</v>
      </c>
      <c r="C7555" s="1" t="str">
        <f>HYPERLINK("http://www.uniprot.org/uniprot/MYH1_BOVIN","MYH1_BOVIN")</f>
        <v>MYH1_BOVIN</v>
      </c>
      <c r="D7555" t="s">
        <v>6002</v>
      </c>
      <c r="E7555" s="3" t="s">
        <v>184</v>
      </c>
      <c r="F7555" s="4">
        <v>7.6099999999999996E-94</v>
      </c>
      <c r="G7555" s="3">
        <v>776</v>
      </c>
      <c r="H7555" s="3">
        <v>99</v>
      </c>
      <c r="I7555" s="3">
        <v>155</v>
      </c>
      <c r="J7555" s="3">
        <v>1</v>
      </c>
      <c r="K7555" s="3">
        <v>465</v>
      </c>
      <c r="L7555" s="3">
        <v>1600</v>
      </c>
      <c r="M7555" s="3">
        <v>1754</v>
      </c>
    </row>
    <row r="7556" spans="1:13" x14ac:dyDescent="0.25">
      <c r="A7556" s="1" t="str">
        <f>HYPERLINK("http://www.rosaceae.org/Prunus/Prunus_persica/p.persica_gdr_reftransV1_0043079","p.persica_gdr_reftransV1_0043079")</f>
        <v>p.persica_gdr_reftransV1_0043079</v>
      </c>
      <c r="B7556" s="3">
        <v>2068</v>
      </c>
      <c r="C7556" s="1" t="str">
        <f>HYPERLINK("http://www.uniprot.org/uniprot/Y5262_ARATH","Y5262_ARATH")</f>
        <v>Y5262_ARATH</v>
      </c>
      <c r="D7556" t="s">
        <v>399</v>
      </c>
      <c r="E7556" s="3" t="s">
        <v>3</v>
      </c>
      <c r="F7556" s="4">
        <v>9.7999999999999998E-26</v>
      </c>
      <c r="G7556" s="3">
        <v>288</v>
      </c>
      <c r="H7556" s="3">
        <v>33</v>
      </c>
      <c r="I7556" s="3">
        <v>258</v>
      </c>
      <c r="J7556" s="3">
        <v>846</v>
      </c>
      <c r="K7556" s="3">
        <v>1604</v>
      </c>
      <c r="L7556" s="3">
        <v>17</v>
      </c>
      <c r="M7556" s="3">
        <v>267</v>
      </c>
    </row>
    <row r="7557" spans="1:13" x14ac:dyDescent="0.25">
      <c r="A7557" s="1" t="str">
        <f>HYPERLINK("http://www.rosaceae.org/Prunus/Prunus_persica/p.persica_gdr_reftransV1_0043129","p.persica_gdr_reftransV1_0043129")</f>
        <v>p.persica_gdr_reftransV1_0043129</v>
      </c>
      <c r="B7557" s="3">
        <v>798</v>
      </c>
      <c r="C7557" s="1" t="str">
        <f>HYPERLINK("http://www.uniprot.org/uniprot/SACS_HUMAN","SACS_HUMAN")</f>
        <v>SACS_HUMAN</v>
      </c>
      <c r="D7557" t="s">
        <v>756</v>
      </c>
      <c r="E7557" s="3" t="s">
        <v>28</v>
      </c>
      <c r="F7557" s="4">
        <v>3.06E-15</v>
      </c>
      <c r="G7557" s="3">
        <v>195</v>
      </c>
      <c r="H7557" s="3">
        <v>29</v>
      </c>
      <c r="I7557" s="3">
        <v>263</v>
      </c>
      <c r="J7557" s="3">
        <v>4</v>
      </c>
      <c r="K7557" s="3">
        <v>774</v>
      </c>
      <c r="L7557" s="3">
        <v>287</v>
      </c>
      <c r="M7557" s="3">
        <v>509</v>
      </c>
    </row>
    <row r="7558" spans="1:13" x14ac:dyDescent="0.25">
      <c r="A7558" s="1" t="str">
        <f>HYPERLINK("http://www.rosaceae.org/Prunus/Prunus_persica/p.persica_gdr_reftransV1_0043179","p.persica_gdr_reftransV1_0043179")</f>
        <v>p.persica_gdr_reftransV1_0043179</v>
      </c>
      <c r="B7558" s="3">
        <v>1010</v>
      </c>
      <c r="C7558" s="1" t="str">
        <f>HYPERLINK("http://www.uniprot.org/uniprot/VPS29_ARATH","VPS29_ARATH")</f>
        <v>VPS29_ARATH</v>
      </c>
      <c r="D7558" t="s">
        <v>6003</v>
      </c>
      <c r="E7558" s="3" t="s">
        <v>3</v>
      </c>
      <c r="F7558" s="4">
        <v>3.0099999999999999E-118</v>
      </c>
      <c r="G7558" s="3">
        <v>888</v>
      </c>
      <c r="H7558" s="3">
        <v>87</v>
      </c>
      <c r="I7558" s="3">
        <v>189</v>
      </c>
      <c r="J7558" s="3">
        <v>277</v>
      </c>
      <c r="K7558" s="3">
        <v>843</v>
      </c>
      <c r="L7558" s="3">
        <v>1</v>
      </c>
      <c r="M7558" s="3">
        <v>189</v>
      </c>
    </row>
    <row r="7559" spans="1:13" x14ac:dyDescent="0.25">
      <c r="A7559" s="1" t="str">
        <f>HYPERLINK("http://www.rosaceae.org/Prunus/Prunus_persica/p.persica_gdr_reftransV1_0043229","p.persica_gdr_reftransV1_0043229")</f>
        <v>p.persica_gdr_reftransV1_0043229</v>
      </c>
      <c r="B7559" s="3">
        <v>708</v>
      </c>
      <c r="C7559" s="1" t="str">
        <f>HYPERLINK("http://www.uniprot.org/uniprot/NDUAC_ARATH","NDUAC_ARATH")</f>
        <v>NDUAC_ARATH</v>
      </c>
      <c r="D7559" t="s">
        <v>6004</v>
      </c>
      <c r="E7559" s="3" t="s">
        <v>3</v>
      </c>
      <c r="F7559" s="4">
        <v>1.04E-83</v>
      </c>
      <c r="G7559" s="3">
        <v>646</v>
      </c>
      <c r="H7559" s="3">
        <v>75</v>
      </c>
      <c r="I7559" s="3">
        <v>154</v>
      </c>
      <c r="J7559" s="3">
        <v>218</v>
      </c>
      <c r="K7559" s="3">
        <v>676</v>
      </c>
      <c r="L7559" s="3">
        <v>4</v>
      </c>
      <c r="M7559" s="3">
        <v>157</v>
      </c>
    </row>
    <row r="7560" spans="1:13" x14ac:dyDescent="0.25">
      <c r="A7560" s="1" t="str">
        <f>HYPERLINK("http://www.rosaceae.org/Prunus/Prunus_persica/p.persica_gdr_reftransV1_0043279","p.persica_gdr_reftransV1_0043279")</f>
        <v>p.persica_gdr_reftransV1_0043279</v>
      </c>
      <c r="B7560" s="3">
        <v>1020</v>
      </c>
      <c r="C7560" s="1" t="str">
        <f>HYPERLINK("http://www.uniprot.org/uniprot/TLP_PRUAV","TLP_PRUAV")</f>
        <v>TLP_PRUAV</v>
      </c>
      <c r="D7560" t="s">
        <v>6005</v>
      </c>
      <c r="E7560" s="3" t="s">
        <v>1404</v>
      </c>
      <c r="F7560" s="4">
        <v>3.7100000000000003E-163</v>
      </c>
      <c r="G7560" s="3">
        <v>1190</v>
      </c>
      <c r="H7560" s="3">
        <v>92</v>
      </c>
      <c r="I7560" s="3">
        <v>245</v>
      </c>
      <c r="J7560" s="3">
        <v>20</v>
      </c>
      <c r="K7560" s="3">
        <v>754</v>
      </c>
      <c r="L7560" s="3">
        <v>1</v>
      </c>
      <c r="M7560" s="3">
        <v>245</v>
      </c>
    </row>
    <row r="7561" spans="1:13" x14ac:dyDescent="0.25">
      <c r="A7561" s="1" t="str">
        <f>HYPERLINK("http://www.rosaceae.org/Prunus/Prunus_persica/p.persica_gdr_reftransV1_0043379","p.persica_gdr_reftransV1_0043379")</f>
        <v>p.persica_gdr_reftransV1_0043379</v>
      </c>
      <c r="B7561" s="3">
        <v>1108</v>
      </c>
      <c r="C7561" s="1" t="str">
        <f>HYPERLINK("http://www.uniprot.org/uniprot/Y4862_ARATH","Y4862_ARATH")</f>
        <v>Y4862_ARATH</v>
      </c>
      <c r="D7561" t="s">
        <v>1186</v>
      </c>
      <c r="E7561" s="3" t="s">
        <v>3</v>
      </c>
      <c r="F7561" s="4">
        <v>4.5799999999999998E-29</v>
      </c>
      <c r="G7561" s="3">
        <v>310</v>
      </c>
      <c r="H7561" s="3">
        <v>35</v>
      </c>
      <c r="I7561" s="3">
        <v>285</v>
      </c>
      <c r="J7561" s="3">
        <v>161</v>
      </c>
      <c r="K7561" s="3">
        <v>1009</v>
      </c>
      <c r="L7561" s="3">
        <v>792</v>
      </c>
      <c r="M7561" s="3">
        <v>1050</v>
      </c>
    </row>
    <row r="7562" spans="1:13" x14ac:dyDescent="0.25">
      <c r="A7562" s="1" t="str">
        <f>HYPERLINK("http://www.rosaceae.org/Prunus/Prunus_persica/p.persica_gdr_reftransV1_0043529","p.persica_gdr_reftransV1_0043529")</f>
        <v>p.persica_gdr_reftransV1_0043529</v>
      </c>
      <c r="B7562" s="3">
        <v>1832</v>
      </c>
      <c r="C7562" s="1" t="str">
        <f>HYPERLINK("http://www.uniprot.org/uniprot/NUDT8_ARATH","NUDT8_ARATH")</f>
        <v>NUDT8_ARATH</v>
      </c>
      <c r="D7562" t="s">
        <v>1384</v>
      </c>
      <c r="E7562" s="3" t="s">
        <v>3</v>
      </c>
      <c r="F7562" s="4">
        <v>2.2000000000000002E-142</v>
      </c>
      <c r="G7562" s="3">
        <v>1092</v>
      </c>
      <c r="H7562" s="3">
        <v>61</v>
      </c>
      <c r="I7562" s="3">
        <v>361</v>
      </c>
      <c r="J7562" s="3">
        <v>493</v>
      </c>
      <c r="K7562" s="3">
        <v>1566</v>
      </c>
      <c r="L7562" s="3">
        <v>15</v>
      </c>
      <c r="M7562" s="3">
        <v>363</v>
      </c>
    </row>
    <row r="7563" spans="1:13" x14ac:dyDescent="0.25">
      <c r="A7563" s="1" t="str">
        <f>HYPERLINK("http://www.rosaceae.org/Prunus/Prunus_persica/p.persica_gdr_reftransV1_0043579","p.persica_gdr_reftransV1_0043579")</f>
        <v>p.persica_gdr_reftransV1_0043579</v>
      </c>
      <c r="B7563" s="3">
        <v>2054</v>
      </c>
      <c r="C7563" s="1" t="str">
        <f>HYPERLINK("http://www.uniprot.org/uniprot/PPA27_ARATH","PPA27_ARATH")</f>
        <v>PPA27_ARATH</v>
      </c>
      <c r="D7563" t="s">
        <v>1364</v>
      </c>
      <c r="E7563" s="3" t="s">
        <v>3</v>
      </c>
      <c r="F7563" s="4">
        <v>0</v>
      </c>
      <c r="G7563" s="3">
        <v>2197</v>
      </c>
      <c r="H7563" s="3">
        <v>70</v>
      </c>
      <c r="I7563" s="3">
        <v>609</v>
      </c>
      <c r="J7563" s="3">
        <v>53</v>
      </c>
      <c r="K7563" s="3">
        <v>1876</v>
      </c>
      <c r="L7563" s="3">
        <v>6</v>
      </c>
      <c r="M7563" s="3">
        <v>611</v>
      </c>
    </row>
    <row r="7564" spans="1:13" x14ac:dyDescent="0.25">
      <c r="A7564" s="1" t="str">
        <f>HYPERLINK("http://www.rosaceae.org/Prunus/Prunus_persica/p.persica_gdr_reftransV1_0043629","p.persica_gdr_reftransV1_0043629")</f>
        <v>p.persica_gdr_reftransV1_0043629</v>
      </c>
      <c r="B7564" s="3">
        <v>1058</v>
      </c>
      <c r="C7564" s="1" t="str">
        <f>HYPERLINK("http://www.uniprot.org/uniprot/NADHK_ARATH","NADHK_ARATH")</f>
        <v>NADHK_ARATH</v>
      </c>
      <c r="D7564" t="s">
        <v>1893</v>
      </c>
      <c r="E7564" s="3" t="s">
        <v>3</v>
      </c>
      <c r="F7564" s="4">
        <v>2.46E-118</v>
      </c>
      <c r="G7564" s="3">
        <v>902</v>
      </c>
      <c r="H7564" s="3">
        <v>64</v>
      </c>
      <c r="I7564" s="3">
        <v>294</v>
      </c>
      <c r="J7564" s="3">
        <v>179</v>
      </c>
      <c r="K7564" s="3">
        <v>1057</v>
      </c>
      <c r="L7564" s="3">
        <v>22</v>
      </c>
      <c r="M7564" s="3">
        <v>313</v>
      </c>
    </row>
    <row r="7565" spans="1:13" x14ac:dyDescent="0.25">
      <c r="A7565" s="1" t="str">
        <f>HYPERLINK("http://www.rosaceae.org/Prunus/Prunus_persica/p.persica_gdr_reftransV1_0043729","p.persica_gdr_reftransV1_0043729")</f>
        <v>p.persica_gdr_reftransV1_0043729</v>
      </c>
      <c r="B7565" s="3">
        <v>3430</v>
      </c>
      <c r="C7565" s="1" t="str">
        <f>HYPERLINK("http://www.uniprot.org/uniprot/CLPB3_ARATH","CLPB3_ARATH")</f>
        <v>CLPB3_ARATH</v>
      </c>
      <c r="D7565" t="s">
        <v>6006</v>
      </c>
      <c r="E7565" s="3" t="s">
        <v>3</v>
      </c>
      <c r="F7565" s="4">
        <v>0</v>
      </c>
      <c r="G7565" s="3">
        <v>4200</v>
      </c>
      <c r="H7565" s="3">
        <v>85</v>
      </c>
      <c r="I7565" s="3">
        <v>953</v>
      </c>
      <c r="J7565" s="3">
        <v>265</v>
      </c>
      <c r="K7565" s="3">
        <v>3108</v>
      </c>
      <c r="L7565" s="3">
        <v>25</v>
      </c>
      <c r="M7565" s="3">
        <v>964</v>
      </c>
    </row>
    <row r="7566" spans="1:13" x14ac:dyDescent="0.25">
      <c r="A7566" s="1" t="str">
        <f>HYPERLINK("http://www.rosaceae.org/Prunus/Prunus_persica/p.persica_gdr_reftransV1_0043829","p.persica_gdr_reftransV1_0043829")</f>
        <v>p.persica_gdr_reftransV1_0043829</v>
      </c>
      <c r="B7566" s="3">
        <v>1208</v>
      </c>
      <c r="C7566" s="1" t="str">
        <f>HYPERLINK("http://www.uniprot.org/uniprot/IQD1_ARATH","IQD1_ARATH")</f>
        <v>IQD1_ARATH</v>
      </c>
      <c r="D7566" t="s">
        <v>4422</v>
      </c>
      <c r="E7566" s="3" t="s">
        <v>3</v>
      </c>
      <c r="F7566" s="4">
        <v>1.0900000000000001E-20</v>
      </c>
      <c r="G7566" s="3">
        <v>240</v>
      </c>
      <c r="H7566" s="3">
        <v>33</v>
      </c>
      <c r="I7566" s="3">
        <v>216</v>
      </c>
      <c r="J7566" s="3">
        <v>66</v>
      </c>
      <c r="K7566" s="3">
        <v>659</v>
      </c>
      <c r="L7566" s="3">
        <v>99</v>
      </c>
      <c r="M7566" s="3">
        <v>294</v>
      </c>
    </row>
    <row r="7567" spans="1:13" x14ac:dyDescent="0.25">
      <c r="A7567" s="1" t="str">
        <f>HYPERLINK("http://www.rosaceae.org/Prunus/Prunus_persica/p.persica_gdr_reftransV1_0043929","p.persica_gdr_reftransV1_0043929")</f>
        <v>p.persica_gdr_reftransV1_0043929</v>
      </c>
      <c r="B7567" s="3">
        <v>504</v>
      </c>
      <c r="C7567" s="1" t="str">
        <f>HYPERLINK("http://www.uniprot.org/uniprot/NDUS7_BRAOL","NDUS7_BRAOL")</f>
        <v>NDUS7_BRAOL</v>
      </c>
      <c r="D7567" t="s">
        <v>6007</v>
      </c>
      <c r="E7567" s="3" t="s">
        <v>1308</v>
      </c>
      <c r="F7567" s="4">
        <v>1.6800000000000001E-40</v>
      </c>
      <c r="G7567" s="3">
        <v>356</v>
      </c>
      <c r="H7567" s="3">
        <v>73</v>
      </c>
      <c r="I7567" s="3">
        <v>125</v>
      </c>
      <c r="J7567" s="3">
        <v>117</v>
      </c>
      <c r="K7567" s="3">
        <v>485</v>
      </c>
      <c r="L7567" s="3">
        <v>1</v>
      </c>
      <c r="M7567" s="3">
        <v>124</v>
      </c>
    </row>
    <row r="7568" spans="1:13" x14ac:dyDescent="0.25">
      <c r="A7568" s="1" t="str">
        <f>HYPERLINK("http://www.rosaceae.org/Prunus/Prunus_persica/p.persica_gdr_reftransV1_0044029","p.persica_gdr_reftransV1_0044029")</f>
        <v>p.persica_gdr_reftransV1_0044029</v>
      </c>
      <c r="B7568" s="3">
        <v>1481</v>
      </c>
      <c r="C7568" s="1" t="str">
        <f>HYPERLINK("http://www.uniprot.org/uniprot/GDL82_ARATH","GDL82_ARATH")</f>
        <v>GDL82_ARATH</v>
      </c>
      <c r="D7568" t="s">
        <v>6008</v>
      </c>
      <c r="E7568" s="3" t="s">
        <v>3</v>
      </c>
      <c r="F7568" s="4">
        <v>0</v>
      </c>
      <c r="G7568" s="3">
        <v>1353</v>
      </c>
      <c r="H7568" s="3">
        <v>72</v>
      </c>
      <c r="I7568" s="3">
        <v>341</v>
      </c>
      <c r="J7568" s="3">
        <v>185</v>
      </c>
      <c r="K7568" s="3">
        <v>1204</v>
      </c>
      <c r="L7568" s="3">
        <v>22</v>
      </c>
      <c r="M7568" s="3">
        <v>362</v>
      </c>
    </row>
    <row r="7569" spans="1:13" x14ac:dyDescent="0.25">
      <c r="A7569" s="1" t="str">
        <f>HYPERLINK("http://www.rosaceae.org/Prunus/Prunus_persica/p.persica_gdr_reftransV1_0044329","p.persica_gdr_reftransV1_0044329")</f>
        <v>p.persica_gdr_reftransV1_0044329</v>
      </c>
      <c r="B7569" s="3">
        <v>700</v>
      </c>
      <c r="C7569" s="1" t="str">
        <f>HYPERLINK("http://www.uniprot.org/uniprot/VIP5_ARATH","VIP5_ARATH")</f>
        <v>VIP5_ARATH</v>
      </c>
      <c r="D7569" t="s">
        <v>5407</v>
      </c>
      <c r="E7569" s="3" t="s">
        <v>3</v>
      </c>
      <c r="F7569" s="4">
        <v>1.9799999999999999E-32</v>
      </c>
      <c r="G7569" s="3">
        <v>322</v>
      </c>
      <c r="H7569" s="3">
        <v>72</v>
      </c>
      <c r="I7569" s="3">
        <v>82</v>
      </c>
      <c r="J7569" s="3">
        <v>54</v>
      </c>
      <c r="K7569" s="3">
        <v>299</v>
      </c>
      <c r="L7569" s="3">
        <v>562</v>
      </c>
      <c r="M7569" s="3">
        <v>643</v>
      </c>
    </row>
    <row r="7570" spans="1:13" x14ac:dyDescent="0.25">
      <c r="A7570" s="1" t="str">
        <f>HYPERLINK("http://www.rosaceae.org/Prunus/Prunus_persica/p.persica_gdr_reftransV1_0044429","p.persica_gdr_reftransV1_0044429")</f>
        <v>p.persica_gdr_reftransV1_0044429</v>
      </c>
      <c r="B7570" s="3">
        <v>943</v>
      </c>
      <c r="C7570" s="1" t="str">
        <f>HYPERLINK("http://www.uniprot.org/uniprot/DNJ49_ARATH","DNJ49_ARATH")</f>
        <v>DNJ49_ARATH</v>
      </c>
      <c r="D7570" t="s">
        <v>4749</v>
      </c>
      <c r="E7570" s="3" t="s">
        <v>3</v>
      </c>
      <c r="F7570" s="4">
        <v>8.2100000000000004E-13</v>
      </c>
      <c r="G7570" s="3">
        <v>174</v>
      </c>
      <c r="H7570" s="3">
        <v>53</v>
      </c>
      <c r="I7570" s="3">
        <v>62</v>
      </c>
      <c r="J7570" s="3">
        <v>584</v>
      </c>
      <c r="K7570" s="3">
        <v>769</v>
      </c>
      <c r="L7570" s="3">
        <v>99</v>
      </c>
      <c r="M7570" s="3">
        <v>160</v>
      </c>
    </row>
    <row r="7571" spans="1:13" x14ac:dyDescent="0.25">
      <c r="A7571" s="1" t="str">
        <f>HYPERLINK("http://www.rosaceae.org/Prunus/Prunus_persica/p.persica_gdr_reftransV1_0044479","p.persica_gdr_reftransV1_0044479")</f>
        <v>p.persica_gdr_reftransV1_0044479</v>
      </c>
      <c r="B7571" s="3">
        <v>1114</v>
      </c>
      <c r="C7571" s="1" t="str">
        <f>HYPERLINK("http://www.uniprot.org/uniprot/BURP3_ORYSJ","BURP3_ORYSJ")</f>
        <v>BURP3_ORYSJ</v>
      </c>
      <c r="D7571" t="s">
        <v>1863</v>
      </c>
      <c r="E7571" s="3" t="s">
        <v>38</v>
      </c>
      <c r="F7571" s="4">
        <v>2.78E-45</v>
      </c>
      <c r="G7571" s="3">
        <v>420</v>
      </c>
      <c r="H7571" s="3">
        <v>42</v>
      </c>
      <c r="I7571" s="3">
        <v>225</v>
      </c>
      <c r="J7571" s="3">
        <v>335</v>
      </c>
      <c r="K7571" s="3">
        <v>1000</v>
      </c>
      <c r="L7571" s="3">
        <v>209</v>
      </c>
      <c r="M7571" s="3">
        <v>428</v>
      </c>
    </row>
    <row r="7572" spans="1:13" x14ac:dyDescent="0.25">
      <c r="A7572" s="1" t="str">
        <f>HYPERLINK("http://www.rosaceae.org/Prunus/Prunus_persica/p.persica_gdr_reftransV1_0044579","p.persica_gdr_reftransV1_0044579")</f>
        <v>p.persica_gdr_reftransV1_0044579</v>
      </c>
      <c r="B7572" s="3">
        <v>1346</v>
      </c>
      <c r="C7572" s="1" t="str">
        <f>HYPERLINK("http://www.uniprot.org/uniprot/APX3_ARATH","APX3_ARATH")</f>
        <v>APX3_ARATH</v>
      </c>
      <c r="D7572" t="s">
        <v>5014</v>
      </c>
      <c r="E7572" s="3" t="s">
        <v>3</v>
      </c>
      <c r="F7572" s="4">
        <v>6.7599999999999999E-152</v>
      </c>
      <c r="G7572" s="3">
        <v>1131</v>
      </c>
      <c r="H7572" s="3">
        <v>77</v>
      </c>
      <c r="I7572" s="3">
        <v>287</v>
      </c>
      <c r="J7572" s="3">
        <v>224</v>
      </c>
      <c r="K7572" s="3">
        <v>1084</v>
      </c>
      <c r="L7572" s="3">
        <v>1</v>
      </c>
      <c r="M7572" s="3">
        <v>287</v>
      </c>
    </row>
    <row r="7573" spans="1:13" x14ac:dyDescent="0.25">
      <c r="A7573" s="1" t="str">
        <f>HYPERLINK("http://www.rosaceae.org/Prunus/Prunus_persica/p.persica_gdr_reftransV1_0044729","p.persica_gdr_reftransV1_0044729")</f>
        <v>p.persica_gdr_reftransV1_0044729</v>
      </c>
      <c r="B7573" s="3">
        <v>1536</v>
      </c>
      <c r="C7573" s="1" t="str">
        <f>HYPERLINK("http://www.uniprot.org/uniprot/BH069_ARATH","BH069_ARATH")</f>
        <v>BH069_ARATH</v>
      </c>
      <c r="D7573" t="s">
        <v>6009</v>
      </c>
      <c r="E7573" s="3" t="s">
        <v>3</v>
      </c>
      <c r="F7573" s="4">
        <v>3.8199999999999998E-15</v>
      </c>
      <c r="G7573" s="3">
        <v>195</v>
      </c>
      <c r="H7573" s="3">
        <v>30</v>
      </c>
      <c r="I7573" s="3">
        <v>189</v>
      </c>
      <c r="J7573" s="3">
        <v>378</v>
      </c>
      <c r="K7573" s="3">
        <v>914</v>
      </c>
      <c r="L7573" s="3">
        <v>81</v>
      </c>
      <c r="M7573" s="3">
        <v>263</v>
      </c>
    </row>
    <row r="7574" spans="1:13" x14ac:dyDescent="0.25">
      <c r="A7574" s="1" t="str">
        <f>HYPERLINK("http://www.rosaceae.org/Prunus/Prunus_persica/p.persica_gdr_reftransV1_0044779","p.persica_gdr_reftransV1_0044779")</f>
        <v>p.persica_gdr_reftransV1_0044779</v>
      </c>
      <c r="B7574" s="3">
        <v>848</v>
      </c>
      <c r="C7574" s="1" t="str">
        <f>HYPERLINK("http://www.uniprot.org/uniprot/IN22_MAIZE","IN22_MAIZE")</f>
        <v>IN22_MAIZE</v>
      </c>
      <c r="D7574" t="s">
        <v>6010</v>
      </c>
      <c r="E7574" s="3" t="s">
        <v>72</v>
      </c>
      <c r="F7574" s="4">
        <v>5.5000000000000001E-130</v>
      </c>
      <c r="G7574" s="3">
        <v>971</v>
      </c>
      <c r="H7574" s="3">
        <v>85</v>
      </c>
      <c r="I7574" s="3">
        <v>227</v>
      </c>
      <c r="J7574" s="3">
        <v>142</v>
      </c>
      <c r="K7574" s="3">
        <v>822</v>
      </c>
      <c r="L7574" s="3">
        <v>8</v>
      </c>
      <c r="M7574" s="3">
        <v>234</v>
      </c>
    </row>
    <row r="7575" spans="1:13" x14ac:dyDescent="0.25">
      <c r="A7575" s="1" t="str">
        <f>HYPERLINK("http://www.rosaceae.org/Prunus/Prunus_persica/p.persica_gdr_reftransV1_0044879","p.persica_gdr_reftransV1_0044879")</f>
        <v>p.persica_gdr_reftransV1_0044879</v>
      </c>
      <c r="B7575" s="3">
        <v>1728</v>
      </c>
      <c r="C7575" s="1" t="str">
        <f>HYPERLINK("http://www.uniprot.org/uniprot/NDHJ_MANES","NDHJ_MANES")</f>
        <v>NDHJ_MANES</v>
      </c>
      <c r="D7575" t="s">
        <v>6011</v>
      </c>
      <c r="E7575" s="3" t="s">
        <v>1797</v>
      </c>
      <c r="F7575" s="4">
        <v>1.8499999999999999E-106</v>
      </c>
      <c r="G7575" s="3">
        <v>828</v>
      </c>
      <c r="H7575" s="3">
        <v>97</v>
      </c>
      <c r="I7575" s="3">
        <v>158</v>
      </c>
      <c r="J7575" s="3">
        <v>750</v>
      </c>
      <c r="K7575" s="3">
        <v>1223</v>
      </c>
      <c r="L7575" s="3">
        <v>1</v>
      </c>
      <c r="M7575" s="3">
        <v>158</v>
      </c>
    </row>
    <row r="7576" spans="1:13" x14ac:dyDescent="0.25">
      <c r="A7576" s="1" t="str">
        <f>HYPERLINK("http://www.rosaceae.org/Prunus/Prunus_persica/p.persica_gdr_reftransV1_0044929","p.persica_gdr_reftransV1_0044929")</f>
        <v>p.persica_gdr_reftransV1_0044929</v>
      </c>
      <c r="B7576" s="3">
        <v>1262</v>
      </c>
      <c r="C7576" s="1" t="str">
        <f>HYPERLINK("http://www.uniprot.org/uniprot/SRC33_ARATH","SRC33_ARATH")</f>
        <v>SRC33_ARATH</v>
      </c>
      <c r="D7576" t="s">
        <v>6012</v>
      </c>
      <c r="E7576" s="3" t="s">
        <v>3</v>
      </c>
      <c r="F7576" s="4">
        <v>4.86E-20</v>
      </c>
      <c r="G7576" s="3">
        <v>230</v>
      </c>
      <c r="H7576" s="3">
        <v>84</v>
      </c>
      <c r="I7576" s="3">
        <v>50</v>
      </c>
      <c r="J7576" s="3">
        <v>519</v>
      </c>
      <c r="K7576" s="3">
        <v>668</v>
      </c>
      <c r="L7576" s="3">
        <v>73</v>
      </c>
      <c r="M7576" s="3">
        <v>122</v>
      </c>
    </row>
    <row r="7577" spans="1:13" x14ac:dyDescent="0.25">
      <c r="A7577" s="1" t="str">
        <f>HYPERLINK("http://www.rosaceae.org/Prunus/Prunus_persica/p.persica_gdr_reftransV1_0044979","p.persica_gdr_reftransV1_0044979")</f>
        <v>p.persica_gdr_reftransV1_0044979</v>
      </c>
      <c r="B7577" s="3">
        <v>928</v>
      </c>
      <c r="C7577" s="1" t="str">
        <f>HYPERLINK("http://www.uniprot.org/uniprot/SR45A_ARATH","SR45A_ARATH")</f>
        <v>SR45A_ARATH</v>
      </c>
      <c r="D7577" t="s">
        <v>6013</v>
      </c>
      <c r="E7577" s="3" t="s">
        <v>3</v>
      </c>
      <c r="F7577" s="4">
        <v>4.1299999999999998E-30</v>
      </c>
      <c r="G7577" s="3">
        <v>305</v>
      </c>
      <c r="H7577" s="3">
        <v>69</v>
      </c>
      <c r="I7577" s="3">
        <v>99</v>
      </c>
      <c r="J7577" s="3">
        <v>128</v>
      </c>
      <c r="K7577" s="3">
        <v>424</v>
      </c>
      <c r="L7577" s="3">
        <v>69</v>
      </c>
      <c r="M7577" s="3">
        <v>167</v>
      </c>
    </row>
    <row r="7578" spans="1:13" x14ac:dyDescent="0.25">
      <c r="A7578" s="1" t="str">
        <f>HYPERLINK("http://www.rosaceae.org/Prunus/Prunus_persica/p.persica_gdr_reftransV1_0045079","p.persica_gdr_reftransV1_0045079")</f>
        <v>p.persica_gdr_reftransV1_0045079</v>
      </c>
      <c r="B7578" s="3">
        <v>3341</v>
      </c>
      <c r="C7578" s="1" t="str">
        <f>HYPERLINK("http://www.uniprot.org/uniprot/HDG2_ARATH","HDG2_ARATH")</f>
        <v>HDG2_ARATH</v>
      </c>
      <c r="D7578" t="s">
        <v>6014</v>
      </c>
      <c r="E7578" s="3" t="s">
        <v>3</v>
      </c>
      <c r="F7578" s="4">
        <v>0</v>
      </c>
      <c r="G7578" s="3">
        <v>2807</v>
      </c>
      <c r="H7578" s="3">
        <v>80</v>
      </c>
      <c r="I7578" s="3">
        <v>704</v>
      </c>
      <c r="J7578" s="3">
        <v>890</v>
      </c>
      <c r="K7578" s="3">
        <v>2977</v>
      </c>
      <c r="L7578" s="3">
        <v>32</v>
      </c>
      <c r="M7578" s="3">
        <v>721</v>
      </c>
    </row>
    <row r="7579" spans="1:13" x14ac:dyDescent="0.25">
      <c r="A7579" s="1" t="str">
        <f>HYPERLINK("http://www.rosaceae.org/Prunus/Prunus_persica/p.persica_gdr_reftransV1_0045129","p.persica_gdr_reftransV1_0045129")</f>
        <v>p.persica_gdr_reftransV1_0045129</v>
      </c>
      <c r="B7579" s="3">
        <v>1228</v>
      </c>
      <c r="C7579" s="1" t="str">
        <f>HYPERLINK("http://www.uniprot.org/uniprot/RL25_CAUCR","RL25_CAUCR")</f>
        <v>RL25_CAUCR</v>
      </c>
      <c r="D7579" t="s">
        <v>6015</v>
      </c>
      <c r="E7579" s="3" t="s">
        <v>6016</v>
      </c>
      <c r="F7579" s="4">
        <v>2.52E-20</v>
      </c>
      <c r="G7579" s="3">
        <v>227</v>
      </c>
      <c r="H7579" s="3">
        <v>28</v>
      </c>
      <c r="I7579" s="3">
        <v>206</v>
      </c>
      <c r="J7579" s="3">
        <v>360</v>
      </c>
      <c r="K7579" s="3">
        <v>968</v>
      </c>
      <c r="L7579" s="3">
        <v>2</v>
      </c>
      <c r="M7579" s="3">
        <v>189</v>
      </c>
    </row>
    <row r="7580" spans="1:13" x14ac:dyDescent="0.25">
      <c r="A7580" s="1" t="str">
        <f>HYPERLINK("http://www.rosaceae.org/Prunus/Prunus_persica/p.persica_gdr_reftransV1_0045179","p.persica_gdr_reftransV1_0045179")</f>
        <v>p.persica_gdr_reftransV1_0045179</v>
      </c>
      <c r="B7580" s="3">
        <v>1646</v>
      </c>
      <c r="C7580" s="1" t="str">
        <f>HYPERLINK("http://www.uniprot.org/uniprot/C3H46_ORYSJ","C3H46_ORYSJ")</f>
        <v>C3H46_ORYSJ</v>
      </c>
      <c r="D7580" t="s">
        <v>6017</v>
      </c>
      <c r="E7580" s="3" t="s">
        <v>38</v>
      </c>
      <c r="F7580" s="4">
        <v>3.0200000000000002E-54</v>
      </c>
      <c r="G7580" s="3">
        <v>492</v>
      </c>
      <c r="H7580" s="3">
        <v>37</v>
      </c>
      <c r="I7580" s="3">
        <v>400</v>
      </c>
      <c r="J7580" s="3">
        <v>163</v>
      </c>
      <c r="K7580" s="3">
        <v>1212</v>
      </c>
      <c r="L7580" s="3">
        <v>1</v>
      </c>
      <c r="M7580" s="3">
        <v>382</v>
      </c>
    </row>
    <row r="7581" spans="1:13" x14ac:dyDescent="0.25">
      <c r="A7581" s="1" t="str">
        <f>HYPERLINK("http://www.rosaceae.org/Prunus/Prunus_persica/p.persica_gdr_reftransV1_0045329","p.persica_gdr_reftransV1_0045329")</f>
        <v>p.persica_gdr_reftransV1_0045329</v>
      </c>
      <c r="B7581" s="3">
        <v>596</v>
      </c>
      <c r="C7581" s="1" t="str">
        <f>HYPERLINK("http://www.uniprot.org/uniprot/C90B1_ARATH","C90B1_ARATH")</f>
        <v>C90B1_ARATH</v>
      </c>
      <c r="D7581" t="s">
        <v>1541</v>
      </c>
      <c r="E7581" s="3" t="s">
        <v>3</v>
      </c>
      <c r="F7581" s="4">
        <v>2.9600000000000002E-98</v>
      </c>
      <c r="G7581" s="3">
        <v>770</v>
      </c>
      <c r="H7581" s="3">
        <v>77</v>
      </c>
      <c r="I7581" s="3">
        <v>199</v>
      </c>
      <c r="J7581" s="3">
        <v>4</v>
      </c>
      <c r="K7581" s="3">
        <v>594</v>
      </c>
      <c r="L7581" s="3">
        <v>314</v>
      </c>
      <c r="M7581" s="3">
        <v>511</v>
      </c>
    </row>
    <row r="7582" spans="1:13" x14ac:dyDescent="0.25">
      <c r="A7582" s="1" t="str">
        <f>HYPERLINK("http://www.rosaceae.org/Prunus/Prunus_persica/p.persica_gdr_reftransV1_0045479","p.persica_gdr_reftransV1_0045479")</f>
        <v>p.persica_gdr_reftransV1_0045479</v>
      </c>
      <c r="B7582" s="3">
        <v>519</v>
      </c>
      <c r="C7582" s="1" t="str">
        <f>HYPERLINK("http://www.uniprot.org/uniprot/DOF58_ARATH","DOF58_ARATH")</f>
        <v>DOF58_ARATH</v>
      </c>
      <c r="D7582" t="s">
        <v>6018</v>
      </c>
      <c r="E7582" s="3" t="s">
        <v>3</v>
      </c>
      <c r="F7582" s="4">
        <v>2.6600000000000001E-28</v>
      </c>
      <c r="G7582" s="3">
        <v>275</v>
      </c>
      <c r="H7582" s="3">
        <v>64</v>
      </c>
      <c r="I7582" s="3">
        <v>76</v>
      </c>
      <c r="J7582" s="3">
        <v>292</v>
      </c>
      <c r="K7582" s="3">
        <v>519</v>
      </c>
      <c r="L7582" s="3">
        <v>1</v>
      </c>
      <c r="M7582" s="3">
        <v>76</v>
      </c>
    </row>
    <row r="7583" spans="1:13" x14ac:dyDescent="0.25">
      <c r="A7583" s="1" t="str">
        <f>HYPERLINK("http://www.rosaceae.org/Prunus/Prunus_persica/p.persica_gdr_reftransV1_0045579","p.persica_gdr_reftransV1_0045579")</f>
        <v>p.persica_gdr_reftransV1_0045579</v>
      </c>
      <c r="B7583" s="3">
        <v>764</v>
      </c>
      <c r="C7583" s="1" t="str">
        <f>HYPERLINK("http://www.uniprot.org/uniprot/PST2_GOSHI","PST2_GOSHI")</f>
        <v>PST2_GOSHI</v>
      </c>
      <c r="D7583" t="s">
        <v>6019</v>
      </c>
      <c r="E7583" s="3" t="s">
        <v>816</v>
      </c>
      <c r="F7583" s="4">
        <v>1.9700000000000001E-14</v>
      </c>
      <c r="G7583" s="3">
        <v>173</v>
      </c>
      <c r="H7583" s="3">
        <v>52</v>
      </c>
      <c r="I7583" s="3">
        <v>107</v>
      </c>
      <c r="J7583" s="3">
        <v>148</v>
      </c>
      <c r="K7583" s="3">
        <v>468</v>
      </c>
      <c r="L7583" s="3">
        <v>1</v>
      </c>
      <c r="M7583" s="3">
        <v>105</v>
      </c>
    </row>
    <row r="7584" spans="1:13" x14ac:dyDescent="0.25">
      <c r="A7584" s="1" t="str">
        <f>HYPERLINK("http://www.rosaceae.org/Prunus/Prunus_persica/p.persica_gdr_reftransV1_0045629","p.persica_gdr_reftransV1_0045629")</f>
        <v>p.persica_gdr_reftransV1_0045629</v>
      </c>
      <c r="B7584" s="3">
        <v>1216</v>
      </c>
      <c r="C7584" s="1" t="str">
        <f>HYPERLINK("http://www.uniprot.org/uniprot/GBLP_SOYBN","GBLP_SOYBN")</f>
        <v>GBLP_SOYBN</v>
      </c>
      <c r="D7584" t="s">
        <v>6020</v>
      </c>
      <c r="E7584" s="3" t="s">
        <v>307</v>
      </c>
      <c r="F7584" s="4">
        <v>0</v>
      </c>
      <c r="G7584" s="3">
        <v>1524</v>
      </c>
      <c r="H7584" s="3">
        <v>88</v>
      </c>
      <c r="I7584" s="3">
        <v>327</v>
      </c>
      <c r="J7584" s="3">
        <v>103</v>
      </c>
      <c r="K7584" s="3">
        <v>1083</v>
      </c>
      <c r="L7584" s="3">
        <v>1</v>
      </c>
      <c r="M7584" s="3">
        <v>325</v>
      </c>
    </row>
    <row r="7585" spans="1:13" x14ac:dyDescent="0.25">
      <c r="A7585" s="1" t="str">
        <f>HYPERLINK("http://www.rosaceae.org/Prunus/Prunus_persica/p.persica_gdr_reftransV1_0045729","p.persica_gdr_reftransV1_0045729")</f>
        <v>p.persica_gdr_reftransV1_0045729</v>
      </c>
      <c r="B7585" s="3">
        <v>818</v>
      </c>
      <c r="C7585" s="1" t="str">
        <f>HYPERLINK("http://www.uniprot.org/uniprot/NACA_PINTA","NACA_PINTA")</f>
        <v>NACA_PINTA</v>
      </c>
      <c r="D7585" t="s">
        <v>0</v>
      </c>
      <c r="E7585" s="3" t="s">
        <v>1</v>
      </c>
      <c r="F7585" s="4">
        <v>2.9800000000000001E-77</v>
      </c>
      <c r="G7585" s="3">
        <v>611</v>
      </c>
      <c r="H7585" s="3">
        <v>85</v>
      </c>
      <c r="I7585" s="3">
        <v>157</v>
      </c>
      <c r="J7585" s="3">
        <v>67</v>
      </c>
      <c r="K7585" s="3">
        <v>534</v>
      </c>
      <c r="L7585" s="3">
        <v>50</v>
      </c>
      <c r="M7585" s="3">
        <v>204</v>
      </c>
    </row>
    <row r="7586" spans="1:13" x14ac:dyDescent="0.25">
      <c r="A7586" s="1" t="str">
        <f>HYPERLINK("http://www.rosaceae.org/Prunus/Prunus_persica/p.persica_gdr_reftransV1_0045779","p.persica_gdr_reftransV1_0045779")</f>
        <v>p.persica_gdr_reftransV1_0045779</v>
      </c>
      <c r="B7586" s="3">
        <v>1780</v>
      </c>
      <c r="C7586" s="1" t="str">
        <f>HYPERLINK("http://www.uniprot.org/uniprot/TLP1_PRUPE","TLP1_PRUPE")</f>
        <v>TLP1_PRUPE</v>
      </c>
      <c r="D7586" t="s">
        <v>3178</v>
      </c>
      <c r="E7586" s="3" t="s">
        <v>784</v>
      </c>
      <c r="F7586" s="4">
        <v>1.9300000000000001E-65</v>
      </c>
      <c r="G7586" s="3">
        <v>561</v>
      </c>
      <c r="H7586" s="3">
        <v>55</v>
      </c>
      <c r="I7586" s="3">
        <v>226</v>
      </c>
      <c r="J7586" s="3">
        <v>807</v>
      </c>
      <c r="K7586" s="3">
        <v>1466</v>
      </c>
      <c r="L7586" s="3">
        <v>21</v>
      </c>
      <c r="M7586" s="3">
        <v>246</v>
      </c>
    </row>
    <row r="7587" spans="1:13" x14ac:dyDescent="0.25">
      <c r="A7587" s="1" t="str">
        <f>HYPERLINK("http://www.rosaceae.org/Prunus/Prunus_persica/p.persica_gdr_reftransV1_0045829","p.persica_gdr_reftransV1_0045829")</f>
        <v>p.persica_gdr_reftransV1_0045829</v>
      </c>
      <c r="B7587" s="3">
        <v>2299</v>
      </c>
      <c r="C7587" s="1" t="str">
        <f>HYPERLINK("http://www.uniprot.org/uniprot/CDPK4_ARATH","CDPK4_ARATH")</f>
        <v>CDPK4_ARATH</v>
      </c>
      <c r="D7587" t="s">
        <v>6021</v>
      </c>
      <c r="E7587" s="3" t="s">
        <v>3</v>
      </c>
      <c r="F7587" s="4">
        <v>0</v>
      </c>
      <c r="G7587" s="3">
        <v>2032</v>
      </c>
      <c r="H7587" s="3">
        <v>77</v>
      </c>
      <c r="I7587" s="3">
        <v>482</v>
      </c>
      <c r="J7587" s="3">
        <v>607</v>
      </c>
      <c r="K7587" s="3">
        <v>2052</v>
      </c>
      <c r="L7587" s="3">
        <v>11</v>
      </c>
      <c r="M7587" s="3">
        <v>491</v>
      </c>
    </row>
    <row r="7588" spans="1:13" x14ac:dyDescent="0.25">
      <c r="A7588" s="1" t="str">
        <f>HYPERLINK("http://www.rosaceae.org/Prunus/Prunus_persica/p.persica_gdr_reftransV1_0045879","p.persica_gdr_reftransV1_0045879")</f>
        <v>p.persica_gdr_reftransV1_0045879</v>
      </c>
      <c r="B7588" s="3">
        <v>678</v>
      </c>
      <c r="C7588" s="1" t="str">
        <f>HYPERLINK("http://www.uniprot.org/uniprot/KAD6_ARATH","KAD6_ARATH")</f>
        <v>KAD6_ARATH</v>
      </c>
      <c r="D7588" t="s">
        <v>2462</v>
      </c>
      <c r="E7588" s="3" t="s">
        <v>3</v>
      </c>
      <c r="F7588" s="4">
        <v>1.06E-73</v>
      </c>
      <c r="G7588" s="3">
        <v>580</v>
      </c>
      <c r="H7588" s="3">
        <v>68</v>
      </c>
      <c r="I7588" s="3">
        <v>168</v>
      </c>
      <c r="J7588" s="3">
        <v>143</v>
      </c>
      <c r="K7588" s="3">
        <v>646</v>
      </c>
      <c r="L7588" s="3">
        <v>11</v>
      </c>
      <c r="M7588" s="3">
        <v>178</v>
      </c>
    </row>
    <row r="7589" spans="1:13" x14ac:dyDescent="0.25">
      <c r="A7589" s="1" t="str">
        <f>HYPERLINK("http://www.rosaceae.org/Prunus/Prunus_persica/p.persica_gdr_reftransV1_0046029","p.persica_gdr_reftransV1_0046029")</f>
        <v>p.persica_gdr_reftransV1_0046029</v>
      </c>
      <c r="B7589" s="3">
        <v>1957</v>
      </c>
      <c r="C7589" s="1" t="str">
        <f>HYPERLINK("http://www.uniprot.org/uniprot/PUS3_BOVIN","PUS3_BOVIN")</f>
        <v>PUS3_BOVIN</v>
      </c>
      <c r="D7589" t="s">
        <v>5557</v>
      </c>
      <c r="E7589" s="3" t="s">
        <v>184</v>
      </c>
      <c r="F7589" s="4">
        <v>1.44E-81</v>
      </c>
      <c r="G7589" s="3">
        <v>695</v>
      </c>
      <c r="H7589" s="3">
        <v>38</v>
      </c>
      <c r="I7589" s="3">
        <v>449</v>
      </c>
      <c r="J7589" s="3">
        <v>449</v>
      </c>
      <c r="K7589" s="3">
        <v>1702</v>
      </c>
      <c r="L7589" s="3">
        <v>11</v>
      </c>
      <c r="M7589" s="3">
        <v>426</v>
      </c>
    </row>
    <row r="7590" spans="1:13" x14ac:dyDescent="0.25">
      <c r="A7590" s="1" t="str">
        <f>HYPERLINK("http://www.rosaceae.org/Prunus/Prunus_persica/p.persica_gdr_reftransV1_0046079","p.persica_gdr_reftransV1_0046079")</f>
        <v>p.persica_gdr_reftransV1_0046079</v>
      </c>
      <c r="B7590" s="3">
        <v>489</v>
      </c>
      <c r="C7590" s="1" t="str">
        <f>HYPERLINK("http://www.uniprot.org/uniprot/SMO11_ARATH","SMO11_ARATH")</f>
        <v>SMO11_ARATH</v>
      </c>
      <c r="D7590" t="s">
        <v>2993</v>
      </c>
      <c r="E7590" s="3" t="s">
        <v>3</v>
      </c>
      <c r="F7590" s="4">
        <v>4.1599999999999999E-40</v>
      </c>
      <c r="G7590" s="3">
        <v>359</v>
      </c>
      <c r="H7590" s="3">
        <v>68</v>
      </c>
      <c r="I7590" s="3">
        <v>108</v>
      </c>
      <c r="J7590" s="3">
        <v>75</v>
      </c>
      <c r="K7590" s="3">
        <v>392</v>
      </c>
      <c r="L7590" s="3">
        <v>1</v>
      </c>
      <c r="M7590" s="3">
        <v>108</v>
      </c>
    </row>
    <row r="7591" spans="1:13" x14ac:dyDescent="0.25">
      <c r="A7591" s="1" t="str">
        <f>HYPERLINK("http://www.rosaceae.org/Prunus/Prunus_persica/p.persica_gdr_reftransV1_0046329","p.persica_gdr_reftransV1_0046329")</f>
        <v>p.persica_gdr_reftransV1_0046329</v>
      </c>
      <c r="B7591" s="3">
        <v>1910</v>
      </c>
      <c r="C7591" s="1" t="str">
        <f>HYPERLINK("http://www.uniprot.org/uniprot/SBP2_ANTMA","SBP2_ANTMA")</f>
        <v>SBP2_ANTMA</v>
      </c>
      <c r="D7591" t="s">
        <v>5630</v>
      </c>
      <c r="E7591" s="3" t="s">
        <v>1408</v>
      </c>
      <c r="F7591" s="4">
        <v>4.8900000000000003E-9</v>
      </c>
      <c r="G7591" s="3">
        <v>144</v>
      </c>
      <c r="H7591" s="3">
        <v>75</v>
      </c>
      <c r="I7591" s="3">
        <v>40</v>
      </c>
      <c r="J7591" s="3">
        <v>327</v>
      </c>
      <c r="K7591" s="3">
        <v>446</v>
      </c>
      <c r="L7591" s="3">
        <v>131</v>
      </c>
      <c r="M7591" s="3">
        <v>170</v>
      </c>
    </row>
    <row r="7592" spans="1:13" x14ac:dyDescent="0.25">
      <c r="A7592" s="1" t="str">
        <f>HYPERLINK("http://www.rosaceae.org/Prunus/Prunus_persica/p.persica_gdr_reftransV1_0046379","p.persica_gdr_reftransV1_0046379")</f>
        <v>p.persica_gdr_reftransV1_0046379</v>
      </c>
      <c r="B7592" s="3">
        <v>1832</v>
      </c>
      <c r="C7592" s="1" t="str">
        <f>HYPERLINK("http://www.uniprot.org/uniprot/CSLG1_ARATH","CSLG1_ARATH")</f>
        <v>CSLG1_ARATH</v>
      </c>
      <c r="D7592" t="s">
        <v>6022</v>
      </c>
      <c r="E7592" s="3" t="s">
        <v>3</v>
      </c>
      <c r="F7592" s="4">
        <v>9.15E-113</v>
      </c>
      <c r="G7592" s="3">
        <v>927</v>
      </c>
      <c r="H7592" s="3">
        <v>35</v>
      </c>
      <c r="I7592" s="3">
        <v>585</v>
      </c>
      <c r="J7592" s="3">
        <v>144</v>
      </c>
      <c r="K7592" s="3">
        <v>1832</v>
      </c>
      <c r="L7592" s="3">
        <v>163</v>
      </c>
      <c r="M7592" s="3">
        <v>717</v>
      </c>
    </row>
    <row r="7593" spans="1:13" x14ac:dyDescent="0.25">
      <c r="A7593" s="1" t="str">
        <f>HYPERLINK("http://www.rosaceae.org/Prunus/Prunus_persica/p.persica_gdr_reftransV1_0046629","p.persica_gdr_reftransV1_0046629")</f>
        <v>p.persica_gdr_reftransV1_0046629</v>
      </c>
      <c r="B7593" s="3">
        <v>1545</v>
      </c>
      <c r="C7593" s="1" t="str">
        <f>HYPERLINK("http://www.uniprot.org/uniprot/TBL7_ARATH","TBL7_ARATH")</f>
        <v>TBL7_ARATH</v>
      </c>
      <c r="D7593" t="s">
        <v>6023</v>
      </c>
      <c r="E7593" s="3" t="s">
        <v>3</v>
      </c>
      <c r="F7593" s="4">
        <v>4.15E-156</v>
      </c>
      <c r="G7593" s="3">
        <v>1182</v>
      </c>
      <c r="H7593" s="3">
        <v>65</v>
      </c>
      <c r="I7593" s="3">
        <v>321</v>
      </c>
      <c r="J7593" s="3">
        <v>392</v>
      </c>
      <c r="K7593" s="3">
        <v>1354</v>
      </c>
      <c r="L7593" s="3">
        <v>122</v>
      </c>
      <c r="M7593" s="3">
        <v>440</v>
      </c>
    </row>
    <row r="7594" spans="1:13" x14ac:dyDescent="0.25">
      <c r="A7594" s="1" t="str">
        <f>HYPERLINK("http://www.rosaceae.org/Prunus/Prunus_persica/p.persica_gdr_reftransV1_0046679","p.persica_gdr_reftransV1_0046679")</f>
        <v>p.persica_gdr_reftransV1_0046679</v>
      </c>
      <c r="B7594" s="3">
        <v>315</v>
      </c>
      <c r="C7594" s="1" t="str">
        <f>HYPERLINK("http://www.uniprot.org/uniprot/AB9A_ARATH","AB9A_ARATH")</f>
        <v>AB9A_ARATH</v>
      </c>
      <c r="D7594" t="s">
        <v>6024</v>
      </c>
      <c r="E7594" s="3" t="s">
        <v>3</v>
      </c>
      <c r="F7594" s="4">
        <v>3.2E-34</v>
      </c>
      <c r="G7594" s="3">
        <v>325</v>
      </c>
      <c r="H7594" s="3">
        <v>72</v>
      </c>
      <c r="I7594" s="3">
        <v>104</v>
      </c>
      <c r="J7594" s="3">
        <v>2</v>
      </c>
      <c r="K7594" s="3">
        <v>313</v>
      </c>
      <c r="L7594" s="3">
        <v>487</v>
      </c>
      <c r="M7594" s="3">
        <v>589</v>
      </c>
    </row>
    <row r="7595" spans="1:13" x14ac:dyDescent="0.25">
      <c r="A7595" s="1" t="str">
        <f>HYPERLINK("http://www.rosaceae.org/Prunus/Prunus_persica/p.persica_gdr_reftransV1_0046729","p.persica_gdr_reftransV1_0046729")</f>
        <v>p.persica_gdr_reftransV1_0046729</v>
      </c>
      <c r="B7595" s="3">
        <v>2022</v>
      </c>
      <c r="C7595" s="1" t="str">
        <f>HYPERLINK("http://www.uniprot.org/uniprot/PINS_FRAVE","PINS_FRAVE")</f>
        <v>PINS_FRAVE</v>
      </c>
      <c r="D7595" t="s">
        <v>1165</v>
      </c>
      <c r="E7595" s="3" t="s">
        <v>1166</v>
      </c>
      <c r="F7595" s="4">
        <v>0</v>
      </c>
      <c r="G7595" s="3">
        <v>905</v>
      </c>
      <c r="H7595" s="3">
        <v>64</v>
      </c>
      <c r="I7595" s="3">
        <v>259</v>
      </c>
      <c r="J7595" s="3">
        <v>794</v>
      </c>
      <c r="K7595" s="3">
        <v>1570</v>
      </c>
      <c r="L7595" s="3">
        <v>120</v>
      </c>
      <c r="M7595" s="3">
        <v>375</v>
      </c>
    </row>
    <row r="7596" spans="1:13" x14ac:dyDescent="0.25">
      <c r="A7596" s="1" t="str">
        <f>HYPERLINK("http://www.rosaceae.org/Prunus/Prunus_persica/p.persica_gdr_reftransV1_0046779","p.persica_gdr_reftransV1_0046779")</f>
        <v>p.persica_gdr_reftransV1_0046779</v>
      </c>
      <c r="B7596" s="3">
        <v>1005</v>
      </c>
      <c r="C7596" s="1" t="str">
        <f>HYPERLINK("http://www.uniprot.org/uniprot/TTL4_ARATH","TTL4_ARATH")</f>
        <v>TTL4_ARATH</v>
      </c>
      <c r="D7596" t="s">
        <v>6025</v>
      </c>
      <c r="E7596" s="3" t="s">
        <v>3</v>
      </c>
      <c r="F7596" s="4">
        <v>2.4800000000000001E-89</v>
      </c>
      <c r="G7596" s="3">
        <v>736</v>
      </c>
      <c r="H7596" s="3">
        <v>52</v>
      </c>
      <c r="I7596" s="3">
        <v>310</v>
      </c>
      <c r="J7596" s="3">
        <v>3</v>
      </c>
      <c r="K7596" s="3">
        <v>932</v>
      </c>
      <c r="L7596" s="3">
        <v>76</v>
      </c>
      <c r="M7596" s="3">
        <v>350</v>
      </c>
    </row>
    <row r="7597" spans="1:13" x14ac:dyDescent="0.25">
      <c r="A7597" s="1" t="str">
        <f>HYPERLINK("http://www.rosaceae.org/Prunus/Prunus_persica/p.persica_gdr_reftransV1_0046829","p.persica_gdr_reftransV1_0046829")</f>
        <v>p.persica_gdr_reftransV1_0046829</v>
      </c>
      <c r="B7597" s="3">
        <v>1627</v>
      </c>
      <c r="C7597" s="1" t="str">
        <f>HYPERLINK("http://www.uniprot.org/uniprot/TF3A_MOUSE","TF3A_MOUSE")</f>
        <v>TF3A_MOUSE</v>
      </c>
      <c r="D7597" t="s">
        <v>2731</v>
      </c>
      <c r="E7597" s="3" t="s">
        <v>157</v>
      </c>
      <c r="F7597" s="4">
        <v>4.0899999999999999E-25</v>
      </c>
      <c r="G7597" s="3">
        <v>275</v>
      </c>
      <c r="H7597" s="3">
        <v>31</v>
      </c>
      <c r="I7597" s="3">
        <v>237</v>
      </c>
      <c r="J7597" s="3">
        <v>575</v>
      </c>
      <c r="K7597" s="3">
        <v>1198</v>
      </c>
      <c r="L7597" s="3">
        <v>65</v>
      </c>
      <c r="M7597" s="3">
        <v>289</v>
      </c>
    </row>
    <row r="7598" spans="1:13" x14ac:dyDescent="0.25">
      <c r="A7598" s="1" t="str">
        <f>HYPERLINK("http://www.rosaceae.org/Prunus/Prunus_persica/p.persica_gdr_reftransV1_0046879","p.persica_gdr_reftransV1_0046879")</f>
        <v>p.persica_gdr_reftransV1_0046879</v>
      </c>
      <c r="B7598" s="3">
        <v>1762</v>
      </c>
      <c r="C7598" s="1" t="str">
        <f>HYPERLINK("http://www.uniprot.org/uniprot/STIL2_ARATH","STIL2_ARATH")</f>
        <v>STIL2_ARATH</v>
      </c>
      <c r="D7598" t="s">
        <v>720</v>
      </c>
      <c r="E7598" s="3" t="s">
        <v>3</v>
      </c>
      <c r="F7598" s="4">
        <v>9.9100000000000004E-89</v>
      </c>
      <c r="G7598" s="3">
        <v>765</v>
      </c>
      <c r="H7598" s="3">
        <v>49</v>
      </c>
      <c r="I7598" s="3">
        <v>413</v>
      </c>
      <c r="J7598" s="3">
        <v>1</v>
      </c>
      <c r="K7598" s="3">
        <v>1194</v>
      </c>
      <c r="L7598" s="3">
        <v>431</v>
      </c>
      <c r="M7598" s="3">
        <v>804</v>
      </c>
    </row>
    <row r="7599" spans="1:13" x14ac:dyDescent="0.25">
      <c r="A7599" s="1" t="str">
        <f>HYPERLINK("http://www.rosaceae.org/Prunus/Prunus_persica/p.persica_gdr_reftransV1_0046929","p.persica_gdr_reftransV1_0046929")</f>
        <v>p.persica_gdr_reftransV1_0046929</v>
      </c>
      <c r="B7599" s="3">
        <v>4331</v>
      </c>
      <c r="C7599" s="1" t="str">
        <f>HYPERLINK("http://www.uniprot.org/uniprot/SPL14_ARATH","SPL14_ARATH")</f>
        <v>SPL14_ARATH</v>
      </c>
      <c r="D7599" t="s">
        <v>5727</v>
      </c>
      <c r="E7599" s="3" t="s">
        <v>3</v>
      </c>
      <c r="F7599" s="4">
        <v>0</v>
      </c>
      <c r="G7599" s="3">
        <v>2560</v>
      </c>
      <c r="H7599" s="3">
        <v>57</v>
      </c>
      <c r="I7599" s="3">
        <v>1084</v>
      </c>
      <c r="J7599" s="3">
        <v>298</v>
      </c>
      <c r="K7599" s="3">
        <v>3507</v>
      </c>
      <c r="L7599" s="3">
        <v>1</v>
      </c>
      <c r="M7599" s="3">
        <v>1035</v>
      </c>
    </row>
    <row r="7600" spans="1:13" x14ac:dyDescent="0.25">
      <c r="A7600" s="1" t="str">
        <f>HYPERLINK("http://www.rosaceae.org/Prunus/Prunus_persica/p.persica_gdr_reftransV1_0046979","p.persica_gdr_reftransV1_0046979")</f>
        <v>p.persica_gdr_reftransV1_0046979</v>
      </c>
      <c r="B7600" s="3">
        <v>1424</v>
      </c>
      <c r="C7600" s="1" t="str">
        <f>HYPERLINK("http://www.uniprot.org/uniprot/CCD61_ARATH","CCD61_ARATH")</f>
        <v>CCD61_ARATH</v>
      </c>
      <c r="D7600" t="s">
        <v>5113</v>
      </c>
      <c r="E7600" s="3" t="s">
        <v>3</v>
      </c>
      <c r="F7600" s="4">
        <v>1.79E-49</v>
      </c>
      <c r="G7600" s="3">
        <v>448</v>
      </c>
      <c r="H7600" s="3">
        <v>41</v>
      </c>
      <c r="I7600" s="3">
        <v>313</v>
      </c>
      <c r="J7600" s="3">
        <v>162</v>
      </c>
      <c r="K7600" s="3">
        <v>1058</v>
      </c>
      <c r="L7600" s="3">
        <v>2</v>
      </c>
      <c r="M7600" s="3">
        <v>301</v>
      </c>
    </row>
    <row r="7601" spans="1:13" x14ac:dyDescent="0.25">
      <c r="A7601" s="1" t="str">
        <f>HYPERLINK("http://www.rosaceae.org/Prunus/Prunus_persica/p.persica_gdr_reftransV1_0047279","p.persica_gdr_reftransV1_0047279")</f>
        <v>p.persica_gdr_reftransV1_0047279</v>
      </c>
      <c r="B7601" s="3">
        <v>647</v>
      </c>
      <c r="C7601" s="1" t="str">
        <f>HYPERLINK("http://www.uniprot.org/uniprot/H4_SOYBN","H4_SOYBN")</f>
        <v>H4_SOYBN</v>
      </c>
      <c r="D7601" t="s">
        <v>4009</v>
      </c>
      <c r="E7601" s="3" t="s">
        <v>307</v>
      </c>
      <c r="F7601" s="4">
        <v>1.1400000000000001E-49</v>
      </c>
      <c r="G7601" s="3">
        <v>413</v>
      </c>
      <c r="H7601" s="3">
        <v>100</v>
      </c>
      <c r="I7601" s="3">
        <v>82</v>
      </c>
      <c r="J7601" s="3">
        <v>96</v>
      </c>
      <c r="K7601" s="3">
        <v>341</v>
      </c>
      <c r="L7601" s="3">
        <v>22</v>
      </c>
      <c r="M7601" s="3">
        <v>103</v>
      </c>
    </row>
    <row r="7602" spans="1:13" x14ac:dyDescent="0.25">
      <c r="A7602" s="1" t="str">
        <f>HYPERLINK("http://www.rosaceae.org/Prunus/Prunus_persica/p.persica_gdr_reftransV1_0047379","p.persica_gdr_reftransV1_0047379")</f>
        <v>p.persica_gdr_reftransV1_0047379</v>
      </c>
      <c r="B7602" s="3">
        <v>1756</v>
      </c>
      <c r="C7602" s="1" t="str">
        <f>HYPERLINK("http://www.uniprot.org/uniprot/FEN1_SOYBN","FEN1_SOYBN")</f>
        <v>FEN1_SOYBN</v>
      </c>
      <c r="D7602" t="s">
        <v>6026</v>
      </c>
      <c r="E7602" s="3" t="s">
        <v>307</v>
      </c>
      <c r="F7602" s="4">
        <v>0</v>
      </c>
      <c r="G7602" s="3">
        <v>1726</v>
      </c>
      <c r="H7602" s="3">
        <v>90</v>
      </c>
      <c r="I7602" s="3">
        <v>361</v>
      </c>
      <c r="J7602" s="3">
        <v>584</v>
      </c>
      <c r="K7602" s="3">
        <v>1666</v>
      </c>
      <c r="L7602" s="3">
        <v>1</v>
      </c>
      <c r="M7602" s="3">
        <v>361</v>
      </c>
    </row>
    <row r="7603" spans="1:13" x14ac:dyDescent="0.25">
      <c r="A7603" s="1" t="str">
        <f>HYPERLINK("http://www.rosaceae.org/Prunus/Prunus_persica/p.persica_gdr_reftransV1_0047629","p.persica_gdr_reftransV1_0047629")</f>
        <v>p.persica_gdr_reftransV1_0047629</v>
      </c>
      <c r="B7603" s="3">
        <v>302</v>
      </c>
      <c r="C7603" s="1" t="str">
        <f>HYPERLINK("http://www.uniprot.org/uniprot/RL40_BRARP","RL40_BRARP")</f>
        <v>RL40_BRARP</v>
      </c>
      <c r="D7603" t="s">
        <v>6027</v>
      </c>
      <c r="E7603" s="3" t="s">
        <v>3967</v>
      </c>
      <c r="F7603" s="4">
        <v>3.49E-42</v>
      </c>
      <c r="G7603" s="3">
        <v>354</v>
      </c>
      <c r="H7603" s="3">
        <v>100</v>
      </c>
      <c r="I7603" s="3">
        <v>68</v>
      </c>
      <c r="J7603" s="3">
        <v>3</v>
      </c>
      <c r="K7603" s="3">
        <v>206</v>
      </c>
      <c r="L7603" s="3">
        <v>1</v>
      </c>
      <c r="M7603" s="3">
        <v>68</v>
      </c>
    </row>
    <row r="7604" spans="1:13" x14ac:dyDescent="0.25">
      <c r="A7604" s="1" t="str">
        <f>HYPERLINK("http://www.rosaceae.org/Prunus/Prunus_persica/p.persica_gdr_reftransV1_0047729","p.persica_gdr_reftransV1_0047729")</f>
        <v>p.persica_gdr_reftransV1_0047729</v>
      </c>
      <c r="B7604" s="3">
        <v>1479</v>
      </c>
      <c r="C7604" s="1" t="str">
        <f>HYPERLINK("http://www.uniprot.org/uniprot/7SBG2_SOYBN","7SBG2_SOYBN")</f>
        <v>7SBG2_SOYBN</v>
      </c>
      <c r="D7604" t="s">
        <v>6028</v>
      </c>
      <c r="E7604" s="3" t="s">
        <v>307</v>
      </c>
      <c r="F7604" s="4">
        <v>1.3399999999999999E-44</v>
      </c>
      <c r="G7604" s="3">
        <v>423</v>
      </c>
      <c r="H7604" s="3">
        <v>33</v>
      </c>
      <c r="I7604" s="3">
        <v>417</v>
      </c>
      <c r="J7604" s="3">
        <v>170</v>
      </c>
      <c r="K7604" s="3">
        <v>1336</v>
      </c>
      <c r="L7604" s="3">
        <v>33</v>
      </c>
      <c r="M7604" s="3">
        <v>431</v>
      </c>
    </row>
    <row r="7605" spans="1:13" x14ac:dyDescent="0.25">
      <c r="A7605" s="1" t="str">
        <f>HYPERLINK("http://www.rosaceae.org/Prunus/Prunus_persica/p.persica_gdr_reftransV1_0047879","p.persica_gdr_reftransV1_0047879")</f>
        <v>p.persica_gdr_reftransV1_0047879</v>
      </c>
      <c r="B7605" s="3">
        <v>1705</v>
      </c>
      <c r="C7605" s="1" t="str">
        <f>HYPERLINK("http://www.uniprot.org/uniprot/CYP37_ARATH","CYP37_ARATH")</f>
        <v>CYP37_ARATH</v>
      </c>
      <c r="D7605" t="s">
        <v>3434</v>
      </c>
      <c r="E7605" s="3" t="s">
        <v>3</v>
      </c>
      <c r="F7605" s="4">
        <v>0</v>
      </c>
      <c r="G7605" s="3">
        <v>1535</v>
      </c>
      <c r="H7605" s="3">
        <v>66</v>
      </c>
      <c r="I7605" s="3">
        <v>462</v>
      </c>
      <c r="J7605" s="3">
        <v>259</v>
      </c>
      <c r="K7605" s="3">
        <v>1635</v>
      </c>
      <c r="L7605" s="3">
        <v>1</v>
      </c>
      <c r="M7605" s="3">
        <v>456</v>
      </c>
    </row>
    <row r="7606" spans="1:13" x14ac:dyDescent="0.25">
      <c r="A7606" s="1" t="str">
        <f>HYPERLINK("http://www.rosaceae.org/Prunus/Prunus_persica/p.persica_gdr_reftransV1_0047929","p.persica_gdr_reftransV1_0047929")</f>
        <v>p.persica_gdr_reftransV1_0047929</v>
      </c>
      <c r="B7606" s="3">
        <v>1240</v>
      </c>
      <c r="C7606" s="1" t="str">
        <f>HYPERLINK("http://www.uniprot.org/uniprot/PP235_ARATH","PP235_ARATH")</f>
        <v>PP235_ARATH</v>
      </c>
      <c r="D7606" t="s">
        <v>6029</v>
      </c>
      <c r="E7606" s="3" t="s">
        <v>3</v>
      </c>
      <c r="F7606" s="4">
        <v>5.8799999999999997E-116</v>
      </c>
      <c r="G7606" s="3">
        <v>925</v>
      </c>
      <c r="H7606" s="3">
        <v>42</v>
      </c>
      <c r="I7606" s="3">
        <v>432</v>
      </c>
      <c r="J7606" s="3">
        <v>1</v>
      </c>
      <c r="K7606" s="3">
        <v>1191</v>
      </c>
      <c r="L7606" s="3">
        <v>121</v>
      </c>
      <c r="M7606" s="3">
        <v>552</v>
      </c>
    </row>
    <row r="7607" spans="1:13" x14ac:dyDescent="0.25">
      <c r="A7607" s="1" t="str">
        <f>HYPERLINK("http://www.rosaceae.org/Prunus/Prunus_persica/p.persica_gdr_reftransV1_0047979","p.persica_gdr_reftransV1_0047979")</f>
        <v>p.persica_gdr_reftransV1_0047979</v>
      </c>
      <c r="B7607" s="3">
        <v>2969</v>
      </c>
      <c r="C7607" s="1" t="str">
        <f>HYPERLINK("http://www.uniprot.org/uniprot/PPR48_ARATH","PPR48_ARATH")</f>
        <v>PPR48_ARATH</v>
      </c>
      <c r="D7607" t="s">
        <v>2544</v>
      </c>
      <c r="E7607" s="3" t="s">
        <v>3</v>
      </c>
      <c r="F7607" s="4">
        <v>5.4000000000000002E-143</v>
      </c>
      <c r="G7607" s="3">
        <v>1179</v>
      </c>
      <c r="H7607" s="3">
        <v>35</v>
      </c>
      <c r="I7607" s="3">
        <v>771</v>
      </c>
      <c r="J7607" s="3">
        <v>430</v>
      </c>
      <c r="K7607" s="3">
        <v>2700</v>
      </c>
      <c r="L7607" s="3">
        <v>90</v>
      </c>
      <c r="M7607" s="3">
        <v>854</v>
      </c>
    </row>
    <row r="7608" spans="1:13" x14ac:dyDescent="0.25">
      <c r="A7608" s="1" t="str">
        <f>HYPERLINK("http://www.rosaceae.org/Prunus/Prunus_persica/p.persica_gdr_reftransV1_0048029","p.persica_gdr_reftransV1_0048029")</f>
        <v>p.persica_gdr_reftransV1_0048029</v>
      </c>
      <c r="B7608" s="3">
        <v>1311</v>
      </c>
      <c r="C7608" s="1" t="str">
        <f>HYPERLINK("http://www.uniprot.org/uniprot/STP14_ARATH","STP14_ARATH")</f>
        <v>STP14_ARATH</v>
      </c>
      <c r="D7608" t="s">
        <v>5212</v>
      </c>
      <c r="E7608" s="3" t="s">
        <v>3</v>
      </c>
      <c r="F7608" s="4">
        <v>9.2500000000000001E-138</v>
      </c>
      <c r="G7608" s="3">
        <v>1058</v>
      </c>
      <c r="H7608" s="3">
        <v>84</v>
      </c>
      <c r="I7608" s="3">
        <v>238</v>
      </c>
      <c r="J7608" s="3">
        <v>598</v>
      </c>
      <c r="K7608" s="3">
        <v>1311</v>
      </c>
      <c r="L7608" s="3">
        <v>1</v>
      </c>
      <c r="M7608" s="3">
        <v>238</v>
      </c>
    </row>
    <row r="7609" spans="1:13" x14ac:dyDescent="0.25">
      <c r="A7609" s="1" t="str">
        <f>HYPERLINK("http://www.rosaceae.org/Prunus/Prunus_persica/p.persica_gdr_reftransV1_0048079","p.persica_gdr_reftransV1_0048079")</f>
        <v>p.persica_gdr_reftransV1_0048079</v>
      </c>
      <c r="B7609" s="3">
        <v>925</v>
      </c>
      <c r="C7609" s="1" t="str">
        <f>HYPERLINK("http://www.uniprot.org/uniprot/PTAR1_HUMAN","PTAR1_HUMAN")</f>
        <v>PTAR1_HUMAN</v>
      </c>
      <c r="D7609" t="s">
        <v>6030</v>
      </c>
      <c r="E7609" s="3" t="s">
        <v>28</v>
      </c>
      <c r="F7609" s="4">
        <v>2.6899999999999999E-11</v>
      </c>
      <c r="G7609" s="3">
        <v>163</v>
      </c>
      <c r="H7609" s="3">
        <v>31</v>
      </c>
      <c r="I7609" s="3">
        <v>127</v>
      </c>
      <c r="J7609" s="3">
        <v>6</v>
      </c>
      <c r="K7609" s="3">
        <v>308</v>
      </c>
      <c r="L7609" s="3">
        <v>194</v>
      </c>
      <c r="M7609" s="3">
        <v>319</v>
      </c>
    </row>
    <row r="7610" spans="1:13" x14ac:dyDescent="0.25">
      <c r="A7610" s="1" t="str">
        <f>HYPERLINK("http://www.rosaceae.org/Prunus/Prunus_persica/p.persica_gdr_reftransV1_0048129","p.persica_gdr_reftransV1_0048129")</f>
        <v>p.persica_gdr_reftransV1_0048129</v>
      </c>
      <c r="B7610" s="3">
        <v>1527</v>
      </c>
      <c r="C7610" s="1" t="str">
        <f>HYPERLINK("http://www.uniprot.org/uniprot/Y5957_ARATH","Y5957_ARATH")</f>
        <v>Y5957_ARATH</v>
      </c>
      <c r="D7610" t="s">
        <v>6031</v>
      </c>
      <c r="E7610" s="3" t="s">
        <v>3</v>
      </c>
      <c r="F7610" s="4">
        <v>5.0800000000000002E-12</v>
      </c>
      <c r="G7610" s="3">
        <v>173</v>
      </c>
      <c r="H7610" s="3">
        <v>41</v>
      </c>
      <c r="I7610" s="3">
        <v>234</v>
      </c>
      <c r="J7610" s="3">
        <v>2</v>
      </c>
      <c r="K7610" s="3">
        <v>685</v>
      </c>
      <c r="L7610" s="3">
        <v>55</v>
      </c>
      <c r="M7610" s="3">
        <v>213</v>
      </c>
    </row>
    <row r="7611" spans="1:13" x14ac:dyDescent="0.25">
      <c r="A7611" s="1" t="str">
        <f>HYPERLINK("http://www.rosaceae.org/Prunus/Prunus_persica/p.persica_gdr_reftransV1_0048179","p.persica_gdr_reftransV1_0048179")</f>
        <v>p.persica_gdr_reftransV1_0048179</v>
      </c>
      <c r="B7611" s="3">
        <v>677</v>
      </c>
      <c r="C7611" s="1" t="str">
        <f>HYPERLINK("http://www.uniprot.org/uniprot/WAKLO_ARATH","WAKLO_ARATH")</f>
        <v>WAKLO_ARATH</v>
      </c>
      <c r="D7611" t="s">
        <v>146</v>
      </c>
      <c r="E7611" s="3" t="s">
        <v>3</v>
      </c>
      <c r="F7611" s="4">
        <v>3.47E-18</v>
      </c>
      <c r="G7611" s="3">
        <v>215</v>
      </c>
      <c r="H7611" s="3">
        <v>35</v>
      </c>
      <c r="I7611" s="3">
        <v>155</v>
      </c>
      <c r="J7611" s="3">
        <v>7</v>
      </c>
      <c r="K7611" s="3">
        <v>453</v>
      </c>
      <c r="L7611" s="3">
        <v>11</v>
      </c>
      <c r="M7611" s="3">
        <v>160</v>
      </c>
    </row>
    <row r="7612" spans="1:13" x14ac:dyDescent="0.25">
      <c r="A7612" s="1" t="str">
        <f>HYPERLINK("http://www.rosaceae.org/Prunus/Prunus_persica/p.persica_gdr_reftransV1_0048229","p.persica_gdr_reftransV1_0048229")</f>
        <v>p.persica_gdr_reftransV1_0048229</v>
      </c>
      <c r="B7612" s="3">
        <v>1042</v>
      </c>
      <c r="C7612" s="1" t="str">
        <f>HYPERLINK("http://www.uniprot.org/uniprot/DRE2D_ARATH","DRE2D_ARATH")</f>
        <v>DRE2D_ARATH</v>
      </c>
      <c r="D7612" t="s">
        <v>6032</v>
      </c>
      <c r="E7612" s="3" t="s">
        <v>3</v>
      </c>
      <c r="F7612" s="4">
        <v>1.1899999999999999E-38</v>
      </c>
      <c r="G7612" s="3">
        <v>358</v>
      </c>
      <c r="H7612" s="3">
        <v>68</v>
      </c>
      <c r="I7612" s="3">
        <v>120</v>
      </c>
      <c r="J7612" s="3">
        <v>179</v>
      </c>
      <c r="K7612" s="3">
        <v>523</v>
      </c>
      <c r="L7612" s="3">
        <v>1</v>
      </c>
      <c r="M7612" s="3">
        <v>118</v>
      </c>
    </row>
    <row r="7613" spans="1:13" x14ac:dyDescent="0.25">
      <c r="A7613" s="1" t="str">
        <f>HYPERLINK("http://www.rosaceae.org/Prunus/Prunus_persica/p.persica_gdr_reftransV1_0048279","p.persica_gdr_reftransV1_0048279")</f>
        <v>p.persica_gdr_reftransV1_0048279</v>
      </c>
      <c r="B7613" s="3">
        <v>469</v>
      </c>
      <c r="C7613" s="1" t="str">
        <f>HYPERLINK("http://www.uniprot.org/uniprot/PPR70_ARATH","PPR70_ARATH")</f>
        <v>PPR70_ARATH</v>
      </c>
      <c r="D7613" t="s">
        <v>3381</v>
      </c>
      <c r="E7613" s="3" t="s">
        <v>3</v>
      </c>
      <c r="F7613" s="4">
        <v>5.0199999999999997E-58</v>
      </c>
      <c r="G7613" s="3">
        <v>494</v>
      </c>
      <c r="H7613" s="3">
        <v>61</v>
      </c>
      <c r="I7613" s="3">
        <v>149</v>
      </c>
      <c r="J7613" s="3">
        <v>10</v>
      </c>
      <c r="K7613" s="3">
        <v>456</v>
      </c>
      <c r="L7613" s="3">
        <v>176</v>
      </c>
      <c r="M7613" s="3">
        <v>318</v>
      </c>
    </row>
    <row r="7614" spans="1:13" x14ac:dyDescent="0.25">
      <c r="A7614" s="1" t="str">
        <f>HYPERLINK("http://www.rosaceae.org/Prunus/Prunus_persica/p.persica_gdr_reftransV1_0048329","p.persica_gdr_reftransV1_0048329")</f>
        <v>p.persica_gdr_reftransV1_0048329</v>
      </c>
      <c r="B7614" s="3">
        <v>478</v>
      </c>
      <c r="C7614" s="1" t="str">
        <f>HYPERLINK("http://www.uniprot.org/uniprot/AB10C_ARATH","AB10C_ARATH")</f>
        <v>AB10C_ARATH</v>
      </c>
      <c r="D7614" t="s">
        <v>1068</v>
      </c>
      <c r="E7614" s="3" t="s">
        <v>3</v>
      </c>
      <c r="F7614" s="4">
        <v>2.9200000000000002E-63</v>
      </c>
      <c r="G7614" s="3">
        <v>549</v>
      </c>
      <c r="H7614" s="3">
        <v>67</v>
      </c>
      <c r="I7614" s="3">
        <v>158</v>
      </c>
      <c r="J7614" s="3">
        <v>3</v>
      </c>
      <c r="K7614" s="3">
        <v>476</v>
      </c>
      <c r="L7614" s="3">
        <v>1106</v>
      </c>
      <c r="M7614" s="3">
        <v>1263</v>
      </c>
    </row>
    <row r="7615" spans="1:13" x14ac:dyDescent="0.25">
      <c r="A7615" s="1" t="str">
        <f>HYPERLINK("http://www.rosaceae.org/Prunus/Prunus_persica/p.persica_gdr_reftransV1_0048379","p.persica_gdr_reftransV1_0048379")</f>
        <v>p.persica_gdr_reftransV1_0048379</v>
      </c>
      <c r="B7615" s="3">
        <v>1322</v>
      </c>
      <c r="C7615" s="1" t="str">
        <f>HYPERLINK("http://www.uniprot.org/uniprot/PIRL6_ARATH","PIRL6_ARATH")</f>
        <v>PIRL6_ARATH</v>
      </c>
      <c r="D7615" t="s">
        <v>6033</v>
      </c>
      <c r="E7615" s="3" t="s">
        <v>3</v>
      </c>
      <c r="F7615" s="4">
        <v>2.7199999999999998E-165</v>
      </c>
      <c r="G7615" s="3">
        <v>1228</v>
      </c>
      <c r="H7615" s="3">
        <v>76</v>
      </c>
      <c r="I7615" s="3">
        <v>323</v>
      </c>
      <c r="J7615" s="3">
        <v>215</v>
      </c>
      <c r="K7615" s="3">
        <v>1174</v>
      </c>
      <c r="L7615" s="3">
        <v>58</v>
      </c>
      <c r="M7615" s="3">
        <v>380</v>
      </c>
    </row>
    <row r="7616" spans="1:13" x14ac:dyDescent="0.25">
      <c r="A7616" s="1" t="str">
        <f>HYPERLINK("http://www.rosaceae.org/Prunus/Prunus_persica/p.persica_gdr_reftransV1_0048429","p.persica_gdr_reftransV1_0048429")</f>
        <v>p.persica_gdr_reftransV1_0048429</v>
      </c>
      <c r="B7616" s="3">
        <v>363</v>
      </c>
      <c r="C7616" s="1" t="str">
        <f>HYPERLINK("http://www.uniprot.org/uniprot/TYRA1_ARATH","TYRA1_ARATH")</f>
        <v>TYRA1_ARATH</v>
      </c>
      <c r="D7616" t="s">
        <v>6034</v>
      </c>
      <c r="E7616" s="3" t="s">
        <v>3</v>
      </c>
      <c r="F7616" s="4">
        <v>9.5700000000000001E-22</v>
      </c>
      <c r="G7616" s="3">
        <v>233</v>
      </c>
      <c r="H7616" s="3">
        <v>46</v>
      </c>
      <c r="I7616" s="3">
        <v>117</v>
      </c>
      <c r="J7616" s="3">
        <v>3</v>
      </c>
      <c r="K7616" s="3">
        <v>353</v>
      </c>
      <c r="L7616" s="3">
        <v>270</v>
      </c>
      <c r="M7616" s="3">
        <v>379</v>
      </c>
    </row>
    <row r="7617" spans="1:13" x14ac:dyDescent="0.25">
      <c r="A7617" s="1" t="str">
        <f>HYPERLINK("http://www.rosaceae.org/Prunus/Prunus_persica/p.persica_gdr_reftransV1_0048529","p.persica_gdr_reftransV1_0048529")</f>
        <v>p.persica_gdr_reftransV1_0048529</v>
      </c>
      <c r="B7617" s="3">
        <v>383</v>
      </c>
      <c r="C7617" s="1" t="str">
        <f>HYPERLINK("http://www.uniprot.org/uniprot/SYPM_ARATH","SYPM_ARATH")</f>
        <v>SYPM_ARATH</v>
      </c>
      <c r="D7617" t="s">
        <v>6035</v>
      </c>
      <c r="E7617" s="3" t="s">
        <v>3</v>
      </c>
      <c r="F7617" s="4">
        <v>2.0100000000000001E-52</v>
      </c>
      <c r="G7617" s="3">
        <v>452</v>
      </c>
      <c r="H7617" s="3">
        <v>84</v>
      </c>
      <c r="I7617" s="3">
        <v>127</v>
      </c>
      <c r="J7617" s="3">
        <v>3</v>
      </c>
      <c r="K7617" s="3">
        <v>383</v>
      </c>
      <c r="L7617" s="3">
        <v>342</v>
      </c>
      <c r="M7617" s="3">
        <v>468</v>
      </c>
    </row>
    <row r="7618" spans="1:13" x14ac:dyDescent="0.25">
      <c r="A7618" s="1" t="str">
        <f>HYPERLINK("http://www.rosaceae.org/Prunus/Prunus_persica/p.persica_gdr_reftransV1_0048579","p.persica_gdr_reftransV1_0048579")</f>
        <v>p.persica_gdr_reftransV1_0048579</v>
      </c>
      <c r="B7618" s="3">
        <v>797</v>
      </c>
      <c r="C7618" s="1" t="str">
        <f>HYPERLINK("http://www.uniprot.org/uniprot/12KD_FRAAN","12KD_FRAAN")</f>
        <v>12KD_FRAAN</v>
      </c>
      <c r="D7618" t="s">
        <v>14</v>
      </c>
      <c r="E7618" s="3" t="s">
        <v>15</v>
      </c>
      <c r="F7618" s="4">
        <v>1.3999999999999999E-43</v>
      </c>
      <c r="G7618" s="3">
        <v>377</v>
      </c>
      <c r="H7618" s="3">
        <v>76</v>
      </c>
      <c r="I7618" s="3">
        <v>119</v>
      </c>
      <c r="J7618" s="3">
        <v>30</v>
      </c>
      <c r="K7618" s="3">
        <v>386</v>
      </c>
      <c r="L7618" s="3">
        <v>1</v>
      </c>
      <c r="M7618" s="3">
        <v>110</v>
      </c>
    </row>
    <row r="7619" spans="1:13" x14ac:dyDescent="0.25">
      <c r="A7619" s="1" t="str">
        <f>HYPERLINK("http://www.rosaceae.org/Prunus/Prunus_persica/p.persica_gdr_reftransV1_0048679","p.persica_gdr_reftransV1_0048679")</f>
        <v>p.persica_gdr_reftransV1_0048679</v>
      </c>
      <c r="B7619" s="3">
        <v>1592</v>
      </c>
      <c r="C7619" s="1" t="str">
        <f>HYPERLINK("http://www.uniprot.org/uniprot/GTE1_ARATH","GTE1_ARATH")</f>
        <v>GTE1_ARATH</v>
      </c>
      <c r="D7619" t="s">
        <v>4838</v>
      </c>
      <c r="E7619" s="3" t="s">
        <v>3</v>
      </c>
      <c r="F7619" s="4">
        <v>2.2600000000000001E-8</v>
      </c>
      <c r="G7619" s="3">
        <v>144</v>
      </c>
      <c r="H7619" s="3">
        <v>30</v>
      </c>
      <c r="I7619" s="3">
        <v>118</v>
      </c>
      <c r="J7619" s="3">
        <v>676</v>
      </c>
      <c r="K7619" s="3">
        <v>1029</v>
      </c>
      <c r="L7619" s="3">
        <v>218</v>
      </c>
      <c r="M7619" s="3">
        <v>334</v>
      </c>
    </row>
    <row r="7620" spans="1:13" x14ac:dyDescent="0.25">
      <c r="A7620" s="1" t="str">
        <f>HYPERLINK("http://www.rosaceae.org/Prunus/Prunus_persica/p.persica_gdr_reftransV1_0048729","p.persica_gdr_reftransV1_0048729")</f>
        <v>p.persica_gdr_reftransV1_0048729</v>
      </c>
      <c r="B7620" s="3">
        <v>1923</v>
      </c>
      <c r="C7620" s="1" t="str">
        <f>HYPERLINK("http://www.uniprot.org/uniprot/MCFJ_DICDI","MCFJ_DICDI")</f>
        <v>MCFJ_DICDI</v>
      </c>
      <c r="D7620" t="s">
        <v>2605</v>
      </c>
      <c r="E7620" s="3" t="s">
        <v>9</v>
      </c>
      <c r="F7620" s="4">
        <v>1.27E-26</v>
      </c>
      <c r="G7620" s="3">
        <v>288</v>
      </c>
      <c r="H7620" s="3">
        <v>27</v>
      </c>
      <c r="I7620" s="3">
        <v>356</v>
      </c>
      <c r="J7620" s="3">
        <v>595</v>
      </c>
      <c r="K7620" s="3">
        <v>1596</v>
      </c>
      <c r="L7620" s="3">
        <v>8</v>
      </c>
      <c r="M7620" s="3">
        <v>345</v>
      </c>
    </row>
    <row r="7621" spans="1:13" x14ac:dyDescent="0.25">
      <c r="A7621" s="1" t="str">
        <f>HYPERLINK("http://www.rosaceae.org/Prunus/Prunus_persica/p.persica_gdr_reftransV1_0048779","p.persica_gdr_reftransV1_0048779")</f>
        <v>p.persica_gdr_reftransV1_0048779</v>
      </c>
      <c r="B7621" s="3">
        <v>1561</v>
      </c>
      <c r="C7621" s="1" t="str">
        <f>HYPERLINK("http://www.uniprot.org/uniprot/NRL4A_LUPAN","NRL4A_LUPAN")</f>
        <v>NRL4A_LUPAN</v>
      </c>
      <c r="D7621" t="s">
        <v>6036</v>
      </c>
      <c r="E7621" s="3" t="s">
        <v>5570</v>
      </c>
      <c r="F7621" s="4">
        <v>0</v>
      </c>
      <c r="G7621" s="3">
        <v>1618</v>
      </c>
      <c r="H7621" s="3">
        <v>87</v>
      </c>
      <c r="I7621" s="3">
        <v>345</v>
      </c>
      <c r="J7621" s="3">
        <v>384</v>
      </c>
      <c r="K7621" s="3">
        <v>1403</v>
      </c>
      <c r="L7621" s="3">
        <v>1</v>
      </c>
      <c r="M7621" s="3">
        <v>345</v>
      </c>
    </row>
    <row r="7622" spans="1:13" x14ac:dyDescent="0.25">
      <c r="A7622" s="1" t="str">
        <f>HYPERLINK("http://www.rosaceae.org/Prunus/Prunus_persica/p.persica_gdr_reftransV1_0048829","p.persica_gdr_reftransV1_0048829")</f>
        <v>p.persica_gdr_reftransV1_0048829</v>
      </c>
      <c r="B7622" s="3">
        <v>693</v>
      </c>
      <c r="C7622" s="1" t="str">
        <f>HYPERLINK("http://www.uniprot.org/uniprot/RS16_GOSHI","RS16_GOSHI")</f>
        <v>RS16_GOSHI</v>
      </c>
      <c r="D7622" t="s">
        <v>3878</v>
      </c>
      <c r="E7622" s="3" t="s">
        <v>816</v>
      </c>
      <c r="F7622" s="4">
        <v>6.6000000000000003E-94</v>
      </c>
      <c r="G7622" s="3">
        <v>712</v>
      </c>
      <c r="H7622" s="3">
        <v>95</v>
      </c>
      <c r="I7622" s="3">
        <v>145</v>
      </c>
      <c r="J7622" s="3">
        <v>67</v>
      </c>
      <c r="K7622" s="3">
        <v>501</v>
      </c>
      <c r="L7622" s="3">
        <v>1</v>
      </c>
      <c r="M7622" s="3">
        <v>145</v>
      </c>
    </row>
    <row r="7623" spans="1:13" x14ac:dyDescent="0.25">
      <c r="A7623" s="1" t="str">
        <f>HYPERLINK("http://www.rosaceae.org/Prunus/Prunus_persica/p.persica_gdr_reftransV1_0048979","p.persica_gdr_reftransV1_0048979")</f>
        <v>p.persica_gdr_reftransV1_0048979</v>
      </c>
      <c r="B7623" s="3">
        <v>1413</v>
      </c>
      <c r="C7623" s="1" t="str">
        <f>HYPERLINK("http://www.uniprot.org/uniprot/AP3M_ARATH","AP3M_ARATH")</f>
        <v>AP3M_ARATH</v>
      </c>
      <c r="D7623" t="s">
        <v>5185</v>
      </c>
      <c r="E7623" s="3" t="s">
        <v>3</v>
      </c>
      <c r="F7623" s="4">
        <v>1.8400000000000001E-129</v>
      </c>
      <c r="G7623" s="3">
        <v>997</v>
      </c>
      <c r="H7623" s="3">
        <v>84</v>
      </c>
      <c r="I7623" s="3">
        <v>217</v>
      </c>
      <c r="J7623" s="3">
        <v>149</v>
      </c>
      <c r="K7623" s="3">
        <v>799</v>
      </c>
      <c r="L7623" s="3">
        <v>1</v>
      </c>
      <c r="M7623" s="3">
        <v>217</v>
      </c>
    </row>
    <row r="7624" spans="1:13" x14ac:dyDescent="0.25">
      <c r="A7624" s="1" t="str">
        <f>HYPERLINK("http://www.rosaceae.org/Prunus/Prunus_persica/p.persica_gdr_reftransV1_0049029","p.persica_gdr_reftransV1_0049029")</f>
        <v>p.persica_gdr_reftransV1_0049029</v>
      </c>
      <c r="B7624" s="3">
        <v>605</v>
      </c>
      <c r="C7624" s="1" t="str">
        <f>HYPERLINK("http://www.uniprot.org/uniprot/Y3475_ARATH","Y3475_ARATH")</f>
        <v>Y3475_ARATH</v>
      </c>
      <c r="D7624" t="s">
        <v>827</v>
      </c>
      <c r="E7624" s="3" t="s">
        <v>3</v>
      </c>
      <c r="F7624" s="4">
        <v>1.19E-31</v>
      </c>
      <c r="G7624" s="3">
        <v>317</v>
      </c>
      <c r="H7624" s="3">
        <v>42</v>
      </c>
      <c r="I7624" s="3">
        <v>201</v>
      </c>
      <c r="J7624" s="3">
        <v>3</v>
      </c>
      <c r="K7624" s="3">
        <v>605</v>
      </c>
      <c r="L7624" s="3">
        <v>100</v>
      </c>
      <c r="M7624" s="3">
        <v>300</v>
      </c>
    </row>
    <row r="7625" spans="1:13" x14ac:dyDescent="0.25">
      <c r="A7625" s="1" t="str">
        <f>HYPERLINK("http://www.rosaceae.org/Prunus/Prunus_persica/p.persica_gdr_reftransV1_0049179","p.persica_gdr_reftransV1_0049179")</f>
        <v>p.persica_gdr_reftransV1_0049179</v>
      </c>
      <c r="B7625" s="3">
        <v>454</v>
      </c>
      <c r="C7625" s="1" t="str">
        <f>HYPERLINK("http://www.uniprot.org/uniprot/PP233_ARATH","PP233_ARATH")</f>
        <v>PP233_ARATH</v>
      </c>
      <c r="D7625" t="s">
        <v>6037</v>
      </c>
      <c r="E7625" s="3" t="s">
        <v>3</v>
      </c>
      <c r="F7625" s="4">
        <v>7.1100000000000006E-42</v>
      </c>
      <c r="G7625" s="3">
        <v>380</v>
      </c>
      <c r="H7625" s="3">
        <v>52</v>
      </c>
      <c r="I7625" s="3">
        <v>147</v>
      </c>
      <c r="J7625" s="3">
        <v>15</v>
      </c>
      <c r="K7625" s="3">
        <v>452</v>
      </c>
      <c r="L7625" s="3">
        <v>53</v>
      </c>
      <c r="M7625" s="3">
        <v>196</v>
      </c>
    </row>
    <row r="7626" spans="1:13" x14ac:dyDescent="0.25">
      <c r="A7626" s="1" t="str">
        <f>HYPERLINK("http://www.rosaceae.org/Prunus/Prunus_persica/p.persica_gdr_reftransV1_0000180","p.persica_gdr_reftransV1_0000180")</f>
        <v>p.persica_gdr_reftransV1_0000180</v>
      </c>
      <c r="B7626" s="3">
        <v>656</v>
      </c>
      <c r="C7626" s="1" t="str">
        <f>HYPERLINK("http://www.uniprot.org/uniprot/DPB_ARATH","DPB_ARATH")</f>
        <v>DPB_ARATH</v>
      </c>
      <c r="D7626" t="s">
        <v>5059</v>
      </c>
      <c r="E7626" s="3" t="s">
        <v>3</v>
      </c>
      <c r="F7626" s="4">
        <v>3.1100000000000001E-68</v>
      </c>
      <c r="G7626" s="3">
        <v>561</v>
      </c>
      <c r="H7626" s="3">
        <v>53</v>
      </c>
      <c r="I7626" s="3">
        <v>217</v>
      </c>
      <c r="J7626" s="3">
        <v>1</v>
      </c>
      <c r="K7626" s="3">
        <v>630</v>
      </c>
      <c r="L7626" s="3">
        <v>75</v>
      </c>
      <c r="M7626" s="3">
        <v>290</v>
      </c>
    </row>
    <row r="7627" spans="1:13" x14ac:dyDescent="0.25">
      <c r="A7627" s="1" t="str">
        <f>HYPERLINK("http://www.rosaceae.org/Prunus/Prunus_persica/p.persica_gdr_reftransV1_0000330","p.persica_gdr_reftransV1_0000330")</f>
        <v>p.persica_gdr_reftransV1_0000330</v>
      </c>
      <c r="B7627" s="3">
        <v>328</v>
      </c>
      <c r="C7627" s="1" t="str">
        <f>HYPERLINK("http://www.uniprot.org/uniprot/AB21B_ARATH","AB21B_ARATH")</f>
        <v>AB21B_ARATH</v>
      </c>
      <c r="D7627" t="s">
        <v>6038</v>
      </c>
      <c r="E7627" s="3" t="s">
        <v>3</v>
      </c>
      <c r="F7627" s="4">
        <v>4.6299999999999997E-37</v>
      </c>
      <c r="G7627" s="3">
        <v>348</v>
      </c>
      <c r="H7627" s="3">
        <v>61</v>
      </c>
      <c r="I7627" s="3">
        <v>108</v>
      </c>
      <c r="J7627" s="3">
        <v>3</v>
      </c>
      <c r="K7627" s="3">
        <v>326</v>
      </c>
      <c r="L7627" s="3">
        <v>201</v>
      </c>
      <c r="M7627" s="3">
        <v>308</v>
      </c>
    </row>
    <row r="7628" spans="1:13" x14ac:dyDescent="0.25">
      <c r="A7628" s="1" t="str">
        <f>HYPERLINK("http://www.rosaceae.org/Prunus/Prunus_persica/p.persica_gdr_reftransV1_0000380","p.persica_gdr_reftransV1_0000380")</f>
        <v>p.persica_gdr_reftransV1_0000380</v>
      </c>
      <c r="B7628" s="3">
        <v>1830</v>
      </c>
      <c r="C7628" s="1" t="str">
        <f>HYPERLINK("http://www.uniprot.org/uniprot/ESP1_ARATH","ESP1_ARATH")</f>
        <v>ESP1_ARATH</v>
      </c>
      <c r="D7628" t="s">
        <v>3366</v>
      </c>
      <c r="E7628" s="3" t="s">
        <v>3</v>
      </c>
      <c r="F7628" s="4">
        <v>1.5199999999999999E-165</v>
      </c>
      <c r="G7628" s="3">
        <v>1357</v>
      </c>
      <c r="H7628" s="3">
        <v>53</v>
      </c>
      <c r="I7628" s="3">
        <v>614</v>
      </c>
      <c r="J7628" s="3">
        <v>1</v>
      </c>
      <c r="K7628" s="3">
        <v>1827</v>
      </c>
      <c r="L7628" s="3">
        <v>1375</v>
      </c>
      <c r="M7628" s="3">
        <v>1982</v>
      </c>
    </row>
    <row r="7629" spans="1:13" x14ac:dyDescent="0.25">
      <c r="A7629" s="1" t="str">
        <f>HYPERLINK("http://www.rosaceae.org/Prunus/Prunus_persica/p.persica_gdr_reftransV1_0000430","p.persica_gdr_reftransV1_0000430")</f>
        <v>p.persica_gdr_reftransV1_0000430</v>
      </c>
      <c r="B7629" s="3">
        <v>842</v>
      </c>
      <c r="C7629" s="1" t="str">
        <f>HYPERLINK("http://www.uniprot.org/uniprot/HSTC_ARATH","HSTC_ARATH")</f>
        <v>HSTC_ARATH</v>
      </c>
      <c r="D7629" t="s">
        <v>6039</v>
      </c>
      <c r="E7629" s="3" t="s">
        <v>3</v>
      </c>
      <c r="F7629" s="4">
        <v>1.4500000000000001E-124</v>
      </c>
      <c r="G7629" s="3">
        <v>943</v>
      </c>
      <c r="H7629" s="3">
        <v>85</v>
      </c>
      <c r="I7629" s="3">
        <v>226</v>
      </c>
      <c r="J7629" s="3">
        <v>90</v>
      </c>
      <c r="K7629" s="3">
        <v>767</v>
      </c>
      <c r="L7629" s="3">
        <v>161</v>
      </c>
      <c r="M7629" s="3">
        <v>386</v>
      </c>
    </row>
    <row r="7630" spans="1:13" x14ac:dyDescent="0.25">
      <c r="A7630" s="1" t="str">
        <f>HYPERLINK("http://www.rosaceae.org/Prunus/Prunus_persica/p.persica_gdr_reftransV1_0000580","p.persica_gdr_reftransV1_0000580")</f>
        <v>p.persica_gdr_reftransV1_0000580</v>
      </c>
      <c r="B7630" s="3">
        <v>1755</v>
      </c>
      <c r="C7630" s="1" t="str">
        <f>HYPERLINK("http://www.uniprot.org/uniprot/MDHP_MEDSA","MDHP_MEDSA")</f>
        <v>MDHP_MEDSA</v>
      </c>
      <c r="D7630" t="s">
        <v>6040</v>
      </c>
      <c r="E7630" s="3" t="s">
        <v>515</v>
      </c>
      <c r="F7630" s="4">
        <v>0</v>
      </c>
      <c r="G7630" s="3">
        <v>1910</v>
      </c>
      <c r="H7630" s="3">
        <v>85</v>
      </c>
      <c r="I7630" s="3">
        <v>440</v>
      </c>
      <c r="J7630" s="3">
        <v>126</v>
      </c>
      <c r="K7630" s="3">
        <v>1445</v>
      </c>
      <c r="L7630" s="3">
        <v>1</v>
      </c>
      <c r="M7630" s="3">
        <v>437</v>
      </c>
    </row>
    <row r="7631" spans="1:13" x14ac:dyDescent="0.25">
      <c r="A7631" s="1" t="str">
        <f>HYPERLINK("http://www.rosaceae.org/Prunus/Prunus_persica/p.persica_gdr_reftransV1_0000630","p.persica_gdr_reftransV1_0000630")</f>
        <v>p.persica_gdr_reftransV1_0000630</v>
      </c>
      <c r="B7631" s="3">
        <v>3842</v>
      </c>
      <c r="C7631" s="1" t="str">
        <f>HYPERLINK("http://www.uniprot.org/uniprot/ATX2_ARATH","ATX2_ARATH")</f>
        <v>ATX2_ARATH</v>
      </c>
      <c r="D7631" t="s">
        <v>6041</v>
      </c>
      <c r="E7631" s="3" t="s">
        <v>3</v>
      </c>
      <c r="F7631" s="4">
        <v>0</v>
      </c>
      <c r="G7631" s="3">
        <v>3260</v>
      </c>
      <c r="H7631" s="3">
        <v>62</v>
      </c>
      <c r="I7631" s="3">
        <v>1103</v>
      </c>
      <c r="J7631" s="3">
        <v>177</v>
      </c>
      <c r="K7631" s="3">
        <v>3434</v>
      </c>
      <c r="L7631" s="3">
        <v>8</v>
      </c>
      <c r="M7631" s="3">
        <v>1081</v>
      </c>
    </row>
    <row r="7632" spans="1:13" x14ac:dyDescent="0.25">
      <c r="A7632" s="1" t="str">
        <f>HYPERLINK("http://www.rosaceae.org/Prunus/Prunus_persica/p.persica_gdr_reftransV1_0000680","p.persica_gdr_reftransV1_0000680")</f>
        <v>p.persica_gdr_reftransV1_0000680</v>
      </c>
      <c r="B7632" s="3">
        <v>4726</v>
      </c>
      <c r="C7632" s="1" t="str">
        <f>HYPERLINK("http://www.uniprot.org/uniprot/IREH1_ARATH","IREH1_ARATH")</f>
        <v>IREH1_ARATH</v>
      </c>
      <c r="D7632" t="s">
        <v>6042</v>
      </c>
      <c r="E7632" s="3" t="s">
        <v>3</v>
      </c>
      <c r="F7632" s="4">
        <v>0</v>
      </c>
      <c r="G7632" s="3">
        <v>2250</v>
      </c>
      <c r="H7632" s="3">
        <v>62</v>
      </c>
      <c r="I7632" s="3">
        <v>725</v>
      </c>
      <c r="J7632" s="3">
        <v>605</v>
      </c>
      <c r="K7632" s="3">
        <v>2758</v>
      </c>
      <c r="L7632" s="3">
        <v>120</v>
      </c>
      <c r="M7632" s="3">
        <v>830</v>
      </c>
    </row>
    <row r="7633" spans="1:13" x14ac:dyDescent="0.25">
      <c r="A7633" s="1" t="str">
        <f>HYPERLINK("http://www.rosaceae.org/Prunus/Prunus_persica/p.persica_gdr_reftransV1_0000730","p.persica_gdr_reftransV1_0000730")</f>
        <v>p.persica_gdr_reftransV1_0000730</v>
      </c>
      <c r="B7633" s="3">
        <v>570</v>
      </c>
      <c r="C7633" s="1" t="str">
        <f>HYPERLINK("http://www.uniprot.org/uniprot/BET11_ARATH","BET11_ARATH")</f>
        <v>BET11_ARATH</v>
      </c>
      <c r="D7633" t="s">
        <v>928</v>
      </c>
      <c r="E7633" s="3" t="s">
        <v>3</v>
      </c>
      <c r="F7633" s="4">
        <v>9.6299999999999993E-65</v>
      </c>
      <c r="G7633" s="3">
        <v>512</v>
      </c>
      <c r="H7633" s="3">
        <v>80</v>
      </c>
      <c r="I7633" s="3">
        <v>122</v>
      </c>
      <c r="J7633" s="3">
        <v>65</v>
      </c>
      <c r="K7633" s="3">
        <v>430</v>
      </c>
      <c r="L7633" s="3">
        <v>1</v>
      </c>
      <c r="M7633" s="3">
        <v>122</v>
      </c>
    </row>
    <row r="7634" spans="1:13" x14ac:dyDescent="0.25">
      <c r="A7634" s="1" t="str">
        <f>HYPERLINK("http://www.rosaceae.org/Prunus/Prunus_persica/p.persica_gdr_reftransV1_0000780","p.persica_gdr_reftransV1_0000780")</f>
        <v>p.persica_gdr_reftransV1_0000780</v>
      </c>
      <c r="B7634" s="3">
        <v>1621</v>
      </c>
      <c r="C7634" s="1" t="str">
        <f>HYPERLINK("http://www.uniprot.org/uniprot/MRS2B_ARATH","MRS2B_ARATH")</f>
        <v>MRS2B_ARATH</v>
      </c>
      <c r="D7634" t="s">
        <v>6043</v>
      </c>
      <c r="E7634" s="3" t="s">
        <v>3</v>
      </c>
      <c r="F7634" s="4">
        <v>3.5199999999999999E-131</v>
      </c>
      <c r="G7634" s="3">
        <v>1019</v>
      </c>
      <c r="H7634" s="3">
        <v>83</v>
      </c>
      <c r="I7634" s="3">
        <v>283</v>
      </c>
      <c r="J7634" s="3">
        <v>522</v>
      </c>
      <c r="K7634" s="3">
        <v>1370</v>
      </c>
      <c r="L7634" s="3">
        <v>177</v>
      </c>
      <c r="M7634" s="3">
        <v>459</v>
      </c>
    </row>
    <row r="7635" spans="1:13" x14ac:dyDescent="0.25">
      <c r="A7635" s="1" t="str">
        <f>HYPERLINK("http://www.rosaceae.org/Prunus/Prunus_persica/p.persica_gdr_reftransV1_0000930","p.persica_gdr_reftransV1_0000930")</f>
        <v>p.persica_gdr_reftransV1_0000930</v>
      </c>
      <c r="B7635" s="3">
        <v>3803</v>
      </c>
      <c r="C7635" s="1" t="str">
        <f>HYPERLINK("http://www.uniprot.org/uniprot/SFSWA_MOUSE","SFSWA_MOUSE")</f>
        <v>SFSWA_MOUSE</v>
      </c>
      <c r="D7635" t="s">
        <v>6044</v>
      </c>
      <c r="E7635" s="3" t="s">
        <v>157</v>
      </c>
      <c r="F7635" s="4">
        <v>2.0699999999999999E-12</v>
      </c>
      <c r="G7635" s="3">
        <v>185</v>
      </c>
      <c r="H7635" s="3">
        <v>46</v>
      </c>
      <c r="I7635" s="3">
        <v>78</v>
      </c>
      <c r="J7635" s="3">
        <v>2272</v>
      </c>
      <c r="K7635" s="3">
        <v>2505</v>
      </c>
      <c r="L7635" s="3">
        <v>203</v>
      </c>
      <c r="M7635" s="3">
        <v>280</v>
      </c>
    </row>
    <row r="7636" spans="1:13" x14ac:dyDescent="0.25">
      <c r="A7636" s="1" t="str">
        <f>HYPERLINK("http://www.rosaceae.org/Prunus/Prunus_persica/p.persica_gdr_reftransV1_0000980","p.persica_gdr_reftransV1_0000980")</f>
        <v>p.persica_gdr_reftransV1_0000980</v>
      </c>
      <c r="B7636" s="3">
        <v>932</v>
      </c>
      <c r="C7636" s="1" t="str">
        <f>HYPERLINK("http://www.uniprot.org/uniprot/PDAT2_ARATH","PDAT2_ARATH")</f>
        <v>PDAT2_ARATH</v>
      </c>
      <c r="D7636" t="s">
        <v>2352</v>
      </c>
      <c r="E7636" s="3" t="s">
        <v>3</v>
      </c>
      <c r="F7636" s="4">
        <v>7.6100000000000005E-117</v>
      </c>
      <c r="G7636" s="3">
        <v>918</v>
      </c>
      <c r="H7636" s="3">
        <v>66</v>
      </c>
      <c r="I7636" s="3">
        <v>272</v>
      </c>
      <c r="J7636" s="3">
        <v>2</v>
      </c>
      <c r="K7636" s="3">
        <v>811</v>
      </c>
      <c r="L7636" s="3">
        <v>233</v>
      </c>
      <c r="M7636" s="3">
        <v>504</v>
      </c>
    </row>
    <row r="7637" spans="1:13" x14ac:dyDescent="0.25">
      <c r="A7637" s="1" t="str">
        <f>HYPERLINK("http://www.rosaceae.org/Prunus/Prunus_persica/p.persica_gdr_reftransV1_0001030","p.persica_gdr_reftransV1_0001030")</f>
        <v>p.persica_gdr_reftransV1_0001030</v>
      </c>
      <c r="B7637" s="3">
        <v>1050</v>
      </c>
      <c r="C7637" s="1" t="str">
        <f>HYPERLINK("http://www.uniprot.org/uniprot/MLO13_ARATH","MLO13_ARATH")</f>
        <v>MLO13_ARATH</v>
      </c>
      <c r="D7637" t="s">
        <v>1880</v>
      </c>
      <c r="E7637" s="3" t="s">
        <v>3</v>
      </c>
      <c r="F7637" s="4">
        <v>2.3899999999999999E-119</v>
      </c>
      <c r="G7637" s="3">
        <v>924</v>
      </c>
      <c r="H7637" s="3">
        <v>64</v>
      </c>
      <c r="I7637" s="3">
        <v>322</v>
      </c>
      <c r="J7637" s="3">
        <v>111</v>
      </c>
      <c r="K7637" s="3">
        <v>1049</v>
      </c>
      <c r="L7637" s="3">
        <v>149</v>
      </c>
      <c r="M7637" s="3">
        <v>463</v>
      </c>
    </row>
    <row r="7638" spans="1:13" x14ac:dyDescent="0.25">
      <c r="A7638" s="1" t="str">
        <f>HYPERLINK("http://www.rosaceae.org/Prunus/Prunus_persica/p.persica_gdr_reftransV1_0001180","p.persica_gdr_reftransV1_0001180")</f>
        <v>p.persica_gdr_reftransV1_0001180</v>
      </c>
      <c r="B7638" s="3">
        <v>1927</v>
      </c>
      <c r="C7638" s="1" t="str">
        <f>HYPERLINK("http://www.uniprot.org/uniprot/YLS9_ARATH","YLS9_ARATH")</f>
        <v>YLS9_ARATH</v>
      </c>
      <c r="D7638" t="s">
        <v>607</v>
      </c>
      <c r="E7638" s="3" t="s">
        <v>3</v>
      </c>
      <c r="F7638" s="4">
        <v>1.3E-62</v>
      </c>
      <c r="G7638" s="3">
        <v>542</v>
      </c>
      <c r="H7638" s="3">
        <v>51</v>
      </c>
      <c r="I7638" s="3">
        <v>233</v>
      </c>
      <c r="J7638" s="3">
        <v>265</v>
      </c>
      <c r="K7638" s="3">
        <v>948</v>
      </c>
      <c r="L7638" s="3">
        <v>1</v>
      </c>
      <c r="M7638" s="3">
        <v>227</v>
      </c>
    </row>
    <row r="7639" spans="1:13" x14ac:dyDescent="0.25">
      <c r="A7639" s="1" t="str">
        <f>HYPERLINK("http://www.rosaceae.org/Prunus/Prunus_persica/p.persica_gdr_reftransV1_0001230","p.persica_gdr_reftransV1_0001230")</f>
        <v>p.persica_gdr_reftransV1_0001230</v>
      </c>
      <c r="B7639" s="3">
        <v>1247</v>
      </c>
      <c r="C7639" s="1" t="str">
        <f>HYPERLINK("http://www.uniprot.org/uniprot/WAKLB_ARATH","WAKLB_ARATH")</f>
        <v>WAKLB_ARATH</v>
      </c>
      <c r="D7639" t="s">
        <v>6045</v>
      </c>
      <c r="E7639" s="3" t="s">
        <v>3</v>
      </c>
      <c r="F7639" s="4">
        <v>5.4800000000000001E-145</v>
      </c>
      <c r="G7639" s="3">
        <v>1124</v>
      </c>
      <c r="H7639" s="3">
        <v>66</v>
      </c>
      <c r="I7639" s="3">
        <v>316</v>
      </c>
      <c r="J7639" s="3">
        <v>3</v>
      </c>
      <c r="K7639" s="3">
        <v>950</v>
      </c>
      <c r="L7639" s="3">
        <v>385</v>
      </c>
      <c r="M7639" s="3">
        <v>696</v>
      </c>
    </row>
    <row r="7640" spans="1:13" x14ac:dyDescent="0.25">
      <c r="A7640" s="1" t="str">
        <f>HYPERLINK("http://www.rosaceae.org/Prunus/Prunus_persica/p.persica_gdr_reftransV1_0001280","p.persica_gdr_reftransV1_0001280")</f>
        <v>p.persica_gdr_reftransV1_0001280</v>
      </c>
      <c r="B7640" s="3">
        <v>1625</v>
      </c>
      <c r="C7640" s="1" t="str">
        <f>HYPERLINK("http://www.uniprot.org/uniprot/PNSB1_ARATH","PNSB1_ARATH")</f>
        <v>PNSB1_ARATH</v>
      </c>
      <c r="D7640" t="s">
        <v>6046</v>
      </c>
      <c r="E7640" s="3" t="s">
        <v>3</v>
      </c>
      <c r="F7640" s="4">
        <v>0</v>
      </c>
      <c r="G7640" s="3">
        <v>1625</v>
      </c>
      <c r="H7640" s="3">
        <v>72</v>
      </c>
      <c r="I7640" s="3">
        <v>464</v>
      </c>
      <c r="J7640" s="3">
        <v>145</v>
      </c>
      <c r="K7640" s="3">
        <v>1536</v>
      </c>
      <c r="L7640" s="3">
        <v>1</v>
      </c>
      <c r="M7640" s="3">
        <v>461</v>
      </c>
    </row>
    <row r="7641" spans="1:13" x14ac:dyDescent="0.25">
      <c r="A7641" s="1" t="str">
        <f>HYPERLINK("http://www.rosaceae.org/Prunus/Prunus_persica/p.persica_gdr_reftransV1_0001430","p.persica_gdr_reftransV1_0001430")</f>
        <v>p.persica_gdr_reftransV1_0001430</v>
      </c>
      <c r="B7641" s="3">
        <v>390</v>
      </c>
      <c r="C7641" s="1" t="str">
        <f>HYPERLINK("http://www.uniprot.org/uniprot/S10A8_HUMAN","S10A8_HUMAN")</f>
        <v>S10A8_HUMAN</v>
      </c>
      <c r="D7641" t="s">
        <v>6047</v>
      </c>
      <c r="E7641" s="3" t="s">
        <v>28</v>
      </c>
      <c r="F7641" s="4">
        <v>6.2300000000000005E-54</v>
      </c>
      <c r="G7641" s="3">
        <v>432</v>
      </c>
      <c r="H7641" s="3">
        <v>100</v>
      </c>
      <c r="I7641" s="3">
        <v>82</v>
      </c>
      <c r="J7641" s="3">
        <v>108</v>
      </c>
      <c r="K7641" s="3">
        <v>353</v>
      </c>
      <c r="L7641" s="3">
        <v>1</v>
      </c>
      <c r="M7641" s="3">
        <v>82</v>
      </c>
    </row>
    <row r="7642" spans="1:13" x14ac:dyDescent="0.25">
      <c r="A7642" s="1" t="str">
        <f>HYPERLINK("http://www.rosaceae.org/Prunus/Prunus_persica/p.persica_gdr_reftransV1_0001530","p.persica_gdr_reftransV1_0001530")</f>
        <v>p.persica_gdr_reftransV1_0001530</v>
      </c>
      <c r="B7642" s="3">
        <v>2485</v>
      </c>
      <c r="C7642" s="1" t="str">
        <f>HYPERLINK("http://www.uniprot.org/uniprot/APY6_ARATH","APY6_ARATH")</f>
        <v>APY6_ARATH</v>
      </c>
      <c r="D7642" t="s">
        <v>6048</v>
      </c>
      <c r="E7642" s="3" t="s">
        <v>3</v>
      </c>
      <c r="F7642" s="4">
        <v>5.2799999999999998E-95</v>
      </c>
      <c r="G7642" s="3">
        <v>805</v>
      </c>
      <c r="H7642" s="3">
        <v>57</v>
      </c>
      <c r="I7642" s="3">
        <v>288</v>
      </c>
      <c r="J7642" s="3">
        <v>1379</v>
      </c>
      <c r="K7642" s="3">
        <v>2215</v>
      </c>
      <c r="L7642" s="3">
        <v>1</v>
      </c>
      <c r="M7642" s="3">
        <v>282</v>
      </c>
    </row>
    <row r="7643" spans="1:13" x14ac:dyDescent="0.25">
      <c r="A7643" s="1" t="str">
        <f>HYPERLINK("http://www.rosaceae.org/Prunus/Prunus_persica/p.persica_gdr_reftransV1_0001580","p.persica_gdr_reftransV1_0001580")</f>
        <v>p.persica_gdr_reftransV1_0001580</v>
      </c>
      <c r="B7643" s="3">
        <v>1730</v>
      </c>
      <c r="C7643" s="1" t="str">
        <f>HYPERLINK("http://www.uniprot.org/uniprot/LHTL8_ARATH","LHTL8_ARATH")</f>
        <v>LHTL8_ARATH</v>
      </c>
      <c r="D7643" t="s">
        <v>1580</v>
      </c>
      <c r="E7643" s="3" t="s">
        <v>3</v>
      </c>
      <c r="F7643" s="4">
        <v>1.54E-130</v>
      </c>
      <c r="G7643" s="3">
        <v>1024</v>
      </c>
      <c r="H7643" s="3">
        <v>50</v>
      </c>
      <c r="I7643" s="3">
        <v>467</v>
      </c>
      <c r="J7643" s="3">
        <v>181</v>
      </c>
      <c r="K7643" s="3">
        <v>1569</v>
      </c>
      <c r="L7643" s="3">
        <v>80</v>
      </c>
      <c r="M7643" s="3">
        <v>517</v>
      </c>
    </row>
    <row r="7644" spans="1:13" x14ac:dyDescent="0.25">
      <c r="A7644" s="1" t="str">
        <f>HYPERLINK("http://www.rosaceae.org/Prunus/Prunus_persica/p.persica_gdr_reftransV1_0001630","p.persica_gdr_reftransV1_0001630")</f>
        <v>p.persica_gdr_reftransV1_0001630</v>
      </c>
      <c r="B7644" s="3">
        <v>1180</v>
      </c>
      <c r="C7644" s="1" t="str">
        <f>HYPERLINK("http://www.uniprot.org/uniprot/PCP_PYRFU","PCP_PYRFU")</f>
        <v>PCP_PYRFU</v>
      </c>
      <c r="D7644" t="s">
        <v>6049</v>
      </c>
      <c r="E7644" s="3" t="s">
        <v>6050</v>
      </c>
      <c r="F7644" s="4">
        <v>1.4800000000000001E-17</v>
      </c>
      <c r="G7644" s="3">
        <v>207</v>
      </c>
      <c r="H7644" s="3">
        <v>31</v>
      </c>
      <c r="I7644" s="3">
        <v>186</v>
      </c>
      <c r="J7644" s="3">
        <v>281</v>
      </c>
      <c r="K7644" s="3">
        <v>832</v>
      </c>
      <c r="L7644" s="3">
        <v>1</v>
      </c>
      <c r="M7644" s="3">
        <v>168</v>
      </c>
    </row>
    <row r="7645" spans="1:13" x14ac:dyDescent="0.25">
      <c r="A7645" s="1" t="str">
        <f>HYPERLINK("http://www.rosaceae.org/Prunus/Prunus_persica/p.persica_gdr_reftransV1_0001780","p.persica_gdr_reftransV1_0001780")</f>
        <v>p.persica_gdr_reftransV1_0001780</v>
      </c>
      <c r="B7645" s="3">
        <v>818</v>
      </c>
      <c r="C7645" s="1" t="str">
        <f>HYPERLINK("http://www.uniprot.org/uniprot/THADA_MOUSE","THADA_MOUSE")</f>
        <v>THADA_MOUSE</v>
      </c>
      <c r="D7645" t="s">
        <v>6051</v>
      </c>
      <c r="E7645" s="3" t="s">
        <v>157</v>
      </c>
      <c r="F7645" s="4">
        <v>3.6300000000000003E-21</v>
      </c>
      <c r="G7645" s="3">
        <v>243</v>
      </c>
      <c r="H7645" s="3">
        <v>31</v>
      </c>
      <c r="I7645" s="3">
        <v>276</v>
      </c>
      <c r="J7645" s="3">
        <v>7</v>
      </c>
      <c r="K7645" s="3">
        <v>816</v>
      </c>
      <c r="L7645" s="3">
        <v>1044</v>
      </c>
      <c r="M7645" s="3">
        <v>1252</v>
      </c>
    </row>
    <row r="7646" spans="1:13" x14ac:dyDescent="0.25">
      <c r="A7646" s="1" t="str">
        <f>HYPERLINK("http://www.rosaceae.org/Prunus/Prunus_persica/p.persica_gdr_reftransV1_0001880","p.persica_gdr_reftransV1_0001880")</f>
        <v>p.persica_gdr_reftransV1_0001880</v>
      </c>
      <c r="B7646" s="3">
        <v>1078</v>
      </c>
      <c r="C7646" s="1" t="str">
        <f>HYPERLINK("http://www.uniprot.org/uniprot/Y2090_ARATH","Y2090_ARATH")</f>
        <v>Y2090_ARATH</v>
      </c>
      <c r="D7646" t="s">
        <v>1875</v>
      </c>
      <c r="E7646" s="3" t="s">
        <v>3</v>
      </c>
      <c r="F7646" s="4">
        <v>2.8099999999999999E-94</v>
      </c>
      <c r="G7646" s="3">
        <v>762</v>
      </c>
      <c r="H7646" s="3">
        <v>82</v>
      </c>
      <c r="I7646" s="3">
        <v>179</v>
      </c>
      <c r="J7646" s="3">
        <v>540</v>
      </c>
      <c r="K7646" s="3">
        <v>1076</v>
      </c>
      <c r="L7646" s="3">
        <v>87</v>
      </c>
      <c r="M7646" s="3">
        <v>265</v>
      </c>
    </row>
    <row r="7647" spans="1:13" x14ac:dyDescent="0.25">
      <c r="A7647" s="1" t="str">
        <f>HYPERLINK("http://www.rosaceae.org/Prunus/Prunus_persica/p.persica_gdr_reftransV1_0002080","p.persica_gdr_reftransV1_0002080")</f>
        <v>p.persica_gdr_reftransV1_0002080</v>
      </c>
      <c r="B7647" s="3">
        <v>2254</v>
      </c>
      <c r="C7647" s="1" t="str">
        <f>HYPERLINK("http://www.uniprot.org/uniprot/NIPA8_ARATH","NIPA8_ARATH")</f>
        <v>NIPA8_ARATH</v>
      </c>
      <c r="D7647" t="s">
        <v>6052</v>
      </c>
      <c r="E7647" s="3" t="s">
        <v>3</v>
      </c>
      <c r="F7647" s="4">
        <v>1.65E-135</v>
      </c>
      <c r="G7647" s="3">
        <v>1065</v>
      </c>
      <c r="H7647" s="3">
        <v>80</v>
      </c>
      <c r="I7647" s="3">
        <v>251</v>
      </c>
      <c r="J7647" s="3">
        <v>590</v>
      </c>
      <c r="K7647" s="3">
        <v>1342</v>
      </c>
      <c r="L7647" s="3">
        <v>1</v>
      </c>
      <c r="M7647" s="3">
        <v>248</v>
      </c>
    </row>
    <row r="7648" spans="1:13" x14ac:dyDescent="0.25">
      <c r="A7648" s="1" t="str">
        <f>HYPERLINK("http://www.rosaceae.org/Prunus/Prunus_persica/p.persica_gdr_reftransV1_0002230","p.persica_gdr_reftransV1_0002230")</f>
        <v>p.persica_gdr_reftransV1_0002230</v>
      </c>
      <c r="B7648" s="3">
        <v>399</v>
      </c>
      <c r="C7648" s="1" t="str">
        <f>HYPERLINK("http://www.uniprot.org/uniprot/RS10A_YEAST","RS10A_YEAST")</f>
        <v>RS10A_YEAST</v>
      </c>
      <c r="D7648" t="s">
        <v>6053</v>
      </c>
      <c r="E7648" s="3" t="s">
        <v>34</v>
      </c>
      <c r="F7648" s="4">
        <v>6.36E-47</v>
      </c>
      <c r="G7648" s="3">
        <v>387</v>
      </c>
      <c r="H7648" s="3">
        <v>73</v>
      </c>
      <c r="I7648" s="3">
        <v>95</v>
      </c>
      <c r="J7648" s="3">
        <v>73</v>
      </c>
      <c r="K7648" s="3">
        <v>357</v>
      </c>
      <c r="L7648" s="3">
        <v>1</v>
      </c>
      <c r="M7648" s="3">
        <v>95</v>
      </c>
    </row>
    <row r="7649" spans="1:13" x14ac:dyDescent="0.25">
      <c r="A7649" s="1" t="str">
        <f>HYPERLINK("http://www.rosaceae.org/Prunus/Prunus_persica/p.persica_gdr_reftransV1_0002330","p.persica_gdr_reftransV1_0002330")</f>
        <v>p.persica_gdr_reftransV1_0002330</v>
      </c>
      <c r="B7649" s="3">
        <v>1601</v>
      </c>
      <c r="C7649" s="1" t="str">
        <f>HYPERLINK("http://www.uniprot.org/uniprot/RLK1_ARATH","RLK1_ARATH")</f>
        <v>RLK1_ARATH</v>
      </c>
      <c r="D7649" t="s">
        <v>806</v>
      </c>
      <c r="E7649" s="3" t="s">
        <v>3</v>
      </c>
      <c r="F7649" s="4">
        <v>1.44E-90</v>
      </c>
      <c r="G7649" s="3">
        <v>772</v>
      </c>
      <c r="H7649" s="3">
        <v>42</v>
      </c>
      <c r="I7649" s="3">
        <v>425</v>
      </c>
      <c r="J7649" s="3">
        <v>158</v>
      </c>
      <c r="K7649" s="3">
        <v>1384</v>
      </c>
      <c r="L7649" s="3">
        <v>29</v>
      </c>
      <c r="M7649" s="3">
        <v>445</v>
      </c>
    </row>
    <row r="7650" spans="1:13" x14ac:dyDescent="0.25">
      <c r="A7650" s="1" t="str">
        <f>HYPERLINK("http://www.rosaceae.org/Prunus/Prunus_persica/p.persica_gdr_reftransV1_0002480","p.persica_gdr_reftransV1_0002480")</f>
        <v>p.persica_gdr_reftransV1_0002480</v>
      </c>
      <c r="B7650" s="3">
        <v>2804</v>
      </c>
      <c r="C7650" s="1" t="str">
        <f>HYPERLINK("http://www.uniprot.org/uniprot/Y1491_ARATH","Y1491_ARATH")</f>
        <v>Y1491_ARATH</v>
      </c>
      <c r="D7650" t="s">
        <v>310</v>
      </c>
      <c r="E7650" s="3" t="s">
        <v>3</v>
      </c>
      <c r="F7650" s="4">
        <v>2.7800000000000001E-40</v>
      </c>
      <c r="G7650" s="3">
        <v>390</v>
      </c>
      <c r="H7650" s="3">
        <v>34</v>
      </c>
      <c r="I7650" s="3">
        <v>268</v>
      </c>
      <c r="J7650" s="3">
        <v>1175</v>
      </c>
      <c r="K7650" s="3">
        <v>1972</v>
      </c>
      <c r="L7650" s="3">
        <v>115</v>
      </c>
      <c r="M7650" s="3">
        <v>367</v>
      </c>
    </row>
    <row r="7651" spans="1:13" x14ac:dyDescent="0.25">
      <c r="A7651" s="1" t="str">
        <f>HYPERLINK("http://www.rosaceae.org/Prunus/Prunus_persica/p.persica_gdr_reftransV1_0002530","p.persica_gdr_reftransV1_0002530")</f>
        <v>p.persica_gdr_reftransV1_0002530</v>
      </c>
      <c r="B7651" s="3">
        <v>435</v>
      </c>
      <c r="C7651" s="1" t="str">
        <f>HYPERLINK("http://www.uniprot.org/uniprot/WAK3_ARATH","WAK3_ARATH")</f>
        <v>WAK3_ARATH</v>
      </c>
      <c r="D7651" t="s">
        <v>5647</v>
      </c>
      <c r="E7651" s="3" t="s">
        <v>3</v>
      </c>
      <c r="F7651" s="4">
        <v>3.9000000000000001E-32</v>
      </c>
      <c r="G7651" s="3">
        <v>313</v>
      </c>
      <c r="H7651" s="3">
        <v>50</v>
      </c>
      <c r="I7651" s="3">
        <v>117</v>
      </c>
      <c r="J7651" s="3">
        <v>3</v>
      </c>
      <c r="K7651" s="3">
        <v>350</v>
      </c>
      <c r="L7651" s="3">
        <v>596</v>
      </c>
      <c r="M7651" s="3">
        <v>710</v>
      </c>
    </row>
    <row r="7652" spans="1:13" x14ac:dyDescent="0.25">
      <c r="A7652" s="1" t="str">
        <f>HYPERLINK("http://www.rosaceae.org/Prunus/Prunus_persica/p.persica_gdr_reftransV1_0002580","p.persica_gdr_reftransV1_0002580")</f>
        <v>p.persica_gdr_reftransV1_0002580</v>
      </c>
      <c r="B7652" s="3">
        <v>450</v>
      </c>
      <c r="C7652" s="1" t="str">
        <f>HYPERLINK("http://www.uniprot.org/uniprot/RL10A_NEUCR","RL10A_NEUCR")</f>
        <v>RL10A_NEUCR</v>
      </c>
      <c r="D7652" t="s">
        <v>6054</v>
      </c>
      <c r="E7652" s="3" t="s">
        <v>435</v>
      </c>
      <c r="F7652" s="4">
        <v>6.0899999999999996E-78</v>
      </c>
      <c r="G7652" s="3">
        <v>604</v>
      </c>
      <c r="H7652" s="3">
        <v>94</v>
      </c>
      <c r="I7652" s="3">
        <v>138</v>
      </c>
      <c r="J7652" s="3">
        <v>37</v>
      </c>
      <c r="K7652" s="3">
        <v>450</v>
      </c>
      <c r="L7652" s="3">
        <v>1</v>
      </c>
      <c r="M7652" s="3">
        <v>138</v>
      </c>
    </row>
    <row r="7653" spans="1:13" x14ac:dyDescent="0.25">
      <c r="A7653" s="1" t="str">
        <f>HYPERLINK("http://www.rosaceae.org/Prunus/Prunus_persica/p.persica_gdr_reftransV1_0002630","p.persica_gdr_reftransV1_0002630")</f>
        <v>p.persica_gdr_reftransV1_0002630</v>
      </c>
      <c r="B7653" s="3">
        <v>2200</v>
      </c>
      <c r="C7653" s="1" t="str">
        <f>HYPERLINK("http://www.uniprot.org/uniprot/Y533_STRP6","Y533_STRP6")</f>
        <v>Y533_STRP6</v>
      </c>
      <c r="D7653" t="s">
        <v>6055</v>
      </c>
      <c r="E7653" s="3" t="s">
        <v>6056</v>
      </c>
      <c r="F7653" s="4">
        <v>5.6399999999999996E-25</v>
      </c>
      <c r="G7653" s="3">
        <v>274</v>
      </c>
      <c r="H7653" s="3">
        <v>28</v>
      </c>
      <c r="I7653" s="3">
        <v>275</v>
      </c>
      <c r="J7653" s="3">
        <v>1087</v>
      </c>
      <c r="K7653" s="3">
        <v>1905</v>
      </c>
      <c r="L7653" s="3">
        <v>3</v>
      </c>
      <c r="M7653" s="3">
        <v>268</v>
      </c>
    </row>
    <row r="7654" spans="1:13" x14ac:dyDescent="0.25">
      <c r="A7654" s="1" t="str">
        <f>HYPERLINK("http://www.rosaceae.org/Prunus/Prunus_persica/p.persica_gdr_reftransV1_0002730","p.persica_gdr_reftransV1_0002730")</f>
        <v>p.persica_gdr_reftransV1_0002730</v>
      </c>
      <c r="B7654" s="3">
        <v>1222</v>
      </c>
      <c r="C7654" s="1" t="str">
        <f>HYPERLINK("http://www.uniprot.org/uniprot/MYB44_ARATH","MYB44_ARATH")</f>
        <v>MYB44_ARATH</v>
      </c>
      <c r="D7654" t="s">
        <v>1249</v>
      </c>
      <c r="E7654" s="3" t="s">
        <v>3</v>
      </c>
      <c r="F7654" s="4">
        <v>3.7799999999999998E-32</v>
      </c>
      <c r="G7654" s="3">
        <v>321</v>
      </c>
      <c r="H7654" s="3">
        <v>51</v>
      </c>
      <c r="I7654" s="3">
        <v>131</v>
      </c>
      <c r="J7654" s="3">
        <v>157</v>
      </c>
      <c r="K7654" s="3">
        <v>543</v>
      </c>
      <c r="L7654" s="3">
        <v>6</v>
      </c>
      <c r="M7654" s="3">
        <v>129</v>
      </c>
    </row>
    <row r="7655" spans="1:13" x14ac:dyDescent="0.25">
      <c r="A7655" s="1" t="str">
        <f>HYPERLINK("http://www.rosaceae.org/Prunus/Prunus_persica/p.persica_gdr_reftransV1_0002830","p.persica_gdr_reftransV1_0002830")</f>
        <v>p.persica_gdr_reftransV1_0002830</v>
      </c>
      <c r="B7655" s="3">
        <v>369</v>
      </c>
      <c r="C7655" s="1" t="str">
        <f>HYPERLINK("http://www.uniprot.org/uniprot/Y2253_MYCBO","Y2253_MYCBO")</f>
        <v>Y2253_MYCBO</v>
      </c>
      <c r="D7655" t="s">
        <v>737</v>
      </c>
      <c r="E7655" s="3" t="s">
        <v>738</v>
      </c>
      <c r="F7655" s="4">
        <v>4.6199999999999999E-11</v>
      </c>
      <c r="G7655" s="3">
        <v>151</v>
      </c>
      <c r="H7655" s="3">
        <v>37</v>
      </c>
      <c r="I7655" s="3">
        <v>101</v>
      </c>
      <c r="J7655" s="3">
        <v>3</v>
      </c>
      <c r="K7655" s="3">
        <v>302</v>
      </c>
      <c r="L7655" s="3">
        <v>19</v>
      </c>
      <c r="M7655" s="3">
        <v>119</v>
      </c>
    </row>
    <row r="7656" spans="1:13" x14ac:dyDescent="0.25">
      <c r="A7656" s="1" t="str">
        <f>HYPERLINK("http://www.rosaceae.org/Prunus/Prunus_persica/p.persica_gdr_reftransV1_0002880","p.persica_gdr_reftransV1_0002880")</f>
        <v>p.persica_gdr_reftransV1_0002880</v>
      </c>
      <c r="B7656" s="3">
        <v>822</v>
      </c>
      <c r="C7656" s="1" t="str">
        <f>HYPERLINK("http://www.uniprot.org/uniprot/Y3720_ARATH","Y3720_ARATH")</f>
        <v>Y3720_ARATH</v>
      </c>
      <c r="D7656" t="s">
        <v>104</v>
      </c>
      <c r="E7656" s="3" t="s">
        <v>3</v>
      </c>
      <c r="F7656" s="4">
        <v>2.4199999999999999E-22</v>
      </c>
      <c r="G7656" s="3">
        <v>247</v>
      </c>
      <c r="H7656" s="3">
        <v>35</v>
      </c>
      <c r="I7656" s="3">
        <v>191</v>
      </c>
      <c r="J7656" s="3">
        <v>199</v>
      </c>
      <c r="K7656" s="3">
        <v>768</v>
      </c>
      <c r="L7656" s="3">
        <v>24</v>
      </c>
      <c r="M7656" s="3">
        <v>211</v>
      </c>
    </row>
    <row r="7657" spans="1:13" x14ac:dyDescent="0.25">
      <c r="A7657" s="1" t="str">
        <f>HYPERLINK("http://www.rosaceae.org/Prunus/Prunus_persica/p.persica_gdr_reftransV1_0002930","p.persica_gdr_reftransV1_0002930")</f>
        <v>p.persica_gdr_reftransV1_0002930</v>
      </c>
      <c r="B7657" s="3">
        <v>950</v>
      </c>
      <c r="C7657" s="1" t="str">
        <f>HYPERLINK("http://www.uniprot.org/uniprot/GSXL9_ARATH","GSXL9_ARATH")</f>
        <v>GSXL9_ARATH</v>
      </c>
      <c r="D7657" t="s">
        <v>6057</v>
      </c>
      <c r="E7657" s="3" t="s">
        <v>3</v>
      </c>
      <c r="F7657" s="4">
        <v>1.13E-163</v>
      </c>
      <c r="G7657" s="3">
        <v>1212</v>
      </c>
      <c r="H7657" s="3">
        <v>75</v>
      </c>
      <c r="I7657" s="3">
        <v>284</v>
      </c>
      <c r="J7657" s="3">
        <v>2</v>
      </c>
      <c r="K7657" s="3">
        <v>853</v>
      </c>
      <c r="L7657" s="3">
        <v>177</v>
      </c>
      <c r="M7657" s="3">
        <v>460</v>
      </c>
    </row>
    <row r="7658" spans="1:13" x14ac:dyDescent="0.25">
      <c r="A7658" s="1" t="str">
        <f>HYPERLINK("http://www.rosaceae.org/Prunus/Prunus_persica/p.persica_gdr_reftransV1_0003080","p.persica_gdr_reftransV1_0003080")</f>
        <v>p.persica_gdr_reftransV1_0003080</v>
      </c>
      <c r="B7658" s="3">
        <v>531</v>
      </c>
      <c r="C7658" s="1" t="str">
        <f>HYPERLINK("http://www.uniprot.org/uniprot/RL33A_SCHPO","RL33A_SCHPO")</f>
        <v>RL33A_SCHPO</v>
      </c>
      <c r="D7658" t="s">
        <v>6058</v>
      </c>
      <c r="E7658" s="3" t="s">
        <v>464</v>
      </c>
      <c r="F7658" s="4">
        <v>6.8200000000000005E-48</v>
      </c>
      <c r="G7658" s="3">
        <v>398</v>
      </c>
      <c r="H7658" s="3">
        <v>65</v>
      </c>
      <c r="I7658" s="3">
        <v>109</v>
      </c>
      <c r="J7658" s="3">
        <v>129</v>
      </c>
      <c r="K7658" s="3">
        <v>455</v>
      </c>
      <c r="L7658" s="3">
        <v>1</v>
      </c>
      <c r="M7658" s="3">
        <v>108</v>
      </c>
    </row>
    <row r="7659" spans="1:13" x14ac:dyDescent="0.25">
      <c r="A7659" s="1" t="str">
        <f>HYPERLINK("http://www.rosaceae.org/Prunus/Prunus_persica/p.persica_gdr_reftransV1_0003130","p.persica_gdr_reftransV1_0003130")</f>
        <v>p.persica_gdr_reftransV1_0003130</v>
      </c>
      <c r="B7659" s="3">
        <v>572</v>
      </c>
      <c r="C7659" s="1" t="str">
        <f>HYPERLINK("http://www.uniprot.org/uniprot/TBL43_ARATH","TBL43_ARATH")</f>
        <v>TBL43_ARATH</v>
      </c>
      <c r="D7659" t="s">
        <v>3846</v>
      </c>
      <c r="E7659" s="3" t="s">
        <v>3</v>
      </c>
      <c r="F7659" s="4">
        <v>1.2100000000000001E-72</v>
      </c>
      <c r="G7659" s="3">
        <v>586</v>
      </c>
      <c r="H7659" s="3">
        <v>57</v>
      </c>
      <c r="I7659" s="3">
        <v>191</v>
      </c>
      <c r="J7659" s="3">
        <v>2</v>
      </c>
      <c r="K7659" s="3">
        <v>571</v>
      </c>
      <c r="L7659" s="3">
        <v>151</v>
      </c>
      <c r="M7659" s="3">
        <v>339</v>
      </c>
    </row>
    <row r="7660" spans="1:13" x14ac:dyDescent="0.25">
      <c r="A7660" s="1" t="str">
        <f>HYPERLINK("http://www.rosaceae.org/Prunus/Prunus_persica/p.persica_gdr_reftransV1_0003180","p.persica_gdr_reftransV1_0003180")</f>
        <v>p.persica_gdr_reftransV1_0003180</v>
      </c>
      <c r="B7660" s="3">
        <v>2598</v>
      </c>
      <c r="C7660" s="1" t="str">
        <f>HYPERLINK("http://www.uniprot.org/uniprot/PCKA_ARATH","PCKA_ARATH")</f>
        <v>PCKA_ARATH</v>
      </c>
      <c r="D7660" t="s">
        <v>4882</v>
      </c>
      <c r="E7660" s="3" t="s">
        <v>3</v>
      </c>
      <c r="F7660" s="4">
        <v>0</v>
      </c>
      <c r="G7660" s="3">
        <v>1902</v>
      </c>
      <c r="H7660" s="3">
        <v>90</v>
      </c>
      <c r="I7660" s="3">
        <v>399</v>
      </c>
      <c r="J7660" s="3">
        <v>1205</v>
      </c>
      <c r="K7660" s="3">
        <v>2401</v>
      </c>
      <c r="L7660" s="3">
        <v>273</v>
      </c>
      <c r="M7660" s="3">
        <v>671</v>
      </c>
    </row>
    <row r="7661" spans="1:13" x14ac:dyDescent="0.25">
      <c r="A7661" s="1" t="str">
        <f>HYPERLINK("http://www.rosaceae.org/Prunus/Prunus_persica/p.persica_gdr_reftransV1_0003230","p.persica_gdr_reftransV1_0003230")</f>
        <v>p.persica_gdr_reftransV1_0003230</v>
      </c>
      <c r="B7661" s="3">
        <v>3401</v>
      </c>
      <c r="C7661" s="1" t="str">
        <f>HYPERLINK("http://www.uniprot.org/uniprot/FTSH3_SYNY3","FTSH3_SYNY3")</f>
        <v>FTSH3_SYNY3</v>
      </c>
      <c r="D7661" t="s">
        <v>6059</v>
      </c>
      <c r="E7661" s="3" t="s">
        <v>527</v>
      </c>
      <c r="F7661" s="4">
        <v>1.51E-90</v>
      </c>
      <c r="G7661" s="3">
        <v>793</v>
      </c>
      <c r="H7661" s="3">
        <v>41</v>
      </c>
      <c r="I7661" s="3">
        <v>486</v>
      </c>
      <c r="J7661" s="3">
        <v>1377</v>
      </c>
      <c r="K7661" s="3">
        <v>2774</v>
      </c>
      <c r="L7661" s="3">
        <v>140</v>
      </c>
      <c r="M7661" s="3">
        <v>605</v>
      </c>
    </row>
    <row r="7662" spans="1:13" x14ac:dyDescent="0.25">
      <c r="A7662" s="1" t="str">
        <f>HYPERLINK("http://www.rosaceae.org/Prunus/Prunus_persica/p.persica_gdr_reftransV1_0003330","p.persica_gdr_reftransV1_0003330")</f>
        <v>p.persica_gdr_reftransV1_0003330</v>
      </c>
      <c r="B7662" s="3">
        <v>3384</v>
      </c>
      <c r="C7662" s="1" t="str">
        <f>HYPERLINK("http://www.uniprot.org/uniprot/CSC1_ARATH","CSC1_ARATH")</f>
        <v>CSC1_ARATH</v>
      </c>
      <c r="D7662" t="s">
        <v>3197</v>
      </c>
      <c r="E7662" s="3" t="s">
        <v>3</v>
      </c>
      <c r="F7662" s="4">
        <v>0</v>
      </c>
      <c r="G7662" s="3">
        <v>3004</v>
      </c>
      <c r="H7662" s="3">
        <v>78</v>
      </c>
      <c r="I7662" s="3">
        <v>766</v>
      </c>
      <c r="J7662" s="3">
        <v>451</v>
      </c>
      <c r="K7662" s="3">
        <v>2742</v>
      </c>
      <c r="L7662" s="3">
        <v>1</v>
      </c>
      <c r="M7662" s="3">
        <v>765</v>
      </c>
    </row>
    <row r="7663" spans="1:13" x14ac:dyDescent="0.25">
      <c r="A7663" s="1" t="str">
        <f>HYPERLINK("http://www.rosaceae.org/Prunus/Prunus_persica/p.persica_gdr_reftransV1_0003480","p.persica_gdr_reftransV1_0003480")</f>
        <v>p.persica_gdr_reftransV1_0003480</v>
      </c>
      <c r="B7663" s="3">
        <v>614</v>
      </c>
      <c r="C7663" s="1" t="str">
        <f>HYPERLINK("http://www.uniprot.org/uniprot/RFWD3_MOUSE","RFWD3_MOUSE")</f>
        <v>RFWD3_MOUSE</v>
      </c>
      <c r="D7663" t="s">
        <v>1093</v>
      </c>
      <c r="E7663" s="3" t="s">
        <v>157</v>
      </c>
      <c r="F7663" s="4">
        <v>4.4200000000000002E-17</v>
      </c>
      <c r="G7663" s="3">
        <v>205</v>
      </c>
      <c r="H7663" s="3">
        <v>45</v>
      </c>
      <c r="I7663" s="3">
        <v>78</v>
      </c>
      <c r="J7663" s="3">
        <v>369</v>
      </c>
      <c r="K7663" s="3">
        <v>602</v>
      </c>
      <c r="L7663" s="3">
        <v>284</v>
      </c>
      <c r="M7663" s="3">
        <v>360</v>
      </c>
    </row>
    <row r="7664" spans="1:13" x14ac:dyDescent="0.25">
      <c r="A7664" s="1" t="str">
        <f>HYPERLINK("http://www.rosaceae.org/Prunus/Prunus_persica/p.persica_gdr_reftransV1_0003530","p.persica_gdr_reftransV1_0003530")</f>
        <v>p.persica_gdr_reftransV1_0003530</v>
      </c>
      <c r="B7664" s="3">
        <v>1603</v>
      </c>
      <c r="C7664" s="1" t="str">
        <f>HYPERLINK("http://www.uniprot.org/uniprot/PLP2_ARATH","PLP2_ARATH")</f>
        <v>PLP2_ARATH</v>
      </c>
      <c r="D7664" t="s">
        <v>2299</v>
      </c>
      <c r="E7664" s="3" t="s">
        <v>3</v>
      </c>
      <c r="F7664" s="4">
        <v>3.1899999999999998E-143</v>
      </c>
      <c r="G7664" s="3">
        <v>1094</v>
      </c>
      <c r="H7664" s="3">
        <v>57</v>
      </c>
      <c r="I7664" s="3">
        <v>384</v>
      </c>
      <c r="J7664" s="3">
        <v>185</v>
      </c>
      <c r="K7664" s="3">
        <v>1321</v>
      </c>
      <c r="L7664" s="3">
        <v>14</v>
      </c>
      <c r="M7664" s="3">
        <v>394</v>
      </c>
    </row>
    <row r="7665" spans="1:13" x14ac:dyDescent="0.25">
      <c r="A7665" s="1" t="str">
        <f>HYPERLINK("http://www.rosaceae.org/Prunus/Prunus_persica/p.persica_gdr_reftransV1_0003580","p.persica_gdr_reftransV1_0003580")</f>
        <v>p.persica_gdr_reftransV1_0003580</v>
      </c>
      <c r="B7665" s="3">
        <v>1270</v>
      </c>
      <c r="C7665" s="1" t="str">
        <f>HYPERLINK("http://www.uniprot.org/uniprot/RBOHE_ARATH","RBOHE_ARATH")</f>
        <v>RBOHE_ARATH</v>
      </c>
      <c r="D7665" t="s">
        <v>1682</v>
      </c>
      <c r="E7665" s="3" t="s">
        <v>3</v>
      </c>
      <c r="F7665" s="4">
        <v>0</v>
      </c>
      <c r="G7665" s="3">
        <v>1633</v>
      </c>
      <c r="H7665" s="3">
        <v>74</v>
      </c>
      <c r="I7665" s="3">
        <v>424</v>
      </c>
      <c r="J7665" s="3">
        <v>2</v>
      </c>
      <c r="K7665" s="3">
        <v>1270</v>
      </c>
      <c r="L7665" s="3">
        <v>264</v>
      </c>
      <c r="M7665" s="3">
        <v>686</v>
      </c>
    </row>
    <row r="7666" spans="1:13" x14ac:dyDescent="0.25">
      <c r="A7666" s="1" t="str">
        <f>HYPERLINK("http://www.rosaceae.org/Prunus/Prunus_persica/p.persica_gdr_reftransV1_0003730","p.persica_gdr_reftransV1_0003730")</f>
        <v>p.persica_gdr_reftransV1_0003730</v>
      </c>
      <c r="B7666" s="3">
        <v>2294</v>
      </c>
      <c r="C7666" s="1" t="str">
        <f>HYPERLINK("http://www.uniprot.org/uniprot/HEM11_CUCSA","HEM11_CUCSA")</f>
        <v>HEM11_CUCSA</v>
      </c>
      <c r="D7666" t="s">
        <v>6060</v>
      </c>
      <c r="E7666" s="3" t="s">
        <v>1149</v>
      </c>
      <c r="F7666" s="4">
        <v>0</v>
      </c>
      <c r="G7666" s="3">
        <v>2189</v>
      </c>
      <c r="H7666" s="3">
        <v>86</v>
      </c>
      <c r="I7666" s="3">
        <v>519</v>
      </c>
      <c r="J7666" s="3">
        <v>392</v>
      </c>
      <c r="K7666" s="3">
        <v>1915</v>
      </c>
      <c r="L7666" s="3">
        <v>34</v>
      </c>
      <c r="M7666" s="3">
        <v>552</v>
      </c>
    </row>
    <row r="7667" spans="1:13" x14ac:dyDescent="0.25">
      <c r="A7667" s="1" t="str">
        <f>HYPERLINK("http://www.rosaceae.org/Prunus/Prunus_persica/p.persica_gdr_reftransV1_0003780","p.persica_gdr_reftransV1_0003780")</f>
        <v>p.persica_gdr_reftransV1_0003780</v>
      </c>
      <c r="B7667" s="3">
        <v>1109</v>
      </c>
      <c r="C7667" s="1" t="str">
        <f>HYPERLINK("http://www.uniprot.org/uniprot/RBM39_PONAB","RBM39_PONAB")</f>
        <v>RBM39_PONAB</v>
      </c>
      <c r="D7667" t="s">
        <v>947</v>
      </c>
      <c r="E7667" s="3" t="s">
        <v>176</v>
      </c>
      <c r="F7667" s="4">
        <v>1.4500000000000001E-17</v>
      </c>
      <c r="G7667" s="3">
        <v>215</v>
      </c>
      <c r="H7667" s="3">
        <v>63</v>
      </c>
      <c r="I7667" s="3">
        <v>64</v>
      </c>
      <c r="J7667" s="3">
        <v>2</v>
      </c>
      <c r="K7667" s="3">
        <v>193</v>
      </c>
      <c r="L7667" s="3">
        <v>149</v>
      </c>
      <c r="M7667" s="3">
        <v>212</v>
      </c>
    </row>
    <row r="7668" spans="1:13" x14ac:dyDescent="0.25">
      <c r="A7668" s="1" t="str">
        <f>HYPERLINK("http://www.rosaceae.org/Prunus/Prunus_persica/p.persica_gdr_reftransV1_0003830","p.persica_gdr_reftransV1_0003830")</f>
        <v>p.persica_gdr_reftransV1_0003830</v>
      </c>
      <c r="B7668" s="3">
        <v>946</v>
      </c>
      <c r="C7668" s="1" t="str">
        <f>HYPERLINK("http://www.uniprot.org/uniprot/PMA1_NEUCR","PMA1_NEUCR")</f>
        <v>PMA1_NEUCR</v>
      </c>
      <c r="D7668" t="s">
        <v>6061</v>
      </c>
      <c r="E7668" s="3" t="s">
        <v>435</v>
      </c>
      <c r="F7668" s="4">
        <v>0</v>
      </c>
      <c r="G7668" s="3">
        <v>1508</v>
      </c>
      <c r="H7668" s="3">
        <v>92</v>
      </c>
      <c r="I7668" s="3">
        <v>314</v>
      </c>
      <c r="J7668" s="3">
        <v>3</v>
      </c>
      <c r="K7668" s="3">
        <v>944</v>
      </c>
      <c r="L7668" s="3">
        <v>352</v>
      </c>
      <c r="M7668" s="3">
        <v>665</v>
      </c>
    </row>
    <row r="7669" spans="1:13" x14ac:dyDescent="0.25">
      <c r="A7669" s="1" t="str">
        <f>HYPERLINK("http://www.rosaceae.org/Prunus/Prunus_persica/p.persica_gdr_reftransV1_0003880","p.persica_gdr_reftransV1_0003880")</f>
        <v>p.persica_gdr_reftransV1_0003880</v>
      </c>
      <c r="B7669" s="3">
        <v>528</v>
      </c>
      <c r="C7669" s="1" t="str">
        <f>HYPERLINK("http://www.uniprot.org/uniprot/DEF02_ARATH","DEF02_ARATH")</f>
        <v>DEF02_ARATH</v>
      </c>
      <c r="D7669" t="s">
        <v>6062</v>
      </c>
      <c r="E7669" s="3" t="s">
        <v>3</v>
      </c>
      <c r="F7669" s="4">
        <v>5.51E-18</v>
      </c>
      <c r="G7669" s="3">
        <v>194</v>
      </c>
      <c r="H7669" s="3">
        <v>50</v>
      </c>
      <c r="I7669" s="3">
        <v>78</v>
      </c>
      <c r="J7669" s="3">
        <v>76</v>
      </c>
      <c r="K7669" s="3">
        <v>309</v>
      </c>
      <c r="L7669" s="3">
        <v>1</v>
      </c>
      <c r="M7669" s="3">
        <v>70</v>
      </c>
    </row>
    <row r="7670" spans="1:13" x14ac:dyDescent="0.25">
      <c r="A7670" s="1" t="str">
        <f>HYPERLINK("http://www.rosaceae.org/Prunus/Prunus_persica/p.persica_gdr_reftransV1_0003930","p.persica_gdr_reftransV1_0003930")</f>
        <v>p.persica_gdr_reftransV1_0003930</v>
      </c>
      <c r="B7670" s="3">
        <v>2638</v>
      </c>
      <c r="C7670" s="1" t="str">
        <f>HYPERLINK("http://www.uniprot.org/uniprot/TFP11_XENTR","TFP11_XENTR")</f>
        <v>TFP11_XENTR</v>
      </c>
      <c r="D7670" t="s">
        <v>6063</v>
      </c>
      <c r="E7670" s="3" t="s">
        <v>173</v>
      </c>
      <c r="F7670" s="4">
        <v>3.5899999999999998E-9</v>
      </c>
      <c r="G7670" s="3">
        <v>155</v>
      </c>
      <c r="H7670" s="3">
        <v>29</v>
      </c>
      <c r="I7670" s="3">
        <v>141</v>
      </c>
      <c r="J7670" s="3">
        <v>476</v>
      </c>
      <c r="K7670" s="3">
        <v>814</v>
      </c>
      <c r="L7670" s="3">
        <v>63</v>
      </c>
      <c r="M7670" s="3">
        <v>203</v>
      </c>
    </row>
    <row r="7671" spans="1:13" x14ac:dyDescent="0.25">
      <c r="A7671" s="1" t="str">
        <f>HYPERLINK("http://www.rosaceae.org/Prunus/Prunus_persica/p.persica_gdr_reftransV1_0004130","p.persica_gdr_reftransV1_0004130")</f>
        <v>p.persica_gdr_reftransV1_0004130</v>
      </c>
      <c r="B7671" s="3">
        <v>581</v>
      </c>
      <c r="C7671" s="1" t="str">
        <f>HYPERLINK("http://www.uniprot.org/uniprot/YA14_SCHPO","YA14_SCHPO")</f>
        <v>YA14_SCHPO</v>
      </c>
      <c r="D7671" t="s">
        <v>6064</v>
      </c>
      <c r="E7671" s="3" t="s">
        <v>464</v>
      </c>
      <c r="F7671" s="4">
        <v>3.1899999999999999E-12</v>
      </c>
      <c r="G7671" s="3">
        <v>160</v>
      </c>
      <c r="H7671" s="3">
        <v>27</v>
      </c>
      <c r="I7671" s="3">
        <v>155</v>
      </c>
      <c r="J7671" s="3">
        <v>1</v>
      </c>
      <c r="K7671" s="3">
        <v>453</v>
      </c>
      <c r="L7671" s="3">
        <v>80</v>
      </c>
      <c r="M7671" s="3">
        <v>225</v>
      </c>
    </row>
    <row r="7672" spans="1:13" x14ac:dyDescent="0.25">
      <c r="A7672" s="1" t="str">
        <f>HYPERLINK("http://www.rosaceae.org/Prunus/Prunus_persica/p.persica_gdr_reftransV1_0004180","p.persica_gdr_reftransV1_0004180")</f>
        <v>p.persica_gdr_reftransV1_0004180</v>
      </c>
      <c r="B7672" s="3">
        <v>1963</v>
      </c>
      <c r="C7672" s="1" t="str">
        <f>HYPERLINK("http://www.uniprot.org/uniprot/CSE_ARATH","CSE_ARATH")</f>
        <v>CSE_ARATH</v>
      </c>
      <c r="D7672" t="s">
        <v>584</v>
      </c>
      <c r="E7672" s="3" t="s">
        <v>3</v>
      </c>
      <c r="F7672" s="4">
        <v>2.0800000000000001E-37</v>
      </c>
      <c r="G7672" s="3">
        <v>368</v>
      </c>
      <c r="H7672" s="3">
        <v>32</v>
      </c>
      <c r="I7672" s="3">
        <v>294</v>
      </c>
      <c r="J7672" s="3">
        <v>412</v>
      </c>
      <c r="K7672" s="3">
        <v>1239</v>
      </c>
      <c r="L7672" s="3">
        <v>42</v>
      </c>
      <c r="M7672" s="3">
        <v>324</v>
      </c>
    </row>
    <row r="7673" spans="1:13" x14ac:dyDescent="0.25">
      <c r="A7673" s="1" t="str">
        <f>HYPERLINK("http://www.rosaceae.org/Prunus/Prunus_persica/p.persica_gdr_reftransV1_0004380","p.persica_gdr_reftransV1_0004380")</f>
        <v>p.persica_gdr_reftransV1_0004380</v>
      </c>
      <c r="B7673" s="3">
        <v>1785</v>
      </c>
      <c r="C7673" s="1" t="str">
        <f>HYPERLINK("http://www.uniprot.org/uniprot/NAT1_ARATH","NAT1_ARATH")</f>
        <v>NAT1_ARATH</v>
      </c>
      <c r="D7673" t="s">
        <v>6065</v>
      </c>
      <c r="E7673" s="3" t="s">
        <v>3</v>
      </c>
      <c r="F7673" s="4">
        <v>0</v>
      </c>
      <c r="G7673" s="3">
        <v>1828</v>
      </c>
      <c r="H7673" s="3">
        <v>87</v>
      </c>
      <c r="I7673" s="3">
        <v>404</v>
      </c>
      <c r="J7673" s="3">
        <v>139</v>
      </c>
      <c r="K7673" s="3">
        <v>1350</v>
      </c>
      <c r="L7673" s="3">
        <v>117</v>
      </c>
      <c r="M7673" s="3">
        <v>520</v>
      </c>
    </row>
    <row r="7674" spans="1:13" x14ac:dyDescent="0.25">
      <c r="A7674" s="1" t="str">
        <f>HYPERLINK("http://www.rosaceae.org/Prunus/Prunus_persica/p.persica_gdr_reftransV1_0004430","p.persica_gdr_reftransV1_0004430")</f>
        <v>p.persica_gdr_reftransV1_0004430</v>
      </c>
      <c r="B7674" s="3">
        <v>2450</v>
      </c>
      <c r="C7674" s="1" t="str">
        <f>HYPERLINK("http://www.uniprot.org/uniprot/ATCA7_ARATH","ATCA7_ARATH")</f>
        <v>ATCA7_ARATH</v>
      </c>
      <c r="D7674" t="s">
        <v>6066</v>
      </c>
      <c r="E7674" s="3" t="s">
        <v>3</v>
      </c>
      <c r="F7674" s="4">
        <v>2.1500000000000001E-66</v>
      </c>
      <c r="G7674" s="3">
        <v>580</v>
      </c>
      <c r="H7674" s="3">
        <v>48</v>
      </c>
      <c r="I7674" s="3">
        <v>250</v>
      </c>
      <c r="J7674" s="3">
        <v>1669</v>
      </c>
      <c r="K7674" s="3">
        <v>2415</v>
      </c>
      <c r="L7674" s="3">
        <v>39</v>
      </c>
      <c r="M7674" s="3">
        <v>271</v>
      </c>
    </row>
    <row r="7675" spans="1:13" x14ac:dyDescent="0.25">
      <c r="A7675" s="1" t="str">
        <f>HYPERLINK("http://www.rosaceae.org/Prunus/Prunus_persica/p.persica_gdr_reftransV1_0004480","p.persica_gdr_reftransV1_0004480")</f>
        <v>p.persica_gdr_reftransV1_0004480</v>
      </c>
      <c r="B7675" s="3">
        <v>2829</v>
      </c>
      <c r="C7675" s="1" t="str">
        <f>HYPERLINK("http://www.uniprot.org/uniprot/PEX5_ARATH","PEX5_ARATH")</f>
        <v>PEX5_ARATH</v>
      </c>
      <c r="D7675" t="s">
        <v>6067</v>
      </c>
      <c r="E7675" s="3" t="s">
        <v>3</v>
      </c>
      <c r="F7675" s="4">
        <v>0</v>
      </c>
      <c r="G7675" s="3">
        <v>2780</v>
      </c>
      <c r="H7675" s="3">
        <v>72</v>
      </c>
      <c r="I7675" s="3">
        <v>750</v>
      </c>
      <c r="J7675" s="3">
        <v>84</v>
      </c>
      <c r="K7675" s="3">
        <v>2333</v>
      </c>
      <c r="L7675" s="3">
        <v>1</v>
      </c>
      <c r="M7675" s="3">
        <v>728</v>
      </c>
    </row>
    <row r="7676" spans="1:13" x14ac:dyDescent="0.25">
      <c r="A7676" s="1" t="str">
        <f>HYPERLINK("http://www.rosaceae.org/Prunus/Prunus_persica/p.persica_gdr_reftransV1_0004530","p.persica_gdr_reftransV1_0004530")</f>
        <v>p.persica_gdr_reftransV1_0004530</v>
      </c>
      <c r="B7676" s="3">
        <v>2611</v>
      </c>
      <c r="C7676" s="1" t="str">
        <f>HYPERLINK("http://www.uniprot.org/uniprot/RH56_ARATH","RH56_ARATH")</f>
        <v>RH56_ARATH</v>
      </c>
      <c r="D7676" t="s">
        <v>6068</v>
      </c>
      <c r="E7676" s="3" t="s">
        <v>3</v>
      </c>
      <c r="F7676" s="4">
        <v>6.3299999999999998E-145</v>
      </c>
      <c r="G7676" s="3">
        <v>1137</v>
      </c>
      <c r="H7676" s="3">
        <v>93</v>
      </c>
      <c r="I7676" s="3">
        <v>226</v>
      </c>
      <c r="J7676" s="3">
        <v>1693</v>
      </c>
      <c r="K7676" s="3">
        <v>2370</v>
      </c>
      <c r="L7676" s="3">
        <v>23</v>
      </c>
      <c r="M7676" s="3">
        <v>248</v>
      </c>
    </row>
    <row r="7677" spans="1:13" x14ac:dyDescent="0.25">
      <c r="A7677" s="1" t="str">
        <f>HYPERLINK("http://www.rosaceae.org/Prunus/Prunus_persica/p.persica_gdr_reftransV1_0004580","p.persica_gdr_reftransV1_0004580")</f>
        <v>p.persica_gdr_reftransV1_0004580</v>
      </c>
      <c r="B7677" s="3">
        <v>1622</v>
      </c>
      <c r="C7677" s="1" t="str">
        <f>HYPERLINK("http://www.uniprot.org/uniprot/LGUC_ARATH","LGUC_ARATH")</f>
        <v>LGUC_ARATH</v>
      </c>
      <c r="D7677" t="s">
        <v>6069</v>
      </c>
      <c r="E7677" s="3" t="s">
        <v>3</v>
      </c>
      <c r="F7677" s="4">
        <v>0</v>
      </c>
      <c r="G7677" s="3">
        <v>1342</v>
      </c>
      <c r="H7677" s="3">
        <v>74</v>
      </c>
      <c r="I7677" s="3">
        <v>342</v>
      </c>
      <c r="J7677" s="3">
        <v>151</v>
      </c>
      <c r="K7677" s="3">
        <v>1158</v>
      </c>
      <c r="L7677" s="3">
        <v>12</v>
      </c>
      <c r="M7677" s="3">
        <v>350</v>
      </c>
    </row>
    <row r="7678" spans="1:13" x14ac:dyDescent="0.25">
      <c r="A7678" s="1" t="str">
        <f>HYPERLINK("http://www.rosaceae.org/Prunus/Prunus_persica/p.persica_gdr_reftransV1_0004780","p.persica_gdr_reftransV1_0004780")</f>
        <v>p.persica_gdr_reftransV1_0004780</v>
      </c>
      <c r="B7678" s="3">
        <v>911</v>
      </c>
      <c r="C7678" s="1" t="str">
        <f>HYPERLINK("http://www.uniprot.org/uniprot/SGGP_ARATH","SGGP_ARATH")</f>
        <v>SGGP_ARATH</v>
      </c>
      <c r="D7678" t="s">
        <v>2170</v>
      </c>
      <c r="E7678" s="3" t="s">
        <v>3</v>
      </c>
      <c r="F7678" s="4">
        <v>2.7800000000000001E-120</v>
      </c>
      <c r="G7678" s="3">
        <v>903</v>
      </c>
      <c r="H7678" s="3">
        <v>71</v>
      </c>
      <c r="I7678" s="3">
        <v>233</v>
      </c>
      <c r="J7678" s="3">
        <v>2</v>
      </c>
      <c r="K7678" s="3">
        <v>700</v>
      </c>
      <c r="L7678" s="3">
        <v>11</v>
      </c>
      <c r="M7678" s="3">
        <v>243</v>
      </c>
    </row>
    <row r="7679" spans="1:13" x14ac:dyDescent="0.25">
      <c r="A7679" s="1" t="str">
        <f>HYPERLINK("http://www.rosaceae.org/Prunus/Prunus_persica/p.persica_gdr_reftransV1_0004830","p.persica_gdr_reftransV1_0004830")</f>
        <v>p.persica_gdr_reftransV1_0004830</v>
      </c>
      <c r="B7679" s="3">
        <v>2693</v>
      </c>
      <c r="C7679" s="1" t="str">
        <f>HYPERLINK("http://www.uniprot.org/uniprot/MSL3_ARATH","MSL3_ARATH")</f>
        <v>MSL3_ARATH</v>
      </c>
      <c r="D7679" t="s">
        <v>6070</v>
      </c>
      <c r="E7679" s="3" t="s">
        <v>3</v>
      </c>
      <c r="F7679" s="4">
        <v>0</v>
      </c>
      <c r="G7679" s="3">
        <v>1635</v>
      </c>
      <c r="H7679" s="3">
        <v>58</v>
      </c>
      <c r="I7679" s="3">
        <v>678</v>
      </c>
      <c r="J7679" s="3">
        <v>382</v>
      </c>
      <c r="K7679" s="3">
        <v>2412</v>
      </c>
      <c r="L7679" s="3">
        <v>20</v>
      </c>
      <c r="M7679" s="3">
        <v>673</v>
      </c>
    </row>
    <row r="7680" spans="1:13" x14ac:dyDescent="0.25">
      <c r="A7680" s="1" t="str">
        <f>HYPERLINK("http://www.rosaceae.org/Prunus/Prunus_persica/p.persica_gdr_reftransV1_0004930","p.persica_gdr_reftransV1_0004930")</f>
        <v>p.persica_gdr_reftransV1_0004930</v>
      </c>
      <c r="B7680" s="3">
        <v>2240</v>
      </c>
      <c r="C7680" s="1" t="str">
        <f>HYPERLINK("http://www.uniprot.org/uniprot/NDUS4_ARATH","NDUS4_ARATH")</f>
        <v>NDUS4_ARATH</v>
      </c>
      <c r="D7680" t="s">
        <v>6071</v>
      </c>
      <c r="E7680" s="3" t="s">
        <v>3</v>
      </c>
      <c r="F7680" s="4">
        <v>1.0599999999999999E-61</v>
      </c>
      <c r="G7680" s="3">
        <v>532</v>
      </c>
      <c r="H7680" s="3">
        <v>66</v>
      </c>
      <c r="I7680" s="3">
        <v>157</v>
      </c>
      <c r="J7680" s="3">
        <v>1694</v>
      </c>
      <c r="K7680" s="3">
        <v>2158</v>
      </c>
      <c r="L7680" s="3">
        <v>4</v>
      </c>
      <c r="M7680" s="3">
        <v>153</v>
      </c>
    </row>
    <row r="7681" spans="1:13" x14ac:dyDescent="0.25">
      <c r="A7681" s="1" t="str">
        <f>HYPERLINK("http://www.rosaceae.org/Prunus/Prunus_persica/p.persica_gdr_reftransV1_0005080","p.persica_gdr_reftransV1_0005080")</f>
        <v>p.persica_gdr_reftransV1_0005080</v>
      </c>
      <c r="B7681" s="3">
        <v>673</v>
      </c>
      <c r="C7681" s="1" t="str">
        <f>HYPERLINK("http://www.uniprot.org/uniprot/RL391_ARATH","RL391_ARATH")</f>
        <v>RL391_ARATH</v>
      </c>
      <c r="D7681" t="s">
        <v>6072</v>
      </c>
      <c r="E7681" s="3" t="s">
        <v>3</v>
      </c>
      <c r="F7681" s="4">
        <v>4.19E-18</v>
      </c>
      <c r="G7681" s="3">
        <v>195</v>
      </c>
      <c r="H7681" s="3">
        <v>94</v>
      </c>
      <c r="I7681" s="3">
        <v>51</v>
      </c>
      <c r="J7681" s="3">
        <v>90</v>
      </c>
      <c r="K7681" s="3">
        <v>242</v>
      </c>
      <c r="L7681" s="3">
        <v>1</v>
      </c>
      <c r="M7681" s="3">
        <v>51</v>
      </c>
    </row>
    <row r="7682" spans="1:13" x14ac:dyDescent="0.25">
      <c r="A7682" s="1" t="str">
        <f>HYPERLINK("http://www.rosaceae.org/Prunus/Prunus_persica/p.persica_gdr_reftransV1_0005230","p.persica_gdr_reftransV1_0005230")</f>
        <v>p.persica_gdr_reftransV1_0005230</v>
      </c>
      <c r="B7682" s="3">
        <v>1414</v>
      </c>
      <c r="C7682" s="1" t="str">
        <f>HYPERLINK("http://www.uniprot.org/uniprot/GDL61_ARATH","GDL61_ARATH")</f>
        <v>GDL61_ARATH</v>
      </c>
      <c r="D7682" t="s">
        <v>6073</v>
      </c>
      <c r="E7682" s="3" t="s">
        <v>3</v>
      </c>
      <c r="F7682" s="4">
        <v>7.8499999999999995E-178</v>
      </c>
      <c r="G7682" s="3">
        <v>1315</v>
      </c>
      <c r="H7682" s="3">
        <v>69</v>
      </c>
      <c r="I7682" s="3">
        <v>353</v>
      </c>
      <c r="J7682" s="3">
        <v>183</v>
      </c>
      <c r="K7682" s="3">
        <v>1232</v>
      </c>
      <c r="L7682" s="3">
        <v>28</v>
      </c>
      <c r="M7682" s="3">
        <v>380</v>
      </c>
    </row>
    <row r="7683" spans="1:13" x14ac:dyDescent="0.25">
      <c r="A7683" s="1" t="str">
        <f>HYPERLINK("http://www.rosaceae.org/Prunus/Prunus_persica/p.persica_gdr_reftransV1_0005380","p.persica_gdr_reftransV1_0005380")</f>
        <v>p.persica_gdr_reftransV1_0005380</v>
      </c>
      <c r="B7683" s="3">
        <v>381</v>
      </c>
      <c r="C7683" s="1" t="str">
        <f>HYPERLINK("http://www.uniprot.org/uniprot/DNMT2_ARATH","DNMT2_ARATH")</f>
        <v>DNMT2_ARATH</v>
      </c>
      <c r="D7683" t="s">
        <v>3649</v>
      </c>
      <c r="E7683" s="3" t="s">
        <v>3</v>
      </c>
      <c r="F7683" s="4">
        <v>3.0899999999999999E-35</v>
      </c>
      <c r="G7683" s="3">
        <v>337</v>
      </c>
      <c r="H7683" s="3">
        <v>63</v>
      </c>
      <c r="I7683" s="3">
        <v>104</v>
      </c>
      <c r="J7683" s="3">
        <v>2</v>
      </c>
      <c r="K7683" s="3">
        <v>313</v>
      </c>
      <c r="L7683" s="3">
        <v>155</v>
      </c>
      <c r="M7683" s="3">
        <v>257</v>
      </c>
    </row>
    <row r="7684" spans="1:13" x14ac:dyDescent="0.25">
      <c r="A7684" s="1" t="str">
        <f>HYPERLINK("http://www.rosaceae.org/Prunus/Prunus_persica/p.persica_gdr_reftransV1_0005480","p.persica_gdr_reftransV1_0005480")</f>
        <v>p.persica_gdr_reftransV1_0005480</v>
      </c>
      <c r="B7684" s="3">
        <v>1719</v>
      </c>
      <c r="C7684" s="1" t="str">
        <f>HYPERLINK("http://www.uniprot.org/uniprot/C3H43_ARATH","C3H43_ARATH")</f>
        <v>C3H43_ARATH</v>
      </c>
      <c r="D7684" t="s">
        <v>4884</v>
      </c>
      <c r="E7684" s="3" t="s">
        <v>3</v>
      </c>
      <c r="F7684" s="4">
        <v>2.09E-70</v>
      </c>
      <c r="G7684" s="3">
        <v>611</v>
      </c>
      <c r="H7684" s="3">
        <v>44</v>
      </c>
      <c r="I7684" s="3">
        <v>317</v>
      </c>
      <c r="J7684" s="3">
        <v>566</v>
      </c>
      <c r="K7684" s="3">
        <v>1303</v>
      </c>
      <c r="L7684" s="3">
        <v>107</v>
      </c>
      <c r="M7684" s="3">
        <v>417</v>
      </c>
    </row>
    <row r="7685" spans="1:13" x14ac:dyDescent="0.25">
      <c r="A7685" s="1" t="str">
        <f>HYPERLINK("http://www.rosaceae.org/Prunus/Prunus_persica/p.persica_gdr_reftransV1_0005530","p.persica_gdr_reftransV1_0005530")</f>
        <v>p.persica_gdr_reftransV1_0005530</v>
      </c>
      <c r="B7685" s="3">
        <v>3772</v>
      </c>
      <c r="C7685" s="1" t="str">
        <f>HYPERLINK("http://www.uniprot.org/uniprot/XPOT_ARATH","XPOT_ARATH")</f>
        <v>XPOT_ARATH</v>
      </c>
      <c r="D7685" t="s">
        <v>6074</v>
      </c>
      <c r="E7685" s="3" t="s">
        <v>3</v>
      </c>
      <c r="F7685" s="4">
        <v>0</v>
      </c>
      <c r="G7685" s="3">
        <v>3716</v>
      </c>
      <c r="H7685" s="3">
        <v>75</v>
      </c>
      <c r="I7685" s="3">
        <v>989</v>
      </c>
      <c r="J7685" s="3">
        <v>430</v>
      </c>
      <c r="K7685" s="3">
        <v>3396</v>
      </c>
      <c r="L7685" s="3">
        <v>1</v>
      </c>
      <c r="M7685" s="3">
        <v>988</v>
      </c>
    </row>
    <row r="7686" spans="1:13" x14ac:dyDescent="0.25">
      <c r="A7686" s="1" t="str">
        <f>HYPERLINK("http://www.rosaceae.org/Prunus/Prunus_persica/p.persica_gdr_reftransV1_0005580","p.persica_gdr_reftransV1_0005580")</f>
        <v>p.persica_gdr_reftransV1_0005580</v>
      </c>
      <c r="B7686" s="3">
        <v>1832</v>
      </c>
      <c r="C7686" s="1" t="str">
        <f>HYPERLINK("http://www.uniprot.org/uniprot/ATML1_ARATH","ATML1_ARATH")</f>
        <v>ATML1_ARATH</v>
      </c>
      <c r="D7686" t="s">
        <v>6075</v>
      </c>
      <c r="E7686" s="3" t="s">
        <v>3</v>
      </c>
      <c r="F7686" s="4">
        <v>0</v>
      </c>
      <c r="G7686" s="3">
        <v>1786</v>
      </c>
      <c r="H7686" s="3">
        <v>85</v>
      </c>
      <c r="I7686" s="3">
        <v>429</v>
      </c>
      <c r="J7686" s="3">
        <v>1</v>
      </c>
      <c r="K7686" s="3">
        <v>1233</v>
      </c>
      <c r="L7686" s="3">
        <v>332</v>
      </c>
      <c r="M7686" s="3">
        <v>760</v>
      </c>
    </row>
    <row r="7687" spans="1:13" x14ac:dyDescent="0.25">
      <c r="A7687" s="1" t="str">
        <f>HYPERLINK("http://www.rosaceae.org/Prunus/Prunus_persica/p.persica_gdr_reftransV1_0005680","p.persica_gdr_reftransV1_0005680")</f>
        <v>p.persica_gdr_reftransV1_0005680</v>
      </c>
      <c r="B7687" s="3">
        <v>650</v>
      </c>
      <c r="C7687" s="1" t="str">
        <f>HYPERLINK("http://www.uniprot.org/uniprot/XYL1_MEDSV","XYL1_MEDSV")</f>
        <v>XYL1_MEDSV</v>
      </c>
      <c r="D7687" t="s">
        <v>6076</v>
      </c>
      <c r="E7687" s="3" t="s">
        <v>515</v>
      </c>
      <c r="F7687" s="4">
        <v>1.05E-56</v>
      </c>
      <c r="G7687" s="3">
        <v>499</v>
      </c>
      <c r="H7687" s="3">
        <v>66</v>
      </c>
      <c r="I7687" s="3">
        <v>149</v>
      </c>
      <c r="J7687" s="3">
        <v>106</v>
      </c>
      <c r="K7687" s="3">
        <v>552</v>
      </c>
      <c r="L7687" s="3">
        <v>1</v>
      </c>
      <c r="M7687" s="3">
        <v>146</v>
      </c>
    </row>
    <row r="7688" spans="1:13" x14ac:dyDescent="0.25">
      <c r="A7688" s="1" t="str">
        <f>HYPERLINK("http://www.rosaceae.org/Prunus/Prunus_persica/p.persica_gdr_reftransV1_0005930","p.persica_gdr_reftransV1_0005930")</f>
        <v>p.persica_gdr_reftransV1_0005930</v>
      </c>
      <c r="B7688" s="3">
        <v>1173</v>
      </c>
      <c r="C7688" s="1" t="str">
        <f>HYPERLINK("http://www.uniprot.org/uniprot/DIV_ANTMA","DIV_ANTMA")</f>
        <v>DIV_ANTMA</v>
      </c>
      <c r="D7688" t="s">
        <v>4460</v>
      </c>
      <c r="E7688" s="3" t="s">
        <v>1408</v>
      </c>
      <c r="F7688" s="4">
        <v>7.2000000000000006E-30</v>
      </c>
      <c r="G7688" s="3">
        <v>304</v>
      </c>
      <c r="H7688" s="3">
        <v>59</v>
      </c>
      <c r="I7688" s="3">
        <v>108</v>
      </c>
      <c r="J7688" s="3">
        <v>492</v>
      </c>
      <c r="K7688" s="3">
        <v>812</v>
      </c>
      <c r="L7688" s="3">
        <v>126</v>
      </c>
      <c r="M7688" s="3">
        <v>226</v>
      </c>
    </row>
    <row r="7689" spans="1:13" x14ac:dyDescent="0.25">
      <c r="A7689" s="1" t="str">
        <f>HYPERLINK("http://www.rosaceae.org/Prunus/Prunus_persica/p.persica_gdr_reftransV1_0005980","p.persica_gdr_reftransV1_0005980")</f>
        <v>p.persica_gdr_reftransV1_0005980</v>
      </c>
      <c r="B7689" s="3">
        <v>539</v>
      </c>
      <c r="C7689" s="1" t="str">
        <f>HYPERLINK("http://www.uniprot.org/uniprot/PME8_ARATH","PME8_ARATH")</f>
        <v>PME8_ARATH</v>
      </c>
      <c r="D7689" t="s">
        <v>6077</v>
      </c>
      <c r="E7689" s="3" t="s">
        <v>3</v>
      </c>
      <c r="F7689" s="4">
        <v>3.6500000000000001E-53</v>
      </c>
      <c r="G7689" s="3">
        <v>456</v>
      </c>
      <c r="H7689" s="3">
        <v>72</v>
      </c>
      <c r="I7689" s="3">
        <v>108</v>
      </c>
      <c r="J7689" s="3">
        <v>1</v>
      </c>
      <c r="K7689" s="3">
        <v>324</v>
      </c>
      <c r="L7689" s="3">
        <v>282</v>
      </c>
      <c r="M7689" s="3">
        <v>389</v>
      </c>
    </row>
    <row r="7690" spans="1:13" x14ac:dyDescent="0.25">
      <c r="A7690" s="1" t="str">
        <f>HYPERLINK("http://www.rosaceae.org/Prunus/Prunus_persica/p.persica_gdr_reftransV1_0006080","p.persica_gdr_reftransV1_0006080")</f>
        <v>p.persica_gdr_reftransV1_0006080</v>
      </c>
      <c r="B7690" s="3">
        <v>397</v>
      </c>
      <c r="C7690" s="1" t="str">
        <f>HYPERLINK("http://www.uniprot.org/uniprot/PPP7_ARATH","PPP7_ARATH")</f>
        <v>PPP7_ARATH</v>
      </c>
      <c r="D7690" t="s">
        <v>3108</v>
      </c>
      <c r="E7690" s="3" t="s">
        <v>3</v>
      </c>
      <c r="F7690" s="4">
        <v>3.4400000000000003E-60</v>
      </c>
      <c r="G7690" s="3">
        <v>499</v>
      </c>
      <c r="H7690" s="3">
        <v>73</v>
      </c>
      <c r="I7690" s="3">
        <v>133</v>
      </c>
      <c r="J7690" s="3">
        <v>1</v>
      </c>
      <c r="K7690" s="3">
        <v>393</v>
      </c>
      <c r="L7690" s="3">
        <v>181</v>
      </c>
      <c r="M7690" s="3">
        <v>312</v>
      </c>
    </row>
    <row r="7691" spans="1:13" x14ac:dyDescent="0.25">
      <c r="A7691" s="1" t="str">
        <f>HYPERLINK("http://www.rosaceae.org/Prunus/Prunus_persica/p.persica_gdr_reftransV1_0006130","p.persica_gdr_reftransV1_0006130")</f>
        <v>p.persica_gdr_reftransV1_0006130</v>
      </c>
      <c r="B7691" s="3">
        <v>1005</v>
      </c>
      <c r="C7691" s="1" t="str">
        <f>HYPERLINK("http://www.uniprot.org/uniprot/PTR40_ARATH","PTR40_ARATH")</f>
        <v>PTR40_ARATH</v>
      </c>
      <c r="D7691" t="s">
        <v>6078</v>
      </c>
      <c r="E7691" s="3" t="s">
        <v>3</v>
      </c>
      <c r="F7691" s="4">
        <v>6.7599999999999994E-86</v>
      </c>
      <c r="G7691" s="3">
        <v>701</v>
      </c>
      <c r="H7691" s="3">
        <v>51</v>
      </c>
      <c r="I7691" s="3">
        <v>279</v>
      </c>
      <c r="J7691" s="3">
        <v>139</v>
      </c>
      <c r="K7691" s="3">
        <v>972</v>
      </c>
      <c r="L7691" s="3">
        <v>4</v>
      </c>
      <c r="M7691" s="3">
        <v>282</v>
      </c>
    </row>
    <row r="7692" spans="1:13" x14ac:dyDescent="0.25">
      <c r="A7692" s="1" t="str">
        <f>HYPERLINK("http://www.rosaceae.org/Prunus/Prunus_persica/p.persica_gdr_reftransV1_0006330","p.persica_gdr_reftransV1_0006330")</f>
        <v>p.persica_gdr_reftransV1_0006330</v>
      </c>
      <c r="B7692" s="3">
        <v>495</v>
      </c>
      <c r="C7692" s="1" t="str">
        <f>HYPERLINK("http://www.uniprot.org/uniprot/PERX_NICSY","PERX_NICSY")</f>
        <v>PERX_NICSY</v>
      </c>
      <c r="D7692" t="s">
        <v>6079</v>
      </c>
      <c r="E7692" s="3" t="s">
        <v>495</v>
      </c>
      <c r="F7692" s="4">
        <v>1.07E-54</v>
      </c>
      <c r="G7692" s="3">
        <v>459</v>
      </c>
      <c r="H7692" s="3">
        <v>73</v>
      </c>
      <c r="I7692" s="3">
        <v>131</v>
      </c>
      <c r="J7692" s="3">
        <v>3</v>
      </c>
      <c r="K7692" s="3">
        <v>395</v>
      </c>
      <c r="L7692" s="3">
        <v>194</v>
      </c>
      <c r="M7692" s="3">
        <v>322</v>
      </c>
    </row>
    <row r="7693" spans="1:13" x14ac:dyDescent="0.25">
      <c r="A7693" s="1" t="str">
        <f>HYPERLINK("http://www.rosaceae.org/Prunus/Prunus_persica/p.persica_gdr_reftransV1_0006580","p.persica_gdr_reftransV1_0006580")</f>
        <v>p.persica_gdr_reftransV1_0006580</v>
      </c>
      <c r="B7693" s="3">
        <v>796</v>
      </c>
      <c r="C7693" s="1" t="str">
        <f>HYPERLINK("http://www.uniprot.org/uniprot/U91A1_ARATH","U91A1_ARATH")</f>
        <v>U91A1_ARATH</v>
      </c>
      <c r="D7693" t="s">
        <v>2506</v>
      </c>
      <c r="E7693" s="3" t="s">
        <v>3</v>
      </c>
      <c r="F7693" s="4">
        <v>6.4199999999999997E-69</v>
      </c>
      <c r="G7693" s="3">
        <v>576</v>
      </c>
      <c r="H7693" s="3">
        <v>55</v>
      </c>
      <c r="I7693" s="3">
        <v>196</v>
      </c>
      <c r="J7693" s="3">
        <v>2</v>
      </c>
      <c r="K7693" s="3">
        <v>568</v>
      </c>
      <c r="L7693" s="3">
        <v>271</v>
      </c>
      <c r="M7693" s="3">
        <v>466</v>
      </c>
    </row>
    <row r="7694" spans="1:13" x14ac:dyDescent="0.25">
      <c r="A7694" s="1" t="str">
        <f>HYPERLINK("http://www.rosaceae.org/Prunus/Prunus_persica/p.persica_gdr_reftransV1_0006630","p.persica_gdr_reftransV1_0006630")</f>
        <v>p.persica_gdr_reftransV1_0006630</v>
      </c>
      <c r="B7694" s="3">
        <v>2280</v>
      </c>
      <c r="C7694" s="1" t="str">
        <f>HYPERLINK("http://www.uniprot.org/uniprot/ALGC_PSESM","ALGC_PSESM")</f>
        <v>ALGC_PSESM</v>
      </c>
      <c r="D7694" t="s">
        <v>6080</v>
      </c>
      <c r="E7694" s="3" t="s">
        <v>6081</v>
      </c>
      <c r="F7694" s="4">
        <v>1.71E-32</v>
      </c>
      <c r="G7694" s="3">
        <v>340</v>
      </c>
      <c r="H7694" s="3">
        <v>28</v>
      </c>
      <c r="I7694" s="3">
        <v>430</v>
      </c>
      <c r="J7694" s="3">
        <v>580</v>
      </c>
      <c r="K7694" s="3">
        <v>1857</v>
      </c>
      <c r="L7694" s="3">
        <v>53</v>
      </c>
      <c r="M7694" s="3">
        <v>395</v>
      </c>
    </row>
    <row r="7695" spans="1:13" x14ac:dyDescent="0.25">
      <c r="A7695" s="1" t="str">
        <f>HYPERLINK("http://www.rosaceae.org/Prunus/Prunus_persica/p.persica_gdr_reftransV1_0006730","p.persica_gdr_reftransV1_0006730")</f>
        <v>p.persica_gdr_reftransV1_0006730</v>
      </c>
      <c r="B7695" s="3">
        <v>1087</v>
      </c>
      <c r="C7695" s="1" t="str">
        <f>HYPERLINK("http://www.uniprot.org/uniprot/CIA2_ARATH","CIA2_ARATH")</f>
        <v>CIA2_ARATH</v>
      </c>
      <c r="D7695" t="s">
        <v>2307</v>
      </c>
      <c r="E7695" s="3" t="s">
        <v>3</v>
      </c>
      <c r="F7695" s="4">
        <v>1.95E-22</v>
      </c>
      <c r="G7695" s="3">
        <v>250</v>
      </c>
      <c r="H7695" s="3">
        <v>49</v>
      </c>
      <c r="I7695" s="3">
        <v>111</v>
      </c>
      <c r="J7695" s="3">
        <v>425</v>
      </c>
      <c r="K7695" s="3">
        <v>757</v>
      </c>
      <c r="L7695" s="3">
        <v>316</v>
      </c>
      <c r="M7695" s="3">
        <v>425</v>
      </c>
    </row>
    <row r="7696" spans="1:13" x14ac:dyDescent="0.25">
      <c r="A7696" s="1" t="str">
        <f>HYPERLINK("http://www.rosaceae.org/Prunus/Prunus_persica/p.persica_gdr_reftransV1_0006930","p.persica_gdr_reftransV1_0006930")</f>
        <v>p.persica_gdr_reftransV1_0006930</v>
      </c>
      <c r="B7696" s="3">
        <v>941</v>
      </c>
      <c r="C7696" s="1" t="str">
        <f>HYPERLINK("http://www.uniprot.org/uniprot/Y1607_ARATH","Y1607_ARATH")</f>
        <v>Y1607_ARATH</v>
      </c>
      <c r="D7696" t="s">
        <v>6082</v>
      </c>
      <c r="E7696" s="3" t="s">
        <v>3</v>
      </c>
      <c r="F7696" s="4">
        <v>1.37E-12</v>
      </c>
      <c r="G7696" s="3">
        <v>170</v>
      </c>
      <c r="H7696" s="3">
        <v>31</v>
      </c>
      <c r="I7696" s="3">
        <v>269</v>
      </c>
      <c r="J7696" s="3">
        <v>41</v>
      </c>
      <c r="K7696" s="3">
        <v>751</v>
      </c>
      <c r="L7696" s="3">
        <v>21</v>
      </c>
      <c r="M7696" s="3">
        <v>272</v>
      </c>
    </row>
    <row r="7697" spans="1:13" x14ac:dyDescent="0.25">
      <c r="A7697" s="1" t="str">
        <f>HYPERLINK("http://www.rosaceae.org/Prunus/Prunus_persica/p.persica_gdr_reftransV1_0007030","p.persica_gdr_reftransV1_0007030")</f>
        <v>p.persica_gdr_reftransV1_0007030</v>
      </c>
      <c r="B7697" s="3">
        <v>1576</v>
      </c>
      <c r="C7697" s="1" t="str">
        <f>HYPERLINK("http://www.uniprot.org/uniprot/EXGA_EMENI","EXGA_EMENI")</f>
        <v>EXGA_EMENI</v>
      </c>
      <c r="D7697" t="s">
        <v>6083</v>
      </c>
      <c r="E7697" s="3" t="s">
        <v>205</v>
      </c>
      <c r="F7697" s="4">
        <v>1.13E-40</v>
      </c>
      <c r="G7697" s="3">
        <v>394</v>
      </c>
      <c r="H7697" s="3">
        <v>33</v>
      </c>
      <c r="I7697" s="3">
        <v>327</v>
      </c>
      <c r="J7697" s="3">
        <v>275</v>
      </c>
      <c r="K7697" s="3">
        <v>1129</v>
      </c>
      <c r="L7697" s="3">
        <v>59</v>
      </c>
      <c r="M7697" s="3">
        <v>374</v>
      </c>
    </row>
    <row r="7698" spans="1:13" x14ac:dyDescent="0.25">
      <c r="A7698" s="1" t="str">
        <f>HYPERLINK("http://www.rosaceae.org/Prunus/Prunus_persica/p.persica_gdr_reftransV1_0007080","p.persica_gdr_reftransV1_0007080")</f>
        <v>p.persica_gdr_reftransV1_0007080</v>
      </c>
      <c r="B7698" s="3">
        <v>353</v>
      </c>
      <c r="C7698" s="1" t="str">
        <f>HYPERLINK("http://www.uniprot.org/uniprot/TAO1_ARATH","TAO1_ARATH")</f>
        <v>TAO1_ARATH</v>
      </c>
      <c r="D7698" t="s">
        <v>4417</v>
      </c>
      <c r="E7698" s="3" t="s">
        <v>3</v>
      </c>
      <c r="F7698" s="4">
        <v>3.7800000000000001E-8</v>
      </c>
      <c r="G7698" s="3">
        <v>130</v>
      </c>
      <c r="H7698" s="3">
        <v>35</v>
      </c>
      <c r="I7698" s="3">
        <v>115</v>
      </c>
      <c r="J7698" s="3">
        <v>1</v>
      </c>
      <c r="K7698" s="3">
        <v>345</v>
      </c>
      <c r="L7698" s="3">
        <v>721</v>
      </c>
      <c r="M7698" s="3">
        <v>831</v>
      </c>
    </row>
    <row r="7699" spans="1:13" x14ac:dyDescent="0.25">
      <c r="A7699" s="1" t="str">
        <f>HYPERLINK("http://www.rosaceae.org/Prunus/Prunus_persica/p.persica_gdr_reftransV1_0007230","p.persica_gdr_reftransV1_0007230")</f>
        <v>p.persica_gdr_reftransV1_0007230</v>
      </c>
      <c r="B7699" s="3">
        <v>1783</v>
      </c>
      <c r="C7699" s="1" t="str">
        <f>HYPERLINK("http://www.uniprot.org/uniprot/RH58_ARATH","RH58_ARATH")</f>
        <v>RH58_ARATH</v>
      </c>
      <c r="D7699" t="s">
        <v>6084</v>
      </c>
      <c r="E7699" s="3" t="s">
        <v>3</v>
      </c>
      <c r="F7699" s="4">
        <v>0</v>
      </c>
      <c r="G7699" s="3">
        <v>1623</v>
      </c>
      <c r="H7699" s="3">
        <v>72</v>
      </c>
      <c r="I7699" s="3">
        <v>404</v>
      </c>
      <c r="J7699" s="3">
        <v>346</v>
      </c>
      <c r="K7699" s="3">
        <v>1554</v>
      </c>
      <c r="L7699" s="3">
        <v>72</v>
      </c>
      <c r="M7699" s="3">
        <v>472</v>
      </c>
    </row>
    <row r="7700" spans="1:13" x14ac:dyDescent="0.25">
      <c r="A7700" s="1" t="str">
        <f>HYPERLINK("http://www.rosaceae.org/Prunus/Prunus_persica/p.persica_gdr_reftransV1_0007330","p.persica_gdr_reftransV1_0007330")</f>
        <v>p.persica_gdr_reftransV1_0007330</v>
      </c>
      <c r="B7700" s="3">
        <v>570</v>
      </c>
      <c r="C7700" s="1" t="str">
        <f>HYPERLINK("http://www.uniprot.org/uniprot/DIR16_ARATH","DIR16_ARATH")</f>
        <v>DIR16_ARATH</v>
      </c>
      <c r="D7700" t="s">
        <v>6085</v>
      </c>
      <c r="E7700" s="3" t="s">
        <v>3</v>
      </c>
      <c r="F7700" s="4">
        <v>1.0200000000000001E-70</v>
      </c>
      <c r="G7700" s="3">
        <v>563</v>
      </c>
      <c r="H7700" s="3">
        <v>76</v>
      </c>
      <c r="I7700" s="3">
        <v>148</v>
      </c>
      <c r="J7700" s="3">
        <v>1</v>
      </c>
      <c r="K7700" s="3">
        <v>441</v>
      </c>
      <c r="L7700" s="3">
        <v>101</v>
      </c>
      <c r="M7700" s="3">
        <v>243</v>
      </c>
    </row>
    <row r="7701" spans="1:13" x14ac:dyDescent="0.25">
      <c r="A7701" s="1" t="str">
        <f>HYPERLINK("http://www.rosaceae.org/Prunus/Prunus_persica/p.persica_gdr_reftransV1_0007380","p.persica_gdr_reftransV1_0007380")</f>
        <v>p.persica_gdr_reftransV1_0007380</v>
      </c>
      <c r="B7701" s="3">
        <v>1418</v>
      </c>
      <c r="C7701" s="1" t="str">
        <f>HYPERLINK("http://www.uniprot.org/uniprot/AB1B_ARATH","AB1B_ARATH")</f>
        <v>AB1B_ARATH</v>
      </c>
      <c r="D7701" t="s">
        <v>5322</v>
      </c>
      <c r="E7701" s="3" t="s">
        <v>3</v>
      </c>
      <c r="F7701" s="4">
        <v>0</v>
      </c>
      <c r="G7701" s="3">
        <v>1694</v>
      </c>
      <c r="H7701" s="3">
        <v>91</v>
      </c>
      <c r="I7701" s="3">
        <v>404</v>
      </c>
      <c r="J7701" s="3">
        <v>208</v>
      </c>
      <c r="K7701" s="3">
        <v>1416</v>
      </c>
      <c r="L7701" s="3">
        <v>465</v>
      </c>
      <c r="M7701" s="3">
        <v>868</v>
      </c>
    </row>
    <row r="7702" spans="1:13" x14ac:dyDescent="0.25">
      <c r="A7702" s="1" t="str">
        <f>HYPERLINK("http://www.rosaceae.org/Prunus/Prunus_persica/p.persica_gdr_reftransV1_0007430","p.persica_gdr_reftransV1_0007430")</f>
        <v>p.persica_gdr_reftransV1_0007430</v>
      </c>
      <c r="B7702" s="3">
        <v>1141</v>
      </c>
      <c r="C7702" s="1" t="str">
        <f>HYPERLINK("http://www.uniprot.org/uniprot/RAD1_MOUSE","RAD1_MOUSE")</f>
        <v>RAD1_MOUSE</v>
      </c>
      <c r="D7702" t="s">
        <v>6086</v>
      </c>
      <c r="E7702" s="3" t="s">
        <v>157</v>
      </c>
      <c r="F7702" s="4">
        <v>1.96E-17</v>
      </c>
      <c r="G7702" s="3">
        <v>209</v>
      </c>
      <c r="H7702" s="3">
        <v>27</v>
      </c>
      <c r="I7702" s="3">
        <v>245</v>
      </c>
      <c r="J7702" s="3">
        <v>349</v>
      </c>
      <c r="K7702" s="3">
        <v>1047</v>
      </c>
      <c r="L7702" s="3">
        <v>17</v>
      </c>
      <c r="M7702" s="3">
        <v>249</v>
      </c>
    </row>
    <row r="7703" spans="1:13" x14ac:dyDescent="0.25">
      <c r="A7703" s="1" t="str">
        <f>HYPERLINK("http://www.rosaceae.org/Prunus/Prunus_persica/p.persica_gdr_reftransV1_0007480","p.persica_gdr_reftransV1_0007480")</f>
        <v>p.persica_gdr_reftransV1_0007480</v>
      </c>
      <c r="B7703" s="3">
        <v>1331</v>
      </c>
      <c r="C7703" s="1" t="str">
        <f>HYPERLINK("http://www.uniprot.org/uniprot/WTR42_ARATH","WTR42_ARATH")</f>
        <v>WTR42_ARATH</v>
      </c>
      <c r="D7703" t="s">
        <v>5789</v>
      </c>
      <c r="E7703" s="3" t="s">
        <v>3</v>
      </c>
      <c r="F7703" s="4">
        <v>3.2400000000000002E-78</v>
      </c>
      <c r="G7703" s="3">
        <v>648</v>
      </c>
      <c r="H7703" s="3">
        <v>47</v>
      </c>
      <c r="I7703" s="3">
        <v>354</v>
      </c>
      <c r="J7703" s="3">
        <v>18</v>
      </c>
      <c r="K7703" s="3">
        <v>1061</v>
      </c>
      <c r="L7703" s="3">
        <v>18</v>
      </c>
      <c r="M7703" s="3">
        <v>362</v>
      </c>
    </row>
    <row r="7704" spans="1:13" x14ac:dyDescent="0.25">
      <c r="A7704" s="1" t="str">
        <f>HYPERLINK("http://www.rosaceae.org/Prunus/Prunus_persica/p.persica_gdr_reftransV1_0007530","p.persica_gdr_reftransV1_0007530")</f>
        <v>p.persica_gdr_reftransV1_0007530</v>
      </c>
      <c r="B7704" s="3">
        <v>1583</v>
      </c>
      <c r="C7704" s="1" t="str">
        <f>HYPERLINK("http://www.uniprot.org/uniprot/Y4744_ARATH","Y4744_ARATH")</f>
        <v>Y4744_ARATH</v>
      </c>
      <c r="D7704" t="s">
        <v>4913</v>
      </c>
      <c r="E7704" s="3" t="s">
        <v>3</v>
      </c>
      <c r="F7704" s="4">
        <v>4.6999999999999998E-96</v>
      </c>
      <c r="G7704" s="3">
        <v>778</v>
      </c>
      <c r="H7704" s="3">
        <v>46</v>
      </c>
      <c r="I7704" s="3">
        <v>349</v>
      </c>
      <c r="J7704" s="3">
        <v>414</v>
      </c>
      <c r="K7704" s="3">
        <v>1439</v>
      </c>
      <c r="L7704" s="3">
        <v>40</v>
      </c>
      <c r="M7704" s="3">
        <v>384</v>
      </c>
    </row>
    <row r="7705" spans="1:13" x14ac:dyDescent="0.25">
      <c r="A7705" s="1" t="str">
        <f>HYPERLINK("http://www.rosaceae.org/Prunus/Prunus_persica/p.persica_gdr_reftransV1_0007580","p.persica_gdr_reftransV1_0007580")</f>
        <v>p.persica_gdr_reftransV1_0007580</v>
      </c>
      <c r="B7705" s="3">
        <v>1131</v>
      </c>
      <c r="C7705" s="1" t="str">
        <f>HYPERLINK("http://www.uniprot.org/uniprot/FRS5_ARATH","FRS5_ARATH")</f>
        <v>FRS5_ARATH</v>
      </c>
      <c r="D7705" t="s">
        <v>908</v>
      </c>
      <c r="E7705" s="3" t="s">
        <v>3</v>
      </c>
      <c r="F7705" s="4">
        <v>5.9199999999999997E-23</v>
      </c>
      <c r="G7705" s="3">
        <v>260</v>
      </c>
      <c r="H7705" s="3">
        <v>50</v>
      </c>
      <c r="I7705" s="3">
        <v>107</v>
      </c>
      <c r="J7705" s="3">
        <v>448</v>
      </c>
      <c r="K7705" s="3">
        <v>759</v>
      </c>
      <c r="L7705" s="3">
        <v>72</v>
      </c>
      <c r="M7705" s="3">
        <v>178</v>
      </c>
    </row>
    <row r="7706" spans="1:13" x14ac:dyDescent="0.25">
      <c r="A7706" s="1" t="str">
        <f>HYPERLINK("http://www.rosaceae.org/Prunus/Prunus_persica/p.persica_gdr_reftransV1_0007680","p.persica_gdr_reftransV1_0007680")</f>
        <v>p.persica_gdr_reftransV1_0007680</v>
      </c>
      <c r="B7706" s="3">
        <v>603</v>
      </c>
      <c r="C7706" s="1" t="str">
        <f>HYPERLINK("http://www.uniprot.org/uniprot/MCC16_ARATH","MCC16_ARATH")</f>
        <v>MCC16_ARATH</v>
      </c>
      <c r="D7706" t="s">
        <v>6087</v>
      </c>
      <c r="E7706" s="3" t="s">
        <v>3</v>
      </c>
      <c r="F7706" s="4">
        <v>8.9399999999999996E-17</v>
      </c>
      <c r="G7706" s="3">
        <v>197</v>
      </c>
      <c r="H7706" s="3">
        <v>34</v>
      </c>
      <c r="I7706" s="3">
        <v>137</v>
      </c>
      <c r="J7706" s="3">
        <v>165</v>
      </c>
      <c r="K7706" s="3">
        <v>575</v>
      </c>
      <c r="L7706" s="3">
        <v>8</v>
      </c>
      <c r="M7706" s="3">
        <v>143</v>
      </c>
    </row>
    <row r="7707" spans="1:13" x14ac:dyDescent="0.25">
      <c r="A7707" s="1" t="str">
        <f>HYPERLINK("http://www.rosaceae.org/Prunus/Prunus_persica/p.persica_gdr_reftransV1_0007730","p.persica_gdr_reftransV1_0007730")</f>
        <v>p.persica_gdr_reftransV1_0007730</v>
      </c>
      <c r="B7707" s="3">
        <v>2071</v>
      </c>
      <c r="C7707" s="1" t="str">
        <f>HYPERLINK("http://www.uniprot.org/uniprot/KCO6_ARATH","KCO6_ARATH")</f>
        <v>KCO6_ARATH</v>
      </c>
      <c r="D7707" t="s">
        <v>185</v>
      </c>
      <c r="E7707" s="3" t="s">
        <v>3</v>
      </c>
      <c r="F7707" s="4">
        <v>2.3800000000000001E-154</v>
      </c>
      <c r="G7707" s="3">
        <v>1186</v>
      </c>
      <c r="H7707" s="3">
        <v>65</v>
      </c>
      <c r="I7707" s="3">
        <v>427</v>
      </c>
      <c r="J7707" s="3">
        <v>249</v>
      </c>
      <c r="K7707" s="3">
        <v>1514</v>
      </c>
      <c r="L7707" s="3">
        <v>7</v>
      </c>
      <c r="M7707" s="3">
        <v>430</v>
      </c>
    </row>
    <row r="7708" spans="1:13" x14ac:dyDescent="0.25">
      <c r="A7708" s="1" t="str">
        <f>HYPERLINK("http://www.rosaceae.org/Prunus/Prunus_persica/p.persica_gdr_reftransV1_0007780","p.persica_gdr_reftransV1_0007780")</f>
        <v>p.persica_gdr_reftransV1_0007780</v>
      </c>
      <c r="B7708" s="3">
        <v>1095</v>
      </c>
      <c r="C7708" s="1" t="str">
        <f>HYPERLINK("http://www.uniprot.org/uniprot/LAX2_MEDTR","LAX2_MEDTR")</f>
        <v>LAX2_MEDTR</v>
      </c>
      <c r="D7708" t="s">
        <v>3750</v>
      </c>
      <c r="E7708" s="3" t="s">
        <v>91</v>
      </c>
      <c r="F7708" s="4">
        <v>8.3800000000000004E-148</v>
      </c>
      <c r="G7708" s="3">
        <v>1115</v>
      </c>
      <c r="H7708" s="3">
        <v>93</v>
      </c>
      <c r="I7708" s="3">
        <v>220</v>
      </c>
      <c r="J7708" s="3">
        <v>1</v>
      </c>
      <c r="K7708" s="3">
        <v>660</v>
      </c>
      <c r="L7708" s="3">
        <v>248</v>
      </c>
      <c r="M7708" s="3">
        <v>467</v>
      </c>
    </row>
    <row r="7709" spans="1:13" x14ac:dyDescent="0.25">
      <c r="A7709" s="1" t="str">
        <f>HYPERLINK("http://www.rosaceae.org/Prunus/Prunus_persica/p.persica_gdr_reftransV1_0007830","p.persica_gdr_reftransV1_0007830")</f>
        <v>p.persica_gdr_reftransV1_0007830</v>
      </c>
      <c r="B7709" s="3">
        <v>765</v>
      </c>
      <c r="C7709" s="1" t="str">
        <f>HYPERLINK("http://www.uniprot.org/uniprot/FRS5_ARATH","FRS5_ARATH")</f>
        <v>FRS5_ARATH</v>
      </c>
      <c r="D7709" t="s">
        <v>908</v>
      </c>
      <c r="E7709" s="3" t="s">
        <v>3</v>
      </c>
      <c r="F7709" s="4">
        <v>5.35E-18</v>
      </c>
      <c r="G7709" s="3">
        <v>215</v>
      </c>
      <c r="H7709" s="3">
        <v>32</v>
      </c>
      <c r="I7709" s="3">
        <v>197</v>
      </c>
      <c r="J7709" s="3">
        <v>189</v>
      </c>
      <c r="K7709" s="3">
        <v>764</v>
      </c>
      <c r="L7709" s="3">
        <v>76</v>
      </c>
      <c r="M7709" s="3">
        <v>272</v>
      </c>
    </row>
    <row r="7710" spans="1:13" x14ac:dyDescent="0.25">
      <c r="A7710" s="1" t="str">
        <f>HYPERLINK("http://www.rosaceae.org/Prunus/Prunus_persica/p.persica_gdr_reftransV1_0008080","p.persica_gdr_reftransV1_0008080")</f>
        <v>p.persica_gdr_reftransV1_0008080</v>
      </c>
      <c r="B7710" s="3">
        <v>1108</v>
      </c>
      <c r="C7710" s="1" t="str">
        <f>HYPERLINK("http://www.uniprot.org/uniprot/UMEC_ARMRU","UMEC_ARMRU")</f>
        <v>UMEC_ARMRU</v>
      </c>
      <c r="D7710" t="s">
        <v>1358</v>
      </c>
      <c r="E7710" s="3" t="s">
        <v>1359</v>
      </c>
      <c r="F7710" s="4">
        <v>2.1399999999999998E-24</v>
      </c>
      <c r="G7710" s="3">
        <v>250</v>
      </c>
      <c r="H7710" s="3">
        <v>53</v>
      </c>
      <c r="I7710" s="3">
        <v>100</v>
      </c>
      <c r="J7710" s="3">
        <v>632</v>
      </c>
      <c r="K7710" s="3">
        <v>925</v>
      </c>
      <c r="L7710" s="3">
        <v>3</v>
      </c>
      <c r="M7710" s="3">
        <v>101</v>
      </c>
    </row>
    <row r="7711" spans="1:13" x14ac:dyDescent="0.25">
      <c r="A7711" s="1" t="str">
        <f>HYPERLINK("http://www.rosaceae.org/Prunus/Prunus_persica/p.persica_gdr_reftransV1_0008230","p.persica_gdr_reftransV1_0008230")</f>
        <v>p.persica_gdr_reftransV1_0008230</v>
      </c>
      <c r="B7711" s="3">
        <v>1770</v>
      </c>
      <c r="C7711" s="1" t="str">
        <f>HYPERLINK("http://www.uniprot.org/uniprot/DAAA_ARATH","DAAA_ARATH")</f>
        <v>DAAA_ARATH</v>
      </c>
      <c r="D7711" t="s">
        <v>3129</v>
      </c>
      <c r="E7711" s="3" t="s">
        <v>3</v>
      </c>
      <c r="F7711" s="4">
        <v>6.5799999999999997E-121</v>
      </c>
      <c r="G7711" s="3">
        <v>947</v>
      </c>
      <c r="H7711" s="3">
        <v>57</v>
      </c>
      <c r="I7711" s="3">
        <v>320</v>
      </c>
      <c r="J7711" s="3">
        <v>453</v>
      </c>
      <c r="K7711" s="3">
        <v>1409</v>
      </c>
      <c r="L7711" s="3">
        <v>58</v>
      </c>
      <c r="M7711" s="3">
        <v>373</v>
      </c>
    </row>
    <row r="7712" spans="1:13" x14ac:dyDescent="0.25">
      <c r="A7712" s="1" t="str">
        <f>HYPERLINK("http://www.rosaceae.org/Prunus/Prunus_persica/p.persica_gdr_reftransV1_0008380","p.persica_gdr_reftransV1_0008380")</f>
        <v>p.persica_gdr_reftransV1_0008380</v>
      </c>
      <c r="B7712" s="3">
        <v>4387</v>
      </c>
      <c r="C7712" s="1" t="str">
        <f>HYPERLINK("http://www.uniprot.org/uniprot/MNMG_SYNY3","MNMG_SYNY3")</f>
        <v>MNMG_SYNY3</v>
      </c>
      <c r="D7712" t="s">
        <v>6088</v>
      </c>
      <c r="E7712" s="3" t="s">
        <v>527</v>
      </c>
      <c r="F7712" s="4">
        <v>0</v>
      </c>
      <c r="G7712" s="3">
        <v>1935</v>
      </c>
      <c r="H7712" s="3">
        <v>77</v>
      </c>
      <c r="I7712" s="3">
        <v>484</v>
      </c>
      <c r="J7712" s="3">
        <v>2476</v>
      </c>
      <c r="K7712" s="3">
        <v>3927</v>
      </c>
      <c r="L7712" s="3">
        <v>9</v>
      </c>
      <c r="M7712" s="3">
        <v>492</v>
      </c>
    </row>
    <row r="7713" spans="1:13" x14ac:dyDescent="0.25">
      <c r="A7713" s="1" t="str">
        <f>HYPERLINK("http://www.rosaceae.org/Prunus/Prunus_persica/p.persica_gdr_reftransV1_0008480","p.persica_gdr_reftransV1_0008480")</f>
        <v>p.persica_gdr_reftransV1_0008480</v>
      </c>
      <c r="B7713" s="3">
        <v>2248</v>
      </c>
      <c r="C7713" s="1" t="str">
        <f>HYPERLINK("http://www.uniprot.org/uniprot/NRX1_ARATH","NRX1_ARATH")</f>
        <v>NRX1_ARATH</v>
      </c>
      <c r="D7713" t="s">
        <v>6089</v>
      </c>
      <c r="E7713" s="3" t="s">
        <v>3</v>
      </c>
      <c r="F7713" s="4">
        <v>0</v>
      </c>
      <c r="G7713" s="3">
        <v>1673</v>
      </c>
      <c r="H7713" s="3">
        <v>56</v>
      </c>
      <c r="I7713" s="3">
        <v>578</v>
      </c>
      <c r="J7713" s="3">
        <v>233</v>
      </c>
      <c r="K7713" s="3">
        <v>1942</v>
      </c>
      <c r="L7713" s="3">
        <v>3</v>
      </c>
      <c r="M7713" s="3">
        <v>577</v>
      </c>
    </row>
    <row r="7714" spans="1:13" x14ac:dyDescent="0.25">
      <c r="A7714" s="1" t="str">
        <f>HYPERLINK("http://www.rosaceae.org/Prunus/Prunus_persica/p.persica_gdr_reftransV1_0008530","p.persica_gdr_reftransV1_0008530")</f>
        <v>p.persica_gdr_reftransV1_0008530</v>
      </c>
      <c r="B7714" s="3">
        <v>1723</v>
      </c>
      <c r="C7714" s="1" t="str">
        <f>HYPERLINK("http://www.uniprot.org/uniprot/ZDH17_ARATH","ZDH17_ARATH")</f>
        <v>ZDH17_ARATH</v>
      </c>
      <c r="D7714" t="s">
        <v>1923</v>
      </c>
      <c r="E7714" s="3" t="s">
        <v>3</v>
      </c>
      <c r="F7714" s="4">
        <v>8.0099999999999999E-135</v>
      </c>
      <c r="G7714" s="3">
        <v>1070</v>
      </c>
      <c r="H7714" s="3">
        <v>48</v>
      </c>
      <c r="I7714" s="3">
        <v>556</v>
      </c>
      <c r="J7714" s="3">
        <v>4</v>
      </c>
      <c r="K7714" s="3">
        <v>1467</v>
      </c>
      <c r="L7714" s="3">
        <v>171</v>
      </c>
      <c r="M7714" s="3">
        <v>718</v>
      </c>
    </row>
    <row r="7715" spans="1:13" x14ac:dyDescent="0.25">
      <c r="A7715" s="1" t="str">
        <f>HYPERLINK("http://www.rosaceae.org/Prunus/Prunus_persica/p.persica_gdr_reftransV1_0008580","p.persica_gdr_reftransV1_0008580")</f>
        <v>p.persica_gdr_reftransV1_0008580</v>
      </c>
      <c r="B7715" s="3">
        <v>990</v>
      </c>
      <c r="C7715" s="1" t="str">
        <f>HYPERLINK("http://www.uniprot.org/uniprot/14312_ARATH","14312_ARATH")</f>
        <v>14312_ARATH</v>
      </c>
      <c r="D7715" t="s">
        <v>6090</v>
      </c>
      <c r="E7715" s="3" t="s">
        <v>3</v>
      </c>
      <c r="F7715" s="4">
        <v>6.51E-151</v>
      </c>
      <c r="G7715" s="3">
        <v>1110</v>
      </c>
      <c r="H7715" s="3">
        <v>88</v>
      </c>
      <c r="I7715" s="3">
        <v>235</v>
      </c>
      <c r="J7715" s="3">
        <v>2</v>
      </c>
      <c r="K7715" s="3">
        <v>706</v>
      </c>
      <c r="L7715" s="3">
        <v>4</v>
      </c>
      <c r="M7715" s="3">
        <v>238</v>
      </c>
    </row>
    <row r="7716" spans="1:13" x14ac:dyDescent="0.25">
      <c r="A7716" s="1" t="str">
        <f>HYPERLINK("http://www.rosaceae.org/Prunus/Prunus_persica/p.persica_gdr_reftransV1_0008680","p.persica_gdr_reftransV1_0008680")</f>
        <v>p.persica_gdr_reftransV1_0008680</v>
      </c>
      <c r="B7716" s="3">
        <v>1066</v>
      </c>
      <c r="C7716" s="1" t="str">
        <f>HYPERLINK("http://www.uniprot.org/uniprot/UCRIA_PEA","UCRIA_PEA")</f>
        <v>UCRIA_PEA</v>
      </c>
      <c r="D7716" t="s">
        <v>6091</v>
      </c>
      <c r="E7716" s="3" t="s">
        <v>60</v>
      </c>
      <c r="F7716" s="4">
        <v>1.2800000000000001E-121</v>
      </c>
      <c r="G7716" s="3">
        <v>916</v>
      </c>
      <c r="H7716" s="3">
        <v>78</v>
      </c>
      <c r="I7716" s="3">
        <v>230</v>
      </c>
      <c r="J7716" s="3">
        <v>143</v>
      </c>
      <c r="K7716" s="3">
        <v>823</v>
      </c>
      <c r="L7716" s="3">
        <v>1</v>
      </c>
      <c r="M7716" s="3">
        <v>230</v>
      </c>
    </row>
    <row r="7717" spans="1:13" x14ac:dyDescent="0.25">
      <c r="A7717" s="1" t="str">
        <f>HYPERLINK("http://www.rosaceae.org/Prunus/Prunus_persica/p.persica_gdr_reftransV1_0008880","p.persica_gdr_reftransV1_0008880")</f>
        <v>p.persica_gdr_reftransV1_0008880</v>
      </c>
      <c r="B7717" s="3">
        <v>444</v>
      </c>
      <c r="C7717" s="1" t="str">
        <f>HYPERLINK("http://www.uniprot.org/uniprot/ASK16_ARATH","ASK16_ARATH")</f>
        <v>ASK16_ARATH</v>
      </c>
      <c r="D7717" t="s">
        <v>6092</v>
      </c>
      <c r="E7717" s="3" t="s">
        <v>3</v>
      </c>
      <c r="F7717" s="4">
        <v>2.6199999999999999E-21</v>
      </c>
      <c r="G7717" s="3">
        <v>221</v>
      </c>
      <c r="H7717" s="3">
        <v>54</v>
      </c>
      <c r="I7717" s="3">
        <v>85</v>
      </c>
      <c r="J7717" s="3">
        <v>129</v>
      </c>
      <c r="K7717" s="3">
        <v>383</v>
      </c>
      <c r="L7717" s="3">
        <v>83</v>
      </c>
      <c r="M7717" s="3">
        <v>167</v>
      </c>
    </row>
    <row r="7718" spans="1:13" x14ac:dyDescent="0.25">
      <c r="A7718" s="1" t="str">
        <f>HYPERLINK("http://www.rosaceae.org/Prunus/Prunus_persica/p.persica_gdr_reftransV1_0008980","p.persica_gdr_reftransV1_0008980")</f>
        <v>p.persica_gdr_reftransV1_0008980</v>
      </c>
      <c r="B7718" s="3">
        <v>2726</v>
      </c>
      <c r="C7718" s="1" t="str">
        <f>HYPERLINK("http://www.uniprot.org/uniprot/WDR26_XENTR","WDR26_XENTR")</f>
        <v>WDR26_XENTR</v>
      </c>
      <c r="D7718" t="s">
        <v>3619</v>
      </c>
      <c r="E7718" s="3" t="s">
        <v>173</v>
      </c>
      <c r="F7718" s="4">
        <v>8.9500000000000009E-78</v>
      </c>
      <c r="G7718" s="3">
        <v>628</v>
      </c>
      <c r="H7718" s="3">
        <v>34</v>
      </c>
      <c r="I7718" s="3">
        <v>503</v>
      </c>
      <c r="J7718" s="3">
        <v>839</v>
      </c>
      <c r="K7718" s="3">
        <v>2212</v>
      </c>
      <c r="L7718" s="3">
        <v>52</v>
      </c>
      <c r="M7718" s="3">
        <v>548</v>
      </c>
    </row>
    <row r="7719" spans="1:13" x14ac:dyDescent="0.25">
      <c r="A7719" s="1" t="str">
        <f>HYPERLINK("http://www.rosaceae.org/Prunus/Prunus_persica/p.persica_gdr_reftransV1_0009030","p.persica_gdr_reftransV1_0009030")</f>
        <v>p.persica_gdr_reftransV1_0009030</v>
      </c>
      <c r="B7719" s="3">
        <v>3746</v>
      </c>
      <c r="C7719" s="1" t="str">
        <f>HYPERLINK("http://www.uniprot.org/uniprot/NOL6_XENLA","NOL6_XENLA")</f>
        <v>NOL6_XENLA</v>
      </c>
      <c r="D7719" t="s">
        <v>6093</v>
      </c>
      <c r="E7719" s="3" t="s">
        <v>475</v>
      </c>
      <c r="F7719" s="4">
        <v>2.2900000000000002E-137</v>
      </c>
      <c r="G7719" s="3">
        <v>1169</v>
      </c>
      <c r="H7719" s="3">
        <v>29</v>
      </c>
      <c r="I7719" s="3">
        <v>1113</v>
      </c>
      <c r="J7719" s="3">
        <v>113</v>
      </c>
      <c r="K7719" s="3">
        <v>3247</v>
      </c>
      <c r="L7719" s="3">
        <v>73</v>
      </c>
      <c r="M7719" s="3">
        <v>1138</v>
      </c>
    </row>
    <row r="7720" spans="1:13" x14ac:dyDescent="0.25">
      <c r="A7720" s="1" t="str">
        <f>HYPERLINK("http://www.rosaceae.org/Prunus/Prunus_persica/p.persica_gdr_reftransV1_0009130","p.persica_gdr_reftransV1_0009130")</f>
        <v>p.persica_gdr_reftransV1_0009130</v>
      </c>
      <c r="B7720" s="3">
        <v>3057</v>
      </c>
      <c r="C7720" s="1" t="str">
        <f>HYPERLINK("http://www.uniprot.org/uniprot/PPR34_ARATH","PPR34_ARATH")</f>
        <v>PPR34_ARATH</v>
      </c>
      <c r="D7720" t="s">
        <v>6094</v>
      </c>
      <c r="E7720" s="3" t="s">
        <v>3</v>
      </c>
      <c r="F7720" s="4">
        <v>0</v>
      </c>
      <c r="G7720" s="3">
        <v>1770</v>
      </c>
      <c r="H7720" s="3">
        <v>54</v>
      </c>
      <c r="I7720" s="3">
        <v>652</v>
      </c>
      <c r="J7720" s="3">
        <v>174</v>
      </c>
      <c r="K7720" s="3">
        <v>2108</v>
      </c>
      <c r="L7720" s="3">
        <v>9</v>
      </c>
      <c r="M7720" s="3">
        <v>654</v>
      </c>
    </row>
    <row r="7721" spans="1:13" x14ac:dyDescent="0.25">
      <c r="A7721" s="1" t="str">
        <f>HYPERLINK("http://www.rosaceae.org/Prunus/Prunus_persica/p.persica_gdr_reftransV1_0009230","p.persica_gdr_reftransV1_0009230")</f>
        <v>p.persica_gdr_reftransV1_0009230</v>
      </c>
      <c r="B7721" s="3">
        <v>2305</v>
      </c>
      <c r="C7721" s="1" t="str">
        <f>HYPERLINK("http://www.uniprot.org/uniprot/PP392_ARATH","PP392_ARATH")</f>
        <v>PP392_ARATH</v>
      </c>
      <c r="D7721" t="s">
        <v>6095</v>
      </c>
      <c r="E7721" s="3" t="s">
        <v>3</v>
      </c>
      <c r="F7721" s="4">
        <v>0</v>
      </c>
      <c r="G7721" s="3">
        <v>1481</v>
      </c>
      <c r="H7721" s="3">
        <v>60</v>
      </c>
      <c r="I7721" s="3">
        <v>453</v>
      </c>
      <c r="J7721" s="3">
        <v>529</v>
      </c>
      <c r="K7721" s="3">
        <v>1887</v>
      </c>
      <c r="L7721" s="3">
        <v>53</v>
      </c>
      <c r="M7721" s="3">
        <v>505</v>
      </c>
    </row>
    <row r="7722" spans="1:13" x14ac:dyDescent="0.25">
      <c r="A7722" s="1" t="str">
        <f>HYPERLINK("http://www.rosaceae.org/Prunus/Prunus_persica/p.persica_gdr_reftransV1_0009330","p.persica_gdr_reftransV1_0009330")</f>
        <v>p.persica_gdr_reftransV1_0009330</v>
      </c>
      <c r="B7722" s="3">
        <v>1304</v>
      </c>
      <c r="C7722" s="1" t="str">
        <f>HYPERLINK("http://www.uniprot.org/uniprot/CXE6_ARATH","CXE6_ARATH")</f>
        <v>CXE6_ARATH</v>
      </c>
      <c r="D7722" t="s">
        <v>1879</v>
      </c>
      <c r="E7722" s="3" t="s">
        <v>3</v>
      </c>
      <c r="F7722" s="4">
        <v>2.63E-49</v>
      </c>
      <c r="G7722" s="3">
        <v>447</v>
      </c>
      <c r="H7722" s="3">
        <v>35</v>
      </c>
      <c r="I7722" s="3">
        <v>305</v>
      </c>
      <c r="J7722" s="3">
        <v>71</v>
      </c>
      <c r="K7722" s="3">
        <v>976</v>
      </c>
      <c r="L7722" s="3">
        <v>23</v>
      </c>
      <c r="M7722" s="3">
        <v>307</v>
      </c>
    </row>
    <row r="7723" spans="1:13" x14ac:dyDescent="0.25">
      <c r="A7723" s="1" t="str">
        <f>HYPERLINK("http://www.rosaceae.org/Prunus/Prunus_persica/p.persica_gdr_reftransV1_0009430","p.persica_gdr_reftransV1_0009430")</f>
        <v>p.persica_gdr_reftransV1_0009430</v>
      </c>
      <c r="B7723" s="3">
        <v>1986</v>
      </c>
      <c r="C7723" s="1" t="str">
        <f>HYPERLINK("http://www.uniprot.org/uniprot/GONS4_ARATH","GONS4_ARATH")</f>
        <v>GONS4_ARATH</v>
      </c>
      <c r="D7723" t="s">
        <v>6096</v>
      </c>
      <c r="E7723" s="3" t="s">
        <v>3</v>
      </c>
      <c r="F7723" s="4">
        <v>7.7300000000000001E-165</v>
      </c>
      <c r="G7723" s="3">
        <v>1243</v>
      </c>
      <c r="H7723" s="3">
        <v>71</v>
      </c>
      <c r="I7723" s="3">
        <v>351</v>
      </c>
      <c r="J7723" s="3">
        <v>425</v>
      </c>
      <c r="K7723" s="3">
        <v>1474</v>
      </c>
      <c r="L7723" s="3">
        <v>1</v>
      </c>
      <c r="M7723" s="3">
        <v>340</v>
      </c>
    </row>
    <row r="7724" spans="1:13" x14ac:dyDescent="0.25">
      <c r="A7724" s="1" t="str">
        <f>HYPERLINK("http://www.rosaceae.org/Prunus/Prunus_persica/p.persica_gdr_reftransV1_0009530","p.persica_gdr_reftransV1_0009530")</f>
        <v>p.persica_gdr_reftransV1_0009530</v>
      </c>
      <c r="B7724" s="3">
        <v>752</v>
      </c>
      <c r="C7724" s="1" t="str">
        <f>HYPERLINK("http://www.uniprot.org/uniprot/PP203_ARATH","PP203_ARATH")</f>
        <v>PP203_ARATH</v>
      </c>
      <c r="D7724" t="s">
        <v>6097</v>
      </c>
      <c r="E7724" s="3" t="s">
        <v>3</v>
      </c>
      <c r="F7724" s="4">
        <v>4.8499999999999998E-66</v>
      </c>
      <c r="G7724" s="3">
        <v>562</v>
      </c>
      <c r="H7724" s="3">
        <v>43</v>
      </c>
      <c r="I7724" s="3">
        <v>252</v>
      </c>
      <c r="J7724" s="3">
        <v>2</v>
      </c>
      <c r="K7724" s="3">
        <v>751</v>
      </c>
      <c r="L7724" s="3">
        <v>78</v>
      </c>
      <c r="M7724" s="3">
        <v>325</v>
      </c>
    </row>
    <row r="7725" spans="1:13" x14ac:dyDescent="0.25">
      <c r="A7725" s="1" t="str">
        <f>HYPERLINK("http://www.rosaceae.org/Prunus/Prunus_persica/p.persica_gdr_reftransV1_0009880","p.persica_gdr_reftransV1_0009880")</f>
        <v>p.persica_gdr_reftransV1_0009880</v>
      </c>
      <c r="B7725" s="3">
        <v>561</v>
      </c>
      <c r="C7725" s="1" t="str">
        <f>HYPERLINK("http://www.uniprot.org/uniprot/NSP5_ARATH","NSP5_ARATH")</f>
        <v>NSP5_ARATH</v>
      </c>
      <c r="D7725" t="s">
        <v>5156</v>
      </c>
      <c r="E7725" s="3" t="s">
        <v>3</v>
      </c>
      <c r="F7725" s="4">
        <v>5.0099999999999997E-58</v>
      </c>
      <c r="G7725" s="3">
        <v>484</v>
      </c>
      <c r="H7725" s="3">
        <v>53</v>
      </c>
      <c r="I7725" s="3">
        <v>175</v>
      </c>
      <c r="J7725" s="3">
        <v>35</v>
      </c>
      <c r="K7725" s="3">
        <v>559</v>
      </c>
      <c r="L7725" s="3">
        <v>1</v>
      </c>
      <c r="M7725" s="3">
        <v>174</v>
      </c>
    </row>
    <row r="7726" spans="1:13" x14ac:dyDescent="0.25">
      <c r="A7726" s="1" t="str">
        <f>HYPERLINK("http://www.rosaceae.org/Prunus/Prunus_persica/p.persica_gdr_reftransV1_0009930","p.persica_gdr_reftransV1_0009930")</f>
        <v>p.persica_gdr_reftransV1_0009930</v>
      </c>
      <c r="B7726" s="3">
        <v>1684</v>
      </c>
      <c r="C7726" s="1" t="str">
        <f>HYPERLINK("http://www.uniprot.org/uniprot/BTF3_HUMAN","BTF3_HUMAN")</f>
        <v>BTF3_HUMAN</v>
      </c>
      <c r="D7726" t="s">
        <v>409</v>
      </c>
      <c r="E7726" s="3" t="s">
        <v>28</v>
      </c>
      <c r="F7726" s="4">
        <v>8.9799999999999998E-42</v>
      </c>
      <c r="G7726" s="3">
        <v>389</v>
      </c>
      <c r="H7726" s="3">
        <v>54</v>
      </c>
      <c r="I7726" s="3">
        <v>147</v>
      </c>
      <c r="J7726" s="3">
        <v>336</v>
      </c>
      <c r="K7726" s="3">
        <v>773</v>
      </c>
      <c r="L7726" s="3">
        <v>50</v>
      </c>
      <c r="M7726" s="3">
        <v>194</v>
      </c>
    </row>
    <row r="7727" spans="1:13" x14ac:dyDescent="0.25">
      <c r="A7727" s="1" t="str">
        <f>HYPERLINK("http://www.rosaceae.org/Prunus/Prunus_persica/p.persica_gdr_reftransV1_0010030","p.persica_gdr_reftransV1_0010030")</f>
        <v>p.persica_gdr_reftransV1_0010030</v>
      </c>
      <c r="B7727" s="3">
        <v>833</v>
      </c>
      <c r="C7727" s="1" t="str">
        <f>HYPERLINK("http://www.uniprot.org/uniprot/HSP22_ARATH","HSP22_ARATH")</f>
        <v>HSP22_ARATH</v>
      </c>
      <c r="D7727" t="s">
        <v>6098</v>
      </c>
      <c r="E7727" s="3" t="s">
        <v>3</v>
      </c>
      <c r="F7727" s="4">
        <v>9.1100000000000003E-49</v>
      </c>
      <c r="G7727" s="3">
        <v>420</v>
      </c>
      <c r="H7727" s="3">
        <v>58</v>
      </c>
      <c r="I7727" s="3">
        <v>136</v>
      </c>
      <c r="J7727" s="3">
        <v>246</v>
      </c>
      <c r="K7727" s="3">
        <v>653</v>
      </c>
      <c r="L7727" s="3">
        <v>48</v>
      </c>
      <c r="M7727" s="3">
        <v>178</v>
      </c>
    </row>
    <row r="7728" spans="1:13" x14ac:dyDescent="0.25">
      <c r="A7728" s="1" t="str">
        <f>HYPERLINK("http://www.rosaceae.org/Prunus/Prunus_persica/p.persica_gdr_reftransV1_0010080","p.persica_gdr_reftransV1_0010080")</f>
        <v>p.persica_gdr_reftransV1_0010080</v>
      </c>
      <c r="B7728" s="3">
        <v>5478</v>
      </c>
      <c r="C7728" s="1" t="str">
        <f>HYPERLINK("http://www.uniprot.org/uniprot/VILI1_ARATH","VILI1_ARATH")</f>
        <v>VILI1_ARATH</v>
      </c>
      <c r="D7728" t="s">
        <v>6099</v>
      </c>
      <c r="E7728" s="3" t="s">
        <v>3</v>
      </c>
      <c r="F7728" s="4">
        <v>0</v>
      </c>
      <c r="G7728" s="3">
        <v>2755</v>
      </c>
      <c r="H7728" s="3">
        <v>58</v>
      </c>
      <c r="I7728" s="3">
        <v>917</v>
      </c>
      <c r="J7728" s="3">
        <v>2468</v>
      </c>
      <c r="K7728" s="3">
        <v>5203</v>
      </c>
      <c r="L7728" s="3">
        <v>1</v>
      </c>
      <c r="M7728" s="3">
        <v>909</v>
      </c>
    </row>
    <row r="7729" spans="1:13" x14ac:dyDescent="0.25">
      <c r="A7729" s="1" t="str">
        <f>HYPERLINK("http://www.rosaceae.org/Prunus/Prunus_persica/p.persica_gdr_reftransV1_0010230","p.persica_gdr_reftransV1_0010230")</f>
        <v>p.persica_gdr_reftransV1_0010230</v>
      </c>
      <c r="B7729" s="3">
        <v>7086</v>
      </c>
      <c r="C7729" s="1" t="str">
        <f>HYPERLINK("http://www.uniprot.org/uniprot/U520_HUMAN","U520_HUMAN")</f>
        <v>U520_HUMAN</v>
      </c>
      <c r="D7729" t="s">
        <v>6100</v>
      </c>
      <c r="E7729" s="3" t="s">
        <v>28</v>
      </c>
      <c r="F7729" s="4">
        <v>0</v>
      </c>
      <c r="G7729" s="3">
        <v>6446</v>
      </c>
      <c r="H7729" s="3">
        <v>57</v>
      </c>
      <c r="I7729" s="3">
        <v>2187</v>
      </c>
      <c r="J7729" s="3">
        <v>205</v>
      </c>
      <c r="K7729" s="3">
        <v>6711</v>
      </c>
      <c r="L7729" s="3">
        <v>2</v>
      </c>
      <c r="M7729" s="3">
        <v>2135</v>
      </c>
    </row>
    <row r="7730" spans="1:13" x14ac:dyDescent="0.25">
      <c r="A7730" s="1" t="str">
        <f>HYPERLINK("http://www.rosaceae.org/Prunus/Prunus_persica/p.persica_gdr_reftransV1_0010380","p.persica_gdr_reftransV1_0010380")</f>
        <v>p.persica_gdr_reftransV1_0010380</v>
      </c>
      <c r="B7730" s="3">
        <v>2140</v>
      </c>
      <c r="C7730" s="1" t="str">
        <f>HYPERLINK("http://www.uniprot.org/uniprot/P1254_THEMA","P1254_THEMA")</f>
        <v>P1254_THEMA</v>
      </c>
      <c r="D7730" t="s">
        <v>6101</v>
      </c>
      <c r="E7730" s="3" t="s">
        <v>3285</v>
      </c>
      <c r="F7730" s="4">
        <v>4.9999999999999999E-13</v>
      </c>
      <c r="G7730" s="3">
        <v>178</v>
      </c>
      <c r="H7730" s="3">
        <v>27</v>
      </c>
      <c r="I7730" s="3">
        <v>175</v>
      </c>
      <c r="J7730" s="3">
        <v>452</v>
      </c>
      <c r="K7730" s="3">
        <v>976</v>
      </c>
      <c r="L7730" s="3">
        <v>4</v>
      </c>
      <c r="M7730" s="3">
        <v>176</v>
      </c>
    </row>
    <row r="7731" spans="1:13" x14ac:dyDescent="0.25">
      <c r="A7731" s="1" t="str">
        <f>HYPERLINK("http://www.rosaceae.org/Prunus/Prunus_persica/p.persica_gdr_reftransV1_0010480","p.persica_gdr_reftransV1_0010480")</f>
        <v>p.persica_gdr_reftransV1_0010480</v>
      </c>
      <c r="B7731" s="3">
        <v>932</v>
      </c>
      <c r="C7731" s="1" t="str">
        <f>HYPERLINK("http://www.uniprot.org/uniprot/Y5613_ARATH","Y5613_ARATH")</f>
        <v>Y5613_ARATH</v>
      </c>
      <c r="D7731" t="s">
        <v>6102</v>
      </c>
      <c r="E7731" s="3" t="s">
        <v>3</v>
      </c>
      <c r="F7731" s="4">
        <v>2.7399999999999999E-22</v>
      </c>
      <c r="G7731" s="3">
        <v>252</v>
      </c>
      <c r="H7731" s="3">
        <v>58</v>
      </c>
      <c r="I7731" s="3">
        <v>86</v>
      </c>
      <c r="J7731" s="3">
        <v>674</v>
      </c>
      <c r="K7731" s="3">
        <v>931</v>
      </c>
      <c r="L7731" s="3">
        <v>25</v>
      </c>
      <c r="M7731" s="3">
        <v>107</v>
      </c>
    </row>
    <row r="7732" spans="1:13" x14ac:dyDescent="0.25">
      <c r="A7732" s="1" t="str">
        <f>HYPERLINK("http://www.rosaceae.org/Prunus/Prunus_persica/p.persica_gdr_reftransV1_0010530","p.persica_gdr_reftransV1_0010530")</f>
        <v>p.persica_gdr_reftransV1_0010530</v>
      </c>
      <c r="B7732" s="3">
        <v>2475</v>
      </c>
      <c r="C7732" s="1" t="str">
        <f>HYPERLINK("http://www.uniprot.org/uniprot/ICR3_ARATH","ICR3_ARATH")</f>
        <v>ICR3_ARATH</v>
      </c>
      <c r="D7732" t="s">
        <v>6103</v>
      </c>
      <c r="E7732" s="3" t="s">
        <v>3</v>
      </c>
      <c r="F7732" s="4">
        <v>3.0000000000000001E-99</v>
      </c>
      <c r="G7732" s="3">
        <v>835</v>
      </c>
      <c r="H7732" s="3">
        <v>47</v>
      </c>
      <c r="I7732" s="3">
        <v>640</v>
      </c>
      <c r="J7732" s="3">
        <v>224</v>
      </c>
      <c r="K7732" s="3">
        <v>2110</v>
      </c>
      <c r="L7732" s="3">
        <v>1</v>
      </c>
      <c r="M7732" s="3">
        <v>564</v>
      </c>
    </row>
    <row r="7733" spans="1:13" x14ac:dyDescent="0.25">
      <c r="A7733" s="1" t="str">
        <f>HYPERLINK("http://www.rosaceae.org/Prunus/Prunus_persica/p.persica_gdr_reftransV1_0010630","p.persica_gdr_reftransV1_0010630")</f>
        <v>p.persica_gdr_reftransV1_0010630</v>
      </c>
      <c r="B7733" s="3">
        <v>1920</v>
      </c>
      <c r="C7733" s="1" t="str">
        <f>HYPERLINK("http://www.uniprot.org/uniprot/FUCO1_ARATH","FUCO1_ARATH")</f>
        <v>FUCO1_ARATH</v>
      </c>
      <c r="D7733" t="s">
        <v>6104</v>
      </c>
      <c r="E7733" s="3" t="s">
        <v>3</v>
      </c>
      <c r="F7733" s="4">
        <v>0</v>
      </c>
      <c r="G7733" s="3">
        <v>1800</v>
      </c>
      <c r="H7733" s="3">
        <v>71</v>
      </c>
      <c r="I7733" s="3">
        <v>462</v>
      </c>
      <c r="J7733" s="3">
        <v>287</v>
      </c>
      <c r="K7733" s="3">
        <v>1663</v>
      </c>
      <c r="L7733" s="3">
        <v>44</v>
      </c>
      <c r="M7733" s="3">
        <v>504</v>
      </c>
    </row>
    <row r="7734" spans="1:13" x14ac:dyDescent="0.25">
      <c r="A7734" s="1" t="str">
        <f>HYPERLINK("http://www.rosaceae.org/Prunus/Prunus_persica/p.persica_gdr_reftransV1_0010680","p.persica_gdr_reftransV1_0010680")</f>
        <v>p.persica_gdr_reftransV1_0010680</v>
      </c>
      <c r="B7734" s="3">
        <v>2026</v>
      </c>
      <c r="C7734" s="1" t="str">
        <f>HYPERLINK("http://www.uniprot.org/uniprot/GAPN_ARATH","GAPN_ARATH")</f>
        <v>GAPN_ARATH</v>
      </c>
      <c r="D7734" t="s">
        <v>6105</v>
      </c>
      <c r="E7734" s="3" t="s">
        <v>3</v>
      </c>
      <c r="F7734" s="4">
        <v>0</v>
      </c>
      <c r="G7734" s="3">
        <v>2452</v>
      </c>
      <c r="H7734" s="3">
        <v>91</v>
      </c>
      <c r="I7734" s="3">
        <v>496</v>
      </c>
      <c r="J7734" s="3">
        <v>358</v>
      </c>
      <c r="K7734" s="3">
        <v>1845</v>
      </c>
      <c r="L7734" s="3">
        <v>1</v>
      </c>
      <c r="M7734" s="3">
        <v>496</v>
      </c>
    </row>
    <row r="7735" spans="1:13" x14ac:dyDescent="0.25">
      <c r="A7735" s="1" t="str">
        <f>HYPERLINK("http://www.rosaceae.org/Prunus/Prunus_persica/p.persica_gdr_reftransV1_0010730","p.persica_gdr_reftransV1_0010730")</f>
        <v>p.persica_gdr_reftransV1_0010730</v>
      </c>
      <c r="B7735" s="3">
        <v>1344</v>
      </c>
      <c r="C7735" s="1" t="str">
        <f>HYPERLINK("http://www.uniprot.org/uniprot/LSH10_ARATH","LSH10_ARATH")</f>
        <v>LSH10_ARATH</v>
      </c>
      <c r="D7735" t="s">
        <v>1128</v>
      </c>
      <c r="E7735" s="3" t="s">
        <v>3</v>
      </c>
      <c r="F7735" s="4">
        <v>1.7700000000000001E-76</v>
      </c>
      <c r="G7735" s="3">
        <v>619</v>
      </c>
      <c r="H7735" s="3">
        <v>84</v>
      </c>
      <c r="I7735" s="3">
        <v>131</v>
      </c>
      <c r="J7735" s="3">
        <v>713</v>
      </c>
      <c r="K7735" s="3">
        <v>1105</v>
      </c>
      <c r="L7735" s="3">
        <v>18</v>
      </c>
      <c r="M7735" s="3">
        <v>148</v>
      </c>
    </row>
    <row r="7736" spans="1:13" x14ac:dyDescent="0.25">
      <c r="A7736" s="1" t="str">
        <f>HYPERLINK("http://www.rosaceae.org/Prunus/Prunus_persica/p.persica_gdr_reftransV1_0010980","p.persica_gdr_reftransV1_0010980")</f>
        <v>p.persica_gdr_reftransV1_0010980</v>
      </c>
      <c r="B7736" s="3">
        <v>645</v>
      </c>
      <c r="C7736" s="1" t="str">
        <f>HYPERLINK("http://www.uniprot.org/uniprot/ZAT5_ARATH","ZAT5_ARATH")</f>
        <v>ZAT5_ARATH</v>
      </c>
      <c r="D7736" t="s">
        <v>4033</v>
      </c>
      <c r="E7736" s="3" t="s">
        <v>3</v>
      </c>
      <c r="F7736" s="4">
        <v>1.13E-27</v>
      </c>
      <c r="G7736" s="3">
        <v>277</v>
      </c>
      <c r="H7736" s="3">
        <v>42</v>
      </c>
      <c r="I7736" s="3">
        <v>182</v>
      </c>
      <c r="J7736" s="3">
        <v>14</v>
      </c>
      <c r="K7736" s="3">
        <v>559</v>
      </c>
      <c r="L7736" s="3">
        <v>109</v>
      </c>
      <c r="M7736" s="3">
        <v>270</v>
      </c>
    </row>
    <row r="7737" spans="1:13" x14ac:dyDescent="0.25">
      <c r="A7737" s="1" t="str">
        <f>HYPERLINK("http://www.rosaceae.org/Prunus/Prunus_persica/p.persica_gdr_reftransV1_0011030","p.persica_gdr_reftransV1_0011030")</f>
        <v>p.persica_gdr_reftransV1_0011030</v>
      </c>
      <c r="B7737" s="3">
        <v>6330</v>
      </c>
      <c r="C7737" s="1" t="str">
        <f>HYPERLINK("http://www.uniprot.org/uniprot/DCL3_ARATH","DCL3_ARATH")</f>
        <v>DCL3_ARATH</v>
      </c>
      <c r="D7737" t="s">
        <v>6106</v>
      </c>
      <c r="E7737" s="3" t="s">
        <v>3</v>
      </c>
      <c r="F7737" s="4">
        <v>0</v>
      </c>
      <c r="G7737" s="3">
        <v>1971</v>
      </c>
      <c r="H7737" s="3">
        <v>58</v>
      </c>
      <c r="I7737" s="3">
        <v>694</v>
      </c>
      <c r="J7737" s="3">
        <v>2677</v>
      </c>
      <c r="K7737" s="3">
        <v>4728</v>
      </c>
      <c r="L7737" s="3">
        <v>637</v>
      </c>
      <c r="M7737" s="3">
        <v>1322</v>
      </c>
    </row>
    <row r="7738" spans="1:13" x14ac:dyDescent="0.25">
      <c r="A7738" s="1" t="str">
        <f>HYPERLINK("http://www.rosaceae.org/Prunus/Prunus_persica/p.persica_gdr_reftransV1_0011080","p.persica_gdr_reftransV1_0011080")</f>
        <v>p.persica_gdr_reftransV1_0011080</v>
      </c>
      <c r="B7738" s="3">
        <v>1571</v>
      </c>
      <c r="C7738" s="1" t="str">
        <f>HYPERLINK("http://www.uniprot.org/uniprot/YLBH_BACSU","YLBH_BACSU")</f>
        <v>YLBH_BACSU</v>
      </c>
      <c r="D7738" t="s">
        <v>6107</v>
      </c>
      <c r="E7738" s="3" t="s">
        <v>1630</v>
      </c>
      <c r="F7738" s="4">
        <v>1.8599999999999999E-13</v>
      </c>
      <c r="G7738" s="3">
        <v>178</v>
      </c>
      <c r="H7738" s="3">
        <v>30</v>
      </c>
      <c r="I7738" s="3">
        <v>191</v>
      </c>
      <c r="J7738" s="3">
        <v>484</v>
      </c>
      <c r="K7738" s="3">
        <v>1050</v>
      </c>
      <c r="L7738" s="3">
        <v>1</v>
      </c>
      <c r="M7738" s="3">
        <v>180</v>
      </c>
    </row>
    <row r="7739" spans="1:13" x14ac:dyDescent="0.25">
      <c r="A7739" s="1" t="str">
        <f>HYPERLINK("http://www.rosaceae.org/Prunus/Prunus_persica/p.persica_gdr_reftransV1_0011130","p.persica_gdr_reftransV1_0011130")</f>
        <v>p.persica_gdr_reftransV1_0011130</v>
      </c>
      <c r="B7739" s="3">
        <v>1695</v>
      </c>
      <c r="C7739" s="1" t="str">
        <f>HYPERLINK("http://www.uniprot.org/uniprot/FMP32_YEAST","FMP32_YEAST")</f>
        <v>FMP32_YEAST</v>
      </c>
      <c r="D7739" t="s">
        <v>6108</v>
      </c>
      <c r="E7739" s="3" t="s">
        <v>34</v>
      </c>
      <c r="F7739" s="4">
        <v>5.6600000000000001E-21</v>
      </c>
      <c r="G7739" s="3">
        <v>237</v>
      </c>
      <c r="H7739" s="3">
        <v>30</v>
      </c>
      <c r="I7739" s="3">
        <v>166</v>
      </c>
      <c r="J7739" s="3">
        <v>967</v>
      </c>
      <c r="K7739" s="3">
        <v>1464</v>
      </c>
      <c r="L7739" s="3">
        <v>41</v>
      </c>
      <c r="M7739" s="3">
        <v>206</v>
      </c>
    </row>
    <row r="7740" spans="1:13" x14ac:dyDescent="0.25">
      <c r="A7740" s="1" t="str">
        <f>HYPERLINK("http://www.rosaceae.org/Prunus/Prunus_persica/p.persica_gdr_reftransV1_0011280","p.persica_gdr_reftransV1_0011280")</f>
        <v>p.persica_gdr_reftransV1_0011280</v>
      </c>
      <c r="B7740" s="3">
        <v>2977</v>
      </c>
      <c r="C7740" s="1" t="str">
        <f>HYPERLINK("http://www.uniprot.org/uniprot/TBL11_ARATH","TBL11_ARATH")</f>
        <v>TBL11_ARATH</v>
      </c>
      <c r="D7740" t="s">
        <v>2531</v>
      </c>
      <c r="E7740" s="3" t="s">
        <v>3</v>
      </c>
      <c r="F7740" s="4">
        <v>1.8999999999999999E-129</v>
      </c>
      <c r="G7740" s="3">
        <v>1044</v>
      </c>
      <c r="H7740" s="3">
        <v>69</v>
      </c>
      <c r="I7740" s="3">
        <v>286</v>
      </c>
      <c r="J7740" s="3">
        <v>1518</v>
      </c>
      <c r="K7740" s="3">
        <v>2357</v>
      </c>
      <c r="L7740" s="3">
        <v>1</v>
      </c>
      <c r="M7740" s="3">
        <v>285</v>
      </c>
    </row>
    <row r="7741" spans="1:13" x14ac:dyDescent="0.25">
      <c r="A7741" s="1" t="str">
        <f>HYPERLINK("http://www.rosaceae.org/Prunus/Prunus_persica/p.persica_gdr_reftransV1_0011330","p.persica_gdr_reftransV1_0011330")</f>
        <v>p.persica_gdr_reftransV1_0011330</v>
      </c>
      <c r="B7741" s="3">
        <v>892</v>
      </c>
      <c r="C7741" s="1" t="str">
        <f>HYPERLINK("http://www.uniprot.org/uniprot/TPPD_ARATH","TPPD_ARATH")</f>
        <v>TPPD_ARATH</v>
      </c>
      <c r="D7741" t="s">
        <v>6109</v>
      </c>
      <c r="E7741" s="3" t="s">
        <v>3</v>
      </c>
      <c r="F7741" s="4">
        <v>3.6200000000000001E-131</v>
      </c>
      <c r="G7741" s="3">
        <v>987</v>
      </c>
      <c r="H7741" s="3">
        <v>76</v>
      </c>
      <c r="I7741" s="3">
        <v>242</v>
      </c>
      <c r="J7741" s="3">
        <v>2</v>
      </c>
      <c r="K7741" s="3">
        <v>727</v>
      </c>
      <c r="L7741" s="3">
        <v>128</v>
      </c>
      <c r="M7741" s="3">
        <v>369</v>
      </c>
    </row>
    <row r="7742" spans="1:13" x14ac:dyDescent="0.25">
      <c r="A7742" s="1" t="str">
        <f>HYPERLINK("http://www.rosaceae.org/Prunus/Prunus_persica/p.persica_gdr_reftransV1_0011580","p.persica_gdr_reftransV1_0011580")</f>
        <v>p.persica_gdr_reftransV1_0011580</v>
      </c>
      <c r="B7742" s="3">
        <v>1483</v>
      </c>
      <c r="C7742" s="1" t="str">
        <f>HYPERLINK("http://www.uniprot.org/uniprot/KN12B_ARATH","KN12B_ARATH")</f>
        <v>KN12B_ARATH</v>
      </c>
      <c r="D7742" t="s">
        <v>2999</v>
      </c>
      <c r="E7742" s="3" t="s">
        <v>3</v>
      </c>
      <c r="F7742" s="4">
        <v>1.16E-37</v>
      </c>
      <c r="G7742" s="3">
        <v>384</v>
      </c>
      <c r="H7742" s="3">
        <v>38</v>
      </c>
      <c r="I7742" s="3">
        <v>419</v>
      </c>
      <c r="J7742" s="3">
        <v>115</v>
      </c>
      <c r="K7742" s="3">
        <v>1269</v>
      </c>
      <c r="L7742" s="3">
        <v>880</v>
      </c>
      <c r="M7742" s="3">
        <v>1292</v>
      </c>
    </row>
    <row r="7743" spans="1:13" x14ac:dyDescent="0.25">
      <c r="A7743" s="1" t="str">
        <f>HYPERLINK("http://www.rosaceae.org/Prunus/Prunus_persica/p.persica_gdr_reftransV1_0011730","p.persica_gdr_reftransV1_0011730")</f>
        <v>p.persica_gdr_reftransV1_0011730</v>
      </c>
      <c r="B7743" s="3">
        <v>3030</v>
      </c>
      <c r="C7743" s="1" t="str">
        <f>HYPERLINK("http://www.uniprot.org/uniprot/SYHC_ARATH","SYHC_ARATH")</f>
        <v>SYHC_ARATH</v>
      </c>
      <c r="D7743" t="s">
        <v>6110</v>
      </c>
      <c r="E7743" s="3" t="s">
        <v>3</v>
      </c>
      <c r="F7743" s="4">
        <v>0</v>
      </c>
      <c r="G7743" s="3">
        <v>2302</v>
      </c>
      <c r="H7743" s="3">
        <v>59</v>
      </c>
      <c r="I7743" s="3">
        <v>900</v>
      </c>
      <c r="J7743" s="3">
        <v>122</v>
      </c>
      <c r="K7743" s="3">
        <v>2734</v>
      </c>
      <c r="L7743" s="3">
        <v>3</v>
      </c>
      <c r="M7743" s="3">
        <v>883</v>
      </c>
    </row>
    <row r="7744" spans="1:13" x14ac:dyDescent="0.25">
      <c r="A7744" s="1" t="str">
        <f>HYPERLINK("http://www.rosaceae.org/Prunus/Prunus_persica/p.persica_gdr_reftransV1_0011880","p.persica_gdr_reftransV1_0011880")</f>
        <v>p.persica_gdr_reftransV1_0011880</v>
      </c>
      <c r="B7744" s="3">
        <v>1957</v>
      </c>
      <c r="C7744" s="1" t="str">
        <f>HYPERLINK("http://www.uniprot.org/uniprot/PP449_ARATH","PP449_ARATH")</f>
        <v>PP449_ARATH</v>
      </c>
      <c r="D7744" t="s">
        <v>1725</v>
      </c>
      <c r="E7744" s="3" t="s">
        <v>3</v>
      </c>
      <c r="F7744" s="4">
        <v>3.0400000000000002E-156</v>
      </c>
      <c r="G7744" s="3">
        <v>1212</v>
      </c>
      <c r="H7744" s="3">
        <v>43</v>
      </c>
      <c r="I7744" s="3">
        <v>577</v>
      </c>
      <c r="J7744" s="3">
        <v>228</v>
      </c>
      <c r="K7744" s="3">
        <v>1952</v>
      </c>
      <c r="L7744" s="3">
        <v>45</v>
      </c>
      <c r="M7744" s="3">
        <v>620</v>
      </c>
    </row>
    <row r="7745" spans="1:13" x14ac:dyDescent="0.25">
      <c r="A7745" s="1" t="str">
        <f>HYPERLINK("http://www.rosaceae.org/Prunus/Prunus_persica/p.persica_gdr_reftransV1_0011980","p.persica_gdr_reftransV1_0011980")</f>
        <v>p.persica_gdr_reftransV1_0011980</v>
      </c>
      <c r="B7745" s="3">
        <v>1698</v>
      </c>
      <c r="C7745" s="1" t="str">
        <f>HYPERLINK("http://www.uniprot.org/uniprot/BCAT2_ARATH","BCAT2_ARATH")</f>
        <v>BCAT2_ARATH</v>
      </c>
      <c r="D7745" t="s">
        <v>5633</v>
      </c>
      <c r="E7745" s="3" t="s">
        <v>3</v>
      </c>
      <c r="F7745" s="4">
        <v>4.06E-88</v>
      </c>
      <c r="G7745" s="3">
        <v>726</v>
      </c>
      <c r="H7745" s="3">
        <v>71</v>
      </c>
      <c r="I7745" s="3">
        <v>196</v>
      </c>
      <c r="J7745" s="3">
        <v>948</v>
      </c>
      <c r="K7745" s="3">
        <v>1535</v>
      </c>
      <c r="L7745" s="3">
        <v>192</v>
      </c>
      <c r="M7745" s="3">
        <v>387</v>
      </c>
    </row>
    <row r="7746" spans="1:13" x14ac:dyDescent="0.25">
      <c r="A7746" s="1" t="str">
        <f>HYPERLINK("http://www.rosaceae.org/Prunus/Prunus_persica/p.persica_gdr_reftransV1_0012030","p.persica_gdr_reftransV1_0012030")</f>
        <v>p.persica_gdr_reftransV1_0012030</v>
      </c>
      <c r="B7746" s="3">
        <v>2879</v>
      </c>
      <c r="C7746" s="1" t="str">
        <f>HYPERLINK("http://www.uniprot.org/uniprot/DRP3A_ARATH","DRP3A_ARATH")</f>
        <v>DRP3A_ARATH</v>
      </c>
      <c r="D7746" t="s">
        <v>4859</v>
      </c>
      <c r="E7746" s="3" t="s">
        <v>3</v>
      </c>
      <c r="F7746" s="4">
        <v>0</v>
      </c>
      <c r="G7746" s="3">
        <v>2265</v>
      </c>
      <c r="H7746" s="3">
        <v>61</v>
      </c>
      <c r="I7746" s="3">
        <v>741</v>
      </c>
      <c r="J7746" s="3">
        <v>229</v>
      </c>
      <c r="K7746" s="3">
        <v>2376</v>
      </c>
      <c r="L7746" s="3">
        <v>33</v>
      </c>
      <c r="M7746" s="3">
        <v>767</v>
      </c>
    </row>
    <row r="7747" spans="1:13" x14ac:dyDescent="0.25">
      <c r="A7747" s="1" t="str">
        <f>HYPERLINK("http://www.rosaceae.org/Prunus/Prunus_persica/p.persica_gdr_reftransV1_0012080","p.persica_gdr_reftransV1_0012080")</f>
        <v>p.persica_gdr_reftransV1_0012080</v>
      </c>
      <c r="B7747" s="3">
        <v>2326</v>
      </c>
      <c r="C7747" s="1" t="str">
        <f>HYPERLINK("http://www.uniprot.org/uniprot/GUF1_RICCO","GUF1_RICCO")</f>
        <v>GUF1_RICCO</v>
      </c>
      <c r="D7747" t="s">
        <v>1777</v>
      </c>
      <c r="E7747" s="3" t="s">
        <v>421</v>
      </c>
      <c r="F7747" s="4">
        <v>0</v>
      </c>
      <c r="G7747" s="3">
        <v>2983</v>
      </c>
      <c r="H7747" s="3">
        <v>86</v>
      </c>
      <c r="I7747" s="3">
        <v>676</v>
      </c>
      <c r="J7747" s="3">
        <v>193</v>
      </c>
      <c r="K7747" s="3">
        <v>2214</v>
      </c>
      <c r="L7747" s="3">
        <v>1</v>
      </c>
      <c r="M7747" s="3">
        <v>668</v>
      </c>
    </row>
    <row r="7748" spans="1:13" x14ac:dyDescent="0.25">
      <c r="A7748" s="1" t="str">
        <f>HYPERLINK("http://www.rosaceae.org/Prunus/Prunus_persica/p.persica_gdr_reftransV1_0012130","p.persica_gdr_reftransV1_0012130")</f>
        <v>p.persica_gdr_reftransV1_0012130</v>
      </c>
      <c r="B7748" s="3">
        <v>2936</v>
      </c>
      <c r="C7748" s="1" t="str">
        <f>HYPERLINK("http://www.uniprot.org/uniprot/BQMT_ARATH","BQMT_ARATH")</f>
        <v>BQMT_ARATH</v>
      </c>
      <c r="D7748" t="s">
        <v>6111</v>
      </c>
      <c r="E7748" s="3" t="s">
        <v>3</v>
      </c>
      <c r="F7748" s="4">
        <v>6.56E-60</v>
      </c>
      <c r="G7748" s="3">
        <v>541</v>
      </c>
      <c r="H7748" s="3">
        <v>95</v>
      </c>
      <c r="I7748" s="3">
        <v>104</v>
      </c>
      <c r="J7748" s="3">
        <v>2171</v>
      </c>
      <c r="K7748" s="3">
        <v>2482</v>
      </c>
      <c r="L7748" s="3">
        <v>184</v>
      </c>
      <c r="M7748" s="3">
        <v>287</v>
      </c>
    </row>
    <row r="7749" spans="1:13" x14ac:dyDescent="0.25">
      <c r="A7749" s="1" t="str">
        <f>HYPERLINK("http://www.rosaceae.org/Prunus/Prunus_persica/p.persica_gdr_reftransV1_0012230","p.persica_gdr_reftransV1_0012230")</f>
        <v>p.persica_gdr_reftransV1_0012230</v>
      </c>
      <c r="B7749" s="3">
        <v>3188</v>
      </c>
      <c r="C7749" s="1" t="str">
        <f>HYPERLINK("http://www.uniprot.org/uniprot/TTC1_MOUSE","TTC1_MOUSE")</f>
        <v>TTC1_MOUSE</v>
      </c>
      <c r="D7749" t="s">
        <v>358</v>
      </c>
      <c r="E7749" s="3" t="s">
        <v>157</v>
      </c>
      <c r="F7749" s="4">
        <v>4.5699999999999997E-14</v>
      </c>
      <c r="G7749" s="3">
        <v>190</v>
      </c>
      <c r="H7749" s="3">
        <v>41</v>
      </c>
      <c r="I7749" s="3">
        <v>125</v>
      </c>
      <c r="J7749" s="3">
        <v>2240</v>
      </c>
      <c r="K7749" s="3">
        <v>2611</v>
      </c>
      <c r="L7749" s="3">
        <v>119</v>
      </c>
      <c r="M7749" s="3">
        <v>241</v>
      </c>
    </row>
    <row r="7750" spans="1:13" x14ac:dyDescent="0.25">
      <c r="A7750" s="1" t="str">
        <f>HYPERLINK("http://www.rosaceae.org/Prunus/Prunus_persica/p.persica_gdr_reftransV1_0012330","p.persica_gdr_reftransV1_0012330")</f>
        <v>p.persica_gdr_reftransV1_0012330</v>
      </c>
      <c r="B7750" s="3">
        <v>2294</v>
      </c>
      <c r="C7750" s="1" t="str">
        <f>HYPERLINK("http://www.uniprot.org/uniprot/ILVH1_ARATH","ILVH1_ARATH")</f>
        <v>ILVH1_ARATH</v>
      </c>
      <c r="D7750" t="s">
        <v>6112</v>
      </c>
      <c r="E7750" s="3" t="s">
        <v>3</v>
      </c>
      <c r="F7750" s="4">
        <v>0</v>
      </c>
      <c r="G7750" s="3">
        <v>1727</v>
      </c>
      <c r="H7750" s="3">
        <v>76</v>
      </c>
      <c r="I7750" s="3">
        <v>427</v>
      </c>
      <c r="J7750" s="3">
        <v>549</v>
      </c>
      <c r="K7750" s="3">
        <v>1829</v>
      </c>
      <c r="L7750" s="3">
        <v>53</v>
      </c>
      <c r="M7750" s="3">
        <v>477</v>
      </c>
    </row>
    <row r="7751" spans="1:13" x14ac:dyDescent="0.25">
      <c r="A7751" s="1" t="str">
        <f>HYPERLINK("http://www.rosaceae.org/Prunus/Prunus_persica/p.persica_gdr_reftransV1_0012430","p.persica_gdr_reftransV1_0012430")</f>
        <v>p.persica_gdr_reftransV1_0012430</v>
      </c>
      <c r="B7751" s="3">
        <v>1914</v>
      </c>
      <c r="C7751" s="1" t="str">
        <f>HYPERLINK("http://www.uniprot.org/uniprot/CNMT_THLFG","CNMT_THLFG")</f>
        <v>CNMT_THLFG</v>
      </c>
      <c r="D7751" t="s">
        <v>3016</v>
      </c>
      <c r="E7751" s="3" t="s">
        <v>3017</v>
      </c>
      <c r="F7751" s="4">
        <v>2.3599999999999999E-76</v>
      </c>
      <c r="G7751" s="3">
        <v>649</v>
      </c>
      <c r="H7751" s="3">
        <v>54</v>
      </c>
      <c r="I7751" s="3">
        <v>227</v>
      </c>
      <c r="J7751" s="3">
        <v>980</v>
      </c>
      <c r="K7751" s="3">
        <v>1648</v>
      </c>
      <c r="L7751" s="3">
        <v>47</v>
      </c>
      <c r="M7751" s="3">
        <v>273</v>
      </c>
    </row>
    <row r="7752" spans="1:13" x14ac:dyDescent="0.25">
      <c r="A7752" s="1" t="str">
        <f>HYPERLINK("http://www.rosaceae.org/Prunus/Prunus_persica/p.persica_gdr_reftransV1_0012480","p.persica_gdr_reftransV1_0012480")</f>
        <v>p.persica_gdr_reftransV1_0012480</v>
      </c>
      <c r="B7752" s="3">
        <v>839</v>
      </c>
      <c r="C7752" s="1" t="str">
        <f>HYPERLINK("http://www.uniprot.org/uniprot/CIRBP_XENTR","CIRBP_XENTR")</f>
        <v>CIRBP_XENTR</v>
      </c>
      <c r="D7752" t="s">
        <v>1819</v>
      </c>
      <c r="E7752" s="3" t="s">
        <v>173</v>
      </c>
      <c r="F7752" s="4">
        <v>2.1600000000000001E-18</v>
      </c>
      <c r="G7752" s="3">
        <v>207</v>
      </c>
      <c r="H7752" s="3">
        <v>50</v>
      </c>
      <c r="I7752" s="3">
        <v>76</v>
      </c>
      <c r="J7752" s="3">
        <v>373</v>
      </c>
      <c r="K7752" s="3">
        <v>600</v>
      </c>
      <c r="L7752" s="3">
        <v>7</v>
      </c>
      <c r="M7752" s="3">
        <v>82</v>
      </c>
    </row>
    <row r="7753" spans="1:13" x14ac:dyDescent="0.25">
      <c r="A7753" s="1" t="str">
        <f>HYPERLINK("http://www.rosaceae.org/Prunus/Prunus_persica/p.persica_gdr_reftransV1_0012530","p.persica_gdr_reftransV1_0012530")</f>
        <v>p.persica_gdr_reftransV1_0012530</v>
      </c>
      <c r="B7753" s="3">
        <v>1064</v>
      </c>
      <c r="C7753" s="1" t="str">
        <f>HYPERLINK("http://www.uniprot.org/uniprot/INV1_DAUCA","INV1_DAUCA")</f>
        <v>INV1_DAUCA</v>
      </c>
      <c r="D7753" t="s">
        <v>1092</v>
      </c>
      <c r="E7753" s="3" t="s">
        <v>32</v>
      </c>
      <c r="F7753" s="4">
        <v>2.5599999999999999E-152</v>
      </c>
      <c r="G7753" s="3">
        <v>1153</v>
      </c>
      <c r="H7753" s="3">
        <v>71</v>
      </c>
      <c r="I7753" s="3">
        <v>301</v>
      </c>
      <c r="J7753" s="3">
        <v>3</v>
      </c>
      <c r="K7753" s="3">
        <v>902</v>
      </c>
      <c r="L7753" s="3">
        <v>293</v>
      </c>
      <c r="M7753" s="3">
        <v>592</v>
      </c>
    </row>
    <row r="7754" spans="1:13" x14ac:dyDescent="0.25">
      <c r="A7754" s="1" t="str">
        <f>HYPERLINK("http://www.rosaceae.org/Prunus/Prunus_persica/p.persica_gdr_reftransV1_0012680","p.persica_gdr_reftransV1_0012680")</f>
        <v>p.persica_gdr_reftransV1_0012680</v>
      </c>
      <c r="B7754" s="3">
        <v>4305</v>
      </c>
      <c r="C7754" s="1" t="str">
        <f>HYPERLINK("http://www.uniprot.org/uniprot/RAA1C_ARATH","RAA1C_ARATH")</f>
        <v>RAA1C_ARATH</v>
      </c>
      <c r="D7754" t="s">
        <v>741</v>
      </c>
      <c r="E7754" s="3" t="s">
        <v>3</v>
      </c>
      <c r="F7754" s="4">
        <v>6.6399999999999995E-70</v>
      </c>
      <c r="G7754" s="3">
        <v>611</v>
      </c>
      <c r="H7754" s="3">
        <v>81</v>
      </c>
      <c r="I7754" s="3">
        <v>145</v>
      </c>
      <c r="J7754" s="3">
        <v>3571</v>
      </c>
      <c r="K7754" s="3">
        <v>4005</v>
      </c>
      <c r="L7754" s="3">
        <v>74</v>
      </c>
      <c r="M7754" s="3">
        <v>216</v>
      </c>
    </row>
    <row r="7755" spans="1:13" x14ac:dyDescent="0.25">
      <c r="A7755" s="1" t="str">
        <f>HYPERLINK("http://www.rosaceae.org/Prunus/Prunus_persica/p.persica_gdr_reftransV1_0012780","p.persica_gdr_reftransV1_0012780")</f>
        <v>p.persica_gdr_reftransV1_0012780</v>
      </c>
      <c r="B7755" s="3">
        <v>4212</v>
      </c>
      <c r="C7755" s="1" t="str">
        <f>HYPERLINK("http://www.uniprot.org/uniprot/BSL3_ARATH","BSL3_ARATH")</f>
        <v>BSL3_ARATH</v>
      </c>
      <c r="D7755" t="s">
        <v>6113</v>
      </c>
      <c r="E7755" s="3" t="s">
        <v>3</v>
      </c>
      <c r="F7755" s="4">
        <v>0</v>
      </c>
      <c r="G7755" s="3">
        <v>4241</v>
      </c>
      <c r="H7755" s="3">
        <v>87</v>
      </c>
      <c r="I7755" s="3">
        <v>1009</v>
      </c>
      <c r="J7755" s="3">
        <v>740</v>
      </c>
      <c r="K7755" s="3">
        <v>3754</v>
      </c>
      <c r="L7755" s="3">
        <v>1</v>
      </c>
      <c r="M7755" s="3">
        <v>1006</v>
      </c>
    </row>
    <row r="7756" spans="1:13" x14ac:dyDescent="0.25">
      <c r="A7756" s="1" t="str">
        <f>HYPERLINK("http://www.rosaceae.org/Prunus/Prunus_persica/p.persica_gdr_reftransV1_0012980","p.persica_gdr_reftransV1_0012980")</f>
        <v>p.persica_gdr_reftransV1_0012980</v>
      </c>
      <c r="B7756" s="3">
        <v>2033</v>
      </c>
      <c r="C7756" s="1" t="str">
        <f>HYPERLINK("http://www.uniprot.org/uniprot/E1313_ARATH","E1313_ARATH")</f>
        <v>E1313_ARATH</v>
      </c>
      <c r="D7756" t="s">
        <v>3107</v>
      </c>
      <c r="E7756" s="3" t="s">
        <v>3</v>
      </c>
      <c r="F7756" s="4">
        <v>6.1599999999999998E-109</v>
      </c>
      <c r="G7756" s="3">
        <v>886</v>
      </c>
      <c r="H7756" s="3">
        <v>40</v>
      </c>
      <c r="I7756" s="3">
        <v>433</v>
      </c>
      <c r="J7756" s="3">
        <v>556</v>
      </c>
      <c r="K7756" s="3">
        <v>1848</v>
      </c>
      <c r="L7756" s="3">
        <v>24</v>
      </c>
      <c r="M7756" s="3">
        <v>447</v>
      </c>
    </row>
    <row r="7757" spans="1:13" x14ac:dyDescent="0.25">
      <c r="A7757" s="1" t="str">
        <f>HYPERLINK("http://www.rosaceae.org/Prunus/Prunus_persica/p.persica_gdr_reftransV1_0013130","p.persica_gdr_reftransV1_0013130")</f>
        <v>p.persica_gdr_reftransV1_0013130</v>
      </c>
      <c r="B7757" s="3">
        <v>1979</v>
      </c>
      <c r="C7757" s="1" t="str">
        <f>HYPERLINK("http://www.uniprot.org/uniprot/RNE_ARATH","RNE_ARATH")</f>
        <v>RNE_ARATH</v>
      </c>
      <c r="D7757" t="s">
        <v>6114</v>
      </c>
      <c r="E7757" s="3" t="s">
        <v>3</v>
      </c>
      <c r="F7757" s="4">
        <v>0</v>
      </c>
      <c r="G7757" s="3">
        <v>1149</v>
      </c>
      <c r="H7757" s="3">
        <v>73</v>
      </c>
      <c r="I7757" s="3">
        <v>329</v>
      </c>
      <c r="J7757" s="3">
        <v>91</v>
      </c>
      <c r="K7757" s="3">
        <v>1077</v>
      </c>
      <c r="L7757" s="3">
        <v>486</v>
      </c>
      <c r="M7757" s="3">
        <v>811</v>
      </c>
    </row>
    <row r="7758" spans="1:13" x14ac:dyDescent="0.25">
      <c r="A7758" s="1" t="str">
        <f>HYPERLINK("http://www.rosaceae.org/Prunus/Prunus_persica/p.persica_gdr_reftransV1_0013230","p.persica_gdr_reftransV1_0013230")</f>
        <v>p.persica_gdr_reftransV1_0013230</v>
      </c>
      <c r="B7758" s="3">
        <v>977</v>
      </c>
      <c r="C7758" s="1" t="str">
        <f>HYPERLINK("http://www.uniprot.org/uniprot/CNGC1_ARATH","CNGC1_ARATH")</f>
        <v>CNGC1_ARATH</v>
      </c>
      <c r="D7758" t="s">
        <v>241</v>
      </c>
      <c r="E7758" s="3" t="s">
        <v>3</v>
      </c>
      <c r="F7758" s="4">
        <v>3.2299999999999998E-86</v>
      </c>
      <c r="G7758" s="3">
        <v>716</v>
      </c>
      <c r="H7758" s="3">
        <v>58</v>
      </c>
      <c r="I7758" s="3">
        <v>248</v>
      </c>
      <c r="J7758" s="3">
        <v>241</v>
      </c>
      <c r="K7758" s="3">
        <v>975</v>
      </c>
      <c r="L7758" s="3">
        <v>392</v>
      </c>
      <c r="M7758" s="3">
        <v>636</v>
      </c>
    </row>
    <row r="7759" spans="1:13" x14ac:dyDescent="0.25">
      <c r="A7759" s="1" t="str">
        <f>HYPERLINK("http://www.rosaceae.org/Prunus/Prunus_persica/p.persica_gdr_reftransV1_0013280","p.persica_gdr_reftransV1_0013280")</f>
        <v>p.persica_gdr_reftransV1_0013280</v>
      </c>
      <c r="B7759" s="3">
        <v>2829</v>
      </c>
      <c r="C7759" s="1" t="str">
        <f>HYPERLINK("http://www.uniprot.org/uniprot/DRG2_ARATH","DRG2_ARATH")</f>
        <v>DRG2_ARATH</v>
      </c>
      <c r="D7759" t="s">
        <v>3320</v>
      </c>
      <c r="E7759" s="3" t="s">
        <v>3</v>
      </c>
      <c r="F7759" s="4">
        <v>0</v>
      </c>
      <c r="G7759" s="3">
        <v>1756</v>
      </c>
      <c r="H7759" s="3">
        <v>89</v>
      </c>
      <c r="I7759" s="3">
        <v>385</v>
      </c>
      <c r="J7759" s="3">
        <v>3</v>
      </c>
      <c r="K7759" s="3">
        <v>1157</v>
      </c>
      <c r="L7759" s="3">
        <v>15</v>
      </c>
      <c r="M7759" s="3">
        <v>399</v>
      </c>
    </row>
    <row r="7760" spans="1:13" x14ac:dyDescent="0.25">
      <c r="A7760" s="1" t="str">
        <f>HYPERLINK("http://www.rosaceae.org/Prunus/Prunus_persica/p.persica_gdr_reftransV1_0013430","p.persica_gdr_reftransV1_0013430")</f>
        <v>p.persica_gdr_reftransV1_0013430</v>
      </c>
      <c r="B7760" s="3">
        <v>685</v>
      </c>
      <c r="C7760" s="1" t="str">
        <f>HYPERLINK("http://www.uniprot.org/uniprot/ATM_ARATH","ATM_ARATH")</f>
        <v>ATM_ARATH</v>
      </c>
      <c r="D7760" t="s">
        <v>2500</v>
      </c>
      <c r="E7760" s="3" t="s">
        <v>3</v>
      </c>
      <c r="F7760" s="4">
        <v>4.3399999999999999E-69</v>
      </c>
      <c r="G7760" s="3">
        <v>604</v>
      </c>
      <c r="H7760" s="3">
        <v>54</v>
      </c>
      <c r="I7760" s="3">
        <v>256</v>
      </c>
      <c r="J7760" s="3">
        <v>5</v>
      </c>
      <c r="K7760" s="3">
        <v>682</v>
      </c>
      <c r="L7760" s="3">
        <v>2119</v>
      </c>
      <c r="M7760" s="3">
        <v>2374</v>
      </c>
    </row>
    <row r="7761" spans="1:13" x14ac:dyDescent="0.25">
      <c r="A7761" s="1" t="str">
        <f>HYPERLINK("http://www.rosaceae.org/Prunus/Prunus_persica/p.persica_gdr_reftransV1_0013530","p.persica_gdr_reftransV1_0013530")</f>
        <v>p.persica_gdr_reftransV1_0013530</v>
      </c>
      <c r="B7761" s="3">
        <v>2193</v>
      </c>
      <c r="C7761" s="1" t="str">
        <f>HYPERLINK("http://www.uniprot.org/uniprot/NINJA_TOBAC","NINJA_TOBAC")</f>
        <v>NINJA_TOBAC</v>
      </c>
      <c r="D7761" t="s">
        <v>6115</v>
      </c>
      <c r="E7761" s="3" t="s">
        <v>200</v>
      </c>
      <c r="F7761" s="4">
        <v>1.4299999999999999E-160</v>
      </c>
      <c r="G7761" s="3">
        <v>1238</v>
      </c>
      <c r="H7761" s="3">
        <v>55</v>
      </c>
      <c r="I7761" s="3">
        <v>483</v>
      </c>
      <c r="J7761" s="3">
        <v>412</v>
      </c>
      <c r="K7761" s="3">
        <v>1812</v>
      </c>
      <c r="L7761" s="3">
        <v>33</v>
      </c>
      <c r="M7761" s="3">
        <v>510</v>
      </c>
    </row>
    <row r="7762" spans="1:13" x14ac:dyDescent="0.25">
      <c r="A7762" s="1" t="str">
        <f>HYPERLINK("http://www.rosaceae.org/Prunus/Prunus_persica/p.persica_gdr_reftransV1_0013680","p.persica_gdr_reftransV1_0013680")</f>
        <v>p.persica_gdr_reftransV1_0013680</v>
      </c>
      <c r="B7762" s="3">
        <v>1677</v>
      </c>
      <c r="C7762" s="1" t="str">
        <f>HYPERLINK("http://www.uniprot.org/uniprot/CXE8_ARATH","CXE8_ARATH")</f>
        <v>CXE8_ARATH</v>
      </c>
      <c r="D7762" t="s">
        <v>6116</v>
      </c>
      <c r="E7762" s="3" t="s">
        <v>3</v>
      </c>
      <c r="F7762" s="4">
        <v>2.5299999999999999E-115</v>
      </c>
      <c r="G7762" s="3">
        <v>903</v>
      </c>
      <c r="H7762" s="3">
        <v>51</v>
      </c>
      <c r="I7762" s="3">
        <v>340</v>
      </c>
      <c r="J7762" s="3">
        <v>217</v>
      </c>
      <c r="K7762" s="3">
        <v>1218</v>
      </c>
      <c r="L7762" s="3">
        <v>2</v>
      </c>
      <c r="M7762" s="3">
        <v>321</v>
      </c>
    </row>
    <row r="7763" spans="1:13" x14ac:dyDescent="0.25">
      <c r="A7763" s="1" t="str">
        <f>HYPERLINK("http://www.rosaceae.org/Prunus/Prunus_persica/p.persica_gdr_reftransV1_0013730","p.persica_gdr_reftransV1_0013730")</f>
        <v>p.persica_gdr_reftransV1_0013730</v>
      </c>
      <c r="B7763" s="3">
        <v>2408</v>
      </c>
      <c r="C7763" s="1" t="str">
        <f>HYPERLINK("http://www.uniprot.org/uniprot/PPR45_ARATH","PPR45_ARATH")</f>
        <v>PPR45_ARATH</v>
      </c>
      <c r="D7763" t="s">
        <v>6117</v>
      </c>
      <c r="E7763" s="3" t="s">
        <v>3</v>
      </c>
      <c r="F7763" s="4">
        <v>0</v>
      </c>
      <c r="G7763" s="3">
        <v>2505</v>
      </c>
      <c r="H7763" s="3">
        <v>70</v>
      </c>
      <c r="I7763" s="3">
        <v>654</v>
      </c>
      <c r="J7763" s="3">
        <v>450</v>
      </c>
      <c r="K7763" s="3">
        <v>2408</v>
      </c>
      <c r="L7763" s="3">
        <v>214</v>
      </c>
      <c r="M7763" s="3">
        <v>866</v>
      </c>
    </row>
    <row r="7764" spans="1:13" x14ac:dyDescent="0.25">
      <c r="A7764" s="1" t="str">
        <f>HYPERLINK("http://www.rosaceae.org/Prunus/Prunus_persica/p.persica_gdr_reftransV1_0013780","p.persica_gdr_reftransV1_0013780")</f>
        <v>p.persica_gdr_reftransV1_0013780</v>
      </c>
      <c r="B7764" s="3">
        <v>1707</v>
      </c>
      <c r="C7764" s="1" t="str">
        <f>HYPERLINK("http://www.uniprot.org/uniprot/PDCT1_ARATH","PDCT1_ARATH")</f>
        <v>PDCT1_ARATH</v>
      </c>
      <c r="D7764" t="s">
        <v>6118</v>
      </c>
      <c r="E7764" s="3" t="s">
        <v>3</v>
      </c>
      <c r="F7764" s="4">
        <v>5.9300000000000002E-120</v>
      </c>
      <c r="G7764" s="3">
        <v>932</v>
      </c>
      <c r="H7764" s="3">
        <v>80</v>
      </c>
      <c r="I7764" s="3">
        <v>216</v>
      </c>
      <c r="J7764" s="3">
        <v>505</v>
      </c>
      <c r="K7764" s="3">
        <v>1146</v>
      </c>
      <c r="L7764" s="3">
        <v>70</v>
      </c>
      <c r="M7764" s="3">
        <v>285</v>
      </c>
    </row>
    <row r="7765" spans="1:13" x14ac:dyDescent="0.25">
      <c r="A7765" s="1" t="str">
        <f>HYPERLINK("http://www.rosaceae.org/Prunus/Prunus_persica/p.persica_gdr_reftransV1_0013880","p.persica_gdr_reftransV1_0013880")</f>
        <v>p.persica_gdr_reftransV1_0013880</v>
      </c>
      <c r="B7765" s="3">
        <v>1928</v>
      </c>
      <c r="C7765" s="1" t="str">
        <f>HYPERLINK("http://www.uniprot.org/uniprot/EDL16_ARATH","EDL16_ARATH")</f>
        <v>EDL16_ARATH</v>
      </c>
      <c r="D7765" t="s">
        <v>6119</v>
      </c>
      <c r="E7765" s="3" t="s">
        <v>3</v>
      </c>
      <c r="F7765" s="4">
        <v>0</v>
      </c>
      <c r="G7765" s="3">
        <v>1747</v>
      </c>
      <c r="H7765" s="3">
        <v>72</v>
      </c>
      <c r="I7765" s="3">
        <v>490</v>
      </c>
      <c r="J7765" s="3">
        <v>160</v>
      </c>
      <c r="K7765" s="3">
        <v>1623</v>
      </c>
      <c r="L7765" s="3">
        <v>1</v>
      </c>
      <c r="M7765" s="3">
        <v>479</v>
      </c>
    </row>
    <row r="7766" spans="1:13" x14ac:dyDescent="0.25">
      <c r="A7766" s="1" t="str">
        <f>HYPERLINK("http://www.rosaceae.org/Prunus/Prunus_persica/p.persica_gdr_reftransV1_0014030","p.persica_gdr_reftransV1_0014030")</f>
        <v>p.persica_gdr_reftransV1_0014030</v>
      </c>
      <c r="B7766" s="3">
        <v>2137</v>
      </c>
      <c r="C7766" s="1" t="str">
        <f>HYPERLINK("http://www.uniprot.org/uniprot/PARNL_ARATH","PARNL_ARATH")</f>
        <v>PARNL_ARATH</v>
      </c>
      <c r="D7766" t="s">
        <v>6120</v>
      </c>
      <c r="E7766" s="3" t="s">
        <v>3</v>
      </c>
      <c r="F7766" s="4">
        <v>0</v>
      </c>
      <c r="G7766" s="3">
        <v>1638</v>
      </c>
      <c r="H7766" s="3">
        <v>55</v>
      </c>
      <c r="I7766" s="3">
        <v>624</v>
      </c>
      <c r="J7766" s="3">
        <v>40</v>
      </c>
      <c r="K7766" s="3">
        <v>1860</v>
      </c>
      <c r="L7766" s="3">
        <v>1</v>
      </c>
      <c r="M7766" s="3">
        <v>618</v>
      </c>
    </row>
    <row r="7767" spans="1:13" x14ac:dyDescent="0.25">
      <c r="A7767" s="1" t="str">
        <f>HYPERLINK("http://www.rosaceae.org/Prunus/Prunus_persica/p.persica_gdr_reftransV1_0014080","p.persica_gdr_reftransV1_0014080")</f>
        <v>p.persica_gdr_reftransV1_0014080</v>
      </c>
      <c r="B7767" s="3">
        <v>914</v>
      </c>
      <c r="C7767" s="1" t="str">
        <f>HYPERLINK("http://www.uniprot.org/uniprot/TM230_CHICK","TM230_CHICK")</f>
        <v>TM230_CHICK</v>
      </c>
      <c r="D7767" t="s">
        <v>6121</v>
      </c>
      <c r="E7767" s="3" t="s">
        <v>1278</v>
      </c>
      <c r="F7767" s="4">
        <v>8.2399999999999997E-8</v>
      </c>
      <c r="G7767" s="3">
        <v>128</v>
      </c>
      <c r="H7767" s="3">
        <v>41</v>
      </c>
      <c r="I7767" s="3">
        <v>110</v>
      </c>
      <c r="J7767" s="3">
        <v>311</v>
      </c>
      <c r="K7767" s="3">
        <v>637</v>
      </c>
      <c r="L7767" s="3">
        <v>17</v>
      </c>
      <c r="M7767" s="3">
        <v>118</v>
      </c>
    </row>
    <row r="7768" spans="1:13" x14ac:dyDescent="0.25">
      <c r="A7768" s="1" t="str">
        <f>HYPERLINK("http://www.rosaceae.org/Prunus/Prunus_persica/p.persica_gdr_reftransV1_0014330","p.persica_gdr_reftransV1_0014330")</f>
        <v>p.persica_gdr_reftransV1_0014330</v>
      </c>
      <c r="B7768" s="3">
        <v>1401</v>
      </c>
      <c r="C7768" s="1" t="str">
        <f>HYPERLINK("http://www.uniprot.org/uniprot/SWT10_ARATH","SWT10_ARATH")</f>
        <v>SWT10_ARATH</v>
      </c>
      <c r="D7768" t="s">
        <v>6122</v>
      </c>
      <c r="E7768" s="3" t="s">
        <v>3</v>
      </c>
      <c r="F7768" s="4">
        <v>2.9700000000000002E-87</v>
      </c>
      <c r="G7768" s="3">
        <v>703</v>
      </c>
      <c r="H7768" s="3">
        <v>54</v>
      </c>
      <c r="I7768" s="3">
        <v>278</v>
      </c>
      <c r="J7768" s="3">
        <v>402</v>
      </c>
      <c r="K7768" s="3">
        <v>1217</v>
      </c>
      <c r="L7768" s="3">
        <v>1</v>
      </c>
      <c r="M7768" s="3">
        <v>274</v>
      </c>
    </row>
    <row r="7769" spans="1:13" x14ac:dyDescent="0.25">
      <c r="A7769" s="1" t="str">
        <f>HYPERLINK("http://www.rosaceae.org/Prunus/Prunus_persica/p.persica_gdr_reftransV1_0014380","p.persica_gdr_reftransV1_0014380")</f>
        <v>p.persica_gdr_reftransV1_0014380</v>
      </c>
      <c r="B7769" s="3">
        <v>593</v>
      </c>
      <c r="C7769" s="1" t="str">
        <f>HYPERLINK("http://www.uniprot.org/uniprot/GDU3_ARATH","GDU3_ARATH")</f>
        <v>GDU3_ARATH</v>
      </c>
      <c r="D7769" t="s">
        <v>6123</v>
      </c>
      <c r="E7769" s="3" t="s">
        <v>3</v>
      </c>
      <c r="F7769" s="4">
        <v>1.2600000000000001E-17</v>
      </c>
      <c r="G7769" s="3">
        <v>197</v>
      </c>
      <c r="H7769" s="3">
        <v>72</v>
      </c>
      <c r="I7769" s="3">
        <v>92</v>
      </c>
      <c r="J7769" s="3">
        <v>99</v>
      </c>
      <c r="K7769" s="3">
        <v>374</v>
      </c>
      <c r="L7769" s="3">
        <v>25</v>
      </c>
      <c r="M7769" s="3">
        <v>113</v>
      </c>
    </row>
    <row r="7770" spans="1:13" x14ac:dyDescent="0.25">
      <c r="A7770" s="1" t="str">
        <f>HYPERLINK("http://www.rosaceae.org/Prunus/Prunus_persica/p.persica_gdr_reftransV1_0014430","p.persica_gdr_reftransV1_0014430")</f>
        <v>p.persica_gdr_reftransV1_0014430</v>
      </c>
      <c r="B7770" s="3">
        <v>3733</v>
      </c>
      <c r="C7770" s="1" t="str">
        <f>HYPERLINK("http://www.uniprot.org/uniprot/SSY4_ARATH","SSY4_ARATH")</f>
        <v>SSY4_ARATH</v>
      </c>
      <c r="D7770" t="s">
        <v>6124</v>
      </c>
      <c r="E7770" s="3" t="s">
        <v>3</v>
      </c>
      <c r="F7770" s="4">
        <v>0</v>
      </c>
      <c r="G7770" s="3">
        <v>3223</v>
      </c>
      <c r="H7770" s="3">
        <v>74</v>
      </c>
      <c r="I7770" s="3">
        <v>869</v>
      </c>
      <c r="J7770" s="3">
        <v>521</v>
      </c>
      <c r="K7770" s="3">
        <v>3127</v>
      </c>
      <c r="L7770" s="3">
        <v>187</v>
      </c>
      <c r="M7770" s="3">
        <v>1030</v>
      </c>
    </row>
    <row r="7771" spans="1:13" x14ac:dyDescent="0.25">
      <c r="A7771" s="1" t="str">
        <f>HYPERLINK("http://www.rosaceae.org/Prunus/Prunus_persica/p.persica_gdr_reftransV1_0014530","p.persica_gdr_reftransV1_0014530")</f>
        <v>p.persica_gdr_reftransV1_0014530</v>
      </c>
      <c r="B7771" s="3">
        <v>3219</v>
      </c>
      <c r="C7771" s="1" t="str">
        <f>HYPERLINK("http://www.uniprot.org/uniprot/CDP1_ARATH","CDP1_ARATH")</f>
        <v>CDP1_ARATH</v>
      </c>
      <c r="D7771" t="s">
        <v>1974</v>
      </c>
      <c r="E7771" s="3" t="s">
        <v>3</v>
      </c>
      <c r="F7771" s="4">
        <v>0</v>
      </c>
      <c r="G7771" s="3">
        <v>1654</v>
      </c>
      <c r="H7771" s="3">
        <v>57</v>
      </c>
      <c r="I7771" s="3">
        <v>628</v>
      </c>
      <c r="J7771" s="3">
        <v>542</v>
      </c>
      <c r="K7771" s="3">
        <v>2365</v>
      </c>
      <c r="L7771" s="3">
        <v>217</v>
      </c>
      <c r="M7771" s="3">
        <v>816</v>
      </c>
    </row>
    <row r="7772" spans="1:13" x14ac:dyDescent="0.25">
      <c r="A7772" s="1" t="str">
        <f>HYPERLINK("http://www.rosaceae.org/Prunus/Prunus_persica/p.persica_gdr_reftransV1_0014580","p.persica_gdr_reftransV1_0014580")</f>
        <v>p.persica_gdr_reftransV1_0014580</v>
      </c>
      <c r="B7772" s="3">
        <v>1267</v>
      </c>
      <c r="C7772" s="1" t="str">
        <f>HYPERLINK("http://www.uniprot.org/uniprot/HAP28_RAT","HAP28_RAT")</f>
        <v>HAP28_RAT</v>
      </c>
      <c r="D7772" t="s">
        <v>190</v>
      </c>
      <c r="E7772" s="3" t="s">
        <v>161</v>
      </c>
      <c r="F7772" s="4">
        <v>9.3600000000000005E-13</v>
      </c>
      <c r="G7772" s="3">
        <v>171</v>
      </c>
      <c r="H7772" s="3">
        <v>58</v>
      </c>
      <c r="I7772" s="3">
        <v>62</v>
      </c>
      <c r="J7772" s="3">
        <v>836</v>
      </c>
      <c r="K7772" s="3">
        <v>1021</v>
      </c>
      <c r="L7772" s="3">
        <v>85</v>
      </c>
      <c r="M7772" s="3">
        <v>146</v>
      </c>
    </row>
    <row r="7773" spans="1:13" x14ac:dyDescent="0.25">
      <c r="A7773" s="1" t="str">
        <f>HYPERLINK("http://www.rosaceae.org/Prunus/Prunus_persica/p.persica_gdr_reftransV1_0014630","p.persica_gdr_reftransV1_0014630")</f>
        <v>p.persica_gdr_reftransV1_0014630</v>
      </c>
      <c r="B7773" s="3">
        <v>2057</v>
      </c>
      <c r="C7773" s="1" t="str">
        <f>HYPERLINK("http://www.uniprot.org/uniprot/UFD1_RAT","UFD1_RAT")</f>
        <v>UFD1_RAT</v>
      </c>
      <c r="D7773" t="s">
        <v>6125</v>
      </c>
      <c r="E7773" s="3" t="s">
        <v>161</v>
      </c>
      <c r="F7773" s="4">
        <v>4.6500000000000002E-71</v>
      </c>
      <c r="G7773" s="3">
        <v>610</v>
      </c>
      <c r="H7773" s="3">
        <v>54</v>
      </c>
      <c r="I7773" s="3">
        <v>211</v>
      </c>
      <c r="J7773" s="3">
        <v>588</v>
      </c>
      <c r="K7773" s="3">
        <v>1214</v>
      </c>
      <c r="L7773" s="3">
        <v>40</v>
      </c>
      <c r="M7773" s="3">
        <v>246</v>
      </c>
    </row>
    <row r="7774" spans="1:13" x14ac:dyDescent="0.25">
      <c r="A7774" s="1" t="str">
        <f>HYPERLINK("http://www.rosaceae.org/Prunus/Prunus_persica/p.persica_gdr_reftransV1_0014680","p.persica_gdr_reftransV1_0014680")</f>
        <v>p.persica_gdr_reftransV1_0014680</v>
      </c>
      <c r="B7774" s="3">
        <v>2585</v>
      </c>
      <c r="C7774" s="1" t="str">
        <f>HYPERLINK("http://www.uniprot.org/uniprot/RABEK_XENLA","RABEK_XENLA")</f>
        <v>RABEK_XENLA</v>
      </c>
      <c r="D7774" t="s">
        <v>6126</v>
      </c>
      <c r="E7774" s="3" t="s">
        <v>475</v>
      </c>
      <c r="F7774" s="4">
        <v>1.18E-32</v>
      </c>
      <c r="G7774" s="3">
        <v>339</v>
      </c>
      <c r="H7774" s="3">
        <v>31</v>
      </c>
      <c r="I7774" s="3">
        <v>288</v>
      </c>
      <c r="J7774" s="3">
        <v>1422</v>
      </c>
      <c r="K7774" s="3">
        <v>2255</v>
      </c>
      <c r="L7774" s="3">
        <v>27</v>
      </c>
      <c r="M7774" s="3">
        <v>304</v>
      </c>
    </row>
    <row r="7775" spans="1:13" x14ac:dyDescent="0.25">
      <c r="A7775" s="1" t="str">
        <f>HYPERLINK("http://www.rosaceae.org/Prunus/Prunus_persica/p.persica_gdr_reftransV1_0014780","p.persica_gdr_reftransV1_0014780")</f>
        <v>p.persica_gdr_reftransV1_0014780</v>
      </c>
      <c r="B7775" s="3">
        <v>1691</v>
      </c>
      <c r="C7775" s="1" t="str">
        <f>HYPERLINK("http://www.uniprot.org/uniprot/RLP12_ARATH","RLP12_ARATH")</f>
        <v>RLP12_ARATH</v>
      </c>
      <c r="D7775" t="s">
        <v>1219</v>
      </c>
      <c r="E7775" s="3" t="s">
        <v>3</v>
      </c>
      <c r="F7775" s="4">
        <v>3.7300000000000003E-48</v>
      </c>
      <c r="G7775" s="3">
        <v>465</v>
      </c>
      <c r="H7775" s="3">
        <v>28</v>
      </c>
      <c r="I7775" s="3">
        <v>571</v>
      </c>
      <c r="J7775" s="3">
        <v>6</v>
      </c>
      <c r="K7775" s="3">
        <v>1691</v>
      </c>
      <c r="L7775" s="3">
        <v>226</v>
      </c>
      <c r="M7775" s="3">
        <v>753</v>
      </c>
    </row>
    <row r="7776" spans="1:13" x14ac:dyDescent="0.25">
      <c r="A7776" s="1" t="str">
        <f>HYPERLINK("http://www.rosaceae.org/Prunus/Prunus_persica/p.persica_gdr_reftransV1_0014880","p.persica_gdr_reftransV1_0014880")</f>
        <v>p.persica_gdr_reftransV1_0014880</v>
      </c>
      <c r="B7776" s="3">
        <v>1434</v>
      </c>
      <c r="C7776" s="1" t="str">
        <f>HYPERLINK("http://www.uniprot.org/uniprot/CB4B_ARATH","CB4B_ARATH")</f>
        <v>CB4B_ARATH</v>
      </c>
      <c r="D7776" t="s">
        <v>6127</v>
      </c>
      <c r="E7776" s="3" t="s">
        <v>3</v>
      </c>
      <c r="F7776" s="4">
        <v>1.34E-77</v>
      </c>
      <c r="G7776" s="3">
        <v>639</v>
      </c>
      <c r="H7776" s="3">
        <v>75</v>
      </c>
      <c r="I7776" s="3">
        <v>159</v>
      </c>
      <c r="J7776" s="3">
        <v>804</v>
      </c>
      <c r="K7776" s="3">
        <v>1277</v>
      </c>
      <c r="L7776" s="3">
        <v>13</v>
      </c>
      <c r="M7776" s="3">
        <v>171</v>
      </c>
    </row>
    <row r="7777" spans="1:13" x14ac:dyDescent="0.25">
      <c r="A7777" s="1" t="str">
        <f>HYPERLINK("http://www.rosaceae.org/Prunus/Prunus_persica/p.persica_gdr_reftransV1_0014980","p.persica_gdr_reftransV1_0014980")</f>
        <v>p.persica_gdr_reftransV1_0014980</v>
      </c>
      <c r="B7777" s="3">
        <v>3337</v>
      </c>
      <c r="C7777" s="1" t="str">
        <f>HYPERLINK("http://www.uniprot.org/uniprot/GT644_ARATH","GT644_ARATH")</f>
        <v>GT644_ARATH</v>
      </c>
      <c r="D7777" t="s">
        <v>6128</v>
      </c>
      <c r="E7777" s="3" t="s">
        <v>3</v>
      </c>
      <c r="F7777" s="4">
        <v>1.66E-87</v>
      </c>
      <c r="G7777" s="3">
        <v>745</v>
      </c>
      <c r="H7777" s="3">
        <v>59</v>
      </c>
      <c r="I7777" s="3">
        <v>210</v>
      </c>
      <c r="J7777" s="3">
        <v>497</v>
      </c>
      <c r="K7777" s="3">
        <v>1126</v>
      </c>
      <c r="L7777" s="3">
        <v>73</v>
      </c>
      <c r="M7777" s="3">
        <v>282</v>
      </c>
    </row>
    <row r="7778" spans="1:13" x14ac:dyDescent="0.25">
      <c r="A7778" s="1" t="str">
        <f>HYPERLINK("http://www.rosaceae.org/Prunus/Prunus_persica/p.persica_gdr_reftransV1_0015030","p.persica_gdr_reftransV1_0015030")</f>
        <v>p.persica_gdr_reftransV1_0015030</v>
      </c>
      <c r="B7778" s="3">
        <v>1128</v>
      </c>
      <c r="C7778" s="1" t="str">
        <f>HYPERLINK("http://www.uniprot.org/uniprot/PP327_ARATH","PP327_ARATH")</f>
        <v>PP327_ARATH</v>
      </c>
      <c r="D7778" t="s">
        <v>6129</v>
      </c>
      <c r="E7778" s="3" t="s">
        <v>3</v>
      </c>
      <c r="F7778" s="4">
        <v>0</v>
      </c>
      <c r="G7778" s="3">
        <v>1395</v>
      </c>
      <c r="H7778" s="3">
        <v>67</v>
      </c>
      <c r="I7778" s="3">
        <v>377</v>
      </c>
      <c r="J7778" s="3">
        <v>5</v>
      </c>
      <c r="K7778" s="3">
        <v>1126</v>
      </c>
      <c r="L7778" s="3">
        <v>203</v>
      </c>
      <c r="M7778" s="3">
        <v>579</v>
      </c>
    </row>
    <row r="7779" spans="1:13" x14ac:dyDescent="0.25">
      <c r="A7779" s="1" t="str">
        <f>HYPERLINK("http://www.rosaceae.org/Prunus/Prunus_persica/p.persica_gdr_reftransV1_0015080","p.persica_gdr_reftransV1_0015080")</f>
        <v>p.persica_gdr_reftransV1_0015080</v>
      </c>
      <c r="B7779" s="3">
        <v>1428</v>
      </c>
      <c r="C7779" s="1" t="str">
        <f>HYPERLINK("http://www.uniprot.org/uniprot/SAU71_ARATH","SAU71_ARATH")</f>
        <v>SAU71_ARATH</v>
      </c>
      <c r="D7779" t="s">
        <v>3152</v>
      </c>
      <c r="E7779" s="3" t="s">
        <v>3</v>
      </c>
      <c r="F7779" s="4">
        <v>7.8700000000000005E-15</v>
      </c>
      <c r="G7779" s="3">
        <v>184</v>
      </c>
      <c r="H7779" s="3">
        <v>48</v>
      </c>
      <c r="I7779" s="3">
        <v>80</v>
      </c>
      <c r="J7779" s="3">
        <v>170</v>
      </c>
      <c r="K7779" s="3">
        <v>409</v>
      </c>
      <c r="L7779" s="3">
        <v>19</v>
      </c>
      <c r="M7779" s="3">
        <v>98</v>
      </c>
    </row>
    <row r="7780" spans="1:13" x14ac:dyDescent="0.25">
      <c r="A7780" s="1" t="str">
        <f>HYPERLINK("http://www.rosaceae.org/Prunus/Prunus_persica/p.persica_gdr_reftransV1_0015130","p.persica_gdr_reftransV1_0015130")</f>
        <v>p.persica_gdr_reftransV1_0015130</v>
      </c>
      <c r="B7780" s="3">
        <v>3397</v>
      </c>
      <c r="C7780" s="1" t="str">
        <f>HYPERLINK("http://www.uniprot.org/uniprot/Y1601_CHLCH","Y1601_CHLCH")</f>
        <v>Y1601_CHLCH</v>
      </c>
      <c r="D7780" t="s">
        <v>6130</v>
      </c>
      <c r="E7780" s="3" t="s">
        <v>6131</v>
      </c>
      <c r="F7780" s="4">
        <v>1.0500000000000001E-16</v>
      </c>
      <c r="G7780" s="3">
        <v>208</v>
      </c>
      <c r="H7780" s="3">
        <v>34</v>
      </c>
      <c r="I7780" s="3">
        <v>144</v>
      </c>
      <c r="J7780" s="3">
        <v>452</v>
      </c>
      <c r="K7780" s="3">
        <v>880</v>
      </c>
      <c r="L7780" s="3">
        <v>25</v>
      </c>
      <c r="M7780" s="3">
        <v>156</v>
      </c>
    </row>
    <row r="7781" spans="1:13" x14ac:dyDescent="0.25">
      <c r="A7781" s="1" t="str">
        <f>HYPERLINK("http://www.rosaceae.org/Prunus/Prunus_persica/p.persica_gdr_reftransV1_0015380","p.persica_gdr_reftransV1_0015380")</f>
        <v>p.persica_gdr_reftransV1_0015380</v>
      </c>
      <c r="B7781" s="3">
        <v>968</v>
      </c>
      <c r="C7781" s="1" t="str">
        <f>HYPERLINK("http://www.uniprot.org/uniprot/PDR2_NICPL","PDR2_NICPL")</f>
        <v>PDR2_NICPL</v>
      </c>
      <c r="D7781" t="s">
        <v>2532</v>
      </c>
      <c r="E7781" s="3" t="s">
        <v>1450</v>
      </c>
      <c r="F7781" s="4">
        <v>2.9000000000000001E-166</v>
      </c>
      <c r="G7781" s="3">
        <v>1305</v>
      </c>
      <c r="H7781" s="3">
        <v>87</v>
      </c>
      <c r="I7781" s="3">
        <v>322</v>
      </c>
      <c r="J7781" s="3">
        <v>3</v>
      </c>
      <c r="K7781" s="3">
        <v>968</v>
      </c>
      <c r="L7781" s="3">
        <v>968</v>
      </c>
      <c r="M7781" s="3">
        <v>1289</v>
      </c>
    </row>
    <row r="7782" spans="1:13" x14ac:dyDescent="0.25">
      <c r="A7782" s="1" t="str">
        <f>HYPERLINK("http://www.rosaceae.org/Prunus/Prunus_persica/p.persica_gdr_reftransV1_0015480","p.persica_gdr_reftransV1_0015480")</f>
        <v>p.persica_gdr_reftransV1_0015480</v>
      </c>
      <c r="B7782" s="3">
        <v>1663</v>
      </c>
      <c r="C7782" s="1" t="str">
        <f>HYPERLINK("http://www.uniprot.org/uniprot/DPOD2_ARATH","DPOD2_ARATH")</f>
        <v>DPOD2_ARATH</v>
      </c>
      <c r="D7782" t="s">
        <v>6132</v>
      </c>
      <c r="E7782" s="3" t="s">
        <v>3</v>
      </c>
      <c r="F7782" s="4">
        <v>0</v>
      </c>
      <c r="G7782" s="3">
        <v>1975</v>
      </c>
      <c r="H7782" s="3">
        <v>82</v>
      </c>
      <c r="I7782" s="3">
        <v>438</v>
      </c>
      <c r="J7782" s="3">
        <v>298</v>
      </c>
      <c r="K7782" s="3">
        <v>1608</v>
      </c>
      <c r="L7782" s="3">
        <v>1</v>
      </c>
      <c r="M7782" s="3">
        <v>438</v>
      </c>
    </row>
    <row r="7783" spans="1:13" x14ac:dyDescent="0.25">
      <c r="A7783" s="1" t="str">
        <f>HYPERLINK("http://www.rosaceae.org/Prunus/Prunus_persica/p.persica_gdr_reftransV1_0015630","p.persica_gdr_reftransV1_0015630")</f>
        <v>p.persica_gdr_reftransV1_0015630</v>
      </c>
      <c r="B7783" s="3">
        <v>697</v>
      </c>
      <c r="C7783" s="1" t="str">
        <f>HYPERLINK("http://www.uniprot.org/uniprot/U83A1_ARATH","U83A1_ARATH")</f>
        <v>U83A1_ARATH</v>
      </c>
      <c r="D7783" t="s">
        <v>6133</v>
      </c>
      <c r="E7783" s="3" t="s">
        <v>3</v>
      </c>
      <c r="F7783" s="4">
        <v>2.7099999999999999E-42</v>
      </c>
      <c r="G7783" s="3">
        <v>389</v>
      </c>
      <c r="H7783" s="3">
        <v>46</v>
      </c>
      <c r="I7783" s="3">
        <v>162</v>
      </c>
      <c r="J7783" s="3">
        <v>5</v>
      </c>
      <c r="K7783" s="3">
        <v>475</v>
      </c>
      <c r="L7783" s="3">
        <v>7</v>
      </c>
      <c r="M7783" s="3">
        <v>168</v>
      </c>
    </row>
    <row r="7784" spans="1:13" x14ac:dyDescent="0.25">
      <c r="A7784" s="1" t="str">
        <f>HYPERLINK("http://www.rosaceae.org/Prunus/Prunus_persica/p.persica_gdr_reftransV1_0015880","p.persica_gdr_reftransV1_0015880")</f>
        <v>p.persica_gdr_reftransV1_0015880</v>
      </c>
      <c r="B7784" s="3">
        <v>2071</v>
      </c>
      <c r="C7784" s="1" t="str">
        <f>HYPERLINK("http://www.uniprot.org/uniprot/B3GT2_ARATH","B3GT2_ARATH")</f>
        <v>B3GT2_ARATH</v>
      </c>
      <c r="D7784" t="s">
        <v>3163</v>
      </c>
      <c r="E7784" s="3" t="s">
        <v>3</v>
      </c>
      <c r="F7784" s="4">
        <v>0</v>
      </c>
      <c r="G7784" s="3">
        <v>1680</v>
      </c>
      <c r="H7784" s="3">
        <v>74</v>
      </c>
      <c r="I7784" s="3">
        <v>408</v>
      </c>
      <c r="J7784" s="3">
        <v>449</v>
      </c>
      <c r="K7784" s="3">
        <v>1660</v>
      </c>
      <c r="L7784" s="3">
        <v>1</v>
      </c>
      <c r="M7784" s="3">
        <v>407</v>
      </c>
    </row>
    <row r="7785" spans="1:13" x14ac:dyDescent="0.25">
      <c r="A7785" s="1" t="str">
        <f>HYPERLINK("http://www.rosaceae.org/Prunus/Prunus_persica/p.persica_gdr_reftransV1_0015930","p.persica_gdr_reftransV1_0015930")</f>
        <v>p.persica_gdr_reftransV1_0015930</v>
      </c>
      <c r="B7785" s="3">
        <v>1192</v>
      </c>
      <c r="C7785" s="1" t="str">
        <f>HYPERLINK("http://www.uniprot.org/uniprot/DAD1_MALDO","DAD1_MALDO")</f>
        <v>DAD1_MALDO</v>
      </c>
      <c r="D7785" t="s">
        <v>6134</v>
      </c>
      <c r="E7785" s="3" t="s">
        <v>540</v>
      </c>
      <c r="F7785" s="4">
        <v>3.0099999999999999E-48</v>
      </c>
      <c r="G7785" s="3">
        <v>419</v>
      </c>
      <c r="H7785" s="3">
        <v>89</v>
      </c>
      <c r="I7785" s="3">
        <v>92</v>
      </c>
      <c r="J7785" s="3">
        <v>279</v>
      </c>
      <c r="K7785" s="3">
        <v>554</v>
      </c>
      <c r="L7785" s="3">
        <v>1</v>
      </c>
      <c r="M7785" s="3">
        <v>92</v>
      </c>
    </row>
    <row r="7786" spans="1:13" x14ac:dyDescent="0.25">
      <c r="A7786" s="1" t="str">
        <f>HYPERLINK("http://www.rosaceae.org/Prunus/Prunus_persica/p.persica_gdr_reftransV1_0015980","p.persica_gdr_reftransV1_0015980")</f>
        <v>p.persica_gdr_reftransV1_0015980</v>
      </c>
      <c r="B7786" s="3">
        <v>1731</v>
      </c>
      <c r="C7786" s="1" t="str">
        <f>HYPERLINK("http://www.uniprot.org/uniprot/LRX4_ARATH","LRX4_ARATH")</f>
        <v>LRX4_ARATH</v>
      </c>
      <c r="D7786" t="s">
        <v>1969</v>
      </c>
      <c r="E7786" s="3" t="s">
        <v>3</v>
      </c>
      <c r="F7786" s="4">
        <v>4.9899999999999999E-98</v>
      </c>
      <c r="G7786" s="3">
        <v>803</v>
      </c>
      <c r="H7786" s="3">
        <v>50</v>
      </c>
      <c r="I7786" s="3">
        <v>316</v>
      </c>
      <c r="J7786" s="3">
        <v>341</v>
      </c>
      <c r="K7786" s="3">
        <v>1288</v>
      </c>
      <c r="L7786" s="3">
        <v>74</v>
      </c>
      <c r="M7786" s="3">
        <v>381</v>
      </c>
    </row>
    <row r="7787" spans="1:13" x14ac:dyDescent="0.25">
      <c r="A7787" s="1" t="str">
        <f>HYPERLINK("http://www.rosaceae.org/Prunus/Prunus_persica/p.persica_gdr_reftransV1_0016130","p.persica_gdr_reftransV1_0016130")</f>
        <v>p.persica_gdr_reftransV1_0016130</v>
      </c>
      <c r="B7787" s="3">
        <v>4086</v>
      </c>
      <c r="C7787" s="1" t="str">
        <f>HYPERLINK("http://www.uniprot.org/uniprot/RPA2_HUMAN","RPA2_HUMAN")</f>
        <v>RPA2_HUMAN</v>
      </c>
      <c r="D7787" t="s">
        <v>6135</v>
      </c>
      <c r="E7787" s="3" t="s">
        <v>28</v>
      </c>
      <c r="F7787" s="4">
        <v>0</v>
      </c>
      <c r="G7787" s="3">
        <v>2260</v>
      </c>
      <c r="H7787" s="3">
        <v>42</v>
      </c>
      <c r="I7787" s="3">
        <v>1187</v>
      </c>
      <c r="J7787" s="3">
        <v>165</v>
      </c>
      <c r="K7787" s="3">
        <v>3668</v>
      </c>
      <c r="L7787" s="3">
        <v>24</v>
      </c>
      <c r="M7787" s="3">
        <v>1134</v>
      </c>
    </row>
    <row r="7788" spans="1:13" x14ac:dyDescent="0.25">
      <c r="A7788" s="1" t="str">
        <f>HYPERLINK("http://www.rosaceae.org/Prunus/Prunus_persica/p.persica_gdr_reftransV1_0016280","p.persica_gdr_reftransV1_0016280")</f>
        <v>p.persica_gdr_reftransV1_0016280</v>
      </c>
      <c r="B7788" s="3">
        <v>847</v>
      </c>
      <c r="C7788" s="1" t="str">
        <f>HYPERLINK("http://www.uniprot.org/uniprot/PP296_ARATH","PP296_ARATH")</f>
        <v>PP296_ARATH</v>
      </c>
      <c r="D7788" t="s">
        <v>6136</v>
      </c>
      <c r="E7788" s="3" t="s">
        <v>3</v>
      </c>
      <c r="F7788" s="4">
        <v>8.2699999999999992E-102</v>
      </c>
      <c r="G7788" s="3">
        <v>831</v>
      </c>
      <c r="H7788" s="3">
        <v>71</v>
      </c>
      <c r="I7788" s="3">
        <v>211</v>
      </c>
      <c r="J7788" s="3">
        <v>211</v>
      </c>
      <c r="K7788" s="3">
        <v>843</v>
      </c>
      <c r="L7788" s="3">
        <v>750</v>
      </c>
      <c r="M7788" s="3">
        <v>960</v>
      </c>
    </row>
    <row r="7789" spans="1:13" x14ac:dyDescent="0.25">
      <c r="A7789" s="1" t="str">
        <f>HYPERLINK("http://www.rosaceae.org/Prunus/Prunus_persica/p.persica_gdr_reftransV1_0016380","p.persica_gdr_reftransV1_0016380")</f>
        <v>p.persica_gdr_reftransV1_0016380</v>
      </c>
      <c r="B7789" s="3">
        <v>5544</v>
      </c>
      <c r="C7789" s="1" t="str">
        <f>HYPERLINK("http://www.uniprot.org/uniprot/COPA2_ARATH","COPA2_ARATH")</f>
        <v>COPA2_ARATH</v>
      </c>
      <c r="D7789" t="s">
        <v>6137</v>
      </c>
      <c r="E7789" s="3" t="s">
        <v>3</v>
      </c>
      <c r="F7789" s="4">
        <v>0</v>
      </c>
      <c r="G7789" s="3">
        <v>5085</v>
      </c>
      <c r="H7789" s="3">
        <v>82</v>
      </c>
      <c r="I7789" s="3">
        <v>1149</v>
      </c>
      <c r="J7789" s="3">
        <v>1622</v>
      </c>
      <c r="K7789" s="3">
        <v>5068</v>
      </c>
      <c r="L7789" s="3">
        <v>70</v>
      </c>
      <c r="M7789" s="3">
        <v>1218</v>
      </c>
    </row>
    <row r="7790" spans="1:13" x14ac:dyDescent="0.25">
      <c r="A7790" s="1" t="str">
        <f>HYPERLINK("http://www.rosaceae.org/Prunus/Prunus_persica/p.persica_gdr_reftransV1_0016580","p.persica_gdr_reftransV1_0016580")</f>
        <v>p.persica_gdr_reftransV1_0016580</v>
      </c>
      <c r="B7790" s="3">
        <v>2708</v>
      </c>
      <c r="C7790" s="1" t="str">
        <f>HYPERLINK("http://www.uniprot.org/uniprot/EIF3L_NEMVE","EIF3L_NEMVE")</f>
        <v>EIF3L_NEMVE</v>
      </c>
      <c r="D7790" t="s">
        <v>3354</v>
      </c>
      <c r="E7790" s="3" t="s">
        <v>1392</v>
      </c>
      <c r="F7790" s="4">
        <v>2.38E-140</v>
      </c>
      <c r="G7790" s="3">
        <v>1118</v>
      </c>
      <c r="H7790" s="3">
        <v>45</v>
      </c>
      <c r="I7790" s="3">
        <v>494</v>
      </c>
      <c r="J7790" s="3">
        <v>1096</v>
      </c>
      <c r="K7790" s="3">
        <v>2535</v>
      </c>
      <c r="L7790" s="3">
        <v>8</v>
      </c>
      <c r="M7790" s="3">
        <v>489</v>
      </c>
    </row>
    <row r="7791" spans="1:13" x14ac:dyDescent="0.25">
      <c r="A7791" s="1" t="str">
        <f>HYPERLINK("http://www.rosaceae.org/Prunus/Prunus_persica/p.persica_gdr_reftransV1_0016630","p.persica_gdr_reftransV1_0016630")</f>
        <v>p.persica_gdr_reftransV1_0016630</v>
      </c>
      <c r="B7791" s="3">
        <v>2688</v>
      </c>
      <c r="C7791" s="1" t="str">
        <f>HYPERLINK("http://www.uniprot.org/uniprot/SSG1_ANTMA","SSG1_ANTMA")</f>
        <v>SSG1_ANTMA</v>
      </c>
      <c r="D7791" t="s">
        <v>6138</v>
      </c>
      <c r="E7791" s="3" t="s">
        <v>1408</v>
      </c>
      <c r="F7791" s="4">
        <v>0</v>
      </c>
      <c r="G7791" s="3">
        <v>2441</v>
      </c>
      <c r="H7791" s="3">
        <v>76</v>
      </c>
      <c r="I7791" s="3">
        <v>601</v>
      </c>
      <c r="J7791" s="3">
        <v>394</v>
      </c>
      <c r="K7791" s="3">
        <v>2196</v>
      </c>
      <c r="L7791" s="3">
        <v>14</v>
      </c>
      <c r="M7791" s="3">
        <v>608</v>
      </c>
    </row>
    <row r="7792" spans="1:13" x14ac:dyDescent="0.25">
      <c r="A7792" s="1" t="str">
        <f>HYPERLINK("http://www.rosaceae.org/Prunus/Prunus_persica/p.persica_gdr_reftransV1_0016780","p.persica_gdr_reftransV1_0016780")</f>
        <v>p.persica_gdr_reftransV1_0016780</v>
      </c>
      <c r="B7792" s="3">
        <v>3369</v>
      </c>
      <c r="C7792" s="1" t="str">
        <f>HYPERLINK("http://www.uniprot.org/uniprot/CSK2C_ARATH","CSK2C_ARATH")</f>
        <v>CSK2C_ARATH</v>
      </c>
      <c r="D7792" t="s">
        <v>6139</v>
      </c>
      <c r="E7792" s="3" t="s">
        <v>3</v>
      </c>
      <c r="F7792" s="4">
        <v>3.2799999999999999E-92</v>
      </c>
      <c r="G7792" s="3">
        <v>774</v>
      </c>
      <c r="H7792" s="3">
        <v>92</v>
      </c>
      <c r="I7792" s="3">
        <v>146</v>
      </c>
      <c r="J7792" s="3">
        <v>1620</v>
      </c>
      <c r="K7792" s="3">
        <v>2057</v>
      </c>
      <c r="L7792" s="3">
        <v>96</v>
      </c>
      <c r="M7792" s="3">
        <v>241</v>
      </c>
    </row>
    <row r="7793" spans="1:13" x14ac:dyDescent="0.25">
      <c r="A7793" s="1" t="str">
        <f>HYPERLINK("http://www.rosaceae.org/Prunus/Prunus_persica/p.persica_gdr_reftransV1_0016830","p.persica_gdr_reftransV1_0016830")</f>
        <v>p.persica_gdr_reftransV1_0016830</v>
      </c>
      <c r="B7793" s="3">
        <v>1592</v>
      </c>
      <c r="C7793" s="1" t="str">
        <f>HYPERLINK("http://www.uniprot.org/uniprot/CHLM_ARATH","CHLM_ARATH")</f>
        <v>CHLM_ARATH</v>
      </c>
      <c r="D7793" t="s">
        <v>6140</v>
      </c>
      <c r="E7793" s="3" t="s">
        <v>3</v>
      </c>
      <c r="F7793" s="4">
        <v>5.6600000000000004E-66</v>
      </c>
      <c r="G7793" s="3">
        <v>566</v>
      </c>
      <c r="H7793" s="3">
        <v>78</v>
      </c>
      <c r="I7793" s="3">
        <v>136</v>
      </c>
      <c r="J7793" s="3">
        <v>936</v>
      </c>
      <c r="K7793" s="3">
        <v>1343</v>
      </c>
      <c r="L7793" s="3">
        <v>184</v>
      </c>
      <c r="M7793" s="3">
        <v>311</v>
      </c>
    </row>
    <row r="7794" spans="1:13" x14ac:dyDescent="0.25">
      <c r="A7794" s="1" t="str">
        <f>HYPERLINK("http://www.rosaceae.org/Prunus/Prunus_persica/p.persica_gdr_reftransV1_0016930","p.persica_gdr_reftransV1_0016930")</f>
        <v>p.persica_gdr_reftransV1_0016930</v>
      </c>
      <c r="B7794" s="3">
        <v>1896</v>
      </c>
      <c r="C7794" s="1" t="str">
        <f>HYPERLINK("http://www.uniprot.org/uniprot/ERD15_ARATH","ERD15_ARATH")</f>
        <v>ERD15_ARATH</v>
      </c>
      <c r="D7794" t="s">
        <v>2450</v>
      </c>
      <c r="E7794" s="3" t="s">
        <v>3</v>
      </c>
      <c r="F7794" s="4">
        <v>9.4000000000000006E-27</v>
      </c>
      <c r="G7794" s="3">
        <v>278</v>
      </c>
      <c r="H7794" s="3">
        <v>73</v>
      </c>
      <c r="I7794" s="3">
        <v>81</v>
      </c>
      <c r="J7794" s="3">
        <v>753</v>
      </c>
      <c r="K7794" s="3">
        <v>971</v>
      </c>
      <c r="L7794" s="3">
        <v>1</v>
      </c>
      <c r="M7794" s="3">
        <v>80</v>
      </c>
    </row>
    <row r="7795" spans="1:13" x14ac:dyDescent="0.25">
      <c r="A7795" s="1" t="str">
        <f>HYPERLINK("http://www.rosaceae.org/Prunus/Prunus_persica/p.persica_gdr_reftransV1_0017180","p.persica_gdr_reftransV1_0017180")</f>
        <v>p.persica_gdr_reftransV1_0017180</v>
      </c>
      <c r="B7795" s="3">
        <v>1644</v>
      </c>
      <c r="C7795" s="1" t="str">
        <f>HYPERLINK("http://www.uniprot.org/uniprot/GLTP1_ARATH","GLTP1_ARATH")</f>
        <v>GLTP1_ARATH</v>
      </c>
      <c r="D7795" t="s">
        <v>6141</v>
      </c>
      <c r="E7795" s="3" t="s">
        <v>3</v>
      </c>
      <c r="F7795" s="4">
        <v>3.9899999999999998E-103</v>
      </c>
      <c r="G7795" s="3">
        <v>808</v>
      </c>
      <c r="H7795" s="3">
        <v>76</v>
      </c>
      <c r="I7795" s="3">
        <v>202</v>
      </c>
      <c r="J7795" s="3">
        <v>242</v>
      </c>
      <c r="K7795" s="3">
        <v>847</v>
      </c>
      <c r="L7795" s="3">
        <v>1</v>
      </c>
      <c r="M7795" s="3">
        <v>202</v>
      </c>
    </row>
    <row r="7796" spans="1:13" x14ac:dyDescent="0.25">
      <c r="A7796" s="1" t="str">
        <f>HYPERLINK("http://www.rosaceae.org/Prunus/Prunus_persica/p.persica_gdr_reftransV1_0017230","p.persica_gdr_reftransV1_0017230")</f>
        <v>p.persica_gdr_reftransV1_0017230</v>
      </c>
      <c r="B7796" s="3">
        <v>1598</v>
      </c>
      <c r="C7796" s="1" t="str">
        <f>HYPERLINK("http://www.uniprot.org/uniprot/WAKLO_ARATH","WAKLO_ARATH")</f>
        <v>WAKLO_ARATH</v>
      </c>
      <c r="D7796" t="s">
        <v>146</v>
      </c>
      <c r="E7796" s="3" t="s">
        <v>3</v>
      </c>
      <c r="F7796" s="4">
        <v>3.1799999999999999E-158</v>
      </c>
      <c r="G7796" s="3">
        <v>1221</v>
      </c>
      <c r="H7796" s="3">
        <v>73</v>
      </c>
      <c r="I7796" s="3">
        <v>322</v>
      </c>
      <c r="J7796" s="3">
        <v>2</v>
      </c>
      <c r="K7796" s="3">
        <v>961</v>
      </c>
      <c r="L7796" s="3">
        <v>315</v>
      </c>
      <c r="M7796" s="3">
        <v>636</v>
      </c>
    </row>
    <row r="7797" spans="1:13" x14ac:dyDescent="0.25">
      <c r="A7797" s="1" t="str">
        <f>HYPERLINK("http://www.rosaceae.org/Prunus/Prunus_persica/p.persica_gdr_reftransV1_0017330","p.persica_gdr_reftransV1_0017330")</f>
        <v>p.persica_gdr_reftransV1_0017330</v>
      </c>
      <c r="B7797" s="3">
        <v>1842</v>
      </c>
      <c r="C7797" s="1" t="str">
        <f>HYPERLINK("http://www.uniprot.org/uniprot/PP141_ARATH","PP141_ARATH")</f>
        <v>PP141_ARATH</v>
      </c>
      <c r="D7797" t="s">
        <v>5689</v>
      </c>
      <c r="E7797" s="3" t="s">
        <v>3</v>
      </c>
      <c r="F7797" s="4">
        <v>1.4800000000000001E-147</v>
      </c>
      <c r="G7797" s="3">
        <v>1145</v>
      </c>
      <c r="H7797" s="3">
        <v>56</v>
      </c>
      <c r="I7797" s="3">
        <v>368</v>
      </c>
      <c r="J7797" s="3">
        <v>738</v>
      </c>
      <c r="K7797" s="3">
        <v>1841</v>
      </c>
      <c r="L7797" s="3">
        <v>173</v>
      </c>
      <c r="M7797" s="3">
        <v>540</v>
      </c>
    </row>
    <row r="7798" spans="1:13" x14ac:dyDescent="0.25">
      <c r="A7798" s="1" t="str">
        <f>HYPERLINK("http://www.rosaceae.org/Prunus/Prunus_persica/p.persica_gdr_reftransV1_0017380","p.persica_gdr_reftransV1_0017380")</f>
        <v>p.persica_gdr_reftransV1_0017380</v>
      </c>
      <c r="B7798" s="3">
        <v>1466</v>
      </c>
      <c r="C7798" s="1" t="str">
        <f>HYPERLINK("http://www.uniprot.org/uniprot/C3H14_ORYSJ","C3H14_ORYSJ")</f>
        <v>C3H14_ORYSJ</v>
      </c>
      <c r="D7798" t="s">
        <v>4328</v>
      </c>
      <c r="E7798" s="3" t="s">
        <v>38</v>
      </c>
      <c r="F7798" s="4">
        <v>5.8900000000000002E-105</v>
      </c>
      <c r="G7798" s="3">
        <v>825</v>
      </c>
      <c r="H7798" s="3">
        <v>62</v>
      </c>
      <c r="I7798" s="3">
        <v>298</v>
      </c>
      <c r="J7798" s="3">
        <v>335</v>
      </c>
      <c r="K7798" s="3">
        <v>1207</v>
      </c>
      <c r="L7798" s="3">
        <v>6</v>
      </c>
      <c r="M7798" s="3">
        <v>297</v>
      </c>
    </row>
    <row r="7799" spans="1:13" x14ac:dyDescent="0.25">
      <c r="A7799" s="1" t="str">
        <f>HYPERLINK("http://www.rosaceae.org/Prunus/Prunus_persica/p.persica_gdr_reftransV1_0017430","p.persica_gdr_reftransV1_0017430")</f>
        <v>p.persica_gdr_reftransV1_0017430</v>
      </c>
      <c r="B7799" s="3">
        <v>2308</v>
      </c>
      <c r="C7799" s="1" t="str">
        <f>HYPERLINK("http://www.uniprot.org/uniprot/THO4A_ARATH","THO4A_ARATH")</f>
        <v>THO4A_ARATH</v>
      </c>
      <c r="D7799" t="s">
        <v>2429</v>
      </c>
      <c r="E7799" s="3" t="s">
        <v>3</v>
      </c>
      <c r="F7799" s="4">
        <v>3.2E-54</v>
      </c>
      <c r="G7799" s="3">
        <v>487</v>
      </c>
      <c r="H7799" s="3">
        <v>54</v>
      </c>
      <c r="I7799" s="3">
        <v>254</v>
      </c>
      <c r="J7799" s="3">
        <v>1383</v>
      </c>
      <c r="K7799" s="3">
        <v>2135</v>
      </c>
      <c r="L7799" s="3">
        <v>1</v>
      </c>
      <c r="M7799" s="3">
        <v>242</v>
      </c>
    </row>
    <row r="7800" spans="1:13" x14ac:dyDescent="0.25">
      <c r="A7800" s="1" t="str">
        <f>HYPERLINK("http://www.rosaceae.org/Prunus/Prunus_persica/p.persica_gdr_reftransV1_0017480","p.persica_gdr_reftransV1_0017480")</f>
        <v>p.persica_gdr_reftransV1_0017480</v>
      </c>
      <c r="B7800" s="3">
        <v>2489</v>
      </c>
      <c r="C7800" s="1" t="str">
        <f>HYPERLINK("http://www.uniprot.org/uniprot/ODP21_ARATH","ODP21_ARATH")</f>
        <v>ODP21_ARATH</v>
      </c>
      <c r="D7800" t="s">
        <v>6142</v>
      </c>
      <c r="E7800" s="3" t="s">
        <v>3</v>
      </c>
      <c r="F7800" s="4">
        <v>0</v>
      </c>
      <c r="G7800" s="3">
        <v>1940</v>
      </c>
      <c r="H7800" s="3">
        <v>64</v>
      </c>
      <c r="I7800" s="3">
        <v>591</v>
      </c>
      <c r="J7800" s="3">
        <v>409</v>
      </c>
      <c r="K7800" s="3">
        <v>2178</v>
      </c>
      <c r="L7800" s="3">
        <v>44</v>
      </c>
      <c r="M7800" s="3">
        <v>632</v>
      </c>
    </row>
    <row r="7801" spans="1:13" x14ac:dyDescent="0.25">
      <c r="A7801" s="1" t="str">
        <f>HYPERLINK("http://www.rosaceae.org/Prunus/Prunus_persica/p.persica_gdr_reftransV1_0017580","p.persica_gdr_reftransV1_0017580")</f>
        <v>p.persica_gdr_reftransV1_0017580</v>
      </c>
      <c r="B7801" s="3">
        <v>1145</v>
      </c>
      <c r="C7801" s="1" t="str">
        <f>HYPERLINK("http://www.uniprot.org/uniprot/RK19_SPIOL","RK19_SPIOL")</f>
        <v>RK19_SPIOL</v>
      </c>
      <c r="D7801" t="s">
        <v>6143</v>
      </c>
      <c r="E7801" s="3" t="s">
        <v>131</v>
      </c>
      <c r="F7801" s="4">
        <v>1.39E-52</v>
      </c>
      <c r="G7801" s="3">
        <v>458</v>
      </c>
      <c r="H7801" s="3">
        <v>88</v>
      </c>
      <c r="I7801" s="3">
        <v>122</v>
      </c>
      <c r="J7801" s="3">
        <v>377</v>
      </c>
      <c r="K7801" s="3">
        <v>742</v>
      </c>
      <c r="L7801" s="3">
        <v>112</v>
      </c>
      <c r="M7801" s="3">
        <v>233</v>
      </c>
    </row>
    <row r="7802" spans="1:13" x14ac:dyDescent="0.25">
      <c r="A7802" s="1" t="str">
        <f>HYPERLINK("http://www.rosaceae.org/Prunus/Prunus_persica/p.persica_gdr_reftransV1_0017680","p.persica_gdr_reftransV1_0017680")</f>
        <v>p.persica_gdr_reftransV1_0017680</v>
      </c>
      <c r="B7802" s="3">
        <v>1151</v>
      </c>
      <c r="C7802" s="1" t="str">
        <f>HYPERLINK("http://www.uniprot.org/uniprot/EFP_METNO","EFP_METNO")</f>
        <v>EFP_METNO</v>
      </c>
      <c r="D7802" t="s">
        <v>6144</v>
      </c>
      <c r="E7802" s="3" t="s">
        <v>6145</v>
      </c>
      <c r="F7802" s="4">
        <v>8.8100000000000004E-46</v>
      </c>
      <c r="G7802" s="3">
        <v>408</v>
      </c>
      <c r="H7802" s="3">
        <v>42</v>
      </c>
      <c r="I7802" s="3">
        <v>186</v>
      </c>
      <c r="J7802" s="3">
        <v>303</v>
      </c>
      <c r="K7802" s="3">
        <v>860</v>
      </c>
      <c r="L7802" s="3">
        <v>3</v>
      </c>
      <c r="M7802" s="3">
        <v>187</v>
      </c>
    </row>
    <row r="7803" spans="1:13" x14ac:dyDescent="0.25">
      <c r="A7803" s="1" t="str">
        <f>HYPERLINK("http://www.rosaceae.org/Prunus/Prunus_persica/p.persica_gdr_reftransV1_0017730","p.persica_gdr_reftransV1_0017730")</f>
        <v>p.persica_gdr_reftransV1_0017730</v>
      </c>
      <c r="B7803" s="3">
        <v>1547</v>
      </c>
      <c r="C7803" s="1" t="str">
        <f>HYPERLINK("http://www.uniprot.org/uniprot/SUFE1_ARATH","SUFE1_ARATH")</f>
        <v>SUFE1_ARATH</v>
      </c>
      <c r="D7803" t="s">
        <v>2292</v>
      </c>
      <c r="E7803" s="3" t="s">
        <v>3</v>
      </c>
      <c r="F7803" s="4">
        <v>8.9899999999999997E-127</v>
      </c>
      <c r="G7803" s="3">
        <v>980</v>
      </c>
      <c r="H7803" s="3">
        <v>60</v>
      </c>
      <c r="I7803" s="3">
        <v>384</v>
      </c>
      <c r="J7803" s="3">
        <v>124</v>
      </c>
      <c r="K7803" s="3">
        <v>1257</v>
      </c>
      <c r="L7803" s="3">
        <v>19</v>
      </c>
      <c r="M7803" s="3">
        <v>371</v>
      </c>
    </row>
    <row r="7804" spans="1:13" x14ac:dyDescent="0.25">
      <c r="A7804" s="1" t="str">
        <f>HYPERLINK("http://www.rosaceae.org/Prunus/Prunus_persica/p.persica_gdr_reftransV1_0018080","p.persica_gdr_reftransV1_0018080")</f>
        <v>p.persica_gdr_reftransV1_0018080</v>
      </c>
      <c r="B7804" s="3">
        <v>2029</v>
      </c>
      <c r="C7804" s="1" t="str">
        <f>HYPERLINK("http://www.uniprot.org/uniprot/AB8I_ARATH","AB8I_ARATH")</f>
        <v>AB8I_ARATH</v>
      </c>
      <c r="D7804" t="s">
        <v>6146</v>
      </c>
      <c r="E7804" s="3" t="s">
        <v>3</v>
      </c>
      <c r="F7804" s="4">
        <v>0</v>
      </c>
      <c r="G7804" s="3">
        <v>2421</v>
      </c>
      <c r="H7804" s="3">
        <v>81</v>
      </c>
      <c r="I7804" s="3">
        <v>558</v>
      </c>
      <c r="J7804" s="3">
        <v>298</v>
      </c>
      <c r="K7804" s="3">
        <v>1944</v>
      </c>
      <c r="L7804" s="3">
        <v>1</v>
      </c>
      <c r="M7804" s="3">
        <v>557</v>
      </c>
    </row>
    <row r="7805" spans="1:13" x14ac:dyDescent="0.25">
      <c r="A7805" s="1" t="str">
        <f>HYPERLINK("http://www.rosaceae.org/Prunus/Prunus_persica/p.persica_gdr_reftransV1_0018230","p.persica_gdr_reftransV1_0018230")</f>
        <v>p.persica_gdr_reftransV1_0018230</v>
      </c>
      <c r="B7805" s="3">
        <v>828</v>
      </c>
      <c r="C7805" s="1" t="str">
        <f>HYPERLINK("http://www.uniprot.org/uniprot/RS242_ARATH","RS242_ARATH")</f>
        <v>RS242_ARATH</v>
      </c>
      <c r="D7805" t="s">
        <v>5099</v>
      </c>
      <c r="E7805" s="3" t="s">
        <v>3</v>
      </c>
      <c r="F7805" s="4">
        <v>8.0299999999999995E-72</v>
      </c>
      <c r="G7805" s="3">
        <v>569</v>
      </c>
      <c r="H7805" s="3">
        <v>88</v>
      </c>
      <c r="I7805" s="3">
        <v>123</v>
      </c>
      <c r="J7805" s="3">
        <v>386</v>
      </c>
      <c r="K7805" s="3">
        <v>754</v>
      </c>
      <c r="L7805" s="3">
        <v>1</v>
      </c>
      <c r="M7805" s="3">
        <v>122</v>
      </c>
    </row>
    <row r="7806" spans="1:13" x14ac:dyDescent="0.25">
      <c r="A7806" s="1" t="str">
        <f>HYPERLINK("http://www.rosaceae.org/Prunus/Prunus_persica/p.persica_gdr_reftransV1_0018330","p.persica_gdr_reftransV1_0018330")</f>
        <v>p.persica_gdr_reftransV1_0018330</v>
      </c>
      <c r="B7806" s="3">
        <v>2007</v>
      </c>
      <c r="C7806" s="1" t="str">
        <f>HYPERLINK("http://www.uniprot.org/uniprot/SKI22_ARATH","SKI22_ARATH")</f>
        <v>SKI22_ARATH</v>
      </c>
      <c r="D7806" t="s">
        <v>6147</v>
      </c>
      <c r="E7806" s="3" t="s">
        <v>3</v>
      </c>
      <c r="F7806" s="4">
        <v>8.2800000000000001E-53</v>
      </c>
      <c r="G7806" s="3">
        <v>493</v>
      </c>
      <c r="H7806" s="3">
        <v>34</v>
      </c>
      <c r="I7806" s="3">
        <v>505</v>
      </c>
      <c r="J7806" s="3">
        <v>101</v>
      </c>
      <c r="K7806" s="3">
        <v>1585</v>
      </c>
      <c r="L7806" s="3">
        <v>1</v>
      </c>
      <c r="M7806" s="3">
        <v>474</v>
      </c>
    </row>
    <row r="7807" spans="1:13" x14ac:dyDescent="0.25">
      <c r="A7807" s="1" t="str">
        <f>HYPERLINK("http://www.rosaceae.org/Prunus/Prunus_persica/p.persica_gdr_reftransV1_0018430","p.persica_gdr_reftransV1_0018430")</f>
        <v>p.persica_gdr_reftransV1_0018430</v>
      </c>
      <c r="B7807" s="3">
        <v>649</v>
      </c>
      <c r="C7807" s="1" t="str">
        <f>HYPERLINK("http://www.uniprot.org/uniprot/CLV1_ARATH","CLV1_ARATH")</f>
        <v>CLV1_ARATH</v>
      </c>
      <c r="D7807" t="s">
        <v>2635</v>
      </c>
      <c r="E7807" s="3" t="s">
        <v>3</v>
      </c>
      <c r="F7807" s="4">
        <v>6.9400000000000004E-57</v>
      </c>
      <c r="G7807" s="3">
        <v>504</v>
      </c>
      <c r="H7807" s="3">
        <v>60</v>
      </c>
      <c r="I7807" s="3">
        <v>182</v>
      </c>
      <c r="J7807" s="3">
        <v>1</v>
      </c>
      <c r="K7807" s="3">
        <v>543</v>
      </c>
      <c r="L7807" s="3">
        <v>20</v>
      </c>
      <c r="M7807" s="3">
        <v>200</v>
      </c>
    </row>
    <row r="7808" spans="1:13" x14ac:dyDescent="0.25">
      <c r="A7808" s="1" t="str">
        <f>HYPERLINK("http://www.rosaceae.org/Prunus/Prunus_persica/p.persica_gdr_reftransV1_0018480","p.persica_gdr_reftransV1_0018480")</f>
        <v>p.persica_gdr_reftransV1_0018480</v>
      </c>
      <c r="B7808" s="3">
        <v>2515</v>
      </c>
      <c r="C7808" s="1" t="str">
        <f>HYPERLINK("http://www.uniprot.org/uniprot/Y2296_ARATH","Y2296_ARATH")</f>
        <v>Y2296_ARATH</v>
      </c>
      <c r="D7808" t="s">
        <v>5961</v>
      </c>
      <c r="E7808" s="3" t="s">
        <v>3</v>
      </c>
      <c r="F7808" s="4">
        <v>0</v>
      </c>
      <c r="G7808" s="3">
        <v>1832</v>
      </c>
      <c r="H7808" s="3">
        <v>75</v>
      </c>
      <c r="I7808" s="3">
        <v>493</v>
      </c>
      <c r="J7808" s="3">
        <v>707</v>
      </c>
      <c r="K7808" s="3">
        <v>2176</v>
      </c>
      <c r="L7808" s="3">
        <v>1</v>
      </c>
      <c r="M7808" s="3">
        <v>485</v>
      </c>
    </row>
    <row r="7809" spans="1:13" x14ac:dyDescent="0.25">
      <c r="A7809" s="1" t="str">
        <f>HYPERLINK("http://www.rosaceae.org/Prunus/Prunus_persica/p.persica_gdr_reftransV1_0018930","p.persica_gdr_reftransV1_0018930")</f>
        <v>p.persica_gdr_reftransV1_0018930</v>
      </c>
      <c r="B7809" s="3">
        <v>1714</v>
      </c>
      <c r="C7809" s="1" t="str">
        <f>HYPERLINK("http://www.uniprot.org/uniprot/APL_ARATH","APL_ARATH")</f>
        <v>APL_ARATH</v>
      </c>
      <c r="D7809" t="s">
        <v>1317</v>
      </c>
      <c r="E7809" s="3" t="s">
        <v>3</v>
      </c>
      <c r="F7809" s="4">
        <v>4.2199999999999999E-51</v>
      </c>
      <c r="G7809" s="3">
        <v>469</v>
      </c>
      <c r="H7809" s="3">
        <v>56</v>
      </c>
      <c r="I7809" s="3">
        <v>168</v>
      </c>
      <c r="J7809" s="3">
        <v>157</v>
      </c>
      <c r="K7809" s="3">
        <v>651</v>
      </c>
      <c r="L7809" s="3">
        <v>23</v>
      </c>
      <c r="M7809" s="3">
        <v>175</v>
      </c>
    </row>
    <row r="7810" spans="1:13" x14ac:dyDescent="0.25">
      <c r="A7810" s="1" t="str">
        <f>HYPERLINK("http://www.rosaceae.org/Prunus/Prunus_persica/p.persica_gdr_reftransV1_0019430","p.persica_gdr_reftransV1_0019430")</f>
        <v>p.persica_gdr_reftransV1_0019430</v>
      </c>
      <c r="B7810" s="3">
        <v>821</v>
      </c>
      <c r="C7810" s="1" t="str">
        <f>HYPERLINK("http://www.uniprot.org/uniprot/MOS2_ARATH","MOS2_ARATH")</f>
        <v>MOS2_ARATH</v>
      </c>
      <c r="D7810" t="s">
        <v>6148</v>
      </c>
      <c r="E7810" s="3" t="s">
        <v>3</v>
      </c>
      <c r="F7810" s="4">
        <v>1.3500000000000001E-21</v>
      </c>
      <c r="G7810" s="3">
        <v>241</v>
      </c>
      <c r="H7810" s="3">
        <v>36</v>
      </c>
      <c r="I7810" s="3">
        <v>185</v>
      </c>
      <c r="J7810" s="3">
        <v>234</v>
      </c>
      <c r="K7810" s="3">
        <v>713</v>
      </c>
      <c r="L7810" s="3">
        <v>21</v>
      </c>
      <c r="M7810" s="3">
        <v>199</v>
      </c>
    </row>
    <row r="7811" spans="1:13" x14ac:dyDescent="0.25">
      <c r="A7811" s="1" t="str">
        <f>HYPERLINK("http://www.rosaceae.org/Prunus/Prunus_persica/p.persica_gdr_reftransV1_0019530","p.persica_gdr_reftransV1_0019530")</f>
        <v>p.persica_gdr_reftransV1_0019530</v>
      </c>
      <c r="B7811" s="3">
        <v>3418</v>
      </c>
      <c r="C7811" s="1" t="str">
        <f>HYPERLINK("http://www.uniprot.org/uniprot/AL3H1_ARATH","AL3H1_ARATH")</f>
        <v>AL3H1_ARATH</v>
      </c>
      <c r="D7811" t="s">
        <v>6149</v>
      </c>
      <c r="E7811" s="3" t="s">
        <v>3</v>
      </c>
      <c r="F7811" s="4">
        <v>1.05E-169</v>
      </c>
      <c r="G7811" s="3">
        <v>1329</v>
      </c>
      <c r="H7811" s="3">
        <v>72</v>
      </c>
      <c r="I7811" s="3">
        <v>368</v>
      </c>
      <c r="J7811" s="3">
        <v>1666</v>
      </c>
      <c r="K7811" s="3">
        <v>2766</v>
      </c>
      <c r="L7811" s="3">
        <v>1</v>
      </c>
      <c r="M7811" s="3">
        <v>368</v>
      </c>
    </row>
    <row r="7812" spans="1:13" x14ac:dyDescent="0.25">
      <c r="A7812" s="1" t="str">
        <f>HYPERLINK("http://www.rosaceae.org/Prunus/Prunus_persica/p.persica_gdr_reftransV1_0019580","p.persica_gdr_reftransV1_0019580")</f>
        <v>p.persica_gdr_reftransV1_0019580</v>
      </c>
      <c r="B7812" s="3">
        <v>2064</v>
      </c>
      <c r="C7812" s="1" t="str">
        <f>HYPERLINK("http://www.uniprot.org/uniprot/SYCC2_ARATH","SYCC2_ARATH")</f>
        <v>SYCC2_ARATH</v>
      </c>
      <c r="D7812" t="s">
        <v>6150</v>
      </c>
      <c r="E7812" s="3" t="s">
        <v>3</v>
      </c>
      <c r="F7812" s="4">
        <v>0</v>
      </c>
      <c r="G7812" s="3">
        <v>1768</v>
      </c>
      <c r="H7812" s="3">
        <v>66</v>
      </c>
      <c r="I7812" s="3">
        <v>511</v>
      </c>
      <c r="J7812" s="3">
        <v>177</v>
      </c>
      <c r="K7812" s="3">
        <v>1709</v>
      </c>
      <c r="L7812" s="3">
        <v>1</v>
      </c>
      <c r="M7812" s="3">
        <v>505</v>
      </c>
    </row>
    <row r="7813" spans="1:13" x14ac:dyDescent="0.25">
      <c r="A7813" s="1" t="str">
        <f>HYPERLINK("http://www.rosaceae.org/Prunus/Prunus_persica/p.persica_gdr_reftransV1_0019680","p.persica_gdr_reftransV1_0019680")</f>
        <v>p.persica_gdr_reftransV1_0019680</v>
      </c>
      <c r="B7813" s="3">
        <v>4177</v>
      </c>
      <c r="C7813" s="1" t="str">
        <f>HYPERLINK("http://www.uniprot.org/uniprot/SUD1_ARATH","SUD1_ARATH")</f>
        <v>SUD1_ARATH</v>
      </c>
      <c r="D7813" t="s">
        <v>6151</v>
      </c>
      <c r="E7813" s="3" t="s">
        <v>3</v>
      </c>
      <c r="F7813" s="4">
        <v>0</v>
      </c>
      <c r="G7813" s="3">
        <v>2896</v>
      </c>
      <c r="H7813" s="3">
        <v>80</v>
      </c>
      <c r="I7813" s="3">
        <v>717</v>
      </c>
      <c r="J7813" s="3">
        <v>1642</v>
      </c>
      <c r="K7813" s="3">
        <v>3789</v>
      </c>
      <c r="L7813" s="3">
        <v>67</v>
      </c>
      <c r="M7813" s="3">
        <v>778</v>
      </c>
    </row>
    <row r="7814" spans="1:13" x14ac:dyDescent="0.25">
      <c r="A7814" s="1" t="str">
        <f>HYPERLINK("http://www.rosaceae.org/Prunus/Prunus_persica/p.persica_gdr_reftransV1_0019780","p.persica_gdr_reftransV1_0019780")</f>
        <v>p.persica_gdr_reftransV1_0019780</v>
      </c>
      <c r="B7814" s="3">
        <v>976</v>
      </c>
      <c r="C7814" s="1" t="str">
        <f>HYPERLINK("http://www.uniprot.org/uniprot/PMAT1_ARATH","PMAT1_ARATH")</f>
        <v>PMAT1_ARATH</v>
      </c>
      <c r="D7814" t="s">
        <v>1221</v>
      </c>
      <c r="E7814" s="3" t="s">
        <v>3</v>
      </c>
      <c r="F7814" s="4">
        <v>1.47E-49</v>
      </c>
      <c r="G7814" s="3">
        <v>449</v>
      </c>
      <c r="H7814" s="3">
        <v>35</v>
      </c>
      <c r="I7814" s="3">
        <v>306</v>
      </c>
      <c r="J7814" s="3">
        <v>92</v>
      </c>
      <c r="K7814" s="3">
        <v>976</v>
      </c>
      <c r="L7814" s="3">
        <v>175</v>
      </c>
      <c r="M7814" s="3">
        <v>469</v>
      </c>
    </row>
    <row r="7815" spans="1:13" x14ac:dyDescent="0.25">
      <c r="A7815" s="1" t="str">
        <f>HYPERLINK("http://www.rosaceae.org/Prunus/Prunus_persica/p.persica_gdr_reftransV1_0020180","p.persica_gdr_reftransV1_0020180")</f>
        <v>p.persica_gdr_reftransV1_0020180</v>
      </c>
      <c r="B7815" s="3">
        <v>1713</v>
      </c>
      <c r="C7815" s="1" t="str">
        <f>HYPERLINK("http://www.uniprot.org/uniprot/FB135_ARATH","FB135_ARATH")</f>
        <v>FB135_ARATH</v>
      </c>
      <c r="D7815" t="s">
        <v>6152</v>
      </c>
      <c r="E7815" s="3" t="s">
        <v>3</v>
      </c>
      <c r="F7815" s="4">
        <v>1.4000000000000001E-18</v>
      </c>
      <c r="G7815" s="3">
        <v>227</v>
      </c>
      <c r="H7815" s="3">
        <v>25</v>
      </c>
      <c r="I7815" s="3">
        <v>341</v>
      </c>
      <c r="J7815" s="3">
        <v>486</v>
      </c>
      <c r="K7815" s="3">
        <v>1403</v>
      </c>
      <c r="L7815" s="3">
        <v>28</v>
      </c>
      <c r="M7815" s="3">
        <v>328</v>
      </c>
    </row>
    <row r="7816" spans="1:13" x14ac:dyDescent="0.25">
      <c r="A7816" s="1" t="str">
        <f>HYPERLINK("http://www.rosaceae.org/Prunus/Prunus_persica/p.persica_gdr_reftransV1_0020280","p.persica_gdr_reftransV1_0020280")</f>
        <v>p.persica_gdr_reftransV1_0020280</v>
      </c>
      <c r="B7816" s="3">
        <v>3098</v>
      </c>
      <c r="C7816" s="1" t="str">
        <f>HYPERLINK("http://www.uniprot.org/uniprot/KMT2B_MOUSE","KMT2B_MOUSE")</f>
        <v>KMT2B_MOUSE</v>
      </c>
      <c r="D7816" t="s">
        <v>6153</v>
      </c>
      <c r="E7816" s="3" t="s">
        <v>157</v>
      </c>
      <c r="F7816" s="4">
        <v>8.3800000000000005E-24</v>
      </c>
      <c r="G7816" s="3">
        <v>282</v>
      </c>
      <c r="H7816" s="3">
        <v>36</v>
      </c>
      <c r="I7816" s="3">
        <v>184</v>
      </c>
      <c r="J7816" s="3">
        <v>556</v>
      </c>
      <c r="K7816" s="3">
        <v>1077</v>
      </c>
      <c r="L7816" s="3">
        <v>1224</v>
      </c>
      <c r="M7816" s="3">
        <v>1401</v>
      </c>
    </row>
    <row r="7817" spans="1:13" x14ac:dyDescent="0.25">
      <c r="A7817" s="1" t="str">
        <f>HYPERLINK("http://www.rosaceae.org/Prunus/Prunus_persica/p.persica_gdr_reftransV1_0020330","p.persica_gdr_reftransV1_0020330")</f>
        <v>p.persica_gdr_reftransV1_0020330</v>
      </c>
      <c r="B7817" s="3">
        <v>1351</v>
      </c>
      <c r="C7817" s="1" t="str">
        <f>HYPERLINK("http://www.uniprot.org/uniprot/SCO2_ARATH","SCO2_ARATH")</f>
        <v>SCO2_ARATH</v>
      </c>
      <c r="D7817" t="s">
        <v>6154</v>
      </c>
      <c r="E7817" s="3" t="s">
        <v>3</v>
      </c>
      <c r="F7817" s="4">
        <v>4.3099999999999999E-44</v>
      </c>
      <c r="G7817" s="3">
        <v>400</v>
      </c>
      <c r="H7817" s="3">
        <v>55</v>
      </c>
      <c r="I7817" s="3">
        <v>160</v>
      </c>
      <c r="J7817" s="3">
        <v>741</v>
      </c>
      <c r="K7817" s="3">
        <v>1214</v>
      </c>
      <c r="L7817" s="3">
        <v>27</v>
      </c>
      <c r="M7817" s="3">
        <v>167</v>
      </c>
    </row>
    <row r="7818" spans="1:13" x14ac:dyDescent="0.25">
      <c r="A7818" s="1" t="str">
        <f>HYPERLINK("http://www.rosaceae.org/Prunus/Prunus_persica/p.persica_gdr_reftransV1_0020430","p.persica_gdr_reftransV1_0020430")</f>
        <v>p.persica_gdr_reftransV1_0020430</v>
      </c>
      <c r="B7818" s="3">
        <v>1538</v>
      </c>
      <c r="C7818" s="1" t="str">
        <f>HYPERLINK("http://www.uniprot.org/uniprot/RBL14_ARATH","RBL14_ARATH")</f>
        <v>RBL14_ARATH</v>
      </c>
      <c r="D7818" t="s">
        <v>6155</v>
      </c>
      <c r="E7818" s="3" t="s">
        <v>3</v>
      </c>
      <c r="F7818" s="4">
        <v>4.3300000000000002E-119</v>
      </c>
      <c r="G7818" s="3">
        <v>925</v>
      </c>
      <c r="H7818" s="3">
        <v>66</v>
      </c>
      <c r="I7818" s="3">
        <v>300</v>
      </c>
      <c r="J7818" s="3">
        <v>156</v>
      </c>
      <c r="K7818" s="3">
        <v>1046</v>
      </c>
      <c r="L7818" s="3">
        <v>6</v>
      </c>
      <c r="M7818" s="3">
        <v>305</v>
      </c>
    </row>
    <row r="7819" spans="1:13" x14ac:dyDescent="0.25">
      <c r="A7819" s="1" t="str">
        <f>HYPERLINK("http://www.rosaceae.org/Prunus/Prunus_persica/p.persica_gdr_reftransV1_0020580","p.persica_gdr_reftransV1_0020580")</f>
        <v>p.persica_gdr_reftransV1_0020580</v>
      </c>
      <c r="B7819" s="3">
        <v>1836</v>
      </c>
      <c r="C7819" s="1" t="str">
        <f>HYPERLINK("http://www.uniprot.org/uniprot/DIV_ANTMA","DIV_ANTMA")</f>
        <v>DIV_ANTMA</v>
      </c>
      <c r="D7819" t="s">
        <v>4460</v>
      </c>
      <c r="E7819" s="3" t="s">
        <v>1408</v>
      </c>
      <c r="F7819" s="4">
        <v>1.14E-127</v>
      </c>
      <c r="G7819" s="3">
        <v>988</v>
      </c>
      <c r="H7819" s="3">
        <v>69</v>
      </c>
      <c r="I7819" s="3">
        <v>306</v>
      </c>
      <c r="J7819" s="3">
        <v>345</v>
      </c>
      <c r="K7819" s="3">
        <v>1247</v>
      </c>
      <c r="L7819" s="3">
        <v>1</v>
      </c>
      <c r="M7819" s="3">
        <v>305</v>
      </c>
    </row>
    <row r="7820" spans="1:13" x14ac:dyDescent="0.25">
      <c r="A7820" s="1" t="str">
        <f>HYPERLINK("http://www.rosaceae.org/Prunus/Prunus_persica/p.persica_gdr_reftransV1_0020780","p.persica_gdr_reftransV1_0020780")</f>
        <v>p.persica_gdr_reftransV1_0020780</v>
      </c>
      <c r="B7820" s="3">
        <v>3467</v>
      </c>
      <c r="C7820" s="1" t="str">
        <f>HYPERLINK("http://www.uniprot.org/uniprot/BRL1_ARATH","BRL1_ARATH")</f>
        <v>BRL1_ARATH</v>
      </c>
      <c r="D7820" t="s">
        <v>6156</v>
      </c>
      <c r="E7820" s="3" t="s">
        <v>3</v>
      </c>
      <c r="F7820" s="4">
        <v>0</v>
      </c>
      <c r="G7820" s="3">
        <v>3467</v>
      </c>
      <c r="H7820" s="3">
        <v>73</v>
      </c>
      <c r="I7820" s="3">
        <v>997</v>
      </c>
      <c r="J7820" s="3">
        <v>1</v>
      </c>
      <c r="K7820" s="3">
        <v>2973</v>
      </c>
      <c r="L7820" s="3">
        <v>165</v>
      </c>
      <c r="M7820" s="3">
        <v>1160</v>
      </c>
    </row>
    <row r="7821" spans="1:13" x14ac:dyDescent="0.25">
      <c r="A7821" s="1" t="str">
        <f>HYPERLINK("http://www.rosaceae.org/Prunus/Prunus_persica/p.persica_gdr_reftransV1_0021330","p.persica_gdr_reftransV1_0021330")</f>
        <v>p.persica_gdr_reftransV1_0021330</v>
      </c>
      <c r="B7821" s="3">
        <v>2134</v>
      </c>
      <c r="C7821" s="1" t="str">
        <f>HYPERLINK("http://www.uniprot.org/uniprot/MET16_DANRE","MET16_DANRE")</f>
        <v>MET16_DANRE</v>
      </c>
      <c r="D7821" t="s">
        <v>6157</v>
      </c>
      <c r="E7821" s="3" t="s">
        <v>704</v>
      </c>
      <c r="F7821" s="4">
        <v>3.4800000000000003E-64</v>
      </c>
      <c r="G7821" s="3">
        <v>576</v>
      </c>
      <c r="H7821" s="3">
        <v>38</v>
      </c>
      <c r="I7821" s="3">
        <v>341</v>
      </c>
      <c r="J7821" s="3">
        <v>756</v>
      </c>
      <c r="K7821" s="3">
        <v>1751</v>
      </c>
      <c r="L7821" s="3">
        <v>8</v>
      </c>
      <c r="M7821" s="3">
        <v>284</v>
      </c>
    </row>
    <row r="7822" spans="1:13" x14ac:dyDescent="0.25">
      <c r="A7822" s="1" t="str">
        <f>HYPERLINK("http://www.rosaceae.org/Prunus/Prunus_persica/p.persica_gdr_reftransV1_0021380","p.persica_gdr_reftransV1_0021380")</f>
        <v>p.persica_gdr_reftransV1_0021380</v>
      </c>
      <c r="B7822" s="3">
        <v>1598</v>
      </c>
      <c r="C7822" s="1" t="str">
        <f>HYPERLINK("http://www.uniprot.org/uniprot/SYP32_ARATH","SYP32_ARATH")</f>
        <v>SYP32_ARATH</v>
      </c>
      <c r="D7822" t="s">
        <v>6158</v>
      </c>
      <c r="E7822" s="3" t="s">
        <v>3</v>
      </c>
      <c r="F7822" s="4">
        <v>1.4700000000000001E-121</v>
      </c>
      <c r="G7822" s="3">
        <v>944</v>
      </c>
      <c r="H7822" s="3">
        <v>61</v>
      </c>
      <c r="I7822" s="3">
        <v>354</v>
      </c>
      <c r="J7822" s="3">
        <v>227</v>
      </c>
      <c r="K7822" s="3">
        <v>1255</v>
      </c>
      <c r="L7822" s="3">
        <v>1</v>
      </c>
      <c r="M7822" s="3">
        <v>330</v>
      </c>
    </row>
    <row r="7823" spans="1:13" x14ac:dyDescent="0.25">
      <c r="A7823" s="1" t="str">
        <f>HYPERLINK("http://www.rosaceae.org/Prunus/Prunus_persica/p.persica_gdr_reftransV1_0021830","p.persica_gdr_reftransV1_0021830")</f>
        <v>p.persica_gdr_reftransV1_0021830</v>
      </c>
      <c r="B7823" s="3">
        <v>2355</v>
      </c>
      <c r="C7823" s="1" t="str">
        <f>HYPERLINK("http://www.uniprot.org/uniprot/C3H17_ARATH","C3H17_ARATH")</f>
        <v>C3H17_ARATH</v>
      </c>
      <c r="D7823" t="s">
        <v>6159</v>
      </c>
      <c r="E7823" s="3" t="s">
        <v>3</v>
      </c>
      <c r="F7823" s="4">
        <v>2.7600000000000001E-35</v>
      </c>
      <c r="G7823" s="3">
        <v>369</v>
      </c>
      <c r="H7823" s="3">
        <v>54</v>
      </c>
      <c r="I7823" s="3">
        <v>139</v>
      </c>
      <c r="J7823" s="3">
        <v>180</v>
      </c>
      <c r="K7823" s="3">
        <v>569</v>
      </c>
      <c r="L7823" s="3">
        <v>20</v>
      </c>
      <c r="M7823" s="3">
        <v>158</v>
      </c>
    </row>
    <row r="7824" spans="1:13" x14ac:dyDescent="0.25">
      <c r="A7824" s="1" t="str">
        <f>HYPERLINK("http://www.rosaceae.org/Prunus/Prunus_persica/p.persica_gdr_reftransV1_0021880","p.persica_gdr_reftransV1_0021880")</f>
        <v>p.persica_gdr_reftransV1_0021880</v>
      </c>
      <c r="B7824" s="3">
        <v>3325</v>
      </c>
      <c r="C7824" s="1" t="str">
        <f>HYPERLINK("http://www.uniprot.org/uniprot/APBLA_ARATH","APBLA_ARATH")</f>
        <v>APBLA_ARATH</v>
      </c>
      <c r="D7824" t="s">
        <v>6160</v>
      </c>
      <c r="E7824" s="3" t="s">
        <v>3</v>
      </c>
      <c r="F7824" s="4">
        <v>0</v>
      </c>
      <c r="G7824" s="3">
        <v>2745</v>
      </c>
      <c r="H7824" s="3">
        <v>88</v>
      </c>
      <c r="I7824" s="3">
        <v>579</v>
      </c>
      <c r="J7824" s="3">
        <v>1321</v>
      </c>
      <c r="K7824" s="3">
        <v>3057</v>
      </c>
      <c r="L7824" s="3">
        <v>18</v>
      </c>
      <c r="M7824" s="3">
        <v>596</v>
      </c>
    </row>
    <row r="7825" spans="1:13" x14ac:dyDescent="0.25">
      <c r="A7825" s="1" t="str">
        <f>HYPERLINK("http://www.rosaceae.org/Prunus/Prunus_persica/p.persica_gdr_reftransV1_0022080","p.persica_gdr_reftransV1_0022080")</f>
        <v>p.persica_gdr_reftransV1_0022080</v>
      </c>
      <c r="B7825" s="3">
        <v>359</v>
      </c>
      <c r="C7825" s="1" t="str">
        <f>HYPERLINK("http://www.uniprot.org/uniprot/ACO12_ARATH","ACO12_ARATH")</f>
        <v>ACO12_ARATH</v>
      </c>
      <c r="D7825" t="s">
        <v>6161</v>
      </c>
      <c r="E7825" s="3" t="s">
        <v>3</v>
      </c>
      <c r="F7825" s="4">
        <v>2.5999999999999999E-55</v>
      </c>
      <c r="G7825" s="3">
        <v>476</v>
      </c>
      <c r="H7825" s="3">
        <v>76</v>
      </c>
      <c r="I7825" s="3">
        <v>119</v>
      </c>
      <c r="J7825" s="3">
        <v>3</v>
      </c>
      <c r="K7825" s="3">
        <v>359</v>
      </c>
      <c r="L7825" s="3">
        <v>211</v>
      </c>
      <c r="M7825" s="3">
        <v>324</v>
      </c>
    </row>
    <row r="7826" spans="1:13" x14ac:dyDescent="0.25">
      <c r="A7826" s="1" t="str">
        <f>HYPERLINK("http://www.rosaceae.org/Prunus/Prunus_persica/p.persica_gdr_reftransV1_0022280","p.persica_gdr_reftransV1_0022280")</f>
        <v>p.persica_gdr_reftransV1_0022280</v>
      </c>
      <c r="B7826" s="3">
        <v>1862</v>
      </c>
      <c r="C7826" s="1" t="str">
        <f>HYPERLINK("http://www.uniprot.org/uniprot/AOX4_ARATH","AOX4_ARATH")</f>
        <v>AOX4_ARATH</v>
      </c>
      <c r="D7826" t="s">
        <v>6162</v>
      </c>
      <c r="E7826" s="3" t="s">
        <v>3</v>
      </c>
      <c r="F7826" s="4">
        <v>4.4299999999999998E-162</v>
      </c>
      <c r="G7826" s="3">
        <v>1222</v>
      </c>
      <c r="H7826" s="3">
        <v>73</v>
      </c>
      <c r="I7826" s="3">
        <v>301</v>
      </c>
      <c r="J7826" s="3">
        <v>492</v>
      </c>
      <c r="K7826" s="3">
        <v>1382</v>
      </c>
      <c r="L7826" s="3">
        <v>54</v>
      </c>
      <c r="M7826" s="3">
        <v>351</v>
      </c>
    </row>
    <row r="7827" spans="1:13" x14ac:dyDescent="0.25">
      <c r="A7827" s="1" t="str">
        <f>HYPERLINK("http://www.rosaceae.org/Prunus/Prunus_persica/p.persica_gdr_reftransV1_0022330","p.persica_gdr_reftransV1_0022330")</f>
        <v>p.persica_gdr_reftransV1_0022330</v>
      </c>
      <c r="B7827" s="3">
        <v>2559</v>
      </c>
      <c r="C7827" s="1" t="str">
        <f>HYPERLINK("http://www.uniprot.org/uniprot/NCBP2_ARATH","NCBP2_ARATH")</f>
        <v>NCBP2_ARATH</v>
      </c>
      <c r="D7827" t="s">
        <v>6163</v>
      </c>
      <c r="E7827" s="3" t="s">
        <v>3</v>
      </c>
      <c r="F7827" s="4">
        <v>3.0699999999999999E-89</v>
      </c>
      <c r="G7827" s="3">
        <v>740</v>
      </c>
      <c r="H7827" s="3">
        <v>89</v>
      </c>
      <c r="I7827" s="3">
        <v>173</v>
      </c>
      <c r="J7827" s="3">
        <v>1825</v>
      </c>
      <c r="K7827" s="3">
        <v>2343</v>
      </c>
      <c r="L7827" s="3">
        <v>1</v>
      </c>
      <c r="M7827" s="3">
        <v>173</v>
      </c>
    </row>
    <row r="7828" spans="1:13" x14ac:dyDescent="0.25">
      <c r="A7828" s="1" t="str">
        <f>HYPERLINK("http://www.rosaceae.org/Prunus/Prunus_persica/p.persica_gdr_reftransV1_0022530","p.persica_gdr_reftransV1_0022530")</f>
        <v>p.persica_gdr_reftransV1_0022530</v>
      </c>
      <c r="B7828" s="3">
        <v>1782</v>
      </c>
      <c r="C7828" s="1" t="str">
        <f>HYPERLINK("http://www.uniprot.org/uniprot/NIC1_ARATH","NIC1_ARATH")</f>
        <v>NIC1_ARATH</v>
      </c>
      <c r="D7828" t="s">
        <v>6164</v>
      </c>
      <c r="E7828" s="3" t="s">
        <v>3</v>
      </c>
      <c r="F7828" s="4">
        <v>2.48E-88</v>
      </c>
      <c r="G7828" s="3">
        <v>717</v>
      </c>
      <c r="H7828" s="3">
        <v>57</v>
      </c>
      <c r="I7828" s="3">
        <v>258</v>
      </c>
      <c r="J7828" s="3">
        <v>858</v>
      </c>
      <c r="K7828" s="3">
        <v>1628</v>
      </c>
      <c r="L7828" s="3">
        <v>8</v>
      </c>
      <c r="M7828" s="3">
        <v>218</v>
      </c>
    </row>
    <row r="7829" spans="1:13" x14ac:dyDescent="0.25">
      <c r="A7829" s="1" t="str">
        <f>HYPERLINK("http://www.rosaceae.org/Prunus/Prunus_persica/p.persica_gdr_reftransV1_0022730","p.persica_gdr_reftransV1_0022730")</f>
        <v>p.persica_gdr_reftransV1_0022730</v>
      </c>
      <c r="B7829" s="3">
        <v>3833</v>
      </c>
      <c r="C7829" s="1" t="str">
        <f>HYPERLINK("http://www.uniprot.org/uniprot/LTRA_LACLM","LTRA_LACLM")</f>
        <v>LTRA_LACLM</v>
      </c>
      <c r="D7829" t="s">
        <v>6165</v>
      </c>
      <c r="E7829" s="3" t="s">
        <v>6166</v>
      </c>
      <c r="F7829" s="4">
        <v>1.13E-22</v>
      </c>
      <c r="G7829" s="3">
        <v>269</v>
      </c>
      <c r="H7829" s="3">
        <v>41</v>
      </c>
      <c r="I7829" s="3">
        <v>158</v>
      </c>
      <c r="J7829" s="3">
        <v>646</v>
      </c>
      <c r="K7829" s="3">
        <v>1110</v>
      </c>
      <c r="L7829" s="3">
        <v>91</v>
      </c>
      <c r="M7829" s="3">
        <v>248</v>
      </c>
    </row>
    <row r="7830" spans="1:13" x14ac:dyDescent="0.25">
      <c r="A7830" s="1" t="str">
        <f>HYPERLINK("http://www.rosaceae.org/Prunus/Prunus_persica/p.persica_gdr_reftransV1_0022830","p.persica_gdr_reftransV1_0022830")</f>
        <v>p.persica_gdr_reftransV1_0022830</v>
      </c>
      <c r="B7830" s="3">
        <v>1663</v>
      </c>
      <c r="C7830" s="1" t="str">
        <f>HYPERLINK("http://www.uniprot.org/uniprot/Y3544_ARATH","Y3544_ARATH")</f>
        <v>Y3544_ARATH</v>
      </c>
      <c r="D7830" t="s">
        <v>3150</v>
      </c>
      <c r="E7830" s="3" t="s">
        <v>3</v>
      </c>
      <c r="F7830" s="4">
        <v>5.7999999999999999E-134</v>
      </c>
      <c r="G7830" s="3">
        <v>1038</v>
      </c>
      <c r="H7830" s="3">
        <v>57</v>
      </c>
      <c r="I7830" s="3">
        <v>446</v>
      </c>
      <c r="J7830" s="3">
        <v>166</v>
      </c>
      <c r="K7830" s="3">
        <v>1479</v>
      </c>
      <c r="L7830" s="3">
        <v>35</v>
      </c>
      <c r="M7830" s="3">
        <v>444</v>
      </c>
    </row>
    <row r="7831" spans="1:13" x14ac:dyDescent="0.25">
      <c r="A7831" s="1" t="str">
        <f>HYPERLINK("http://www.rosaceae.org/Prunus/Prunus_persica/p.persica_gdr_reftransV1_0022880","p.persica_gdr_reftransV1_0022880")</f>
        <v>p.persica_gdr_reftransV1_0022880</v>
      </c>
      <c r="B7831" s="3">
        <v>3773</v>
      </c>
      <c r="C7831" s="1" t="str">
        <f>HYPERLINK("http://www.uniprot.org/uniprot/XLG1_ARATH","XLG1_ARATH")</f>
        <v>XLG1_ARATH</v>
      </c>
      <c r="D7831" t="s">
        <v>1906</v>
      </c>
      <c r="E7831" s="3" t="s">
        <v>3</v>
      </c>
      <c r="F7831" s="4">
        <v>0</v>
      </c>
      <c r="G7831" s="3">
        <v>1582</v>
      </c>
      <c r="H7831" s="3">
        <v>60</v>
      </c>
      <c r="I7831" s="3">
        <v>530</v>
      </c>
      <c r="J7831" s="3">
        <v>1253</v>
      </c>
      <c r="K7831" s="3">
        <v>2806</v>
      </c>
      <c r="L7831" s="3">
        <v>173</v>
      </c>
      <c r="M7831" s="3">
        <v>700</v>
      </c>
    </row>
    <row r="7832" spans="1:13" x14ac:dyDescent="0.25">
      <c r="A7832" s="1" t="str">
        <f>HYPERLINK("http://www.rosaceae.org/Prunus/Prunus_persica/p.persica_gdr_reftransV1_0022930","p.persica_gdr_reftransV1_0022930")</f>
        <v>p.persica_gdr_reftransV1_0022930</v>
      </c>
      <c r="B7832" s="3">
        <v>1093</v>
      </c>
      <c r="C7832" s="1" t="str">
        <f>HYPERLINK("http://www.uniprot.org/uniprot/YPTM2_MAIZE","YPTM2_MAIZE")</f>
        <v>YPTM2_MAIZE</v>
      </c>
      <c r="D7832" t="s">
        <v>1105</v>
      </c>
      <c r="E7832" s="3" t="s">
        <v>72</v>
      </c>
      <c r="F7832" s="4">
        <v>2.4900000000000001E-121</v>
      </c>
      <c r="G7832" s="3">
        <v>912</v>
      </c>
      <c r="H7832" s="3">
        <v>81</v>
      </c>
      <c r="I7832" s="3">
        <v>203</v>
      </c>
      <c r="J7832" s="3">
        <v>395</v>
      </c>
      <c r="K7832" s="3">
        <v>1000</v>
      </c>
      <c r="L7832" s="3">
        <v>1</v>
      </c>
      <c r="M7832" s="3">
        <v>203</v>
      </c>
    </row>
    <row r="7833" spans="1:13" x14ac:dyDescent="0.25">
      <c r="A7833" s="1" t="str">
        <f>HYPERLINK("http://www.rosaceae.org/Prunus/Prunus_persica/p.persica_gdr_reftransV1_0022980","p.persica_gdr_reftransV1_0022980")</f>
        <v>p.persica_gdr_reftransV1_0022980</v>
      </c>
      <c r="B7833" s="3">
        <v>3083</v>
      </c>
      <c r="C7833" s="1" t="str">
        <f>HYPERLINK("http://www.uniprot.org/uniprot/AMPL3_ARATH","AMPL3_ARATH")</f>
        <v>AMPL3_ARATH</v>
      </c>
      <c r="D7833" t="s">
        <v>6167</v>
      </c>
      <c r="E7833" s="3" t="s">
        <v>3</v>
      </c>
      <c r="F7833" s="4">
        <v>0</v>
      </c>
      <c r="G7833" s="3">
        <v>1622</v>
      </c>
      <c r="H7833" s="3">
        <v>78</v>
      </c>
      <c r="I7833" s="3">
        <v>428</v>
      </c>
      <c r="J7833" s="3">
        <v>144</v>
      </c>
      <c r="K7833" s="3">
        <v>1406</v>
      </c>
      <c r="L7833" s="3">
        <v>46</v>
      </c>
      <c r="M7833" s="3">
        <v>472</v>
      </c>
    </row>
    <row r="7834" spans="1:13" x14ac:dyDescent="0.25">
      <c r="A7834" s="1" t="str">
        <f>HYPERLINK("http://www.rosaceae.org/Prunus/Prunus_persica/p.persica_gdr_reftransV1_0023030","p.persica_gdr_reftransV1_0023030")</f>
        <v>p.persica_gdr_reftransV1_0023030</v>
      </c>
      <c r="B7834" s="3">
        <v>2826</v>
      </c>
      <c r="C7834" s="1" t="str">
        <f>HYPERLINK("http://www.uniprot.org/uniprot/BH013_ARATH","BH013_ARATH")</f>
        <v>BH013_ARATH</v>
      </c>
      <c r="D7834" t="s">
        <v>4469</v>
      </c>
      <c r="E7834" s="3" t="s">
        <v>3</v>
      </c>
      <c r="F7834" s="4">
        <v>0</v>
      </c>
      <c r="G7834" s="3">
        <v>1540</v>
      </c>
      <c r="H7834" s="3">
        <v>55</v>
      </c>
      <c r="I7834" s="3">
        <v>631</v>
      </c>
      <c r="J7834" s="3">
        <v>301</v>
      </c>
      <c r="K7834" s="3">
        <v>2091</v>
      </c>
      <c r="L7834" s="3">
        <v>1</v>
      </c>
      <c r="M7834" s="3">
        <v>574</v>
      </c>
    </row>
    <row r="7835" spans="1:13" x14ac:dyDescent="0.25">
      <c r="A7835" s="1" t="str">
        <f>HYPERLINK("http://www.rosaceae.org/Prunus/Prunus_persica/p.persica_gdr_reftransV1_0023380","p.persica_gdr_reftransV1_0023380")</f>
        <v>p.persica_gdr_reftransV1_0023380</v>
      </c>
      <c r="B7835" s="3">
        <v>1842</v>
      </c>
      <c r="C7835" s="1" t="str">
        <f>HYPERLINK("http://www.uniprot.org/uniprot/FH13_ARATH","FH13_ARATH")</f>
        <v>FH13_ARATH</v>
      </c>
      <c r="D7835" t="s">
        <v>6168</v>
      </c>
      <c r="E7835" s="3" t="s">
        <v>3</v>
      </c>
      <c r="F7835" s="4">
        <v>0</v>
      </c>
      <c r="G7835" s="3">
        <v>1632</v>
      </c>
      <c r="H7835" s="3">
        <v>62</v>
      </c>
      <c r="I7835" s="3">
        <v>486</v>
      </c>
      <c r="J7835" s="3">
        <v>72</v>
      </c>
      <c r="K7835" s="3">
        <v>1526</v>
      </c>
      <c r="L7835" s="3">
        <v>1</v>
      </c>
      <c r="M7835" s="3">
        <v>474</v>
      </c>
    </row>
    <row r="7836" spans="1:13" x14ac:dyDescent="0.25">
      <c r="A7836" s="1" t="str">
        <f>HYPERLINK("http://www.rosaceae.org/Prunus/Prunus_persica/p.persica_gdr_reftransV1_0023680","p.persica_gdr_reftransV1_0023680")</f>
        <v>p.persica_gdr_reftransV1_0023680</v>
      </c>
      <c r="B7836" s="3">
        <v>3167</v>
      </c>
      <c r="C7836" s="1" t="str">
        <f>HYPERLINK("http://www.uniprot.org/uniprot/PI5K8_ARATH","PI5K8_ARATH")</f>
        <v>PI5K8_ARATH</v>
      </c>
      <c r="D7836" t="s">
        <v>5456</v>
      </c>
      <c r="E7836" s="3" t="s">
        <v>3</v>
      </c>
      <c r="F7836" s="4">
        <v>0</v>
      </c>
      <c r="G7836" s="3">
        <v>2158</v>
      </c>
      <c r="H7836" s="3">
        <v>64</v>
      </c>
      <c r="I7836" s="3">
        <v>626</v>
      </c>
      <c r="J7836" s="3">
        <v>386</v>
      </c>
      <c r="K7836" s="3">
        <v>2251</v>
      </c>
      <c r="L7836" s="3">
        <v>1</v>
      </c>
      <c r="M7836" s="3">
        <v>618</v>
      </c>
    </row>
    <row r="7837" spans="1:13" x14ac:dyDescent="0.25">
      <c r="A7837" s="1" t="str">
        <f>HYPERLINK("http://www.rosaceae.org/Prunus/Prunus_persica/p.persica_gdr_reftransV1_0024230","p.persica_gdr_reftransV1_0024230")</f>
        <v>p.persica_gdr_reftransV1_0024230</v>
      </c>
      <c r="B7837" s="3">
        <v>2219</v>
      </c>
      <c r="C7837" s="1" t="str">
        <f>HYPERLINK("http://www.uniprot.org/uniprot/CBP1_ORYSJ","CBP1_ORYSJ")</f>
        <v>CBP1_ORYSJ</v>
      </c>
      <c r="D7837" t="s">
        <v>6169</v>
      </c>
      <c r="E7837" s="3" t="s">
        <v>38</v>
      </c>
      <c r="F7837" s="4">
        <v>5.4699999999999999E-163</v>
      </c>
      <c r="G7837" s="3">
        <v>1255</v>
      </c>
      <c r="H7837" s="3">
        <v>68</v>
      </c>
      <c r="I7837" s="3">
        <v>334</v>
      </c>
      <c r="J7837" s="3">
        <v>289</v>
      </c>
      <c r="K7837" s="3">
        <v>1281</v>
      </c>
      <c r="L7837" s="3">
        <v>34</v>
      </c>
      <c r="M7837" s="3">
        <v>366</v>
      </c>
    </row>
    <row r="7838" spans="1:13" x14ac:dyDescent="0.25">
      <c r="A7838" s="1" t="str">
        <f>HYPERLINK("http://www.rosaceae.org/Prunus/Prunus_persica/p.persica_gdr_reftransV1_0024280","p.persica_gdr_reftransV1_0024280")</f>
        <v>p.persica_gdr_reftransV1_0024280</v>
      </c>
      <c r="B7838" s="3">
        <v>2023</v>
      </c>
      <c r="C7838" s="1" t="str">
        <f>HYPERLINK("http://www.uniprot.org/uniprot/POF21_ARATH","POF21_ARATH")</f>
        <v>POF21_ARATH</v>
      </c>
      <c r="D7838" t="s">
        <v>6170</v>
      </c>
      <c r="E7838" s="3" t="s">
        <v>3</v>
      </c>
      <c r="F7838" s="4">
        <v>2.4999999999999998E-125</v>
      </c>
      <c r="G7838" s="3">
        <v>987</v>
      </c>
      <c r="H7838" s="3">
        <v>65</v>
      </c>
      <c r="I7838" s="3">
        <v>359</v>
      </c>
      <c r="J7838" s="3">
        <v>793</v>
      </c>
      <c r="K7838" s="3">
        <v>1854</v>
      </c>
      <c r="L7838" s="3">
        <v>1</v>
      </c>
      <c r="M7838" s="3">
        <v>324</v>
      </c>
    </row>
    <row r="7839" spans="1:13" x14ac:dyDescent="0.25">
      <c r="A7839" s="1" t="str">
        <f>HYPERLINK("http://www.rosaceae.org/Prunus/Prunus_persica/p.persica_gdr_reftransV1_0024330","p.persica_gdr_reftransV1_0024330")</f>
        <v>p.persica_gdr_reftransV1_0024330</v>
      </c>
      <c r="B7839" s="3">
        <v>1583</v>
      </c>
      <c r="C7839" s="1" t="str">
        <f>HYPERLINK("http://www.uniprot.org/uniprot/SDP6_ARATH","SDP6_ARATH")</f>
        <v>SDP6_ARATH</v>
      </c>
      <c r="D7839" t="s">
        <v>6171</v>
      </c>
      <c r="E7839" s="3" t="s">
        <v>3</v>
      </c>
      <c r="F7839" s="4">
        <v>0</v>
      </c>
      <c r="G7839" s="3">
        <v>1781</v>
      </c>
      <c r="H7839" s="3">
        <v>84</v>
      </c>
      <c r="I7839" s="3">
        <v>419</v>
      </c>
      <c r="J7839" s="3">
        <v>144</v>
      </c>
      <c r="K7839" s="3">
        <v>1400</v>
      </c>
      <c r="L7839" s="3">
        <v>26</v>
      </c>
      <c r="M7839" s="3">
        <v>443</v>
      </c>
    </row>
    <row r="7840" spans="1:13" x14ac:dyDescent="0.25">
      <c r="A7840" s="1" t="str">
        <f>HYPERLINK("http://www.rosaceae.org/Prunus/Prunus_persica/p.persica_gdr_reftransV1_0024480","p.persica_gdr_reftransV1_0024480")</f>
        <v>p.persica_gdr_reftransV1_0024480</v>
      </c>
      <c r="B7840" s="3">
        <v>1332</v>
      </c>
      <c r="C7840" s="1" t="str">
        <f>HYPERLINK("http://www.uniprot.org/uniprot/RS5_CICAR","RS5_CICAR")</f>
        <v>RS5_CICAR</v>
      </c>
      <c r="D7840" t="s">
        <v>943</v>
      </c>
      <c r="E7840" s="3" t="s">
        <v>944</v>
      </c>
      <c r="F7840" s="4">
        <v>9.1899999999999998E-118</v>
      </c>
      <c r="G7840" s="3">
        <v>896</v>
      </c>
      <c r="H7840" s="3">
        <v>95</v>
      </c>
      <c r="I7840" s="3">
        <v>176</v>
      </c>
      <c r="J7840" s="3">
        <v>298</v>
      </c>
      <c r="K7840" s="3">
        <v>825</v>
      </c>
      <c r="L7840" s="3">
        <v>22</v>
      </c>
      <c r="M7840" s="3">
        <v>197</v>
      </c>
    </row>
    <row r="7841" spans="1:13" x14ac:dyDescent="0.25">
      <c r="A7841" s="1" t="str">
        <f>HYPERLINK("http://www.rosaceae.org/Prunus/Prunus_persica/p.persica_gdr_reftransV1_0024580","p.persica_gdr_reftransV1_0024580")</f>
        <v>p.persica_gdr_reftransV1_0024580</v>
      </c>
      <c r="B7841" s="3">
        <v>1111</v>
      </c>
      <c r="C7841" s="1" t="str">
        <f>HYPERLINK("http://www.uniprot.org/uniprot/PPA1_SOLLC","PPA1_SOLLC")</f>
        <v>PPA1_SOLLC</v>
      </c>
      <c r="D7841" t="s">
        <v>4322</v>
      </c>
      <c r="E7841" s="3" t="s">
        <v>64</v>
      </c>
      <c r="F7841" s="4">
        <v>8.8799999999999998E-58</v>
      </c>
      <c r="G7841" s="3">
        <v>494</v>
      </c>
      <c r="H7841" s="3">
        <v>43</v>
      </c>
      <c r="I7841" s="3">
        <v>212</v>
      </c>
      <c r="J7841" s="3">
        <v>171</v>
      </c>
      <c r="K7841" s="3">
        <v>806</v>
      </c>
      <c r="L7841" s="3">
        <v>43</v>
      </c>
      <c r="M7841" s="3">
        <v>253</v>
      </c>
    </row>
    <row r="7842" spans="1:13" x14ac:dyDescent="0.25">
      <c r="A7842" s="1" t="str">
        <f>HYPERLINK("http://www.rosaceae.org/Prunus/Prunus_persica/p.persica_gdr_reftransV1_0024630","p.persica_gdr_reftransV1_0024630")</f>
        <v>p.persica_gdr_reftransV1_0024630</v>
      </c>
      <c r="B7842" s="3">
        <v>404</v>
      </c>
      <c r="C7842" s="1" t="str">
        <f>HYPERLINK("http://www.uniprot.org/uniprot/PP122_ARATH","PP122_ARATH")</f>
        <v>PP122_ARATH</v>
      </c>
      <c r="D7842" t="s">
        <v>4646</v>
      </c>
      <c r="E7842" s="3" t="s">
        <v>3</v>
      </c>
      <c r="F7842" s="4">
        <v>1.43E-13</v>
      </c>
      <c r="G7842" s="3">
        <v>173</v>
      </c>
      <c r="H7842" s="3">
        <v>38</v>
      </c>
      <c r="I7842" s="3">
        <v>94</v>
      </c>
      <c r="J7842" s="3">
        <v>119</v>
      </c>
      <c r="K7842" s="3">
        <v>400</v>
      </c>
      <c r="L7842" s="3">
        <v>23</v>
      </c>
      <c r="M7842" s="3">
        <v>115</v>
      </c>
    </row>
    <row r="7843" spans="1:13" x14ac:dyDescent="0.25">
      <c r="A7843" s="1" t="str">
        <f>HYPERLINK("http://www.rosaceae.org/Prunus/Prunus_persica/p.persica_gdr_reftransV1_0024680","p.persica_gdr_reftransV1_0024680")</f>
        <v>p.persica_gdr_reftransV1_0024680</v>
      </c>
      <c r="B7843" s="3">
        <v>562</v>
      </c>
      <c r="C7843" s="1" t="str">
        <f>HYPERLINK("http://www.uniprot.org/uniprot/ATL73_ARATH","ATL73_ARATH")</f>
        <v>ATL73_ARATH</v>
      </c>
      <c r="D7843" t="s">
        <v>6172</v>
      </c>
      <c r="E7843" s="3" t="s">
        <v>3</v>
      </c>
      <c r="F7843" s="4">
        <v>3.2200000000000003E-11</v>
      </c>
      <c r="G7843" s="3">
        <v>150</v>
      </c>
      <c r="H7843" s="3">
        <v>37</v>
      </c>
      <c r="I7843" s="3">
        <v>92</v>
      </c>
      <c r="J7843" s="3">
        <v>2</v>
      </c>
      <c r="K7843" s="3">
        <v>271</v>
      </c>
      <c r="L7843" s="3">
        <v>42</v>
      </c>
      <c r="M7843" s="3">
        <v>124</v>
      </c>
    </row>
    <row r="7844" spans="1:13" x14ac:dyDescent="0.25">
      <c r="A7844" s="1" t="str">
        <f>HYPERLINK("http://www.rosaceae.org/Prunus/Prunus_persica/p.persica_gdr_reftransV1_0024730","p.persica_gdr_reftransV1_0024730")</f>
        <v>p.persica_gdr_reftransV1_0024730</v>
      </c>
      <c r="B7844" s="3">
        <v>1161</v>
      </c>
      <c r="C7844" s="1" t="str">
        <f>HYPERLINK("http://www.uniprot.org/uniprot/PLDA1_RICCO","PLDA1_RICCO")</f>
        <v>PLDA1_RICCO</v>
      </c>
      <c r="D7844" t="s">
        <v>6173</v>
      </c>
      <c r="E7844" s="3" t="s">
        <v>421</v>
      </c>
      <c r="F7844" s="4">
        <v>8.0400000000000004E-176</v>
      </c>
      <c r="G7844" s="3">
        <v>1332</v>
      </c>
      <c r="H7844" s="3">
        <v>79</v>
      </c>
      <c r="I7844" s="3">
        <v>314</v>
      </c>
      <c r="J7844" s="3">
        <v>220</v>
      </c>
      <c r="K7844" s="3">
        <v>1161</v>
      </c>
      <c r="L7844" s="3">
        <v>497</v>
      </c>
      <c r="M7844" s="3">
        <v>808</v>
      </c>
    </row>
    <row r="7845" spans="1:13" x14ac:dyDescent="0.25">
      <c r="A7845" s="1" t="str">
        <f>HYPERLINK("http://www.rosaceae.org/Prunus/Prunus_persica/p.persica_gdr_reftransV1_0024930","p.persica_gdr_reftransV1_0024930")</f>
        <v>p.persica_gdr_reftransV1_0024930</v>
      </c>
      <c r="B7845" s="3">
        <v>2099</v>
      </c>
      <c r="C7845" s="1" t="str">
        <f>HYPERLINK("http://www.uniprot.org/uniprot/CDC16_ARATH","CDC16_ARATH")</f>
        <v>CDC16_ARATH</v>
      </c>
      <c r="D7845" t="s">
        <v>6174</v>
      </c>
      <c r="E7845" s="3" t="s">
        <v>3</v>
      </c>
      <c r="F7845" s="4">
        <v>0</v>
      </c>
      <c r="G7845" s="3">
        <v>2326</v>
      </c>
      <c r="H7845" s="3">
        <v>82</v>
      </c>
      <c r="I7845" s="3">
        <v>535</v>
      </c>
      <c r="J7845" s="3">
        <v>110</v>
      </c>
      <c r="K7845" s="3">
        <v>1714</v>
      </c>
      <c r="L7845" s="3">
        <v>1</v>
      </c>
      <c r="M7845" s="3">
        <v>533</v>
      </c>
    </row>
    <row r="7846" spans="1:13" x14ac:dyDescent="0.25">
      <c r="A7846" s="1" t="str">
        <f>HYPERLINK("http://www.rosaceae.org/Prunus/Prunus_persica/p.persica_gdr_reftransV1_0024980","p.persica_gdr_reftransV1_0024980")</f>
        <v>p.persica_gdr_reftransV1_0024980</v>
      </c>
      <c r="B7846" s="3">
        <v>381</v>
      </c>
      <c r="C7846" s="1" t="str">
        <f>HYPERLINK("http://www.uniprot.org/uniprot/DRL4_ARATH","DRL4_ARATH")</f>
        <v>DRL4_ARATH</v>
      </c>
      <c r="D7846" t="s">
        <v>2765</v>
      </c>
      <c r="E7846" s="3" t="s">
        <v>3</v>
      </c>
      <c r="F7846" s="4">
        <v>1.9899999999999999E-14</v>
      </c>
      <c r="G7846" s="3">
        <v>179</v>
      </c>
      <c r="H7846" s="3">
        <v>51</v>
      </c>
      <c r="I7846" s="3">
        <v>85</v>
      </c>
      <c r="J7846" s="3">
        <v>6</v>
      </c>
      <c r="K7846" s="3">
        <v>260</v>
      </c>
      <c r="L7846" s="3">
        <v>1</v>
      </c>
      <c r="M7846" s="3">
        <v>82</v>
      </c>
    </row>
    <row r="7847" spans="1:13" x14ac:dyDescent="0.25">
      <c r="A7847" s="1" t="str">
        <f>HYPERLINK("http://www.rosaceae.org/Prunus/Prunus_persica/p.persica_gdr_reftransV1_0025780","p.persica_gdr_reftransV1_0025780")</f>
        <v>p.persica_gdr_reftransV1_0025780</v>
      </c>
      <c r="B7847" s="3">
        <v>2988</v>
      </c>
      <c r="C7847" s="1" t="str">
        <f>HYPERLINK("http://www.uniprot.org/uniprot/CLPX_SYNJA","CLPX_SYNJA")</f>
        <v>CLPX_SYNJA</v>
      </c>
      <c r="D7847" t="s">
        <v>6175</v>
      </c>
      <c r="E7847" s="3" t="s">
        <v>2403</v>
      </c>
      <c r="F7847" s="4">
        <v>1.25E-60</v>
      </c>
      <c r="G7847" s="3">
        <v>556</v>
      </c>
      <c r="H7847" s="3">
        <v>54</v>
      </c>
      <c r="I7847" s="3">
        <v>213</v>
      </c>
      <c r="J7847" s="3">
        <v>1800</v>
      </c>
      <c r="K7847" s="3">
        <v>2432</v>
      </c>
      <c r="L7847" s="3">
        <v>72</v>
      </c>
      <c r="M7847" s="3">
        <v>243</v>
      </c>
    </row>
    <row r="7848" spans="1:13" x14ac:dyDescent="0.25">
      <c r="A7848" s="1" t="str">
        <f>HYPERLINK("http://www.rosaceae.org/Prunus/Prunus_persica/p.persica_gdr_reftransV1_0025930","p.persica_gdr_reftransV1_0025930")</f>
        <v>p.persica_gdr_reftransV1_0025930</v>
      </c>
      <c r="B7848" s="3">
        <v>1308</v>
      </c>
      <c r="C7848" s="1" t="str">
        <f>HYPERLINK("http://www.uniprot.org/uniprot/AOP1L_ARATH","AOP1L_ARATH")</f>
        <v>AOP1L_ARATH</v>
      </c>
      <c r="D7848" t="s">
        <v>482</v>
      </c>
      <c r="E7848" s="3" t="s">
        <v>3</v>
      </c>
      <c r="F7848" s="4">
        <v>3.9499999999999999E-51</v>
      </c>
      <c r="G7848" s="3">
        <v>459</v>
      </c>
      <c r="H7848" s="3">
        <v>34</v>
      </c>
      <c r="I7848" s="3">
        <v>317</v>
      </c>
      <c r="J7848" s="3">
        <v>190</v>
      </c>
      <c r="K7848" s="3">
        <v>1113</v>
      </c>
      <c r="L7848" s="3">
        <v>13</v>
      </c>
      <c r="M7848" s="3">
        <v>321</v>
      </c>
    </row>
    <row r="7849" spans="1:13" x14ac:dyDescent="0.25">
      <c r="A7849" s="1" t="str">
        <f>HYPERLINK("http://www.rosaceae.org/Prunus/Prunus_persica/p.persica_gdr_reftransV1_0026030","p.persica_gdr_reftransV1_0026030")</f>
        <v>p.persica_gdr_reftransV1_0026030</v>
      </c>
      <c r="B7849" s="3">
        <v>4495</v>
      </c>
      <c r="C7849" s="1" t="str">
        <f>HYPERLINK("http://www.uniprot.org/uniprot/RH42_ARATH","RH42_ARATH")</f>
        <v>RH42_ARATH</v>
      </c>
      <c r="D7849" t="s">
        <v>6176</v>
      </c>
      <c r="E7849" s="3" t="s">
        <v>3</v>
      </c>
      <c r="F7849" s="4">
        <v>0</v>
      </c>
      <c r="G7849" s="3">
        <v>3174</v>
      </c>
      <c r="H7849" s="3">
        <v>75</v>
      </c>
      <c r="I7849" s="3">
        <v>913</v>
      </c>
      <c r="J7849" s="3">
        <v>954</v>
      </c>
      <c r="K7849" s="3">
        <v>3677</v>
      </c>
      <c r="L7849" s="3">
        <v>270</v>
      </c>
      <c r="M7849" s="3">
        <v>1166</v>
      </c>
    </row>
    <row r="7850" spans="1:13" x14ac:dyDescent="0.25">
      <c r="A7850" s="1" t="str">
        <f>HYPERLINK("http://www.rosaceae.org/Prunus/Prunus_persica/p.persica_gdr_reftransV1_0026080","p.persica_gdr_reftransV1_0026080")</f>
        <v>p.persica_gdr_reftransV1_0026080</v>
      </c>
      <c r="B7850" s="3">
        <v>3372</v>
      </c>
      <c r="C7850" s="1" t="str">
        <f>HYPERLINK("http://www.uniprot.org/uniprot/SCAM4_ARATH","SCAM4_ARATH")</f>
        <v>SCAM4_ARATH</v>
      </c>
      <c r="D7850" t="s">
        <v>6177</v>
      </c>
      <c r="E7850" s="3" t="s">
        <v>3</v>
      </c>
      <c r="F7850" s="4">
        <v>2.0500000000000001E-102</v>
      </c>
      <c r="G7850" s="3">
        <v>845</v>
      </c>
      <c r="H7850" s="3">
        <v>74</v>
      </c>
      <c r="I7850" s="3">
        <v>228</v>
      </c>
      <c r="J7850" s="3">
        <v>98</v>
      </c>
      <c r="K7850" s="3">
        <v>781</v>
      </c>
      <c r="L7850" s="3">
        <v>1</v>
      </c>
      <c r="M7850" s="3">
        <v>219</v>
      </c>
    </row>
    <row r="7851" spans="1:13" x14ac:dyDescent="0.25">
      <c r="A7851" s="1" t="str">
        <f>HYPERLINK("http://www.rosaceae.org/Prunus/Prunus_persica/p.persica_gdr_reftransV1_0026430","p.persica_gdr_reftransV1_0026430")</f>
        <v>p.persica_gdr_reftransV1_0026430</v>
      </c>
      <c r="B7851" s="3">
        <v>3510</v>
      </c>
      <c r="C7851" s="1" t="str">
        <f>HYPERLINK("http://www.uniprot.org/uniprot/PP199_ARATH","PP199_ARATH")</f>
        <v>PP199_ARATH</v>
      </c>
      <c r="D7851" t="s">
        <v>6178</v>
      </c>
      <c r="E7851" s="3" t="s">
        <v>3</v>
      </c>
      <c r="F7851" s="4">
        <v>0</v>
      </c>
      <c r="G7851" s="3">
        <v>2734</v>
      </c>
      <c r="H7851" s="3">
        <v>72</v>
      </c>
      <c r="I7851" s="3">
        <v>684</v>
      </c>
      <c r="J7851" s="3">
        <v>1454</v>
      </c>
      <c r="K7851" s="3">
        <v>3502</v>
      </c>
      <c r="L7851" s="3">
        <v>1</v>
      </c>
      <c r="M7851" s="3">
        <v>681</v>
      </c>
    </row>
    <row r="7852" spans="1:13" x14ac:dyDescent="0.25">
      <c r="A7852" s="1" t="str">
        <f>HYPERLINK("http://www.rosaceae.org/Prunus/Prunus_persica/p.persica_gdr_reftransV1_0026530","p.persica_gdr_reftransV1_0026530")</f>
        <v>p.persica_gdr_reftransV1_0026530</v>
      </c>
      <c r="B7852" s="3">
        <v>1750</v>
      </c>
      <c r="C7852" s="1" t="str">
        <f>HYPERLINK("http://www.uniprot.org/uniprot/ARMC6_HUMAN","ARMC6_HUMAN")</f>
        <v>ARMC6_HUMAN</v>
      </c>
      <c r="D7852" t="s">
        <v>6179</v>
      </c>
      <c r="E7852" s="3" t="s">
        <v>28</v>
      </c>
      <c r="F7852" s="4">
        <v>2.6100000000000001E-30</v>
      </c>
      <c r="G7852" s="3">
        <v>248</v>
      </c>
      <c r="H7852" s="3">
        <v>28</v>
      </c>
      <c r="I7852" s="3">
        <v>314</v>
      </c>
      <c r="J7852" s="3">
        <v>251</v>
      </c>
      <c r="K7852" s="3">
        <v>1147</v>
      </c>
      <c r="L7852" s="3">
        <v>175</v>
      </c>
      <c r="M7852" s="3">
        <v>483</v>
      </c>
    </row>
    <row r="7853" spans="1:13" x14ac:dyDescent="0.25">
      <c r="A7853" s="1" t="str">
        <f>HYPERLINK("http://www.rosaceae.org/Prunus/Prunus_persica/p.persica_gdr_reftransV1_0026680","p.persica_gdr_reftransV1_0026680")</f>
        <v>p.persica_gdr_reftransV1_0026680</v>
      </c>
      <c r="B7853" s="3">
        <v>3029</v>
      </c>
      <c r="C7853" s="1" t="str">
        <f>HYPERLINK("http://www.uniprot.org/uniprot/RHP16_SCHPO","RHP16_SCHPO")</f>
        <v>RHP16_SCHPO</v>
      </c>
      <c r="D7853" t="s">
        <v>6180</v>
      </c>
      <c r="E7853" s="3" t="s">
        <v>464</v>
      </c>
      <c r="F7853" s="4">
        <v>9.9600000000000005E-151</v>
      </c>
      <c r="G7853" s="3">
        <v>1225</v>
      </c>
      <c r="H7853" s="3">
        <v>48</v>
      </c>
      <c r="I7853" s="3">
        <v>497</v>
      </c>
      <c r="J7853" s="3">
        <v>275</v>
      </c>
      <c r="K7853" s="3">
        <v>1750</v>
      </c>
      <c r="L7853" s="3">
        <v>374</v>
      </c>
      <c r="M7853" s="3">
        <v>859</v>
      </c>
    </row>
    <row r="7854" spans="1:13" x14ac:dyDescent="0.25">
      <c r="A7854" s="1" t="str">
        <f>HYPERLINK("http://www.rosaceae.org/Prunus/Prunus_persica/p.persica_gdr_reftransV1_0026730","p.persica_gdr_reftransV1_0026730")</f>
        <v>p.persica_gdr_reftransV1_0026730</v>
      </c>
      <c r="B7854" s="3">
        <v>1801</v>
      </c>
      <c r="C7854" s="1" t="str">
        <f>HYPERLINK("http://www.uniprot.org/uniprot/MTNA_RICCO","MTNA_RICCO")</f>
        <v>MTNA_RICCO</v>
      </c>
      <c r="D7854" t="s">
        <v>6181</v>
      </c>
      <c r="E7854" s="3" t="s">
        <v>421</v>
      </c>
      <c r="F7854" s="4">
        <v>0</v>
      </c>
      <c r="G7854" s="3">
        <v>1462</v>
      </c>
      <c r="H7854" s="3">
        <v>76</v>
      </c>
      <c r="I7854" s="3">
        <v>382</v>
      </c>
      <c r="J7854" s="3">
        <v>409</v>
      </c>
      <c r="K7854" s="3">
        <v>1554</v>
      </c>
      <c r="L7854" s="3">
        <v>1</v>
      </c>
      <c r="M7854" s="3">
        <v>382</v>
      </c>
    </row>
    <row r="7855" spans="1:13" x14ac:dyDescent="0.25">
      <c r="A7855" s="1" t="str">
        <f>HYPERLINK("http://www.rosaceae.org/Prunus/Prunus_persica/p.persica_gdr_reftransV1_0027080","p.persica_gdr_reftransV1_0027080")</f>
        <v>p.persica_gdr_reftransV1_0027080</v>
      </c>
      <c r="B7855" s="3">
        <v>3810</v>
      </c>
      <c r="C7855" s="1" t="str">
        <f>HYPERLINK("http://www.uniprot.org/uniprot/SAC1_ARATH","SAC1_ARATH")</f>
        <v>SAC1_ARATH</v>
      </c>
      <c r="D7855" t="s">
        <v>6182</v>
      </c>
      <c r="E7855" s="3" t="s">
        <v>3</v>
      </c>
      <c r="F7855" s="4">
        <v>0</v>
      </c>
      <c r="G7855" s="3">
        <v>2061</v>
      </c>
      <c r="H7855" s="3">
        <v>71</v>
      </c>
      <c r="I7855" s="3">
        <v>552</v>
      </c>
      <c r="J7855" s="3">
        <v>228</v>
      </c>
      <c r="K7855" s="3">
        <v>1880</v>
      </c>
      <c r="L7855" s="3">
        <v>362</v>
      </c>
      <c r="M7855" s="3">
        <v>911</v>
      </c>
    </row>
    <row r="7856" spans="1:13" x14ac:dyDescent="0.25">
      <c r="A7856" s="1" t="str">
        <f>HYPERLINK("http://www.rosaceae.org/Prunus/Prunus_persica/p.persica_gdr_reftransV1_0027580","p.persica_gdr_reftransV1_0027580")</f>
        <v>p.persica_gdr_reftransV1_0027580</v>
      </c>
      <c r="B7856" s="3">
        <v>2401</v>
      </c>
      <c r="C7856" s="1" t="str">
        <f>HYPERLINK("http://www.uniprot.org/uniprot/TM245_MOUSE","TM245_MOUSE")</f>
        <v>TM245_MOUSE</v>
      </c>
      <c r="D7856" t="s">
        <v>6183</v>
      </c>
      <c r="E7856" s="3" t="s">
        <v>157</v>
      </c>
      <c r="F7856" s="4">
        <v>1.07E-16</v>
      </c>
      <c r="G7856" s="3">
        <v>218</v>
      </c>
      <c r="H7856" s="3">
        <v>33</v>
      </c>
      <c r="I7856" s="3">
        <v>196</v>
      </c>
      <c r="J7856" s="3">
        <v>445</v>
      </c>
      <c r="K7856" s="3">
        <v>1014</v>
      </c>
      <c r="L7856" s="3">
        <v>645</v>
      </c>
      <c r="M7856" s="3">
        <v>837</v>
      </c>
    </row>
    <row r="7857" spans="1:13" x14ac:dyDescent="0.25">
      <c r="A7857" s="1" t="str">
        <f>HYPERLINK("http://www.rosaceae.org/Prunus/Prunus_persica/p.persica_gdr_reftransV1_0027630","p.persica_gdr_reftransV1_0027630")</f>
        <v>p.persica_gdr_reftransV1_0027630</v>
      </c>
      <c r="B7857" s="3">
        <v>1225</v>
      </c>
      <c r="C7857" s="1" t="str">
        <f>HYPERLINK("http://www.uniprot.org/uniprot/CP19D_ARATH","CP19D_ARATH")</f>
        <v>CP19D_ARATH</v>
      </c>
      <c r="D7857" t="s">
        <v>2099</v>
      </c>
      <c r="E7857" s="3" t="s">
        <v>3</v>
      </c>
      <c r="F7857" s="4">
        <v>5.5099999999999997E-62</v>
      </c>
      <c r="G7857" s="3">
        <v>521</v>
      </c>
      <c r="H7857" s="3">
        <v>80</v>
      </c>
      <c r="I7857" s="3">
        <v>141</v>
      </c>
      <c r="J7857" s="3">
        <v>156</v>
      </c>
      <c r="K7857" s="3">
        <v>578</v>
      </c>
      <c r="L7857" s="3">
        <v>63</v>
      </c>
      <c r="M7857" s="3">
        <v>201</v>
      </c>
    </row>
    <row r="7858" spans="1:13" x14ac:dyDescent="0.25">
      <c r="A7858" s="1" t="str">
        <f>HYPERLINK("http://www.rosaceae.org/Prunus/Prunus_persica/p.persica_gdr_reftransV1_0027680","p.persica_gdr_reftransV1_0027680")</f>
        <v>p.persica_gdr_reftransV1_0027680</v>
      </c>
      <c r="B7858" s="3">
        <v>2178</v>
      </c>
      <c r="C7858" s="1" t="str">
        <f>HYPERLINK("http://www.uniprot.org/uniprot/RH20_ARATH","RH20_ARATH")</f>
        <v>RH20_ARATH</v>
      </c>
      <c r="D7858" t="s">
        <v>6184</v>
      </c>
      <c r="E7858" s="3" t="s">
        <v>3</v>
      </c>
      <c r="F7858" s="4">
        <v>0</v>
      </c>
      <c r="G7858" s="3">
        <v>1840</v>
      </c>
      <c r="H7858" s="3">
        <v>84</v>
      </c>
      <c r="I7858" s="3">
        <v>421</v>
      </c>
      <c r="J7858" s="3">
        <v>154</v>
      </c>
      <c r="K7858" s="3">
        <v>1401</v>
      </c>
      <c r="L7858" s="3">
        <v>1</v>
      </c>
      <c r="M7858" s="3">
        <v>421</v>
      </c>
    </row>
    <row r="7859" spans="1:13" x14ac:dyDescent="0.25">
      <c r="A7859" s="1" t="str">
        <f>HYPERLINK("http://www.rosaceae.org/Prunus/Prunus_persica/p.persica_gdr_reftransV1_0028330","p.persica_gdr_reftransV1_0028330")</f>
        <v>p.persica_gdr_reftransV1_0028330</v>
      </c>
      <c r="B7859" s="3">
        <v>3771</v>
      </c>
      <c r="C7859" s="1" t="str">
        <f>HYPERLINK("http://www.uniprot.org/uniprot/SUVH6_ARATH","SUVH6_ARATH")</f>
        <v>SUVH6_ARATH</v>
      </c>
      <c r="D7859" t="s">
        <v>3916</v>
      </c>
      <c r="E7859" s="3" t="s">
        <v>3</v>
      </c>
      <c r="F7859" s="4">
        <v>0</v>
      </c>
      <c r="G7859" s="3">
        <v>1680</v>
      </c>
      <c r="H7859" s="3">
        <v>66</v>
      </c>
      <c r="I7859" s="3">
        <v>523</v>
      </c>
      <c r="J7859" s="3">
        <v>795</v>
      </c>
      <c r="K7859" s="3">
        <v>2318</v>
      </c>
      <c r="L7859" s="3">
        <v>270</v>
      </c>
      <c r="M7859" s="3">
        <v>790</v>
      </c>
    </row>
    <row r="7860" spans="1:13" x14ac:dyDescent="0.25">
      <c r="A7860" s="1" t="str">
        <f>HYPERLINK("http://www.rosaceae.org/Prunus/Prunus_persica/p.persica_gdr_reftransV1_0028530","p.persica_gdr_reftransV1_0028530")</f>
        <v>p.persica_gdr_reftransV1_0028530</v>
      </c>
      <c r="B7860" s="3">
        <v>1248</v>
      </c>
      <c r="C7860" s="1" t="str">
        <f>HYPERLINK("http://www.uniprot.org/uniprot/APX2_ARATH","APX2_ARATH")</f>
        <v>APX2_ARATH</v>
      </c>
      <c r="D7860" t="s">
        <v>5848</v>
      </c>
      <c r="E7860" s="3" t="s">
        <v>3</v>
      </c>
      <c r="F7860" s="4">
        <v>1.16E-140</v>
      </c>
      <c r="G7860" s="3">
        <v>1050</v>
      </c>
      <c r="H7860" s="3">
        <v>84</v>
      </c>
      <c r="I7860" s="3">
        <v>250</v>
      </c>
      <c r="J7860" s="3">
        <v>301</v>
      </c>
      <c r="K7860" s="3">
        <v>1050</v>
      </c>
      <c r="L7860" s="3">
        <v>2</v>
      </c>
      <c r="M7860" s="3">
        <v>251</v>
      </c>
    </row>
    <row r="7861" spans="1:13" x14ac:dyDescent="0.25">
      <c r="A7861" s="1" t="str">
        <f>HYPERLINK("http://www.rosaceae.org/Prunus/Prunus_persica/p.persica_gdr_reftransV1_0028780","p.persica_gdr_reftransV1_0028780")</f>
        <v>p.persica_gdr_reftransV1_0028780</v>
      </c>
      <c r="B7861" s="3">
        <v>1226</v>
      </c>
      <c r="C7861" s="1" t="str">
        <f>HYPERLINK("http://www.uniprot.org/uniprot/IF2B_MALDO","IF2B_MALDO")</f>
        <v>IF2B_MALDO</v>
      </c>
      <c r="D7861" t="s">
        <v>6185</v>
      </c>
      <c r="E7861" s="3" t="s">
        <v>540</v>
      </c>
      <c r="F7861" s="4">
        <v>5.3899999999999997E-171</v>
      </c>
      <c r="G7861" s="3">
        <v>1252</v>
      </c>
      <c r="H7861" s="3">
        <v>92</v>
      </c>
      <c r="I7861" s="3">
        <v>271</v>
      </c>
      <c r="J7861" s="3">
        <v>284</v>
      </c>
      <c r="K7861" s="3">
        <v>1096</v>
      </c>
      <c r="L7861" s="3">
        <v>1</v>
      </c>
      <c r="M7861" s="3">
        <v>271</v>
      </c>
    </row>
    <row r="7862" spans="1:13" x14ac:dyDescent="0.25">
      <c r="A7862" s="1" t="str">
        <f>HYPERLINK("http://www.rosaceae.org/Prunus/Prunus_persica/p.persica_gdr_reftransV1_0028830","p.persica_gdr_reftransV1_0028830")</f>
        <v>p.persica_gdr_reftransV1_0028830</v>
      </c>
      <c r="B7862" s="3">
        <v>2076</v>
      </c>
      <c r="C7862" s="1" t="str">
        <f>HYPERLINK("http://www.uniprot.org/uniprot/PYL8_ARATH","PYL8_ARATH")</f>
        <v>PYL8_ARATH</v>
      </c>
      <c r="D7862" t="s">
        <v>6186</v>
      </c>
      <c r="E7862" s="3" t="s">
        <v>3</v>
      </c>
      <c r="F7862" s="4">
        <v>9.6299999999999996E-53</v>
      </c>
      <c r="G7862" s="3">
        <v>470</v>
      </c>
      <c r="H7862" s="3">
        <v>80</v>
      </c>
      <c r="I7862" s="3">
        <v>104</v>
      </c>
      <c r="J7862" s="3">
        <v>1421</v>
      </c>
      <c r="K7862" s="3">
        <v>1732</v>
      </c>
      <c r="L7862" s="3">
        <v>17</v>
      </c>
      <c r="M7862" s="3">
        <v>120</v>
      </c>
    </row>
    <row r="7863" spans="1:13" x14ac:dyDescent="0.25">
      <c r="A7863" s="1" t="str">
        <f>HYPERLINK("http://www.rosaceae.org/Prunus/Prunus_persica/p.persica_gdr_reftransV1_0028930","p.persica_gdr_reftransV1_0028930")</f>
        <v>p.persica_gdr_reftransV1_0028930</v>
      </c>
      <c r="B7863" s="3">
        <v>2059</v>
      </c>
      <c r="C7863" s="1" t="str">
        <f>HYPERLINK("http://www.uniprot.org/uniprot/Y1733_ARATH","Y1733_ARATH")</f>
        <v>Y1733_ARATH</v>
      </c>
      <c r="D7863" t="s">
        <v>6187</v>
      </c>
      <c r="E7863" s="3" t="s">
        <v>3</v>
      </c>
      <c r="F7863" s="4">
        <v>0</v>
      </c>
      <c r="G7863" s="3">
        <v>1565</v>
      </c>
      <c r="H7863" s="3">
        <v>66</v>
      </c>
      <c r="I7863" s="3">
        <v>513</v>
      </c>
      <c r="J7863" s="3">
        <v>371</v>
      </c>
      <c r="K7863" s="3">
        <v>1879</v>
      </c>
      <c r="L7863" s="3">
        <v>1</v>
      </c>
      <c r="M7863" s="3">
        <v>472</v>
      </c>
    </row>
    <row r="7864" spans="1:13" x14ac:dyDescent="0.25">
      <c r="A7864" s="1" t="str">
        <f>HYPERLINK("http://www.rosaceae.org/Prunus/Prunus_persica/p.persica_gdr_reftransV1_0029180","p.persica_gdr_reftransV1_0029180")</f>
        <v>p.persica_gdr_reftransV1_0029180</v>
      </c>
      <c r="B7864" s="3">
        <v>2879</v>
      </c>
      <c r="C7864" s="1" t="str">
        <f>HYPERLINK("http://www.uniprot.org/uniprot/PTR46_ARATH","PTR46_ARATH")</f>
        <v>PTR46_ARATH</v>
      </c>
      <c r="D7864" t="s">
        <v>6188</v>
      </c>
      <c r="E7864" s="3" t="s">
        <v>3</v>
      </c>
      <c r="F7864" s="4">
        <v>1.96E-168</v>
      </c>
      <c r="G7864" s="3">
        <v>916</v>
      </c>
      <c r="H7864" s="3">
        <v>56</v>
      </c>
      <c r="I7864" s="3">
        <v>286</v>
      </c>
      <c r="J7864" s="3">
        <v>993</v>
      </c>
      <c r="K7864" s="3">
        <v>1850</v>
      </c>
      <c r="L7864" s="3">
        <v>270</v>
      </c>
      <c r="M7864" s="3">
        <v>554</v>
      </c>
    </row>
    <row r="7865" spans="1:13" x14ac:dyDescent="0.25">
      <c r="A7865" s="1" t="str">
        <f>HYPERLINK("http://www.rosaceae.org/Prunus/Prunus_persica/p.persica_gdr_reftransV1_0029630","p.persica_gdr_reftransV1_0029630")</f>
        <v>p.persica_gdr_reftransV1_0029630</v>
      </c>
      <c r="B7865" s="3">
        <v>1993</v>
      </c>
      <c r="C7865" s="1" t="str">
        <f>HYPERLINK("http://www.uniprot.org/uniprot/R13L1_ARATH","R13L1_ARATH")</f>
        <v>R13L1_ARATH</v>
      </c>
      <c r="D7865" t="s">
        <v>100</v>
      </c>
      <c r="E7865" s="3" t="s">
        <v>3</v>
      </c>
      <c r="F7865" s="4">
        <v>9.8800000000000005E-171</v>
      </c>
      <c r="G7865" s="3">
        <v>1346</v>
      </c>
      <c r="H7865" s="3">
        <v>46</v>
      </c>
      <c r="I7865" s="3">
        <v>674</v>
      </c>
      <c r="J7865" s="3">
        <v>19</v>
      </c>
      <c r="K7865" s="3">
        <v>1992</v>
      </c>
      <c r="L7865" s="3">
        <v>159</v>
      </c>
      <c r="M7865" s="3">
        <v>772</v>
      </c>
    </row>
    <row r="7866" spans="1:13" x14ac:dyDescent="0.25">
      <c r="A7866" s="1" t="str">
        <f>HYPERLINK("http://www.rosaceae.org/Prunus/Prunus_persica/p.persica_gdr_reftransV1_0029780","p.persica_gdr_reftransV1_0029780")</f>
        <v>p.persica_gdr_reftransV1_0029780</v>
      </c>
      <c r="B7866" s="3">
        <v>1518</v>
      </c>
      <c r="C7866" s="1" t="str">
        <f>HYPERLINK("http://www.uniprot.org/uniprot/COL15_ARATH","COL15_ARATH")</f>
        <v>COL15_ARATH</v>
      </c>
      <c r="D7866" t="s">
        <v>6189</v>
      </c>
      <c r="E7866" s="3" t="s">
        <v>3</v>
      </c>
      <c r="F7866" s="4">
        <v>7.2699999999999999E-32</v>
      </c>
      <c r="G7866" s="3">
        <v>327</v>
      </c>
      <c r="H7866" s="3">
        <v>63</v>
      </c>
      <c r="I7866" s="3">
        <v>108</v>
      </c>
      <c r="J7866" s="3">
        <v>144</v>
      </c>
      <c r="K7866" s="3">
        <v>467</v>
      </c>
      <c r="L7866" s="3">
        <v>331</v>
      </c>
      <c r="M7866" s="3">
        <v>431</v>
      </c>
    </row>
    <row r="7867" spans="1:13" x14ac:dyDescent="0.25">
      <c r="A7867" s="1" t="str">
        <f>HYPERLINK("http://www.rosaceae.org/Prunus/Prunus_persica/p.persica_gdr_reftransV1_0030880","p.persica_gdr_reftransV1_0030880")</f>
        <v>p.persica_gdr_reftransV1_0030880</v>
      </c>
      <c r="B7867" s="3">
        <v>2173</v>
      </c>
      <c r="C7867" s="1" t="str">
        <f>HYPERLINK("http://www.uniprot.org/uniprot/GLDH_BRAOL","GLDH_BRAOL")</f>
        <v>GLDH_BRAOL</v>
      </c>
      <c r="D7867" t="s">
        <v>6190</v>
      </c>
      <c r="E7867" s="3" t="s">
        <v>1308</v>
      </c>
      <c r="F7867" s="4">
        <v>0</v>
      </c>
      <c r="G7867" s="3">
        <v>2345</v>
      </c>
      <c r="H7867" s="3">
        <v>81</v>
      </c>
      <c r="I7867" s="3">
        <v>546</v>
      </c>
      <c r="J7867" s="3">
        <v>297</v>
      </c>
      <c r="K7867" s="3">
        <v>1916</v>
      </c>
      <c r="L7867" s="3">
        <v>54</v>
      </c>
      <c r="M7867" s="3">
        <v>599</v>
      </c>
    </row>
    <row r="7868" spans="1:13" x14ac:dyDescent="0.25">
      <c r="A7868" s="1" t="str">
        <f>HYPERLINK("http://www.rosaceae.org/Prunus/Prunus_persica/p.persica_gdr_reftransV1_0030980","p.persica_gdr_reftransV1_0030980")</f>
        <v>p.persica_gdr_reftransV1_0030980</v>
      </c>
      <c r="B7868" s="3">
        <v>624</v>
      </c>
      <c r="C7868" s="1" t="str">
        <f>HYPERLINK("http://www.uniprot.org/uniprot/NDUB2_ARATH","NDUB2_ARATH")</f>
        <v>NDUB2_ARATH</v>
      </c>
      <c r="D7868" t="s">
        <v>1738</v>
      </c>
      <c r="E7868" s="3" t="s">
        <v>3</v>
      </c>
      <c r="F7868" s="4">
        <v>4.9500000000000001E-22</v>
      </c>
      <c r="G7868" s="3">
        <v>223</v>
      </c>
      <c r="H7868" s="3">
        <v>83</v>
      </c>
      <c r="I7868" s="3">
        <v>47</v>
      </c>
      <c r="J7868" s="3">
        <v>152</v>
      </c>
      <c r="K7868" s="3">
        <v>292</v>
      </c>
      <c r="L7868" s="3">
        <v>11</v>
      </c>
      <c r="M7868" s="3">
        <v>57</v>
      </c>
    </row>
    <row r="7869" spans="1:13" x14ac:dyDescent="0.25">
      <c r="A7869" s="1" t="str">
        <f>HYPERLINK("http://www.rosaceae.org/Prunus/Prunus_persica/p.persica_gdr_reftransV1_0031030","p.persica_gdr_reftransV1_0031030")</f>
        <v>p.persica_gdr_reftransV1_0031030</v>
      </c>
      <c r="B7869" s="3">
        <v>1871</v>
      </c>
      <c r="C7869" s="1" t="str">
        <f>HYPERLINK("http://www.uniprot.org/uniprot/Y5713_ARATH","Y5713_ARATH")</f>
        <v>Y5713_ARATH</v>
      </c>
      <c r="D7869" t="s">
        <v>5380</v>
      </c>
      <c r="E7869" s="3" t="s">
        <v>3</v>
      </c>
      <c r="F7869" s="4">
        <v>1.43E-128</v>
      </c>
      <c r="G7869" s="3">
        <v>1007</v>
      </c>
      <c r="H7869" s="3">
        <v>55</v>
      </c>
      <c r="I7869" s="3">
        <v>329</v>
      </c>
      <c r="J7869" s="3">
        <v>347</v>
      </c>
      <c r="K7869" s="3">
        <v>1333</v>
      </c>
      <c r="L7869" s="3">
        <v>40</v>
      </c>
      <c r="M7869" s="3">
        <v>368</v>
      </c>
    </row>
    <row r="7870" spans="1:13" x14ac:dyDescent="0.25">
      <c r="A7870" s="1" t="str">
        <f>HYPERLINK("http://www.rosaceae.org/Prunus/Prunus_persica/p.persica_gdr_reftransV1_0031180","p.persica_gdr_reftransV1_0031180")</f>
        <v>p.persica_gdr_reftransV1_0031180</v>
      </c>
      <c r="B7870" s="3">
        <v>4124</v>
      </c>
      <c r="C7870" s="1" t="str">
        <f>HYPERLINK("http://www.uniprot.org/uniprot/FBL34_ARATH","FBL34_ARATH")</f>
        <v>FBL34_ARATH</v>
      </c>
      <c r="D7870" t="s">
        <v>1242</v>
      </c>
      <c r="E7870" s="3" t="s">
        <v>3</v>
      </c>
      <c r="F7870" s="4">
        <v>0</v>
      </c>
      <c r="G7870" s="3">
        <v>1499</v>
      </c>
      <c r="H7870" s="3">
        <v>70</v>
      </c>
      <c r="I7870" s="3">
        <v>419</v>
      </c>
      <c r="J7870" s="3">
        <v>833</v>
      </c>
      <c r="K7870" s="3">
        <v>2080</v>
      </c>
      <c r="L7870" s="3">
        <v>1</v>
      </c>
      <c r="M7870" s="3">
        <v>419</v>
      </c>
    </row>
    <row r="7871" spans="1:13" x14ac:dyDescent="0.25">
      <c r="A7871" s="1" t="str">
        <f>HYPERLINK("http://www.rosaceae.org/Prunus/Prunus_persica/p.persica_gdr_reftransV1_0031430","p.persica_gdr_reftransV1_0031430")</f>
        <v>p.persica_gdr_reftransV1_0031430</v>
      </c>
      <c r="B7871" s="3">
        <v>2411</v>
      </c>
      <c r="C7871" s="1" t="str">
        <f>HYPERLINK("http://www.uniprot.org/uniprot/EDA2_ARATH","EDA2_ARATH")</f>
        <v>EDA2_ARATH</v>
      </c>
      <c r="D7871" t="s">
        <v>6191</v>
      </c>
      <c r="E7871" s="3" t="s">
        <v>3</v>
      </c>
      <c r="F7871" s="4">
        <v>0</v>
      </c>
      <c r="G7871" s="3">
        <v>1724</v>
      </c>
      <c r="H7871" s="3">
        <v>69</v>
      </c>
      <c r="I7871" s="3">
        <v>446</v>
      </c>
      <c r="J7871" s="3">
        <v>351</v>
      </c>
      <c r="K7871" s="3">
        <v>1679</v>
      </c>
      <c r="L7871" s="3">
        <v>42</v>
      </c>
      <c r="M7871" s="3">
        <v>487</v>
      </c>
    </row>
    <row r="7872" spans="1:13" x14ac:dyDescent="0.25">
      <c r="A7872" s="1" t="str">
        <f>HYPERLINK("http://www.rosaceae.org/Prunus/Prunus_persica/p.persica_gdr_reftransV1_0031630","p.persica_gdr_reftransV1_0031630")</f>
        <v>p.persica_gdr_reftransV1_0031630</v>
      </c>
      <c r="B7872" s="3">
        <v>2848</v>
      </c>
      <c r="C7872" s="1" t="str">
        <f>HYPERLINK("http://www.uniprot.org/uniprot/PIGA_MOUSE","PIGA_MOUSE")</f>
        <v>PIGA_MOUSE</v>
      </c>
      <c r="D7872" t="s">
        <v>3091</v>
      </c>
      <c r="E7872" s="3" t="s">
        <v>157</v>
      </c>
      <c r="F7872" s="4">
        <v>2.81E-58</v>
      </c>
      <c r="G7872" s="3">
        <v>540</v>
      </c>
      <c r="H7872" s="3">
        <v>55</v>
      </c>
      <c r="I7872" s="3">
        <v>183</v>
      </c>
      <c r="J7872" s="3">
        <v>2</v>
      </c>
      <c r="K7872" s="3">
        <v>550</v>
      </c>
      <c r="L7872" s="3">
        <v>71</v>
      </c>
      <c r="M7872" s="3">
        <v>253</v>
      </c>
    </row>
    <row r="7873" spans="1:13" x14ac:dyDescent="0.25">
      <c r="A7873" s="1" t="str">
        <f>HYPERLINK("http://www.rosaceae.org/Prunus/Prunus_persica/p.persica_gdr_reftransV1_0032180","p.persica_gdr_reftransV1_0032180")</f>
        <v>p.persica_gdr_reftransV1_0032180</v>
      </c>
      <c r="B7873" s="3">
        <v>5269</v>
      </c>
      <c r="C7873" s="1" t="str">
        <f>HYPERLINK("http://www.uniprot.org/uniprot/PP173_ARATH","PP173_ARATH")</f>
        <v>PP173_ARATH</v>
      </c>
      <c r="D7873" t="s">
        <v>6192</v>
      </c>
      <c r="E7873" s="3" t="s">
        <v>3</v>
      </c>
      <c r="F7873" s="4">
        <v>1.1599999999999999E-115</v>
      </c>
      <c r="G7873" s="3">
        <v>972</v>
      </c>
      <c r="H7873" s="3">
        <v>67</v>
      </c>
      <c r="I7873" s="3">
        <v>255</v>
      </c>
      <c r="J7873" s="3">
        <v>4483</v>
      </c>
      <c r="K7873" s="3">
        <v>5247</v>
      </c>
      <c r="L7873" s="3">
        <v>187</v>
      </c>
      <c r="M7873" s="3">
        <v>441</v>
      </c>
    </row>
    <row r="7874" spans="1:13" x14ac:dyDescent="0.25">
      <c r="A7874" s="1" t="str">
        <f>HYPERLINK("http://www.rosaceae.org/Prunus/Prunus_persica/p.persica_gdr_reftransV1_0032580","p.persica_gdr_reftransV1_0032580")</f>
        <v>p.persica_gdr_reftransV1_0032580</v>
      </c>
      <c r="B7874" s="3">
        <v>2293</v>
      </c>
      <c r="C7874" s="1" t="str">
        <f>HYPERLINK("http://www.uniprot.org/uniprot/ARAD1_ARATH","ARAD1_ARATH")</f>
        <v>ARAD1_ARATH</v>
      </c>
      <c r="D7874" t="s">
        <v>123</v>
      </c>
      <c r="E7874" s="3" t="s">
        <v>3</v>
      </c>
      <c r="F7874" s="4">
        <v>7.8800000000000004E-38</v>
      </c>
      <c r="G7874" s="3">
        <v>381</v>
      </c>
      <c r="H7874" s="3">
        <v>56</v>
      </c>
      <c r="I7874" s="3">
        <v>127</v>
      </c>
      <c r="J7874" s="3">
        <v>427</v>
      </c>
      <c r="K7874" s="3">
        <v>807</v>
      </c>
      <c r="L7874" s="3">
        <v>300</v>
      </c>
      <c r="M7874" s="3">
        <v>423</v>
      </c>
    </row>
    <row r="7875" spans="1:13" x14ac:dyDescent="0.25">
      <c r="A7875" s="1" t="str">
        <f>HYPERLINK("http://www.rosaceae.org/Prunus/Prunus_persica/p.persica_gdr_reftransV1_0032630","p.persica_gdr_reftransV1_0032630")</f>
        <v>p.persica_gdr_reftransV1_0032630</v>
      </c>
      <c r="B7875" s="3">
        <v>3283</v>
      </c>
      <c r="C7875" s="1" t="str">
        <f>HYPERLINK("http://www.uniprot.org/uniprot/DGK1_ARATH","DGK1_ARATH")</f>
        <v>DGK1_ARATH</v>
      </c>
      <c r="D7875" t="s">
        <v>6193</v>
      </c>
      <c r="E7875" s="3" t="s">
        <v>3</v>
      </c>
      <c r="F7875" s="4">
        <v>0</v>
      </c>
      <c r="G7875" s="3">
        <v>1695</v>
      </c>
      <c r="H7875" s="3">
        <v>85</v>
      </c>
      <c r="I7875" s="3">
        <v>364</v>
      </c>
      <c r="J7875" s="3">
        <v>1486</v>
      </c>
      <c r="K7875" s="3">
        <v>2577</v>
      </c>
      <c r="L7875" s="3">
        <v>365</v>
      </c>
      <c r="M7875" s="3">
        <v>728</v>
      </c>
    </row>
    <row r="7876" spans="1:13" x14ac:dyDescent="0.25">
      <c r="A7876" s="1" t="str">
        <f>HYPERLINK("http://www.rosaceae.org/Prunus/Prunus_persica/p.persica_gdr_reftransV1_0033280","p.persica_gdr_reftransV1_0033280")</f>
        <v>p.persica_gdr_reftransV1_0033280</v>
      </c>
      <c r="B7876" s="3">
        <v>871</v>
      </c>
      <c r="C7876" s="1" t="str">
        <f>HYPERLINK("http://www.uniprot.org/uniprot/HSP21_SOYBN","HSP21_SOYBN")</f>
        <v>HSP21_SOYBN</v>
      </c>
      <c r="D7876" t="s">
        <v>6194</v>
      </c>
      <c r="E7876" s="3" t="s">
        <v>307</v>
      </c>
      <c r="F7876" s="4">
        <v>3.2499999999999999E-63</v>
      </c>
      <c r="G7876" s="3">
        <v>515</v>
      </c>
      <c r="H7876" s="3">
        <v>79</v>
      </c>
      <c r="I7876" s="3">
        <v>136</v>
      </c>
      <c r="J7876" s="3">
        <v>100</v>
      </c>
      <c r="K7876" s="3">
        <v>498</v>
      </c>
      <c r="L7876" s="3">
        <v>1</v>
      </c>
      <c r="M7876" s="3">
        <v>136</v>
      </c>
    </row>
    <row r="7877" spans="1:13" x14ac:dyDescent="0.25">
      <c r="A7877" s="1" t="str">
        <f>HYPERLINK("http://www.rosaceae.org/Prunus/Prunus_persica/p.persica_gdr_reftransV1_0033430","p.persica_gdr_reftransV1_0033430")</f>
        <v>p.persica_gdr_reftransV1_0033430</v>
      </c>
      <c r="B7877" s="3">
        <v>1537</v>
      </c>
      <c r="C7877" s="1" t="str">
        <f>HYPERLINK("http://www.uniprot.org/uniprot/RK9_IPOTF","RK9_IPOTF")</f>
        <v>RK9_IPOTF</v>
      </c>
      <c r="D7877" t="s">
        <v>6195</v>
      </c>
      <c r="E7877" s="3" t="s">
        <v>6196</v>
      </c>
      <c r="F7877" s="4">
        <v>8.1300000000000008E-31</v>
      </c>
      <c r="G7877" s="3">
        <v>307</v>
      </c>
      <c r="H7877" s="3">
        <v>87</v>
      </c>
      <c r="I7877" s="3">
        <v>89</v>
      </c>
      <c r="J7877" s="3">
        <v>328</v>
      </c>
      <c r="K7877" s="3">
        <v>594</v>
      </c>
      <c r="L7877" s="3">
        <v>111</v>
      </c>
      <c r="M7877" s="3">
        <v>199</v>
      </c>
    </row>
    <row r="7878" spans="1:13" x14ac:dyDescent="0.25">
      <c r="A7878" s="1" t="str">
        <f>HYPERLINK("http://www.rosaceae.org/Prunus/Prunus_persica/p.persica_gdr_reftransV1_0033630","p.persica_gdr_reftransV1_0033630")</f>
        <v>p.persica_gdr_reftransV1_0033630</v>
      </c>
      <c r="B7878" s="3">
        <v>1185</v>
      </c>
      <c r="C7878" s="1" t="str">
        <f>HYPERLINK("http://www.uniprot.org/uniprot/DREB3_ARATH","DREB3_ARATH")</f>
        <v>DREB3_ARATH</v>
      </c>
      <c r="D7878" t="s">
        <v>4853</v>
      </c>
      <c r="E7878" s="3" t="s">
        <v>3</v>
      </c>
      <c r="F7878" s="4">
        <v>7.4000000000000005E-60</v>
      </c>
      <c r="G7878" s="3">
        <v>508</v>
      </c>
      <c r="H7878" s="3">
        <v>60</v>
      </c>
      <c r="I7878" s="3">
        <v>205</v>
      </c>
      <c r="J7878" s="3">
        <v>143</v>
      </c>
      <c r="K7878" s="3">
        <v>751</v>
      </c>
      <c r="L7878" s="3">
        <v>36</v>
      </c>
      <c r="M7878" s="3">
        <v>222</v>
      </c>
    </row>
    <row r="7879" spans="1:13" x14ac:dyDescent="0.25">
      <c r="A7879" s="1" t="str">
        <f>HYPERLINK("http://www.rosaceae.org/Prunus/Prunus_persica/p.persica_gdr_reftransV1_0033780","p.persica_gdr_reftransV1_0033780")</f>
        <v>p.persica_gdr_reftransV1_0033780</v>
      </c>
      <c r="B7879" s="3">
        <v>2492</v>
      </c>
      <c r="C7879" s="1" t="str">
        <f>HYPERLINK("http://www.uniprot.org/uniprot/PTR18_ARATH","PTR18_ARATH")</f>
        <v>PTR18_ARATH</v>
      </c>
      <c r="D7879" t="s">
        <v>6197</v>
      </c>
      <c r="E7879" s="3" t="s">
        <v>3</v>
      </c>
      <c r="F7879" s="4">
        <v>0</v>
      </c>
      <c r="G7879" s="3">
        <v>1911</v>
      </c>
      <c r="H7879" s="3">
        <v>74</v>
      </c>
      <c r="I7879" s="3">
        <v>495</v>
      </c>
      <c r="J7879" s="3">
        <v>279</v>
      </c>
      <c r="K7879" s="3">
        <v>1748</v>
      </c>
      <c r="L7879" s="3">
        <v>97</v>
      </c>
      <c r="M7879" s="3">
        <v>591</v>
      </c>
    </row>
    <row r="7880" spans="1:13" x14ac:dyDescent="0.25">
      <c r="A7880" s="1" t="str">
        <f>HYPERLINK("http://www.rosaceae.org/Prunus/Prunus_persica/p.persica_gdr_reftransV1_0033930","p.persica_gdr_reftransV1_0033930")</f>
        <v>p.persica_gdr_reftransV1_0033930</v>
      </c>
      <c r="B7880" s="3">
        <v>4074</v>
      </c>
      <c r="C7880" s="1" t="str">
        <f>HYPERLINK("http://www.uniprot.org/uniprot/XPF_ARATH","XPF_ARATH")</f>
        <v>XPF_ARATH</v>
      </c>
      <c r="D7880" t="s">
        <v>6198</v>
      </c>
      <c r="E7880" s="3" t="s">
        <v>3</v>
      </c>
      <c r="F7880" s="4">
        <v>8.8699999999999996E-147</v>
      </c>
      <c r="G7880" s="3">
        <v>1228</v>
      </c>
      <c r="H7880" s="3">
        <v>70</v>
      </c>
      <c r="I7880" s="3">
        <v>338</v>
      </c>
      <c r="J7880" s="3">
        <v>96</v>
      </c>
      <c r="K7880" s="3">
        <v>1097</v>
      </c>
      <c r="L7880" s="3">
        <v>3</v>
      </c>
      <c r="M7880" s="3">
        <v>338</v>
      </c>
    </row>
    <row r="7881" spans="1:13" x14ac:dyDescent="0.25">
      <c r="A7881" s="1" t="str">
        <f>HYPERLINK("http://www.rosaceae.org/Prunus/Prunus_persica/p.persica_gdr_reftransV1_0034130","p.persica_gdr_reftransV1_0034130")</f>
        <v>p.persica_gdr_reftransV1_0034130</v>
      </c>
      <c r="B7881" s="3">
        <v>1563</v>
      </c>
      <c r="C7881" s="1" t="str">
        <f>HYPERLINK("http://www.uniprot.org/uniprot/FBK23_ARATH","FBK23_ARATH")</f>
        <v>FBK23_ARATH</v>
      </c>
      <c r="D7881" t="s">
        <v>6199</v>
      </c>
      <c r="E7881" s="3" t="s">
        <v>3</v>
      </c>
      <c r="F7881" s="4">
        <v>1.38E-102</v>
      </c>
      <c r="G7881" s="3">
        <v>817</v>
      </c>
      <c r="H7881" s="3">
        <v>47</v>
      </c>
      <c r="I7881" s="3">
        <v>344</v>
      </c>
      <c r="J7881" s="3">
        <v>269</v>
      </c>
      <c r="K7881" s="3">
        <v>1288</v>
      </c>
      <c r="L7881" s="3">
        <v>13</v>
      </c>
      <c r="M7881" s="3">
        <v>351</v>
      </c>
    </row>
    <row r="7882" spans="1:13" x14ac:dyDescent="0.25">
      <c r="A7882" s="1" t="str">
        <f>HYPERLINK("http://www.rosaceae.org/Prunus/Prunus_persica/p.persica_gdr_reftransV1_0034530","p.persica_gdr_reftransV1_0034530")</f>
        <v>p.persica_gdr_reftransV1_0034530</v>
      </c>
      <c r="B7882" s="3">
        <v>2517</v>
      </c>
      <c r="C7882" s="1" t="str">
        <f>HYPERLINK("http://www.uniprot.org/uniprot/Y2452_ARATH","Y2452_ARATH")</f>
        <v>Y2452_ARATH</v>
      </c>
      <c r="D7882" t="s">
        <v>6200</v>
      </c>
      <c r="E7882" s="3" t="s">
        <v>3</v>
      </c>
      <c r="F7882" s="4">
        <v>1.9100000000000001E-145</v>
      </c>
      <c r="G7882" s="3">
        <v>1137</v>
      </c>
      <c r="H7882" s="3">
        <v>90</v>
      </c>
      <c r="I7882" s="3">
        <v>260</v>
      </c>
      <c r="J7882" s="3">
        <v>1518</v>
      </c>
      <c r="K7882" s="3">
        <v>2297</v>
      </c>
      <c r="L7882" s="3">
        <v>1</v>
      </c>
      <c r="M7882" s="3">
        <v>260</v>
      </c>
    </row>
    <row r="7883" spans="1:13" x14ac:dyDescent="0.25">
      <c r="A7883" s="1" t="str">
        <f>HYPERLINK("http://www.rosaceae.org/Prunus/Prunus_persica/p.persica_gdr_reftransV1_0034580","p.persica_gdr_reftransV1_0034580")</f>
        <v>p.persica_gdr_reftransV1_0034580</v>
      </c>
      <c r="B7883" s="3">
        <v>4709</v>
      </c>
      <c r="C7883" s="1" t="str">
        <f>HYPERLINK("http://www.uniprot.org/uniprot/LPAI_ARATH","LPAI_ARATH")</f>
        <v>LPAI_ARATH</v>
      </c>
      <c r="D7883" t="s">
        <v>6201</v>
      </c>
      <c r="E7883" s="3" t="s">
        <v>3</v>
      </c>
      <c r="F7883" s="4">
        <v>0</v>
      </c>
      <c r="G7883" s="3">
        <v>3096</v>
      </c>
      <c r="H7883" s="3">
        <v>79</v>
      </c>
      <c r="I7883" s="3">
        <v>764</v>
      </c>
      <c r="J7883" s="3">
        <v>415</v>
      </c>
      <c r="K7883" s="3">
        <v>2694</v>
      </c>
      <c r="L7883" s="3">
        <v>12</v>
      </c>
      <c r="M7883" s="3">
        <v>775</v>
      </c>
    </row>
    <row r="7884" spans="1:13" x14ac:dyDescent="0.25">
      <c r="A7884" s="1" t="str">
        <f>HYPERLINK("http://www.rosaceae.org/Prunus/Prunus_persica/p.persica_gdr_reftransV1_0034630","p.persica_gdr_reftransV1_0034630")</f>
        <v>p.persica_gdr_reftransV1_0034630</v>
      </c>
      <c r="B7884" s="3">
        <v>1319</v>
      </c>
      <c r="C7884" s="1" t="str">
        <f>HYPERLINK("http://www.uniprot.org/uniprot/NSI_ARATH","NSI_ARATH")</f>
        <v>NSI_ARATH</v>
      </c>
      <c r="D7884" t="s">
        <v>6202</v>
      </c>
      <c r="E7884" s="3" t="s">
        <v>3</v>
      </c>
      <c r="F7884" s="4">
        <v>3.2400000000000003E-48</v>
      </c>
      <c r="G7884" s="3">
        <v>434</v>
      </c>
      <c r="H7884" s="3">
        <v>94</v>
      </c>
      <c r="I7884" s="3">
        <v>86</v>
      </c>
      <c r="J7884" s="3">
        <v>754</v>
      </c>
      <c r="K7884" s="3">
        <v>1011</v>
      </c>
      <c r="L7884" s="3">
        <v>173</v>
      </c>
      <c r="M7884" s="3">
        <v>258</v>
      </c>
    </row>
    <row r="7885" spans="1:13" x14ac:dyDescent="0.25">
      <c r="A7885" s="1" t="str">
        <f>HYPERLINK("http://www.rosaceae.org/Prunus/Prunus_persica/p.persica_gdr_reftransV1_0034980","p.persica_gdr_reftransV1_0034980")</f>
        <v>p.persica_gdr_reftransV1_0034980</v>
      </c>
      <c r="B7885" s="3">
        <v>2165</v>
      </c>
      <c r="C7885" s="1" t="str">
        <f>HYPERLINK("http://www.uniprot.org/uniprot/EFTU2_SOYBN","EFTU2_SOYBN")</f>
        <v>EFTU2_SOYBN</v>
      </c>
      <c r="D7885" t="s">
        <v>6203</v>
      </c>
      <c r="E7885" s="3" t="s">
        <v>307</v>
      </c>
      <c r="F7885" s="4">
        <v>0</v>
      </c>
      <c r="G7885" s="3">
        <v>1928</v>
      </c>
      <c r="H7885" s="3">
        <v>91</v>
      </c>
      <c r="I7885" s="3">
        <v>444</v>
      </c>
      <c r="J7885" s="3">
        <v>583</v>
      </c>
      <c r="K7885" s="3">
        <v>1914</v>
      </c>
      <c r="L7885" s="3">
        <v>40</v>
      </c>
      <c r="M7885" s="3">
        <v>479</v>
      </c>
    </row>
    <row r="7886" spans="1:13" x14ac:dyDescent="0.25">
      <c r="A7886" s="1" t="str">
        <f>HYPERLINK("http://www.rosaceae.org/Prunus/Prunus_persica/p.persica_gdr_reftransV1_0035480","p.persica_gdr_reftransV1_0035480")</f>
        <v>p.persica_gdr_reftransV1_0035480</v>
      </c>
      <c r="B7886" s="3">
        <v>2812</v>
      </c>
      <c r="C7886" s="1" t="str">
        <f>HYPERLINK("http://www.uniprot.org/uniprot/RNHX1_ARATH","RNHX1_ARATH")</f>
        <v>RNHX1_ARATH</v>
      </c>
      <c r="D7886" t="s">
        <v>124</v>
      </c>
      <c r="E7886" s="3" t="s">
        <v>3</v>
      </c>
      <c r="F7886" s="4">
        <v>2.9599999999999999E-25</v>
      </c>
      <c r="G7886" s="3">
        <v>289</v>
      </c>
      <c r="H7886" s="3">
        <v>25</v>
      </c>
      <c r="I7886" s="3">
        <v>289</v>
      </c>
      <c r="J7886" s="3">
        <v>661</v>
      </c>
      <c r="K7886" s="3">
        <v>1509</v>
      </c>
      <c r="L7886" s="3">
        <v>110</v>
      </c>
      <c r="M7886" s="3">
        <v>397</v>
      </c>
    </row>
    <row r="7887" spans="1:13" x14ac:dyDescent="0.25">
      <c r="A7887" s="1" t="str">
        <f>HYPERLINK("http://www.rosaceae.org/Prunus/Prunus_persica/p.persica_gdr_reftransV1_0035730","p.persica_gdr_reftransV1_0035730")</f>
        <v>p.persica_gdr_reftransV1_0035730</v>
      </c>
      <c r="B7887" s="3">
        <v>3969</v>
      </c>
      <c r="C7887" s="1" t="str">
        <f>HYPERLINK("http://www.uniprot.org/uniprot/ETFQO_ARATH","ETFQO_ARATH")</f>
        <v>ETFQO_ARATH</v>
      </c>
      <c r="D7887" t="s">
        <v>6204</v>
      </c>
      <c r="E7887" s="3" t="s">
        <v>3</v>
      </c>
      <c r="F7887" s="4">
        <v>1.21E-153</v>
      </c>
      <c r="G7887" s="3">
        <v>1246</v>
      </c>
      <c r="H7887" s="3">
        <v>81</v>
      </c>
      <c r="I7887" s="3">
        <v>276</v>
      </c>
      <c r="J7887" s="3">
        <v>1422</v>
      </c>
      <c r="K7887" s="3">
        <v>2249</v>
      </c>
      <c r="L7887" s="3">
        <v>266</v>
      </c>
      <c r="M7887" s="3">
        <v>541</v>
      </c>
    </row>
    <row r="7888" spans="1:13" x14ac:dyDescent="0.25">
      <c r="A7888" s="1" t="str">
        <f>HYPERLINK("http://www.rosaceae.org/Prunus/Prunus_persica/p.persica_gdr_reftransV1_0035830","p.persica_gdr_reftransV1_0035830")</f>
        <v>p.persica_gdr_reftransV1_0035830</v>
      </c>
      <c r="B7888" s="3">
        <v>1961</v>
      </c>
      <c r="C7888" s="1" t="str">
        <f>HYPERLINK("http://www.uniprot.org/uniprot/KAO1_ARATH","KAO1_ARATH")</f>
        <v>KAO1_ARATH</v>
      </c>
      <c r="D7888" t="s">
        <v>6205</v>
      </c>
      <c r="E7888" s="3" t="s">
        <v>3</v>
      </c>
      <c r="F7888" s="4">
        <v>0</v>
      </c>
      <c r="G7888" s="3">
        <v>1816</v>
      </c>
      <c r="H7888" s="3">
        <v>72</v>
      </c>
      <c r="I7888" s="3">
        <v>465</v>
      </c>
      <c r="J7888" s="3">
        <v>283</v>
      </c>
      <c r="K7888" s="3">
        <v>1674</v>
      </c>
      <c r="L7888" s="3">
        <v>24</v>
      </c>
      <c r="M7888" s="3">
        <v>487</v>
      </c>
    </row>
    <row r="7889" spans="1:13" x14ac:dyDescent="0.25">
      <c r="A7889" s="1" t="str">
        <f>HYPERLINK("http://www.rosaceae.org/Prunus/Prunus_persica/p.persica_gdr_reftransV1_0036230","p.persica_gdr_reftransV1_0036230")</f>
        <v>p.persica_gdr_reftransV1_0036230</v>
      </c>
      <c r="B7889" s="3">
        <v>1612</v>
      </c>
      <c r="C7889" s="1" t="str">
        <f>HYPERLINK("http://www.uniprot.org/uniprot/HIBC1_ARATH","HIBC1_ARATH")</f>
        <v>HIBC1_ARATH</v>
      </c>
      <c r="D7889" t="s">
        <v>293</v>
      </c>
      <c r="E7889" s="3" t="s">
        <v>3</v>
      </c>
      <c r="F7889" s="4">
        <v>0</v>
      </c>
      <c r="G7889" s="3">
        <v>1521</v>
      </c>
      <c r="H7889" s="3">
        <v>73</v>
      </c>
      <c r="I7889" s="3">
        <v>373</v>
      </c>
      <c r="J7889" s="3">
        <v>222</v>
      </c>
      <c r="K7889" s="3">
        <v>1340</v>
      </c>
      <c r="L7889" s="3">
        <v>8</v>
      </c>
      <c r="M7889" s="3">
        <v>378</v>
      </c>
    </row>
    <row r="7890" spans="1:13" x14ac:dyDescent="0.25">
      <c r="A7890" s="1" t="str">
        <f>HYPERLINK("http://www.rosaceae.org/Prunus/Prunus_persica/p.persica_gdr_reftransV1_0036330","p.persica_gdr_reftransV1_0036330")</f>
        <v>p.persica_gdr_reftransV1_0036330</v>
      </c>
      <c r="B7890" s="3">
        <v>1976</v>
      </c>
      <c r="C7890" s="1" t="str">
        <f>HYPERLINK("http://www.uniprot.org/uniprot/CDL1_ARATH","CDL1_ARATH")</f>
        <v>CDL1_ARATH</v>
      </c>
      <c r="D7890" t="s">
        <v>801</v>
      </c>
      <c r="E7890" s="3" t="s">
        <v>3</v>
      </c>
      <c r="F7890" s="4">
        <v>1.06E-121</v>
      </c>
      <c r="G7890" s="3">
        <v>959</v>
      </c>
      <c r="H7890" s="3">
        <v>93</v>
      </c>
      <c r="I7890" s="3">
        <v>193</v>
      </c>
      <c r="J7890" s="3">
        <v>1397</v>
      </c>
      <c r="K7890" s="3">
        <v>1975</v>
      </c>
      <c r="L7890" s="3">
        <v>101</v>
      </c>
      <c r="M7890" s="3">
        <v>293</v>
      </c>
    </row>
    <row r="7891" spans="1:13" x14ac:dyDescent="0.25">
      <c r="A7891" s="1" t="str">
        <f>HYPERLINK("http://www.rosaceae.org/Prunus/Prunus_persica/p.persica_gdr_reftransV1_0036830","p.persica_gdr_reftransV1_0036830")</f>
        <v>p.persica_gdr_reftransV1_0036830</v>
      </c>
      <c r="B7891" s="3">
        <v>875</v>
      </c>
      <c r="C7891" s="1" t="str">
        <f>HYPERLINK("http://www.uniprot.org/uniprot/F136A_XENLA","F136A_XENLA")</f>
        <v>F136A_XENLA</v>
      </c>
      <c r="D7891" t="s">
        <v>6206</v>
      </c>
      <c r="E7891" s="3" t="s">
        <v>475</v>
      </c>
      <c r="F7891" s="4">
        <v>4.1099999999999998E-10</v>
      </c>
      <c r="G7891" s="3">
        <v>146</v>
      </c>
      <c r="H7891" s="3">
        <v>34</v>
      </c>
      <c r="I7891" s="3">
        <v>103</v>
      </c>
      <c r="J7891" s="3">
        <v>191</v>
      </c>
      <c r="K7891" s="3">
        <v>490</v>
      </c>
      <c r="L7891" s="3">
        <v>28</v>
      </c>
      <c r="M7891" s="3">
        <v>130</v>
      </c>
    </row>
    <row r="7892" spans="1:13" x14ac:dyDescent="0.25">
      <c r="A7892" s="1" t="str">
        <f>HYPERLINK("http://www.rosaceae.org/Prunus/Prunus_persica/p.persica_gdr_reftransV1_0036880","p.persica_gdr_reftransV1_0036880")</f>
        <v>p.persica_gdr_reftransV1_0036880</v>
      </c>
      <c r="B7892" s="3">
        <v>1486</v>
      </c>
      <c r="C7892" s="1" t="str">
        <f>HYPERLINK("http://www.uniprot.org/uniprot/PHYK1_SOYBN","PHYK1_SOYBN")</f>
        <v>PHYK1_SOYBN</v>
      </c>
      <c r="D7892" t="s">
        <v>6207</v>
      </c>
      <c r="E7892" s="3" t="s">
        <v>307</v>
      </c>
      <c r="F7892" s="4">
        <v>7.0599999999999999E-88</v>
      </c>
      <c r="G7892" s="3">
        <v>711</v>
      </c>
      <c r="H7892" s="3">
        <v>71</v>
      </c>
      <c r="I7892" s="3">
        <v>181</v>
      </c>
      <c r="J7892" s="3">
        <v>541</v>
      </c>
      <c r="K7892" s="3">
        <v>1083</v>
      </c>
      <c r="L7892" s="3">
        <v>120</v>
      </c>
      <c r="M7892" s="3">
        <v>300</v>
      </c>
    </row>
    <row r="7893" spans="1:13" x14ac:dyDescent="0.25">
      <c r="A7893" s="1" t="str">
        <f>HYPERLINK("http://www.rosaceae.org/Prunus/Prunus_persica/p.persica_gdr_reftransV1_0037080","p.persica_gdr_reftransV1_0037080")</f>
        <v>p.persica_gdr_reftransV1_0037080</v>
      </c>
      <c r="B7893" s="3">
        <v>1918</v>
      </c>
      <c r="C7893" s="1" t="str">
        <f>HYPERLINK("http://www.uniprot.org/uniprot/CSK21_ARATH","CSK21_ARATH")</f>
        <v>CSK21_ARATH</v>
      </c>
      <c r="D7893" t="s">
        <v>3769</v>
      </c>
      <c r="E7893" s="3" t="s">
        <v>3</v>
      </c>
      <c r="F7893" s="4">
        <v>3.6999999999999999E-149</v>
      </c>
      <c r="G7893" s="3">
        <v>1144</v>
      </c>
      <c r="H7893" s="3">
        <v>91</v>
      </c>
      <c r="I7893" s="3">
        <v>230</v>
      </c>
      <c r="J7893" s="3">
        <v>1227</v>
      </c>
      <c r="K7893" s="3">
        <v>1916</v>
      </c>
      <c r="L7893" s="3">
        <v>180</v>
      </c>
      <c r="M7893" s="3">
        <v>409</v>
      </c>
    </row>
    <row r="7894" spans="1:13" x14ac:dyDescent="0.25">
      <c r="A7894" s="1" t="str">
        <f>HYPERLINK("http://www.rosaceae.org/Prunus/Prunus_persica/p.persica_gdr_reftransV1_0037330","p.persica_gdr_reftransV1_0037330")</f>
        <v>p.persica_gdr_reftransV1_0037330</v>
      </c>
      <c r="B7894" s="3">
        <v>1872</v>
      </c>
      <c r="C7894" s="1" t="str">
        <f>HYPERLINK("http://www.uniprot.org/uniprot/RS16_GOSHI","RS16_GOSHI")</f>
        <v>RS16_GOSHI</v>
      </c>
      <c r="D7894" t="s">
        <v>3878</v>
      </c>
      <c r="E7894" s="3" t="s">
        <v>816</v>
      </c>
      <c r="F7894" s="4">
        <v>3.5700000000000001E-88</v>
      </c>
      <c r="G7894" s="3">
        <v>708</v>
      </c>
      <c r="H7894" s="3">
        <v>95</v>
      </c>
      <c r="I7894" s="3">
        <v>145</v>
      </c>
      <c r="J7894" s="3">
        <v>49</v>
      </c>
      <c r="K7894" s="3">
        <v>483</v>
      </c>
      <c r="L7894" s="3">
        <v>1</v>
      </c>
      <c r="M7894" s="3">
        <v>145</v>
      </c>
    </row>
    <row r="7895" spans="1:13" x14ac:dyDescent="0.25">
      <c r="A7895" s="1" t="str">
        <f>HYPERLINK("http://www.rosaceae.org/Prunus/Prunus_persica/p.persica_gdr_reftransV1_0037430","p.persica_gdr_reftransV1_0037430")</f>
        <v>p.persica_gdr_reftransV1_0037430</v>
      </c>
      <c r="B7895" s="3">
        <v>1072</v>
      </c>
      <c r="C7895" s="1" t="str">
        <f>HYPERLINK("http://www.uniprot.org/uniprot/ISU1_ARATH","ISU1_ARATH")</f>
        <v>ISU1_ARATH</v>
      </c>
      <c r="D7895" t="s">
        <v>1433</v>
      </c>
      <c r="E7895" s="3" t="s">
        <v>3</v>
      </c>
      <c r="F7895" s="4">
        <v>3.0199999999999999E-52</v>
      </c>
      <c r="G7895" s="3">
        <v>448</v>
      </c>
      <c r="H7895" s="3">
        <v>80</v>
      </c>
      <c r="I7895" s="3">
        <v>108</v>
      </c>
      <c r="J7895" s="3">
        <v>579</v>
      </c>
      <c r="K7895" s="3">
        <v>899</v>
      </c>
      <c r="L7895" s="3">
        <v>11</v>
      </c>
      <c r="M7895" s="3">
        <v>118</v>
      </c>
    </row>
    <row r="7896" spans="1:13" x14ac:dyDescent="0.25">
      <c r="A7896" s="1" t="str">
        <f>HYPERLINK("http://www.rosaceae.org/Prunus/Prunus_persica/p.persica_gdr_reftransV1_0037480","p.persica_gdr_reftransV1_0037480")</f>
        <v>p.persica_gdr_reftransV1_0037480</v>
      </c>
      <c r="B7896" s="3">
        <v>2586</v>
      </c>
      <c r="C7896" s="1" t="str">
        <f>HYPERLINK("http://www.uniprot.org/uniprot/CPSF2_ARATH","CPSF2_ARATH")</f>
        <v>CPSF2_ARATH</v>
      </c>
      <c r="D7896" t="s">
        <v>6208</v>
      </c>
      <c r="E7896" s="3" t="s">
        <v>3</v>
      </c>
      <c r="F7896" s="4">
        <v>0</v>
      </c>
      <c r="G7896" s="3">
        <v>2150</v>
      </c>
      <c r="H7896" s="3">
        <v>77</v>
      </c>
      <c r="I7896" s="3">
        <v>504</v>
      </c>
      <c r="J7896" s="3">
        <v>1011</v>
      </c>
      <c r="K7896" s="3">
        <v>2519</v>
      </c>
      <c r="L7896" s="3">
        <v>1</v>
      </c>
      <c r="M7896" s="3">
        <v>501</v>
      </c>
    </row>
    <row r="7897" spans="1:13" x14ac:dyDescent="0.25">
      <c r="A7897" s="1" t="str">
        <f>HYPERLINK("http://www.rosaceae.org/Prunus/Prunus_persica/p.persica_gdr_reftransV1_0037580","p.persica_gdr_reftransV1_0037580")</f>
        <v>p.persica_gdr_reftransV1_0037580</v>
      </c>
      <c r="B7897" s="3">
        <v>2450</v>
      </c>
      <c r="C7897" s="1" t="str">
        <f>HYPERLINK("http://www.uniprot.org/uniprot/SYP51_ARATH","SYP51_ARATH")</f>
        <v>SYP51_ARATH</v>
      </c>
      <c r="D7897" t="s">
        <v>3909</v>
      </c>
      <c r="E7897" s="3" t="s">
        <v>3</v>
      </c>
      <c r="F7897" s="4">
        <v>2.6299999999999999E-78</v>
      </c>
      <c r="G7897" s="3">
        <v>660</v>
      </c>
      <c r="H7897" s="3">
        <v>70</v>
      </c>
      <c r="I7897" s="3">
        <v>183</v>
      </c>
      <c r="J7897" s="3">
        <v>1564</v>
      </c>
      <c r="K7897" s="3">
        <v>2109</v>
      </c>
      <c r="L7897" s="3">
        <v>8</v>
      </c>
      <c r="M7897" s="3">
        <v>189</v>
      </c>
    </row>
    <row r="7898" spans="1:13" x14ac:dyDescent="0.25">
      <c r="A7898" s="1" t="str">
        <f>HYPERLINK("http://www.rosaceae.org/Prunus/Prunus_persica/p.persica_gdr_reftransV1_0037880","p.persica_gdr_reftransV1_0037880")</f>
        <v>p.persica_gdr_reftransV1_0037880</v>
      </c>
      <c r="B7898" s="3">
        <v>1861</v>
      </c>
      <c r="C7898" s="1" t="str">
        <f>HYPERLINK("http://www.uniprot.org/uniprot/Y4990_ARATH","Y4990_ARATH")</f>
        <v>Y4990_ARATH</v>
      </c>
      <c r="D7898" t="s">
        <v>5415</v>
      </c>
      <c r="E7898" s="3" t="s">
        <v>3</v>
      </c>
      <c r="F7898" s="4">
        <v>2.1799999999999998E-25</v>
      </c>
      <c r="G7898" s="3">
        <v>287</v>
      </c>
      <c r="H7898" s="3">
        <v>34</v>
      </c>
      <c r="I7898" s="3">
        <v>288</v>
      </c>
      <c r="J7898" s="3">
        <v>672</v>
      </c>
      <c r="K7898" s="3">
        <v>1511</v>
      </c>
      <c r="L7898" s="3">
        <v>359</v>
      </c>
      <c r="M7898" s="3">
        <v>629</v>
      </c>
    </row>
    <row r="7899" spans="1:13" x14ac:dyDescent="0.25">
      <c r="A7899" s="1" t="str">
        <f>HYPERLINK("http://www.rosaceae.org/Prunus/Prunus_persica/p.persica_gdr_reftransV1_0038380","p.persica_gdr_reftransV1_0038380")</f>
        <v>p.persica_gdr_reftransV1_0038380</v>
      </c>
      <c r="B7899" s="3">
        <v>1738</v>
      </c>
      <c r="C7899" s="1" t="str">
        <f>HYPERLINK("http://www.uniprot.org/uniprot/WAK5_ARATH","WAK5_ARATH")</f>
        <v>WAK5_ARATH</v>
      </c>
      <c r="D7899" t="s">
        <v>1794</v>
      </c>
      <c r="E7899" s="3" t="s">
        <v>3</v>
      </c>
      <c r="F7899" s="4">
        <v>1.6800000000000001E-88</v>
      </c>
      <c r="G7899" s="3">
        <v>756</v>
      </c>
      <c r="H7899" s="3">
        <v>49</v>
      </c>
      <c r="I7899" s="3">
        <v>314</v>
      </c>
      <c r="J7899" s="3">
        <v>382</v>
      </c>
      <c r="K7899" s="3">
        <v>1314</v>
      </c>
      <c r="L7899" s="3">
        <v>395</v>
      </c>
      <c r="M7899" s="3">
        <v>703</v>
      </c>
    </row>
    <row r="7900" spans="1:13" x14ac:dyDescent="0.25">
      <c r="A7900" s="1" t="str">
        <f>HYPERLINK("http://www.rosaceae.org/Prunus/Prunus_persica/p.persica_gdr_reftransV1_0038530","p.persica_gdr_reftransV1_0038530")</f>
        <v>p.persica_gdr_reftransV1_0038530</v>
      </c>
      <c r="B7900" s="3">
        <v>2311</v>
      </c>
      <c r="C7900" s="1" t="str">
        <f>HYPERLINK("http://www.uniprot.org/uniprot/BRE_DANRE","BRE_DANRE")</f>
        <v>BRE_DANRE</v>
      </c>
      <c r="D7900" t="s">
        <v>6209</v>
      </c>
      <c r="E7900" s="3" t="s">
        <v>704</v>
      </c>
      <c r="F7900" s="4">
        <v>3.2800000000000002E-13</v>
      </c>
      <c r="G7900" s="3">
        <v>185</v>
      </c>
      <c r="H7900" s="3">
        <v>27</v>
      </c>
      <c r="I7900" s="3">
        <v>325</v>
      </c>
      <c r="J7900" s="3">
        <v>944</v>
      </c>
      <c r="K7900" s="3">
        <v>1900</v>
      </c>
      <c r="L7900" s="3">
        <v>37</v>
      </c>
      <c r="M7900" s="3">
        <v>315</v>
      </c>
    </row>
    <row r="7901" spans="1:13" x14ac:dyDescent="0.25">
      <c r="A7901" s="1" t="str">
        <f>HYPERLINK("http://www.rosaceae.org/Prunus/Prunus_persica/p.persica_gdr_reftransV1_0038630","p.persica_gdr_reftransV1_0038630")</f>
        <v>p.persica_gdr_reftransV1_0038630</v>
      </c>
      <c r="B7901" s="3">
        <v>3085</v>
      </c>
      <c r="C7901" s="1" t="str">
        <f>HYPERLINK("http://www.uniprot.org/uniprot/ACS_ARATH","ACS_ARATH")</f>
        <v>ACS_ARATH</v>
      </c>
      <c r="D7901" t="s">
        <v>6210</v>
      </c>
      <c r="E7901" s="3" t="s">
        <v>3</v>
      </c>
      <c r="F7901" s="4">
        <v>0</v>
      </c>
      <c r="G7901" s="3">
        <v>3168</v>
      </c>
      <c r="H7901" s="3">
        <v>84</v>
      </c>
      <c r="I7901" s="3">
        <v>692</v>
      </c>
      <c r="J7901" s="3">
        <v>649</v>
      </c>
      <c r="K7901" s="3">
        <v>2724</v>
      </c>
      <c r="L7901" s="3">
        <v>52</v>
      </c>
      <c r="M7901" s="3">
        <v>743</v>
      </c>
    </row>
    <row r="7902" spans="1:13" x14ac:dyDescent="0.25">
      <c r="A7902" s="1" t="str">
        <f>HYPERLINK("http://www.rosaceae.org/Prunus/Prunus_persica/p.persica_gdr_reftransV1_0039030","p.persica_gdr_reftransV1_0039030")</f>
        <v>p.persica_gdr_reftransV1_0039030</v>
      </c>
      <c r="B7902" s="3">
        <v>1573</v>
      </c>
      <c r="C7902" s="1" t="str">
        <f>HYPERLINK("http://www.uniprot.org/uniprot/CDS4_ARATH","CDS4_ARATH")</f>
        <v>CDS4_ARATH</v>
      </c>
      <c r="D7902" t="s">
        <v>6211</v>
      </c>
      <c r="E7902" s="3" t="s">
        <v>3</v>
      </c>
      <c r="F7902" s="4">
        <v>2.8600000000000001E-161</v>
      </c>
      <c r="G7902" s="3">
        <v>1211</v>
      </c>
      <c r="H7902" s="3">
        <v>76</v>
      </c>
      <c r="I7902" s="3">
        <v>338</v>
      </c>
      <c r="J7902" s="3">
        <v>371</v>
      </c>
      <c r="K7902" s="3">
        <v>1384</v>
      </c>
      <c r="L7902" s="3">
        <v>58</v>
      </c>
      <c r="M7902" s="3">
        <v>391</v>
      </c>
    </row>
    <row r="7903" spans="1:13" x14ac:dyDescent="0.25">
      <c r="A7903" s="1" t="str">
        <f>HYPERLINK("http://www.rosaceae.org/Prunus/Prunus_persica/p.persica_gdr_reftransV1_0039280","p.persica_gdr_reftransV1_0039280")</f>
        <v>p.persica_gdr_reftransV1_0039280</v>
      </c>
      <c r="B7903" s="3">
        <v>3559</v>
      </c>
      <c r="C7903" s="1" t="str">
        <f>HYPERLINK("http://www.uniprot.org/uniprot/P2C56_ARATH","P2C56_ARATH")</f>
        <v>P2C56_ARATH</v>
      </c>
      <c r="D7903" t="s">
        <v>6212</v>
      </c>
      <c r="E7903" s="3" t="s">
        <v>3</v>
      </c>
      <c r="F7903" s="4">
        <v>3.2199999999999998E-40</v>
      </c>
      <c r="G7903" s="3">
        <v>404</v>
      </c>
      <c r="H7903" s="3">
        <v>59</v>
      </c>
      <c r="I7903" s="3">
        <v>135</v>
      </c>
      <c r="J7903" s="3">
        <v>1238</v>
      </c>
      <c r="K7903" s="3">
        <v>1633</v>
      </c>
      <c r="L7903" s="3">
        <v>184</v>
      </c>
      <c r="M7903" s="3">
        <v>316</v>
      </c>
    </row>
    <row r="7904" spans="1:13" x14ac:dyDescent="0.25">
      <c r="A7904" s="1" t="str">
        <f>HYPERLINK("http://www.rosaceae.org/Prunus/Prunus_persica/p.persica_gdr_reftransV1_0039480","p.persica_gdr_reftransV1_0039480")</f>
        <v>p.persica_gdr_reftransV1_0039480</v>
      </c>
      <c r="B7904" s="3">
        <v>1101</v>
      </c>
      <c r="C7904" s="1" t="str">
        <f>HYPERLINK("http://www.uniprot.org/uniprot/GDAP2_XENTR","GDAP2_XENTR")</f>
        <v>GDAP2_XENTR</v>
      </c>
      <c r="D7904" t="s">
        <v>6213</v>
      </c>
      <c r="E7904" s="3" t="s">
        <v>173</v>
      </c>
      <c r="F7904" s="4">
        <v>6.7600000000000003E-12</v>
      </c>
      <c r="G7904" s="3">
        <v>171</v>
      </c>
      <c r="H7904" s="3">
        <v>29</v>
      </c>
      <c r="I7904" s="3">
        <v>158</v>
      </c>
      <c r="J7904" s="3">
        <v>241</v>
      </c>
      <c r="K7904" s="3">
        <v>705</v>
      </c>
      <c r="L7904" s="3">
        <v>328</v>
      </c>
      <c r="M7904" s="3">
        <v>479</v>
      </c>
    </row>
    <row r="7905" spans="1:13" x14ac:dyDescent="0.25">
      <c r="A7905" s="1" t="str">
        <f>HYPERLINK("http://www.rosaceae.org/Prunus/Prunus_persica/p.persica_gdr_reftransV1_0040330","p.persica_gdr_reftransV1_0040330")</f>
        <v>p.persica_gdr_reftransV1_0040330</v>
      </c>
      <c r="B7905" s="3">
        <v>1182</v>
      </c>
      <c r="C7905" s="1" t="str">
        <f>HYPERLINK("http://www.uniprot.org/uniprot/HIP26_ARATH","HIP26_ARATH")</f>
        <v>HIP26_ARATH</v>
      </c>
      <c r="D7905" t="s">
        <v>413</v>
      </c>
      <c r="E7905" s="3" t="s">
        <v>3</v>
      </c>
      <c r="F7905" s="4">
        <v>4.64E-73</v>
      </c>
      <c r="G7905" s="3">
        <v>589</v>
      </c>
      <c r="H7905" s="3">
        <v>87</v>
      </c>
      <c r="I7905" s="3">
        <v>128</v>
      </c>
      <c r="J7905" s="3">
        <v>491</v>
      </c>
      <c r="K7905" s="3">
        <v>874</v>
      </c>
      <c r="L7905" s="3">
        <v>26</v>
      </c>
      <c r="M7905" s="3">
        <v>153</v>
      </c>
    </row>
    <row r="7906" spans="1:13" x14ac:dyDescent="0.25">
      <c r="A7906" s="1" t="str">
        <f>HYPERLINK("http://www.rosaceae.org/Prunus/Prunus_persica/p.persica_gdr_reftransV1_0040930","p.persica_gdr_reftransV1_0040930")</f>
        <v>p.persica_gdr_reftransV1_0040930</v>
      </c>
      <c r="B7906" s="3">
        <v>885</v>
      </c>
      <c r="C7906" s="1" t="str">
        <f>HYPERLINK("http://www.uniprot.org/uniprot/Y2913_ARATH","Y2913_ARATH")</f>
        <v>Y2913_ARATH</v>
      </c>
      <c r="D7906" t="s">
        <v>5373</v>
      </c>
      <c r="E7906" s="3" t="s">
        <v>3</v>
      </c>
      <c r="F7906" s="4">
        <v>4.4800000000000002E-85</v>
      </c>
      <c r="G7906" s="3">
        <v>711</v>
      </c>
      <c r="H7906" s="3">
        <v>66</v>
      </c>
      <c r="I7906" s="3">
        <v>190</v>
      </c>
      <c r="J7906" s="3">
        <v>5</v>
      </c>
      <c r="K7906" s="3">
        <v>571</v>
      </c>
      <c r="L7906" s="3">
        <v>590</v>
      </c>
      <c r="M7906" s="3">
        <v>779</v>
      </c>
    </row>
    <row r="7907" spans="1:13" x14ac:dyDescent="0.25">
      <c r="A7907" s="1" t="str">
        <f>HYPERLINK("http://www.rosaceae.org/Prunus/Prunus_persica/p.persica_gdr_reftransV1_0041080","p.persica_gdr_reftransV1_0041080")</f>
        <v>p.persica_gdr_reftransV1_0041080</v>
      </c>
      <c r="B7907" s="3">
        <v>354</v>
      </c>
      <c r="C7907" s="1" t="str">
        <f>HYPERLINK("http://www.uniprot.org/uniprot/HSP7N_ARATH","HSP7N_ARATH")</f>
        <v>HSP7N_ARATH</v>
      </c>
      <c r="D7907" t="s">
        <v>6214</v>
      </c>
      <c r="E7907" s="3" t="s">
        <v>3</v>
      </c>
      <c r="F7907" s="4">
        <v>2.65E-47</v>
      </c>
      <c r="G7907" s="3">
        <v>417</v>
      </c>
      <c r="H7907" s="3">
        <v>69</v>
      </c>
      <c r="I7907" s="3">
        <v>118</v>
      </c>
      <c r="J7907" s="3">
        <v>1</v>
      </c>
      <c r="K7907" s="3">
        <v>354</v>
      </c>
      <c r="L7907" s="3">
        <v>37</v>
      </c>
      <c r="M7907" s="3">
        <v>152</v>
      </c>
    </row>
    <row r="7908" spans="1:13" x14ac:dyDescent="0.25">
      <c r="A7908" s="1" t="str">
        <f>HYPERLINK("http://www.rosaceae.org/Prunus/Prunus_persica/p.persica_gdr_reftransV1_0041130","p.persica_gdr_reftransV1_0041130")</f>
        <v>p.persica_gdr_reftransV1_0041130</v>
      </c>
      <c r="B7908" s="3">
        <v>3605</v>
      </c>
      <c r="C7908" s="1" t="str">
        <f>HYPERLINK("http://www.uniprot.org/uniprot/ANS1A_HUMAN","ANS1A_HUMAN")</f>
        <v>ANS1A_HUMAN</v>
      </c>
      <c r="D7908" t="s">
        <v>2447</v>
      </c>
      <c r="E7908" s="3" t="s">
        <v>28</v>
      </c>
      <c r="F7908" s="4">
        <v>6.5199999999999998E-9</v>
      </c>
      <c r="G7908" s="3">
        <v>155</v>
      </c>
      <c r="H7908" s="3">
        <v>34</v>
      </c>
      <c r="I7908" s="3">
        <v>161</v>
      </c>
      <c r="J7908" s="3">
        <v>1588</v>
      </c>
      <c r="K7908" s="3">
        <v>2061</v>
      </c>
      <c r="L7908" s="3">
        <v>117</v>
      </c>
      <c r="M7908" s="3">
        <v>272</v>
      </c>
    </row>
    <row r="7909" spans="1:13" x14ac:dyDescent="0.25">
      <c r="A7909" s="1" t="str">
        <f>HYPERLINK("http://www.rosaceae.org/Prunus/Prunus_persica/p.persica_gdr_reftransV1_0041730","p.persica_gdr_reftransV1_0041730")</f>
        <v>p.persica_gdr_reftransV1_0041730</v>
      </c>
      <c r="B7909" s="3">
        <v>819</v>
      </c>
      <c r="C7909" s="1" t="str">
        <f>HYPERLINK("http://www.uniprot.org/uniprot/TBL34_ARATH","TBL34_ARATH")</f>
        <v>TBL34_ARATH</v>
      </c>
      <c r="D7909" t="s">
        <v>6215</v>
      </c>
      <c r="E7909" s="3" t="s">
        <v>3</v>
      </c>
      <c r="F7909" s="4">
        <v>2.7800000000000002E-96</v>
      </c>
      <c r="G7909" s="3">
        <v>756</v>
      </c>
      <c r="H7909" s="3">
        <v>60</v>
      </c>
      <c r="I7909" s="3">
        <v>252</v>
      </c>
      <c r="J7909" s="3">
        <v>68</v>
      </c>
      <c r="K7909" s="3">
        <v>817</v>
      </c>
      <c r="L7909" s="3">
        <v>3</v>
      </c>
      <c r="M7909" s="3">
        <v>227</v>
      </c>
    </row>
    <row r="7910" spans="1:13" x14ac:dyDescent="0.25">
      <c r="A7910" s="1" t="str">
        <f>HYPERLINK("http://www.rosaceae.org/Prunus/Prunus_persica/p.persica_gdr_reftransV1_0041830","p.persica_gdr_reftransV1_0041830")</f>
        <v>p.persica_gdr_reftransV1_0041830</v>
      </c>
      <c r="B7910" s="3">
        <v>2881</v>
      </c>
      <c r="C7910" s="1" t="str">
        <f>HYPERLINK("http://www.uniprot.org/uniprot/DCP5_ARATH","DCP5_ARATH")</f>
        <v>DCP5_ARATH</v>
      </c>
      <c r="D7910" t="s">
        <v>6216</v>
      </c>
      <c r="E7910" s="3" t="s">
        <v>3</v>
      </c>
      <c r="F7910" s="4">
        <v>5.0099999999999999E-43</v>
      </c>
      <c r="G7910" s="3">
        <v>431</v>
      </c>
      <c r="H7910" s="3">
        <v>48</v>
      </c>
      <c r="I7910" s="3">
        <v>215</v>
      </c>
      <c r="J7910" s="3">
        <v>167</v>
      </c>
      <c r="K7910" s="3">
        <v>781</v>
      </c>
      <c r="L7910" s="3">
        <v>8</v>
      </c>
      <c r="M7910" s="3">
        <v>209</v>
      </c>
    </row>
    <row r="7911" spans="1:13" x14ac:dyDescent="0.25">
      <c r="A7911" s="1" t="str">
        <f>HYPERLINK("http://www.rosaceae.org/Prunus/Prunus_persica/p.persica_gdr_reftransV1_0042030","p.persica_gdr_reftransV1_0042030")</f>
        <v>p.persica_gdr_reftransV1_0042030</v>
      </c>
      <c r="B7911" s="3">
        <v>3146</v>
      </c>
      <c r="C7911" s="1" t="str">
        <f>HYPERLINK("http://www.uniprot.org/uniprot/CSLC6_ARATH","CSLC6_ARATH")</f>
        <v>CSLC6_ARATH</v>
      </c>
      <c r="D7911" t="s">
        <v>6217</v>
      </c>
      <c r="E7911" s="3" t="s">
        <v>3</v>
      </c>
      <c r="F7911" s="4">
        <v>0</v>
      </c>
      <c r="G7911" s="3">
        <v>1717</v>
      </c>
      <c r="H7911" s="3">
        <v>73</v>
      </c>
      <c r="I7911" s="3">
        <v>484</v>
      </c>
      <c r="J7911" s="3">
        <v>1475</v>
      </c>
      <c r="K7911" s="3">
        <v>2911</v>
      </c>
      <c r="L7911" s="3">
        <v>1</v>
      </c>
      <c r="M7911" s="3">
        <v>473</v>
      </c>
    </row>
    <row r="7912" spans="1:13" x14ac:dyDescent="0.25">
      <c r="A7912" s="1" t="str">
        <f>HYPERLINK("http://www.rosaceae.org/Prunus/Prunus_persica/p.persica_gdr_reftransV1_0042130","p.persica_gdr_reftransV1_0042130")</f>
        <v>p.persica_gdr_reftransV1_0042130</v>
      </c>
      <c r="B7912" s="3">
        <v>2975</v>
      </c>
      <c r="C7912" s="1" t="str">
        <f>HYPERLINK("http://www.uniprot.org/uniprot/GONS1_ARATH","GONS1_ARATH")</f>
        <v>GONS1_ARATH</v>
      </c>
      <c r="D7912" t="s">
        <v>6218</v>
      </c>
      <c r="E7912" s="3" t="s">
        <v>3</v>
      </c>
      <c r="F7912" s="4">
        <v>1.39E-105</v>
      </c>
      <c r="G7912" s="3">
        <v>868</v>
      </c>
      <c r="H7912" s="3">
        <v>75</v>
      </c>
      <c r="I7912" s="3">
        <v>256</v>
      </c>
      <c r="J7912" s="3">
        <v>312</v>
      </c>
      <c r="K7912" s="3">
        <v>1079</v>
      </c>
      <c r="L7912" s="3">
        <v>1</v>
      </c>
      <c r="M7912" s="3">
        <v>253</v>
      </c>
    </row>
    <row r="7913" spans="1:13" x14ac:dyDescent="0.25">
      <c r="A7913" s="1" t="str">
        <f>HYPERLINK("http://www.rosaceae.org/Prunus/Prunus_persica/p.persica_gdr_reftransV1_0042380","p.persica_gdr_reftransV1_0042380")</f>
        <v>p.persica_gdr_reftransV1_0042380</v>
      </c>
      <c r="B7913" s="3">
        <v>3267</v>
      </c>
      <c r="C7913" s="1" t="str">
        <f>HYPERLINK("http://www.uniprot.org/uniprot/DXS_ARATH","DXS_ARATH")</f>
        <v>DXS_ARATH</v>
      </c>
      <c r="D7913" t="s">
        <v>6219</v>
      </c>
      <c r="E7913" s="3" t="s">
        <v>3</v>
      </c>
      <c r="F7913" s="4">
        <v>0</v>
      </c>
      <c r="G7913" s="3">
        <v>1956</v>
      </c>
      <c r="H7913" s="3">
        <v>54</v>
      </c>
      <c r="I7913" s="3">
        <v>740</v>
      </c>
      <c r="J7913" s="3">
        <v>403</v>
      </c>
      <c r="K7913" s="3">
        <v>2601</v>
      </c>
      <c r="L7913" s="3">
        <v>36</v>
      </c>
      <c r="M7913" s="3">
        <v>716</v>
      </c>
    </row>
    <row r="7914" spans="1:13" x14ac:dyDescent="0.25">
      <c r="A7914" s="1" t="str">
        <f>HYPERLINK("http://www.rosaceae.org/Prunus/Prunus_persica/p.persica_gdr_reftransV1_0042480","p.persica_gdr_reftransV1_0042480")</f>
        <v>p.persica_gdr_reftransV1_0042480</v>
      </c>
      <c r="B7914" s="3">
        <v>1965</v>
      </c>
      <c r="C7914" s="1" t="str">
        <f>HYPERLINK("http://www.uniprot.org/uniprot/S2544_HUMAN","S2544_HUMAN")</f>
        <v>S2544_HUMAN</v>
      </c>
      <c r="D7914" t="s">
        <v>6220</v>
      </c>
      <c r="E7914" s="3" t="s">
        <v>28</v>
      </c>
      <c r="F7914" s="4">
        <v>2.4799999999999999E-29</v>
      </c>
      <c r="G7914" s="3">
        <v>308</v>
      </c>
      <c r="H7914" s="3">
        <v>31</v>
      </c>
      <c r="I7914" s="3">
        <v>331</v>
      </c>
      <c r="J7914" s="3">
        <v>651</v>
      </c>
      <c r="K7914" s="3">
        <v>1616</v>
      </c>
      <c r="L7914" s="3">
        <v>10</v>
      </c>
      <c r="M7914" s="3">
        <v>307</v>
      </c>
    </row>
    <row r="7915" spans="1:13" x14ac:dyDescent="0.25">
      <c r="A7915" s="1" t="str">
        <f>HYPERLINK("http://www.rosaceae.org/Prunus/Prunus_persica/p.persica_gdr_reftransV1_0042580","p.persica_gdr_reftransV1_0042580")</f>
        <v>p.persica_gdr_reftransV1_0042580</v>
      </c>
      <c r="B7915" s="3">
        <v>1588</v>
      </c>
      <c r="C7915" s="1" t="str">
        <f>HYPERLINK("http://www.uniprot.org/uniprot/RidA_ARATH","RidA_ARATH")</f>
        <v>RidA_ARATH</v>
      </c>
      <c r="D7915" t="s">
        <v>2992</v>
      </c>
      <c r="E7915" s="3" t="s">
        <v>3</v>
      </c>
      <c r="F7915" s="4">
        <v>3.2799999999999999E-26</v>
      </c>
      <c r="G7915" s="3">
        <v>273</v>
      </c>
      <c r="H7915" s="3">
        <v>61</v>
      </c>
      <c r="I7915" s="3">
        <v>120</v>
      </c>
      <c r="J7915" s="3">
        <v>114</v>
      </c>
      <c r="K7915" s="3">
        <v>464</v>
      </c>
      <c r="L7915" s="3">
        <v>1</v>
      </c>
      <c r="M7915" s="3">
        <v>117</v>
      </c>
    </row>
    <row r="7916" spans="1:13" x14ac:dyDescent="0.25">
      <c r="A7916" s="1" t="str">
        <f>HYPERLINK("http://www.rosaceae.org/Prunus/Prunus_persica/p.persica_gdr_reftransV1_0042680","p.persica_gdr_reftransV1_0042680")</f>
        <v>p.persica_gdr_reftransV1_0042680</v>
      </c>
      <c r="B7916" s="3">
        <v>2967</v>
      </c>
      <c r="C7916" s="1" t="str">
        <f>HYPERLINK("http://www.uniprot.org/uniprot/KIFC3_HUMAN","KIFC3_HUMAN")</f>
        <v>KIFC3_HUMAN</v>
      </c>
      <c r="D7916" t="s">
        <v>6221</v>
      </c>
      <c r="E7916" s="3" t="s">
        <v>28</v>
      </c>
      <c r="F7916" s="4">
        <v>5.2500000000000001E-67</v>
      </c>
      <c r="G7916" s="3">
        <v>376</v>
      </c>
      <c r="H7916" s="3">
        <v>36</v>
      </c>
      <c r="I7916" s="3">
        <v>260</v>
      </c>
      <c r="J7916" s="3">
        <v>872</v>
      </c>
      <c r="K7916" s="3">
        <v>1633</v>
      </c>
      <c r="L7916" s="3">
        <v>404</v>
      </c>
      <c r="M7916" s="3">
        <v>656</v>
      </c>
    </row>
    <row r="7917" spans="1:13" x14ac:dyDescent="0.25">
      <c r="A7917" s="1" t="str">
        <f>HYPERLINK("http://www.rosaceae.org/Prunus/Prunus_persica/p.persica_gdr_reftransV1_0043030","p.persica_gdr_reftransV1_0043030")</f>
        <v>p.persica_gdr_reftransV1_0043030</v>
      </c>
      <c r="B7917" s="3">
        <v>1133</v>
      </c>
      <c r="C7917" s="1" t="str">
        <f>HYPERLINK("http://www.uniprot.org/uniprot/AB3C_ARATH","AB3C_ARATH")</f>
        <v>AB3C_ARATH</v>
      </c>
      <c r="D7917" t="s">
        <v>6222</v>
      </c>
      <c r="E7917" s="3" t="s">
        <v>3</v>
      </c>
      <c r="F7917" s="4">
        <v>3.2100000000000001E-102</v>
      </c>
      <c r="G7917" s="3">
        <v>859</v>
      </c>
      <c r="H7917" s="3">
        <v>51</v>
      </c>
      <c r="I7917" s="3">
        <v>377</v>
      </c>
      <c r="J7917" s="3">
        <v>13</v>
      </c>
      <c r="K7917" s="3">
        <v>1128</v>
      </c>
      <c r="L7917" s="3">
        <v>361</v>
      </c>
      <c r="M7917" s="3">
        <v>731</v>
      </c>
    </row>
    <row r="7918" spans="1:13" x14ac:dyDescent="0.25">
      <c r="A7918" s="1" t="str">
        <f>HYPERLINK("http://www.rosaceae.org/Prunus/Prunus_persica/p.persica_gdr_reftransV1_0043080","p.persica_gdr_reftransV1_0043080")</f>
        <v>p.persica_gdr_reftransV1_0043080</v>
      </c>
      <c r="B7918" s="3">
        <v>313</v>
      </c>
      <c r="C7918" s="1" t="str">
        <f>HYPERLINK("http://www.uniprot.org/uniprot/PUP10_ARATH","PUP10_ARATH")</f>
        <v>PUP10_ARATH</v>
      </c>
      <c r="D7918" t="s">
        <v>6223</v>
      </c>
      <c r="E7918" s="3" t="s">
        <v>3</v>
      </c>
      <c r="F7918" s="4">
        <v>1.43E-24</v>
      </c>
      <c r="G7918" s="3">
        <v>246</v>
      </c>
      <c r="H7918" s="3">
        <v>67</v>
      </c>
      <c r="I7918" s="3">
        <v>104</v>
      </c>
      <c r="J7918" s="3">
        <v>1</v>
      </c>
      <c r="K7918" s="3">
        <v>312</v>
      </c>
      <c r="L7918" s="3">
        <v>143</v>
      </c>
      <c r="M7918" s="3">
        <v>244</v>
      </c>
    </row>
    <row r="7919" spans="1:13" x14ac:dyDescent="0.25">
      <c r="A7919" s="1" t="str">
        <f>HYPERLINK("http://www.rosaceae.org/Prunus/Prunus_persica/p.persica_gdr_reftransV1_0043130","p.persica_gdr_reftransV1_0043130")</f>
        <v>p.persica_gdr_reftransV1_0043130</v>
      </c>
      <c r="B7919" s="3">
        <v>491</v>
      </c>
      <c r="C7919" s="1" t="str">
        <f>HYPERLINK("http://www.uniprot.org/uniprot/ROGF2_ARATH","ROGF2_ARATH")</f>
        <v>ROGF2_ARATH</v>
      </c>
      <c r="D7919" t="s">
        <v>6224</v>
      </c>
      <c r="E7919" s="3" t="s">
        <v>3</v>
      </c>
      <c r="F7919" s="4">
        <v>6.0200000000000001E-55</v>
      </c>
      <c r="G7919" s="3">
        <v>471</v>
      </c>
      <c r="H7919" s="3">
        <v>63</v>
      </c>
      <c r="I7919" s="3">
        <v>168</v>
      </c>
      <c r="J7919" s="3">
        <v>4</v>
      </c>
      <c r="K7919" s="3">
        <v>489</v>
      </c>
      <c r="L7919" s="3">
        <v>47</v>
      </c>
      <c r="M7919" s="3">
        <v>212</v>
      </c>
    </row>
    <row r="7920" spans="1:13" x14ac:dyDescent="0.25">
      <c r="A7920" s="1" t="str">
        <f>HYPERLINK("http://www.rosaceae.org/Prunus/Prunus_persica/p.persica_gdr_reftransV1_0043180","p.persica_gdr_reftransV1_0043180")</f>
        <v>p.persica_gdr_reftransV1_0043180</v>
      </c>
      <c r="B7920" s="3">
        <v>1653</v>
      </c>
      <c r="C7920" s="1" t="str">
        <f>HYPERLINK("http://www.uniprot.org/uniprot/FUCO1_ARATH","FUCO1_ARATH")</f>
        <v>FUCO1_ARATH</v>
      </c>
      <c r="D7920" t="s">
        <v>6104</v>
      </c>
      <c r="E7920" s="3" t="s">
        <v>3</v>
      </c>
      <c r="F7920" s="4">
        <v>9.2800000000000001E-166</v>
      </c>
      <c r="G7920" s="3">
        <v>1255</v>
      </c>
      <c r="H7920" s="3">
        <v>54</v>
      </c>
      <c r="I7920" s="3">
        <v>451</v>
      </c>
      <c r="J7920" s="3">
        <v>143</v>
      </c>
      <c r="K7920" s="3">
        <v>1474</v>
      </c>
      <c r="L7920" s="3">
        <v>39</v>
      </c>
      <c r="M7920" s="3">
        <v>481</v>
      </c>
    </row>
    <row r="7921" spans="1:13" x14ac:dyDescent="0.25">
      <c r="A7921" s="1" t="str">
        <f>HYPERLINK("http://www.rosaceae.org/Prunus/Prunus_persica/p.persica_gdr_reftransV1_0043230","p.persica_gdr_reftransV1_0043230")</f>
        <v>p.persica_gdr_reftransV1_0043230</v>
      </c>
      <c r="B7921" s="3">
        <v>1636</v>
      </c>
      <c r="C7921" s="1" t="str">
        <f>HYPERLINK("http://www.uniprot.org/uniprot/SIB1_ARATH","SIB1_ARATH")</f>
        <v>SIB1_ARATH</v>
      </c>
      <c r="D7921" t="s">
        <v>6225</v>
      </c>
      <c r="E7921" s="3" t="s">
        <v>3</v>
      </c>
      <c r="F7921" s="4">
        <v>5.5599999999999995E-7</v>
      </c>
      <c r="G7921" s="3">
        <v>126</v>
      </c>
      <c r="H7921" s="3">
        <v>77</v>
      </c>
      <c r="I7921" s="3">
        <v>31</v>
      </c>
      <c r="J7921" s="3">
        <v>1323</v>
      </c>
      <c r="K7921" s="3">
        <v>1415</v>
      </c>
      <c r="L7921" s="3">
        <v>40</v>
      </c>
      <c r="M7921" s="3">
        <v>70</v>
      </c>
    </row>
    <row r="7922" spans="1:13" x14ac:dyDescent="0.25">
      <c r="A7922" s="1" t="str">
        <f>HYPERLINK("http://www.rosaceae.org/Prunus/Prunus_persica/p.persica_gdr_reftransV1_0043380","p.persica_gdr_reftransV1_0043380")</f>
        <v>p.persica_gdr_reftransV1_0043380</v>
      </c>
      <c r="B7922" s="3">
        <v>2168</v>
      </c>
      <c r="C7922" s="1" t="str">
        <f>HYPERLINK("http://www.uniprot.org/uniprot/FAD1_MOUSE","FAD1_MOUSE")</f>
        <v>FAD1_MOUSE</v>
      </c>
      <c r="D7922" t="s">
        <v>6226</v>
      </c>
      <c r="E7922" s="3" t="s">
        <v>157</v>
      </c>
      <c r="F7922" s="4">
        <v>5.6100000000000001E-43</v>
      </c>
      <c r="G7922" s="3">
        <v>420</v>
      </c>
      <c r="H7922" s="3">
        <v>41</v>
      </c>
      <c r="I7922" s="3">
        <v>222</v>
      </c>
      <c r="J7922" s="3">
        <v>1231</v>
      </c>
      <c r="K7922" s="3">
        <v>1890</v>
      </c>
      <c r="L7922" s="3">
        <v>281</v>
      </c>
      <c r="M7922" s="3">
        <v>492</v>
      </c>
    </row>
    <row r="7923" spans="1:13" x14ac:dyDescent="0.25">
      <c r="A7923" s="1" t="str">
        <f>HYPERLINK("http://www.rosaceae.org/Prunus/Prunus_persica/p.persica_gdr_reftransV1_0043430","p.persica_gdr_reftransV1_0043430")</f>
        <v>p.persica_gdr_reftransV1_0043430</v>
      </c>
      <c r="B7923" s="3">
        <v>360</v>
      </c>
      <c r="C7923" s="1" t="str">
        <f>HYPERLINK("http://www.uniprot.org/uniprot/MSH3_ARATH","MSH3_ARATH")</f>
        <v>MSH3_ARATH</v>
      </c>
      <c r="D7923" t="s">
        <v>6227</v>
      </c>
      <c r="E7923" s="3" t="s">
        <v>3</v>
      </c>
      <c r="F7923" s="4">
        <v>2.8400000000000001E-64</v>
      </c>
      <c r="G7923" s="3">
        <v>548</v>
      </c>
      <c r="H7923" s="3">
        <v>87</v>
      </c>
      <c r="I7923" s="3">
        <v>115</v>
      </c>
      <c r="J7923" s="3">
        <v>2</v>
      </c>
      <c r="K7923" s="3">
        <v>346</v>
      </c>
      <c r="L7923" s="3">
        <v>103</v>
      </c>
      <c r="M7923" s="3">
        <v>217</v>
      </c>
    </row>
    <row r="7924" spans="1:13" x14ac:dyDescent="0.25">
      <c r="A7924" s="1" t="str">
        <f>HYPERLINK("http://www.rosaceae.org/Prunus/Prunus_persica/p.persica_gdr_reftransV1_0043530","p.persica_gdr_reftransV1_0043530")</f>
        <v>p.persica_gdr_reftransV1_0043530</v>
      </c>
      <c r="B7924" s="3">
        <v>304</v>
      </c>
      <c r="C7924" s="1" t="str">
        <f>HYPERLINK("http://www.uniprot.org/uniprot/PPAF2_IPOBA","PPAF2_IPOBA")</f>
        <v>PPAF2_IPOBA</v>
      </c>
      <c r="D7924" t="s">
        <v>6228</v>
      </c>
      <c r="E7924" s="3" t="s">
        <v>6229</v>
      </c>
      <c r="F7924" s="4">
        <v>6.9299999999999997E-53</v>
      </c>
      <c r="G7924" s="3">
        <v>449</v>
      </c>
      <c r="H7924" s="3">
        <v>85</v>
      </c>
      <c r="I7924" s="3">
        <v>99</v>
      </c>
      <c r="J7924" s="3">
        <v>6</v>
      </c>
      <c r="K7924" s="3">
        <v>302</v>
      </c>
      <c r="L7924" s="3">
        <v>105</v>
      </c>
      <c r="M7924" s="3">
        <v>203</v>
      </c>
    </row>
    <row r="7925" spans="1:13" x14ac:dyDescent="0.25">
      <c r="A7925" s="1" t="str">
        <f>HYPERLINK("http://www.rosaceae.org/Prunus/Prunus_persica/p.persica_gdr_reftransV1_0043580","p.persica_gdr_reftransV1_0043580")</f>
        <v>p.persica_gdr_reftransV1_0043580</v>
      </c>
      <c r="B7925" s="3">
        <v>339</v>
      </c>
      <c r="C7925" s="1" t="str">
        <f>HYPERLINK("http://www.uniprot.org/uniprot/RAX3_ARATH","RAX3_ARATH")</f>
        <v>RAX3_ARATH</v>
      </c>
      <c r="D7925" t="s">
        <v>6230</v>
      </c>
      <c r="E7925" s="3" t="s">
        <v>3</v>
      </c>
      <c r="F7925" s="4">
        <v>7.19E-69</v>
      </c>
      <c r="G7925" s="3">
        <v>548</v>
      </c>
      <c r="H7925" s="3">
        <v>88</v>
      </c>
      <c r="I7925" s="3">
        <v>112</v>
      </c>
      <c r="J7925" s="3">
        <v>3</v>
      </c>
      <c r="K7925" s="3">
        <v>338</v>
      </c>
      <c r="L7925" s="3">
        <v>1</v>
      </c>
      <c r="M7925" s="3">
        <v>112</v>
      </c>
    </row>
    <row r="7926" spans="1:13" x14ac:dyDescent="0.25">
      <c r="A7926" s="1" t="str">
        <f>HYPERLINK("http://www.rosaceae.org/Prunus/Prunus_persica/p.persica_gdr_reftransV1_0043630","p.persica_gdr_reftransV1_0043630")</f>
        <v>p.persica_gdr_reftransV1_0043630</v>
      </c>
      <c r="B7926" s="3">
        <v>2001</v>
      </c>
      <c r="C7926" s="1" t="str">
        <f>HYPERLINK("http://www.uniprot.org/uniprot/CER1_ARATH","CER1_ARATH")</f>
        <v>CER1_ARATH</v>
      </c>
      <c r="D7926" t="s">
        <v>6231</v>
      </c>
      <c r="E7926" s="3" t="s">
        <v>3</v>
      </c>
      <c r="F7926" s="4">
        <v>0</v>
      </c>
      <c r="G7926" s="3">
        <v>2046</v>
      </c>
      <c r="H7926" s="3">
        <v>63</v>
      </c>
      <c r="I7926" s="3">
        <v>622</v>
      </c>
      <c r="J7926" s="3">
        <v>143</v>
      </c>
      <c r="K7926" s="3">
        <v>1990</v>
      </c>
      <c r="L7926" s="3">
        <v>1</v>
      </c>
      <c r="M7926" s="3">
        <v>622</v>
      </c>
    </row>
    <row r="7927" spans="1:13" x14ac:dyDescent="0.25">
      <c r="A7927" s="1" t="str">
        <f>HYPERLINK("http://www.rosaceae.org/Prunus/Prunus_persica/p.persica_gdr_reftransV1_0043680","p.persica_gdr_reftransV1_0043680")</f>
        <v>p.persica_gdr_reftransV1_0043680</v>
      </c>
      <c r="B7927" s="3">
        <v>2226</v>
      </c>
      <c r="C7927" s="1" t="str">
        <f>HYPERLINK("http://www.uniprot.org/uniprot/NFD4_ARATH","NFD4_ARATH")</f>
        <v>NFD4_ARATH</v>
      </c>
      <c r="D7927" t="s">
        <v>404</v>
      </c>
      <c r="E7927" s="3" t="s">
        <v>3</v>
      </c>
      <c r="F7927" s="4">
        <v>2.3100000000000001E-15</v>
      </c>
      <c r="G7927" s="3">
        <v>205</v>
      </c>
      <c r="H7927" s="3">
        <v>29</v>
      </c>
      <c r="I7927" s="3">
        <v>186</v>
      </c>
      <c r="J7927" s="3">
        <v>1628</v>
      </c>
      <c r="K7927" s="3">
        <v>2179</v>
      </c>
      <c r="L7927" s="3">
        <v>24</v>
      </c>
      <c r="M7927" s="3">
        <v>196</v>
      </c>
    </row>
    <row r="7928" spans="1:13" x14ac:dyDescent="0.25">
      <c r="A7928" s="1" t="str">
        <f>HYPERLINK("http://www.rosaceae.org/Prunus/Prunus_persica/p.persica_gdr_reftransV1_0043730","p.persica_gdr_reftransV1_0043730")</f>
        <v>p.persica_gdr_reftransV1_0043730</v>
      </c>
      <c r="B7928" s="3">
        <v>795</v>
      </c>
      <c r="C7928" s="1" t="str">
        <f>HYPERLINK("http://www.uniprot.org/uniprot/DIRL1_ARATH","DIRL1_ARATH")</f>
        <v>DIRL1_ARATH</v>
      </c>
      <c r="D7928" t="s">
        <v>4387</v>
      </c>
      <c r="E7928" s="3" t="s">
        <v>3</v>
      </c>
      <c r="F7928" s="4">
        <v>1.71E-10</v>
      </c>
      <c r="G7928" s="3">
        <v>145</v>
      </c>
      <c r="H7928" s="3">
        <v>46</v>
      </c>
      <c r="I7928" s="3">
        <v>83</v>
      </c>
      <c r="J7928" s="3">
        <v>391</v>
      </c>
      <c r="K7928" s="3">
        <v>639</v>
      </c>
      <c r="L7928" s="3">
        <v>20</v>
      </c>
      <c r="M7928" s="3">
        <v>102</v>
      </c>
    </row>
    <row r="7929" spans="1:13" x14ac:dyDescent="0.25">
      <c r="A7929" s="1" t="str">
        <f>HYPERLINK("http://www.rosaceae.org/Prunus/Prunus_persica/p.persica_gdr_reftransV1_0043780","p.persica_gdr_reftransV1_0043780")</f>
        <v>p.persica_gdr_reftransV1_0043780</v>
      </c>
      <c r="B7929" s="3">
        <v>1330</v>
      </c>
      <c r="C7929" s="1" t="str">
        <f>HYPERLINK("http://www.uniprot.org/uniprot/UBP14_ARATH","UBP14_ARATH")</f>
        <v>UBP14_ARATH</v>
      </c>
      <c r="D7929" t="s">
        <v>6232</v>
      </c>
      <c r="E7929" s="3" t="s">
        <v>3</v>
      </c>
      <c r="F7929" s="4">
        <v>1.5900000000000001E-175</v>
      </c>
      <c r="G7929" s="3">
        <v>1335</v>
      </c>
      <c r="H7929" s="3">
        <v>76</v>
      </c>
      <c r="I7929" s="3">
        <v>376</v>
      </c>
      <c r="J7929" s="3">
        <v>3</v>
      </c>
      <c r="K7929" s="3">
        <v>1127</v>
      </c>
      <c r="L7929" s="3">
        <v>296</v>
      </c>
      <c r="M7929" s="3">
        <v>665</v>
      </c>
    </row>
    <row r="7930" spans="1:13" x14ac:dyDescent="0.25">
      <c r="A7930" s="1" t="str">
        <f>HYPERLINK("http://www.rosaceae.org/Prunus/Prunus_persica/p.persica_gdr_reftransV1_0043930","p.persica_gdr_reftransV1_0043930")</f>
        <v>p.persica_gdr_reftransV1_0043930</v>
      </c>
      <c r="B7930" s="3">
        <v>1729</v>
      </c>
      <c r="C7930" s="1" t="str">
        <f>HYPERLINK("http://www.uniprot.org/uniprot/C87A3_ORYSJ","C87A3_ORYSJ")</f>
        <v>C87A3_ORYSJ</v>
      </c>
      <c r="D7930" t="s">
        <v>4889</v>
      </c>
      <c r="E7930" s="3" t="s">
        <v>38</v>
      </c>
      <c r="F7930" s="4">
        <v>9.09E-134</v>
      </c>
      <c r="G7930" s="3">
        <v>1045</v>
      </c>
      <c r="H7930" s="3">
        <v>45</v>
      </c>
      <c r="I7930" s="3">
        <v>457</v>
      </c>
      <c r="J7930" s="3">
        <v>289</v>
      </c>
      <c r="K7930" s="3">
        <v>1647</v>
      </c>
      <c r="L7930" s="3">
        <v>57</v>
      </c>
      <c r="M7930" s="3">
        <v>513</v>
      </c>
    </row>
    <row r="7931" spans="1:13" x14ac:dyDescent="0.25">
      <c r="A7931" s="1" t="str">
        <f>HYPERLINK("http://www.rosaceae.org/Prunus/Prunus_persica/p.persica_gdr_reftransV1_0044030","p.persica_gdr_reftransV1_0044030")</f>
        <v>p.persica_gdr_reftransV1_0044030</v>
      </c>
      <c r="B7931" s="3">
        <v>1352</v>
      </c>
      <c r="C7931" s="1" t="str">
        <f>HYPERLINK("http://www.uniprot.org/uniprot/GDL15_ARATH","GDL15_ARATH")</f>
        <v>GDL15_ARATH</v>
      </c>
      <c r="D7931" t="s">
        <v>6233</v>
      </c>
      <c r="E7931" s="3" t="s">
        <v>3</v>
      </c>
      <c r="F7931" s="4">
        <v>5.3400000000000004E-115</v>
      </c>
      <c r="G7931" s="3">
        <v>894</v>
      </c>
      <c r="H7931" s="3">
        <v>51</v>
      </c>
      <c r="I7931" s="3">
        <v>358</v>
      </c>
      <c r="J7931" s="3">
        <v>97</v>
      </c>
      <c r="K7931" s="3">
        <v>1158</v>
      </c>
      <c r="L7931" s="3">
        <v>11</v>
      </c>
      <c r="M7931" s="3">
        <v>363</v>
      </c>
    </row>
    <row r="7932" spans="1:13" x14ac:dyDescent="0.25">
      <c r="A7932" s="1" t="str">
        <f>HYPERLINK("http://www.rosaceae.org/Prunus/Prunus_persica/p.persica_gdr_reftransV1_0044080","p.persica_gdr_reftransV1_0044080")</f>
        <v>p.persica_gdr_reftransV1_0044080</v>
      </c>
      <c r="B7932" s="3">
        <v>747</v>
      </c>
      <c r="C7932" s="1" t="str">
        <f>HYPERLINK("http://www.uniprot.org/uniprot/SUT31_ARATH","SUT31_ARATH")</f>
        <v>SUT31_ARATH</v>
      </c>
      <c r="D7932" t="s">
        <v>1690</v>
      </c>
      <c r="E7932" s="3" t="s">
        <v>3</v>
      </c>
      <c r="F7932" s="4">
        <v>7.5600000000000004E-77</v>
      </c>
      <c r="G7932" s="3">
        <v>640</v>
      </c>
      <c r="H7932" s="3">
        <v>64</v>
      </c>
      <c r="I7932" s="3">
        <v>180</v>
      </c>
      <c r="J7932" s="3">
        <v>209</v>
      </c>
      <c r="K7932" s="3">
        <v>745</v>
      </c>
      <c r="L7932" s="3">
        <v>481</v>
      </c>
      <c r="M7932" s="3">
        <v>658</v>
      </c>
    </row>
    <row r="7933" spans="1:13" x14ac:dyDescent="0.25">
      <c r="A7933" s="1" t="str">
        <f>HYPERLINK("http://www.rosaceae.org/Prunus/Prunus_persica/p.persica_gdr_reftransV1_0044130","p.persica_gdr_reftransV1_0044130")</f>
        <v>p.persica_gdr_reftransV1_0044130</v>
      </c>
      <c r="B7933" s="3">
        <v>2112</v>
      </c>
      <c r="C7933" s="1" t="str">
        <f>HYPERLINK("http://www.uniprot.org/uniprot/PLST2_ARATH","PLST2_ARATH")</f>
        <v>PLST2_ARATH</v>
      </c>
      <c r="D7933" t="s">
        <v>3921</v>
      </c>
      <c r="E7933" s="3" t="s">
        <v>3</v>
      </c>
      <c r="F7933" s="4">
        <v>1.0899999999999999E-180</v>
      </c>
      <c r="G7933" s="3">
        <v>1127</v>
      </c>
      <c r="H7933" s="3">
        <v>72</v>
      </c>
      <c r="I7933" s="3">
        <v>306</v>
      </c>
      <c r="J7933" s="3">
        <v>882</v>
      </c>
      <c r="K7933" s="3">
        <v>1787</v>
      </c>
      <c r="L7933" s="3">
        <v>1</v>
      </c>
      <c r="M7933" s="3">
        <v>295</v>
      </c>
    </row>
    <row r="7934" spans="1:13" x14ac:dyDescent="0.25">
      <c r="A7934" s="1" t="str">
        <f>HYPERLINK("http://www.rosaceae.org/Prunus/Prunus_persica/p.persica_gdr_reftransV1_0044280","p.persica_gdr_reftransV1_0044280")</f>
        <v>p.persica_gdr_reftransV1_0044280</v>
      </c>
      <c r="B7934" s="3">
        <v>328</v>
      </c>
      <c r="C7934" s="1" t="str">
        <f>HYPERLINK("http://www.uniprot.org/uniprot/ACR4L_ARATH","ACR4L_ARATH")</f>
        <v>ACR4L_ARATH</v>
      </c>
      <c r="D7934" t="s">
        <v>2018</v>
      </c>
      <c r="E7934" s="3" t="s">
        <v>3</v>
      </c>
      <c r="F7934" s="4">
        <v>6.3900000000000001E-45</v>
      </c>
      <c r="G7934" s="3">
        <v>404</v>
      </c>
      <c r="H7934" s="3">
        <v>63</v>
      </c>
      <c r="I7934" s="3">
        <v>112</v>
      </c>
      <c r="J7934" s="3">
        <v>2</v>
      </c>
      <c r="K7934" s="3">
        <v>322</v>
      </c>
      <c r="L7934" s="3">
        <v>134</v>
      </c>
      <c r="M7934" s="3">
        <v>245</v>
      </c>
    </row>
    <row r="7935" spans="1:13" x14ac:dyDescent="0.25">
      <c r="A7935" s="1" t="str">
        <f>HYPERLINK("http://www.rosaceae.org/Prunus/Prunus_persica/p.persica_gdr_reftransV1_0044730","p.persica_gdr_reftransV1_0044730")</f>
        <v>p.persica_gdr_reftransV1_0044730</v>
      </c>
      <c r="B7935" s="3">
        <v>1005</v>
      </c>
      <c r="C7935" s="1" t="str">
        <f>HYPERLINK("http://www.uniprot.org/uniprot/CALM_LILLO","CALM_LILLO")</f>
        <v>CALM_LILLO</v>
      </c>
      <c r="D7935" t="s">
        <v>3886</v>
      </c>
      <c r="E7935" s="3" t="s">
        <v>3887</v>
      </c>
      <c r="F7935" s="4">
        <v>1.25E-100</v>
      </c>
      <c r="G7935" s="3">
        <v>767</v>
      </c>
      <c r="H7935" s="3">
        <v>100</v>
      </c>
      <c r="I7935" s="3">
        <v>149</v>
      </c>
      <c r="J7935" s="3">
        <v>187</v>
      </c>
      <c r="K7935" s="3">
        <v>633</v>
      </c>
      <c r="L7935" s="3">
        <v>1</v>
      </c>
      <c r="M7935" s="3">
        <v>149</v>
      </c>
    </row>
    <row r="7936" spans="1:13" x14ac:dyDescent="0.25">
      <c r="A7936" s="1" t="str">
        <f>HYPERLINK("http://www.rosaceae.org/Prunus/Prunus_persica/p.persica_gdr_reftransV1_0044880","p.persica_gdr_reftransV1_0044880")</f>
        <v>p.persica_gdr_reftransV1_0044880</v>
      </c>
      <c r="B7936" s="3">
        <v>3751</v>
      </c>
      <c r="C7936" s="1" t="str">
        <f>HYPERLINK("http://www.uniprot.org/uniprot/GNOM_ARATH","GNOM_ARATH")</f>
        <v>GNOM_ARATH</v>
      </c>
      <c r="D7936" t="s">
        <v>6234</v>
      </c>
      <c r="E7936" s="3" t="s">
        <v>3</v>
      </c>
      <c r="F7936" s="4">
        <v>0</v>
      </c>
      <c r="G7936" s="3">
        <v>4729</v>
      </c>
      <c r="H7936" s="3">
        <v>85</v>
      </c>
      <c r="I7936" s="3">
        <v>1071</v>
      </c>
      <c r="J7936" s="3">
        <v>545</v>
      </c>
      <c r="K7936" s="3">
        <v>3751</v>
      </c>
      <c r="L7936" s="3">
        <v>389</v>
      </c>
      <c r="M7936" s="3">
        <v>1451</v>
      </c>
    </row>
    <row r="7937" spans="1:13" x14ac:dyDescent="0.25">
      <c r="A7937" s="1" t="str">
        <f>HYPERLINK("http://www.rosaceae.org/Prunus/Prunus_persica/p.persica_gdr_reftransV1_0044980","p.persica_gdr_reftransV1_0044980")</f>
        <v>p.persica_gdr_reftransV1_0044980</v>
      </c>
      <c r="B7937" s="3">
        <v>1468</v>
      </c>
      <c r="C7937" s="1" t="str">
        <f>HYPERLINK("http://www.uniprot.org/uniprot/Y3126_ARATH","Y3126_ARATH")</f>
        <v>Y3126_ARATH</v>
      </c>
      <c r="D7937" t="s">
        <v>2660</v>
      </c>
      <c r="E7937" s="3" t="s">
        <v>3</v>
      </c>
      <c r="F7937" s="4">
        <v>1.3000000000000001E-8</v>
      </c>
      <c r="G7937" s="3">
        <v>140</v>
      </c>
      <c r="H7937" s="3">
        <v>31</v>
      </c>
      <c r="I7937" s="3">
        <v>107</v>
      </c>
      <c r="J7937" s="3">
        <v>119</v>
      </c>
      <c r="K7937" s="3">
        <v>439</v>
      </c>
      <c r="L7937" s="3">
        <v>109</v>
      </c>
      <c r="M7937" s="3">
        <v>212</v>
      </c>
    </row>
    <row r="7938" spans="1:13" x14ac:dyDescent="0.25">
      <c r="A7938" s="1" t="str">
        <f>HYPERLINK("http://www.rosaceae.org/Prunus/Prunus_persica/p.persica_gdr_reftransV1_0045080","p.persica_gdr_reftransV1_0045080")</f>
        <v>p.persica_gdr_reftransV1_0045080</v>
      </c>
      <c r="B7938" s="3">
        <v>1002</v>
      </c>
      <c r="C7938" s="1" t="str">
        <f>HYPERLINK("http://www.uniprot.org/uniprot/SPL7_ORYSJ","SPL7_ORYSJ")</f>
        <v>SPL7_ORYSJ</v>
      </c>
      <c r="D7938" t="s">
        <v>6235</v>
      </c>
      <c r="E7938" s="3" t="s">
        <v>38</v>
      </c>
      <c r="F7938" s="4">
        <v>2.2200000000000001E-49</v>
      </c>
      <c r="G7938" s="3">
        <v>442</v>
      </c>
      <c r="H7938" s="3">
        <v>42</v>
      </c>
      <c r="I7938" s="3">
        <v>328</v>
      </c>
      <c r="J7938" s="3">
        <v>54</v>
      </c>
      <c r="K7938" s="3">
        <v>983</v>
      </c>
      <c r="L7938" s="3">
        <v>53</v>
      </c>
      <c r="M7938" s="3">
        <v>360</v>
      </c>
    </row>
    <row r="7939" spans="1:13" x14ac:dyDescent="0.25">
      <c r="A7939" s="1" t="str">
        <f>HYPERLINK("http://www.rosaceae.org/Prunus/Prunus_persica/p.persica_gdr_reftransV1_0045130","p.persica_gdr_reftransV1_0045130")</f>
        <v>p.persica_gdr_reftransV1_0045130</v>
      </c>
      <c r="B7939" s="3">
        <v>1743</v>
      </c>
      <c r="C7939" s="1" t="str">
        <f>HYPERLINK("http://www.uniprot.org/uniprot/PABP8_ARATH","PABP8_ARATH")</f>
        <v>PABP8_ARATH</v>
      </c>
      <c r="D7939" t="s">
        <v>4238</v>
      </c>
      <c r="E7939" s="3" t="s">
        <v>3</v>
      </c>
      <c r="F7939" s="4">
        <v>0</v>
      </c>
      <c r="G7939" s="3">
        <v>1597</v>
      </c>
      <c r="H7939" s="3">
        <v>78</v>
      </c>
      <c r="I7939" s="3">
        <v>370</v>
      </c>
      <c r="J7939" s="3">
        <v>304</v>
      </c>
      <c r="K7939" s="3">
        <v>1413</v>
      </c>
      <c r="L7939" s="3">
        <v>44</v>
      </c>
      <c r="M7939" s="3">
        <v>413</v>
      </c>
    </row>
    <row r="7940" spans="1:13" x14ac:dyDescent="0.25">
      <c r="A7940" s="1" t="str">
        <f>HYPERLINK("http://www.rosaceae.org/Prunus/Prunus_persica/p.persica_gdr_reftransV1_0045180","p.persica_gdr_reftransV1_0045180")</f>
        <v>p.persica_gdr_reftransV1_0045180</v>
      </c>
      <c r="B7940" s="3">
        <v>1292</v>
      </c>
      <c r="C7940" s="1" t="str">
        <f>HYPERLINK("http://www.uniprot.org/uniprot/Y1222_ARATH","Y1222_ARATH")</f>
        <v>Y1222_ARATH</v>
      </c>
      <c r="D7940" t="s">
        <v>813</v>
      </c>
      <c r="E7940" s="3" t="s">
        <v>3</v>
      </c>
      <c r="F7940" s="4">
        <v>7.1999999999999998E-43</v>
      </c>
      <c r="G7940" s="3">
        <v>399</v>
      </c>
      <c r="H7940" s="3">
        <v>44</v>
      </c>
      <c r="I7940" s="3">
        <v>199</v>
      </c>
      <c r="J7940" s="3">
        <v>314</v>
      </c>
      <c r="K7940" s="3">
        <v>895</v>
      </c>
      <c r="L7940" s="3">
        <v>62</v>
      </c>
      <c r="M7940" s="3">
        <v>259</v>
      </c>
    </row>
    <row r="7941" spans="1:13" x14ac:dyDescent="0.25">
      <c r="A7941" s="1" t="str">
        <f>HYPERLINK("http://www.rosaceae.org/Prunus/Prunus_persica/p.persica_gdr_reftransV1_0045230","p.persica_gdr_reftransV1_0045230")</f>
        <v>p.persica_gdr_reftransV1_0045230</v>
      </c>
      <c r="B7941" s="3">
        <v>2705</v>
      </c>
      <c r="C7941" s="1" t="str">
        <f>HYPERLINK("http://www.uniprot.org/uniprot/BAMS_BETPL","BAMS_BETPL")</f>
        <v>BAMS_BETPL</v>
      </c>
      <c r="D7941" t="s">
        <v>4306</v>
      </c>
      <c r="E7941" s="3" t="s">
        <v>2061</v>
      </c>
      <c r="F7941" s="4">
        <v>0</v>
      </c>
      <c r="G7941" s="3">
        <v>3014</v>
      </c>
      <c r="H7941" s="3">
        <v>70</v>
      </c>
      <c r="I7941" s="3">
        <v>762</v>
      </c>
      <c r="J7941" s="3">
        <v>263</v>
      </c>
      <c r="K7941" s="3">
        <v>2545</v>
      </c>
      <c r="L7941" s="3">
        <v>1</v>
      </c>
      <c r="M7941" s="3">
        <v>759</v>
      </c>
    </row>
    <row r="7942" spans="1:13" x14ac:dyDescent="0.25">
      <c r="A7942" s="1" t="str">
        <f>HYPERLINK("http://www.rosaceae.org/Prunus/Prunus_persica/p.persica_gdr_reftransV1_0045330","p.persica_gdr_reftransV1_0045330")</f>
        <v>p.persica_gdr_reftransV1_0045330</v>
      </c>
      <c r="B7942" s="3">
        <v>805</v>
      </c>
      <c r="C7942" s="1" t="str">
        <f>HYPERLINK("http://www.uniprot.org/uniprot/SCW1_SCHPO","SCW1_SCHPO")</f>
        <v>SCW1_SCHPO</v>
      </c>
      <c r="D7942" t="s">
        <v>3825</v>
      </c>
      <c r="E7942" s="3" t="s">
        <v>464</v>
      </c>
      <c r="F7942" s="4">
        <v>1.23E-11</v>
      </c>
      <c r="G7942" s="3">
        <v>164</v>
      </c>
      <c r="H7942" s="3">
        <v>40</v>
      </c>
      <c r="I7942" s="3">
        <v>88</v>
      </c>
      <c r="J7942" s="3">
        <v>283</v>
      </c>
      <c r="K7942" s="3">
        <v>546</v>
      </c>
      <c r="L7942" s="3">
        <v>422</v>
      </c>
      <c r="M7942" s="3">
        <v>508</v>
      </c>
    </row>
    <row r="7943" spans="1:13" x14ac:dyDescent="0.25">
      <c r="A7943" s="1" t="str">
        <f>HYPERLINK("http://www.rosaceae.org/Prunus/Prunus_persica/p.persica_gdr_reftransV1_0045380","p.persica_gdr_reftransV1_0045380")</f>
        <v>p.persica_gdr_reftransV1_0045380</v>
      </c>
      <c r="B7943" s="3">
        <v>980</v>
      </c>
      <c r="C7943" s="1" t="str">
        <f>HYPERLINK("http://www.uniprot.org/uniprot/DOT2_ARATH","DOT2_ARATH")</f>
        <v>DOT2_ARATH</v>
      </c>
      <c r="D7943" t="s">
        <v>6236</v>
      </c>
      <c r="E7943" s="3" t="s">
        <v>3</v>
      </c>
      <c r="F7943" s="4">
        <v>1.12E-72</v>
      </c>
      <c r="G7943" s="3">
        <v>627</v>
      </c>
      <c r="H7943" s="3">
        <v>84</v>
      </c>
      <c r="I7943" s="3">
        <v>140</v>
      </c>
      <c r="J7943" s="3">
        <v>40</v>
      </c>
      <c r="K7943" s="3">
        <v>456</v>
      </c>
      <c r="L7943" s="3">
        <v>680</v>
      </c>
      <c r="M7943" s="3">
        <v>819</v>
      </c>
    </row>
    <row r="7944" spans="1:13" x14ac:dyDescent="0.25">
      <c r="A7944" s="1" t="str">
        <f>HYPERLINK("http://www.rosaceae.org/Prunus/Prunus_persica/p.persica_gdr_reftransV1_0045480","p.persica_gdr_reftransV1_0045480")</f>
        <v>p.persica_gdr_reftransV1_0045480</v>
      </c>
      <c r="B7944" s="3">
        <v>2184</v>
      </c>
      <c r="C7944" s="1" t="str">
        <f>HYPERLINK("http://www.uniprot.org/uniprot/GRF1_ARATH","GRF1_ARATH")</f>
        <v>GRF1_ARATH</v>
      </c>
      <c r="D7944" t="s">
        <v>3617</v>
      </c>
      <c r="E7944" s="3" t="s">
        <v>3</v>
      </c>
      <c r="F7944" s="4">
        <v>9.1399999999999997E-52</v>
      </c>
      <c r="G7944" s="3">
        <v>490</v>
      </c>
      <c r="H7944" s="3">
        <v>53</v>
      </c>
      <c r="I7944" s="3">
        <v>236</v>
      </c>
      <c r="J7944" s="3">
        <v>279</v>
      </c>
      <c r="K7944" s="3">
        <v>926</v>
      </c>
      <c r="L7944" s="3">
        <v>22</v>
      </c>
      <c r="M7944" s="3">
        <v>239</v>
      </c>
    </row>
    <row r="7945" spans="1:13" x14ac:dyDescent="0.25">
      <c r="A7945" s="1" t="str">
        <f>HYPERLINK("http://www.rosaceae.org/Prunus/Prunus_persica/p.persica_gdr_reftransV1_0045530","p.persica_gdr_reftransV1_0045530")</f>
        <v>p.persica_gdr_reftransV1_0045530</v>
      </c>
      <c r="B7945" s="3">
        <v>2616</v>
      </c>
      <c r="C7945" s="1" t="str">
        <f>HYPERLINK("http://www.uniprot.org/uniprot/TCP4_ARATH","TCP4_ARATH")</f>
        <v>TCP4_ARATH</v>
      </c>
      <c r="D7945" t="s">
        <v>6237</v>
      </c>
      <c r="E7945" s="3" t="s">
        <v>3</v>
      </c>
      <c r="F7945" s="4">
        <v>1.8799999999999998E-71</v>
      </c>
      <c r="G7945" s="3">
        <v>631</v>
      </c>
      <c r="H7945" s="3">
        <v>46</v>
      </c>
      <c r="I7945" s="3">
        <v>447</v>
      </c>
      <c r="J7945" s="3">
        <v>381</v>
      </c>
      <c r="K7945" s="3">
        <v>1691</v>
      </c>
      <c r="L7945" s="3">
        <v>4</v>
      </c>
      <c r="M7945" s="3">
        <v>420</v>
      </c>
    </row>
    <row r="7946" spans="1:13" x14ac:dyDescent="0.25">
      <c r="A7946" s="1" t="str">
        <f>HYPERLINK("http://www.rosaceae.org/Prunus/Prunus_persica/p.persica_gdr_reftransV1_0045730","p.persica_gdr_reftransV1_0045730")</f>
        <v>p.persica_gdr_reftransV1_0045730</v>
      </c>
      <c r="B7946" s="3">
        <v>1930</v>
      </c>
      <c r="C7946" s="1" t="str">
        <f>HYPERLINK("http://www.uniprot.org/uniprot/RH56_ARATH","RH56_ARATH")</f>
        <v>RH56_ARATH</v>
      </c>
      <c r="D7946" t="s">
        <v>6068</v>
      </c>
      <c r="E7946" s="3" t="s">
        <v>3</v>
      </c>
      <c r="F7946" s="4">
        <v>0</v>
      </c>
      <c r="G7946" s="3">
        <v>2037</v>
      </c>
      <c r="H7946" s="3">
        <v>94</v>
      </c>
      <c r="I7946" s="3">
        <v>405</v>
      </c>
      <c r="J7946" s="3">
        <v>239</v>
      </c>
      <c r="K7946" s="3">
        <v>1453</v>
      </c>
      <c r="L7946" s="3">
        <v>23</v>
      </c>
      <c r="M7946" s="3">
        <v>427</v>
      </c>
    </row>
    <row r="7947" spans="1:13" x14ac:dyDescent="0.25">
      <c r="A7947" s="1" t="str">
        <f>HYPERLINK("http://www.rosaceae.org/Prunus/Prunus_persica/p.persica_gdr_reftransV1_0045780","p.persica_gdr_reftransV1_0045780")</f>
        <v>p.persica_gdr_reftransV1_0045780</v>
      </c>
      <c r="B7947" s="3">
        <v>2447</v>
      </c>
      <c r="C7947" s="1" t="str">
        <f>HYPERLINK("http://www.uniprot.org/uniprot/Y381_RICFE","Y381_RICFE")</f>
        <v>Y381_RICFE</v>
      </c>
      <c r="D7947" t="s">
        <v>6238</v>
      </c>
      <c r="E7947" s="3" t="s">
        <v>6239</v>
      </c>
      <c r="F7947" s="4">
        <v>1.04E-13</v>
      </c>
      <c r="G7947" s="3">
        <v>194</v>
      </c>
      <c r="H7947" s="3">
        <v>32</v>
      </c>
      <c r="I7947" s="3">
        <v>281</v>
      </c>
      <c r="J7947" s="3">
        <v>459</v>
      </c>
      <c r="K7947" s="3">
        <v>1292</v>
      </c>
      <c r="L7947" s="3">
        <v>865</v>
      </c>
      <c r="M7947" s="3">
        <v>1102</v>
      </c>
    </row>
    <row r="7948" spans="1:13" x14ac:dyDescent="0.25">
      <c r="A7948" s="1" t="str">
        <f>HYPERLINK("http://www.rosaceae.org/Prunus/Prunus_persica/p.persica_gdr_reftransV1_0045830","p.persica_gdr_reftransV1_0045830")</f>
        <v>p.persica_gdr_reftransV1_0045830</v>
      </c>
      <c r="B7948" s="3">
        <v>1858</v>
      </c>
      <c r="C7948" s="1" t="str">
        <f>HYPERLINK("http://www.uniprot.org/uniprot/CAX3_ARATH","CAX3_ARATH")</f>
        <v>CAX3_ARATH</v>
      </c>
      <c r="D7948" t="s">
        <v>1301</v>
      </c>
      <c r="E7948" s="3" t="s">
        <v>3</v>
      </c>
      <c r="F7948" s="4">
        <v>8.4599999999999998E-157</v>
      </c>
      <c r="G7948" s="3">
        <v>1198</v>
      </c>
      <c r="H7948" s="3">
        <v>68</v>
      </c>
      <c r="I7948" s="3">
        <v>446</v>
      </c>
      <c r="J7948" s="3">
        <v>462</v>
      </c>
      <c r="K7948" s="3">
        <v>1757</v>
      </c>
      <c r="L7948" s="3">
        <v>2</v>
      </c>
      <c r="M7948" s="3">
        <v>446</v>
      </c>
    </row>
    <row r="7949" spans="1:13" x14ac:dyDescent="0.25">
      <c r="A7949" s="1" t="str">
        <f>HYPERLINK("http://www.rosaceae.org/Prunus/Prunus_persica/p.persica_gdr_reftransV1_0045880","p.persica_gdr_reftransV1_0045880")</f>
        <v>p.persica_gdr_reftransV1_0045880</v>
      </c>
      <c r="B7949" s="3">
        <v>435</v>
      </c>
      <c r="C7949" s="1" t="str">
        <f>HYPERLINK("http://www.uniprot.org/uniprot/LOG4_ARATH","LOG4_ARATH")</f>
        <v>LOG4_ARATH</v>
      </c>
      <c r="D7949" t="s">
        <v>6240</v>
      </c>
      <c r="E7949" s="3" t="s">
        <v>3</v>
      </c>
      <c r="F7949" s="4">
        <v>1.1799999999999999E-60</v>
      </c>
      <c r="G7949" s="3">
        <v>489</v>
      </c>
      <c r="H7949" s="3">
        <v>88</v>
      </c>
      <c r="I7949" s="3">
        <v>106</v>
      </c>
      <c r="J7949" s="3">
        <v>3</v>
      </c>
      <c r="K7949" s="3">
        <v>317</v>
      </c>
      <c r="L7949" s="3">
        <v>1</v>
      </c>
      <c r="M7949" s="3">
        <v>106</v>
      </c>
    </row>
    <row r="7950" spans="1:13" x14ac:dyDescent="0.25">
      <c r="A7950" s="1" t="str">
        <f>HYPERLINK("http://www.rosaceae.org/Prunus/Prunus_persica/p.persica_gdr_reftransV1_0045980","p.persica_gdr_reftransV1_0045980")</f>
        <v>p.persica_gdr_reftransV1_0045980</v>
      </c>
      <c r="B7950" s="3">
        <v>1147</v>
      </c>
      <c r="C7950" s="1" t="str">
        <f>HYPERLINK("http://www.uniprot.org/uniprot/SGRL_ARATH","SGRL_ARATH")</f>
        <v>SGRL_ARATH</v>
      </c>
      <c r="D7950" t="s">
        <v>6241</v>
      </c>
      <c r="E7950" s="3" t="s">
        <v>3</v>
      </c>
      <c r="F7950" s="4">
        <v>1.09E-87</v>
      </c>
      <c r="G7950" s="3">
        <v>696</v>
      </c>
      <c r="H7950" s="3">
        <v>69</v>
      </c>
      <c r="I7950" s="3">
        <v>210</v>
      </c>
      <c r="J7950" s="3">
        <v>302</v>
      </c>
      <c r="K7950" s="3">
        <v>919</v>
      </c>
      <c r="L7950" s="3">
        <v>48</v>
      </c>
      <c r="M7950" s="3">
        <v>253</v>
      </c>
    </row>
    <row r="7951" spans="1:13" x14ac:dyDescent="0.25">
      <c r="A7951" s="1" t="str">
        <f>HYPERLINK("http://www.rosaceae.org/Prunus/Prunus_persica/p.persica_gdr_reftransV1_0046080","p.persica_gdr_reftransV1_0046080")</f>
        <v>p.persica_gdr_reftransV1_0046080</v>
      </c>
      <c r="B7951" s="3">
        <v>1129</v>
      </c>
      <c r="C7951" s="1" t="str">
        <f>HYPERLINK("http://www.uniprot.org/uniprot/RL9_SOLUE","RL9_SOLUE")</f>
        <v>RL9_SOLUE</v>
      </c>
      <c r="D7951" t="s">
        <v>4298</v>
      </c>
      <c r="E7951" s="3" t="s">
        <v>4299</v>
      </c>
      <c r="F7951" s="4">
        <v>1.9799999999999999E-10</v>
      </c>
      <c r="G7951" s="3">
        <v>151</v>
      </c>
      <c r="H7951" s="3">
        <v>29</v>
      </c>
      <c r="I7951" s="3">
        <v>162</v>
      </c>
      <c r="J7951" s="3">
        <v>407</v>
      </c>
      <c r="K7951" s="3">
        <v>892</v>
      </c>
      <c r="L7951" s="3">
        <v>1</v>
      </c>
      <c r="M7951" s="3">
        <v>136</v>
      </c>
    </row>
    <row r="7952" spans="1:13" x14ac:dyDescent="0.25">
      <c r="A7952" s="1" t="str">
        <f>HYPERLINK("http://www.rosaceae.org/Prunus/Prunus_persica/p.persica_gdr_reftransV1_0046130","p.persica_gdr_reftransV1_0046130")</f>
        <v>p.persica_gdr_reftransV1_0046130</v>
      </c>
      <c r="B7952" s="3">
        <v>1580</v>
      </c>
      <c r="C7952" s="1" t="str">
        <f>HYPERLINK("http://www.uniprot.org/uniprot/YCF45_PORPU","YCF45_PORPU")</f>
        <v>YCF45_PORPU</v>
      </c>
      <c r="D7952" t="s">
        <v>693</v>
      </c>
      <c r="E7952" s="3" t="s">
        <v>694</v>
      </c>
      <c r="F7952" s="4">
        <v>2.0700000000000001E-127</v>
      </c>
      <c r="G7952" s="3">
        <v>1003</v>
      </c>
      <c r="H7952" s="3">
        <v>58</v>
      </c>
      <c r="I7952" s="3">
        <v>327</v>
      </c>
      <c r="J7952" s="3">
        <v>109</v>
      </c>
      <c r="K7952" s="3">
        <v>1086</v>
      </c>
      <c r="L7952" s="3">
        <v>5</v>
      </c>
      <c r="M7952" s="3">
        <v>329</v>
      </c>
    </row>
    <row r="7953" spans="1:13" x14ac:dyDescent="0.25">
      <c r="A7953" s="1" t="str">
        <f>HYPERLINK("http://www.rosaceae.org/Prunus/Prunus_persica/p.persica_gdr_reftransV1_0046230","p.persica_gdr_reftransV1_0046230")</f>
        <v>p.persica_gdr_reftransV1_0046230</v>
      </c>
      <c r="B7953" s="3">
        <v>479</v>
      </c>
      <c r="C7953" s="1" t="str">
        <f>HYPERLINK("http://www.uniprot.org/uniprot/THCAI_CANSA","THCAI_CANSA")</f>
        <v>THCAI_CANSA</v>
      </c>
      <c r="D7953" t="s">
        <v>6242</v>
      </c>
      <c r="E7953" s="3" t="s">
        <v>3291</v>
      </c>
      <c r="F7953" s="4">
        <v>1.8599999999999998E-43</v>
      </c>
      <c r="G7953" s="3">
        <v>392</v>
      </c>
      <c r="H7953" s="3">
        <v>54</v>
      </c>
      <c r="I7953" s="3">
        <v>143</v>
      </c>
      <c r="J7953" s="3">
        <v>55</v>
      </c>
      <c r="K7953" s="3">
        <v>474</v>
      </c>
      <c r="L7953" s="3">
        <v>193</v>
      </c>
      <c r="M7953" s="3">
        <v>335</v>
      </c>
    </row>
    <row r="7954" spans="1:13" x14ac:dyDescent="0.25">
      <c r="A7954" s="1" t="str">
        <f>HYPERLINK("http://www.rosaceae.org/Prunus/Prunus_persica/p.persica_gdr_reftransV1_0046280","p.persica_gdr_reftransV1_0046280")</f>
        <v>p.persica_gdr_reftransV1_0046280</v>
      </c>
      <c r="B7954" s="3">
        <v>2373</v>
      </c>
      <c r="C7954" s="1" t="str">
        <f>HYPERLINK("http://www.uniprot.org/uniprot/GTL2_ARATH","GTL2_ARATH")</f>
        <v>GTL2_ARATH</v>
      </c>
      <c r="D7954" t="s">
        <v>6243</v>
      </c>
      <c r="E7954" s="3" t="s">
        <v>3</v>
      </c>
      <c r="F7954" s="4">
        <v>3.2299999999999999E-97</v>
      </c>
      <c r="G7954" s="3">
        <v>823</v>
      </c>
      <c r="H7954" s="3">
        <v>44</v>
      </c>
      <c r="I7954" s="3">
        <v>501</v>
      </c>
      <c r="J7954" s="3">
        <v>528</v>
      </c>
      <c r="K7954" s="3">
        <v>1880</v>
      </c>
      <c r="L7954" s="3">
        <v>102</v>
      </c>
      <c r="M7954" s="3">
        <v>558</v>
      </c>
    </row>
    <row r="7955" spans="1:13" x14ac:dyDescent="0.25">
      <c r="A7955" s="1" t="str">
        <f>HYPERLINK("http://www.rosaceae.org/Prunus/Prunus_persica/p.persica_gdr_reftransV1_0046330","p.persica_gdr_reftransV1_0046330")</f>
        <v>p.persica_gdr_reftransV1_0046330</v>
      </c>
      <c r="B7955" s="3">
        <v>1968</v>
      </c>
      <c r="C7955" s="1" t="str">
        <f>HYPERLINK("http://www.uniprot.org/uniprot/RGAP1_ARATH","RGAP1_ARATH")</f>
        <v>RGAP1_ARATH</v>
      </c>
      <c r="D7955" t="s">
        <v>6244</v>
      </c>
      <c r="E7955" s="3" t="s">
        <v>3</v>
      </c>
      <c r="F7955" s="4">
        <v>1.4500000000000001E-155</v>
      </c>
      <c r="G7955" s="3">
        <v>1193</v>
      </c>
      <c r="H7955" s="3">
        <v>79</v>
      </c>
      <c r="I7955" s="3">
        <v>289</v>
      </c>
      <c r="J7955" s="3">
        <v>687</v>
      </c>
      <c r="K7955" s="3">
        <v>1553</v>
      </c>
      <c r="L7955" s="3">
        <v>87</v>
      </c>
      <c r="M7955" s="3">
        <v>368</v>
      </c>
    </row>
    <row r="7956" spans="1:13" x14ac:dyDescent="0.25">
      <c r="A7956" s="1" t="str">
        <f>HYPERLINK("http://www.rosaceae.org/Prunus/Prunus_persica/p.persica_gdr_reftransV1_0046580","p.persica_gdr_reftransV1_0046580")</f>
        <v>p.persica_gdr_reftransV1_0046580</v>
      </c>
      <c r="B7956" s="3">
        <v>1414</v>
      </c>
      <c r="C7956" s="1" t="str">
        <f>HYPERLINK("http://www.uniprot.org/uniprot/SINA3_ARATH","SINA3_ARATH")</f>
        <v>SINA3_ARATH</v>
      </c>
      <c r="D7956" t="s">
        <v>6245</v>
      </c>
      <c r="E7956" s="3" t="s">
        <v>3</v>
      </c>
      <c r="F7956" s="4">
        <v>5.2500000000000003E-157</v>
      </c>
      <c r="G7956" s="3">
        <v>1171</v>
      </c>
      <c r="H7956" s="3">
        <v>79</v>
      </c>
      <c r="I7956" s="3">
        <v>271</v>
      </c>
      <c r="J7956" s="3">
        <v>369</v>
      </c>
      <c r="K7956" s="3">
        <v>1181</v>
      </c>
      <c r="L7956" s="3">
        <v>51</v>
      </c>
      <c r="M7956" s="3">
        <v>318</v>
      </c>
    </row>
    <row r="7957" spans="1:13" x14ac:dyDescent="0.25">
      <c r="A7957" s="1" t="str">
        <f>HYPERLINK("http://www.rosaceae.org/Prunus/Prunus_persica/p.persica_gdr_reftransV1_0046630","p.persica_gdr_reftransV1_0046630")</f>
        <v>p.persica_gdr_reftransV1_0046630</v>
      </c>
      <c r="B7957" s="3">
        <v>666</v>
      </c>
      <c r="C7957" s="1" t="str">
        <f>HYPERLINK("http://www.uniprot.org/uniprot/TBL12_ARATH","TBL12_ARATH")</f>
        <v>TBL12_ARATH</v>
      </c>
      <c r="D7957" t="s">
        <v>6246</v>
      </c>
      <c r="E7957" s="3" t="s">
        <v>3</v>
      </c>
      <c r="F7957" s="4">
        <v>1.1200000000000001E-62</v>
      </c>
      <c r="G7957" s="3">
        <v>525</v>
      </c>
      <c r="H7957" s="3">
        <v>72</v>
      </c>
      <c r="I7957" s="3">
        <v>142</v>
      </c>
      <c r="J7957" s="3">
        <v>53</v>
      </c>
      <c r="K7957" s="3">
        <v>475</v>
      </c>
      <c r="L7957" s="3">
        <v>44</v>
      </c>
      <c r="M7957" s="3">
        <v>185</v>
      </c>
    </row>
    <row r="7958" spans="1:13" x14ac:dyDescent="0.25">
      <c r="A7958" s="1" t="str">
        <f>HYPERLINK("http://www.rosaceae.org/Prunus/Prunus_persica/p.persica_gdr_reftransV1_0046680","p.persica_gdr_reftransV1_0046680")</f>
        <v>p.persica_gdr_reftransV1_0046680</v>
      </c>
      <c r="B7958" s="3">
        <v>312</v>
      </c>
      <c r="C7958" s="1" t="str">
        <f>HYPERLINK("http://www.uniprot.org/uniprot/STIP1_ARATH","STIP1_ARATH")</f>
        <v>STIP1_ARATH</v>
      </c>
      <c r="D7958" t="s">
        <v>3034</v>
      </c>
      <c r="E7958" s="3" t="s">
        <v>3</v>
      </c>
      <c r="F7958" s="4">
        <v>5.0700000000000004E-32</v>
      </c>
      <c r="G7958" s="3">
        <v>308</v>
      </c>
      <c r="H7958" s="3">
        <v>61</v>
      </c>
      <c r="I7958" s="3">
        <v>99</v>
      </c>
      <c r="J7958" s="3">
        <v>13</v>
      </c>
      <c r="K7958" s="3">
        <v>309</v>
      </c>
      <c r="L7958" s="3">
        <v>374</v>
      </c>
      <c r="M7958" s="3">
        <v>472</v>
      </c>
    </row>
    <row r="7959" spans="1:13" x14ac:dyDescent="0.25">
      <c r="A7959" s="1" t="str">
        <f>HYPERLINK("http://www.rosaceae.org/Prunus/Prunus_persica/p.persica_gdr_reftransV1_0046730","p.persica_gdr_reftransV1_0046730")</f>
        <v>p.persica_gdr_reftransV1_0046730</v>
      </c>
      <c r="B7959" s="3">
        <v>981</v>
      </c>
      <c r="C7959" s="1" t="str">
        <f>HYPERLINK("http://www.uniprot.org/uniprot/RGA4_SOLBU","RGA4_SOLBU")</f>
        <v>RGA4_SOLBU</v>
      </c>
      <c r="D7959" t="s">
        <v>1657</v>
      </c>
      <c r="E7959" s="3" t="s">
        <v>560</v>
      </c>
      <c r="F7959" s="4">
        <v>8.1300000000000004E-14</v>
      </c>
      <c r="G7959" s="3">
        <v>185</v>
      </c>
      <c r="H7959" s="3">
        <v>35</v>
      </c>
      <c r="I7959" s="3">
        <v>150</v>
      </c>
      <c r="J7959" s="3">
        <v>16</v>
      </c>
      <c r="K7959" s="3">
        <v>456</v>
      </c>
      <c r="L7959" s="3">
        <v>839</v>
      </c>
      <c r="M7959" s="3">
        <v>983</v>
      </c>
    </row>
    <row r="7960" spans="1:13" x14ac:dyDescent="0.25">
      <c r="A7960" s="1" t="str">
        <f>HYPERLINK("http://www.rosaceae.org/Prunus/Prunus_persica/p.persica_gdr_reftransV1_0046780","p.persica_gdr_reftransV1_0046780")</f>
        <v>p.persica_gdr_reftransV1_0046780</v>
      </c>
      <c r="B7960" s="3">
        <v>798</v>
      </c>
      <c r="C7960" s="1" t="str">
        <f>HYPERLINK("http://www.uniprot.org/uniprot/ASTER_ARATH","ASTER_ARATH")</f>
        <v>ASTER_ARATH</v>
      </c>
      <c r="D7960" t="s">
        <v>6247</v>
      </c>
      <c r="E7960" s="3" t="s">
        <v>3</v>
      </c>
      <c r="F7960" s="4">
        <v>1.4399999999999999E-53</v>
      </c>
      <c r="G7960" s="3">
        <v>444</v>
      </c>
      <c r="H7960" s="3">
        <v>79</v>
      </c>
      <c r="I7960" s="3">
        <v>100</v>
      </c>
      <c r="J7960" s="3">
        <v>426</v>
      </c>
      <c r="K7960" s="3">
        <v>725</v>
      </c>
      <c r="L7960" s="3">
        <v>8</v>
      </c>
      <c r="M7960" s="3">
        <v>107</v>
      </c>
    </row>
    <row r="7961" spans="1:13" x14ac:dyDescent="0.25">
      <c r="A7961" s="1" t="str">
        <f>HYPERLINK("http://www.rosaceae.org/Prunus/Prunus_persica/p.persica_gdr_reftransV1_0046830","p.persica_gdr_reftransV1_0046830")</f>
        <v>p.persica_gdr_reftransV1_0046830</v>
      </c>
      <c r="B7961" s="3">
        <v>548</v>
      </c>
      <c r="C7961" s="1" t="str">
        <f>HYPERLINK("http://www.uniprot.org/uniprot/TMVRN_NICGU","TMVRN_NICGU")</f>
        <v>TMVRN_NICGU</v>
      </c>
      <c r="D7961" t="s">
        <v>151</v>
      </c>
      <c r="E7961" s="3" t="s">
        <v>152</v>
      </c>
      <c r="F7961" s="4">
        <v>2.1400000000000001E-35</v>
      </c>
      <c r="G7961" s="3">
        <v>343</v>
      </c>
      <c r="H7961" s="3">
        <v>43</v>
      </c>
      <c r="I7961" s="3">
        <v>163</v>
      </c>
      <c r="J7961" s="3">
        <v>54</v>
      </c>
      <c r="K7961" s="3">
        <v>542</v>
      </c>
      <c r="L7961" s="3">
        <v>374</v>
      </c>
      <c r="M7961" s="3">
        <v>533</v>
      </c>
    </row>
    <row r="7962" spans="1:13" x14ac:dyDescent="0.25">
      <c r="A7962" s="1" t="str">
        <f>HYPERLINK("http://www.rosaceae.org/Prunus/Prunus_persica/p.persica_gdr_reftransV1_0046930","p.persica_gdr_reftransV1_0046930")</f>
        <v>p.persica_gdr_reftransV1_0046930</v>
      </c>
      <c r="B7962" s="3">
        <v>1213</v>
      </c>
      <c r="C7962" s="1" t="str">
        <f>HYPERLINK("http://www.uniprot.org/uniprot/ILR3_ARATH","ILR3_ARATH")</f>
        <v>ILR3_ARATH</v>
      </c>
      <c r="D7962" t="s">
        <v>5287</v>
      </c>
      <c r="E7962" s="3" t="s">
        <v>3</v>
      </c>
      <c r="F7962" s="4">
        <v>7.9500000000000001E-85</v>
      </c>
      <c r="G7962" s="3">
        <v>677</v>
      </c>
      <c r="H7962" s="3">
        <v>59</v>
      </c>
      <c r="I7962" s="3">
        <v>242</v>
      </c>
      <c r="J7962" s="3">
        <v>289</v>
      </c>
      <c r="K7962" s="3">
        <v>990</v>
      </c>
      <c r="L7962" s="3">
        <v>4</v>
      </c>
      <c r="M7962" s="3">
        <v>234</v>
      </c>
    </row>
    <row r="7963" spans="1:13" x14ac:dyDescent="0.25">
      <c r="A7963" s="1" t="str">
        <f>HYPERLINK("http://www.rosaceae.org/Prunus/Prunus_persica/p.persica_gdr_reftransV1_0047080","p.persica_gdr_reftransV1_0047080")</f>
        <v>p.persica_gdr_reftransV1_0047080</v>
      </c>
      <c r="B7963" s="3">
        <v>2789</v>
      </c>
      <c r="C7963" s="1" t="str">
        <f>HYPERLINK("http://www.uniprot.org/uniprot/SUS3_ARATH","SUS3_ARATH")</f>
        <v>SUS3_ARATH</v>
      </c>
      <c r="D7963" t="s">
        <v>5125</v>
      </c>
      <c r="E7963" s="3" t="s">
        <v>3</v>
      </c>
      <c r="F7963" s="4">
        <v>0</v>
      </c>
      <c r="G7963" s="3">
        <v>3733</v>
      </c>
      <c r="H7963" s="3">
        <v>84</v>
      </c>
      <c r="I7963" s="3">
        <v>810</v>
      </c>
      <c r="J7963" s="3">
        <v>269</v>
      </c>
      <c r="K7963" s="3">
        <v>2698</v>
      </c>
      <c r="L7963" s="3">
        <v>1</v>
      </c>
      <c r="M7963" s="3">
        <v>809</v>
      </c>
    </row>
    <row r="7964" spans="1:13" x14ac:dyDescent="0.25">
      <c r="A7964" s="1" t="str">
        <f>HYPERLINK("http://www.rosaceae.org/Prunus/Prunus_persica/p.persica_gdr_reftransV1_0047180","p.persica_gdr_reftransV1_0047180")</f>
        <v>p.persica_gdr_reftransV1_0047180</v>
      </c>
      <c r="B7964" s="3">
        <v>1030</v>
      </c>
      <c r="C7964" s="1" t="str">
        <f>HYPERLINK("http://www.uniprot.org/uniprot/DEF1B_ARATH","DEF1B_ARATH")</f>
        <v>DEF1B_ARATH</v>
      </c>
      <c r="D7964" t="s">
        <v>6248</v>
      </c>
      <c r="E7964" s="3" t="s">
        <v>3</v>
      </c>
      <c r="F7964" s="4">
        <v>9.2499999999999998E-125</v>
      </c>
      <c r="G7964" s="3">
        <v>940</v>
      </c>
      <c r="H7964" s="3">
        <v>66</v>
      </c>
      <c r="I7964" s="3">
        <v>272</v>
      </c>
      <c r="J7964" s="3">
        <v>49</v>
      </c>
      <c r="K7964" s="3">
        <v>852</v>
      </c>
      <c r="L7964" s="3">
        <v>4</v>
      </c>
      <c r="M7964" s="3">
        <v>272</v>
      </c>
    </row>
    <row r="7965" spans="1:13" x14ac:dyDescent="0.25">
      <c r="A7965" s="1" t="str">
        <f>HYPERLINK("http://www.rosaceae.org/Prunus/Prunus_persica/p.persica_gdr_reftransV1_0047430","p.persica_gdr_reftransV1_0047430")</f>
        <v>p.persica_gdr_reftransV1_0047430</v>
      </c>
      <c r="B7965" s="3">
        <v>1274</v>
      </c>
      <c r="C7965" s="1" t="str">
        <f>HYPERLINK("http://www.uniprot.org/uniprot/TBCB_ARATH","TBCB_ARATH")</f>
        <v>TBCB_ARATH</v>
      </c>
      <c r="D7965" t="s">
        <v>3816</v>
      </c>
      <c r="E7965" s="3" t="s">
        <v>3</v>
      </c>
      <c r="F7965" s="4">
        <v>7.7500000000000003E-127</v>
      </c>
      <c r="G7965" s="3">
        <v>959</v>
      </c>
      <c r="H7965" s="3">
        <v>68</v>
      </c>
      <c r="I7965" s="3">
        <v>259</v>
      </c>
      <c r="J7965" s="3">
        <v>166</v>
      </c>
      <c r="K7965" s="3">
        <v>942</v>
      </c>
      <c r="L7965" s="3">
        <v>1</v>
      </c>
      <c r="M7965" s="3">
        <v>243</v>
      </c>
    </row>
    <row r="7966" spans="1:13" x14ac:dyDescent="0.25">
      <c r="A7966" s="1" t="str">
        <f>HYPERLINK("http://www.rosaceae.org/Prunus/Prunus_persica/p.persica_gdr_reftransV1_0047530","p.persica_gdr_reftransV1_0047530")</f>
        <v>p.persica_gdr_reftransV1_0047530</v>
      </c>
      <c r="B7966" s="3">
        <v>392</v>
      </c>
      <c r="C7966" s="1" t="str">
        <f>HYPERLINK("http://www.uniprot.org/uniprot/GNL2_ARATH","GNL2_ARATH")</f>
        <v>GNL2_ARATH</v>
      </c>
      <c r="D7966" t="s">
        <v>4024</v>
      </c>
      <c r="E7966" s="3" t="s">
        <v>3</v>
      </c>
      <c r="F7966" s="4">
        <v>7.3099999999999997E-51</v>
      </c>
      <c r="G7966" s="3">
        <v>453</v>
      </c>
      <c r="H7966" s="3">
        <v>71</v>
      </c>
      <c r="I7966" s="3">
        <v>130</v>
      </c>
      <c r="J7966" s="3">
        <v>2</v>
      </c>
      <c r="K7966" s="3">
        <v>391</v>
      </c>
      <c r="L7966" s="3">
        <v>656</v>
      </c>
      <c r="M7966" s="3">
        <v>784</v>
      </c>
    </row>
    <row r="7967" spans="1:13" x14ac:dyDescent="0.25">
      <c r="A7967" s="1" t="str">
        <f>HYPERLINK("http://www.rosaceae.org/Prunus/Prunus_persica/p.persica_gdr_reftransV1_0047580","p.persica_gdr_reftransV1_0047580")</f>
        <v>p.persica_gdr_reftransV1_0047580</v>
      </c>
      <c r="B7967" s="3">
        <v>674</v>
      </c>
      <c r="C7967" s="1" t="str">
        <f>HYPERLINK("http://www.uniprot.org/uniprot/H32_WHEAT","H32_WHEAT")</f>
        <v>H32_WHEAT</v>
      </c>
      <c r="D7967" t="s">
        <v>5568</v>
      </c>
      <c r="E7967" s="3" t="s">
        <v>710</v>
      </c>
      <c r="F7967" s="4">
        <v>8.46E-72</v>
      </c>
      <c r="G7967" s="3">
        <v>564</v>
      </c>
      <c r="H7967" s="3">
        <v>99</v>
      </c>
      <c r="I7967" s="3">
        <v>128</v>
      </c>
      <c r="J7967" s="3">
        <v>223</v>
      </c>
      <c r="K7967" s="3">
        <v>606</v>
      </c>
      <c r="L7967" s="3">
        <v>1</v>
      </c>
      <c r="M7967" s="3">
        <v>128</v>
      </c>
    </row>
    <row r="7968" spans="1:13" x14ac:dyDescent="0.25">
      <c r="A7968" s="1" t="str">
        <f>HYPERLINK("http://www.rosaceae.org/Prunus/Prunus_persica/p.persica_gdr_reftransV1_0047630","p.persica_gdr_reftransV1_0047630")</f>
        <v>p.persica_gdr_reftransV1_0047630</v>
      </c>
      <c r="B7968" s="3">
        <v>1316</v>
      </c>
      <c r="C7968" s="1" t="str">
        <f>HYPERLINK("http://www.uniprot.org/uniprot/PER15_IPOBA","PER15_IPOBA")</f>
        <v>PER15_IPOBA</v>
      </c>
      <c r="D7968" t="s">
        <v>6249</v>
      </c>
      <c r="E7968" s="3" t="s">
        <v>6229</v>
      </c>
      <c r="F7968" s="4">
        <v>5.1799999999999998E-140</v>
      </c>
      <c r="G7968" s="3">
        <v>1056</v>
      </c>
      <c r="H7968" s="3">
        <v>64</v>
      </c>
      <c r="I7968" s="3">
        <v>328</v>
      </c>
      <c r="J7968" s="3">
        <v>215</v>
      </c>
      <c r="K7968" s="3">
        <v>1198</v>
      </c>
      <c r="L7968" s="3">
        <v>3</v>
      </c>
      <c r="M7968" s="3">
        <v>327</v>
      </c>
    </row>
    <row r="7969" spans="1:13" x14ac:dyDescent="0.25">
      <c r="A7969" s="1" t="str">
        <f>HYPERLINK("http://www.rosaceae.org/Prunus/Prunus_persica/p.persica_gdr_reftransV1_0047680","p.persica_gdr_reftransV1_0047680")</f>
        <v>p.persica_gdr_reftransV1_0047680</v>
      </c>
      <c r="B7969" s="3">
        <v>1144</v>
      </c>
      <c r="C7969" s="1" t="str">
        <f>HYPERLINK("http://www.uniprot.org/uniprot/GCA1_ARATH","GCA1_ARATH")</f>
        <v>GCA1_ARATH</v>
      </c>
      <c r="D7969" t="s">
        <v>6250</v>
      </c>
      <c r="E7969" s="3" t="s">
        <v>3</v>
      </c>
      <c r="F7969" s="4">
        <v>4.3600000000000003E-170</v>
      </c>
      <c r="G7969" s="3">
        <v>1243</v>
      </c>
      <c r="H7969" s="3">
        <v>84</v>
      </c>
      <c r="I7969" s="3">
        <v>269</v>
      </c>
      <c r="J7969" s="3">
        <v>75</v>
      </c>
      <c r="K7969" s="3">
        <v>881</v>
      </c>
      <c r="L7969" s="3">
        <v>1</v>
      </c>
      <c r="M7969" s="3">
        <v>269</v>
      </c>
    </row>
    <row r="7970" spans="1:13" x14ac:dyDescent="0.25">
      <c r="A7970" s="1" t="str">
        <f>HYPERLINK("http://www.rosaceae.org/Prunus/Prunus_persica/p.persica_gdr_reftransV1_0047730","p.persica_gdr_reftransV1_0047730")</f>
        <v>p.persica_gdr_reftransV1_0047730</v>
      </c>
      <c r="B7970" s="3">
        <v>834</v>
      </c>
      <c r="C7970" s="1" t="str">
        <f>HYPERLINK("http://www.uniprot.org/uniprot/ATG8F_ARATH","ATG8F_ARATH")</f>
        <v>ATG8F_ARATH</v>
      </c>
      <c r="D7970" t="s">
        <v>5736</v>
      </c>
      <c r="E7970" s="3" t="s">
        <v>3</v>
      </c>
      <c r="F7970" s="4">
        <v>5.4599999999999998E-62</v>
      </c>
      <c r="G7970" s="3">
        <v>503</v>
      </c>
      <c r="H7970" s="3">
        <v>91</v>
      </c>
      <c r="I7970" s="3">
        <v>121</v>
      </c>
      <c r="J7970" s="3">
        <v>121</v>
      </c>
      <c r="K7970" s="3">
        <v>483</v>
      </c>
      <c r="L7970" s="3">
        <v>1</v>
      </c>
      <c r="M7970" s="3">
        <v>121</v>
      </c>
    </row>
    <row r="7971" spans="1:13" x14ac:dyDescent="0.25">
      <c r="A7971" s="1" t="str">
        <f>HYPERLINK("http://www.rosaceae.org/Prunus/Prunus_persica/p.persica_gdr_reftransV1_0047780","p.persica_gdr_reftransV1_0047780")</f>
        <v>p.persica_gdr_reftransV1_0047780</v>
      </c>
      <c r="B7971" s="3">
        <v>830</v>
      </c>
      <c r="C7971" s="1" t="str">
        <f>HYPERLINK("http://www.uniprot.org/uniprot/CB2A_SPIOL","CB2A_SPIOL")</f>
        <v>CB2A_SPIOL</v>
      </c>
      <c r="D7971" t="s">
        <v>6251</v>
      </c>
      <c r="E7971" s="3" t="s">
        <v>131</v>
      </c>
      <c r="F7971" s="4">
        <v>3.8500000000000002E-162</v>
      </c>
      <c r="G7971" s="3">
        <v>1178</v>
      </c>
      <c r="H7971" s="3">
        <v>91</v>
      </c>
      <c r="I7971" s="3">
        <v>243</v>
      </c>
      <c r="J7971" s="3">
        <v>1</v>
      </c>
      <c r="K7971" s="3">
        <v>729</v>
      </c>
      <c r="L7971" s="3">
        <v>1</v>
      </c>
      <c r="M7971" s="3">
        <v>243</v>
      </c>
    </row>
    <row r="7972" spans="1:13" x14ac:dyDescent="0.25">
      <c r="A7972" s="1" t="str">
        <f>HYPERLINK("http://www.rosaceae.org/Prunus/Prunus_persica/p.persica_gdr_reftransV1_0047880","p.persica_gdr_reftransV1_0047880")</f>
        <v>p.persica_gdr_reftransV1_0047880</v>
      </c>
      <c r="B7972" s="3">
        <v>1459</v>
      </c>
      <c r="C7972" s="1" t="str">
        <f>HYPERLINK("http://www.uniprot.org/uniprot/Y3720_ARATH","Y3720_ARATH")</f>
        <v>Y3720_ARATH</v>
      </c>
      <c r="D7972" t="s">
        <v>104</v>
      </c>
      <c r="E7972" s="3" t="s">
        <v>3</v>
      </c>
      <c r="F7972" s="4">
        <v>2.3899999999999999E-35</v>
      </c>
      <c r="G7972" s="3">
        <v>355</v>
      </c>
      <c r="H7972" s="3">
        <v>27</v>
      </c>
      <c r="I7972" s="3">
        <v>396</v>
      </c>
      <c r="J7972" s="3">
        <v>303</v>
      </c>
      <c r="K7972" s="3">
        <v>1406</v>
      </c>
      <c r="L7972" s="3">
        <v>45</v>
      </c>
      <c r="M7972" s="3">
        <v>432</v>
      </c>
    </row>
    <row r="7973" spans="1:13" x14ac:dyDescent="0.25">
      <c r="A7973" s="1" t="str">
        <f>HYPERLINK("http://www.rosaceae.org/Prunus/Prunus_persica/p.persica_gdr_reftransV1_0047930","p.persica_gdr_reftransV1_0047930")</f>
        <v>p.persica_gdr_reftransV1_0047930</v>
      </c>
      <c r="B7973" s="3">
        <v>2738</v>
      </c>
      <c r="C7973" s="1" t="str">
        <f>HYPERLINK("http://www.uniprot.org/uniprot/BIM1_ARATH","BIM1_ARATH")</f>
        <v>BIM1_ARATH</v>
      </c>
      <c r="D7973" t="s">
        <v>6252</v>
      </c>
      <c r="E7973" s="3" t="s">
        <v>3</v>
      </c>
      <c r="F7973" s="4">
        <v>7.2800000000000005E-130</v>
      </c>
      <c r="G7973" s="3">
        <v>1048</v>
      </c>
      <c r="H7973" s="3">
        <v>49</v>
      </c>
      <c r="I7973" s="3">
        <v>597</v>
      </c>
      <c r="J7973" s="3">
        <v>409</v>
      </c>
      <c r="K7973" s="3">
        <v>2130</v>
      </c>
      <c r="L7973" s="3">
        <v>1</v>
      </c>
      <c r="M7973" s="3">
        <v>529</v>
      </c>
    </row>
    <row r="7974" spans="1:13" x14ac:dyDescent="0.25">
      <c r="A7974" s="1" t="str">
        <f>HYPERLINK("http://www.rosaceae.org/Prunus/Prunus_persica/p.persica_gdr_reftransV1_0047980","p.persica_gdr_reftransV1_0047980")</f>
        <v>p.persica_gdr_reftransV1_0047980</v>
      </c>
      <c r="B7974" s="3">
        <v>684</v>
      </c>
      <c r="C7974" s="1" t="str">
        <f>HYPERLINK("http://www.uniprot.org/uniprot/QCR72_ARATH","QCR72_ARATH")</f>
        <v>QCR72_ARATH</v>
      </c>
      <c r="D7974" t="s">
        <v>6253</v>
      </c>
      <c r="E7974" s="3" t="s">
        <v>3</v>
      </c>
      <c r="F7974" s="4">
        <v>1.0600000000000001E-48</v>
      </c>
      <c r="G7974" s="3">
        <v>409</v>
      </c>
      <c r="H7974" s="3">
        <v>86</v>
      </c>
      <c r="I7974" s="3">
        <v>115</v>
      </c>
      <c r="J7974" s="3">
        <v>293</v>
      </c>
      <c r="K7974" s="3">
        <v>637</v>
      </c>
      <c r="L7974" s="3">
        <v>8</v>
      </c>
      <c r="M7974" s="3">
        <v>122</v>
      </c>
    </row>
    <row r="7975" spans="1:13" x14ac:dyDescent="0.25">
      <c r="A7975" s="1" t="str">
        <f>HYPERLINK("http://www.rosaceae.org/Prunus/Prunus_persica/p.persica_gdr_reftransV1_0048030","p.persica_gdr_reftransV1_0048030")</f>
        <v>p.persica_gdr_reftransV1_0048030</v>
      </c>
      <c r="B7975" s="3">
        <v>2033</v>
      </c>
      <c r="C7975" s="1" t="str">
        <f>HYPERLINK("http://www.uniprot.org/uniprot/HNRPQ_RAT","HNRPQ_RAT")</f>
        <v>HNRPQ_RAT</v>
      </c>
      <c r="D7975" t="s">
        <v>5951</v>
      </c>
      <c r="E7975" s="3" t="s">
        <v>161</v>
      </c>
      <c r="F7975" s="4">
        <v>1.18E-45</v>
      </c>
      <c r="G7975" s="3">
        <v>442</v>
      </c>
      <c r="H7975" s="3">
        <v>33</v>
      </c>
      <c r="I7975" s="3">
        <v>266</v>
      </c>
      <c r="J7975" s="3">
        <v>506</v>
      </c>
      <c r="K7975" s="3">
        <v>1300</v>
      </c>
      <c r="L7975" s="3">
        <v>68</v>
      </c>
      <c r="M7975" s="3">
        <v>325</v>
      </c>
    </row>
    <row r="7976" spans="1:13" x14ac:dyDescent="0.25">
      <c r="A7976" s="1" t="str">
        <f>HYPERLINK("http://www.rosaceae.org/Prunus/Prunus_persica/p.persica_gdr_reftransV1_0048080","p.persica_gdr_reftransV1_0048080")</f>
        <v>p.persica_gdr_reftransV1_0048080</v>
      </c>
      <c r="B7976" s="3">
        <v>314</v>
      </c>
      <c r="C7976" s="1" t="str">
        <f>HYPERLINK("http://www.uniprot.org/uniprot/PLY_LILLO","PLY_LILLO")</f>
        <v>PLY_LILLO</v>
      </c>
      <c r="D7976" t="s">
        <v>6254</v>
      </c>
      <c r="E7976" s="3" t="s">
        <v>3887</v>
      </c>
      <c r="F7976" s="4">
        <v>5.9799999999999998E-55</v>
      </c>
      <c r="G7976" s="3">
        <v>462</v>
      </c>
      <c r="H7976" s="3">
        <v>75</v>
      </c>
      <c r="I7976" s="3">
        <v>104</v>
      </c>
      <c r="J7976" s="3">
        <v>1</v>
      </c>
      <c r="K7976" s="3">
        <v>312</v>
      </c>
      <c r="L7976" s="3">
        <v>234</v>
      </c>
      <c r="M7976" s="3">
        <v>337</v>
      </c>
    </row>
    <row r="7977" spans="1:13" x14ac:dyDescent="0.25">
      <c r="A7977" s="1" t="str">
        <f>HYPERLINK("http://www.rosaceae.org/Prunus/Prunus_persica/p.persica_gdr_reftransV1_0048130","p.persica_gdr_reftransV1_0048130")</f>
        <v>p.persica_gdr_reftransV1_0048130</v>
      </c>
      <c r="B7977" s="3">
        <v>1526</v>
      </c>
      <c r="C7977" s="1" t="str">
        <f>HYPERLINK("http://www.uniprot.org/uniprot/RD22_ARATH","RD22_ARATH")</f>
        <v>RD22_ARATH</v>
      </c>
      <c r="D7977" t="s">
        <v>370</v>
      </c>
      <c r="E7977" s="3" t="s">
        <v>3</v>
      </c>
      <c r="F7977" s="4">
        <v>3.2099999999999998E-70</v>
      </c>
      <c r="G7977" s="3">
        <v>600</v>
      </c>
      <c r="H7977" s="3">
        <v>51</v>
      </c>
      <c r="I7977" s="3">
        <v>226</v>
      </c>
      <c r="J7977" s="3">
        <v>596</v>
      </c>
      <c r="K7977" s="3">
        <v>1258</v>
      </c>
      <c r="L7977" s="3">
        <v>166</v>
      </c>
      <c r="M7977" s="3">
        <v>389</v>
      </c>
    </row>
    <row r="7978" spans="1:13" x14ac:dyDescent="0.25">
      <c r="A7978" s="1" t="str">
        <f>HYPERLINK("http://www.rosaceae.org/Prunus/Prunus_persica/p.persica_gdr_reftransV1_0048180","p.persica_gdr_reftransV1_0048180")</f>
        <v>p.persica_gdr_reftransV1_0048180</v>
      </c>
      <c r="B7978" s="3">
        <v>1098</v>
      </c>
      <c r="C7978" s="1" t="str">
        <f>HYPERLINK("http://www.uniprot.org/uniprot/PP233_ARATH","PP233_ARATH")</f>
        <v>PP233_ARATH</v>
      </c>
      <c r="D7978" t="s">
        <v>6037</v>
      </c>
      <c r="E7978" s="3" t="s">
        <v>3</v>
      </c>
      <c r="F7978" s="4">
        <v>9.9999999999999999E-133</v>
      </c>
      <c r="G7978" s="3">
        <v>1018</v>
      </c>
      <c r="H7978" s="3">
        <v>64</v>
      </c>
      <c r="I7978" s="3">
        <v>306</v>
      </c>
      <c r="J7978" s="3">
        <v>180</v>
      </c>
      <c r="K7978" s="3">
        <v>1097</v>
      </c>
      <c r="L7978" s="3">
        <v>198</v>
      </c>
      <c r="M7978" s="3">
        <v>503</v>
      </c>
    </row>
    <row r="7979" spans="1:13" x14ac:dyDescent="0.25">
      <c r="A7979" s="1" t="str">
        <f>HYPERLINK("http://www.rosaceae.org/Prunus/Prunus_persica/p.persica_gdr_reftransV1_0048230","p.persica_gdr_reftransV1_0048230")</f>
        <v>p.persica_gdr_reftransV1_0048230</v>
      </c>
      <c r="B7979" s="3">
        <v>2446</v>
      </c>
      <c r="C7979" s="1" t="str">
        <f>HYPERLINK("http://www.uniprot.org/uniprot/NAC78_ARATH","NAC78_ARATH")</f>
        <v>NAC78_ARATH</v>
      </c>
      <c r="D7979" t="s">
        <v>6255</v>
      </c>
      <c r="E7979" s="3" t="s">
        <v>3</v>
      </c>
      <c r="F7979" s="4">
        <v>2.08E-134</v>
      </c>
      <c r="G7979" s="3">
        <v>1075</v>
      </c>
      <c r="H7979" s="3">
        <v>46</v>
      </c>
      <c r="I7979" s="3">
        <v>591</v>
      </c>
      <c r="J7979" s="3">
        <v>548</v>
      </c>
      <c r="K7979" s="3">
        <v>2236</v>
      </c>
      <c r="L7979" s="3">
        <v>1</v>
      </c>
      <c r="M7979" s="3">
        <v>543</v>
      </c>
    </row>
    <row r="7980" spans="1:13" x14ac:dyDescent="0.25">
      <c r="A7980" s="1" t="str">
        <f>HYPERLINK("http://www.rosaceae.org/Prunus/Prunus_persica/p.persica_gdr_reftransV1_0048330","p.persica_gdr_reftransV1_0048330")</f>
        <v>p.persica_gdr_reftransV1_0048330</v>
      </c>
      <c r="B7980" s="3">
        <v>1368</v>
      </c>
      <c r="C7980" s="1" t="str">
        <f>HYPERLINK("http://www.uniprot.org/uniprot/FB187_ARATH","FB187_ARATH")</f>
        <v>FB187_ARATH</v>
      </c>
      <c r="D7980" t="s">
        <v>6256</v>
      </c>
      <c r="E7980" s="3" t="s">
        <v>3</v>
      </c>
      <c r="F7980" s="4">
        <v>8.6699999999999999E-14</v>
      </c>
      <c r="G7980" s="3">
        <v>186</v>
      </c>
      <c r="H7980" s="3">
        <v>24</v>
      </c>
      <c r="I7980" s="3">
        <v>412</v>
      </c>
      <c r="J7980" s="3">
        <v>110</v>
      </c>
      <c r="K7980" s="3">
        <v>1267</v>
      </c>
      <c r="L7980" s="3">
        <v>5</v>
      </c>
      <c r="M7980" s="3">
        <v>361</v>
      </c>
    </row>
    <row r="7981" spans="1:13" x14ac:dyDescent="0.25">
      <c r="A7981" s="1" t="str">
        <f>HYPERLINK("http://www.rosaceae.org/Prunus/Prunus_persica/p.persica_gdr_reftransV1_0048380","p.persica_gdr_reftransV1_0048380")</f>
        <v>p.persica_gdr_reftransV1_0048380</v>
      </c>
      <c r="B7981" s="3">
        <v>332</v>
      </c>
      <c r="C7981" s="1" t="str">
        <f>HYPERLINK("http://www.uniprot.org/uniprot/PP366_ARATH","PP366_ARATH")</f>
        <v>PP366_ARATH</v>
      </c>
      <c r="D7981" t="s">
        <v>6257</v>
      </c>
      <c r="E7981" s="3" t="s">
        <v>3</v>
      </c>
      <c r="F7981" s="4">
        <v>3.93E-35</v>
      </c>
      <c r="G7981" s="3">
        <v>333</v>
      </c>
      <c r="H7981" s="3">
        <v>57</v>
      </c>
      <c r="I7981" s="3">
        <v>110</v>
      </c>
      <c r="J7981" s="3">
        <v>2</v>
      </c>
      <c r="K7981" s="3">
        <v>331</v>
      </c>
      <c r="L7981" s="3">
        <v>209</v>
      </c>
      <c r="M7981" s="3">
        <v>318</v>
      </c>
    </row>
    <row r="7982" spans="1:13" x14ac:dyDescent="0.25">
      <c r="A7982" s="1" t="str">
        <f>HYPERLINK("http://www.rosaceae.org/Prunus/Prunus_persica/p.persica_gdr_reftransV1_0048430","p.persica_gdr_reftransV1_0048430")</f>
        <v>p.persica_gdr_reftransV1_0048430</v>
      </c>
      <c r="B7982" s="3">
        <v>1073</v>
      </c>
      <c r="C7982" s="1" t="str">
        <f>HYPERLINK("http://www.uniprot.org/uniprot/DHLE_RAPSA","DHLE_RAPSA")</f>
        <v>DHLE_RAPSA</v>
      </c>
      <c r="D7982" t="s">
        <v>6258</v>
      </c>
      <c r="E7982" s="3" t="s">
        <v>6259</v>
      </c>
      <c r="F7982" s="4">
        <v>1.49E-10</v>
      </c>
      <c r="G7982" s="3">
        <v>153</v>
      </c>
      <c r="H7982" s="3">
        <v>52</v>
      </c>
      <c r="I7982" s="3">
        <v>56</v>
      </c>
      <c r="J7982" s="3">
        <v>803</v>
      </c>
      <c r="K7982" s="3">
        <v>970</v>
      </c>
      <c r="L7982" s="3">
        <v>1</v>
      </c>
      <c r="M7982" s="3">
        <v>56</v>
      </c>
    </row>
    <row r="7983" spans="1:13" x14ac:dyDescent="0.25">
      <c r="A7983" s="1" t="str">
        <f>HYPERLINK("http://www.rosaceae.org/Prunus/Prunus_persica/p.persica_gdr_reftransV1_0048480","p.persica_gdr_reftransV1_0048480")</f>
        <v>p.persica_gdr_reftransV1_0048480</v>
      </c>
      <c r="B7983" s="3">
        <v>2973</v>
      </c>
      <c r="C7983" s="1" t="str">
        <f>HYPERLINK("http://www.uniprot.org/uniprot/ADCK1_HUMAN","ADCK1_HUMAN")</f>
        <v>ADCK1_HUMAN</v>
      </c>
      <c r="D7983" t="s">
        <v>6260</v>
      </c>
      <c r="E7983" s="3" t="s">
        <v>28</v>
      </c>
      <c r="F7983" s="4">
        <v>3.5400000000000002E-41</v>
      </c>
      <c r="G7983" s="3">
        <v>414</v>
      </c>
      <c r="H7983" s="3">
        <v>35</v>
      </c>
      <c r="I7983" s="3">
        <v>283</v>
      </c>
      <c r="J7983" s="3">
        <v>1928</v>
      </c>
      <c r="K7983" s="3">
        <v>2758</v>
      </c>
      <c r="L7983" s="3">
        <v>71</v>
      </c>
      <c r="M7983" s="3">
        <v>341</v>
      </c>
    </row>
    <row r="7984" spans="1:13" x14ac:dyDescent="0.25">
      <c r="A7984" s="1" t="str">
        <f>HYPERLINK("http://www.rosaceae.org/Prunus/Prunus_persica/p.persica_gdr_reftransV1_0048530","p.persica_gdr_reftransV1_0048530")</f>
        <v>p.persica_gdr_reftransV1_0048530</v>
      </c>
      <c r="B7984" s="3">
        <v>2682</v>
      </c>
      <c r="C7984" s="1" t="str">
        <f>HYPERLINK("http://www.uniprot.org/uniprot/AUXI1_ARATH","AUXI1_ARATH")</f>
        <v>AUXI1_ARATH</v>
      </c>
      <c r="D7984" t="s">
        <v>5280</v>
      </c>
      <c r="E7984" s="3" t="s">
        <v>3</v>
      </c>
      <c r="F7984" s="4">
        <v>1.28E-52</v>
      </c>
      <c r="G7984" s="3">
        <v>513</v>
      </c>
      <c r="H7984" s="3">
        <v>74</v>
      </c>
      <c r="I7984" s="3">
        <v>125</v>
      </c>
      <c r="J7984" s="3">
        <v>1909</v>
      </c>
      <c r="K7984" s="3">
        <v>2283</v>
      </c>
      <c r="L7984" s="3">
        <v>779</v>
      </c>
      <c r="M7984" s="3">
        <v>903</v>
      </c>
    </row>
    <row r="7985" spans="1:13" x14ac:dyDescent="0.25">
      <c r="A7985" s="1" t="str">
        <f>HYPERLINK("http://www.rosaceae.org/Prunus/Prunus_persica/p.persica_gdr_reftransV1_0048780","p.persica_gdr_reftransV1_0048780")</f>
        <v>p.persica_gdr_reftransV1_0048780</v>
      </c>
      <c r="B7985" s="3">
        <v>924</v>
      </c>
      <c r="C7985" s="1" t="str">
        <f>HYPERLINK("http://www.uniprot.org/uniprot/RL34_MARMS","RL34_MARMS")</f>
        <v>RL34_MARMS</v>
      </c>
      <c r="D7985" t="s">
        <v>6261</v>
      </c>
      <c r="E7985" s="3" t="s">
        <v>6262</v>
      </c>
      <c r="F7985" s="4">
        <v>5.2800000000000001E-11</v>
      </c>
      <c r="G7985" s="3">
        <v>148</v>
      </c>
      <c r="H7985" s="3">
        <v>72</v>
      </c>
      <c r="I7985" s="3">
        <v>43</v>
      </c>
      <c r="J7985" s="3">
        <v>395</v>
      </c>
      <c r="K7985" s="3">
        <v>523</v>
      </c>
      <c r="L7985" s="3">
        <v>2</v>
      </c>
      <c r="M7985" s="3">
        <v>44</v>
      </c>
    </row>
    <row r="7986" spans="1:13" x14ac:dyDescent="0.25">
      <c r="A7986" s="1" t="str">
        <f>HYPERLINK("http://www.rosaceae.org/Prunus/Prunus_persica/p.persica_gdr_reftransV1_0048880","p.persica_gdr_reftransV1_0048880")</f>
        <v>p.persica_gdr_reftransV1_0048880</v>
      </c>
      <c r="B7986" s="3">
        <v>1864</v>
      </c>
      <c r="C7986" s="1" t="str">
        <f>HYPERLINK("http://www.uniprot.org/uniprot/MUL1A_DANRE","MUL1A_DANRE")</f>
        <v>MUL1A_DANRE</v>
      </c>
      <c r="D7986" t="s">
        <v>6263</v>
      </c>
      <c r="E7986" s="3" t="s">
        <v>704</v>
      </c>
      <c r="F7986" s="4">
        <v>6.5499999999999999E-14</v>
      </c>
      <c r="G7986" s="3">
        <v>188</v>
      </c>
      <c r="H7986" s="3">
        <v>25</v>
      </c>
      <c r="I7986" s="3">
        <v>328</v>
      </c>
      <c r="J7986" s="3">
        <v>387</v>
      </c>
      <c r="K7986" s="3">
        <v>1343</v>
      </c>
      <c r="L7986" s="3">
        <v>27</v>
      </c>
      <c r="M7986" s="3">
        <v>340</v>
      </c>
    </row>
    <row r="7987" spans="1:13" x14ac:dyDescent="0.25">
      <c r="A7987" s="1" t="str">
        <f>HYPERLINK("http://www.rosaceae.org/Prunus/Prunus_persica/p.persica_gdr_reftransV1_0048930","p.persica_gdr_reftransV1_0048930")</f>
        <v>p.persica_gdr_reftransV1_0048930</v>
      </c>
      <c r="B7987" s="3">
        <v>1716</v>
      </c>
      <c r="C7987" s="1" t="str">
        <f>HYPERLINK("http://www.uniprot.org/uniprot/HA22I_ARATH","HA22I_ARATH")</f>
        <v>HA22I_ARATH</v>
      </c>
      <c r="D7987" t="s">
        <v>6264</v>
      </c>
      <c r="E7987" s="3" t="s">
        <v>3</v>
      </c>
      <c r="F7987" s="4">
        <v>9.7799999999999995E-87</v>
      </c>
      <c r="G7987" s="3">
        <v>709</v>
      </c>
      <c r="H7987" s="3">
        <v>87</v>
      </c>
      <c r="I7987" s="3">
        <v>142</v>
      </c>
      <c r="J7987" s="3">
        <v>925</v>
      </c>
      <c r="K7987" s="3">
        <v>1350</v>
      </c>
      <c r="L7987" s="3">
        <v>1</v>
      </c>
      <c r="M7987" s="3">
        <v>142</v>
      </c>
    </row>
    <row r="7988" spans="1:13" x14ac:dyDescent="0.25">
      <c r="A7988" s="1" t="str">
        <f>HYPERLINK("http://www.rosaceae.org/Prunus/Prunus_persica/p.persica_gdr_reftransV1_0049080","p.persica_gdr_reftransV1_0049080")</f>
        <v>p.persica_gdr_reftransV1_0049080</v>
      </c>
      <c r="B7988" s="3">
        <v>6336</v>
      </c>
      <c r="C7988" s="1" t="str">
        <f>HYPERLINK("http://www.uniprot.org/uniprot/DCL1_ARATH","DCL1_ARATH")</f>
        <v>DCL1_ARATH</v>
      </c>
      <c r="D7988" t="s">
        <v>5702</v>
      </c>
      <c r="E7988" s="3" t="s">
        <v>3</v>
      </c>
      <c r="F7988" s="4">
        <v>0</v>
      </c>
      <c r="G7988" s="3">
        <v>7221</v>
      </c>
      <c r="H7988" s="3">
        <v>74</v>
      </c>
      <c r="I7988" s="3">
        <v>1982</v>
      </c>
      <c r="J7988" s="3">
        <v>308</v>
      </c>
      <c r="K7988" s="3">
        <v>6193</v>
      </c>
      <c r="L7988" s="3">
        <v>1</v>
      </c>
      <c r="M7988" s="3">
        <v>1898</v>
      </c>
    </row>
    <row r="7989" spans="1:13" x14ac:dyDescent="0.25">
      <c r="A7989" s="1" t="str">
        <f>HYPERLINK("http://www.rosaceae.org/Prunus/Prunus_persica/p.persica_gdr_reftransV1_0049130","p.persica_gdr_reftransV1_0049130")</f>
        <v>p.persica_gdr_reftransV1_0049130</v>
      </c>
      <c r="B7989" s="3">
        <v>2707</v>
      </c>
      <c r="C7989" s="1" t="str">
        <f>HYPERLINK("http://www.uniprot.org/uniprot/GATA8_ARATH","GATA8_ARATH")</f>
        <v>GATA8_ARATH</v>
      </c>
      <c r="D7989" t="s">
        <v>6265</v>
      </c>
      <c r="E7989" s="3" t="s">
        <v>3</v>
      </c>
      <c r="F7989" s="4">
        <v>3.6299999999999998E-37</v>
      </c>
      <c r="G7989" s="3">
        <v>371</v>
      </c>
      <c r="H7989" s="3">
        <v>70</v>
      </c>
      <c r="I7989" s="3">
        <v>102</v>
      </c>
      <c r="J7989" s="3">
        <v>499</v>
      </c>
      <c r="K7989" s="3">
        <v>804</v>
      </c>
      <c r="L7989" s="3">
        <v>225</v>
      </c>
      <c r="M7989" s="3">
        <v>322</v>
      </c>
    </row>
    <row r="7990" spans="1:13" x14ac:dyDescent="0.25">
      <c r="A7990" s="1" t="str">
        <f>HYPERLINK("http://www.rosaceae.org/Prunus/Prunus_persica/p.persica_gdr_reftransV1_0049180","p.persica_gdr_reftransV1_0049180")</f>
        <v>p.persica_gdr_reftransV1_0049180</v>
      </c>
      <c r="B7990" s="3">
        <v>866</v>
      </c>
      <c r="C7990" s="1" t="str">
        <f>HYPERLINK("http://www.uniprot.org/uniprot/CXXS1_ARATH","CXXS1_ARATH")</f>
        <v>CXXS1_ARATH</v>
      </c>
      <c r="D7990" t="s">
        <v>6266</v>
      </c>
      <c r="E7990" s="3" t="s">
        <v>3</v>
      </c>
      <c r="F7990" s="4">
        <v>8.1900000000000004E-53</v>
      </c>
      <c r="G7990" s="3">
        <v>442</v>
      </c>
      <c r="H7990" s="3">
        <v>69</v>
      </c>
      <c r="I7990" s="3">
        <v>113</v>
      </c>
      <c r="J7990" s="3">
        <v>161</v>
      </c>
      <c r="K7990" s="3">
        <v>499</v>
      </c>
      <c r="L7990" s="3">
        <v>2</v>
      </c>
      <c r="M7990" s="3">
        <v>114</v>
      </c>
    </row>
    <row r="7991" spans="1:13" x14ac:dyDescent="0.25">
      <c r="A7991" s="1" t="str">
        <f>HYPERLINK("http://www.rosaceae.org/Prunus/Prunus_persica/p.persica_gdr_reftransV1_0000053","p.persica_gdr_reftransV1_0000053")</f>
        <v>p.persica_gdr_reftransV1_0000053</v>
      </c>
      <c r="B7991" s="3">
        <v>1267</v>
      </c>
      <c r="C7991" s="1" t="str">
        <f>HYPERLINK("http://www.uniprot.org/uniprot/FAX1_ARATH","FAX1_ARATH")</f>
        <v>FAX1_ARATH</v>
      </c>
      <c r="D7991" t="s">
        <v>6267</v>
      </c>
      <c r="E7991" s="3" t="s">
        <v>3</v>
      </c>
      <c r="F7991" s="4">
        <v>1.94E-68</v>
      </c>
      <c r="G7991" s="3">
        <v>568</v>
      </c>
      <c r="H7991" s="3">
        <v>55</v>
      </c>
      <c r="I7991" s="3">
        <v>213</v>
      </c>
      <c r="J7991" s="3">
        <v>297</v>
      </c>
      <c r="K7991" s="3">
        <v>872</v>
      </c>
      <c r="L7991" s="3">
        <v>2</v>
      </c>
      <c r="M7991" s="3">
        <v>211</v>
      </c>
    </row>
    <row r="7992" spans="1:13" x14ac:dyDescent="0.25">
      <c r="A7992" s="1" t="str">
        <f>HYPERLINK("http://www.rosaceae.org/Prunus/Prunus_persica/p.persica_gdr_reftransV1_0000103","p.persica_gdr_reftransV1_0000103")</f>
        <v>p.persica_gdr_reftransV1_0000103</v>
      </c>
      <c r="B7992" s="3">
        <v>1629</v>
      </c>
      <c r="C7992" s="1" t="str">
        <f>HYPERLINK("http://www.uniprot.org/uniprot/P5CS_ACTDE","P5CS_ACTDE")</f>
        <v>P5CS_ACTDE</v>
      </c>
      <c r="D7992" t="s">
        <v>4442</v>
      </c>
      <c r="E7992" s="3" t="s">
        <v>2188</v>
      </c>
      <c r="F7992" s="4">
        <v>0</v>
      </c>
      <c r="G7992" s="3">
        <v>1846</v>
      </c>
      <c r="H7992" s="3">
        <v>79</v>
      </c>
      <c r="I7992" s="3">
        <v>436</v>
      </c>
      <c r="J7992" s="3">
        <v>1</v>
      </c>
      <c r="K7992" s="3">
        <v>1308</v>
      </c>
      <c r="L7992" s="3">
        <v>278</v>
      </c>
      <c r="M7992" s="3">
        <v>713</v>
      </c>
    </row>
    <row r="7993" spans="1:13" x14ac:dyDescent="0.25">
      <c r="A7993" s="1" t="str">
        <f>HYPERLINK("http://www.rosaceae.org/Prunus/Prunus_persica/p.persica_gdr_reftransV1_0000153","p.persica_gdr_reftransV1_0000153")</f>
        <v>p.persica_gdr_reftransV1_0000153</v>
      </c>
      <c r="B7993" s="3">
        <v>411</v>
      </c>
      <c r="C7993" s="1" t="str">
        <f>HYPERLINK("http://www.uniprot.org/uniprot/ARP1_ARATH","ARP1_ARATH")</f>
        <v>ARP1_ARATH</v>
      </c>
      <c r="D7993" t="s">
        <v>5986</v>
      </c>
      <c r="E7993" s="3" t="s">
        <v>3</v>
      </c>
      <c r="F7993" s="4">
        <v>1.38E-36</v>
      </c>
      <c r="G7993" s="3">
        <v>330</v>
      </c>
      <c r="H7993" s="3">
        <v>59</v>
      </c>
      <c r="I7993" s="3">
        <v>107</v>
      </c>
      <c r="J7993" s="3">
        <v>28</v>
      </c>
      <c r="K7993" s="3">
        <v>348</v>
      </c>
      <c r="L7993" s="3">
        <v>1</v>
      </c>
      <c r="M7993" s="3">
        <v>103</v>
      </c>
    </row>
    <row r="7994" spans="1:13" x14ac:dyDescent="0.25">
      <c r="A7994" s="1" t="str">
        <f>HYPERLINK("http://www.rosaceae.org/Prunus/Prunus_persica/p.persica_gdr_reftransV1_0000203","p.persica_gdr_reftransV1_0000203")</f>
        <v>p.persica_gdr_reftransV1_0000203</v>
      </c>
      <c r="B7994" s="3">
        <v>1958</v>
      </c>
      <c r="C7994" s="1" t="str">
        <f>HYPERLINK("http://www.uniprot.org/uniprot/IF411_TOBAC","IF411_TOBAC")</f>
        <v>IF411_TOBAC</v>
      </c>
      <c r="D7994" t="s">
        <v>3885</v>
      </c>
      <c r="E7994" s="3" t="s">
        <v>200</v>
      </c>
      <c r="F7994" s="4">
        <v>0</v>
      </c>
      <c r="G7994" s="3">
        <v>2101</v>
      </c>
      <c r="H7994" s="3">
        <v>95</v>
      </c>
      <c r="I7994" s="3">
        <v>409</v>
      </c>
      <c r="J7994" s="3">
        <v>165</v>
      </c>
      <c r="K7994" s="3">
        <v>1391</v>
      </c>
      <c r="L7994" s="3">
        <v>5</v>
      </c>
      <c r="M7994" s="3">
        <v>413</v>
      </c>
    </row>
    <row r="7995" spans="1:13" x14ac:dyDescent="0.25">
      <c r="A7995" s="1" t="str">
        <f>HYPERLINK("http://www.rosaceae.org/Prunus/Prunus_persica/p.persica_gdr_reftransV1_0000253","p.persica_gdr_reftransV1_0000253")</f>
        <v>p.persica_gdr_reftransV1_0000253</v>
      </c>
      <c r="B7995" s="3">
        <v>2000</v>
      </c>
      <c r="C7995" s="1" t="str">
        <f>HYPERLINK("http://www.uniprot.org/uniprot/ALGC_PSESM","ALGC_PSESM")</f>
        <v>ALGC_PSESM</v>
      </c>
      <c r="D7995" t="s">
        <v>6080</v>
      </c>
      <c r="E7995" s="3" t="s">
        <v>6081</v>
      </c>
      <c r="F7995" s="4">
        <v>4.4900000000000001E-25</v>
      </c>
      <c r="G7995" s="3">
        <v>280</v>
      </c>
      <c r="H7995" s="3">
        <v>32</v>
      </c>
      <c r="I7995" s="3">
        <v>232</v>
      </c>
      <c r="J7995" s="3">
        <v>520</v>
      </c>
      <c r="K7995" s="3">
        <v>1212</v>
      </c>
      <c r="L7995" s="3">
        <v>175</v>
      </c>
      <c r="M7995" s="3">
        <v>395</v>
      </c>
    </row>
    <row r="7996" spans="1:13" x14ac:dyDescent="0.25">
      <c r="A7996" s="1" t="str">
        <f>HYPERLINK("http://www.rosaceae.org/Prunus/Prunus_persica/p.persica_gdr_reftransV1_0000353","p.persica_gdr_reftransV1_0000353")</f>
        <v>p.persica_gdr_reftransV1_0000353</v>
      </c>
      <c r="B7996" s="3">
        <v>1045</v>
      </c>
      <c r="C7996" s="1" t="str">
        <f>HYPERLINK("http://www.uniprot.org/uniprot/BGAL3_ARATH","BGAL3_ARATH")</f>
        <v>BGAL3_ARATH</v>
      </c>
      <c r="D7996" t="s">
        <v>1034</v>
      </c>
      <c r="E7996" s="3" t="s">
        <v>3</v>
      </c>
      <c r="F7996" s="4">
        <v>0</v>
      </c>
      <c r="G7996" s="3">
        <v>1428</v>
      </c>
      <c r="H7996" s="3">
        <v>77</v>
      </c>
      <c r="I7996" s="3">
        <v>330</v>
      </c>
      <c r="J7996" s="3">
        <v>3</v>
      </c>
      <c r="K7996" s="3">
        <v>989</v>
      </c>
      <c r="L7996" s="3">
        <v>2</v>
      </c>
      <c r="M7996" s="3">
        <v>331</v>
      </c>
    </row>
    <row r="7997" spans="1:13" x14ac:dyDescent="0.25">
      <c r="A7997" s="1" t="str">
        <f>HYPERLINK("http://www.rosaceae.org/Prunus/Prunus_persica/p.persica_gdr_reftransV1_0000403","p.persica_gdr_reftransV1_0000403")</f>
        <v>p.persica_gdr_reftransV1_0000403</v>
      </c>
      <c r="B7997" s="3">
        <v>439</v>
      </c>
      <c r="C7997" s="1" t="str">
        <f>HYPERLINK("http://www.uniprot.org/uniprot/RAX3_ARATH","RAX3_ARATH")</f>
        <v>RAX3_ARATH</v>
      </c>
      <c r="D7997" t="s">
        <v>6230</v>
      </c>
      <c r="E7997" s="3" t="s">
        <v>3</v>
      </c>
      <c r="F7997" s="4">
        <v>1.8E-9</v>
      </c>
      <c r="G7997" s="3">
        <v>139</v>
      </c>
      <c r="H7997" s="3">
        <v>93</v>
      </c>
      <c r="I7997" s="3">
        <v>27</v>
      </c>
      <c r="J7997" s="3">
        <v>359</v>
      </c>
      <c r="K7997" s="3">
        <v>439</v>
      </c>
      <c r="L7997" s="3">
        <v>92</v>
      </c>
      <c r="M7997" s="3">
        <v>118</v>
      </c>
    </row>
    <row r="7998" spans="1:13" x14ac:dyDescent="0.25">
      <c r="A7998" s="1" t="str">
        <f>HYPERLINK("http://www.rosaceae.org/Prunus/Prunus_persica/p.persica_gdr_reftransV1_0000453","p.persica_gdr_reftransV1_0000453")</f>
        <v>p.persica_gdr_reftransV1_0000453</v>
      </c>
      <c r="B7998" s="3">
        <v>4232</v>
      </c>
      <c r="C7998" s="1" t="str">
        <f>HYPERLINK("http://www.uniprot.org/uniprot/ELP1_ARATH","ELP1_ARATH")</f>
        <v>ELP1_ARATH</v>
      </c>
      <c r="D7998" t="s">
        <v>6268</v>
      </c>
      <c r="E7998" s="3" t="s">
        <v>3</v>
      </c>
      <c r="F7998" s="4">
        <v>0</v>
      </c>
      <c r="G7998" s="3">
        <v>3696</v>
      </c>
      <c r="H7998" s="3">
        <v>61</v>
      </c>
      <c r="I7998" s="3">
        <v>1328</v>
      </c>
      <c r="J7998" s="3">
        <v>80</v>
      </c>
      <c r="K7998" s="3">
        <v>4021</v>
      </c>
      <c r="L7998" s="3">
        <v>1</v>
      </c>
      <c r="M7998" s="3">
        <v>1319</v>
      </c>
    </row>
    <row r="7999" spans="1:13" x14ac:dyDescent="0.25">
      <c r="A7999" s="1" t="str">
        <f>HYPERLINK("http://www.rosaceae.org/Prunus/Prunus_persica/p.persica_gdr_reftransV1_0000503","p.persica_gdr_reftransV1_0000503")</f>
        <v>p.persica_gdr_reftransV1_0000503</v>
      </c>
      <c r="B7999" s="3">
        <v>1781</v>
      </c>
      <c r="C7999" s="1" t="str">
        <f>HYPERLINK("http://www.uniprot.org/uniprot/OTU_ARATH","OTU_ARATH")</f>
        <v>OTU_ARATH</v>
      </c>
      <c r="D7999" t="s">
        <v>2595</v>
      </c>
      <c r="E7999" s="3" t="s">
        <v>3</v>
      </c>
      <c r="F7999" s="4">
        <v>1.22E-56</v>
      </c>
      <c r="G7999" s="3">
        <v>506</v>
      </c>
      <c r="H7999" s="3">
        <v>50</v>
      </c>
      <c r="I7999" s="3">
        <v>179</v>
      </c>
      <c r="J7999" s="3">
        <v>145</v>
      </c>
      <c r="K7999" s="3">
        <v>681</v>
      </c>
      <c r="L7999" s="3">
        <v>127</v>
      </c>
      <c r="M7999" s="3">
        <v>303</v>
      </c>
    </row>
    <row r="8000" spans="1:13" x14ac:dyDescent="0.25">
      <c r="A8000" s="1" t="str">
        <f>HYPERLINK("http://www.rosaceae.org/Prunus/Prunus_persica/p.persica_gdr_reftransV1_0000553","p.persica_gdr_reftransV1_0000553")</f>
        <v>p.persica_gdr_reftransV1_0000553</v>
      </c>
      <c r="B8000" s="3">
        <v>2131</v>
      </c>
      <c r="C8000" s="1" t="str">
        <f>HYPERLINK("http://www.uniprot.org/uniprot/AB22G_ARATH","AB22G_ARATH")</f>
        <v>AB22G_ARATH</v>
      </c>
      <c r="D8000" t="s">
        <v>6269</v>
      </c>
      <c r="E8000" s="3" t="s">
        <v>3</v>
      </c>
      <c r="F8000" s="4">
        <v>0</v>
      </c>
      <c r="G8000" s="3">
        <v>1997</v>
      </c>
      <c r="H8000" s="3">
        <v>63</v>
      </c>
      <c r="I8000" s="3">
        <v>645</v>
      </c>
      <c r="J8000" s="3">
        <v>92</v>
      </c>
      <c r="K8000" s="3">
        <v>1969</v>
      </c>
      <c r="L8000" s="3">
        <v>120</v>
      </c>
      <c r="M8000" s="3">
        <v>751</v>
      </c>
    </row>
    <row r="8001" spans="1:13" x14ac:dyDescent="0.25">
      <c r="A8001" s="1" t="str">
        <f>HYPERLINK("http://www.rosaceae.org/Prunus/Prunus_persica/p.persica_gdr_reftransV1_0000703","p.persica_gdr_reftransV1_0000703")</f>
        <v>p.persica_gdr_reftransV1_0000703</v>
      </c>
      <c r="B8001" s="3">
        <v>2271</v>
      </c>
      <c r="C8001" s="1" t="str">
        <f>HYPERLINK("http://www.uniprot.org/uniprot/NU3M_PANGI","NU3M_PANGI")</f>
        <v>NU3M_PANGI</v>
      </c>
      <c r="D8001" t="s">
        <v>6270</v>
      </c>
      <c r="E8001" s="3" t="s">
        <v>1477</v>
      </c>
      <c r="F8001" s="4">
        <v>7.7900000000000006E-67</v>
      </c>
      <c r="G8001" s="3">
        <v>566</v>
      </c>
      <c r="H8001" s="3">
        <v>96</v>
      </c>
      <c r="I8001" s="3">
        <v>118</v>
      </c>
      <c r="J8001" s="3">
        <v>365</v>
      </c>
      <c r="K8001" s="3">
        <v>718</v>
      </c>
      <c r="L8001" s="3">
        <v>1</v>
      </c>
      <c r="M8001" s="3">
        <v>118</v>
      </c>
    </row>
    <row r="8002" spans="1:13" x14ac:dyDescent="0.25">
      <c r="A8002" s="1" t="str">
        <f>HYPERLINK("http://www.rosaceae.org/Prunus/Prunus_persica/p.persica_gdr_reftransV1_0000803","p.persica_gdr_reftransV1_0000803")</f>
        <v>p.persica_gdr_reftransV1_0000803</v>
      </c>
      <c r="B8002" s="3">
        <v>1815</v>
      </c>
      <c r="C8002" s="1" t="str">
        <f>HYPERLINK("http://www.uniprot.org/uniprot/AFC2_ARATH","AFC2_ARATH")</f>
        <v>AFC2_ARATH</v>
      </c>
      <c r="D8002" t="s">
        <v>2742</v>
      </c>
      <c r="E8002" s="3" t="s">
        <v>3</v>
      </c>
      <c r="F8002" s="4">
        <v>0</v>
      </c>
      <c r="G8002" s="3">
        <v>1924</v>
      </c>
      <c r="H8002" s="3">
        <v>82</v>
      </c>
      <c r="I8002" s="3">
        <v>429</v>
      </c>
      <c r="J8002" s="3">
        <v>409</v>
      </c>
      <c r="K8002" s="3">
        <v>1692</v>
      </c>
      <c r="L8002" s="3">
        <v>1</v>
      </c>
      <c r="M8002" s="3">
        <v>425</v>
      </c>
    </row>
    <row r="8003" spans="1:13" x14ac:dyDescent="0.25">
      <c r="A8003" s="1" t="str">
        <f>HYPERLINK("http://www.rosaceae.org/Prunus/Prunus_persica/p.persica_gdr_reftransV1_0000853","p.persica_gdr_reftransV1_0000853")</f>
        <v>p.persica_gdr_reftransV1_0000853</v>
      </c>
      <c r="B8003" s="3">
        <v>2308</v>
      </c>
      <c r="C8003" s="1" t="str">
        <f>HYPERLINK("http://www.uniprot.org/uniprot/Y381_RICFE","Y381_RICFE")</f>
        <v>Y381_RICFE</v>
      </c>
      <c r="D8003" t="s">
        <v>6238</v>
      </c>
      <c r="E8003" s="3" t="s">
        <v>6239</v>
      </c>
      <c r="F8003" s="4">
        <v>9.4399999999999994E-14</v>
      </c>
      <c r="G8003" s="3">
        <v>194</v>
      </c>
      <c r="H8003" s="3">
        <v>32</v>
      </c>
      <c r="I8003" s="3">
        <v>281</v>
      </c>
      <c r="J8003" s="3">
        <v>905</v>
      </c>
      <c r="K8003" s="3">
        <v>1738</v>
      </c>
      <c r="L8003" s="3">
        <v>865</v>
      </c>
      <c r="M8003" s="3">
        <v>1102</v>
      </c>
    </row>
    <row r="8004" spans="1:13" x14ac:dyDescent="0.25">
      <c r="A8004" s="1" t="str">
        <f>HYPERLINK("http://www.rosaceae.org/Prunus/Prunus_persica/p.persica_gdr_reftransV1_0000903","p.persica_gdr_reftransV1_0000903")</f>
        <v>p.persica_gdr_reftransV1_0000903</v>
      </c>
      <c r="B8004" s="3">
        <v>672</v>
      </c>
      <c r="C8004" s="1" t="str">
        <f>HYPERLINK("http://www.uniprot.org/uniprot/ERG3_ORYSJ","ERG3_ORYSJ")</f>
        <v>ERG3_ORYSJ</v>
      </c>
      <c r="D8004" t="s">
        <v>1897</v>
      </c>
      <c r="E8004" s="3" t="s">
        <v>38</v>
      </c>
      <c r="F8004" s="4">
        <v>9.2499999999999995E-49</v>
      </c>
      <c r="G8004" s="3">
        <v>411</v>
      </c>
      <c r="H8004" s="3">
        <v>52</v>
      </c>
      <c r="I8004" s="3">
        <v>142</v>
      </c>
      <c r="J8004" s="3">
        <v>110</v>
      </c>
      <c r="K8004" s="3">
        <v>529</v>
      </c>
      <c r="L8004" s="3">
        <v>1</v>
      </c>
      <c r="M8004" s="3">
        <v>142</v>
      </c>
    </row>
    <row r="8005" spans="1:13" x14ac:dyDescent="0.25">
      <c r="A8005" s="1" t="str">
        <f>HYPERLINK("http://www.rosaceae.org/Prunus/Prunus_persica/p.persica_gdr_reftransV1_0000953","p.persica_gdr_reftransV1_0000953")</f>
        <v>p.persica_gdr_reftransV1_0000953</v>
      </c>
      <c r="B8005" s="3">
        <v>1749</v>
      </c>
      <c r="C8005" s="1" t="str">
        <f>HYPERLINK("http://www.uniprot.org/uniprot/Y5614_ARATH","Y5614_ARATH")</f>
        <v>Y5614_ARATH</v>
      </c>
      <c r="D8005" t="s">
        <v>3631</v>
      </c>
      <c r="E8005" s="3" t="s">
        <v>3</v>
      </c>
      <c r="F8005" s="4">
        <v>7.6699999999999997E-105</v>
      </c>
      <c r="G8005" s="3">
        <v>886</v>
      </c>
      <c r="H8005" s="3">
        <v>58</v>
      </c>
      <c r="I8005" s="3">
        <v>292</v>
      </c>
      <c r="J8005" s="3">
        <v>361</v>
      </c>
      <c r="K8005" s="3">
        <v>1236</v>
      </c>
      <c r="L8005" s="3">
        <v>680</v>
      </c>
      <c r="M8005" s="3">
        <v>969</v>
      </c>
    </row>
    <row r="8006" spans="1:13" x14ac:dyDescent="0.25">
      <c r="A8006" s="1" t="str">
        <f>HYPERLINK("http://www.rosaceae.org/Prunus/Prunus_persica/p.persica_gdr_reftransV1_0001003","p.persica_gdr_reftransV1_0001003")</f>
        <v>p.persica_gdr_reftransV1_0001003</v>
      </c>
      <c r="B8006" s="3">
        <v>2337</v>
      </c>
      <c r="C8006" s="1" t="str">
        <f>HYPERLINK("http://www.uniprot.org/uniprot/AB14G_ARATH","AB14G_ARATH")</f>
        <v>AB14G_ARATH</v>
      </c>
      <c r="D8006" t="s">
        <v>6271</v>
      </c>
      <c r="E8006" s="3" t="s">
        <v>3</v>
      </c>
      <c r="F8006" s="4">
        <v>0</v>
      </c>
      <c r="G8006" s="3">
        <v>2236</v>
      </c>
      <c r="H8006" s="3">
        <v>75</v>
      </c>
      <c r="I8006" s="3">
        <v>654</v>
      </c>
      <c r="J8006" s="3">
        <v>228</v>
      </c>
      <c r="K8006" s="3">
        <v>2189</v>
      </c>
      <c r="L8006" s="3">
        <v>1</v>
      </c>
      <c r="M8006" s="3">
        <v>626</v>
      </c>
    </row>
    <row r="8007" spans="1:13" x14ac:dyDescent="0.25">
      <c r="A8007" s="1" t="str">
        <f>HYPERLINK("http://www.rosaceae.org/Prunus/Prunus_persica/p.persica_gdr_reftransV1_0001053","p.persica_gdr_reftransV1_0001053")</f>
        <v>p.persica_gdr_reftransV1_0001053</v>
      </c>
      <c r="B8007" s="3">
        <v>2174</v>
      </c>
      <c r="C8007" s="1" t="str">
        <f>HYPERLINK("http://www.uniprot.org/uniprot/C86A8_ARATH","C86A8_ARATH")</f>
        <v>C86A8_ARATH</v>
      </c>
      <c r="D8007" t="s">
        <v>6272</v>
      </c>
      <c r="E8007" s="3" t="s">
        <v>3</v>
      </c>
      <c r="F8007" s="4">
        <v>0</v>
      </c>
      <c r="G8007" s="3">
        <v>2136</v>
      </c>
      <c r="H8007" s="3">
        <v>76</v>
      </c>
      <c r="I8007" s="3">
        <v>517</v>
      </c>
      <c r="J8007" s="3">
        <v>298</v>
      </c>
      <c r="K8007" s="3">
        <v>1845</v>
      </c>
      <c r="L8007" s="3">
        <v>1</v>
      </c>
      <c r="M8007" s="3">
        <v>515</v>
      </c>
    </row>
    <row r="8008" spans="1:13" x14ac:dyDescent="0.25">
      <c r="A8008" s="1" t="str">
        <f>HYPERLINK("http://www.rosaceae.org/Prunus/Prunus_persica/p.persica_gdr_reftransV1_0001153","p.persica_gdr_reftransV1_0001153")</f>
        <v>p.persica_gdr_reftransV1_0001153</v>
      </c>
      <c r="B8008" s="3">
        <v>1260</v>
      </c>
      <c r="C8008" s="1" t="str">
        <f>HYPERLINK("http://www.uniprot.org/uniprot/ZDH20_ARATH","ZDH20_ARATH")</f>
        <v>ZDH20_ARATH</v>
      </c>
      <c r="D8008" t="s">
        <v>6273</v>
      </c>
      <c r="E8008" s="3" t="s">
        <v>3</v>
      </c>
      <c r="F8008" s="4">
        <v>3.1800000000000002E-70</v>
      </c>
      <c r="G8008" s="3">
        <v>582</v>
      </c>
      <c r="H8008" s="3">
        <v>55</v>
      </c>
      <c r="I8008" s="3">
        <v>258</v>
      </c>
      <c r="J8008" s="3">
        <v>173</v>
      </c>
      <c r="K8008" s="3">
        <v>850</v>
      </c>
      <c r="L8008" s="3">
        <v>1</v>
      </c>
      <c r="M8008" s="3">
        <v>254</v>
      </c>
    </row>
    <row r="8009" spans="1:13" x14ac:dyDescent="0.25">
      <c r="A8009" s="1" t="str">
        <f>HYPERLINK("http://www.rosaceae.org/Prunus/Prunus_persica/p.persica_gdr_reftransV1_0001253","p.persica_gdr_reftransV1_0001253")</f>
        <v>p.persica_gdr_reftransV1_0001253</v>
      </c>
      <c r="B8009" s="3">
        <v>452</v>
      </c>
      <c r="C8009" s="1" t="str">
        <f>HYPERLINK("http://www.uniprot.org/uniprot/PP326_ARATH","PP326_ARATH")</f>
        <v>PP326_ARATH</v>
      </c>
      <c r="D8009" t="s">
        <v>6274</v>
      </c>
      <c r="E8009" s="3" t="s">
        <v>3</v>
      </c>
      <c r="F8009" s="4">
        <v>1.82E-79</v>
      </c>
      <c r="G8009" s="3">
        <v>650</v>
      </c>
      <c r="H8009" s="3">
        <v>78</v>
      </c>
      <c r="I8009" s="3">
        <v>149</v>
      </c>
      <c r="J8009" s="3">
        <v>2</v>
      </c>
      <c r="K8009" s="3">
        <v>448</v>
      </c>
      <c r="L8009" s="3">
        <v>244</v>
      </c>
      <c r="M8009" s="3">
        <v>392</v>
      </c>
    </row>
    <row r="8010" spans="1:13" x14ac:dyDescent="0.25">
      <c r="A8010" s="1" t="str">
        <f>HYPERLINK("http://www.rosaceae.org/Prunus/Prunus_persica/p.persica_gdr_reftransV1_0001303","p.persica_gdr_reftransV1_0001303")</f>
        <v>p.persica_gdr_reftransV1_0001303</v>
      </c>
      <c r="B8010" s="3">
        <v>1525</v>
      </c>
      <c r="C8010" s="1" t="str">
        <f>HYPERLINK("http://www.uniprot.org/uniprot/ABAH4_ARATH","ABAH4_ARATH")</f>
        <v>ABAH4_ARATH</v>
      </c>
      <c r="D8010" t="s">
        <v>259</v>
      </c>
      <c r="E8010" s="3" t="s">
        <v>3</v>
      </c>
      <c r="F8010" s="4">
        <v>0</v>
      </c>
      <c r="G8010" s="3">
        <v>1534</v>
      </c>
      <c r="H8010" s="3">
        <v>68</v>
      </c>
      <c r="I8010" s="3">
        <v>427</v>
      </c>
      <c r="J8010" s="3">
        <v>2</v>
      </c>
      <c r="K8010" s="3">
        <v>1276</v>
      </c>
      <c r="L8010" s="3">
        <v>42</v>
      </c>
      <c r="M8010" s="3">
        <v>467</v>
      </c>
    </row>
    <row r="8011" spans="1:13" x14ac:dyDescent="0.25">
      <c r="A8011" s="1" t="str">
        <f>HYPERLINK("http://www.rosaceae.org/Prunus/Prunus_persica/p.persica_gdr_reftransV1_0001353","p.persica_gdr_reftransV1_0001353")</f>
        <v>p.persica_gdr_reftransV1_0001353</v>
      </c>
      <c r="B8011" s="3">
        <v>2766</v>
      </c>
      <c r="C8011" s="1" t="str">
        <f>HYPERLINK("http://www.uniprot.org/uniprot/CYB6_OENEH","CYB6_OENEH")</f>
        <v>CYB6_OENEH</v>
      </c>
      <c r="D8011" t="s">
        <v>6275</v>
      </c>
      <c r="E8011" s="3" t="s">
        <v>6276</v>
      </c>
      <c r="F8011" s="4">
        <v>1.5299999999999999E-138</v>
      </c>
      <c r="G8011" s="3">
        <v>1076</v>
      </c>
      <c r="H8011" s="3">
        <v>99</v>
      </c>
      <c r="I8011" s="3">
        <v>215</v>
      </c>
      <c r="J8011" s="3">
        <v>632</v>
      </c>
      <c r="K8011" s="3">
        <v>1276</v>
      </c>
      <c r="L8011" s="3">
        <v>1</v>
      </c>
      <c r="M8011" s="3">
        <v>215</v>
      </c>
    </row>
    <row r="8012" spans="1:13" x14ac:dyDescent="0.25">
      <c r="A8012" s="1" t="str">
        <f>HYPERLINK("http://www.rosaceae.org/Prunus/Prunus_persica/p.persica_gdr_reftransV1_0001403","p.persica_gdr_reftransV1_0001403")</f>
        <v>p.persica_gdr_reftransV1_0001403</v>
      </c>
      <c r="B8012" s="3">
        <v>871</v>
      </c>
      <c r="C8012" s="1" t="str">
        <f>HYPERLINK("http://www.uniprot.org/uniprot/RHIE_DICD3","RHIE_DICD3")</f>
        <v>RHIE_DICD3</v>
      </c>
      <c r="D8012" t="s">
        <v>5676</v>
      </c>
      <c r="E8012" s="3" t="s">
        <v>5677</v>
      </c>
      <c r="F8012" s="4">
        <v>3.04E-12</v>
      </c>
      <c r="G8012" s="3">
        <v>170</v>
      </c>
      <c r="H8012" s="3">
        <v>25</v>
      </c>
      <c r="I8012" s="3">
        <v>283</v>
      </c>
      <c r="J8012" s="3">
        <v>23</v>
      </c>
      <c r="K8012" s="3">
        <v>856</v>
      </c>
      <c r="L8012" s="3">
        <v>39</v>
      </c>
      <c r="M8012" s="3">
        <v>286</v>
      </c>
    </row>
    <row r="8013" spans="1:13" x14ac:dyDescent="0.25">
      <c r="A8013" s="1" t="str">
        <f>HYPERLINK("http://www.rosaceae.org/Prunus/Prunus_persica/p.persica_gdr_reftransV1_0001453","p.persica_gdr_reftransV1_0001453")</f>
        <v>p.persica_gdr_reftransV1_0001453</v>
      </c>
      <c r="B8013" s="3">
        <v>1151</v>
      </c>
      <c r="C8013" s="1" t="str">
        <f>HYPERLINK("http://www.uniprot.org/uniprot/BAG2_ARATH","BAG2_ARATH")</f>
        <v>BAG2_ARATH</v>
      </c>
      <c r="D8013" t="s">
        <v>6277</v>
      </c>
      <c r="E8013" s="3" t="s">
        <v>3</v>
      </c>
      <c r="F8013" s="4">
        <v>7.0799999999999999E-60</v>
      </c>
      <c r="G8013" s="3">
        <v>512</v>
      </c>
      <c r="H8013" s="3">
        <v>40</v>
      </c>
      <c r="I8013" s="3">
        <v>280</v>
      </c>
      <c r="J8013" s="3">
        <v>180</v>
      </c>
      <c r="K8013" s="3">
        <v>887</v>
      </c>
      <c r="L8013" s="3">
        <v>8</v>
      </c>
      <c r="M8013" s="3">
        <v>285</v>
      </c>
    </row>
    <row r="8014" spans="1:13" x14ac:dyDescent="0.25">
      <c r="A8014" s="1" t="str">
        <f>HYPERLINK("http://www.rosaceae.org/Prunus/Prunus_persica/p.persica_gdr_reftransV1_0001553","p.persica_gdr_reftransV1_0001553")</f>
        <v>p.persica_gdr_reftransV1_0001553</v>
      </c>
      <c r="B8014" s="3">
        <v>2161</v>
      </c>
      <c r="C8014" s="1" t="str">
        <f>HYPERLINK("http://www.uniprot.org/uniprot/SEL10_CAEBR","SEL10_CAEBR")</f>
        <v>SEL10_CAEBR</v>
      </c>
      <c r="D8014" t="s">
        <v>6278</v>
      </c>
      <c r="E8014" s="3" t="s">
        <v>5505</v>
      </c>
      <c r="F8014" s="4">
        <v>7.8000000000000001E-20</v>
      </c>
      <c r="G8014" s="3">
        <v>242</v>
      </c>
      <c r="H8014" s="3">
        <v>34</v>
      </c>
      <c r="I8014" s="3">
        <v>235</v>
      </c>
      <c r="J8014" s="3">
        <v>847</v>
      </c>
      <c r="K8014" s="3">
        <v>1548</v>
      </c>
      <c r="L8014" s="3">
        <v>260</v>
      </c>
      <c r="M8014" s="3">
        <v>469</v>
      </c>
    </row>
    <row r="8015" spans="1:13" x14ac:dyDescent="0.25">
      <c r="A8015" s="1" t="str">
        <f>HYPERLINK("http://www.rosaceae.org/Prunus/Prunus_persica/p.persica_gdr_reftransV1_0001653","p.persica_gdr_reftransV1_0001653")</f>
        <v>p.persica_gdr_reftransV1_0001653</v>
      </c>
      <c r="B8015" s="3">
        <v>688</v>
      </c>
      <c r="C8015" s="1" t="str">
        <f>HYPERLINK("http://www.uniprot.org/uniprot/UGPI7_ARATH","UGPI7_ARATH")</f>
        <v>UGPI7_ARATH</v>
      </c>
      <c r="D8015" t="s">
        <v>576</v>
      </c>
      <c r="E8015" s="3" t="s">
        <v>3</v>
      </c>
      <c r="F8015" s="4">
        <v>1.7E-66</v>
      </c>
      <c r="G8015" s="3">
        <v>544</v>
      </c>
      <c r="H8015" s="3">
        <v>80</v>
      </c>
      <c r="I8015" s="3">
        <v>133</v>
      </c>
      <c r="J8015" s="3">
        <v>3</v>
      </c>
      <c r="K8015" s="3">
        <v>395</v>
      </c>
      <c r="L8015" s="3">
        <v>152</v>
      </c>
      <c r="M8015" s="3">
        <v>278</v>
      </c>
    </row>
    <row r="8016" spans="1:13" x14ac:dyDescent="0.25">
      <c r="A8016" s="1" t="str">
        <f>HYPERLINK("http://www.rosaceae.org/Prunus/Prunus_persica/p.persica_gdr_reftransV1_0001703","p.persica_gdr_reftransV1_0001703")</f>
        <v>p.persica_gdr_reftransV1_0001703</v>
      </c>
      <c r="B8016" s="3">
        <v>2811</v>
      </c>
      <c r="C8016" s="1" t="str">
        <f>HYPERLINK("http://www.uniprot.org/uniprot/BHLHW_PEA","BHLHW_PEA")</f>
        <v>BHLHW_PEA</v>
      </c>
      <c r="D8016" t="s">
        <v>4114</v>
      </c>
      <c r="E8016" s="3" t="s">
        <v>60</v>
      </c>
      <c r="F8016" s="4">
        <v>0</v>
      </c>
      <c r="G8016" s="3">
        <v>1979</v>
      </c>
      <c r="H8016" s="3">
        <v>61</v>
      </c>
      <c r="I8016" s="3">
        <v>716</v>
      </c>
      <c r="J8016" s="3">
        <v>93</v>
      </c>
      <c r="K8016" s="3">
        <v>2201</v>
      </c>
      <c r="L8016" s="3">
        <v>1</v>
      </c>
      <c r="M8016" s="3">
        <v>651</v>
      </c>
    </row>
    <row r="8017" spans="1:13" x14ac:dyDescent="0.25">
      <c r="A8017" s="1" t="str">
        <f>HYPERLINK("http://www.rosaceae.org/Prunus/Prunus_persica/p.persica_gdr_reftransV1_0001753","p.persica_gdr_reftransV1_0001753")</f>
        <v>p.persica_gdr_reftransV1_0001753</v>
      </c>
      <c r="B8017" s="3">
        <v>469</v>
      </c>
      <c r="C8017" s="1" t="str">
        <f>HYPERLINK("http://www.uniprot.org/uniprot/ECM33_ASPFU","ECM33_ASPFU")</f>
        <v>ECM33_ASPFU</v>
      </c>
      <c r="D8017" t="s">
        <v>4892</v>
      </c>
      <c r="E8017" s="3" t="s">
        <v>4665</v>
      </c>
      <c r="F8017" s="4">
        <v>4.8299999999999999E-10</v>
      </c>
      <c r="G8017" s="3">
        <v>145</v>
      </c>
      <c r="H8017" s="3">
        <v>33</v>
      </c>
      <c r="I8017" s="3">
        <v>127</v>
      </c>
      <c r="J8017" s="3">
        <v>21</v>
      </c>
      <c r="K8017" s="3">
        <v>398</v>
      </c>
      <c r="L8017" s="3">
        <v>119</v>
      </c>
      <c r="M8017" s="3">
        <v>242</v>
      </c>
    </row>
    <row r="8018" spans="1:13" x14ac:dyDescent="0.25">
      <c r="A8018" s="1" t="str">
        <f>HYPERLINK("http://www.rosaceae.org/Prunus/Prunus_persica/p.persica_gdr_reftransV1_0001903","p.persica_gdr_reftransV1_0001903")</f>
        <v>p.persica_gdr_reftransV1_0001903</v>
      </c>
      <c r="B8018" s="3">
        <v>2273</v>
      </c>
      <c r="C8018" s="1" t="str">
        <f>HYPERLINK("http://www.uniprot.org/uniprot/PTR14_ARATH","PTR14_ARATH")</f>
        <v>PTR14_ARATH</v>
      </c>
      <c r="D8018" t="s">
        <v>1623</v>
      </c>
      <c r="E8018" s="3" t="s">
        <v>3</v>
      </c>
      <c r="F8018" s="4">
        <v>0</v>
      </c>
      <c r="G8018" s="3">
        <v>2163</v>
      </c>
      <c r="H8018" s="3">
        <v>71</v>
      </c>
      <c r="I8018" s="3">
        <v>595</v>
      </c>
      <c r="J8018" s="3">
        <v>405</v>
      </c>
      <c r="K8018" s="3">
        <v>2168</v>
      </c>
      <c r="L8018" s="3">
        <v>1</v>
      </c>
      <c r="M8018" s="3">
        <v>589</v>
      </c>
    </row>
    <row r="8019" spans="1:13" x14ac:dyDescent="0.25">
      <c r="A8019" s="1" t="str">
        <f>HYPERLINK("http://www.rosaceae.org/Prunus/Prunus_persica/p.persica_gdr_reftransV1_0001953","p.persica_gdr_reftransV1_0001953")</f>
        <v>p.persica_gdr_reftransV1_0001953</v>
      </c>
      <c r="B8019" s="3">
        <v>1735</v>
      </c>
      <c r="C8019" s="1" t="str">
        <f>HYPERLINK("http://www.uniprot.org/uniprot/LAZ1_ARATH","LAZ1_ARATH")</f>
        <v>LAZ1_ARATH</v>
      </c>
      <c r="D8019" t="s">
        <v>676</v>
      </c>
      <c r="E8019" s="3" t="s">
        <v>3</v>
      </c>
      <c r="F8019" s="4">
        <v>1.6700000000000001E-178</v>
      </c>
      <c r="G8019" s="3">
        <v>1340</v>
      </c>
      <c r="H8019" s="3">
        <v>78</v>
      </c>
      <c r="I8019" s="3">
        <v>352</v>
      </c>
      <c r="J8019" s="3">
        <v>415</v>
      </c>
      <c r="K8019" s="3">
        <v>1431</v>
      </c>
      <c r="L8019" s="3">
        <v>135</v>
      </c>
      <c r="M8019" s="3">
        <v>485</v>
      </c>
    </row>
    <row r="8020" spans="1:13" x14ac:dyDescent="0.25">
      <c r="A8020" s="1" t="str">
        <f>HYPERLINK("http://www.rosaceae.org/Prunus/Prunus_persica/p.persica_gdr_reftransV1_0002003","p.persica_gdr_reftransV1_0002003")</f>
        <v>p.persica_gdr_reftransV1_0002003</v>
      </c>
      <c r="B8020" s="3">
        <v>3114</v>
      </c>
      <c r="C8020" s="1" t="str">
        <f>HYPERLINK("http://www.uniprot.org/uniprot/SIZ1_ARATH","SIZ1_ARATH")</f>
        <v>SIZ1_ARATH</v>
      </c>
      <c r="D8020" t="s">
        <v>2178</v>
      </c>
      <c r="E8020" s="3" t="s">
        <v>3</v>
      </c>
      <c r="F8020" s="4">
        <v>0</v>
      </c>
      <c r="G8020" s="3">
        <v>1782</v>
      </c>
      <c r="H8020" s="3">
        <v>64</v>
      </c>
      <c r="I8020" s="3">
        <v>578</v>
      </c>
      <c r="J8020" s="3">
        <v>1082</v>
      </c>
      <c r="K8020" s="3">
        <v>2800</v>
      </c>
      <c r="L8020" s="3">
        <v>292</v>
      </c>
      <c r="M8020" s="3">
        <v>859</v>
      </c>
    </row>
    <row r="8021" spans="1:13" x14ac:dyDescent="0.25">
      <c r="A8021" s="1" t="str">
        <f>HYPERLINK("http://www.rosaceae.org/Prunus/Prunus_persica/p.persica_gdr_reftransV1_0002053","p.persica_gdr_reftransV1_0002053")</f>
        <v>p.persica_gdr_reftransV1_0002053</v>
      </c>
      <c r="B8021" s="3">
        <v>747</v>
      </c>
      <c r="C8021" s="1" t="str">
        <f>HYPERLINK("http://www.uniprot.org/uniprot/XXT2_ARATH","XXT2_ARATH")</f>
        <v>XXT2_ARATH</v>
      </c>
      <c r="D8021" t="s">
        <v>6279</v>
      </c>
      <c r="E8021" s="3" t="s">
        <v>3</v>
      </c>
      <c r="F8021" s="4">
        <v>8.9699999999999996E-83</v>
      </c>
      <c r="G8021" s="3">
        <v>667</v>
      </c>
      <c r="H8021" s="3">
        <v>74</v>
      </c>
      <c r="I8021" s="3">
        <v>187</v>
      </c>
      <c r="J8021" s="3">
        <v>3</v>
      </c>
      <c r="K8021" s="3">
        <v>530</v>
      </c>
      <c r="L8021" s="3">
        <v>1</v>
      </c>
      <c r="M8021" s="3">
        <v>187</v>
      </c>
    </row>
    <row r="8022" spans="1:13" x14ac:dyDescent="0.25">
      <c r="A8022" s="1" t="str">
        <f>HYPERLINK("http://www.rosaceae.org/Prunus/Prunus_persica/p.persica_gdr_reftransV1_0002103","p.persica_gdr_reftransV1_0002103")</f>
        <v>p.persica_gdr_reftransV1_0002103</v>
      </c>
      <c r="B8022" s="3">
        <v>2016</v>
      </c>
      <c r="C8022" s="1" t="str">
        <f>HYPERLINK("http://www.uniprot.org/uniprot/idD10_ARATH","idD10_ARATH")</f>
        <v>idD10_ARATH</v>
      </c>
      <c r="D8022" t="s">
        <v>6280</v>
      </c>
      <c r="E8022" s="3" t="s">
        <v>3</v>
      </c>
      <c r="F8022" s="4">
        <v>5.7600000000000001E-98</v>
      </c>
      <c r="G8022" s="3">
        <v>811</v>
      </c>
      <c r="H8022" s="3">
        <v>68</v>
      </c>
      <c r="I8022" s="3">
        <v>272</v>
      </c>
      <c r="J8022" s="3">
        <v>269</v>
      </c>
      <c r="K8022" s="3">
        <v>1015</v>
      </c>
      <c r="L8022" s="3">
        <v>1</v>
      </c>
      <c r="M8022" s="3">
        <v>271</v>
      </c>
    </row>
    <row r="8023" spans="1:13" x14ac:dyDescent="0.25">
      <c r="A8023" s="1" t="str">
        <f>HYPERLINK("http://www.rosaceae.org/Prunus/Prunus_persica/p.persica_gdr_reftransV1_0002553","p.persica_gdr_reftransV1_0002553")</f>
        <v>p.persica_gdr_reftransV1_0002553</v>
      </c>
      <c r="B8023" s="3">
        <v>329</v>
      </c>
      <c r="C8023" s="1" t="str">
        <f>HYPERLINK("http://www.uniprot.org/uniprot/TMVRN_NICGU","TMVRN_NICGU")</f>
        <v>TMVRN_NICGU</v>
      </c>
      <c r="D8023" t="s">
        <v>151</v>
      </c>
      <c r="E8023" s="3" t="s">
        <v>152</v>
      </c>
      <c r="F8023" s="4">
        <v>1.2299999999999999E-19</v>
      </c>
      <c r="G8023" s="3">
        <v>218</v>
      </c>
      <c r="H8023" s="3">
        <v>44</v>
      </c>
      <c r="I8023" s="3">
        <v>98</v>
      </c>
      <c r="J8023" s="3">
        <v>26</v>
      </c>
      <c r="K8023" s="3">
        <v>316</v>
      </c>
      <c r="L8023" s="3">
        <v>417</v>
      </c>
      <c r="M8023" s="3">
        <v>512</v>
      </c>
    </row>
    <row r="8024" spans="1:13" x14ac:dyDescent="0.25">
      <c r="A8024" s="1" t="str">
        <f>HYPERLINK("http://www.rosaceae.org/Prunus/Prunus_persica/p.persica_gdr_reftransV1_0002703","p.persica_gdr_reftransV1_0002703")</f>
        <v>p.persica_gdr_reftransV1_0002703</v>
      </c>
      <c r="B8024" s="3">
        <v>677</v>
      </c>
      <c r="C8024" s="1" t="str">
        <f>HYPERLINK("http://www.uniprot.org/uniprot/Y1181_ARATH","Y1181_ARATH")</f>
        <v>Y1181_ARATH</v>
      </c>
      <c r="D8024" t="s">
        <v>6281</v>
      </c>
      <c r="E8024" s="3" t="s">
        <v>3</v>
      </c>
      <c r="F8024" s="4">
        <v>1.83E-119</v>
      </c>
      <c r="G8024" s="3">
        <v>928</v>
      </c>
      <c r="H8024" s="3">
        <v>83</v>
      </c>
      <c r="I8024" s="3">
        <v>200</v>
      </c>
      <c r="J8024" s="3">
        <v>76</v>
      </c>
      <c r="K8024" s="3">
        <v>675</v>
      </c>
      <c r="L8024" s="3">
        <v>265</v>
      </c>
      <c r="M8024" s="3">
        <v>464</v>
      </c>
    </row>
    <row r="8025" spans="1:13" x14ac:dyDescent="0.25">
      <c r="A8025" s="1" t="str">
        <f>HYPERLINK("http://www.rosaceae.org/Prunus/Prunus_persica/p.persica_gdr_reftransV1_0002853","p.persica_gdr_reftransV1_0002853")</f>
        <v>p.persica_gdr_reftransV1_0002853</v>
      </c>
      <c r="B8025" s="3">
        <v>1496</v>
      </c>
      <c r="C8025" s="1" t="str">
        <f>HYPERLINK("http://www.uniprot.org/uniprot/PKS5_RUBid","PKS5_RUBid")</f>
        <v>PKS5_RUBid</v>
      </c>
      <c r="D8025" t="s">
        <v>3404</v>
      </c>
      <c r="E8025" s="3" t="s">
        <v>1545</v>
      </c>
      <c r="F8025" s="4">
        <v>0</v>
      </c>
      <c r="G8025" s="3">
        <v>1987</v>
      </c>
      <c r="H8025" s="3">
        <v>94</v>
      </c>
      <c r="I8025" s="3">
        <v>391</v>
      </c>
      <c r="J8025" s="3">
        <v>81</v>
      </c>
      <c r="K8025" s="3">
        <v>1253</v>
      </c>
      <c r="L8025" s="3">
        <v>1</v>
      </c>
      <c r="M8025" s="3">
        <v>391</v>
      </c>
    </row>
    <row r="8026" spans="1:13" x14ac:dyDescent="0.25">
      <c r="A8026" s="1" t="str">
        <f>HYPERLINK("http://www.rosaceae.org/Prunus/Prunus_persica/p.persica_gdr_reftransV1_0002903","p.persica_gdr_reftransV1_0002903")</f>
        <v>p.persica_gdr_reftransV1_0002903</v>
      </c>
      <c r="B8026" s="3">
        <v>4008</v>
      </c>
      <c r="C8026" s="1" t="str">
        <f>HYPERLINK("http://www.uniprot.org/uniprot/ALY3_ARATH","ALY3_ARATH")</f>
        <v>ALY3_ARATH</v>
      </c>
      <c r="D8026" t="s">
        <v>4549</v>
      </c>
      <c r="E8026" s="3" t="s">
        <v>3</v>
      </c>
      <c r="F8026" s="4">
        <v>0</v>
      </c>
      <c r="G8026" s="3">
        <v>2041</v>
      </c>
      <c r="H8026" s="3">
        <v>44</v>
      </c>
      <c r="I8026" s="3">
        <v>1174</v>
      </c>
      <c r="J8026" s="3">
        <v>405</v>
      </c>
      <c r="K8026" s="3">
        <v>3791</v>
      </c>
      <c r="L8026" s="3">
        <v>39</v>
      </c>
      <c r="M8026" s="3">
        <v>1132</v>
      </c>
    </row>
    <row r="8027" spans="1:13" x14ac:dyDescent="0.25">
      <c r="A8027" s="1" t="str">
        <f>HYPERLINK("http://www.rosaceae.org/Prunus/Prunus_persica/p.persica_gdr_reftransV1_0002953","p.persica_gdr_reftransV1_0002953")</f>
        <v>p.persica_gdr_reftransV1_0002953</v>
      </c>
      <c r="B8027" s="3">
        <v>1709</v>
      </c>
      <c r="C8027" s="1" t="str">
        <f>HYPERLINK("http://www.uniprot.org/uniprot/INDA1_HYPAT","INDA1_HYPAT")</f>
        <v>INDA1_HYPAT</v>
      </c>
      <c r="D8027" t="s">
        <v>6282</v>
      </c>
      <c r="E8027" s="3" t="s">
        <v>6283</v>
      </c>
      <c r="F8027" s="4">
        <v>0</v>
      </c>
      <c r="G8027" s="3">
        <v>1631</v>
      </c>
      <c r="H8027" s="3">
        <v>67</v>
      </c>
      <c r="I8027" s="3">
        <v>532</v>
      </c>
      <c r="J8027" s="3">
        <v>1</v>
      </c>
      <c r="K8027" s="3">
        <v>1590</v>
      </c>
      <c r="L8027" s="3">
        <v>1</v>
      </c>
      <c r="M8027" s="3">
        <v>529</v>
      </c>
    </row>
    <row r="8028" spans="1:13" x14ac:dyDescent="0.25">
      <c r="A8028" s="1" t="str">
        <f>HYPERLINK("http://www.rosaceae.org/Prunus/Prunus_persica/p.persica_gdr_reftransV1_0003053","p.persica_gdr_reftransV1_0003053")</f>
        <v>p.persica_gdr_reftransV1_0003053</v>
      </c>
      <c r="B8028" s="3">
        <v>1589</v>
      </c>
      <c r="C8028" s="1" t="str">
        <f>HYPERLINK("http://www.uniprot.org/uniprot/R13L1_ARATH","R13L1_ARATH")</f>
        <v>R13L1_ARATH</v>
      </c>
      <c r="D8028" t="s">
        <v>100</v>
      </c>
      <c r="E8028" s="3" t="s">
        <v>3</v>
      </c>
      <c r="F8028" s="4">
        <v>7.0100000000000001E-158</v>
      </c>
      <c r="G8028" s="3">
        <v>1246</v>
      </c>
      <c r="H8028" s="3">
        <v>50</v>
      </c>
      <c r="I8028" s="3">
        <v>536</v>
      </c>
      <c r="J8028" s="3">
        <v>1</v>
      </c>
      <c r="K8028" s="3">
        <v>1587</v>
      </c>
      <c r="L8028" s="3">
        <v>196</v>
      </c>
      <c r="M8028" s="3">
        <v>701</v>
      </c>
    </row>
    <row r="8029" spans="1:13" x14ac:dyDescent="0.25">
      <c r="A8029" s="1" t="str">
        <f>HYPERLINK("http://www.rosaceae.org/Prunus/Prunus_persica/p.persica_gdr_reftransV1_0003153","p.persica_gdr_reftransV1_0003153")</f>
        <v>p.persica_gdr_reftransV1_0003153</v>
      </c>
      <c r="B8029" s="3">
        <v>1817</v>
      </c>
      <c r="C8029" s="1" t="str">
        <f>HYPERLINK("http://www.uniprot.org/uniprot/SUOX_ARATH","SUOX_ARATH")</f>
        <v>SUOX_ARATH</v>
      </c>
      <c r="D8029" t="s">
        <v>5502</v>
      </c>
      <c r="E8029" s="3" t="s">
        <v>3</v>
      </c>
      <c r="F8029" s="4">
        <v>0</v>
      </c>
      <c r="G8029" s="3">
        <v>1815</v>
      </c>
      <c r="H8029" s="3">
        <v>83</v>
      </c>
      <c r="I8029" s="3">
        <v>393</v>
      </c>
      <c r="J8029" s="3">
        <v>416</v>
      </c>
      <c r="K8029" s="3">
        <v>1594</v>
      </c>
      <c r="L8029" s="3">
        <v>1</v>
      </c>
      <c r="M8029" s="3">
        <v>393</v>
      </c>
    </row>
    <row r="8030" spans="1:13" x14ac:dyDescent="0.25">
      <c r="A8030" s="1" t="str">
        <f>HYPERLINK("http://www.rosaceae.org/Prunus/Prunus_persica/p.persica_gdr_reftransV1_0003203","p.persica_gdr_reftransV1_0003203")</f>
        <v>p.persica_gdr_reftransV1_0003203</v>
      </c>
      <c r="B8030" s="3">
        <v>701</v>
      </c>
      <c r="C8030" s="1" t="str">
        <f>HYPERLINK("http://www.uniprot.org/uniprot/WRK70_ARATH","WRK70_ARATH")</f>
        <v>WRK70_ARATH</v>
      </c>
      <c r="D8030" t="s">
        <v>6284</v>
      </c>
      <c r="E8030" s="3" t="s">
        <v>3</v>
      </c>
      <c r="F8030" s="4">
        <v>1.07E-23</v>
      </c>
      <c r="G8030" s="3">
        <v>250</v>
      </c>
      <c r="H8030" s="3">
        <v>56</v>
      </c>
      <c r="I8030" s="3">
        <v>82</v>
      </c>
      <c r="J8030" s="3">
        <v>5</v>
      </c>
      <c r="K8030" s="3">
        <v>250</v>
      </c>
      <c r="L8030" s="3">
        <v>99</v>
      </c>
      <c r="M8030" s="3">
        <v>179</v>
      </c>
    </row>
    <row r="8031" spans="1:13" x14ac:dyDescent="0.25">
      <c r="A8031" s="1" t="str">
        <f>HYPERLINK("http://www.rosaceae.org/Prunus/Prunus_persica/p.persica_gdr_reftransV1_0003303","p.persica_gdr_reftransV1_0003303")</f>
        <v>p.persica_gdr_reftransV1_0003303</v>
      </c>
      <c r="B8031" s="3">
        <v>3379</v>
      </c>
      <c r="C8031" s="1" t="str">
        <f>HYPERLINK("http://www.uniprot.org/uniprot/GOGC6_ARATH","GOGC6_ARATH")</f>
        <v>GOGC6_ARATH</v>
      </c>
      <c r="D8031" t="s">
        <v>6285</v>
      </c>
      <c r="E8031" s="3" t="s">
        <v>3</v>
      </c>
      <c r="F8031" s="4">
        <v>0</v>
      </c>
      <c r="G8031" s="3">
        <v>1598</v>
      </c>
      <c r="H8031" s="3">
        <v>64</v>
      </c>
      <c r="I8031" s="3">
        <v>510</v>
      </c>
      <c r="J8031" s="3">
        <v>1574</v>
      </c>
      <c r="K8031" s="3">
        <v>3091</v>
      </c>
      <c r="L8031" s="3">
        <v>394</v>
      </c>
      <c r="M8031" s="3">
        <v>903</v>
      </c>
    </row>
    <row r="8032" spans="1:13" x14ac:dyDescent="0.25">
      <c r="A8032" s="1" t="str">
        <f>HYPERLINK("http://www.rosaceae.org/Prunus/Prunus_persica/p.persica_gdr_reftransV1_0003403","p.persica_gdr_reftransV1_0003403")</f>
        <v>p.persica_gdr_reftransV1_0003403</v>
      </c>
      <c r="B8032" s="3">
        <v>1681</v>
      </c>
      <c r="C8032" s="1" t="str">
        <f>HYPERLINK("http://www.uniprot.org/uniprot/AB20G_ARATH","AB20G_ARATH")</f>
        <v>AB20G_ARATH</v>
      </c>
      <c r="D8032" t="s">
        <v>6286</v>
      </c>
      <c r="E8032" s="3" t="s">
        <v>3</v>
      </c>
      <c r="F8032" s="4">
        <v>0</v>
      </c>
      <c r="G8032" s="3">
        <v>1669</v>
      </c>
      <c r="H8032" s="3">
        <v>74</v>
      </c>
      <c r="I8032" s="3">
        <v>511</v>
      </c>
      <c r="J8032" s="3">
        <v>2</v>
      </c>
      <c r="K8032" s="3">
        <v>1519</v>
      </c>
      <c r="L8032" s="3">
        <v>41</v>
      </c>
      <c r="M8032" s="3">
        <v>533</v>
      </c>
    </row>
    <row r="8033" spans="1:13" x14ac:dyDescent="0.25">
      <c r="A8033" s="1" t="str">
        <f>HYPERLINK("http://www.rosaceae.org/Prunus/Prunus_persica/p.persica_gdr_reftransV1_0003453","p.persica_gdr_reftransV1_0003453")</f>
        <v>p.persica_gdr_reftransV1_0003453</v>
      </c>
      <c r="B8033" s="3">
        <v>2449</v>
      </c>
      <c r="C8033" s="1" t="str">
        <f>HYPERLINK("http://www.uniprot.org/uniprot/CIPKB_ARATH","CIPKB_ARATH")</f>
        <v>CIPKB_ARATH</v>
      </c>
      <c r="D8033" t="s">
        <v>4311</v>
      </c>
      <c r="E8033" s="3" t="s">
        <v>3</v>
      </c>
      <c r="F8033" s="4">
        <v>0</v>
      </c>
      <c r="G8033" s="3">
        <v>1533</v>
      </c>
      <c r="H8033" s="3">
        <v>70</v>
      </c>
      <c r="I8033" s="3">
        <v>415</v>
      </c>
      <c r="J8033" s="3">
        <v>758</v>
      </c>
      <c r="K8033" s="3">
        <v>1990</v>
      </c>
      <c r="L8033" s="3">
        <v>14</v>
      </c>
      <c r="M8033" s="3">
        <v>422</v>
      </c>
    </row>
    <row r="8034" spans="1:13" x14ac:dyDescent="0.25">
      <c r="A8034" s="1" t="str">
        <f>HYPERLINK("http://www.rosaceae.org/Prunus/Prunus_persica/p.persica_gdr_reftransV1_0003503","p.persica_gdr_reftransV1_0003503")</f>
        <v>p.persica_gdr_reftransV1_0003503</v>
      </c>
      <c r="B8034" s="3">
        <v>5810</v>
      </c>
      <c r="C8034" s="1" t="str">
        <f>HYPERLINK("http://www.uniprot.org/uniprot/CALSC_ARATH","CALSC_ARATH")</f>
        <v>CALSC_ARATH</v>
      </c>
      <c r="D8034" t="s">
        <v>6287</v>
      </c>
      <c r="E8034" s="3" t="s">
        <v>3</v>
      </c>
      <c r="F8034" s="4">
        <v>0</v>
      </c>
      <c r="G8034" s="3">
        <v>6916</v>
      </c>
      <c r="H8034" s="3">
        <v>75</v>
      </c>
      <c r="I8034" s="3">
        <v>1768</v>
      </c>
      <c r="J8034" s="3">
        <v>373</v>
      </c>
      <c r="K8034" s="3">
        <v>5616</v>
      </c>
      <c r="L8034" s="3">
        <v>24</v>
      </c>
      <c r="M8034" s="3">
        <v>1779</v>
      </c>
    </row>
    <row r="8035" spans="1:13" x14ac:dyDescent="0.25">
      <c r="A8035" s="1" t="str">
        <f>HYPERLINK("http://www.rosaceae.org/Prunus/Prunus_persica/p.persica_gdr_reftransV1_0003603","p.persica_gdr_reftransV1_0003603")</f>
        <v>p.persica_gdr_reftransV1_0003603</v>
      </c>
      <c r="B8035" s="3">
        <v>2438</v>
      </c>
      <c r="C8035" s="1" t="str">
        <f>HYPERLINK("http://www.uniprot.org/uniprot/SC35_ARATH","SC35_ARATH")</f>
        <v>SC35_ARATH</v>
      </c>
      <c r="D8035" t="s">
        <v>821</v>
      </c>
      <c r="E8035" s="3" t="s">
        <v>3</v>
      </c>
      <c r="F8035" s="4">
        <v>1.34E-58</v>
      </c>
      <c r="G8035" s="3">
        <v>526</v>
      </c>
      <c r="H8035" s="3">
        <v>88</v>
      </c>
      <c r="I8035" s="3">
        <v>108</v>
      </c>
      <c r="J8035" s="3">
        <v>1681</v>
      </c>
      <c r="K8035" s="3">
        <v>2004</v>
      </c>
      <c r="L8035" s="3">
        <v>1</v>
      </c>
      <c r="M8035" s="3">
        <v>108</v>
      </c>
    </row>
    <row r="8036" spans="1:13" x14ac:dyDescent="0.25">
      <c r="A8036" s="1" t="str">
        <f>HYPERLINK("http://www.rosaceae.org/Prunus/Prunus_persica/p.persica_gdr_reftransV1_0003753","p.persica_gdr_reftransV1_0003753")</f>
        <v>p.persica_gdr_reftransV1_0003753</v>
      </c>
      <c r="B8036" s="3">
        <v>578</v>
      </c>
      <c r="C8036" s="1" t="str">
        <f>HYPERLINK("http://www.uniprot.org/uniprot/OLEE1_BETPN","OLEE1_BETPN")</f>
        <v>OLEE1_BETPN</v>
      </c>
      <c r="D8036" t="s">
        <v>6288</v>
      </c>
      <c r="E8036" s="3" t="s">
        <v>5635</v>
      </c>
      <c r="F8036" s="4">
        <v>5.3199999999999997E-43</v>
      </c>
      <c r="G8036" s="3">
        <v>372</v>
      </c>
      <c r="H8036" s="3">
        <v>48</v>
      </c>
      <c r="I8036" s="3">
        <v>160</v>
      </c>
      <c r="J8036" s="3">
        <v>50</v>
      </c>
      <c r="K8036" s="3">
        <v>514</v>
      </c>
      <c r="L8036" s="3">
        <v>1</v>
      </c>
      <c r="M8036" s="3">
        <v>157</v>
      </c>
    </row>
    <row r="8037" spans="1:13" x14ac:dyDescent="0.25">
      <c r="A8037" s="1" t="str">
        <f>HYPERLINK("http://www.rosaceae.org/Prunus/Prunus_persica/p.persica_gdr_reftransV1_0003853","p.persica_gdr_reftransV1_0003853")</f>
        <v>p.persica_gdr_reftransV1_0003853</v>
      </c>
      <c r="B8037" s="3">
        <v>629</v>
      </c>
      <c r="C8037" s="1" t="str">
        <f>HYPERLINK("http://www.uniprot.org/uniprot/LEGJ_PEA","LEGJ_PEA")</f>
        <v>LEGJ_PEA</v>
      </c>
      <c r="D8037" t="s">
        <v>6289</v>
      </c>
      <c r="E8037" s="3" t="s">
        <v>60</v>
      </c>
      <c r="F8037" s="4">
        <v>3.34E-41</v>
      </c>
      <c r="G8037" s="3">
        <v>381</v>
      </c>
      <c r="H8037" s="3">
        <v>46</v>
      </c>
      <c r="I8037" s="3">
        <v>163</v>
      </c>
      <c r="J8037" s="3">
        <v>4</v>
      </c>
      <c r="K8037" s="3">
        <v>492</v>
      </c>
      <c r="L8037" s="3">
        <v>27</v>
      </c>
      <c r="M8037" s="3">
        <v>169</v>
      </c>
    </row>
    <row r="8038" spans="1:13" x14ac:dyDescent="0.25">
      <c r="A8038" s="1" t="str">
        <f>HYPERLINK("http://www.rosaceae.org/Prunus/Prunus_persica/p.persica_gdr_reftransV1_0003903","p.persica_gdr_reftransV1_0003903")</f>
        <v>p.persica_gdr_reftransV1_0003903</v>
      </c>
      <c r="B8038" s="3">
        <v>4852</v>
      </c>
      <c r="C8038" s="1" t="str">
        <f>HYPERLINK("http://www.uniprot.org/uniprot/YG42_SCHPO","YG42_SCHPO")</f>
        <v>YG42_SCHPO</v>
      </c>
      <c r="D8038" t="s">
        <v>6290</v>
      </c>
      <c r="E8038" s="3" t="s">
        <v>464</v>
      </c>
      <c r="F8038" s="4">
        <v>4.7800000000000003E-89</v>
      </c>
      <c r="G8038" s="3">
        <v>817</v>
      </c>
      <c r="H8038" s="3">
        <v>30</v>
      </c>
      <c r="I8038" s="3">
        <v>822</v>
      </c>
      <c r="J8038" s="3">
        <v>2112</v>
      </c>
      <c r="K8038" s="3">
        <v>4496</v>
      </c>
      <c r="L8038" s="3">
        <v>366</v>
      </c>
      <c r="M8038" s="3">
        <v>1037</v>
      </c>
    </row>
    <row r="8039" spans="1:13" x14ac:dyDescent="0.25">
      <c r="A8039" s="1" t="str">
        <f>HYPERLINK("http://www.rosaceae.org/Prunus/Prunus_persica/p.persica_gdr_reftransV1_0003953","p.persica_gdr_reftransV1_0003953")</f>
        <v>p.persica_gdr_reftransV1_0003953</v>
      </c>
      <c r="B8039" s="3">
        <v>705</v>
      </c>
      <c r="C8039" s="1" t="str">
        <f>HYPERLINK("http://www.uniprot.org/uniprot/METL2_ARATH","METL2_ARATH")</f>
        <v>METL2_ARATH</v>
      </c>
      <c r="D8039" t="s">
        <v>6291</v>
      </c>
      <c r="E8039" s="3" t="s">
        <v>3</v>
      </c>
      <c r="F8039" s="4">
        <v>5.96E-80</v>
      </c>
      <c r="G8039" s="3">
        <v>643</v>
      </c>
      <c r="H8039" s="3">
        <v>68</v>
      </c>
      <c r="I8039" s="3">
        <v>191</v>
      </c>
      <c r="J8039" s="3">
        <v>139</v>
      </c>
      <c r="K8039" s="3">
        <v>705</v>
      </c>
      <c r="L8039" s="3">
        <v>147</v>
      </c>
      <c r="M8039" s="3">
        <v>329</v>
      </c>
    </row>
    <row r="8040" spans="1:13" x14ac:dyDescent="0.25">
      <c r="A8040" s="1" t="str">
        <f>HYPERLINK("http://www.rosaceae.org/Prunus/Prunus_persica/p.persica_gdr_reftransV1_0004003","p.persica_gdr_reftransV1_0004003")</f>
        <v>p.persica_gdr_reftransV1_0004003</v>
      </c>
      <c r="B8040" s="3">
        <v>2447</v>
      </c>
      <c r="C8040" s="1" t="str">
        <f>HYPERLINK("http://www.uniprot.org/uniprot/ANM6_ARATH","ANM6_ARATH")</f>
        <v>ANM6_ARATH</v>
      </c>
      <c r="D8040" t="s">
        <v>6292</v>
      </c>
      <c r="E8040" s="3" t="s">
        <v>3</v>
      </c>
      <c r="F8040" s="4">
        <v>0</v>
      </c>
      <c r="G8040" s="3">
        <v>1505</v>
      </c>
      <c r="H8040" s="3">
        <v>81</v>
      </c>
      <c r="I8040" s="3">
        <v>361</v>
      </c>
      <c r="J8040" s="3">
        <v>865</v>
      </c>
      <c r="K8040" s="3">
        <v>1935</v>
      </c>
      <c r="L8040" s="3">
        <v>75</v>
      </c>
      <c r="M8040" s="3">
        <v>435</v>
      </c>
    </row>
    <row r="8041" spans="1:13" x14ac:dyDescent="0.25">
      <c r="A8041" s="1" t="str">
        <f>HYPERLINK("http://www.rosaceae.org/Prunus/Prunus_persica/p.persica_gdr_reftransV1_0004053","p.persica_gdr_reftransV1_0004053")</f>
        <v>p.persica_gdr_reftransV1_0004053</v>
      </c>
      <c r="B8041" s="3">
        <v>1008</v>
      </c>
      <c r="C8041" s="1" t="str">
        <f>HYPERLINK("http://www.uniprot.org/uniprot/PP163_ARATH","PP163_ARATH")</f>
        <v>PP163_ARATH</v>
      </c>
      <c r="D8041" t="s">
        <v>6293</v>
      </c>
      <c r="E8041" s="3" t="s">
        <v>3</v>
      </c>
      <c r="F8041" s="4">
        <v>2.4500000000000002E-55</v>
      </c>
      <c r="G8041" s="3">
        <v>501</v>
      </c>
      <c r="H8041" s="3">
        <v>70</v>
      </c>
      <c r="I8041" s="3">
        <v>128</v>
      </c>
      <c r="J8041" s="3">
        <v>3</v>
      </c>
      <c r="K8041" s="3">
        <v>386</v>
      </c>
      <c r="L8041" s="3">
        <v>694</v>
      </c>
      <c r="M8041" s="3">
        <v>821</v>
      </c>
    </row>
    <row r="8042" spans="1:13" x14ac:dyDescent="0.25">
      <c r="A8042" s="1" t="str">
        <f>HYPERLINK("http://www.rosaceae.org/Prunus/Prunus_persica/p.persica_gdr_reftransV1_0004103","p.persica_gdr_reftransV1_0004103")</f>
        <v>p.persica_gdr_reftransV1_0004103</v>
      </c>
      <c r="B8042" s="3">
        <v>2180</v>
      </c>
      <c r="C8042" s="1" t="str">
        <f>HYPERLINK("http://www.uniprot.org/uniprot/AI5L5_ARATH","AI5L5_ARATH")</f>
        <v>AI5L5_ARATH</v>
      </c>
      <c r="D8042" t="s">
        <v>6294</v>
      </c>
      <c r="E8042" s="3" t="s">
        <v>3</v>
      </c>
      <c r="F8042" s="4">
        <v>4.1299999999999997E-79</v>
      </c>
      <c r="G8042" s="3">
        <v>678</v>
      </c>
      <c r="H8042" s="3">
        <v>50</v>
      </c>
      <c r="I8042" s="3">
        <v>471</v>
      </c>
      <c r="J8042" s="3">
        <v>567</v>
      </c>
      <c r="K8042" s="3">
        <v>1901</v>
      </c>
      <c r="L8042" s="3">
        <v>7</v>
      </c>
      <c r="M8042" s="3">
        <v>416</v>
      </c>
    </row>
    <row r="8043" spans="1:13" x14ac:dyDescent="0.25">
      <c r="A8043" s="1" t="str">
        <f>HYPERLINK("http://www.rosaceae.org/Prunus/Prunus_persica/p.persica_gdr_reftransV1_0004153","p.persica_gdr_reftransV1_0004153")</f>
        <v>p.persica_gdr_reftransV1_0004153</v>
      </c>
      <c r="B8043" s="3">
        <v>1841</v>
      </c>
      <c r="C8043" s="1" t="str">
        <f>HYPERLINK("http://www.uniprot.org/uniprot/ICR4_ARATH","ICR4_ARATH")</f>
        <v>ICR4_ARATH</v>
      </c>
      <c r="D8043" t="s">
        <v>6295</v>
      </c>
      <c r="E8043" s="3" t="s">
        <v>3</v>
      </c>
      <c r="F8043" s="4">
        <v>6.0000000000000002E-59</v>
      </c>
      <c r="G8043" s="3">
        <v>523</v>
      </c>
      <c r="H8043" s="3">
        <v>47</v>
      </c>
      <c r="I8043" s="3">
        <v>393</v>
      </c>
      <c r="J8043" s="3">
        <v>279</v>
      </c>
      <c r="K8043" s="3">
        <v>1427</v>
      </c>
      <c r="L8043" s="3">
        <v>4</v>
      </c>
      <c r="M8043" s="3">
        <v>324</v>
      </c>
    </row>
    <row r="8044" spans="1:13" x14ac:dyDescent="0.25">
      <c r="A8044" s="1" t="str">
        <f>HYPERLINK("http://www.rosaceae.org/Prunus/Prunus_persica/p.persica_gdr_reftransV1_0004203","p.persica_gdr_reftransV1_0004203")</f>
        <v>p.persica_gdr_reftransV1_0004203</v>
      </c>
      <c r="B8044" s="3">
        <v>1770</v>
      </c>
      <c r="C8044" s="1" t="str">
        <f>HYPERLINK("http://www.uniprot.org/uniprot/GUN24_ARATH","GUN24_ARATH")</f>
        <v>GUN24_ARATH</v>
      </c>
      <c r="D8044" t="s">
        <v>6296</v>
      </c>
      <c r="E8044" s="3" t="s">
        <v>3</v>
      </c>
      <c r="F8044" s="4">
        <v>0</v>
      </c>
      <c r="G8044" s="3">
        <v>1862</v>
      </c>
      <c r="H8044" s="3">
        <v>75</v>
      </c>
      <c r="I8044" s="3">
        <v>471</v>
      </c>
      <c r="J8044" s="3">
        <v>134</v>
      </c>
      <c r="K8044" s="3">
        <v>1543</v>
      </c>
      <c r="L8044" s="3">
        <v>24</v>
      </c>
      <c r="M8044" s="3">
        <v>494</v>
      </c>
    </row>
    <row r="8045" spans="1:13" x14ac:dyDescent="0.25">
      <c r="A8045" s="1" t="str">
        <f>HYPERLINK("http://www.rosaceae.org/Prunus/Prunus_persica/p.persica_gdr_reftransV1_0004253","p.persica_gdr_reftransV1_0004253")</f>
        <v>p.persica_gdr_reftransV1_0004253</v>
      </c>
      <c r="B8045" s="3">
        <v>3304</v>
      </c>
      <c r="C8045" s="1" t="str">
        <f>HYPERLINK("http://www.uniprot.org/uniprot/HMA7_ARATH","HMA7_ARATH")</f>
        <v>HMA7_ARATH</v>
      </c>
      <c r="D8045" t="s">
        <v>3508</v>
      </c>
      <c r="E8045" s="3" t="s">
        <v>3</v>
      </c>
      <c r="F8045" s="4">
        <v>0</v>
      </c>
      <c r="G8045" s="3">
        <v>3900</v>
      </c>
      <c r="H8045" s="3">
        <v>76</v>
      </c>
      <c r="I8045" s="3">
        <v>1013</v>
      </c>
      <c r="J8045" s="3">
        <v>14</v>
      </c>
      <c r="K8045" s="3">
        <v>3016</v>
      </c>
      <c r="L8045" s="3">
        <v>1</v>
      </c>
      <c r="M8045" s="3">
        <v>998</v>
      </c>
    </row>
    <row r="8046" spans="1:13" x14ac:dyDescent="0.25">
      <c r="A8046" s="1" t="str">
        <f>HYPERLINK("http://www.rosaceae.org/Prunus/Prunus_persica/p.persica_gdr_reftransV1_0004303","p.persica_gdr_reftransV1_0004303")</f>
        <v>p.persica_gdr_reftransV1_0004303</v>
      </c>
      <c r="B8046" s="3">
        <v>1269</v>
      </c>
      <c r="C8046" s="1" t="str">
        <f>HYPERLINK("http://www.uniprot.org/uniprot/AVT1_YEAST","AVT1_YEAST")</f>
        <v>AVT1_YEAST</v>
      </c>
      <c r="D8046" t="s">
        <v>80</v>
      </c>
      <c r="E8046" s="3" t="s">
        <v>34</v>
      </c>
      <c r="F8046" s="4">
        <v>5.5E-25</v>
      </c>
      <c r="G8046" s="3">
        <v>276</v>
      </c>
      <c r="H8046" s="3">
        <v>29</v>
      </c>
      <c r="I8046" s="3">
        <v>352</v>
      </c>
      <c r="J8046" s="3">
        <v>142</v>
      </c>
      <c r="K8046" s="3">
        <v>1119</v>
      </c>
      <c r="L8046" s="3">
        <v>258</v>
      </c>
      <c r="M8046" s="3">
        <v>601</v>
      </c>
    </row>
    <row r="8047" spans="1:13" x14ac:dyDescent="0.25">
      <c r="A8047" s="1" t="str">
        <f>HYPERLINK("http://www.rosaceae.org/Prunus/Prunus_persica/p.persica_gdr_reftransV1_0004403","p.persica_gdr_reftransV1_0004403")</f>
        <v>p.persica_gdr_reftransV1_0004403</v>
      </c>
      <c r="B8047" s="3">
        <v>1548</v>
      </c>
      <c r="C8047" s="1" t="str">
        <f>HYPERLINK("http://www.uniprot.org/uniprot/P2C04_ARATH","P2C04_ARATH")</f>
        <v>P2C04_ARATH</v>
      </c>
      <c r="D8047" t="s">
        <v>6297</v>
      </c>
      <c r="E8047" s="3" t="s">
        <v>3</v>
      </c>
      <c r="F8047" s="4">
        <v>2.4499999999999999E-171</v>
      </c>
      <c r="G8047" s="3">
        <v>1303</v>
      </c>
      <c r="H8047" s="3">
        <v>54</v>
      </c>
      <c r="I8047" s="3">
        <v>531</v>
      </c>
      <c r="J8047" s="3">
        <v>1</v>
      </c>
      <c r="K8047" s="3">
        <v>1548</v>
      </c>
      <c r="L8047" s="3">
        <v>113</v>
      </c>
      <c r="M8047" s="3">
        <v>593</v>
      </c>
    </row>
    <row r="8048" spans="1:13" x14ac:dyDescent="0.25">
      <c r="A8048" s="1" t="str">
        <f>HYPERLINK("http://www.rosaceae.org/Prunus/Prunus_persica/p.persica_gdr_reftransV1_0004453","p.persica_gdr_reftransV1_0004453")</f>
        <v>p.persica_gdr_reftransV1_0004453</v>
      </c>
      <c r="B8048" s="3">
        <v>715</v>
      </c>
      <c r="C8048" s="1" t="str">
        <f>HYPERLINK("http://www.uniprot.org/uniprot/PPR67_ARATH","PPR67_ARATH")</f>
        <v>PPR67_ARATH</v>
      </c>
      <c r="D8048" t="s">
        <v>608</v>
      </c>
      <c r="E8048" s="3" t="s">
        <v>3</v>
      </c>
      <c r="F8048" s="4">
        <v>3.7499999999999998E-47</v>
      </c>
      <c r="G8048" s="3">
        <v>433</v>
      </c>
      <c r="H8048" s="3">
        <v>51</v>
      </c>
      <c r="I8048" s="3">
        <v>170</v>
      </c>
      <c r="J8048" s="3">
        <v>203</v>
      </c>
      <c r="K8048" s="3">
        <v>706</v>
      </c>
      <c r="L8048" s="3">
        <v>669</v>
      </c>
      <c r="M8048" s="3">
        <v>836</v>
      </c>
    </row>
    <row r="8049" spans="1:13" x14ac:dyDescent="0.25">
      <c r="A8049" s="1" t="str">
        <f>HYPERLINK("http://www.rosaceae.org/Prunus/Prunus_persica/p.persica_gdr_reftransV1_0004553","p.persica_gdr_reftransV1_0004553")</f>
        <v>p.persica_gdr_reftransV1_0004553</v>
      </c>
      <c r="B8049" s="3">
        <v>1110</v>
      </c>
      <c r="C8049" s="1" t="str">
        <f>HYPERLINK("http://www.uniprot.org/uniprot/R13L1_ARATH","R13L1_ARATH")</f>
        <v>R13L1_ARATH</v>
      </c>
      <c r="D8049" t="s">
        <v>100</v>
      </c>
      <c r="E8049" s="3" t="s">
        <v>3</v>
      </c>
      <c r="F8049" s="4">
        <v>3.7000000000000001E-119</v>
      </c>
      <c r="G8049" s="3">
        <v>965</v>
      </c>
      <c r="H8049" s="3">
        <v>49</v>
      </c>
      <c r="I8049" s="3">
        <v>359</v>
      </c>
      <c r="J8049" s="3">
        <v>34</v>
      </c>
      <c r="K8049" s="3">
        <v>1104</v>
      </c>
      <c r="L8049" s="3">
        <v>159</v>
      </c>
      <c r="M8049" s="3">
        <v>514</v>
      </c>
    </row>
    <row r="8050" spans="1:13" x14ac:dyDescent="0.25">
      <c r="A8050" s="1" t="str">
        <f>HYPERLINK("http://www.rosaceae.org/Prunus/Prunus_persica/p.persica_gdr_reftransV1_0004603","p.persica_gdr_reftransV1_0004603")</f>
        <v>p.persica_gdr_reftransV1_0004603</v>
      </c>
      <c r="B8050" s="3">
        <v>1788</v>
      </c>
      <c r="C8050" s="1" t="str">
        <f>HYPERLINK("http://www.uniprot.org/uniprot/U2A2B_ARATH","U2A2B_ARATH")</f>
        <v>U2A2B_ARATH</v>
      </c>
      <c r="D8050" t="s">
        <v>1930</v>
      </c>
      <c r="E8050" s="3" t="s">
        <v>3</v>
      </c>
      <c r="F8050" s="4">
        <v>0</v>
      </c>
      <c r="G8050" s="3">
        <v>1389</v>
      </c>
      <c r="H8050" s="3">
        <v>67</v>
      </c>
      <c r="I8050" s="3">
        <v>400</v>
      </c>
      <c r="J8050" s="3">
        <v>283</v>
      </c>
      <c r="K8050" s="3">
        <v>1470</v>
      </c>
      <c r="L8050" s="3">
        <v>208</v>
      </c>
      <c r="M8050" s="3">
        <v>587</v>
      </c>
    </row>
    <row r="8051" spans="1:13" x14ac:dyDescent="0.25">
      <c r="A8051" s="1" t="str">
        <f>HYPERLINK("http://www.rosaceae.org/Prunus/Prunus_persica/p.persica_gdr_reftransV1_0004653","p.persica_gdr_reftransV1_0004653")</f>
        <v>p.persica_gdr_reftransV1_0004653</v>
      </c>
      <c r="B8051" s="3">
        <v>2061</v>
      </c>
      <c r="C8051" s="1" t="str">
        <f>HYPERLINK("http://www.uniprot.org/uniprot/ATK4_ARATH","ATK4_ARATH")</f>
        <v>ATK4_ARATH</v>
      </c>
      <c r="D8051" t="s">
        <v>3593</v>
      </c>
      <c r="E8051" s="3" t="s">
        <v>3</v>
      </c>
      <c r="F8051" s="4">
        <v>9.1999999999999993E-93</v>
      </c>
      <c r="G8051" s="3">
        <v>807</v>
      </c>
      <c r="H8051" s="3">
        <v>51</v>
      </c>
      <c r="I8051" s="3">
        <v>333</v>
      </c>
      <c r="J8051" s="3">
        <v>52</v>
      </c>
      <c r="K8051" s="3">
        <v>1026</v>
      </c>
      <c r="L8051" s="3">
        <v>431</v>
      </c>
      <c r="M8051" s="3">
        <v>759</v>
      </c>
    </row>
    <row r="8052" spans="1:13" x14ac:dyDescent="0.25">
      <c r="A8052" s="1" t="str">
        <f>HYPERLINK("http://www.rosaceae.org/Prunus/Prunus_persica/p.persica_gdr_reftransV1_0004853","p.persica_gdr_reftransV1_0004853")</f>
        <v>p.persica_gdr_reftransV1_0004853</v>
      </c>
      <c r="B8052" s="3">
        <v>1515</v>
      </c>
      <c r="C8052" s="1" t="str">
        <f>HYPERLINK("http://www.uniprot.org/uniprot/FMP32_YEAST","FMP32_YEAST")</f>
        <v>FMP32_YEAST</v>
      </c>
      <c r="D8052" t="s">
        <v>6108</v>
      </c>
      <c r="E8052" s="3" t="s">
        <v>34</v>
      </c>
      <c r="F8052" s="4">
        <v>4.4800000000000002E-15</v>
      </c>
      <c r="G8052" s="3">
        <v>191</v>
      </c>
      <c r="H8052" s="3">
        <v>26</v>
      </c>
      <c r="I8052" s="3">
        <v>191</v>
      </c>
      <c r="J8052" s="3">
        <v>734</v>
      </c>
      <c r="K8052" s="3">
        <v>1306</v>
      </c>
      <c r="L8052" s="3">
        <v>51</v>
      </c>
      <c r="M8052" s="3">
        <v>206</v>
      </c>
    </row>
    <row r="8053" spans="1:13" x14ac:dyDescent="0.25">
      <c r="A8053" s="1" t="str">
        <f>HYPERLINK("http://www.rosaceae.org/Prunus/Prunus_persica/p.persica_gdr_reftransV1_0004903","p.persica_gdr_reftransV1_0004903")</f>
        <v>p.persica_gdr_reftransV1_0004903</v>
      </c>
      <c r="B8053" s="3">
        <v>2948</v>
      </c>
      <c r="C8053" s="1" t="str">
        <f>HYPERLINK("http://www.uniprot.org/uniprot/ERMP1_HUMAN","ERMP1_HUMAN")</f>
        <v>ERMP1_HUMAN</v>
      </c>
      <c r="D8053" t="s">
        <v>6298</v>
      </c>
      <c r="E8053" s="3" t="s">
        <v>28</v>
      </c>
      <c r="F8053" s="4">
        <v>1.0299999999999999E-62</v>
      </c>
      <c r="G8053" s="3">
        <v>594</v>
      </c>
      <c r="H8053" s="3">
        <v>28</v>
      </c>
      <c r="I8053" s="3">
        <v>702</v>
      </c>
      <c r="J8053" s="3">
        <v>549</v>
      </c>
      <c r="K8053" s="3">
        <v>2600</v>
      </c>
      <c r="L8053" s="3">
        <v>116</v>
      </c>
      <c r="M8053" s="3">
        <v>764</v>
      </c>
    </row>
    <row r="8054" spans="1:13" x14ac:dyDescent="0.25">
      <c r="A8054" s="1" t="str">
        <f>HYPERLINK("http://www.rosaceae.org/Prunus/Prunus_persica/p.persica_gdr_reftransV1_0005003","p.persica_gdr_reftransV1_0005003")</f>
        <v>p.persica_gdr_reftransV1_0005003</v>
      </c>
      <c r="B8054" s="3">
        <v>2518</v>
      </c>
      <c r="C8054" s="1" t="str">
        <f>HYPERLINK("http://www.uniprot.org/uniprot/NFD4_ARATH","NFD4_ARATH")</f>
        <v>NFD4_ARATH</v>
      </c>
      <c r="D8054" t="s">
        <v>404</v>
      </c>
      <c r="E8054" s="3" t="s">
        <v>3</v>
      </c>
      <c r="F8054" s="4">
        <v>9.3999999999999991E-25</v>
      </c>
      <c r="G8054" s="3">
        <v>283</v>
      </c>
      <c r="H8054" s="3">
        <v>40</v>
      </c>
      <c r="I8054" s="3">
        <v>151</v>
      </c>
      <c r="J8054" s="3">
        <v>367</v>
      </c>
      <c r="K8054" s="3">
        <v>810</v>
      </c>
      <c r="L8054" s="3">
        <v>43</v>
      </c>
      <c r="M8054" s="3">
        <v>189</v>
      </c>
    </row>
    <row r="8055" spans="1:13" x14ac:dyDescent="0.25">
      <c r="A8055" s="1" t="str">
        <f>HYPERLINK("http://www.rosaceae.org/Prunus/Prunus_persica/p.persica_gdr_reftransV1_0005053","p.persica_gdr_reftransV1_0005053")</f>
        <v>p.persica_gdr_reftransV1_0005053</v>
      </c>
      <c r="B8055" s="3">
        <v>579</v>
      </c>
      <c r="C8055" s="1" t="str">
        <f>HYPERLINK("http://www.uniprot.org/uniprot/RNF6_HUMAN","RNF6_HUMAN")</f>
        <v>RNF6_HUMAN</v>
      </c>
      <c r="D8055" t="s">
        <v>6299</v>
      </c>
      <c r="E8055" s="3" t="s">
        <v>28</v>
      </c>
      <c r="F8055" s="4">
        <v>3.8200000000000003E-12</v>
      </c>
      <c r="G8055" s="3">
        <v>166</v>
      </c>
      <c r="H8055" s="3">
        <v>50</v>
      </c>
      <c r="I8055" s="3">
        <v>62</v>
      </c>
      <c r="J8055" s="3">
        <v>251</v>
      </c>
      <c r="K8055" s="3">
        <v>436</v>
      </c>
      <c r="L8055" s="3">
        <v>624</v>
      </c>
      <c r="M8055" s="3">
        <v>679</v>
      </c>
    </row>
    <row r="8056" spans="1:13" x14ac:dyDescent="0.25">
      <c r="A8056" s="1" t="str">
        <f>HYPERLINK("http://www.rosaceae.org/Prunus/Prunus_persica/p.persica_gdr_reftransV1_0005103","p.persica_gdr_reftransV1_0005103")</f>
        <v>p.persica_gdr_reftransV1_0005103</v>
      </c>
      <c r="B8056" s="3">
        <v>4214</v>
      </c>
      <c r="C8056" s="1" t="str">
        <f>HYPERLINK("http://www.uniprot.org/uniprot/ACA4_ARATH","ACA4_ARATH")</f>
        <v>ACA4_ARATH</v>
      </c>
      <c r="D8056" t="s">
        <v>6300</v>
      </c>
      <c r="E8056" s="3" t="s">
        <v>3</v>
      </c>
      <c r="F8056" s="4">
        <v>0</v>
      </c>
      <c r="G8056" s="3">
        <v>3519</v>
      </c>
      <c r="H8056" s="3">
        <v>68</v>
      </c>
      <c r="I8056" s="3">
        <v>1063</v>
      </c>
      <c r="J8056" s="3">
        <v>153</v>
      </c>
      <c r="K8056" s="3">
        <v>3338</v>
      </c>
      <c r="L8056" s="3">
        <v>1</v>
      </c>
      <c r="M8056" s="3">
        <v>1004</v>
      </c>
    </row>
    <row r="8057" spans="1:13" x14ac:dyDescent="0.25">
      <c r="A8057" s="1" t="str">
        <f>HYPERLINK("http://www.rosaceae.org/Prunus/Prunus_persica/p.persica_gdr_reftransV1_0005503","p.persica_gdr_reftransV1_0005503")</f>
        <v>p.persica_gdr_reftransV1_0005503</v>
      </c>
      <c r="B8057" s="3">
        <v>599</v>
      </c>
      <c r="C8057" s="1" t="str">
        <f>HYPERLINK("http://www.uniprot.org/uniprot/RBOHC_SOLTU","RBOHC_SOLTU")</f>
        <v>RBOHC_SOLTU</v>
      </c>
      <c r="D8057" t="s">
        <v>2265</v>
      </c>
      <c r="E8057" s="3" t="s">
        <v>11</v>
      </c>
      <c r="F8057" s="4">
        <v>1.4600000000000001E-32</v>
      </c>
      <c r="G8057" s="3">
        <v>323</v>
      </c>
      <c r="H8057" s="3">
        <v>60</v>
      </c>
      <c r="I8057" s="3">
        <v>124</v>
      </c>
      <c r="J8057" s="3">
        <v>2</v>
      </c>
      <c r="K8057" s="3">
        <v>370</v>
      </c>
      <c r="L8057" s="3">
        <v>16</v>
      </c>
      <c r="M8057" s="3">
        <v>136</v>
      </c>
    </row>
    <row r="8058" spans="1:13" x14ac:dyDescent="0.25">
      <c r="A8058" s="1" t="str">
        <f>HYPERLINK("http://www.rosaceae.org/Prunus/Prunus_persica/p.persica_gdr_reftransV1_0005553","p.persica_gdr_reftransV1_0005553")</f>
        <v>p.persica_gdr_reftransV1_0005553</v>
      </c>
      <c r="B8058" s="3">
        <v>767</v>
      </c>
      <c r="C8058" s="1" t="str">
        <f>HYPERLINK("http://www.uniprot.org/uniprot/GRI_ARATH","GRI_ARATH")</f>
        <v>GRI_ARATH</v>
      </c>
      <c r="D8058" t="s">
        <v>6301</v>
      </c>
      <c r="E8058" s="3" t="s">
        <v>3</v>
      </c>
      <c r="F8058" s="4">
        <v>8.17E-32</v>
      </c>
      <c r="G8058" s="3">
        <v>301</v>
      </c>
      <c r="H8058" s="3">
        <v>52</v>
      </c>
      <c r="I8058" s="3">
        <v>127</v>
      </c>
      <c r="J8058" s="3">
        <v>319</v>
      </c>
      <c r="K8058" s="3">
        <v>672</v>
      </c>
      <c r="L8058" s="3">
        <v>42</v>
      </c>
      <c r="M8058" s="3">
        <v>168</v>
      </c>
    </row>
    <row r="8059" spans="1:13" x14ac:dyDescent="0.25">
      <c r="A8059" s="1" t="str">
        <f>HYPERLINK("http://www.rosaceae.org/Prunus/Prunus_persica/p.persica_gdr_reftransV1_0005703","p.persica_gdr_reftransV1_0005703")</f>
        <v>p.persica_gdr_reftransV1_0005703</v>
      </c>
      <c r="B8059" s="3">
        <v>651</v>
      </c>
      <c r="C8059" s="1" t="str">
        <f>HYPERLINK("http://www.uniprot.org/uniprot/U83A1_ARATH","U83A1_ARATH")</f>
        <v>U83A1_ARATH</v>
      </c>
      <c r="D8059" t="s">
        <v>6133</v>
      </c>
      <c r="E8059" s="3" t="s">
        <v>3</v>
      </c>
      <c r="F8059" s="4">
        <v>1.22E-55</v>
      </c>
      <c r="G8059" s="3">
        <v>481</v>
      </c>
      <c r="H8059" s="3">
        <v>47</v>
      </c>
      <c r="I8059" s="3">
        <v>196</v>
      </c>
      <c r="J8059" s="3">
        <v>3</v>
      </c>
      <c r="K8059" s="3">
        <v>587</v>
      </c>
      <c r="L8059" s="3">
        <v>277</v>
      </c>
      <c r="M8059" s="3">
        <v>461</v>
      </c>
    </row>
    <row r="8060" spans="1:13" x14ac:dyDescent="0.25">
      <c r="A8060" s="1" t="str">
        <f>HYPERLINK("http://www.rosaceae.org/Prunus/Prunus_persica/p.persica_gdr_reftransV1_0005803","p.persica_gdr_reftransV1_0005803")</f>
        <v>p.persica_gdr_reftransV1_0005803</v>
      </c>
      <c r="B8060" s="3">
        <v>393</v>
      </c>
      <c r="C8060" s="1" t="str">
        <f>HYPERLINK("http://www.uniprot.org/uniprot/CRK42_ARATH","CRK42_ARATH")</f>
        <v>CRK42_ARATH</v>
      </c>
      <c r="D8060" t="s">
        <v>875</v>
      </c>
      <c r="E8060" s="3" t="s">
        <v>3</v>
      </c>
      <c r="F8060" s="4">
        <v>1.0299999999999999E-28</v>
      </c>
      <c r="G8060" s="3">
        <v>285</v>
      </c>
      <c r="H8060" s="3">
        <v>54</v>
      </c>
      <c r="I8060" s="3">
        <v>101</v>
      </c>
      <c r="J8060" s="3">
        <v>1</v>
      </c>
      <c r="K8060" s="3">
        <v>300</v>
      </c>
      <c r="L8060" s="3">
        <v>31</v>
      </c>
      <c r="M8060" s="3">
        <v>131</v>
      </c>
    </row>
    <row r="8061" spans="1:13" x14ac:dyDescent="0.25">
      <c r="A8061" s="1" t="str">
        <f>HYPERLINK("http://www.rosaceae.org/Prunus/Prunus_persica/p.persica_gdr_reftransV1_0005903","p.persica_gdr_reftransV1_0005903")</f>
        <v>p.persica_gdr_reftransV1_0005903</v>
      </c>
      <c r="B8061" s="3">
        <v>522</v>
      </c>
      <c r="C8061" s="1" t="str">
        <f>HYPERLINK("http://www.uniprot.org/uniprot/TMVRN_NICGU","TMVRN_NICGU")</f>
        <v>TMVRN_NICGU</v>
      </c>
      <c r="D8061" t="s">
        <v>151</v>
      </c>
      <c r="E8061" s="3" t="s">
        <v>152</v>
      </c>
      <c r="F8061" s="4">
        <v>5.7700000000000003E-37</v>
      </c>
      <c r="G8061" s="3">
        <v>354</v>
      </c>
      <c r="H8061" s="3">
        <v>44</v>
      </c>
      <c r="I8061" s="3">
        <v>165</v>
      </c>
      <c r="J8061" s="3">
        <v>30</v>
      </c>
      <c r="K8061" s="3">
        <v>521</v>
      </c>
      <c r="L8061" s="3">
        <v>283</v>
      </c>
      <c r="M8061" s="3">
        <v>444</v>
      </c>
    </row>
    <row r="8062" spans="1:13" x14ac:dyDescent="0.25">
      <c r="A8062" s="1" t="str">
        <f>HYPERLINK("http://www.rosaceae.org/Prunus/Prunus_persica/p.persica_gdr_reftransV1_0006203","p.persica_gdr_reftransV1_0006203")</f>
        <v>p.persica_gdr_reftransV1_0006203</v>
      </c>
      <c r="B8062" s="3">
        <v>534</v>
      </c>
      <c r="C8062" s="1" t="str">
        <f>HYPERLINK("http://www.uniprot.org/uniprot/SLK2_ARATH","SLK2_ARATH")</f>
        <v>SLK2_ARATH</v>
      </c>
      <c r="D8062" t="s">
        <v>795</v>
      </c>
      <c r="E8062" s="3" t="s">
        <v>3</v>
      </c>
      <c r="F8062" s="4">
        <v>7.2599999999999995E-51</v>
      </c>
      <c r="G8062" s="3">
        <v>453</v>
      </c>
      <c r="H8062" s="3">
        <v>60</v>
      </c>
      <c r="I8062" s="3">
        <v>139</v>
      </c>
      <c r="J8062" s="3">
        <v>3</v>
      </c>
      <c r="K8062" s="3">
        <v>419</v>
      </c>
      <c r="L8062" s="3">
        <v>369</v>
      </c>
      <c r="M8062" s="3">
        <v>507</v>
      </c>
    </row>
    <row r="8063" spans="1:13" x14ac:dyDescent="0.25">
      <c r="A8063" s="1" t="str">
        <f>HYPERLINK("http://www.rosaceae.org/Prunus/Prunus_persica/p.persica_gdr_reftransV1_0006253","p.persica_gdr_reftransV1_0006253")</f>
        <v>p.persica_gdr_reftransV1_0006253</v>
      </c>
      <c r="B8063" s="3">
        <v>556</v>
      </c>
      <c r="C8063" s="1" t="str">
        <f>HYPERLINK("http://www.uniprot.org/uniprot/FBL42_ARATH","FBL42_ARATH")</f>
        <v>FBL42_ARATH</v>
      </c>
      <c r="D8063" t="s">
        <v>4436</v>
      </c>
      <c r="E8063" s="3" t="s">
        <v>3</v>
      </c>
      <c r="F8063" s="4">
        <v>1.2100000000000001E-8</v>
      </c>
      <c r="G8063" s="3">
        <v>136</v>
      </c>
      <c r="H8063" s="3">
        <v>33</v>
      </c>
      <c r="I8063" s="3">
        <v>126</v>
      </c>
      <c r="J8063" s="3">
        <v>34</v>
      </c>
      <c r="K8063" s="3">
        <v>399</v>
      </c>
      <c r="L8063" s="3">
        <v>37</v>
      </c>
      <c r="M8063" s="3">
        <v>149</v>
      </c>
    </row>
    <row r="8064" spans="1:13" x14ac:dyDescent="0.25">
      <c r="A8064" s="1" t="str">
        <f>HYPERLINK("http://www.rosaceae.org/Prunus/Prunus_persica/p.persica_gdr_reftransV1_0006303","p.persica_gdr_reftransV1_0006303")</f>
        <v>p.persica_gdr_reftransV1_0006303</v>
      </c>
      <c r="B8064" s="3">
        <v>568</v>
      </c>
      <c r="C8064" s="1" t="str">
        <f>HYPERLINK("http://www.uniprot.org/uniprot/PSMF1_ARATH","PSMF1_ARATH")</f>
        <v>PSMF1_ARATH</v>
      </c>
      <c r="D8064" t="s">
        <v>4344</v>
      </c>
      <c r="E8064" s="3" t="s">
        <v>3</v>
      </c>
      <c r="F8064" s="4">
        <v>2.9E-47</v>
      </c>
      <c r="G8064" s="3">
        <v>410</v>
      </c>
      <c r="H8064" s="3">
        <v>55</v>
      </c>
      <c r="I8064" s="3">
        <v>148</v>
      </c>
      <c r="J8064" s="3">
        <v>70</v>
      </c>
      <c r="K8064" s="3">
        <v>507</v>
      </c>
      <c r="L8064" s="3">
        <v>1</v>
      </c>
      <c r="M8064" s="3">
        <v>145</v>
      </c>
    </row>
    <row r="8065" spans="1:13" x14ac:dyDescent="0.25">
      <c r="A8065" s="1" t="str">
        <f>HYPERLINK("http://www.rosaceae.org/Prunus/Prunus_persica/p.persica_gdr_reftransV1_0006503","p.persica_gdr_reftransV1_0006503")</f>
        <v>p.persica_gdr_reftransV1_0006503</v>
      </c>
      <c r="B8065" s="3">
        <v>796</v>
      </c>
      <c r="C8065" s="1" t="str">
        <f>HYPERLINK("http://www.uniprot.org/uniprot/DSEL_ARATH","DSEL_ARATH")</f>
        <v>DSEL_ARATH</v>
      </c>
      <c r="D8065" t="s">
        <v>6302</v>
      </c>
      <c r="E8065" s="3" t="s">
        <v>3</v>
      </c>
      <c r="F8065" s="4">
        <v>1.3E-64</v>
      </c>
      <c r="G8065" s="3">
        <v>544</v>
      </c>
      <c r="H8065" s="3">
        <v>49</v>
      </c>
      <c r="I8065" s="3">
        <v>238</v>
      </c>
      <c r="J8065" s="3">
        <v>5</v>
      </c>
      <c r="K8065" s="3">
        <v>676</v>
      </c>
      <c r="L8065" s="3">
        <v>185</v>
      </c>
      <c r="M8065" s="3">
        <v>414</v>
      </c>
    </row>
    <row r="8066" spans="1:13" x14ac:dyDescent="0.25">
      <c r="A8066" s="1" t="str">
        <f>HYPERLINK("http://www.rosaceae.org/Prunus/Prunus_persica/p.persica_gdr_reftransV1_0006553","p.persica_gdr_reftransV1_0006553")</f>
        <v>p.persica_gdr_reftransV1_0006553</v>
      </c>
      <c r="B8066" s="3">
        <v>444</v>
      </c>
      <c r="C8066" s="1" t="str">
        <f>HYPERLINK("http://www.uniprot.org/uniprot/AIR12_ARATH","AIR12_ARATH")</f>
        <v>AIR12_ARATH</v>
      </c>
      <c r="D8066" t="s">
        <v>4342</v>
      </c>
      <c r="E8066" s="3" t="s">
        <v>3</v>
      </c>
      <c r="F8066" s="4">
        <v>2.5900000000000001E-34</v>
      </c>
      <c r="G8066" s="3">
        <v>315</v>
      </c>
      <c r="H8066" s="3">
        <v>56</v>
      </c>
      <c r="I8066" s="3">
        <v>122</v>
      </c>
      <c r="J8066" s="3">
        <v>3</v>
      </c>
      <c r="K8066" s="3">
        <v>362</v>
      </c>
      <c r="L8066" s="3">
        <v>80</v>
      </c>
      <c r="M8066" s="3">
        <v>199</v>
      </c>
    </row>
    <row r="8067" spans="1:13" x14ac:dyDescent="0.25">
      <c r="A8067" s="1" t="str">
        <f>HYPERLINK("http://www.rosaceae.org/Prunus/Prunus_persica/p.persica_gdr_reftransV1_0006703","p.persica_gdr_reftransV1_0006703")</f>
        <v>p.persica_gdr_reftransV1_0006703</v>
      </c>
      <c r="B8067" s="3">
        <v>929</v>
      </c>
      <c r="C8067" s="1" t="str">
        <f>HYPERLINK("http://www.uniprot.org/uniprot/CRR38_ARATH","CRR38_ARATH")</f>
        <v>CRR38_ARATH</v>
      </c>
      <c r="D8067" t="s">
        <v>3712</v>
      </c>
      <c r="E8067" s="3" t="s">
        <v>3</v>
      </c>
      <c r="F8067" s="4">
        <v>1.73E-79</v>
      </c>
      <c r="G8067" s="3">
        <v>634</v>
      </c>
      <c r="H8067" s="3">
        <v>57</v>
      </c>
      <c r="I8067" s="3">
        <v>216</v>
      </c>
      <c r="J8067" s="3">
        <v>182</v>
      </c>
      <c r="K8067" s="3">
        <v>820</v>
      </c>
      <c r="L8067" s="3">
        <v>35</v>
      </c>
      <c r="M8067" s="3">
        <v>249</v>
      </c>
    </row>
    <row r="8068" spans="1:13" x14ac:dyDescent="0.25">
      <c r="A8068" s="1" t="str">
        <f>HYPERLINK("http://www.rosaceae.org/Prunus/Prunus_persica/p.persica_gdr_reftransV1_0006803","p.persica_gdr_reftransV1_0006803")</f>
        <v>p.persica_gdr_reftransV1_0006803</v>
      </c>
      <c r="B8068" s="3">
        <v>644</v>
      </c>
      <c r="C8068" s="1" t="str">
        <f>HYPERLINK("http://www.uniprot.org/uniprot/M810_ARATH","M810_ARATH")</f>
        <v>M810_ARATH</v>
      </c>
      <c r="D8068" t="s">
        <v>92</v>
      </c>
      <c r="E8068" s="3" t="s">
        <v>3</v>
      </c>
      <c r="F8068" s="4">
        <v>4.8900000000000001E-29</v>
      </c>
      <c r="G8068" s="3">
        <v>284</v>
      </c>
      <c r="H8068" s="3">
        <v>50</v>
      </c>
      <c r="I8068" s="3">
        <v>116</v>
      </c>
      <c r="J8068" s="3">
        <v>72</v>
      </c>
      <c r="K8068" s="3">
        <v>416</v>
      </c>
      <c r="L8068" s="3">
        <v>108</v>
      </c>
      <c r="M8068" s="3">
        <v>223</v>
      </c>
    </row>
    <row r="8069" spans="1:13" x14ac:dyDescent="0.25">
      <c r="A8069" s="1" t="str">
        <f>HYPERLINK("http://www.rosaceae.org/Prunus/Prunus_persica/p.persica_gdr_reftransV1_0006953","p.persica_gdr_reftransV1_0006953")</f>
        <v>p.persica_gdr_reftransV1_0006953</v>
      </c>
      <c r="B8069" s="3">
        <v>2048</v>
      </c>
      <c r="C8069" s="1" t="str">
        <f>HYPERLINK("http://www.uniprot.org/uniprot/C71AM_ARATH","C71AM_ARATH")</f>
        <v>C71AM_ARATH</v>
      </c>
      <c r="D8069" t="s">
        <v>6303</v>
      </c>
      <c r="E8069" s="3" t="s">
        <v>3</v>
      </c>
      <c r="F8069" s="4">
        <v>4.5100000000000001E-84</v>
      </c>
      <c r="G8069" s="3">
        <v>715</v>
      </c>
      <c r="H8069" s="3">
        <v>54</v>
      </c>
      <c r="I8069" s="3">
        <v>284</v>
      </c>
      <c r="J8069" s="3">
        <v>171</v>
      </c>
      <c r="K8069" s="3">
        <v>1010</v>
      </c>
      <c r="L8069" s="3">
        <v>28</v>
      </c>
      <c r="M8069" s="3">
        <v>287</v>
      </c>
    </row>
    <row r="8070" spans="1:13" x14ac:dyDescent="0.25">
      <c r="A8070" s="1" t="str">
        <f>HYPERLINK("http://www.rosaceae.org/Prunus/Prunus_persica/p.persica_gdr_reftransV1_0007003","p.persica_gdr_reftransV1_0007003")</f>
        <v>p.persica_gdr_reftransV1_0007003</v>
      </c>
      <c r="B8070" s="3">
        <v>2640</v>
      </c>
      <c r="C8070" s="1" t="str">
        <f>HYPERLINK("http://www.uniprot.org/uniprot/AIR3_ARATH","AIR3_ARATH")</f>
        <v>AIR3_ARATH</v>
      </c>
      <c r="D8070" t="s">
        <v>6304</v>
      </c>
      <c r="E8070" s="3" t="s">
        <v>3</v>
      </c>
      <c r="F8070" s="4">
        <v>0</v>
      </c>
      <c r="G8070" s="3">
        <v>2585</v>
      </c>
      <c r="H8070" s="3">
        <v>65</v>
      </c>
      <c r="I8070" s="3">
        <v>737</v>
      </c>
      <c r="J8070" s="3">
        <v>235</v>
      </c>
      <c r="K8070" s="3">
        <v>2442</v>
      </c>
      <c r="L8070" s="3">
        <v>31</v>
      </c>
      <c r="M8070" s="3">
        <v>767</v>
      </c>
    </row>
    <row r="8071" spans="1:13" x14ac:dyDescent="0.25">
      <c r="A8071" s="1" t="str">
        <f>HYPERLINK("http://www.rosaceae.org/Prunus/Prunus_persica/p.persica_gdr_reftransV1_0007053","p.persica_gdr_reftransV1_0007053")</f>
        <v>p.persica_gdr_reftransV1_0007053</v>
      </c>
      <c r="B8071" s="3">
        <v>2581</v>
      </c>
      <c r="C8071" s="1" t="str">
        <f>HYPERLINK("http://www.uniprot.org/uniprot/G3OX1_ARATH","G3OX1_ARATH")</f>
        <v>G3OX1_ARATH</v>
      </c>
      <c r="D8071" t="s">
        <v>6305</v>
      </c>
      <c r="E8071" s="3" t="s">
        <v>3</v>
      </c>
      <c r="F8071" s="4">
        <v>3.2899999999999999E-41</v>
      </c>
      <c r="G8071" s="3">
        <v>404</v>
      </c>
      <c r="H8071" s="3">
        <v>44</v>
      </c>
      <c r="I8071" s="3">
        <v>203</v>
      </c>
      <c r="J8071" s="3">
        <v>1078</v>
      </c>
      <c r="K8071" s="3">
        <v>1665</v>
      </c>
      <c r="L8071" s="3">
        <v>154</v>
      </c>
      <c r="M8071" s="3">
        <v>354</v>
      </c>
    </row>
    <row r="8072" spans="1:13" x14ac:dyDescent="0.25">
      <c r="A8072" s="1" t="str">
        <f>HYPERLINK("http://www.rosaceae.org/Prunus/Prunus_persica/p.persica_gdr_reftransV1_0007303","p.persica_gdr_reftransV1_0007303")</f>
        <v>p.persica_gdr_reftransV1_0007303</v>
      </c>
      <c r="B8072" s="3">
        <v>732</v>
      </c>
      <c r="C8072" s="1" t="str">
        <f>HYPERLINK("http://www.uniprot.org/uniprot/DCTP1_MOUSE","DCTP1_MOUSE")</f>
        <v>DCTP1_MOUSE</v>
      </c>
      <c r="D8072" t="s">
        <v>4582</v>
      </c>
      <c r="E8072" s="3" t="s">
        <v>157</v>
      </c>
      <c r="F8072" s="4">
        <v>1.37E-25</v>
      </c>
      <c r="G8072" s="3">
        <v>258</v>
      </c>
      <c r="H8072" s="3">
        <v>50</v>
      </c>
      <c r="I8072" s="3">
        <v>96</v>
      </c>
      <c r="J8072" s="3">
        <v>367</v>
      </c>
      <c r="K8072" s="3">
        <v>654</v>
      </c>
      <c r="L8072" s="3">
        <v>30</v>
      </c>
      <c r="M8072" s="3">
        <v>125</v>
      </c>
    </row>
    <row r="8073" spans="1:13" x14ac:dyDescent="0.25">
      <c r="A8073" s="1" t="str">
        <f>HYPERLINK("http://www.rosaceae.org/Prunus/Prunus_persica/p.persica_gdr_reftransV1_0007453","p.persica_gdr_reftransV1_0007453")</f>
        <v>p.persica_gdr_reftransV1_0007453</v>
      </c>
      <c r="B8073" s="3">
        <v>815</v>
      </c>
      <c r="C8073" s="1" t="str">
        <f>HYPERLINK("http://www.uniprot.org/uniprot/PP244_ARATH","PP244_ARATH")</f>
        <v>PP244_ARATH</v>
      </c>
      <c r="D8073" t="s">
        <v>6306</v>
      </c>
      <c r="E8073" s="3" t="s">
        <v>3</v>
      </c>
      <c r="F8073" s="4">
        <v>1.7400000000000002E-89</v>
      </c>
      <c r="G8073" s="3">
        <v>723</v>
      </c>
      <c r="H8073" s="3">
        <v>52</v>
      </c>
      <c r="I8073" s="3">
        <v>260</v>
      </c>
      <c r="J8073" s="3">
        <v>1</v>
      </c>
      <c r="K8073" s="3">
        <v>777</v>
      </c>
      <c r="L8073" s="3">
        <v>205</v>
      </c>
      <c r="M8073" s="3">
        <v>464</v>
      </c>
    </row>
    <row r="8074" spans="1:13" x14ac:dyDescent="0.25">
      <c r="A8074" s="1" t="str">
        <f>HYPERLINK("http://www.rosaceae.org/Prunus/Prunus_persica/p.persica_gdr_reftransV1_0007553","p.persica_gdr_reftransV1_0007553")</f>
        <v>p.persica_gdr_reftransV1_0007553</v>
      </c>
      <c r="B8074" s="3">
        <v>723</v>
      </c>
      <c r="C8074" s="1" t="str">
        <f>HYPERLINK("http://www.uniprot.org/uniprot/MED32_ARATH","MED32_ARATH")</f>
        <v>MED32_ARATH</v>
      </c>
      <c r="D8074" t="s">
        <v>6307</v>
      </c>
      <c r="E8074" s="3" t="s">
        <v>3</v>
      </c>
      <c r="F8074" s="4">
        <v>1.7599999999999999E-35</v>
      </c>
      <c r="G8074" s="3">
        <v>324</v>
      </c>
      <c r="H8074" s="3">
        <v>50</v>
      </c>
      <c r="I8074" s="3">
        <v>145</v>
      </c>
      <c r="J8074" s="3">
        <v>309</v>
      </c>
      <c r="K8074" s="3">
        <v>722</v>
      </c>
      <c r="L8074" s="3">
        <v>13</v>
      </c>
      <c r="M8074" s="3">
        <v>150</v>
      </c>
    </row>
    <row r="8075" spans="1:13" x14ac:dyDescent="0.25">
      <c r="A8075" s="1" t="str">
        <f>HYPERLINK("http://www.rosaceae.org/Prunus/Prunus_persica/p.persica_gdr_reftransV1_0007603","p.persica_gdr_reftransV1_0007603")</f>
        <v>p.persica_gdr_reftransV1_0007603</v>
      </c>
      <c r="B8075" s="3">
        <v>715</v>
      </c>
      <c r="C8075" s="1" t="str">
        <f>HYPERLINK("http://www.uniprot.org/uniprot/AKRC9_ARATH","AKRC9_ARATH")</f>
        <v>AKRC9_ARATH</v>
      </c>
      <c r="D8075" t="s">
        <v>2155</v>
      </c>
      <c r="E8075" s="3" t="s">
        <v>3</v>
      </c>
      <c r="F8075" s="4">
        <v>6.3300000000000003E-76</v>
      </c>
      <c r="G8075" s="3">
        <v>609</v>
      </c>
      <c r="H8075" s="3">
        <v>75</v>
      </c>
      <c r="I8075" s="3">
        <v>149</v>
      </c>
      <c r="J8075" s="3">
        <v>3</v>
      </c>
      <c r="K8075" s="3">
        <v>449</v>
      </c>
      <c r="L8075" s="3">
        <v>167</v>
      </c>
      <c r="M8075" s="3">
        <v>315</v>
      </c>
    </row>
    <row r="8076" spans="1:13" x14ac:dyDescent="0.25">
      <c r="A8076" s="1" t="str">
        <f>HYPERLINK("http://www.rosaceae.org/Prunus/Prunus_persica/p.persica_gdr_reftransV1_0007653","p.persica_gdr_reftransV1_0007653")</f>
        <v>p.persica_gdr_reftransV1_0007653</v>
      </c>
      <c r="B8076" s="3">
        <v>962</v>
      </c>
      <c r="C8076" s="1" t="str">
        <f>HYPERLINK("http://www.uniprot.org/uniprot/NAC42_ARATH","NAC42_ARATH")</f>
        <v>NAC42_ARATH</v>
      </c>
      <c r="D8076" t="s">
        <v>85</v>
      </c>
      <c r="E8076" s="3" t="s">
        <v>3</v>
      </c>
      <c r="F8076" s="4">
        <v>1.2099999999999999E-66</v>
      </c>
      <c r="G8076" s="3">
        <v>551</v>
      </c>
      <c r="H8076" s="3">
        <v>49</v>
      </c>
      <c r="I8076" s="3">
        <v>255</v>
      </c>
      <c r="J8076" s="3">
        <v>1</v>
      </c>
      <c r="K8076" s="3">
        <v>765</v>
      </c>
      <c r="L8076" s="3">
        <v>40</v>
      </c>
      <c r="M8076" s="3">
        <v>275</v>
      </c>
    </row>
    <row r="8077" spans="1:13" x14ac:dyDescent="0.25">
      <c r="A8077" s="1" t="str">
        <f>HYPERLINK("http://www.rosaceae.org/Prunus/Prunus_persica/p.persica_gdr_reftransV1_0007703","p.persica_gdr_reftransV1_0007703")</f>
        <v>p.persica_gdr_reftransV1_0007703</v>
      </c>
      <c r="B8077" s="3">
        <v>707</v>
      </c>
      <c r="C8077" s="1" t="str">
        <f>HYPERLINK("http://www.uniprot.org/uniprot/PP169_ARATH","PP169_ARATH")</f>
        <v>PP169_ARATH</v>
      </c>
      <c r="D8077" t="s">
        <v>1957</v>
      </c>
      <c r="E8077" s="3" t="s">
        <v>3</v>
      </c>
      <c r="F8077" s="4">
        <v>4.2999999999999997E-109</v>
      </c>
      <c r="G8077" s="3">
        <v>859</v>
      </c>
      <c r="H8077" s="3">
        <v>68</v>
      </c>
      <c r="I8077" s="3">
        <v>235</v>
      </c>
      <c r="J8077" s="3">
        <v>2</v>
      </c>
      <c r="K8077" s="3">
        <v>706</v>
      </c>
      <c r="L8077" s="3">
        <v>431</v>
      </c>
      <c r="M8077" s="3">
        <v>665</v>
      </c>
    </row>
    <row r="8078" spans="1:13" x14ac:dyDescent="0.25">
      <c r="A8078" s="1" t="str">
        <f>HYPERLINK("http://www.rosaceae.org/Prunus/Prunus_persica/p.persica_gdr_reftransV1_0008003","p.persica_gdr_reftransV1_0008003")</f>
        <v>p.persica_gdr_reftransV1_0008003</v>
      </c>
      <c r="B8078" s="3">
        <v>1405</v>
      </c>
      <c r="C8078" s="1" t="str">
        <f>HYPERLINK("http://www.uniprot.org/uniprot/PP347_ARATH","PP347_ARATH")</f>
        <v>PP347_ARATH</v>
      </c>
      <c r="D8078" t="s">
        <v>6308</v>
      </c>
      <c r="E8078" s="3" t="s">
        <v>3</v>
      </c>
      <c r="F8078" s="4">
        <v>0</v>
      </c>
      <c r="G8078" s="3">
        <v>1763</v>
      </c>
      <c r="H8078" s="3">
        <v>70</v>
      </c>
      <c r="I8078" s="3">
        <v>447</v>
      </c>
      <c r="J8078" s="3">
        <v>64</v>
      </c>
      <c r="K8078" s="3">
        <v>1404</v>
      </c>
      <c r="L8078" s="3">
        <v>544</v>
      </c>
      <c r="M8078" s="3">
        <v>990</v>
      </c>
    </row>
    <row r="8079" spans="1:13" x14ac:dyDescent="0.25">
      <c r="A8079" s="1" t="str">
        <f>HYPERLINK("http://www.rosaceae.org/Prunus/Prunus_persica/p.persica_gdr_reftransV1_0008103","p.persica_gdr_reftransV1_0008103")</f>
        <v>p.persica_gdr_reftransV1_0008103</v>
      </c>
      <c r="B8079" s="3">
        <v>1626</v>
      </c>
      <c r="C8079" s="1" t="str">
        <f>HYPERLINK("http://www.uniprot.org/uniprot/NBP35_ARATH","NBP35_ARATH")</f>
        <v>NBP35_ARATH</v>
      </c>
      <c r="D8079" t="s">
        <v>5196</v>
      </c>
      <c r="E8079" s="3" t="s">
        <v>3</v>
      </c>
      <c r="F8079" s="4">
        <v>0</v>
      </c>
      <c r="G8079" s="3">
        <v>1507</v>
      </c>
      <c r="H8079" s="3">
        <v>82</v>
      </c>
      <c r="I8079" s="3">
        <v>343</v>
      </c>
      <c r="J8079" s="3">
        <v>180</v>
      </c>
      <c r="K8079" s="3">
        <v>1205</v>
      </c>
      <c r="L8079" s="3">
        <v>1</v>
      </c>
      <c r="M8079" s="3">
        <v>343</v>
      </c>
    </row>
    <row r="8080" spans="1:13" x14ac:dyDescent="0.25">
      <c r="A8080" s="1" t="str">
        <f>HYPERLINK("http://www.rosaceae.org/Prunus/Prunus_persica/p.persica_gdr_reftransV1_0008153","p.persica_gdr_reftransV1_0008153")</f>
        <v>p.persica_gdr_reftransV1_0008153</v>
      </c>
      <c r="B8080" s="3">
        <v>604</v>
      </c>
      <c r="C8080" s="1" t="str">
        <f>HYPERLINK("http://www.uniprot.org/uniprot/PP147_ARATH","PP147_ARATH")</f>
        <v>PP147_ARATH</v>
      </c>
      <c r="D8080" t="s">
        <v>1396</v>
      </c>
      <c r="E8080" s="3" t="s">
        <v>3</v>
      </c>
      <c r="F8080" s="4">
        <v>4.6399999999999999E-97</v>
      </c>
      <c r="G8080" s="3">
        <v>771</v>
      </c>
      <c r="H8080" s="3">
        <v>74</v>
      </c>
      <c r="I8080" s="3">
        <v>201</v>
      </c>
      <c r="J8080" s="3">
        <v>2</v>
      </c>
      <c r="K8080" s="3">
        <v>604</v>
      </c>
      <c r="L8080" s="3">
        <v>126</v>
      </c>
      <c r="M8080" s="3">
        <v>326</v>
      </c>
    </row>
    <row r="8081" spans="1:13" x14ac:dyDescent="0.25">
      <c r="A8081" s="1" t="str">
        <f>HYPERLINK("http://www.rosaceae.org/Prunus/Prunus_persica/p.persica_gdr_reftransV1_0008353","p.persica_gdr_reftransV1_0008353")</f>
        <v>p.persica_gdr_reftransV1_0008353</v>
      </c>
      <c r="B8081" s="3">
        <v>2209</v>
      </c>
      <c r="C8081" s="1" t="str">
        <f>HYPERLINK("http://www.uniprot.org/uniprot/ENPP3_HUMAN","ENPP3_HUMAN")</f>
        <v>ENPP3_HUMAN</v>
      </c>
      <c r="D8081" t="s">
        <v>6309</v>
      </c>
      <c r="E8081" s="3" t="s">
        <v>28</v>
      </c>
      <c r="F8081" s="4">
        <v>9.1599999999999998E-80</v>
      </c>
      <c r="G8081" s="3">
        <v>712</v>
      </c>
      <c r="H8081" s="3">
        <v>41</v>
      </c>
      <c r="I8081" s="3">
        <v>390</v>
      </c>
      <c r="J8081" s="3">
        <v>573</v>
      </c>
      <c r="K8081" s="3">
        <v>1715</v>
      </c>
      <c r="L8081" s="3">
        <v>156</v>
      </c>
      <c r="M8081" s="3">
        <v>535</v>
      </c>
    </row>
    <row r="8082" spans="1:13" x14ac:dyDescent="0.25">
      <c r="A8082" s="1" t="str">
        <f>HYPERLINK("http://www.rosaceae.org/Prunus/Prunus_persica/p.persica_gdr_reftransV1_0008503","p.persica_gdr_reftransV1_0008503")</f>
        <v>p.persica_gdr_reftransV1_0008503</v>
      </c>
      <c r="B8082" s="3">
        <v>726</v>
      </c>
      <c r="C8082" s="1" t="str">
        <f>HYPERLINK("http://www.uniprot.org/uniprot/IF5_MAIZE","IF5_MAIZE")</f>
        <v>IF5_MAIZE</v>
      </c>
      <c r="D8082" t="s">
        <v>6310</v>
      </c>
      <c r="E8082" s="3" t="s">
        <v>72</v>
      </c>
      <c r="F8082" s="4">
        <v>2.7899999999999998E-57</v>
      </c>
      <c r="G8082" s="3">
        <v>494</v>
      </c>
      <c r="H8082" s="3">
        <v>96</v>
      </c>
      <c r="I8082" s="3">
        <v>96</v>
      </c>
      <c r="J8082" s="3">
        <v>425</v>
      </c>
      <c r="K8082" s="3">
        <v>712</v>
      </c>
      <c r="L8082" s="3">
        <v>1</v>
      </c>
      <c r="M8082" s="3">
        <v>96</v>
      </c>
    </row>
    <row r="8083" spans="1:13" x14ac:dyDescent="0.25">
      <c r="A8083" s="1" t="str">
        <f>HYPERLINK("http://www.rosaceae.org/Prunus/Prunus_persica/p.persica_gdr_reftransV1_0008603","p.persica_gdr_reftransV1_0008603")</f>
        <v>p.persica_gdr_reftransV1_0008603</v>
      </c>
      <c r="B8083" s="3">
        <v>2512</v>
      </c>
      <c r="C8083" s="1" t="str">
        <f>HYPERLINK("http://www.uniprot.org/uniprot/THD1_ARATH","THD1_ARATH")</f>
        <v>THD1_ARATH</v>
      </c>
      <c r="D8083" t="s">
        <v>6311</v>
      </c>
      <c r="E8083" s="3" t="s">
        <v>3</v>
      </c>
      <c r="F8083" s="4">
        <v>0</v>
      </c>
      <c r="G8083" s="3">
        <v>2196</v>
      </c>
      <c r="H8083" s="3">
        <v>75</v>
      </c>
      <c r="I8083" s="3">
        <v>590</v>
      </c>
      <c r="J8083" s="3">
        <v>414</v>
      </c>
      <c r="K8083" s="3">
        <v>2171</v>
      </c>
      <c r="L8083" s="3">
        <v>5</v>
      </c>
      <c r="M8083" s="3">
        <v>592</v>
      </c>
    </row>
    <row r="8084" spans="1:13" x14ac:dyDescent="0.25">
      <c r="A8084" s="1" t="str">
        <f>HYPERLINK("http://www.rosaceae.org/Prunus/Prunus_persica/p.persica_gdr_reftransV1_0008653","p.persica_gdr_reftransV1_0008653")</f>
        <v>p.persica_gdr_reftransV1_0008653</v>
      </c>
      <c r="B8084" s="3">
        <v>972</v>
      </c>
      <c r="C8084" s="1" t="str">
        <f>HYPERLINK("http://www.uniprot.org/uniprot/R13A1_ARATH","R13A1_ARATH")</f>
        <v>R13A1_ARATH</v>
      </c>
      <c r="D8084" t="s">
        <v>6312</v>
      </c>
      <c r="E8084" s="3" t="s">
        <v>3</v>
      </c>
      <c r="F8084" s="4">
        <v>6.7600000000000003E-116</v>
      </c>
      <c r="G8084" s="3">
        <v>873</v>
      </c>
      <c r="H8084" s="3">
        <v>86</v>
      </c>
      <c r="I8084" s="3">
        <v>206</v>
      </c>
      <c r="J8084" s="3">
        <v>37</v>
      </c>
      <c r="K8084" s="3">
        <v>654</v>
      </c>
      <c r="L8084" s="3">
        <v>1</v>
      </c>
      <c r="M8084" s="3">
        <v>206</v>
      </c>
    </row>
    <row r="8085" spans="1:13" x14ac:dyDescent="0.25">
      <c r="A8085" s="1" t="str">
        <f>HYPERLINK("http://www.rosaceae.org/Prunus/Prunus_persica/p.persica_gdr_reftransV1_0008703","p.persica_gdr_reftransV1_0008703")</f>
        <v>p.persica_gdr_reftransV1_0008703</v>
      </c>
      <c r="B8085" s="3">
        <v>1199</v>
      </c>
      <c r="C8085" s="1" t="str">
        <f>HYPERLINK("http://www.uniprot.org/uniprot/RMR2_ARATH","RMR2_ARATH")</f>
        <v>RMR2_ARATH</v>
      </c>
      <c r="D8085" t="s">
        <v>6313</v>
      </c>
      <c r="E8085" s="3" t="s">
        <v>3</v>
      </c>
      <c r="F8085" s="4">
        <v>7.7100000000000001E-12</v>
      </c>
      <c r="G8085" s="3">
        <v>171</v>
      </c>
      <c r="H8085" s="3">
        <v>47</v>
      </c>
      <c r="I8085" s="3">
        <v>66</v>
      </c>
      <c r="J8085" s="3">
        <v>348</v>
      </c>
      <c r="K8085" s="3">
        <v>536</v>
      </c>
      <c r="L8085" s="3">
        <v>211</v>
      </c>
      <c r="M8085" s="3">
        <v>276</v>
      </c>
    </row>
    <row r="8086" spans="1:13" x14ac:dyDescent="0.25">
      <c r="A8086" s="1" t="str">
        <f>HYPERLINK("http://www.rosaceae.org/Prunus/Prunus_persica/p.persica_gdr_reftransV1_0008953","p.persica_gdr_reftransV1_0008953")</f>
        <v>p.persica_gdr_reftransV1_0008953</v>
      </c>
      <c r="B8086" s="3">
        <v>1568</v>
      </c>
      <c r="C8086" s="1" t="str">
        <f>HYPERLINK("http://www.uniprot.org/uniprot/DRL35_ARATH","DRL35_ARATH")</f>
        <v>DRL35_ARATH</v>
      </c>
      <c r="D8086" t="s">
        <v>717</v>
      </c>
      <c r="E8086" s="3" t="s">
        <v>3</v>
      </c>
      <c r="F8086" s="4">
        <v>1.37E-12</v>
      </c>
      <c r="G8086" s="3">
        <v>177</v>
      </c>
      <c r="H8086" s="3">
        <v>30</v>
      </c>
      <c r="I8086" s="3">
        <v>309</v>
      </c>
      <c r="J8086" s="3">
        <v>504</v>
      </c>
      <c r="K8086" s="3">
        <v>1376</v>
      </c>
      <c r="L8086" s="3">
        <v>36</v>
      </c>
      <c r="M8086" s="3">
        <v>321</v>
      </c>
    </row>
    <row r="8087" spans="1:13" x14ac:dyDescent="0.25">
      <c r="A8087" s="1" t="str">
        <f>HYPERLINK("http://www.rosaceae.org/Prunus/Prunus_persica/p.persica_gdr_reftransV1_0009003","p.persica_gdr_reftransV1_0009003")</f>
        <v>p.persica_gdr_reftransV1_0009003</v>
      </c>
      <c r="B8087" s="3">
        <v>1430</v>
      </c>
      <c r="C8087" s="1" t="str">
        <f>HYPERLINK("http://www.uniprot.org/uniprot/IX15L_ARATH","IX15L_ARATH")</f>
        <v>IX15L_ARATH</v>
      </c>
      <c r="D8087" t="s">
        <v>162</v>
      </c>
      <c r="E8087" s="3" t="s">
        <v>3</v>
      </c>
      <c r="F8087" s="4">
        <v>6.7699999999999999E-89</v>
      </c>
      <c r="G8087" s="3">
        <v>718</v>
      </c>
      <c r="H8087" s="3">
        <v>58</v>
      </c>
      <c r="I8087" s="3">
        <v>241</v>
      </c>
      <c r="J8087" s="3">
        <v>280</v>
      </c>
      <c r="K8087" s="3">
        <v>987</v>
      </c>
      <c r="L8087" s="3">
        <v>83</v>
      </c>
      <c r="M8087" s="3">
        <v>317</v>
      </c>
    </row>
    <row r="8088" spans="1:13" x14ac:dyDescent="0.25">
      <c r="A8088" s="1" t="str">
        <f>HYPERLINK("http://www.rosaceae.org/Prunus/Prunus_persica/p.persica_gdr_reftransV1_0009103","p.persica_gdr_reftransV1_0009103")</f>
        <v>p.persica_gdr_reftransV1_0009103</v>
      </c>
      <c r="B8088" s="3">
        <v>1436</v>
      </c>
      <c r="C8088" s="1" t="str">
        <f>HYPERLINK("http://www.uniprot.org/uniprot/OXI1_ARATH","OXI1_ARATH")</f>
        <v>OXI1_ARATH</v>
      </c>
      <c r="D8088" t="s">
        <v>6314</v>
      </c>
      <c r="E8088" s="3" t="s">
        <v>3</v>
      </c>
      <c r="F8088" s="4">
        <v>2.47E-164</v>
      </c>
      <c r="G8088" s="3">
        <v>1230</v>
      </c>
      <c r="H8088" s="3">
        <v>61</v>
      </c>
      <c r="I8088" s="3">
        <v>412</v>
      </c>
      <c r="J8088" s="3">
        <v>143</v>
      </c>
      <c r="K8088" s="3">
        <v>1369</v>
      </c>
      <c r="L8088" s="3">
        <v>11</v>
      </c>
      <c r="M8088" s="3">
        <v>414</v>
      </c>
    </row>
    <row r="8089" spans="1:13" x14ac:dyDescent="0.25">
      <c r="A8089" s="1" t="str">
        <f>HYPERLINK("http://www.rosaceae.org/Prunus/Prunus_persica/p.persica_gdr_reftransV1_0009203","p.persica_gdr_reftransV1_0009203")</f>
        <v>p.persica_gdr_reftransV1_0009203</v>
      </c>
      <c r="B8089" s="3">
        <v>4123</v>
      </c>
      <c r="C8089" s="1" t="str">
        <f>HYPERLINK("http://www.uniprot.org/uniprot/BRI1_SOLPE","BRI1_SOLPE")</f>
        <v>BRI1_SOLPE</v>
      </c>
      <c r="D8089" t="s">
        <v>6315</v>
      </c>
      <c r="E8089" s="3" t="s">
        <v>3774</v>
      </c>
      <c r="F8089" s="4">
        <v>0</v>
      </c>
      <c r="G8089" s="3">
        <v>4181</v>
      </c>
      <c r="H8089" s="3">
        <v>71</v>
      </c>
      <c r="I8089" s="3">
        <v>1155</v>
      </c>
      <c r="J8089" s="3">
        <v>421</v>
      </c>
      <c r="K8089" s="3">
        <v>3870</v>
      </c>
      <c r="L8089" s="3">
        <v>41</v>
      </c>
      <c r="M8089" s="3">
        <v>1193</v>
      </c>
    </row>
    <row r="8090" spans="1:13" x14ac:dyDescent="0.25">
      <c r="A8090" s="1" t="str">
        <f>HYPERLINK("http://www.rosaceae.org/Prunus/Prunus_persica/p.persica_gdr_reftransV1_0009253","p.persica_gdr_reftransV1_0009253")</f>
        <v>p.persica_gdr_reftransV1_0009253</v>
      </c>
      <c r="B8090" s="3">
        <v>1125</v>
      </c>
      <c r="C8090" s="1" t="str">
        <f>HYPERLINK("http://www.uniprot.org/uniprot/FRS5_ARATH","FRS5_ARATH")</f>
        <v>FRS5_ARATH</v>
      </c>
      <c r="D8090" t="s">
        <v>908</v>
      </c>
      <c r="E8090" s="3" t="s">
        <v>3</v>
      </c>
      <c r="F8090" s="4">
        <v>1.5100000000000001E-18</v>
      </c>
      <c r="G8090" s="3">
        <v>224</v>
      </c>
      <c r="H8090" s="3">
        <v>37</v>
      </c>
      <c r="I8090" s="3">
        <v>167</v>
      </c>
      <c r="J8090" s="3">
        <v>268</v>
      </c>
      <c r="K8090" s="3">
        <v>705</v>
      </c>
      <c r="L8090" s="3">
        <v>21</v>
      </c>
      <c r="M8090" s="3">
        <v>183</v>
      </c>
    </row>
    <row r="8091" spans="1:13" x14ac:dyDescent="0.25">
      <c r="A8091" s="1" t="str">
        <f>HYPERLINK("http://www.rosaceae.org/Prunus/Prunus_persica/p.persica_gdr_reftransV1_0009303","p.persica_gdr_reftransV1_0009303")</f>
        <v>p.persica_gdr_reftransV1_0009303</v>
      </c>
      <c r="B8091" s="3">
        <v>1916</v>
      </c>
      <c r="C8091" s="1" t="str">
        <f>HYPERLINK("http://www.uniprot.org/uniprot/Y2267_ARATH","Y2267_ARATH")</f>
        <v>Y2267_ARATH</v>
      </c>
      <c r="D8091" t="s">
        <v>2221</v>
      </c>
      <c r="E8091" s="3" t="s">
        <v>3</v>
      </c>
      <c r="F8091" s="4">
        <v>2.42E-85</v>
      </c>
      <c r="G8091" s="3">
        <v>733</v>
      </c>
      <c r="H8091" s="3">
        <v>41</v>
      </c>
      <c r="I8091" s="3">
        <v>539</v>
      </c>
      <c r="J8091" s="3">
        <v>334</v>
      </c>
      <c r="K8091" s="3">
        <v>1914</v>
      </c>
      <c r="L8091" s="3">
        <v>28</v>
      </c>
      <c r="M8091" s="3">
        <v>544</v>
      </c>
    </row>
    <row r="8092" spans="1:13" x14ac:dyDescent="0.25">
      <c r="A8092" s="1" t="str">
        <f>HYPERLINK("http://www.rosaceae.org/Prunus/Prunus_persica/p.persica_gdr_reftransV1_0009403","p.persica_gdr_reftransV1_0009403")</f>
        <v>p.persica_gdr_reftransV1_0009403</v>
      </c>
      <c r="B8092" s="3">
        <v>1661</v>
      </c>
      <c r="C8092" s="1" t="str">
        <f>HYPERLINK("http://www.uniprot.org/uniprot/PPI1_ARATH","PPI1_ARATH")</f>
        <v>PPI1_ARATH</v>
      </c>
      <c r="D8092" t="s">
        <v>706</v>
      </c>
      <c r="E8092" s="3" t="s">
        <v>3</v>
      </c>
      <c r="F8092" s="4">
        <v>9.9399999999999993E-7</v>
      </c>
      <c r="G8092" s="3">
        <v>132</v>
      </c>
      <c r="H8092" s="3">
        <v>33</v>
      </c>
      <c r="I8092" s="3">
        <v>81</v>
      </c>
      <c r="J8092" s="3">
        <v>520</v>
      </c>
      <c r="K8092" s="3">
        <v>762</v>
      </c>
      <c r="L8092" s="3">
        <v>229</v>
      </c>
      <c r="M8092" s="3">
        <v>309</v>
      </c>
    </row>
    <row r="8093" spans="1:13" x14ac:dyDescent="0.25">
      <c r="A8093" s="1" t="str">
        <f>HYPERLINK("http://www.rosaceae.org/Prunus/Prunus_persica/p.persica_gdr_reftransV1_0009703","p.persica_gdr_reftransV1_0009703")</f>
        <v>p.persica_gdr_reftransV1_0009703</v>
      </c>
      <c r="B8093" s="3">
        <v>2534</v>
      </c>
      <c r="C8093" s="1" t="str">
        <f>HYPERLINK("http://www.uniprot.org/uniprot/Y5830_ARATH","Y5830_ARATH")</f>
        <v>Y5830_ARATH</v>
      </c>
      <c r="D8093" t="s">
        <v>6316</v>
      </c>
      <c r="E8093" s="3" t="s">
        <v>3</v>
      </c>
      <c r="F8093" s="4">
        <v>0</v>
      </c>
      <c r="G8093" s="3">
        <v>1818</v>
      </c>
      <c r="H8093" s="3">
        <v>65</v>
      </c>
      <c r="I8093" s="3">
        <v>630</v>
      </c>
      <c r="J8093" s="3">
        <v>353</v>
      </c>
      <c r="K8093" s="3">
        <v>2233</v>
      </c>
      <c r="L8093" s="3">
        <v>31</v>
      </c>
      <c r="M8093" s="3">
        <v>653</v>
      </c>
    </row>
    <row r="8094" spans="1:13" x14ac:dyDescent="0.25">
      <c r="A8094" s="1" t="str">
        <f>HYPERLINK("http://www.rosaceae.org/Prunus/Prunus_persica/p.persica_gdr_reftransV1_0009853","p.persica_gdr_reftransV1_0009853")</f>
        <v>p.persica_gdr_reftransV1_0009853</v>
      </c>
      <c r="B8094" s="3">
        <v>1463</v>
      </c>
      <c r="C8094" s="1" t="str">
        <f>HYPERLINK("http://www.uniprot.org/uniprot/TRC_DROPS","TRC_DROPS")</f>
        <v>TRC_DROPS</v>
      </c>
      <c r="D8094" t="s">
        <v>5597</v>
      </c>
      <c r="E8094" s="3" t="s">
        <v>3741</v>
      </c>
      <c r="F8094" s="4">
        <v>1.64E-105</v>
      </c>
      <c r="G8094" s="3">
        <v>843</v>
      </c>
      <c r="H8094" s="3">
        <v>55</v>
      </c>
      <c r="I8094" s="3">
        <v>307</v>
      </c>
      <c r="J8094" s="3">
        <v>547</v>
      </c>
      <c r="K8094" s="3">
        <v>1461</v>
      </c>
      <c r="L8094" s="3">
        <v>16</v>
      </c>
      <c r="M8094" s="3">
        <v>317</v>
      </c>
    </row>
    <row r="8095" spans="1:13" x14ac:dyDescent="0.25">
      <c r="A8095" s="1" t="str">
        <f>HYPERLINK("http://www.rosaceae.org/Prunus/Prunus_persica/p.persica_gdr_reftransV1_0010003","p.persica_gdr_reftransV1_0010003")</f>
        <v>p.persica_gdr_reftransV1_0010003</v>
      </c>
      <c r="B8095" s="3">
        <v>1691</v>
      </c>
      <c r="C8095" s="1" t="str">
        <f>HYPERLINK("http://www.uniprot.org/uniprot/ATL54_ARATH","ATL54_ARATH")</f>
        <v>ATL54_ARATH</v>
      </c>
      <c r="D8095" t="s">
        <v>432</v>
      </c>
      <c r="E8095" s="3" t="s">
        <v>3</v>
      </c>
      <c r="F8095" s="4">
        <v>4.3000000000000002E-36</v>
      </c>
      <c r="G8095" s="3">
        <v>361</v>
      </c>
      <c r="H8095" s="3">
        <v>67</v>
      </c>
      <c r="I8095" s="3">
        <v>96</v>
      </c>
      <c r="J8095" s="3">
        <v>216</v>
      </c>
      <c r="K8095" s="3">
        <v>503</v>
      </c>
      <c r="L8095" s="3">
        <v>131</v>
      </c>
      <c r="M8095" s="3">
        <v>223</v>
      </c>
    </row>
    <row r="8096" spans="1:13" x14ac:dyDescent="0.25">
      <c r="A8096" s="1" t="str">
        <f>HYPERLINK("http://www.rosaceae.org/Prunus/Prunus_persica/p.persica_gdr_reftransV1_0010253","p.persica_gdr_reftransV1_0010253")</f>
        <v>p.persica_gdr_reftransV1_0010253</v>
      </c>
      <c r="B8096" s="3">
        <v>738</v>
      </c>
      <c r="C8096" s="1" t="str">
        <f>HYPERLINK("http://www.uniprot.org/uniprot/Y1259_ARATH","Y1259_ARATH")</f>
        <v>Y1259_ARATH</v>
      </c>
      <c r="D8096" t="s">
        <v>6317</v>
      </c>
      <c r="E8096" s="3" t="s">
        <v>3</v>
      </c>
      <c r="F8096" s="4">
        <v>1.9E-72</v>
      </c>
      <c r="G8096" s="3">
        <v>574</v>
      </c>
      <c r="H8096" s="3">
        <v>74</v>
      </c>
      <c r="I8096" s="3">
        <v>172</v>
      </c>
      <c r="J8096" s="3">
        <v>51</v>
      </c>
      <c r="K8096" s="3">
        <v>566</v>
      </c>
      <c r="L8096" s="3">
        <v>1</v>
      </c>
      <c r="M8096" s="3">
        <v>172</v>
      </c>
    </row>
    <row r="8097" spans="1:13" x14ac:dyDescent="0.25">
      <c r="A8097" s="1" t="str">
        <f>HYPERLINK("http://www.rosaceae.org/Prunus/Prunus_persica/p.persica_gdr_reftransV1_0010353","p.persica_gdr_reftransV1_0010353")</f>
        <v>p.persica_gdr_reftransV1_0010353</v>
      </c>
      <c r="B8097" s="3">
        <v>3015</v>
      </c>
      <c r="C8097" s="1" t="str">
        <f>HYPERLINK("http://www.uniprot.org/uniprot/RGA1_SOLBU","RGA1_SOLBU")</f>
        <v>RGA1_SOLBU</v>
      </c>
      <c r="D8097" t="s">
        <v>559</v>
      </c>
      <c r="E8097" s="3" t="s">
        <v>560</v>
      </c>
      <c r="F8097" s="4">
        <v>2.8199999999999999E-112</v>
      </c>
      <c r="G8097" s="3">
        <v>967</v>
      </c>
      <c r="H8097" s="3">
        <v>34</v>
      </c>
      <c r="I8097" s="3">
        <v>877</v>
      </c>
      <c r="J8097" s="3">
        <v>117</v>
      </c>
      <c r="K8097" s="3">
        <v>2597</v>
      </c>
      <c r="L8097" s="3">
        <v>6</v>
      </c>
      <c r="M8097" s="3">
        <v>814</v>
      </c>
    </row>
    <row r="8098" spans="1:13" x14ac:dyDescent="0.25">
      <c r="A8098" s="1" t="str">
        <f>HYPERLINK("http://www.rosaceae.org/Prunus/Prunus_persica/p.persica_gdr_reftransV1_0010453","p.persica_gdr_reftransV1_0010453")</f>
        <v>p.persica_gdr_reftransV1_0010453</v>
      </c>
      <c r="B8098" s="3">
        <v>393</v>
      </c>
      <c r="C8098" s="1" t="str">
        <f>HYPERLINK("http://www.uniprot.org/uniprot/NDRA_DICDI","NDRA_DICDI")</f>
        <v>NDRA_DICDI</v>
      </c>
      <c r="D8098" t="s">
        <v>6318</v>
      </c>
      <c r="E8098" s="3" t="s">
        <v>9</v>
      </c>
      <c r="F8098" s="4">
        <v>2.41E-12</v>
      </c>
      <c r="G8098" s="3">
        <v>163</v>
      </c>
      <c r="H8098" s="3">
        <v>40</v>
      </c>
      <c r="I8098" s="3">
        <v>84</v>
      </c>
      <c r="J8098" s="3">
        <v>2</v>
      </c>
      <c r="K8098" s="3">
        <v>253</v>
      </c>
      <c r="L8098" s="3">
        <v>39</v>
      </c>
      <c r="M8098" s="3">
        <v>122</v>
      </c>
    </row>
    <row r="8099" spans="1:13" x14ac:dyDescent="0.25">
      <c r="A8099" s="1" t="str">
        <f>HYPERLINK("http://www.rosaceae.org/Prunus/Prunus_persica/p.persica_gdr_reftransV1_0010553","p.persica_gdr_reftransV1_0010553")</f>
        <v>p.persica_gdr_reftransV1_0010553</v>
      </c>
      <c r="B8099" s="3">
        <v>2867</v>
      </c>
      <c r="C8099" s="1" t="str">
        <f>HYPERLINK("http://www.uniprot.org/uniprot/ISPG_ARATH","ISPG_ARATH")</f>
        <v>ISPG_ARATH</v>
      </c>
      <c r="D8099" t="s">
        <v>6319</v>
      </c>
      <c r="E8099" s="3" t="s">
        <v>3</v>
      </c>
      <c r="F8099" s="4">
        <v>0</v>
      </c>
      <c r="G8099" s="3">
        <v>3357</v>
      </c>
      <c r="H8099" s="3">
        <v>86</v>
      </c>
      <c r="I8099" s="3">
        <v>740</v>
      </c>
      <c r="J8099" s="3">
        <v>172</v>
      </c>
      <c r="K8099" s="3">
        <v>2391</v>
      </c>
      <c r="L8099" s="3">
        <v>1</v>
      </c>
      <c r="M8099" s="3">
        <v>740</v>
      </c>
    </row>
    <row r="8100" spans="1:13" x14ac:dyDescent="0.25">
      <c r="A8100" s="1" t="str">
        <f>HYPERLINK("http://www.rosaceae.org/Prunus/Prunus_persica/p.persica_gdr_reftransV1_0010703","p.persica_gdr_reftransV1_0010703")</f>
        <v>p.persica_gdr_reftransV1_0010703</v>
      </c>
      <c r="B8100" s="3">
        <v>1575</v>
      </c>
      <c r="C8100" s="1" t="str">
        <f>HYPERLINK("http://www.uniprot.org/uniprot/CML18_ARATH","CML18_ARATH")</f>
        <v>CML18_ARATH</v>
      </c>
      <c r="D8100" t="s">
        <v>6320</v>
      </c>
      <c r="E8100" s="3" t="s">
        <v>3</v>
      </c>
      <c r="F8100" s="4">
        <v>3.0700000000000003E-70</v>
      </c>
      <c r="G8100" s="3">
        <v>582</v>
      </c>
      <c r="H8100" s="3">
        <v>82</v>
      </c>
      <c r="I8100" s="3">
        <v>158</v>
      </c>
      <c r="J8100" s="3">
        <v>683</v>
      </c>
      <c r="K8100" s="3">
        <v>1156</v>
      </c>
      <c r="L8100" s="3">
        <v>10</v>
      </c>
      <c r="M8100" s="3">
        <v>165</v>
      </c>
    </row>
    <row r="8101" spans="1:13" x14ac:dyDescent="0.25">
      <c r="A8101" s="1" t="str">
        <f>HYPERLINK("http://www.rosaceae.org/Prunus/Prunus_persica/p.persica_gdr_reftransV1_0010753","p.persica_gdr_reftransV1_0010753")</f>
        <v>p.persica_gdr_reftransV1_0010753</v>
      </c>
      <c r="B8101" s="3">
        <v>650</v>
      </c>
      <c r="C8101" s="1" t="str">
        <f>HYPERLINK("http://www.uniprot.org/uniprot/PP251_ARATH","PP251_ARATH")</f>
        <v>PP251_ARATH</v>
      </c>
      <c r="D8101" t="s">
        <v>1144</v>
      </c>
      <c r="E8101" s="3" t="s">
        <v>3</v>
      </c>
      <c r="F8101" s="4">
        <v>2.1100000000000001E-64</v>
      </c>
      <c r="G8101" s="3">
        <v>553</v>
      </c>
      <c r="H8101" s="3">
        <v>65</v>
      </c>
      <c r="I8101" s="3">
        <v>150</v>
      </c>
      <c r="J8101" s="3">
        <v>200</v>
      </c>
      <c r="K8101" s="3">
        <v>649</v>
      </c>
      <c r="L8101" s="3">
        <v>192</v>
      </c>
      <c r="M8101" s="3">
        <v>341</v>
      </c>
    </row>
    <row r="8102" spans="1:13" x14ac:dyDescent="0.25">
      <c r="A8102" s="1" t="str">
        <f>HYPERLINK("http://www.rosaceae.org/Prunus/Prunus_persica/p.persica_gdr_reftransV1_0010903","p.persica_gdr_reftransV1_0010903")</f>
        <v>p.persica_gdr_reftransV1_0010903</v>
      </c>
      <c r="B8102" s="3">
        <v>1664</v>
      </c>
      <c r="C8102" s="1" t="str">
        <f>HYPERLINK("http://www.uniprot.org/uniprot/OEP80_ARATH","OEP80_ARATH")</f>
        <v>OEP80_ARATH</v>
      </c>
      <c r="D8102" t="s">
        <v>5679</v>
      </c>
      <c r="E8102" s="3" t="s">
        <v>3</v>
      </c>
      <c r="F8102" s="4">
        <v>3.53E-64</v>
      </c>
      <c r="G8102" s="3">
        <v>582</v>
      </c>
      <c r="H8102" s="3">
        <v>40</v>
      </c>
      <c r="I8102" s="3">
        <v>311</v>
      </c>
      <c r="J8102" s="3">
        <v>341</v>
      </c>
      <c r="K8102" s="3">
        <v>1255</v>
      </c>
      <c r="L8102" s="3">
        <v>427</v>
      </c>
      <c r="M8102" s="3">
        <v>728</v>
      </c>
    </row>
    <row r="8103" spans="1:13" x14ac:dyDescent="0.25">
      <c r="A8103" s="1" t="str">
        <f>HYPERLINK("http://www.rosaceae.org/Prunus/Prunus_persica/p.persica_gdr_reftransV1_0011053","p.persica_gdr_reftransV1_0011053")</f>
        <v>p.persica_gdr_reftransV1_0011053</v>
      </c>
      <c r="B8103" s="3">
        <v>760</v>
      </c>
      <c r="C8103" s="1" t="str">
        <f>HYPERLINK("http://www.uniprot.org/uniprot/HMDH2_HEVBR","HMDH2_HEVBR")</f>
        <v>HMDH2_HEVBR</v>
      </c>
      <c r="D8103" t="s">
        <v>6321</v>
      </c>
      <c r="E8103" s="3" t="s">
        <v>24</v>
      </c>
      <c r="F8103" s="4">
        <v>1.94E-51</v>
      </c>
      <c r="G8103" s="3">
        <v>438</v>
      </c>
      <c r="H8103" s="3">
        <v>89</v>
      </c>
      <c r="I8103" s="3">
        <v>98</v>
      </c>
      <c r="J8103" s="3">
        <v>2</v>
      </c>
      <c r="K8103" s="3">
        <v>295</v>
      </c>
      <c r="L8103" s="3">
        <v>112</v>
      </c>
      <c r="M8103" s="3">
        <v>209</v>
      </c>
    </row>
    <row r="8104" spans="1:13" x14ac:dyDescent="0.25">
      <c r="A8104" s="1" t="str">
        <f>HYPERLINK("http://www.rosaceae.org/Prunus/Prunus_persica/p.persica_gdr_reftransV1_0011203","p.persica_gdr_reftransV1_0011203")</f>
        <v>p.persica_gdr_reftransV1_0011203</v>
      </c>
      <c r="B8104" s="3">
        <v>2202</v>
      </c>
      <c r="C8104" s="1" t="str">
        <f>HYPERLINK("http://www.uniprot.org/uniprot/E2FA_ARATH","E2FA_ARATH")</f>
        <v>E2FA_ARATH</v>
      </c>
      <c r="D8104" t="s">
        <v>6322</v>
      </c>
      <c r="E8104" s="3" t="s">
        <v>3</v>
      </c>
      <c r="F8104" s="4">
        <v>1.4799999999999999E-175</v>
      </c>
      <c r="G8104" s="3">
        <v>1336</v>
      </c>
      <c r="H8104" s="3">
        <v>60</v>
      </c>
      <c r="I8104" s="3">
        <v>471</v>
      </c>
      <c r="J8104" s="3">
        <v>323</v>
      </c>
      <c r="K8104" s="3">
        <v>1660</v>
      </c>
      <c r="L8104" s="3">
        <v>34</v>
      </c>
      <c r="M8104" s="3">
        <v>485</v>
      </c>
    </row>
    <row r="8105" spans="1:13" x14ac:dyDescent="0.25">
      <c r="A8105" s="1" t="str">
        <f>HYPERLINK("http://www.rosaceae.org/Prunus/Prunus_persica/p.persica_gdr_reftransV1_0011253","p.persica_gdr_reftransV1_0011253")</f>
        <v>p.persica_gdr_reftransV1_0011253</v>
      </c>
      <c r="B8105" s="3">
        <v>914</v>
      </c>
      <c r="C8105" s="1" t="str">
        <f>HYPERLINK("http://www.uniprot.org/uniprot/ARC5A_ARATH","ARC5A_ARATH")</f>
        <v>ARC5A_ARATH</v>
      </c>
      <c r="D8105" t="s">
        <v>6323</v>
      </c>
      <c r="E8105" s="3" t="s">
        <v>3</v>
      </c>
      <c r="F8105" s="4">
        <v>2.0199999999999999E-79</v>
      </c>
      <c r="G8105" s="3">
        <v>622</v>
      </c>
      <c r="H8105" s="3">
        <v>88</v>
      </c>
      <c r="I8105" s="3">
        <v>130</v>
      </c>
      <c r="J8105" s="3">
        <v>135</v>
      </c>
      <c r="K8105" s="3">
        <v>524</v>
      </c>
      <c r="L8105" s="3">
        <v>3</v>
      </c>
      <c r="M8105" s="3">
        <v>132</v>
      </c>
    </row>
    <row r="8106" spans="1:13" x14ac:dyDescent="0.25">
      <c r="A8106" s="1" t="str">
        <f>HYPERLINK("http://www.rosaceae.org/Prunus/Prunus_persica/p.persica_gdr_reftransV1_0011403","p.persica_gdr_reftransV1_0011403")</f>
        <v>p.persica_gdr_reftransV1_0011403</v>
      </c>
      <c r="B8106" s="3">
        <v>967</v>
      </c>
      <c r="C8106" s="1" t="str">
        <f>HYPERLINK("http://www.uniprot.org/uniprot/CLPS_SYNE7","CLPS_SYNE7")</f>
        <v>CLPS_SYNE7</v>
      </c>
      <c r="D8106" t="s">
        <v>6324</v>
      </c>
      <c r="E8106" s="3" t="s">
        <v>6325</v>
      </c>
      <c r="F8106" s="4">
        <v>7.6799999999999999E-22</v>
      </c>
      <c r="G8106" s="3">
        <v>228</v>
      </c>
      <c r="H8106" s="3">
        <v>54</v>
      </c>
      <c r="I8106" s="3">
        <v>79</v>
      </c>
      <c r="J8106" s="3">
        <v>307</v>
      </c>
      <c r="K8106" s="3">
        <v>543</v>
      </c>
      <c r="L8106" s="3">
        <v>15</v>
      </c>
      <c r="M8106" s="3">
        <v>93</v>
      </c>
    </row>
    <row r="8107" spans="1:13" x14ac:dyDescent="0.25">
      <c r="A8107" s="1" t="str">
        <f>HYPERLINK("http://www.rosaceae.org/Prunus/Prunus_persica/p.persica_gdr_reftransV1_0011503","p.persica_gdr_reftransV1_0011503")</f>
        <v>p.persica_gdr_reftransV1_0011503</v>
      </c>
      <c r="B8107" s="3">
        <v>963</v>
      </c>
      <c r="C8107" s="1" t="str">
        <f>HYPERLINK("http://www.uniprot.org/uniprot/Y4372_ARATH","Y4372_ARATH")</f>
        <v>Y4372_ARATH</v>
      </c>
      <c r="D8107" t="s">
        <v>6326</v>
      </c>
      <c r="E8107" s="3" t="s">
        <v>3</v>
      </c>
      <c r="F8107" s="4">
        <v>5.0399999999999998E-62</v>
      </c>
      <c r="G8107" s="3">
        <v>548</v>
      </c>
      <c r="H8107" s="3">
        <v>55</v>
      </c>
      <c r="I8107" s="3">
        <v>219</v>
      </c>
      <c r="J8107" s="3">
        <v>12</v>
      </c>
      <c r="K8107" s="3">
        <v>668</v>
      </c>
      <c r="L8107" s="3">
        <v>540</v>
      </c>
      <c r="M8107" s="3">
        <v>751</v>
      </c>
    </row>
    <row r="8108" spans="1:13" x14ac:dyDescent="0.25">
      <c r="A8108" s="1" t="str">
        <f>HYPERLINK("http://www.rosaceae.org/Prunus/Prunus_persica/p.persica_gdr_reftransV1_0011603","p.persica_gdr_reftransV1_0011603")</f>
        <v>p.persica_gdr_reftransV1_0011603</v>
      </c>
      <c r="B8108" s="3">
        <v>963</v>
      </c>
      <c r="C8108" s="1" t="str">
        <f>HYPERLINK("http://www.uniprot.org/uniprot/ML423_ARATH","ML423_ARATH")</f>
        <v>ML423_ARATH</v>
      </c>
      <c r="D8108" t="s">
        <v>6327</v>
      </c>
      <c r="E8108" s="3" t="s">
        <v>3</v>
      </c>
      <c r="F8108" s="4">
        <v>2.7000000000000002E-57</v>
      </c>
      <c r="G8108" s="3">
        <v>478</v>
      </c>
      <c r="H8108" s="3">
        <v>61</v>
      </c>
      <c r="I8108" s="3">
        <v>144</v>
      </c>
      <c r="J8108" s="3">
        <v>420</v>
      </c>
      <c r="K8108" s="3">
        <v>851</v>
      </c>
      <c r="L8108" s="3">
        <v>5</v>
      </c>
      <c r="M8108" s="3">
        <v>148</v>
      </c>
    </row>
    <row r="8109" spans="1:13" x14ac:dyDescent="0.25">
      <c r="A8109" s="1" t="str">
        <f>HYPERLINK("http://www.rosaceae.org/Prunus/Prunus_persica/p.persica_gdr_reftransV1_0011753","p.persica_gdr_reftransV1_0011753")</f>
        <v>p.persica_gdr_reftransV1_0011753</v>
      </c>
      <c r="B8109" s="3">
        <v>1119</v>
      </c>
      <c r="C8109" s="1" t="str">
        <f>HYPERLINK("http://www.uniprot.org/uniprot/DME_ARATH","DME_ARATH")</f>
        <v>DME_ARATH</v>
      </c>
      <c r="D8109" t="s">
        <v>26</v>
      </c>
      <c r="E8109" s="3" t="s">
        <v>3</v>
      </c>
      <c r="F8109" s="4">
        <v>2.1300000000000001E-127</v>
      </c>
      <c r="G8109" s="3">
        <v>1049</v>
      </c>
      <c r="H8109" s="3">
        <v>61</v>
      </c>
      <c r="I8109" s="3">
        <v>374</v>
      </c>
      <c r="J8109" s="3">
        <v>2</v>
      </c>
      <c r="K8109" s="3">
        <v>1117</v>
      </c>
      <c r="L8109" s="3">
        <v>1585</v>
      </c>
      <c r="M8109" s="3">
        <v>1891</v>
      </c>
    </row>
    <row r="8110" spans="1:13" x14ac:dyDescent="0.25">
      <c r="A8110" s="1" t="str">
        <f>HYPERLINK("http://www.rosaceae.org/Prunus/Prunus_persica/p.persica_gdr_reftransV1_0011803","p.persica_gdr_reftransV1_0011803")</f>
        <v>p.persica_gdr_reftransV1_0011803</v>
      </c>
      <c r="B8110" s="3">
        <v>1721</v>
      </c>
      <c r="C8110" s="1" t="str">
        <f>HYPERLINK("http://www.uniprot.org/uniprot/KCAB_ARATH","KCAB_ARATH")</f>
        <v>KCAB_ARATH</v>
      </c>
      <c r="D8110" t="s">
        <v>6328</v>
      </c>
      <c r="E8110" s="3" t="s">
        <v>3</v>
      </c>
      <c r="F8110" s="4">
        <v>0</v>
      </c>
      <c r="G8110" s="3">
        <v>1603</v>
      </c>
      <c r="H8110" s="3">
        <v>88</v>
      </c>
      <c r="I8110" s="3">
        <v>328</v>
      </c>
      <c r="J8110" s="3">
        <v>381</v>
      </c>
      <c r="K8110" s="3">
        <v>1364</v>
      </c>
      <c r="L8110" s="3">
        <v>1</v>
      </c>
      <c r="M8110" s="3">
        <v>328</v>
      </c>
    </row>
    <row r="8111" spans="1:13" x14ac:dyDescent="0.25">
      <c r="A8111" s="1" t="str">
        <f>HYPERLINK("http://www.rosaceae.org/Prunus/Prunus_persica/p.persica_gdr_reftransV1_0011903","p.persica_gdr_reftransV1_0011903")</f>
        <v>p.persica_gdr_reftransV1_0011903</v>
      </c>
      <c r="B8111" s="3">
        <v>2688</v>
      </c>
      <c r="C8111" s="1" t="str">
        <f>HYPERLINK("http://www.uniprot.org/uniprot/ZN363_MOUSE","ZN363_MOUSE")</f>
        <v>ZN363_MOUSE</v>
      </c>
      <c r="D8111" t="s">
        <v>6329</v>
      </c>
      <c r="E8111" s="3" t="s">
        <v>157</v>
      </c>
      <c r="F8111" s="4">
        <v>4.7299999999999998E-30</v>
      </c>
      <c r="G8111" s="3">
        <v>314</v>
      </c>
      <c r="H8111" s="3">
        <v>46</v>
      </c>
      <c r="I8111" s="3">
        <v>134</v>
      </c>
      <c r="J8111" s="3">
        <v>1430</v>
      </c>
      <c r="K8111" s="3">
        <v>1831</v>
      </c>
      <c r="L8111" s="3">
        <v>125</v>
      </c>
      <c r="M8111" s="3">
        <v>257</v>
      </c>
    </row>
    <row r="8112" spans="1:13" x14ac:dyDescent="0.25">
      <c r="A8112" s="1" t="str">
        <f>HYPERLINK("http://www.rosaceae.org/Prunus/Prunus_persica/p.persica_gdr_reftransV1_0011953","p.persica_gdr_reftransV1_0011953")</f>
        <v>p.persica_gdr_reftransV1_0011953</v>
      </c>
      <c r="B8112" s="3">
        <v>2310</v>
      </c>
      <c r="C8112" s="1" t="str">
        <f>HYPERLINK("http://www.uniprot.org/uniprot/FK111_ARATH","FK111_ARATH")</f>
        <v>FK111_ARATH</v>
      </c>
      <c r="D8112" t="s">
        <v>6330</v>
      </c>
      <c r="E8112" s="3" t="s">
        <v>3</v>
      </c>
      <c r="F8112" s="4">
        <v>0</v>
      </c>
      <c r="G8112" s="3">
        <v>1924</v>
      </c>
      <c r="H8112" s="3">
        <v>88</v>
      </c>
      <c r="I8112" s="3">
        <v>407</v>
      </c>
      <c r="J8112" s="3">
        <v>586</v>
      </c>
      <c r="K8112" s="3">
        <v>1803</v>
      </c>
      <c r="L8112" s="3">
        <v>42</v>
      </c>
      <c r="M8112" s="3">
        <v>447</v>
      </c>
    </row>
    <row r="8113" spans="1:13" x14ac:dyDescent="0.25">
      <c r="A8113" s="1" t="str">
        <f>HYPERLINK("http://www.rosaceae.org/Prunus/Prunus_persica/p.persica_gdr_reftransV1_0012103","p.persica_gdr_reftransV1_0012103")</f>
        <v>p.persica_gdr_reftransV1_0012103</v>
      </c>
      <c r="B8113" s="3">
        <v>2153</v>
      </c>
      <c r="C8113" s="1" t="str">
        <f>HYPERLINK("http://www.uniprot.org/uniprot/PTC52_ARATH","PTC52_ARATH")</f>
        <v>PTC52_ARATH</v>
      </c>
      <c r="D8113" t="s">
        <v>6331</v>
      </c>
      <c r="E8113" s="3" t="s">
        <v>3</v>
      </c>
      <c r="F8113" s="4">
        <v>0</v>
      </c>
      <c r="G8113" s="3">
        <v>1785</v>
      </c>
      <c r="H8113" s="3">
        <v>61</v>
      </c>
      <c r="I8113" s="3">
        <v>572</v>
      </c>
      <c r="J8113" s="3">
        <v>331</v>
      </c>
      <c r="K8113" s="3">
        <v>2034</v>
      </c>
      <c r="L8113" s="3">
        <v>4</v>
      </c>
      <c r="M8113" s="3">
        <v>558</v>
      </c>
    </row>
    <row r="8114" spans="1:13" x14ac:dyDescent="0.25">
      <c r="A8114" s="1" t="str">
        <f>HYPERLINK("http://www.rosaceae.org/Prunus/Prunus_persica/p.persica_gdr_reftransV1_0012153","p.persica_gdr_reftransV1_0012153")</f>
        <v>p.persica_gdr_reftransV1_0012153</v>
      </c>
      <c r="B8114" s="3">
        <v>2275</v>
      </c>
      <c r="C8114" s="1" t="str">
        <f>HYPERLINK("http://www.uniprot.org/uniprot/Y5986_ARATH","Y5986_ARATH")</f>
        <v>Y5986_ARATH</v>
      </c>
      <c r="D8114" t="s">
        <v>4689</v>
      </c>
      <c r="E8114" s="3" t="s">
        <v>3</v>
      </c>
      <c r="F8114" s="4">
        <v>1.05E-116</v>
      </c>
      <c r="G8114" s="3">
        <v>934</v>
      </c>
      <c r="H8114" s="3">
        <v>50</v>
      </c>
      <c r="I8114" s="3">
        <v>468</v>
      </c>
      <c r="J8114" s="3">
        <v>591</v>
      </c>
      <c r="K8114" s="3">
        <v>1946</v>
      </c>
      <c r="L8114" s="3">
        <v>1</v>
      </c>
      <c r="M8114" s="3">
        <v>389</v>
      </c>
    </row>
    <row r="8115" spans="1:13" x14ac:dyDescent="0.25">
      <c r="A8115" s="1" t="str">
        <f>HYPERLINK("http://www.rosaceae.org/Prunus/Prunus_persica/p.persica_gdr_reftransV1_0012203","p.persica_gdr_reftransV1_0012203")</f>
        <v>p.persica_gdr_reftransV1_0012203</v>
      </c>
      <c r="B8115" s="3">
        <v>1284</v>
      </c>
      <c r="C8115" s="1" t="str">
        <f>HYPERLINK("http://www.uniprot.org/uniprot/Y3514_ARATH","Y3514_ARATH")</f>
        <v>Y3514_ARATH</v>
      </c>
      <c r="D8115" t="s">
        <v>6332</v>
      </c>
      <c r="E8115" s="3" t="s">
        <v>3</v>
      </c>
      <c r="F8115" s="4">
        <v>1.2100000000000001E-122</v>
      </c>
      <c r="G8115" s="3">
        <v>940</v>
      </c>
      <c r="H8115" s="3">
        <v>66</v>
      </c>
      <c r="I8115" s="3">
        <v>259</v>
      </c>
      <c r="J8115" s="3">
        <v>377</v>
      </c>
      <c r="K8115" s="3">
        <v>1153</v>
      </c>
      <c r="L8115" s="3">
        <v>79</v>
      </c>
      <c r="M8115" s="3">
        <v>337</v>
      </c>
    </row>
    <row r="8116" spans="1:13" x14ac:dyDescent="0.25">
      <c r="A8116" s="1" t="str">
        <f>HYPERLINK("http://www.rosaceae.org/Prunus/Prunus_persica/p.persica_gdr_reftransV1_0012553","p.persica_gdr_reftransV1_0012553")</f>
        <v>p.persica_gdr_reftransV1_0012553</v>
      </c>
      <c r="B8116" s="3">
        <v>4190</v>
      </c>
      <c r="C8116" s="1" t="str">
        <f>HYPERLINK("http://www.uniprot.org/uniprot/C3H65_ARATH","C3H65_ARATH")</f>
        <v>C3H65_ARATH</v>
      </c>
      <c r="D8116" t="s">
        <v>6333</v>
      </c>
      <c r="E8116" s="3" t="s">
        <v>3</v>
      </c>
      <c r="F8116" s="4">
        <v>1.51E-42</v>
      </c>
      <c r="G8116" s="3">
        <v>432</v>
      </c>
      <c r="H8116" s="3">
        <v>38</v>
      </c>
      <c r="I8116" s="3">
        <v>260</v>
      </c>
      <c r="J8116" s="3">
        <v>1704</v>
      </c>
      <c r="K8116" s="3">
        <v>2408</v>
      </c>
      <c r="L8116" s="3">
        <v>336</v>
      </c>
      <c r="M8116" s="3">
        <v>583</v>
      </c>
    </row>
    <row r="8117" spans="1:13" x14ac:dyDescent="0.25">
      <c r="A8117" s="1" t="str">
        <f>HYPERLINK("http://www.rosaceae.org/Prunus/Prunus_persica/p.persica_gdr_reftransV1_0012653","p.persica_gdr_reftransV1_0012653")</f>
        <v>p.persica_gdr_reftransV1_0012653</v>
      </c>
      <c r="B8117" s="3">
        <v>2932</v>
      </c>
      <c r="C8117" s="1" t="str">
        <f>HYPERLINK("http://www.uniprot.org/uniprot/GUN6_ARATH","GUN6_ARATH")</f>
        <v>GUN6_ARATH</v>
      </c>
      <c r="D8117" t="s">
        <v>6334</v>
      </c>
      <c r="E8117" s="3" t="s">
        <v>3</v>
      </c>
      <c r="F8117" s="4">
        <v>0</v>
      </c>
      <c r="G8117" s="3">
        <v>2399</v>
      </c>
      <c r="H8117" s="3">
        <v>79</v>
      </c>
      <c r="I8117" s="3">
        <v>583</v>
      </c>
      <c r="J8117" s="3">
        <v>567</v>
      </c>
      <c r="K8117" s="3">
        <v>2309</v>
      </c>
      <c r="L8117" s="3">
        <v>23</v>
      </c>
      <c r="M8117" s="3">
        <v>605</v>
      </c>
    </row>
    <row r="8118" spans="1:13" x14ac:dyDescent="0.25">
      <c r="A8118" s="1" t="str">
        <f>HYPERLINK("http://www.rosaceae.org/Prunus/Prunus_persica/p.persica_gdr_reftransV1_0012703","p.persica_gdr_reftransV1_0012703")</f>
        <v>p.persica_gdr_reftransV1_0012703</v>
      </c>
      <c r="B8118" s="3">
        <v>512</v>
      </c>
      <c r="C8118" s="1" t="str">
        <f>HYPERLINK("http://www.uniprot.org/uniprot/REMO_SOLTU","REMO_SOLTU")</f>
        <v>REMO_SOLTU</v>
      </c>
      <c r="D8118" t="s">
        <v>1895</v>
      </c>
      <c r="E8118" s="3" t="s">
        <v>11</v>
      </c>
      <c r="F8118" s="4">
        <v>2.1299999999999999E-9</v>
      </c>
      <c r="G8118" s="3">
        <v>137</v>
      </c>
      <c r="H8118" s="3">
        <v>38</v>
      </c>
      <c r="I8118" s="3">
        <v>119</v>
      </c>
      <c r="J8118" s="3">
        <v>87</v>
      </c>
      <c r="K8118" s="3">
        <v>443</v>
      </c>
      <c r="L8118" s="3">
        <v>83</v>
      </c>
      <c r="M8118" s="3">
        <v>197</v>
      </c>
    </row>
    <row r="8119" spans="1:13" x14ac:dyDescent="0.25">
      <c r="A8119" s="1" t="str">
        <f>HYPERLINK("http://www.rosaceae.org/Prunus/Prunus_persica/p.persica_gdr_reftransV1_0012753","p.persica_gdr_reftransV1_0012753")</f>
        <v>p.persica_gdr_reftransV1_0012753</v>
      </c>
      <c r="B8119" s="3">
        <v>1651</v>
      </c>
      <c r="C8119" s="1" t="str">
        <f>HYPERLINK("http://www.uniprot.org/uniprot/MSI2_ARATH","MSI2_ARATH")</f>
        <v>MSI2_ARATH</v>
      </c>
      <c r="D8119" t="s">
        <v>6335</v>
      </c>
      <c r="E8119" s="3" t="s">
        <v>3</v>
      </c>
      <c r="F8119" s="4">
        <v>0</v>
      </c>
      <c r="G8119" s="3">
        <v>1439</v>
      </c>
      <c r="H8119" s="3">
        <v>72</v>
      </c>
      <c r="I8119" s="3">
        <v>389</v>
      </c>
      <c r="J8119" s="3">
        <v>306</v>
      </c>
      <c r="K8119" s="3">
        <v>1457</v>
      </c>
      <c r="L8119" s="3">
        <v>18</v>
      </c>
      <c r="M8119" s="3">
        <v>405</v>
      </c>
    </row>
    <row r="8120" spans="1:13" x14ac:dyDescent="0.25">
      <c r="A8120" s="1" t="str">
        <f>HYPERLINK("http://www.rosaceae.org/Prunus/Prunus_persica/p.persica_gdr_reftransV1_0012853","p.persica_gdr_reftransV1_0012853")</f>
        <v>p.persica_gdr_reftransV1_0012853</v>
      </c>
      <c r="B8120" s="3">
        <v>534</v>
      </c>
      <c r="C8120" s="1" t="str">
        <f>HYPERLINK("http://www.uniprot.org/uniprot/RPOC2_MANES","RPOC2_MANES")</f>
        <v>RPOC2_MANES</v>
      </c>
      <c r="D8120" t="s">
        <v>1796</v>
      </c>
      <c r="E8120" s="3" t="s">
        <v>1797</v>
      </c>
      <c r="F8120" s="4">
        <v>1.01E-98</v>
      </c>
      <c r="G8120" s="3">
        <v>809</v>
      </c>
      <c r="H8120" s="3">
        <v>86</v>
      </c>
      <c r="I8120" s="3">
        <v>179</v>
      </c>
      <c r="J8120" s="3">
        <v>3</v>
      </c>
      <c r="K8120" s="3">
        <v>533</v>
      </c>
      <c r="L8120" s="3">
        <v>382</v>
      </c>
      <c r="M8120" s="3">
        <v>560</v>
      </c>
    </row>
    <row r="8121" spans="1:13" x14ac:dyDescent="0.25">
      <c r="A8121" s="1" t="str">
        <f>HYPERLINK("http://www.rosaceae.org/Prunus/Prunus_persica/p.persica_gdr_reftransV1_0012903","p.persica_gdr_reftransV1_0012903")</f>
        <v>p.persica_gdr_reftransV1_0012903</v>
      </c>
      <c r="B8121" s="3">
        <v>959</v>
      </c>
      <c r="C8121" s="1" t="str">
        <f>HYPERLINK("http://www.uniprot.org/uniprot/Y1465_ARATH","Y1465_ARATH")</f>
        <v>Y1465_ARATH</v>
      </c>
      <c r="D8121" t="s">
        <v>1913</v>
      </c>
      <c r="E8121" s="3" t="s">
        <v>3</v>
      </c>
      <c r="F8121" s="4">
        <v>2.4399999999999998E-21</v>
      </c>
      <c r="G8121" s="3">
        <v>233</v>
      </c>
      <c r="H8121" s="3">
        <v>33</v>
      </c>
      <c r="I8121" s="3">
        <v>196</v>
      </c>
      <c r="J8121" s="3">
        <v>72</v>
      </c>
      <c r="K8121" s="3">
        <v>641</v>
      </c>
      <c r="L8121" s="3">
        <v>9</v>
      </c>
      <c r="M8121" s="3">
        <v>201</v>
      </c>
    </row>
    <row r="8122" spans="1:13" x14ac:dyDescent="0.25">
      <c r="A8122" s="1" t="str">
        <f>HYPERLINK("http://www.rosaceae.org/Prunus/Prunus_persica/p.persica_gdr_reftransV1_0012953","p.persica_gdr_reftransV1_0012953")</f>
        <v>p.persica_gdr_reftransV1_0012953</v>
      </c>
      <c r="B8122" s="3">
        <v>3495</v>
      </c>
      <c r="C8122" s="1" t="str">
        <f>HYPERLINK("http://www.uniprot.org/uniprot/VPS41_SOLLC","VPS41_SOLLC")</f>
        <v>VPS41_SOLLC</v>
      </c>
      <c r="D8122" t="s">
        <v>6336</v>
      </c>
      <c r="E8122" s="3" t="s">
        <v>64</v>
      </c>
      <c r="F8122" s="4">
        <v>0</v>
      </c>
      <c r="G8122" s="3">
        <v>4018</v>
      </c>
      <c r="H8122" s="3">
        <v>80</v>
      </c>
      <c r="I8122" s="3">
        <v>926</v>
      </c>
      <c r="J8122" s="3">
        <v>378</v>
      </c>
      <c r="K8122" s="3">
        <v>3098</v>
      </c>
      <c r="L8122" s="3">
        <v>36</v>
      </c>
      <c r="M8122" s="3">
        <v>959</v>
      </c>
    </row>
    <row r="8123" spans="1:13" x14ac:dyDescent="0.25">
      <c r="A8123" s="1" t="str">
        <f>HYPERLINK("http://www.rosaceae.org/Prunus/Prunus_persica/p.persica_gdr_reftransV1_0013003","p.persica_gdr_reftransV1_0013003")</f>
        <v>p.persica_gdr_reftransV1_0013003</v>
      </c>
      <c r="B8123" s="3">
        <v>1865</v>
      </c>
      <c r="C8123" s="1" t="str">
        <f>HYPERLINK("http://www.uniprot.org/uniprot/FB253_ARATH","FB253_ARATH")</f>
        <v>FB253_ARATH</v>
      </c>
      <c r="D8123" t="s">
        <v>6337</v>
      </c>
      <c r="E8123" s="3" t="s">
        <v>3</v>
      </c>
      <c r="F8123" s="4">
        <v>4.4199999999999999E-8</v>
      </c>
      <c r="G8123" s="3">
        <v>143</v>
      </c>
      <c r="H8123" s="3">
        <v>27</v>
      </c>
      <c r="I8123" s="3">
        <v>337</v>
      </c>
      <c r="J8123" s="3">
        <v>244</v>
      </c>
      <c r="K8123" s="3">
        <v>1200</v>
      </c>
      <c r="L8123" s="3">
        <v>35</v>
      </c>
      <c r="M8123" s="3">
        <v>336</v>
      </c>
    </row>
    <row r="8124" spans="1:13" x14ac:dyDescent="0.25">
      <c r="A8124" s="1" t="str">
        <f>HYPERLINK("http://www.rosaceae.org/Prunus/Prunus_persica/p.persica_gdr_reftransV1_0013853","p.persica_gdr_reftransV1_0013853")</f>
        <v>p.persica_gdr_reftransV1_0013853</v>
      </c>
      <c r="B8124" s="3">
        <v>1560</v>
      </c>
      <c r="C8124" s="1" t="str">
        <f>HYPERLINK("http://www.uniprot.org/uniprot/Y5698_ARATH","Y5698_ARATH")</f>
        <v>Y5698_ARATH</v>
      </c>
      <c r="D8124" t="s">
        <v>6338</v>
      </c>
      <c r="E8124" s="3" t="s">
        <v>3</v>
      </c>
      <c r="F8124" s="4">
        <v>2.5199999999999999E-15</v>
      </c>
      <c r="G8124" s="3">
        <v>198</v>
      </c>
      <c r="H8124" s="3">
        <v>25</v>
      </c>
      <c r="I8124" s="3">
        <v>301</v>
      </c>
      <c r="J8124" s="3">
        <v>515</v>
      </c>
      <c r="K8124" s="3">
        <v>1291</v>
      </c>
      <c r="L8124" s="3">
        <v>8</v>
      </c>
      <c r="M8124" s="3">
        <v>304</v>
      </c>
    </row>
    <row r="8125" spans="1:13" x14ac:dyDescent="0.25">
      <c r="A8125" s="1" t="str">
        <f>HYPERLINK("http://www.rosaceae.org/Prunus/Prunus_persica/p.persica_gdr_reftransV1_0014003","p.persica_gdr_reftransV1_0014003")</f>
        <v>p.persica_gdr_reftransV1_0014003</v>
      </c>
      <c r="B8125" s="3">
        <v>928</v>
      </c>
      <c r="C8125" s="1" t="str">
        <f>HYPERLINK("http://www.uniprot.org/uniprot/AGC17_ARATH","AGC17_ARATH")</f>
        <v>AGC17_ARATH</v>
      </c>
      <c r="D8125" t="s">
        <v>6339</v>
      </c>
      <c r="E8125" s="3" t="s">
        <v>3</v>
      </c>
      <c r="F8125" s="4">
        <v>9.28E-110</v>
      </c>
      <c r="G8125" s="3">
        <v>862</v>
      </c>
      <c r="H8125" s="3">
        <v>71</v>
      </c>
      <c r="I8125" s="3">
        <v>233</v>
      </c>
      <c r="J8125" s="3">
        <v>3</v>
      </c>
      <c r="K8125" s="3">
        <v>647</v>
      </c>
      <c r="L8125" s="3">
        <v>325</v>
      </c>
      <c r="M8125" s="3">
        <v>555</v>
      </c>
    </row>
    <row r="8126" spans="1:13" x14ac:dyDescent="0.25">
      <c r="A8126" s="1" t="str">
        <f>HYPERLINK("http://www.rosaceae.org/Prunus/Prunus_persica/p.persica_gdr_reftransV1_0014103","p.persica_gdr_reftransV1_0014103")</f>
        <v>p.persica_gdr_reftransV1_0014103</v>
      </c>
      <c r="B8126" s="3">
        <v>4832</v>
      </c>
      <c r="C8126" s="1" t="str">
        <f>HYPERLINK("http://www.uniprot.org/uniprot/TC159_ARATH","TC159_ARATH")</f>
        <v>TC159_ARATH</v>
      </c>
      <c r="D8126" t="s">
        <v>6340</v>
      </c>
      <c r="E8126" s="3" t="s">
        <v>3</v>
      </c>
      <c r="F8126" s="4">
        <v>0</v>
      </c>
      <c r="G8126" s="3">
        <v>2620</v>
      </c>
      <c r="H8126" s="3">
        <v>66</v>
      </c>
      <c r="I8126" s="3">
        <v>870</v>
      </c>
      <c r="J8126" s="3">
        <v>1554</v>
      </c>
      <c r="K8126" s="3">
        <v>4118</v>
      </c>
      <c r="L8126" s="3">
        <v>639</v>
      </c>
      <c r="M8126" s="3">
        <v>1503</v>
      </c>
    </row>
    <row r="8127" spans="1:13" x14ac:dyDescent="0.25">
      <c r="A8127" s="1" t="str">
        <f>HYPERLINK("http://www.rosaceae.org/Prunus/Prunus_persica/p.persica_gdr_reftransV1_0014153","p.persica_gdr_reftransV1_0014153")</f>
        <v>p.persica_gdr_reftransV1_0014153</v>
      </c>
      <c r="B8127" s="3">
        <v>2033</v>
      </c>
      <c r="C8127" s="1" t="str">
        <f>HYPERLINK("http://www.uniprot.org/uniprot/RCH2_ARATH","RCH2_ARATH")</f>
        <v>RCH2_ARATH</v>
      </c>
      <c r="D8127" t="s">
        <v>4052</v>
      </c>
      <c r="E8127" s="3" t="s">
        <v>3</v>
      </c>
      <c r="F8127" s="4">
        <v>1.05E-35</v>
      </c>
      <c r="G8127" s="3">
        <v>374</v>
      </c>
      <c r="H8127" s="3">
        <v>41</v>
      </c>
      <c r="I8127" s="3">
        <v>267</v>
      </c>
      <c r="J8127" s="3">
        <v>731</v>
      </c>
      <c r="K8127" s="3">
        <v>1519</v>
      </c>
      <c r="L8127" s="3">
        <v>367</v>
      </c>
      <c r="M8127" s="3">
        <v>632</v>
      </c>
    </row>
    <row r="8128" spans="1:13" x14ac:dyDescent="0.25">
      <c r="A8128" s="1" t="str">
        <f>HYPERLINK("http://www.rosaceae.org/Prunus/Prunus_persica/p.persica_gdr_reftransV1_0014253","p.persica_gdr_reftransV1_0014253")</f>
        <v>p.persica_gdr_reftransV1_0014253</v>
      </c>
      <c r="B8128" s="3">
        <v>1575</v>
      </c>
      <c r="C8128" s="1" t="str">
        <f>HYPERLINK("http://www.uniprot.org/uniprot/SG1_ARATH","SG1_ARATH")</f>
        <v>SG1_ARATH</v>
      </c>
      <c r="D8128" t="s">
        <v>6341</v>
      </c>
      <c r="E8128" s="3" t="s">
        <v>3</v>
      </c>
      <c r="F8128" s="4">
        <v>1.4800000000000001E-38</v>
      </c>
      <c r="G8128" s="3">
        <v>373</v>
      </c>
      <c r="H8128" s="3">
        <v>38</v>
      </c>
      <c r="I8128" s="3">
        <v>246</v>
      </c>
      <c r="J8128" s="3">
        <v>442</v>
      </c>
      <c r="K8128" s="3">
        <v>1155</v>
      </c>
      <c r="L8128" s="3">
        <v>67</v>
      </c>
      <c r="M8128" s="3">
        <v>311</v>
      </c>
    </row>
    <row r="8129" spans="1:13" x14ac:dyDescent="0.25">
      <c r="A8129" s="1" t="str">
        <f>HYPERLINK("http://www.rosaceae.org/Prunus/Prunus_persica/p.persica_gdr_reftransV1_0014353","p.persica_gdr_reftransV1_0014353")</f>
        <v>p.persica_gdr_reftransV1_0014353</v>
      </c>
      <c r="B8129" s="3">
        <v>2079</v>
      </c>
      <c r="C8129" s="1" t="str">
        <f>HYPERLINK("http://www.uniprot.org/uniprot/Y5157_ARATH","Y5157_ARATH")</f>
        <v>Y5157_ARATH</v>
      </c>
      <c r="D8129" t="s">
        <v>5886</v>
      </c>
      <c r="E8129" s="3" t="s">
        <v>3</v>
      </c>
      <c r="F8129" s="4">
        <v>1.2800000000000001E-66</v>
      </c>
      <c r="G8129" s="3">
        <v>590</v>
      </c>
      <c r="H8129" s="3">
        <v>51</v>
      </c>
      <c r="I8129" s="3">
        <v>231</v>
      </c>
      <c r="J8129" s="3">
        <v>355</v>
      </c>
      <c r="K8129" s="3">
        <v>1035</v>
      </c>
      <c r="L8129" s="3">
        <v>32</v>
      </c>
      <c r="M8129" s="3">
        <v>256</v>
      </c>
    </row>
    <row r="8130" spans="1:13" x14ac:dyDescent="0.25">
      <c r="A8130" s="1" t="str">
        <f>HYPERLINK("http://www.rosaceae.org/Prunus/Prunus_persica/p.persica_gdr_reftransV1_0014453","p.persica_gdr_reftransV1_0014453")</f>
        <v>p.persica_gdr_reftransV1_0014453</v>
      </c>
      <c r="B8130" s="3">
        <v>831</v>
      </c>
      <c r="C8130" s="1" t="str">
        <f>HYPERLINK("http://www.uniprot.org/uniprot/CNGC1_ARATH","CNGC1_ARATH")</f>
        <v>CNGC1_ARATH</v>
      </c>
      <c r="D8130" t="s">
        <v>241</v>
      </c>
      <c r="E8130" s="3" t="s">
        <v>3</v>
      </c>
      <c r="F8130" s="4">
        <v>7.0800000000000002E-50</v>
      </c>
      <c r="G8130" s="3">
        <v>454</v>
      </c>
      <c r="H8130" s="3">
        <v>46</v>
      </c>
      <c r="I8130" s="3">
        <v>278</v>
      </c>
      <c r="J8130" s="3">
        <v>3</v>
      </c>
      <c r="K8130" s="3">
        <v>815</v>
      </c>
      <c r="L8130" s="3">
        <v>255</v>
      </c>
      <c r="M8130" s="3">
        <v>517</v>
      </c>
    </row>
    <row r="8131" spans="1:13" x14ac:dyDescent="0.25">
      <c r="A8131" s="1" t="str">
        <f>HYPERLINK("http://www.rosaceae.org/Prunus/Prunus_persica/p.persica_gdr_reftransV1_0014553","p.persica_gdr_reftransV1_0014553")</f>
        <v>p.persica_gdr_reftransV1_0014553</v>
      </c>
      <c r="B8131" s="3">
        <v>458</v>
      </c>
      <c r="C8131" s="1" t="str">
        <f>HYPERLINK("http://www.uniprot.org/uniprot/DRL21_ARATH","DRL21_ARATH")</f>
        <v>DRL21_ARATH</v>
      </c>
      <c r="D8131" t="s">
        <v>3610</v>
      </c>
      <c r="E8131" s="3" t="s">
        <v>3</v>
      </c>
      <c r="F8131" s="4">
        <v>1.1099999999999999E-12</v>
      </c>
      <c r="G8131" s="3">
        <v>156</v>
      </c>
      <c r="H8131" s="3">
        <v>43</v>
      </c>
      <c r="I8131" s="3">
        <v>76</v>
      </c>
      <c r="J8131" s="3">
        <v>204</v>
      </c>
      <c r="K8131" s="3">
        <v>431</v>
      </c>
      <c r="L8131" s="3">
        <v>782</v>
      </c>
      <c r="M8131" s="3">
        <v>857</v>
      </c>
    </row>
    <row r="8132" spans="1:13" x14ac:dyDescent="0.25">
      <c r="A8132" s="1" t="str">
        <f>HYPERLINK("http://www.rosaceae.org/Prunus/Prunus_persica/p.persica_gdr_reftransV1_0014653","p.persica_gdr_reftransV1_0014653")</f>
        <v>p.persica_gdr_reftransV1_0014653</v>
      </c>
      <c r="B8132" s="3">
        <v>3255</v>
      </c>
      <c r="C8132" s="1" t="str">
        <f>HYPERLINK("http://www.uniprot.org/uniprot/FES1_ARATH","FES1_ARATH")</f>
        <v>FES1_ARATH</v>
      </c>
      <c r="D8132" t="s">
        <v>6342</v>
      </c>
      <c r="E8132" s="3" t="s">
        <v>3</v>
      </c>
      <c r="F8132" s="4">
        <v>5.0500000000000002E-33</v>
      </c>
      <c r="G8132" s="3">
        <v>351</v>
      </c>
      <c r="H8132" s="3">
        <v>40</v>
      </c>
      <c r="I8132" s="3">
        <v>280</v>
      </c>
      <c r="J8132" s="3">
        <v>1967</v>
      </c>
      <c r="K8132" s="3">
        <v>2800</v>
      </c>
      <c r="L8132" s="3">
        <v>326</v>
      </c>
      <c r="M8132" s="3">
        <v>586</v>
      </c>
    </row>
    <row r="8133" spans="1:13" x14ac:dyDescent="0.25">
      <c r="A8133" s="1" t="str">
        <f>HYPERLINK("http://www.rosaceae.org/Prunus/Prunus_persica/p.persica_gdr_reftransV1_0014753","p.persica_gdr_reftransV1_0014753")</f>
        <v>p.persica_gdr_reftransV1_0014753</v>
      </c>
      <c r="B8133" s="3">
        <v>1919</v>
      </c>
      <c r="C8133" s="1" t="str">
        <f>HYPERLINK("http://www.uniprot.org/uniprot/ERGI3_XENTR","ERGI3_XENTR")</f>
        <v>ERGI3_XENTR</v>
      </c>
      <c r="D8133" t="s">
        <v>6343</v>
      </c>
      <c r="E8133" s="3" t="s">
        <v>173</v>
      </c>
      <c r="F8133" s="4">
        <v>1.9100000000000001E-137</v>
      </c>
      <c r="G8133" s="3">
        <v>1063</v>
      </c>
      <c r="H8133" s="3">
        <v>54</v>
      </c>
      <c r="I8133" s="3">
        <v>382</v>
      </c>
      <c r="J8133" s="3">
        <v>366</v>
      </c>
      <c r="K8133" s="3">
        <v>1505</v>
      </c>
      <c r="L8133" s="3">
        <v>4</v>
      </c>
      <c r="M8133" s="3">
        <v>382</v>
      </c>
    </row>
    <row r="8134" spans="1:13" x14ac:dyDescent="0.25">
      <c r="A8134" s="1" t="str">
        <f>HYPERLINK("http://www.rosaceae.org/Prunus/Prunus_persica/p.persica_gdr_reftransV1_0014903","p.persica_gdr_reftransV1_0014903")</f>
        <v>p.persica_gdr_reftransV1_0014903</v>
      </c>
      <c r="B8134" s="3">
        <v>2752</v>
      </c>
      <c r="C8134" s="1" t="str">
        <f>HYPERLINK("http://www.uniprot.org/uniprot/ALE2_ARATH","ALE2_ARATH")</f>
        <v>ALE2_ARATH</v>
      </c>
      <c r="D8134" t="s">
        <v>3266</v>
      </c>
      <c r="E8134" s="3" t="s">
        <v>3</v>
      </c>
      <c r="F8134" s="4">
        <v>1.73E-85</v>
      </c>
      <c r="G8134" s="3">
        <v>757</v>
      </c>
      <c r="H8134" s="3">
        <v>68</v>
      </c>
      <c r="I8134" s="3">
        <v>232</v>
      </c>
      <c r="J8134" s="3">
        <v>2057</v>
      </c>
      <c r="K8134" s="3">
        <v>2752</v>
      </c>
      <c r="L8134" s="3">
        <v>296</v>
      </c>
      <c r="M8134" s="3">
        <v>521</v>
      </c>
    </row>
    <row r="8135" spans="1:13" x14ac:dyDescent="0.25">
      <c r="A8135" s="1" t="str">
        <f>HYPERLINK("http://www.rosaceae.org/Prunus/Prunus_persica/p.persica_gdr_reftransV1_0014953","p.persica_gdr_reftransV1_0014953")</f>
        <v>p.persica_gdr_reftransV1_0014953</v>
      </c>
      <c r="B8135" s="3">
        <v>1565</v>
      </c>
      <c r="C8135" s="1" t="str">
        <f>HYPERLINK("http://www.uniprot.org/uniprot/HAT22_ARATH","HAT22_ARATH")</f>
        <v>HAT22_ARATH</v>
      </c>
      <c r="D8135" t="s">
        <v>6344</v>
      </c>
      <c r="E8135" s="3" t="s">
        <v>3</v>
      </c>
      <c r="F8135" s="4">
        <v>6.7999999999999996E-61</v>
      </c>
      <c r="G8135" s="3">
        <v>528</v>
      </c>
      <c r="H8135" s="3">
        <v>45</v>
      </c>
      <c r="I8135" s="3">
        <v>317</v>
      </c>
      <c r="J8135" s="3">
        <v>383</v>
      </c>
      <c r="K8135" s="3">
        <v>1315</v>
      </c>
      <c r="L8135" s="3">
        <v>1</v>
      </c>
      <c r="M8135" s="3">
        <v>278</v>
      </c>
    </row>
    <row r="8136" spans="1:13" x14ac:dyDescent="0.25">
      <c r="A8136" s="1" t="str">
        <f>HYPERLINK("http://www.rosaceae.org/Prunus/Prunus_persica/p.persica_gdr_reftransV1_0015303","p.persica_gdr_reftransV1_0015303")</f>
        <v>p.persica_gdr_reftransV1_0015303</v>
      </c>
      <c r="B8136" s="3">
        <v>1939</v>
      </c>
      <c r="C8136" s="1" t="str">
        <f>HYPERLINK("http://www.uniprot.org/uniprot/CIPK9_ARATH","CIPK9_ARATH")</f>
        <v>CIPK9_ARATH</v>
      </c>
      <c r="D8136" t="s">
        <v>6345</v>
      </c>
      <c r="E8136" s="3" t="s">
        <v>3</v>
      </c>
      <c r="F8136" s="4">
        <v>0</v>
      </c>
      <c r="G8136" s="3">
        <v>1851</v>
      </c>
      <c r="H8136" s="3">
        <v>76</v>
      </c>
      <c r="I8136" s="3">
        <v>435</v>
      </c>
      <c r="J8136" s="3">
        <v>358</v>
      </c>
      <c r="K8136" s="3">
        <v>1659</v>
      </c>
      <c r="L8136" s="3">
        <v>9</v>
      </c>
      <c r="M8136" s="3">
        <v>443</v>
      </c>
    </row>
    <row r="8137" spans="1:13" x14ac:dyDescent="0.25">
      <c r="A8137" s="1" t="str">
        <f>HYPERLINK("http://www.rosaceae.org/Prunus/Prunus_persica/p.persica_gdr_reftransV1_0015553","p.persica_gdr_reftransV1_0015553")</f>
        <v>p.persica_gdr_reftransV1_0015553</v>
      </c>
      <c r="B8137" s="3">
        <v>1391</v>
      </c>
      <c r="C8137" s="1" t="str">
        <f>HYPERLINK("http://www.uniprot.org/uniprot/COPZ2_ARATH","COPZ2_ARATH")</f>
        <v>COPZ2_ARATH</v>
      </c>
      <c r="D8137" t="s">
        <v>6346</v>
      </c>
      <c r="E8137" s="3" t="s">
        <v>3</v>
      </c>
      <c r="F8137" s="4">
        <v>1.0800000000000001E-67</v>
      </c>
      <c r="G8137" s="3">
        <v>561</v>
      </c>
      <c r="H8137" s="3">
        <v>80</v>
      </c>
      <c r="I8137" s="3">
        <v>129</v>
      </c>
      <c r="J8137" s="3">
        <v>78</v>
      </c>
      <c r="K8137" s="3">
        <v>464</v>
      </c>
      <c r="L8137" s="3">
        <v>4</v>
      </c>
      <c r="M8137" s="3">
        <v>132</v>
      </c>
    </row>
    <row r="8138" spans="1:13" x14ac:dyDescent="0.25">
      <c r="A8138" s="1" t="str">
        <f>HYPERLINK("http://www.rosaceae.org/Prunus/Prunus_persica/p.persica_gdr_reftransV1_0015753","p.persica_gdr_reftransV1_0015753")</f>
        <v>p.persica_gdr_reftransV1_0015753</v>
      </c>
      <c r="B8138" s="3">
        <v>1568</v>
      </c>
      <c r="C8138" s="1" t="str">
        <f>HYPERLINK("http://www.uniprot.org/uniprot/KTI12_ARATH","KTI12_ARATH")</f>
        <v>KTI12_ARATH</v>
      </c>
      <c r="D8138" t="s">
        <v>6347</v>
      </c>
      <c r="E8138" s="3" t="s">
        <v>3</v>
      </c>
      <c r="F8138" s="4">
        <v>9.3000000000000004E-146</v>
      </c>
      <c r="G8138" s="3">
        <v>1100</v>
      </c>
      <c r="H8138" s="3">
        <v>71</v>
      </c>
      <c r="I8138" s="3">
        <v>299</v>
      </c>
      <c r="J8138" s="3">
        <v>463</v>
      </c>
      <c r="K8138" s="3">
        <v>1359</v>
      </c>
      <c r="L8138" s="3">
        <v>1</v>
      </c>
      <c r="M8138" s="3">
        <v>297</v>
      </c>
    </row>
    <row r="8139" spans="1:13" x14ac:dyDescent="0.25">
      <c r="A8139" s="1" t="str">
        <f>HYPERLINK("http://www.rosaceae.org/Prunus/Prunus_persica/p.persica_gdr_reftransV1_0015853","p.persica_gdr_reftransV1_0015853")</f>
        <v>p.persica_gdr_reftransV1_0015853</v>
      </c>
      <c r="B8139" s="3">
        <v>2321</v>
      </c>
      <c r="C8139" s="1" t="str">
        <f>HYPERLINK("http://www.uniprot.org/uniprot/PMTE_ARATH","PMTE_ARATH")</f>
        <v>PMTE_ARATH</v>
      </c>
      <c r="D8139" t="s">
        <v>6348</v>
      </c>
      <c r="E8139" s="3" t="s">
        <v>3</v>
      </c>
      <c r="F8139" s="4">
        <v>0</v>
      </c>
      <c r="G8139" s="3">
        <v>2537</v>
      </c>
      <c r="H8139" s="3">
        <v>78</v>
      </c>
      <c r="I8139" s="3">
        <v>606</v>
      </c>
      <c r="J8139" s="3">
        <v>299</v>
      </c>
      <c r="K8139" s="3">
        <v>2107</v>
      </c>
      <c r="L8139" s="3">
        <v>1</v>
      </c>
      <c r="M8139" s="3">
        <v>606</v>
      </c>
    </row>
    <row r="8140" spans="1:13" x14ac:dyDescent="0.25">
      <c r="A8140" s="1" t="str">
        <f>HYPERLINK("http://www.rosaceae.org/Prunus/Prunus_persica/p.persica_gdr_reftransV1_0015903","p.persica_gdr_reftransV1_0015903")</f>
        <v>p.persica_gdr_reftransV1_0015903</v>
      </c>
      <c r="B8140" s="3">
        <v>2363</v>
      </c>
      <c r="C8140" s="1" t="str">
        <f>HYPERLINK("http://www.uniprot.org/uniprot/Y5564_ARATH","Y5564_ARATH")</f>
        <v>Y5564_ARATH</v>
      </c>
      <c r="D8140" t="s">
        <v>6349</v>
      </c>
      <c r="E8140" s="3" t="s">
        <v>3</v>
      </c>
      <c r="F8140" s="4">
        <v>3.79E-110</v>
      </c>
      <c r="G8140" s="3">
        <v>894</v>
      </c>
      <c r="H8140" s="3">
        <v>81</v>
      </c>
      <c r="I8140" s="3">
        <v>219</v>
      </c>
      <c r="J8140" s="3">
        <v>1190</v>
      </c>
      <c r="K8140" s="3">
        <v>1834</v>
      </c>
      <c r="L8140" s="3">
        <v>1</v>
      </c>
      <c r="M8140" s="3">
        <v>219</v>
      </c>
    </row>
    <row r="8141" spans="1:13" x14ac:dyDescent="0.25">
      <c r="A8141" s="1" t="str">
        <f>HYPERLINK("http://www.rosaceae.org/Prunus/Prunus_persica/p.persica_gdr_reftransV1_0015953","p.persica_gdr_reftransV1_0015953")</f>
        <v>p.persica_gdr_reftransV1_0015953</v>
      </c>
      <c r="B8141" s="3">
        <v>3581</v>
      </c>
      <c r="C8141" s="1" t="str">
        <f>HYPERLINK("http://www.uniprot.org/uniprot/HIP1_ORYSJ","HIP1_ORYSJ")</f>
        <v>HIP1_ORYSJ</v>
      </c>
      <c r="D8141" t="s">
        <v>5763</v>
      </c>
      <c r="E8141" s="3" t="s">
        <v>38</v>
      </c>
      <c r="F8141" s="4">
        <v>5.5299999999999996E-81</v>
      </c>
      <c r="G8141" s="3">
        <v>727</v>
      </c>
      <c r="H8141" s="3">
        <v>35</v>
      </c>
      <c r="I8141" s="3">
        <v>737</v>
      </c>
      <c r="J8141" s="3">
        <v>904</v>
      </c>
      <c r="K8141" s="3">
        <v>3051</v>
      </c>
      <c r="L8141" s="3">
        <v>1</v>
      </c>
      <c r="M8141" s="3">
        <v>667</v>
      </c>
    </row>
    <row r="8142" spans="1:13" x14ac:dyDescent="0.25">
      <c r="A8142" s="1" t="str">
        <f>HYPERLINK("http://www.rosaceae.org/Prunus/Prunus_persica/p.persica_gdr_reftransV1_0016153","p.persica_gdr_reftransV1_0016153")</f>
        <v>p.persica_gdr_reftransV1_0016153</v>
      </c>
      <c r="B8142" s="3">
        <v>3856</v>
      </c>
      <c r="C8142" s="1" t="str">
        <f>HYPERLINK("http://www.uniprot.org/uniprot/TMVRN_NICGU","TMVRN_NICGU")</f>
        <v>TMVRN_NICGU</v>
      </c>
      <c r="D8142" t="s">
        <v>151</v>
      </c>
      <c r="E8142" s="3" t="s">
        <v>152</v>
      </c>
      <c r="F8142" s="4">
        <v>3.6800000000000002E-123</v>
      </c>
      <c r="G8142" s="3">
        <v>1070</v>
      </c>
      <c r="H8142" s="3">
        <v>41</v>
      </c>
      <c r="I8142" s="3">
        <v>626</v>
      </c>
      <c r="J8142" s="3">
        <v>1521</v>
      </c>
      <c r="K8142" s="3">
        <v>3347</v>
      </c>
      <c r="L8142" s="3">
        <v>12</v>
      </c>
      <c r="M8142" s="3">
        <v>616</v>
      </c>
    </row>
    <row r="8143" spans="1:13" x14ac:dyDescent="0.25">
      <c r="A8143" s="1" t="str">
        <f>HYPERLINK("http://www.rosaceae.org/Prunus/Prunus_persica/p.persica_gdr_reftransV1_0016253","p.persica_gdr_reftransV1_0016253")</f>
        <v>p.persica_gdr_reftransV1_0016253</v>
      </c>
      <c r="B8143" s="3">
        <v>654</v>
      </c>
      <c r="C8143" s="1" t="str">
        <f>HYPERLINK("http://www.uniprot.org/uniprot/PME8_ARATH","PME8_ARATH")</f>
        <v>PME8_ARATH</v>
      </c>
      <c r="D8143" t="s">
        <v>6077</v>
      </c>
      <c r="E8143" s="3" t="s">
        <v>3</v>
      </c>
      <c r="F8143" s="4">
        <v>3.5699999999999997E-122</v>
      </c>
      <c r="G8143" s="3">
        <v>920</v>
      </c>
      <c r="H8143" s="3">
        <v>75</v>
      </c>
      <c r="I8143" s="3">
        <v>216</v>
      </c>
      <c r="J8143" s="3">
        <v>3</v>
      </c>
      <c r="K8143" s="3">
        <v>650</v>
      </c>
      <c r="L8143" s="3">
        <v>169</v>
      </c>
      <c r="M8143" s="3">
        <v>384</v>
      </c>
    </row>
    <row r="8144" spans="1:13" x14ac:dyDescent="0.25">
      <c r="A8144" s="1" t="str">
        <f>HYPERLINK("http://www.rosaceae.org/Prunus/Prunus_persica/p.persica_gdr_reftransV1_0016953","p.persica_gdr_reftransV1_0016953")</f>
        <v>p.persica_gdr_reftransV1_0016953</v>
      </c>
      <c r="B8144" s="3">
        <v>2421</v>
      </c>
      <c r="C8144" s="1" t="str">
        <f>HYPERLINK("http://www.uniprot.org/uniprot/HHP1_SCHPO","HHP1_SCHPO")</f>
        <v>HHP1_SCHPO</v>
      </c>
      <c r="D8144" t="s">
        <v>6350</v>
      </c>
      <c r="E8144" s="3" t="s">
        <v>464</v>
      </c>
      <c r="F8144" s="4">
        <v>9.6099999999999992E-56</v>
      </c>
      <c r="G8144" s="3">
        <v>510</v>
      </c>
      <c r="H8144" s="3">
        <v>39</v>
      </c>
      <c r="I8144" s="3">
        <v>290</v>
      </c>
      <c r="J8144" s="3">
        <v>1012</v>
      </c>
      <c r="K8144" s="3">
        <v>1869</v>
      </c>
      <c r="L8144" s="3">
        <v>5</v>
      </c>
      <c r="M8144" s="3">
        <v>279</v>
      </c>
    </row>
    <row r="8145" spans="1:13" x14ac:dyDescent="0.25">
      <c r="A8145" s="1" t="str">
        <f>HYPERLINK("http://www.rosaceae.org/Prunus/Prunus_persica/p.persica_gdr_reftransV1_0017153","p.persica_gdr_reftransV1_0017153")</f>
        <v>p.persica_gdr_reftransV1_0017153</v>
      </c>
      <c r="B8145" s="3">
        <v>3395</v>
      </c>
      <c r="C8145" s="1" t="str">
        <f>HYPERLINK("http://www.uniprot.org/uniprot/FBK50_ARATH","FBK50_ARATH")</f>
        <v>FBK50_ARATH</v>
      </c>
      <c r="D8145" t="s">
        <v>13</v>
      </c>
      <c r="E8145" s="3" t="s">
        <v>3</v>
      </c>
      <c r="F8145" s="4">
        <v>2.57E-51</v>
      </c>
      <c r="G8145" s="3">
        <v>488</v>
      </c>
      <c r="H8145" s="3">
        <v>35</v>
      </c>
      <c r="I8145" s="3">
        <v>430</v>
      </c>
      <c r="J8145" s="3">
        <v>2200</v>
      </c>
      <c r="K8145" s="3">
        <v>3315</v>
      </c>
      <c r="L8145" s="3">
        <v>13</v>
      </c>
      <c r="M8145" s="3">
        <v>425</v>
      </c>
    </row>
    <row r="8146" spans="1:13" x14ac:dyDescent="0.25">
      <c r="A8146" s="1" t="str">
        <f>HYPERLINK("http://www.rosaceae.org/Prunus/Prunus_persica/p.persica_gdr_reftransV1_0017203","p.persica_gdr_reftransV1_0017203")</f>
        <v>p.persica_gdr_reftransV1_0017203</v>
      </c>
      <c r="B8146" s="3">
        <v>1865</v>
      </c>
      <c r="C8146" s="1" t="str">
        <f>HYPERLINK("http://www.uniprot.org/uniprot/Y5126_ARATH","Y5126_ARATH")</f>
        <v>Y5126_ARATH</v>
      </c>
      <c r="D8146" t="s">
        <v>4301</v>
      </c>
      <c r="E8146" s="3" t="s">
        <v>3</v>
      </c>
      <c r="F8146" s="4">
        <v>8.5300000000000002E-30</v>
      </c>
      <c r="G8146" s="3">
        <v>317</v>
      </c>
      <c r="H8146" s="3">
        <v>68</v>
      </c>
      <c r="I8146" s="3">
        <v>88</v>
      </c>
      <c r="J8146" s="3">
        <v>307</v>
      </c>
      <c r="K8146" s="3">
        <v>570</v>
      </c>
      <c r="L8146" s="3">
        <v>148</v>
      </c>
      <c r="M8146" s="3">
        <v>234</v>
      </c>
    </row>
    <row r="8147" spans="1:13" x14ac:dyDescent="0.25">
      <c r="A8147" s="1" t="str">
        <f>HYPERLINK("http://www.rosaceae.org/Prunus/Prunus_persica/p.persica_gdr_reftransV1_0017453","p.persica_gdr_reftransV1_0017453")</f>
        <v>p.persica_gdr_reftransV1_0017453</v>
      </c>
      <c r="B8147" s="3">
        <v>1867</v>
      </c>
      <c r="C8147" s="1" t="str">
        <f>HYPERLINK("http://www.uniprot.org/uniprot/DGDG2_LOTJA","DGDG2_LOTJA")</f>
        <v>DGDG2_LOTJA</v>
      </c>
      <c r="D8147" t="s">
        <v>6351</v>
      </c>
      <c r="E8147" s="3" t="s">
        <v>880</v>
      </c>
      <c r="F8147" s="4">
        <v>4.5699999999999998E-174</v>
      </c>
      <c r="G8147" s="3">
        <v>1313</v>
      </c>
      <c r="H8147" s="3">
        <v>74</v>
      </c>
      <c r="I8147" s="3">
        <v>323</v>
      </c>
      <c r="J8147" s="3">
        <v>3</v>
      </c>
      <c r="K8147" s="3">
        <v>965</v>
      </c>
      <c r="L8147" s="3">
        <v>17</v>
      </c>
      <c r="M8147" s="3">
        <v>336</v>
      </c>
    </row>
    <row r="8148" spans="1:13" x14ac:dyDescent="0.25">
      <c r="A8148" s="1" t="str">
        <f>HYPERLINK("http://www.rosaceae.org/Prunus/Prunus_persica/p.persica_gdr_reftransV1_0017953","p.persica_gdr_reftransV1_0017953")</f>
        <v>p.persica_gdr_reftransV1_0017953</v>
      </c>
      <c r="B8148" s="3">
        <v>2161</v>
      </c>
      <c r="C8148" s="1" t="str">
        <f>HYPERLINK("http://www.uniprot.org/uniprot/AIG1_ARATH","AIG1_ARATH")</f>
        <v>AIG1_ARATH</v>
      </c>
      <c r="D8148" t="s">
        <v>6352</v>
      </c>
      <c r="E8148" s="3" t="s">
        <v>3</v>
      </c>
      <c r="F8148" s="4">
        <v>3.4900000000000003E-70</v>
      </c>
      <c r="G8148" s="3">
        <v>610</v>
      </c>
      <c r="H8148" s="3">
        <v>49</v>
      </c>
      <c r="I8148" s="3">
        <v>323</v>
      </c>
      <c r="J8148" s="3">
        <v>755</v>
      </c>
      <c r="K8148" s="3">
        <v>1723</v>
      </c>
      <c r="L8148" s="3">
        <v>37</v>
      </c>
      <c r="M8148" s="3">
        <v>353</v>
      </c>
    </row>
    <row r="8149" spans="1:13" x14ac:dyDescent="0.25">
      <c r="A8149" s="1" t="str">
        <f>HYPERLINK("http://www.rosaceae.org/Prunus/Prunus_persica/p.persica_gdr_reftransV1_0018003","p.persica_gdr_reftransV1_0018003")</f>
        <v>p.persica_gdr_reftransV1_0018003</v>
      </c>
      <c r="B8149" s="3">
        <v>3142</v>
      </c>
      <c r="C8149" s="1" t="str">
        <f>HYPERLINK("http://www.uniprot.org/uniprot/FBL11_ARATH","FBL11_ARATH")</f>
        <v>FBL11_ARATH</v>
      </c>
      <c r="D8149" t="s">
        <v>6353</v>
      </c>
      <c r="E8149" s="3" t="s">
        <v>3</v>
      </c>
      <c r="F8149" s="4">
        <v>0</v>
      </c>
      <c r="G8149" s="3">
        <v>2009</v>
      </c>
      <c r="H8149" s="3">
        <v>50</v>
      </c>
      <c r="I8149" s="3">
        <v>969</v>
      </c>
      <c r="J8149" s="3">
        <v>113</v>
      </c>
      <c r="K8149" s="3">
        <v>2983</v>
      </c>
      <c r="L8149" s="3">
        <v>8</v>
      </c>
      <c r="M8149" s="3">
        <v>940</v>
      </c>
    </row>
    <row r="8150" spans="1:13" x14ac:dyDescent="0.25">
      <c r="A8150" s="1" t="str">
        <f>HYPERLINK("http://www.rosaceae.org/Prunus/Prunus_persica/p.persica_gdr_reftransV1_0018053","p.persica_gdr_reftransV1_0018053")</f>
        <v>p.persica_gdr_reftransV1_0018053</v>
      </c>
      <c r="B8150" s="3">
        <v>2554</v>
      </c>
      <c r="C8150" s="1" t="str">
        <f>HYPERLINK("http://www.uniprot.org/uniprot/MPK10_ORYSJ","MPK10_ORYSJ")</f>
        <v>MPK10_ORYSJ</v>
      </c>
      <c r="D8150" t="s">
        <v>2456</v>
      </c>
      <c r="E8150" s="3" t="s">
        <v>38</v>
      </c>
      <c r="F8150" s="4">
        <v>0</v>
      </c>
      <c r="G8150" s="3">
        <v>1873</v>
      </c>
      <c r="H8150" s="3">
        <v>93</v>
      </c>
      <c r="I8150" s="3">
        <v>397</v>
      </c>
      <c r="J8150" s="3">
        <v>1</v>
      </c>
      <c r="K8150" s="3">
        <v>1191</v>
      </c>
      <c r="L8150" s="3">
        <v>22</v>
      </c>
      <c r="M8150" s="3">
        <v>417</v>
      </c>
    </row>
    <row r="8151" spans="1:13" x14ac:dyDescent="0.25">
      <c r="A8151" s="1" t="str">
        <f>HYPERLINK("http://www.rosaceae.org/Prunus/Prunus_persica/p.persica_gdr_reftransV1_0018203","p.persica_gdr_reftransV1_0018203")</f>
        <v>p.persica_gdr_reftransV1_0018203</v>
      </c>
      <c r="B8151" s="3">
        <v>6082</v>
      </c>
      <c r="C8151" s="1" t="str">
        <f>HYPERLINK("http://www.uniprot.org/uniprot/SAB_ARATH","SAB_ARATH")</f>
        <v>SAB_ARATH</v>
      </c>
      <c r="D8151" t="s">
        <v>3098</v>
      </c>
      <c r="E8151" s="3" t="s">
        <v>3</v>
      </c>
      <c r="F8151" s="4">
        <v>0</v>
      </c>
      <c r="G8151" s="3">
        <v>6549</v>
      </c>
      <c r="H8151" s="3">
        <v>70</v>
      </c>
      <c r="I8151" s="3">
        <v>1853</v>
      </c>
      <c r="J8151" s="3">
        <v>506</v>
      </c>
      <c r="K8151" s="3">
        <v>6043</v>
      </c>
      <c r="L8151" s="3">
        <v>804</v>
      </c>
      <c r="M8151" s="3">
        <v>2588</v>
      </c>
    </row>
    <row r="8152" spans="1:13" x14ac:dyDescent="0.25">
      <c r="A8152" s="1" t="str">
        <f>HYPERLINK("http://www.rosaceae.org/Prunus/Prunus_persica/p.persica_gdr_reftransV1_0018253","p.persica_gdr_reftransV1_0018253")</f>
        <v>p.persica_gdr_reftransV1_0018253</v>
      </c>
      <c r="B8152" s="3">
        <v>1055</v>
      </c>
      <c r="C8152" s="1" t="str">
        <f>HYPERLINK("http://www.uniprot.org/uniprot/YUid_BACSU","YUid_BACSU")</f>
        <v>YUid_BACSU</v>
      </c>
      <c r="D8152" t="s">
        <v>1629</v>
      </c>
      <c r="E8152" s="3" t="s">
        <v>1630</v>
      </c>
      <c r="F8152" s="4">
        <v>2.1099999999999999E-20</v>
      </c>
      <c r="G8152" s="3">
        <v>223</v>
      </c>
      <c r="H8152" s="3">
        <v>41</v>
      </c>
      <c r="I8152" s="3">
        <v>102</v>
      </c>
      <c r="J8152" s="3">
        <v>561</v>
      </c>
      <c r="K8152" s="3">
        <v>866</v>
      </c>
      <c r="L8152" s="3">
        <v>5</v>
      </c>
      <c r="M8152" s="3">
        <v>106</v>
      </c>
    </row>
    <row r="8153" spans="1:13" x14ac:dyDescent="0.25">
      <c r="A8153" s="1" t="str">
        <f>HYPERLINK("http://www.rosaceae.org/Prunus/Prunus_persica/p.persica_gdr_reftransV1_0018453","p.persica_gdr_reftransV1_0018453")</f>
        <v>p.persica_gdr_reftransV1_0018453</v>
      </c>
      <c r="B8153" s="3">
        <v>722</v>
      </c>
      <c r="C8153" s="1" t="str">
        <f>HYPERLINK("http://www.uniprot.org/uniprot/LACS6_ARATH","LACS6_ARATH")</f>
        <v>LACS6_ARATH</v>
      </c>
      <c r="D8153" t="s">
        <v>3079</v>
      </c>
      <c r="E8153" s="3" t="s">
        <v>3</v>
      </c>
      <c r="F8153" s="4">
        <v>1.89E-21</v>
      </c>
      <c r="G8153" s="3">
        <v>241</v>
      </c>
      <c r="H8153" s="3">
        <v>63</v>
      </c>
      <c r="I8153" s="3">
        <v>78</v>
      </c>
      <c r="J8153" s="3">
        <v>204</v>
      </c>
      <c r="K8153" s="3">
        <v>437</v>
      </c>
      <c r="L8153" s="3">
        <v>16</v>
      </c>
      <c r="M8153" s="3">
        <v>90</v>
      </c>
    </row>
    <row r="8154" spans="1:13" x14ac:dyDescent="0.25">
      <c r="A8154" s="1" t="str">
        <f>HYPERLINK("http://www.rosaceae.org/Prunus/Prunus_persica/p.persica_gdr_reftransV1_0018653","p.persica_gdr_reftransV1_0018653")</f>
        <v>p.persica_gdr_reftransV1_0018653</v>
      </c>
      <c r="B8154" s="3">
        <v>2703</v>
      </c>
      <c r="C8154" s="1" t="str">
        <f>HYPERLINK("http://www.uniprot.org/uniprot/BOR1_ARATH","BOR1_ARATH")</f>
        <v>BOR1_ARATH</v>
      </c>
      <c r="D8154" t="s">
        <v>6354</v>
      </c>
      <c r="E8154" s="3" t="s">
        <v>3</v>
      </c>
      <c r="F8154" s="4">
        <v>0</v>
      </c>
      <c r="G8154" s="3">
        <v>2882</v>
      </c>
      <c r="H8154" s="3">
        <v>83</v>
      </c>
      <c r="I8154" s="3">
        <v>686</v>
      </c>
      <c r="J8154" s="3">
        <v>235</v>
      </c>
      <c r="K8154" s="3">
        <v>2268</v>
      </c>
      <c r="L8154" s="3">
        <v>1</v>
      </c>
      <c r="M8154" s="3">
        <v>683</v>
      </c>
    </row>
    <row r="8155" spans="1:13" x14ac:dyDescent="0.25">
      <c r="A8155" s="1" t="str">
        <f>HYPERLINK("http://www.rosaceae.org/Prunus/Prunus_persica/p.persica_gdr_reftransV1_0018703","p.persica_gdr_reftransV1_0018703")</f>
        <v>p.persica_gdr_reftransV1_0018703</v>
      </c>
      <c r="B8155" s="3">
        <v>2166</v>
      </c>
      <c r="C8155" s="1" t="str">
        <f>HYPERLINK("http://www.uniprot.org/uniprot/HSF30_SOLPE","HSF30_SOLPE")</f>
        <v>HSF30_SOLPE</v>
      </c>
      <c r="D8155" t="s">
        <v>6355</v>
      </c>
      <c r="E8155" s="3" t="s">
        <v>3774</v>
      </c>
      <c r="F8155" s="4">
        <v>2.2300000000000001E-127</v>
      </c>
      <c r="G8155" s="3">
        <v>1000</v>
      </c>
      <c r="H8155" s="3">
        <v>58</v>
      </c>
      <c r="I8155" s="3">
        <v>341</v>
      </c>
      <c r="J8155" s="3">
        <v>352</v>
      </c>
      <c r="K8155" s="3">
        <v>1371</v>
      </c>
      <c r="L8155" s="3">
        <v>20</v>
      </c>
      <c r="M8155" s="3">
        <v>351</v>
      </c>
    </row>
    <row r="8156" spans="1:13" x14ac:dyDescent="0.25">
      <c r="A8156" s="1" t="str">
        <f>HYPERLINK("http://www.rosaceae.org/Prunus/Prunus_persica/p.persica_gdr_reftransV1_0018853","p.persica_gdr_reftransV1_0018853")</f>
        <v>p.persica_gdr_reftransV1_0018853</v>
      </c>
      <c r="B8156" s="3">
        <v>2901</v>
      </c>
      <c r="C8156" s="1" t="str">
        <f>HYPERLINK("http://www.uniprot.org/uniprot/IVD_ARATH","IVD_ARATH")</f>
        <v>IVD_ARATH</v>
      </c>
      <c r="D8156" t="s">
        <v>6356</v>
      </c>
      <c r="E8156" s="3" t="s">
        <v>3</v>
      </c>
      <c r="F8156" s="4">
        <v>4.5599999999999999E-100</v>
      </c>
      <c r="G8156" s="3">
        <v>836</v>
      </c>
      <c r="H8156" s="3">
        <v>86</v>
      </c>
      <c r="I8156" s="3">
        <v>176</v>
      </c>
      <c r="J8156" s="3">
        <v>1529</v>
      </c>
      <c r="K8156" s="3">
        <v>2056</v>
      </c>
      <c r="L8156" s="3">
        <v>234</v>
      </c>
      <c r="M8156" s="3">
        <v>409</v>
      </c>
    </row>
    <row r="8157" spans="1:13" x14ac:dyDescent="0.25">
      <c r="A8157" s="1" t="str">
        <f>HYPERLINK("http://www.rosaceae.org/Prunus/Prunus_persica/p.persica_gdr_reftransV1_0019003","p.persica_gdr_reftransV1_0019003")</f>
        <v>p.persica_gdr_reftransV1_0019003</v>
      </c>
      <c r="B8157" s="3">
        <v>4598</v>
      </c>
      <c r="C8157" s="1" t="str">
        <f>HYPERLINK("http://www.uniprot.org/uniprot/ECA1_ARATH","ECA1_ARATH")</f>
        <v>ECA1_ARATH</v>
      </c>
      <c r="D8157" t="s">
        <v>6357</v>
      </c>
      <c r="E8157" s="3" t="s">
        <v>3</v>
      </c>
      <c r="F8157" s="4">
        <v>0</v>
      </c>
      <c r="G8157" s="3">
        <v>2977</v>
      </c>
      <c r="H8157" s="3">
        <v>77</v>
      </c>
      <c r="I8157" s="3">
        <v>757</v>
      </c>
      <c r="J8157" s="3">
        <v>502</v>
      </c>
      <c r="K8157" s="3">
        <v>2772</v>
      </c>
      <c r="L8157" s="3">
        <v>1</v>
      </c>
      <c r="M8157" s="3">
        <v>755</v>
      </c>
    </row>
    <row r="8158" spans="1:13" x14ac:dyDescent="0.25">
      <c r="A8158" s="1" t="str">
        <f>HYPERLINK("http://www.rosaceae.org/Prunus/Prunus_persica/p.persica_gdr_reftransV1_0019203","p.persica_gdr_reftransV1_0019203")</f>
        <v>p.persica_gdr_reftransV1_0019203</v>
      </c>
      <c r="B8158" s="3">
        <v>3580</v>
      </c>
      <c r="C8158" s="1" t="str">
        <f>HYPERLINK("http://www.uniprot.org/uniprot/EML3_ARATH","EML3_ARATH")</f>
        <v>EML3_ARATH</v>
      </c>
      <c r="D8158" t="s">
        <v>6358</v>
      </c>
      <c r="E8158" s="3" t="s">
        <v>3</v>
      </c>
      <c r="F8158" s="4">
        <v>4.2300000000000001E-142</v>
      </c>
      <c r="G8158" s="3">
        <v>1137</v>
      </c>
      <c r="H8158" s="3">
        <v>67</v>
      </c>
      <c r="I8158" s="3">
        <v>415</v>
      </c>
      <c r="J8158" s="3">
        <v>479</v>
      </c>
      <c r="K8158" s="3">
        <v>1720</v>
      </c>
      <c r="L8158" s="3">
        <v>1</v>
      </c>
      <c r="M8158" s="3">
        <v>396</v>
      </c>
    </row>
    <row r="8159" spans="1:13" x14ac:dyDescent="0.25">
      <c r="A8159" s="1" t="str">
        <f>HYPERLINK("http://www.rosaceae.org/Prunus/Prunus_persica/p.persica_gdr_reftransV1_0019553","p.persica_gdr_reftransV1_0019553")</f>
        <v>p.persica_gdr_reftransV1_0019553</v>
      </c>
      <c r="B8159" s="3">
        <v>903</v>
      </c>
      <c r="C8159" s="1" t="str">
        <f>HYPERLINK("http://www.uniprot.org/uniprot/ISAM2_ARATH","ISAM2_ARATH")</f>
        <v>ISAM2_ARATH</v>
      </c>
      <c r="D8159" t="s">
        <v>6359</v>
      </c>
      <c r="E8159" s="3" t="s">
        <v>3</v>
      </c>
      <c r="F8159" s="4">
        <v>4.3400000000000001E-45</v>
      </c>
      <c r="G8159" s="3">
        <v>255</v>
      </c>
      <c r="H8159" s="3">
        <v>83</v>
      </c>
      <c r="I8159" s="3">
        <v>59</v>
      </c>
      <c r="J8159" s="3">
        <v>490</v>
      </c>
      <c r="K8159" s="3">
        <v>666</v>
      </c>
      <c r="L8159" s="3">
        <v>99</v>
      </c>
      <c r="M8159" s="3">
        <v>157</v>
      </c>
    </row>
    <row r="8160" spans="1:13" x14ac:dyDescent="0.25">
      <c r="A8160" s="1" t="str">
        <f>HYPERLINK("http://www.rosaceae.org/Prunus/Prunus_persica/p.persica_gdr_reftransV1_0020003","p.persica_gdr_reftransV1_0020003")</f>
        <v>p.persica_gdr_reftransV1_0020003</v>
      </c>
      <c r="B8160" s="3">
        <v>3289</v>
      </c>
      <c r="C8160" s="1" t="str">
        <f>HYPERLINK("http://www.uniprot.org/uniprot/SAC6_ARATH","SAC6_ARATH")</f>
        <v>SAC6_ARATH</v>
      </c>
      <c r="D8160" t="s">
        <v>6360</v>
      </c>
      <c r="E8160" s="3" t="s">
        <v>3</v>
      </c>
      <c r="F8160" s="4">
        <v>0</v>
      </c>
      <c r="G8160" s="3">
        <v>1720</v>
      </c>
      <c r="H8160" s="3">
        <v>77</v>
      </c>
      <c r="I8160" s="3">
        <v>394</v>
      </c>
      <c r="J8160" s="3">
        <v>1119</v>
      </c>
      <c r="K8160" s="3">
        <v>2300</v>
      </c>
      <c r="L8160" s="3">
        <v>199</v>
      </c>
      <c r="M8160" s="3">
        <v>592</v>
      </c>
    </row>
    <row r="8161" spans="1:13" x14ac:dyDescent="0.25">
      <c r="A8161" s="1" t="str">
        <f>HYPERLINK("http://www.rosaceae.org/Prunus/Prunus_persica/p.persica_gdr_reftransV1_0020053","p.persica_gdr_reftransV1_0020053")</f>
        <v>p.persica_gdr_reftransV1_0020053</v>
      </c>
      <c r="B8161" s="3">
        <v>2660</v>
      </c>
      <c r="C8161" s="1" t="str">
        <f>HYPERLINK("http://www.uniprot.org/uniprot/ASHR1_ARATH","ASHR1_ARATH")</f>
        <v>ASHR1_ARATH</v>
      </c>
      <c r="D8161" t="s">
        <v>3932</v>
      </c>
      <c r="E8161" s="3" t="s">
        <v>3</v>
      </c>
      <c r="F8161" s="4">
        <v>4.8200000000000004E-103</v>
      </c>
      <c r="G8161" s="3">
        <v>858</v>
      </c>
      <c r="H8161" s="3">
        <v>67</v>
      </c>
      <c r="I8161" s="3">
        <v>234</v>
      </c>
      <c r="J8161" s="3">
        <v>1803</v>
      </c>
      <c r="K8161" s="3">
        <v>2504</v>
      </c>
      <c r="L8161" s="3">
        <v>242</v>
      </c>
      <c r="M8161" s="3">
        <v>475</v>
      </c>
    </row>
    <row r="8162" spans="1:13" x14ac:dyDescent="0.25">
      <c r="A8162" s="1" t="str">
        <f>HYPERLINK("http://www.rosaceae.org/Prunus/Prunus_persica/p.persica_gdr_reftransV1_0020153","p.persica_gdr_reftransV1_0020153")</f>
        <v>p.persica_gdr_reftransV1_0020153</v>
      </c>
      <c r="B8162" s="3">
        <v>1609</v>
      </c>
      <c r="C8162" s="1" t="str">
        <f>HYPERLINK("http://www.uniprot.org/uniprot/CDC21_ARATH","CDC21_ARATH")</f>
        <v>CDC21_ARATH</v>
      </c>
      <c r="D8162" t="s">
        <v>6361</v>
      </c>
      <c r="E8162" s="3" t="s">
        <v>3</v>
      </c>
      <c r="F8162" s="4">
        <v>0</v>
      </c>
      <c r="G8162" s="3">
        <v>1534</v>
      </c>
      <c r="H8162" s="3">
        <v>65</v>
      </c>
      <c r="I8162" s="3">
        <v>442</v>
      </c>
      <c r="J8162" s="3">
        <v>96</v>
      </c>
      <c r="K8162" s="3">
        <v>1406</v>
      </c>
      <c r="L8162" s="3">
        <v>17</v>
      </c>
      <c r="M8162" s="3">
        <v>457</v>
      </c>
    </row>
    <row r="8163" spans="1:13" x14ac:dyDescent="0.25">
      <c r="A8163" s="1" t="str">
        <f>HYPERLINK("http://www.rosaceae.org/Prunus/Prunus_persica/p.persica_gdr_reftransV1_0020203","p.persica_gdr_reftransV1_0020203")</f>
        <v>p.persica_gdr_reftransV1_0020203</v>
      </c>
      <c r="B8163" s="3">
        <v>1749</v>
      </c>
      <c r="C8163" s="1" t="str">
        <f>HYPERLINK("http://www.uniprot.org/uniprot/BPA1_ARATH","BPA1_ARATH")</f>
        <v>BPA1_ARATH</v>
      </c>
      <c r="D8163" t="s">
        <v>4085</v>
      </c>
      <c r="E8163" s="3" t="s">
        <v>3</v>
      </c>
      <c r="F8163" s="4">
        <v>1.1799999999999999E-19</v>
      </c>
      <c r="G8163" s="3">
        <v>230</v>
      </c>
      <c r="H8163" s="3">
        <v>35</v>
      </c>
      <c r="I8163" s="3">
        <v>181</v>
      </c>
      <c r="J8163" s="3">
        <v>993</v>
      </c>
      <c r="K8163" s="3">
        <v>1523</v>
      </c>
      <c r="L8163" s="3">
        <v>58</v>
      </c>
      <c r="M8163" s="3">
        <v>222</v>
      </c>
    </row>
    <row r="8164" spans="1:13" x14ac:dyDescent="0.25">
      <c r="A8164" s="1" t="str">
        <f>HYPERLINK("http://www.rosaceae.org/Prunus/Prunus_persica/p.persica_gdr_reftransV1_0020503","p.persica_gdr_reftransV1_0020503")</f>
        <v>p.persica_gdr_reftransV1_0020503</v>
      </c>
      <c r="B8164" s="3">
        <v>1695</v>
      </c>
      <c r="C8164" s="1" t="str">
        <f>HYPERLINK("http://www.uniprot.org/uniprot/CSE_ARATH","CSE_ARATH")</f>
        <v>CSE_ARATH</v>
      </c>
      <c r="D8164" t="s">
        <v>584</v>
      </c>
      <c r="E8164" s="3" t="s">
        <v>3</v>
      </c>
      <c r="F8164" s="4">
        <v>8.7400000000000005E-37</v>
      </c>
      <c r="G8164" s="3">
        <v>361</v>
      </c>
      <c r="H8164" s="3">
        <v>30</v>
      </c>
      <c r="I8164" s="3">
        <v>307</v>
      </c>
      <c r="J8164" s="3">
        <v>465</v>
      </c>
      <c r="K8164" s="3">
        <v>1382</v>
      </c>
      <c r="L8164" s="3">
        <v>23</v>
      </c>
      <c r="M8164" s="3">
        <v>326</v>
      </c>
    </row>
    <row r="8165" spans="1:13" x14ac:dyDescent="0.25">
      <c r="A8165" s="1" t="str">
        <f>HYPERLINK("http://www.rosaceae.org/Prunus/Prunus_persica/p.persica_gdr_reftransV1_0020703","p.persica_gdr_reftransV1_0020703")</f>
        <v>p.persica_gdr_reftransV1_0020703</v>
      </c>
      <c r="B8165" s="3">
        <v>6441</v>
      </c>
      <c r="C8165" s="1" t="str">
        <f>HYPERLINK("http://www.uniprot.org/uniprot/DRL40_ARATH","DRL40_ARATH")</f>
        <v>DRL40_ARATH</v>
      </c>
      <c r="D8165" t="s">
        <v>1560</v>
      </c>
      <c r="E8165" s="3" t="s">
        <v>3</v>
      </c>
      <c r="F8165" s="4">
        <v>0</v>
      </c>
      <c r="G8165" s="3">
        <v>1628</v>
      </c>
      <c r="H8165" s="3">
        <v>42</v>
      </c>
      <c r="I8165" s="3">
        <v>892</v>
      </c>
      <c r="J8165" s="3">
        <v>198</v>
      </c>
      <c r="K8165" s="3">
        <v>2831</v>
      </c>
      <c r="L8165" s="3">
        <v>1</v>
      </c>
      <c r="M8165" s="3">
        <v>874</v>
      </c>
    </row>
    <row r="8166" spans="1:13" x14ac:dyDescent="0.25">
      <c r="A8166" s="1" t="str">
        <f>HYPERLINK("http://www.rosaceae.org/Prunus/Prunus_persica/p.persica_gdr_reftransV1_0020853","p.persica_gdr_reftransV1_0020853")</f>
        <v>p.persica_gdr_reftransV1_0020853</v>
      </c>
      <c r="B8166" s="3">
        <v>2675</v>
      </c>
      <c r="C8166" s="1" t="str">
        <f>HYPERLINK("http://www.uniprot.org/uniprot/FDM3_ARATH","FDM3_ARATH")</f>
        <v>FDM3_ARATH</v>
      </c>
      <c r="D8166" t="s">
        <v>6362</v>
      </c>
      <c r="E8166" s="3" t="s">
        <v>3</v>
      </c>
      <c r="F8166" s="4">
        <v>5.7899999999999995E-156</v>
      </c>
      <c r="G8166" s="3">
        <v>848</v>
      </c>
      <c r="H8166" s="3">
        <v>49</v>
      </c>
      <c r="I8166" s="3">
        <v>355</v>
      </c>
      <c r="J8166" s="3">
        <v>1204</v>
      </c>
      <c r="K8166" s="3">
        <v>2226</v>
      </c>
      <c r="L8166" s="3">
        <v>16</v>
      </c>
      <c r="M8166" s="3">
        <v>369</v>
      </c>
    </row>
    <row r="8167" spans="1:13" x14ac:dyDescent="0.25">
      <c r="A8167" s="1" t="str">
        <f>HYPERLINK("http://www.rosaceae.org/Prunus/Prunus_persica/p.persica_gdr_reftransV1_0020953","p.persica_gdr_reftransV1_0020953")</f>
        <v>p.persica_gdr_reftransV1_0020953</v>
      </c>
      <c r="B8167" s="3">
        <v>649</v>
      </c>
      <c r="C8167" s="1" t="str">
        <f>HYPERLINK("http://www.uniprot.org/uniprot/C76B6_CATRO","C76B6_CATRO")</f>
        <v>C76B6_CATRO</v>
      </c>
      <c r="D8167" t="s">
        <v>3655</v>
      </c>
      <c r="E8167" s="3" t="s">
        <v>457</v>
      </c>
      <c r="F8167" s="4">
        <v>2.9499999999999999E-61</v>
      </c>
      <c r="G8167" s="3">
        <v>521</v>
      </c>
      <c r="H8167" s="3">
        <v>51</v>
      </c>
      <c r="I8167" s="3">
        <v>199</v>
      </c>
      <c r="J8167" s="3">
        <v>3</v>
      </c>
      <c r="K8167" s="3">
        <v>599</v>
      </c>
      <c r="L8167" s="3">
        <v>1</v>
      </c>
      <c r="M8167" s="3">
        <v>196</v>
      </c>
    </row>
    <row r="8168" spans="1:13" x14ac:dyDescent="0.25">
      <c r="A8168" s="1" t="str">
        <f>HYPERLINK("http://www.rosaceae.org/Prunus/Prunus_persica/p.persica_gdr_reftransV1_0021103","p.persica_gdr_reftransV1_0021103")</f>
        <v>p.persica_gdr_reftransV1_0021103</v>
      </c>
      <c r="B8168" s="3">
        <v>2568</v>
      </c>
      <c r="C8168" s="1" t="str">
        <f>HYPERLINK("http://www.uniprot.org/uniprot/ATPBM_HEVBR","ATPBM_HEVBR")</f>
        <v>ATPBM_HEVBR</v>
      </c>
      <c r="D8168" t="s">
        <v>6363</v>
      </c>
      <c r="E8168" s="3" t="s">
        <v>24</v>
      </c>
      <c r="F8168" s="4">
        <v>0</v>
      </c>
      <c r="G8168" s="3">
        <v>1695</v>
      </c>
      <c r="H8168" s="3">
        <v>98</v>
      </c>
      <c r="I8168" s="3">
        <v>328</v>
      </c>
      <c r="J8168" s="3">
        <v>430</v>
      </c>
      <c r="K8168" s="3">
        <v>1413</v>
      </c>
      <c r="L8168" s="3">
        <v>218</v>
      </c>
      <c r="M8168" s="3">
        <v>545</v>
      </c>
    </row>
    <row r="8169" spans="1:13" x14ac:dyDescent="0.25">
      <c r="A8169" s="1" t="str">
        <f>HYPERLINK("http://www.rosaceae.org/Prunus/Prunus_persica/p.persica_gdr_reftransV1_0021153","p.persica_gdr_reftransV1_0021153")</f>
        <v>p.persica_gdr_reftransV1_0021153</v>
      </c>
      <c r="B8169" s="3">
        <v>2100</v>
      </c>
      <c r="C8169" s="1" t="str">
        <f>HYPERLINK("http://www.uniprot.org/uniprot/PRRP1_ARATH","PRRP1_ARATH")</f>
        <v>PRRP1_ARATH</v>
      </c>
      <c r="D8169" t="s">
        <v>3130</v>
      </c>
      <c r="E8169" s="3" t="s">
        <v>3</v>
      </c>
      <c r="F8169" s="4">
        <v>9.2399999999999996E-107</v>
      </c>
      <c r="G8169" s="3">
        <v>879</v>
      </c>
      <c r="H8169" s="3">
        <v>56</v>
      </c>
      <c r="I8169" s="3">
        <v>332</v>
      </c>
      <c r="J8169" s="3">
        <v>1</v>
      </c>
      <c r="K8169" s="3">
        <v>996</v>
      </c>
      <c r="L8169" s="3">
        <v>157</v>
      </c>
      <c r="M8169" s="3">
        <v>488</v>
      </c>
    </row>
    <row r="8170" spans="1:13" x14ac:dyDescent="0.25">
      <c r="A8170" s="1" t="str">
        <f>HYPERLINK("http://www.rosaceae.org/Prunus/Prunus_persica/p.persica_gdr_reftransV1_0021253","p.persica_gdr_reftransV1_0021253")</f>
        <v>p.persica_gdr_reftransV1_0021253</v>
      </c>
      <c r="B8170" s="3">
        <v>1676</v>
      </c>
      <c r="C8170" s="1" t="str">
        <f>HYPERLINK("http://www.uniprot.org/uniprot/COLX_ARATH","COLX_ARATH")</f>
        <v>COLX_ARATH</v>
      </c>
      <c r="D8170" t="s">
        <v>2146</v>
      </c>
      <c r="E8170" s="3" t="s">
        <v>3</v>
      </c>
      <c r="F8170" s="4">
        <v>3.2000000000000002E-32</v>
      </c>
      <c r="G8170" s="3">
        <v>328</v>
      </c>
      <c r="H8170" s="3">
        <v>48</v>
      </c>
      <c r="I8170" s="3">
        <v>141</v>
      </c>
      <c r="J8170" s="3">
        <v>395</v>
      </c>
      <c r="K8170" s="3">
        <v>817</v>
      </c>
      <c r="L8170" s="3">
        <v>9</v>
      </c>
      <c r="M8170" s="3">
        <v>146</v>
      </c>
    </row>
    <row r="8171" spans="1:13" x14ac:dyDescent="0.25">
      <c r="A8171" s="1" t="str">
        <f>HYPERLINK("http://www.rosaceae.org/Prunus/Prunus_persica/p.persica_gdr_reftransV1_0021553","p.persica_gdr_reftransV1_0021553")</f>
        <v>p.persica_gdr_reftransV1_0021553</v>
      </c>
      <c r="B8171" s="3">
        <v>4134</v>
      </c>
      <c r="C8171" s="1" t="str">
        <f>HYPERLINK("http://www.uniprot.org/uniprot/RH21_ARATH","RH21_ARATH")</f>
        <v>RH21_ARATH</v>
      </c>
      <c r="D8171" t="s">
        <v>6364</v>
      </c>
      <c r="E8171" s="3" t="s">
        <v>3</v>
      </c>
      <c r="F8171" s="4">
        <v>0</v>
      </c>
      <c r="G8171" s="3">
        <v>2714</v>
      </c>
      <c r="H8171" s="3">
        <v>86</v>
      </c>
      <c r="I8171" s="3">
        <v>593</v>
      </c>
      <c r="J8171" s="3">
        <v>1853</v>
      </c>
      <c r="K8171" s="3">
        <v>3631</v>
      </c>
      <c r="L8171" s="3">
        <v>141</v>
      </c>
      <c r="M8171" s="3">
        <v>733</v>
      </c>
    </row>
    <row r="8172" spans="1:13" x14ac:dyDescent="0.25">
      <c r="A8172" s="1" t="str">
        <f>HYPERLINK("http://www.rosaceae.org/Prunus/Prunus_persica/p.persica_gdr_reftransV1_0021653","p.persica_gdr_reftransV1_0021653")</f>
        <v>p.persica_gdr_reftransV1_0021653</v>
      </c>
      <c r="B8172" s="3">
        <v>1587</v>
      </c>
      <c r="C8172" s="1" t="str">
        <f>HYPERLINK("http://www.uniprot.org/uniprot/DJB13_HUMAN","DJB13_HUMAN")</f>
        <v>DJB13_HUMAN</v>
      </c>
      <c r="D8172" t="s">
        <v>4231</v>
      </c>
      <c r="E8172" s="3" t="s">
        <v>28</v>
      </c>
      <c r="F8172" s="4">
        <v>2.15E-58</v>
      </c>
      <c r="G8172" s="3">
        <v>514</v>
      </c>
      <c r="H8172" s="3">
        <v>38</v>
      </c>
      <c r="I8172" s="3">
        <v>353</v>
      </c>
      <c r="J8172" s="3">
        <v>452</v>
      </c>
      <c r="K8172" s="3">
        <v>1510</v>
      </c>
      <c r="L8172" s="3">
        <v>1</v>
      </c>
      <c r="M8172" s="3">
        <v>314</v>
      </c>
    </row>
    <row r="8173" spans="1:13" x14ac:dyDescent="0.25">
      <c r="A8173" s="1" t="str">
        <f>HYPERLINK("http://www.rosaceae.org/Prunus/Prunus_persica/p.persica_gdr_reftransV1_0021753","p.persica_gdr_reftransV1_0021753")</f>
        <v>p.persica_gdr_reftransV1_0021753</v>
      </c>
      <c r="B8173" s="3">
        <v>2858</v>
      </c>
      <c r="C8173" s="1" t="str">
        <f>HYPERLINK("http://www.uniprot.org/uniprot/NBR1_PONAB","NBR1_PONAB")</f>
        <v>NBR1_PONAB</v>
      </c>
      <c r="D8173" t="s">
        <v>6365</v>
      </c>
      <c r="E8173" s="3" t="s">
        <v>176</v>
      </c>
      <c r="F8173" s="4">
        <v>7.6000000000000002E-17</v>
      </c>
      <c r="G8173" s="3">
        <v>221</v>
      </c>
      <c r="H8173" s="3">
        <v>31</v>
      </c>
      <c r="I8173" s="3">
        <v>213</v>
      </c>
      <c r="J8173" s="3">
        <v>1336</v>
      </c>
      <c r="K8173" s="3">
        <v>1938</v>
      </c>
      <c r="L8173" s="3">
        <v>211</v>
      </c>
      <c r="M8173" s="3">
        <v>409</v>
      </c>
    </row>
    <row r="8174" spans="1:13" x14ac:dyDescent="0.25">
      <c r="A8174" s="1" t="str">
        <f>HYPERLINK("http://www.rosaceae.org/Prunus/Prunus_persica/p.persica_gdr_reftransV1_0021903","p.persica_gdr_reftransV1_0021903")</f>
        <v>p.persica_gdr_reftransV1_0021903</v>
      </c>
      <c r="B8174" s="3">
        <v>1095</v>
      </c>
      <c r="C8174" s="1" t="str">
        <f>HYPERLINK("http://www.uniprot.org/uniprot/ATG8C_ORYSJ","ATG8C_ORYSJ")</f>
        <v>ATG8C_ORYSJ</v>
      </c>
      <c r="D8174" t="s">
        <v>1590</v>
      </c>
      <c r="E8174" s="3" t="s">
        <v>38</v>
      </c>
      <c r="F8174" s="4">
        <v>1.19E-29</v>
      </c>
      <c r="G8174" s="3">
        <v>288</v>
      </c>
      <c r="H8174" s="3">
        <v>58</v>
      </c>
      <c r="I8174" s="3">
        <v>96</v>
      </c>
      <c r="J8174" s="3">
        <v>400</v>
      </c>
      <c r="K8174" s="3">
        <v>687</v>
      </c>
      <c r="L8174" s="3">
        <v>22</v>
      </c>
      <c r="M8174" s="3">
        <v>117</v>
      </c>
    </row>
    <row r="8175" spans="1:13" x14ac:dyDescent="0.25">
      <c r="A8175" s="1" t="str">
        <f>HYPERLINK("http://www.rosaceae.org/Prunus/Prunus_persica/p.persica_gdr_reftransV1_0021953","p.persica_gdr_reftransV1_0021953")</f>
        <v>p.persica_gdr_reftransV1_0021953</v>
      </c>
      <c r="B8175" s="3">
        <v>3049</v>
      </c>
      <c r="C8175" s="1" t="str">
        <f>HYPERLINK("http://www.uniprot.org/uniprot/SCL14_ARATH","SCL14_ARATH")</f>
        <v>SCL14_ARATH</v>
      </c>
      <c r="D8175" t="s">
        <v>797</v>
      </c>
      <c r="E8175" s="3" t="s">
        <v>3</v>
      </c>
      <c r="F8175" s="4">
        <v>0</v>
      </c>
      <c r="G8175" s="3">
        <v>1425</v>
      </c>
      <c r="H8175" s="3">
        <v>45</v>
      </c>
      <c r="I8175" s="3">
        <v>688</v>
      </c>
      <c r="J8175" s="3">
        <v>394</v>
      </c>
      <c r="K8175" s="3">
        <v>2277</v>
      </c>
      <c r="L8175" s="3">
        <v>86</v>
      </c>
      <c r="M8175" s="3">
        <v>764</v>
      </c>
    </row>
    <row r="8176" spans="1:13" x14ac:dyDescent="0.25">
      <c r="A8176" s="1" t="str">
        <f>HYPERLINK("http://www.rosaceae.org/Prunus/Prunus_persica/p.persica_gdr_reftransV1_0022003","p.persica_gdr_reftransV1_0022003")</f>
        <v>p.persica_gdr_reftransV1_0022003</v>
      </c>
      <c r="B8176" s="3">
        <v>1592</v>
      </c>
      <c r="C8176" s="1" t="str">
        <f>HYPERLINK("http://www.uniprot.org/uniprot/2AB2C_ARATH","2AB2C_ARATH")</f>
        <v>2AB2C_ARATH</v>
      </c>
      <c r="D8176" t="s">
        <v>6366</v>
      </c>
      <c r="E8176" s="3" t="s">
        <v>3</v>
      </c>
      <c r="F8176" s="4">
        <v>4.5600000000000001E-91</v>
      </c>
      <c r="G8176" s="3">
        <v>756</v>
      </c>
      <c r="H8176" s="3">
        <v>58</v>
      </c>
      <c r="I8176" s="3">
        <v>270</v>
      </c>
      <c r="J8176" s="3">
        <v>786</v>
      </c>
      <c r="K8176" s="3">
        <v>1592</v>
      </c>
      <c r="L8176" s="3">
        <v>349</v>
      </c>
      <c r="M8176" s="3">
        <v>536</v>
      </c>
    </row>
    <row r="8177" spans="1:13" x14ac:dyDescent="0.25">
      <c r="A8177" s="1" t="str">
        <f>HYPERLINK("http://www.rosaceae.org/Prunus/Prunus_persica/p.persica_gdr_reftransV1_0022103","p.persica_gdr_reftransV1_0022103")</f>
        <v>p.persica_gdr_reftransV1_0022103</v>
      </c>
      <c r="B8177" s="3">
        <v>3212</v>
      </c>
      <c r="C8177" s="1" t="str">
        <f>HYPERLINK("http://www.uniprot.org/uniprot/SR45A_ARATH","SR45A_ARATH")</f>
        <v>SR45A_ARATH</v>
      </c>
      <c r="D8177" t="s">
        <v>6013</v>
      </c>
      <c r="E8177" s="3" t="s">
        <v>3</v>
      </c>
      <c r="F8177" s="4">
        <v>1.25E-24</v>
      </c>
      <c r="G8177" s="3">
        <v>278</v>
      </c>
      <c r="H8177" s="3">
        <v>63</v>
      </c>
      <c r="I8177" s="3">
        <v>82</v>
      </c>
      <c r="J8177" s="3">
        <v>1782</v>
      </c>
      <c r="K8177" s="3">
        <v>2027</v>
      </c>
      <c r="L8177" s="3">
        <v>70</v>
      </c>
      <c r="M8177" s="3">
        <v>151</v>
      </c>
    </row>
    <row r="8178" spans="1:13" x14ac:dyDescent="0.25">
      <c r="A8178" s="1" t="str">
        <f>HYPERLINK("http://www.rosaceae.org/Prunus/Prunus_persica/p.persica_gdr_reftransV1_0022203","p.persica_gdr_reftransV1_0022203")</f>
        <v>p.persica_gdr_reftransV1_0022203</v>
      </c>
      <c r="B8178" s="3">
        <v>4950</v>
      </c>
      <c r="C8178" s="1" t="str">
        <f>HYPERLINK("http://www.uniprot.org/uniprot/FRL3_ARATH","FRL3_ARATH")</f>
        <v>FRL3_ARATH</v>
      </c>
      <c r="D8178" t="s">
        <v>270</v>
      </c>
      <c r="E8178" s="3" t="s">
        <v>3</v>
      </c>
      <c r="F8178" s="4">
        <v>1.1600000000000001E-11</v>
      </c>
      <c r="G8178" s="3">
        <v>178</v>
      </c>
      <c r="H8178" s="3">
        <v>29</v>
      </c>
      <c r="I8178" s="3">
        <v>173</v>
      </c>
      <c r="J8178" s="3">
        <v>1390</v>
      </c>
      <c r="K8178" s="3">
        <v>1857</v>
      </c>
      <c r="L8178" s="3">
        <v>183</v>
      </c>
      <c r="M8178" s="3">
        <v>355</v>
      </c>
    </row>
    <row r="8179" spans="1:13" x14ac:dyDescent="0.25">
      <c r="A8179" s="1" t="str">
        <f>HYPERLINK("http://www.rosaceae.org/Prunus/Prunus_persica/p.persica_gdr_reftransV1_0022303","p.persica_gdr_reftransV1_0022303")</f>
        <v>p.persica_gdr_reftransV1_0022303</v>
      </c>
      <c r="B8179" s="3">
        <v>2979</v>
      </c>
      <c r="C8179" s="1" t="str">
        <f>HYPERLINK("http://www.uniprot.org/uniprot/POF1_SCHPO","POF1_SCHPO")</f>
        <v>POF1_SCHPO</v>
      </c>
      <c r="D8179" t="s">
        <v>6367</v>
      </c>
      <c r="E8179" s="3" t="s">
        <v>464</v>
      </c>
      <c r="F8179" s="4">
        <v>9.7600000000000005E-18</v>
      </c>
      <c r="G8179" s="3">
        <v>227</v>
      </c>
      <c r="H8179" s="3">
        <v>29</v>
      </c>
      <c r="I8179" s="3">
        <v>269</v>
      </c>
      <c r="J8179" s="3">
        <v>644</v>
      </c>
      <c r="K8179" s="3">
        <v>1339</v>
      </c>
      <c r="L8179" s="3">
        <v>262</v>
      </c>
      <c r="M8179" s="3">
        <v>520</v>
      </c>
    </row>
    <row r="8180" spans="1:13" x14ac:dyDescent="0.25">
      <c r="A8180" s="1" t="str">
        <f>HYPERLINK("http://www.rosaceae.org/Prunus/Prunus_persica/p.persica_gdr_reftransV1_0022353","p.persica_gdr_reftransV1_0022353")</f>
        <v>p.persica_gdr_reftransV1_0022353</v>
      </c>
      <c r="B8180" s="3">
        <v>3899</v>
      </c>
      <c r="C8180" s="1" t="str">
        <f>HYPERLINK("http://www.uniprot.org/uniprot/SUVR2_ARATH","SUVR2_ARATH")</f>
        <v>SUVR2_ARATH</v>
      </c>
      <c r="D8180" t="s">
        <v>6368</v>
      </c>
      <c r="E8180" s="3" t="s">
        <v>3</v>
      </c>
      <c r="F8180" s="4">
        <v>7.3199999999999995E-151</v>
      </c>
      <c r="G8180" s="3">
        <v>1233</v>
      </c>
      <c r="H8180" s="3">
        <v>44</v>
      </c>
      <c r="I8180" s="3">
        <v>613</v>
      </c>
      <c r="J8180" s="3">
        <v>870</v>
      </c>
      <c r="K8180" s="3">
        <v>2681</v>
      </c>
      <c r="L8180" s="3">
        <v>145</v>
      </c>
      <c r="M8180" s="3">
        <v>705</v>
      </c>
    </row>
    <row r="8181" spans="1:13" x14ac:dyDescent="0.25">
      <c r="A8181" s="1" t="str">
        <f>HYPERLINK("http://www.rosaceae.org/Prunus/Prunus_persica/p.persica_gdr_reftransV1_0022553","p.persica_gdr_reftransV1_0022553")</f>
        <v>p.persica_gdr_reftransV1_0022553</v>
      </c>
      <c r="B8181" s="3">
        <v>4085</v>
      </c>
      <c r="C8181" s="1" t="str">
        <f>HYPERLINK("http://www.uniprot.org/uniprot/PDS5_YEAST","PDS5_YEAST")</f>
        <v>PDS5_YEAST</v>
      </c>
      <c r="D8181" t="s">
        <v>6369</v>
      </c>
      <c r="E8181" s="3" t="s">
        <v>34</v>
      </c>
      <c r="F8181" s="4">
        <v>6.7099999999999996E-16</v>
      </c>
      <c r="G8181" s="3">
        <v>215</v>
      </c>
      <c r="H8181" s="3">
        <v>32</v>
      </c>
      <c r="I8181" s="3">
        <v>155</v>
      </c>
      <c r="J8181" s="3">
        <v>3237</v>
      </c>
      <c r="K8181" s="3">
        <v>3698</v>
      </c>
      <c r="L8181" s="3">
        <v>24</v>
      </c>
      <c r="M8181" s="3">
        <v>175</v>
      </c>
    </row>
    <row r="8182" spans="1:13" x14ac:dyDescent="0.25">
      <c r="A8182" s="1" t="str">
        <f>HYPERLINK("http://www.rosaceae.org/Prunus/Prunus_persica/p.persica_gdr_reftransV1_0022803","p.persica_gdr_reftransV1_0022803")</f>
        <v>p.persica_gdr_reftransV1_0022803</v>
      </c>
      <c r="B8182" s="3">
        <v>2554</v>
      </c>
      <c r="C8182" s="1" t="str">
        <f>HYPERLINK("http://www.uniprot.org/uniprot/RUBB_PEA","RUBB_PEA")</f>
        <v>RUBB_PEA</v>
      </c>
      <c r="D8182" t="s">
        <v>6370</v>
      </c>
      <c r="E8182" s="3" t="s">
        <v>60</v>
      </c>
      <c r="F8182" s="4">
        <v>0</v>
      </c>
      <c r="G8182" s="3">
        <v>1482</v>
      </c>
      <c r="H8182" s="3">
        <v>89</v>
      </c>
      <c r="I8182" s="3">
        <v>337</v>
      </c>
      <c r="J8182" s="3">
        <v>1107</v>
      </c>
      <c r="K8182" s="3">
        <v>2117</v>
      </c>
      <c r="L8182" s="3">
        <v>258</v>
      </c>
      <c r="M8182" s="3">
        <v>593</v>
      </c>
    </row>
    <row r="8183" spans="1:13" x14ac:dyDescent="0.25">
      <c r="A8183" s="1" t="str">
        <f>HYPERLINK("http://www.rosaceae.org/Prunus/Prunus_persica/p.persica_gdr_reftransV1_0023703","p.persica_gdr_reftransV1_0023703")</f>
        <v>p.persica_gdr_reftransV1_0023703</v>
      </c>
      <c r="B8183" s="3">
        <v>1878</v>
      </c>
      <c r="C8183" s="1" t="str">
        <f>HYPERLINK("http://www.uniprot.org/uniprot/BGH3B_BACO1","BGH3B_BACO1")</f>
        <v>BGH3B_BACO1</v>
      </c>
      <c r="D8183" t="s">
        <v>355</v>
      </c>
      <c r="E8183" s="3" t="s">
        <v>356</v>
      </c>
      <c r="F8183" s="4">
        <v>1.9700000000000001E-85</v>
      </c>
      <c r="G8183" s="3">
        <v>741</v>
      </c>
      <c r="H8183" s="3">
        <v>32</v>
      </c>
      <c r="I8183" s="3">
        <v>598</v>
      </c>
      <c r="J8183" s="3">
        <v>3</v>
      </c>
      <c r="K8183" s="3">
        <v>1676</v>
      </c>
      <c r="L8183" s="3">
        <v>44</v>
      </c>
      <c r="M8183" s="3">
        <v>623</v>
      </c>
    </row>
    <row r="8184" spans="1:13" x14ac:dyDescent="0.25">
      <c r="A8184" s="1" t="str">
        <f>HYPERLINK("http://www.rosaceae.org/Prunus/Prunus_persica/p.persica_gdr_reftransV1_0024053","p.persica_gdr_reftransV1_0024053")</f>
        <v>p.persica_gdr_reftransV1_0024053</v>
      </c>
      <c r="B8184" s="3">
        <v>2717</v>
      </c>
      <c r="C8184" s="1" t="str">
        <f>HYPERLINK("http://www.uniprot.org/uniprot/SUS6_ARATH","SUS6_ARATH")</f>
        <v>SUS6_ARATH</v>
      </c>
      <c r="D8184" t="s">
        <v>6371</v>
      </c>
      <c r="E8184" s="3" t="s">
        <v>3</v>
      </c>
      <c r="F8184" s="4">
        <v>0</v>
      </c>
      <c r="G8184" s="3">
        <v>3189</v>
      </c>
      <c r="H8184" s="3">
        <v>75</v>
      </c>
      <c r="I8184" s="3">
        <v>778</v>
      </c>
      <c r="J8184" s="3">
        <v>383</v>
      </c>
      <c r="K8184" s="3">
        <v>2716</v>
      </c>
      <c r="L8184" s="3">
        <v>37</v>
      </c>
      <c r="M8184" s="3">
        <v>812</v>
      </c>
    </row>
    <row r="8185" spans="1:13" x14ac:dyDescent="0.25">
      <c r="A8185" s="1" t="str">
        <f>HYPERLINK("http://www.rosaceae.org/Prunus/Prunus_persica/p.persica_gdr_reftransV1_0024353","p.persica_gdr_reftransV1_0024353")</f>
        <v>p.persica_gdr_reftransV1_0024353</v>
      </c>
      <c r="B8185" s="3">
        <v>2001</v>
      </c>
      <c r="C8185" s="1" t="str">
        <f>HYPERLINK("http://www.uniprot.org/uniprot/NECP2_HUMAN","NECP2_HUMAN")</f>
        <v>NECP2_HUMAN</v>
      </c>
      <c r="D8185" t="s">
        <v>6372</v>
      </c>
      <c r="E8185" s="3" t="s">
        <v>28</v>
      </c>
      <c r="F8185" s="4">
        <v>1.81E-10</v>
      </c>
      <c r="G8185" s="3">
        <v>158</v>
      </c>
      <c r="H8185" s="3">
        <v>30</v>
      </c>
      <c r="I8185" s="3">
        <v>175</v>
      </c>
      <c r="J8185" s="3">
        <v>1198</v>
      </c>
      <c r="K8185" s="3">
        <v>1710</v>
      </c>
      <c r="L8185" s="3">
        <v>88</v>
      </c>
      <c r="M8185" s="3">
        <v>243</v>
      </c>
    </row>
    <row r="8186" spans="1:13" x14ac:dyDescent="0.25">
      <c r="A8186" s="1" t="str">
        <f>HYPERLINK("http://www.rosaceae.org/Prunus/Prunus_persica/p.persica_gdr_reftransV1_0024453","p.persica_gdr_reftransV1_0024453")</f>
        <v>p.persica_gdr_reftransV1_0024453</v>
      </c>
      <c r="B8186" s="3">
        <v>1741</v>
      </c>
      <c r="C8186" s="1" t="str">
        <f>HYPERLINK("http://www.uniprot.org/uniprot/C3H22_ARATH","C3H22_ARATH")</f>
        <v>C3H22_ARATH</v>
      </c>
      <c r="D8186" t="s">
        <v>6373</v>
      </c>
      <c r="E8186" s="3" t="s">
        <v>3</v>
      </c>
      <c r="F8186" s="4">
        <v>2.3199999999999999E-86</v>
      </c>
      <c r="G8186" s="3">
        <v>724</v>
      </c>
      <c r="H8186" s="3">
        <v>54</v>
      </c>
      <c r="I8186" s="3">
        <v>380</v>
      </c>
      <c r="J8186" s="3">
        <v>185</v>
      </c>
      <c r="K8186" s="3">
        <v>1252</v>
      </c>
      <c r="L8186" s="3">
        <v>135</v>
      </c>
      <c r="M8186" s="3">
        <v>497</v>
      </c>
    </row>
    <row r="8187" spans="1:13" x14ac:dyDescent="0.25">
      <c r="A8187" s="1" t="str">
        <f>HYPERLINK("http://www.rosaceae.org/Prunus/Prunus_persica/p.persica_gdr_reftransV1_0024753","p.persica_gdr_reftransV1_0024753")</f>
        <v>p.persica_gdr_reftransV1_0024753</v>
      </c>
      <c r="B8187" s="3">
        <v>3820</v>
      </c>
      <c r="C8187" s="1" t="str">
        <f>HYPERLINK("http://www.uniprot.org/uniprot/MAN2_ARATH","MAN2_ARATH")</f>
        <v>MAN2_ARATH</v>
      </c>
      <c r="D8187" t="s">
        <v>6374</v>
      </c>
      <c r="E8187" s="3" t="s">
        <v>3</v>
      </c>
      <c r="F8187" s="4">
        <v>3.15E-86</v>
      </c>
      <c r="G8187" s="3">
        <v>748</v>
      </c>
      <c r="H8187" s="3">
        <v>73</v>
      </c>
      <c r="I8187" s="3">
        <v>184</v>
      </c>
      <c r="J8187" s="3">
        <v>492</v>
      </c>
      <c r="K8187" s="3">
        <v>1043</v>
      </c>
      <c r="L8187" s="3">
        <v>5</v>
      </c>
      <c r="M8187" s="3">
        <v>188</v>
      </c>
    </row>
    <row r="8188" spans="1:13" x14ac:dyDescent="0.25">
      <c r="A8188" s="1" t="str">
        <f>HYPERLINK("http://www.rosaceae.org/Prunus/Prunus_persica/p.persica_gdr_reftransV1_0024853","p.persica_gdr_reftransV1_0024853")</f>
        <v>p.persica_gdr_reftransV1_0024853</v>
      </c>
      <c r="B8188" s="3">
        <v>1801</v>
      </c>
      <c r="C8188" s="1" t="str">
        <f>HYPERLINK("http://www.uniprot.org/uniprot/RIE1_ARATH","RIE1_ARATH")</f>
        <v>RIE1_ARATH</v>
      </c>
      <c r="D8188" t="s">
        <v>6375</v>
      </c>
      <c r="E8188" s="3" t="s">
        <v>3</v>
      </c>
      <c r="F8188" s="4">
        <v>5.3199999999999998E-117</v>
      </c>
      <c r="G8188" s="3">
        <v>921</v>
      </c>
      <c r="H8188" s="3">
        <v>61</v>
      </c>
      <c r="I8188" s="3">
        <v>357</v>
      </c>
      <c r="J8188" s="3">
        <v>307</v>
      </c>
      <c r="K8188" s="3">
        <v>1374</v>
      </c>
      <c r="L8188" s="3">
        <v>15</v>
      </c>
      <c r="M8188" s="3">
        <v>355</v>
      </c>
    </row>
    <row r="8189" spans="1:13" x14ac:dyDescent="0.25">
      <c r="A8189" s="1" t="str">
        <f>HYPERLINK("http://www.rosaceae.org/Prunus/Prunus_persica/p.persica_gdr_reftransV1_0025003","p.persica_gdr_reftransV1_0025003")</f>
        <v>p.persica_gdr_reftransV1_0025003</v>
      </c>
      <c r="B8189" s="3">
        <v>548</v>
      </c>
      <c r="C8189" s="1" t="str">
        <f>HYPERLINK("http://www.uniprot.org/uniprot/GRDP2_ARATH","GRDP2_ARATH")</f>
        <v>GRDP2_ARATH</v>
      </c>
      <c r="D8189" t="s">
        <v>6376</v>
      </c>
      <c r="E8189" s="3" t="s">
        <v>3</v>
      </c>
      <c r="F8189" s="4">
        <v>1.8600000000000001E-20</v>
      </c>
      <c r="G8189" s="3">
        <v>230</v>
      </c>
      <c r="H8189" s="3">
        <v>32</v>
      </c>
      <c r="I8189" s="3">
        <v>188</v>
      </c>
      <c r="J8189" s="3">
        <v>1</v>
      </c>
      <c r="K8189" s="3">
        <v>543</v>
      </c>
      <c r="L8189" s="3">
        <v>44</v>
      </c>
      <c r="M8189" s="3">
        <v>230</v>
      </c>
    </row>
    <row r="8190" spans="1:13" x14ac:dyDescent="0.25">
      <c r="A8190" s="1" t="str">
        <f>HYPERLINK("http://www.rosaceae.org/Prunus/Prunus_persica/p.persica_gdr_reftransV1_0025153","p.persica_gdr_reftransV1_0025153")</f>
        <v>p.persica_gdr_reftransV1_0025153</v>
      </c>
      <c r="B8190" s="3">
        <v>3354</v>
      </c>
      <c r="C8190" s="1" t="str">
        <f>HYPERLINK("http://www.uniprot.org/uniprot/PAO2_ARATH","PAO2_ARATH")</f>
        <v>PAO2_ARATH</v>
      </c>
      <c r="D8190" t="s">
        <v>6377</v>
      </c>
      <c r="E8190" s="3" t="s">
        <v>3</v>
      </c>
      <c r="F8190" s="4">
        <v>0</v>
      </c>
      <c r="G8190" s="3">
        <v>2061</v>
      </c>
      <c r="H8190" s="3">
        <v>82</v>
      </c>
      <c r="I8190" s="3">
        <v>470</v>
      </c>
      <c r="J8190" s="3">
        <v>717</v>
      </c>
      <c r="K8190" s="3">
        <v>2126</v>
      </c>
      <c r="L8190" s="3">
        <v>14</v>
      </c>
      <c r="M8190" s="3">
        <v>478</v>
      </c>
    </row>
    <row r="8191" spans="1:13" x14ac:dyDescent="0.25">
      <c r="A8191" s="1" t="str">
        <f>HYPERLINK("http://www.rosaceae.org/Prunus/Prunus_persica/p.persica_gdr_reftransV1_0025453","p.persica_gdr_reftransV1_0025453")</f>
        <v>p.persica_gdr_reftransV1_0025453</v>
      </c>
      <c r="B8191" s="3">
        <v>3987</v>
      </c>
      <c r="C8191" s="1" t="str">
        <f>HYPERLINK("http://www.uniprot.org/uniprot/SYF1_MOUSE","SYF1_MOUSE")</f>
        <v>SYF1_MOUSE</v>
      </c>
      <c r="D8191" t="s">
        <v>6378</v>
      </c>
      <c r="E8191" s="3" t="s">
        <v>157</v>
      </c>
      <c r="F8191" s="4">
        <v>0</v>
      </c>
      <c r="G8191" s="3">
        <v>2178</v>
      </c>
      <c r="H8191" s="3">
        <v>50</v>
      </c>
      <c r="I8191" s="3">
        <v>870</v>
      </c>
      <c r="J8191" s="3">
        <v>1165</v>
      </c>
      <c r="K8191" s="3">
        <v>3753</v>
      </c>
      <c r="L8191" s="3">
        <v>28</v>
      </c>
      <c r="M8191" s="3">
        <v>852</v>
      </c>
    </row>
    <row r="8192" spans="1:13" x14ac:dyDescent="0.25">
      <c r="A8192" s="1" t="str">
        <f>HYPERLINK("http://www.rosaceae.org/Prunus/Prunus_persica/p.persica_gdr_reftransV1_0025703","p.persica_gdr_reftransV1_0025703")</f>
        <v>p.persica_gdr_reftransV1_0025703</v>
      </c>
      <c r="B8192" s="3">
        <v>3407</v>
      </c>
      <c r="C8192" s="1" t="str">
        <f>HYPERLINK("http://www.uniprot.org/uniprot/AP1G2_ARATH","AP1G2_ARATH")</f>
        <v>AP1G2_ARATH</v>
      </c>
      <c r="D8192" t="s">
        <v>6379</v>
      </c>
      <c r="E8192" s="3" t="s">
        <v>3</v>
      </c>
      <c r="F8192" s="4">
        <v>0</v>
      </c>
      <c r="G8192" s="3">
        <v>3435</v>
      </c>
      <c r="H8192" s="3">
        <v>78</v>
      </c>
      <c r="I8192" s="3">
        <v>878</v>
      </c>
      <c r="J8192" s="3">
        <v>298</v>
      </c>
      <c r="K8192" s="3">
        <v>2922</v>
      </c>
      <c r="L8192" s="3">
        <v>1</v>
      </c>
      <c r="M8192" s="3">
        <v>862</v>
      </c>
    </row>
    <row r="8193" spans="1:13" x14ac:dyDescent="0.25">
      <c r="A8193" s="1" t="str">
        <f>HYPERLINK("http://www.rosaceae.org/Prunus/Prunus_persica/p.persica_gdr_reftransV1_0025753","p.persica_gdr_reftransV1_0025753")</f>
        <v>p.persica_gdr_reftransV1_0025753</v>
      </c>
      <c r="B8193" s="3">
        <v>1827</v>
      </c>
      <c r="C8193" s="1" t="str">
        <f>HYPERLINK("http://www.uniprot.org/uniprot/PAT_PETHY","PAT_PETHY")</f>
        <v>PAT_PETHY</v>
      </c>
      <c r="D8193" t="s">
        <v>6380</v>
      </c>
      <c r="E8193" s="3" t="s">
        <v>509</v>
      </c>
      <c r="F8193" s="4">
        <v>0</v>
      </c>
      <c r="G8193" s="3">
        <v>1900</v>
      </c>
      <c r="H8193" s="3">
        <v>83</v>
      </c>
      <c r="I8193" s="3">
        <v>454</v>
      </c>
      <c r="J8193" s="3">
        <v>302</v>
      </c>
      <c r="K8193" s="3">
        <v>1651</v>
      </c>
      <c r="L8193" s="3">
        <v>29</v>
      </c>
      <c r="M8193" s="3">
        <v>474</v>
      </c>
    </row>
    <row r="8194" spans="1:13" x14ac:dyDescent="0.25">
      <c r="A8194" s="1" t="str">
        <f>HYPERLINK("http://www.rosaceae.org/Prunus/Prunus_persica/p.persica_gdr_reftransV1_0025803","p.persica_gdr_reftransV1_0025803")</f>
        <v>p.persica_gdr_reftransV1_0025803</v>
      </c>
      <c r="B8194" s="3">
        <v>1000</v>
      </c>
      <c r="C8194" s="1" t="str">
        <f>HYPERLINK("http://www.uniprot.org/uniprot/P24B3_ARATH","P24B3_ARATH")</f>
        <v>P24B3_ARATH</v>
      </c>
      <c r="D8194" t="s">
        <v>6381</v>
      </c>
      <c r="E8194" s="3" t="s">
        <v>3</v>
      </c>
      <c r="F8194" s="4">
        <v>9.8700000000000005E-124</v>
      </c>
      <c r="G8194" s="3">
        <v>926</v>
      </c>
      <c r="H8194" s="3">
        <v>80</v>
      </c>
      <c r="I8194" s="3">
        <v>216</v>
      </c>
      <c r="J8194" s="3">
        <v>106</v>
      </c>
      <c r="K8194" s="3">
        <v>753</v>
      </c>
      <c r="L8194" s="3">
        <v>1</v>
      </c>
      <c r="M8194" s="3">
        <v>214</v>
      </c>
    </row>
    <row r="8195" spans="1:13" x14ac:dyDescent="0.25">
      <c r="A8195" s="1" t="str">
        <f>HYPERLINK("http://www.rosaceae.org/Prunus/Prunus_persica/p.persica_gdr_reftransV1_0026003","p.persica_gdr_reftransV1_0026003")</f>
        <v>p.persica_gdr_reftransV1_0026003</v>
      </c>
      <c r="B8195" s="3">
        <v>1542</v>
      </c>
      <c r="C8195" s="1" t="str">
        <f>HYPERLINK("http://www.uniprot.org/uniprot/KDSA1_ARATH","KDSA1_ARATH")</f>
        <v>KDSA1_ARATH</v>
      </c>
      <c r="D8195" t="s">
        <v>1468</v>
      </c>
      <c r="E8195" s="3" t="s">
        <v>3</v>
      </c>
      <c r="F8195" s="4">
        <v>0</v>
      </c>
      <c r="G8195" s="3">
        <v>1379</v>
      </c>
      <c r="H8195" s="3">
        <v>90</v>
      </c>
      <c r="I8195" s="3">
        <v>290</v>
      </c>
      <c r="J8195" s="3">
        <v>320</v>
      </c>
      <c r="K8195" s="3">
        <v>1189</v>
      </c>
      <c r="L8195" s="3">
        <v>1</v>
      </c>
      <c r="M8195" s="3">
        <v>290</v>
      </c>
    </row>
    <row r="8196" spans="1:13" x14ac:dyDescent="0.25">
      <c r="A8196" s="1" t="str">
        <f>HYPERLINK("http://www.rosaceae.org/Prunus/Prunus_persica/p.persica_gdr_reftransV1_0026253","p.persica_gdr_reftransV1_0026253")</f>
        <v>p.persica_gdr_reftransV1_0026253</v>
      </c>
      <c r="B8196" s="3">
        <v>2382</v>
      </c>
      <c r="C8196" s="1" t="str">
        <f>HYPERLINK("http://www.uniprot.org/uniprot/PARN_ARATH","PARN_ARATH")</f>
        <v>PARN_ARATH</v>
      </c>
      <c r="D8196" t="s">
        <v>3843</v>
      </c>
      <c r="E8196" s="3" t="s">
        <v>3</v>
      </c>
      <c r="F8196" s="4">
        <v>3.3799999999999999E-155</v>
      </c>
      <c r="G8196" s="3">
        <v>1224</v>
      </c>
      <c r="H8196" s="3">
        <v>61</v>
      </c>
      <c r="I8196" s="3">
        <v>381</v>
      </c>
      <c r="J8196" s="3">
        <v>1</v>
      </c>
      <c r="K8196" s="3">
        <v>1143</v>
      </c>
      <c r="L8196" s="3">
        <v>67</v>
      </c>
      <c r="M8196" s="3">
        <v>444</v>
      </c>
    </row>
    <row r="8197" spans="1:13" x14ac:dyDescent="0.25">
      <c r="A8197" s="1" t="str">
        <f>HYPERLINK("http://www.rosaceae.org/Prunus/Prunus_persica/p.persica_gdr_reftransV1_0026303","p.persica_gdr_reftransV1_0026303")</f>
        <v>p.persica_gdr_reftransV1_0026303</v>
      </c>
      <c r="B8197" s="3">
        <v>690</v>
      </c>
      <c r="C8197" s="1" t="str">
        <f>HYPERLINK("http://www.uniprot.org/uniprot/CYP5F_ARATH","CYP5F_ARATH")</f>
        <v>CYP5F_ARATH</v>
      </c>
      <c r="D8197" t="s">
        <v>6382</v>
      </c>
      <c r="E8197" s="3" t="s">
        <v>3</v>
      </c>
      <c r="F8197" s="4">
        <v>9.219999999999999E-41</v>
      </c>
      <c r="G8197" s="3">
        <v>356</v>
      </c>
      <c r="H8197" s="3">
        <v>84</v>
      </c>
      <c r="I8197" s="3">
        <v>74</v>
      </c>
      <c r="J8197" s="3">
        <v>220</v>
      </c>
      <c r="K8197" s="3">
        <v>441</v>
      </c>
      <c r="L8197" s="3">
        <v>47</v>
      </c>
      <c r="M8197" s="3">
        <v>120</v>
      </c>
    </row>
    <row r="8198" spans="1:13" x14ac:dyDescent="0.25">
      <c r="A8198" s="1" t="str">
        <f>HYPERLINK("http://www.rosaceae.org/Prunus/Prunus_persica/p.persica_gdr_reftransV1_0026453","p.persica_gdr_reftransV1_0026453")</f>
        <v>p.persica_gdr_reftransV1_0026453</v>
      </c>
      <c r="B8198" s="3">
        <v>3137</v>
      </c>
      <c r="C8198" s="1" t="str">
        <f>HYPERLINK("http://www.uniprot.org/uniprot/Y3475_ARATH","Y3475_ARATH")</f>
        <v>Y3475_ARATH</v>
      </c>
      <c r="D8198" t="s">
        <v>827</v>
      </c>
      <c r="E8198" s="3" t="s">
        <v>3</v>
      </c>
      <c r="F8198" s="4">
        <v>1.9499999999999999E-47</v>
      </c>
      <c r="G8198" s="3">
        <v>477</v>
      </c>
      <c r="H8198" s="3">
        <v>34</v>
      </c>
      <c r="I8198" s="3">
        <v>446</v>
      </c>
      <c r="J8198" s="3">
        <v>1875</v>
      </c>
      <c r="K8198" s="3">
        <v>3137</v>
      </c>
      <c r="L8198" s="3">
        <v>97</v>
      </c>
      <c r="M8198" s="3">
        <v>515</v>
      </c>
    </row>
    <row r="8199" spans="1:13" x14ac:dyDescent="0.25">
      <c r="A8199" s="1" t="str">
        <f>HYPERLINK("http://www.rosaceae.org/Prunus/Prunus_persica/p.persica_gdr_reftransV1_0026553","p.persica_gdr_reftransV1_0026553")</f>
        <v>p.persica_gdr_reftransV1_0026553</v>
      </c>
      <c r="B8199" s="3">
        <v>3160</v>
      </c>
      <c r="C8199" s="1" t="str">
        <f>HYPERLINK("http://www.uniprot.org/uniprot/RLK1_ARATH","RLK1_ARATH")</f>
        <v>RLK1_ARATH</v>
      </c>
      <c r="D8199" t="s">
        <v>806</v>
      </c>
      <c r="E8199" s="3" t="s">
        <v>3</v>
      </c>
      <c r="F8199" s="4">
        <v>3.1199999999999998E-140</v>
      </c>
      <c r="G8199" s="3">
        <v>899</v>
      </c>
      <c r="H8199" s="3">
        <v>63</v>
      </c>
      <c r="I8199" s="3">
        <v>267</v>
      </c>
      <c r="J8199" s="3">
        <v>1908</v>
      </c>
      <c r="K8199" s="3">
        <v>2705</v>
      </c>
      <c r="L8199" s="3">
        <v>539</v>
      </c>
      <c r="M8199" s="3">
        <v>801</v>
      </c>
    </row>
    <row r="8200" spans="1:13" x14ac:dyDescent="0.25">
      <c r="A8200" s="1" t="str">
        <f>HYPERLINK("http://www.rosaceae.org/Prunus/Prunus_persica/p.persica_gdr_reftransV1_0026953","p.persica_gdr_reftransV1_0026953")</f>
        <v>p.persica_gdr_reftransV1_0026953</v>
      </c>
      <c r="B8200" s="3">
        <v>2367</v>
      </c>
      <c r="C8200" s="1" t="str">
        <f>HYPERLINK("http://www.uniprot.org/uniprot/EEA1_HUMAN","EEA1_HUMAN")</f>
        <v>EEA1_HUMAN</v>
      </c>
      <c r="D8200" t="s">
        <v>6383</v>
      </c>
      <c r="E8200" s="3" t="s">
        <v>28</v>
      </c>
      <c r="F8200" s="4">
        <v>4.2999999999999999E-12</v>
      </c>
      <c r="G8200" s="3">
        <v>180</v>
      </c>
      <c r="H8200" s="3">
        <v>49</v>
      </c>
      <c r="I8200" s="3">
        <v>59</v>
      </c>
      <c r="J8200" s="3">
        <v>747</v>
      </c>
      <c r="K8200" s="3">
        <v>923</v>
      </c>
      <c r="L8200" s="3">
        <v>1349</v>
      </c>
      <c r="M8200" s="3">
        <v>1405</v>
      </c>
    </row>
    <row r="8201" spans="1:13" x14ac:dyDescent="0.25">
      <c r="A8201" s="1" t="str">
        <f>HYPERLINK("http://www.rosaceae.org/Prunus/Prunus_persica/p.persica_gdr_reftransV1_0027403","p.persica_gdr_reftransV1_0027403")</f>
        <v>p.persica_gdr_reftransV1_0027403</v>
      </c>
      <c r="B8201" s="3">
        <v>1979</v>
      </c>
      <c r="C8201" s="1" t="str">
        <f>HYPERLINK("http://www.uniprot.org/uniprot/KDTA_ARATH","KDTA_ARATH")</f>
        <v>KDTA_ARATH</v>
      </c>
      <c r="D8201" t="s">
        <v>6384</v>
      </c>
      <c r="E8201" s="3" t="s">
        <v>3</v>
      </c>
      <c r="F8201" s="4">
        <v>3.1200000000000001E-138</v>
      </c>
      <c r="G8201" s="3">
        <v>957</v>
      </c>
      <c r="H8201" s="3">
        <v>71</v>
      </c>
      <c r="I8201" s="3">
        <v>283</v>
      </c>
      <c r="J8201" s="3">
        <v>51</v>
      </c>
      <c r="K8201" s="3">
        <v>899</v>
      </c>
      <c r="L8201" s="3">
        <v>7</v>
      </c>
      <c r="M8201" s="3">
        <v>289</v>
      </c>
    </row>
    <row r="8202" spans="1:13" x14ac:dyDescent="0.25">
      <c r="A8202" s="1" t="str">
        <f>HYPERLINK("http://www.rosaceae.org/Prunus/Prunus_persica/p.persica_gdr_reftransV1_0027803","p.persica_gdr_reftransV1_0027803")</f>
        <v>p.persica_gdr_reftransV1_0027803</v>
      </c>
      <c r="B8202" s="3">
        <v>1560</v>
      </c>
      <c r="C8202" s="1" t="str">
        <f>HYPERLINK("http://www.uniprot.org/uniprot/AAED1_ARATH","AAED1_ARATH")</f>
        <v>AAED1_ARATH</v>
      </c>
      <c r="D8202" t="s">
        <v>6385</v>
      </c>
      <c r="E8202" s="3" t="s">
        <v>3</v>
      </c>
      <c r="F8202" s="4">
        <v>6.1600000000000003E-53</v>
      </c>
      <c r="G8202" s="3">
        <v>470</v>
      </c>
      <c r="H8202" s="3">
        <v>81</v>
      </c>
      <c r="I8202" s="3">
        <v>105</v>
      </c>
      <c r="J8202" s="3">
        <v>934</v>
      </c>
      <c r="K8202" s="3">
        <v>1248</v>
      </c>
      <c r="L8202" s="3">
        <v>143</v>
      </c>
      <c r="M8202" s="3">
        <v>247</v>
      </c>
    </row>
    <row r="8203" spans="1:13" x14ac:dyDescent="0.25">
      <c r="A8203" s="1" t="str">
        <f>HYPERLINK("http://www.rosaceae.org/Prunus/Prunus_persica/p.persica_gdr_reftransV1_0027903","p.persica_gdr_reftransV1_0027903")</f>
        <v>p.persica_gdr_reftransV1_0027903</v>
      </c>
      <c r="B8203" s="3">
        <v>1404</v>
      </c>
      <c r="C8203" s="1" t="str">
        <f>HYPERLINK("http://www.uniprot.org/uniprot/G2OX8_ARATH","G2OX8_ARATH")</f>
        <v>G2OX8_ARATH</v>
      </c>
      <c r="D8203" t="s">
        <v>2922</v>
      </c>
      <c r="E8203" s="3" t="s">
        <v>3</v>
      </c>
      <c r="F8203" s="4">
        <v>3.8100000000000002E-110</v>
      </c>
      <c r="G8203" s="3">
        <v>861</v>
      </c>
      <c r="H8203" s="3">
        <v>51</v>
      </c>
      <c r="I8203" s="3">
        <v>345</v>
      </c>
      <c r="J8203" s="3">
        <v>328</v>
      </c>
      <c r="K8203" s="3">
        <v>1335</v>
      </c>
      <c r="L8203" s="3">
        <v>2</v>
      </c>
      <c r="M8203" s="3">
        <v>332</v>
      </c>
    </row>
    <row r="8204" spans="1:13" x14ac:dyDescent="0.25">
      <c r="A8204" s="1" t="str">
        <f>HYPERLINK("http://www.rosaceae.org/Prunus/Prunus_persica/p.persica_gdr_reftransV1_0027953","p.persica_gdr_reftransV1_0027953")</f>
        <v>p.persica_gdr_reftransV1_0027953</v>
      </c>
      <c r="B8204" s="3">
        <v>893</v>
      </c>
      <c r="C8204" s="1" t="str">
        <f>HYPERLINK("http://www.uniprot.org/uniprot/UXT_DICDI","UXT_DICDI")</f>
        <v>UXT_DICDI</v>
      </c>
      <c r="D8204" t="s">
        <v>3848</v>
      </c>
      <c r="E8204" s="3" t="s">
        <v>9</v>
      </c>
      <c r="F8204" s="4">
        <v>9.5100000000000006E-28</v>
      </c>
      <c r="G8204" s="3">
        <v>275</v>
      </c>
      <c r="H8204" s="3">
        <v>41</v>
      </c>
      <c r="I8204" s="3">
        <v>133</v>
      </c>
      <c r="J8204" s="3">
        <v>54</v>
      </c>
      <c r="K8204" s="3">
        <v>452</v>
      </c>
      <c r="L8204" s="3">
        <v>29</v>
      </c>
      <c r="M8204" s="3">
        <v>161</v>
      </c>
    </row>
    <row r="8205" spans="1:13" x14ac:dyDescent="0.25">
      <c r="A8205" s="1" t="str">
        <f>HYPERLINK("http://www.rosaceae.org/Prunus/Prunus_persica/p.persica_gdr_reftransV1_0028703","p.persica_gdr_reftransV1_0028703")</f>
        <v>p.persica_gdr_reftransV1_0028703</v>
      </c>
      <c r="B8205" s="3">
        <v>1412</v>
      </c>
      <c r="C8205" s="1" t="str">
        <f>HYPERLINK("http://www.uniprot.org/uniprot/Y1497_ARATH","Y1497_ARATH")</f>
        <v>Y1497_ARATH</v>
      </c>
      <c r="D8205" t="s">
        <v>4408</v>
      </c>
      <c r="E8205" s="3" t="s">
        <v>3</v>
      </c>
      <c r="F8205" s="4">
        <v>5.0000000000000002E-26</v>
      </c>
      <c r="G8205" s="3">
        <v>287</v>
      </c>
      <c r="H8205" s="3">
        <v>45</v>
      </c>
      <c r="I8205" s="3">
        <v>161</v>
      </c>
      <c r="J8205" s="3">
        <v>227</v>
      </c>
      <c r="K8205" s="3">
        <v>703</v>
      </c>
      <c r="L8205" s="3">
        <v>315</v>
      </c>
      <c r="M8205" s="3">
        <v>475</v>
      </c>
    </row>
    <row r="8206" spans="1:13" x14ac:dyDescent="0.25">
      <c r="A8206" s="1" t="str">
        <f>HYPERLINK("http://www.rosaceae.org/Prunus/Prunus_persica/p.persica_gdr_reftransV1_0028803","p.persica_gdr_reftransV1_0028803")</f>
        <v>p.persica_gdr_reftransV1_0028803</v>
      </c>
      <c r="B8206" s="3">
        <v>4096</v>
      </c>
      <c r="C8206" s="1" t="str">
        <f>HYPERLINK("http://www.uniprot.org/uniprot/PFKA4_ARATH","PFKA4_ARATH")</f>
        <v>PFKA4_ARATH</v>
      </c>
      <c r="D8206" t="s">
        <v>6386</v>
      </c>
      <c r="E8206" s="3" t="s">
        <v>3</v>
      </c>
      <c r="F8206" s="4">
        <v>1.7000000000000001E-144</v>
      </c>
      <c r="G8206" s="3">
        <v>1176</v>
      </c>
      <c r="H8206" s="3">
        <v>69</v>
      </c>
      <c r="I8206" s="3">
        <v>356</v>
      </c>
      <c r="J8206" s="3">
        <v>266</v>
      </c>
      <c r="K8206" s="3">
        <v>1330</v>
      </c>
      <c r="L8206" s="3">
        <v>33</v>
      </c>
      <c r="M8206" s="3">
        <v>338</v>
      </c>
    </row>
    <row r="8207" spans="1:13" x14ac:dyDescent="0.25">
      <c r="A8207" s="1" t="str">
        <f>HYPERLINK("http://www.rosaceae.org/Prunus/Prunus_persica/p.persica_gdr_reftransV1_0029053","p.persica_gdr_reftransV1_0029053")</f>
        <v>p.persica_gdr_reftransV1_0029053</v>
      </c>
      <c r="B8207" s="3">
        <v>955</v>
      </c>
      <c r="C8207" s="1" t="str">
        <f>HYPERLINK("http://www.uniprot.org/uniprot/CML11_ARATH","CML11_ARATH")</f>
        <v>CML11_ARATH</v>
      </c>
      <c r="D8207" t="s">
        <v>6387</v>
      </c>
      <c r="E8207" s="3" t="s">
        <v>3</v>
      </c>
      <c r="F8207" s="4">
        <v>2.42E-83</v>
      </c>
      <c r="G8207" s="3">
        <v>653</v>
      </c>
      <c r="H8207" s="3">
        <v>81</v>
      </c>
      <c r="I8207" s="3">
        <v>157</v>
      </c>
      <c r="J8207" s="3">
        <v>122</v>
      </c>
      <c r="K8207" s="3">
        <v>592</v>
      </c>
      <c r="L8207" s="3">
        <v>28</v>
      </c>
      <c r="M8207" s="3">
        <v>173</v>
      </c>
    </row>
    <row r="8208" spans="1:13" x14ac:dyDescent="0.25">
      <c r="A8208" s="1" t="str">
        <f>HYPERLINK("http://www.rosaceae.org/Prunus/Prunus_persica/p.persica_gdr_reftransV1_0029103","p.persica_gdr_reftransV1_0029103")</f>
        <v>p.persica_gdr_reftransV1_0029103</v>
      </c>
      <c r="B8208" s="3">
        <v>5481</v>
      </c>
      <c r="C8208" s="1" t="str">
        <f>HYPERLINK("http://www.uniprot.org/uniprot/UPL4_ARATH","UPL4_ARATH")</f>
        <v>UPL4_ARATH</v>
      </c>
      <c r="D8208" t="s">
        <v>6388</v>
      </c>
      <c r="E8208" s="3" t="s">
        <v>3</v>
      </c>
      <c r="F8208" s="4">
        <v>0</v>
      </c>
      <c r="G8208" s="3">
        <v>4181</v>
      </c>
      <c r="H8208" s="3">
        <v>57</v>
      </c>
      <c r="I8208" s="3">
        <v>1553</v>
      </c>
      <c r="J8208" s="3">
        <v>620</v>
      </c>
      <c r="K8208" s="3">
        <v>5242</v>
      </c>
      <c r="L8208" s="3">
        <v>1</v>
      </c>
      <c r="M8208" s="3">
        <v>1501</v>
      </c>
    </row>
    <row r="8209" spans="1:13" x14ac:dyDescent="0.25">
      <c r="A8209" s="1" t="str">
        <f>HYPERLINK("http://www.rosaceae.org/Prunus/Prunus_persica/p.persica_gdr_reftransV1_0029203","p.persica_gdr_reftransV1_0029203")</f>
        <v>p.persica_gdr_reftransV1_0029203</v>
      </c>
      <c r="B8209" s="3">
        <v>2483</v>
      </c>
      <c r="C8209" s="1" t="str">
        <f>HYPERLINK("http://www.uniprot.org/uniprot/SYYC1_ARATH","SYYC1_ARATH")</f>
        <v>SYYC1_ARATH</v>
      </c>
      <c r="D8209" t="s">
        <v>6389</v>
      </c>
      <c r="E8209" s="3" t="s">
        <v>3</v>
      </c>
      <c r="F8209" s="4">
        <v>3.0299999999999999E-149</v>
      </c>
      <c r="G8209" s="3">
        <v>1158</v>
      </c>
      <c r="H8209" s="3">
        <v>78</v>
      </c>
      <c r="I8209" s="3">
        <v>271</v>
      </c>
      <c r="J8209" s="3">
        <v>923</v>
      </c>
      <c r="K8209" s="3">
        <v>1735</v>
      </c>
      <c r="L8209" s="3">
        <v>117</v>
      </c>
      <c r="M8209" s="3">
        <v>385</v>
      </c>
    </row>
    <row r="8210" spans="1:13" x14ac:dyDescent="0.25">
      <c r="A8210" s="1" t="str">
        <f>HYPERLINK("http://www.rosaceae.org/Prunus/Prunus_persica/p.persica_gdr_reftransV1_0029403","p.persica_gdr_reftransV1_0029403")</f>
        <v>p.persica_gdr_reftransV1_0029403</v>
      </c>
      <c r="B8210" s="3">
        <v>3698</v>
      </c>
      <c r="C8210" s="1" t="str">
        <f>HYPERLINK("http://www.uniprot.org/uniprot/FH8_ARATH","FH8_ARATH")</f>
        <v>FH8_ARATH</v>
      </c>
      <c r="D8210" t="s">
        <v>6390</v>
      </c>
      <c r="E8210" s="3" t="s">
        <v>3</v>
      </c>
      <c r="F8210" s="4">
        <v>6.1500000000000001E-174</v>
      </c>
      <c r="G8210" s="3">
        <v>1391</v>
      </c>
      <c r="H8210" s="3">
        <v>58</v>
      </c>
      <c r="I8210" s="3">
        <v>465</v>
      </c>
      <c r="J8210" s="3">
        <v>468</v>
      </c>
      <c r="K8210" s="3">
        <v>1856</v>
      </c>
      <c r="L8210" s="3">
        <v>295</v>
      </c>
      <c r="M8210" s="3">
        <v>745</v>
      </c>
    </row>
    <row r="8211" spans="1:13" x14ac:dyDescent="0.25">
      <c r="A8211" s="1" t="str">
        <f>HYPERLINK("http://www.rosaceae.org/Prunus/Prunus_persica/p.persica_gdr_reftransV1_0029603","p.persica_gdr_reftransV1_0029603")</f>
        <v>p.persica_gdr_reftransV1_0029603</v>
      </c>
      <c r="B8211" s="3">
        <v>1040</v>
      </c>
      <c r="C8211" s="1" t="str">
        <f>HYPERLINK("http://www.uniprot.org/uniprot/PXN_ARATH","PXN_ARATH")</f>
        <v>PXN_ARATH</v>
      </c>
      <c r="D8211" t="s">
        <v>6391</v>
      </c>
      <c r="E8211" s="3" t="s">
        <v>3</v>
      </c>
      <c r="F8211" s="4">
        <v>3.09E-121</v>
      </c>
      <c r="G8211" s="3">
        <v>922</v>
      </c>
      <c r="H8211" s="3">
        <v>74</v>
      </c>
      <c r="I8211" s="3">
        <v>238</v>
      </c>
      <c r="J8211" s="3">
        <v>150</v>
      </c>
      <c r="K8211" s="3">
        <v>863</v>
      </c>
      <c r="L8211" s="3">
        <v>22</v>
      </c>
      <c r="M8211" s="3">
        <v>256</v>
      </c>
    </row>
    <row r="8212" spans="1:13" x14ac:dyDescent="0.25">
      <c r="A8212" s="1" t="str">
        <f>HYPERLINK("http://www.rosaceae.org/Prunus/Prunus_persica/p.persica_gdr_reftransV1_0030053","p.persica_gdr_reftransV1_0030053")</f>
        <v>p.persica_gdr_reftransV1_0030053</v>
      </c>
      <c r="B8212" s="3">
        <v>1363</v>
      </c>
      <c r="C8212" s="1" t="str">
        <f>HYPERLINK("http://www.uniprot.org/uniprot/PIP27_ARATH","PIP27_ARATH")</f>
        <v>PIP27_ARATH</v>
      </c>
      <c r="D8212" t="s">
        <v>3321</v>
      </c>
      <c r="E8212" s="3" t="s">
        <v>3</v>
      </c>
      <c r="F8212" s="4">
        <v>1.3399999999999999E-148</v>
      </c>
      <c r="G8212" s="3">
        <v>1109</v>
      </c>
      <c r="H8212" s="3">
        <v>86</v>
      </c>
      <c r="I8212" s="3">
        <v>250</v>
      </c>
      <c r="J8212" s="3">
        <v>104</v>
      </c>
      <c r="K8212" s="3">
        <v>853</v>
      </c>
      <c r="L8212" s="3">
        <v>1</v>
      </c>
      <c r="M8212" s="3">
        <v>245</v>
      </c>
    </row>
    <row r="8213" spans="1:13" x14ac:dyDescent="0.25">
      <c r="A8213" s="1" t="str">
        <f>HYPERLINK("http://www.rosaceae.org/Prunus/Prunus_persica/p.persica_gdr_reftransV1_0030403","p.persica_gdr_reftransV1_0030403")</f>
        <v>p.persica_gdr_reftransV1_0030403</v>
      </c>
      <c r="B8213" s="3">
        <v>1917</v>
      </c>
      <c r="C8213" s="1" t="str">
        <f>HYPERLINK("http://www.uniprot.org/uniprot/COL6_ARATH","COL6_ARATH")</f>
        <v>COL6_ARATH</v>
      </c>
      <c r="D8213" t="s">
        <v>6392</v>
      </c>
      <c r="E8213" s="3" t="s">
        <v>3</v>
      </c>
      <c r="F8213" s="4">
        <v>2.0899999999999998E-71</v>
      </c>
      <c r="G8213" s="3">
        <v>618</v>
      </c>
      <c r="H8213" s="3">
        <v>41</v>
      </c>
      <c r="I8213" s="3">
        <v>456</v>
      </c>
      <c r="J8213" s="3">
        <v>456</v>
      </c>
      <c r="K8213" s="3">
        <v>1802</v>
      </c>
      <c r="L8213" s="3">
        <v>3</v>
      </c>
      <c r="M8213" s="3">
        <v>400</v>
      </c>
    </row>
    <row r="8214" spans="1:13" x14ac:dyDescent="0.25">
      <c r="A8214" s="1" t="str">
        <f>HYPERLINK("http://www.rosaceae.org/Prunus/Prunus_persica/p.persica_gdr_reftransV1_0030753","p.persica_gdr_reftransV1_0030753")</f>
        <v>p.persica_gdr_reftransV1_0030753</v>
      </c>
      <c r="B8214" s="3">
        <v>1623</v>
      </c>
      <c r="C8214" s="1" t="str">
        <f>HYPERLINK("http://www.uniprot.org/uniprot/NRP2_ARATH","NRP2_ARATH")</f>
        <v>NRP2_ARATH</v>
      </c>
      <c r="D8214" t="s">
        <v>6393</v>
      </c>
      <c r="E8214" s="3" t="s">
        <v>3</v>
      </c>
      <c r="F8214" s="4">
        <v>1.2999999999999999E-110</v>
      </c>
      <c r="G8214" s="3">
        <v>863</v>
      </c>
      <c r="H8214" s="3">
        <v>74</v>
      </c>
      <c r="I8214" s="3">
        <v>224</v>
      </c>
      <c r="J8214" s="3">
        <v>152</v>
      </c>
      <c r="K8214" s="3">
        <v>820</v>
      </c>
      <c r="L8214" s="3">
        <v>1</v>
      </c>
      <c r="M8214" s="3">
        <v>220</v>
      </c>
    </row>
    <row r="8215" spans="1:13" x14ac:dyDescent="0.25">
      <c r="A8215" s="1" t="str">
        <f>HYPERLINK("http://www.rosaceae.org/Prunus/Prunus_persica/p.persica_gdr_reftransV1_0031153","p.persica_gdr_reftransV1_0031153")</f>
        <v>p.persica_gdr_reftransV1_0031153</v>
      </c>
      <c r="B8215" s="3">
        <v>2579</v>
      </c>
      <c r="C8215" s="1" t="str">
        <f>HYPERLINK("http://www.uniprot.org/uniprot/UVR8_ARATH","UVR8_ARATH")</f>
        <v>UVR8_ARATH</v>
      </c>
      <c r="D8215" t="s">
        <v>2154</v>
      </c>
      <c r="E8215" s="3" t="s">
        <v>3</v>
      </c>
      <c r="F8215" s="4">
        <v>1.15E-21</v>
      </c>
      <c r="G8215" s="3">
        <v>254</v>
      </c>
      <c r="H8215" s="3">
        <v>38</v>
      </c>
      <c r="I8215" s="3">
        <v>160</v>
      </c>
      <c r="J8215" s="3">
        <v>1850</v>
      </c>
      <c r="K8215" s="3">
        <v>2323</v>
      </c>
      <c r="L8215" s="3">
        <v>35</v>
      </c>
      <c r="M8215" s="3">
        <v>189</v>
      </c>
    </row>
    <row r="8216" spans="1:13" x14ac:dyDescent="0.25">
      <c r="A8216" s="1" t="str">
        <f>HYPERLINK("http://www.rosaceae.org/Prunus/Prunus_persica/p.persica_gdr_reftransV1_0031253","p.persica_gdr_reftransV1_0031253")</f>
        <v>p.persica_gdr_reftransV1_0031253</v>
      </c>
      <c r="B8216" s="3">
        <v>5140</v>
      </c>
      <c r="C8216" s="1" t="str">
        <f>HYPERLINK("http://www.uniprot.org/uniprot/M3KL4_MOUSE","M3KL4_MOUSE")</f>
        <v>M3KL4_MOUSE</v>
      </c>
      <c r="D8216" t="s">
        <v>6394</v>
      </c>
      <c r="E8216" s="3" t="s">
        <v>157</v>
      </c>
      <c r="F8216" s="4">
        <v>3.4E-21</v>
      </c>
      <c r="G8216" s="3">
        <v>261</v>
      </c>
      <c r="H8216" s="3">
        <v>34</v>
      </c>
      <c r="I8216" s="3">
        <v>186</v>
      </c>
      <c r="J8216" s="3">
        <v>323</v>
      </c>
      <c r="K8216" s="3">
        <v>877</v>
      </c>
      <c r="L8216" s="3">
        <v>233</v>
      </c>
      <c r="M8216" s="3">
        <v>404</v>
      </c>
    </row>
    <row r="8217" spans="1:13" x14ac:dyDescent="0.25">
      <c r="A8217" s="1" t="str">
        <f>HYPERLINK("http://www.rosaceae.org/Prunus/Prunus_persica/p.persica_gdr_reftransV1_0031503","p.persica_gdr_reftransV1_0031503")</f>
        <v>p.persica_gdr_reftransV1_0031503</v>
      </c>
      <c r="B8217" s="3">
        <v>2576</v>
      </c>
      <c r="C8217" s="1" t="str">
        <f>HYPERLINK("http://www.uniprot.org/uniprot/VRN1_ARATH","VRN1_ARATH")</f>
        <v>VRN1_ARATH</v>
      </c>
      <c r="D8217" t="s">
        <v>4078</v>
      </c>
      <c r="E8217" s="3" t="s">
        <v>3</v>
      </c>
      <c r="F8217" s="4">
        <v>2.4800000000000002E-66</v>
      </c>
      <c r="G8217" s="3">
        <v>586</v>
      </c>
      <c r="H8217" s="3">
        <v>77</v>
      </c>
      <c r="I8217" s="3">
        <v>145</v>
      </c>
      <c r="J8217" s="3">
        <v>1753</v>
      </c>
      <c r="K8217" s="3">
        <v>2187</v>
      </c>
      <c r="L8217" s="3">
        <v>196</v>
      </c>
      <c r="M8217" s="3">
        <v>339</v>
      </c>
    </row>
    <row r="8218" spans="1:13" x14ac:dyDescent="0.25">
      <c r="A8218" s="1" t="str">
        <f>HYPERLINK("http://www.rosaceae.org/Prunus/Prunus_persica/p.persica_gdr_reftransV1_0031753","p.persica_gdr_reftransV1_0031753")</f>
        <v>p.persica_gdr_reftransV1_0031753</v>
      </c>
      <c r="B8218" s="3">
        <v>642</v>
      </c>
      <c r="C8218" s="1" t="str">
        <f>HYPERLINK("http://www.uniprot.org/uniprot/CCNB2_SOYBN","CCNB2_SOYBN")</f>
        <v>CCNB2_SOYBN</v>
      </c>
      <c r="D8218" t="s">
        <v>6395</v>
      </c>
      <c r="E8218" s="3" t="s">
        <v>307</v>
      </c>
      <c r="F8218" s="4">
        <v>1.41E-48</v>
      </c>
      <c r="G8218" s="3">
        <v>418</v>
      </c>
      <c r="H8218" s="3">
        <v>64</v>
      </c>
      <c r="I8218" s="3">
        <v>124</v>
      </c>
      <c r="J8218" s="3">
        <v>271</v>
      </c>
      <c r="K8218" s="3">
        <v>642</v>
      </c>
      <c r="L8218" s="3">
        <v>125</v>
      </c>
      <c r="M8218" s="3">
        <v>246</v>
      </c>
    </row>
    <row r="8219" spans="1:13" x14ac:dyDescent="0.25">
      <c r="A8219" s="1" t="str">
        <f>HYPERLINK("http://www.rosaceae.org/Prunus/Prunus_persica/p.persica_gdr_reftransV1_0031853","p.persica_gdr_reftransV1_0031853")</f>
        <v>p.persica_gdr_reftransV1_0031853</v>
      </c>
      <c r="B8219" s="3">
        <v>3585</v>
      </c>
      <c r="C8219" s="1" t="str">
        <f>HYPERLINK("http://www.uniprot.org/uniprot/RU17_ARATH","RU17_ARATH")</f>
        <v>RU17_ARATH</v>
      </c>
      <c r="D8219" t="s">
        <v>6396</v>
      </c>
      <c r="E8219" s="3" t="s">
        <v>3</v>
      </c>
      <c r="F8219" s="4">
        <v>5.15E-71</v>
      </c>
      <c r="G8219" s="3">
        <v>635</v>
      </c>
      <c r="H8219" s="3">
        <v>67</v>
      </c>
      <c r="I8219" s="3">
        <v>191</v>
      </c>
      <c r="J8219" s="3">
        <v>2927</v>
      </c>
      <c r="K8219" s="3">
        <v>3487</v>
      </c>
      <c r="L8219" s="3">
        <v>6</v>
      </c>
      <c r="M8219" s="3">
        <v>196</v>
      </c>
    </row>
    <row r="8220" spans="1:13" x14ac:dyDescent="0.25">
      <c r="A8220" s="1" t="str">
        <f>HYPERLINK("http://www.rosaceae.org/Prunus/Prunus_persica/p.persica_gdr_reftransV1_0032003","p.persica_gdr_reftransV1_0032003")</f>
        <v>p.persica_gdr_reftransV1_0032003</v>
      </c>
      <c r="B8220" s="3">
        <v>3020</v>
      </c>
      <c r="C8220" s="1" t="str">
        <f>HYPERLINK("http://www.uniprot.org/uniprot/EFTS_RICCO","EFTS_RICCO")</f>
        <v>EFTS_RICCO</v>
      </c>
      <c r="D8220" t="s">
        <v>420</v>
      </c>
      <c r="E8220" s="3" t="s">
        <v>421</v>
      </c>
      <c r="F8220" s="4">
        <v>5.2699999999999998E-164</v>
      </c>
      <c r="G8220" s="3">
        <v>1271</v>
      </c>
      <c r="H8220" s="3">
        <v>77</v>
      </c>
      <c r="I8220" s="3">
        <v>333</v>
      </c>
      <c r="J8220" s="3">
        <v>1412</v>
      </c>
      <c r="K8220" s="3">
        <v>2410</v>
      </c>
      <c r="L8220" s="3">
        <v>35</v>
      </c>
      <c r="M8220" s="3">
        <v>365</v>
      </c>
    </row>
    <row r="8221" spans="1:13" x14ac:dyDescent="0.25">
      <c r="A8221" s="1" t="str">
        <f>HYPERLINK("http://www.rosaceae.org/Prunus/Prunus_persica/p.persica_gdr_reftransV1_0032453","p.persica_gdr_reftransV1_0032453")</f>
        <v>p.persica_gdr_reftransV1_0032453</v>
      </c>
      <c r="B8221" s="3">
        <v>772</v>
      </c>
      <c r="C8221" s="1" t="str">
        <f>HYPERLINK("http://www.uniprot.org/uniprot/C7A22_PANGI","C7A22_PANGI")</f>
        <v>C7A22_PANGI</v>
      </c>
      <c r="D8221" t="s">
        <v>3096</v>
      </c>
      <c r="E8221" s="3" t="s">
        <v>1477</v>
      </c>
      <c r="F8221" s="4">
        <v>2.38E-44</v>
      </c>
      <c r="G8221" s="3">
        <v>255</v>
      </c>
      <c r="H8221" s="3">
        <v>49</v>
      </c>
      <c r="I8221" s="3">
        <v>87</v>
      </c>
      <c r="J8221" s="3">
        <v>195</v>
      </c>
      <c r="K8221" s="3">
        <v>452</v>
      </c>
      <c r="L8221" s="3">
        <v>19</v>
      </c>
      <c r="M8221" s="3">
        <v>105</v>
      </c>
    </row>
    <row r="8222" spans="1:13" x14ac:dyDescent="0.25">
      <c r="A8222" s="1" t="str">
        <f>HYPERLINK("http://www.rosaceae.org/Prunus/Prunus_persica/p.persica_gdr_reftransV1_0032553","p.persica_gdr_reftransV1_0032553")</f>
        <v>p.persica_gdr_reftransV1_0032553</v>
      </c>
      <c r="B8222" s="3">
        <v>411</v>
      </c>
      <c r="C8222" s="1" t="str">
        <f>HYPERLINK("http://www.uniprot.org/uniprot/DRL21_ARATH","DRL21_ARATH")</f>
        <v>DRL21_ARATH</v>
      </c>
      <c r="D8222" t="s">
        <v>3610</v>
      </c>
      <c r="E8222" s="3" t="s">
        <v>3</v>
      </c>
      <c r="F8222" s="4">
        <v>6.0800000000000004E-23</v>
      </c>
      <c r="G8222" s="3">
        <v>246</v>
      </c>
      <c r="H8222" s="3">
        <v>40</v>
      </c>
      <c r="I8222" s="3">
        <v>134</v>
      </c>
      <c r="J8222" s="3">
        <v>9</v>
      </c>
      <c r="K8222" s="3">
        <v>410</v>
      </c>
      <c r="L8222" s="3">
        <v>1169</v>
      </c>
      <c r="M8222" s="3">
        <v>1299</v>
      </c>
    </row>
    <row r="8223" spans="1:13" x14ac:dyDescent="0.25">
      <c r="A8223" s="1" t="str">
        <f>HYPERLINK("http://www.rosaceae.org/Prunus/Prunus_persica/p.persica_gdr_reftransV1_0032603","p.persica_gdr_reftransV1_0032603")</f>
        <v>p.persica_gdr_reftransV1_0032603</v>
      </c>
      <c r="B8223" s="3">
        <v>1012</v>
      </c>
      <c r="C8223" s="1" t="str">
        <f>HYPERLINK("http://www.uniprot.org/uniprot/MYB3_ARATH","MYB3_ARATH")</f>
        <v>MYB3_ARATH</v>
      </c>
      <c r="D8223" t="s">
        <v>1493</v>
      </c>
      <c r="E8223" s="3" t="s">
        <v>3</v>
      </c>
      <c r="F8223" s="4">
        <v>5.9500000000000004E-59</v>
      </c>
      <c r="G8223" s="3">
        <v>499</v>
      </c>
      <c r="H8223" s="3">
        <v>55</v>
      </c>
      <c r="I8223" s="3">
        <v>180</v>
      </c>
      <c r="J8223" s="3">
        <v>441</v>
      </c>
      <c r="K8223" s="3">
        <v>980</v>
      </c>
      <c r="L8223" s="3">
        <v>1</v>
      </c>
      <c r="M8223" s="3">
        <v>164</v>
      </c>
    </row>
    <row r="8224" spans="1:13" x14ac:dyDescent="0.25">
      <c r="A8224" s="1" t="str">
        <f>HYPERLINK("http://www.rosaceae.org/Prunus/Prunus_persica/p.persica_gdr_reftransV1_0032753","p.persica_gdr_reftransV1_0032753")</f>
        <v>p.persica_gdr_reftransV1_0032753</v>
      </c>
      <c r="B8224" s="3">
        <v>3058</v>
      </c>
      <c r="C8224" s="1" t="str">
        <f>HYPERLINK("http://www.uniprot.org/uniprot/DHBK_SOLLC","DHBK_SOLLC")</f>
        <v>DHBK_SOLLC</v>
      </c>
      <c r="D8224" t="s">
        <v>6397</v>
      </c>
      <c r="E8224" s="3" t="s">
        <v>64</v>
      </c>
      <c r="F8224" s="4">
        <v>0</v>
      </c>
      <c r="G8224" s="3">
        <v>1550</v>
      </c>
      <c r="H8224" s="3">
        <v>89</v>
      </c>
      <c r="I8224" s="3">
        <v>347</v>
      </c>
      <c r="J8224" s="3">
        <v>81</v>
      </c>
      <c r="K8224" s="3">
        <v>1121</v>
      </c>
      <c r="L8224" s="3">
        <v>1</v>
      </c>
      <c r="M8224" s="3">
        <v>347</v>
      </c>
    </row>
    <row r="8225" spans="1:13" x14ac:dyDescent="0.25">
      <c r="A8225" s="1" t="str">
        <f>HYPERLINK("http://www.rosaceae.org/Prunus/Prunus_persica/p.persica_gdr_reftransV1_0032903","p.persica_gdr_reftransV1_0032903")</f>
        <v>p.persica_gdr_reftransV1_0032903</v>
      </c>
      <c r="B8225" s="3">
        <v>3451</v>
      </c>
      <c r="C8225" s="1" t="str">
        <f>HYPERLINK("http://www.uniprot.org/uniprot/RFS2_ARATH","RFS2_ARATH")</f>
        <v>RFS2_ARATH</v>
      </c>
      <c r="D8225" t="s">
        <v>5622</v>
      </c>
      <c r="E8225" s="3" t="s">
        <v>3</v>
      </c>
      <c r="F8225" s="4">
        <v>1.0399999999999999E-116</v>
      </c>
      <c r="G8225" s="3">
        <v>770</v>
      </c>
      <c r="H8225" s="3">
        <v>55</v>
      </c>
      <c r="I8225" s="3">
        <v>262</v>
      </c>
      <c r="J8225" s="3">
        <v>1960</v>
      </c>
      <c r="K8225" s="3">
        <v>2745</v>
      </c>
      <c r="L8225" s="3">
        <v>178</v>
      </c>
      <c r="M8225" s="3">
        <v>436</v>
      </c>
    </row>
    <row r="8226" spans="1:13" x14ac:dyDescent="0.25">
      <c r="A8226" s="1" t="str">
        <f>HYPERLINK("http://www.rosaceae.org/Prunus/Prunus_persica/p.persica_gdr_reftransV1_0032953","p.persica_gdr_reftransV1_0032953")</f>
        <v>p.persica_gdr_reftransV1_0032953</v>
      </c>
      <c r="B8226" s="3">
        <v>5870</v>
      </c>
      <c r="C8226" s="1" t="str">
        <f>HYPERLINK("http://www.uniprot.org/uniprot/NU301_DROME","NU301_DROME")</f>
        <v>NU301_DROME</v>
      </c>
      <c r="D8226" t="s">
        <v>1631</v>
      </c>
      <c r="E8226" s="3" t="s">
        <v>5</v>
      </c>
      <c r="F8226" s="4">
        <v>2.43E-20</v>
      </c>
      <c r="G8226" s="3">
        <v>256</v>
      </c>
      <c r="H8226" s="3">
        <v>27</v>
      </c>
      <c r="I8226" s="3">
        <v>303</v>
      </c>
      <c r="J8226" s="3">
        <v>3470</v>
      </c>
      <c r="K8226" s="3">
        <v>4354</v>
      </c>
      <c r="L8226" s="3">
        <v>175</v>
      </c>
      <c r="M8226" s="3">
        <v>430</v>
      </c>
    </row>
    <row r="8227" spans="1:13" x14ac:dyDescent="0.25">
      <c r="A8227" s="1" t="str">
        <f>HYPERLINK("http://www.rosaceae.org/Prunus/Prunus_persica/p.persica_gdr_reftransV1_0033253","p.persica_gdr_reftransV1_0033253")</f>
        <v>p.persica_gdr_reftransV1_0033253</v>
      </c>
      <c r="B8227" s="3">
        <v>2757</v>
      </c>
      <c r="C8227" s="1" t="str">
        <f>HYPERLINK("http://www.uniprot.org/uniprot/SMU2_ARATH","SMU2_ARATH")</f>
        <v>SMU2_ARATH</v>
      </c>
      <c r="D8227" t="s">
        <v>6398</v>
      </c>
      <c r="E8227" s="3" t="s">
        <v>3</v>
      </c>
      <c r="F8227" s="4">
        <v>1.11E-125</v>
      </c>
      <c r="G8227" s="3">
        <v>1025</v>
      </c>
      <c r="H8227" s="3">
        <v>69</v>
      </c>
      <c r="I8227" s="3">
        <v>337</v>
      </c>
      <c r="J8227" s="3">
        <v>1551</v>
      </c>
      <c r="K8227" s="3">
        <v>2504</v>
      </c>
      <c r="L8227" s="3">
        <v>231</v>
      </c>
      <c r="M8227" s="3">
        <v>562</v>
      </c>
    </row>
    <row r="8228" spans="1:13" x14ac:dyDescent="0.25">
      <c r="A8228" s="1" t="str">
        <f>HYPERLINK("http://www.rosaceae.org/Prunus/Prunus_persica/p.persica_gdr_reftransV1_0033653","p.persica_gdr_reftransV1_0033653")</f>
        <v>p.persica_gdr_reftransV1_0033653</v>
      </c>
      <c r="B8228" s="3">
        <v>1483</v>
      </c>
      <c r="C8228" s="1" t="str">
        <f>HYPERLINK("http://www.uniprot.org/uniprot/MPPE1_DANRE","MPPE1_DANRE")</f>
        <v>MPPE1_DANRE</v>
      </c>
      <c r="D8228" t="s">
        <v>6399</v>
      </c>
      <c r="E8228" s="3" t="s">
        <v>704</v>
      </c>
      <c r="F8228" s="4">
        <v>5.1100000000000002E-19</v>
      </c>
      <c r="G8228" s="3">
        <v>228</v>
      </c>
      <c r="H8228" s="3">
        <v>25</v>
      </c>
      <c r="I8228" s="3">
        <v>297</v>
      </c>
      <c r="J8228" s="3">
        <v>209</v>
      </c>
      <c r="K8228" s="3">
        <v>1090</v>
      </c>
      <c r="L8228" s="3">
        <v>85</v>
      </c>
      <c r="M8228" s="3">
        <v>359</v>
      </c>
    </row>
    <row r="8229" spans="1:13" x14ac:dyDescent="0.25">
      <c r="A8229" s="1" t="str">
        <f>HYPERLINK("http://www.rosaceae.org/Prunus/Prunus_persica/p.persica_gdr_reftransV1_0033953","p.persica_gdr_reftransV1_0033953")</f>
        <v>p.persica_gdr_reftransV1_0033953</v>
      </c>
      <c r="B8229" s="3">
        <v>2192</v>
      </c>
      <c r="C8229" s="1" t="str">
        <f>HYPERLINK("http://www.uniprot.org/uniprot/LE14B_LITER","LE14B_LITER")</f>
        <v>LE14B_LITER</v>
      </c>
      <c r="D8229" t="s">
        <v>6400</v>
      </c>
      <c r="E8229" s="3" t="s">
        <v>6401</v>
      </c>
      <c r="F8229" s="4">
        <v>1.12E-144</v>
      </c>
      <c r="G8229" s="3">
        <v>1128</v>
      </c>
      <c r="H8229" s="3">
        <v>68</v>
      </c>
      <c r="I8229" s="3">
        <v>339</v>
      </c>
      <c r="J8229" s="3">
        <v>667</v>
      </c>
      <c r="K8229" s="3">
        <v>1665</v>
      </c>
      <c r="L8229" s="3">
        <v>1</v>
      </c>
      <c r="M8229" s="3">
        <v>339</v>
      </c>
    </row>
    <row r="8230" spans="1:13" x14ac:dyDescent="0.25">
      <c r="A8230" s="1" t="str">
        <f>HYPERLINK("http://www.rosaceae.org/Prunus/Prunus_persica/p.persica_gdr_reftransV1_0034503","p.persica_gdr_reftransV1_0034503")</f>
        <v>p.persica_gdr_reftransV1_0034503</v>
      </c>
      <c r="B8230" s="3">
        <v>1756</v>
      </c>
      <c r="C8230" s="1" t="str">
        <f>HYPERLINK("http://www.uniprot.org/uniprot/TMVRN_NICGU","TMVRN_NICGU")</f>
        <v>TMVRN_NICGU</v>
      </c>
      <c r="D8230" t="s">
        <v>151</v>
      </c>
      <c r="E8230" s="3" t="s">
        <v>152</v>
      </c>
      <c r="F8230" s="4">
        <v>9.5300000000000001E-50</v>
      </c>
      <c r="G8230" s="3">
        <v>483</v>
      </c>
      <c r="H8230" s="3">
        <v>40</v>
      </c>
      <c r="I8230" s="3">
        <v>302</v>
      </c>
      <c r="J8230" s="3">
        <v>867</v>
      </c>
      <c r="K8230" s="3">
        <v>1754</v>
      </c>
      <c r="L8230" s="3">
        <v>319</v>
      </c>
      <c r="M8230" s="3">
        <v>611</v>
      </c>
    </row>
    <row r="8231" spans="1:13" x14ac:dyDescent="0.25">
      <c r="A8231" s="1" t="str">
        <f>HYPERLINK("http://www.rosaceae.org/Prunus/Prunus_persica/p.persica_gdr_reftransV1_0034703","p.persica_gdr_reftransV1_0034703")</f>
        <v>p.persica_gdr_reftransV1_0034703</v>
      </c>
      <c r="B8231" s="3">
        <v>1466</v>
      </c>
      <c r="C8231" s="1" t="str">
        <f>HYPERLINK("http://www.uniprot.org/uniprot/GEML5_ARATH","GEML5_ARATH")</f>
        <v>GEML5_ARATH</v>
      </c>
      <c r="D8231" t="s">
        <v>6402</v>
      </c>
      <c r="E8231" s="3" t="s">
        <v>3</v>
      </c>
      <c r="F8231" s="4">
        <v>4.8399999999999999E-123</v>
      </c>
      <c r="G8231" s="3">
        <v>943</v>
      </c>
      <c r="H8231" s="3">
        <v>71</v>
      </c>
      <c r="I8231" s="3">
        <v>238</v>
      </c>
      <c r="J8231" s="3">
        <v>389</v>
      </c>
      <c r="K8231" s="3">
        <v>1099</v>
      </c>
      <c r="L8231" s="3">
        <v>35</v>
      </c>
      <c r="M8231" s="3">
        <v>270</v>
      </c>
    </row>
    <row r="8232" spans="1:13" x14ac:dyDescent="0.25">
      <c r="A8232" s="1" t="str">
        <f>HYPERLINK("http://www.rosaceae.org/Prunus/Prunus_persica/p.persica_gdr_reftransV1_0034903","p.persica_gdr_reftransV1_0034903")</f>
        <v>p.persica_gdr_reftransV1_0034903</v>
      </c>
      <c r="B8232" s="3">
        <v>3157</v>
      </c>
      <c r="C8232" s="1" t="str">
        <f>HYPERLINK("http://www.uniprot.org/uniprot/U83A1_ARATH","U83A1_ARATH")</f>
        <v>U83A1_ARATH</v>
      </c>
      <c r="D8232" t="s">
        <v>6133</v>
      </c>
      <c r="E8232" s="3" t="s">
        <v>3</v>
      </c>
      <c r="F8232" s="4">
        <v>1.3900000000000001E-106</v>
      </c>
      <c r="G8232" s="3">
        <v>890</v>
      </c>
      <c r="H8232" s="3">
        <v>40</v>
      </c>
      <c r="I8232" s="3">
        <v>462</v>
      </c>
      <c r="J8232" s="3">
        <v>223</v>
      </c>
      <c r="K8232" s="3">
        <v>1563</v>
      </c>
      <c r="L8232" s="3">
        <v>13</v>
      </c>
      <c r="M8232" s="3">
        <v>460</v>
      </c>
    </row>
    <row r="8233" spans="1:13" x14ac:dyDescent="0.25">
      <c r="A8233" s="1" t="str">
        <f>HYPERLINK("http://www.rosaceae.org/Prunus/Prunus_persica/p.persica_gdr_reftransV1_0035103","p.persica_gdr_reftransV1_0035103")</f>
        <v>p.persica_gdr_reftransV1_0035103</v>
      </c>
      <c r="B8233" s="3">
        <v>2664</v>
      </c>
      <c r="C8233" s="1" t="str">
        <f>HYPERLINK("http://www.uniprot.org/uniprot/GCP2_ARATH","GCP2_ARATH")</f>
        <v>GCP2_ARATH</v>
      </c>
      <c r="D8233" t="s">
        <v>1808</v>
      </c>
      <c r="E8233" s="3" t="s">
        <v>3</v>
      </c>
      <c r="F8233" s="4">
        <v>1.01E-98</v>
      </c>
      <c r="G8233" s="3">
        <v>846</v>
      </c>
      <c r="H8233" s="3">
        <v>44</v>
      </c>
      <c r="I8233" s="3">
        <v>416</v>
      </c>
      <c r="J8233" s="3">
        <v>212</v>
      </c>
      <c r="K8233" s="3">
        <v>1453</v>
      </c>
      <c r="L8233" s="3">
        <v>81</v>
      </c>
      <c r="M8233" s="3">
        <v>469</v>
      </c>
    </row>
    <row r="8234" spans="1:13" x14ac:dyDescent="0.25">
      <c r="A8234" s="1" t="str">
        <f>HYPERLINK("http://www.rosaceae.org/Prunus/Prunus_persica/p.persica_gdr_reftransV1_0035253","p.persica_gdr_reftransV1_0035253")</f>
        <v>p.persica_gdr_reftransV1_0035253</v>
      </c>
      <c r="B8234" s="3">
        <v>2289</v>
      </c>
      <c r="C8234" s="1" t="str">
        <f>HYPERLINK("http://www.uniprot.org/uniprot/PRP31_MOUSE","PRP31_MOUSE")</f>
        <v>PRP31_MOUSE</v>
      </c>
      <c r="D8234" t="s">
        <v>6403</v>
      </c>
      <c r="E8234" s="3" t="s">
        <v>157</v>
      </c>
      <c r="F8234" s="4">
        <v>8.7300000000000002E-102</v>
      </c>
      <c r="G8234" s="3">
        <v>843</v>
      </c>
      <c r="H8234" s="3">
        <v>48</v>
      </c>
      <c r="I8234" s="3">
        <v>449</v>
      </c>
      <c r="J8234" s="3">
        <v>650</v>
      </c>
      <c r="K8234" s="3">
        <v>1960</v>
      </c>
      <c r="L8234" s="3">
        <v>43</v>
      </c>
      <c r="M8234" s="3">
        <v>490</v>
      </c>
    </row>
    <row r="8235" spans="1:13" x14ac:dyDescent="0.25">
      <c r="A8235" s="1" t="str">
        <f>HYPERLINK("http://www.rosaceae.org/Prunus/Prunus_persica/p.persica_gdr_reftransV1_0035303","p.persica_gdr_reftransV1_0035303")</f>
        <v>p.persica_gdr_reftransV1_0035303</v>
      </c>
      <c r="B8235" s="3">
        <v>3364</v>
      </c>
      <c r="C8235" s="1" t="str">
        <f>HYPERLINK("http://www.uniprot.org/uniprot/RLCK7_ARATH","RLCK7_ARATH")</f>
        <v>RLCK7_ARATH</v>
      </c>
      <c r="D8235" t="s">
        <v>6404</v>
      </c>
      <c r="E8235" s="3" t="s">
        <v>3</v>
      </c>
      <c r="F8235" s="4">
        <v>1.3E-113</v>
      </c>
      <c r="G8235" s="3">
        <v>939</v>
      </c>
      <c r="H8235" s="3">
        <v>90</v>
      </c>
      <c r="I8235" s="3">
        <v>194</v>
      </c>
      <c r="J8235" s="3">
        <v>1348</v>
      </c>
      <c r="K8235" s="3">
        <v>1929</v>
      </c>
      <c r="L8235" s="3">
        <v>130</v>
      </c>
      <c r="M8235" s="3">
        <v>323</v>
      </c>
    </row>
    <row r="8236" spans="1:13" x14ac:dyDescent="0.25">
      <c r="A8236" s="1" t="str">
        <f>HYPERLINK("http://www.rosaceae.org/Prunus/Prunus_persica/p.persica_gdr_reftransV1_0035503","p.persica_gdr_reftransV1_0035503")</f>
        <v>p.persica_gdr_reftransV1_0035503</v>
      </c>
      <c r="B8236" s="3">
        <v>2072</v>
      </c>
      <c r="C8236" s="1" t="str">
        <f>HYPERLINK("http://www.uniprot.org/uniprot/GH36_ORYSJ","GH36_ORYSJ")</f>
        <v>GH36_ORYSJ</v>
      </c>
      <c r="D8236" t="s">
        <v>6405</v>
      </c>
      <c r="E8236" s="3" t="s">
        <v>38</v>
      </c>
      <c r="F8236" s="4">
        <v>4.7400000000000004E-118</v>
      </c>
      <c r="G8236" s="3">
        <v>947</v>
      </c>
      <c r="H8236" s="3">
        <v>49</v>
      </c>
      <c r="I8236" s="3">
        <v>406</v>
      </c>
      <c r="J8236" s="3">
        <v>491</v>
      </c>
      <c r="K8236" s="3">
        <v>1669</v>
      </c>
      <c r="L8236" s="3">
        <v>1</v>
      </c>
      <c r="M8236" s="3">
        <v>401</v>
      </c>
    </row>
    <row r="8237" spans="1:13" x14ac:dyDescent="0.25">
      <c r="A8237" s="1" t="str">
        <f>HYPERLINK("http://www.rosaceae.org/Prunus/Prunus_persica/p.persica_gdr_reftransV1_0036403","p.persica_gdr_reftransV1_0036403")</f>
        <v>p.persica_gdr_reftransV1_0036403</v>
      </c>
      <c r="B8237" s="3">
        <v>4650</v>
      </c>
      <c r="C8237" s="1" t="str">
        <f>HYPERLINK("http://www.uniprot.org/uniprot/ATD1A_DANRE","ATD1A_DANRE")</f>
        <v>ATD1A_DANRE</v>
      </c>
      <c r="D8237" t="s">
        <v>6406</v>
      </c>
      <c r="E8237" s="3" t="s">
        <v>704</v>
      </c>
      <c r="F8237" s="4">
        <v>1.5699999999999999E-56</v>
      </c>
      <c r="G8237" s="3">
        <v>527</v>
      </c>
      <c r="H8237" s="3">
        <v>53</v>
      </c>
      <c r="I8237" s="3">
        <v>186</v>
      </c>
      <c r="J8237" s="3">
        <v>793</v>
      </c>
      <c r="K8237" s="3">
        <v>1350</v>
      </c>
      <c r="L8237" s="3">
        <v>126</v>
      </c>
      <c r="M8237" s="3">
        <v>310</v>
      </c>
    </row>
    <row r="8238" spans="1:13" x14ac:dyDescent="0.25">
      <c r="A8238" s="1" t="str">
        <f>HYPERLINK("http://www.rosaceae.org/Prunus/Prunus_persica/p.persica_gdr_reftransV1_0036453","p.persica_gdr_reftransV1_0036453")</f>
        <v>p.persica_gdr_reftransV1_0036453</v>
      </c>
      <c r="B8238" s="3">
        <v>3016</v>
      </c>
      <c r="C8238" s="1" t="str">
        <f>HYPERLINK("http://www.uniprot.org/uniprot/FRL3_ARATH","FRL3_ARATH")</f>
        <v>FRL3_ARATH</v>
      </c>
      <c r="D8238" t="s">
        <v>270</v>
      </c>
      <c r="E8238" s="3" t="s">
        <v>3</v>
      </c>
      <c r="F8238" s="4">
        <v>7.6099999999999999E-125</v>
      </c>
      <c r="G8238" s="3">
        <v>1022</v>
      </c>
      <c r="H8238" s="3">
        <v>62</v>
      </c>
      <c r="I8238" s="3">
        <v>359</v>
      </c>
      <c r="J8238" s="3">
        <v>431</v>
      </c>
      <c r="K8238" s="3">
        <v>1480</v>
      </c>
      <c r="L8238" s="3">
        <v>1</v>
      </c>
      <c r="M8238" s="3">
        <v>355</v>
      </c>
    </row>
    <row r="8239" spans="1:13" x14ac:dyDescent="0.25">
      <c r="A8239" s="1" t="str">
        <f>HYPERLINK("http://www.rosaceae.org/Prunus/Prunus_persica/p.persica_gdr_reftransV1_0036603","p.persica_gdr_reftransV1_0036603")</f>
        <v>p.persica_gdr_reftransV1_0036603</v>
      </c>
      <c r="B8239" s="3">
        <v>2626</v>
      </c>
      <c r="C8239" s="1" t="str">
        <f>HYPERLINK("http://www.uniprot.org/uniprot/CCS1_ARATH","CCS1_ARATH")</f>
        <v>CCS1_ARATH</v>
      </c>
      <c r="D8239" t="s">
        <v>6407</v>
      </c>
      <c r="E8239" s="3" t="s">
        <v>3</v>
      </c>
      <c r="F8239" s="4">
        <v>0</v>
      </c>
      <c r="G8239" s="3">
        <v>1763</v>
      </c>
      <c r="H8239" s="3">
        <v>74</v>
      </c>
      <c r="I8239" s="3">
        <v>468</v>
      </c>
      <c r="J8239" s="3">
        <v>980</v>
      </c>
      <c r="K8239" s="3">
        <v>2380</v>
      </c>
      <c r="L8239" s="3">
        <v>32</v>
      </c>
      <c r="M8239" s="3">
        <v>499</v>
      </c>
    </row>
    <row r="8240" spans="1:13" x14ac:dyDescent="0.25">
      <c r="A8240" s="1" t="str">
        <f>HYPERLINK("http://www.rosaceae.org/Prunus/Prunus_persica/p.persica_gdr_reftransV1_0036703","p.persica_gdr_reftransV1_0036703")</f>
        <v>p.persica_gdr_reftransV1_0036703</v>
      </c>
      <c r="B8240" s="3">
        <v>1640</v>
      </c>
      <c r="C8240" s="1" t="str">
        <f>HYPERLINK("http://www.uniprot.org/uniprot/SKL1_ARATH","SKL1_ARATH")</f>
        <v>SKL1_ARATH</v>
      </c>
      <c r="D8240" t="s">
        <v>5117</v>
      </c>
      <c r="E8240" s="3" t="s">
        <v>3</v>
      </c>
      <c r="F8240" s="4">
        <v>1.23E-48</v>
      </c>
      <c r="G8240" s="3">
        <v>444</v>
      </c>
      <c r="H8240" s="3">
        <v>65</v>
      </c>
      <c r="I8240" s="3">
        <v>141</v>
      </c>
      <c r="J8240" s="3">
        <v>420</v>
      </c>
      <c r="K8240" s="3">
        <v>842</v>
      </c>
      <c r="L8240" s="3">
        <v>149</v>
      </c>
      <c r="M8240" s="3">
        <v>280</v>
      </c>
    </row>
    <row r="8241" spans="1:13" x14ac:dyDescent="0.25">
      <c r="A8241" s="1" t="str">
        <f>HYPERLINK("http://www.rosaceae.org/Prunus/Prunus_persica/p.persica_gdr_reftransV1_0036803","p.persica_gdr_reftransV1_0036803")</f>
        <v>p.persica_gdr_reftransV1_0036803</v>
      </c>
      <c r="B8241" s="3">
        <v>2158</v>
      </c>
      <c r="C8241" s="1" t="str">
        <f>HYPERLINK("http://www.uniprot.org/uniprot/PP166_ARATH","PP166_ARATH")</f>
        <v>PP166_ARATH</v>
      </c>
      <c r="D8241" t="s">
        <v>2631</v>
      </c>
      <c r="E8241" s="3" t="s">
        <v>3</v>
      </c>
      <c r="F8241" s="4">
        <v>1.5900000000000001E-149</v>
      </c>
      <c r="G8241" s="3">
        <v>1161</v>
      </c>
      <c r="H8241" s="3">
        <v>49</v>
      </c>
      <c r="I8241" s="3">
        <v>434</v>
      </c>
      <c r="J8241" s="3">
        <v>744</v>
      </c>
      <c r="K8241" s="3">
        <v>2045</v>
      </c>
      <c r="L8241" s="3">
        <v>23</v>
      </c>
      <c r="M8241" s="3">
        <v>456</v>
      </c>
    </row>
    <row r="8242" spans="1:13" x14ac:dyDescent="0.25">
      <c r="A8242" s="1" t="str">
        <f>HYPERLINK("http://www.rosaceae.org/Prunus/Prunus_persica/p.persica_gdr_reftransV1_0037053","p.persica_gdr_reftransV1_0037053")</f>
        <v>p.persica_gdr_reftransV1_0037053</v>
      </c>
      <c r="B8242" s="3">
        <v>995</v>
      </c>
      <c r="C8242" s="1" t="str">
        <f>HYPERLINK("http://www.uniprot.org/uniprot/TPS7_ARATH","TPS7_ARATH")</f>
        <v>TPS7_ARATH</v>
      </c>
      <c r="D8242" t="s">
        <v>3928</v>
      </c>
      <c r="E8242" s="3" t="s">
        <v>3</v>
      </c>
      <c r="F8242" s="4">
        <v>1.88E-85</v>
      </c>
      <c r="G8242" s="3">
        <v>718</v>
      </c>
      <c r="H8242" s="3">
        <v>76</v>
      </c>
      <c r="I8242" s="3">
        <v>182</v>
      </c>
      <c r="J8242" s="3">
        <v>126</v>
      </c>
      <c r="K8242" s="3">
        <v>671</v>
      </c>
      <c r="L8242" s="3">
        <v>655</v>
      </c>
      <c r="M8242" s="3">
        <v>836</v>
      </c>
    </row>
    <row r="8243" spans="1:13" x14ac:dyDescent="0.25">
      <c r="A8243" s="1" t="str">
        <f>HYPERLINK("http://www.rosaceae.org/Prunus/Prunus_persica/p.persica_gdr_reftransV1_0037403","p.persica_gdr_reftransV1_0037403")</f>
        <v>p.persica_gdr_reftransV1_0037403</v>
      </c>
      <c r="B8243" s="3">
        <v>3923</v>
      </c>
      <c r="C8243" s="1" t="str">
        <f>HYPERLINK("http://www.uniprot.org/uniprot/RBCMT_TOBAC","RBCMT_TOBAC")</f>
        <v>RBCMT_TOBAC</v>
      </c>
      <c r="D8243" t="s">
        <v>2408</v>
      </c>
      <c r="E8243" s="3" t="s">
        <v>200</v>
      </c>
      <c r="F8243" s="4">
        <v>4.5199999999999999E-10</v>
      </c>
      <c r="G8243" s="3">
        <v>163</v>
      </c>
      <c r="H8243" s="3">
        <v>28</v>
      </c>
      <c r="I8243" s="3">
        <v>226</v>
      </c>
      <c r="J8243" s="3">
        <v>2923</v>
      </c>
      <c r="K8243" s="3">
        <v>3564</v>
      </c>
      <c r="L8243" s="3">
        <v>235</v>
      </c>
      <c r="M8243" s="3">
        <v>448</v>
      </c>
    </row>
    <row r="8244" spans="1:13" x14ac:dyDescent="0.25">
      <c r="A8244" s="1" t="str">
        <f>HYPERLINK("http://www.rosaceae.org/Prunus/Prunus_persica/p.persica_gdr_reftransV1_0037603","p.persica_gdr_reftransV1_0037603")</f>
        <v>p.persica_gdr_reftransV1_0037603</v>
      </c>
      <c r="B8244" s="3">
        <v>2458</v>
      </c>
      <c r="C8244" s="1" t="str">
        <f>HYPERLINK("http://www.uniprot.org/uniprot/Y3236_ARATH","Y3236_ARATH")</f>
        <v>Y3236_ARATH</v>
      </c>
      <c r="D8244" t="s">
        <v>1074</v>
      </c>
      <c r="E8244" s="3" t="s">
        <v>3</v>
      </c>
      <c r="F8244" s="4">
        <v>4.8400000000000003E-8</v>
      </c>
      <c r="G8244" s="3">
        <v>145</v>
      </c>
      <c r="H8244" s="3">
        <v>25</v>
      </c>
      <c r="I8244" s="3">
        <v>228</v>
      </c>
      <c r="J8244" s="3">
        <v>500</v>
      </c>
      <c r="K8244" s="3">
        <v>1165</v>
      </c>
      <c r="L8244" s="3">
        <v>254</v>
      </c>
      <c r="M8244" s="3">
        <v>478</v>
      </c>
    </row>
    <row r="8245" spans="1:13" x14ac:dyDescent="0.25">
      <c r="A8245" s="1" t="str">
        <f>HYPERLINK("http://www.rosaceae.org/Prunus/Prunus_persica/p.persica_gdr_reftransV1_0037703","p.persica_gdr_reftransV1_0037703")</f>
        <v>p.persica_gdr_reftransV1_0037703</v>
      </c>
      <c r="B8245" s="3">
        <v>1826</v>
      </c>
      <c r="C8245" s="1" t="str">
        <f>HYPERLINK("http://www.uniprot.org/uniprot/UBP12_ARATH","UBP12_ARATH")</f>
        <v>UBP12_ARATH</v>
      </c>
      <c r="D8245" t="s">
        <v>5651</v>
      </c>
      <c r="E8245" s="3" t="s">
        <v>3</v>
      </c>
      <c r="F8245" s="4">
        <v>2.5300000000000001E-36</v>
      </c>
      <c r="G8245" s="3">
        <v>376</v>
      </c>
      <c r="H8245" s="3">
        <v>52</v>
      </c>
      <c r="I8245" s="3">
        <v>141</v>
      </c>
      <c r="J8245" s="3">
        <v>61</v>
      </c>
      <c r="K8245" s="3">
        <v>483</v>
      </c>
      <c r="L8245" s="3">
        <v>50</v>
      </c>
      <c r="M8245" s="3">
        <v>181</v>
      </c>
    </row>
    <row r="8246" spans="1:13" x14ac:dyDescent="0.25">
      <c r="A8246" s="1" t="str">
        <f>HYPERLINK("http://www.rosaceae.org/Prunus/Prunus_persica/p.persica_gdr_reftransV1_0037803","p.persica_gdr_reftransV1_0037803")</f>
        <v>p.persica_gdr_reftransV1_0037803</v>
      </c>
      <c r="B8246" s="3">
        <v>1306</v>
      </c>
      <c r="C8246" s="1" t="str">
        <f>HYPERLINK("http://www.uniprot.org/uniprot/ALKB2_ARATH","ALKB2_ARATH")</f>
        <v>ALKB2_ARATH</v>
      </c>
      <c r="D8246" t="s">
        <v>5829</v>
      </c>
      <c r="E8246" s="3" t="s">
        <v>3</v>
      </c>
      <c r="F8246" s="4">
        <v>3.3400000000000001E-76</v>
      </c>
      <c r="G8246" s="3">
        <v>629</v>
      </c>
      <c r="H8246" s="3">
        <v>65</v>
      </c>
      <c r="I8246" s="3">
        <v>174</v>
      </c>
      <c r="J8246" s="3">
        <v>86</v>
      </c>
      <c r="K8246" s="3">
        <v>607</v>
      </c>
      <c r="L8246" s="3">
        <v>75</v>
      </c>
      <c r="M8246" s="3">
        <v>242</v>
      </c>
    </row>
    <row r="8247" spans="1:13" x14ac:dyDescent="0.25">
      <c r="A8247" s="1" t="str">
        <f>HYPERLINK("http://www.rosaceae.org/Prunus/Prunus_persica/p.persica_gdr_reftransV1_0038403","p.persica_gdr_reftransV1_0038403")</f>
        <v>p.persica_gdr_reftransV1_0038403</v>
      </c>
      <c r="B8247" s="3">
        <v>3943</v>
      </c>
      <c r="C8247" s="1" t="str">
        <f>HYPERLINK("http://www.uniprot.org/uniprot/AP4E_ARATH","AP4E_ARATH")</f>
        <v>AP4E_ARATH</v>
      </c>
      <c r="D8247" t="s">
        <v>6408</v>
      </c>
      <c r="E8247" s="3" t="s">
        <v>3</v>
      </c>
      <c r="F8247" s="4">
        <v>0</v>
      </c>
      <c r="G8247" s="3">
        <v>2027</v>
      </c>
      <c r="H8247" s="3">
        <v>65</v>
      </c>
      <c r="I8247" s="3">
        <v>643</v>
      </c>
      <c r="J8247" s="3">
        <v>589</v>
      </c>
      <c r="K8247" s="3">
        <v>2508</v>
      </c>
      <c r="L8247" s="3">
        <v>335</v>
      </c>
      <c r="M8247" s="3">
        <v>938</v>
      </c>
    </row>
    <row r="8248" spans="1:13" x14ac:dyDescent="0.25">
      <c r="A8248" s="1" t="str">
        <f>HYPERLINK("http://www.rosaceae.org/Prunus/Prunus_persica/p.persica_gdr_reftransV1_0039053","p.persica_gdr_reftransV1_0039053")</f>
        <v>p.persica_gdr_reftransV1_0039053</v>
      </c>
      <c r="B8248" s="3">
        <v>2310</v>
      </c>
      <c r="C8248" s="1" t="str">
        <f>HYPERLINK("http://www.uniprot.org/uniprot/MON1A_HUMAN","MON1A_HUMAN")</f>
        <v>MON1A_HUMAN</v>
      </c>
      <c r="D8248" t="s">
        <v>6409</v>
      </c>
      <c r="E8248" s="3" t="s">
        <v>28</v>
      </c>
      <c r="F8248" s="4">
        <v>2.58E-73</v>
      </c>
      <c r="G8248" s="3">
        <v>650</v>
      </c>
      <c r="H8248" s="3">
        <v>32</v>
      </c>
      <c r="I8248" s="3">
        <v>459</v>
      </c>
      <c r="J8248" s="3">
        <v>644</v>
      </c>
      <c r="K8248" s="3">
        <v>2005</v>
      </c>
      <c r="L8248" s="3">
        <v>138</v>
      </c>
      <c r="M8248" s="3">
        <v>555</v>
      </c>
    </row>
    <row r="8249" spans="1:13" x14ac:dyDescent="0.25">
      <c r="A8249" s="1" t="str">
        <f>HYPERLINK("http://www.rosaceae.org/Prunus/Prunus_persica/p.persica_gdr_reftransV1_0039103","p.persica_gdr_reftransV1_0039103")</f>
        <v>p.persica_gdr_reftransV1_0039103</v>
      </c>
      <c r="B8249" s="3">
        <v>2318</v>
      </c>
      <c r="C8249" s="1" t="str">
        <f>HYPERLINK("http://www.uniprot.org/uniprot/MGAT2_PIG","MGAT2_PIG")</f>
        <v>MGAT2_PIG</v>
      </c>
      <c r="D8249" t="s">
        <v>2709</v>
      </c>
      <c r="E8249" s="3" t="s">
        <v>1126</v>
      </c>
      <c r="F8249" s="4">
        <v>4.1200000000000002E-58</v>
      </c>
      <c r="G8249" s="3">
        <v>533</v>
      </c>
      <c r="H8249" s="3">
        <v>34</v>
      </c>
      <c r="I8249" s="3">
        <v>352</v>
      </c>
      <c r="J8249" s="3">
        <v>880</v>
      </c>
      <c r="K8249" s="3">
        <v>1884</v>
      </c>
      <c r="L8249" s="3">
        <v>105</v>
      </c>
      <c r="M8249" s="3">
        <v>445</v>
      </c>
    </row>
    <row r="8250" spans="1:13" x14ac:dyDescent="0.25">
      <c r="A8250" s="1" t="str">
        <f>HYPERLINK("http://www.rosaceae.org/Prunus/Prunus_persica/p.persica_gdr_reftransV1_0039403","p.persica_gdr_reftransV1_0039403")</f>
        <v>p.persica_gdr_reftransV1_0039403</v>
      </c>
      <c r="B8250" s="3">
        <v>2686</v>
      </c>
      <c r="C8250" s="1" t="str">
        <f>HYPERLINK("http://www.uniprot.org/uniprot/TBC5A_DICDI","TBC5A_DICDI")</f>
        <v>TBC5A_DICDI</v>
      </c>
      <c r="D8250" t="s">
        <v>6410</v>
      </c>
      <c r="E8250" s="3" t="s">
        <v>9</v>
      </c>
      <c r="F8250" s="4">
        <v>9.1799999999999998E-22</v>
      </c>
      <c r="G8250" s="3">
        <v>262</v>
      </c>
      <c r="H8250" s="3">
        <v>33</v>
      </c>
      <c r="I8250" s="3">
        <v>209</v>
      </c>
      <c r="J8250" s="3">
        <v>1676</v>
      </c>
      <c r="K8250" s="3">
        <v>2275</v>
      </c>
      <c r="L8250" s="3">
        <v>337</v>
      </c>
      <c r="M8250" s="3">
        <v>530</v>
      </c>
    </row>
    <row r="8251" spans="1:13" x14ac:dyDescent="0.25">
      <c r="A8251" s="1" t="str">
        <f>HYPERLINK("http://www.rosaceae.org/Prunus/Prunus_persica/p.persica_gdr_reftransV1_0039653","p.persica_gdr_reftransV1_0039653")</f>
        <v>p.persica_gdr_reftransV1_0039653</v>
      </c>
      <c r="B8251" s="3">
        <v>3612</v>
      </c>
      <c r="C8251" s="1" t="str">
        <f>HYPERLINK("http://www.uniprot.org/uniprot/DEK_RAT","DEK_RAT")</f>
        <v>DEK_RAT</v>
      </c>
      <c r="D8251" t="s">
        <v>6411</v>
      </c>
      <c r="E8251" s="3" t="s">
        <v>161</v>
      </c>
      <c r="F8251" s="4">
        <v>1.4699999999999999E-8</v>
      </c>
      <c r="G8251" s="3">
        <v>149</v>
      </c>
      <c r="H8251" s="3">
        <v>33</v>
      </c>
      <c r="I8251" s="3">
        <v>111</v>
      </c>
      <c r="J8251" s="3">
        <v>958</v>
      </c>
      <c r="K8251" s="3">
        <v>1290</v>
      </c>
      <c r="L8251" s="3">
        <v>60</v>
      </c>
      <c r="M8251" s="3">
        <v>168</v>
      </c>
    </row>
    <row r="8252" spans="1:13" x14ac:dyDescent="0.25">
      <c r="A8252" s="1" t="str">
        <f>HYPERLINK("http://www.rosaceae.org/Prunus/Prunus_persica/p.persica_gdr_reftransV1_0039753","p.persica_gdr_reftransV1_0039753")</f>
        <v>p.persica_gdr_reftransV1_0039753</v>
      </c>
      <c r="B8252" s="3">
        <v>3526</v>
      </c>
      <c r="C8252" s="1" t="str">
        <f>HYPERLINK("http://www.uniprot.org/uniprot/BT3_ARATH","BT3_ARATH")</f>
        <v>BT3_ARATH</v>
      </c>
      <c r="D8252" t="s">
        <v>6412</v>
      </c>
      <c r="E8252" s="3" t="s">
        <v>3</v>
      </c>
      <c r="F8252" s="4">
        <v>8.6999999999999998E-138</v>
      </c>
      <c r="G8252" s="3">
        <v>1103</v>
      </c>
      <c r="H8252" s="3">
        <v>64</v>
      </c>
      <c r="I8252" s="3">
        <v>331</v>
      </c>
      <c r="J8252" s="3">
        <v>460</v>
      </c>
      <c r="K8252" s="3">
        <v>1446</v>
      </c>
      <c r="L8252" s="3">
        <v>36</v>
      </c>
      <c r="M8252" s="3">
        <v>364</v>
      </c>
    </row>
    <row r="8253" spans="1:13" x14ac:dyDescent="0.25">
      <c r="A8253" s="1" t="str">
        <f>HYPERLINK("http://www.rosaceae.org/Prunus/Prunus_persica/p.persica_gdr_reftransV1_0040053","p.persica_gdr_reftransV1_0040053")</f>
        <v>p.persica_gdr_reftransV1_0040053</v>
      </c>
      <c r="B8253" s="3">
        <v>1865</v>
      </c>
      <c r="C8253" s="1" t="str">
        <f>HYPERLINK("http://www.uniprot.org/uniprot/RRP36_NEMVE","RRP36_NEMVE")</f>
        <v>RRP36_NEMVE</v>
      </c>
      <c r="D8253" t="s">
        <v>1869</v>
      </c>
      <c r="E8253" s="3" t="s">
        <v>1392</v>
      </c>
      <c r="F8253" s="4">
        <v>5.3299999999999999E-11</v>
      </c>
      <c r="G8253" s="3">
        <v>162</v>
      </c>
      <c r="H8253" s="3">
        <v>41</v>
      </c>
      <c r="I8253" s="3">
        <v>95</v>
      </c>
      <c r="J8253" s="3">
        <v>617</v>
      </c>
      <c r="K8253" s="3">
        <v>901</v>
      </c>
      <c r="L8253" s="3">
        <v>152</v>
      </c>
      <c r="M8253" s="3">
        <v>243</v>
      </c>
    </row>
    <row r="8254" spans="1:13" x14ac:dyDescent="0.25">
      <c r="A8254" s="1" t="str">
        <f>HYPERLINK("http://www.rosaceae.org/Prunus/Prunus_persica/p.persica_gdr_reftransV1_0040353","p.persica_gdr_reftransV1_0040353")</f>
        <v>p.persica_gdr_reftransV1_0040353</v>
      </c>
      <c r="B8254" s="3">
        <v>3840</v>
      </c>
      <c r="C8254" s="1" t="str">
        <f>HYPERLINK("http://www.uniprot.org/uniprot/NPC3_ARATH","NPC3_ARATH")</f>
        <v>NPC3_ARATH</v>
      </c>
      <c r="D8254" t="s">
        <v>2487</v>
      </c>
      <c r="E8254" s="3" t="s">
        <v>3</v>
      </c>
      <c r="F8254" s="4">
        <v>4.6000000000000003E-87</v>
      </c>
      <c r="G8254" s="3">
        <v>762</v>
      </c>
      <c r="H8254" s="3">
        <v>76</v>
      </c>
      <c r="I8254" s="3">
        <v>194</v>
      </c>
      <c r="J8254" s="3">
        <v>1302</v>
      </c>
      <c r="K8254" s="3">
        <v>1883</v>
      </c>
      <c r="L8254" s="3">
        <v>215</v>
      </c>
      <c r="M8254" s="3">
        <v>408</v>
      </c>
    </row>
    <row r="8255" spans="1:13" x14ac:dyDescent="0.25">
      <c r="A8255" s="1" t="str">
        <f>HYPERLINK("http://www.rosaceae.org/Prunus/Prunus_persica/p.persica_gdr_reftransV1_0040953","p.persica_gdr_reftransV1_0040953")</f>
        <v>p.persica_gdr_reftransV1_0040953</v>
      </c>
      <c r="B8255" s="3">
        <v>3949</v>
      </c>
      <c r="C8255" s="1" t="str">
        <f>HYPERLINK("http://www.uniprot.org/uniprot/MCD4_ASPOR","MCD4_ASPOR")</f>
        <v>MCD4_ASPOR</v>
      </c>
      <c r="D8255" t="s">
        <v>6413</v>
      </c>
      <c r="E8255" s="3" t="s">
        <v>262</v>
      </c>
      <c r="F8255" s="4">
        <v>1.6200000000000001E-137</v>
      </c>
      <c r="G8255" s="3">
        <v>1166</v>
      </c>
      <c r="H8255" s="3">
        <v>46</v>
      </c>
      <c r="I8255" s="3">
        <v>552</v>
      </c>
      <c r="J8255" s="3">
        <v>2235</v>
      </c>
      <c r="K8255" s="3">
        <v>3782</v>
      </c>
      <c r="L8255" s="3">
        <v>9</v>
      </c>
      <c r="M8255" s="3">
        <v>536</v>
      </c>
    </row>
    <row r="8256" spans="1:13" x14ac:dyDescent="0.25">
      <c r="A8256" s="1" t="str">
        <f>HYPERLINK("http://www.rosaceae.org/Prunus/Prunus_persica/p.persica_gdr_reftransV1_0041003","p.persica_gdr_reftransV1_0041003")</f>
        <v>p.persica_gdr_reftransV1_0041003</v>
      </c>
      <c r="B8256" s="3">
        <v>1421</v>
      </c>
      <c r="C8256" s="1" t="str">
        <f>HYPERLINK("http://www.uniprot.org/uniprot/PSLS_METTH","PSLS_METTH")</f>
        <v>PSLS_METTH</v>
      </c>
      <c r="D8256" t="s">
        <v>6414</v>
      </c>
      <c r="E8256" s="3" t="s">
        <v>910</v>
      </c>
      <c r="F8256" s="4">
        <v>9.2500000000000001E-8</v>
      </c>
      <c r="G8256" s="3">
        <v>136</v>
      </c>
      <c r="H8256" s="3">
        <v>24</v>
      </c>
      <c r="I8256" s="3">
        <v>267</v>
      </c>
      <c r="J8256" s="3">
        <v>316</v>
      </c>
      <c r="K8256" s="3">
        <v>1089</v>
      </c>
      <c r="L8256" s="3">
        <v>11</v>
      </c>
      <c r="M8256" s="3">
        <v>255</v>
      </c>
    </row>
    <row r="8257" spans="1:13" x14ac:dyDescent="0.25">
      <c r="A8257" s="1" t="str">
        <f>HYPERLINK("http://www.rosaceae.org/Prunus/Prunus_persica/p.persica_gdr_reftransV1_0041653","p.persica_gdr_reftransV1_0041653")</f>
        <v>p.persica_gdr_reftransV1_0041653</v>
      </c>
      <c r="B8257" s="3">
        <v>1760</v>
      </c>
      <c r="C8257" s="1" t="str">
        <f>HYPERLINK("http://www.uniprot.org/uniprot/ZHD4_ARATH","ZHD4_ARATH")</f>
        <v>ZHD4_ARATH</v>
      </c>
      <c r="D8257" t="s">
        <v>3669</v>
      </c>
      <c r="E8257" s="3" t="s">
        <v>3</v>
      </c>
      <c r="F8257" s="4">
        <v>3.4600000000000002E-28</v>
      </c>
      <c r="G8257" s="3">
        <v>297</v>
      </c>
      <c r="H8257" s="3">
        <v>50</v>
      </c>
      <c r="I8257" s="3">
        <v>164</v>
      </c>
      <c r="J8257" s="3">
        <v>1040</v>
      </c>
      <c r="K8257" s="3">
        <v>1525</v>
      </c>
      <c r="L8257" s="3">
        <v>1</v>
      </c>
      <c r="M8257" s="3">
        <v>143</v>
      </c>
    </row>
    <row r="8258" spans="1:13" x14ac:dyDescent="0.25">
      <c r="A8258" s="1" t="str">
        <f>HYPERLINK("http://www.rosaceae.org/Prunus/Prunus_persica/p.persica_gdr_reftransV1_0041853","p.persica_gdr_reftransV1_0041853")</f>
        <v>p.persica_gdr_reftransV1_0041853</v>
      </c>
      <c r="B8258" s="3">
        <v>3462</v>
      </c>
      <c r="C8258" s="1" t="str">
        <f>HYPERLINK("http://www.uniprot.org/uniprot/WRK19_ARATH","WRK19_ARATH")</f>
        <v>WRK19_ARATH</v>
      </c>
      <c r="D8258" t="s">
        <v>1314</v>
      </c>
      <c r="E8258" s="3" t="s">
        <v>3</v>
      </c>
      <c r="F8258" s="4">
        <v>5.1300000000000002E-57</v>
      </c>
      <c r="G8258" s="3">
        <v>562</v>
      </c>
      <c r="H8258" s="3">
        <v>51</v>
      </c>
      <c r="I8258" s="3">
        <v>223</v>
      </c>
      <c r="J8258" s="3">
        <v>1973</v>
      </c>
      <c r="K8258" s="3">
        <v>2641</v>
      </c>
      <c r="L8258" s="3">
        <v>91</v>
      </c>
      <c r="M8258" s="3">
        <v>284</v>
      </c>
    </row>
    <row r="8259" spans="1:13" x14ac:dyDescent="0.25">
      <c r="A8259" s="1" t="str">
        <f>HYPERLINK("http://www.rosaceae.org/Prunus/Prunus_persica/p.persica_gdr_reftransV1_0042103","p.persica_gdr_reftransV1_0042103")</f>
        <v>p.persica_gdr_reftransV1_0042103</v>
      </c>
      <c r="B8259" s="3">
        <v>1338</v>
      </c>
      <c r="C8259" s="1" t="str">
        <f>HYPERLINK("http://www.uniprot.org/uniprot/R13L1_ARATH","R13L1_ARATH")</f>
        <v>R13L1_ARATH</v>
      </c>
      <c r="D8259" t="s">
        <v>100</v>
      </c>
      <c r="E8259" s="3" t="s">
        <v>3</v>
      </c>
      <c r="F8259" s="4">
        <v>2.3799999999999999E-90</v>
      </c>
      <c r="G8259" s="3">
        <v>772</v>
      </c>
      <c r="H8259" s="3">
        <v>44</v>
      </c>
      <c r="I8259" s="3">
        <v>409</v>
      </c>
      <c r="J8259" s="3">
        <v>113</v>
      </c>
      <c r="K8259" s="3">
        <v>1333</v>
      </c>
      <c r="L8259" s="3">
        <v>304</v>
      </c>
      <c r="M8259" s="3">
        <v>685</v>
      </c>
    </row>
    <row r="8260" spans="1:13" x14ac:dyDescent="0.25">
      <c r="A8260" s="1" t="str">
        <f>HYPERLINK("http://www.rosaceae.org/Prunus/Prunus_persica/p.persica_gdr_reftransV1_0042453","p.persica_gdr_reftransV1_0042453")</f>
        <v>p.persica_gdr_reftransV1_0042453</v>
      </c>
      <c r="B8260" s="3">
        <v>1878</v>
      </c>
      <c r="C8260" s="1" t="str">
        <f>HYPERLINK("http://www.uniprot.org/uniprot/DPNPM_ARATH","DPNPM_ARATH")</f>
        <v>DPNPM_ARATH</v>
      </c>
      <c r="D8260" t="s">
        <v>6415</v>
      </c>
      <c r="E8260" s="3" t="s">
        <v>3</v>
      </c>
      <c r="F8260" s="4">
        <v>4.98E-88</v>
      </c>
      <c r="G8260" s="3">
        <v>731</v>
      </c>
      <c r="H8260" s="3">
        <v>55</v>
      </c>
      <c r="I8260" s="3">
        <v>242</v>
      </c>
      <c r="J8260" s="3">
        <v>377</v>
      </c>
      <c r="K8260" s="3">
        <v>1102</v>
      </c>
      <c r="L8260" s="3">
        <v>172</v>
      </c>
      <c r="M8260" s="3">
        <v>397</v>
      </c>
    </row>
    <row r="8261" spans="1:13" x14ac:dyDescent="0.25">
      <c r="A8261" s="1" t="str">
        <f>HYPERLINK("http://www.rosaceae.org/Prunus/Prunus_persica/p.persica_gdr_reftransV1_0042803","p.persica_gdr_reftransV1_0042803")</f>
        <v>p.persica_gdr_reftransV1_0042803</v>
      </c>
      <c r="B8261" s="3">
        <v>4074</v>
      </c>
      <c r="C8261" s="1" t="str">
        <f>HYPERLINK("http://www.uniprot.org/uniprot/PPR60_ARATH","PPR60_ARATH")</f>
        <v>PPR60_ARATH</v>
      </c>
      <c r="D8261" t="s">
        <v>6416</v>
      </c>
      <c r="E8261" s="3" t="s">
        <v>3</v>
      </c>
      <c r="F8261" s="4">
        <v>4.7100000000000002E-94</v>
      </c>
      <c r="G8261" s="3">
        <v>580</v>
      </c>
      <c r="H8261" s="3">
        <v>54</v>
      </c>
      <c r="I8261" s="3">
        <v>241</v>
      </c>
      <c r="J8261" s="3">
        <v>758</v>
      </c>
      <c r="K8261" s="3">
        <v>1465</v>
      </c>
      <c r="L8261" s="3">
        <v>150</v>
      </c>
      <c r="M8261" s="3">
        <v>390</v>
      </c>
    </row>
    <row r="8262" spans="1:13" x14ac:dyDescent="0.25">
      <c r="A8262" s="1" t="str">
        <f>HYPERLINK("http://www.rosaceae.org/Prunus/Prunus_persica/p.persica_gdr_reftransV1_0043003","p.persica_gdr_reftransV1_0043003")</f>
        <v>p.persica_gdr_reftransV1_0043003</v>
      </c>
      <c r="B8262" s="3">
        <v>1492</v>
      </c>
      <c r="C8262" s="1" t="str">
        <f>HYPERLINK("http://www.uniprot.org/uniprot/Y328_SYNY3","Y328_SYNY3")</f>
        <v>Y328_SYNY3</v>
      </c>
      <c r="D8262" t="s">
        <v>6417</v>
      </c>
      <c r="E8262" s="3" t="s">
        <v>527</v>
      </c>
      <c r="F8262" s="4">
        <v>3.8999999999999998E-40</v>
      </c>
      <c r="G8262" s="3">
        <v>371</v>
      </c>
      <c r="H8262" s="3">
        <v>48</v>
      </c>
      <c r="I8262" s="3">
        <v>160</v>
      </c>
      <c r="J8262" s="3">
        <v>319</v>
      </c>
      <c r="K8262" s="3">
        <v>798</v>
      </c>
      <c r="L8262" s="3">
        <v>3</v>
      </c>
      <c r="M8262" s="3">
        <v>154</v>
      </c>
    </row>
    <row r="8263" spans="1:13" x14ac:dyDescent="0.25">
      <c r="A8263" s="1" t="str">
        <f>HYPERLINK("http://www.rosaceae.org/Prunus/Prunus_persica/p.persica_gdr_reftransV1_0043053","p.persica_gdr_reftransV1_0043053")</f>
        <v>p.persica_gdr_reftransV1_0043053</v>
      </c>
      <c r="B8263" s="3">
        <v>2166</v>
      </c>
      <c r="C8263" s="1" t="str">
        <f>HYPERLINK("http://www.uniprot.org/uniprot/IMDH2_ARATH","IMDH2_ARATH")</f>
        <v>IMDH2_ARATH</v>
      </c>
      <c r="D8263" t="s">
        <v>6418</v>
      </c>
      <c r="E8263" s="3" t="s">
        <v>3</v>
      </c>
      <c r="F8263" s="4">
        <v>0</v>
      </c>
      <c r="G8263" s="3">
        <v>1828</v>
      </c>
      <c r="H8263" s="3">
        <v>74</v>
      </c>
      <c r="I8263" s="3">
        <v>500</v>
      </c>
      <c r="J8263" s="3">
        <v>520</v>
      </c>
      <c r="K8263" s="3">
        <v>2007</v>
      </c>
      <c r="L8263" s="3">
        <v>4</v>
      </c>
      <c r="M8263" s="3">
        <v>502</v>
      </c>
    </row>
    <row r="8264" spans="1:13" x14ac:dyDescent="0.25">
      <c r="A8264" s="1" t="str">
        <f>HYPERLINK("http://www.rosaceae.org/Prunus/Prunus_persica/p.persica_gdr_reftransV1_0043103","p.persica_gdr_reftransV1_0043103")</f>
        <v>p.persica_gdr_reftransV1_0043103</v>
      </c>
      <c r="B8264" s="3">
        <v>468</v>
      </c>
      <c r="C8264" s="1" t="str">
        <f>HYPERLINK("http://www.uniprot.org/uniprot/U71D1_ARATH","U71D1_ARATH")</f>
        <v>U71D1_ARATH</v>
      </c>
      <c r="D8264" t="s">
        <v>6419</v>
      </c>
      <c r="E8264" s="3" t="s">
        <v>3</v>
      </c>
      <c r="F8264" s="4">
        <v>2.5099999999999999E-22</v>
      </c>
      <c r="G8264" s="3">
        <v>238</v>
      </c>
      <c r="H8264" s="3">
        <v>41</v>
      </c>
      <c r="I8264" s="3">
        <v>142</v>
      </c>
      <c r="J8264" s="3">
        <v>57</v>
      </c>
      <c r="K8264" s="3">
        <v>467</v>
      </c>
      <c r="L8264" s="3">
        <v>1</v>
      </c>
      <c r="M8264" s="3">
        <v>138</v>
      </c>
    </row>
    <row r="8265" spans="1:13" x14ac:dyDescent="0.25">
      <c r="A8265" s="1" t="str">
        <f>HYPERLINK("http://www.rosaceae.org/Prunus/Prunus_persica/p.persica_gdr_reftransV1_0043153","p.persica_gdr_reftransV1_0043153")</f>
        <v>p.persica_gdr_reftransV1_0043153</v>
      </c>
      <c r="B8265" s="3">
        <v>978</v>
      </c>
      <c r="C8265" s="1" t="str">
        <f>HYPERLINK("http://www.uniprot.org/uniprot/VAB_ARATH","VAB_ARATH")</f>
        <v>VAB_ARATH</v>
      </c>
      <c r="D8265" t="s">
        <v>2108</v>
      </c>
      <c r="E8265" s="3" t="s">
        <v>3</v>
      </c>
      <c r="F8265" s="4">
        <v>4.3900000000000002E-41</v>
      </c>
      <c r="G8265" s="3">
        <v>390</v>
      </c>
      <c r="H8265" s="3">
        <v>55</v>
      </c>
      <c r="I8265" s="3">
        <v>283</v>
      </c>
      <c r="J8265" s="3">
        <v>182</v>
      </c>
      <c r="K8265" s="3">
        <v>961</v>
      </c>
      <c r="L8265" s="3">
        <v>30</v>
      </c>
      <c r="M8265" s="3">
        <v>300</v>
      </c>
    </row>
    <row r="8266" spans="1:13" x14ac:dyDescent="0.25">
      <c r="A8266" s="1" t="str">
        <f>HYPERLINK("http://www.rosaceae.org/Prunus/Prunus_persica/p.persica_gdr_reftransV1_0043203","p.persica_gdr_reftransV1_0043203")</f>
        <v>p.persica_gdr_reftransV1_0043203</v>
      </c>
      <c r="B8266" s="3">
        <v>350</v>
      </c>
      <c r="C8266" s="1" t="str">
        <f>HYPERLINK("http://www.uniprot.org/uniprot/B561J_ARATH","B561J_ARATH")</f>
        <v>B561J_ARATH</v>
      </c>
      <c r="D8266" t="s">
        <v>4355</v>
      </c>
      <c r="E8266" s="3" t="s">
        <v>3</v>
      </c>
      <c r="F8266" s="4">
        <v>1.22E-27</v>
      </c>
      <c r="G8266" s="3">
        <v>270</v>
      </c>
      <c r="H8266" s="3">
        <v>47</v>
      </c>
      <c r="I8266" s="3">
        <v>111</v>
      </c>
      <c r="J8266" s="3">
        <v>1</v>
      </c>
      <c r="K8266" s="3">
        <v>333</v>
      </c>
      <c r="L8266" s="3">
        <v>272</v>
      </c>
      <c r="M8266" s="3">
        <v>381</v>
      </c>
    </row>
    <row r="8267" spans="1:13" x14ac:dyDescent="0.25">
      <c r="A8267" s="1" t="str">
        <f>HYPERLINK("http://www.rosaceae.org/Prunus/Prunus_persica/p.persica_gdr_reftransV1_0043303","p.persica_gdr_reftransV1_0043303")</f>
        <v>p.persica_gdr_reftransV1_0043303</v>
      </c>
      <c r="B8267" s="3">
        <v>1148</v>
      </c>
      <c r="C8267" s="1" t="str">
        <f>HYPERLINK("http://www.uniprot.org/uniprot/BCS1B_DICDI","BCS1B_DICDI")</f>
        <v>BCS1B_DICDI</v>
      </c>
      <c r="D8267" t="s">
        <v>2777</v>
      </c>
      <c r="E8267" s="3" t="s">
        <v>9</v>
      </c>
      <c r="F8267" s="4">
        <v>2.8399999999999999E-18</v>
      </c>
      <c r="G8267" s="3">
        <v>221</v>
      </c>
      <c r="H8267" s="3">
        <v>34</v>
      </c>
      <c r="I8267" s="3">
        <v>220</v>
      </c>
      <c r="J8267" s="3">
        <v>525</v>
      </c>
      <c r="K8267" s="3">
        <v>1148</v>
      </c>
      <c r="L8267" s="3">
        <v>165</v>
      </c>
      <c r="M8267" s="3">
        <v>369</v>
      </c>
    </row>
    <row r="8268" spans="1:13" x14ac:dyDescent="0.25">
      <c r="A8268" s="1" t="str">
        <f>HYPERLINK("http://www.rosaceae.org/Prunus/Prunus_persica/p.persica_gdr_reftransV1_0043353","p.persica_gdr_reftransV1_0043353")</f>
        <v>p.persica_gdr_reftransV1_0043353</v>
      </c>
      <c r="B8268" s="3">
        <v>422</v>
      </c>
      <c r="C8268" s="1" t="str">
        <f>HYPERLINK("http://www.uniprot.org/uniprot/PABP7_ARATH","PABP7_ARATH")</f>
        <v>PABP7_ARATH</v>
      </c>
      <c r="D8268" t="s">
        <v>3423</v>
      </c>
      <c r="E8268" s="3" t="s">
        <v>3</v>
      </c>
      <c r="F8268" s="4">
        <v>3.5399999999999997E-18</v>
      </c>
      <c r="G8268" s="3">
        <v>208</v>
      </c>
      <c r="H8268" s="3">
        <v>65</v>
      </c>
      <c r="I8268" s="3">
        <v>52</v>
      </c>
      <c r="J8268" s="3">
        <v>3</v>
      </c>
      <c r="K8268" s="3">
        <v>158</v>
      </c>
      <c r="L8268" s="3">
        <v>23</v>
      </c>
      <c r="M8268" s="3">
        <v>74</v>
      </c>
    </row>
    <row r="8269" spans="1:13" x14ac:dyDescent="0.25">
      <c r="A8269" s="1" t="str">
        <f>HYPERLINK("http://www.rosaceae.org/Prunus/Prunus_persica/p.persica_gdr_reftransV1_0043403","p.persica_gdr_reftransV1_0043403")</f>
        <v>p.persica_gdr_reftransV1_0043403</v>
      </c>
      <c r="B8269" s="3">
        <v>558</v>
      </c>
      <c r="C8269" s="1" t="str">
        <f>HYPERLINK("http://www.uniprot.org/uniprot/RPP1_ARATH","RPP1_ARATH")</f>
        <v>RPP1_ARATH</v>
      </c>
      <c r="D8269" t="s">
        <v>1513</v>
      </c>
      <c r="E8269" s="3" t="s">
        <v>3</v>
      </c>
      <c r="F8269" s="4">
        <v>2.8899999999999998E-11</v>
      </c>
      <c r="G8269" s="3">
        <v>159</v>
      </c>
      <c r="H8269" s="3">
        <v>31</v>
      </c>
      <c r="I8269" s="3">
        <v>159</v>
      </c>
      <c r="J8269" s="3">
        <v>6</v>
      </c>
      <c r="K8269" s="3">
        <v>479</v>
      </c>
      <c r="L8269" s="3">
        <v>742</v>
      </c>
      <c r="M8269" s="3">
        <v>897</v>
      </c>
    </row>
    <row r="8270" spans="1:13" x14ac:dyDescent="0.25">
      <c r="A8270" s="1" t="str">
        <f>HYPERLINK("http://www.rosaceae.org/Prunus/Prunus_persica/p.persica_gdr_reftransV1_0043453","p.persica_gdr_reftransV1_0043453")</f>
        <v>p.persica_gdr_reftransV1_0043453</v>
      </c>
      <c r="B8270" s="3">
        <v>979</v>
      </c>
      <c r="C8270" s="1" t="str">
        <f>HYPERLINK("http://www.uniprot.org/uniprot/PROF_PRUDU","PROF_PRUDU")</f>
        <v>PROF_PRUDU</v>
      </c>
      <c r="D8270" t="s">
        <v>6420</v>
      </c>
      <c r="E8270" s="3" t="s">
        <v>418</v>
      </c>
      <c r="F8270" s="4">
        <v>8.4100000000000004E-89</v>
      </c>
      <c r="G8270" s="3">
        <v>686</v>
      </c>
      <c r="H8270" s="3">
        <v>100</v>
      </c>
      <c r="I8270" s="3">
        <v>131</v>
      </c>
      <c r="J8270" s="3">
        <v>64</v>
      </c>
      <c r="K8270" s="3">
        <v>456</v>
      </c>
      <c r="L8270" s="3">
        <v>1</v>
      </c>
      <c r="M8270" s="3">
        <v>131</v>
      </c>
    </row>
    <row r="8271" spans="1:13" x14ac:dyDescent="0.25">
      <c r="A8271" s="1" t="str">
        <f>HYPERLINK("http://www.rosaceae.org/Prunus/Prunus_persica/p.persica_gdr_reftransV1_0043553","p.persica_gdr_reftransV1_0043553")</f>
        <v>p.persica_gdr_reftransV1_0043553</v>
      </c>
      <c r="B8271" s="3">
        <v>541</v>
      </c>
      <c r="C8271" s="1" t="str">
        <f>HYPERLINK("http://www.uniprot.org/uniprot/COPT1_ARATH","COPT1_ARATH")</f>
        <v>COPT1_ARATH</v>
      </c>
      <c r="D8271" t="s">
        <v>6421</v>
      </c>
      <c r="E8271" s="3" t="s">
        <v>3</v>
      </c>
      <c r="F8271" s="4">
        <v>7.8499999999999998E-25</v>
      </c>
      <c r="G8271" s="3">
        <v>248</v>
      </c>
      <c r="H8271" s="3">
        <v>48</v>
      </c>
      <c r="I8271" s="3">
        <v>129</v>
      </c>
      <c r="J8271" s="3">
        <v>35</v>
      </c>
      <c r="K8271" s="3">
        <v>418</v>
      </c>
      <c r="L8271" s="3">
        <v>45</v>
      </c>
      <c r="M8271" s="3">
        <v>168</v>
      </c>
    </row>
    <row r="8272" spans="1:13" x14ac:dyDescent="0.25">
      <c r="A8272" s="1" t="str">
        <f>HYPERLINK("http://www.rosaceae.org/Prunus/Prunus_persica/p.persica_gdr_reftransV1_0043603","p.persica_gdr_reftransV1_0043603")</f>
        <v>p.persica_gdr_reftransV1_0043603</v>
      </c>
      <c r="B8272" s="3">
        <v>721</v>
      </c>
      <c r="C8272" s="1" t="str">
        <f>HYPERLINK("http://www.uniprot.org/uniprot/CH10_ARATH","CH10_ARATH")</f>
        <v>CH10_ARATH</v>
      </c>
      <c r="D8272" t="s">
        <v>690</v>
      </c>
      <c r="E8272" s="3" t="s">
        <v>3</v>
      </c>
      <c r="F8272" s="4">
        <v>3.18E-47</v>
      </c>
      <c r="G8272" s="3">
        <v>398</v>
      </c>
      <c r="H8272" s="3">
        <v>73</v>
      </c>
      <c r="I8272" s="3">
        <v>97</v>
      </c>
      <c r="J8272" s="3">
        <v>150</v>
      </c>
      <c r="K8272" s="3">
        <v>440</v>
      </c>
      <c r="L8272" s="3">
        <v>1</v>
      </c>
      <c r="M8272" s="3">
        <v>97</v>
      </c>
    </row>
    <row r="8273" spans="1:13" x14ac:dyDescent="0.25">
      <c r="A8273" s="1" t="str">
        <f>HYPERLINK("http://www.rosaceae.org/Prunus/Prunus_persica/p.persica_gdr_reftransV1_0043653","p.persica_gdr_reftransV1_0043653")</f>
        <v>p.persica_gdr_reftransV1_0043653</v>
      </c>
      <c r="B8273" s="3">
        <v>970</v>
      </c>
      <c r="C8273" s="1" t="str">
        <f>HYPERLINK("http://www.uniprot.org/uniprot/B3GLT_MOUSE","B3GLT_MOUSE")</f>
        <v>B3GLT_MOUSE</v>
      </c>
      <c r="D8273" t="s">
        <v>6422</v>
      </c>
      <c r="E8273" s="3" t="s">
        <v>157</v>
      </c>
      <c r="F8273" s="4">
        <v>9.39E-8</v>
      </c>
      <c r="G8273" s="3">
        <v>136</v>
      </c>
      <c r="H8273" s="3">
        <v>33</v>
      </c>
      <c r="I8273" s="3">
        <v>108</v>
      </c>
      <c r="J8273" s="3">
        <v>638</v>
      </c>
      <c r="K8273" s="3">
        <v>961</v>
      </c>
      <c r="L8273" s="3">
        <v>332</v>
      </c>
      <c r="M8273" s="3">
        <v>434</v>
      </c>
    </row>
    <row r="8274" spans="1:13" x14ac:dyDescent="0.25">
      <c r="A8274" s="1" t="str">
        <f>HYPERLINK("http://www.rosaceae.org/Prunus/Prunus_persica/p.persica_gdr_reftransV1_0043703","p.persica_gdr_reftransV1_0043703")</f>
        <v>p.persica_gdr_reftransV1_0043703</v>
      </c>
      <c r="B8274" s="3">
        <v>2253</v>
      </c>
      <c r="C8274" s="1" t="str">
        <f>HYPERLINK("http://www.uniprot.org/uniprot/PMS1_ARATH","PMS1_ARATH")</f>
        <v>PMS1_ARATH</v>
      </c>
      <c r="D8274" t="s">
        <v>1789</v>
      </c>
      <c r="E8274" s="3" t="s">
        <v>3</v>
      </c>
      <c r="F8274" s="4">
        <v>2.08E-141</v>
      </c>
      <c r="G8274" s="3">
        <v>1146</v>
      </c>
      <c r="H8274" s="3">
        <v>48</v>
      </c>
      <c r="I8274" s="3">
        <v>673</v>
      </c>
      <c r="J8274" s="3">
        <v>3</v>
      </c>
      <c r="K8274" s="3">
        <v>1985</v>
      </c>
      <c r="L8274" s="3">
        <v>316</v>
      </c>
      <c r="M8274" s="3">
        <v>896</v>
      </c>
    </row>
    <row r="8275" spans="1:13" x14ac:dyDescent="0.25">
      <c r="A8275" s="1" t="str">
        <f>HYPERLINK("http://www.rosaceae.org/Prunus/Prunus_persica/p.persica_gdr_reftransV1_0043853","p.persica_gdr_reftransV1_0043853")</f>
        <v>p.persica_gdr_reftransV1_0043853</v>
      </c>
      <c r="B8275" s="3">
        <v>370</v>
      </c>
      <c r="C8275" s="1" t="str">
        <f>HYPERLINK("http://www.uniprot.org/uniprot/AMS_ARATH","AMS_ARATH")</f>
        <v>AMS_ARATH</v>
      </c>
      <c r="D8275" t="s">
        <v>3027</v>
      </c>
      <c r="E8275" s="3" t="s">
        <v>3</v>
      </c>
      <c r="F8275" s="4">
        <v>1.8199999999999999E-29</v>
      </c>
      <c r="G8275" s="3">
        <v>288</v>
      </c>
      <c r="H8275" s="3">
        <v>53</v>
      </c>
      <c r="I8275" s="3">
        <v>106</v>
      </c>
      <c r="J8275" s="3">
        <v>56</v>
      </c>
      <c r="K8275" s="3">
        <v>370</v>
      </c>
      <c r="L8275" s="3">
        <v>5</v>
      </c>
      <c r="M8275" s="3">
        <v>104</v>
      </c>
    </row>
    <row r="8276" spans="1:13" x14ac:dyDescent="0.25">
      <c r="A8276" s="1" t="str">
        <f>HYPERLINK("http://www.rosaceae.org/Prunus/Prunus_persica/p.persica_gdr_reftransV1_0043903","p.persica_gdr_reftransV1_0043903")</f>
        <v>p.persica_gdr_reftransV1_0043903</v>
      </c>
      <c r="B8276" s="3">
        <v>1970</v>
      </c>
      <c r="C8276" s="1" t="str">
        <f>HYPERLINK("http://www.uniprot.org/uniprot/Y1686_ARATH","Y1686_ARATH")</f>
        <v>Y1686_ARATH</v>
      </c>
      <c r="D8276" t="s">
        <v>6423</v>
      </c>
      <c r="E8276" s="3" t="s">
        <v>3</v>
      </c>
      <c r="F8276" s="4">
        <v>0</v>
      </c>
      <c r="G8276" s="3">
        <v>1813</v>
      </c>
      <c r="H8276" s="3">
        <v>73</v>
      </c>
      <c r="I8276" s="3">
        <v>485</v>
      </c>
      <c r="J8276" s="3">
        <v>294</v>
      </c>
      <c r="K8276" s="3">
        <v>1748</v>
      </c>
      <c r="L8276" s="3">
        <v>1</v>
      </c>
      <c r="M8276" s="3">
        <v>474</v>
      </c>
    </row>
    <row r="8277" spans="1:13" x14ac:dyDescent="0.25">
      <c r="A8277" s="1" t="str">
        <f>HYPERLINK("http://www.rosaceae.org/Prunus/Prunus_persica/p.persica_gdr_reftransV1_0043953","p.persica_gdr_reftransV1_0043953")</f>
        <v>p.persica_gdr_reftransV1_0043953</v>
      </c>
      <c r="B8277" s="3">
        <v>421</v>
      </c>
      <c r="C8277" s="1" t="str">
        <f>HYPERLINK("http://www.uniprot.org/uniprot/PDS5_YEAST","PDS5_YEAST")</f>
        <v>PDS5_YEAST</v>
      </c>
      <c r="D8277" t="s">
        <v>6369</v>
      </c>
      <c r="E8277" s="3" t="s">
        <v>34</v>
      </c>
      <c r="F8277" s="4">
        <v>4.3899999999999998E-18</v>
      </c>
      <c r="G8277" s="3">
        <v>209</v>
      </c>
      <c r="H8277" s="3">
        <v>34</v>
      </c>
      <c r="I8277" s="3">
        <v>125</v>
      </c>
      <c r="J8277" s="3">
        <v>8</v>
      </c>
      <c r="K8277" s="3">
        <v>379</v>
      </c>
      <c r="L8277" s="3">
        <v>58</v>
      </c>
      <c r="M8277" s="3">
        <v>181</v>
      </c>
    </row>
    <row r="8278" spans="1:13" x14ac:dyDescent="0.25">
      <c r="A8278" s="1" t="str">
        <f>HYPERLINK("http://www.rosaceae.org/Prunus/Prunus_persica/p.persica_gdr_reftransV1_0044003","p.persica_gdr_reftransV1_0044003")</f>
        <v>p.persica_gdr_reftransV1_0044003</v>
      </c>
      <c r="B8278" s="3">
        <v>1293</v>
      </c>
      <c r="C8278" s="1" t="str">
        <f>HYPERLINK("http://www.uniprot.org/uniprot/EIF3F_ARATH","EIF3F_ARATH")</f>
        <v>EIF3F_ARATH</v>
      </c>
      <c r="D8278" t="s">
        <v>4339</v>
      </c>
      <c r="E8278" s="3" t="s">
        <v>3</v>
      </c>
      <c r="F8278" s="4">
        <v>1.0500000000000001E-150</v>
      </c>
      <c r="G8278" s="3">
        <v>1122</v>
      </c>
      <c r="H8278" s="3">
        <v>77</v>
      </c>
      <c r="I8278" s="3">
        <v>291</v>
      </c>
      <c r="J8278" s="3">
        <v>127</v>
      </c>
      <c r="K8278" s="3">
        <v>981</v>
      </c>
      <c r="L8278" s="3">
        <v>3</v>
      </c>
      <c r="M8278" s="3">
        <v>293</v>
      </c>
    </row>
    <row r="8279" spans="1:13" x14ac:dyDescent="0.25">
      <c r="A8279" s="1" t="str">
        <f>HYPERLINK("http://www.rosaceae.org/Prunus/Prunus_persica/p.persica_gdr_reftransV1_0044103","p.persica_gdr_reftransV1_0044103")</f>
        <v>p.persica_gdr_reftransV1_0044103</v>
      </c>
      <c r="B8279" s="3">
        <v>947</v>
      </c>
      <c r="C8279" s="1" t="str">
        <f>HYPERLINK("http://www.uniprot.org/uniprot/RS71_ARATH","RS71_ARATH")</f>
        <v>RS71_ARATH</v>
      </c>
      <c r="D8279" t="s">
        <v>6424</v>
      </c>
      <c r="E8279" s="3" t="s">
        <v>3</v>
      </c>
      <c r="F8279" s="4">
        <v>1.0300000000000001E-105</v>
      </c>
      <c r="G8279" s="3">
        <v>803</v>
      </c>
      <c r="H8279" s="3">
        <v>78</v>
      </c>
      <c r="I8279" s="3">
        <v>191</v>
      </c>
      <c r="J8279" s="3">
        <v>100</v>
      </c>
      <c r="K8279" s="3">
        <v>669</v>
      </c>
      <c r="L8279" s="3">
        <v>1</v>
      </c>
      <c r="M8279" s="3">
        <v>191</v>
      </c>
    </row>
    <row r="8280" spans="1:13" x14ac:dyDescent="0.25">
      <c r="A8280" s="1" t="str">
        <f>HYPERLINK("http://www.rosaceae.org/Prunus/Prunus_persica/p.persica_gdr_reftransV1_0044153","p.persica_gdr_reftransV1_0044153")</f>
        <v>p.persica_gdr_reftransV1_0044153</v>
      </c>
      <c r="B8280" s="3">
        <v>2482</v>
      </c>
      <c r="C8280" s="1" t="str">
        <f>HYPERLINK("http://www.uniprot.org/uniprot/BXL7_ARATH","BXL7_ARATH")</f>
        <v>BXL7_ARATH</v>
      </c>
      <c r="D8280" t="s">
        <v>6425</v>
      </c>
      <c r="E8280" s="3" t="s">
        <v>3</v>
      </c>
      <c r="F8280" s="4">
        <v>0</v>
      </c>
      <c r="G8280" s="3">
        <v>1991</v>
      </c>
      <c r="H8280" s="3">
        <v>69</v>
      </c>
      <c r="I8280" s="3">
        <v>541</v>
      </c>
      <c r="J8280" s="3">
        <v>96</v>
      </c>
      <c r="K8280" s="3">
        <v>1718</v>
      </c>
      <c r="L8280" s="3">
        <v>18</v>
      </c>
      <c r="M8280" s="3">
        <v>552</v>
      </c>
    </row>
    <row r="8281" spans="1:13" x14ac:dyDescent="0.25">
      <c r="A8281" s="1" t="str">
        <f>HYPERLINK("http://www.rosaceae.org/Prunus/Prunus_persica/p.persica_gdr_reftransV1_0044203","p.persica_gdr_reftransV1_0044203")</f>
        <v>p.persica_gdr_reftransV1_0044203</v>
      </c>
      <c r="B8281" s="3">
        <v>2063</v>
      </c>
      <c r="C8281" s="1" t="str">
        <f>HYPERLINK("http://www.uniprot.org/uniprot/BH130_ARATH","BH130_ARATH")</f>
        <v>BH130_ARATH</v>
      </c>
      <c r="D8281" t="s">
        <v>6426</v>
      </c>
      <c r="E8281" s="3" t="s">
        <v>3</v>
      </c>
      <c r="F8281" s="4">
        <v>1.4199999999999999E-53</v>
      </c>
      <c r="G8281" s="3">
        <v>491</v>
      </c>
      <c r="H8281" s="3">
        <v>39</v>
      </c>
      <c r="I8281" s="3">
        <v>385</v>
      </c>
      <c r="J8281" s="3">
        <v>583</v>
      </c>
      <c r="K8281" s="3">
        <v>1680</v>
      </c>
      <c r="L8281" s="3">
        <v>15</v>
      </c>
      <c r="M8281" s="3">
        <v>344</v>
      </c>
    </row>
    <row r="8282" spans="1:13" x14ac:dyDescent="0.25">
      <c r="A8282" s="1" t="str">
        <f>HYPERLINK("http://www.rosaceae.org/Prunus/Prunus_persica/p.persica_gdr_reftransV1_0044303","p.persica_gdr_reftransV1_0044303")</f>
        <v>p.persica_gdr_reftransV1_0044303</v>
      </c>
      <c r="B8282" s="3">
        <v>1688</v>
      </c>
      <c r="C8282" s="1" t="str">
        <f>HYPERLINK("http://www.uniprot.org/uniprot/U86A1_ARATH","U86A1_ARATH")</f>
        <v>U86A1_ARATH</v>
      </c>
      <c r="D8282" t="s">
        <v>1139</v>
      </c>
      <c r="E8282" s="3" t="s">
        <v>3</v>
      </c>
      <c r="F8282" s="4">
        <v>0</v>
      </c>
      <c r="G8282" s="3">
        <v>1505</v>
      </c>
      <c r="H8282" s="3">
        <v>59</v>
      </c>
      <c r="I8282" s="3">
        <v>481</v>
      </c>
      <c r="J8282" s="3">
        <v>102</v>
      </c>
      <c r="K8282" s="3">
        <v>1526</v>
      </c>
      <c r="L8282" s="3">
        <v>5</v>
      </c>
      <c r="M8282" s="3">
        <v>478</v>
      </c>
    </row>
    <row r="8283" spans="1:13" x14ac:dyDescent="0.25">
      <c r="A8283" s="1" t="str">
        <f>HYPERLINK("http://www.rosaceae.org/Prunus/Prunus_persica/p.persica_gdr_reftransV1_0044403","p.persica_gdr_reftransV1_0044403")</f>
        <v>p.persica_gdr_reftransV1_0044403</v>
      </c>
      <c r="B8283" s="3">
        <v>1876</v>
      </c>
      <c r="C8283" s="1" t="str">
        <f>HYPERLINK("http://www.uniprot.org/uniprot/RD21A_ARATH","RD21A_ARATH")</f>
        <v>RD21A_ARATH</v>
      </c>
      <c r="D8283" t="s">
        <v>1160</v>
      </c>
      <c r="E8283" s="3" t="s">
        <v>3</v>
      </c>
      <c r="F8283" s="4">
        <v>0</v>
      </c>
      <c r="G8283" s="3">
        <v>1638</v>
      </c>
      <c r="H8283" s="3">
        <v>68</v>
      </c>
      <c r="I8283" s="3">
        <v>459</v>
      </c>
      <c r="J8283" s="3">
        <v>387</v>
      </c>
      <c r="K8283" s="3">
        <v>1757</v>
      </c>
      <c r="L8283" s="3">
        <v>7</v>
      </c>
      <c r="M8283" s="3">
        <v>457</v>
      </c>
    </row>
    <row r="8284" spans="1:13" x14ac:dyDescent="0.25">
      <c r="A8284" s="1" t="str">
        <f>HYPERLINK("http://www.rosaceae.org/Prunus/Prunus_persica/p.persica_gdr_reftransV1_0044453","p.persica_gdr_reftransV1_0044453")</f>
        <v>p.persica_gdr_reftransV1_0044453</v>
      </c>
      <c r="B8284" s="3">
        <v>513</v>
      </c>
      <c r="C8284" s="1" t="str">
        <f>HYPERLINK("http://www.uniprot.org/uniprot/PHO19_ARATH","PHO19_ARATH")</f>
        <v>PHO19_ARATH</v>
      </c>
      <c r="D8284" t="s">
        <v>6427</v>
      </c>
      <c r="E8284" s="3" t="s">
        <v>3</v>
      </c>
      <c r="F8284" s="4">
        <v>4.6E-75</v>
      </c>
      <c r="G8284" s="3">
        <v>626</v>
      </c>
      <c r="H8284" s="3">
        <v>73</v>
      </c>
      <c r="I8284" s="3">
        <v>152</v>
      </c>
      <c r="J8284" s="3">
        <v>4</v>
      </c>
      <c r="K8284" s="3">
        <v>459</v>
      </c>
      <c r="L8284" s="3">
        <v>641</v>
      </c>
      <c r="M8284" s="3">
        <v>792</v>
      </c>
    </row>
    <row r="8285" spans="1:13" x14ac:dyDescent="0.25">
      <c r="A8285" s="1" t="str">
        <f>HYPERLINK("http://www.rosaceae.org/Prunus/Prunus_persica/p.persica_gdr_reftransV1_0044503","p.persica_gdr_reftransV1_0044503")</f>
        <v>p.persica_gdr_reftransV1_0044503</v>
      </c>
      <c r="B8285" s="3">
        <v>460</v>
      </c>
      <c r="C8285" s="1" t="str">
        <f>HYPERLINK("http://www.uniprot.org/uniprot/SNAK2_SOLTU","SNAK2_SOLTU")</f>
        <v>SNAK2_SOLTU</v>
      </c>
      <c r="D8285" t="s">
        <v>788</v>
      </c>
      <c r="E8285" s="3" t="s">
        <v>11</v>
      </c>
      <c r="F8285" s="4">
        <v>7.2699999999999996E-24</v>
      </c>
      <c r="G8285" s="3">
        <v>234</v>
      </c>
      <c r="H8285" s="3">
        <v>73</v>
      </c>
      <c r="I8285" s="3">
        <v>62</v>
      </c>
      <c r="J8285" s="3">
        <v>85</v>
      </c>
      <c r="K8285" s="3">
        <v>270</v>
      </c>
      <c r="L8285" s="3">
        <v>43</v>
      </c>
      <c r="M8285" s="3">
        <v>104</v>
      </c>
    </row>
    <row r="8286" spans="1:13" x14ac:dyDescent="0.25">
      <c r="A8286" s="1" t="str">
        <f>HYPERLINK("http://www.rosaceae.org/Prunus/Prunus_persica/p.persica_gdr_reftransV1_0044603","p.persica_gdr_reftransV1_0044603")</f>
        <v>p.persica_gdr_reftransV1_0044603</v>
      </c>
      <c r="B8286" s="3">
        <v>3800</v>
      </c>
      <c r="C8286" s="1" t="str">
        <f>HYPERLINK("http://www.uniprot.org/uniprot/SCD1_ARATH","SCD1_ARATH")</f>
        <v>SCD1_ARATH</v>
      </c>
      <c r="D8286" t="s">
        <v>6428</v>
      </c>
      <c r="E8286" s="3" t="s">
        <v>3</v>
      </c>
      <c r="F8286" s="4">
        <v>0</v>
      </c>
      <c r="G8286" s="3">
        <v>3430</v>
      </c>
      <c r="H8286" s="3">
        <v>66</v>
      </c>
      <c r="I8286" s="3">
        <v>1092</v>
      </c>
      <c r="J8286" s="3">
        <v>426</v>
      </c>
      <c r="K8286" s="3">
        <v>3596</v>
      </c>
      <c r="L8286" s="3">
        <v>114</v>
      </c>
      <c r="M8286" s="3">
        <v>1171</v>
      </c>
    </row>
    <row r="8287" spans="1:13" x14ac:dyDescent="0.25">
      <c r="A8287" s="1" t="str">
        <f>HYPERLINK("http://www.rosaceae.org/Prunus/Prunus_persica/p.persica_gdr_reftransV1_0044653","p.persica_gdr_reftransV1_0044653")</f>
        <v>p.persica_gdr_reftransV1_0044653</v>
      </c>
      <c r="B8287" s="3">
        <v>3540</v>
      </c>
      <c r="C8287" s="1" t="str">
        <f>HYPERLINK("http://www.uniprot.org/uniprot/TMVRN_NICGU","TMVRN_NICGU")</f>
        <v>TMVRN_NICGU</v>
      </c>
      <c r="D8287" t="s">
        <v>151</v>
      </c>
      <c r="E8287" s="3" t="s">
        <v>152</v>
      </c>
      <c r="F8287" s="4">
        <v>5.7200000000000003E-132</v>
      </c>
      <c r="G8287" s="3">
        <v>1127</v>
      </c>
      <c r="H8287" s="3">
        <v>37</v>
      </c>
      <c r="I8287" s="3">
        <v>918</v>
      </c>
      <c r="J8287" s="3">
        <v>110</v>
      </c>
      <c r="K8287" s="3">
        <v>2707</v>
      </c>
      <c r="L8287" s="3">
        <v>12</v>
      </c>
      <c r="M8287" s="3">
        <v>911</v>
      </c>
    </row>
    <row r="8288" spans="1:13" x14ac:dyDescent="0.25">
      <c r="A8288" s="1" t="str">
        <f>HYPERLINK("http://www.rosaceae.org/Prunus/Prunus_persica/p.persica_gdr_reftransV1_0044703","p.persica_gdr_reftransV1_0044703")</f>
        <v>p.persica_gdr_reftransV1_0044703</v>
      </c>
      <c r="B8288" s="3">
        <v>1152</v>
      </c>
      <c r="C8288" s="1" t="str">
        <f>HYPERLINK("http://www.uniprot.org/uniprot/PPP7_ARATH","PPP7_ARATH")</f>
        <v>PPP7_ARATH</v>
      </c>
      <c r="D8288" t="s">
        <v>3108</v>
      </c>
      <c r="E8288" s="3" t="s">
        <v>3</v>
      </c>
      <c r="F8288" s="4">
        <v>8.3699999999999999E-156</v>
      </c>
      <c r="G8288" s="3">
        <v>1163</v>
      </c>
      <c r="H8288" s="3">
        <v>69</v>
      </c>
      <c r="I8288" s="3">
        <v>314</v>
      </c>
      <c r="J8288" s="3">
        <v>216</v>
      </c>
      <c r="K8288" s="3">
        <v>1151</v>
      </c>
      <c r="L8288" s="3">
        <v>5</v>
      </c>
      <c r="M8288" s="3">
        <v>312</v>
      </c>
    </row>
    <row r="8289" spans="1:13" x14ac:dyDescent="0.25">
      <c r="A8289" s="1" t="str">
        <f>HYPERLINK("http://www.rosaceae.org/Prunus/Prunus_persica/p.persica_gdr_reftransV1_0044753","p.persica_gdr_reftransV1_0044753")</f>
        <v>p.persica_gdr_reftransV1_0044753</v>
      </c>
      <c r="B8289" s="3">
        <v>839</v>
      </c>
      <c r="C8289" s="1" t="str">
        <f>HYPERLINK("http://www.uniprot.org/uniprot/BH061_ARATH","BH061_ARATH")</f>
        <v>BH061_ARATH</v>
      </c>
      <c r="D8289" t="s">
        <v>6429</v>
      </c>
      <c r="E8289" s="3" t="s">
        <v>3</v>
      </c>
      <c r="F8289" s="4">
        <v>2.9499999999999999E-9</v>
      </c>
      <c r="G8289" s="3">
        <v>145</v>
      </c>
      <c r="H8289" s="3">
        <v>30</v>
      </c>
      <c r="I8289" s="3">
        <v>157</v>
      </c>
      <c r="J8289" s="3">
        <v>151</v>
      </c>
      <c r="K8289" s="3">
        <v>597</v>
      </c>
      <c r="L8289" s="3">
        <v>150</v>
      </c>
      <c r="M8289" s="3">
        <v>304</v>
      </c>
    </row>
    <row r="8290" spans="1:13" x14ac:dyDescent="0.25">
      <c r="A8290" s="1" t="str">
        <f>HYPERLINK("http://www.rosaceae.org/Prunus/Prunus_persica/p.persica_gdr_reftransV1_0044853","p.persica_gdr_reftransV1_0044853")</f>
        <v>p.persica_gdr_reftransV1_0044853</v>
      </c>
      <c r="B8290" s="3">
        <v>1130</v>
      </c>
      <c r="C8290" s="1" t="str">
        <f>HYPERLINK("http://www.uniprot.org/uniprot/GSTUH_ARATH","GSTUH_ARATH")</f>
        <v>GSTUH_ARATH</v>
      </c>
      <c r="D8290" t="s">
        <v>6430</v>
      </c>
      <c r="E8290" s="3" t="s">
        <v>3</v>
      </c>
      <c r="F8290" s="4">
        <v>1.5799999999999999E-97</v>
      </c>
      <c r="G8290" s="3">
        <v>758</v>
      </c>
      <c r="H8290" s="3">
        <v>68</v>
      </c>
      <c r="I8290" s="3">
        <v>224</v>
      </c>
      <c r="J8290" s="3">
        <v>242</v>
      </c>
      <c r="K8290" s="3">
        <v>910</v>
      </c>
      <c r="L8290" s="3">
        <v>1</v>
      </c>
      <c r="M8290" s="3">
        <v>224</v>
      </c>
    </row>
    <row r="8291" spans="1:13" x14ac:dyDescent="0.25">
      <c r="A8291" s="1" t="str">
        <f>HYPERLINK("http://www.rosaceae.org/Prunus/Prunus_persica/p.persica_gdr_reftransV1_0044903","p.persica_gdr_reftransV1_0044903")</f>
        <v>p.persica_gdr_reftransV1_0044903</v>
      </c>
      <c r="B8291" s="3">
        <v>881</v>
      </c>
      <c r="C8291" s="1" t="str">
        <f>HYPERLINK("http://www.uniprot.org/uniprot/RS18_ARATH","RS18_ARATH")</f>
        <v>RS18_ARATH</v>
      </c>
      <c r="D8291" t="s">
        <v>6431</v>
      </c>
      <c r="E8291" s="3" t="s">
        <v>3</v>
      </c>
      <c r="F8291" s="4">
        <v>1.7100000000000001E-93</v>
      </c>
      <c r="G8291" s="3">
        <v>716</v>
      </c>
      <c r="H8291" s="3">
        <v>98</v>
      </c>
      <c r="I8291" s="3">
        <v>152</v>
      </c>
      <c r="J8291" s="3">
        <v>160</v>
      </c>
      <c r="K8291" s="3">
        <v>615</v>
      </c>
      <c r="L8291" s="3">
        <v>1</v>
      </c>
      <c r="M8291" s="3">
        <v>152</v>
      </c>
    </row>
    <row r="8292" spans="1:13" x14ac:dyDescent="0.25">
      <c r="A8292" s="1" t="str">
        <f>HYPERLINK("http://www.rosaceae.org/Prunus/Prunus_persica/p.persica_gdr_reftransV1_0045103","p.persica_gdr_reftransV1_0045103")</f>
        <v>p.persica_gdr_reftransV1_0045103</v>
      </c>
      <c r="B8292" s="3">
        <v>389</v>
      </c>
      <c r="C8292" s="1" t="str">
        <f>HYPERLINK("http://www.uniprot.org/uniprot/PME28_ARATH","PME28_ARATH")</f>
        <v>PME28_ARATH</v>
      </c>
      <c r="D8292" t="s">
        <v>2062</v>
      </c>
      <c r="E8292" s="3" t="s">
        <v>3</v>
      </c>
      <c r="F8292" s="4">
        <v>3.4799999999999999E-39</v>
      </c>
      <c r="G8292" s="3">
        <v>362</v>
      </c>
      <c r="H8292" s="3">
        <v>52</v>
      </c>
      <c r="I8292" s="3">
        <v>128</v>
      </c>
      <c r="J8292" s="3">
        <v>5</v>
      </c>
      <c r="K8292" s="3">
        <v>388</v>
      </c>
      <c r="L8292" s="3">
        <v>48</v>
      </c>
      <c r="M8292" s="3">
        <v>175</v>
      </c>
    </row>
    <row r="8293" spans="1:13" x14ac:dyDescent="0.25">
      <c r="A8293" s="1" t="str">
        <f>HYPERLINK("http://www.rosaceae.org/Prunus/Prunus_persica/p.persica_gdr_reftransV1_0045153","p.persica_gdr_reftransV1_0045153")</f>
        <v>p.persica_gdr_reftransV1_0045153</v>
      </c>
      <c r="B8293" s="3">
        <v>1276</v>
      </c>
      <c r="C8293" s="1" t="str">
        <f>HYPERLINK("http://www.uniprot.org/uniprot/CDA7L_HUMAN","CDA7L_HUMAN")</f>
        <v>CDA7L_HUMAN</v>
      </c>
      <c r="D8293" t="s">
        <v>2614</v>
      </c>
      <c r="E8293" s="3" t="s">
        <v>28</v>
      </c>
      <c r="F8293" s="4">
        <v>9.6100000000000007E-22</v>
      </c>
      <c r="G8293" s="3">
        <v>249</v>
      </c>
      <c r="H8293" s="3">
        <v>50</v>
      </c>
      <c r="I8293" s="3">
        <v>98</v>
      </c>
      <c r="J8293" s="3">
        <v>500</v>
      </c>
      <c r="K8293" s="3">
        <v>787</v>
      </c>
      <c r="L8293" s="3">
        <v>346</v>
      </c>
      <c r="M8293" s="3">
        <v>443</v>
      </c>
    </row>
    <row r="8294" spans="1:13" x14ac:dyDescent="0.25">
      <c r="A8294" s="1" t="str">
        <f>HYPERLINK("http://www.rosaceae.org/Prunus/Prunus_persica/p.persica_gdr_reftransV1_0045253","p.persica_gdr_reftransV1_0045253")</f>
        <v>p.persica_gdr_reftransV1_0045253</v>
      </c>
      <c r="B8294" s="3">
        <v>2681</v>
      </c>
      <c r="C8294" s="1" t="str">
        <f>HYPERLINK("http://www.uniprot.org/uniprot/DHX15_ARATH","DHX15_ARATH")</f>
        <v>DHX15_ARATH</v>
      </c>
      <c r="D8294" t="s">
        <v>6432</v>
      </c>
      <c r="E8294" s="3" t="s">
        <v>3</v>
      </c>
      <c r="F8294" s="4">
        <v>0</v>
      </c>
      <c r="G8294" s="3">
        <v>2339</v>
      </c>
      <c r="H8294" s="3">
        <v>87</v>
      </c>
      <c r="I8294" s="3">
        <v>528</v>
      </c>
      <c r="J8294" s="3">
        <v>931</v>
      </c>
      <c r="K8294" s="3">
        <v>2514</v>
      </c>
      <c r="L8294" s="3">
        <v>1</v>
      </c>
      <c r="M8294" s="3">
        <v>526</v>
      </c>
    </row>
    <row r="8295" spans="1:13" x14ac:dyDescent="0.25">
      <c r="A8295" s="1" t="str">
        <f>HYPERLINK("http://www.rosaceae.org/Prunus/Prunus_persica/p.persica_gdr_reftransV1_0045303","p.persica_gdr_reftransV1_0045303")</f>
        <v>p.persica_gdr_reftransV1_0045303</v>
      </c>
      <c r="B8295" s="3">
        <v>1292</v>
      </c>
      <c r="C8295" s="1" t="str">
        <f>HYPERLINK("http://www.uniprot.org/uniprot/ERF80_ARATH","ERF80_ARATH")</f>
        <v>ERF80_ARATH</v>
      </c>
      <c r="D8295" t="s">
        <v>6433</v>
      </c>
      <c r="E8295" s="3" t="s">
        <v>3</v>
      </c>
      <c r="F8295" s="4">
        <v>6.1699999999999998E-28</v>
      </c>
      <c r="G8295" s="3">
        <v>284</v>
      </c>
      <c r="H8295" s="3">
        <v>74</v>
      </c>
      <c r="I8295" s="3">
        <v>93</v>
      </c>
      <c r="J8295" s="3">
        <v>880</v>
      </c>
      <c r="K8295" s="3">
        <v>1131</v>
      </c>
      <c r="L8295" s="3">
        <v>1</v>
      </c>
      <c r="M8295" s="3">
        <v>93</v>
      </c>
    </row>
    <row r="8296" spans="1:13" x14ac:dyDescent="0.25">
      <c r="A8296" s="1" t="str">
        <f>HYPERLINK("http://www.rosaceae.org/Prunus/Prunus_persica/p.persica_gdr_reftransV1_0045353","p.persica_gdr_reftransV1_0045353")</f>
        <v>p.persica_gdr_reftransV1_0045353</v>
      </c>
      <c r="B8296" s="3">
        <v>1071</v>
      </c>
      <c r="C8296" s="1" t="str">
        <f>HYPERLINK("http://www.uniprot.org/uniprot/ANTL2_ARATH","ANTL2_ARATH")</f>
        <v>ANTL2_ARATH</v>
      </c>
      <c r="D8296" t="s">
        <v>6434</v>
      </c>
      <c r="E8296" s="3" t="s">
        <v>3</v>
      </c>
      <c r="F8296" s="4">
        <v>4.45E-95</v>
      </c>
      <c r="G8296" s="3">
        <v>759</v>
      </c>
      <c r="H8296" s="3">
        <v>64</v>
      </c>
      <c r="I8296" s="3">
        <v>253</v>
      </c>
      <c r="J8296" s="3">
        <v>242</v>
      </c>
      <c r="K8296" s="3">
        <v>946</v>
      </c>
      <c r="L8296" s="3">
        <v>3</v>
      </c>
      <c r="M8296" s="3">
        <v>252</v>
      </c>
    </row>
    <row r="8297" spans="1:13" x14ac:dyDescent="0.25">
      <c r="A8297" s="1" t="str">
        <f>HYPERLINK("http://www.rosaceae.org/Prunus/Prunus_persica/p.persica_gdr_reftransV1_0045403","p.persica_gdr_reftransV1_0045403")</f>
        <v>p.persica_gdr_reftransV1_0045403</v>
      </c>
      <c r="B8297" s="3">
        <v>1345</v>
      </c>
      <c r="C8297" s="1" t="str">
        <f>HYPERLINK("http://www.uniprot.org/uniprot/SY111_ARATH","SY111_ARATH")</f>
        <v>SY111_ARATH</v>
      </c>
      <c r="D8297" t="s">
        <v>6435</v>
      </c>
      <c r="E8297" s="3" t="s">
        <v>3</v>
      </c>
      <c r="F8297" s="4">
        <v>2.9499999999999998E-135</v>
      </c>
      <c r="G8297" s="3">
        <v>1024</v>
      </c>
      <c r="H8297" s="3">
        <v>67</v>
      </c>
      <c r="I8297" s="3">
        <v>318</v>
      </c>
      <c r="J8297" s="3">
        <v>178</v>
      </c>
      <c r="K8297" s="3">
        <v>1125</v>
      </c>
      <c r="L8297" s="3">
        <v>1</v>
      </c>
      <c r="M8297" s="3">
        <v>310</v>
      </c>
    </row>
    <row r="8298" spans="1:13" x14ac:dyDescent="0.25">
      <c r="A8298" s="1" t="str">
        <f>HYPERLINK("http://www.rosaceae.org/Prunus/Prunus_persica/p.persica_gdr_reftransV1_0045453","p.persica_gdr_reftransV1_0045453")</f>
        <v>p.persica_gdr_reftransV1_0045453</v>
      </c>
      <c r="B8298" s="3">
        <v>928</v>
      </c>
      <c r="C8298" s="1" t="str">
        <f>HYPERLINK("http://www.uniprot.org/uniprot/TCX2_ARATH","TCX2_ARATH")</f>
        <v>TCX2_ARATH</v>
      </c>
      <c r="D8298" t="s">
        <v>3046</v>
      </c>
      <c r="E8298" s="3" t="s">
        <v>3</v>
      </c>
      <c r="F8298" s="4">
        <v>1.2399999999999999E-43</v>
      </c>
      <c r="G8298" s="3">
        <v>410</v>
      </c>
      <c r="H8298" s="3">
        <v>41</v>
      </c>
      <c r="I8298" s="3">
        <v>257</v>
      </c>
      <c r="J8298" s="3">
        <v>260</v>
      </c>
      <c r="K8298" s="3">
        <v>928</v>
      </c>
      <c r="L8298" s="3">
        <v>415</v>
      </c>
      <c r="M8298" s="3">
        <v>671</v>
      </c>
    </row>
    <row r="8299" spans="1:13" x14ac:dyDescent="0.25">
      <c r="A8299" s="1" t="str">
        <f>HYPERLINK("http://www.rosaceae.org/Prunus/Prunus_persica/p.persica_gdr_reftransV1_0045503","p.persica_gdr_reftransV1_0045503")</f>
        <v>p.persica_gdr_reftransV1_0045503</v>
      </c>
      <c r="B8299" s="3">
        <v>2258</v>
      </c>
      <c r="C8299" s="1" t="str">
        <f>HYPERLINK("http://www.uniprot.org/uniprot/INVB_ARATH","INVB_ARATH")</f>
        <v>INVB_ARATH</v>
      </c>
      <c r="D8299" t="s">
        <v>6436</v>
      </c>
      <c r="E8299" s="3" t="s">
        <v>3</v>
      </c>
      <c r="F8299" s="4">
        <v>0</v>
      </c>
      <c r="G8299" s="3">
        <v>2603</v>
      </c>
      <c r="H8299" s="3">
        <v>85</v>
      </c>
      <c r="I8299" s="3">
        <v>567</v>
      </c>
      <c r="J8299" s="3">
        <v>338</v>
      </c>
      <c r="K8299" s="3">
        <v>2032</v>
      </c>
      <c r="L8299" s="3">
        <v>9</v>
      </c>
      <c r="M8299" s="3">
        <v>571</v>
      </c>
    </row>
    <row r="8300" spans="1:13" x14ac:dyDescent="0.25">
      <c r="A8300" s="1" t="str">
        <f>HYPERLINK("http://www.rosaceae.org/Prunus/Prunus_persica/p.persica_gdr_reftransV1_0045703","p.persica_gdr_reftransV1_0045703")</f>
        <v>p.persica_gdr_reftransV1_0045703</v>
      </c>
      <c r="B8300" s="3">
        <v>3165</v>
      </c>
      <c r="C8300" s="1" t="str">
        <f>HYPERLINK("http://www.uniprot.org/uniprot/Y2296_ARATH","Y2296_ARATH")</f>
        <v>Y2296_ARATH</v>
      </c>
      <c r="D8300" t="s">
        <v>5961</v>
      </c>
      <c r="E8300" s="3" t="s">
        <v>3</v>
      </c>
      <c r="F8300" s="4">
        <v>0</v>
      </c>
      <c r="G8300" s="3">
        <v>1832</v>
      </c>
      <c r="H8300" s="3">
        <v>75</v>
      </c>
      <c r="I8300" s="3">
        <v>493</v>
      </c>
      <c r="J8300" s="3">
        <v>1354</v>
      </c>
      <c r="K8300" s="3">
        <v>2823</v>
      </c>
      <c r="L8300" s="3">
        <v>1</v>
      </c>
      <c r="M8300" s="3">
        <v>485</v>
      </c>
    </row>
    <row r="8301" spans="1:13" x14ac:dyDescent="0.25">
      <c r="A8301" s="1" t="str">
        <f>HYPERLINK("http://www.rosaceae.org/Prunus/Prunus_persica/p.persica_gdr_reftransV1_0045953","p.persica_gdr_reftransV1_0045953")</f>
        <v>p.persica_gdr_reftransV1_0045953</v>
      </c>
      <c r="B8301" s="3">
        <v>2050</v>
      </c>
      <c r="C8301" s="1" t="str">
        <f>HYPERLINK("http://www.uniprot.org/uniprot/CH62_CUCMA","CH62_CUCMA")</f>
        <v>CH62_CUCMA</v>
      </c>
      <c r="D8301" t="s">
        <v>1718</v>
      </c>
      <c r="E8301" s="3" t="s">
        <v>1511</v>
      </c>
      <c r="F8301" s="4">
        <v>0</v>
      </c>
      <c r="G8301" s="3">
        <v>2674</v>
      </c>
      <c r="H8301" s="3">
        <v>91</v>
      </c>
      <c r="I8301" s="3">
        <v>565</v>
      </c>
      <c r="J8301" s="3">
        <v>135</v>
      </c>
      <c r="K8301" s="3">
        <v>1826</v>
      </c>
      <c r="L8301" s="3">
        <v>1</v>
      </c>
      <c r="M8301" s="3">
        <v>565</v>
      </c>
    </row>
    <row r="8302" spans="1:13" x14ac:dyDescent="0.25">
      <c r="A8302" s="1" t="str">
        <f>HYPERLINK("http://www.rosaceae.org/Prunus/Prunus_persica/p.persica_gdr_reftransV1_0046053","p.persica_gdr_reftransV1_0046053")</f>
        <v>p.persica_gdr_reftransV1_0046053</v>
      </c>
      <c r="B8302" s="3">
        <v>855</v>
      </c>
      <c r="C8302" s="1" t="str">
        <f>HYPERLINK("http://www.uniprot.org/uniprot/RS15_ORYSJ","RS15_ORYSJ")</f>
        <v>RS15_ORYSJ</v>
      </c>
      <c r="D8302" t="s">
        <v>924</v>
      </c>
      <c r="E8302" s="3" t="s">
        <v>38</v>
      </c>
      <c r="F8302" s="4">
        <v>9.9099999999999997E-90</v>
      </c>
      <c r="G8302" s="3">
        <v>690</v>
      </c>
      <c r="H8302" s="3">
        <v>93</v>
      </c>
      <c r="I8302" s="3">
        <v>139</v>
      </c>
      <c r="J8302" s="3">
        <v>248</v>
      </c>
      <c r="K8302" s="3">
        <v>664</v>
      </c>
      <c r="L8302" s="3">
        <v>16</v>
      </c>
      <c r="M8302" s="3">
        <v>154</v>
      </c>
    </row>
    <row r="8303" spans="1:13" x14ac:dyDescent="0.25">
      <c r="A8303" s="1" t="str">
        <f>HYPERLINK("http://www.rosaceae.org/Prunus/Prunus_persica/p.persica_gdr_reftransV1_0046103","p.persica_gdr_reftransV1_0046103")</f>
        <v>p.persica_gdr_reftransV1_0046103</v>
      </c>
      <c r="B8303" s="3">
        <v>1735</v>
      </c>
      <c r="C8303" s="1" t="str">
        <f>HYPERLINK("http://www.uniprot.org/uniprot/AATF_CHICK","AATF_CHICK")</f>
        <v>AATF_CHICK</v>
      </c>
      <c r="D8303" t="s">
        <v>6437</v>
      </c>
      <c r="E8303" s="3" t="s">
        <v>1278</v>
      </c>
      <c r="F8303" s="4">
        <v>4.77E-27</v>
      </c>
      <c r="G8303" s="3">
        <v>298</v>
      </c>
      <c r="H8303" s="3">
        <v>31</v>
      </c>
      <c r="I8303" s="3">
        <v>320</v>
      </c>
      <c r="J8303" s="3">
        <v>299</v>
      </c>
      <c r="K8303" s="3">
        <v>1147</v>
      </c>
      <c r="L8303" s="3">
        <v>216</v>
      </c>
      <c r="M8303" s="3">
        <v>527</v>
      </c>
    </row>
    <row r="8304" spans="1:13" x14ac:dyDescent="0.25">
      <c r="A8304" s="1" t="str">
        <f>HYPERLINK("http://www.rosaceae.org/Prunus/Prunus_persica/p.persica_gdr_reftransV1_0046153","p.persica_gdr_reftransV1_0046153")</f>
        <v>p.persica_gdr_reftransV1_0046153</v>
      </c>
      <c r="B8304" s="3">
        <v>2728</v>
      </c>
      <c r="C8304" s="1" t="str">
        <f>HYPERLINK("http://www.uniprot.org/uniprot/MSH2_ARATH","MSH2_ARATH")</f>
        <v>MSH2_ARATH</v>
      </c>
      <c r="D8304" t="s">
        <v>6438</v>
      </c>
      <c r="E8304" s="3" t="s">
        <v>3</v>
      </c>
      <c r="F8304" s="4">
        <v>0</v>
      </c>
      <c r="G8304" s="3">
        <v>2159</v>
      </c>
      <c r="H8304" s="3">
        <v>74</v>
      </c>
      <c r="I8304" s="3">
        <v>588</v>
      </c>
      <c r="J8304" s="3">
        <v>922</v>
      </c>
      <c r="K8304" s="3">
        <v>2685</v>
      </c>
      <c r="L8304" s="3">
        <v>1</v>
      </c>
      <c r="M8304" s="3">
        <v>588</v>
      </c>
    </row>
    <row r="8305" spans="1:13" x14ac:dyDescent="0.25">
      <c r="A8305" s="1" t="str">
        <f>HYPERLINK("http://www.rosaceae.org/Prunus/Prunus_persica/p.persica_gdr_reftransV1_0046303","p.persica_gdr_reftransV1_0046303")</f>
        <v>p.persica_gdr_reftransV1_0046303</v>
      </c>
      <c r="B8305" s="3">
        <v>1940</v>
      </c>
      <c r="C8305" s="1" t="str">
        <f>HYPERLINK("http://www.uniprot.org/uniprot/GLGL1_ARATH","GLGL1_ARATH")</f>
        <v>GLGL1_ARATH</v>
      </c>
      <c r="D8305" t="s">
        <v>5150</v>
      </c>
      <c r="E8305" s="3" t="s">
        <v>3</v>
      </c>
      <c r="F8305" s="4">
        <v>0</v>
      </c>
      <c r="G8305" s="3">
        <v>2241</v>
      </c>
      <c r="H8305" s="3">
        <v>79</v>
      </c>
      <c r="I8305" s="3">
        <v>530</v>
      </c>
      <c r="J8305" s="3">
        <v>254</v>
      </c>
      <c r="K8305" s="3">
        <v>1834</v>
      </c>
      <c r="L8305" s="3">
        <v>1</v>
      </c>
      <c r="M8305" s="3">
        <v>522</v>
      </c>
    </row>
    <row r="8306" spans="1:13" x14ac:dyDescent="0.25">
      <c r="A8306" s="1" t="str">
        <f>HYPERLINK("http://www.rosaceae.org/Prunus/Prunus_persica/p.persica_gdr_reftransV1_0046353","p.persica_gdr_reftransV1_0046353")</f>
        <v>p.persica_gdr_reftransV1_0046353</v>
      </c>
      <c r="B8306" s="3">
        <v>2165</v>
      </c>
      <c r="C8306" s="1" t="str">
        <f>HYPERLINK("http://www.uniprot.org/uniprot/PERK1_ARATH","PERK1_ARATH")</f>
        <v>PERK1_ARATH</v>
      </c>
      <c r="D8306" t="s">
        <v>5120</v>
      </c>
      <c r="E8306" s="3" t="s">
        <v>3</v>
      </c>
      <c r="F8306" s="4">
        <v>0</v>
      </c>
      <c r="G8306" s="3">
        <v>1469</v>
      </c>
      <c r="H8306" s="3">
        <v>71</v>
      </c>
      <c r="I8306" s="3">
        <v>398</v>
      </c>
      <c r="J8306" s="3">
        <v>601</v>
      </c>
      <c r="K8306" s="3">
        <v>1788</v>
      </c>
      <c r="L8306" s="3">
        <v>257</v>
      </c>
      <c r="M8306" s="3">
        <v>651</v>
      </c>
    </row>
    <row r="8307" spans="1:13" x14ac:dyDescent="0.25">
      <c r="A8307" s="1" t="str">
        <f>HYPERLINK("http://www.rosaceae.org/Prunus/Prunus_persica/p.persica_gdr_reftransV1_0046453","p.persica_gdr_reftransV1_0046453")</f>
        <v>p.persica_gdr_reftransV1_0046453</v>
      </c>
      <c r="B8307" s="3">
        <v>539</v>
      </c>
      <c r="C8307" s="1" t="str">
        <f>HYPERLINK("http://www.uniprot.org/uniprot/DRL21_ARATH","DRL21_ARATH")</f>
        <v>DRL21_ARATH</v>
      </c>
      <c r="D8307" t="s">
        <v>3610</v>
      </c>
      <c r="E8307" s="3" t="s">
        <v>3</v>
      </c>
      <c r="F8307" s="4">
        <v>1.09E-14</v>
      </c>
      <c r="G8307" s="3">
        <v>186</v>
      </c>
      <c r="H8307" s="3">
        <v>39</v>
      </c>
      <c r="I8307" s="3">
        <v>96</v>
      </c>
      <c r="J8307" s="3">
        <v>255</v>
      </c>
      <c r="K8307" s="3">
        <v>539</v>
      </c>
      <c r="L8307" s="3">
        <v>805</v>
      </c>
      <c r="M8307" s="3">
        <v>899</v>
      </c>
    </row>
    <row r="8308" spans="1:13" x14ac:dyDescent="0.25">
      <c r="A8308" s="1" t="str">
        <f>HYPERLINK("http://www.rosaceae.org/Prunus/Prunus_persica/p.persica_gdr_reftransV1_0046503","p.persica_gdr_reftransV1_0046503")</f>
        <v>p.persica_gdr_reftransV1_0046503</v>
      </c>
      <c r="B8308" s="3">
        <v>1642</v>
      </c>
      <c r="C8308" s="1" t="str">
        <f>HYPERLINK("http://www.uniprot.org/uniprot/YCF39_CYAPA","YCF39_CYAPA")</f>
        <v>YCF39_CYAPA</v>
      </c>
      <c r="D8308" t="s">
        <v>6439</v>
      </c>
      <c r="E8308" s="3" t="s">
        <v>6440</v>
      </c>
      <c r="F8308" s="4">
        <v>2.5999999999999999E-110</v>
      </c>
      <c r="G8308" s="3">
        <v>868</v>
      </c>
      <c r="H8308" s="3">
        <v>50</v>
      </c>
      <c r="I8308" s="3">
        <v>320</v>
      </c>
      <c r="J8308" s="3">
        <v>355</v>
      </c>
      <c r="K8308" s="3">
        <v>1296</v>
      </c>
      <c r="L8308" s="3">
        <v>2</v>
      </c>
      <c r="M8308" s="3">
        <v>320</v>
      </c>
    </row>
    <row r="8309" spans="1:13" x14ac:dyDescent="0.25">
      <c r="A8309" s="1" t="str">
        <f>HYPERLINK("http://www.rosaceae.org/Prunus/Prunus_persica/p.persica_gdr_reftransV1_0046553","p.persica_gdr_reftransV1_0046553")</f>
        <v>p.persica_gdr_reftransV1_0046553</v>
      </c>
      <c r="B8309" s="3">
        <v>1127</v>
      </c>
      <c r="C8309" s="1" t="str">
        <f>HYPERLINK("http://www.uniprot.org/uniprot/CHUP1_ARATH","CHUP1_ARATH")</f>
        <v>CHUP1_ARATH</v>
      </c>
      <c r="D8309" t="s">
        <v>3256</v>
      </c>
      <c r="E8309" s="3" t="s">
        <v>3</v>
      </c>
      <c r="F8309" s="4">
        <v>2.15E-23</v>
      </c>
      <c r="G8309" s="3">
        <v>264</v>
      </c>
      <c r="H8309" s="3">
        <v>58</v>
      </c>
      <c r="I8309" s="3">
        <v>86</v>
      </c>
      <c r="J8309" s="3">
        <v>869</v>
      </c>
      <c r="K8309" s="3">
        <v>1126</v>
      </c>
      <c r="L8309" s="3">
        <v>276</v>
      </c>
      <c r="M8309" s="3">
        <v>361</v>
      </c>
    </row>
    <row r="8310" spans="1:13" x14ac:dyDescent="0.25">
      <c r="A8310" s="1" t="str">
        <f>HYPERLINK("http://www.rosaceae.org/Prunus/Prunus_persica/p.persica_gdr_reftransV1_0046653","p.persica_gdr_reftransV1_0046653")</f>
        <v>p.persica_gdr_reftransV1_0046653</v>
      </c>
      <c r="B8310" s="3">
        <v>1938</v>
      </c>
      <c r="C8310" s="1" t="str">
        <f>HYPERLINK("http://www.uniprot.org/uniprot/TIC40_PEA","TIC40_PEA")</f>
        <v>TIC40_PEA</v>
      </c>
      <c r="D8310" t="s">
        <v>6441</v>
      </c>
      <c r="E8310" s="3" t="s">
        <v>60</v>
      </c>
      <c r="F8310" s="4">
        <v>4.9899999999999996E-127</v>
      </c>
      <c r="G8310" s="3">
        <v>999</v>
      </c>
      <c r="H8310" s="3">
        <v>57</v>
      </c>
      <c r="I8310" s="3">
        <v>430</v>
      </c>
      <c r="J8310" s="3">
        <v>490</v>
      </c>
      <c r="K8310" s="3">
        <v>1743</v>
      </c>
      <c r="L8310" s="3">
        <v>34</v>
      </c>
      <c r="M8310" s="3">
        <v>436</v>
      </c>
    </row>
    <row r="8311" spans="1:13" x14ac:dyDescent="0.25">
      <c r="A8311" s="1" t="str">
        <f>HYPERLINK("http://www.rosaceae.org/Prunus/Prunus_persica/p.persica_gdr_reftransV1_0046703","p.persica_gdr_reftransV1_0046703")</f>
        <v>p.persica_gdr_reftransV1_0046703</v>
      </c>
      <c r="B8311" s="3">
        <v>1262</v>
      </c>
      <c r="C8311" s="1" t="str">
        <f>HYPERLINK("http://www.uniprot.org/uniprot/DNJH_CUCSA","DNJH_CUCSA")</f>
        <v>DNJH_CUCSA</v>
      </c>
      <c r="D8311" t="s">
        <v>6442</v>
      </c>
      <c r="E8311" s="3" t="s">
        <v>1149</v>
      </c>
      <c r="F8311" s="4">
        <v>2.6600000000000002E-171</v>
      </c>
      <c r="G8311" s="3">
        <v>1269</v>
      </c>
      <c r="H8311" s="3">
        <v>95</v>
      </c>
      <c r="I8311" s="3">
        <v>311</v>
      </c>
      <c r="J8311" s="3">
        <v>108</v>
      </c>
      <c r="K8311" s="3">
        <v>1040</v>
      </c>
      <c r="L8311" s="3">
        <v>1</v>
      </c>
      <c r="M8311" s="3">
        <v>309</v>
      </c>
    </row>
    <row r="8312" spans="1:13" x14ac:dyDescent="0.25">
      <c r="A8312" s="1" t="str">
        <f>HYPERLINK("http://www.rosaceae.org/Prunus/Prunus_persica/p.persica_gdr_reftransV1_0046753","p.persica_gdr_reftransV1_0046753")</f>
        <v>p.persica_gdr_reftransV1_0046753</v>
      </c>
      <c r="B8312" s="3">
        <v>862</v>
      </c>
      <c r="C8312" s="1" t="str">
        <f>HYPERLINK("http://www.uniprot.org/uniprot/RGP1_ORYSJ","RGP1_ORYSJ")</f>
        <v>RGP1_ORYSJ</v>
      </c>
      <c r="D8312" t="s">
        <v>6443</v>
      </c>
      <c r="E8312" s="3" t="s">
        <v>38</v>
      </c>
      <c r="F8312" s="4">
        <v>1.3399999999999999E-73</v>
      </c>
      <c r="G8312" s="3">
        <v>602</v>
      </c>
      <c r="H8312" s="3">
        <v>77</v>
      </c>
      <c r="I8312" s="3">
        <v>150</v>
      </c>
      <c r="J8312" s="3">
        <v>316</v>
      </c>
      <c r="K8312" s="3">
        <v>753</v>
      </c>
      <c r="L8312" s="3">
        <v>1</v>
      </c>
      <c r="M8312" s="3">
        <v>145</v>
      </c>
    </row>
    <row r="8313" spans="1:13" x14ac:dyDescent="0.25">
      <c r="A8313" s="1" t="str">
        <f>HYPERLINK("http://www.rosaceae.org/Prunus/Prunus_persica/p.persica_gdr_reftransV1_0046803","p.persica_gdr_reftransV1_0046803")</f>
        <v>p.persica_gdr_reftransV1_0046803</v>
      </c>
      <c r="B8313" s="3">
        <v>315</v>
      </c>
      <c r="C8313" s="1" t="str">
        <f>HYPERLINK("http://www.uniprot.org/uniprot/RPA1_SCHPO","RPA1_SCHPO")</f>
        <v>RPA1_SCHPO</v>
      </c>
      <c r="D8313" t="s">
        <v>6444</v>
      </c>
      <c r="E8313" s="3" t="s">
        <v>464</v>
      </c>
      <c r="F8313" s="4">
        <v>3.8400000000000002E-31</v>
      </c>
      <c r="G8313" s="3">
        <v>304</v>
      </c>
      <c r="H8313" s="3">
        <v>72</v>
      </c>
      <c r="I8313" s="3">
        <v>71</v>
      </c>
      <c r="J8313" s="3">
        <v>101</v>
      </c>
      <c r="K8313" s="3">
        <v>313</v>
      </c>
      <c r="L8313" s="3">
        <v>591</v>
      </c>
      <c r="M8313" s="3">
        <v>661</v>
      </c>
    </row>
    <row r="8314" spans="1:13" x14ac:dyDescent="0.25">
      <c r="A8314" s="1" t="str">
        <f>HYPERLINK("http://www.rosaceae.org/Prunus/Prunus_persica/p.persica_gdr_reftransV1_0046903","p.persica_gdr_reftransV1_0046903")</f>
        <v>p.persica_gdr_reftransV1_0046903</v>
      </c>
      <c r="B8314" s="3">
        <v>614</v>
      </c>
      <c r="C8314" s="1" t="str">
        <f>HYPERLINK("http://www.uniprot.org/uniprot/TATB_PEA","TATB_PEA")</f>
        <v>TATB_PEA</v>
      </c>
      <c r="D8314" t="s">
        <v>6445</v>
      </c>
      <c r="E8314" s="3" t="s">
        <v>60</v>
      </c>
      <c r="F8314" s="4">
        <v>9.1899999999999994E-12</v>
      </c>
      <c r="G8314" s="3">
        <v>158</v>
      </c>
      <c r="H8314" s="3">
        <v>58</v>
      </c>
      <c r="I8314" s="3">
        <v>69</v>
      </c>
      <c r="J8314" s="3">
        <v>286</v>
      </c>
      <c r="K8314" s="3">
        <v>492</v>
      </c>
      <c r="L8314" s="3">
        <v>189</v>
      </c>
      <c r="M8314" s="3">
        <v>255</v>
      </c>
    </row>
    <row r="8315" spans="1:13" x14ac:dyDescent="0.25">
      <c r="A8315" s="1" t="str">
        <f>HYPERLINK("http://www.rosaceae.org/Prunus/Prunus_persica/p.persica_gdr_reftransV1_0047003","p.persica_gdr_reftransV1_0047003")</f>
        <v>p.persica_gdr_reftransV1_0047003</v>
      </c>
      <c r="B8315" s="3">
        <v>778</v>
      </c>
      <c r="C8315" s="1" t="str">
        <f>HYPERLINK("http://www.uniprot.org/uniprot/CSE_ARATH","CSE_ARATH")</f>
        <v>CSE_ARATH</v>
      </c>
      <c r="D8315" t="s">
        <v>584</v>
      </c>
      <c r="E8315" s="3" t="s">
        <v>3</v>
      </c>
      <c r="F8315" s="4">
        <v>1.05E-22</v>
      </c>
      <c r="G8315" s="3">
        <v>245</v>
      </c>
      <c r="H8315" s="3">
        <v>39</v>
      </c>
      <c r="I8315" s="3">
        <v>128</v>
      </c>
      <c r="J8315" s="3">
        <v>2</v>
      </c>
      <c r="K8315" s="3">
        <v>382</v>
      </c>
      <c r="L8315" s="3">
        <v>57</v>
      </c>
      <c r="M8315" s="3">
        <v>183</v>
      </c>
    </row>
    <row r="8316" spans="1:13" x14ac:dyDescent="0.25">
      <c r="A8316" s="1" t="str">
        <f>HYPERLINK("http://www.rosaceae.org/Prunus/Prunus_persica/p.persica_gdr_reftransV1_0047103","p.persica_gdr_reftransV1_0047103")</f>
        <v>p.persica_gdr_reftransV1_0047103</v>
      </c>
      <c r="B8316" s="3">
        <v>1245</v>
      </c>
      <c r="C8316" s="1" t="str">
        <f>HYPERLINK("http://www.uniprot.org/uniprot/YABD_BACSU","YABD_BACSU")</f>
        <v>YABD_BACSU</v>
      </c>
      <c r="D8316" t="s">
        <v>6446</v>
      </c>
      <c r="E8316" s="3" t="s">
        <v>1630</v>
      </c>
      <c r="F8316" s="4">
        <v>1.8099999999999999E-20</v>
      </c>
      <c r="G8316" s="3">
        <v>231</v>
      </c>
      <c r="H8316" s="3">
        <v>32</v>
      </c>
      <c r="I8316" s="3">
        <v>204</v>
      </c>
      <c r="J8316" s="3">
        <v>182</v>
      </c>
      <c r="K8316" s="3">
        <v>793</v>
      </c>
      <c r="L8316" s="3">
        <v>87</v>
      </c>
      <c r="M8316" s="3">
        <v>252</v>
      </c>
    </row>
    <row r="8317" spans="1:13" x14ac:dyDescent="0.25">
      <c r="A8317" s="1" t="str">
        <f>HYPERLINK("http://www.rosaceae.org/Prunus/Prunus_persica/p.persica_gdr_reftransV1_0047203","p.persica_gdr_reftransV1_0047203")</f>
        <v>p.persica_gdr_reftransV1_0047203</v>
      </c>
      <c r="B8317" s="3">
        <v>1349</v>
      </c>
      <c r="C8317" s="1" t="str">
        <f>HYPERLINK("http://www.uniprot.org/uniprot/PLSP1_ARATH","PLSP1_ARATH")</f>
        <v>PLSP1_ARATH</v>
      </c>
      <c r="D8317" t="s">
        <v>249</v>
      </c>
      <c r="E8317" s="3" t="s">
        <v>3</v>
      </c>
      <c r="F8317" s="4">
        <v>1.06E-119</v>
      </c>
      <c r="G8317" s="3">
        <v>919</v>
      </c>
      <c r="H8317" s="3">
        <v>75</v>
      </c>
      <c r="I8317" s="3">
        <v>237</v>
      </c>
      <c r="J8317" s="3">
        <v>316</v>
      </c>
      <c r="K8317" s="3">
        <v>1026</v>
      </c>
      <c r="L8317" s="3">
        <v>59</v>
      </c>
      <c r="M8317" s="3">
        <v>291</v>
      </c>
    </row>
    <row r="8318" spans="1:13" x14ac:dyDescent="0.25">
      <c r="A8318" s="1" t="str">
        <f>HYPERLINK("http://www.rosaceae.org/Prunus/Prunus_persica/p.persica_gdr_reftransV1_0047303","p.persica_gdr_reftransV1_0047303")</f>
        <v>p.persica_gdr_reftransV1_0047303</v>
      </c>
      <c r="B8318" s="3">
        <v>1294</v>
      </c>
      <c r="C8318" s="1" t="str">
        <f>HYPERLINK("http://www.uniprot.org/uniprot/OPR2_ARATH","OPR2_ARATH")</f>
        <v>OPR2_ARATH</v>
      </c>
      <c r="D8318" t="s">
        <v>6447</v>
      </c>
      <c r="E8318" s="3" t="s">
        <v>3</v>
      </c>
      <c r="F8318" s="4">
        <v>0</v>
      </c>
      <c r="G8318" s="3">
        <v>1486</v>
      </c>
      <c r="H8318" s="3">
        <v>80</v>
      </c>
      <c r="I8318" s="3">
        <v>337</v>
      </c>
      <c r="J8318" s="3">
        <v>2</v>
      </c>
      <c r="K8318" s="3">
        <v>1000</v>
      </c>
      <c r="L8318" s="3">
        <v>38</v>
      </c>
      <c r="M8318" s="3">
        <v>374</v>
      </c>
    </row>
    <row r="8319" spans="1:13" x14ac:dyDescent="0.25">
      <c r="A8319" s="1" t="str">
        <f>HYPERLINK("http://www.rosaceae.org/Prunus/Prunus_persica/p.persica_gdr_reftransV1_0047353","p.persica_gdr_reftransV1_0047353")</f>
        <v>p.persica_gdr_reftransV1_0047353</v>
      </c>
      <c r="B8319" s="3">
        <v>1668</v>
      </c>
      <c r="C8319" s="1" t="str">
        <f>HYPERLINK("http://www.uniprot.org/uniprot/TBC13_HUMAN","TBC13_HUMAN")</f>
        <v>TBC13_HUMAN</v>
      </c>
      <c r="D8319" t="s">
        <v>6448</v>
      </c>
      <c r="E8319" s="3" t="s">
        <v>28</v>
      </c>
      <c r="F8319" s="4">
        <v>3.6E-62</v>
      </c>
      <c r="G8319" s="3">
        <v>529</v>
      </c>
      <c r="H8319" s="3">
        <v>34</v>
      </c>
      <c r="I8319" s="3">
        <v>352</v>
      </c>
      <c r="J8319" s="3">
        <v>369</v>
      </c>
      <c r="K8319" s="3">
        <v>1244</v>
      </c>
      <c r="L8319" s="3">
        <v>10</v>
      </c>
      <c r="M8319" s="3">
        <v>343</v>
      </c>
    </row>
    <row r="8320" spans="1:13" x14ac:dyDescent="0.25">
      <c r="A8320" s="1" t="str">
        <f>HYPERLINK("http://www.rosaceae.org/Prunus/Prunus_persica/p.persica_gdr_reftransV1_0047553","p.persica_gdr_reftransV1_0047553")</f>
        <v>p.persica_gdr_reftransV1_0047553</v>
      </c>
      <c r="B8320" s="3">
        <v>1908</v>
      </c>
      <c r="C8320" s="1" t="str">
        <f>HYPERLINK("http://www.uniprot.org/uniprot/PTBP1_ARATH","PTBP1_ARATH")</f>
        <v>PTBP1_ARATH</v>
      </c>
      <c r="D8320" t="s">
        <v>6449</v>
      </c>
      <c r="E8320" s="3" t="s">
        <v>3</v>
      </c>
      <c r="F8320" s="4">
        <v>1.3300000000000001E-174</v>
      </c>
      <c r="G8320" s="3">
        <v>999</v>
      </c>
      <c r="H8320" s="3">
        <v>84</v>
      </c>
      <c r="I8320" s="3">
        <v>218</v>
      </c>
      <c r="J8320" s="3">
        <v>615</v>
      </c>
      <c r="K8320" s="3">
        <v>1268</v>
      </c>
      <c r="L8320" s="3">
        <v>132</v>
      </c>
      <c r="M8320" s="3">
        <v>349</v>
      </c>
    </row>
    <row r="8321" spans="1:13" x14ac:dyDescent="0.25">
      <c r="A8321" s="1" t="str">
        <f>HYPERLINK("http://www.rosaceae.org/Prunus/Prunus_persica/p.persica_gdr_reftransV1_0047653","p.persica_gdr_reftransV1_0047653")</f>
        <v>p.persica_gdr_reftransV1_0047653</v>
      </c>
      <c r="B8321" s="3">
        <v>1544</v>
      </c>
      <c r="C8321" s="1" t="str">
        <f>HYPERLINK("http://www.uniprot.org/uniprot/P2C75_ARATH","P2C75_ARATH")</f>
        <v>P2C75_ARATH</v>
      </c>
      <c r="D8321" t="s">
        <v>6450</v>
      </c>
      <c r="E8321" s="3" t="s">
        <v>3</v>
      </c>
      <c r="F8321" s="4">
        <v>1.2E-48</v>
      </c>
      <c r="G8321" s="3">
        <v>452</v>
      </c>
      <c r="H8321" s="3">
        <v>37</v>
      </c>
      <c r="I8321" s="3">
        <v>336</v>
      </c>
      <c r="J8321" s="3">
        <v>112</v>
      </c>
      <c r="K8321" s="3">
        <v>1077</v>
      </c>
      <c r="L8321" s="3">
        <v>107</v>
      </c>
      <c r="M8321" s="3">
        <v>413</v>
      </c>
    </row>
    <row r="8322" spans="1:13" x14ac:dyDescent="0.25">
      <c r="A8322" s="1" t="str">
        <f>HYPERLINK("http://www.rosaceae.org/Prunus/Prunus_persica/p.persica_gdr_reftransV1_0047803","p.persica_gdr_reftransV1_0047803")</f>
        <v>p.persica_gdr_reftransV1_0047803</v>
      </c>
      <c r="B8322" s="3">
        <v>1157</v>
      </c>
      <c r="C8322" s="1" t="str">
        <f>HYPERLINK("http://www.uniprot.org/uniprot/WRK69_ARATH","WRK69_ARATH")</f>
        <v>WRK69_ARATH</v>
      </c>
      <c r="D8322" t="s">
        <v>6451</v>
      </c>
      <c r="E8322" s="3" t="s">
        <v>3</v>
      </c>
      <c r="F8322" s="4">
        <v>1.47E-67</v>
      </c>
      <c r="G8322" s="3">
        <v>563</v>
      </c>
      <c r="H8322" s="3">
        <v>52</v>
      </c>
      <c r="I8322" s="3">
        <v>242</v>
      </c>
      <c r="J8322" s="3">
        <v>195</v>
      </c>
      <c r="K8322" s="3">
        <v>875</v>
      </c>
      <c r="L8322" s="3">
        <v>35</v>
      </c>
      <c r="M8322" s="3">
        <v>269</v>
      </c>
    </row>
    <row r="8323" spans="1:13" x14ac:dyDescent="0.25">
      <c r="A8323" s="1" t="str">
        <f>HYPERLINK("http://www.rosaceae.org/Prunus/Prunus_persica/p.persica_gdr_reftransV1_0047853","p.persica_gdr_reftransV1_0047853")</f>
        <v>p.persica_gdr_reftransV1_0047853</v>
      </c>
      <c r="B8323" s="3">
        <v>1446</v>
      </c>
      <c r="C8323" s="1" t="str">
        <f>HYPERLINK("http://www.uniprot.org/uniprot/GEML5_ARATH","GEML5_ARATH")</f>
        <v>GEML5_ARATH</v>
      </c>
      <c r="D8323" t="s">
        <v>6402</v>
      </c>
      <c r="E8323" s="3" t="s">
        <v>3</v>
      </c>
      <c r="F8323" s="4">
        <v>4.3900000000000001E-123</v>
      </c>
      <c r="G8323" s="3">
        <v>942</v>
      </c>
      <c r="H8323" s="3">
        <v>71</v>
      </c>
      <c r="I8323" s="3">
        <v>238</v>
      </c>
      <c r="J8323" s="3">
        <v>274</v>
      </c>
      <c r="K8323" s="3">
        <v>984</v>
      </c>
      <c r="L8323" s="3">
        <v>35</v>
      </c>
      <c r="M8323" s="3">
        <v>270</v>
      </c>
    </row>
    <row r="8324" spans="1:13" x14ac:dyDescent="0.25">
      <c r="A8324" s="1" t="str">
        <f>HYPERLINK("http://www.rosaceae.org/Prunus/Prunus_persica/p.persica_gdr_reftransV1_0047953","p.persica_gdr_reftransV1_0047953")</f>
        <v>p.persica_gdr_reftransV1_0047953</v>
      </c>
      <c r="B8324" s="3">
        <v>1319</v>
      </c>
      <c r="C8324" s="1" t="str">
        <f>HYPERLINK("http://www.uniprot.org/uniprot/DJ1D_ARATH","DJ1D_ARATH")</f>
        <v>DJ1D_ARATH</v>
      </c>
      <c r="D8324" t="s">
        <v>6452</v>
      </c>
      <c r="E8324" s="3" t="s">
        <v>3</v>
      </c>
      <c r="F8324" s="4">
        <v>5.1699999999999999E-82</v>
      </c>
      <c r="G8324" s="3">
        <v>675</v>
      </c>
      <c r="H8324" s="3">
        <v>64</v>
      </c>
      <c r="I8324" s="3">
        <v>203</v>
      </c>
      <c r="J8324" s="3">
        <v>241</v>
      </c>
      <c r="K8324" s="3">
        <v>849</v>
      </c>
      <c r="L8324" s="3">
        <v>5</v>
      </c>
      <c r="M8324" s="3">
        <v>205</v>
      </c>
    </row>
    <row r="8325" spans="1:13" x14ac:dyDescent="0.25">
      <c r="A8325" s="1" t="str">
        <f>HYPERLINK("http://www.rosaceae.org/Prunus/Prunus_persica/p.persica_gdr_reftransV1_0048003","p.persica_gdr_reftransV1_0048003")</f>
        <v>p.persica_gdr_reftransV1_0048003</v>
      </c>
      <c r="B8325" s="3">
        <v>3346</v>
      </c>
      <c r="C8325" s="1" t="str">
        <f>HYPERLINK("http://www.uniprot.org/uniprot/EMC1_CHICK","EMC1_CHICK")</f>
        <v>EMC1_CHICK</v>
      </c>
      <c r="D8325" t="s">
        <v>6453</v>
      </c>
      <c r="E8325" s="3" t="s">
        <v>1278</v>
      </c>
      <c r="F8325" s="4">
        <v>5.7799999999999997E-111</v>
      </c>
      <c r="G8325" s="3">
        <v>964</v>
      </c>
      <c r="H8325" s="3">
        <v>29</v>
      </c>
      <c r="I8325" s="3">
        <v>1024</v>
      </c>
      <c r="J8325" s="3">
        <v>242</v>
      </c>
      <c r="K8325" s="3">
        <v>3124</v>
      </c>
      <c r="L8325" s="3">
        <v>17</v>
      </c>
      <c r="M8325" s="3">
        <v>983</v>
      </c>
    </row>
    <row r="8326" spans="1:13" x14ac:dyDescent="0.25">
      <c r="A8326" s="1" t="str">
        <f>HYPERLINK("http://www.rosaceae.org/Prunus/Prunus_persica/p.persica_gdr_reftransV1_0048153","p.persica_gdr_reftransV1_0048153")</f>
        <v>p.persica_gdr_reftransV1_0048153</v>
      </c>
      <c r="B8326" s="3">
        <v>1854</v>
      </c>
      <c r="C8326" s="1" t="str">
        <f>HYPERLINK("http://www.uniprot.org/uniprot/ELD1_ARATH","ELD1_ARATH")</f>
        <v>ELD1_ARATH</v>
      </c>
      <c r="D8326" t="s">
        <v>6454</v>
      </c>
      <c r="E8326" s="3" t="s">
        <v>3</v>
      </c>
      <c r="F8326" s="4">
        <v>0</v>
      </c>
      <c r="G8326" s="3">
        <v>1761</v>
      </c>
      <c r="H8326" s="3">
        <v>74</v>
      </c>
      <c r="I8326" s="3">
        <v>487</v>
      </c>
      <c r="J8326" s="3">
        <v>259</v>
      </c>
      <c r="K8326" s="3">
        <v>1689</v>
      </c>
      <c r="L8326" s="3">
        <v>48</v>
      </c>
      <c r="M8326" s="3">
        <v>525</v>
      </c>
    </row>
    <row r="8327" spans="1:13" x14ac:dyDescent="0.25">
      <c r="A8327" s="1" t="str">
        <f>HYPERLINK("http://www.rosaceae.org/Prunus/Prunus_persica/p.persica_gdr_reftransV1_0048203","p.persica_gdr_reftransV1_0048203")</f>
        <v>p.persica_gdr_reftransV1_0048203</v>
      </c>
      <c r="B8327" s="3">
        <v>1272</v>
      </c>
      <c r="C8327" s="1" t="str">
        <f>HYPERLINK("http://www.uniprot.org/uniprot/GPPL1_ARATH","GPPL1_ARATH")</f>
        <v>GPPL1_ARATH</v>
      </c>
      <c r="D8327" t="s">
        <v>4293</v>
      </c>
      <c r="E8327" s="3" t="s">
        <v>3</v>
      </c>
      <c r="F8327" s="4">
        <v>2.1E-153</v>
      </c>
      <c r="G8327" s="3">
        <v>1142</v>
      </c>
      <c r="H8327" s="3">
        <v>81</v>
      </c>
      <c r="I8327" s="3">
        <v>252</v>
      </c>
      <c r="J8327" s="3">
        <v>277</v>
      </c>
      <c r="K8327" s="3">
        <v>1032</v>
      </c>
      <c r="L8327" s="3">
        <v>64</v>
      </c>
      <c r="M8327" s="3">
        <v>315</v>
      </c>
    </row>
    <row r="8328" spans="1:13" x14ac:dyDescent="0.25">
      <c r="A8328" s="1" t="str">
        <f>HYPERLINK("http://www.rosaceae.org/Prunus/Prunus_persica/p.persica_gdr_reftransV1_0048253","p.persica_gdr_reftransV1_0048253")</f>
        <v>p.persica_gdr_reftransV1_0048253</v>
      </c>
      <c r="B8328" s="3">
        <v>1498</v>
      </c>
      <c r="C8328" s="1" t="str">
        <f>HYPERLINK("http://www.uniprot.org/uniprot/FPPS2_LUPAL","FPPS2_LUPAL")</f>
        <v>FPPS2_LUPAL</v>
      </c>
      <c r="D8328" t="s">
        <v>6455</v>
      </c>
      <c r="E8328" s="3" t="s">
        <v>2143</v>
      </c>
      <c r="F8328" s="4">
        <v>0</v>
      </c>
      <c r="G8328" s="3">
        <v>1600</v>
      </c>
      <c r="H8328" s="3">
        <v>85</v>
      </c>
      <c r="I8328" s="3">
        <v>342</v>
      </c>
      <c r="J8328" s="3">
        <v>264</v>
      </c>
      <c r="K8328" s="3">
        <v>1289</v>
      </c>
      <c r="L8328" s="3">
        <v>1</v>
      </c>
      <c r="M8328" s="3">
        <v>342</v>
      </c>
    </row>
    <row r="8329" spans="1:13" x14ac:dyDescent="0.25">
      <c r="A8329" s="1" t="str">
        <f>HYPERLINK("http://www.rosaceae.org/Prunus/Prunus_persica/p.persica_gdr_reftransV1_0048303","p.persica_gdr_reftransV1_0048303")</f>
        <v>p.persica_gdr_reftransV1_0048303</v>
      </c>
      <c r="B8329" s="3">
        <v>1149</v>
      </c>
      <c r="C8329" s="1" t="str">
        <f>HYPERLINK("http://www.uniprot.org/uniprot/ZDHC9_ARATH","ZDHC9_ARATH")</f>
        <v>ZDHC9_ARATH</v>
      </c>
      <c r="D8329" t="s">
        <v>3591</v>
      </c>
      <c r="E8329" s="3" t="s">
        <v>3</v>
      </c>
      <c r="F8329" s="4">
        <v>2.4500000000000001E-98</v>
      </c>
      <c r="G8329" s="3">
        <v>784</v>
      </c>
      <c r="H8329" s="3">
        <v>57</v>
      </c>
      <c r="I8329" s="3">
        <v>258</v>
      </c>
      <c r="J8329" s="3">
        <v>377</v>
      </c>
      <c r="K8329" s="3">
        <v>1147</v>
      </c>
      <c r="L8329" s="3">
        <v>6</v>
      </c>
      <c r="M8329" s="3">
        <v>252</v>
      </c>
    </row>
    <row r="8330" spans="1:13" x14ac:dyDescent="0.25">
      <c r="A8330" s="1" t="str">
        <f>HYPERLINK("http://www.rosaceae.org/Prunus/Prunus_persica/p.persica_gdr_reftransV1_0048403","p.persica_gdr_reftransV1_0048403")</f>
        <v>p.persica_gdr_reftransV1_0048403</v>
      </c>
      <c r="B8330" s="3">
        <v>1566</v>
      </c>
      <c r="C8330" s="1" t="str">
        <f>HYPERLINK("http://www.uniprot.org/uniprot/DSEL_ARATH","DSEL_ARATH")</f>
        <v>DSEL_ARATH</v>
      </c>
      <c r="D8330" t="s">
        <v>6302</v>
      </c>
      <c r="E8330" s="3" t="s">
        <v>3</v>
      </c>
      <c r="F8330" s="4">
        <v>0</v>
      </c>
      <c r="G8330" s="3">
        <v>1353</v>
      </c>
      <c r="H8330" s="3">
        <v>64</v>
      </c>
      <c r="I8330" s="3">
        <v>390</v>
      </c>
      <c r="J8330" s="3">
        <v>243</v>
      </c>
      <c r="K8330" s="3">
        <v>1400</v>
      </c>
      <c r="L8330" s="3">
        <v>16</v>
      </c>
      <c r="M8330" s="3">
        <v>404</v>
      </c>
    </row>
    <row r="8331" spans="1:13" x14ac:dyDescent="0.25">
      <c r="A8331" s="1" t="str">
        <f>HYPERLINK("http://www.rosaceae.org/Prunus/Prunus_persica/p.persica_gdr_reftransV1_0048453","p.persica_gdr_reftransV1_0048453")</f>
        <v>p.persica_gdr_reftransV1_0048453</v>
      </c>
      <c r="B8331" s="3">
        <v>1114</v>
      </c>
      <c r="C8331" s="1" t="str">
        <f>HYPERLINK("http://www.uniprot.org/uniprot/NPY2_ARATH","NPY2_ARATH")</f>
        <v>NPY2_ARATH</v>
      </c>
      <c r="D8331" t="s">
        <v>856</v>
      </c>
      <c r="E8331" s="3" t="s">
        <v>3</v>
      </c>
      <c r="F8331" s="4">
        <v>1.7400000000000001E-180</v>
      </c>
      <c r="G8331" s="3">
        <v>1346</v>
      </c>
      <c r="H8331" s="3">
        <v>66</v>
      </c>
      <c r="I8331" s="3">
        <v>377</v>
      </c>
      <c r="J8331" s="3">
        <v>3</v>
      </c>
      <c r="K8331" s="3">
        <v>1112</v>
      </c>
      <c r="L8331" s="3">
        <v>80</v>
      </c>
      <c r="M8331" s="3">
        <v>453</v>
      </c>
    </row>
    <row r="8332" spans="1:13" x14ac:dyDescent="0.25">
      <c r="A8332" s="1" t="str">
        <f>HYPERLINK("http://www.rosaceae.org/Prunus/Prunus_persica/p.persica_gdr_reftransV1_0048503","p.persica_gdr_reftransV1_0048503")</f>
        <v>p.persica_gdr_reftransV1_0048503</v>
      </c>
      <c r="B8332" s="3">
        <v>2634</v>
      </c>
      <c r="C8332" s="1" t="str">
        <f>HYPERLINK("http://www.uniprot.org/uniprot/SPXM3_ARATH","SPXM3_ARATH")</f>
        <v>SPXM3_ARATH</v>
      </c>
      <c r="D8332" t="s">
        <v>3779</v>
      </c>
      <c r="E8332" s="3" t="s">
        <v>3</v>
      </c>
      <c r="F8332" s="4">
        <v>0</v>
      </c>
      <c r="G8332" s="3">
        <v>2832</v>
      </c>
      <c r="H8332" s="3">
        <v>79</v>
      </c>
      <c r="I8332" s="3">
        <v>702</v>
      </c>
      <c r="J8332" s="3">
        <v>280</v>
      </c>
      <c r="K8332" s="3">
        <v>2370</v>
      </c>
      <c r="L8332" s="3">
        <v>1</v>
      </c>
      <c r="M8332" s="3">
        <v>699</v>
      </c>
    </row>
    <row r="8333" spans="1:13" x14ac:dyDescent="0.25">
      <c r="A8333" s="1" t="str">
        <f>HYPERLINK("http://www.rosaceae.org/Prunus/Prunus_persica/p.persica_gdr_reftransV1_0048603","p.persica_gdr_reftransV1_0048603")</f>
        <v>p.persica_gdr_reftransV1_0048603</v>
      </c>
      <c r="B8333" s="3">
        <v>2253</v>
      </c>
      <c r="C8333" s="1" t="str">
        <f>HYPERLINK("http://www.uniprot.org/uniprot/AHSA2_MOUSE","AHSA2_MOUSE")</f>
        <v>AHSA2_MOUSE</v>
      </c>
      <c r="D8333" t="s">
        <v>6456</v>
      </c>
      <c r="E8333" s="3" t="s">
        <v>157</v>
      </c>
      <c r="F8333" s="4">
        <v>4.03E-34</v>
      </c>
      <c r="G8333" s="3">
        <v>260</v>
      </c>
      <c r="H8333" s="3">
        <v>37</v>
      </c>
      <c r="I8333" s="3">
        <v>181</v>
      </c>
      <c r="J8333" s="3">
        <v>1073</v>
      </c>
      <c r="K8333" s="3">
        <v>1615</v>
      </c>
      <c r="L8333" s="3">
        <v>1</v>
      </c>
      <c r="M8333" s="3">
        <v>173</v>
      </c>
    </row>
    <row r="8334" spans="1:13" x14ac:dyDescent="0.25">
      <c r="A8334" s="1" t="str">
        <f>HYPERLINK("http://www.rosaceae.org/Prunus/Prunus_persica/p.persica_gdr_reftransV1_0048653","p.persica_gdr_reftransV1_0048653")</f>
        <v>p.persica_gdr_reftransV1_0048653</v>
      </c>
      <c r="B8334" s="3">
        <v>519</v>
      </c>
      <c r="C8334" s="1" t="str">
        <f>HYPERLINK("http://www.uniprot.org/uniprot/MTDH_FRAAN","MTDH_FRAAN")</f>
        <v>MTDH_FRAAN</v>
      </c>
      <c r="D8334" t="s">
        <v>54</v>
      </c>
      <c r="E8334" s="3" t="s">
        <v>15</v>
      </c>
      <c r="F8334" s="4">
        <v>4.52E-80</v>
      </c>
      <c r="G8334" s="3">
        <v>633</v>
      </c>
      <c r="H8334" s="3">
        <v>81</v>
      </c>
      <c r="I8334" s="3">
        <v>144</v>
      </c>
      <c r="J8334" s="3">
        <v>87</v>
      </c>
      <c r="K8334" s="3">
        <v>518</v>
      </c>
      <c r="L8334" s="3">
        <v>212</v>
      </c>
      <c r="M8334" s="3">
        <v>355</v>
      </c>
    </row>
    <row r="8335" spans="1:13" x14ac:dyDescent="0.25">
      <c r="A8335" s="1" t="str">
        <f>HYPERLINK("http://www.rosaceae.org/Prunus/Prunus_persica/p.persica_gdr_reftransV1_0048853","p.persica_gdr_reftransV1_0048853")</f>
        <v>p.persica_gdr_reftransV1_0048853</v>
      </c>
      <c r="B8335" s="3">
        <v>1915</v>
      </c>
      <c r="C8335" s="1" t="str">
        <f>HYPERLINK("http://www.uniprot.org/uniprot/ARAD1_ARATH","ARAD1_ARATH")</f>
        <v>ARAD1_ARATH</v>
      </c>
      <c r="D8335" t="s">
        <v>123</v>
      </c>
      <c r="E8335" s="3" t="s">
        <v>3</v>
      </c>
      <c r="F8335" s="4">
        <v>1.08E-27</v>
      </c>
      <c r="G8335" s="3">
        <v>300</v>
      </c>
      <c r="H8335" s="3">
        <v>44</v>
      </c>
      <c r="I8335" s="3">
        <v>139</v>
      </c>
      <c r="J8335" s="3">
        <v>1212</v>
      </c>
      <c r="K8335" s="3">
        <v>1628</v>
      </c>
      <c r="L8335" s="3">
        <v>306</v>
      </c>
      <c r="M8335" s="3">
        <v>441</v>
      </c>
    </row>
    <row r="8336" spans="1:13" x14ac:dyDescent="0.25">
      <c r="A8336" s="1" t="str">
        <f>HYPERLINK("http://www.rosaceae.org/Prunus/Prunus_persica/p.persica_gdr_reftransV1_0048953","p.persica_gdr_reftransV1_0048953")</f>
        <v>p.persica_gdr_reftransV1_0048953</v>
      </c>
      <c r="B8336" s="3">
        <v>456</v>
      </c>
      <c r="C8336" s="1" t="str">
        <f>HYPERLINK("http://www.uniprot.org/uniprot/CYSD1_ARATH","CYSD1_ARATH")</f>
        <v>CYSD1_ARATH</v>
      </c>
      <c r="D8336" t="s">
        <v>6457</v>
      </c>
      <c r="E8336" s="3" t="s">
        <v>3</v>
      </c>
      <c r="F8336" s="4">
        <v>8.94E-60</v>
      </c>
      <c r="G8336" s="3">
        <v>492</v>
      </c>
      <c r="H8336" s="3">
        <v>79</v>
      </c>
      <c r="I8336" s="3">
        <v>112</v>
      </c>
      <c r="J8336" s="3">
        <v>121</v>
      </c>
      <c r="K8336" s="3">
        <v>456</v>
      </c>
      <c r="L8336" s="3">
        <v>3</v>
      </c>
      <c r="M8336" s="3">
        <v>114</v>
      </c>
    </row>
    <row r="8337" spans="1:13" x14ac:dyDescent="0.25">
      <c r="A8337" s="1" t="str">
        <f>HYPERLINK("http://www.rosaceae.org/Prunus/Prunus_persica/p.persica_gdr_reftransV1_0049003","p.persica_gdr_reftransV1_0049003")</f>
        <v>p.persica_gdr_reftransV1_0049003</v>
      </c>
      <c r="B8337" s="3">
        <v>2009</v>
      </c>
      <c r="C8337" s="1" t="str">
        <f>HYPERLINK("http://www.uniprot.org/uniprot/PPA1_ARATH","PPA1_ARATH")</f>
        <v>PPA1_ARATH</v>
      </c>
      <c r="D8337" t="s">
        <v>329</v>
      </c>
      <c r="E8337" s="3" t="s">
        <v>3</v>
      </c>
      <c r="F8337" s="4">
        <v>0</v>
      </c>
      <c r="G8337" s="3">
        <v>1580</v>
      </c>
      <c r="H8337" s="3">
        <v>79</v>
      </c>
      <c r="I8337" s="3">
        <v>359</v>
      </c>
      <c r="J8337" s="3">
        <v>744</v>
      </c>
      <c r="K8337" s="3">
        <v>1820</v>
      </c>
      <c r="L8337" s="3">
        <v>255</v>
      </c>
      <c r="M8337" s="3">
        <v>613</v>
      </c>
    </row>
    <row r="8338" spans="1:13" x14ac:dyDescent="0.25">
      <c r="A8338" s="1" t="str">
        <f>HYPERLINK("http://www.rosaceae.org/Prunus/Prunus_persica/p.persica_gdr_reftransV1_0049053","p.persica_gdr_reftransV1_0049053")</f>
        <v>p.persica_gdr_reftransV1_0049053</v>
      </c>
      <c r="B8338" s="3">
        <v>717</v>
      </c>
      <c r="C8338" s="1" t="str">
        <f>HYPERLINK("http://www.uniprot.org/uniprot/TIF5A_ARATH","TIF5A_ARATH")</f>
        <v>TIF5A_ARATH</v>
      </c>
      <c r="D8338" t="s">
        <v>6458</v>
      </c>
      <c r="E8338" s="3" t="s">
        <v>3</v>
      </c>
      <c r="F8338" s="4">
        <v>6.5099999999999994E-20</v>
      </c>
      <c r="G8338" s="3">
        <v>214</v>
      </c>
      <c r="H8338" s="3">
        <v>43</v>
      </c>
      <c r="I8338" s="3">
        <v>137</v>
      </c>
      <c r="J8338" s="3">
        <v>44</v>
      </c>
      <c r="K8338" s="3">
        <v>418</v>
      </c>
      <c r="L8338" s="3">
        <v>1</v>
      </c>
      <c r="M8338" s="3">
        <v>128</v>
      </c>
    </row>
    <row r="8339" spans="1:13" x14ac:dyDescent="0.25">
      <c r="A8339" s="1" t="str">
        <f>HYPERLINK("http://www.rosaceae.org/Prunus/Prunus_persica/p.persica_gdr_reftransV1_0049103","p.persica_gdr_reftransV1_0049103")</f>
        <v>p.persica_gdr_reftransV1_0049103</v>
      </c>
      <c r="B8339" s="3">
        <v>1090</v>
      </c>
      <c r="C8339" s="1" t="str">
        <f>HYPERLINK("http://www.uniprot.org/uniprot/ATG8C_ORYSJ","ATG8C_ORYSJ")</f>
        <v>ATG8C_ORYSJ</v>
      </c>
      <c r="D8339" t="s">
        <v>1590</v>
      </c>
      <c r="E8339" s="3" t="s">
        <v>38</v>
      </c>
      <c r="F8339" s="4">
        <v>1.2700000000000001E-29</v>
      </c>
      <c r="G8339" s="3">
        <v>288</v>
      </c>
      <c r="H8339" s="3">
        <v>58</v>
      </c>
      <c r="I8339" s="3">
        <v>96</v>
      </c>
      <c r="J8339" s="3">
        <v>464</v>
      </c>
      <c r="K8339" s="3">
        <v>751</v>
      </c>
      <c r="L8339" s="3">
        <v>22</v>
      </c>
      <c r="M8339" s="3">
        <v>117</v>
      </c>
    </row>
    <row r="8340" spans="1:13" x14ac:dyDescent="0.25">
      <c r="A8340" s="1" t="str">
        <f>HYPERLINK("http://www.rosaceae.org/Prunus/Prunus_persica/p.persica_gdr_reftransV1_0049153","p.persica_gdr_reftransV1_0049153")</f>
        <v>p.persica_gdr_reftransV1_0049153</v>
      </c>
      <c r="B8340" s="3">
        <v>657</v>
      </c>
      <c r="C8340" s="1" t="str">
        <f>HYPERLINK("http://www.uniprot.org/uniprot/CI085_MOUSE","CI085_MOUSE")</f>
        <v>CI085_MOUSE</v>
      </c>
      <c r="D8340" t="s">
        <v>6459</v>
      </c>
      <c r="E8340" s="3" t="s">
        <v>157</v>
      </c>
      <c r="F8340" s="4">
        <v>6.2900000000000001E-15</v>
      </c>
      <c r="G8340" s="3">
        <v>179</v>
      </c>
      <c r="H8340" s="3">
        <v>37</v>
      </c>
      <c r="I8340" s="3">
        <v>98</v>
      </c>
      <c r="J8340" s="3">
        <v>124</v>
      </c>
      <c r="K8340" s="3">
        <v>414</v>
      </c>
      <c r="L8340" s="3">
        <v>15</v>
      </c>
      <c r="M8340" s="3">
        <v>107</v>
      </c>
    </row>
    <row r="8341" spans="1:13" x14ac:dyDescent="0.25">
      <c r="A8341" s="1" t="str">
        <f>HYPERLINK("http://www.rosaceae.org/Prunus/Prunus_persica/p.persica_gdr_reftransV1_0000031","p.persica_gdr_reftransV1_0000031")</f>
        <v>p.persica_gdr_reftransV1_0000031</v>
      </c>
      <c r="B8341" s="3">
        <v>1904</v>
      </c>
      <c r="C8341" s="1" t="str">
        <f>HYPERLINK("http://www.uniprot.org/uniprot/BPC2_ARATH","BPC2_ARATH")</f>
        <v>BPC2_ARATH</v>
      </c>
      <c r="D8341" t="s">
        <v>6460</v>
      </c>
      <c r="E8341" s="3" t="s">
        <v>3</v>
      </c>
      <c r="F8341" s="4">
        <v>3.2500000000000001E-100</v>
      </c>
      <c r="G8341" s="3">
        <v>803</v>
      </c>
      <c r="H8341" s="3">
        <v>57</v>
      </c>
      <c r="I8341" s="3">
        <v>290</v>
      </c>
      <c r="J8341" s="3">
        <v>762</v>
      </c>
      <c r="K8341" s="3">
        <v>1595</v>
      </c>
      <c r="L8341" s="3">
        <v>1</v>
      </c>
      <c r="M8341" s="3">
        <v>279</v>
      </c>
    </row>
    <row r="8342" spans="1:13" x14ac:dyDescent="0.25">
      <c r="A8342" s="1" t="str">
        <f>HYPERLINK("http://www.rosaceae.org/Prunus/Prunus_persica/p.persica_gdr_reftransV1_0000081","p.persica_gdr_reftransV1_0000081")</f>
        <v>p.persica_gdr_reftransV1_0000081</v>
      </c>
      <c r="B8342" s="3">
        <v>592</v>
      </c>
      <c r="C8342" s="1" t="str">
        <f>HYPERLINK("http://www.uniprot.org/uniprot/G3OX_PEA","G3OX_PEA")</f>
        <v>G3OX_PEA</v>
      </c>
      <c r="D8342" t="s">
        <v>6461</v>
      </c>
      <c r="E8342" s="3" t="s">
        <v>60</v>
      </c>
      <c r="F8342" s="4">
        <v>8.7500000000000001E-23</v>
      </c>
      <c r="G8342" s="3">
        <v>242</v>
      </c>
      <c r="H8342" s="3">
        <v>29</v>
      </c>
      <c r="I8342" s="3">
        <v>199</v>
      </c>
      <c r="J8342" s="3">
        <v>13</v>
      </c>
      <c r="K8342" s="3">
        <v>591</v>
      </c>
      <c r="L8342" s="3">
        <v>56</v>
      </c>
      <c r="M8342" s="3">
        <v>245</v>
      </c>
    </row>
    <row r="8343" spans="1:13" x14ac:dyDescent="0.25">
      <c r="A8343" s="1" t="str">
        <f>HYPERLINK("http://www.rosaceae.org/Prunus/Prunus_persica/p.persica_gdr_reftransV1_0000131","p.persica_gdr_reftransV1_0000131")</f>
        <v>p.persica_gdr_reftransV1_0000131</v>
      </c>
      <c r="B8343" s="3">
        <v>3752</v>
      </c>
      <c r="C8343" s="1" t="str">
        <f>HYPERLINK("http://www.uniprot.org/uniprot/TPR4_ARATH","TPR4_ARATH")</f>
        <v>TPR4_ARATH</v>
      </c>
      <c r="D8343" t="s">
        <v>3003</v>
      </c>
      <c r="E8343" s="3" t="s">
        <v>3</v>
      </c>
      <c r="F8343" s="4">
        <v>0</v>
      </c>
      <c r="G8343" s="3">
        <v>3903</v>
      </c>
      <c r="H8343" s="3">
        <v>65</v>
      </c>
      <c r="I8343" s="3">
        <v>1152</v>
      </c>
      <c r="J8343" s="3">
        <v>316</v>
      </c>
      <c r="K8343" s="3">
        <v>3633</v>
      </c>
      <c r="L8343" s="3">
        <v>1</v>
      </c>
      <c r="M8343" s="3">
        <v>1135</v>
      </c>
    </row>
    <row r="8344" spans="1:13" x14ac:dyDescent="0.25">
      <c r="A8344" s="1" t="str">
        <f>HYPERLINK("http://www.rosaceae.org/Prunus/Prunus_persica/p.persica_gdr_reftransV1_0000181","p.persica_gdr_reftransV1_0000181")</f>
        <v>p.persica_gdr_reftransV1_0000181</v>
      </c>
      <c r="B8344" s="3">
        <v>1312</v>
      </c>
      <c r="C8344" s="1" t="str">
        <f>HYPERLINK("http://www.uniprot.org/uniprot/PGLR_VITVI","PGLR_VITVI")</f>
        <v>PGLR_VITVI</v>
      </c>
      <c r="D8344" t="s">
        <v>2366</v>
      </c>
      <c r="E8344" s="3" t="s">
        <v>362</v>
      </c>
      <c r="F8344" s="4">
        <v>2.5999999999999999E-133</v>
      </c>
      <c r="G8344" s="3">
        <v>1027</v>
      </c>
      <c r="H8344" s="3">
        <v>59</v>
      </c>
      <c r="I8344" s="3">
        <v>316</v>
      </c>
      <c r="J8344" s="3">
        <v>361</v>
      </c>
      <c r="K8344" s="3">
        <v>1308</v>
      </c>
      <c r="L8344" s="3">
        <v>59</v>
      </c>
      <c r="M8344" s="3">
        <v>374</v>
      </c>
    </row>
    <row r="8345" spans="1:13" x14ac:dyDescent="0.25">
      <c r="A8345" s="1" t="str">
        <f>HYPERLINK("http://www.rosaceae.org/Prunus/Prunus_persica/p.persica_gdr_reftransV1_0000231","p.persica_gdr_reftransV1_0000231")</f>
        <v>p.persica_gdr_reftransV1_0000231</v>
      </c>
      <c r="B8345" s="3">
        <v>1933</v>
      </c>
      <c r="C8345" s="1" t="str">
        <f>HYPERLINK("http://www.uniprot.org/uniprot/ROG1_YEAST","ROG1_YEAST")</f>
        <v>ROG1_YEAST</v>
      </c>
      <c r="D8345" t="s">
        <v>6462</v>
      </c>
      <c r="E8345" s="3" t="s">
        <v>34</v>
      </c>
      <c r="F8345" s="4">
        <v>1.0300000000000001E-10</v>
      </c>
      <c r="G8345" s="3">
        <v>166</v>
      </c>
      <c r="H8345" s="3">
        <v>28</v>
      </c>
      <c r="I8345" s="3">
        <v>232</v>
      </c>
      <c r="J8345" s="3">
        <v>815</v>
      </c>
      <c r="K8345" s="3">
        <v>1498</v>
      </c>
      <c r="L8345" s="3">
        <v>188</v>
      </c>
      <c r="M8345" s="3">
        <v>375</v>
      </c>
    </row>
    <row r="8346" spans="1:13" x14ac:dyDescent="0.25">
      <c r="A8346" s="1" t="str">
        <f>HYPERLINK("http://www.rosaceae.org/Prunus/Prunus_persica/p.persica_gdr_reftransV1_0000281","p.persica_gdr_reftransV1_0000281")</f>
        <v>p.persica_gdr_reftransV1_0000281</v>
      </c>
      <c r="B8346" s="3">
        <v>1962</v>
      </c>
      <c r="C8346" s="1" t="str">
        <f>HYPERLINK("http://www.uniprot.org/uniprot/INO1_TOBAC","INO1_TOBAC")</f>
        <v>INO1_TOBAC</v>
      </c>
      <c r="D8346" t="s">
        <v>6463</v>
      </c>
      <c r="E8346" s="3" t="s">
        <v>200</v>
      </c>
      <c r="F8346" s="4">
        <v>0</v>
      </c>
      <c r="G8346" s="3">
        <v>2587</v>
      </c>
      <c r="H8346" s="3">
        <v>93</v>
      </c>
      <c r="I8346" s="3">
        <v>510</v>
      </c>
      <c r="J8346" s="3">
        <v>272</v>
      </c>
      <c r="K8346" s="3">
        <v>1801</v>
      </c>
      <c r="L8346" s="3">
        <v>1</v>
      </c>
      <c r="M8346" s="3">
        <v>510</v>
      </c>
    </row>
    <row r="8347" spans="1:13" x14ac:dyDescent="0.25">
      <c r="A8347" s="1" t="str">
        <f>HYPERLINK("http://www.rosaceae.org/Prunus/Prunus_persica/p.persica_gdr_reftransV1_0000331","p.persica_gdr_reftransV1_0000331")</f>
        <v>p.persica_gdr_reftransV1_0000331</v>
      </c>
      <c r="B8347" s="3">
        <v>2080</v>
      </c>
      <c r="C8347" s="1" t="str">
        <f>HYPERLINK("http://www.uniprot.org/uniprot/GSHRC_PEA","GSHRC_PEA")</f>
        <v>GSHRC_PEA</v>
      </c>
      <c r="D8347" t="s">
        <v>1005</v>
      </c>
      <c r="E8347" s="3" t="s">
        <v>60</v>
      </c>
      <c r="F8347" s="4">
        <v>0</v>
      </c>
      <c r="G8347" s="3">
        <v>2269</v>
      </c>
      <c r="H8347" s="3">
        <v>85</v>
      </c>
      <c r="I8347" s="3">
        <v>499</v>
      </c>
      <c r="J8347" s="3">
        <v>249</v>
      </c>
      <c r="K8347" s="3">
        <v>1736</v>
      </c>
      <c r="L8347" s="3">
        <v>1</v>
      </c>
      <c r="M8347" s="3">
        <v>498</v>
      </c>
    </row>
    <row r="8348" spans="1:13" x14ac:dyDescent="0.25">
      <c r="A8348" s="1" t="str">
        <f>HYPERLINK("http://www.rosaceae.org/Prunus/Prunus_persica/p.persica_gdr_reftransV1_0000431","p.persica_gdr_reftransV1_0000431")</f>
        <v>p.persica_gdr_reftransV1_0000431</v>
      </c>
      <c r="B8348" s="3">
        <v>1297</v>
      </c>
      <c r="C8348" s="1" t="str">
        <f>HYPERLINK("http://www.uniprot.org/uniprot/CD2B2_MOUSE","CD2B2_MOUSE")</f>
        <v>CD2B2_MOUSE</v>
      </c>
      <c r="D8348" t="s">
        <v>3335</v>
      </c>
      <c r="E8348" s="3" t="s">
        <v>157</v>
      </c>
      <c r="F8348" s="4">
        <v>9.5199999999999995E-7</v>
      </c>
      <c r="G8348" s="3">
        <v>129</v>
      </c>
      <c r="H8348" s="3">
        <v>30</v>
      </c>
      <c r="I8348" s="3">
        <v>167</v>
      </c>
      <c r="J8348" s="3">
        <v>653</v>
      </c>
      <c r="K8348" s="3">
        <v>1126</v>
      </c>
      <c r="L8348" s="3">
        <v>81</v>
      </c>
      <c r="M8348" s="3">
        <v>244</v>
      </c>
    </row>
    <row r="8349" spans="1:13" x14ac:dyDescent="0.25">
      <c r="A8349" s="1" t="str">
        <f>HYPERLINK("http://www.rosaceae.org/Prunus/Prunus_persica/p.persica_gdr_reftransV1_0000531","p.persica_gdr_reftransV1_0000531")</f>
        <v>p.persica_gdr_reftransV1_0000531</v>
      </c>
      <c r="B8349" s="3">
        <v>1031</v>
      </c>
      <c r="C8349" s="1" t="str">
        <f>HYPERLINK("http://www.uniprot.org/uniprot/UGT9_GARJA","UGT9_GARJA")</f>
        <v>UGT9_GARJA</v>
      </c>
      <c r="D8349" t="s">
        <v>623</v>
      </c>
      <c r="E8349" s="3" t="s">
        <v>624</v>
      </c>
      <c r="F8349" s="4">
        <v>6.52E-68</v>
      </c>
      <c r="G8349" s="3">
        <v>575</v>
      </c>
      <c r="H8349" s="3">
        <v>46</v>
      </c>
      <c r="I8349" s="3">
        <v>270</v>
      </c>
      <c r="J8349" s="3">
        <v>228</v>
      </c>
      <c r="K8349" s="3">
        <v>1031</v>
      </c>
      <c r="L8349" s="3">
        <v>1</v>
      </c>
      <c r="M8349" s="3">
        <v>267</v>
      </c>
    </row>
    <row r="8350" spans="1:13" x14ac:dyDescent="0.25">
      <c r="A8350" s="1" t="str">
        <f>HYPERLINK("http://www.rosaceae.org/Prunus/Prunus_persica/p.persica_gdr_reftransV1_0000581","p.persica_gdr_reftransV1_0000581")</f>
        <v>p.persica_gdr_reftransV1_0000581</v>
      </c>
      <c r="B8350" s="3">
        <v>691</v>
      </c>
      <c r="C8350" s="1" t="str">
        <f>HYPERLINK("http://www.uniprot.org/uniprot/CLCB_ARATH","CLCB_ARATH")</f>
        <v>CLCB_ARATH</v>
      </c>
      <c r="D8350" t="s">
        <v>6464</v>
      </c>
      <c r="E8350" s="3" t="s">
        <v>3</v>
      </c>
      <c r="F8350" s="4">
        <v>6.5900000000000003E-92</v>
      </c>
      <c r="G8350" s="3">
        <v>748</v>
      </c>
      <c r="H8350" s="3">
        <v>80</v>
      </c>
      <c r="I8350" s="3">
        <v>180</v>
      </c>
      <c r="J8350" s="3">
        <v>153</v>
      </c>
      <c r="K8350" s="3">
        <v>689</v>
      </c>
      <c r="L8350" s="3">
        <v>11</v>
      </c>
      <c r="M8350" s="3">
        <v>190</v>
      </c>
    </row>
    <row r="8351" spans="1:13" x14ac:dyDescent="0.25">
      <c r="A8351" s="1" t="str">
        <f>HYPERLINK("http://www.rosaceae.org/Prunus/Prunus_persica/p.persica_gdr_reftransV1_0000631","p.persica_gdr_reftransV1_0000631")</f>
        <v>p.persica_gdr_reftransV1_0000631</v>
      </c>
      <c r="B8351" s="3">
        <v>1342</v>
      </c>
      <c r="C8351" s="1" t="str">
        <f>HYPERLINK("http://www.uniprot.org/uniprot/PIP12_ARATH","PIP12_ARATH")</f>
        <v>PIP12_ARATH</v>
      </c>
      <c r="D8351" t="s">
        <v>2749</v>
      </c>
      <c r="E8351" s="3" t="s">
        <v>3</v>
      </c>
      <c r="F8351" s="4">
        <v>0</v>
      </c>
      <c r="G8351" s="3">
        <v>1366</v>
      </c>
      <c r="H8351" s="3">
        <v>90</v>
      </c>
      <c r="I8351" s="3">
        <v>285</v>
      </c>
      <c r="J8351" s="3">
        <v>259</v>
      </c>
      <c r="K8351" s="3">
        <v>1113</v>
      </c>
      <c r="L8351" s="3">
        <v>1</v>
      </c>
      <c r="M8351" s="3">
        <v>285</v>
      </c>
    </row>
    <row r="8352" spans="1:13" x14ac:dyDescent="0.25">
      <c r="A8352" s="1" t="str">
        <f>HYPERLINK("http://www.rosaceae.org/Prunus/Prunus_persica/p.persica_gdr_reftransV1_0000731","p.persica_gdr_reftransV1_0000731")</f>
        <v>p.persica_gdr_reftransV1_0000731</v>
      </c>
      <c r="B8352" s="3">
        <v>3853</v>
      </c>
      <c r="C8352" s="1" t="str">
        <f>HYPERLINK("http://www.uniprot.org/uniprot/PUM4_ARATH","PUM4_ARATH")</f>
        <v>PUM4_ARATH</v>
      </c>
      <c r="D8352" t="s">
        <v>6465</v>
      </c>
      <c r="E8352" s="3" t="s">
        <v>3</v>
      </c>
      <c r="F8352" s="4">
        <v>0</v>
      </c>
      <c r="G8352" s="3">
        <v>1757</v>
      </c>
      <c r="H8352" s="3">
        <v>48</v>
      </c>
      <c r="I8352" s="3">
        <v>875</v>
      </c>
      <c r="J8352" s="3">
        <v>1030</v>
      </c>
      <c r="K8352" s="3">
        <v>3594</v>
      </c>
      <c r="L8352" s="3">
        <v>1</v>
      </c>
      <c r="M8352" s="3">
        <v>833</v>
      </c>
    </row>
    <row r="8353" spans="1:13" x14ac:dyDescent="0.25">
      <c r="A8353" s="1" t="str">
        <f>HYPERLINK("http://www.rosaceae.org/Prunus/Prunus_persica/p.persica_gdr_reftransV1_0000781","p.persica_gdr_reftransV1_0000781")</f>
        <v>p.persica_gdr_reftransV1_0000781</v>
      </c>
      <c r="B8353" s="3">
        <v>1890</v>
      </c>
      <c r="C8353" s="1" t="str">
        <f>HYPERLINK("http://www.uniprot.org/uniprot/LIP_THELA","LIP_THELA")</f>
        <v>LIP_THELA</v>
      </c>
      <c r="D8353" t="s">
        <v>6466</v>
      </c>
      <c r="E8353" s="3" t="s">
        <v>6467</v>
      </c>
      <c r="F8353" s="4">
        <v>1.0300000000000001E-10</v>
      </c>
      <c r="G8353" s="3">
        <v>161</v>
      </c>
      <c r="H8353" s="3">
        <v>33</v>
      </c>
      <c r="I8353" s="3">
        <v>109</v>
      </c>
      <c r="J8353" s="3">
        <v>538</v>
      </c>
      <c r="K8353" s="3">
        <v>864</v>
      </c>
      <c r="L8353" s="3">
        <v>140</v>
      </c>
      <c r="M8353" s="3">
        <v>237</v>
      </c>
    </row>
    <row r="8354" spans="1:13" x14ac:dyDescent="0.25">
      <c r="A8354" s="1" t="str">
        <f>HYPERLINK("http://www.rosaceae.org/Prunus/Prunus_persica/p.persica_gdr_reftransV1_0000881","p.persica_gdr_reftransV1_0000881")</f>
        <v>p.persica_gdr_reftransV1_0000881</v>
      </c>
      <c r="B8354" s="3">
        <v>1935</v>
      </c>
      <c r="C8354" s="1" t="str">
        <f>HYPERLINK("http://www.uniprot.org/uniprot/GAOA_GIBZE","GAOA_GIBZE")</f>
        <v>GAOA_GIBZE</v>
      </c>
      <c r="D8354" t="s">
        <v>5595</v>
      </c>
      <c r="E8354" s="3" t="s">
        <v>2278</v>
      </c>
      <c r="F8354" s="4">
        <v>9.0800000000000005E-20</v>
      </c>
      <c r="G8354" s="3">
        <v>241</v>
      </c>
      <c r="H8354" s="3">
        <v>26</v>
      </c>
      <c r="I8354" s="3">
        <v>453</v>
      </c>
      <c r="J8354" s="3">
        <v>325</v>
      </c>
      <c r="K8354" s="3">
        <v>1635</v>
      </c>
      <c r="L8354" s="3">
        <v>258</v>
      </c>
      <c r="M8354" s="3">
        <v>671</v>
      </c>
    </row>
    <row r="8355" spans="1:13" x14ac:dyDescent="0.25">
      <c r="A8355" s="1" t="str">
        <f>HYPERLINK("http://www.rosaceae.org/Prunus/Prunus_persica/p.persica_gdr_reftransV1_0000981","p.persica_gdr_reftransV1_0000981")</f>
        <v>p.persica_gdr_reftransV1_0000981</v>
      </c>
      <c r="B8355" s="3">
        <v>387</v>
      </c>
      <c r="C8355" s="1" t="str">
        <f>HYPERLINK("http://www.uniprot.org/uniprot/TMVRN_NICGU","TMVRN_NICGU")</f>
        <v>TMVRN_NICGU</v>
      </c>
      <c r="D8355" t="s">
        <v>151</v>
      </c>
      <c r="E8355" s="3" t="s">
        <v>152</v>
      </c>
      <c r="F8355" s="4">
        <v>2.1600000000000002E-28</v>
      </c>
      <c r="G8355" s="3">
        <v>285</v>
      </c>
      <c r="H8355" s="3">
        <v>52</v>
      </c>
      <c r="I8355" s="3">
        <v>125</v>
      </c>
      <c r="J8355" s="3">
        <v>20</v>
      </c>
      <c r="K8355" s="3">
        <v>385</v>
      </c>
      <c r="L8355" s="3">
        <v>59</v>
      </c>
      <c r="M8355" s="3">
        <v>177</v>
      </c>
    </row>
    <row r="8356" spans="1:13" x14ac:dyDescent="0.25">
      <c r="A8356" s="1" t="str">
        <f>HYPERLINK("http://www.rosaceae.org/Prunus/Prunus_persica/p.persica_gdr_reftransV1_0001081","p.persica_gdr_reftransV1_0001081")</f>
        <v>p.persica_gdr_reftransV1_0001081</v>
      </c>
      <c r="B8356" s="3">
        <v>505</v>
      </c>
      <c r="C8356" s="1" t="str">
        <f>HYPERLINK("http://www.uniprot.org/uniprot/R13L1_ARATH","R13L1_ARATH")</f>
        <v>R13L1_ARATH</v>
      </c>
      <c r="D8356" t="s">
        <v>100</v>
      </c>
      <c r="E8356" s="3" t="s">
        <v>3</v>
      </c>
      <c r="F8356" s="4">
        <v>3.31E-16</v>
      </c>
      <c r="G8356" s="3">
        <v>197</v>
      </c>
      <c r="H8356" s="3">
        <v>34</v>
      </c>
      <c r="I8356" s="3">
        <v>182</v>
      </c>
      <c r="J8356" s="3">
        <v>1</v>
      </c>
      <c r="K8356" s="3">
        <v>504</v>
      </c>
      <c r="L8356" s="3">
        <v>627</v>
      </c>
      <c r="M8356" s="3">
        <v>799</v>
      </c>
    </row>
    <row r="8357" spans="1:13" x14ac:dyDescent="0.25">
      <c r="A8357" s="1" t="str">
        <f>HYPERLINK("http://www.rosaceae.org/Prunus/Prunus_persica/p.persica_gdr_reftransV1_0001181","p.persica_gdr_reftransV1_0001181")</f>
        <v>p.persica_gdr_reftransV1_0001181</v>
      </c>
      <c r="B8357" s="3">
        <v>4797</v>
      </c>
      <c r="C8357" s="1" t="str">
        <f>HYPERLINK("http://www.uniprot.org/uniprot/AB1D_ARATH","AB1D_ARATH")</f>
        <v>AB1D_ARATH</v>
      </c>
      <c r="D8357" t="s">
        <v>6468</v>
      </c>
      <c r="E8357" s="3" t="s">
        <v>3</v>
      </c>
      <c r="F8357" s="4">
        <v>0</v>
      </c>
      <c r="G8357" s="3">
        <v>5413</v>
      </c>
      <c r="H8357" s="3">
        <v>78</v>
      </c>
      <c r="I8357" s="3">
        <v>1346</v>
      </c>
      <c r="J8357" s="3">
        <v>560</v>
      </c>
      <c r="K8357" s="3">
        <v>4579</v>
      </c>
      <c r="L8357" s="3">
        <v>1</v>
      </c>
      <c r="M8357" s="3">
        <v>1334</v>
      </c>
    </row>
    <row r="8358" spans="1:13" x14ac:dyDescent="0.25">
      <c r="A8358" s="1" t="str">
        <f>HYPERLINK("http://www.rosaceae.org/Prunus/Prunus_persica/p.persica_gdr_reftransV1_0001231","p.persica_gdr_reftransV1_0001231")</f>
        <v>p.persica_gdr_reftransV1_0001231</v>
      </c>
      <c r="B8358" s="3">
        <v>366</v>
      </c>
      <c r="C8358" s="1" t="str">
        <f>HYPERLINK("http://www.uniprot.org/uniprot/NPH3_ORYSJ","NPH3_ORYSJ")</f>
        <v>NPH3_ORYSJ</v>
      </c>
      <c r="D8358" t="s">
        <v>6469</v>
      </c>
      <c r="E8358" s="3" t="s">
        <v>38</v>
      </c>
      <c r="F8358" s="4">
        <v>4.26E-20</v>
      </c>
      <c r="G8358" s="3">
        <v>221</v>
      </c>
      <c r="H8358" s="3">
        <v>31</v>
      </c>
      <c r="I8358" s="3">
        <v>157</v>
      </c>
      <c r="J8358" s="3">
        <v>2</v>
      </c>
      <c r="K8358" s="3">
        <v>364</v>
      </c>
      <c r="L8358" s="3">
        <v>272</v>
      </c>
      <c r="M8358" s="3">
        <v>428</v>
      </c>
    </row>
    <row r="8359" spans="1:13" x14ac:dyDescent="0.25">
      <c r="A8359" s="1" t="str">
        <f>HYPERLINK("http://www.rosaceae.org/Prunus/Prunus_persica/p.persica_gdr_reftransV1_0001331","p.persica_gdr_reftransV1_0001331")</f>
        <v>p.persica_gdr_reftransV1_0001331</v>
      </c>
      <c r="B8359" s="3">
        <v>2021</v>
      </c>
      <c r="C8359" s="1" t="str">
        <f>HYPERLINK("http://www.uniprot.org/uniprot/TM1L2_MOUSE","TM1L2_MOUSE")</f>
        <v>TM1L2_MOUSE</v>
      </c>
      <c r="D8359" t="s">
        <v>201</v>
      </c>
      <c r="E8359" s="3" t="s">
        <v>157</v>
      </c>
      <c r="F8359" s="4">
        <v>3.59E-11</v>
      </c>
      <c r="G8359" s="3">
        <v>169</v>
      </c>
      <c r="H8359" s="3">
        <v>32</v>
      </c>
      <c r="I8359" s="3">
        <v>117</v>
      </c>
      <c r="J8359" s="3">
        <v>1219</v>
      </c>
      <c r="K8359" s="3">
        <v>1557</v>
      </c>
      <c r="L8359" s="3">
        <v>11</v>
      </c>
      <c r="M8359" s="3">
        <v>127</v>
      </c>
    </row>
    <row r="8360" spans="1:13" x14ac:dyDescent="0.25">
      <c r="A8360" s="1" t="str">
        <f>HYPERLINK("http://www.rosaceae.org/Prunus/Prunus_persica/p.persica_gdr_reftransV1_0001381","p.persica_gdr_reftransV1_0001381")</f>
        <v>p.persica_gdr_reftransV1_0001381</v>
      </c>
      <c r="B8360" s="3">
        <v>858</v>
      </c>
      <c r="C8360" s="1" t="str">
        <f>HYPERLINK("http://www.uniprot.org/uniprot/RQSIM_ARATH","RQSIM_ARATH")</f>
        <v>RQSIM_ARATH</v>
      </c>
      <c r="D8360" t="s">
        <v>5759</v>
      </c>
      <c r="E8360" s="3" t="s">
        <v>3</v>
      </c>
      <c r="F8360" s="4">
        <v>5.5099999999999996E-10</v>
      </c>
      <c r="G8360" s="3">
        <v>113</v>
      </c>
      <c r="H8360" s="3">
        <v>42</v>
      </c>
      <c r="I8360" s="3">
        <v>74</v>
      </c>
      <c r="J8360" s="3">
        <v>330</v>
      </c>
      <c r="K8360" s="3">
        <v>551</v>
      </c>
      <c r="L8360" s="3">
        <v>473</v>
      </c>
      <c r="M8360" s="3">
        <v>528</v>
      </c>
    </row>
    <row r="8361" spans="1:13" x14ac:dyDescent="0.25">
      <c r="A8361" s="1" t="str">
        <f>HYPERLINK("http://www.rosaceae.org/Prunus/Prunus_persica/p.persica_gdr_reftransV1_0001431","p.persica_gdr_reftransV1_0001431")</f>
        <v>p.persica_gdr_reftransV1_0001431</v>
      </c>
      <c r="B8361" s="3">
        <v>584</v>
      </c>
      <c r="C8361" s="1" t="str">
        <f>HYPERLINK("http://www.uniprot.org/uniprot/RL18_AROAE","RL18_AROAE")</f>
        <v>RL18_AROAE</v>
      </c>
      <c r="D8361" t="s">
        <v>3578</v>
      </c>
      <c r="E8361" s="3" t="s">
        <v>3579</v>
      </c>
      <c r="F8361" s="4">
        <v>2.2999999999999999E-9</v>
      </c>
      <c r="G8361" s="3">
        <v>134</v>
      </c>
      <c r="H8361" s="3">
        <v>33</v>
      </c>
      <c r="I8361" s="3">
        <v>98</v>
      </c>
      <c r="J8361" s="3">
        <v>84</v>
      </c>
      <c r="K8361" s="3">
        <v>377</v>
      </c>
      <c r="L8361" s="3">
        <v>21</v>
      </c>
      <c r="M8361" s="3">
        <v>117</v>
      </c>
    </row>
    <row r="8362" spans="1:13" x14ac:dyDescent="0.25">
      <c r="A8362" s="1" t="str">
        <f>HYPERLINK("http://www.rosaceae.org/Prunus/Prunus_persica/p.persica_gdr_reftransV1_0001681","p.persica_gdr_reftransV1_0001681")</f>
        <v>p.persica_gdr_reftransV1_0001681</v>
      </c>
      <c r="B8362" s="3">
        <v>3959</v>
      </c>
      <c r="C8362" s="1" t="str">
        <f>HYPERLINK("http://www.uniprot.org/uniprot/ACA1_ARATH","ACA1_ARATH")</f>
        <v>ACA1_ARATH</v>
      </c>
      <c r="D8362" t="s">
        <v>6470</v>
      </c>
      <c r="E8362" s="3" t="s">
        <v>3</v>
      </c>
      <c r="F8362" s="4">
        <v>0</v>
      </c>
      <c r="G8362" s="3">
        <v>4316</v>
      </c>
      <c r="H8362" s="3">
        <v>82</v>
      </c>
      <c r="I8362" s="3">
        <v>1017</v>
      </c>
      <c r="J8362" s="3">
        <v>395</v>
      </c>
      <c r="K8362" s="3">
        <v>3442</v>
      </c>
      <c r="L8362" s="3">
        <v>1</v>
      </c>
      <c r="M8362" s="3">
        <v>1017</v>
      </c>
    </row>
    <row r="8363" spans="1:13" x14ac:dyDescent="0.25">
      <c r="A8363" s="1" t="str">
        <f>HYPERLINK("http://www.rosaceae.org/Prunus/Prunus_persica/p.persica_gdr_reftransV1_0001831","p.persica_gdr_reftransV1_0001831")</f>
        <v>p.persica_gdr_reftransV1_0001831</v>
      </c>
      <c r="B8363" s="3">
        <v>1190</v>
      </c>
      <c r="C8363" s="1" t="str">
        <f>HYPERLINK("http://www.uniprot.org/uniprot/RING3_ARATH","RING3_ARATH")</f>
        <v>RING3_ARATH</v>
      </c>
      <c r="D8363" t="s">
        <v>4543</v>
      </c>
      <c r="E8363" s="3" t="s">
        <v>3</v>
      </c>
      <c r="F8363" s="4">
        <v>2.54E-17</v>
      </c>
      <c r="G8363" s="3">
        <v>207</v>
      </c>
      <c r="H8363" s="3">
        <v>39</v>
      </c>
      <c r="I8363" s="3">
        <v>112</v>
      </c>
      <c r="J8363" s="3">
        <v>336</v>
      </c>
      <c r="K8363" s="3">
        <v>617</v>
      </c>
      <c r="L8363" s="3">
        <v>117</v>
      </c>
      <c r="M8363" s="3">
        <v>228</v>
      </c>
    </row>
    <row r="8364" spans="1:13" x14ac:dyDescent="0.25">
      <c r="A8364" s="1" t="str">
        <f>HYPERLINK("http://www.rosaceae.org/Prunus/Prunus_persica/p.persica_gdr_reftransV1_0001881","p.persica_gdr_reftransV1_0001881")</f>
        <v>p.persica_gdr_reftransV1_0001881</v>
      </c>
      <c r="B8364" s="3">
        <v>372</v>
      </c>
      <c r="C8364" s="1" t="str">
        <f>HYPERLINK("http://www.uniprot.org/uniprot/AIR12_ARATH","AIR12_ARATH")</f>
        <v>AIR12_ARATH</v>
      </c>
      <c r="D8364" t="s">
        <v>4342</v>
      </c>
      <c r="E8364" s="3" t="s">
        <v>3</v>
      </c>
      <c r="F8364" s="4">
        <v>6.3300000000000002E-27</v>
      </c>
      <c r="G8364" s="3">
        <v>262</v>
      </c>
      <c r="H8364" s="3">
        <v>62</v>
      </c>
      <c r="I8364" s="3">
        <v>77</v>
      </c>
      <c r="J8364" s="3">
        <v>139</v>
      </c>
      <c r="K8364" s="3">
        <v>366</v>
      </c>
      <c r="L8364" s="3">
        <v>29</v>
      </c>
      <c r="M8364" s="3">
        <v>105</v>
      </c>
    </row>
    <row r="8365" spans="1:13" x14ac:dyDescent="0.25">
      <c r="A8365" s="1" t="str">
        <f>HYPERLINK("http://www.rosaceae.org/Prunus/Prunus_persica/p.persica_gdr_reftransV1_0001931","p.persica_gdr_reftransV1_0001931")</f>
        <v>p.persica_gdr_reftransV1_0001931</v>
      </c>
      <c r="B8365" s="3">
        <v>324</v>
      </c>
      <c r="C8365" s="1" t="str">
        <f>HYPERLINK("http://www.uniprot.org/uniprot/Y1917_SYNY3","Y1917_SYNY3")</f>
        <v>Y1917_SYNY3</v>
      </c>
      <c r="D8365" t="s">
        <v>5423</v>
      </c>
      <c r="E8365" s="3" t="s">
        <v>527</v>
      </c>
      <c r="F8365" s="4">
        <v>4.9600000000000001E-8</v>
      </c>
      <c r="G8365" s="3">
        <v>127</v>
      </c>
      <c r="H8365" s="3">
        <v>51</v>
      </c>
      <c r="I8365" s="3">
        <v>47</v>
      </c>
      <c r="J8365" s="3">
        <v>171</v>
      </c>
      <c r="K8365" s="3">
        <v>311</v>
      </c>
      <c r="L8365" s="3">
        <v>11</v>
      </c>
      <c r="M8365" s="3">
        <v>55</v>
      </c>
    </row>
    <row r="8366" spans="1:13" x14ac:dyDescent="0.25">
      <c r="A8366" s="1" t="str">
        <f>HYPERLINK("http://www.rosaceae.org/Prunus/Prunus_persica/p.persica_gdr_reftransV1_0001981","p.persica_gdr_reftransV1_0001981")</f>
        <v>p.persica_gdr_reftransV1_0001981</v>
      </c>
      <c r="B8366" s="3">
        <v>2122</v>
      </c>
      <c r="C8366" s="1" t="str">
        <f>HYPERLINK("http://www.uniprot.org/uniprot/RA212_ARATH","RA212_ARATH")</f>
        <v>RA212_ARATH</v>
      </c>
      <c r="D8366" t="s">
        <v>6471</v>
      </c>
      <c r="E8366" s="3" t="s">
        <v>3</v>
      </c>
      <c r="F8366" s="4">
        <v>5.48E-76</v>
      </c>
      <c r="G8366" s="3">
        <v>650</v>
      </c>
      <c r="H8366" s="3">
        <v>48</v>
      </c>
      <c r="I8366" s="3">
        <v>402</v>
      </c>
      <c r="J8366" s="3">
        <v>150</v>
      </c>
      <c r="K8366" s="3">
        <v>1295</v>
      </c>
      <c r="L8366" s="3">
        <v>1</v>
      </c>
      <c r="M8366" s="3">
        <v>358</v>
      </c>
    </row>
    <row r="8367" spans="1:13" x14ac:dyDescent="0.25">
      <c r="A8367" s="1" t="str">
        <f>HYPERLINK("http://www.rosaceae.org/Prunus/Prunus_persica/p.persica_gdr_reftransV1_0002031","p.persica_gdr_reftransV1_0002031")</f>
        <v>p.persica_gdr_reftransV1_0002031</v>
      </c>
      <c r="B8367" s="3">
        <v>1162</v>
      </c>
      <c r="C8367" s="1" t="str">
        <f>HYPERLINK("http://www.uniprot.org/uniprot/AOX2_SOYBN","AOX2_SOYBN")</f>
        <v>AOX2_SOYBN</v>
      </c>
      <c r="D8367" t="s">
        <v>6472</v>
      </c>
      <c r="E8367" s="3" t="s">
        <v>307</v>
      </c>
      <c r="F8367" s="4">
        <v>6.4499999999999998E-170</v>
      </c>
      <c r="G8367" s="3">
        <v>1249</v>
      </c>
      <c r="H8367" s="3">
        <v>89</v>
      </c>
      <c r="I8367" s="3">
        <v>254</v>
      </c>
      <c r="J8367" s="3">
        <v>203</v>
      </c>
      <c r="K8367" s="3">
        <v>964</v>
      </c>
      <c r="L8367" s="3">
        <v>80</v>
      </c>
      <c r="M8367" s="3">
        <v>333</v>
      </c>
    </row>
    <row r="8368" spans="1:13" x14ac:dyDescent="0.25">
      <c r="A8368" s="1" t="str">
        <f>HYPERLINK("http://www.rosaceae.org/Prunus/Prunus_persica/p.persica_gdr_reftransV1_0002081","p.persica_gdr_reftransV1_0002081")</f>
        <v>p.persica_gdr_reftransV1_0002081</v>
      </c>
      <c r="B8368" s="3">
        <v>2784</v>
      </c>
      <c r="C8368" s="1" t="str">
        <f>HYPERLINK("http://www.uniprot.org/uniprot/AB28B_ARATH","AB28B_ARATH")</f>
        <v>AB28B_ARATH</v>
      </c>
      <c r="D8368" t="s">
        <v>4595</v>
      </c>
      <c r="E8368" s="3" t="s">
        <v>3</v>
      </c>
      <c r="F8368" s="4">
        <v>0</v>
      </c>
      <c r="G8368" s="3">
        <v>1891</v>
      </c>
      <c r="H8368" s="3">
        <v>79</v>
      </c>
      <c r="I8368" s="3">
        <v>480</v>
      </c>
      <c r="J8368" s="3">
        <v>1017</v>
      </c>
      <c r="K8368" s="3">
        <v>2456</v>
      </c>
      <c r="L8368" s="3">
        <v>235</v>
      </c>
      <c r="M8368" s="3">
        <v>714</v>
      </c>
    </row>
    <row r="8369" spans="1:13" x14ac:dyDescent="0.25">
      <c r="A8369" s="1" t="str">
        <f>HYPERLINK("http://www.rosaceae.org/Prunus/Prunus_persica/p.persica_gdr_reftransV1_0002181","p.persica_gdr_reftransV1_0002181")</f>
        <v>p.persica_gdr_reftransV1_0002181</v>
      </c>
      <c r="B8369" s="3">
        <v>488</v>
      </c>
      <c r="C8369" s="1" t="str">
        <f>HYPERLINK("http://www.uniprot.org/uniprot/UGT2_GARJA","UGT2_GARJA")</f>
        <v>UGT2_GARJA</v>
      </c>
      <c r="D8369" t="s">
        <v>927</v>
      </c>
      <c r="E8369" s="3" t="s">
        <v>624</v>
      </c>
      <c r="F8369" s="4">
        <v>1.7200000000000001E-45</v>
      </c>
      <c r="G8369" s="3">
        <v>405</v>
      </c>
      <c r="H8369" s="3">
        <v>56</v>
      </c>
      <c r="I8369" s="3">
        <v>162</v>
      </c>
      <c r="J8369" s="3">
        <v>3</v>
      </c>
      <c r="K8369" s="3">
        <v>488</v>
      </c>
      <c r="L8369" s="3">
        <v>49</v>
      </c>
      <c r="M8369" s="3">
        <v>207</v>
      </c>
    </row>
    <row r="8370" spans="1:13" x14ac:dyDescent="0.25">
      <c r="A8370" s="1" t="str">
        <f>HYPERLINK("http://www.rosaceae.org/Prunus/Prunus_persica/p.persica_gdr_reftransV1_0002231","p.persica_gdr_reftransV1_0002231")</f>
        <v>p.persica_gdr_reftransV1_0002231</v>
      </c>
      <c r="B8370" s="3">
        <v>1840</v>
      </c>
      <c r="C8370" s="1" t="str">
        <f>HYPERLINK("http://www.uniprot.org/uniprot/GAT24_ARATH","GAT24_ARATH")</f>
        <v>GAT24_ARATH</v>
      </c>
      <c r="D8370" t="s">
        <v>595</v>
      </c>
      <c r="E8370" s="3" t="s">
        <v>3</v>
      </c>
      <c r="F8370" s="4">
        <v>1.4400000000000001E-60</v>
      </c>
      <c r="G8370" s="3">
        <v>533</v>
      </c>
      <c r="H8370" s="3">
        <v>62</v>
      </c>
      <c r="I8370" s="3">
        <v>179</v>
      </c>
      <c r="J8370" s="3">
        <v>536</v>
      </c>
      <c r="K8370" s="3">
        <v>1045</v>
      </c>
      <c r="L8370" s="3">
        <v>78</v>
      </c>
      <c r="M8370" s="3">
        <v>253</v>
      </c>
    </row>
    <row r="8371" spans="1:13" x14ac:dyDescent="0.25">
      <c r="A8371" s="1" t="str">
        <f>HYPERLINK("http://www.rosaceae.org/Prunus/Prunus_persica/p.persica_gdr_reftransV1_0002281","p.persica_gdr_reftransV1_0002281")</f>
        <v>p.persica_gdr_reftransV1_0002281</v>
      </c>
      <c r="B8371" s="3">
        <v>1251</v>
      </c>
      <c r="C8371" s="1" t="str">
        <f>HYPERLINK("http://www.uniprot.org/uniprot/NAS_SOLLC","NAS_SOLLC")</f>
        <v>NAS_SOLLC</v>
      </c>
      <c r="D8371" t="s">
        <v>6473</v>
      </c>
      <c r="E8371" s="3" t="s">
        <v>64</v>
      </c>
      <c r="F8371" s="4">
        <v>8.1100000000000005E-151</v>
      </c>
      <c r="G8371" s="3">
        <v>1124</v>
      </c>
      <c r="H8371" s="3">
        <v>69</v>
      </c>
      <c r="I8371" s="3">
        <v>325</v>
      </c>
      <c r="J8371" s="3">
        <v>193</v>
      </c>
      <c r="K8371" s="3">
        <v>1161</v>
      </c>
      <c r="L8371" s="3">
        <v>2</v>
      </c>
      <c r="M8371" s="3">
        <v>317</v>
      </c>
    </row>
    <row r="8372" spans="1:13" x14ac:dyDescent="0.25">
      <c r="A8372" s="1" t="str">
        <f>HYPERLINK("http://www.rosaceae.org/Prunus/Prunus_persica/p.persica_gdr_reftransV1_0002331","p.persica_gdr_reftransV1_0002331")</f>
        <v>p.persica_gdr_reftransV1_0002331</v>
      </c>
      <c r="B8372" s="3">
        <v>903</v>
      </c>
      <c r="C8372" s="1" t="str">
        <f>HYPERLINK("http://www.uniprot.org/uniprot/PHBP_MEDTR","PHBP_MEDTR")</f>
        <v>PHBP_MEDTR</v>
      </c>
      <c r="D8372" t="s">
        <v>4013</v>
      </c>
      <c r="E8372" s="3" t="s">
        <v>91</v>
      </c>
      <c r="F8372" s="4">
        <v>3.7000000000000001E-25</v>
      </c>
      <c r="G8372" s="3">
        <v>257</v>
      </c>
      <c r="H8372" s="3">
        <v>43</v>
      </c>
      <c r="I8372" s="3">
        <v>129</v>
      </c>
      <c r="J8372" s="3">
        <v>115</v>
      </c>
      <c r="K8372" s="3">
        <v>495</v>
      </c>
      <c r="L8372" s="3">
        <v>2</v>
      </c>
      <c r="M8372" s="3">
        <v>126</v>
      </c>
    </row>
    <row r="8373" spans="1:13" x14ac:dyDescent="0.25">
      <c r="A8373" s="1" t="str">
        <f>HYPERLINK("http://www.rosaceae.org/Prunus/Prunus_persica/p.persica_gdr_reftransV1_0002381","p.persica_gdr_reftransV1_0002381")</f>
        <v>p.persica_gdr_reftransV1_0002381</v>
      </c>
      <c r="B8373" s="3">
        <v>1454</v>
      </c>
      <c r="C8373" s="1" t="str">
        <f>HYPERLINK("http://www.uniprot.org/uniprot/ADH_MALDO","ADH_MALDO")</f>
        <v>ADH_MALDO</v>
      </c>
      <c r="D8373" t="s">
        <v>1503</v>
      </c>
      <c r="E8373" s="3" t="s">
        <v>540</v>
      </c>
      <c r="F8373" s="4">
        <v>0</v>
      </c>
      <c r="G8373" s="3">
        <v>1626</v>
      </c>
      <c r="H8373" s="3">
        <v>84</v>
      </c>
      <c r="I8373" s="3">
        <v>380</v>
      </c>
      <c r="J8373" s="3">
        <v>113</v>
      </c>
      <c r="K8373" s="3">
        <v>1252</v>
      </c>
      <c r="L8373" s="3">
        <v>1</v>
      </c>
      <c r="M8373" s="3">
        <v>380</v>
      </c>
    </row>
    <row r="8374" spans="1:13" x14ac:dyDescent="0.25">
      <c r="A8374" s="1" t="str">
        <f>HYPERLINK("http://www.rosaceae.org/Prunus/Prunus_persica/p.persica_gdr_reftransV1_0002431","p.persica_gdr_reftransV1_0002431")</f>
        <v>p.persica_gdr_reftransV1_0002431</v>
      </c>
      <c r="B8374" s="3">
        <v>1198</v>
      </c>
      <c r="C8374" s="1" t="str">
        <f>HYPERLINK("http://www.uniprot.org/uniprot/GUAA_HELHP","GUAA_HELHP")</f>
        <v>GUAA_HELHP</v>
      </c>
      <c r="D8374" t="s">
        <v>5027</v>
      </c>
      <c r="E8374" s="3" t="s">
        <v>5028</v>
      </c>
      <c r="F8374" s="4">
        <v>6.3300000000000001E-43</v>
      </c>
      <c r="G8374" s="3">
        <v>420</v>
      </c>
      <c r="H8374" s="3">
        <v>39</v>
      </c>
      <c r="I8374" s="3">
        <v>204</v>
      </c>
      <c r="J8374" s="3">
        <v>229</v>
      </c>
      <c r="K8374" s="3">
        <v>825</v>
      </c>
      <c r="L8374" s="3">
        <v>774</v>
      </c>
      <c r="M8374" s="3">
        <v>977</v>
      </c>
    </row>
    <row r="8375" spans="1:13" x14ac:dyDescent="0.25">
      <c r="A8375" s="1" t="str">
        <f>HYPERLINK("http://www.rosaceae.org/Prunus/Prunus_persica/p.persica_gdr_reftransV1_0002481","p.persica_gdr_reftransV1_0002481")</f>
        <v>p.persica_gdr_reftransV1_0002481</v>
      </c>
      <c r="B8375" s="3">
        <v>955</v>
      </c>
      <c r="C8375" s="1" t="str">
        <f>HYPERLINK("http://www.uniprot.org/uniprot/PRPX_HORVU","PRPX_HORVU")</f>
        <v>PRPX_HORVU</v>
      </c>
      <c r="D8375" t="s">
        <v>6474</v>
      </c>
      <c r="E8375" s="3" t="s">
        <v>769</v>
      </c>
      <c r="F8375" s="4">
        <v>1.7500000000000001E-74</v>
      </c>
      <c r="G8375" s="3">
        <v>600</v>
      </c>
      <c r="H8375" s="3">
        <v>56</v>
      </c>
      <c r="I8375" s="3">
        <v>207</v>
      </c>
      <c r="J8375" s="3">
        <v>284</v>
      </c>
      <c r="K8375" s="3">
        <v>898</v>
      </c>
      <c r="L8375" s="3">
        <v>2</v>
      </c>
      <c r="M8375" s="3">
        <v>207</v>
      </c>
    </row>
    <row r="8376" spans="1:13" x14ac:dyDescent="0.25">
      <c r="A8376" s="1" t="str">
        <f>HYPERLINK("http://www.rosaceae.org/Prunus/Prunus_persica/p.persica_gdr_reftransV1_0002531","p.persica_gdr_reftransV1_0002531")</f>
        <v>p.persica_gdr_reftransV1_0002531</v>
      </c>
      <c r="B8376" s="3">
        <v>731</v>
      </c>
      <c r="C8376" s="1" t="str">
        <f>HYPERLINK("http://www.uniprot.org/uniprot/C2D61_ARATH","C2D61_ARATH")</f>
        <v>C2D61_ARATH</v>
      </c>
      <c r="D8376" t="s">
        <v>6475</v>
      </c>
      <c r="E8376" s="3" t="s">
        <v>3</v>
      </c>
      <c r="F8376" s="4">
        <v>3.5900000000000001E-96</v>
      </c>
      <c r="G8376" s="3">
        <v>777</v>
      </c>
      <c r="H8376" s="3">
        <v>66</v>
      </c>
      <c r="I8376" s="3">
        <v>234</v>
      </c>
      <c r="J8376" s="3">
        <v>29</v>
      </c>
      <c r="K8376" s="3">
        <v>730</v>
      </c>
      <c r="L8376" s="3">
        <v>255</v>
      </c>
      <c r="M8376" s="3">
        <v>486</v>
      </c>
    </row>
    <row r="8377" spans="1:13" x14ac:dyDescent="0.25">
      <c r="A8377" s="1" t="str">
        <f>HYPERLINK("http://www.rosaceae.org/Prunus/Prunus_persica/p.persica_gdr_reftransV1_0002581","p.persica_gdr_reftransV1_0002581")</f>
        <v>p.persica_gdr_reftransV1_0002581</v>
      </c>
      <c r="B8377" s="3">
        <v>807</v>
      </c>
      <c r="C8377" s="1" t="str">
        <f>HYPERLINK("http://www.uniprot.org/uniprot/RBP45_NICPL","RBP45_NICPL")</f>
        <v>RBP45_NICPL</v>
      </c>
      <c r="D8377" t="s">
        <v>1449</v>
      </c>
      <c r="E8377" s="3" t="s">
        <v>1450</v>
      </c>
      <c r="F8377" s="4">
        <v>5.2000000000000002E-83</v>
      </c>
      <c r="G8377" s="3">
        <v>667</v>
      </c>
      <c r="H8377" s="3">
        <v>76</v>
      </c>
      <c r="I8377" s="3">
        <v>161</v>
      </c>
      <c r="J8377" s="3">
        <v>1</v>
      </c>
      <c r="K8377" s="3">
        <v>483</v>
      </c>
      <c r="L8377" s="3">
        <v>80</v>
      </c>
      <c r="M8377" s="3">
        <v>239</v>
      </c>
    </row>
    <row r="8378" spans="1:13" x14ac:dyDescent="0.25">
      <c r="A8378" s="1" t="str">
        <f>HYPERLINK("http://www.rosaceae.org/Prunus/Prunus_persica/p.persica_gdr_reftransV1_0002731","p.persica_gdr_reftransV1_0002731")</f>
        <v>p.persica_gdr_reftransV1_0002731</v>
      </c>
      <c r="B8378" s="3">
        <v>483</v>
      </c>
      <c r="C8378" s="1" t="str">
        <f>HYPERLINK("http://www.uniprot.org/uniprot/FLA20_ARATH","FLA20_ARATH")</f>
        <v>FLA20_ARATH</v>
      </c>
      <c r="D8378" t="s">
        <v>3535</v>
      </c>
      <c r="E8378" s="3" t="s">
        <v>3</v>
      </c>
      <c r="F8378" s="4">
        <v>6.82E-25</v>
      </c>
      <c r="G8378" s="3">
        <v>255</v>
      </c>
      <c r="H8378" s="3">
        <v>43</v>
      </c>
      <c r="I8378" s="3">
        <v>122</v>
      </c>
      <c r="J8378" s="3">
        <v>119</v>
      </c>
      <c r="K8378" s="3">
        <v>481</v>
      </c>
      <c r="L8378" s="3">
        <v>257</v>
      </c>
      <c r="M8378" s="3">
        <v>378</v>
      </c>
    </row>
    <row r="8379" spans="1:13" x14ac:dyDescent="0.25">
      <c r="A8379" s="1" t="str">
        <f>HYPERLINK("http://www.rosaceae.org/Prunus/Prunus_persica/p.persica_gdr_reftransV1_0002931","p.persica_gdr_reftransV1_0002931")</f>
        <v>p.persica_gdr_reftransV1_0002931</v>
      </c>
      <c r="B8379" s="3">
        <v>369</v>
      </c>
      <c r="C8379" s="1" t="str">
        <f>HYPERLINK("http://www.uniprot.org/uniprot/CCD7_ARATH","CCD7_ARATH")</f>
        <v>CCD7_ARATH</v>
      </c>
      <c r="D8379" t="s">
        <v>6476</v>
      </c>
      <c r="E8379" s="3" t="s">
        <v>3</v>
      </c>
      <c r="F8379" s="4">
        <v>1.9000000000000001E-15</v>
      </c>
      <c r="G8379" s="3">
        <v>186</v>
      </c>
      <c r="H8379" s="3">
        <v>54</v>
      </c>
      <c r="I8379" s="3">
        <v>95</v>
      </c>
      <c r="J8379" s="3">
        <v>87</v>
      </c>
      <c r="K8379" s="3">
        <v>365</v>
      </c>
      <c r="L8379" s="3">
        <v>13</v>
      </c>
      <c r="M8379" s="3">
        <v>102</v>
      </c>
    </row>
    <row r="8380" spans="1:13" x14ac:dyDescent="0.25">
      <c r="A8380" s="1" t="str">
        <f>HYPERLINK("http://www.rosaceae.org/Prunus/Prunus_persica/p.persica_gdr_reftransV1_0002981","p.persica_gdr_reftransV1_0002981")</f>
        <v>p.persica_gdr_reftransV1_0002981</v>
      </c>
      <c r="B8380" s="3">
        <v>564</v>
      </c>
      <c r="C8380" s="1" t="str">
        <f>HYPERLINK("http://www.uniprot.org/uniprot/IAMT1_ARATH","IAMT1_ARATH")</f>
        <v>IAMT1_ARATH</v>
      </c>
      <c r="D8380" t="s">
        <v>1065</v>
      </c>
      <c r="E8380" s="3" t="s">
        <v>3</v>
      </c>
      <c r="F8380" s="4">
        <v>2.93E-57</v>
      </c>
      <c r="G8380" s="3">
        <v>484</v>
      </c>
      <c r="H8380" s="3">
        <v>72</v>
      </c>
      <c r="I8380" s="3">
        <v>125</v>
      </c>
      <c r="J8380" s="3">
        <v>2</v>
      </c>
      <c r="K8380" s="3">
        <v>376</v>
      </c>
      <c r="L8380" s="3">
        <v>261</v>
      </c>
      <c r="M8380" s="3">
        <v>385</v>
      </c>
    </row>
    <row r="8381" spans="1:13" x14ac:dyDescent="0.25">
      <c r="A8381" s="1" t="str">
        <f>HYPERLINK("http://www.rosaceae.org/Prunus/Prunus_persica/p.persica_gdr_reftransV1_0003131","p.persica_gdr_reftransV1_0003131")</f>
        <v>p.persica_gdr_reftransV1_0003131</v>
      </c>
      <c r="B8381" s="3">
        <v>1334</v>
      </c>
      <c r="C8381" s="1" t="str">
        <f>HYPERLINK("http://www.uniprot.org/uniprot/CRSP_ARATH","CRSP_ARATH")</f>
        <v>CRSP_ARATH</v>
      </c>
      <c r="D8381" t="s">
        <v>1526</v>
      </c>
      <c r="E8381" s="3" t="s">
        <v>3</v>
      </c>
      <c r="F8381" s="4">
        <v>5.69E-119</v>
      </c>
      <c r="G8381" s="3">
        <v>954</v>
      </c>
      <c r="H8381" s="3">
        <v>53</v>
      </c>
      <c r="I8381" s="3">
        <v>351</v>
      </c>
      <c r="J8381" s="3">
        <v>20</v>
      </c>
      <c r="K8381" s="3">
        <v>1060</v>
      </c>
      <c r="L8381" s="3">
        <v>67</v>
      </c>
      <c r="M8381" s="3">
        <v>408</v>
      </c>
    </row>
    <row r="8382" spans="1:13" x14ac:dyDescent="0.25">
      <c r="A8382" s="1" t="str">
        <f>HYPERLINK("http://www.rosaceae.org/Prunus/Prunus_persica/p.persica_gdr_reftransV1_0003231","p.persica_gdr_reftransV1_0003231")</f>
        <v>p.persica_gdr_reftransV1_0003231</v>
      </c>
      <c r="B8382" s="3">
        <v>1557</v>
      </c>
      <c r="C8382" s="1" t="str">
        <f>HYPERLINK("http://www.uniprot.org/uniprot/BH092_ARATH","BH092_ARATH")</f>
        <v>BH092_ARATH</v>
      </c>
      <c r="D8382" t="s">
        <v>6477</v>
      </c>
      <c r="E8382" s="3" t="s">
        <v>3</v>
      </c>
      <c r="F8382" s="4">
        <v>5.8600000000000002E-39</v>
      </c>
      <c r="G8382" s="3">
        <v>371</v>
      </c>
      <c r="H8382" s="3">
        <v>46</v>
      </c>
      <c r="I8382" s="3">
        <v>182</v>
      </c>
      <c r="J8382" s="3">
        <v>827</v>
      </c>
      <c r="K8382" s="3">
        <v>1372</v>
      </c>
      <c r="L8382" s="3">
        <v>59</v>
      </c>
      <c r="M8382" s="3">
        <v>237</v>
      </c>
    </row>
    <row r="8383" spans="1:13" x14ac:dyDescent="0.25">
      <c r="A8383" s="1" t="str">
        <f>HYPERLINK("http://www.rosaceae.org/Prunus/Prunus_persica/p.persica_gdr_reftransV1_0003281","p.persica_gdr_reftransV1_0003281")</f>
        <v>p.persica_gdr_reftransV1_0003281</v>
      </c>
      <c r="B8383" s="3">
        <v>815</v>
      </c>
      <c r="C8383" s="1" t="str">
        <f>HYPERLINK("http://www.uniprot.org/uniprot/ASIL2_ARATH","ASIL2_ARATH")</f>
        <v>ASIL2_ARATH</v>
      </c>
      <c r="D8383" t="s">
        <v>1243</v>
      </c>
      <c r="E8383" s="3" t="s">
        <v>3</v>
      </c>
      <c r="F8383" s="4">
        <v>2.3699999999999999E-9</v>
      </c>
      <c r="G8383" s="3">
        <v>146</v>
      </c>
      <c r="H8383" s="3">
        <v>58</v>
      </c>
      <c r="I8383" s="3">
        <v>48</v>
      </c>
      <c r="J8383" s="3">
        <v>225</v>
      </c>
      <c r="K8383" s="3">
        <v>368</v>
      </c>
      <c r="L8383" s="3">
        <v>353</v>
      </c>
      <c r="M8383" s="3">
        <v>400</v>
      </c>
    </row>
    <row r="8384" spans="1:13" x14ac:dyDescent="0.25">
      <c r="A8384" s="1" t="str">
        <f>HYPERLINK("http://www.rosaceae.org/Prunus/Prunus_persica/p.persica_gdr_reftransV1_0003331","p.persica_gdr_reftransV1_0003331")</f>
        <v>p.persica_gdr_reftransV1_0003331</v>
      </c>
      <c r="B8384" s="3">
        <v>409</v>
      </c>
      <c r="C8384" s="1" t="str">
        <f>HYPERLINK("http://www.uniprot.org/uniprot/GUN9_ORYSJ","GUN9_ORYSJ")</f>
        <v>GUN9_ORYSJ</v>
      </c>
      <c r="D8384" t="s">
        <v>4452</v>
      </c>
      <c r="E8384" s="3" t="s">
        <v>38</v>
      </c>
      <c r="F8384" s="4">
        <v>6.1900000000000001E-51</v>
      </c>
      <c r="G8384" s="3">
        <v>445</v>
      </c>
      <c r="H8384" s="3">
        <v>70</v>
      </c>
      <c r="I8384" s="3">
        <v>137</v>
      </c>
      <c r="J8384" s="3">
        <v>3</v>
      </c>
      <c r="K8384" s="3">
        <v>407</v>
      </c>
      <c r="L8384" s="3">
        <v>321</v>
      </c>
      <c r="M8384" s="3">
        <v>448</v>
      </c>
    </row>
    <row r="8385" spans="1:13" x14ac:dyDescent="0.25">
      <c r="A8385" s="1" t="str">
        <f>HYPERLINK("http://www.rosaceae.org/Prunus/Prunus_persica/p.persica_gdr_reftransV1_0003481","p.persica_gdr_reftransV1_0003481")</f>
        <v>p.persica_gdr_reftransV1_0003481</v>
      </c>
      <c r="B8385" s="3">
        <v>1902</v>
      </c>
      <c r="C8385" s="1" t="str">
        <f>HYPERLINK("http://www.uniprot.org/uniprot/MASY_GOSHI","MASY_GOSHI")</f>
        <v>MASY_GOSHI</v>
      </c>
      <c r="D8385" t="s">
        <v>6478</v>
      </c>
      <c r="E8385" s="3" t="s">
        <v>816</v>
      </c>
      <c r="F8385" s="4">
        <v>0</v>
      </c>
      <c r="G8385" s="3">
        <v>2634</v>
      </c>
      <c r="H8385" s="3">
        <v>85</v>
      </c>
      <c r="I8385" s="3">
        <v>574</v>
      </c>
      <c r="J8385" s="3">
        <v>64</v>
      </c>
      <c r="K8385" s="3">
        <v>1782</v>
      </c>
      <c r="L8385" s="3">
        <v>1</v>
      </c>
      <c r="M8385" s="3">
        <v>567</v>
      </c>
    </row>
    <row r="8386" spans="1:13" x14ac:dyDescent="0.25">
      <c r="A8386" s="1" t="str">
        <f>HYPERLINK("http://www.rosaceae.org/Prunus/Prunus_persica/p.persica_gdr_reftransV1_0003681","p.persica_gdr_reftransV1_0003681")</f>
        <v>p.persica_gdr_reftransV1_0003681</v>
      </c>
      <c r="B8386" s="3">
        <v>1117</v>
      </c>
      <c r="C8386" s="1" t="str">
        <f>HYPERLINK("http://www.uniprot.org/uniprot/GSTF_HYOMU","GSTF_HYOMU")</f>
        <v>GSTF_HYOMU</v>
      </c>
      <c r="D8386" t="s">
        <v>5241</v>
      </c>
      <c r="E8386" s="3" t="s">
        <v>2407</v>
      </c>
      <c r="F8386" s="4">
        <v>1.46E-62</v>
      </c>
      <c r="G8386" s="3">
        <v>523</v>
      </c>
      <c r="H8386" s="3">
        <v>46</v>
      </c>
      <c r="I8386" s="3">
        <v>212</v>
      </c>
      <c r="J8386" s="3">
        <v>157</v>
      </c>
      <c r="K8386" s="3">
        <v>792</v>
      </c>
      <c r="L8386" s="3">
        <v>3</v>
      </c>
      <c r="M8386" s="3">
        <v>212</v>
      </c>
    </row>
    <row r="8387" spans="1:13" x14ac:dyDescent="0.25">
      <c r="A8387" s="1" t="str">
        <f>HYPERLINK("http://www.rosaceae.org/Prunus/Prunus_persica/p.persica_gdr_reftransV1_0003831","p.persica_gdr_reftransV1_0003831")</f>
        <v>p.persica_gdr_reftransV1_0003831</v>
      </c>
      <c r="B8387" s="3">
        <v>620</v>
      </c>
      <c r="C8387" s="1" t="str">
        <f>HYPERLINK("http://www.uniprot.org/uniprot/TMVRN_NICGU","TMVRN_NICGU")</f>
        <v>TMVRN_NICGU</v>
      </c>
      <c r="D8387" t="s">
        <v>151</v>
      </c>
      <c r="E8387" s="3" t="s">
        <v>152</v>
      </c>
      <c r="F8387" s="4">
        <v>1.61E-43</v>
      </c>
      <c r="G8387" s="3">
        <v>407</v>
      </c>
      <c r="H8387" s="3">
        <v>48</v>
      </c>
      <c r="I8387" s="3">
        <v>167</v>
      </c>
      <c r="J8387" s="3">
        <v>20</v>
      </c>
      <c r="K8387" s="3">
        <v>511</v>
      </c>
      <c r="L8387" s="3">
        <v>9</v>
      </c>
      <c r="M8387" s="3">
        <v>174</v>
      </c>
    </row>
    <row r="8388" spans="1:13" x14ac:dyDescent="0.25">
      <c r="A8388" s="1" t="str">
        <f>HYPERLINK("http://www.rosaceae.org/Prunus/Prunus_persica/p.persica_gdr_reftransV1_0003981","p.persica_gdr_reftransV1_0003981")</f>
        <v>p.persica_gdr_reftransV1_0003981</v>
      </c>
      <c r="B8388" s="3">
        <v>1351</v>
      </c>
      <c r="C8388" s="1" t="str">
        <f>HYPERLINK("http://www.uniprot.org/uniprot/RL15_METRJ","RL15_METRJ")</f>
        <v>RL15_METRJ</v>
      </c>
      <c r="D8388" t="s">
        <v>6479</v>
      </c>
      <c r="E8388" s="3" t="s">
        <v>6480</v>
      </c>
      <c r="F8388" s="4">
        <v>6.4000000000000002E-24</v>
      </c>
      <c r="G8388" s="3">
        <v>253</v>
      </c>
      <c r="H8388" s="3">
        <v>48</v>
      </c>
      <c r="I8388" s="3">
        <v>120</v>
      </c>
      <c r="J8388" s="3">
        <v>536</v>
      </c>
      <c r="K8388" s="3">
        <v>892</v>
      </c>
      <c r="L8388" s="3">
        <v>36</v>
      </c>
      <c r="M8388" s="3">
        <v>152</v>
      </c>
    </row>
    <row r="8389" spans="1:13" x14ac:dyDescent="0.25">
      <c r="A8389" s="1" t="str">
        <f>HYPERLINK("http://www.rosaceae.org/Prunus/Prunus_persica/p.persica_gdr_reftransV1_0004081","p.persica_gdr_reftransV1_0004081")</f>
        <v>p.persica_gdr_reftransV1_0004081</v>
      </c>
      <c r="B8389" s="3">
        <v>3094</v>
      </c>
      <c r="C8389" s="1" t="str">
        <f>HYPERLINK("http://www.uniprot.org/uniprot/C2D61_ARATH","C2D61_ARATH")</f>
        <v>C2D61_ARATH</v>
      </c>
      <c r="D8389" t="s">
        <v>6475</v>
      </c>
      <c r="E8389" s="3" t="s">
        <v>3</v>
      </c>
      <c r="F8389" s="4">
        <v>0</v>
      </c>
      <c r="G8389" s="3">
        <v>1636</v>
      </c>
      <c r="H8389" s="3">
        <v>82</v>
      </c>
      <c r="I8389" s="3">
        <v>360</v>
      </c>
      <c r="J8389" s="3">
        <v>90</v>
      </c>
      <c r="K8389" s="3">
        <v>1169</v>
      </c>
      <c r="L8389" s="3">
        <v>6</v>
      </c>
      <c r="M8389" s="3">
        <v>365</v>
      </c>
    </row>
    <row r="8390" spans="1:13" x14ac:dyDescent="0.25">
      <c r="A8390" s="1" t="str">
        <f>HYPERLINK("http://www.rosaceae.org/Prunus/Prunus_persica/p.persica_gdr_reftransV1_0004131","p.persica_gdr_reftransV1_0004131")</f>
        <v>p.persica_gdr_reftransV1_0004131</v>
      </c>
      <c r="B8390" s="3">
        <v>1507</v>
      </c>
      <c r="C8390" s="1" t="str">
        <f>HYPERLINK("http://www.uniprot.org/uniprot/TDX_ARATH","TDX_ARATH")</f>
        <v>TDX_ARATH</v>
      </c>
      <c r="D8390" t="s">
        <v>1390</v>
      </c>
      <c r="E8390" s="3" t="s">
        <v>3</v>
      </c>
      <c r="F8390" s="4">
        <v>5.0099999999999999E-170</v>
      </c>
      <c r="G8390" s="3">
        <v>1266</v>
      </c>
      <c r="H8390" s="3">
        <v>67</v>
      </c>
      <c r="I8390" s="3">
        <v>382</v>
      </c>
      <c r="J8390" s="3">
        <v>334</v>
      </c>
      <c r="K8390" s="3">
        <v>1479</v>
      </c>
      <c r="L8390" s="3">
        <v>2</v>
      </c>
      <c r="M8390" s="3">
        <v>379</v>
      </c>
    </row>
    <row r="8391" spans="1:13" x14ac:dyDescent="0.25">
      <c r="A8391" s="1" t="str">
        <f>HYPERLINK("http://www.rosaceae.org/Prunus/Prunus_persica/p.persica_gdr_reftransV1_0004181","p.persica_gdr_reftransV1_0004181")</f>
        <v>p.persica_gdr_reftransV1_0004181</v>
      </c>
      <c r="B8391" s="3">
        <v>2631</v>
      </c>
      <c r="C8391" s="1" t="str">
        <f>HYPERLINK("http://www.uniprot.org/uniprot/RGA1_SOLBU","RGA1_SOLBU")</f>
        <v>RGA1_SOLBU</v>
      </c>
      <c r="D8391" t="s">
        <v>559</v>
      </c>
      <c r="E8391" s="3" t="s">
        <v>560</v>
      </c>
      <c r="F8391" s="4">
        <v>4.7500000000000002E-108</v>
      </c>
      <c r="G8391" s="3">
        <v>929</v>
      </c>
      <c r="H8391" s="3">
        <v>39</v>
      </c>
      <c r="I8391" s="3">
        <v>652</v>
      </c>
      <c r="J8391" s="3">
        <v>688</v>
      </c>
      <c r="K8391" s="3">
        <v>2628</v>
      </c>
      <c r="L8391" s="3">
        <v>23</v>
      </c>
      <c r="M8391" s="3">
        <v>625</v>
      </c>
    </row>
    <row r="8392" spans="1:13" x14ac:dyDescent="0.25">
      <c r="A8392" s="1" t="str">
        <f>HYPERLINK("http://www.rosaceae.org/Prunus/Prunus_persica/p.persica_gdr_reftransV1_0004231","p.persica_gdr_reftransV1_0004231")</f>
        <v>p.persica_gdr_reftransV1_0004231</v>
      </c>
      <c r="B8392" s="3">
        <v>4242</v>
      </c>
      <c r="C8392" s="1" t="str">
        <f>HYPERLINK("http://www.uniprot.org/uniprot/Y1439_ARATH","Y1439_ARATH")</f>
        <v>Y1439_ARATH</v>
      </c>
      <c r="D8392" t="s">
        <v>558</v>
      </c>
      <c r="E8392" s="3" t="s">
        <v>3</v>
      </c>
      <c r="F8392" s="4">
        <v>0</v>
      </c>
      <c r="G8392" s="3">
        <v>2235</v>
      </c>
      <c r="H8392" s="3">
        <v>47</v>
      </c>
      <c r="I8392" s="3">
        <v>1007</v>
      </c>
      <c r="J8392" s="3">
        <v>1110</v>
      </c>
      <c r="K8392" s="3">
        <v>4106</v>
      </c>
      <c r="L8392" s="3">
        <v>1</v>
      </c>
      <c r="M8392" s="3">
        <v>995</v>
      </c>
    </row>
    <row r="8393" spans="1:13" x14ac:dyDescent="0.25">
      <c r="A8393" s="1" t="str">
        <f>HYPERLINK("http://www.rosaceae.org/Prunus/Prunus_persica/p.persica_gdr_reftransV1_0004331","p.persica_gdr_reftransV1_0004331")</f>
        <v>p.persica_gdr_reftransV1_0004331</v>
      </c>
      <c r="B8393" s="3">
        <v>1011</v>
      </c>
      <c r="C8393" s="1" t="str">
        <f>HYPERLINK("http://www.uniprot.org/uniprot/Y4757_DICDI","Y4757_DICDI")</f>
        <v>Y4757_DICDI</v>
      </c>
      <c r="D8393" t="s">
        <v>6481</v>
      </c>
      <c r="E8393" s="3" t="s">
        <v>9</v>
      </c>
      <c r="F8393" s="4">
        <v>4.5999999999999998E-16</v>
      </c>
      <c r="G8393" s="3">
        <v>133</v>
      </c>
      <c r="H8393" s="3">
        <v>42</v>
      </c>
      <c r="I8393" s="3">
        <v>66</v>
      </c>
      <c r="J8393" s="3">
        <v>192</v>
      </c>
      <c r="K8393" s="3">
        <v>383</v>
      </c>
      <c r="L8393" s="3">
        <v>701</v>
      </c>
      <c r="M8393" s="3">
        <v>766</v>
      </c>
    </row>
    <row r="8394" spans="1:13" x14ac:dyDescent="0.25">
      <c r="A8394" s="1" t="str">
        <f>HYPERLINK("http://www.rosaceae.org/Prunus/Prunus_persica/p.persica_gdr_reftransV1_0004381","p.persica_gdr_reftransV1_0004381")</f>
        <v>p.persica_gdr_reftransV1_0004381</v>
      </c>
      <c r="B8394" s="3">
        <v>1874</v>
      </c>
      <c r="C8394" s="1" t="str">
        <f>HYPERLINK("http://www.uniprot.org/uniprot/C04C1_PINTA","C04C1_PINTA")</f>
        <v>C04C1_PINTA</v>
      </c>
      <c r="D8394" t="s">
        <v>2983</v>
      </c>
      <c r="E8394" s="3" t="s">
        <v>1</v>
      </c>
      <c r="F8394" s="4">
        <v>1.09E-166</v>
      </c>
      <c r="G8394" s="3">
        <v>1270</v>
      </c>
      <c r="H8394" s="3">
        <v>51</v>
      </c>
      <c r="I8394" s="3">
        <v>480</v>
      </c>
      <c r="J8394" s="3">
        <v>118</v>
      </c>
      <c r="K8394" s="3">
        <v>1524</v>
      </c>
      <c r="L8394" s="3">
        <v>36</v>
      </c>
      <c r="M8394" s="3">
        <v>514</v>
      </c>
    </row>
    <row r="8395" spans="1:13" x14ac:dyDescent="0.25">
      <c r="A8395" s="1" t="str">
        <f>HYPERLINK("http://www.rosaceae.org/Prunus/Prunus_persica/p.persica_gdr_reftransV1_0004481","p.persica_gdr_reftransV1_0004481")</f>
        <v>p.persica_gdr_reftransV1_0004481</v>
      </c>
      <c r="B8395" s="3">
        <v>1461</v>
      </c>
      <c r="C8395" s="1" t="str">
        <f>HYPERLINK("http://www.uniprot.org/uniprot/CIRBP_XENTR","CIRBP_XENTR")</f>
        <v>CIRBP_XENTR</v>
      </c>
      <c r="D8395" t="s">
        <v>1819</v>
      </c>
      <c r="E8395" s="3" t="s">
        <v>173</v>
      </c>
      <c r="F8395" s="4">
        <v>2.5600000000000002E-13</v>
      </c>
      <c r="G8395" s="3">
        <v>176</v>
      </c>
      <c r="H8395" s="3">
        <v>44</v>
      </c>
      <c r="I8395" s="3">
        <v>79</v>
      </c>
      <c r="J8395" s="3">
        <v>91</v>
      </c>
      <c r="K8395" s="3">
        <v>324</v>
      </c>
      <c r="L8395" s="3">
        <v>4</v>
      </c>
      <c r="M8395" s="3">
        <v>82</v>
      </c>
    </row>
    <row r="8396" spans="1:13" x14ac:dyDescent="0.25">
      <c r="A8396" s="1" t="str">
        <f>HYPERLINK("http://www.rosaceae.org/Prunus/Prunus_persica/p.persica_gdr_reftransV1_0004531","p.persica_gdr_reftransV1_0004531")</f>
        <v>p.persica_gdr_reftransV1_0004531</v>
      </c>
      <c r="B8396" s="3">
        <v>672</v>
      </c>
      <c r="C8396" s="1" t="str">
        <f>HYPERLINK("http://www.uniprot.org/uniprot/CAF1K_ARATH","CAF1K_ARATH")</f>
        <v>CAF1K_ARATH</v>
      </c>
      <c r="D8396" t="s">
        <v>6482</v>
      </c>
      <c r="E8396" s="3" t="s">
        <v>3</v>
      </c>
      <c r="F8396" s="4">
        <v>1.7799999999999999E-69</v>
      </c>
      <c r="G8396" s="3">
        <v>561</v>
      </c>
      <c r="H8396" s="3">
        <v>69</v>
      </c>
      <c r="I8396" s="3">
        <v>159</v>
      </c>
      <c r="J8396" s="3">
        <v>199</v>
      </c>
      <c r="K8396" s="3">
        <v>672</v>
      </c>
      <c r="L8396" s="3">
        <v>121</v>
      </c>
      <c r="M8396" s="3">
        <v>275</v>
      </c>
    </row>
    <row r="8397" spans="1:13" x14ac:dyDescent="0.25">
      <c r="A8397" s="1" t="str">
        <f>HYPERLINK("http://www.rosaceae.org/Prunus/Prunus_persica/p.persica_gdr_reftransV1_0004631","p.persica_gdr_reftransV1_0004631")</f>
        <v>p.persica_gdr_reftransV1_0004631</v>
      </c>
      <c r="B8397" s="3">
        <v>3179</v>
      </c>
      <c r="C8397" s="1" t="str">
        <f>HYPERLINK("http://www.uniprot.org/uniprot/BRE1B_ARATH","BRE1B_ARATH")</f>
        <v>BRE1B_ARATH</v>
      </c>
      <c r="D8397" t="s">
        <v>2592</v>
      </c>
      <c r="E8397" s="3" t="s">
        <v>3</v>
      </c>
      <c r="F8397" s="4">
        <v>0</v>
      </c>
      <c r="G8397" s="3">
        <v>2452</v>
      </c>
      <c r="H8397" s="3">
        <v>58</v>
      </c>
      <c r="I8397" s="3">
        <v>899</v>
      </c>
      <c r="J8397" s="3">
        <v>192</v>
      </c>
      <c r="K8397" s="3">
        <v>2819</v>
      </c>
      <c r="L8397" s="3">
        <v>1</v>
      </c>
      <c r="M8397" s="3">
        <v>896</v>
      </c>
    </row>
    <row r="8398" spans="1:13" x14ac:dyDescent="0.25">
      <c r="A8398" s="1" t="str">
        <f>HYPERLINK("http://www.rosaceae.org/Prunus/Prunus_persica/p.persica_gdr_reftransV1_0004831","p.persica_gdr_reftransV1_0004831")</f>
        <v>p.persica_gdr_reftransV1_0004831</v>
      </c>
      <c r="B8398" s="3">
        <v>1695</v>
      </c>
      <c r="C8398" s="1" t="str">
        <f>HYPERLINK("http://www.uniprot.org/uniprot/FBL84_ARATH","FBL84_ARATH")</f>
        <v>FBL84_ARATH</v>
      </c>
      <c r="D8398" t="s">
        <v>6483</v>
      </c>
      <c r="E8398" s="3" t="s">
        <v>3</v>
      </c>
      <c r="F8398" s="4">
        <v>2.5600000000000001E-8</v>
      </c>
      <c r="G8398" s="3">
        <v>144</v>
      </c>
      <c r="H8398" s="3">
        <v>25</v>
      </c>
      <c r="I8398" s="3">
        <v>465</v>
      </c>
      <c r="J8398" s="3">
        <v>241</v>
      </c>
      <c r="K8398" s="3">
        <v>1506</v>
      </c>
      <c r="L8398" s="3">
        <v>5</v>
      </c>
      <c r="M8398" s="3">
        <v>416</v>
      </c>
    </row>
    <row r="8399" spans="1:13" x14ac:dyDescent="0.25">
      <c r="A8399" s="1" t="str">
        <f>HYPERLINK("http://www.rosaceae.org/Prunus/Prunus_persica/p.persica_gdr_reftransV1_0004881","p.persica_gdr_reftransV1_0004881")</f>
        <v>p.persica_gdr_reftransV1_0004881</v>
      </c>
      <c r="B8399" s="3">
        <v>5188</v>
      </c>
      <c r="C8399" s="1" t="str">
        <f>HYPERLINK("http://www.uniprot.org/uniprot/GNOM_ARATH","GNOM_ARATH")</f>
        <v>GNOM_ARATH</v>
      </c>
      <c r="D8399" t="s">
        <v>6234</v>
      </c>
      <c r="E8399" s="3" t="s">
        <v>3</v>
      </c>
      <c r="F8399" s="4">
        <v>0</v>
      </c>
      <c r="G8399" s="3">
        <v>6285</v>
      </c>
      <c r="H8399" s="3">
        <v>81</v>
      </c>
      <c r="I8399" s="3">
        <v>1457</v>
      </c>
      <c r="J8399" s="3">
        <v>560</v>
      </c>
      <c r="K8399" s="3">
        <v>4921</v>
      </c>
      <c r="L8399" s="3">
        <v>1</v>
      </c>
      <c r="M8399" s="3">
        <v>1451</v>
      </c>
    </row>
    <row r="8400" spans="1:13" x14ac:dyDescent="0.25">
      <c r="A8400" s="1" t="str">
        <f>HYPERLINK("http://www.rosaceae.org/Prunus/Prunus_persica/p.persica_gdr_reftransV1_0004931","p.persica_gdr_reftransV1_0004931")</f>
        <v>p.persica_gdr_reftransV1_0004931</v>
      </c>
      <c r="B8400" s="3">
        <v>1148</v>
      </c>
      <c r="C8400" s="1" t="str">
        <f>HYPERLINK("http://www.uniprot.org/uniprot/NRP2_ORYSJ","NRP2_ORYSJ")</f>
        <v>NRP2_ORYSJ</v>
      </c>
      <c r="D8400" t="s">
        <v>6484</v>
      </c>
      <c r="E8400" s="3" t="s">
        <v>38</v>
      </c>
      <c r="F8400" s="4">
        <v>7.5199999999999999E-70</v>
      </c>
      <c r="G8400" s="3">
        <v>552</v>
      </c>
      <c r="H8400" s="3">
        <v>63</v>
      </c>
      <c r="I8400" s="3">
        <v>163</v>
      </c>
      <c r="J8400" s="3">
        <v>589</v>
      </c>
      <c r="K8400" s="3">
        <v>1074</v>
      </c>
      <c r="L8400" s="3">
        <v>5</v>
      </c>
      <c r="M8400" s="3">
        <v>166</v>
      </c>
    </row>
    <row r="8401" spans="1:13" x14ac:dyDescent="0.25">
      <c r="A8401" s="1" t="str">
        <f>HYPERLINK("http://www.rosaceae.org/Prunus/Prunus_persica/p.persica_gdr_reftransV1_0004981","p.persica_gdr_reftransV1_0004981")</f>
        <v>p.persica_gdr_reftransV1_0004981</v>
      </c>
      <c r="B8401" s="3">
        <v>3293</v>
      </c>
      <c r="C8401" s="1" t="str">
        <f>HYPERLINK("http://www.uniprot.org/uniprot/IP5PF_ARATH","IP5PF_ARATH")</f>
        <v>IP5PF_ARATH</v>
      </c>
      <c r="D8401" t="s">
        <v>6485</v>
      </c>
      <c r="E8401" s="3" t="s">
        <v>3</v>
      </c>
      <c r="F8401" s="4">
        <v>0</v>
      </c>
      <c r="G8401" s="3">
        <v>2935</v>
      </c>
      <c r="H8401" s="3">
        <v>71</v>
      </c>
      <c r="I8401" s="3">
        <v>777</v>
      </c>
      <c r="J8401" s="3">
        <v>382</v>
      </c>
      <c r="K8401" s="3">
        <v>2694</v>
      </c>
      <c r="L8401" s="3">
        <v>325</v>
      </c>
      <c r="M8401" s="3">
        <v>1101</v>
      </c>
    </row>
    <row r="8402" spans="1:13" x14ac:dyDescent="0.25">
      <c r="A8402" s="1" t="str">
        <f>HYPERLINK("http://www.rosaceae.org/Prunus/Prunus_persica/p.persica_gdr_reftransV1_0005131","p.persica_gdr_reftransV1_0005131")</f>
        <v>p.persica_gdr_reftransV1_0005131</v>
      </c>
      <c r="B8402" s="3">
        <v>1449</v>
      </c>
      <c r="C8402" s="1" t="str">
        <f>HYPERLINK("http://www.uniprot.org/uniprot/ACCH1_ARATH","ACCH1_ARATH")</f>
        <v>ACCH1_ARATH</v>
      </c>
      <c r="D8402" t="s">
        <v>1325</v>
      </c>
      <c r="E8402" s="3" t="s">
        <v>3</v>
      </c>
      <c r="F8402" s="4">
        <v>7.7299999999999996E-148</v>
      </c>
      <c r="G8402" s="3">
        <v>1116</v>
      </c>
      <c r="H8402" s="3">
        <v>59</v>
      </c>
      <c r="I8402" s="3">
        <v>369</v>
      </c>
      <c r="J8402" s="3">
        <v>233</v>
      </c>
      <c r="K8402" s="3">
        <v>1339</v>
      </c>
      <c r="L8402" s="3">
        <v>3</v>
      </c>
      <c r="M8402" s="3">
        <v>365</v>
      </c>
    </row>
    <row r="8403" spans="1:13" x14ac:dyDescent="0.25">
      <c r="A8403" s="1" t="str">
        <f>HYPERLINK("http://www.rosaceae.org/Prunus/Prunus_persica/p.persica_gdr_reftransV1_0005231","p.persica_gdr_reftransV1_0005231")</f>
        <v>p.persica_gdr_reftransV1_0005231</v>
      </c>
      <c r="B8403" s="3">
        <v>3118</v>
      </c>
      <c r="C8403" s="1" t="str">
        <f>HYPERLINK("http://www.uniprot.org/uniprot/DNLI1_ARATH","DNLI1_ARATH")</f>
        <v>DNLI1_ARATH</v>
      </c>
      <c r="D8403" t="s">
        <v>1337</v>
      </c>
      <c r="E8403" s="3" t="s">
        <v>3</v>
      </c>
      <c r="F8403" s="4">
        <v>3.5799999999999999E-172</v>
      </c>
      <c r="G8403" s="3">
        <v>1367</v>
      </c>
      <c r="H8403" s="3">
        <v>41</v>
      </c>
      <c r="I8403" s="3">
        <v>648</v>
      </c>
      <c r="J8403" s="3">
        <v>934</v>
      </c>
      <c r="K8403" s="3">
        <v>2871</v>
      </c>
      <c r="L8403" s="3">
        <v>150</v>
      </c>
      <c r="M8403" s="3">
        <v>776</v>
      </c>
    </row>
    <row r="8404" spans="1:13" x14ac:dyDescent="0.25">
      <c r="A8404" s="1" t="str">
        <f>HYPERLINK("http://www.rosaceae.org/Prunus/Prunus_persica/p.persica_gdr_reftransV1_0005281","p.persica_gdr_reftransV1_0005281")</f>
        <v>p.persica_gdr_reftransV1_0005281</v>
      </c>
      <c r="B8404" s="3">
        <v>730</v>
      </c>
      <c r="C8404" s="1" t="str">
        <f>HYPERLINK("http://www.uniprot.org/uniprot/YCF2_MORIN","YCF2_MORIN")</f>
        <v>YCF2_MORIN</v>
      </c>
      <c r="D8404" t="s">
        <v>531</v>
      </c>
      <c r="E8404" s="3" t="s">
        <v>69</v>
      </c>
      <c r="F8404" s="4">
        <v>5.8400000000000004E-115</v>
      </c>
      <c r="G8404" s="3">
        <v>945</v>
      </c>
      <c r="H8404" s="3">
        <v>92</v>
      </c>
      <c r="I8404" s="3">
        <v>221</v>
      </c>
      <c r="J8404" s="3">
        <v>1</v>
      </c>
      <c r="K8404" s="3">
        <v>654</v>
      </c>
      <c r="L8404" s="3">
        <v>1267</v>
      </c>
      <c r="M8404" s="3">
        <v>1487</v>
      </c>
    </row>
    <row r="8405" spans="1:13" x14ac:dyDescent="0.25">
      <c r="A8405" s="1" t="str">
        <f>HYPERLINK("http://www.rosaceae.org/Prunus/Prunus_persica/p.persica_gdr_reftransV1_0005381","p.persica_gdr_reftransV1_0005381")</f>
        <v>p.persica_gdr_reftransV1_0005381</v>
      </c>
      <c r="B8405" s="3">
        <v>807</v>
      </c>
      <c r="C8405" s="1" t="str">
        <f>HYPERLINK("http://www.uniprot.org/uniprot/AB8B_ARATH","AB8B_ARATH")</f>
        <v>AB8B_ARATH</v>
      </c>
      <c r="D8405" t="s">
        <v>3622</v>
      </c>
      <c r="E8405" s="3" t="s">
        <v>3</v>
      </c>
      <c r="F8405" s="4">
        <v>1.0599999999999999E-123</v>
      </c>
      <c r="G8405" s="3">
        <v>995</v>
      </c>
      <c r="H8405" s="3">
        <v>68</v>
      </c>
      <c r="I8405" s="3">
        <v>269</v>
      </c>
      <c r="J8405" s="3">
        <v>1</v>
      </c>
      <c r="K8405" s="3">
        <v>807</v>
      </c>
      <c r="L8405" s="3">
        <v>918</v>
      </c>
      <c r="M8405" s="3">
        <v>1176</v>
      </c>
    </row>
    <row r="8406" spans="1:13" x14ac:dyDescent="0.25">
      <c r="A8406" s="1" t="str">
        <f>HYPERLINK("http://www.rosaceae.org/Prunus/Prunus_persica/p.persica_gdr_reftransV1_0005431","p.persica_gdr_reftransV1_0005431")</f>
        <v>p.persica_gdr_reftransV1_0005431</v>
      </c>
      <c r="B8406" s="3">
        <v>439</v>
      </c>
      <c r="C8406" s="1" t="str">
        <f>HYPERLINK("http://www.uniprot.org/uniprot/AHL20_ARATH","AHL20_ARATH")</f>
        <v>AHL20_ARATH</v>
      </c>
      <c r="D8406" t="s">
        <v>5626</v>
      </c>
      <c r="E8406" s="3" t="s">
        <v>3</v>
      </c>
      <c r="F8406" s="4">
        <v>1.46E-43</v>
      </c>
      <c r="G8406" s="3">
        <v>380</v>
      </c>
      <c r="H8406" s="3">
        <v>73</v>
      </c>
      <c r="I8406" s="3">
        <v>119</v>
      </c>
      <c r="J8406" s="3">
        <v>2</v>
      </c>
      <c r="K8406" s="3">
        <v>358</v>
      </c>
      <c r="L8406" s="3">
        <v>84</v>
      </c>
      <c r="M8406" s="3">
        <v>202</v>
      </c>
    </row>
    <row r="8407" spans="1:13" x14ac:dyDescent="0.25">
      <c r="A8407" s="1" t="str">
        <f>HYPERLINK("http://www.rosaceae.org/Prunus/Prunus_persica/p.persica_gdr_reftransV1_0005531","p.persica_gdr_reftransV1_0005531")</f>
        <v>p.persica_gdr_reftransV1_0005531</v>
      </c>
      <c r="B8407" s="3">
        <v>1589</v>
      </c>
      <c r="C8407" s="1" t="str">
        <f>HYPERLINK("http://www.uniprot.org/uniprot/DNAJ8_ARATH","DNAJ8_ARATH")</f>
        <v>DNAJ8_ARATH</v>
      </c>
      <c r="D8407" t="s">
        <v>6486</v>
      </c>
      <c r="E8407" s="3" t="s">
        <v>3</v>
      </c>
      <c r="F8407" s="4">
        <v>9.4599999999999999E-21</v>
      </c>
      <c r="G8407" s="3">
        <v>232</v>
      </c>
      <c r="H8407" s="3">
        <v>76</v>
      </c>
      <c r="I8407" s="3">
        <v>54</v>
      </c>
      <c r="J8407" s="3">
        <v>1099</v>
      </c>
      <c r="K8407" s="3">
        <v>1260</v>
      </c>
      <c r="L8407" s="3">
        <v>54</v>
      </c>
      <c r="M8407" s="3">
        <v>107</v>
      </c>
    </row>
    <row r="8408" spans="1:13" x14ac:dyDescent="0.25">
      <c r="A8408" s="1" t="str">
        <f>HYPERLINK("http://www.rosaceae.org/Prunus/Prunus_persica/p.persica_gdr_reftransV1_0005581","p.persica_gdr_reftransV1_0005581")</f>
        <v>p.persica_gdr_reftransV1_0005581</v>
      </c>
      <c r="B8408" s="3">
        <v>1500</v>
      </c>
      <c r="C8408" s="1" t="str">
        <f>HYPERLINK("http://www.uniprot.org/uniprot/KAN4_ARATH","KAN4_ARATH")</f>
        <v>KAN4_ARATH</v>
      </c>
      <c r="D8408" t="s">
        <v>6487</v>
      </c>
      <c r="E8408" s="3" t="s">
        <v>3</v>
      </c>
      <c r="F8408" s="4">
        <v>4.0600000000000002E-50</v>
      </c>
      <c r="G8408" s="3">
        <v>452</v>
      </c>
      <c r="H8408" s="3">
        <v>42</v>
      </c>
      <c r="I8408" s="3">
        <v>334</v>
      </c>
      <c r="J8408" s="3">
        <v>328</v>
      </c>
      <c r="K8408" s="3">
        <v>1257</v>
      </c>
      <c r="L8408" s="3">
        <v>1</v>
      </c>
      <c r="M8408" s="3">
        <v>259</v>
      </c>
    </row>
    <row r="8409" spans="1:13" x14ac:dyDescent="0.25">
      <c r="A8409" s="1" t="str">
        <f>HYPERLINK("http://www.rosaceae.org/Prunus/Prunus_persica/p.persica_gdr_reftransV1_0005631","p.persica_gdr_reftransV1_0005631")</f>
        <v>p.persica_gdr_reftransV1_0005631</v>
      </c>
      <c r="B8409" s="3">
        <v>2175</v>
      </c>
      <c r="C8409" s="1" t="str">
        <f>HYPERLINK("http://www.uniprot.org/uniprot/SCP22_ARATH","SCP22_ARATH")</f>
        <v>SCP22_ARATH</v>
      </c>
      <c r="D8409" t="s">
        <v>6488</v>
      </c>
      <c r="E8409" s="3" t="s">
        <v>3</v>
      </c>
      <c r="F8409" s="4">
        <v>2.7800000000000002E-175</v>
      </c>
      <c r="G8409" s="3">
        <v>941</v>
      </c>
      <c r="H8409" s="3">
        <v>62</v>
      </c>
      <c r="I8409" s="3">
        <v>282</v>
      </c>
      <c r="J8409" s="3">
        <v>418</v>
      </c>
      <c r="K8409" s="3">
        <v>1245</v>
      </c>
      <c r="L8409" s="3">
        <v>182</v>
      </c>
      <c r="M8409" s="3">
        <v>462</v>
      </c>
    </row>
    <row r="8410" spans="1:13" x14ac:dyDescent="0.25">
      <c r="A8410" s="1" t="str">
        <f>HYPERLINK("http://www.rosaceae.org/Prunus/Prunus_persica/p.persica_gdr_reftransV1_0005731","p.persica_gdr_reftransV1_0005731")</f>
        <v>p.persica_gdr_reftransV1_0005731</v>
      </c>
      <c r="B8410" s="3">
        <v>593</v>
      </c>
      <c r="C8410" s="1" t="str">
        <f>HYPERLINK("http://www.uniprot.org/uniprot/AB39G_ARATH","AB39G_ARATH")</f>
        <v>AB39G_ARATH</v>
      </c>
      <c r="D8410" t="s">
        <v>6489</v>
      </c>
      <c r="E8410" s="3" t="s">
        <v>3</v>
      </c>
      <c r="F8410" s="4">
        <v>1.44E-101</v>
      </c>
      <c r="G8410" s="3">
        <v>832</v>
      </c>
      <c r="H8410" s="3">
        <v>78</v>
      </c>
      <c r="I8410" s="3">
        <v>197</v>
      </c>
      <c r="J8410" s="3">
        <v>3</v>
      </c>
      <c r="K8410" s="3">
        <v>593</v>
      </c>
      <c r="L8410" s="3">
        <v>346</v>
      </c>
      <c r="M8410" s="3">
        <v>542</v>
      </c>
    </row>
    <row r="8411" spans="1:13" x14ac:dyDescent="0.25">
      <c r="A8411" s="1" t="str">
        <f>HYPERLINK("http://www.rosaceae.org/Prunus/Prunus_persica/p.persica_gdr_reftransV1_0005881","p.persica_gdr_reftransV1_0005881")</f>
        <v>p.persica_gdr_reftransV1_0005881</v>
      </c>
      <c r="B8411" s="3">
        <v>981</v>
      </c>
      <c r="C8411" s="1" t="str">
        <f>HYPERLINK("http://www.uniprot.org/uniprot/RPP8_ARATH","RPP8_ARATH")</f>
        <v>RPP8_ARATH</v>
      </c>
      <c r="D8411" t="s">
        <v>5271</v>
      </c>
      <c r="E8411" s="3" t="s">
        <v>3</v>
      </c>
      <c r="F8411" s="4">
        <v>4.8699999999999999E-19</v>
      </c>
      <c r="G8411" s="3">
        <v>227</v>
      </c>
      <c r="H8411" s="3">
        <v>37</v>
      </c>
      <c r="I8411" s="3">
        <v>180</v>
      </c>
      <c r="J8411" s="3">
        <v>110</v>
      </c>
      <c r="K8411" s="3">
        <v>643</v>
      </c>
      <c r="L8411" s="3">
        <v>690</v>
      </c>
      <c r="M8411" s="3">
        <v>868</v>
      </c>
    </row>
    <row r="8412" spans="1:13" x14ac:dyDescent="0.25">
      <c r="A8412" s="1" t="str">
        <f>HYPERLINK("http://www.rosaceae.org/Prunus/Prunus_persica/p.persica_gdr_reftransV1_0005931","p.persica_gdr_reftransV1_0005931")</f>
        <v>p.persica_gdr_reftransV1_0005931</v>
      </c>
      <c r="B8412" s="3">
        <v>3743</v>
      </c>
      <c r="C8412" s="1" t="str">
        <f>HYPERLINK("http://www.uniprot.org/uniprot/QKY_ARATH","QKY_ARATH")</f>
        <v>QKY_ARATH</v>
      </c>
      <c r="D8412" t="s">
        <v>707</v>
      </c>
      <c r="E8412" s="3" t="s">
        <v>3</v>
      </c>
      <c r="F8412" s="4">
        <v>0</v>
      </c>
      <c r="G8412" s="3">
        <v>1969</v>
      </c>
      <c r="H8412" s="3">
        <v>51</v>
      </c>
      <c r="I8412" s="3">
        <v>769</v>
      </c>
      <c r="J8412" s="3">
        <v>433</v>
      </c>
      <c r="K8412" s="3">
        <v>2673</v>
      </c>
      <c r="L8412" s="3">
        <v>328</v>
      </c>
      <c r="M8412" s="3">
        <v>1081</v>
      </c>
    </row>
    <row r="8413" spans="1:13" x14ac:dyDescent="0.25">
      <c r="A8413" s="1" t="str">
        <f>HYPERLINK("http://www.rosaceae.org/Prunus/Prunus_persica/p.persica_gdr_reftransV1_0006131","p.persica_gdr_reftransV1_0006131")</f>
        <v>p.persica_gdr_reftransV1_0006131</v>
      </c>
      <c r="B8413" s="3">
        <v>1036</v>
      </c>
      <c r="C8413" s="1" t="str">
        <f>HYPERLINK("http://www.uniprot.org/uniprot/DHQSD_ARATH","DHQSD_ARATH")</f>
        <v>DHQSD_ARATH</v>
      </c>
      <c r="D8413" t="s">
        <v>451</v>
      </c>
      <c r="E8413" s="3" t="s">
        <v>3</v>
      </c>
      <c r="F8413" s="4">
        <v>3.2600000000000002E-75</v>
      </c>
      <c r="G8413" s="3">
        <v>636</v>
      </c>
      <c r="H8413" s="3">
        <v>71</v>
      </c>
      <c r="I8413" s="3">
        <v>163</v>
      </c>
      <c r="J8413" s="3">
        <v>547</v>
      </c>
      <c r="K8413" s="3">
        <v>1035</v>
      </c>
      <c r="L8413" s="3">
        <v>91</v>
      </c>
      <c r="M8413" s="3">
        <v>253</v>
      </c>
    </row>
    <row r="8414" spans="1:13" x14ac:dyDescent="0.25">
      <c r="A8414" s="1" t="str">
        <f>HYPERLINK("http://www.rosaceae.org/Prunus/Prunus_persica/p.persica_gdr_reftransV1_0006331","p.persica_gdr_reftransV1_0006331")</f>
        <v>p.persica_gdr_reftransV1_0006331</v>
      </c>
      <c r="B8414" s="3">
        <v>715</v>
      </c>
      <c r="C8414" s="1" t="str">
        <f>HYPERLINK("http://www.uniprot.org/uniprot/TF29_SCHPO","TF29_SCHPO")</f>
        <v>TF29_SCHPO</v>
      </c>
      <c r="D8414" t="s">
        <v>6490</v>
      </c>
      <c r="E8414" s="3" t="s">
        <v>464</v>
      </c>
      <c r="F8414" s="4">
        <v>1.12E-37</v>
      </c>
      <c r="G8414" s="3">
        <v>367</v>
      </c>
      <c r="H8414" s="3">
        <v>38</v>
      </c>
      <c r="I8414" s="3">
        <v>221</v>
      </c>
      <c r="J8414" s="3">
        <v>3</v>
      </c>
      <c r="K8414" s="3">
        <v>659</v>
      </c>
      <c r="L8414" s="3">
        <v>985</v>
      </c>
      <c r="M8414" s="3">
        <v>1201</v>
      </c>
    </row>
    <row r="8415" spans="1:13" x14ac:dyDescent="0.25">
      <c r="A8415" s="1" t="str">
        <f>HYPERLINK("http://www.rosaceae.org/Prunus/Prunus_persica/p.persica_gdr_reftransV1_0006431","p.persica_gdr_reftransV1_0006431")</f>
        <v>p.persica_gdr_reftransV1_0006431</v>
      </c>
      <c r="B8415" s="3">
        <v>683</v>
      </c>
      <c r="C8415" s="1" t="str">
        <f>HYPERLINK("http://www.uniprot.org/uniprot/M310_ARATH","M310_ARATH")</f>
        <v>M310_ARATH</v>
      </c>
      <c r="D8415" t="s">
        <v>118</v>
      </c>
      <c r="E8415" s="3" t="s">
        <v>3</v>
      </c>
      <c r="F8415" s="4">
        <v>1.04E-13</v>
      </c>
      <c r="G8415" s="3">
        <v>170</v>
      </c>
      <c r="H8415" s="3">
        <v>42</v>
      </c>
      <c r="I8415" s="3">
        <v>84</v>
      </c>
      <c r="J8415" s="3">
        <v>1</v>
      </c>
      <c r="K8415" s="3">
        <v>249</v>
      </c>
      <c r="L8415" s="3">
        <v>9</v>
      </c>
      <c r="M8415" s="3">
        <v>92</v>
      </c>
    </row>
    <row r="8416" spans="1:13" x14ac:dyDescent="0.25">
      <c r="A8416" s="1" t="str">
        <f>HYPERLINK("http://www.rosaceae.org/Prunus/Prunus_persica/p.persica_gdr_reftransV1_0006531","p.persica_gdr_reftransV1_0006531")</f>
        <v>p.persica_gdr_reftransV1_0006531</v>
      </c>
      <c r="B8416" s="3">
        <v>1111</v>
      </c>
      <c r="C8416" s="1" t="str">
        <f>HYPERLINK("http://www.uniprot.org/uniprot/PME2_CITSI","PME2_CITSI")</f>
        <v>PME2_CITSI</v>
      </c>
      <c r="D8416" t="s">
        <v>1882</v>
      </c>
      <c r="E8416" s="3" t="s">
        <v>1276</v>
      </c>
      <c r="F8416" s="4">
        <v>4.7599999999999997E-177</v>
      </c>
      <c r="G8416" s="3">
        <v>1311</v>
      </c>
      <c r="H8416" s="3">
        <v>79</v>
      </c>
      <c r="I8416" s="3">
        <v>326</v>
      </c>
      <c r="J8416" s="3">
        <v>1</v>
      </c>
      <c r="K8416" s="3">
        <v>972</v>
      </c>
      <c r="L8416" s="3">
        <v>187</v>
      </c>
      <c r="M8416" s="3">
        <v>510</v>
      </c>
    </row>
    <row r="8417" spans="1:13" x14ac:dyDescent="0.25">
      <c r="A8417" s="1" t="str">
        <f>HYPERLINK("http://www.rosaceae.org/Prunus/Prunus_persica/p.persica_gdr_reftransV1_0006681","p.persica_gdr_reftransV1_0006681")</f>
        <v>p.persica_gdr_reftransV1_0006681</v>
      </c>
      <c r="B8417" s="3">
        <v>577</v>
      </c>
      <c r="C8417" s="1" t="str">
        <f>HYPERLINK("http://www.uniprot.org/uniprot/Y5392_ARATH","Y5392_ARATH")</f>
        <v>Y5392_ARATH</v>
      </c>
      <c r="D8417" t="s">
        <v>6491</v>
      </c>
      <c r="E8417" s="3" t="s">
        <v>3</v>
      </c>
      <c r="F8417" s="4">
        <v>5.4000000000000003E-25</v>
      </c>
      <c r="G8417" s="3">
        <v>265</v>
      </c>
      <c r="H8417" s="3">
        <v>64</v>
      </c>
      <c r="I8417" s="3">
        <v>77</v>
      </c>
      <c r="J8417" s="3">
        <v>347</v>
      </c>
      <c r="K8417" s="3">
        <v>577</v>
      </c>
      <c r="L8417" s="3">
        <v>484</v>
      </c>
      <c r="M8417" s="3">
        <v>560</v>
      </c>
    </row>
    <row r="8418" spans="1:13" x14ac:dyDescent="0.25">
      <c r="A8418" s="1" t="str">
        <f>HYPERLINK("http://www.rosaceae.org/Prunus/Prunus_persica/p.persica_gdr_reftransV1_0006731","p.persica_gdr_reftransV1_0006731")</f>
        <v>p.persica_gdr_reftransV1_0006731</v>
      </c>
      <c r="B8418" s="3">
        <v>1161</v>
      </c>
      <c r="C8418" s="1" t="str">
        <f>HYPERLINK("http://www.uniprot.org/uniprot/PER15_IPOBA","PER15_IPOBA")</f>
        <v>PER15_IPOBA</v>
      </c>
      <c r="D8418" t="s">
        <v>6249</v>
      </c>
      <c r="E8418" s="3" t="s">
        <v>6229</v>
      </c>
      <c r="F8418" s="4">
        <v>5.9300000000000003E-146</v>
      </c>
      <c r="G8418" s="3">
        <v>1090</v>
      </c>
      <c r="H8418" s="3">
        <v>67</v>
      </c>
      <c r="I8418" s="3">
        <v>326</v>
      </c>
      <c r="J8418" s="3">
        <v>48</v>
      </c>
      <c r="K8418" s="3">
        <v>1013</v>
      </c>
      <c r="L8418" s="3">
        <v>2</v>
      </c>
      <c r="M8418" s="3">
        <v>327</v>
      </c>
    </row>
    <row r="8419" spans="1:13" x14ac:dyDescent="0.25">
      <c r="A8419" s="1" t="str">
        <f>HYPERLINK("http://www.rosaceae.org/Prunus/Prunus_persica/p.persica_gdr_reftransV1_0006881","p.persica_gdr_reftransV1_0006881")</f>
        <v>p.persica_gdr_reftransV1_0006881</v>
      </c>
      <c r="B8419" s="3">
        <v>319</v>
      </c>
      <c r="C8419" s="1" t="str">
        <f>HYPERLINK("http://www.uniprot.org/uniprot/PSYR1_ARATH","PSYR1_ARATH")</f>
        <v>PSYR1_ARATH</v>
      </c>
      <c r="D8419" t="s">
        <v>177</v>
      </c>
      <c r="E8419" s="3" t="s">
        <v>3</v>
      </c>
      <c r="F8419" s="4">
        <v>1.9599999999999999E-26</v>
      </c>
      <c r="G8419" s="3">
        <v>268</v>
      </c>
      <c r="H8419" s="3">
        <v>56</v>
      </c>
      <c r="I8419" s="3">
        <v>107</v>
      </c>
      <c r="J8419" s="3">
        <v>3</v>
      </c>
      <c r="K8419" s="3">
        <v>317</v>
      </c>
      <c r="L8419" s="3">
        <v>180</v>
      </c>
      <c r="M8419" s="3">
        <v>285</v>
      </c>
    </row>
    <row r="8420" spans="1:13" x14ac:dyDescent="0.25">
      <c r="A8420" s="1" t="str">
        <f>HYPERLINK("http://www.rosaceae.org/Prunus/Prunus_persica/p.persica_gdr_reftransV1_0007031","p.persica_gdr_reftransV1_0007031")</f>
        <v>p.persica_gdr_reftransV1_0007031</v>
      </c>
      <c r="B8420" s="3">
        <v>971</v>
      </c>
      <c r="C8420" s="1" t="str">
        <f>HYPERLINK("http://www.uniprot.org/uniprot/PRPX_HORVU","PRPX_HORVU")</f>
        <v>PRPX_HORVU</v>
      </c>
      <c r="D8420" t="s">
        <v>6474</v>
      </c>
      <c r="E8420" s="3" t="s">
        <v>769</v>
      </c>
      <c r="F8420" s="4">
        <v>3.0099999999999997E-82</v>
      </c>
      <c r="G8420" s="3">
        <v>652</v>
      </c>
      <c r="H8420" s="3">
        <v>55</v>
      </c>
      <c r="I8420" s="3">
        <v>237</v>
      </c>
      <c r="J8420" s="3">
        <v>84</v>
      </c>
      <c r="K8420" s="3">
        <v>788</v>
      </c>
      <c r="L8420" s="3">
        <v>1</v>
      </c>
      <c r="M8420" s="3">
        <v>232</v>
      </c>
    </row>
    <row r="8421" spans="1:13" x14ac:dyDescent="0.25">
      <c r="A8421" s="1" t="str">
        <f>HYPERLINK("http://www.rosaceae.org/Prunus/Prunus_persica/p.persica_gdr_reftransV1_0007081","p.persica_gdr_reftransV1_0007081")</f>
        <v>p.persica_gdr_reftransV1_0007081</v>
      </c>
      <c r="B8421" s="3">
        <v>1755</v>
      </c>
      <c r="C8421" s="1" t="str">
        <f>HYPERLINK("http://www.uniprot.org/uniprot/YSL7_ARATH","YSL7_ARATH")</f>
        <v>YSL7_ARATH</v>
      </c>
      <c r="D8421" t="s">
        <v>5955</v>
      </c>
      <c r="E8421" s="3" t="s">
        <v>3</v>
      </c>
      <c r="F8421" s="4">
        <v>0</v>
      </c>
      <c r="G8421" s="3">
        <v>1484</v>
      </c>
      <c r="H8421" s="3">
        <v>64</v>
      </c>
      <c r="I8421" s="3">
        <v>499</v>
      </c>
      <c r="J8421" s="3">
        <v>269</v>
      </c>
      <c r="K8421" s="3">
        <v>1753</v>
      </c>
      <c r="L8421" s="3">
        <v>201</v>
      </c>
      <c r="M8421" s="3">
        <v>682</v>
      </c>
    </row>
    <row r="8422" spans="1:13" x14ac:dyDescent="0.25">
      <c r="A8422" s="1" t="str">
        <f>HYPERLINK("http://www.rosaceae.org/Prunus/Prunus_persica/p.persica_gdr_reftransV1_0007131","p.persica_gdr_reftransV1_0007131")</f>
        <v>p.persica_gdr_reftransV1_0007131</v>
      </c>
      <c r="B8422" s="3">
        <v>1193</v>
      </c>
      <c r="C8422" s="1" t="str">
        <f>HYPERLINK("http://www.uniprot.org/uniprot/FACR3_ARATH","FACR3_ARATH")</f>
        <v>FACR3_ARATH</v>
      </c>
      <c r="D8422" t="s">
        <v>6492</v>
      </c>
      <c r="E8422" s="3" t="s">
        <v>3</v>
      </c>
      <c r="F8422" s="4">
        <v>4.2E-130</v>
      </c>
      <c r="G8422" s="3">
        <v>1002</v>
      </c>
      <c r="H8422" s="3">
        <v>61</v>
      </c>
      <c r="I8422" s="3">
        <v>306</v>
      </c>
      <c r="J8422" s="3">
        <v>2</v>
      </c>
      <c r="K8422" s="3">
        <v>919</v>
      </c>
      <c r="L8422" s="3">
        <v>188</v>
      </c>
      <c r="M8422" s="3">
        <v>493</v>
      </c>
    </row>
    <row r="8423" spans="1:13" x14ac:dyDescent="0.25">
      <c r="A8423" s="1" t="str">
        <f>HYPERLINK("http://www.rosaceae.org/Prunus/Prunus_persica/p.persica_gdr_reftransV1_0007231","p.persica_gdr_reftransV1_0007231")</f>
        <v>p.persica_gdr_reftransV1_0007231</v>
      </c>
      <c r="B8423" s="3">
        <v>1335</v>
      </c>
      <c r="C8423" s="1" t="str">
        <f>HYPERLINK("http://www.uniprot.org/uniprot/PSB5B_ARATH","PSB5B_ARATH")</f>
        <v>PSB5B_ARATH</v>
      </c>
      <c r="D8423" t="s">
        <v>6493</v>
      </c>
      <c r="E8423" s="3" t="s">
        <v>3</v>
      </c>
      <c r="F8423" s="4">
        <v>8.23E-165</v>
      </c>
      <c r="G8423" s="3">
        <v>1215</v>
      </c>
      <c r="H8423" s="3">
        <v>88</v>
      </c>
      <c r="I8423" s="3">
        <v>258</v>
      </c>
      <c r="J8423" s="3">
        <v>432</v>
      </c>
      <c r="K8423" s="3">
        <v>1199</v>
      </c>
      <c r="L8423" s="3">
        <v>1</v>
      </c>
      <c r="M8423" s="3">
        <v>258</v>
      </c>
    </row>
    <row r="8424" spans="1:13" x14ac:dyDescent="0.25">
      <c r="A8424" s="1" t="str">
        <f>HYPERLINK("http://www.rosaceae.org/Prunus/Prunus_persica/p.persica_gdr_reftransV1_0007381","p.persica_gdr_reftransV1_0007381")</f>
        <v>p.persica_gdr_reftransV1_0007381</v>
      </c>
      <c r="B8424" s="3">
        <v>1860</v>
      </c>
      <c r="C8424" s="1" t="str">
        <f>HYPERLINK("http://www.uniprot.org/uniprot/XYLT1_CANFA","XYLT1_CANFA")</f>
        <v>XYLT1_CANFA</v>
      </c>
      <c r="D8424" t="s">
        <v>6494</v>
      </c>
      <c r="E8424" s="3" t="s">
        <v>2940</v>
      </c>
      <c r="F8424" s="4">
        <v>1.0900000000000001E-17</v>
      </c>
      <c r="G8424" s="3">
        <v>225</v>
      </c>
      <c r="H8424" s="3">
        <v>30</v>
      </c>
      <c r="I8424" s="3">
        <v>249</v>
      </c>
      <c r="J8424" s="3">
        <v>458</v>
      </c>
      <c r="K8424" s="3">
        <v>1189</v>
      </c>
      <c r="L8424" s="3">
        <v>314</v>
      </c>
      <c r="M8424" s="3">
        <v>545</v>
      </c>
    </row>
    <row r="8425" spans="1:13" x14ac:dyDescent="0.25">
      <c r="A8425" s="1" t="str">
        <f>HYPERLINK("http://www.rosaceae.org/Prunus/Prunus_persica/p.persica_gdr_reftransV1_0007431","p.persica_gdr_reftransV1_0007431")</f>
        <v>p.persica_gdr_reftransV1_0007431</v>
      </c>
      <c r="B8425" s="3">
        <v>735</v>
      </c>
      <c r="C8425" s="1" t="str">
        <f>HYPERLINK("http://www.uniprot.org/uniprot/VINSY_RAUSE","VINSY_RAUSE")</f>
        <v>VINSY_RAUSE</v>
      </c>
      <c r="D8425" t="s">
        <v>2815</v>
      </c>
      <c r="E8425" s="3" t="s">
        <v>2816</v>
      </c>
      <c r="F8425" s="4">
        <v>1.0699999999999999E-33</v>
      </c>
      <c r="G8425" s="3">
        <v>327</v>
      </c>
      <c r="H8425" s="3">
        <v>41</v>
      </c>
      <c r="I8425" s="3">
        <v>214</v>
      </c>
      <c r="J8425" s="3">
        <v>135</v>
      </c>
      <c r="K8425" s="3">
        <v>734</v>
      </c>
      <c r="L8425" s="3">
        <v>16</v>
      </c>
      <c r="M8425" s="3">
        <v>221</v>
      </c>
    </row>
    <row r="8426" spans="1:13" x14ac:dyDescent="0.25">
      <c r="A8426" s="1" t="str">
        <f>HYPERLINK("http://www.rosaceae.org/Prunus/Prunus_persica/p.persica_gdr_reftransV1_0007481","p.persica_gdr_reftransV1_0007481")</f>
        <v>p.persica_gdr_reftransV1_0007481</v>
      </c>
      <c r="B8426" s="3">
        <v>724</v>
      </c>
      <c r="C8426" s="1" t="str">
        <f>HYPERLINK("http://www.uniprot.org/uniprot/BOR5_ARATH","BOR5_ARATH")</f>
        <v>BOR5_ARATH</v>
      </c>
      <c r="D8426" t="s">
        <v>6495</v>
      </c>
      <c r="E8426" s="3" t="s">
        <v>3</v>
      </c>
      <c r="F8426" s="4">
        <v>1.54E-24</v>
      </c>
      <c r="G8426" s="3">
        <v>265</v>
      </c>
      <c r="H8426" s="3">
        <v>57</v>
      </c>
      <c r="I8426" s="3">
        <v>107</v>
      </c>
      <c r="J8426" s="3">
        <v>1</v>
      </c>
      <c r="K8426" s="3">
        <v>318</v>
      </c>
      <c r="L8426" s="3">
        <v>564</v>
      </c>
      <c r="M8426" s="3">
        <v>668</v>
      </c>
    </row>
    <row r="8427" spans="1:13" x14ac:dyDescent="0.25">
      <c r="A8427" s="1" t="str">
        <f>HYPERLINK("http://www.rosaceae.org/Prunus/Prunus_persica/p.persica_gdr_reftransV1_0007531","p.persica_gdr_reftransV1_0007531")</f>
        <v>p.persica_gdr_reftransV1_0007531</v>
      </c>
      <c r="B8427" s="3">
        <v>1533</v>
      </c>
      <c r="C8427" s="1" t="str">
        <f>HYPERLINK("http://www.uniprot.org/uniprot/ATL23_ARATH","ATL23_ARATH")</f>
        <v>ATL23_ARATH</v>
      </c>
      <c r="D8427" t="s">
        <v>6496</v>
      </c>
      <c r="E8427" s="3" t="s">
        <v>3</v>
      </c>
      <c r="F8427" s="4">
        <v>2.5799999999999999E-40</v>
      </c>
      <c r="G8427" s="3">
        <v>373</v>
      </c>
      <c r="H8427" s="3">
        <v>56</v>
      </c>
      <c r="I8427" s="3">
        <v>142</v>
      </c>
      <c r="J8427" s="3">
        <v>736</v>
      </c>
      <c r="K8427" s="3">
        <v>1146</v>
      </c>
      <c r="L8427" s="3">
        <v>28</v>
      </c>
      <c r="M8427" s="3">
        <v>163</v>
      </c>
    </row>
    <row r="8428" spans="1:13" x14ac:dyDescent="0.25">
      <c r="A8428" s="1" t="str">
        <f>HYPERLINK("http://www.rosaceae.org/Prunus/Prunus_persica/p.persica_gdr_reftransV1_0007681","p.persica_gdr_reftransV1_0007681")</f>
        <v>p.persica_gdr_reftransV1_0007681</v>
      </c>
      <c r="B8428" s="3">
        <v>1643</v>
      </c>
      <c r="C8428" s="1" t="str">
        <f>HYPERLINK("http://www.uniprot.org/uniprot/Y3707_ARATH","Y3707_ARATH")</f>
        <v>Y3707_ARATH</v>
      </c>
      <c r="D8428" t="s">
        <v>6497</v>
      </c>
      <c r="E8428" s="3" t="s">
        <v>3</v>
      </c>
      <c r="F8428" s="4">
        <v>6.3600000000000002E-99</v>
      </c>
      <c r="G8428" s="3">
        <v>800</v>
      </c>
      <c r="H8428" s="3">
        <v>49</v>
      </c>
      <c r="I8428" s="3">
        <v>344</v>
      </c>
      <c r="J8428" s="3">
        <v>328</v>
      </c>
      <c r="K8428" s="3">
        <v>1356</v>
      </c>
      <c r="L8428" s="3">
        <v>40</v>
      </c>
      <c r="M8428" s="3">
        <v>375</v>
      </c>
    </row>
    <row r="8429" spans="1:13" x14ac:dyDescent="0.25">
      <c r="A8429" s="1" t="str">
        <f>HYPERLINK("http://www.rosaceae.org/Prunus/Prunus_persica/p.persica_gdr_reftransV1_0007731","p.persica_gdr_reftransV1_0007731")</f>
        <v>p.persica_gdr_reftransV1_0007731</v>
      </c>
      <c r="B8429" s="3">
        <v>828</v>
      </c>
      <c r="C8429" s="1" t="str">
        <f>HYPERLINK("http://www.uniprot.org/uniprot/LBD12_ARATH","LBD12_ARATH")</f>
        <v>LBD12_ARATH</v>
      </c>
      <c r="D8429" t="s">
        <v>6498</v>
      </c>
      <c r="E8429" s="3" t="s">
        <v>3</v>
      </c>
      <c r="F8429" s="4">
        <v>6.0200000000000001E-73</v>
      </c>
      <c r="G8429" s="3">
        <v>582</v>
      </c>
      <c r="H8429" s="3">
        <v>66</v>
      </c>
      <c r="I8429" s="3">
        <v>196</v>
      </c>
      <c r="J8429" s="3">
        <v>214</v>
      </c>
      <c r="K8429" s="3">
        <v>735</v>
      </c>
      <c r="L8429" s="3">
        <v>5</v>
      </c>
      <c r="M8429" s="3">
        <v>193</v>
      </c>
    </row>
    <row r="8430" spans="1:13" x14ac:dyDescent="0.25">
      <c r="A8430" s="1" t="str">
        <f>HYPERLINK("http://www.rosaceae.org/Prunus/Prunus_persica/p.persica_gdr_reftransV1_0007781","p.persica_gdr_reftransV1_0007781")</f>
        <v>p.persica_gdr_reftransV1_0007781</v>
      </c>
      <c r="B8430" s="3">
        <v>777</v>
      </c>
      <c r="C8430" s="1" t="str">
        <f>HYPERLINK("http://www.uniprot.org/uniprot/RNH2C_HUMAN","RNH2C_HUMAN")</f>
        <v>RNH2C_HUMAN</v>
      </c>
      <c r="D8430" t="s">
        <v>6499</v>
      </c>
      <c r="E8430" s="3" t="s">
        <v>28</v>
      </c>
      <c r="F8430" s="4">
        <v>1.9900000000000001E-10</v>
      </c>
      <c r="G8430" s="3">
        <v>147</v>
      </c>
      <c r="H8430" s="3">
        <v>26</v>
      </c>
      <c r="I8430" s="3">
        <v>138</v>
      </c>
      <c r="J8430" s="3">
        <v>282</v>
      </c>
      <c r="K8430" s="3">
        <v>647</v>
      </c>
      <c r="L8430" s="3">
        <v>25</v>
      </c>
      <c r="M8430" s="3">
        <v>158</v>
      </c>
    </row>
    <row r="8431" spans="1:13" x14ac:dyDescent="0.25">
      <c r="A8431" s="1" t="str">
        <f>HYPERLINK("http://www.rosaceae.org/Prunus/Prunus_persica/p.persica_gdr_reftransV1_0007831","p.persica_gdr_reftransV1_0007831")</f>
        <v>p.persica_gdr_reftransV1_0007831</v>
      </c>
      <c r="B8431" s="3">
        <v>722</v>
      </c>
      <c r="C8431" s="1" t="str">
        <f>HYPERLINK("http://www.uniprot.org/uniprot/FBL34_ARATH","FBL34_ARATH")</f>
        <v>FBL34_ARATH</v>
      </c>
      <c r="D8431" t="s">
        <v>1242</v>
      </c>
      <c r="E8431" s="3" t="s">
        <v>3</v>
      </c>
      <c r="F8431" s="4">
        <v>1.0999999999999999E-90</v>
      </c>
      <c r="G8431" s="3">
        <v>716</v>
      </c>
      <c r="H8431" s="3">
        <v>81</v>
      </c>
      <c r="I8431" s="3">
        <v>160</v>
      </c>
      <c r="J8431" s="3">
        <v>2</v>
      </c>
      <c r="K8431" s="3">
        <v>481</v>
      </c>
      <c r="L8431" s="3">
        <v>1</v>
      </c>
      <c r="M8431" s="3">
        <v>160</v>
      </c>
    </row>
    <row r="8432" spans="1:13" x14ac:dyDescent="0.25">
      <c r="A8432" s="1" t="str">
        <f>HYPERLINK("http://www.rosaceae.org/Prunus/Prunus_persica/p.persica_gdr_reftransV1_0008031","p.persica_gdr_reftransV1_0008031")</f>
        <v>p.persica_gdr_reftransV1_0008031</v>
      </c>
      <c r="B8432" s="3">
        <v>748</v>
      </c>
      <c r="C8432" s="1" t="str">
        <f>HYPERLINK("http://www.uniprot.org/uniprot/PNSB3_ARATH","PNSB3_ARATH")</f>
        <v>PNSB3_ARATH</v>
      </c>
      <c r="D8432" t="s">
        <v>2672</v>
      </c>
      <c r="E8432" s="3" t="s">
        <v>3</v>
      </c>
      <c r="F8432" s="4">
        <v>8.0099999999999997E-33</v>
      </c>
      <c r="G8432" s="3">
        <v>310</v>
      </c>
      <c r="H8432" s="3">
        <v>45</v>
      </c>
      <c r="I8432" s="3">
        <v>150</v>
      </c>
      <c r="J8432" s="3">
        <v>108</v>
      </c>
      <c r="K8432" s="3">
        <v>548</v>
      </c>
      <c r="L8432" s="3">
        <v>36</v>
      </c>
      <c r="M8432" s="3">
        <v>184</v>
      </c>
    </row>
    <row r="8433" spans="1:13" x14ac:dyDescent="0.25">
      <c r="A8433" s="1" t="str">
        <f>HYPERLINK("http://www.rosaceae.org/Prunus/Prunus_persica/p.persica_gdr_reftransV1_0008081","p.persica_gdr_reftransV1_0008081")</f>
        <v>p.persica_gdr_reftransV1_0008081</v>
      </c>
      <c r="B8433" s="3">
        <v>2035</v>
      </c>
      <c r="C8433" s="1" t="str">
        <f>HYPERLINK("http://www.uniprot.org/uniprot/EI2BD_RABIT","EI2BD_RABIT")</f>
        <v>EI2BD_RABIT</v>
      </c>
      <c r="D8433" t="s">
        <v>6500</v>
      </c>
      <c r="E8433" s="3" t="s">
        <v>6501</v>
      </c>
      <c r="F8433" s="4">
        <v>1.8700000000000001E-96</v>
      </c>
      <c r="G8433" s="3">
        <v>803</v>
      </c>
      <c r="H8433" s="3">
        <v>47</v>
      </c>
      <c r="I8433" s="3">
        <v>356</v>
      </c>
      <c r="J8433" s="3">
        <v>965</v>
      </c>
      <c r="K8433" s="3">
        <v>2032</v>
      </c>
      <c r="L8433" s="3">
        <v>114</v>
      </c>
      <c r="M8433" s="3">
        <v>461</v>
      </c>
    </row>
    <row r="8434" spans="1:13" x14ac:dyDescent="0.25">
      <c r="A8434" s="1" t="str">
        <f>HYPERLINK("http://www.rosaceae.org/Prunus/Prunus_persica/p.persica_gdr_reftransV1_0008131","p.persica_gdr_reftransV1_0008131")</f>
        <v>p.persica_gdr_reftransV1_0008131</v>
      </c>
      <c r="B8434" s="3">
        <v>2110</v>
      </c>
      <c r="C8434" s="1" t="str">
        <f>HYPERLINK("http://www.uniprot.org/uniprot/NIR_BETPN","NIR_BETPN")</f>
        <v>NIR_BETPN</v>
      </c>
      <c r="D8434" t="s">
        <v>6502</v>
      </c>
      <c r="E8434" s="3" t="s">
        <v>5635</v>
      </c>
      <c r="F8434" s="4">
        <v>0</v>
      </c>
      <c r="G8434" s="3">
        <v>2560</v>
      </c>
      <c r="H8434" s="3">
        <v>85</v>
      </c>
      <c r="I8434" s="3">
        <v>583</v>
      </c>
      <c r="J8434" s="3">
        <v>194</v>
      </c>
      <c r="K8434" s="3">
        <v>1942</v>
      </c>
      <c r="L8434" s="3">
        <v>2</v>
      </c>
      <c r="M8434" s="3">
        <v>583</v>
      </c>
    </row>
    <row r="8435" spans="1:13" x14ac:dyDescent="0.25">
      <c r="A8435" s="1" t="str">
        <f>HYPERLINK("http://www.rosaceae.org/Prunus/Prunus_persica/p.persica_gdr_reftransV1_0008281","p.persica_gdr_reftransV1_0008281")</f>
        <v>p.persica_gdr_reftransV1_0008281</v>
      </c>
      <c r="B8435" s="3">
        <v>575</v>
      </c>
      <c r="C8435" s="1" t="str">
        <f>HYPERLINK("http://www.uniprot.org/uniprot/PPR43_ARATH","PPR43_ARATH")</f>
        <v>PPR43_ARATH</v>
      </c>
      <c r="D8435" t="s">
        <v>6503</v>
      </c>
      <c r="E8435" s="3" t="s">
        <v>3</v>
      </c>
      <c r="F8435" s="4">
        <v>3.2900000000000002E-83</v>
      </c>
      <c r="G8435" s="3">
        <v>670</v>
      </c>
      <c r="H8435" s="3">
        <v>63</v>
      </c>
      <c r="I8435" s="3">
        <v>191</v>
      </c>
      <c r="J8435" s="3">
        <v>2</v>
      </c>
      <c r="K8435" s="3">
        <v>574</v>
      </c>
      <c r="L8435" s="3">
        <v>153</v>
      </c>
      <c r="M8435" s="3">
        <v>343</v>
      </c>
    </row>
    <row r="8436" spans="1:13" x14ac:dyDescent="0.25">
      <c r="A8436" s="1" t="str">
        <f>HYPERLINK("http://www.rosaceae.org/Prunus/Prunus_persica/p.persica_gdr_reftransV1_0008331","p.persica_gdr_reftransV1_0008331")</f>
        <v>p.persica_gdr_reftransV1_0008331</v>
      </c>
      <c r="B8436" s="3">
        <v>4547</v>
      </c>
      <c r="C8436" s="1" t="str">
        <f>HYPERLINK("http://www.uniprot.org/uniprot/RQL3_ARATH","RQL3_ARATH")</f>
        <v>RQL3_ARATH</v>
      </c>
      <c r="D8436" t="s">
        <v>6504</v>
      </c>
      <c r="E8436" s="3" t="s">
        <v>3</v>
      </c>
      <c r="F8436" s="4">
        <v>5.29E-98</v>
      </c>
      <c r="G8436" s="3">
        <v>862</v>
      </c>
      <c r="H8436" s="3">
        <v>79</v>
      </c>
      <c r="I8436" s="3">
        <v>200</v>
      </c>
      <c r="J8436" s="3">
        <v>790</v>
      </c>
      <c r="K8436" s="3">
        <v>1389</v>
      </c>
      <c r="L8436" s="3">
        <v>118</v>
      </c>
      <c r="M8436" s="3">
        <v>317</v>
      </c>
    </row>
    <row r="8437" spans="1:13" x14ac:dyDescent="0.25">
      <c r="A8437" s="1" t="str">
        <f>HYPERLINK("http://www.rosaceae.org/Prunus/Prunus_persica/p.persica_gdr_reftransV1_0008481","p.persica_gdr_reftransV1_0008481")</f>
        <v>p.persica_gdr_reftransV1_0008481</v>
      </c>
      <c r="B8437" s="3">
        <v>783</v>
      </c>
      <c r="C8437" s="1" t="str">
        <f>HYPERLINK("http://www.uniprot.org/uniprot/Y4445_ARATH","Y4445_ARATH")</f>
        <v>Y4445_ARATH</v>
      </c>
      <c r="D8437" t="s">
        <v>6505</v>
      </c>
      <c r="E8437" s="3" t="s">
        <v>3</v>
      </c>
      <c r="F8437" s="4">
        <v>4.3299999999999998E-15</v>
      </c>
      <c r="G8437" s="3">
        <v>179</v>
      </c>
      <c r="H8437" s="3">
        <v>47</v>
      </c>
      <c r="I8437" s="3">
        <v>111</v>
      </c>
      <c r="J8437" s="3">
        <v>94</v>
      </c>
      <c r="K8437" s="3">
        <v>402</v>
      </c>
      <c r="L8437" s="3">
        <v>29</v>
      </c>
      <c r="M8437" s="3">
        <v>125</v>
      </c>
    </row>
    <row r="8438" spans="1:13" x14ac:dyDescent="0.25">
      <c r="A8438" s="1" t="str">
        <f>HYPERLINK("http://www.rosaceae.org/Prunus/Prunus_persica/p.persica_gdr_reftransV1_0008531","p.persica_gdr_reftransV1_0008531")</f>
        <v>p.persica_gdr_reftransV1_0008531</v>
      </c>
      <c r="B8438" s="3">
        <v>836</v>
      </c>
      <c r="C8438" s="1" t="str">
        <f>HYPERLINK("http://www.uniprot.org/uniprot/PP119_ARATH","PP119_ARATH")</f>
        <v>PP119_ARATH</v>
      </c>
      <c r="D8438" t="s">
        <v>4691</v>
      </c>
      <c r="E8438" s="3" t="s">
        <v>3</v>
      </c>
      <c r="F8438" s="4">
        <v>1.84E-81</v>
      </c>
      <c r="G8438" s="3">
        <v>662</v>
      </c>
      <c r="H8438" s="3">
        <v>59</v>
      </c>
      <c r="I8438" s="3">
        <v>206</v>
      </c>
      <c r="J8438" s="3">
        <v>14</v>
      </c>
      <c r="K8438" s="3">
        <v>631</v>
      </c>
      <c r="L8438" s="3">
        <v>223</v>
      </c>
      <c r="M8438" s="3">
        <v>418</v>
      </c>
    </row>
    <row r="8439" spans="1:13" x14ac:dyDescent="0.25">
      <c r="A8439" s="1" t="str">
        <f>HYPERLINK("http://www.rosaceae.org/Prunus/Prunus_persica/p.persica_gdr_reftransV1_0008581","p.persica_gdr_reftransV1_0008581")</f>
        <v>p.persica_gdr_reftransV1_0008581</v>
      </c>
      <c r="B8439" s="3">
        <v>3248</v>
      </c>
      <c r="C8439" s="1" t="str">
        <f>HYPERLINK("http://www.uniprot.org/uniprot/NCPR2_ARATH","NCPR2_ARATH")</f>
        <v>NCPR2_ARATH</v>
      </c>
      <c r="D8439" t="s">
        <v>6506</v>
      </c>
      <c r="E8439" s="3" t="s">
        <v>3</v>
      </c>
      <c r="F8439" s="4">
        <v>0</v>
      </c>
      <c r="G8439" s="3">
        <v>2473</v>
      </c>
      <c r="H8439" s="3">
        <v>76</v>
      </c>
      <c r="I8439" s="3">
        <v>678</v>
      </c>
      <c r="J8439" s="3">
        <v>932</v>
      </c>
      <c r="K8439" s="3">
        <v>2947</v>
      </c>
      <c r="L8439" s="3">
        <v>12</v>
      </c>
      <c r="M8439" s="3">
        <v>685</v>
      </c>
    </row>
    <row r="8440" spans="1:13" x14ac:dyDescent="0.25">
      <c r="A8440" s="1" t="str">
        <f>HYPERLINK("http://www.rosaceae.org/Prunus/Prunus_persica/p.persica_gdr_reftransV1_0008831","p.persica_gdr_reftransV1_0008831")</f>
        <v>p.persica_gdr_reftransV1_0008831</v>
      </c>
      <c r="B8440" s="3">
        <v>1608</v>
      </c>
      <c r="C8440" s="1" t="str">
        <f>HYPERLINK("http://www.uniprot.org/uniprot/FB76_ARATH","FB76_ARATH")</f>
        <v>FB76_ARATH</v>
      </c>
      <c r="D8440" t="s">
        <v>6507</v>
      </c>
      <c r="E8440" s="3" t="s">
        <v>3</v>
      </c>
      <c r="F8440" s="4">
        <v>6.6999999999999998E-152</v>
      </c>
      <c r="G8440" s="3">
        <v>1149</v>
      </c>
      <c r="H8440" s="3">
        <v>69</v>
      </c>
      <c r="I8440" s="3">
        <v>317</v>
      </c>
      <c r="J8440" s="3">
        <v>223</v>
      </c>
      <c r="K8440" s="3">
        <v>1152</v>
      </c>
      <c r="L8440" s="3">
        <v>36</v>
      </c>
      <c r="M8440" s="3">
        <v>352</v>
      </c>
    </row>
    <row r="8441" spans="1:13" x14ac:dyDescent="0.25">
      <c r="A8441" s="1" t="str">
        <f>HYPERLINK("http://www.rosaceae.org/Prunus/Prunus_persica/p.persica_gdr_reftransV1_0008981","p.persica_gdr_reftransV1_0008981")</f>
        <v>p.persica_gdr_reftransV1_0008981</v>
      </c>
      <c r="B8441" s="3">
        <v>1162</v>
      </c>
      <c r="C8441" s="1" t="str">
        <f>HYPERLINK("http://www.uniprot.org/uniprot/ORML2_HUMAN","ORML2_HUMAN")</f>
        <v>ORML2_HUMAN</v>
      </c>
      <c r="D8441" t="s">
        <v>6508</v>
      </c>
      <c r="E8441" s="3" t="s">
        <v>28</v>
      </c>
      <c r="F8441" s="4">
        <v>6.5499999999999997E-29</v>
      </c>
      <c r="G8441" s="3">
        <v>286</v>
      </c>
      <c r="H8441" s="3">
        <v>42</v>
      </c>
      <c r="I8441" s="3">
        <v>148</v>
      </c>
      <c r="J8441" s="3">
        <v>229</v>
      </c>
      <c r="K8441" s="3">
        <v>669</v>
      </c>
      <c r="L8441" s="3">
        <v>4</v>
      </c>
      <c r="M8441" s="3">
        <v>151</v>
      </c>
    </row>
    <row r="8442" spans="1:13" x14ac:dyDescent="0.25">
      <c r="A8442" s="1" t="str">
        <f>HYPERLINK("http://www.rosaceae.org/Prunus/Prunus_persica/p.persica_gdr_reftransV1_0009031","p.persica_gdr_reftransV1_0009031")</f>
        <v>p.persica_gdr_reftransV1_0009031</v>
      </c>
      <c r="B8442" s="3">
        <v>4131</v>
      </c>
      <c r="C8442" s="1" t="str">
        <f>HYPERLINK("http://www.uniprot.org/uniprot/SEC23_ASHGO","SEC23_ASHGO")</f>
        <v>SEC23_ASHGO</v>
      </c>
      <c r="D8442" t="s">
        <v>6509</v>
      </c>
      <c r="E8442" s="3" t="s">
        <v>6510</v>
      </c>
      <c r="F8442" s="4">
        <v>2.3599999999999998E-34</v>
      </c>
      <c r="G8442" s="3">
        <v>368</v>
      </c>
      <c r="H8442" s="3">
        <v>25</v>
      </c>
      <c r="I8442" s="3">
        <v>739</v>
      </c>
      <c r="J8442" s="3">
        <v>908</v>
      </c>
      <c r="K8442" s="3">
        <v>2914</v>
      </c>
      <c r="L8442" s="3">
        <v>12</v>
      </c>
      <c r="M8442" s="3">
        <v>719</v>
      </c>
    </row>
    <row r="8443" spans="1:13" x14ac:dyDescent="0.25">
      <c r="A8443" s="1" t="str">
        <f>HYPERLINK("http://www.rosaceae.org/Prunus/Prunus_persica/p.persica_gdr_reftransV1_0009081","p.persica_gdr_reftransV1_0009081")</f>
        <v>p.persica_gdr_reftransV1_0009081</v>
      </c>
      <c r="B8443" s="3">
        <v>1772</v>
      </c>
      <c r="C8443" s="1" t="str">
        <f>HYPERLINK("http://www.uniprot.org/uniprot/GRWD1_DICDI","GRWD1_DICDI")</f>
        <v>GRWD1_DICDI</v>
      </c>
      <c r="D8443" t="s">
        <v>6511</v>
      </c>
      <c r="E8443" s="3" t="s">
        <v>9</v>
      </c>
      <c r="F8443" s="4">
        <v>3.67E-117</v>
      </c>
      <c r="G8443" s="3">
        <v>932</v>
      </c>
      <c r="H8443" s="3">
        <v>47</v>
      </c>
      <c r="I8443" s="3">
        <v>435</v>
      </c>
      <c r="J8443" s="3">
        <v>301</v>
      </c>
      <c r="K8443" s="3">
        <v>1596</v>
      </c>
      <c r="L8443" s="3">
        <v>68</v>
      </c>
      <c r="M8443" s="3">
        <v>479</v>
      </c>
    </row>
    <row r="8444" spans="1:13" x14ac:dyDescent="0.25">
      <c r="A8444" s="1" t="str">
        <f>HYPERLINK("http://www.rosaceae.org/Prunus/Prunus_persica/p.persica_gdr_reftransV1_0009131","p.persica_gdr_reftransV1_0009131")</f>
        <v>p.persica_gdr_reftransV1_0009131</v>
      </c>
      <c r="B8444" s="3">
        <v>940</v>
      </c>
      <c r="C8444" s="1" t="str">
        <f>HYPERLINK("http://www.uniprot.org/uniprot/AP4S_ARATH","AP4S_ARATH")</f>
        <v>AP4S_ARATH</v>
      </c>
      <c r="D8444" t="s">
        <v>6512</v>
      </c>
      <c r="E8444" s="3" t="s">
        <v>3</v>
      </c>
      <c r="F8444" s="4">
        <v>4.9500000000000004E-78</v>
      </c>
      <c r="G8444" s="3">
        <v>615</v>
      </c>
      <c r="H8444" s="3">
        <v>93</v>
      </c>
      <c r="I8444" s="3">
        <v>141</v>
      </c>
      <c r="J8444" s="3">
        <v>109</v>
      </c>
      <c r="K8444" s="3">
        <v>531</v>
      </c>
      <c r="L8444" s="3">
        <v>1</v>
      </c>
      <c r="M8444" s="3">
        <v>141</v>
      </c>
    </row>
    <row r="8445" spans="1:13" x14ac:dyDescent="0.25">
      <c r="A8445" s="1" t="str">
        <f>HYPERLINK("http://www.rosaceae.org/Prunus/Prunus_persica/p.persica_gdr_reftransV1_0009231","p.persica_gdr_reftransV1_0009231")</f>
        <v>p.persica_gdr_reftransV1_0009231</v>
      </c>
      <c r="B8445" s="3">
        <v>586</v>
      </c>
      <c r="C8445" s="1" t="str">
        <f>HYPERLINK("http://www.uniprot.org/uniprot/PP274_ARATH","PP274_ARATH")</f>
        <v>PP274_ARATH</v>
      </c>
      <c r="D8445" t="s">
        <v>6513</v>
      </c>
      <c r="E8445" s="3" t="s">
        <v>3</v>
      </c>
      <c r="F8445" s="4">
        <v>1.9899999999999999E-97</v>
      </c>
      <c r="G8445" s="3">
        <v>778</v>
      </c>
      <c r="H8445" s="3">
        <v>72</v>
      </c>
      <c r="I8445" s="3">
        <v>195</v>
      </c>
      <c r="J8445" s="3">
        <v>1</v>
      </c>
      <c r="K8445" s="3">
        <v>585</v>
      </c>
      <c r="L8445" s="3">
        <v>327</v>
      </c>
      <c r="M8445" s="3">
        <v>521</v>
      </c>
    </row>
    <row r="8446" spans="1:13" x14ac:dyDescent="0.25">
      <c r="A8446" s="1" t="str">
        <f>HYPERLINK("http://www.rosaceae.org/Prunus/Prunus_persica/p.persica_gdr_reftransV1_0009531","p.persica_gdr_reftransV1_0009531")</f>
        <v>p.persica_gdr_reftransV1_0009531</v>
      </c>
      <c r="B8446" s="3">
        <v>3134</v>
      </c>
      <c r="C8446" s="1" t="str">
        <f>HYPERLINK("http://www.uniprot.org/uniprot/MSH2_ARATH","MSH2_ARATH")</f>
        <v>MSH2_ARATH</v>
      </c>
      <c r="D8446" t="s">
        <v>6438</v>
      </c>
      <c r="E8446" s="3" t="s">
        <v>3</v>
      </c>
      <c r="F8446" s="4">
        <v>0</v>
      </c>
      <c r="G8446" s="3">
        <v>3689</v>
      </c>
      <c r="H8446" s="3">
        <v>76</v>
      </c>
      <c r="I8446" s="3">
        <v>942</v>
      </c>
      <c r="J8446" s="3">
        <v>114</v>
      </c>
      <c r="K8446" s="3">
        <v>2939</v>
      </c>
      <c r="L8446" s="3">
        <v>1</v>
      </c>
      <c r="M8446" s="3">
        <v>937</v>
      </c>
    </row>
    <row r="8447" spans="1:13" x14ac:dyDescent="0.25">
      <c r="A8447" s="1" t="str">
        <f>HYPERLINK("http://www.rosaceae.org/Prunus/Prunus_persica/p.persica_gdr_reftransV1_0009681","p.persica_gdr_reftransV1_0009681")</f>
        <v>p.persica_gdr_reftransV1_0009681</v>
      </c>
      <c r="B8447" s="3">
        <v>1284</v>
      </c>
      <c r="C8447" s="1" t="str">
        <f>HYPERLINK("http://www.uniprot.org/uniprot/NDUV2_ARATH","NDUV2_ARATH")</f>
        <v>NDUV2_ARATH</v>
      </c>
      <c r="D8447" t="s">
        <v>6514</v>
      </c>
      <c r="E8447" s="3" t="s">
        <v>3</v>
      </c>
      <c r="F8447" s="4">
        <v>4.9399999999999997E-165</v>
      </c>
      <c r="G8447" s="3">
        <v>1213</v>
      </c>
      <c r="H8447" s="3">
        <v>88</v>
      </c>
      <c r="I8447" s="3">
        <v>255</v>
      </c>
      <c r="J8447" s="3">
        <v>441</v>
      </c>
      <c r="K8447" s="3">
        <v>1193</v>
      </c>
      <c r="L8447" s="3">
        <v>1</v>
      </c>
      <c r="M8447" s="3">
        <v>255</v>
      </c>
    </row>
    <row r="8448" spans="1:13" x14ac:dyDescent="0.25">
      <c r="A8448" s="1" t="str">
        <f>HYPERLINK("http://www.rosaceae.org/Prunus/Prunus_persica/p.persica_gdr_reftransV1_0009781","p.persica_gdr_reftransV1_0009781")</f>
        <v>p.persica_gdr_reftransV1_0009781</v>
      </c>
      <c r="B8448" s="3">
        <v>4382</v>
      </c>
      <c r="C8448" s="1" t="str">
        <f>HYPERLINK("http://www.uniprot.org/uniprot/Y4121_ARATH","Y4121_ARATH")</f>
        <v>Y4121_ARATH</v>
      </c>
      <c r="D8448" t="s">
        <v>1491</v>
      </c>
      <c r="E8448" s="3" t="s">
        <v>3</v>
      </c>
      <c r="F8448" s="4">
        <v>4.7299999999999998E-176</v>
      </c>
      <c r="G8448" s="3">
        <v>1384</v>
      </c>
      <c r="H8448" s="3">
        <v>65</v>
      </c>
      <c r="I8448" s="3">
        <v>404</v>
      </c>
      <c r="J8448" s="3">
        <v>271</v>
      </c>
      <c r="K8448" s="3">
        <v>1476</v>
      </c>
      <c r="L8448" s="3">
        <v>1</v>
      </c>
      <c r="M8448" s="3">
        <v>393</v>
      </c>
    </row>
    <row r="8449" spans="1:13" x14ac:dyDescent="0.25">
      <c r="A8449" s="1" t="str">
        <f>HYPERLINK("http://www.rosaceae.org/Prunus/Prunus_persica/p.persica_gdr_reftransV1_0009881","p.persica_gdr_reftransV1_0009881")</f>
        <v>p.persica_gdr_reftransV1_0009881</v>
      </c>
      <c r="B8449" s="3">
        <v>1653</v>
      </c>
      <c r="C8449" s="1" t="str">
        <f>HYPERLINK("http://www.uniprot.org/uniprot/BAG5_ARATH","BAG5_ARATH")</f>
        <v>BAG5_ARATH</v>
      </c>
      <c r="D8449" t="s">
        <v>6515</v>
      </c>
      <c r="E8449" s="3" t="s">
        <v>3</v>
      </c>
      <c r="F8449" s="4">
        <v>6.3299999999999996E-52</v>
      </c>
      <c r="G8449" s="3">
        <v>462</v>
      </c>
      <c r="H8449" s="3">
        <v>54</v>
      </c>
      <c r="I8449" s="3">
        <v>206</v>
      </c>
      <c r="J8449" s="3">
        <v>332</v>
      </c>
      <c r="K8449" s="3">
        <v>907</v>
      </c>
      <c r="L8449" s="3">
        <v>16</v>
      </c>
      <c r="M8449" s="3">
        <v>215</v>
      </c>
    </row>
    <row r="8450" spans="1:13" x14ac:dyDescent="0.25">
      <c r="A8450" s="1" t="str">
        <f>HYPERLINK("http://www.rosaceae.org/Prunus/Prunus_persica/p.persica_gdr_reftransV1_0010131","p.persica_gdr_reftransV1_0010131")</f>
        <v>p.persica_gdr_reftransV1_0010131</v>
      </c>
      <c r="B8450" s="3">
        <v>449</v>
      </c>
      <c r="C8450" s="1" t="str">
        <f>HYPERLINK("http://www.uniprot.org/uniprot/TYRA1_ARATH","TYRA1_ARATH")</f>
        <v>TYRA1_ARATH</v>
      </c>
      <c r="D8450" t="s">
        <v>6034</v>
      </c>
      <c r="E8450" s="3" t="s">
        <v>3</v>
      </c>
      <c r="F8450" s="4">
        <v>7.1099999999999999E-72</v>
      </c>
      <c r="G8450" s="3">
        <v>594</v>
      </c>
      <c r="H8450" s="3">
        <v>76</v>
      </c>
      <c r="I8450" s="3">
        <v>145</v>
      </c>
      <c r="J8450" s="3">
        <v>4</v>
      </c>
      <c r="K8450" s="3">
        <v>438</v>
      </c>
      <c r="L8450" s="3">
        <v>350</v>
      </c>
      <c r="M8450" s="3">
        <v>494</v>
      </c>
    </row>
    <row r="8451" spans="1:13" x14ac:dyDescent="0.25">
      <c r="A8451" s="1" t="str">
        <f>HYPERLINK("http://www.rosaceae.org/Prunus/Prunus_persica/p.persica_gdr_reftransV1_0010281","p.persica_gdr_reftransV1_0010281")</f>
        <v>p.persica_gdr_reftransV1_0010281</v>
      </c>
      <c r="B8451" s="3">
        <v>6131</v>
      </c>
      <c r="C8451" s="1" t="str">
        <f>HYPERLINK("http://www.uniprot.org/uniprot/SHPRH_MOUSE","SHPRH_MOUSE")</f>
        <v>SHPRH_MOUSE</v>
      </c>
      <c r="D8451" t="s">
        <v>6516</v>
      </c>
      <c r="E8451" s="3" t="s">
        <v>157</v>
      </c>
      <c r="F8451" s="4">
        <v>8.7499999999999997E-92</v>
      </c>
      <c r="G8451" s="3">
        <v>860</v>
      </c>
      <c r="H8451" s="3">
        <v>29</v>
      </c>
      <c r="I8451" s="3">
        <v>909</v>
      </c>
      <c r="J8451" s="3">
        <v>1929</v>
      </c>
      <c r="K8451" s="3">
        <v>4628</v>
      </c>
      <c r="L8451" s="3">
        <v>649</v>
      </c>
      <c r="M8451" s="3">
        <v>1414</v>
      </c>
    </row>
    <row r="8452" spans="1:13" x14ac:dyDescent="0.25">
      <c r="A8452" s="1" t="str">
        <f>HYPERLINK("http://www.rosaceae.org/Prunus/Prunus_persica/p.persica_gdr_reftransV1_0010331","p.persica_gdr_reftransV1_0010331")</f>
        <v>p.persica_gdr_reftransV1_0010331</v>
      </c>
      <c r="B8452" s="3">
        <v>1185</v>
      </c>
      <c r="C8452" s="1" t="str">
        <f>HYPERLINK("http://www.uniprot.org/uniprot/GXM1_ARATH","GXM1_ARATH")</f>
        <v>GXM1_ARATH</v>
      </c>
      <c r="D8452" t="s">
        <v>5147</v>
      </c>
      <c r="E8452" s="3" t="s">
        <v>3</v>
      </c>
      <c r="F8452" s="4">
        <v>3.25E-44</v>
      </c>
      <c r="G8452" s="3">
        <v>405</v>
      </c>
      <c r="H8452" s="3">
        <v>42</v>
      </c>
      <c r="I8452" s="3">
        <v>205</v>
      </c>
      <c r="J8452" s="3">
        <v>381</v>
      </c>
      <c r="K8452" s="3">
        <v>968</v>
      </c>
      <c r="L8452" s="3">
        <v>79</v>
      </c>
      <c r="M8452" s="3">
        <v>282</v>
      </c>
    </row>
    <row r="8453" spans="1:13" x14ac:dyDescent="0.25">
      <c r="A8453" s="1" t="str">
        <f>HYPERLINK("http://www.rosaceae.org/Prunus/Prunus_persica/p.persica_gdr_reftransV1_0010381","p.persica_gdr_reftransV1_0010381")</f>
        <v>p.persica_gdr_reftransV1_0010381</v>
      </c>
      <c r="B8453" s="3">
        <v>1831</v>
      </c>
      <c r="C8453" s="1" t="str">
        <f>HYPERLINK("http://www.uniprot.org/uniprot/UFOG6_FRAAN","UFOG6_FRAAN")</f>
        <v>UFOG6_FRAAN</v>
      </c>
      <c r="D8453" t="s">
        <v>757</v>
      </c>
      <c r="E8453" s="3" t="s">
        <v>15</v>
      </c>
      <c r="F8453" s="4">
        <v>2.7999999999999999E-139</v>
      </c>
      <c r="G8453" s="3">
        <v>1082</v>
      </c>
      <c r="H8453" s="3">
        <v>46</v>
      </c>
      <c r="I8453" s="3">
        <v>487</v>
      </c>
      <c r="J8453" s="3">
        <v>190</v>
      </c>
      <c r="K8453" s="3">
        <v>1590</v>
      </c>
      <c r="L8453" s="3">
        <v>6</v>
      </c>
      <c r="M8453" s="3">
        <v>476</v>
      </c>
    </row>
    <row r="8454" spans="1:13" x14ac:dyDescent="0.25">
      <c r="A8454" s="1" t="str">
        <f>HYPERLINK("http://www.rosaceae.org/Prunus/Prunus_persica/p.persica_gdr_reftransV1_0010481","p.persica_gdr_reftransV1_0010481")</f>
        <v>p.persica_gdr_reftransV1_0010481</v>
      </c>
      <c r="B8454" s="3">
        <v>1850</v>
      </c>
      <c r="C8454" s="1" t="str">
        <f>HYPERLINK("http://www.uniprot.org/uniprot/MOT1_ARATH","MOT1_ARATH")</f>
        <v>MOT1_ARATH</v>
      </c>
      <c r="D8454" t="s">
        <v>6517</v>
      </c>
      <c r="E8454" s="3" t="s">
        <v>3</v>
      </c>
      <c r="F8454" s="4">
        <v>0</v>
      </c>
      <c r="G8454" s="3">
        <v>1358</v>
      </c>
      <c r="H8454" s="3">
        <v>70</v>
      </c>
      <c r="I8454" s="3">
        <v>436</v>
      </c>
      <c r="J8454" s="3">
        <v>163</v>
      </c>
      <c r="K8454" s="3">
        <v>1464</v>
      </c>
      <c r="L8454" s="3">
        <v>24</v>
      </c>
      <c r="M8454" s="3">
        <v>448</v>
      </c>
    </row>
    <row r="8455" spans="1:13" x14ac:dyDescent="0.25">
      <c r="A8455" s="1" t="str">
        <f>HYPERLINK("http://www.rosaceae.org/Prunus/Prunus_persica/p.persica_gdr_reftransV1_0010531","p.persica_gdr_reftransV1_0010531")</f>
        <v>p.persica_gdr_reftransV1_0010531</v>
      </c>
      <c r="B8455" s="3">
        <v>2035</v>
      </c>
      <c r="C8455" s="1" t="str">
        <f>HYPERLINK("http://www.uniprot.org/uniprot/P2C13_ARATH","P2C13_ARATH")</f>
        <v>P2C13_ARATH</v>
      </c>
      <c r="D8455" t="s">
        <v>6518</v>
      </c>
      <c r="E8455" s="3" t="s">
        <v>3</v>
      </c>
      <c r="F8455" s="4">
        <v>2.8700000000000001E-129</v>
      </c>
      <c r="G8455" s="3">
        <v>1012</v>
      </c>
      <c r="H8455" s="3">
        <v>64</v>
      </c>
      <c r="I8455" s="3">
        <v>320</v>
      </c>
      <c r="J8455" s="3">
        <v>660</v>
      </c>
      <c r="K8455" s="3">
        <v>1607</v>
      </c>
      <c r="L8455" s="3">
        <v>55</v>
      </c>
      <c r="M8455" s="3">
        <v>367</v>
      </c>
    </row>
    <row r="8456" spans="1:13" x14ac:dyDescent="0.25">
      <c r="A8456" s="1" t="str">
        <f>HYPERLINK("http://www.rosaceae.org/Prunus/Prunus_persica/p.persica_gdr_reftransV1_0010631","p.persica_gdr_reftransV1_0010631")</f>
        <v>p.persica_gdr_reftransV1_0010631</v>
      </c>
      <c r="B8456" s="3">
        <v>942</v>
      </c>
      <c r="C8456" s="1" t="str">
        <f>HYPERLINK("http://www.uniprot.org/uniprot/KAN2_ARATH","KAN2_ARATH")</f>
        <v>KAN2_ARATH</v>
      </c>
      <c r="D8456" t="s">
        <v>6519</v>
      </c>
      <c r="E8456" s="3" t="s">
        <v>3</v>
      </c>
      <c r="F8456" s="4">
        <v>1.4799999999999999E-50</v>
      </c>
      <c r="G8456" s="3">
        <v>450</v>
      </c>
      <c r="H8456" s="3">
        <v>61</v>
      </c>
      <c r="I8456" s="3">
        <v>188</v>
      </c>
      <c r="J8456" s="3">
        <v>381</v>
      </c>
      <c r="K8456" s="3">
        <v>941</v>
      </c>
      <c r="L8456" s="3">
        <v>221</v>
      </c>
      <c r="M8456" s="3">
        <v>386</v>
      </c>
    </row>
    <row r="8457" spans="1:13" x14ac:dyDescent="0.25">
      <c r="A8457" s="1" t="str">
        <f>HYPERLINK("http://www.rosaceae.org/Prunus/Prunus_persica/p.persica_gdr_reftransV1_0010681","p.persica_gdr_reftransV1_0010681")</f>
        <v>p.persica_gdr_reftransV1_0010681</v>
      </c>
      <c r="B8457" s="3">
        <v>3862</v>
      </c>
      <c r="C8457" s="1" t="str">
        <f>HYPERLINK("http://www.uniprot.org/uniprot/STI_ARATH","STI_ARATH")</f>
        <v>STI_ARATH</v>
      </c>
      <c r="D8457" t="s">
        <v>6520</v>
      </c>
      <c r="E8457" s="3" t="s">
        <v>3</v>
      </c>
      <c r="F8457" s="4">
        <v>0</v>
      </c>
      <c r="G8457" s="3">
        <v>2902</v>
      </c>
      <c r="H8457" s="3">
        <v>60</v>
      </c>
      <c r="I8457" s="3">
        <v>1087</v>
      </c>
      <c r="J8457" s="3">
        <v>249</v>
      </c>
      <c r="K8457" s="3">
        <v>3464</v>
      </c>
      <c r="L8457" s="3">
        <v>184</v>
      </c>
      <c r="M8457" s="3">
        <v>1213</v>
      </c>
    </row>
    <row r="8458" spans="1:13" x14ac:dyDescent="0.25">
      <c r="A8458" s="1" t="str">
        <f>HYPERLINK("http://www.rosaceae.org/Prunus/Prunus_persica/p.persica_gdr_reftransV1_0010931","p.persica_gdr_reftransV1_0010931")</f>
        <v>p.persica_gdr_reftransV1_0010931</v>
      </c>
      <c r="B8458" s="3">
        <v>2161</v>
      </c>
      <c r="C8458" s="1" t="str">
        <f>HYPERLINK("http://www.uniprot.org/uniprot/TCP14_ARATH","TCP14_ARATH")</f>
        <v>TCP14_ARATH</v>
      </c>
      <c r="D8458" t="s">
        <v>6521</v>
      </c>
      <c r="E8458" s="3" t="s">
        <v>3</v>
      </c>
      <c r="F8458" s="4">
        <v>6.3399999999999998E-43</v>
      </c>
      <c r="G8458" s="3">
        <v>420</v>
      </c>
      <c r="H8458" s="3">
        <v>45</v>
      </c>
      <c r="I8458" s="3">
        <v>323</v>
      </c>
      <c r="J8458" s="3">
        <v>815</v>
      </c>
      <c r="K8458" s="3">
        <v>1585</v>
      </c>
      <c r="L8458" s="3">
        <v>119</v>
      </c>
      <c r="M8458" s="3">
        <v>415</v>
      </c>
    </row>
    <row r="8459" spans="1:13" x14ac:dyDescent="0.25">
      <c r="A8459" s="1" t="str">
        <f>HYPERLINK("http://www.rosaceae.org/Prunus/Prunus_persica/p.persica_gdr_reftransV1_0010981","p.persica_gdr_reftransV1_0010981")</f>
        <v>p.persica_gdr_reftransV1_0010981</v>
      </c>
      <c r="B8459" s="3">
        <v>624</v>
      </c>
      <c r="C8459" s="1" t="str">
        <f>HYPERLINK("http://www.uniprot.org/uniprot/TSPO_ARATH","TSPO_ARATH")</f>
        <v>TSPO_ARATH</v>
      </c>
      <c r="D8459" t="s">
        <v>1134</v>
      </c>
      <c r="E8459" s="3" t="s">
        <v>3</v>
      </c>
      <c r="F8459" s="4">
        <v>2.3099999999999998E-33</v>
      </c>
      <c r="G8459" s="3">
        <v>310</v>
      </c>
      <c r="H8459" s="3">
        <v>46</v>
      </c>
      <c r="I8459" s="3">
        <v>155</v>
      </c>
      <c r="J8459" s="3">
        <v>22</v>
      </c>
      <c r="K8459" s="3">
        <v>483</v>
      </c>
      <c r="L8459" s="3">
        <v>39</v>
      </c>
      <c r="M8459" s="3">
        <v>193</v>
      </c>
    </row>
    <row r="8460" spans="1:13" x14ac:dyDescent="0.25">
      <c r="A8460" s="1" t="str">
        <f>HYPERLINK("http://www.rosaceae.org/Prunus/Prunus_persica/p.persica_gdr_reftransV1_0011281","p.persica_gdr_reftransV1_0011281")</f>
        <v>p.persica_gdr_reftransV1_0011281</v>
      </c>
      <c r="B8460" s="3">
        <v>1155</v>
      </c>
      <c r="C8460" s="1" t="str">
        <f>HYPERLINK("http://www.uniprot.org/uniprot/AGL11_ARATH","AGL11_ARATH")</f>
        <v>AGL11_ARATH</v>
      </c>
      <c r="D8460" t="s">
        <v>5646</v>
      </c>
      <c r="E8460" s="3" t="s">
        <v>3</v>
      </c>
      <c r="F8460" s="4">
        <v>7.6499999999999997E-112</v>
      </c>
      <c r="G8460" s="3">
        <v>854</v>
      </c>
      <c r="H8460" s="3">
        <v>74</v>
      </c>
      <c r="I8460" s="3">
        <v>231</v>
      </c>
      <c r="J8460" s="3">
        <v>335</v>
      </c>
      <c r="K8460" s="3">
        <v>1000</v>
      </c>
      <c r="L8460" s="3">
        <v>1</v>
      </c>
      <c r="M8460" s="3">
        <v>230</v>
      </c>
    </row>
    <row r="8461" spans="1:13" x14ac:dyDescent="0.25">
      <c r="A8461" s="1" t="str">
        <f>HYPERLINK("http://www.rosaceae.org/Prunus/Prunus_persica/p.persica_gdr_reftransV1_0011331","p.persica_gdr_reftransV1_0011331")</f>
        <v>p.persica_gdr_reftransV1_0011331</v>
      </c>
      <c r="B8461" s="3">
        <v>1440</v>
      </c>
      <c r="C8461" s="1" t="str">
        <f>HYPERLINK("http://www.uniprot.org/uniprot/NAC78_ARATH","NAC78_ARATH")</f>
        <v>NAC78_ARATH</v>
      </c>
      <c r="D8461" t="s">
        <v>6255</v>
      </c>
      <c r="E8461" s="3" t="s">
        <v>3</v>
      </c>
      <c r="F8461" s="4">
        <v>1.7400000000000001E-94</v>
      </c>
      <c r="G8461" s="3">
        <v>777</v>
      </c>
      <c r="H8461" s="3">
        <v>76</v>
      </c>
      <c r="I8461" s="3">
        <v>193</v>
      </c>
      <c r="J8461" s="3">
        <v>200</v>
      </c>
      <c r="K8461" s="3">
        <v>769</v>
      </c>
      <c r="L8461" s="3">
        <v>1</v>
      </c>
      <c r="M8461" s="3">
        <v>192</v>
      </c>
    </row>
    <row r="8462" spans="1:13" x14ac:dyDescent="0.25">
      <c r="A8462" s="1" t="str">
        <f>HYPERLINK("http://www.rosaceae.org/Prunus/Prunus_persica/p.persica_gdr_reftransV1_0011381","p.persica_gdr_reftransV1_0011381")</f>
        <v>p.persica_gdr_reftransV1_0011381</v>
      </c>
      <c r="B8462" s="3">
        <v>1535</v>
      </c>
      <c r="C8462" s="1" t="str">
        <f>HYPERLINK("http://www.uniprot.org/uniprot/Y2010_ARATH","Y2010_ARATH")</f>
        <v>Y2010_ARATH</v>
      </c>
      <c r="D8462" t="s">
        <v>2084</v>
      </c>
      <c r="E8462" s="3" t="s">
        <v>3</v>
      </c>
      <c r="F8462" s="4">
        <v>8.7200000000000006E-157</v>
      </c>
      <c r="G8462" s="3">
        <v>1179</v>
      </c>
      <c r="H8462" s="3">
        <v>64</v>
      </c>
      <c r="I8462" s="3">
        <v>362</v>
      </c>
      <c r="J8462" s="3">
        <v>108</v>
      </c>
      <c r="K8462" s="3">
        <v>1193</v>
      </c>
      <c r="L8462" s="3">
        <v>13</v>
      </c>
      <c r="M8462" s="3">
        <v>373</v>
      </c>
    </row>
    <row r="8463" spans="1:13" x14ac:dyDescent="0.25">
      <c r="A8463" s="1" t="str">
        <f>HYPERLINK("http://www.rosaceae.org/Prunus/Prunus_persica/p.persica_gdr_reftransV1_0011531","p.persica_gdr_reftransV1_0011531")</f>
        <v>p.persica_gdr_reftransV1_0011531</v>
      </c>
      <c r="B8463" s="3">
        <v>1201</v>
      </c>
      <c r="C8463" s="1" t="str">
        <f>HYPERLINK("http://www.uniprot.org/uniprot/NIP12_ARATH","NIP12_ARATH")</f>
        <v>NIP12_ARATH</v>
      </c>
      <c r="D8463" t="s">
        <v>6522</v>
      </c>
      <c r="E8463" s="3" t="s">
        <v>3</v>
      </c>
      <c r="F8463" s="4">
        <v>2.2599999999999999E-100</v>
      </c>
      <c r="G8463" s="3">
        <v>786</v>
      </c>
      <c r="H8463" s="3">
        <v>63</v>
      </c>
      <c r="I8463" s="3">
        <v>288</v>
      </c>
      <c r="J8463" s="3">
        <v>122</v>
      </c>
      <c r="K8463" s="3">
        <v>955</v>
      </c>
      <c r="L8463" s="3">
        <v>1</v>
      </c>
      <c r="M8463" s="3">
        <v>288</v>
      </c>
    </row>
    <row r="8464" spans="1:13" x14ac:dyDescent="0.25">
      <c r="A8464" s="1" t="str">
        <f>HYPERLINK("http://www.rosaceae.org/Prunus/Prunus_persica/p.persica_gdr_reftransV1_0011731","p.persica_gdr_reftransV1_0011731")</f>
        <v>p.persica_gdr_reftransV1_0011731</v>
      </c>
      <c r="B8464" s="3">
        <v>1188</v>
      </c>
      <c r="C8464" s="1" t="str">
        <f>HYPERLINK("http://www.uniprot.org/uniprot/TGA5_ARATH","TGA5_ARATH")</f>
        <v>TGA5_ARATH</v>
      </c>
      <c r="D8464" t="s">
        <v>6523</v>
      </c>
      <c r="E8464" s="3" t="s">
        <v>3</v>
      </c>
      <c r="F8464" s="4">
        <v>3.51E-17</v>
      </c>
      <c r="G8464" s="3">
        <v>209</v>
      </c>
      <c r="H8464" s="3">
        <v>28</v>
      </c>
      <c r="I8464" s="3">
        <v>208</v>
      </c>
      <c r="J8464" s="3">
        <v>253</v>
      </c>
      <c r="K8464" s="3">
        <v>861</v>
      </c>
      <c r="L8464" s="3">
        <v>121</v>
      </c>
      <c r="M8464" s="3">
        <v>320</v>
      </c>
    </row>
    <row r="8465" spans="1:13" x14ac:dyDescent="0.25">
      <c r="A8465" s="1" t="str">
        <f>HYPERLINK("http://www.rosaceae.org/Prunus/Prunus_persica/p.persica_gdr_reftransV1_0011831","p.persica_gdr_reftransV1_0011831")</f>
        <v>p.persica_gdr_reftransV1_0011831</v>
      </c>
      <c r="B8465" s="3">
        <v>5114</v>
      </c>
      <c r="C8465" s="1" t="str">
        <f>HYPERLINK("http://www.uniprot.org/uniprot/PHIP_HUMAN","PHIP_HUMAN")</f>
        <v>PHIP_HUMAN</v>
      </c>
      <c r="D8465" t="s">
        <v>5042</v>
      </c>
      <c r="E8465" s="3" t="s">
        <v>28</v>
      </c>
      <c r="F8465" s="4">
        <v>2.79E-50</v>
      </c>
      <c r="G8465" s="3">
        <v>510</v>
      </c>
      <c r="H8465" s="3">
        <v>32</v>
      </c>
      <c r="I8465" s="3">
        <v>457</v>
      </c>
      <c r="J8465" s="3">
        <v>3808</v>
      </c>
      <c r="K8465" s="3">
        <v>5112</v>
      </c>
      <c r="L8465" s="3">
        <v>200</v>
      </c>
      <c r="M8465" s="3">
        <v>583</v>
      </c>
    </row>
    <row r="8466" spans="1:13" x14ac:dyDescent="0.25">
      <c r="A8466" s="1" t="str">
        <f>HYPERLINK("http://www.rosaceae.org/Prunus/Prunus_persica/p.persica_gdr_reftransV1_0011881","p.persica_gdr_reftransV1_0011881")</f>
        <v>p.persica_gdr_reftransV1_0011881</v>
      </c>
      <c r="B8466" s="3">
        <v>3180</v>
      </c>
      <c r="C8466" s="1" t="str">
        <f>HYPERLINK("http://www.uniprot.org/uniprot/D11L8_HUMAN","D11L8_HUMAN")</f>
        <v>D11L8_HUMAN</v>
      </c>
      <c r="D8466" t="s">
        <v>6524</v>
      </c>
      <c r="E8466" s="3" t="s">
        <v>28</v>
      </c>
      <c r="F8466" s="4">
        <v>1.94E-152</v>
      </c>
      <c r="G8466" s="3">
        <v>1244</v>
      </c>
      <c r="H8466" s="3">
        <v>33</v>
      </c>
      <c r="I8466" s="3">
        <v>971</v>
      </c>
      <c r="J8466" s="3">
        <v>350</v>
      </c>
      <c r="K8466" s="3">
        <v>3067</v>
      </c>
      <c r="L8466" s="3">
        <v>10</v>
      </c>
      <c r="M8466" s="3">
        <v>901</v>
      </c>
    </row>
    <row r="8467" spans="1:13" x14ac:dyDescent="0.25">
      <c r="A8467" s="1" t="str">
        <f>HYPERLINK("http://www.rosaceae.org/Prunus/Prunus_persica/p.persica_gdr_reftransV1_0012081","p.persica_gdr_reftransV1_0012081")</f>
        <v>p.persica_gdr_reftransV1_0012081</v>
      </c>
      <c r="B8467" s="3">
        <v>787</v>
      </c>
      <c r="C8467" s="1" t="str">
        <f>HYPERLINK("http://www.uniprot.org/uniprot/PFD5_ARATH","PFD5_ARATH")</f>
        <v>PFD5_ARATH</v>
      </c>
      <c r="D8467" t="s">
        <v>6525</v>
      </c>
      <c r="E8467" s="3" t="s">
        <v>3</v>
      </c>
      <c r="F8467" s="4">
        <v>1.03E-73</v>
      </c>
      <c r="G8467" s="3">
        <v>582</v>
      </c>
      <c r="H8467" s="3">
        <v>76</v>
      </c>
      <c r="I8467" s="3">
        <v>147</v>
      </c>
      <c r="J8467" s="3">
        <v>65</v>
      </c>
      <c r="K8467" s="3">
        <v>505</v>
      </c>
      <c r="L8467" s="3">
        <v>3</v>
      </c>
      <c r="M8467" s="3">
        <v>149</v>
      </c>
    </row>
    <row r="8468" spans="1:13" x14ac:dyDescent="0.25">
      <c r="A8468" s="1" t="str">
        <f>HYPERLINK("http://www.rosaceae.org/Prunus/Prunus_persica/p.persica_gdr_reftransV1_0012131","p.persica_gdr_reftransV1_0012131")</f>
        <v>p.persica_gdr_reftransV1_0012131</v>
      </c>
      <c r="B8468" s="3">
        <v>2896</v>
      </c>
      <c r="C8468" s="1" t="str">
        <f>HYPERLINK("http://www.uniprot.org/uniprot/AN13B_HUMAN","AN13B_HUMAN")</f>
        <v>AN13B_HUMAN</v>
      </c>
      <c r="D8468" t="s">
        <v>3288</v>
      </c>
      <c r="E8468" s="3" t="s">
        <v>28</v>
      </c>
      <c r="F8468" s="4">
        <v>4.9400000000000003E-32</v>
      </c>
      <c r="G8468" s="3">
        <v>343</v>
      </c>
      <c r="H8468" s="3">
        <v>34</v>
      </c>
      <c r="I8468" s="3">
        <v>252</v>
      </c>
      <c r="J8468" s="3">
        <v>676</v>
      </c>
      <c r="K8468" s="3">
        <v>1398</v>
      </c>
      <c r="L8468" s="3">
        <v>46</v>
      </c>
      <c r="M8468" s="3">
        <v>288</v>
      </c>
    </row>
    <row r="8469" spans="1:13" x14ac:dyDescent="0.25">
      <c r="A8469" s="1" t="str">
        <f>HYPERLINK("http://www.rosaceae.org/Prunus/Prunus_persica/p.persica_gdr_reftransV1_0012331","p.persica_gdr_reftransV1_0012331")</f>
        <v>p.persica_gdr_reftransV1_0012331</v>
      </c>
      <c r="B8469" s="3">
        <v>1364</v>
      </c>
      <c r="C8469" s="1" t="str">
        <f>HYPERLINK("http://www.uniprot.org/uniprot/VQ4_ARATH","VQ4_ARATH")</f>
        <v>VQ4_ARATH</v>
      </c>
      <c r="D8469" t="s">
        <v>6526</v>
      </c>
      <c r="E8469" s="3" t="s">
        <v>3</v>
      </c>
      <c r="F8469" s="4">
        <v>1.4300000000000001E-34</v>
      </c>
      <c r="G8469" s="3">
        <v>337</v>
      </c>
      <c r="H8469" s="3">
        <v>56</v>
      </c>
      <c r="I8469" s="3">
        <v>185</v>
      </c>
      <c r="J8469" s="3">
        <v>80</v>
      </c>
      <c r="K8469" s="3">
        <v>610</v>
      </c>
      <c r="L8469" s="3">
        <v>38</v>
      </c>
      <c r="M8469" s="3">
        <v>211</v>
      </c>
    </row>
    <row r="8470" spans="1:13" x14ac:dyDescent="0.25">
      <c r="A8470" s="1" t="str">
        <f>HYPERLINK("http://www.rosaceae.org/Prunus/Prunus_persica/p.persica_gdr_reftransV1_0012481","p.persica_gdr_reftransV1_0012481")</f>
        <v>p.persica_gdr_reftransV1_0012481</v>
      </c>
      <c r="B8470" s="3">
        <v>1879</v>
      </c>
      <c r="C8470" s="1" t="str">
        <f>HYPERLINK("http://www.uniprot.org/uniprot/ANK1_HUMAN","ANK1_HUMAN")</f>
        <v>ANK1_HUMAN</v>
      </c>
      <c r="D8470" t="s">
        <v>4415</v>
      </c>
      <c r="E8470" s="3" t="s">
        <v>28</v>
      </c>
      <c r="F8470" s="4">
        <v>6.0900000000000002E-30</v>
      </c>
      <c r="G8470" s="3">
        <v>326</v>
      </c>
      <c r="H8470" s="3">
        <v>36</v>
      </c>
      <c r="I8470" s="3">
        <v>254</v>
      </c>
      <c r="J8470" s="3">
        <v>913</v>
      </c>
      <c r="K8470" s="3">
        <v>1668</v>
      </c>
      <c r="L8470" s="3">
        <v>411</v>
      </c>
      <c r="M8470" s="3">
        <v>655</v>
      </c>
    </row>
    <row r="8471" spans="1:13" x14ac:dyDescent="0.25">
      <c r="A8471" s="1" t="str">
        <f>HYPERLINK("http://www.rosaceae.org/Prunus/Prunus_persica/p.persica_gdr_reftransV1_0012531","p.persica_gdr_reftransV1_0012531")</f>
        <v>p.persica_gdr_reftransV1_0012531</v>
      </c>
      <c r="B8471" s="3">
        <v>839</v>
      </c>
      <c r="C8471" s="1" t="str">
        <f>HYPERLINK("http://www.uniprot.org/uniprot/C7A12_PANGI","C7A12_PANGI")</f>
        <v>C7A12_PANGI</v>
      </c>
      <c r="D8471" t="s">
        <v>5987</v>
      </c>
      <c r="E8471" s="3" t="s">
        <v>1477</v>
      </c>
      <c r="F8471" s="4">
        <v>1.66E-80</v>
      </c>
      <c r="G8471" s="3">
        <v>437</v>
      </c>
      <c r="H8471" s="3">
        <v>65</v>
      </c>
      <c r="I8471" s="3">
        <v>113</v>
      </c>
      <c r="J8471" s="3">
        <v>128</v>
      </c>
      <c r="K8471" s="3">
        <v>466</v>
      </c>
      <c r="L8471" s="3">
        <v>388</v>
      </c>
      <c r="M8471" s="3">
        <v>500</v>
      </c>
    </row>
    <row r="8472" spans="1:13" x14ac:dyDescent="0.25">
      <c r="A8472" s="1" t="str">
        <f>HYPERLINK("http://www.rosaceae.org/Prunus/Prunus_persica/p.persica_gdr_reftransV1_0012581","p.persica_gdr_reftransV1_0012581")</f>
        <v>p.persica_gdr_reftransV1_0012581</v>
      </c>
      <c r="B8472" s="3">
        <v>4611</v>
      </c>
      <c r="C8472" s="1" t="str">
        <f>HYPERLINK("http://www.uniprot.org/uniprot/E133_ARATH","E133_ARATH")</f>
        <v>E133_ARATH</v>
      </c>
      <c r="D8472" t="s">
        <v>6527</v>
      </c>
      <c r="E8472" s="3" t="s">
        <v>3</v>
      </c>
      <c r="F8472" s="4">
        <v>0</v>
      </c>
      <c r="G8472" s="3">
        <v>1953</v>
      </c>
      <c r="H8472" s="3">
        <v>77</v>
      </c>
      <c r="I8472" s="3">
        <v>460</v>
      </c>
      <c r="J8472" s="3">
        <v>238</v>
      </c>
      <c r="K8472" s="3">
        <v>1614</v>
      </c>
      <c r="L8472" s="3">
        <v>19</v>
      </c>
      <c r="M8472" s="3">
        <v>478</v>
      </c>
    </row>
    <row r="8473" spans="1:13" x14ac:dyDescent="0.25">
      <c r="A8473" s="1" t="str">
        <f>HYPERLINK("http://www.rosaceae.org/Prunus/Prunus_persica/p.persica_gdr_reftransV1_0012631","p.persica_gdr_reftransV1_0012631")</f>
        <v>p.persica_gdr_reftransV1_0012631</v>
      </c>
      <c r="B8473" s="3">
        <v>2687</v>
      </c>
      <c r="C8473" s="1" t="str">
        <f>HYPERLINK("http://www.uniprot.org/uniprot/MCM7_ARATH","MCM7_ARATH")</f>
        <v>MCM7_ARATH</v>
      </c>
      <c r="D8473" t="s">
        <v>6528</v>
      </c>
      <c r="E8473" s="3" t="s">
        <v>3</v>
      </c>
      <c r="F8473" s="4">
        <v>0</v>
      </c>
      <c r="G8473" s="3">
        <v>3153</v>
      </c>
      <c r="H8473" s="3">
        <v>85</v>
      </c>
      <c r="I8473" s="3">
        <v>716</v>
      </c>
      <c r="J8473" s="3">
        <v>442</v>
      </c>
      <c r="K8473" s="3">
        <v>2589</v>
      </c>
      <c r="L8473" s="3">
        <v>1</v>
      </c>
      <c r="M8473" s="3">
        <v>716</v>
      </c>
    </row>
    <row r="8474" spans="1:13" x14ac:dyDescent="0.25">
      <c r="A8474" s="1" t="str">
        <f>HYPERLINK("http://www.rosaceae.org/Prunus/Prunus_persica/p.persica_gdr_reftransV1_0012781","p.persica_gdr_reftransV1_0012781")</f>
        <v>p.persica_gdr_reftransV1_0012781</v>
      </c>
      <c r="B8474" s="3">
        <v>2781</v>
      </c>
      <c r="C8474" s="1" t="str">
        <f>HYPERLINK("http://www.uniprot.org/uniprot/DAAF1_MOUSE","DAAF1_MOUSE")</f>
        <v>DAAF1_MOUSE</v>
      </c>
      <c r="D8474" t="s">
        <v>6529</v>
      </c>
      <c r="E8474" s="3" t="s">
        <v>157</v>
      </c>
      <c r="F8474" s="4">
        <v>1.18E-8</v>
      </c>
      <c r="G8474" s="3">
        <v>151</v>
      </c>
      <c r="H8474" s="3">
        <v>31</v>
      </c>
      <c r="I8474" s="3">
        <v>170</v>
      </c>
      <c r="J8474" s="3">
        <v>1818</v>
      </c>
      <c r="K8474" s="3">
        <v>2327</v>
      </c>
      <c r="L8474" s="3">
        <v>134</v>
      </c>
      <c r="M8474" s="3">
        <v>280</v>
      </c>
    </row>
    <row r="8475" spans="1:13" x14ac:dyDescent="0.25">
      <c r="A8475" s="1" t="str">
        <f>HYPERLINK("http://www.rosaceae.org/Prunus/Prunus_persica/p.persica_gdr_reftransV1_0012831","p.persica_gdr_reftransV1_0012831")</f>
        <v>p.persica_gdr_reftransV1_0012831</v>
      </c>
      <c r="B8475" s="3">
        <v>1387</v>
      </c>
      <c r="C8475" s="1" t="str">
        <f>HYPERLINK("http://www.uniprot.org/uniprot/LIP1_STAAR","LIP1_STAAR")</f>
        <v>LIP1_STAAR</v>
      </c>
      <c r="D8475" t="s">
        <v>6530</v>
      </c>
      <c r="E8475" s="3" t="s">
        <v>6531</v>
      </c>
      <c r="F8475" s="4">
        <v>1.9899999999999999E-22</v>
      </c>
      <c r="G8475" s="3">
        <v>258</v>
      </c>
      <c r="H8475" s="3">
        <v>34</v>
      </c>
      <c r="I8475" s="3">
        <v>183</v>
      </c>
      <c r="J8475" s="3">
        <v>677</v>
      </c>
      <c r="K8475" s="3">
        <v>1153</v>
      </c>
      <c r="L8475" s="3">
        <v>302</v>
      </c>
      <c r="M8475" s="3">
        <v>483</v>
      </c>
    </row>
    <row r="8476" spans="1:13" x14ac:dyDescent="0.25">
      <c r="A8476" s="1" t="str">
        <f>HYPERLINK("http://www.rosaceae.org/Prunus/Prunus_persica/p.persica_gdr_reftransV1_0012881","p.persica_gdr_reftransV1_0012881")</f>
        <v>p.persica_gdr_reftransV1_0012881</v>
      </c>
      <c r="B8476" s="3">
        <v>1271</v>
      </c>
      <c r="C8476" s="1" t="str">
        <f>HYPERLINK("http://www.uniprot.org/uniprot/GDPD1_ARATH","GDPD1_ARATH")</f>
        <v>GDPD1_ARATH</v>
      </c>
      <c r="D8476" t="s">
        <v>1176</v>
      </c>
      <c r="E8476" s="3" t="s">
        <v>3</v>
      </c>
      <c r="F8476" s="4">
        <v>1.1700000000000001E-128</v>
      </c>
      <c r="G8476" s="3">
        <v>982</v>
      </c>
      <c r="H8476" s="3">
        <v>68</v>
      </c>
      <c r="I8476" s="3">
        <v>275</v>
      </c>
      <c r="J8476" s="3">
        <v>173</v>
      </c>
      <c r="K8476" s="3">
        <v>994</v>
      </c>
      <c r="L8476" s="3">
        <v>100</v>
      </c>
      <c r="M8476" s="3">
        <v>360</v>
      </c>
    </row>
    <row r="8477" spans="1:13" x14ac:dyDescent="0.25">
      <c r="A8477" s="1" t="str">
        <f>HYPERLINK("http://www.rosaceae.org/Prunus/Prunus_persica/p.persica_gdr_reftransV1_0013081","p.persica_gdr_reftransV1_0013081")</f>
        <v>p.persica_gdr_reftransV1_0013081</v>
      </c>
      <c r="B8477" s="3">
        <v>5490</v>
      </c>
      <c r="C8477" s="1" t="str">
        <f>HYPERLINK("http://www.uniprot.org/uniprot/ALE2_ARATH","ALE2_ARATH")</f>
        <v>ALE2_ARATH</v>
      </c>
      <c r="D8477" t="s">
        <v>3266</v>
      </c>
      <c r="E8477" s="3" t="s">
        <v>3</v>
      </c>
      <c r="F8477" s="4">
        <v>0</v>
      </c>
      <c r="G8477" s="3">
        <v>2492</v>
      </c>
      <c r="H8477" s="3">
        <v>77</v>
      </c>
      <c r="I8477" s="3">
        <v>664</v>
      </c>
      <c r="J8477" s="3">
        <v>398</v>
      </c>
      <c r="K8477" s="3">
        <v>2374</v>
      </c>
      <c r="L8477" s="3">
        <v>98</v>
      </c>
      <c r="M8477" s="3">
        <v>744</v>
      </c>
    </row>
    <row r="8478" spans="1:13" x14ac:dyDescent="0.25">
      <c r="A8478" s="1" t="str">
        <f>HYPERLINK("http://www.rosaceae.org/Prunus/Prunus_persica/p.persica_gdr_reftransV1_0013131","p.persica_gdr_reftransV1_0013131")</f>
        <v>p.persica_gdr_reftransV1_0013131</v>
      </c>
      <c r="B8478" s="3">
        <v>1259</v>
      </c>
      <c r="C8478" s="1" t="str">
        <f>HYPERLINK("http://www.uniprot.org/uniprot/AHK4_ARATH","AHK4_ARATH")</f>
        <v>AHK4_ARATH</v>
      </c>
      <c r="D8478" t="s">
        <v>5609</v>
      </c>
      <c r="E8478" s="3" t="s">
        <v>3</v>
      </c>
      <c r="F8478" s="4">
        <v>3.3099999999999998E-55</v>
      </c>
      <c r="G8478" s="3">
        <v>513</v>
      </c>
      <c r="H8478" s="3">
        <v>75</v>
      </c>
      <c r="I8478" s="3">
        <v>131</v>
      </c>
      <c r="J8478" s="3">
        <v>881</v>
      </c>
      <c r="K8478" s="3">
        <v>1258</v>
      </c>
      <c r="L8478" s="3">
        <v>96</v>
      </c>
      <c r="M8478" s="3">
        <v>226</v>
      </c>
    </row>
    <row r="8479" spans="1:13" x14ac:dyDescent="0.25">
      <c r="A8479" s="1" t="str">
        <f>HYPERLINK("http://www.rosaceae.org/Prunus/Prunus_persica/p.persica_gdr_reftransV1_0013231","p.persica_gdr_reftransV1_0013231")</f>
        <v>p.persica_gdr_reftransV1_0013231</v>
      </c>
      <c r="B8479" s="3">
        <v>1858</v>
      </c>
      <c r="C8479" s="1" t="str">
        <f>HYPERLINK("http://www.uniprot.org/uniprot/PXL2_ARATH","PXL2_ARATH")</f>
        <v>PXL2_ARATH</v>
      </c>
      <c r="D8479" t="s">
        <v>6532</v>
      </c>
      <c r="E8479" s="3" t="s">
        <v>3</v>
      </c>
      <c r="F8479" s="4">
        <v>1.9999999999999999E-144</v>
      </c>
      <c r="G8479" s="3">
        <v>1161</v>
      </c>
      <c r="H8479" s="3">
        <v>84</v>
      </c>
      <c r="I8479" s="3">
        <v>262</v>
      </c>
      <c r="J8479" s="3">
        <v>1081</v>
      </c>
      <c r="K8479" s="3">
        <v>1857</v>
      </c>
      <c r="L8479" s="3">
        <v>752</v>
      </c>
      <c r="M8479" s="3">
        <v>1013</v>
      </c>
    </row>
    <row r="8480" spans="1:13" x14ac:dyDescent="0.25">
      <c r="A8480" s="1" t="str">
        <f>HYPERLINK("http://www.rosaceae.org/Prunus/Prunus_persica/p.persica_gdr_reftransV1_0013281","p.persica_gdr_reftransV1_0013281")</f>
        <v>p.persica_gdr_reftransV1_0013281</v>
      </c>
      <c r="B8480" s="3">
        <v>1456</v>
      </c>
      <c r="C8480" s="1" t="str">
        <f>HYPERLINK("http://www.uniprot.org/uniprot/QRT3_ARATH","QRT3_ARATH")</f>
        <v>QRT3_ARATH</v>
      </c>
      <c r="D8480" t="s">
        <v>2285</v>
      </c>
      <c r="E8480" s="3" t="s">
        <v>3</v>
      </c>
      <c r="F8480" s="4">
        <v>4.97E-136</v>
      </c>
      <c r="G8480" s="3">
        <v>1049</v>
      </c>
      <c r="H8480" s="3">
        <v>54</v>
      </c>
      <c r="I8480" s="3">
        <v>402</v>
      </c>
      <c r="J8480" s="3">
        <v>170</v>
      </c>
      <c r="K8480" s="3">
        <v>1357</v>
      </c>
      <c r="L8480" s="3">
        <v>74</v>
      </c>
      <c r="M8480" s="3">
        <v>452</v>
      </c>
    </row>
    <row r="8481" spans="1:13" x14ac:dyDescent="0.25">
      <c r="A8481" s="1" t="str">
        <f>HYPERLINK("http://www.rosaceae.org/Prunus/Prunus_persica/p.persica_gdr_reftransV1_0013331","p.persica_gdr_reftransV1_0013331")</f>
        <v>p.persica_gdr_reftransV1_0013331</v>
      </c>
      <c r="B8481" s="3">
        <v>1493</v>
      </c>
      <c r="C8481" s="1" t="str">
        <f>HYPERLINK("http://www.uniprot.org/uniprot/BCAT2_ARATH","BCAT2_ARATH")</f>
        <v>BCAT2_ARATH</v>
      </c>
      <c r="D8481" t="s">
        <v>5633</v>
      </c>
      <c r="E8481" s="3" t="s">
        <v>3</v>
      </c>
      <c r="F8481" s="4">
        <v>4.2899999999999998E-157</v>
      </c>
      <c r="G8481" s="3">
        <v>1181</v>
      </c>
      <c r="H8481" s="3">
        <v>65</v>
      </c>
      <c r="I8481" s="3">
        <v>336</v>
      </c>
      <c r="J8481" s="3">
        <v>448</v>
      </c>
      <c r="K8481" s="3">
        <v>1452</v>
      </c>
      <c r="L8481" s="3">
        <v>53</v>
      </c>
      <c r="M8481" s="3">
        <v>388</v>
      </c>
    </row>
    <row r="8482" spans="1:13" x14ac:dyDescent="0.25">
      <c r="A8482" s="1" t="str">
        <f>HYPERLINK("http://www.rosaceae.org/Prunus/Prunus_persica/p.persica_gdr_reftransV1_0013431","p.persica_gdr_reftransV1_0013431")</f>
        <v>p.persica_gdr_reftransV1_0013431</v>
      </c>
      <c r="B8482" s="3">
        <v>1202</v>
      </c>
      <c r="C8482" s="1" t="str">
        <f>HYPERLINK("http://www.uniprot.org/uniprot/RABF1_ARATH","RABF1_ARATH")</f>
        <v>RABF1_ARATH</v>
      </c>
      <c r="D8482" t="s">
        <v>6533</v>
      </c>
      <c r="E8482" s="3" t="s">
        <v>3</v>
      </c>
      <c r="F8482" s="4">
        <v>1.8299999999999999E-124</v>
      </c>
      <c r="G8482" s="3">
        <v>937</v>
      </c>
      <c r="H8482" s="3">
        <v>89</v>
      </c>
      <c r="I8482" s="3">
        <v>203</v>
      </c>
      <c r="J8482" s="3">
        <v>256</v>
      </c>
      <c r="K8482" s="3">
        <v>861</v>
      </c>
      <c r="L8482" s="3">
        <v>1</v>
      </c>
      <c r="M8482" s="3">
        <v>202</v>
      </c>
    </row>
    <row r="8483" spans="1:13" x14ac:dyDescent="0.25">
      <c r="A8483" s="1" t="str">
        <f>HYPERLINK("http://www.rosaceae.org/Prunus/Prunus_persica/p.persica_gdr_reftransV1_0013531","p.persica_gdr_reftransV1_0013531")</f>
        <v>p.persica_gdr_reftransV1_0013531</v>
      </c>
      <c r="B8483" s="3">
        <v>1080</v>
      </c>
      <c r="C8483" s="1" t="str">
        <f>HYPERLINK("http://www.uniprot.org/uniprot/NAC8_ARATH","NAC8_ARATH")</f>
        <v>NAC8_ARATH</v>
      </c>
      <c r="D8483" t="s">
        <v>1917</v>
      </c>
      <c r="E8483" s="3" t="s">
        <v>3</v>
      </c>
      <c r="F8483" s="4">
        <v>3.3899999999999998E-124</v>
      </c>
      <c r="G8483" s="3">
        <v>954</v>
      </c>
      <c r="H8483" s="3">
        <v>63</v>
      </c>
      <c r="I8483" s="3">
        <v>302</v>
      </c>
      <c r="J8483" s="3">
        <v>155</v>
      </c>
      <c r="K8483" s="3">
        <v>1045</v>
      </c>
      <c r="L8483" s="3">
        <v>1</v>
      </c>
      <c r="M8483" s="3">
        <v>296</v>
      </c>
    </row>
    <row r="8484" spans="1:13" x14ac:dyDescent="0.25">
      <c r="A8484" s="1" t="str">
        <f>HYPERLINK("http://www.rosaceae.org/Prunus/Prunus_persica/p.persica_gdr_reftransV1_0013781","p.persica_gdr_reftransV1_0013781")</f>
        <v>p.persica_gdr_reftransV1_0013781</v>
      </c>
      <c r="B8484" s="3">
        <v>726</v>
      </c>
      <c r="C8484" s="1" t="str">
        <f>HYPERLINK("http://www.uniprot.org/uniprot/Y1668_ARATH","Y1668_ARATH")</f>
        <v>Y1668_ARATH</v>
      </c>
      <c r="D8484" t="s">
        <v>2846</v>
      </c>
      <c r="E8484" s="3" t="s">
        <v>3</v>
      </c>
      <c r="F8484" s="4">
        <v>2.4499999999999999E-22</v>
      </c>
      <c r="G8484" s="3">
        <v>248</v>
      </c>
      <c r="H8484" s="3">
        <v>43</v>
      </c>
      <c r="I8484" s="3">
        <v>136</v>
      </c>
      <c r="J8484" s="3">
        <v>12</v>
      </c>
      <c r="K8484" s="3">
        <v>416</v>
      </c>
      <c r="L8484" s="3">
        <v>23</v>
      </c>
      <c r="M8484" s="3">
        <v>158</v>
      </c>
    </row>
    <row r="8485" spans="1:13" x14ac:dyDescent="0.25">
      <c r="A8485" s="1" t="str">
        <f>HYPERLINK("http://www.rosaceae.org/Prunus/Prunus_persica/p.persica_gdr_reftransV1_0013831","p.persica_gdr_reftransV1_0013831")</f>
        <v>p.persica_gdr_reftransV1_0013831</v>
      </c>
      <c r="B8485" s="3">
        <v>1486</v>
      </c>
      <c r="C8485" s="1" t="str">
        <f>HYPERLINK("http://www.uniprot.org/uniprot/PCF1_ORYSJ","PCF1_ORYSJ")</f>
        <v>PCF1_ORYSJ</v>
      </c>
      <c r="D8485" t="s">
        <v>6534</v>
      </c>
      <c r="E8485" s="3" t="s">
        <v>38</v>
      </c>
      <c r="F8485" s="4">
        <v>3.54E-30</v>
      </c>
      <c r="G8485" s="3">
        <v>300</v>
      </c>
      <c r="H8485" s="3">
        <v>80</v>
      </c>
      <c r="I8485" s="3">
        <v>69</v>
      </c>
      <c r="J8485" s="3">
        <v>770</v>
      </c>
      <c r="K8485" s="3">
        <v>976</v>
      </c>
      <c r="L8485" s="3">
        <v>51</v>
      </c>
      <c r="M8485" s="3">
        <v>119</v>
      </c>
    </row>
    <row r="8486" spans="1:13" x14ac:dyDescent="0.25">
      <c r="A8486" s="1" t="str">
        <f>HYPERLINK("http://www.rosaceae.org/Prunus/Prunus_persica/p.persica_gdr_reftransV1_0013931","p.persica_gdr_reftransV1_0013931")</f>
        <v>p.persica_gdr_reftransV1_0013931</v>
      </c>
      <c r="B8486" s="3">
        <v>1631</v>
      </c>
      <c r="C8486" s="1" t="str">
        <f>HYPERLINK("http://www.uniprot.org/uniprot/FTSHA_ARATH","FTSHA_ARATH")</f>
        <v>FTSHA_ARATH</v>
      </c>
      <c r="D8486" t="s">
        <v>5091</v>
      </c>
      <c r="E8486" s="3" t="s">
        <v>3</v>
      </c>
      <c r="F8486" s="4">
        <v>2.85E-143</v>
      </c>
      <c r="G8486" s="3">
        <v>1131</v>
      </c>
      <c r="H8486" s="3">
        <v>63</v>
      </c>
      <c r="I8486" s="3">
        <v>407</v>
      </c>
      <c r="J8486" s="3">
        <v>3</v>
      </c>
      <c r="K8486" s="3">
        <v>1208</v>
      </c>
      <c r="L8486" s="3">
        <v>43</v>
      </c>
      <c r="M8486" s="3">
        <v>442</v>
      </c>
    </row>
    <row r="8487" spans="1:13" x14ac:dyDescent="0.25">
      <c r="A8487" s="1" t="str">
        <f>HYPERLINK("http://www.rosaceae.org/Prunus/Prunus_persica/p.persica_gdr_reftransV1_0014081","p.persica_gdr_reftransV1_0014081")</f>
        <v>p.persica_gdr_reftransV1_0014081</v>
      </c>
      <c r="B8487" s="3">
        <v>3175</v>
      </c>
      <c r="C8487" s="1" t="str">
        <f>HYPERLINK("http://www.uniprot.org/uniprot/Y1044_ARATH","Y1044_ARATH")</f>
        <v>Y1044_ARATH</v>
      </c>
      <c r="D8487" t="s">
        <v>6535</v>
      </c>
      <c r="E8487" s="3" t="s">
        <v>3</v>
      </c>
      <c r="F8487" s="4">
        <v>0</v>
      </c>
      <c r="G8487" s="3">
        <v>2546</v>
      </c>
      <c r="H8487" s="3">
        <v>75</v>
      </c>
      <c r="I8487" s="3">
        <v>661</v>
      </c>
      <c r="J8487" s="3">
        <v>327</v>
      </c>
      <c r="K8487" s="3">
        <v>2225</v>
      </c>
      <c r="L8487" s="3">
        <v>1</v>
      </c>
      <c r="M8487" s="3">
        <v>659</v>
      </c>
    </row>
    <row r="8488" spans="1:13" x14ac:dyDescent="0.25">
      <c r="A8488" s="1" t="str">
        <f>HYPERLINK("http://www.rosaceae.org/Prunus/Prunus_persica/p.persica_gdr_reftransV1_0014131","p.persica_gdr_reftransV1_0014131")</f>
        <v>p.persica_gdr_reftransV1_0014131</v>
      </c>
      <c r="B8488" s="3">
        <v>2174</v>
      </c>
      <c r="C8488" s="1" t="str">
        <f>HYPERLINK("http://www.uniprot.org/uniprot/Gid1B_ARATH","Gid1B_ARATH")</f>
        <v>Gid1B_ARATH</v>
      </c>
      <c r="D8488" t="s">
        <v>6536</v>
      </c>
      <c r="E8488" s="3" t="s">
        <v>3</v>
      </c>
      <c r="F8488" s="4">
        <v>0</v>
      </c>
      <c r="G8488" s="3">
        <v>1423</v>
      </c>
      <c r="H8488" s="3">
        <v>78</v>
      </c>
      <c r="I8488" s="3">
        <v>342</v>
      </c>
      <c r="J8488" s="3">
        <v>476</v>
      </c>
      <c r="K8488" s="3">
        <v>1498</v>
      </c>
      <c r="L8488" s="3">
        <v>1</v>
      </c>
      <c r="M8488" s="3">
        <v>342</v>
      </c>
    </row>
    <row r="8489" spans="1:13" x14ac:dyDescent="0.25">
      <c r="A8489" s="1" t="str">
        <f>HYPERLINK("http://www.rosaceae.org/Prunus/Prunus_persica/p.persica_gdr_reftransV1_0014381","p.persica_gdr_reftransV1_0014381")</f>
        <v>p.persica_gdr_reftransV1_0014381</v>
      </c>
      <c r="B8489" s="3">
        <v>1662</v>
      </c>
      <c r="C8489" s="1" t="str">
        <f>HYPERLINK("http://www.uniprot.org/uniprot/BAHD1_ARATH","BAHD1_ARATH")</f>
        <v>BAHD1_ARATH</v>
      </c>
      <c r="D8489" t="s">
        <v>897</v>
      </c>
      <c r="E8489" s="3" t="s">
        <v>3</v>
      </c>
      <c r="F8489" s="4">
        <v>2.9099999999999999E-73</v>
      </c>
      <c r="G8489" s="3">
        <v>629</v>
      </c>
      <c r="H8489" s="3">
        <v>39</v>
      </c>
      <c r="I8489" s="3">
        <v>449</v>
      </c>
      <c r="J8489" s="3">
        <v>126</v>
      </c>
      <c r="K8489" s="3">
        <v>1430</v>
      </c>
      <c r="L8489" s="3">
        <v>3</v>
      </c>
      <c r="M8489" s="3">
        <v>442</v>
      </c>
    </row>
    <row r="8490" spans="1:13" x14ac:dyDescent="0.25">
      <c r="A8490" s="1" t="str">
        <f>HYPERLINK("http://www.rosaceae.org/Prunus/Prunus_persica/p.persica_gdr_reftransV1_0014481","p.persica_gdr_reftransV1_0014481")</f>
        <v>p.persica_gdr_reftransV1_0014481</v>
      </c>
      <c r="B8490" s="3">
        <v>1055</v>
      </c>
      <c r="C8490" s="1" t="str">
        <f>HYPERLINK("http://www.uniprot.org/uniprot/YK17_SCHPO","YK17_SCHPO")</f>
        <v>YK17_SCHPO</v>
      </c>
      <c r="D8490" t="s">
        <v>6537</v>
      </c>
      <c r="E8490" s="3" t="s">
        <v>464</v>
      </c>
      <c r="F8490" s="4">
        <v>8.3999999999999998E-8</v>
      </c>
      <c r="G8490" s="3">
        <v>137</v>
      </c>
      <c r="H8490" s="3">
        <v>36</v>
      </c>
      <c r="I8490" s="3">
        <v>175</v>
      </c>
      <c r="J8490" s="3">
        <v>259</v>
      </c>
      <c r="K8490" s="3">
        <v>750</v>
      </c>
      <c r="L8490" s="3">
        <v>266</v>
      </c>
      <c r="M8490" s="3">
        <v>434</v>
      </c>
    </row>
    <row r="8491" spans="1:13" x14ac:dyDescent="0.25">
      <c r="A8491" s="1" t="str">
        <f>HYPERLINK("http://www.rosaceae.org/Prunus/Prunus_persica/p.persica_gdr_reftransV1_0014581","p.persica_gdr_reftransV1_0014581")</f>
        <v>p.persica_gdr_reftransV1_0014581</v>
      </c>
      <c r="B8491" s="3">
        <v>4036</v>
      </c>
      <c r="C8491" s="1" t="str">
        <f>HYPERLINK("http://www.uniprot.org/uniprot/SSY3_SOLTU","SSY3_SOLTU")</f>
        <v>SSY3_SOLTU</v>
      </c>
      <c r="D8491" t="s">
        <v>6538</v>
      </c>
      <c r="E8491" s="3" t="s">
        <v>11</v>
      </c>
      <c r="F8491" s="4">
        <v>0</v>
      </c>
      <c r="G8491" s="3">
        <v>3683</v>
      </c>
      <c r="H8491" s="3">
        <v>78</v>
      </c>
      <c r="I8491" s="3">
        <v>909</v>
      </c>
      <c r="J8491" s="3">
        <v>883</v>
      </c>
      <c r="K8491" s="3">
        <v>3609</v>
      </c>
      <c r="L8491" s="3">
        <v>321</v>
      </c>
      <c r="M8491" s="3">
        <v>1228</v>
      </c>
    </row>
    <row r="8492" spans="1:13" x14ac:dyDescent="0.25">
      <c r="A8492" s="1" t="str">
        <f>HYPERLINK("http://www.rosaceae.org/Prunus/Prunus_persica/p.persica_gdr_reftransV1_0014881","p.persica_gdr_reftransV1_0014881")</f>
        <v>p.persica_gdr_reftransV1_0014881</v>
      </c>
      <c r="B8492" s="3">
        <v>1730</v>
      </c>
      <c r="C8492" s="1" t="str">
        <f>HYPERLINK("http://www.uniprot.org/uniprot/TIP11_ARATH","TIP11_ARATH")</f>
        <v>TIP11_ARATH</v>
      </c>
      <c r="D8492" t="s">
        <v>6539</v>
      </c>
      <c r="E8492" s="3" t="s">
        <v>3</v>
      </c>
      <c r="F8492" s="4">
        <v>1.16E-108</v>
      </c>
      <c r="G8492" s="3">
        <v>852</v>
      </c>
      <c r="H8492" s="3">
        <v>81</v>
      </c>
      <c r="I8492" s="3">
        <v>252</v>
      </c>
      <c r="J8492" s="3">
        <v>448</v>
      </c>
      <c r="K8492" s="3">
        <v>1203</v>
      </c>
      <c r="L8492" s="3">
        <v>1</v>
      </c>
      <c r="M8492" s="3">
        <v>251</v>
      </c>
    </row>
    <row r="8493" spans="1:13" x14ac:dyDescent="0.25">
      <c r="A8493" s="1" t="str">
        <f>HYPERLINK("http://www.rosaceae.org/Prunus/Prunus_persica/p.persica_gdr_reftransV1_0015031","p.persica_gdr_reftransV1_0015031")</f>
        <v>p.persica_gdr_reftransV1_0015031</v>
      </c>
      <c r="B8493" s="3">
        <v>2612</v>
      </c>
      <c r="C8493" s="1" t="str">
        <f>HYPERLINK("http://www.uniprot.org/uniprot/ARAD1_ARATH","ARAD1_ARATH")</f>
        <v>ARAD1_ARATH</v>
      </c>
      <c r="D8493" t="s">
        <v>123</v>
      </c>
      <c r="E8493" s="3" t="s">
        <v>3</v>
      </c>
      <c r="F8493" s="4">
        <v>1.41E-68</v>
      </c>
      <c r="G8493" s="3">
        <v>612</v>
      </c>
      <c r="H8493" s="3">
        <v>38</v>
      </c>
      <c r="I8493" s="3">
        <v>381</v>
      </c>
      <c r="J8493" s="3">
        <v>1077</v>
      </c>
      <c r="K8493" s="3">
        <v>2201</v>
      </c>
      <c r="L8493" s="3">
        <v>57</v>
      </c>
      <c r="M8493" s="3">
        <v>422</v>
      </c>
    </row>
    <row r="8494" spans="1:13" x14ac:dyDescent="0.25">
      <c r="A8494" s="1" t="str">
        <f>HYPERLINK("http://www.rosaceae.org/Prunus/Prunus_persica/p.persica_gdr_reftransV1_0015081","p.persica_gdr_reftransV1_0015081")</f>
        <v>p.persica_gdr_reftransV1_0015081</v>
      </c>
      <c r="B8494" s="3">
        <v>478</v>
      </c>
      <c r="C8494" s="1" t="str">
        <f>HYPERLINK("http://www.uniprot.org/uniprot/PPL1_ARATH","PPL1_ARATH")</f>
        <v>PPL1_ARATH</v>
      </c>
      <c r="D8494" t="s">
        <v>6540</v>
      </c>
      <c r="E8494" s="3" t="s">
        <v>3</v>
      </c>
      <c r="F8494" s="4">
        <v>1.2E-15</v>
      </c>
      <c r="G8494" s="3">
        <v>183</v>
      </c>
      <c r="H8494" s="3">
        <v>44</v>
      </c>
      <c r="I8494" s="3">
        <v>86</v>
      </c>
      <c r="J8494" s="3">
        <v>86</v>
      </c>
      <c r="K8494" s="3">
        <v>343</v>
      </c>
      <c r="L8494" s="3">
        <v>16</v>
      </c>
      <c r="M8494" s="3">
        <v>100</v>
      </c>
    </row>
    <row r="8495" spans="1:13" x14ac:dyDescent="0.25">
      <c r="A8495" s="1" t="str">
        <f>HYPERLINK("http://www.rosaceae.org/Prunus/Prunus_persica/p.persica_gdr_reftransV1_0015181","p.persica_gdr_reftransV1_0015181")</f>
        <v>p.persica_gdr_reftransV1_0015181</v>
      </c>
      <c r="B8495" s="3">
        <v>1540</v>
      </c>
      <c r="C8495" s="1" t="str">
        <f>HYPERLINK("http://www.uniprot.org/uniprot/PROT1_ARATH","PROT1_ARATH")</f>
        <v>PROT1_ARATH</v>
      </c>
      <c r="D8495" t="s">
        <v>6541</v>
      </c>
      <c r="E8495" s="3" t="s">
        <v>3</v>
      </c>
      <c r="F8495" s="4">
        <v>1.08E-111</v>
      </c>
      <c r="G8495" s="3">
        <v>885</v>
      </c>
      <c r="H8495" s="3">
        <v>40</v>
      </c>
      <c r="I8495" s="3">
        <v>427</v>
      </c>
      <c r="J8495" s="3">
        <v>89</v>
      </c>
      <c r="K8495" s="3">
        <v>1363</v>
      </c>
      <c r="L8495" s="3">
        <v>16</v>
      </c>
      <c r="M8495" s="3">
        <v>441</v>
      </c>
    </row>
    <row r="8496" spans="1:13" x14ac:dyDescent="0.25">
      <c r="A8496" s="1" t="str">
        <f>HYPERLINK("http://www.rosaceae.org/Prunus/Prunus_persica/p.persica_gdr_reftransV1_0015381","p.persica_gdr_reftransV1_0015381")</f>
        <v>p.persica_gdr_reftransV1_0015381</v>
      </c>
      <c r="B8496" s="3">
        <v>964</v>
      </c>
      <c r="C8496" s="1" t="str">
        <f>HYPERLINK("http://www.uniprot.org/uniprot/PP316_ARATH","PP316_ARATH")</f>
        <v>PP316_ARATH</v>
      </c>
      <c r="D8496" t="s">
        <v>191</v>
      </c>
      <c r="E8496" s="3" t="s">
        <v>3</v>
      </c>
      <c r="F8496" s="4">
        <v>3.9000000000000002E-109</v>
      </c>
      <c r="G8496" s="3">
        <v>867</v>
      </c>
      <c r="H8496" s="3">
        <v>72</v>
      </c>
      <c r="I8496" s="3">
        <v>242</v>
      </c>
      <c r="J8496" s="3">
        <v>3</v>
      </c>
      <c r="K8496" s="3">
        <v>728</v>
      </c>
      <c r="L8496" s="3">
        <v>415</v>
      </c>
      <c r="M8496" s="3">
        <v>656</v>
      </c>
    </row>
    <row r="8497" spans="1:13" x14ac:dyDescent="0.25">
      <c r="A8497" s="1" t="str">
        <f>HYPERLINK("http://www.rosaceae.org/Prunus/Prunus_persica/p.persica_gdr_reftransV1_0015581","p.persica_gdr_reftransV1_0015581")</f>
        <v>p.persica_gdr_reftransV1_0015581</v>
      </c>
      <c r="B8497" s="3">
        <v>822</v>
      </c>
      <c r="C8497" s="1" t="str">
        <f>HYPERLINK("http://www.uniprot.org/uniprot/EXO5_ARATH","EXO5_ARATH")</f>
        <v>EXO5_ARATH</v>
      </c>
      <c r="D8497" t="s">
        <v>6542</v>
      </c>
      <c r="E8497" s="3" t="s">
        <v>3</v>
      </c>
      <c r="F8497" s="4">
        <v>9.2999999999999998E-32</v>
      </c>
      <c r="G8497" s="3">
        <v>315</v>
      </c>
      <c r="H8497" s="3">
        <v>55</v>
      </c>
      <c r="I8497" s="3">
        <v>152</v>
      </c>
      <c r="J8497" s="3">
        <v>355</v>
      </c>
      <c r="K8497" s="3">
        <v>807</v>
      </c>
      <c r="L8497" s="3">
        <v>68</v>
      </c>
      <c r="M8497" s="3">
        <v>202</v>
      </c>
    </row>
    <row r="8498" spans="1:13" x14ac:dyDescent="0.25">
      <c r="A8498" s="1" t="str">
        <f>HYPERLINK("http://www.rosaceae.org/Prunus/Prunus_persica/p.persica_gdr_reftransV1_0015631","p.persica_gdr_reftransV1_0015631")</f>
        <v>p.persica_gdr_reftransV1_0015631</v>
      </c>
      <c r="B8498" s="3">
        <v>857</v>
      </c>
      <c r="C8498" s="1" t="str">
        <f>HYPERLINK("http://www.uniprot.org/uniprot/PME1_CITSI","PME1_CITSI")</f>
        <v>PME1_CITSI</v>
      </c>
      <c r="D8498" t="s">
        <v>6543</v>
      </c>
      <c r="E8498" s="3" t="s">
        <v>1276</v>
      </c>
      <c r="F8498" s="4">
        <v>4.8700000000000002E-52</v>
      </c>
      <c r="G8498" s="3">
        <v>295</v>
      </c>
      <c r="H8498" s="3">
        <v>55</v>
      </c>
      <c r="I8498" s="3">
        <v>97</v>
      </c>
      <c r="J8498" s="3">
        <v>180</v>
      </c>
      <c r="K8498" s="3">
        <v>467</v>
      </c>
      <c r="L8498" s="3">
        <v>488</v>
      </c>
      <c r="M8498" s="3">
        <v>584</v>
      </c>
    </row>
    <row r="8499" spans="1:13" x14ac:dyDescent="0.25">
      <c r="A8499" s="1" t="str">
        <f>HYPERLINK("http://www.rosaceae.org/Prunus/Prunus_persica/p.persica_gdr_reftransV1_0016031","p.persica_gdr_reftransV1_0016031")</f>
        <v>p.persica_gdr_reftransV1_0016031</v>
      </c>
      <c r="B8499" s="3">
        <v>2588</v>
      </c>
      <c r="C8499" s="1" t="str">
        <f>HYPERLINK("http://www.uniprot.org/uniprot/DNMT1_ARATH","DNMT1_ARATH")</f>
        <v>DNMT1_ARATH</v>
      </c>
      <c r="D8499" t="s">
        <v>342</v>
      </c>
      <c r="E8499" s="3" t="s">
        <v>3</v>
      </c>
      <c r="F8499" s="4">
        <v>0</v>
      </c>
      <c r="G8499" s="3">
        <v>2865</v>
      </c>
      <c r="H8499" s="3">
        <v>68</v>
      </c>
      <c r="I8499" s="3">
        <v>800</v>
      </c>
      <c r="J8499" s="3">
        <v>1</v>
      </c>
      <c r="K8499" s="3">
        <v>2397</v>
      </c>
      <c r="L8499" s="3">
        <v>730</v>
      </c>
      <c r="M8499" s="3">
        <v>1528</v>
      </c>
    </row>
    <row r="8500" spans="1:13" x14ac:dyDescent="0.25">
      <c r="A8500" s="1" t="str">
        <f>HYPERLINK("http://www.rosaceae.org/Prunus/Prunus_persica/p.persica_gdr_reftransV1_0016131","p.persica_gdr_reftransV1_0016131")</f>
        <v>p.persica_gdr_reftransV1_0016131</v>
      </c>
      <c r="B8500" s="3">
        <v>800</v>
      </c>
      <c r="C8500" s="1" t="str">
        <f>HYPERLINK("http://www.uniprot.org/uniprot/PP307_ARATH","PP307_ARATH")</f>
        <v>PP307_ARATH</v>
      </c>
      <c r="D8500" t="s">
        <v>5226</v>
      </c>
      <c r="E8500" s="3" t="s">
        <v>3</v>
      </c>
      <c r="F8500" s="4">
        <v>2.6600000000000002E-82</v>
      </c>
      <c r="G8500" s="3">
        <v>695</v>
      </c>
      <c r="H8500" s="3">
        <v>55</v>
      </c>
      <c r="I8500" s="3">
        <v>245</v>
      </c>
      <c r="J8500" s="3">
        <v>69</v>
      </c>
      <c r="K8500" s="3">
        <v>800</v>
      </c>
      <c r="L8500" s="3">
        <v>72</v>
      </c>
      <c r="M8500" s="3">
        <v>316</v>
      </c>
    </row>
    <row r="8501" spans="1:13" x14ac:dyDescent="0.25">
      <c r="A8501" s="1" t="str">
        <f>HYPERLINK("http://www.rosaceae.org/Prunus/Prunus_persica/p.persica_gdr_reftransV1_0016181","p.persica_gdr_reftransV1_0016181")</f>
        <v>p.persica_gdr_reftransV1_0016181</v>
      </c>
      <c r="B8501" s="3">
        <v>1559</v>
      </c>
      <c r="C8501" s="1" t="str">
        <f>HYPERLINK("http://www.uniprot.org/uniprot/GDL84_ARATH","GDL84_ARATH")</f>
        <v>GDL84_ARATH</v>
      </c>
      <c r="D8501" t="s">
        <v>4895</v>
      </c>
      <c r="E8501" s="3" t="s">
        <v>3</v>
      </c>
      <c r="F8501" s="4">
        <v>9.1600000000000004E-88</v>
      </c>
      <c r="G8501" s="3">
        <v>707</v>
      </c>
      <c r="H8501" s="3">
        <v>69</v>
      </c>
      <c r="I8501" s="3">
        <v>186</v>
      </c>
      <c r="J8501" s="3">
        <v>953</v>
      </c>
      <c r="K8501" s="3">
        <v>1507</v>
      </c>
      <c r="L8501" s="3">
        <v>2</v>
      </c>
      <c r="M8501" s="3">
        <v>187</v>
      </c>
    </row>
    <row r="8502" spans="1:13" x14ac:dyDescent="0.25">
      <c r="A8502" s="1" t="str">
        <f>HYPERLINK("http://www.rosaceae.org/Prunus/Prunus_persica/p.persica_gdr_reftransV1_0016281","p.persica_gdr_reftransV1_0016281")</f>
        <v>p.persica_gdr_reftransV1_0016281</v>
      </c>
      <c r="B8502" s="3">
        <v>2315</v>
      </c>
      <c r="C8502" s="1" t="str">
        <f>HYPERLINK("http://www.uniprot.org/uniprot/Y2237_DICDI","Y2237_DICDI")</f>
        <v>Y2237_DICDI</v>
      </c>
      <c r="D8502" t="s">
        <v>2066</v>
      </c>
      <c r="E8502" s="3" t="s">
        <v>9</v>
      </c>
      <c r="F8502" s="4">
        <v>1.25E-17</v>
      </c>
      <c r="G8502" s="3">
        <v>226</v>
      </c>
      <c r="H8502" s="3">
        <v>34</v>
      </c>
      <c r="I8502" s="3">
        <v>140</v>
      </c>
      <c r="J8502" s="3">
        <v>297</v>
      </c>
      <c r="K8502" s="3">
        <v>716</v>
      </c>
      <c r="L8502" s="3">
        <v>1</v>
      </c>
      <c r="M8502" s="3">
        <v>138</v>
      </c>
    </row>
    <row r="8503" spans="1:13" x14ac:dyDescent="0.25">
      <c r="A8503" s="1" t="str">
        <f>HYPERLINK("http://www.rosaceae.org/Prunus/Prunus_persica/p.persica_gdr_reftransV1_0016631","p.persica_gdr_reftransV1_0016631")</f>
        <v>p.persica_gdr_reftransV1_0016631</v>
      </c>
      <c r="B8503" s="3">
        <v>1723</v>
      </c>
      <c r="C8503" s="1" t="str">
        <f>HYPERLINK("http://www.uniprot.org/uniprot/FTSZ1_ARATH","FTSZ1_ARATH")</f>
        <v>FTSZ1_ARATH</v>
      </c>
      <c r="D8503" t="s">
        <v>6544</v>
      </c>
      <c r="E8503" s="3" t="s">
        <v>3</v>
      </c>
      <c r="F8503" s="4">
        <v>4.6600000000000002E-167</v>
      </c>
      <c r="G8503" s="3">
        <v>1259</v>
      </c>
      <c r="H8503" s="3">
        <v>93</v>
      </c>
      <c r="I8503" s="3">
        <v>281</v>
      </c>
      <c r="J8503" s="3">
        <v>683</v>
      </c>
      <c r="K8503" s="3">
        <v>1519</v>
      </c>
      <c r="L8503" s="3">
        <v>129</v>
      </c>
      <c r="M8503" s="3">
        <v>409</v>
      </c>
    </row>
    <row r="8504" spans="1:13" x14ac:dyDescent="0.25">
      <c r="A8504" s="1" t="str">
        <f>HYPERLINK("http://www.rosaceae.org/Prunus/Prunus_persica/p.persica_gdr_reftransV1_0016731","p.persica_gdr_reftransV1_0016731")</f>
        <v>p.persica_gdr_reftransV1_0016731</v>
      </c>
      <c r="B8504" s="3">
        <v>1119</v>
      </c>
      <c r="C8504" s="1" t="str">
        <f>HYPERLINK("http://www.uniprot.org/uniprot/FRS5_ARATH","FRS5_ARATH")</f>
        <v>FRS5_ARATH</v>
      </c>
      <c r="D8504" t="s">
        <v>908</v>
      </c>
      <c r="E8504" s="3" t="s">
        <v>3</v>
      </c>
      <c r="F8504" s="4">
        <v>1.5400000000000001E-18</v>
      </c>
      <c r="G8504" s="3">
        <v>224</v>
      </c>
      <c r="H8504" s="3">
        <v>57</v>
      </c>
      <c r="I8504" s="3">
        <v>108</v>
      </c>
      <c r="J8504" s="3">
        <v>325</v>
      </c>
      <c r="K8504" s="3">
        <v>639</v>
      </c>
      <c r="L8504" s="3">
        <v>72</v>
      </c>
      <c r="M8504" s="3">
        <v>179</v>
      </c>
    </row>
    <row r="8505" spans="1:13" x14ac:dyDescent="0.25">
      <c r="A8505" s="1" t="str">
        <f>HYPERLINK("http://www.rosaceae.org/Prunus/Prunus_persica/p.persica_gdr_reftransV1_0016931","p.persica_gdr_reftransV1_0016931")</f>
        <v>p.persica_gdr_reftransV1_0016931</v>
      </c>
      <c r="B8505" s="3">
        <v>1998</v>
      </c>
      <c r="C8505" s="1" t="str">
        <f>HYPERLINK("http://www.uniprot.org/uniprot/TGT2_ARATH","TGT2_ARATH")</f>
        <v>TGT2_ARATH</v>
      </c>
      <c r="D8505" t="s">
        <v>5090</v>
      </c>
      <c r="E8505" s="3" t="s">
        <v>3</v>
      </c>
      <c r="F8505" s="4">
        <v>2.1699999999999999E-44</v>
      </c>
      <c r="G8505" s="3">
        <v>433</v>
      </c>
      <c r="H8505" s="3">
        <v>39</v>
      </c>
      <c r="I8505" s="3">
        <v>247</v>
      </c>
      <c r="J8505" s="3">
        <v>756</v>
      </c>
      <c r="K8505" s="3">
        <v>1436</v>
      </c>
      <c r="L8505" s="3">
        <v>244</v>
      </c>
      <c r="M8505" s="3">
        <v>484</v>
      </c>
    </row>
    <row r="8506" spans="1:13" x14ac:dyDescent="0.25">
      <c r="A8506" s="1" t="str">
        <f>HYPERLINK("http://www.rosaceae.org/Prunus/Prunus_persica/p.persica_gdr_reftransV1_0017081","p.persica_gdr_reftransV1_0017081")</f>
        <v>p.persica_gdr_reftransV1_0017081</v>
      </c>
      <c r="B8506" s="3">
        <v>2183</v>
      </c>
      <c r="C8506" s="1" t="str">
        <f>HYPERLINK("http://www.uniprot.org/uniprot/KAN1_ARATH","KAN1_ARATH")</f>
        <v>KAN1_ARATH</v>
      </c>
      <c r="D8506" t="s">
        <v>1932</v>
      </c>
      <c r="E8506" s="3" t="s">
        <v>3</v>
      </c>
      <c r="F8506" s="4">
        <v>1.0699999999999999E-64</v>
      </c>
      <c r="G8506" s="3">
        <v>576</v>
      </c>
      <c r="H8506" s="3">
        <v>48</v>
      </c>
      <c r="I8506" s="3">
        <v>358</v>
      </c>
      <c r="J8506" s="3">
        <v>498</v>
      </c>
      <c r="K8506" s="3">
        <v>1517</v>
      </c>
      <c r="L8506" s="3">
        <v>94</v>
      </c>
      <c r="M8506" s="3">
        <v>403</v>
      </c>
    </row>
    <row r="8507" spans="1:13" x14ac:dyDescent="0.25">
      <c r="A8507" s="1" t="str">
        <f>HYPERLINK("http://www.rosaceae.org/Prunus/Prunus_persica/p.persica_gdr_reftransV1_0017631","p.persica_gdr_reftransV1_0017631")</f>
        <v>p.persica_gdr_reftransV1_0017631</v>
      </c>
      <c r="B8507" s="3">
        <v>2347</v>
      </c>
      <c r="C8507" s="1" t="str">
        <f>HYPERLINK("http://www.uniprot.org/uniprot/PPOX1_ARATH","PPOX1_ARATH")</f>
        <v>PPOX1_ARATH</v>
      </c>
      <c r="D8507" t="s">
        <v>6545</v>
      </c>
      <c r="E8507" s="3" t="s">
        <v>3</v>
      </c>
      <c r="F8507" s="4">
        <v>0</v>
      </c>
      <c r="G8507" s="3">
        <v>1913</v>
      </c>
      <c r="H8507" s="3">
        <v>76</v>
      </c>
      <c r="I8507" s="3">
        <v>473</v>
      </c>
      <c r="J8507" s="3">
        <v>546</v>
      </c>
      <c r="K8507" s="3">
        <v>1949</v>
      </c>
      <c r="L8507" s="3">
        <v>44</v>
      </c>
      <c r="M8507" s="3">
        <v>509</v>
      </c>
    </row>
    <row r="8508" spans="1:13" x14ac:dyDescent="0.25">
      <c r="A8508" s="1" t="str">
        <f>HYPERLINK("http://www.rosaceae.org/Prunus/Prunus_persica/p.persica_gdr_reftransV1_0017831","p.persica_gdr_reftransV1_0017831")</f>
        <v>p.persica_gdr_reftransV1_0017831</v>
      </c>
      <c r="B8508" s="3">
        <v>593</v>
      </c>
      <c r="C8508" s="1" t="str">
        <f>HYPERLINK("http://www.uniprot.org/uniprot/P2A04_ARATH","P2A04_ARATH")</f>
        <v>P2A04_ARATH</v>
      </c>
      <c r="D8508" t="s">
        <v>6546</v>
      </c>
      <c r="E8508" s="3" t="s">
        <v>3</v>
      </c>
      <c r="F8508" s="4">
        <v>6.5599999999999994E-30</v>
      </c>
      <c r="G8508" s="3">
        <v>284</v>
      </c>
      <c r="H8508" s="3">
        <v>53</v>
      </c>
      <c r="I8508" s="3">
        <v>110</v>
      </c>
      <c r="J8508" s="3">
        <v>2</v>
      </c>
      <c r="K8508" s="3">
        <v>325</v>
      </c>
      <c r="L8508" s="3">
        <v>56</v>
      </c>
      <c r="M8508" s="3">
        <v>165</v>
      </c>
    </row>
    <row r="8509" spans="1:13" x14ac:dyDescent="0.25">
      <c r="A8509" s="1" t="str">
        <f>HYPERLINK("http://www.rosaceae.org/Prunus/Prunus_persica/p.persica_gdr_reftransV1_0018031","p.persica_gdr_reftransV1_0018031")</f>
        <v>p.persica_gdr_reftransV1_0018031</v>
      </c>
      <c r="B8509" s="3">
        <v>2164</v>
      </c>
      <c r="C8509" s="1" t="str">
        <f>HYPERLINK("http://www.uniprot.org/uniprot/HNRPF_BOVIN","HNRPF_BOVIN")</f>
        <v>HNRPF_BOVIN</v>
      </c>
      <c r="D8509" t="s">
        <v>6547</v>
      </c>
      <c r="E8509" s="3" t="s">
        <v>184</v>
      </c>
      <c r="F8509" s="4">
        <v>3.12E-27</v>
      </c>
      <c r="G8509" s="3">
        <v>297</v>
      </c>
      <c r="H8509" s="3">
        <v>35</v>
      </c>
      <c r="I8509" s="3">
        <v>200</v>
      </c>
      <c r="J8509" s="3">
        <v>325</v>
      </c>
      <c r="K8509" s="3">
        <v>909</v>
      </c>
      <c r="L8509" s="3">
        <v>12</v>
      </c>
      <c r="M8509" s="3">
        <v>189</v>
      </c>
    </row>
    <row r="8510" spans="1:13" x14ac:dyDescent="0.25">
      <c r="A8510" s="1" t="str">
        <f>HYPERLINK("http://www.rosaceae.org/Prunus/Prunus_persica/p.persica_gdr_reftransV1_0018181","p.persica_gdr_reftransV1_0018181")</f>
        <v>p.persica_gdr_reftransV1_0018181</v>
      </c>
      <c r="B8510" s="3">
        <v>1726</v>
      </c>
      <c r="C8510" s="1" t="str">
        <f>HYPERLINK("http://www.uniprot.org/uniprot/RNP1_ARATH","RNP1_ARATH")</f>
        <v>RNP1_ARATH</v>
      </c>
      <c r="D8510" t="s">
        <v>2083</v>
      </c>
      <c r="E8510" s="3" t="s">
        <v>3</v>
      </c>
      <c r="F8510" s="4">
        <v>5.9100000000000004E-40</v>
      </c>
      <c r="G8510" s="3">
        <v>390</v>
      </c>
      <c r="H8510" s="3">
        <v>42</v>
      </c>
      <c r="I8510" s="3">
        <v>178</v>
      </c>
      <c r="J8510" s="3">
        <v>1098</v>
      </c>
      <c r="K8510" s="3">
        <v>1583</v>
      </c>
      <c r="L8510" s="3">
        <v>6</v>
      </c>
      <c r="M8510" s="3">
        <v>182</v>
      </c>
    </row>
    <row r="8511" spans="1:13" x14ac:dyDescent="0.25">
      <c r="A8511" s="1" t="str">
        <f>HYPERLINK("http://www.rosaceae.org/Prunus/Prunus_persica/p.persica_gdr_reftransV1_0018331","p.persica_gdr_reftransV1_0018331")</f>
        <v>p.persica_gdr_reftransV1_0018331</v>
      </c>
      <c r="B8511" s="3">
        <v>1322</v>
      </c>
      <c r="C8511" s="1" t="str">
        <f>HYPERLINK("http://www.uniprot.org/uniprot/ASAT1_ARATH","ASAT1_ARATH")</f>
        <v>ASAT1_ARATH</v>
      </c>
      <c r="D8511" t="s">
        <v>81</v>
      </c>
      <c r="E8511" s="3" t="s">
        <v>3</v>
      </c>
      <c r="F8511" s="4">
        <v>4.3000000000000001E-44</v>
      </c>
      <c r="G8511" s="3">
        <v>411</v>
      </c>
      <c r="H8511" s="3">
        <v>55</v>
      </c>
      <c r="I8511" s="3">
        <v>163</v>
      </c>
      <c r="J8511" s="3">
        <v>2</v>
      </c>
      <c r="K8511" s="3">
        <v>490</v>
      </c>
      <c r="L8511" s="3">
        <v>183</v>
      </c>
      <c r="M8511" s="3">
        <v>342</v>
      </c>
    </row>
    <row r="8512" spans="1:13" x14ac:dyDescent="0.25">
      <c r="A8512" s="1" t="str">
        <f>HYPERLINK("http://www.rosaceae.org/Prunus/Prunus_persica/p.persica_gdr_reftransV1_0018481","p.persica_gdr_reftransV1_0018481")</f>
        <v>p.persica_gdr_reftransV1_0018481</v>
      </c>
      <c r="B8512" s="3">
        <v>1306</v>
      </c>
      <c r="C8512" s="1" t="str">
        <f>HYPERLINK("http://www.uniprot.org/uniprot/YB95_ARATH","YB95_ARATH")</f>
        <v>YB95_ARATH</v>
      </c>
      <c r="D8512" t="s">
        <v>1722</v>
      </c>
      <c r="E8512" s="3" t="s">
        <v>3</v>
      </c>
      <c r="F8512" s="4">
        <v>2.2699999999999999E-38</v>
      </c>
      <c r="G8512" s="3">
        <v>364</v>
      </c>
      <c r="H8512" s="3">
        <v>44</v>
      </c>
      <c r="I8512" s="3">
        <v>162</v>
      </c>
      <c r="J8512" s="3">
        <v>414</v>
      </c>
      <c r="K8512" s="3">
        <v>881</v>
      </c>
      <c r="L8512" s="3">
        <v>90</v>
      </c>
      <c r="M8512" s="3">
        <v>250</v>
      </c>
    </row>
    <row r="8513" spans="1:13" x14ac:dyDescent="0.25">
      <c r="A8513" s="1" t="str">
        <f>HYPERLINK("http://www.rosaceae.org/Prunus/Prunus_persica/p.persica_gdr_reftransV1_0018531","p.persica_gdr_reftransV1_0018531")</f>
        <v>p.persica_gdr_reftransV1_0018531</v>
      </c>
      <c r="B8513" s="3">
        <v>432</v>
      </c>
      <c r="C8513" s="1" t="str">
        <f>HYPERLINK("http://www.uniprot.org/uniprot/Y5813_ARATH","Y5813_ARATH")</f>
        <v>Y5813_ARATH</v>
      </c>
      <c r="D8513" t="s">
        <v>488</v>
      </c>
      <c r="E8513" s="3" t="s">
        <v>3</v>
      </c>
      <c r="F8513" s="4">
        <v>3.0699999999999999E-68</v>
      </c>
      <c r="G8513" s="3">
        <v>568</v>
      </c>
      <c r="H8513" s="3">
        <v>71</v>
      </c>
      <c r="I8513" s="3">
        <v>143</v>
      </c>
      <c r="J8513" s="3">
        <v>2</v>
      </c>
      <c r="K8513" s="3">
        <v>430</v>
      </c>
      <c r="L8513" s="3">
        <v>106</v>
      </c>
      <c r="M8513" s="3">
        <v>248</v>
      </c>
    </row>
    <row r="8514" spans="1:13" x14ac:dyDescent="0.25">
      <c r="A8514" s="1" t="str">
        <f>HYPERLINK("http://www.rosaceae.org/Prunus/Prunus_persica/p.persica_gdr_reftransV1_0018581","p.persica_gdr_reftransV1_0018581")</f>
        <v>p.persica_gdr_reftransV1_0018581</v>
      </c>
      <c r="B8514" s="3">
        <v>1480</v>
      </c>
      <c r="C8514" s="1" t="str">
        <f>HYPERLINK("http://www.uniprot.org/uniprot/3Hid1_ARATH","3Hid1_ARATH")</f>
        <v>3Hid1_ARATH</v>
      </c>
      <c r="D8514" t="s">
        <v>6548</v>
      </c>
      <c r="E8514" s="3" t="s">
        <v>3</v>
      </c>
      <c r="F8514" s="4">
        <v>1.49E-167</v>
      </c>
      <c r="G8514" s="3">
        <v>1244</v>
      </c>
      <c r="H8514" s="3">
        <v>75</v>
      </c>
      <c r="I8514" s="3">
        <v>329</v>
      </c>
      <c r="J8514" s="3">
        <v>52</v>
      </c>
      <c r="K8514" s="3">
        <v>1038</v>
      </c>
      <c r="L8514" s="3">
        <v>4</v>
      </c>
      <c r="M8514" s="3">
        <v>332</v>
      </c>
    </row>
    <row r="8515" spans="1:13" x14ac:dyDescent="0.25">
      <c r="A8515" s="1" t="str">
        <f>HYPERLINK("http://www.rosaceae.org/Prunus/Prunus_persica/p.persica_gdr_reftransV1_0018631","p.persica_gdr_reftransV1_0018631")</f>
        <v>p.persica_gdr_reftransV1_0018631</v>
      </c>
      <c r="B8515" s="3">
        <v>1513</v>
      </c>
      <c r="C8515" s="1" t="str">
        <f>HYPERLINK("http://www.uniprot.org/uniprot/PXG4_ARATH","PXG4_ARATH")</f>
        <v>PXG4_ARATH</v>
      </c>
      <c r="D8515" t="s">
        <v>6549</v>
      </c>
      <c r="E8515" s="3" t="s">
        <v>3</v>
      </c>
      <c r="F8515" s="4">
        <v>1.3599999999999999E-39</v>
      </c>
      <c r="G8515" s="3">
        <v>371</v>
      </c>
      <c r="H8515" s="3">
        <v>70</v>
      </c>
      <c r="I8515" s="3">
        <v>103</v>
      </c>
      <c r="J8515" s="3">
        <v>155</v>
      </c>
      <c r="K8515" s="3">
        <v>463</v>
      </c>
      <c r="L8515" s="3">
        <v>2</v>
      </c>
      <c r="M8515" s="3">
        <v>104</v>
      </c>
    </row>
    <row r="8516" spans="1:13" x14ac:dyDescent="0.25">
      <c r="A8516" s="1" t="str">
        <f>HYPERLINK("http://www.rosaceae.org/Prunus/Prunus_persica/p.persica_gdr_reftransV1_0018831","p.persica_gdr_reftransV1_0018831")</f>
        <v>p.persica_gdr_reftransV1_0018831</v>
      </c>
      <c r="B8516" s="3">
        <v>2095</v>
      </c>
      <c r="C8516" s="1" t="str">
        <f>HYPERLINK("http://www.uniprot.org/uniprot/CRF4_ARATH","CRF4_ARATH")</f>
        <v>CRF4_ARATH</v>
      </c>
      <c r="D8516" t="s">
        <v>6550</v>
      </c>
      <c r="E8516" s="3" t="s">
        <v>3</v>
      </c>
      <c r="F8516" s="4">
        <v>1.1899999999999999E-23</v>
      </c>
      <c r="G8516" s="3">
        <v>266</v>
      </c>
      <c r="H8516" s="3">
        <v>41</v>
      </c>
      <c r="I8516" s="3">
        <v>153</v>
      </c>
      <c r="J8516" s="3">
        <v>978</v>
      </c>
      <c r="K8516" s="3">
        <v>1427</v>
      </c>
      <c r="L8516" s="3">
        <v>16</v>
      </c>
      <c r="M8516" s="3">
        <v>164</v>
      </c>
    </row>
    <row r="8517" spans="1:13" x14ac:dyDescent="0.25">
      <c r="A8517" s="1" t="str">
        <f>HYPERLINK("http://www.rosaceae.org/Prunus/Prunus_persica/p.persica_gdr_reftransV1_0019031","p.persica_gdr_reftransV1_0019031")</f>
        <v>p.persica_gdr_reftransV1_0019031</v>
      </c>
      <c r="B8517" s="3">
        <v>3661</v>
      </c>
      <c r="C8517" s="1" t="str">
        <f>HYPERLINK("http://www.uniprot.org/uniprot/OML2_ORYSJ","OML2_ORYSJ")</f>
        <v>OML2_ORYSJ</v>
      </c>
      <c r="D8517" t="s">
        <v>4348</v>
      </c>
      <c r="E8517" s="3" t="s">
        <v>38</v>
      </c>
      <c r="F8517" s="4">
        <v>0</v>
      </c>
      <c r="G8517" s="3">
        <v>2119</v>
      </c>
      <c r="H8517" s="3">
        <v>58</v>
      </c>
      <c r="I8517" s="3">
        <v>777</v>
      </c>
      <c r="J8517" s="3">
        <v>831</v>
      </c>
      <c r="K8517" s="3">
        <v>3113</v>
      </c>
      <c r="L8517" s="3">
        <v>55</v>
      </c>
      <c r="M8517" s="3">
        <v>806</v>
      </c>
    </row>
    <row r="8518" spans="1:13" x14ac:dyDescent="0.25">
      <c r="A8518" s="1" t="str">
        <f>HYPERLINK("http://www.rosaceae.org/Prunus/Prunus_persica/p.persica_gdr_reftransV1_0019131","p.persica_gdr_reftransV1_0019131")</f>
        <v>p.persica_gdr_reftransV1_0019131</v>
      </c>
      <c r="B8518" s="3">
        <v>1968</v>
      </c>
      <c r="C8518" s="1" t="str">
        <f>HYPERLINK("http://www.uniprot.org/uniprot/TLP3_ARATH","TLP3_ARATH")</f>
        <v>TLP3_ARATH</v>
      </c>
      <c r="D8518" t="s">
        <v>4173</v>
      </c>
      <c r="E8518" s="3" t="s">
        <v>3</v>
      </c>
      <c r="F8518" s="4">
        <v>0</v>
      </c>
      <c r="G8518" s="3">
        <v>1449</v>
      </c>
      <c r="H8518" s="3">
        <v>70</v>
      </c>
      <c r="I8518" s="3">
        <v>388</v>
      </c>
      <c r="J8518" s="3">
        <v>556</v>
      </c>
      <c r="K8518" s="3">
        <v>1698</v>
      </c>
      <c r="L8518" s="3">
        <v>23</v>
      </c>
      <c r="M8518" s="3">
        <v>406</v>
      </c>
    </row>
    <row r="8519" spans="1:13" x14ac:dyDescent="0.25">
      <c r="A8519" s="1" t="str">
        <f>HYPERLINK("http://www.rosaceae.org/Prunus/Prunus_persica/p.persica_gdr_reftransV1_0019181","p.persica_gdr_reftransV1_0019181")</f>
        <v>p.persica_gdr_reftransV1_0019181</v>
      </c>
      <c r="B8519" s="3">
        <v>3284</v>
      </c>
      <c r="C8519" s="1" t="str">
        <f>HYPERLINK("http://www.uniprot.org/uniprot/ERDL5_ARATH","ERDL5_ARATH")</f>
        <v>ERDL5_ARATH</v>
      </c>
      <c r="D8519" t="s">
        <v>6551</v>
      </c>
      <c r="E8519" s="3" t="s">
        <v>3</v>
      </c>
      <c r="F8519" s="4">
        <v>2.29E-166</v>
      </c>
      <c r="G8519" s="3">
        <v>997</v>
      </c>
      <c r="H8519" s="3">
        <v>68</v>
      </c>
      <c r="I8519" s="3">
        <v>289</v>
      </c>
      <c r="J8519" s="3">
        <v>2171</v>
      </c>
      <c r="K8519" s="3">
        <v>3037</v>
      </c>
      <c r="L8519" s="3">
        <v>13</v>
      </c>
      <c r="M8519" s="3">
        <v>299</v>
      </c>
    </row>
    <row r="8520" spans="1:13" x14ac:dyDescent="0.25">
      <c r="A8520" s="1" t="str">
        <f>HYPERLINK("http://www.rosaceae.org/Prunus/Prunus_persica/p.persica_gdr_reftransV1_0019231","p.persica_gdr_reftransV1_0019231")</f>
        <v>p.persica_gdr_reftransV1_0019231</v>
      </c>
      <c r="B8520" s="3">
        <v>2703</v>
      </c>
      <c r="C8520" s="1" t="str">
        <f>HYPERLINK("http://www.uniprot.org/uniprot/ZDH14_ARATH","ZDH14_ARATH")</f>
        <v>ZDH14_ARATH</v>
      </c>
      <c r="D8520" t="s">
        <v>2968</v>
      </c>
      <c r="E8520" s="3" t="s">
        <v>3</v>
      </c>
      <c r="F8520" s="4">
        <v>5.05E-81</v>
      </c>
      <c r="G8520" s="3">
        <v>690</v>
      </c>
      <c r="H8520" s="3">
        <v>71</v>
      </c>
      <c r="I8520" s="3">
        <v>203</v>
      </c>
      <c r="J8520" s="3">
        <v>713</v>
      </c>
      <c r="K8520" s="3">
        <v>1315</v>
      </c>
      <c r="L8520" s="3">
        <v>76</v>
      </c>
      <c r="M8520" s="3">
        <v>278</v>
      </c>
    </row>
    <row r="8521" spans="1:13" x14ac:dyDescent="0.25">
      <c r="A8521" s="1" t="str">
        <f>HYPERLINK("http://www.rosaceae.org/Prunus/Prunus_persica/p.persica_gdr_reftransV1_0019331","p.persica_gdr_reftransV1_0019331")</f>
        <v>p.persica_gdr_reftransV1_0019331</v>
      </c>
      <c r="B8521" s="3">
        <v>1068</v>
      </c>
      <c r="C8521" s="1" t="str">
        <f>HYPERLINK("http://www.uniprot.org/uniprot/ARFR_ORYSJ","ARFR_ORYSJ")</f>
        <v>ARFR_ORYSJ</v>
      </c>
      <c r="D8521" t="s">
        <v>5025</v>
      </c>
      <c r="E8521" s="3" t="s">
        <v>38</v>
      </c>
      <c r="F8521" s="4">
        <v>9.6600000000000006E-43</v>
      </c>
      <c r="G8521" s="3">
        <v>408</v>
      </c>
      <c r="H8521" s="3">
        <v>60</v>
      </c>
      <c r="I8521" s="3">
        <v>157</v>
      </c>
      <c r="J8521" s="3">
        <v>1</v>
      </c>
      <c r="K8521" s="3">
        <v>462</v>
      </c>
      <c r="L8521" s="3">
        <v>526</v>
      </c>
      <c r="M8521" s="3">
        <v>677</v>
      </c>
    </row>
    <row r="8522" spans="1:13" x14ac:dyDescent="0.25">
      <c r="A8522" s="1" t="str">
        <f>HYPERLINK("http://www.rosaceae.org/Prunus/Prunus_persica/p.persica_gdr_reftransV1_0019581","p.persica_gdr_reftransV1_0019581")</f>
        <v>p.persica_gdr_reftransV1_0019581</v>
      </c>
      <c r="B8522" s="3">
        <v>2024</v>
      </c>
      <c r="C8522" s="1" t="str">
        <f>HYPERLINK("http://www.uniprot.org/uniprot/CCS_CITSI","CCS_CITSI")</f>
        <v>CCS_CITSI</v>
      </c>
      <c r="D8522" t="s">
        <v>6552</v>
      </c>
      <c r="E8522" s="3" t="s">
        <v>1276</v>
      </c>
      <c r="F8522" s="4">
        <v>0</v>
      </c>
      <c r="G8522" s="3">
        <v>1863</v>
      </c>
      <c r="H8522" s="3">
        <v>78</v>
      </c>
      <c r="I8522" s="3">
        <v>507</v>
      </c>
      <c r="J8522" s="3">
        <v>74</v>
      </c>
      <c r="K8522" s="3">
        <v>1561</v>
      </c>
      <c r="L8522" s="3">
        <v>1</v>
      </c>
      <c r="M8522" s="3">
        <v>502</v>
      </c>
    </row>
    <row r="8523" spans="1:13" x14ac:dyDescent="0.25">
      <c r="A8523" s="1" t="str">
        <f>HYPERLINK("http://www.rosaceae.org/Prunus/Prunus_persica/p.persica_gdr_reftransV1_0019881","p.persica_gdr_reftransV1_0019881")</f>
        <v>p.persica_gdr_reftransV1_0019881</v>
      </c>
      <c r="B8523" s="3">
        <v>717</v>
      </c>
      <c r="C8523" s="1" t="str">
        <f>HYPERLINK("http://www.uniprot.org/uniprot/PP277_ARATH","PP277_ARATH")</f>
        <v>PP277_ARATH</v>
      </c>
      <c r="D8523" t="s">
        <v>6553</v>
      </c>
      <c r="E8523" s="3" t="s">
        <v>3</v>
      </c>
      <c r="F8523" s="4">
        <v>1.2599999999999999E-54</v>
      </c>
      <c r="G8523" s="3">
        <v>486</v>
      </c>
      <c r="H8523" s="3">
        <v>58</v>
      </c>
      <c r="I8523" s="3">
        <v>170</v>
      </c>
      <c r="J8523" s="3">
        <v>212</v>
      </c>
      <c r="K8523" s="3">
        <v>715</v>
      </c>
      <c r="L8523" s="3">
        <v>613</v>
      </c>
      <c r="M8523" s="3">
        <v>782</v>
      </c>
    </row>
    <row r="8524" spans="1:13" x14ac:dyDescent="0.25">
      <c r="A8524" s="1" t="str">
        <f>HYPERLINK("http://www.rosaceae.org/Prunus/Prunus_persica/p.persica_gdr_reftransV1_0020131","p.persica_gdr_reftransV1_0020131")</f>
        <v>p.persica_gdr_reftransV1_0020131</v>
      </c>
      <c r="B8524" s="3">
        <v>1917</v>
      </c>
      <c r="C8524" s="1" t="str">
        <f>HYPERLINK("http://www.uniprot.org/uniprot/DPNPH_ARATH","DPNPH_ARATH")</f>
        <v>DPNPH_ARATH</v>
      </c>
      <c r="D8524" t="s">
        <v>182</v>
      </c>
      <c r="E8524" s="3" t="s">
        <v>3</v>
      </c>
      <c r="F8524" s="4">
        <v>3.1899999999999999E-168</v>
      </c>
      <c r="G8524" s="3">
        <v>1267</v>
      </c>
      <c r="H8524" s="3">
        <v>70</v>
      </c>
      <c r="I8524" s="3">
        <v>374</v>
      </c>
      <c r="J8524" s="3">
        <v>487</v>
      </c>
      <c r="K8524" s="3">
        <v>1605</v>
      </c>
      <c r="L8524" s="3">
        <v>9</v>
      </c>
      <c r="M8524" s="3">
        <v>373</v>
      </c>
    </row>
    <row r="8525" spans="1:13" x14ac:dyDescent="0.25">
      <c r="A8525" s="1" t="str">
        <f>HYPERLINK("http://www.rosaceae.org/Prunus/Prunus_persica/p.persica_gdr_reftransV1_0020281","p.persica_gdr_reftransV1_0020281")</f>
        <v>p.persica_gdr_reftransV1_0020281</v>
      </c>
      <c r="B8525" s="3">
        <v>1602</v>
      </c>
      <c r="C8525" s="1" t="str">
        <f>HYPERLINK("http://www.uniprot.org/uniprot/GMD2_ARATH","GMD2_ARATH")</f>
        <v>GMD2_ARATH</v>
      </c>
      <c r="D8525" t="s">
        <v>6554</v>
      </c>
      <c r="E8525" s="3" t="s">
        <v>3</v>
      </c>
      <c r="F8525" s="4">
        <v>0</v>
      </c>
      <c r="G8525" s="3">
        <v>1727</v>
      </c>
      <c r="H8525" s="3">
        <v>85</v>
      </c>
      <c r="I8525" s="3">
        <v>375</v>
      </c>
      <c r="J8525" s="3">
        <v>302</v>
      </c>
      <c r="K8525" s="3">
        <v>1414</v>
      </c>
      <c r="L8525" s="3">
        <v>1</v>
      </c>
      <c r="M8525" s="3">
        <v>373</v>
      </c>
    </row>
    <row r="8526" spans="1:13" x14ac:dyDescent="0.25">
      <c r="A8526" s="1" t="str">
        <f>HYPERLINK("http://www.rosaceae.org/Prunus/Prunus_persica/p.persica_gdr_reftransV1_0020631","p.persica_gdr_reftransV1_0020631")</f>
        <v>p.persica_gdr_reftransV1_0020631</v>
      </c>
      <c r="B8526" s="3">
        <v>1837</v>
      </c>
      <c r="C8526" s="1" t="str">
        <f>HYPERLINK("http://www.uniprot.org/uniprot/ZHD9_ARATH","ZHD9_ARATH")</f>
        <v>ZHD9_ARATH</v>
      </c>
      <c r="D8526" t="s">
        <v>6555</v>
      </c>
      <c r="E8526" s="3" t="s">
        <v>3</v>
      </c>
      <c r="F8526" s="4">
        <v>2.4000000000000001E-69</v>
      </c>
      <c r="G8526" s="3">
        <v>595</v>
      </c>
      <c r="H8526" s="3">
        <v>57</v>
      </c>
      <c r="I8526" s="3">
        <v>279</v>
      </c>
      <c r="J8526" s="3">
        <v>755</v>
      </c>
      <c r="K8526" s="3">
        <v>1576</v>
      </c>
      <c r="L8526" s="3">
        <v>2</v>
      </c>
      <c r="M8526" s="3">
        <v>251</v>
      </c>
    </row>
    <row r="8527" spans="1:13" x14ac:dyDescent="0.25">
      <c r="A8527" s="1" t="str">
        <f>HYPERLINK("http://www.rosaceae.org/Prunus/Prunus_persica/p.persica_gdr_reftransV1_0020681","p.persica_gdr_reftransV1_0020681")</f>
        <v>p.persica_gdr_reftransV1_0020681</v>
      </c>
      <c r="B8527" s="3">
        <v>1375</v>
      </c>
      <c r="C8527" s="1" t="str">
        <f>HYPERLINK("http://www.uniprot.org/uniprot/MET18_DICDI","MET18_DICDI")</f>
        <v>MET18_DICDI</v>
      </c>
      <c r="D8527" t="s">
        <v>6556</v>
      </c>
      <c r="E8527" s="3" t="s">
        <v>9</v>
      </c>
      <c r="F8527" s="4">
        <v>1.71E-32</v>
      </c>
      <c r="G8527" s="3">
        <v>276</v>
      </c>
      <c r="H8527" s="3">
        <v>34</v>
      </c>
      <c r="I8527" s="3">
        <v>184</v>
      </c>
      <c r="J8527" s="3">
        <v>512</v>
      </c>
      <c r="K8527" s="3">
        <v>1063</v>
      </c>
      <c r="L8527" s="3">
        <v>156</v>
      </c>
      <c r="M8527" s="3">
        <v>307</v>
      </c>
    </row>
    <row r="8528" spans="1:13" x14ac:dyDescent="0.25">
      <c r="A8528" s="1" t="str">
        <f>HYPERLINK("http://www.rosaceae.org/Prunus/Prunus_persica/p.persica_gdr_reftransV1_0020981","p.persica_gdr_reftransV1_0020981")</f>
        <v>p.persica_gdr_reftransV1_0020981</v>
      </c>
      <c r="B8528" s="3">
        <v>2692</v>
      </c>
      <c r="C8528" s="1" t="str">
        <f>HYPERLINK("http://www.uniprot.org/uniprot/DNJ21_ARATH","DNJ21_ARATH")</f>
        <v>DNJ21_ARATH</v>
      </c>
      <c r="D8528" t="s">
        <v>4855</v>
      </c>
      <c r="E8528" s="3" t="s">
        <v>3</v>
      </c>
      <c r="F8528" s="4">
        <v>0</v>
      </c>
      <c r="G8528" s="3">
        <v>1656</v>
      </c>
      <c r="H8528" s="3">
        <v>79</v>
      </c>
      <c r="I8528" s="3">
        <v>374</v>
      </c>
      <c r="J8528" s="3">
        <v>1158</v>
      </c>
      <c r="K8528" s="3">
        <v>2279</v>
      </c>
      <c r="L8528" s="3">
        <v>243</v>
      </c>
      <c r="M8528" s="3">
        <v>616</v>
      </c>
    </row>
    <row r="8529" spans="1:13" x14ac:dyDescent="0.25">
      <c r="A8529" s="1" t="str">
        <f>HYPERLINK("http://www.rosaceae.org/Prunus/Prunus_persica/p.persica_gdr_reftransV1_0021281","p.persica_gdr_reftransV1_0021281")</f>
        <v>p.persica_gdr_reftransV1_0021281</v>
      </c>
      <c r="B8529" s="3">
        <v>2949</v>
      </c>
      <c r="C8529" s="1" t="str">
        <f>HYPERLINK("http://www.uniprot.org/uniprot/HARB1_MOUSE","HARB1_MOUSE")</f>
        <v>HARB1_MOUSE</v>
      </c>
      <c r="D8529" t="s">
        <v>6557</v>
      </c>
      <c r="E8529" s="3" t="s">
        <v>157</v>
      </c>
      <c r="F8529" s="4">
        <v>2.04E-9</v>
      </c>
      <c r="G8529" s="3">
        <v>155</v>
      </c>
      <c r="H8529" s="3">
        <v>26</v>
      </c>
      <c r="I8529" s="3">
        <v>222</v>
      </c>
      <c r="J8529" s="3">
        <v>2008</v>
      </c>
      <c r="K8529" s="3">
        <v>2652</v>
      </c>
      <c r="L8529" s="3">
        <v>96</v>
      </c>
      <c r="M8529" s="3">
        <v>300</v>
      </c>
    </row>
    <row r="8530" spans="1:13" x14ac:dyDescent="0.25">
      <c r="A8530" s="1" t="str">
        <f>HYPERLINK("http://www.rosaceae.org/Prunus/Prunus_persica/p.persica_gdr_reftransV1_0021331","p.persica_gdr_reftransV1_0021331")</f>
        <v>p.persica_gdr_reftransV1_0021331</v>
      </c>
      <c r="B8530" s="3">
        <v>1387</v>
      </c>
      <c r="C8530" s="1" t="str">
        <f>HYPERLINK("http://www.uniprot.org/uniprot/POLG_MRFVC","POLG_MRFVC")</f>
        <v>POLG_MRFVC</v>
      </c>
      <c r="D8530" t="s">
        <v>5878</v>
      </c>
      <c r="E8530" s="3" t="s">
        <v>5879</v>
      </c>
      <c r="F8530" s="4">
        <v>3.7700000000000001E-132</v>
      </c>
      <c r="G8530" s="3">
        <v>1094</v>
      </c>
      <c r="H8530" s="3">
        <v>60</v>
      </c>
      <c r="I8530" s="3">
        <v>362</v>
      </c>
      <c r="J8530" s="3">
        <v>132</v>
      </c>
      <c r="K8530" s="3">
        <v>1217</v>
      </c>
      <c r="L8530" s="3">
        <v>12</v>
      </c>
      <c r="M8530" s="3">
        <v>372</v>
      </c>
    </row>
    <row r="8531" spans="1:13" x14ac:dyDescent="0.25">
      <c r="A8531" s="1" t="str">
        <f>HYPERLINK("http://www.rosaceae.org/Prunus/Prunus_persica/p.persica_gdr_reftransV1_0021481","p.persica_gdr_reftransV1_0021481")</f>
        <v>p.persica_gdr_reftransV1_0021481</v>
      </c>
      <c r="B8531" s="3">
        <v>2673</v>
      </c>
      <c r="C8531" s="1" t="str">
        <f>HYPERLINK("http://www.uniprot.org/uniprot/NCOA7_CHICK","NCOA7_CHICK")</f>
        <v>NCOA7_CHICK</v>
      </c>
      <c r="D8531" t="s">
        <v>6558</v>
      </c>
      <c r="E8531" s="3" t="s">
        <v>1278</v>
      </c>
      <c r="F8531" s="4">
        <v>1.43E-14</v>
      </c>
      <c r="G8531" s="3">
        <v>201</v>
      </c>
      <c r="H8531" s="3">
        <v>39</v>
      </c>
      <c r="I8531" s="3">
        <v>115</v>
      </c>
      <c r="J8531" s="3">
        <v>856</v>
      </c>
      <c r="K8531" s="3">
        <v>1200</v>
      </c>
      <c r="L8531" s="3">
        <v>738</v>
      </c>
      <c r="M8531" s="3">
        <v>850</v>
      </c>
    </row>
    <row r="8532" spans="1:13" x14ac:dyDescent="0.25">
      <c r="A8532" s="1" t="str">
        <f>HYPERLINK("http://www.rosaceae.org/Prunus/Prunus_persica/p.persica_gdr_reftransV1_0021531","p.persica_gdr_reftransV1_0021531")</f>
        <v>p.persica_gdr_reftransV1_0021531</v>
      </c>
      <c r="B8532" s="3">
        <v>2674</v>
      </c>
      <c r="C8532" s="1" t="str">
        <f>HYPERLINK("http://www.uniprot.org/uniprot/SUT31_ARATH","SUT31_ARATH")</f>
        <v>SUT31_ARATH</v>
      </c>
      <c r="D8532" t="s">
        <v>1690</v>
      </c>
      <c r="E8532" s="3" t="s">
        <v>3</v>
      </c>
      <c r="F8532" s="4">
        <v>3.3399999999999998E-168</v>
      </c>
      <c r="G8532" s="3">
        <v>1317</v>
      </c>
      <c r="H8532" s="3">
        <v>76</v>
      </c>
      <c r="I8532" s="3">
        <v>333</v>
      </c>
      <c r="J8532" s="3">
        <v>223</v>
      </c>
      <c r="K8532" s="3">
        <v>1218</v>
      </c>
      <c r="L8532" s="3">
        <v>1</v>
      </c>
      <c r="M8532" s="3">
        <v>333</v>
      </c>
    </row>
    <row r="8533" spans="1:13" x14ac:dyDescent="0.25">
      <c r="A8533" s="1" t="str">
        <f>HYPERLINK("http://www.rosaceae.org/Prunus/Prunus_persica/p.persica_gdr_reftransV1_0021681","p.persica_gdr_reftransV1_0021681")</f>
        <v>p.persica_gdr_reftransV1_0021681</v>
      </c>
      <c r="B8533" s="3">
        <v>12403</v>
      </c>
      <c r="C8533" s="1" t="str">
        <f>HYPERLINK("http://www.uniprot.org/uniprot/RPOA_PLAOC","RPOA_PLAOC")</f>
        <v>RPOA_PLAOC</v>
      </c>
      <c r="D8533" t="s">
        <v>6559</v>
      </c>
      <c r="E8533" s="3" t="s">
        <v>5400</v>
      </c>
      <c r="F8533" s="4">
        <v>0</v>
      </c>
      <c r="G8533" s="3">
        <v>1490</v>
      </c>
      <c r="H8533" s="3">
        <v>90</v>
      </c>
      <c r="I8533" s="3">
        <v>319</v>
      </c>
      <c r="J8533" s="3">
        <v>7719</v>
      </c>
      <c r="K8533" s="3">
        <v>8675</v>
      </c>
      <c r="L8533" s="3">
        <v>1</v>
      </c>
      <c r="M8533" s="3">
        <v>319</v>
      </c>
    </row>
    <row r="8534" spans="1:13" x14ac:dyDescent="0.25">
      <c r="A8534" s="1" t="str">
        <f>HYPERLINK("http://www.rosaceae.org/Prunus/Prunus_persica/p.persica_gdr_reftransV1_0021831","p.persica_gdr_reftransV1_0021831")</f>
        <v>p.persica_gdr_reftransV1_0021831</v>
      </c>
      <c r="B8534" s="3">
        <v>1159</v>
      </c>
      <c r="C8534" s="1" t="str">
        <f>HYPERLINK("http://www.uniprot.org/uniprot/RK3B_ARATH","RK3B_ARATH")</f>
        <v>RK3B_ARATH</v>
      </c>
      <c r="D8534" t="s">
        <v>3024</v>
      </c>
      <c r="E8534" s="3" t="s">
        <v>3</v>
      </c>
      <c r="F8534" s="4">
        <v>1.15E-114</v>
      </c>
      <c r="G8534" s="3">
        <v>882</v>
      </c>
      <c r="H8534" s="3">
        <v>89</v>
      </c>
      <c r="I8534" s="3">
        <v>200</v>
      </c>
      <c r="J8534" s="3">
        <v>153</v>
      </c>
      <c r="K8534" s="3">
        <v>752</v>
      </c>
      <c r="L8534" s="3">
        <v>125</v>
      </c>
      <c r="M8534" s="3">
        <v>324</v>
      </c>
    </row>
    <row r="8535" spans="1:13" x14ac:dyDescent="0.25">
      <c r="A8535" s="1" t="str">
        <f>HYPERLINK("http://www.rosaceae.org/Prunus/Prunus_persica/p.persica_gdr_reftransV1_0021881","p.persica_gdr_reftransV1_0021881")</f>
        <v>p.persica_gdr_reftransV1_0021881</v>
      </c>
      <c r="B8535" s="3">
        <v>1818</v>
      </c>
      <c r="C8535" s="1" t="str">
        <f>HYPERLINK("http://www.uniprot.org/uniprot/SCMC1_XENTR","SCMC1_XENTR")</f>
        <v>SCMC1_XENTR</v>
      </c>
      <c r="D8535" t="s">
        <v>6560</v>
      </c>
      <c r="E8535" s="3" t="s">
        <v>173</v>
      </c>
      <c r="F8535" s="4">
        <v>6.2600000000000002E-85</v>
      </c>
      <c r="G8535" s="3">
        <v>715</v>
      </c>
      <c r="H8535" s="3">
        <v>41</v>
      </c>
      <c r="I8535" s="3">
        <v>403</v>
      </c>
      <c r="J8535" s="3">
        <v>359</v>
      </c>
      <c r="K8535" s="3">
        <v>1528</v>
      </c>
      <c r="L8535" s="3">
        <v>83</v>
      </c>
      <c r="M8535" s="3">
        <v>473</v>
      </c>
    </row>
    <row r="8536" spans="1:13" x14ac:dyDescent="0.25">
      <c r="A8536" s="1" t="str">
        <f>HYPERLINK("http://www.rosaceae.org/Prunus/Prunus_persica/p.persica_gdr_reftransV1_0022031","p.persica_gdr_reftransV1_0022031")</f>
        <v>p.persica_gdr_reftransV1_0022031</v>
      </c>
      <c r="B8536" s="3">
        <v>773</v>
      </c>
      <c r="C8536" s="1" t="str">
        <f>HYPERLINK("http://www.uniprot.org/uniprot/TAF6_ARATH","TAF6_ARATH")</f>
        <v>TAF6_ARATH</v>
      </c>
      <c r="D8536" t="s">
        <v>282</v>
      </c>
      <c r="E8536" s="3" t="s">
        <v>3</v>
      </c>
      <c r="F8536" s="4">
        <v>3.93E-72</v>
      </c>
      <c r="G8536" s="3">
        <v>603</v>
      </c>
      <c r="H8536" s="3">
        <v>73</v>
      </c>
      <c r="I8536" s="3">
        <v>150</v>
      </c>
      <c r="J8536" s="3">
        <v>322</v>
      </c>
      <c r="K8536" s="3">
        <v>771</v>
      </c>
      <c r="L8536" s="3">
        <v>1</v>
      </c>
      <c r="M8536" s="3">
        <v>150</v>
      </c>
    </row>
    <row r="8537" spans="1:13" x14ac:dyDescent="0.25">
      <c r="A8537" s="1" t="str">
        <f>HYPERLINK("http://www.rosaceae.org/Prunus/Prunus_persica/p.persica_gdr_reftransV1_0022081","p.persica_gdr_reftransV1_0022081")</f>
        <v>p.persica_gdr_reftransV1_0022081</v>
      </c>
      <c r="B8537" s="3">
        <v>2494</v>
      </c>
      <c r="C8537" s="1" t="str">
        <f>HYPERLINK("http://www.uniprot.org/uniprot/BIG1_ARATH","BIG1_ARATH")</f>
        <v>BIG1_ARATH</v>
      </c>
      <c r="D8537" t="s">
        <v>4351</v>
      </c>
      <c r="E8537" s="3" t="s">
        <v>3</v>
      </c>
      <c r="F8537" s="4">
        <v>0</v>
      </c>
      <c r="G8537" s="3">
        <v>1358</v>
      </c>
      <c r="H8537" s="3">
        <v>64</v>
      </c>
      <c r="I8537" s="3">
        <v>453</v>
      </c>
      <c r="J8537" s="3">
        <v>839</v>
      </c>
      <c r="K8537" s="3">
        <v>2197</v>
      </c>
      <c r="L8537" s="3">
        <v>1</v>
      </c>
      <c r="M8537" s="3">
        <v>433</v>
      </c>
    </row>
    <row r="8538" spans="1:13" x14ac:dyDescent="0.25">
      <c r="A8538" s="1" t="str">
        <f>HYPERLINK("http://www.rosaceae.org/Prunus/Prunus_persica/p.persica_gdr_reftransV1_0022181","p.persica_gdr_reftransV1_0022181")</f>
        <v>p.persica_gdr_reftransV1_0022181</v>
      </c>
      <c r="B8538" s="3">
        <v>973</v>
      </c>
      <c r="C8538" s="1" t="str">
        <f>HYPERLINK("http://www.uniprot.org/uniprot/GAUTA_ARATH","GAUTA_ARATH")</f>
        <v>GAUTA_ARATH</v>
      </c>
      <c r="D8538" t="s">
        <v>6561</v>
      </c>
      <c r="E8538" s="3" t="s">
        <v>3</v>
      </c>
      <c r="F8538" s="4">
        <v>2.0100000000000001E-104</v>
      </c>
      <c r="G8538" s="3">
        <v>826</v>
      </c>
      <c r="H8538" s="3">
        <v>89</v>
      </c>
      <c r="I8538" s="3">
        <v>185</v>
      </c>
      <c r="J8538" s="3">
        <v>2</v>
      </c>
      <c r="K8538" s="3">
        <v>556</v>
      </c>
      <c r="L8538" s="3">
        <v>352</v>
      </c>
      <c r="M8538" s="3">
        <v>536</v>
      </c>
    </row>
    <row r="8539" spans="1:13" x14ac:dyDescent="0.25">
      <c r="A8539" s="1" t="str">
        <f>HYPERLINK("http://www.rosaceae.org/Prunus/Prunus_persica/p.persica_gdr_reftransV1_0022431","p.persica_gdr_reftransV1_0022431")</f>
        <v>p.persica_gdr_reftransV1_0022431</v>
      </c>
      <c r="B8539" s="3">
        <v>2345</v>
      </c>
      <c r="C8539" s="1" t="str">
        <f>HYPERLINK("http://www.uniprot.org/uniprot/FABI_ARATH","FABI_ARATH")</f>
        <v>FABI_ARATH</v>
      </c>
      <c r="D8539" t="s">
        <v>2562</v>
      </c>
      <c r="E8539" s="3" t="s">
        <v>3</v>
      </c>
      <c r="F8539" s="4">
        <v>2.4E-170</v>
      </c>
      <c r="G8539" s="3">
        <v>1296</v>
      </c>
      <c r="H8539" s="3">
        <v>73</v>
      </c>
      <c r="I8539" s="3">
        <v>388</v>
      </c>
      <c r="J8539" s="3">
        <v>227</v>
      </c>
      <c r="K8539" s="3">
        <v>1384</v>
      </c>
      <c r="L8539" s="3">
        <v>1</v>
      </c>
      <c r="M8539" s="3">
        <v>387</v>
      </c>
    </row>
    <row r="8540" spans="1:13" x14ac:dyDescent="0.25">
      <c r="A8540" s="1" t="str">
        <f>HYPERLINK("http://www.rosaceae.org/Prunus/Prunus_persica/p.persica_gdr_reftransV1_0022981","p.persica_gdr_reftransV1_0022981")</f>
        <v>p.persica_gdr_reftransV1_0022981</v>
      </c>
      <c r="B8540" s="3">
        <v>2640</v>
      </c>
      <c r="C8540" s="1" t="str">
        <f>HYPERLINK("http://www.uniprot.org/uniprot/WIT1_ARATH","WIT1_ARATH")</f>
        <v>WIT1_ARATH</v>
      </c>
      <c r="D8540" t="s">
        <v>6562</v>
      </c>
      <c r="E8540" s="3" t="s">
        <v>3</v>
      </c>
      <c r="F8540" s="4">
        <v>1.5E-168</v>
      </c>
      <c r="G8540" s="3">
        <v>1322</v>
      </c>
      <c r="H8540" s="3">
        <v>46</v>
      </c>
      <c r="I8540" s="3">
        <v>719</v>
      </c>
      <c r="J8540" s="3">
        <v>111</v>
      </c>
      <c r="K8540" s="3">
        <v>2192</v>
      </c>
      <c r="L8540" s="3">
        <v>1</v>
      </c>
      <c r="M8540" s="3">
        <v>702</v>
      </c>
    </row>
    <row r="8541" spans="1:13" x14ac:dyDescent="0.25">
      <c r="A8541" s="1" t="str">
        <f>HYPERLINK("http://www.rosaceae.org/Prunus/Prunus_persica/p.persica_gdr_reftransV1_0023031","p.persica_gdr_reftransV1_0023031")</f>
        <v>p.persica_gdr_reftransV1_0023031</v>
      </c>
      <c r="B8541" s="3">
        <v>1802</v>
      </c>
      <c r="C8541" s="1" t="str">
        <f>HYPERLINK("http://www.uniprot.org/uniprot/2MMP_ARATH","2MMP_ARATH")</f>
        <v>2MMP_ARATH</v>
      </c>
      <c r="D8541" t="s">
        <v>5123</v>
      </c>
      <c r="E8541" s="3" t="s">
        <v>3</v>
      </c>
      <c r="F8541" s="4">
        <v>3.0500000000000002E-133</v>
      </c>
      <c r="G8541" s="3">
        <v>1031</v>
      </c>
      <c r="H8541" s="3">
        <v>59</v>
      </c>
      <c r="I8541" s="3">
        <v>343</v>
      </c>
      <c r="J8541" s="3">
        <v>352</v>
      </c>
      <c r="K8541" s="3">
        <v>1362</v>
      </c>
      <c r="L8541" s="3">
        <v>9</v>
      </c>
      <c r="M8541" s="3">
        <v>347</v>
      </c>
    </row>
    <row r="8542" spans="1:13" x14ac:dyDescent="0.25">
      <c r="A8542" s="1" t="str">
        <f>HYPERLINK("http://www.rosaceae.org/Prunus/Prunus_persica/p.persica_gdr_reftransV1_0023181","p.persica_gdr_reftransV1_0023181")</f>
        <v>p.persica_gdr_reftransV1_0023181</v>
      </c>
      <c r="B8542" s="3">
        <v>4161</v>
      </c>
      <c r="C8542" s="1" t="str">
        <f>HYPERLINK("http://www.uniprot.org/uniprot/TOP1_RICFE","TOP1_RICFE")</f>
        <v>TOP1_RICFE</v>
      </c>
      <c r="D8542" t="s">
        <v>6563</v>
      </c>
      <c r="E8542" s="3" t="s">
        <v>6239</v>
      </c>
      <c r="F8542" s="4">
        <v>0</v>
      </c>
      <c r="G8542" s="3">
        <v>1615</v>
      </c>
      <c r="H8542" s="3">
        <v>44</v>
      </c>
      <c r="I8542" s="3">
        <v>735</v>
      </c>
      <c r="J8542" s="3">
        <v>824</v>
      </c>
      <c r="K8542" s="3">
        <v>3028</v>
      </c>
      <c r="L8542" s="3">
        <v>3</v>
      </c>
      <c r="M8542" s="3">
        <v>716</v>
      </c>
    </row>
    <row r="8543" spans="1:13" x14ac:dyDescent="0.25">
      <c r="A8543" s="1" t="str">
        <f>HYPERLINK("http://www.rosaceae.org/Prunus/Prunus_persica/p.persica_gdr_reftransV1_0023231","p.persica_gdr_reftransV1_0023231")</f>
        <v>p.persica_gdr_reftransV1_0023231</v>
      </c>
      <c r="B8543" s="3">
        <v>2801</v>
      </c>
      <c r="C8543" s="1" t="str">
        <f>HYPERLINK("http://www.uniprot.org/uniprot/FERON_ARATH","FERON_ARATH")</f>
        <v>FERON_ARATH</v>
      </c>
      <c r="D8543" t="s">
        <v>635</v>
      </c>
      <c r="E8543" s="3" t="s">
        <v>3</v>
      </c>
      <c r="F8543" s="4">
        <v>0</v>
      </c>
      <c r="G8543" s="3">
        <v>1907</v>
      </c>
      <c r="H8543" s="3">
        <v>51</v>
      </c>
      <c r="I8543" s="3">
        <v>793</v>
      </c>
      <c r="J8543" s="3">
        <v>456</v>
      </c>
      <c r="K8543" s="3">
        <v>2777</v>
      </c>
      <c r="L8543" s="3">
        <v>51</v>
      </c>
      <c r="M8543" s="3">
        <v>820</v>
      </c>
    </row>
    <row r="8544" spans="1:13" x14ac:dyDescent="0.25">
      <c r="A8544" s="1" t="str">
        <f>HYPERLINK("http://www.rosaceae.org/Prunus/Prunus_persica/p.persica_gdr_reftransV1_0024031","p.persica_gdr_reftransV1_0024031")</f>
        <v>p.persica_gdr_reftransV1_0024031</v>
      </c>
      <c r="B8544" s="3">
        <v>2353</v>
      </c>
      <c r="C8544" s="1" t="str">
        <f>HYPERLINK("http://www.uniprot.org/uniprot/BRPF3_HUMAN","BRPF3_HUMAN")</f>
        <v>BRPF3_HUMAN</v>
      </c>
      <c r="D8544" t="s">
        <v>647</v>
      </c>
      <c r="E8544" s="3" t="s">
        <v>28</v>
      </c>
      <c r="F8544" s="4">
        <v>2.0500000000000001E-14</v>
      </c>
      <c r="G8544" s="3">
        <v>178</v>
      </c>
      <c r="H8544" s="3">
        <v>50</v>
      </c>
      <c r="I8544" s="3">
        <v>66</v>
      </c>
      <c r="J8544" s="3">
        <v>704</v>
      </c>
      <c r="K8544" s="3">
        <v>901</v>
      </c>
      <c r="L8544" s="3">
        <v>620</v>
      </c>
      <c r="M8544" s="3">
        <v>685</v>
      </c>
    </row>
    <row r="8545" spans="1:13" x14ac:dyDescent="0.25">
      <c r="A8545" s="1" t="str">
        <f>HYPERLINK("http://www.rosaceae.org/Prunus/Prunus_persica/p.persica_gdr_reftransV1_0024081","p.persica_gdr_reftransV1_0024081")</f>
        <v>p.persica_gdr_reftransV1_0024081</v>
      </c>
      <c r="B8545" s="3">
        <v>1625</v>
      </c>
      <c r="C8545" s="1" t="str">
        <f>HYPERLINK("http://www.uniprot.org/uniprot/BEBT_TOBAC","BEBT_TOBAC")</f>
        <v>BEBT_TOBAC</v>
      </c>
      <c r="D8545" t="s">
        <v>6564</v>
      </c>
      <c r="E8545" s="3" t="s">
        <v>200</v>
      </c>
      <c r="F8545" s="4">
        <v>0</v>
      </c>
      <c r="G8545" s="3">
        <v>1778</v>
      </c>
      <c r="H8545" s="3">
        <v>80</v>
      </c>
      <c r="I8545" s="3">
        <v>440</v>
      </c>
      <c r="J8545" s="3">
        <v>95</v>
      </c>
      <c r="K8545" s="3">
        <v>1414</v>
      </c>
      <c r="L8545" s="3">
        <v>6</v>
      </c>
      <c r="M8545" s="3">
        <v>445</v>
      </c>
    </row>
    <row r="8546" spans="1:13" x14ac:dyDescent="0.25">
      <c r="A8546" s="1" t="str">
        <f>HYPERLINK("http://www.rosaceae.org/Prunus/Prunus_persica/p.persica_gdr_reftransV1_0024131","p.persica_gdr_reftransV1_0024131")</f>
        <v>p.persica_gdr_reftransV1_0024131</v>
      </c>
      <c r="B8546" s="3">
        <v>1697</v>
      </c>
      <c r="C8546" s="1" t="str">
        <f>HYPERLINK("http://www.uniprot.org/uniprot/SIPL1_ARATH","SIPL1_ARATH")</f>
        <v>SIPL1_ARATH</v>
      </c>
      <c r="D8546" t="s">
        <v>6565</v>
      </c>
      <c r="E8546" s="3" t="s">
        <v>3</v>
      </c>
      <c r="F8546" s="4">
        <v>0</v>
      </c>
      <c r="G8546" s="3">
        <v>1656</v>
      </c>
      <c r="H8546" s="3">
        <v>84</v>
      </c>
      <c r="I8546" s="3">
        <v>372</v>
      </c>
      <c r="J8546" s="3">
        <v>192</v>
      </c>
      <c r="K8546" s="3">
        <v>1301</v>
      </c>
      <c r="L8546" s="3">
        <v>1</v>
      </c>
      <c r="M8546" s="3">
        <v>372</v>
      </c>
    </row>
    <row r="8547" spans="1:13" x14ac:dyDescent="0.25">
      <c r="A8547" s="1" t="str">
        <f>HYPERLINK("http://www.rosaceae.org/Prunus/Prunus_persica/p.persica_gdr_reftransV1_0024181","p.persica_gdr_reftransV1_0024181")</f>
        <v>p.persica_gdr_reftransV1_0024181</v>
      </c>
      <c r="B8547" s="3">
        <v>2428</v>
      </c>
      <c r="C8547" s="1" t="str">
        <f>HYPERLINK("http://www.uniprot.org/uniprot/PUB11_ARATH","PUB11_ARATH")</f>
        <v>PUB11_ARATH</v>
      </c>
      <c r="D8547" t="s">
        <v>6566</v>
      </c>
      <c r="E8547" s="3" t="s">
        <v>3</v>
      </c>
      <c r="F8547" s="4">
        <v>1.3300000000000001E-14</v>
      </c>
      <c r="G8547" s="3">
        <v>200</v>
      </c>
      <c r="H8547" s="3">
        <v>27</v>
      </c>
      <c r="I8547" s="3">
        <v>274</v>
      </c>
      <c r="J8547" s="3">
        <v>1056</v>
      </c>
      <c r="K8547" s="3">
        <v>1877</v>
      </c>
      <c r="L8547" s="3">
        <v>334</v>
      </c>
      <c r="M8547" s="3">
        <v>600</v>
      </c>
    </row>
    <row r="8548" spans="1:13" x14ac:dyDescent="0.25">
      <c r="A8548" s="1" t="str">
        <f>HYPERLINK("http://www.rosaceae.org/Prunus/Prunus_persica/p.persica_gdr_reftransV1_0024281","p.persica_gdr_reftransV1_0024281")</f>
        <v>p.persica_gdr_reftransV1_0024281</v>
      </c>
      <c r="B8548" s="3">
        <v>2883</v>
      </c>
      <c r="C8548" s="1" t="str">
        <f>HYPERLINK("http://www.uniprot.org/uniprot/HMGB9_ARATH","HMGB9_ARATH")</f>
        <v>HMGB9_ARATH</v>
      </c>
      <c r="D8548" t="s">
        <v>6567</v>
      </c>
      <c r="E8548" s="3" t="s">
        <v>3</v>
      </c>
      <c r="F8548" s="4">
        <v>1.06E-109</v>
      </c>
      <c r="G8548" s="3">
        <v>895</v>
      </c>
      <c r="H8548" s="3">
        <v>63</v>
      </c>
      <c r="I8548" s="3">
        <v>297</v>
      </c>
      <c r="J8548" s="3">
        <v>1293</v>
      </c>
      <c r="K8548" s="3">
        <v>2159</v>
      </c>
      <c r="L8548" s="3">
        <v>25</v>
      </c>
      <c r="M8548" s="3">
        <v>310</v>
      </c>
    </row>
    <row r="8549" spans="1:13" x14ac:dyDescent="0.25">
      <c r="A8549" s="1" t="str">
        <f>HYPERLINK("http://www.rosaceae.org/Prunus/Prunus_persica/p.persica_gdr_reftransV1_0024331","p.persica_gdr_reftransV1_0024331")</f>
        <v>p.persica_gdr_reftransV1_0024331</v>
      </c>
      <c r="B8549" s="3">
        <v>1443</v>
      </c>
      <c r="C8549" s="1" t="str">
        <f>HYPERLINK("http://www.uniprot.org/uniprot/ZN511_DANRE","ZN511_DANRE")</f>
        <v>ZN511_DANRE</v>
      </c>
      <c r="D8549" t="s">
        <v>6568</v>
      </c>
      <c r="E8549" s="3" t="s">
        <v>704</v>
      </c>
      <c r="F8549" s="4">
        <v>1.78E-28</v>
      </c>
      <c r="G8549" s="3">
        <v>294</v>
      </c>
      <c r="H8549" s="3">
        <v>41</v>
      </c>
      <c r="I8549" s="3">
        <v>152</v>
      </c>
      <c r="J8549" s="3">
        <v>819</v>
      </c>
      <c r="K8549" s="3">
        <v>1274</v>
      </c>
      <c r="L8549" s="3">
        <v>52</v>
      </c>
      <c r="M8549" s="3">
        <v>195</v>
      </c>
    </row>
    <row r="8550" spans="1:13" x14ac:dyDescent="0.25">
      <c r="A8550" s="1" t="str">
        <f>HYPERLINK("http://www.rosaceae.org/Prunus/Prunus_persica/p.persica_gdr_reftransV1_0024431","p.persica_gdr_reftransV1_0024431")</f>
        <v>p.persica_gdr_reftransV1_0024431</v>
      </c>
      <c r="B8550" s="3">
        <v>1225</v>
      </c>
      <c r="C8550" s="1" t="str">
        <f>HYPERLINK("http://www.uniprot.org/uniprot/TI10B_ARATH","TI10B_ARATH")</f>
        <v>TI10B_ARATH</v>
      </c>
      <c r="D8550" t="s">
        <v>1271</v>
      </c>
      <c r="E8550" s="3" t="s">
        <v>3</v>
      </c>
      <c r="F8550" s="4">
        <v>1.0099999999999999E-12</v>
      </c>
      <c r="G8550" s="3">
        <v>173</v>
      </c>
      <c r="H8550" s="3">
        <v>33</v>
      </c>
      <c r="I8550" s="3">
        <v>172</v>
      </c>
      <c r="J8550" s="3">
        <v>168</v>
      </c>
      <c r="K8550" s="3">
        <v>563</v>
      </c>
      <c r="L8550" s="3">
        <v>13</v>
      </c>
      <c r="M8550" s="3">
        <v>178</v>
      </c>
    </row>
    <row r="8551" spans="1:13" x14ac:dyDescent="0.25">
      <c r="A8551" s="1" t="str">
        <f>HYPERLINK("http://www.rosaceae.org/Prunus/Prunus_persica/p.persica_gdr_reftransV1_0024581","p.persica_gdr_reftransV1_0024581")</f>
        <v>p.persica_gdr_reftransV1_0024581</v>
      </c>
      <c r="B8551" s="3">
        <v>6293</v>
      </c>
      <c r="C8551" s="1" t="str">
        <f>HYPERLINK("http://www.uniprot.org/uniprot/RNHX1_ARATH","RNHX1_ARATH")</f>
        <v>RNHX1_ARATH</v>
      </c>
      <c r="D8551" t="s">
        <v>124</v>
      </c>
      <c r="E8551" s="3" t="s">
        <v>3</v>
      </c>
      <c r="F8551" s="4">
        <v>2.6E-59</v>
      </c>
      <c r="G8551" s="3">
        <v>456</v>
      </c>
      <c r="H8551" s="3">
        <v>29</v>
      </c>
      <c r="I8551" s="3">
        <v>438</v>
      </c>
      <c r="J8551" s="3">
        <v>4902</v>
      </c>
      <c r="K8551" s="3">
        <v>6194</v>
      </c>
      <c r="L8551" s="3">
        <v>184</v>
      </c>
      <c r="M8551" s="3">
        <v>620</v>
      </c>
    </row>
    <row r="8552" spans="1:13" x14ac:dyDescent="0.25">
      <c r="A8552" s="1" t="str">
        <f>HYPERLINK("http://www.rosaceae.org/Prunus/Prunus_persica/p.persica_gdr_reftransV1_0024631","p.persica_gdr_reftransV1_0024631")</f>
        <v>p.persica_gdr_reftransV1_0024631</v>
      </c>
      <c r="B8552" s="3">
        <v>1290</v>
      </c>
      <c r="C8552" s="1" t="str">
        <f>HYPERLINK("http://www.uniprot.org/uniprot/BH147_ARATH","BH147_ARATH")</f>
        <v>BH147_ARATH</v>
      </c>
      <c r="D8552" t="s">
        <v>6569</v>
      </c>
      <c r="E8552" s="3" t="s">
        <v>3</v>
      </c>
      <c r="F8552" s="4">
        <v>1.1999999999999999E-45</v>
      </c>
      <c r="G8552" s="3">
        <v>413</v>
      </c>
      <c r="H8552" s="3">
        <v>59</v>
      </c>
      <c r="I8552" s="3">
        <v>163</v>
      </c>
      <c r="J8552" s="3">
        <v>608</v>
      </c>
      <c r="K8552" s="3">
        <v>1087</v>
      </c>
      <c r="L8552" s="3">
        <v>49</v>
      </c>
      <c r="M8552" s="3">
        <v>204</v>
      </c>
    </row>
    <row r="8553" spans="1:13" x14ac:dyDescent="0.25">
      <c r="A8553" s="1" t="str">
        <f>HYPERLINK("http://www.rosaceae.org/Prunus/Prunus_persica/p.persica_gdr_reftransV1_0024681","p.persica_gdr_reftransV1_0024681")</f>
        <v>p.persica_gdr_reftransV1_0024681</v>
      </c>
      <c r="B8553" s="3">
        <v>2139</v>
      </c>
      <c r="C8553" s="1" t="str">
        <f>HYPERLINK("http://www.uniprot.org/uniprot/SKI17_ARATH","SKI17_ARATH")</f>
        <v>SKI17_ARATH</v>
      </c>
      <c r="D8553" t="s">
        <v>4358</v>
      </c>
      <c r="E8553" s="3" t="s">
        <v>3</v>
      </c>
      <c r="F8553" s="4">
        <v>4.2200000000000003E-86</v>
      </c>
      <c r="G8553" s="3">
        <v>730</v>
      </c>
      <c r="H8553" s="3">
        <v>44</v>
      </c>
      <c r="I8553" s="3">
        <v>423</v>
      </c>
      <c r="J8553" s="3">
        <v>669</v>
      </c>
      <c r="K8553" s="3">
        <v>1919</v>
      </c>
      <c r="L8553" s="3">
        <v>28</v>
      </c>
      <c r="M8553" s="3">
        <v>419</v>
      </c>
    </row>
    <row r="8554" spans="1:13" x14ac:dyDescent="0.25">
      <c r="A8554" s="1" t="str">
        <f>HYPERLINK("http://www.rosaceae.org/Prunus/Prunus_persica/p.persica_gdr_reftransV1_0024731","p.persica_gdr_reftransV1_0024731")</f>
        <v>p.persica_gdr_reftransV1_0024731</v>
      </c>
      <c r="B8554" s="3">
        <v>1310</v>
      </c>
      <c r="C8554" s="1" t="str">
        <f>HYPERLINK("http://www.uniprot.org/uniprot/PABN1_ARATH","PABN1_ARATH")</f>
        <v>PABN1_ARATH</v>
      </c>
      <c r="D8554" t="s">
        <v>2432</v>
      </c>
      <c r="E8554" s="3" t="s">
        <v>3</v>
      </c>
      <c r="F8554" s="4">
        <v>1.6E-78</v>
      </c>
      <c r="G8554" s="3">
        <v>637</v>
      </c>
      <c r="H8554" s="3">
        <v>86</v>
      </c>
      <c r="I8554" s="3">
        <v>139</v>
      </c>
      <c r="J8554" s="3">
        <v>269</v>
      </c>
      <c r="K8554" s="3">
        <v>685</v>
      </c>
      <c r="L8554" s="3">
        <v>50</v>
      </c>
      <c r="M8554" s="3">
        <v>187</v>
      </c>
    </row>
    <row r="8555" spans="1:13" x14ac:dyDescent="0.25">
      <c r="A8555" s="1" t="str">
        <f>HYPERLINK("http://www.rosaceae.org/Prunus/Prunus_persica/p.persica_gdr_reftransV1_0024831","p.persica_gdr_reftransV1_0024831")</f>
        <v>p.persica_gdr_reftransV1_0024831</v>
      </c>
      <c r="B8555" s="3">
        <v>4110</v>
      </c>
      <c r="C8555" s="1" t="str">
        <f>HYPERLINK("http://www.uniprot.org/uniprot/GBP1_MOUSE","GBP1_MOUSE")</f>
        <v>GBP1_MOUSE</v>
      </c>
      <c r="D8555" t="s">
        <v>6570</v>
      </c>
      <c r="E8555" s="3" t="s">
        <v>157</v>
      </c>
      <c r="F8555" s="4">
        <v>1.6200000000000001E-51</v>
      </c>
      <c r="G8555" s="3">
        <v>502</v>
      </c>
      <c r="H8555" s="3">
        <v>31</v>
      </c>
      <c r="I8555" s="3">
        <v>395</v>
      </c>
      <c r="J8555" s="3">
        <v>357</v>
      </c>
      <c r="K8555" s="3">
        <v>1508</v>
      </c>
      <c r="L8555" s="3">
        <v>23</v>
      </c>
      <c r="M8555" s="3">
        <v>403</v>
      </c>
    </row>
    <row r="8556" spans="1:13" x14ac:dyDescent="0.25">
      <c r="A8556" s="1" t="str">
        <f>HYPERLINK("http://www.rosaceae.org/Prunus/Prunus_persica/p.persica_gdr_reftransV1_0025081","p.persica_gdr_reftransV1_0025081")</f>
        <v>p.persica_gdr_reftransV1_0025081</v>
      </c>
      <c r="B8556" s="3">
        <v>1354</v>
      </c>
      <c r="C8556" s="1" t="str">
        <f>HYPERLINK("http://www.uniprot.org/uniprot/NUDT2_ARATH","NUDT2_ARATH")</f>
        <v>NUDT2_ARATH</v>
      </c>
      <c r="D8556" t="s">
        <v>5183</v>
      </c>
      <c r="E8556" s="3" t="s">
        <v>3</v>
      </c>
      <c r="F8556" s="4">
        <v>5.7399999999999998E-83</v>
      </c>
      <c r="G8556" s="3">
        <v>672</v>
      </c>
      <c r="H8556" s="3">
        <v>57</v>
      </c>
      <c r="I8556" s="3">
        <v>234</v>
      </c>
      <c r="J8556" s="3">
        <v>390</v>
      </c>
      <c r="K8556" s="3">
        <v>1091</v>
      </c>
      <c r="L8556" s="3">
        <v>70</v>
      </c>
      <c r="M8556" s="3">
        <v>272</v>
      </c>
    </row>
    <row r="8557" spans="1:13" x14ac:dyDescent="0.25">
      <c r="A8557" s="1" t="str">
        <f>HYPERLINK("http://www.rosaceae.org/Prunus/Prunus_persica/p.persica_gdr_reftransV1_0025131","p.persica_gdr_reftransV1_0025131")</f>
        <v>p.persica_gdr_reftransV1_0025131</v>
      </c>
      <c r="B8557" s="3">
        <v>1022</v>
      </c>
      <c r="C8557" s="1" t="str">
        <f>HYPERLINK("http://www.uniprot.org/uniprot/Y5161_ARATH","Y5161_ARATH")</f>
        <v>Y5161_ARATH</v>
      </c>
      <c r="D8557" t="s">
        <v>2905</v>
      </c>
      <c r="E8557" s="3" t="s">
        <v>3</v>
      </c>
      <c r="F8557" s="4">
        <v>7.5499999999999998E-10</v>
      </c>
      <c r="G8557" s="3">
        <v>146</v>
      </c>
      <c r="H8557" s="3">
        <v>23</v>
      </c>
      <c r="I8557" s="3">
        <v>116</v>
      </c>
      <c r="J8557" s="3">
        <v>375</v>
      </c>
      <c r="K8557" s="3">
        <v>722</v>
      </c>
      <c r="L8557" s="3">
        <v>56</v>
      </c>
      <c r="M8557" s="3">
        <v>168</v>
      </c>
    </row>
    <row r="8558" spans="1:13" x14ac:dyDescent="0.25">
      <c r="A8558" s="1" t="str">
        <f>HYPERLINK("http://www.rosaceae.org/Prunus/Prunus_persica/p.persica_gdr_reftransV1_0025231","p.persica_gdr_reftransV1_0025231")</f>
        <v>p.persica_gdr_reftransV1_0025231</v>
      </c>
      <c r="B8558" s="3">
        <v>2035</v>
      </c>
      <c r="C8558" s="1" t="str">
        <f>HYPERLINK("http://www.uniprot.org/uniprot/Rid3_ARATH","Rid3_ARATH")</f>
        <v>Rid3_ARATH</v>
      </c>
      <c r="D8558" t="s">
        <v>6571</v>
      </c>
      <c r="E8558" s="3" t="s">
        <v>3</v>
      </c>
      <c r="F8558" s="4">
        <v>3.5900000000000001E-44</v>
      </c>
      <c r="G8558" s="3">
        <v>426</v>
      </c>
      <c r="H8558" s="3">
        <v>43</v>
      </c>
      <c r="I8558" s="3">
        <v>221</v>
      </c>
      <c r="J8558" s="3">
        <v>1227</v>
      </c>
      <c r="K8558" s="3">
        <v>1886</v>
      </c>
      <c r="L8558" s="3">
        <v>27</v>
      </c>
      <c r="M8558" s="3">
        <v>245</v>
      </c>
    </row>
    <row r="8559" spans="1:13" x14ac:dyDescent="0.25">
      <c r="A8559" s="1" t="str">
        <f>HYPERLINK("http://www.rosaceae.org/Prunus/Prunus_persica/p.persica_gdr_reftransV1_0025531","p.persica_gdr_reftransV1_0025531")</f>
        <v>p.persica_gdr_reftransV1_0025531</v>
      </c>
      <c r="B8559" s="3">
        <v>2622</v>
      </c>
      <c r="C8559" s="1" t="str">
        <f>HYPERLINK("http://www.uniprot.org/uniprot/SUFE2_ARATH","SUFE2_ARATH")</f>
        <v>SUFE2_ARATH</v>
      </c>
      <c r="D8559" t="s">
        <v>6572</v>
      </c>
      <c r="E8559" s="3" t="s">
        <v>3</v>
      </c>
      <c r="F8559" s="4">
        <v>1.83E-59</v>
      </c>
      <c r="G8559" s="3">
        <v>529</v>
      </c>
      <c r="H8559" s="3">
        <v>53</v>
      </c>
      <c r="I8559" s="3">
        <v>207</v>
      </c>
      <c r="J8559" s="3">
        <v>1714</v>
      </c>
      <c r="K8559" s="3">
        <v>2325</v>
      </c>
      <c r="L8559" s="3">
        <v>14</v>
      </c>
      <c r="M8559" s="3">
        <v>209</v>
      </c>
    </row>
    <row r="8560" spans="1:13" x14ac:dyDescent="0.25">
      <c r="A8560" s="1" t="str">
        <f>HYPERLINK("http://www.rosaceae.org/Prunus/Prunus_persica/p.persica_gdr_reftransV1_0026231","p.persica_gdr_reftransV1_0026231")</f>
        <v>p.persica_gdr_reftransV1_0026231</v>
      </c>
      <c r="B8560" s="3">
        <v>1815</v>
      </c>
      <c r="C8560" s="1" t="str">
        <f>HYPERLINK("http://www.uniprot.org/uniprot/AATF_CHICK","AATF_CHICK")</f>
        <v>AATF_CHICK</v>
      </c>
      <c r="D8560" t="s">
        <v>6437</v>
      </c>
      <c r="E8560" s="3" t="s">
        <v>1278</v>
      </c>
      <c r="F8560" s="4">
        <v>1.12E-26</v>
      </c>
      <c r="G8560" s="3">
        <v>295</v>
      </c>
      <c r="H8560" s="3">
        <v>31</v>
      </c>
      <c r="I8560" s="3">
        <v>320</v>
      </c>
      <c r="J8560" s="3">
        <v>658</v>
      </c>
      <c r="K8560" s="3">
        <v>1506</v>
      </c>
      <c r="L8560" s="3">
        <v>216</v>
      </c>
      <c r="M8560" s="3">
        <v>527</v>
      </c>
    </row>
    <row r="8561" spans="1:13" x14ac:dyDescent="0.25">
      <c r="A8561" s="1" t="str">
        <f>HYPERLINK("http://www.rosaceae.org/Prunus/Prunus_persica/p.persica_gdr_reftransV1_0026531","p.persica_gdr_reftransV1_0026531")</f>
        <v>p.persica_gdr_reftransV1_0026531</v>
      </c>
      <c r="B8561" s="3">
        <v>1598</v>
      </c>
      <c r="C8561" s="1" t="str">
        <f>HYPERLINK("http://www.uniprot.org/uniprot/P2A10_ARATH","P2A10_ARATH")</f>
        <v>P2A10_ARATH</v>
      </c>
      <c r="D8561" t="s">
        <v>4066</v>
      </c>
      <c r="E8561" s="3" t="s">
        <v>3</v>
      </c>
      <c r="F8561" s="4">
        <v>1.47E-110</v>
      </c>
      <c r="G8561" s="3">
        <v>877</v>
      </c>
      <c r="H8561" s="3">
        <v>49</v>
      </c>
      <c r="I8561" s="3">
        <v>402</v>
      </c>
      <c r="J8561" s="3">
        <v>348</v>
      </c>
      <c r="K8561" s="3">
        <v>1550</v>
      </c>
      <c r="L8561" s="3">
        <v>5</v>
      </c>
      <c r="M8561" s="3">
        <v>382</v>
      </c>
    </row>
    <row r="8562" spans="1:13" x14ac:dyDescent="0.25">
      <c r="A8562" s="1" t="str">
        <f>HYPERLINK("http://www.rosaceae.org/Prunus/Prunus_persica/p.persica_gdr_reftransV1_0026631","p.persica_gdr_reftransV1_0026631")</f>
        <v>p.persica_gdr_reftransV1_0026631</v>
      </c>
      <c r="B8562" s="3">
        <v>1532</v>
      </c>
      <c r="C8562" s="1" t="str">
        <f>HYPERLINK("http://www.uniprot.org/uniprot/GLYC4_ARATH","GLYC4_ARATH")</f>
        <v>GLYC4_ARATH</v>
      </c>
      <c r="D8562" t="s">
        <v>6573</v>
      </c>
      <c r="E8562" s="3" t="s">
        <v>3</v>
      </c>
      <c r="F8562" s="4">
        <v>4.9300000000000004E-146</v>
      </c>
      <c r="G8562" s="3">
        <v>1117</v>
      </c>
      <c r="H8562" s="3">
        <v>89</v>
      </c>
      <c r="I8562" s="3">
        <v>245</v>
      </c>
      <c r="J8562" s="3">
        <v>620</v>
      </c>
      <c r="K8562" s="3">
        <v>1354</v>
      </c>
      <c r="L8562" s="3">
        <v>227</v>
      </c>
      <c r="M8562" s="3">
        <v>471</v>
      </c>
    </row>
    <row r="8563" spans="1:13" x14ac:dyDescent="0.25">
      <c r="A8563" s="1" t="str">
        <f>HYPERLINK("http://www.rosaceae.org/Prunus/Prunus_persica/p.persica_gdr_reftransV1_0026981","p.persica_gdr_reftransV1_0026981")</f>
        <v>p.persica_gdr_reftransV1_0026981</v>
      </c>
      <c r="B8563" s="3">
        <v>3471</v>
      </c>
      <c r="C8563" s="1" t="str">
        <f>HYPERLINK("http://www.uniprot.org/uniprot/BPM2_ARATH","BPM2_ARATH")</f>
        <v>BPM2_ARATH</v>
      </c>
      <c r="D8563" t="s">
        <v>5867</v>
      </c>
      <c r="E8563" s="3" t="s">
        <v>3</v>
      </c>
      <c r="F8563" s="4">
        <v>6.2299999999999998E-96</v>
      </c>
      <c r="G8563" s="3">
        <v>814</v>
      </c>
      <c r="H8563" s="3">
        <v>68</v>
      </c>
      <c r="I8563" s="3">
        <v>213</v>
      </c>
      <c r="J8563" s="3">
        <v>1490</v>
      </c>
      <c r="K8563" s="3">
        <v>2128</v>
      </c>
      <c r="L8563" s="3">
        <v>133</v>
      </c>
      <c r="M8563" s="3">
        <v>345</v>
      </c>
    </row>
    <row r="8564" spans="1:13" x14ac:dyDescent="0.25">
      <c r="A8564" s="1" t="str">
        <f>HYPERLINK("http://www.rosaceae.org/Prunus/Prunus_persica/p.persica_gdr_reftransV1_0027281","p.persica_gdr_reftransV1_0027281")</f>
        <v>p.persica_gdr_reftransV1_0027281</v>
      </c>
      <c r="B8564" s="3">
        <v>2713</v>
      </c>
      <c r="C8564" s="1" t="str">
        <f>HYPERLINK("http://www.uniprot.org/uniprot/TAT2_ARATH","TAT2_ARATH")</f>
        <v>TAT2_ARATH</v>
      </c>
      <c r="D8564" t="s">
        <v>6574</v>
      </c>
      <c r="E8564" s="3" t="s">
        <v>3</v>
      </c>
      <c r="F8564" s="4">
        <v>5.3E-148</v>
      </c>
      <c r="G8564" s="3">
        <v>1159</v>
      </c>
      <c r="H8564" s="3">
        <v>77</v>
      </c>
      <c r="I8564" s="3">
        <v>277</v>
      </c>
      <c r="J8564" s="3">
        <v>345</v>
      </c>
      <c r="K8564" s="3">
        <v>1166</v>
      </c>
      <c r="L8564" s="3">
        <v>1</v>
      </c>
      <c r="M8564" s="3">
        <v>269</v>
      </c>
    </row>
    <row r="8565" spans="1:13" x14ac:dyDescent="0.25">
      <c r="A8565" s="1" t="str">
        <f>HYPERLINK("http://www.rosaceae.org/Prunus/Prunus_persica/p.persica_gdr_reftransV1_0027331","p.persica_gdr_reftransV1_0027331")</f>
        <v>p.persica_gdr_reftransV1_0027331</v>
      </c>
      <c r="B8565" s="3">
        <v>2572</v>
      </c>
      <c r="C8565" s="1" t="str">
        <f>HYPERLINK("http://www.uniprot.org/uniprot/PP262_ARATH","PP262_ARATH")</f>
        <v>PP262_ARATH</v>
      </c>
      <c r="D8565" t="s">
        <v>6575</v>
      </c>
      <c r="E8565" s="3" t="s">
        <v>3</v>
      </c>
      <c r="F8565" s="4">
        <v>0</v>
      </c>
      <c r="G8565" s="3">
        <v>1443</v>
      </c>
      <c r="H8565" s="3">
        <v>62</v>
      </c>
      <c r="I8565" s="3">
        <v>448</v>
      </c>
      <c r="J8565" s="3">
        <v>338</v>
      </c>
      <c r="K8565" s="3">
        <v>1681</v>
      </c>
      <c r="L8565" s="3">
        <v>88</v>
      </c>
      <c r="M8565" s="3">
        <v>535</v>
      </c>
    </row>
    <row r="8566" spans="1:13" x14ac:dyDescent="0.25">
      <c r="A8566" s="1" t="str">
        <f>HYPERLINK("http://www.rosaceae.org/Prunus/Prunus_persica/p.persica_gdr_reftransV1_0027481","p.persica_gdr_reftransV1_0027481")</f>
        <v>p.persica_gdr_reftransV1_0027481</v>
      </c>
      <c r="B8566" s="3">
        <v>1722</v>
      </c>
      <c r="C8566" s="1" t="str">
        <f>HYPERLINK("http://www.uniprot.org/uniprot/TGD4_ARATH","TGD4_ARATH")</f>
        <v>TGD4_ARATH</v>
      </c>
      <c r="D8566" t="s">
        <v>6576</v>
      </c>
      <c r="E8566" s="3" t="s">
        <v>3</v>
      </c>
      <c r="F8566" s="4">
        <v>0</v>
      </c>
      <c r="G8566" s="3">
        <v>1433</v>
      </c>
      <c r="H8566" s="3">
        <v>54</v>
      </c>
      <c r="I8566" s="3">
        <v>518</v>
      </c>
      <c r="J8566" s="3">
        <v>31</v>
      </c>
      <c r="K8566" s="3">
        <v>1542</v>
      </c>
      <c r="L8566" s="3">
        <v>1</v>
      </c>
      <c r="M8566" s="3">
        <v>479</v>
      </c>
    </row>
    <row r="8567" spans="1:13" x14ac:dyDescent="0.25">
      <c r="A8567" s="1" t="str">
        <f>HYPERLINK("http://www.rosaceae.org/Prunus/Prunus_persica/p.persica_gdr_reftransV1_0027781","p.persica_gdr_reftransV1_0027781")</f>
        <v>p.persica_gdr_reftransV1_0027781</v>
      </c>
      <c r="B8567" s="3">
        <v>573</v>
      </c>
      <c r="C8567" s="1" t="str">
        <f>HYPERLINK("http://www.uniprot.org/uniprot/C7A14_ARATH","C7A14_ARATH")</f>
        <v>C7A14_ARATH</v>
      </c>
      <c r="D8567" t="s">
        <v>6577</v>
      </c>
      <c r="E8567" s="3" t="s">
        <v>3</v>
      </c>
      <c r="F8567" s="4">
        <v>3.7099999999999999E-46</v>
      </c>
      <c r="G8567" s="3">
        <v>414</v>
      </c>
      <c r="H8567" s="3">
        <v>65</v>
      </c>
      <c r="I8567" s="3">
        <v>110</v>
      </c>
      <c r="J8567" s="3">
        <v>2</v>
      </c>
      <c r="K8567" s="3">
        <v>331</v>
      </c>
      <c r="L8567" s="3">
        <v>402</v>
      </c>
      <c r="M8567" s="3">
        <v>511</v>
      </c>
    </row>
    <row r="8568" spans="1:13" x14ac:dyDescent="0.25">
      <c r="A8568" s="1" t="str">
        <f>HYPERLINK("http://www.rosaceae.org/Prunus/Prunus_persica/p.persica_gdr_reftransV1_0028331","p.persica_gdr_reftransV1_0028331")</f>
        <v>p.persica_gdr_reftransV1_0028331</v>
      </c>
      <c r="B8568" s="3">
        <v>1575</v>
      </c>
      <c r="C8568" s="1" t="str">
        <f>HYPERLINK("http://www.uniprot.org/uniprot/CNIF3_ARATH","CNIF3_ARATH")</f>
        <v>CNIF3_ARATH</v>
      </c>
      <c r="D8568" t="s">
        <v>2952</v>
      </c>
      <c r="E8568" s="3" t="s">
        <v>3</v>
      </c>
      <c r="F8568" s="4">
        <v>0</v>
      </c>
      <c r="G8568" s="3">
        <v>1651</v>
      </c>
      <c r="H8568" s="3">
        <v>74</v>
      </c>
      <c r="I8568" s="3">
        <v>414</v>
      </c>
      <c r="J8568" s="3">
        <v>343</v>
      </c>
      <c r="K8568" s="3">
        <v>1575</v>
      </c>
      <c r="L8568" s="3">
        <v>45</v>
      </c>
      <c r="M8568" s="3">
        <v>458</v>
      </c>
    </row>
    <row r="8569" spans="1:13" x14ac:dyDescent="0.25">
      <c r="A8569" s="1" t="str">
        <f>HYPERLINK("http://www.rosaceae.org/Prunus/Prunus_persica/p.persica_gdr_reftransV1_0028431","p.persica_gdr_reftransV1_0028431")</f>
        <v>p.persica_gdr_reftransV1_0028431</v>
      </c>
      <c r="B8569" s="3">
        <v>2424</v>
      </c>
      <c r="C8569" s="1" t="str">
        <f>HYPERLINK("http://www.uniprot.org/uniprot/UVSSA_ARATH","UVSSA_ARATH")</f>
        <v>UVSSA_ARATH</v>
      </c>
      <c r="D8569" t="s">
        <v>6578</v>
      </c>
      <c r="E8569" s="3" t="s">
        <v>3</v>
      </c>
      <c r="F8569" s="4">
        <v>0</v>
      </c>
      <c r="G8569" s="3">
        <v>1661</v>
      </c>
      <c r="H8569" s="3">
        <v>52</v>
      </c>
      <c r="I8569" s="3">
        <v>678</v>
      </c>
      <c r="J8569" s="3">
        <v>91</v>
      </c>
      <c r="K8569" s="3">
        <v>2019</v>
      </c>
      <c r="L8569" s="3">
        <v>5</v>
      </c>
      <c r="M8569" s="3">
        <v>664</v>
      </c>
    </row>
    <row r="8570" spans="1:13" x14ac:dyDescent="0.25">
      <c r="A8570" s="1" t="str">
        <f>HYPERLINK("http://www.rosaceae.org/Prunus/Prunus_persica/p.persica_gdr_reftransV1_0028481","p.persica_gdr_reftransV1_0028481")</f>
        <v>p.persica_gdr_reftransV1_0028481</v>
      </c>
      <c r="B8570" s="3">
        <v>3025</v>
      </c>
      <c r="C8570" s="1" t="str">
        <f>HYPERLINK("http://www.uniprot.org/uniprot/RH52_ARATH","RH52_ARATH")</f>
        <v>RH52_ARATH</v>
      </c>
      <c r="D8570" t="s">
        <v>6579</v>
      </c>
      <c r="E8570" s="3" t="s">
        <v>3</v>
      </c>
      <c r="F8570" s="4">
        <v>3.0799999999999998E-170</v>
      </c>
      <c r="G8570" s="3">
        <v>1339</v>
      </c>
      <c r="H8570" s="3">
        <v>91</v>
      </c>
      <c r="I8570" s="3">
        <v>273</v>
      </c>
      <c r="J8570" s="3">
        <v>1672</v>
      </c>
      <c r="K8570" s="3">
        <v>2490</v>
      </c>
      <c r="L8570" s="3">
        <v>267</v>
      </c>
      <c r="M8570" s="3">
        <v>539</v>
      </c>
    </row>
    <row r="8571" spans="1:13" x14ac:dyDescent="0.25">
      <c r="A8571" s="1" t="str">
        <f>HYPERLINK("http://www.rosaceae.org/Prunus/Prunus_persica/p.persica_gdr_reftransV1_0028681","p.persica_gdr_reftransV1_0028681")</f>
        <v>p.persica_gdr_reftransV1_0028681</v>
      </c>
      <c r="B8571" s="3">
        <v>4006</v>
      </c>
      <c r="C8571" s="1" t="str">
        <f>HYPERLINK("http://www.uniprot.org/uniprot/C71A1_PERAE","C71A1_PERAE")</f>
        <v>C71A1_PERAE</v>
      </c>
      <c r="D8571" t="s">
        <v>102</v>
      </c>
      <c r="E8571" s="3" t="s">
        <v>103</v>
      </c>
      <c r="F8571" s="4">
        <v>6.8300000000000003E-137</v>
      </c>
      <c r="G8571" s="3">
        <v>1119</v>
      </c>
      <c r="H8571" s="3">
        <v>52</v>
      </c>
      <c r="I8571" s="3">
        <v>463</v>
      </c>
      <c r="J8571" s="3">
        <v>821</v>
      </c>
      <c r="K8571" s="3">
        <v>2191</v>
      </c>
      <c r="L8571" s="3">
        <v>41</v>
      </c>
      <c r="M8571" s="3">
        <v>502</v>
      </c>
    </row>
    <row r="8572" spans="1:13" x14ac:dyDescent="0.25">
      <c r="A8572" s="1" t="str">
        <f>HYPERLINK("http://www.rosaceae.org/Prunus/Prunus_persica/p.persica_gdr_reftransV1_0029581","p.persica_gdr_reftransV1_0029581")</f>
        <v>p.persica_gdr_reftransV1_0029581</v>
      </c>
      <c r="B8572" s="3">
        <v>3690</v>
      </c>
      <c r="C8572" s="1" t="str">
        <f>HYPERLINK("http://www.uniprot.org/uniprot/TA15B_ARATH","TA15B_ARATH")</f>
        <v>TA15B_ARATH</v>
      </c>
      <c r="D8572" t="s">
        <v>6580</v>
      </c>
      <c r="E8572" s="3" t="s">
        <v>3</v>
      </c>
      <c r="F8572" s="4">
        <v>2.4200000000000001E-31</v>
      </c>
      <c r="G8572" s="3">
        <v>334</v>
      </c>
      <c r="H8572" s="3">
        <v>84</v>
      </c>
      <c r="I8572" s="3">
        <v>76</v>
      </c>
      <c r="J8572" s="3">
        <v>1943</v>
      </c>
      <c r="K8572" s="3">
        <v>2167</v>
      </c>
      <c r="L8572" s="3">
        <v>306</v>
      </c>
      <c r="M8572" s="3">
        <v>381</v>
      </c>
    </row>
    <row r="8573" spans="1:13" x14ac:dyDescent="0.25">
      <c r="A8573" s="1" t="str">
        <f>HYPERLINK("http://www.rosaceae.org/Prunus/Prunus_persica/p.persica_gdr_reftransV1_0029681","p.persica_gdr_reftransV1_0029681")</f>
        <v>p.persica_gdr_reftransV1_0029681</v>
      </c>
      <c r="B8573" s="3">
        <v>1074</v>
      </c>
      <c r="C8573" s="1" t="str">
        <f>HYPERLINK("http://www.uniprot.org/uniprot/ZIM17_YEAST","ZIM17_YEAST")</f>
        <v>ZIM17_YEAST</v>
      </c>
      <c r="D8573" t="s">
        <v>6581</v>
      </c>
      <c r="E8573" s="3" t="s">
        <v>34</v>
      </c>
      <c r="F8573" s="4">
        <v>1.6899999999999999E-7</v>
      </c>
      <c r="G8573" s="3">
        <v>129</v>
      </c>
      <c r="H8573" s="3">
        <v>27</v>
      </c>
      <c r="I8573" s="3">
        <v>92</v>
      </c>
      <c r="J8573" s="3">
        <v>447</v>
      </c>
      <c r="K8573" s="3">
        <v>716</v>
      </c>
      <c r="L8573" s="3">
        <v>63</v>
      </c>
      <c r="M8573" s="3">
        <v>154</v>
      </c>
    </row>
    <row r="8574" spans="1:13" x14ac:dyDescent="0.25">
      <c r="A8574" s="1" t="str">
        <f>HYPERLINK("http://www.rosaceae.org/Prunus/Prunus_persica/p.persica_gdr_reftransV1_0029831","p.persica_gdr_reftransV1_0029831")</f>
        <v>p.persica_gdr_reftransV1_0029831</v>
      </c>
      <c r="B8574" s="3">
        <v>6092</v>
      </c>
      <c r="C8574" s="1" t="str">
        <f>HYPERLINK("http://www.uniprot.org/uniprot/YQKD_BACSU","YQKD_BACSU")</f>
        <v>YQKD_BACSU</v>
      </c>
      <c r="D8574" t="s">
        <v>2216</v>
      </c>
      <c r="E8574" s="3" t="s">
        <v>1630</v>
      </c>
      <c r="F8574" s="4">
        <v>3.0899999999999998E-11</v>
      </c>
      <c r="G8574" s="3">
        <v>171</v>
      </c>
      <c r="H8574" s="3">
        <v>29</v>
      </c>
      <c r="I8574" s="3">
        <v>193</v>
      </c>
      <c r="J8574" s="3">
        <v>5060</v>
      </c>
      <c r="K8574" s="3">
        <v>5629</v>
      </c>
      <c r="L8574" s="3">
        <v>75</v>
      </c>
      <c r="M8574" s="3">
        <v>262</v>
      </c>
    </row>
    <row r="8575" spans="1:13" x14ac:dyDescent="0.25">
      <c r="A8575" s="1" t="str">
        <f>HYPERLINK("http://www.rosaceae.org/Prunus/Prunus_persica/p.persica_gdr_reftransV1_0030031","p.persica_gdr_reftransV1_0030031")</f>
        <v>p.persica_gdr_reftransV1_0030031</v>
      </c>
      <c r="B8575" s="3">
        <v>2682</v>
      </c>
      <c r="C8575" s="1" t="str">
        <f>HYPERLINK("http://www.uniprot.org/uniprot/OTUBL_ARATH","OTUBL_ARATH")</f>
        <v>OTUBL_ARATH</v>
      </c>
      <c r="D8575" t="s">
        <v>1214</v>
      </c>
      <c r="E8575" s="3" t="s">
        <v>3</v>
      </c>
      <c r="F8575" s="4">
        <v>1.1799999999999999E-76</v>
      </c>
      <c r="G8575" s="3">
        <v>659</v>
      </c>
      <c r="H8575" s="3">
        <v>79</v>
      </c>
      <c r="I8575" s="3">
        <v>157</v>
      </c>
      <c r="J8575" s="3">
        <v>1747</v>
      </c>
      <c r="K8575" s="3">
        <v>2217</v>
      </c>
      <c r="L8575" s="3">
        <v>142</v>
      </c>
      <c r="M8575" s="3">
        <v>295</v>
      </c>
    </row>
    <row r="8576" spans="1:13" x14ac:dyDescent="0.25">
      <c r="A8576" s="1" t="str">
        <f>HYPERLINK("http://www.rosaceae.org/Prunus/Prunus_persica/p.persica_gdr_reftransV1_0030531","p.persica_gdr_reftransV1_0030531")</f>
        <v>p.persica_gdr_reftransV1_0030531</v>
      </c>
      <c r="B8576" s="3">
        <v>785</v>
      </c>
      <c r="C8576" s="1" t="str">
        <f>HYPERLINK("http://www.uniprot.org/uniprot/SFT2B_HUMAN","SFT2B_HUMAN")</f>
        <v>SFT2B_HUMAN</v>
      </c>
      <c r="D8576" t="s">
        <v>6582</v>
      </c>
      <c r="E8576" s="3" t="s">
        <v>28</v>
      </c>
      <c r="F8576" s="4">
        <v>5.4900000000000005E-26</v>
      </c>
      <c r="G8576" s="3">
        <v>261</v>
      </c>
      <c r="H8576" s="3">
        <v>44</v>
      </c>
      <c r="I8576" s="3">
        <v>127</v>
      </c>
      <c r="J8576" s="3">
        <v>242</v>
      </c>
      <c r="K8576" s="3">
        <v>610</v>
      </c>
      <c r="L8576" s="3">
        <v>27</v>
      </c>
      <c r="M8576" s="3">
        <v>153</v>
      </c>
    </row>
    <row r="8577" spans="1:13" x14ac:dyDescent="0.25">
      <c r="A8577" s="1" t="str">
        <f>HYPERLINK("http://www.rosaceae.org/Prunus/Prunus_persica/p.persica_gdr_reftransV1_0030581","p.persica_gdr_reftransV1_0030581")</f>
        <v>p.persica_gdr_reftransV1_0030581</v>
      </c>
      <c r="B8577" s="3">
        <v>1725</v>
      </c>
      <c r="C8577" s="1" t="str">
        <f>HYPERLINK("http://www.uniprot.org/uniprot/RBRA_DICDI","RBRA_DICDI")</f>
        <v>RBRA_DICDI</v>
      </c>
      <c r="D8577" t="s">
        <v>6583</v>
      </c>
      <c r="E8577" s="3" t="s">
        <v>9</v>
      </c>
      <c r="F8577" s="4">
        <v>2.43E-15</v>
      </c>
      <c r="G8577" s="3">
        <v>203</v>
      </c>
      <c r="H8577" s="3">
        <v>29</v>
      </c>
      <c r="I8577" s="3">
        <v>228</v>
      </c>
      <c r="J8577" s="3">
        <v>100</v>
      </c>
      <c r="K8577" s="3">
        <v>741</v>
      </c>
      <c r="L8577" s="3">
        <v>133</v>
      </c>
      <c r="M8577" s="3">
        <v>343</v>
      </c>
    </row>
    <row r="8578" spans="1:13" x14ac:dyDescent="0.25">
      <c r="A8578" s="1" t="str">
        <f>HYPERLINK("http://www.rosaceae.org/Prunus/Prunus_persica/p.persica_gdr_reftransV1_0031281","p.persica_gdr_reftransV1_0031281")</f>
        <v>p.persica_gdr_reftransV1_0031281</v>
      </c>
      <c r="B8578" s="3">
        <v>1189</v>
      </c>
      <c r="C8578" s="1" t="str">
        <f>HYPERLINK("http://www.uniprot.org/uniprot/HSFB3_ARATH","HSFB3_ARATH")</f>
        <v>HSFB3_ARATH</v>
      </c>
      <c r="D8578" t="s">
        <v>6584</v>
      </c>
      <c r="E8578" s="3" t="s">
        <v>3</v>
      </c>
      <c r="F8578" s="4">
        <v>1.7899999999999999E-59</v>
      </c>
      <c r="G8578" s="3">
        <v>507</v>
      </c>
      <c r="H8578" s="3">
        <v>55</v>
      </c>
      <c r="I8578" s="3">
        <v>208</v>
      </c>
      <c r="J8578" s="3">
        <v>274</v>
      </c>
      <c r="K8578" s="3">
        <v>870</v>
      </c>
      <c r="L8578" s="3">
        <v>38</v>
      </c>
      <c r="M8578" s="3">
        <v>244</v>
      </c>
    </row>
    <row r="8579" spans="1:13" x14ac:dyDescent="0.25">
      <c r="A8579" s="1" t="str">
        <f>HYPERLINK("http://www.rosaceae.org/Prunus/Prunus_persica/p.persica_gdr_reftransV1_0031981","p.persica_gdr_reftransV1_0031981")</f>
        <v>p.persica_gdr_reftransV1_0031981</v>
      </c>
      <c r="B8579" s="3">
        <v>2351</v>
      </c>
      <c r="C8579" s="1" t="str">
        <f>HYPERLINK("http://www.uniprot.org/uniprot/Y1561_ARATH","Y1561_ARATH")</f>
        <v>Y1561_ARATH</v>
      </c>
      <c r="D8579" t="s">
        <v>1387</v>
      </c>
      <c r="E8579" s="3" t="s">
        <v>3</v>
      </c>
      <c r="F8579" s="4">
        <v>1.95E-88</v>
      </c>
      <c r="G8579" s="3">
        <v>567</v>
      </c>
      <c r="H8579" s="3">
        <v>53</v>
      </c>
      <c r="I8579" s="3">
        <v>210</v>
      </c>
      <c r="J8579" s="3">
        <v>943</v>
      </c>
      <c r="K8579" s="3">
        <v>1569</v>
      </c>
      <c r="L8579" s="3">
        <v>781</v>
      </c>
      <c r="M8579" s="3">
        <v>988</v>
      </c>
    </row>
    <row r="8580" spans="1:13" x14ac:dyDescent="0.25">
      <c r="A8580" s="1" t="str">
        <f>HYPERLINK("http://www.rosaceae.org/Prunus/Prunus_persica/p.persica_gdr_reftransV1_0032081","p.persica_gdr_reftransV1_0032081")</f>
        <v>p.persica_gdr_reftransV1_0032081</v>
      </c>
      <c r="B8580" s="3">
        <v>6873</v>
      </c>
      <c r="C8580" s="1" t="str">
        <f>HYPERLINK("http://www.uniprot.org/uniprot/CHR5_ARATH","CHR5_ARATH")</f>
        <v>CHR5_ARATH</v>
      </c>
      <c r="D8580" t="s">
        <v>6585</v>
      </c>
      <c r="E8580" s="3" t="s">
        <v>3</v>
      </c>
      <c r="F8580" s="4">
        <v>0</v>
      </c>
      <c r="G8580" s="3">
        <v>4656</v>
      </c>
      <c r="H8580" s="3">
        <v>80</v>
      </c>
      <c r="I8580" s="3">
        <v>1158</v>
      </c>
      <c r="J8580" s="3">
        <v>2104</v>
      </c>
      <c r="K8580" s="3">
        <v>5565</v>
      </c>
      <c r="L8580" s="3">
        <v>298</v>
      </c>
      <c r="M8580" s="3">
        <v>1451</v>
      </c>
    </row>
    <row r="8581" spans="1:13" x14ac:dyDescent="0.25">
      <c r="A8581" s="1" t="str">
        <f>HYPERLINK("http://www.rosaceae.org/Prunus/Prunus_persica/p.persica_gdr_reftransV1_0032231","p.persica_gdr_reftransV1_0032231")</f>
        <v>p.persica_gdr_reftransV1_0032231</v>
      </c>
      <c r="B8581" s="3">
        <v>3145</v>
      </c>
      <c r="C8581" s="1" t="str">
        <f>HYPERLINK("http://www.uniprot.org/uniprot/PPT1_CAEEL","PPT1_CAEEL")</f>
        <v>PPT1_CAEEL</v>
      </c>
      <c r="D8581" t="s">
        <v>6586</v>
      </c>
      <c r="E8581" s="3" t="s">
        <v>281</v>
      </c>
      <c r="F8581" s="4">
        <v>3.2300000000000001E-20</v>
      </c>
      <c r="G8581" s="3">
        <v>240</v>
      </c>
      <c r="H8581" s="3">
        <v>37</v>
      </c>
      <c r="I8581" s="3">
        <v>147</v>
      </c>
      <c r="J8581" s="3">
        <v>547</v>
      </c>
      <c r="K8581" s="3">
        <v>987</v>
      </c>
      <c r="L8581" s="3">
        <v>149</v>
      </c>
      <c r="M8581" s="3">
        <v>293</v>
      </c>
    </row>
    <row r="8582" spans="1:13" x14ac:dyDescent="0.25">
      <c r="A8582" s="1" t="str">
        <f>HYPERLINK("http://www.rosaceae.org/Prunus/Prunus_persica/p.persica_gdr_reftransV1_0032731","p.persica_gdr_reftransV1_0032731")</f>
        <v>p.persica_gdr_reftransV1_0032731</v>
      </c>
      <c r="B8582" s="3">
        <v>831</v>
      </c>
      <c r="C8582" s="1" t="str">
        <f>HYPERLINK("http://www.uniprot.org/uniprot/TYRA1_ARATH","TYRA1_ARATH")</f>
        <v>TYRA1_ARATH</v>
      </c>
      <c r="D8582" t="s">
        <v>6034</v>
      </c>
      <c r="E8582" s="3" t="s">
        <v>3</v>
      </c>
      <c r="F8582" s="4">
        <v>7.68E-77</v>
      </c>
      <c r="G8582" s="3">
        <v>642</v>
      </c>
      <c r="H8582" s="3">
        <v>71</v>
      </c>
      <c r="I8582" s="3">
        <v>167</v>
      </c>
      <c r="J8582" s="3">
        <v>329</v>
      </c>
      <c r="K8582" s="3">
        <v>829</v>
      </c>
      <c r="L8582" s="3">
        <v>468</v>
      </c>
      <c r="M8582" s="3">
        <v>634</v>
      </c>
    </row>
    <row r="8583" spans="1:13" x14ac:dyDescent="0.25">
      <c r="A8583" s="1" t="str">
        <f>HYPERLINK("http://www.rosaceae.org/Prunus/Prunus_persica/p.persica_gdr_reftransV1_0032931","p.persica_gdr_reftransV1_0032931")</f>
        <v>p.persica_gdr_reftransV1_0032931</v>
      </c>
      <c r="B8583" s="3">
        <v>1908</v>
      </c>
      <c r="C8583" s="1" t="str">
        <f>HYPERLINK("http://www.uniprot.org/uniprot/C7A29_PANGI","C7A29_PANGI")</f>
        <v>C7A29_PANGI</v>
      </c>
      <c r="D8583" t="s">
        <v>3855</v>
      </c>
      <c r="E8583" s="3" t="s">
        <v>1477</v>
      </c>
      <c r="F8583" s="4">
        <v>0</v>
      </c>
      <c r="G8583" s="3">
        <v>1728</v>
      </c>
      <c r="H8583" s="3">
        <v>63</v>
      </c>
      <c r="I8583" s="3">
        <v>500</v>
      </c>
      <c r="J8583" s="3">
        <v>323</v>
      </c>
      <c r="K8583" s="3">
        <v>1819</v>
      </c>
      <c r="L8583" s="3">
        <v>17</v>
      </c>
      <c r="M8583" s="3">
        <v>515</v>
      </c>
    </row>
    <row r="8584" spans="1:13" x14ac:dyDescent="0.25">
      <c r="A8584" s="1" t="str">
        <f>HYPERLINK("http://www.rosaceae.org/Prunus/Prunus_persica/p.persica_gdr_reftransV1_0033131","p.persica_gdr_reftransV1_0033131")</f>
        <v>p.persica_gdr_reftransV1_0033131</v>
      </c>
      <c r="B8584" s="3">
        <v>1000</v>
      </c>
      <c r="C8584" s="1" t="str">
        <f>HYPERLINK("http://www.uniprot.org/uniprot/NFYA7_ARATH","NFYA7_ARATH")</f>
        <v>NFYA7_ARATH</v>
      </c>
      <c r="D8584" t="s">
        <v>6587</v>
      </c>
      <c r="E8584" s="3" t="s">
        <v>3</v>
      </c>
      <c r="F8584" s="4">
        <v>1.22E-51</v>
      </c>
      <c r="G8584" s="3">
        <v>444</v>
      </c>
      <c r="H8584" s="3">
        <v>73</v>
      </c>
      <c r="I8584" s="3">
        <v>116</v>
      </c>
      <c r="J8584" s="3">
        <v>137</v>
      </c>
      <c r="K8584" s="3">
        <v>484</v>
      </c>
      <c r="L8584" s="3">
        <v>79</v>
      </c>
      <c r="M8584" s="3">
        <v>190</v>
      </c>
    </row>
    <row r="8585" spans="1:13" x14ac:dyDescent="0.25">
      <c r="A8585" s="1" t="str">
        <f>HYPERLINK("http://www.rosaceae.org/Prunus/Prunus_persica/p.persica_gdr_reftransV1_0034481","p.persica_gdr_reftransV1_0034481")</f>
        <v>p.persica_gdr_reftransV1_0034481</v>
      </c>
      <c r="B8585" s="3">
        <v>1784</v>
      </c>
      <c r="C8585" s="1" t="str">
        <f>HYPERLINK("http://www.uniprot.org/uniprot/TPK1_ARATH","TPK1_ARATH")</f>
        <v>TPK1_ARATH</v>
      </c>
      <c r="D8585" t="s">
        <v>6588</v>
      </c>
      <c r="E8585" s="3" t="s">
        <v>3</v>
      </c>
      <c r="F8585" s="4">
        <v>1.43E-87</v>
      </c>
      <c r="G8585" s="3">
        <v>714</v>
      </c>
      <c r="H8585" s="3">
        <v>73</v>
      </c>
      <c r="I8585" s="3">
        <v>183</v>
      </c>
      <c r="J8585" s="3">
        <v>825</v>
      </c>
      <c r="K8585" s="3">
        <v>1373</v>
      </c>
      <c r="L8585" s="3">
        <v>75</v>
      </c>
      <c r="M8585" s="3">
        <v>257</v>
      </c>
    </row>
    <row r="8586" spans="1:13" x14ac:dyDescent="0.25">
      <c r="A8586" s="1" t="str">
        <f>HYPERLINK("http://www.rosaceae.org/Prunus/Prunus_persica/p.persica_gdr_reftransV1_0034881","p.persica_gdr_reftransV1_0034881")</f>
        <v>p.persica_gdr_reftransV1_0034881</v>
      </c>
      <c r="B8586" s="3">
        <v>1556</v>
      </c>
      <c r="C8586" s="1" t="str">
        <f>HYPERLINK("http://www.uniprot.org/uniprot/ACT11_SOLTU","ACT11_SOLTU")</f>
        <v>ACT11_SOLTU</v>
      </c>
      <c r="D8586" t="s">
        <v>6589</v>
      </c>
      <c r="E8586" s="3" t="s">
        <v>11</v>
      </c>
      <c r="F8586" s="4">
        <v>0</v>
      </c>
      <c r="G8586" s="3">
        <v>1499</v>
      </c>
      <c r="H8586" s="3">
        <v>98</v>
      </c>
      <c r="I8586" s="3">
        <v>297</v>
      </c>
      <c r="J8586" s="3">
        <v>664</v>
      </c>
      <c r="K8586" s="3">
        <v>1554</v>
      </c>
      <c r="L8586" s="3">
        <v>61</v>
      </c>
      <c r="M8586" s="3">
        <v>357</v>
      </c>
    </row>
    <row r="8587" spans="1:13" x14ac:dyDescent="0.25">
      <c r="A8587" s="1" t="str">
        <f>HYPERLINK("http://www.rosaceae.org/Prunus/Prunus_persica/p.persica_gdr_reftransV1_0035481","p.persica_gdr_reftransV1_0035481")</f>
        <v>p.persica_gdr_reftransV1_0035481</v>
      </c>
      <c r="B8587" s="3">
        <v>828</v>
      </c>
      <c r="C8587" s="1" t="str">
        <f>HYPERLINK("http://www.uniprot.org/uniprot/RNP1_ARATH","RNP1_ARATH")</f>
        <v>RNP1_ARATH</v>
      </c>
      <c r="D8587" t="s">
        <v>2083</v>
      </c>
      <c r="E8587" s="3" t="s">
        <v>3</v>
      </c>
      <c r="F8587" s="4">
        <v>8.8999999999999995E-39</v>
      </c>
      <c r="G8587" s="3">
        <v>366</v>
      </c>
      <c r="H8587" s="3">
        <v>52</v>
      </c>
      <c r="I8587" s="3">
        <v>128</v>
      </c>
      <c r="J8587" s="3">
        <v>458</v>
      </c>
      <c r="K8587" s="3">
        <v>826</v>
      </c>
      <c r="L8587" s="3">
        <v>1</v>
      </c>
      <c r="M8587" s="3">
        <v>128</v>
      </c>
    </row>
    <row r="8588" spans="1:13" x14ac:dyDescent="0.25">
      <c r="A8588" s="1" t="str">
        <f>HYPERLINK("http://www.rosaceae.org/Prunus/Prunus_persica/p.persica_gdr_reftransV1_0035831","p.persica_gdr_reftransV1_0035831")</f>
        <v>p.persica_gdr_reftransV1_0035831</v>
      </c>
      <c r="B8588" s="3">
        <v>2733</v>
      </c>
      <c r="C8588" s="1" t="str">
        <f>HYPERLINK("http://www.uniprot.org/uniprot/ARR12_ARATH","ARR12_ARATH")</f>
        <v>ARR12_ARATH</v>
      </c>
      <c r="D8588" t="s">
        <v>6590</v>
      </c>
      <c r="E8588" s="3" t="s">
        <v>3</v>
      </c>
      <c r="F8588" s="4">
        <v>9.9800000000000003E-95</v>
      </c>
      <c r="G8588" s="3">
        <v>812</v>
      </c>
      <c r="H8588" s="3">
        <v>53</v>
      </c>
      <c r="I8588" s="3">
        <v>381</v>
      </c>
      <c r="J8588" s="3">
        <v>1309</v>
      </c>
      <c r="K8588" s="3">
        <v>2430</v>
      </c>
      <c r="L8588" s="3">
        <v>9</v>
      </c>
      <c r="M8588" s="3">
        <v>369</v>
      </c>
    </row>
    <row r="8589" spans="1:13" x14ac:dyDescent="0.25">
      <c r="A8589" s="1" t="str">
        <f>HYPERLINK("http://www.rosaceae.org/Prunus/Prunus_persica/p.persica_gdr_reftransV1_0036081","p.persica_gdr_reftransV1_0036081")</f>
        <v>p.persica_gdr_reftransV1_0036081</v>
      </c>
      <c r="B8589" s="3">
        <v>3178</v>
      </c>
      <c r="C8589" s="1" t="str">
        <f>HYPERLINK("http://www.uniprot.org/uniprot/DDB2_ARATH","DDB2_ARATH")</f>
        <v>DDB2_ARATH</v>
      </c>
      <c r="D8589" t="s">
        <v>2096</v>
      </c>
      <c r="E8589" s="3" t="s">
        <v>3</v>
      </c>
      <c r="F8589" s="4">
        <v>0</v>
      </c>
      <c r="G8589" s="3">
        <v>1488</v>
      </c>
      <c r="H8589" s="3">
        <v>68</v>
      </c>
      <c r="I8589" s="3">
        <v>411</v>
      </c>
      <c r="J8589" s="3">
        <v>687</v>
      </c>
      <c r="K8589" s="3">
        <v>1919</v>
      </c>
      <c r="L8589" s="3">
        <v>153</v>
      </c>
      <c r="M8589" s="3">
        <v>512</v>
      </c>
    </row>
    <row r="8590" spans="1:13" x14ac:dyDescent="0.25">
      <c r="A8590" s="1" t="str">
        <f>HYPERLINK("http://www.rosaceae.org/Prunus/Prunus_persica/p.persica_gdr_reftransV1_0036131","p.persica_gdr_reftransV1_0036131")</f>
        <v>p.persica_gdr_reftransV1_0036131</v>
      </c>
      <c r="B8590" s="3">
        <v>848</v>
      </c>
      <c r="C8590" s="1" t="str">
        <f>HYPERLINK("http://www.uniprot.org/uniprot/FTSHA_ARATH","FTSHA_ARATH")</f>
        <v>FTSHA_ARATH</v>
      </c>
      <c r="D8590" t="s">
        <v>5091</v>
      </c>
      <c r="E8590" s="3" t="s">
        <v>3</v>
      </c>
      <c r="F8590" s="4">
        <v>3.6499999999999998E-150</v>
      </c>
      <c r="G8590" s="3">
        <v>1150</v>
      </c>
      <c r="H8590" s="3">
        <v>93</v>
      </c>
      <c r="I8590" s="3">
        <v>243</v>
      </c>
      <c r="J8590" s="3">
        <v>118</v>
      </c>
      <c r="K8590" s="3">
        <v>846</v>
      </c>
      <c r="L8590" s="3">
        <v>414</v>
      </c>
      <c r="M8590" s="3">
        <v>656</v>
      </c>
    </row>
    <row r="8591" spans="1:13" x14ac:dyDescent="0.25">
      <c r="A8591" s="1" t="str">
        <f>HYPERLINK("http://www.rosaceae.org/Prunus/Prunus_persica/p.persica_gdr_reftransV1_0036281","p.persica_gdr_reftransV1_0036281")</f>
        <v>p.persica_gdr_reftransV1_0036281</v>
      </c>
      <c r="B8591" s="3">
        <v>4855</v>
      </c>
      <c r="C8591" s="1" t="str">
        <f>HYPERLINK("http://www.uniprot.org/uniprot/CD48C_ARATH","CD48C_ARATH")</f>
        <v>CD48C_ARATH</v>
      </c>
      <c r="D8591" t="s">
        <v>6591</v>
      </c>
      <c r="E8591" s="3" t="s">
        <v>3</v>
      </c>
      <c r="F8591" s="4">
        <v>0</v>
      </c>
      <c r="G8591" s="3">
        <v>1968</v>
      </c>
      <c r="H8591" s="3">
        <v>56</v>
      </c>
      <c r="I8591" s="3">
        <v>794</v>
      </c>
      <c r="J8591" s="3">
        <v>472</v>
      </c>
      <c r="K8591" s="3">
        <v>2838</v>
      </c>
      <c r="L8591" s="3">
        <v>33</v>
      </c>
      <c r="M8591" s="3">
        <v>801</v>
      </c>
    </row>
    <row r="8592" spans="1:13" x14ac:dyDescent="0.25">
      <c r="A8592" s="1" t="str">
        <f>HYPERLINK("http://www.rosaceae.org/Prunus/Prunus_persica/p.persica_gdr_reftransV1_0036481","p.persica_gdr_reftransV1_0036481")</f>
        <v>p.persica_gdr_reftransV1_0036481</v>
      </c>
      <c r="B8592" s="3">
        <v>4000</v>
      </c>
      <c r="C8592" s="1" t="str">
        <f>HYPERLINK("http://www.uniprot.org/uniprot/PPR40_ARATH","PPR40_ARATH")</f>
        <v>PPR40_ARATH</v>
      </c>
      <c r="D8592" t="s">
        <v>6592</v>
      </c>
      <c r="E8592" s="3" t="s">
        <v>3</v>
      </c>
      <c r="F8592" s="4">
        <v>0</v>
      </c>
      <c r="G8592" s="3">
        <v>1650</v>
      </c>
      <c r="H8592" s="3">
        <v>61</v>
      </c>
      <c r="I8592" s="3">
        <v>509</v>
      </c>
      <c r="J8592" s="3">
        <v>2211</v>
      </c>
      <c r="K8592" s="3">
        <v>3734</v>
      </c>
      <c r="L8592" s="3">
        <v>1</v>
      </c>
      <c r="M8592" s="3">
        <v>509</v>
      </c>
    </row>
    <row r="8593" spans="1:13" x14ac:dyDescent="0.25">
      <c r="A8593" s="1" t="str">
        <f>HYPERLINK("http://www.rosaceae.org/Prunus/Prunus_persica/p.persica_gdr_reftransV1_0036681","p.persica_gdr_reftransV1_0036681")</f>
        <v>p.persica_gdr_reftransV1_0036681</v>
      </c>
      <c r="B8593" s="3">
        <v>2536</v>
      </c>
      <c r="C8593" s="1" t="str">
        <f>HYPERLINK("http://www.uniprot.org/uniprot/ANM15_ARATH","ANM15_ARATH")</f>
        <v>ANM15_ARATH</v>
      </c>
      <c r="D8593" t="s">
        <v>3317</v>
      </c>
      <c r="E8593" s="3" t="s">
        <v>3</v>
      </c>
      <c r="F8593" s="4">
        <v>0</v>
      </c>
      <c r="G8593" s="3">
        <v>2689</v>
      </c>
      <c r="H8593" s="3">
        <v>75</v>
      </c>
      <c r="I8593" s="3">
        <v>648</v>
      </c>
      <c r="J8593" s="3">
        <v>483</v>
      </c>
      <c r="K8593" s="3">
        <v>2423</v>
      </c>
      <c r="L8593" s="3">
        <v>1</v>
      </c>
      <c r="M8593" s="3">
        <v>639</v>
      </c>
    </row>
    <row r="8594" spans="1:13" x14ac:dyDescent="0.25">
      <c r="A8594" s="1" t="str">
        <f>HYPERLINK("http://www.rosaceae.org/Prunus/Prunus_persica/p.persica_gdr_reftransV1_0036731","p.persica_gdr_reftransV1_0036731")</f>
        <v>p.persica_gdr_reftransV1_0036731</v>
      </c>
      <c r="B8594" s="3">
        <v>2605</v>
      </c>
      <c r="C8594" s="1" t="str">
        <f>HYPERLINK("http://www.uniprot.org/uniprot/MIPEP_ARATH","MIPEP_ARATH")</f>
        <v>MIPEP_ARATH</v>
      </c>
      <c r="D8594" t="s">
        <v>6593</v>
      </c>
      <c r="E8594" s="3" t="s">
        <v>3</v>
      </c>
      <c r="F8594" s="4">
        <v>0</v>
      </c>
      <c r="G8594" s="3">
        <v>2210</v>
      </c>
      <c r="H8594" s="3">
        <v>70</v>
      </c>
      <c r="I8594" s="3">
        <v>588</v>
      </c>
      <c r="J8594" s="3">
        <v>359</v>
      </c>
      <c r="K8594" s="3">
        <v>2116</v>
      </c>
      <c r="L8594" s="3">
        <v>119</v>
      </c>
      <c r="M8594" s="3">
        <v>706</v>
      </c>
    </row>
    <row r="8595" spans="1:13" x14ac:dyDescent="0.25">
      <c r="A8595" s="1" t="str">
        <f>HYPERLINK("http://www.rosaceae.org/Prunus/Prunus_persica/p.persica_gdr_reftransV1_0037231","p.persica_gdr_reftransV1_0037231")</f>
        <v>p.persica_gdr_reftransV1_0037231</v>
      </c>
      <c r="B8595" s="3">
        <v>3058</v>
      </c>
      <c r="C8595" s="1" t="str">
        <f>HYPERLINK("http://www.uniprot.org/uniprot/PLY15_ARATH","PLY15_ARATH")</f>
        <v>PLY15_ARATH</v>
      </c>
      <c r="D8595" t="s">
        <v>2157</v>
      </c>
      <c r="E8595" s="3" t="s">
        <v>3</v>
      </c>
      <c r="F8595" s="4">
        <v>0</v>
      </c>
      <c r="G8595" s="3">
        <v>1711</v>
      </c>
      <c r="H8595" s="3">
        <v>78</v>
      </c>
      <c r="I8595" s="3">
        <v>425</v>
      </c>
      <c r="J8595" s="3">
        <v>810</v>
      </c>
      <c r="K8595" s="3">
        <v>2069</v>
      </c>
      <c r="L8595" s="3">
        <v>82</v>
      </c>
      <c r="M8595" s="3">
        <v>470</v>
      </c>
    </row>
    <row r="8596" spans="1:13" x14ac:dyDescent="0.25">
      <c r="A8596" s="1" t="str">
        <f>HYPERLINK("http://www.rosaceae.org/Prunus/Prunus_persica/p.persica_gdr_reftransV1_0037681","p.persica_gdr_reftransV1_0037681")</f>
        <v>p.persica_gdr_reftransV1_0037681</v>
      </c>
      <c r="B8596" s="3">
        <v>2278</v>
      </c>
      <c r="C8596" s="1" t="str">
        <f>HYPERLINK("http://www.uniprot.org/uniprot/UBP4_ARATH","UBP4_ARATH")</f>
        <v>UBP4_ARATH</v>
      </c>
      <c r="D8596" t="s">
        <v>6594</v>
      </c>
      <c r="E8596" s="3" t="s">
        <v>3</v>
      </c>
      <c r="F8596" s="4">
        <v>3.7499999999999998E-156</v>
      </c>
      <c r="G8596" s="3">
        <v>1197</v>
      </c>
      <c r="H8596" s="3">
        <v>88</v>
      </c>
      <c r="I8596" s="3">
        <v>256</v>
      </c>
      <c r="J8596" s="3">
        <v>1356</v>
      </c>
      <c r="K8596" s="3">
        <v>2120</v>
      </c>
      <c r="L8596" s="3">
        <v>109</v>
      </c>
      <c r="M8596" s="3">
        <v>364</v>
      </c>
    </row>
    <row r="8597" spans="1:13" x14ac:dyDescent="0.25">
      <c r="A8597" s="1" t="str">
        <f>HYPERLINK("http://www.rosaceae.org/Prunus/Prunus_persica/p.persica_gdr_reftransV1_0038331","p.persica_gdr_reftransV1_0038331")</f>
        <v>p.persica_gdr_reftransV1_0038331</v>
      </c>
      <c r="B8597" s="3">
        <v>2264</v>
      </c>
      <c r="C8597" s="1" t="str">
        <f>HYPERLINK("http://www.uniprot.org/uniprot/CPL4_ARATH","CPL4_ARATH")</f>
        <v>CPL4_ARATH</v>
      </c>
      <c r="D8597" t="s">
        <v>6595</v>
      </c>
      <c r="E8597" s="3" t="s">
        <v>3</v>
      </c>
      <c r="F8597" s="4">
        <v>9.0000000000000001E-146</v>
      </c>
      <c r="G8597" s="3">
        <v>1134</v>
      </c>
      <c r="H8597" s="3">
        <v>64</v>
      </c>
      <c r="I8597" s="3">
        <v>390</v>
      </c>
      <c r="J8597" s="3">
        <v>435</v>
      </c>
      <c r="K8597" s="3">
        <v>1595</v>
      </c>
      <c r="L8597" s="3">
        <v>55</v>
      </c>
      <c r="M8597" s="3">
        <v>433</v>
      </c>
    </row>
    <row r="8598" spans="1:13" x14ac:dyDescent="0.25">
      <c r="A8598" s="1" t="str">
        <f>HYPERLINK("http://www.rosaceae.org/Prunus/Prunus_persica/p.persica_gdr_reftransV1_0038931","p.persica_gdr_reftransV1_0038931")</f>
        <v>p.persica_gdr_reftransV1_0038931</v>
      </c>
      <c r="B8598" s="3">
        <v>1835</v>
      </c>
      <c r="C8598" s="1" t="str">
        <f>HYPERLINK("http://www.uniprot.org/uniprot/ERL2B_XENLA","ERL2B_XENLA")</f>
        <v>ERL2B_XENLA</v>
      </c>
      <c r="D8598" t="s">
        <v>6596</v>
      </c>
      <c r="E8598" s="3" t="s">
        <v>475</v>
      </c>
      <c r="F8598" s="4">
        <v>7.4900000000000004E-51</v>
      </c>
      <c r="G8598" s="3">
        <v>466</v>
      </c>
      <c r="H8598" s="3">
        <v>56</v>
      </c>
      <c r="I8598" s="3">
        <v>142</v>
      </c>
      <c r="J8598" s="3">
        <v>1215</v>
      </c>
      <c r="K8598" s="3">
        <v>1640</v>
      </c>
      <c r="L8598" s="3">
        <v>5</v>
      </c>
      <c r="M8598" s="3">
        <v>146</v>
      </c>
    </row>
    <row r="8599" spans="1:13" x14ac:dyDescent="0.25">
      <c r="A8599" s="1" t="str">
        <f>HYPERLINK("http://www.rosaceae.org/Prunus/Prunus_persica/p.persica_gdr_reftransV1_0039131","p.persica_gdr_reftransV1_0039131")</f>
        <v>p.persica_gdr_reftransV1_0039131</v>
      </c>
      <c r="B8599" s="3">
        <v>3567</v>
      </c>
      <c r="C8599" s="1" t="str">
        <f>HYPERLINK("http://www.uniprot.org/uniprot/APK2B_ARATH","APK2B_ARATH")</f>
        <v>APK2B_ARATH</v>
      </c>
      <c r="D8599" t="s">
        <v>6597</v>
      </c>
      <c r="E8599" s="3" t="s">
        <v>3</v>
      </c>
      <c r="F8599" s="4">
        <v>4.6600000000000005E-72</v>
      </c>
      <c r="G8599" s="3">
        <v>642</v>
      </c>
      <c r="H8599" s="3">
        <v>91</v>
      </c>
      <c r="I8599" s="3">
        <v>129</v>
      </c>
      <c r="J8599" s="3">
        <v>1682</v>
      </c>
      <c r="K8599" s="3">
        <v>2068</v>
      </c>
      <c r="L8599" s="3">
        <v>52</v>
      </c>
      <c r="M8599" s="3">
        <v>180</v>
      </c>
    </row>
    <row r="8600" spans="1:13" x14ac:dyDescent="0.25">
      <c r="A8600" s="1" t="str">
        <f>HYPERLINK("http://www.rosaceae.org/Prunus/Prunus_persica/p.persica_gdr_reftransV1_0039231","p.persica_gdr_reftransV1_0039231")</f>
        <v>p.persica_gdr_reftransV1_0039231</v>
      </c>
      <c r="B8600" s="3">
        <v>2245</v>
      </c>
      <c r="C8600" s="1" t="str">
        <f>HYPERLINK("http://www.uniprot.org/uniprot/RQL4A_ARATH","RQL4A_ARATH")</f>
        <v>RQL4A_ARATH</v>
      </c>
      <c r="D8600" t="s">
        <v>1804</v>
      </c>
      <c r="E8600" s="3" t="s">
        <v>3</v>
      </c>
      <c r="F8600" s="4">
        <v>0</v>
      </c>
      <c r="G8600" s="3">
        <v>2166</v>
      </c>
      <c r="H8600" s="3">
        <v>76</v>
      </c>
      <c r="I8600" s="3">
        <v>546</v>
      </c>
      <c r="J8600" s="3">
        <v>1</v>
      </c>
      <c r="K8600" s="3">
        <v>1638</v>
      </c>
      <c r="L8600" s="3">
        <v>556</v>
      </c>
      <c r="M8600" s="3">
        <v>1098</v>
      </c>
    </row>
    <row r="8601" spans="1:13" x14ac:dyDescent="0.25">
      <c r="A8601" s="1" t="str">
        <f>HYPERLINK("http://www.rosaceae.org/Prunus/Prunus_persica/p.persica_gdr_reftransV1_0039831","p.persica_gdr_reftransV1_0039831")</f>
        <v>p.persica_gdr_reftransV1_0039831</v>
      </c>
      <c r="B8601" s="3">
        <v>3312</v>
      </c>
      <c r="C8601" s="1" t="str">
        <f>HYPERLINK("http://www.uniprot.org/uniprot/TBCE_ARATH","TBCE_ARATH")</f>
        <v>TBCE_ARATH</v>
      </c>
      <c r="D8601" t="s">
        <v>6598</v>
      </c>
      <c r="E8601" s="3" t="s">
        <v>3</v>
      </c>
      <c r="F8601" s="4">
        <v>1.3599999999999999E-158</v>
      </c>
      <c r="G8601" s="3">
        <v>1256</v>
      </c>
      <c r="H8601" s="3">
        <v>66</v>
      </c>
      <c r="I8601" s="3">
        <v>380</v>
      </c>
      <c r="J8601" s="3">
        <v>407</v>
      </c>
      <c r="K8601" s="3">
        <v>1543</v>
      </c>
      <c r="L8601" s="3">
        <v>10</v>
      </c>
      <c r="M8601" s="3">
        <v>381</v>
      </c>
    </row>
    <row r="8602" spans="1:13" x14ac:dyDescent="0.25">
      <c r="A8602" s="1" t="str">
        <f>HYPERLINK("http://www.rosaceae.org/Prunus/Prunus_persica/p.persica_gdr_reftransV1_0039981","p.persica_gdr_reftransV1_0039981")</f>
        <v>p.persica_gdr_reftransV1_0039981</v>
      </c>
      <c r="B8602" s="3">
        <v>3053</v>
      </c>
      <c r="C8602" s="1" t="str">
        <f>HYPERLINK("http://www.uniprot.org/uniprot/CCR4F_ARATH","CCR4F_ARATH")</f>
        <v>CCR4F_ARATH</v>
      </c>
      <c r="D8602" t="s">
        <v>6599</v>
      </c>
      <c r="E8602" s="3" t="s">
        <v>3</v>
      </c>
      <c r="F8602" s="4">
        <v>5.5099999999999997E-122</v>
      </c>
      <c r="G8602" s="3">
        <v>1020</v>
      </c>
      <c r="H8602" s="3">
        <v>68</v>
      </c>
      <c r="I8602" s="3">
        <v>268</v>
      </c>
      <c r="J8602" s="3">
        <v>1691</v>
      </c>
      <c r="K8602" s="3">
        <v>2485</v>
      </c>
      <c r="L8602" s="3">
        <v>162</v>
      </c>
      <c r="M8602" s="3">
        <v>429</v>
      </c>
    </row>
    <row r="8603" spans="1:13" x14ac:dyDescent="0.25">
      <c r="A8603" s="1" t="str">
        <f>HYPERLINK("http://www.rosaceae.org/Prunus/Prunus_persica/p.persica_gdr_reftransV1_0040181","p.persica_gdr_reftransV1_0040181")</f>
        <v>p.persica_gdr_reftransV1_0040181</v>
      </c>
      <c r="B8603" s="3">
        <v>3044</v>
      </c>
      <c r="C8603" s="1" t="str">
        <f>HYPERLINK("http://www.uniprot.org/uniprot/MIND1_ARATH","MIND1_ARATH")</f>
        <v>MIND1_ARATH</v>
      </c>
      <c r="D8603" t="s">
        <v>6600</v>
      </c>
      <c r="E8603" s="3" t="s">
        <v>3</v>
      </c>
      <c r="F8603" s="4">
        <v>5.9199999999999998E-145</v>
      </c>
      <c r="G8603" s="3">
        <v>1137</v>
      </c>
      <c r="H8603" s="3">
        <v>90</v>
      </c>
      <c r="I8603" s="3">
        <v>285</v>
      </c>
      <c r="J8603" s="3">
        <v>375</v>
      </c>
      <c r="K8603" s="3">
        <v>1229</v>
      </c>
      <c r="L8603" s="3">
        <v>34</v>
      </c>
      <c r="M8603" s="3">
        <v>318</v>
      </c>
    </row>
    <row r="8604" spans="1:13" x14ac:dyDescent="0.25">
      <c r="A8604" s="1" t="str">
        <f>HYPERLINK("http://www.rosaceae.org/Prunus/Prunus_persica/p.persica_gdr_reftransV1_0040281","p.persica_gdr_reftransV1_0040281")</f>
        <v>p.persica_gdr_reftransV1_0040281</v>
      </c>
      <c r="B8604" s="3">
        <v>1895</v>
      </c>
      <c r="C8604" s="1" t="str">
        <f>HYPERLINK("http://www.uniprot.org/uniprot/KCS11_ARATH","KCS11_ARATH")</f>
        <v>KCS11_ARATH</v>
      </c>
      <c r="D8604" t="s">
        <v>6601</v>
      </c>
      <c r="E8604" s="3" t="s">
        <v>3</v>
      </c>
      <c r="F8604" s="4">
        <v>0</v>
      </c>
      <c r="G8604" s="3">
        <v>2358</v>
      </c>
      <c r="H8604" s="3">
        <v>86</v>
      </c>
      <c r="I8604" s="3">
        <v>494</v>
      </c>
      <c r="J8604" s="3">
        <v>26</v>
      </c>
      <c r="K8604" s="3">
        <v>1507</v>
      </c>
      <c r="L8604" s="3">
        <v>15</v>
      </c>
      <c r="M8604" s="3">
        <v>508</v>
      </c>
    </row>
    <row r="8605" spans="1:13" x14ac:dyDescent="0.25">
      <c r="A8605" s="1" t="str">
        <f>HYPERLINK("http://www.rosaceae.org/Prunus/Prunus_persica/p.persica_gdr_reftransV1_0040331","p.persica_gdr_reftransV1_0040331")</f>
        <v>p.persica_gdr_reftransV1_0040331</v>
      </c>
      <c r="B8605" s="3">
        <v>3251</v>
      </c>
      <c r="C8605" s="1" t="str">
        <f>HYPERLINK("http://www.uniprot.org/uniprot/XRN2_ARATH","XRN2_ARATH")</f>
        <v>XRN2_ARATH</v>
      </c>
      <c r="D8605" t="s">
        <v>6602</v>
      </c>
      <c r="E8605" s="3" t="s">
        <v>3</v>
      </c>
      <c r="F8605" s="4">
        <v>0</v>
      </c>
      <c r="G8605" s="3">
        <v>1723</v>
      </c>
      <c r="H8605" s="3">
        <v>47</v>
      </c>
      <c r="I8605" s="3">
        <v>833</v>
      </c>
      <c r="J8605" s="3">
        <v>919</v>
      </c>
      <c r="K8605" s="3">
        <v>3216</v>
      </c>
      <c r="L8605" s="3">
        <v>1</v>
      </c>
      <c r="M8605" s="3">
        <v>816</v>
      </c>
    </row>
    <row r="8606" spans="1:13" x14ac:dyDescent="0.25">
      <c r="A8606" s="1" t="str">
        <f>HYPERLINK("http://www.rosaceae.org/Prunus/Prunus_persica/p.persica_gdr_reftransV1_0040481","p.persica_gdr_reftransV1_0040481")</f>
        <v>p.persica_gdr_reftransV1_0040481</v>
      </c>
      <c r="B8606" s="3">
        <v>1897</v>
      </c>
      <c r="C8606" s="1" t="str">
        <f>HYPERLINK("http://www.uniprot.org/uniprot/C04C1_PINTA","C04C1_PINTA")</f>
        <v>C04C1_PINTA</v>
      </c>
      <c r="D8606" t="s">
        <v>2983</v>
      </c>
      <c r="E8606" s="3" t="s">
        <v>1</v>
      </c>
      <c r="F8606" s="4">
        <v>2.15E-166</v>
      </c>
      <c r="G8606" s="3">
        <v>1268</v>
      </c>
      <c r="H8606" s="3">
        <v>50</v>
      </c>
      <c r="I8606" s="3">
        <v>482</v>
      </c>
      <c r="J8606" s="3">
        <v>239</v>
      </c>
      <c r="K8606" s="3">
        <v>1645</v>
      </c>
      <c r="L8606" s="3">
        <v>36</v>
      </c>
      <c r="M8606" s="3">
        <v>514</v>
      </c>
    </row>
    <row r="8607" spans="1:13" x14ac:dyDescent="0.25">
      <c r="A8607" s="1" t="str">
        <f>HYPERLINK("http://www.rosaceae.org/Prunus/Prunus_persica/p.persica_gdr_reftransV1_0040581","p.persica_gdr_reftransV1_0040581")</f>
        <v>p.persica_gdr_reftransV1_0040581</v>
      </c>
      <c r="B8607" s="3">
        <v>3991</v>
      </c>
      <c r="C8607" s="1" t="str">
        <f>HYPERLINK("http://www.uniprot.org/uniprot/RKF1_ARATH","RKF1_ARATH")</f>
        <v>RKF1_ARATH</v>
      </c>
      <c r="D8607" t="s">
        <v>4071</v>
      </c>
      <c r="E8607" s="3" t="s">
        <v>3</v>
      </c>
      <c r="F8607" s="4">
        <v>0</v>
      </c>
      <c r="G8607" s="3">
        <v>1891</v>
      </c>
      <c r="H8607" s="3">
        <v>44</v>
      </c>
      <c r="I8607" s="3">
        <v>975</v>
      </c>
      <c r="J8607" s="3">
        <v>223</v>
      </c>
      <c r="K8607" s="3">
        <v>3111</v>
      </c>
      <c r="L8607" s="3">
        <v>23</v>
      </c>
      <c r="M8607" s="3">
        <v>901</v>
      </c>
    </row>
    <row r="8608" spans="1:13" x14ac:dyDescent="0.25">
      <c r="A8608" s="1" t="str">
        <f>HYPERLINK("http://www.rosaceae.org/Prunus/Prunus_persica/p.persica_gdr_reftransV1_0040981","p.persica_gdr_reftransV1_0040981")</f>
        <v>p.persica_gdr_reftransV1_0040981</v>
      </c>
      <c r="B8608" s="3">
        <v>1582</v>
      </c>
      <c r="C8608" s="1" t="str">
        <f>HYPERLINK("http://www.uniprot.org/uniprot/BASS4_ARATH","BASS4_ARATH")</f>
        <v>BASS4_ARATH</v>
      </c>
      <c r="D8608" t="s">
        <v>6603</v>
      </c>
      <c r="E8608" s="3" t="s">
        <v>3</v>
      </c>
      <c r="F8608" s="4">
        <v>2.75E-130</v>
      </c>
      <c r="G8608" s="3">
        <v>1010</v>
      </c>
      <c r="H8608" s="3">
        <v>64</v>
      </c>
      <c r="I8608" s="3">
        <v>398</v>
      </c>
      <c r="J8608" s="3">
        <v>269</v>
      </c>
      <c r="K8608" s="3">
        <v>1393</v>
      </c>
      <c r="L8608" s="3">
        <v>40</v>
      </c>
      <c r="M8608" s="3">
        <v>433</v>
      </c>
    </row>
    <row r="8609" spans="1:13" x14ac:dyDescent="0.25">
      <c r="A8609" s="1" t="str">
        <f>HYPERLINK("http://www.rosaceae.org/Prunus/Prunus_persica/p.persica_gdr_reftransV1_0041281","p.persica_gdr_reftransV1_0041281")</f>
        <v>p.persica_gdr_reftransV1_0041281</v>
      </c>
      <c r="B8609" s="3">
        <v>3223</v>
      </c>
      <c r="C8609" s="1" t="str">
        <f>HYPERLINK("http://www.uniprot.org/uniprot/LHY_ARATH","LHY_ARATH")</f>
        <v>LHY_ARATH</v>
      </c>
      <c r="D8609" t="s">
        <v>77</v>
      </c>
      <c r="E8609" s="3" t="s">
        <v>3</v>
      </c>
      <c r="F8609" s="4">
        <v>5.4900000000000001E-61</v>
      </c>
      <c r="G8609" s="3">
        <v>573</v>
      </c>
      <c r="H8609" s="3">
        <v>45</v>
      </c>
      <c r="I8609" s="3">
        <v>493</v>
      </c>
      <c r="J8609" s="3">
        <v>734</v>
      </c>
      <c r="K8609" s="3">
        <v>2191</v>
      </c>
      <c r="L8609" s="3">
        <v>1</v>
      </c>
      <c r="M8609" s="3">
        <v>395</v>
      </c>
    </row>
    <row r="8610" spans="1:13" x14ac:dyDescent="0.25">
      <c r="A8610" s="1" t="str">
        <f>HYPERLINK("http://www.rosaceae.org/Prunus/Prunus_persica/p.persica_gdr_reftransV1_0041531","p.persica_gdr_reftransV1_0041531")</f>
        <v>p.persica_gdr_reftransV1_0041531</v>
      </c>
      <c r="B8610" s="3">
        <v>3370</v>
      </c>
      <c r="C8610" s="1" t="str">
        <f>HYPERLINK("http://www.uniprot.org/uniprot/PER53_ARATH","PER53_ARATH")</f>
        <v>PER53_ARATH</v>
      </c>
      <c r="D8610" t="s">
        <v>6604</v>
      </c>
      <c r="E8610" s="3" t="s">
        <v>3</v>
      </c>
      <c r="F8610" s="4">
        <v>3.8300000000000001E-147</v>
      </c>
      <c r="G8610" s="3">
        <v>1160</v>
      </c>
      <c r="H8610" s="3">
        <v>77</v>
      </c>
      <c r="I8610" s="3">
        <v>318</v>
      </c>
      <c r="J8610" s="3">
        <v>64</v>
      </c>
      <c r="K8610" s="3">
        <v>1017</v>
      </c>
      <c r="L8610" s="3">
        <v>18</v>
      </c>
      <c r="M8610" s="3">
        <v>334</v>
      </c>
    </row>
    <row r="8611" spans="1:13" x14ac:dyDescent="0.25">
      <c r="A8611" s="1" t="str">
        <f>HYPERLINK("http://www.rosaceae.org/Prunus/Prunus_persica/p.persica_gdr_reftransV1_0041581","p.persica_gdr_reftransV1_0041581")</f>
        <v>p.persica_gdr_reftransV1_0041581</v>
      </c>
      <c r="B8611" s="3">
        <v>2266</v>
      </c>
      <c r="C8611" s="1" t="str">
        <f>HYPERLINK("http://www.uniprot.org/uniprot/P2C06_ARATH","P2C06_ARATH")</f>
        <v>P2C06_ARATH</v>
      </c>
      <c r="D8611" t="s">
        <v>6605</v>
      </c>
      <c r="E8611" s="3" t="s">
        <v>3</v>
      </c>
      <c r="F8611" s="4">
        <v>0</v>
      </c>
      <c r="G8611" s="3">
        <v>1582</v>
      </c>
      <c r="H8611" s="3">
        <v>63</v>
      </c>
      <c r="I8611" s="3">
        <v>488</v>
      </c>
      <c r="J8611" s="3">
        <v>569</v>
      </c>
      <c r="K8611" s="3">
        <v>2023</v>
      </c>
      <c r="L8611" s="3">
        <v>28</v>
      </c>
      <c r="M8611" s="3">
        <v>491</v>
      </c>
    </row>
    <row r="8612" spans="1:13" x14ac:dyDescent="0.25">
      <c r="A8612" s="1" t="str">
        <f>HYPERLINK("http://www.rosaceae.org/Prunus/Prunus_persica/p.persica_gdr_reftransV1_0041631","p.persica_gdr_reftransV1_0041631")</f>
        <v>p.persica_gdr_reftransV1_0041631</v>
      </c>
      <c r="B8612" s="3">
        <v>3166</v>
      </c>
      <c r="C8612" s="1" t="str">
        <f>HYPERLINK("http://www.uniprot.org/uniprot/BH049_ARATH","BH049_ARATH")</f>
        <v>BH049_ARATH</v>
      </c>
      <c r="D8612" t="s">
        <v>6606</v>
      </c>
      <c r="E8612" s="3" t="s">
        <v>3</v>
      </c>
      <c r="F8612" s="4">
        <v>7.2700000000000004E-119</v>
      </c>
      <c r="G8612" s="3">
        <v>978</v>
      </c>
      <c r="H8612" s="3">
        <v>47</v>
      </c>
      <c r="I8612" s="3">
        <v>521</v>
      </c>
      <c r="J8612" s="3">
        <v>739</v>
      </c>
      <c r="K8612" s="3">
        <v>2286</v>
      </c>
      <c r="L8612" s="3">
        <v>1</v>
      </c>
      <c r="M8612" s="3">
        <v>441</v>
      </c>
    </row>
    <row r="8613" spans="1:13" x14ac:dyDescent="0.25">
      <c r="A8613" s="1" t="str">
        <f>HYPERLINK("http://www.rosaceae.org/Prunus/Prunus_persica/p.persica_gdr_reftransV1_0041731","p.persica_gdr_reftransV1_0041731")</f>
        <v>p.persica_gdr_reftransV1_0041731</v>
      </c>
      <c r="B8613" s="3">
        <v>2912</v>
      </c>
      <c r="C8613" s="1" t="str">
        <f>HYPERLINK("http://www.uniprot.org/uniprot/Y1839_ARATH","Y1839_ARATH")</f>
        <v>Y1839_ARATH</v>
      </c>
      <c r="D8613" t="s">
        <v>3075</v>
      </c>
      <c r="E8613" s="3" t="s">
        <v>3</v>
      </c>
      <c r="F8613" s="4">
        <v>2.2E-153</v>
      </c>
      <c r="G8613" s="3">
        <v>1223</v>
      </c>
      <c r="H8613" s="3">
        <v>64</v>
      </c>
      <c r="I8613" s="3">
        <v>361</v>
      </c>
      <c r="J8613" s="3">
        <v>1450</v>
      </c>
      <c r="K8613" s="3">
        <v>2523</v>
      </c>
      <c r="L8613" s="3">
        <v>267</v>
      </c>
      <c r="M8613" s="3">
        <v>627</v>
      </c>
    </row>
    <row r="8614" spans="1:13" x14ac:dyDescent="0.25">
      <c r="A8614" s="1" t="str">
        <f>HYPERLINK("http://www.rosaceae.org/Prunus/Prunus_persica/p.persica_gdr_reftransV1_0041781","p.persica_gdr_reftransV1_0041781")</f>
        <v>p.persica_gdr_reftransV1_0041781</v>
      </c>
      <c r="B8614" s="3">
        <v>3376</v>
      </c>
      <c r="C8614" s="1" t="str">
        <f>HYPERLINK("http://www.uniprot.org/uniprot/Y5126_ARATH","Y5126_ARATH")</f>
        <v>Y5126_ARATH</v>
      </c>
      <c r="D8614" t="s">
        <v>4301</v>
      </c>
      <c r="E8614" s="3" t="s">
        <v>3</v>
      </c>
      <c r="F8614" s="4">
        <v>1.14E-55</v>
      </c>
      <c r="G8614" s="3">
        <v>525</v>
      </c>
      <c r="H8614" s="3">
        <v>57</v>
      </c>
      <c r="I8614" s="3">
        <v>180</v>
      </c>
      <c r="J8614" s="3">
        <v>1892</v>
      </c>
      <c r="K8614" s="3">
        <v>2431</v>
      </c>
      <c r="L8614" s="3">
        <v>256</v>
      </c>
      <c r="M8614" s="3">
        <v>432</v>
      </c>
    </row>
    <row r="8615" spans="1:13" x14ac:dyDescent="0.25">
      <c r="A8615" s="1" t="str">
        <f>HYPERLINK("http://www.rosaceae.org/Prunus/Prunus_persica/p.persica_gdr_reftransV1_0042581","p.persica_gdr_reftransV1_0042581")</f>
        <v>p.persica_gdr_reftransV1_0042581</v>
      </c>
      <c r="B8615" s="3">
        <v>2075</v>
      </c>
      <c r="C8615" s="1" t="str">
        <f>HYPERLINK("http://www.uniprot.org/uniprot/VPS4_ARATH","VPS4_ARATH")</f>
        <v>VPS4_ARATH</v>
      </c>
      <c r="D8615" t="s">
        <v>6607</v>
      </c>
      <c r="E8615" s="3" t="s">
        <v>3</v>
      </c>
      <c r="F8615" s="4">
        <v>0</v>
      </c>
      <c r="G8615" s="3">
        <v>2027</v>
      </c>
      <c r="H8615" s="3">
        <v>89</v>
      </c>
      <c r="I8615" s="3">
        <v>435</v>
      </c>
      <c r="J8615" s="3">
        <v>472</v>
      </c>
      <c r="K8615" s="3">
        <v>1770</v>
      </c>
      <c r="L8615" s="3">
        <v>1</v>
      </c>
      <c r="M8615" s="3">
        <v>435</v>
      </c>
    </row>
    <row r="8616" spans="1:13" x14ac:dyDescent="0.25">
      <c r="A8616" s="1" t="str">
        <f>HYPERLINK("http://www.rosaceae.org/Prunus/Prunus_persica/p.persica_gdr_reftransV1_0042631","p.persica_gdr_reftransV1_0042631")</f>
        <v>p.persica_gdr_reftransV1_0042631</v>
      </c>
      <c r="B8616" s="3">
        <v>853</v>
      </c>
      <c r="C8616" s="1" t="str">
        <f>HYPERLINK("http://www.uniprot.org/uniprot/NUDC2_MOUSE","NUDC2_MOUSE")</f>
        <v>NUDC2_MOUSE</v>
      </c>
      <c r="D8616" t="s">
        <v>6608</v>
      </c>
      <c r="E8616" s="3" t="s">
        <v>157</v>
      </c>
      <c r="F8616" s="4">
        <v>1.64E-21</v>
      </c>
      <c r="G8616" s="3">
        <v>230</v>
      </c>
      <c r="H8616" s="3">
        <v>38</v>
      </c>
      <c r="I8616" s="3">
        <v>147</v>
      </c>
      <c r="J8616" s="3">
        <v>331</v>
      </c>
      <c r="K8616" s="3">
        <v>750</v>
      </c>
      <c r="L8616" s="3">
        <v>6</v>
      </c>
      <c r="M8616" s="3">
        <v>151</v>
      </c>
    </row>
    <row r="8617" spans="1:13" x14ac:dyDescent="0.25">
      <c r="A8617" s="1" t="str">
        <f>HYPERLINK("http://www.rosaceae.org/Prunus/Prunus_persica/p.persica_gdr_reftransV1_0042681","p.persica_gdr_reftransV1_0042681")</f>
        <v>p.persica_gdr_reftransV1_0042681</v>
      </c>
      <c r="B8617" s="3">
        <v>1227</v>
      </c>
      <c r="C8617" s="1" t="str">
        <f>HYPERLINK("http://www.uniprot.org/uniprot/DOF56_ARATH","DOF56_ARATH")</f>
        <v>DOF56_ARATH</v>
      </c>
      <c r="D8617" t="s">
        <v>6609</v>
      </c>
      <c r="E8617" s="3" t="s">
        <v>3</v>
      </c>
      <c r="F8617" s="4">
        <v>2.6399999999999999E-38</v>
      </c>
      <c r="G8617" s="3">
        <v>370</v>
      </c>
      <c r="H8617" s="3">
        <v>43</v>
      </c>
      <c r="I8617" s="3">
        <v>309</v>
      </c>
      <c r="J8617" s="3">
        <v>9</v>
      </c>
      <c r="K8617" s="3">
        <v>821</v>
      </c>
      <c r="L8617" s="3">
        <v>74</v>
      </c>
      <c r="M8617" s="3">
        <v>372</v>
      </c>
    </row>
    <row r="8618" spans="1:13" x14ac:dyDescent="0.25">
      <c r="A8618" s="1" t="str">
        <f>HYPERLINK("http://www.rosaceae.org/Prunus/Prunus_persica/p.persica_gdr_reftransV1_0043031","p.persica_gdr_reftransV1_0043031")</f>
        <v>p.persica_gdr_reftransV1_0043031</v>
      </c>
      <c r="B8618" s="3">
        <v>300</v>
      </c>
      <c r="C8618" s="1" t="str">
        <f>HYPERLINK("http://www.uniprot.org/uniprot/GGLO1_ARATH","GGLO1_ARATH")</f>
        <v>GGLO1_ARATH</v>
      </c>
      <c r="D8618" t="s">
        <v>6610</v>
      </c>
      <c r="E8618" s="3" t="s">
        <v>3</v>
      </c>
      <c r="F8618" s="4">
        <v>1.4E-38</v>
      </c>
      <c r="G8618" s="3">
        <v>351</v>
      </c>
      <c r="H8618" s="3">
        <v>67</v>
      </c>
      <c r="I8618" s="3">
        <v>100</v>
      </c>
      <c r="J8618" s="3">
        <v>3</v>
      </c>
      <c r="K8618" s="3">
        <v>296</v>
      </c>
      <c r="L8618" s="3">
        <v>167</v>
      </c>
      <c r="M8618" s="3">
        <v>266</v>
      </c>
    </row>
    <row r="8619" spans="1:13" x14ac:dyDescent="0.25">
      <c r="A8619" s="1" t="str">
        <f>HYPERLINK("http://www.rosaceae.org/Prunus/Prunus_persica/p.persica_gdr_reftransV1_0043081","p.persica_gdr_reftransV1_0043081")</f>
        <v>p.persica_gdr_reftransV1_0043081</v>
      </c>
      <c r="B8619" s="3">
        <v>1427</v>
      </c>
      <c r="C8619" s="1" t="str">
        <f>HYPERLINK("http://www.uniprot.org/uniprot/BLH9_ARATH","BLH9_ARATH")</f>
        <v>BLH9_ARATH</v>
      </c>
      <c r="D8619" t="s">
        <v>2617</v>
      </c>
      <c r="E8619" s="3" t="s">
        <v>3</v>
      </c>
      <c r="F8619" s="4">
        <v>4.3100000000000003E-68</v>
      </c>
      <c r="G8619" s="3">
        <v>596</v>
      </c>
      <c r="H8619" s="3">
        <v>49</v>
      </c>
      <c r="I8619" s="3">
        <v>269</v>
      </c>
      <c r="J8619" s="3">
        <v>344</v>
      </c>
      <c r="K8619" s="3">
        <v>1072</v>
      </c>
      <c r="L8619" s="3">
        <v>156</v>
      </c>
      <c r="M8619" s="3">
        <v>419</v>
      </c>
    </row>
    <row r="8620" spans="1:13" x14ac:dyDescent="0.25">
      <c r="A8620" s="1" t="str">
        <f>HYPERLINK("http://www.rosaceae.org/Prunus/Prunus_persica/p.persica_gdr_reftransV1_0043131","p.persica_gdr_reftransV1_0043131")</f>
        <v>p.persica_gdr_reftransV1_0043131</v>
      </c>
      <c r="B8620" s="3">
        <v>4038</v>
      </c>
      <c r="C8620" s="1" t="str">
        <f>HYPERLINK("http://www.uniprot.org/uniprot/LHW_ARATH","LHW_ARATH")</f>
        <v>LHW_ARATH</v>
      </c>
      <c r="D8620" t="s">
        <v>2023</v>
      </c>
      <c r="E8620" s="3" t="s">
        <v>3</v>
      </c>
      <c r="F8620" s="4">
        <v>3.33E-109</v>
      </c>
      <c r="G8620" s="3">
        <v>937</v>
      </c>
      <c r="H8620" s="3">
        <v>53</v>
      </c>
      <c r="I8620" s="3">
        <v>419</v>
      </c>
      <c r="J8620" s="3">
        <v>708</v>
      </c>
      <c r="K8620" s="3">
        <v>1934</v>
      </c>
      <c r="L8620" s="3">
        <v>275</v>
      </c>
      <c r="M8620" s="3">
        <v>640</v>
      </c>
    </row>
    <row r="8621" spans="1:13" x14ac:dyDescent="0.25">
      <c r="A8621" s="1" t="str">
        <f>HYPERLINK("http://www.rosaceae.org/Prunus/Prunus_persica/p.persica_gdr_reftransV1_0043231","p.persica_gdr_reftransV1_0043231")</f>
        <v>p.persica_gdr_reftransV1_0043231</v>
      </c>
      <c r="B8621" s="3">
        <v>2366</v>
      </c>
      <c r="C8621" s="1" t="str">
        <f>HYPERLINK("http://www.uniprot.org/uniprot/Y1461_ARATH","Y1461_ARATH")</f>
        <v>Y1461_ARATH</v>
      </c>
      <c r="D8621" t="s">
        <v>392</v>
      </c>
      <c r="E8621" s="3" t="s">
        <v>3</v>
      </c>
      <c r="F8621" s="4">
        <v>0</v>
      </c>
      <c r="G8621" s="3">
        <v>1600</v>
      </c>
      <c r="H8621" s="3">
        <v>71</v>
      </c>
      <c r="I8621" s="3">
        <v>424</v>
      </c>
      <c r="J8621" s="3">
        <v>522</v>
      </c>
      <c r="K8621" s="3">
        <v>1790</v>
      </c>
      <c r="L8621" s="3">
        <v>94</v>
      </c>
      <c r="M8621" s="3">
        <v>515</v>
      </c>
    </row>
    <row r="8622" spans="1:13" x14ac:dyDescent="0.25">
      <c r="A8622" s="1" t="str">
        <f>HYPERLINK("http://www.rosaceae.org/Prunus/Prunus_persica/p.persica_gdr_reftransV1_0043281","p.persica_gdr_reftransV1_0043281")</f>
        <v>p.persica_gdr_reftransV1_0043281</v>
      </c>
      <c r="B8622" s="3">
        <v>512</v>
      </c>
      <c r="C8622" s="1" t="str">
        <f>HYPERLINK("http://www.uniprot.org/uniprot/TLP1_PRUPE","TLP1_PRUPE")</f>
        <v>TLP1_PRUPE</v>
      </c>
      <c r="D8622" t="s">
        <v>3178</v>
      </c>
      <c r="E8622" s="3" t="s">
        <v>784</v>
      </c>
      <c r="F8622" s="4">
        <v>2.7200000000000002E-72</v>
      </c>
      <c r="G8622" s="3">
        <v>571</v>
      </c>
      <c r="H8622" s="3">
        <v>97</v>
      </c>
      <c r="I8622" s="3">
        <v>114</v>
      </c>
      <c r="J8622" s="3">
        <v>15</v>
      </c>
      <c r="K8622" s="3">
        <v>356</v>
      </c>
      <c r="L8622" s="3">
        <v>133</v>
      </c>
      <c r="M8622" s="3">
        <v>246</v>
      </c>
    </row>
    <row r="8623" spans="1:13" x14ac:dyDescent="0.25">
      <c r="A8623" s="1" t="str">
        <f>HYPERLINK("http://www.rosaceae.org/Prunus/Prunus_persica/p.persica_gdr_reftransV1_0043381","p.persica_gdr_reftransV1_0043381")</f>
        <v>p.persica_gdr_reftransV1_0043381</v>
      </c>
      <c r="B8623" s="3">
        <v>661</v>
      </c>
      <c r="C8623" s="1" t="str">
        <f>HYPERLINK("http://www.uniprot.org/uniprot/QKY_ARATH","QKY_ARATH")</f>
        <v>QKY_ARATH</v>
      </c>
      <c r="D8623" t="s">
        <v>707</v>
      </c>
      <c r="E8623" s="3" t="s">
        <v>3</v>
      </c>
      <c r="F8623" s="4">
        <v>7.2700000000000003E-31</v>
      </c>
      <c r="G8623" s="3">
        <v>313</v>
      </c>
      <c r="H8623" s="3">
        <v>45</v>
      </c>
      <c r="I8623" s="3">
        <v>132</v>
      </c>
      <c r="J8623" s="3">
        <v>69</v>
      </c>
      <c r="K8623" s="3">
        <v>452</v>
      </c>
      <c r="L8623" s="3">
        <v>18</v>
      </c>
      <c r="M8623" s="3">
        <v>149</v>
      </c>
    </row>
    <row r="8624" spans="1:13" x14ac:dyDescent="0.25">
      <c r="A8624" s="1" t="str">
        <f>HYPERLINK("http://www.rosaceae.org/Prunus/Prunus_persica/p.persica_gdr_reftransV1_0043531","p.persica_gdr_reftransV1_0043531")</f>
        <v>p.persica_gdr_reftransV1_0043531</v>
      </c>
      <c r="B8624" s="3">
        <v>2196</v>
      </c>
      <c r="C8624" s="1" t="str">
        <f>HYPERLINK("http://www.uniprot.org/uniprot/FEI1_ARATH","FEI1_ARATH")</f>
        <v>FEI1_ARATH</v>
      </c>
      <c r="D8624" t="s">
        <v>4906</v>
      </c>
      <c r="E8624" s="3" t="s">
        <v>3</v>
      </c>
      <c r="F8624" s="4">
        <v>0</v>
      </c>
      <c r="G8624" s="3">
        <v>1554</v>
      </c>
      <c r="H8624" s="3">
        <v>52</v>
      </c>
      <c r="I8624" s="3">
        <v>580</v>
      </c>
      <c r="J8624" s="3">
        <v>195</v>
      </c>
      <c r="K8624" s="3">
        <v>1931</v>
      </c>
      <c r="L8624" s="3">
        <v>27</v>
      </c>
      <c r="M8624" s="3">
        <v>591</v>
      </c>
    </row>
    <row r="8625" spans="1:13" x14ac:dyDescent="0.25">
      <c r="A8625" s="1" t="str">
        <f>HYPERLINK("http://www.rosaceae.org/Prunus/Prunus_persica/p.persica_gdr_reftransV1_0043581","p.persica_gdr_reftransV1_0043581")</f>
        <v>p.persica_gdr_reftransV1_0043581</v>
      </c>
      <c r="B8625" s="3">
        <v>527</v>
      </c>
      <c r="C8625" s="1" t="str">
        <f>HYPERLINK("http://www.uniprot.org/uniprot/U76F1_ARATH","U76F1_ARATH")</f>
        <v>U76F1_ARATH</v>
      </c>
      <c r="D8625" t="s">
        <v>6611</v>
      </c>
      <c r="E8625" s="3" t="s">
        <v>3</v>
      </c>
      <c r="F8625" s="4">
        <v>5.9400000000000001E-40</v>
      </c>
      <c r="G8625" s="3">
        <v>367</v>
      </c>
      <c r="H8625" s="3">
        <v>50</v>
      </c>
      <c r="I8625" s="3">
        <v>167</v>
      </c>
      <c r="J8625" s="3">
        <v>21</v>
      </c>
      <c r="K8625" s="3">
        <v>518</v>
      </c>
      <c r="L8625" s="3">
        <v>80</v>
      </c>
      <c r="M8625" s="3">
        <v>243</v>
      </c>
    </row>
    <row r="8626" spans="1:13" x14ac:dyDescent="0.25">
      <c r="A8626" s="1" t="str">
        <f>HYPERLINK("http://www.rosaceae.org/Prunus/Prunus_persica/p.persica_gdr_reftransV1_0043631","p.persica_gdr_reftransV1_0043631")</f>
        <v>p.persica_gdr_reftransV1_0043631</v>
      </c>
      <c r="B8626" s="3">
        <v>1066</v>
      </c>
      <c r="C8626" s="1" t="str">
        <f>HYPERLINK("http://www.uniprot.org/uniprot/Y1208_ORYSJ","Y1208_ORYSJ")</f>
        <v>Y1208_ORYSJ</v>
      </c>
      <c r="D8626" t="s">
        <v>6612</v>
      </c>
      <c r="E8626" s="3" t="s">
        <v>38</v>
      </c>
      <c r="F8626" s="4">
        <v>1.9800000000000001E-20</v>
      </c>
      <c r="G8626" s="3">
        <v>237</v>
      </c>
      <c r="H8626" s="3">
        <v>26</v>
      </c>
      <c r="I8626" s="3">
        <v>292</v>
      </c>
      <c r="J8626" s="3">
        <v>146</v>
      </c>
      <c r="K8626" s="3">
        <v>901</v>
      </c>
      <c r="L8626" s="3">
        <v>26</v>
      </c>
      <c r="M8626" s="3">
        <v>316</v>
      </c>
    </row>
    <row r="8627" spans="1:13" x14ac:dyDescent="0.25">
      <c r="A8627" s="1" t="str">
        <f>HYPERLINK("http://www.rosaceae.org/Prunus/Prunus_persica/p.persica_gdr_reftransV1_0043681","p.persica_gdr_reftransV1_0043681")</f>
        <v>p.persica_gdr_reftransV1_0043681</v>
      </c>
      <c r="B8627" s="3">
        <v>2083</v>
      </c>
      <c r="C8627" s="1" t="str">
        <f>HYPERLINK("http://www.uniprot.org/uniprot/TCPZA_ARATH","TCPZA_ARATH")</f>
        <v>TCPZA_ARATH</v>
      </c>
      <c r="D8627" t="s">
        <v>6613</v>
      </c>
      <c r="E8627" s="3" t="s">
        <v>3</v>
      </c>
      <c r="F8627" s="4">
        <v>0</v>
      </c>
      <c r="G8627" s="3">
        <v>2532</v>
      </c>
      <c r="H8627" s="3">
        <v>91</v>
      </c>
      <c r="I8627" s="3">
        <v>535</v>
      </c>
      <c r="J8627" s="3">
        <v>352</v>
      </c>
      <c r="K8627" s="3">
        <v>1956</v>
      </c>
      <c r="L8627" s="3">
        <v>1</v>
      </c>
      <c r="M8627" s="3">
        <v>535</v>
      </c>
    </row>
    <row r="8628" spans="1:13" x14ac:dyDescent="0.25">
      <c r="A8628" s="1" t="str">
        <f>HYPERLINK("http://www.rosaceae.org/Prunus/Prunus_persica/p.persica_gdr_reftransV1_0043881","p.persica_gdr_reftransV1_0043881")</f>
        <v>p.persica_gdr_reftransV1_0043881</v>
      </c>
      <c r="B8628" s="3">
        <v>989</v>
      </c>
      <c r="C8628" s="1" t="str">
        <f>HYPERLINK("http://www.uniprot.org/uniprot/DNAJ_HELPY","DNAJ_HELPY")</f>
        <v>DNAJ_HELPY</v>
      </c>
      <c r="D8628" t="s">
        <v>6614</v>
      </c>
      <c r="E8628" s="3" t="s">
        <v>3373</v>
      </c>
      <c r="F8628" s="4">
        <v>1.33E-11</v>
      </c>
      <c r="G8628" s="3">
        <v>166</v>
      </c>
      <c r="H8628" s="3">
        <v>54</v>
      </c>
      <c r="I8628" s="3">
        <v>65</v>
      </c>
      <c r="J8628" s="3">
        <v>181</v>
      </c>
      <c r="K8628" s="3">
        <v>372</v>
      </c>
      <c r="L8628" s="3">
        <v>2</v>
      </c>
      <c r="M8628" s="3">
        <v>66</v>
      </c>
    </row>
    <row r="8629" spans="1:13" x14ac:dyDescent="0.25">
      <c r="A8629" s="1" t="str">
        <f>HYPERLINK("http://www.rosaceae.org/Prunus/Prunus_persica/p.persica_gdr_reftransV1_0043931","p.persica_gdr_reftransV1_0043931")</f>
        <v>p.persica_gdr_reftransV1_0043931</v>
      </c>
      <c r="B8629" s="3">
        <v>820</v>
      </c>
      <c r="C8629" s="1" t="str">
        <f>HYPERLINK("http://www.uniprot.org/uniprot/RS202_ARATH","RS202_ARATH")</f>
        <v>RS202_ARATH</v>
      </c>
      <c r="D8629" t="s">
        <v>6615</v>
      </c>
      <c r="E8629" s="3" t="s">
        <v>3</v>
      </c>
      <c r="F8629" s="4">
        <v>1.8999999999999998E-74</v>
      </c>
      <c r="G8629" s="3">
        <v>585</v>
      </c>
      <c r="H8629" s="3">
        <v>93</v>
      </c>
      <c r="I8629" s="3">
        <v>122</v>
      </c>
      <c r="J8629" s="3">
        <v>348</v>
      </c>
      <c r="K8629" s="3">
        <v>713</v>
      </c>
      <c r="L8629" s="3">
        <v>1</v>
      </c>
      <c r="M8629" s="3">
        <v>122</v>
      </c>
    </row>
    <row r="8630" spans="1:13" x14ac:dyDescent="0.25">
      <c r="A8630" s="1" t="str">
        <f>HYPERLINK("http://www.rosaceae.org/Prunus/Prunus_persica/p.persica_gdr_reftransV1_0044081","p.persica_gdr_reftransV1_0044081")</f>
        <v>p.persica_gdr_reftransV1_0044081</v>
      </c>
      <c r="B8630" s="3">
        <v>2466</v>
      </c>
      <c r="C8630" s="1" t="str">
        <f>HYPERLINK("http://www.uniprot.org/uniprot/CSLB4_ARATH","CSLB4_ARATH")</f>
        <v>CSLB4_ARATH</v>
      </c>
      <c r="D8630" t="s">
        <v>6616</v>
      </c>
      <c r="E8630" s="3" t="s">
        <v>3</v>
      </c>
      <c r="F8630" s="4">
        <v>0</v>
      </c>
      <c r="G8630" s="3">
        <v>1799</v>
      </c>
      <c r="H8630" s="3">
        <v>50</v>
      </c>
      <c r="I8630" s="3">
        <v>765</v>
      </c>
      <c r="J8630" s="3">
        <v>75</v>
      </c>
      <c r="K8630" s="3">
        <v>2294</v>
      </c>
      <c r="L8630" s="3">
        <v>1</v>
      </c>
      <c r="M8630" s="3">
        <v>751</v>
      </c>
    </row>
    <row r="8631" spans="1:13" x14ac:dyDescent="0.25">
      <c r="A8631" s="1" t="str">
        <f>HYPERLINK("http://www.rosaceae.org/Prunus/Prunus_persica/p.persica_gdr_reftransV1_0044131","p.persica_gdr_reftransV1_0044131")</f>
        <v>p.persica_gdr_reftransV1_0044131</v>
      </c>
      <c r="B8631" s="3">
        <v>434</v>
      </c>
      <c r="C8631" s="1" t="str">
        <f>HYPERLINK("http://www.uniprot.org/uniprot/PP410_ARATH","PP410_ARATH")</f>
        <v>PP410_ARATH</v>
      </c>
      <c r="D8631" t="s">
        <v>6617</v>
      </c>
      <c r="E8631" s="3" t="s">
        <v>3</v>
      </c>
      <c r="F8631" s="4">
        <v>2.1900000000000001E-67</v>
      </c>
      <c r="G8631" s="3">
        <v>561</v>
      </c>
      <c r="H8631" s="3">
        <v>70</v>
      </c>
      <c r="I8631" s="3">
        <v>144</v>
      </c>
      <c r="J8631" s="3">
        <v>1</v>
      </c>
      <c r="K8631" s="3">
        <v>432</v>
      </c>
      <c r="L8631" s="3">
        <v>116</v>
      </c>
      <c r="M8631" s="3">
        <v>259</v>
      </c>
    </row>
    <row r="8632" spans="1:13" x14ac:dyDescent="0.25">
      <c r="A8632" s="1" t="str">
        <f>HYPERLINK("http://www.rosaceae.org/Prunus/Prunus_persica/p.persica_gdr_reftransV1_0044181","p.persica_gdr_reftransV1_0044181")</f>
        <v>p.persica_gdr_reftransV1_0044181</v>
      </c>
      <c r="B8632" s="3">
        <v>1224</v>
      </c>
      <c r="C8632" s="1" t="str">
        <f>HYPERLINK("http://www.uniprot.org/uniprot/FANCL_MOUSE","FANCL_MOUSE")</f>
        <v>FANCL_MOUSE</v>
      </c>
      <c r="D8632" t="s">
        <v>6618</v>
      </c>
      <c r="E8632" s="3" t="s">
        <v>157</v>
      </c>
      <c r="F8632" s="4">
        <v>1.42E-41</v>
      </c>
      <c r="G8632" s="3">
        <v>252</v>
      </c>
      <c r="H8632" s="3">
        <v>41</v>
      </c>
      <c r="I8632" s="3">
        <v>110</v>
      </c>
      <c r="J8632" s="3">
        <v>211</v>
      </c>
      <c r="K8632" s="3">
        <v>540</v>
      </c>
      <c r="L8632" s="3">
        <v>274</v>
      </c>
      <c r="M8632" s="3">
        <v>374</v>
      </c>
    </row>
    <row r="8633" spans="1:13" x14ac:dyDescent="0.25">
      <c r="A8633" s="1" t="str">
        <f>HYPERLINK("http://www.rosaceae.org/Prunus/Prunus_persica/p.persica_gdr_reftransV1_0044231","p.persica_gdr_reftransV1_0044231")</f>
        <v>p.persica_gdr_reftransV1_0044231</v>
      </c>
      <c r="B8633" s="3">
        <v>1369</v>
      </c>
      <c r="C8633" s="1" t="str">
        <f>HYPERLINK("http://www.uniprot.org/uniprot/Y5986_ARATH","Y5986_ARATH")</f>
        <v>Y5986_ARATH</v>
      </c>
      <c r="D8633" t="s">
        <v>4689</v>
      </c>
      <c r="E8633" s="3" t="s">
        <v>3</v>
      </c>
      <c r="F8633" s="4">
        <v>6.3900000000000003E-30</v>
      </c>
      <c r="G8633" s="3">
        <v>310</v>
      </c>
      <c r="H8633" s="3">
        <v>42</v>
      </c>
      <c r="I8633" s="3">
        <v>163</v>
      </c>
      <c r="J8633" s="3">
        <v>867</v>
      </c>
      <c r="K8633" s="3">
        <v>1295</v>
      </c>
      <c r="L8633" s="3">
        <v>227</v>
      </c>
      <c r="M8633" s="3">
        <v>389</v>
      </c>
    </row>
    <row r="8634" spans="1:13" x14ac:dyDescent="0.25">
      <c r="A8634" s="1" t="str">
        <f>HYPERLINK("http://www.rosaceae.org/Prunus/Prunus_persica/p.persica_gdr_reftransV1_0044281","p.persica_gdr_reftransV1_0044281")</f>
        <v>p.persica_gdr_reftransV1_0044281</v>
      </c>
      <c r="B8634" s="3">
        <v>730</v>
      </c>
      <c r="C8634" s="1" t="str">
        <f>HYPERLINK("http://www.uniprot.org/uniprot/RDM1_ARATH","RDM1_ARATH")</f>
        <v>RDM1_ARATH</v>
      </c>
      <c r="D8634" t="s">
        <v>6619</v>
      </c>
      <c r="E8634" s="3" t="s">
        <v>3</v>
      </c>
      <c r="F8634" s="4">
        <v>2.2700000000000001E-60</v>
      </c>
      <c r="G8634" s="3">
        <v>492</v>
      </c>
      <c r="H8634" s="3">
        <v>66</v>
      </c>
      <c r="I8634" s="3">
        <v>131</v>
      </c>
      <c r="J8634" s="3">
        <v>108</v>
      </c>
      <c r="K8634" s="3">
        <v>500</v>
      </c>
      <c r="L8634" s="3">
        <v>32</v>
      </c>
      <c r="M8634" s="3">
        <v>162</v>
      </c>
    </row>
    <row r="8635" spans="1:13" x14ac:dyDescent="0.25">
      <c r="A8635" s="1" t="str">
        <f>HYPERLINK("http://www.rosaceae.org/Prunus/Prunus_persica/p.persica_gdr_reftransV1_0044331","p.persica_gdr_reftransV1_0044331")</f>
        <v>p.persica_gdr_reftransV1_0044331</v>
      </c>
      <c r="B8635" s="3">
        <v>739</v>
      </c>
      <c r="C8635" s="1" t="str">
        <f>HYPERLINK("http://www.uniprot.org/uniprot/MHPR_ECOLI","MHPR_ECOLI")</f>
        <v>MHPR_ECOLI</v>
      </c>
      <c r="D8635" t="s">
        <v>6620</v>
      </c>
      <c r="E8635" s="3" t="s">
        <v>2372</v>
      </c>
      <c r="F8635" s="4">
        <v>6.5199999999999995E-176</v>
      </c>
      <c r="G8635" s="3">
        <v>1267</v>
      </c>
      <c r="H8635" s="3">
        <v>100</v>
      </c>
      <c r="I8635" s="3">
        <v>244</v>
      </c>
      <c r="J8635" s="3">
        <v>1</v>
      </c>
      <c r="K8635" s="3">
        <v>732</v>
      </c>
      <c r="L8635" s="3">
        <v>13</v>
      </c>
      <c r="M8635" s="3">
        <v>256</v>
      </c>
    </row>
    <row r="8636" spans="1:13" x14ac:dyDescent="0.25">
      <c r="A8636" s="1" t="str">
        <f>HYPERLINK("http://www.rosaceae.org/Prunus/Prunus_persica/p.persica_gdr_reftransV1_0044381","p.persica_gdr_reftransV1_0044381")</f>
        <v>p.persica_gdr_reftransV1_0044381</v>
      </c>
      <c r="B8636" s="3">
        <v>1334</v>
      </c>
      <c r="C8636" s="1" t="str">
        <f>HYPERLINK("http://www.uniprot.org/uniprot/RTNLA_ARATH","RTNLA_ARATH")</f>
        <v>RTNLA_ARATH</v>
      </c>
      <c r="D8636" t="s">
        <v>6621</v>
      </c>
      <c r="E8636" s="3" t="s">
        <v>3</v>
      </c>
      <c r="F8636" s="4">
        <v>1.1599999999999999E-89</v>
      </c>
      <c r="G8636" s="3">
        <v>716</v>
      </c>
      <c r="H8636" s="3">
        <v>65</v>
      </c>
      <c r="I8636" s="3">
        <v>260</v>
      </c>
      <c r="J8636" s="3">
        <v>459</v>
      </c>
      <c r="K8636" s="3">
        <v>1211</v>
      </c>
      <c r="L8636" s="3">
        <v>15</v>
      </c>
      <c r="M8636" s="3">
        <v>273</v>
      </c>
    </row>
    <row r="8637" spans="1:13" x14ac:dyDescent="0.25">
      <c r="A8637" s="1" t="str">
        <f>HYPERLINK("http://www.rosaceae.org/Prunus/Prunus_persica/p.persica_gdr_reftransV1_0044431","p.persica_gdr_reftransV1_0044431")</f>
        <v>p.persica_gdr_reftransV1_0044431</v>
      </c>
      <c r="B8637" s="3">
        <v>797</v>
      </c>
      <c r="C8637" s="1" t="str">
        <f>HYPERLINK("http://www.uniprot.org/uniprot/UBC10_ARATH","UBC10_ARATH")</f>
        <v>UBC10_ARATH</v>
      </c>
      <c r="D8637" t="s">
        <v>2226</v>
      </c>
      <c r="E8637" s="3" t="s">
        <v>3</v>
      </c>
      <c r="F8637" s="4">
        <v>7.3799999999999998E-103</v>
      </c>
      <c r="G8637" s="3">
        <v>775</v>
      </c>
      <c r="H8637" s="3">
        <v>98</v>
      </c>
      <c r="I8637" s="3">
        <v>147</v>
      </c>
      <c r="J8637" s="3">
        <v>156</v>
      </c>
      <c r="K8637" s="3">
        <v>596</v>
      </c>
      <c r="L8637" s="3">
        <v>1</v>
      </c>
      <c r="M8637" s="3">
        <v>147</v>
      </c>
    </row>
    <row r="8638" spans="1:13" x14ac:dyDescent="0.25">
      <c r="A8638" s="1" t="str">
        <f>HYPERLINK("http://www.rosaceae.org/Prunus/Prunus_persica/p.persica_gdr_reftransV1_0044481","p.persica_gdr_reftransV1_0044481")</f>
        <v>p.persica_gdr_reftransV1_0044481</v>
      </c>
      <c r="B8638" s="3">
        <v>2171</v>
      </c>
      <c r="C8638" s="1" t="str">
        <f>HYPERLINK("http://www.uniprot.org/uniprot/LACB2_XENTR","LACB2_XENTR")</f>
        <v>LACB2_XENTR</v>
      </c>
      <c r="D8638" t="s">
        <v>6622</v>
      </c>
      <c r="E8638" s="3" t="s">
        <v>173</v>
      </c>
      <c r="F8638" s="4">
        <v>4.3200000000000001E-14</v>
      </c>
      <c r="G8638" s="3">
        <v>188</v>
      </c>
      <c r="H8638" s="3">
        <v>31</v>
      </c>
      <c r="I8638" s="3">
        <v>150</v>
      </c>
      <c r="J8638" s="3">
        <v>1135</v>
      </c>
      <c r="K8638" s="3">
        <v>1575</v>
      </c>
      <c r="L8638" s="3">
        <v>131</v>
      </c>
      <c r="M8638" s="3">
        <v>275</v>
      </c>
    </row>
    <row r="8639" spans="1:13" x14ac:dyDescent="0.25">
      <c r="A8639" s="1" t="str">
        <f>HYPERLINK("http://www.rosaceae.org/Prunus/Prunus_persica/p.persica_gdr_reftransV1_0044531","p.persica_gdr_reftransV1_0044531")</f>
        <v>p.persica_gdr_reftransV1_0044531</v>
      </c>
      <c r="B8639" s="3">
        <v>837</v>
      </c>
      <c r="C8639" s="1" t="str">
        <f>HYPERLINK("http://www.uniprot.org/uniprot/AB15G_ARATH","AB15G_ARATH")</f>
        <v>AB15G_ARATH</v>
      </c>
      <c r="D8639" t="s">
        <v>4722</v>
      </c>
      <c r="E8639" s="3" t="s">
        <v>3</v>
      </c>
      <c r="F8639" s="4">
        <v>1.2100000000000001E-96</v>
      </c>
      <c r="G8639" s="3">
        <v>781</v>
      </c>
      <c r="H8639" s="3">
        <v>63</v>
      </c>
      <c r="I8639" s="3">
        <v>249</v>
      </c>
      <c r="J8639" s="3">
        <v>1</v>
      </c>
      <c r="K8639" s="3">
        <v>747</v>
      </c>
      <c r="L8639" s="3">
        <v>15</v>
      </c>
      <c r="M8639" s="3">
        <v>260</v>
      </c>
    </row>
    <row r="8640" spans="1:13" x14ac:dyDescent="0.25">
      <c r="A8640" s="1" t="str">
        <f>HYPERLINK("http://www.rosaceae.org/Prunus/Prunus_persica/p.persica_gdr_reftransV1_0044581","p.persica_gdr_reftransV1_0044581")</f>
        <v>p.persica_gdr_reftransV1_0044581</v>
      </c>
      <c r="B8640" s="3">
        <v>1623</v>
      </c>
      <c r="C8640" s="1" t="str">
        <f>HYPERLINK("http://www.uniprot.org/uniprot/LHWL3_ARATH","LHWL3_ARATH")</f>
        <v>LHWL3_ARATH</v>
      </c>
      <c r="D8640" t="s">
        <v>6623</v>
      </c>
      <c r="E8640" s="3" t="s">
        <v>3</v>
      </c>
      <c r="F8640" s="4">
        <v>1.34E-10</v>
      </c>
      <c r="G8640" s="3">
        <v>164</v>
      </c>
      <c r="H8640" s="3">
        <v>41</v>
      </c>
      <c r="I8640" s="3">
        <v>94</v>
      </c>
      <c r="J8640" s="3">
        <v>817</v>
      </c>
      <c r="K8640" s="3">
        <v>1095</v>
      </c>
      <c r="L8640" s="3">
        <v>62</v>
      </c>
      <c r="M8640" s="3">
        <v>146</v>
      </c>
    </row>
    <row r="8641" spans="1:13" x14ac:dyDescent="0.25">
      <c r="A8641" s="1" t="str">
        <f>HYPERLINK("http://www.rosaceae.org/Prunus/Prunus_persica/p.persica_gdr_reftransV1_0044631","p.persica_gdr_reftransV1_0044631")</f>
        <v>p.persica_gdr_reftransV1_0044631</v>
      </c>
      <c r="B8641" s="3">
        <v>1282</v>
      </c>
      <c r="C8641" s="1" t="str">
        <f>HYPERLINK("http://www.uniprot.org/uniprot/BUB1_ARATH","BUB1_ARATH")</f>
        <v>BUB1_ARATH</v>
      </c>
      <c r="D8641" t="s">
        <v>4007</v>
      </c>
      <c r="E8641" s="3" t="s">
        <v>3</v>
      </c>
      <c r="F8641" s="4">
        <v>8.4900000000000006E-129</v>
      </c>
      <c r="G8641" s="3">
        <v>999</v>
      </c>
      <c r="H8641" s="3">
        <v>59</v>
      </c>
      <c r="I8641" s="3">
        <v>311</v>
      </c>
      <c r="J8641" s="3">
        <v>228</v>
      </c>
      <c r="K8641" s="3">
        <v>1070</v>
      </c>
      <c r="L8641" s="3">
        <v>214</v>
      </c>
      <c r="M8641" s="3">
        <v>524</v>
      </c>
    </row>
    <row r="8642" spans="1:13" x14ac:dyDescent="0.25">
      <c r="A8642" s="1" t="str">
        <f>HYPERLINK("http://www.rosaceae.org/Prunus/Prunus_persica/p.persica_gdr_reftransV1_0044681","p.persica_gdr_reftransV1_0044681")</f>
        <v>p.persica_gdr_reftransV1_0044681</v>
      </c>
      <c r="B8642" s="3">
        <v>461</v>
      </c>
      <c r="C8642" s="1" t="str">
        <f>HYPERLINK("http://www.uniprot.org/uniprot/SPCH_ARATH","SPCH_ARATH")</f>
        <v>SPCH_ARATH</v>
      </c>
      <c r="D8642" t="s">
        <v>6624</v>
      </c>
      <c r="E8642" s="3" t="s">
        <v>3</v>
      </c>
      <c r="F8642" s="4">
        <v>2.2999999999999998E-30</v>
      </c>
      <c r="G8642" s="3">
        <v>293</v>
      </c>
      <c r="H8642" s="3">
        <v>79</v>
      </c>
      <c r="I8642" s="3">
        <v>89</v>
      </c>
      <c r="J8642" s="3">
        <v>144</v>
      </c>
      <c r="K8642" s="3">
        <v>410</v>
      </c>
      <c r="L8642" s="3">
        <v>276</v>
      </c>
      <c r="M8642" s="3">
        <v>364</v>
      </c>
    </row>
    <row r="8643" spans="1:13" x14ac:dyDescent="0.25">
      <c r="A8643" s="1" t="str">
        <f>HYPERLINK("http://www.rosaceae.org/Prunus/Prunus_persica/p.persica_gdr_reftransV1_0044731","p.persica_gdr_reftransV1_0044731")</f>
        <v>p.persica_gdr_reftransV1_0044731</v>
      </c>
      <c r="B8643" s="3">
        <v>480</v>
      </c>
      <c r="C8643" s="1" t="str">
        <f>HYPERLINK("http://www.uniprot.org/uniprot/TE1_MAIZE","TE1_MAIZE")</f>
        <v>TE1_MAIZE</v>
      </c>
      <c r="D8643" t="s">
        <v>6625</v>
      </c>
      <c r="E8643" s="3" t="s">
        <v>72</v>
      </c>
      <c r="F8643" s="4">
        <v>3.7300000000000003E-14</v>
      </c>
      <c r="G8643" s="3">
        <v>179</v>
      </c>
      <c r="H8643" s="3">
        <v>58</v>
      </c>
      <c r="I8643" s="3">
        <v>71</v>
      </c>
      <c r="J8643" s="3">
        <v>39</v>
      </c>
      <c r="K8643" s="3">
        <v>227</v>
      </c>
      <c r="L8643" s="3">
        <v>406</v>
      </c>
      <c r="M8643" s="3">
        <v>475</v>
      </c>
    </row>
    <row r="8644" spans="1:13" x14ac:dyDescent="0.25">
      <c r="A8644" s="1" t="str">
        <f>HYPERLINK("http://www.rosaceae.org/Prunus/Prunus_persica/p.persica_gdr_reftransV1_0044831","p.persica_gdr_reftransV1_0044831")</f>
        <v>p.persica_gdr_reftransV1_0044831</v>
      </c>
      <c r="B8644" s="3">
        <v>2529</v>
      </c>
      <c r="C8644" s="1" t="str">
        <f>HYPERLINK("http://www.uniprot.org/uniprot/ERF2_TOBAC","ERF2_TOBAC")</f>
        <v>ERF2_TOBAC</v>
      </c>
      <c r="D8644" t="s">
        <v>6626</v>
      </c>
      <c r="E8644" s="3" t="s">
        <v>200</v>
      </c>
      <c r="F8644" s="4">
        <v>1.2699999999999999E-13</v>
      </c>
      <c r="G8644" s="3">
        <v>184</v>
      </c>
      <c r="H8644" s="3">
        <v>74</v>
      </c>
      <c r="I8644" s="3">
        <v>50</v>
      </c>
      <c r="J8644" s="3">
        <v>1957</v>
      </c>
      <c r="K8644" s="3">
        <v>2106</v>
      </c>
      <c r="L8644" s="3">
        <v>109</v>
      </c>
      <c r="M8644" s="3">
        <v>156</v>
      </c>
    </row>
    <row r="8645" spans="1:13" x14ac:dyDescent="0.25">
      <c r="A8645" s="1" t="str">
        <f>HYPERLINK("http://www.rosaceae.org/Prunus/Prunus_persica/p.persica_gdr_reftransV1_0044881","p.persica_gdr_reftransV1_0044881")</f>
        <v>p.persica_gdr_reftransV1_0044881</v>
      </c>
      <c r="B8645" s="3">
        <v>1354</v>
      </c>
      <c r="C8645" s="1" t="str">
        <f>HYPERLINK("http://www.uniprot.org/uniprot/IQD31_ARATH","IQD31_ARATH")</f>
        <v>IQD31_ARATH</v>
      </c>
      <c r="D8645" t="s">
        <v>2405</v>
      </c>
      <c r="E8645" s="3" t="s">
        <v>3</v>
      </c>
      <c r="F8645" s="4">
        <v>1.6E-12</v>
      </c>
      <c r="G8645" s="3">
        <v>178</v>
      </c>
      <c r="H8645" s="3">
        <v>53</v>
      </c>
      <c r="I8645" s="3">
        <v>62</v>
      </c>
      <c r="J8645" s="3">
        <v>1119</v>
      </c>
      <c r="K8645" s="3">
        <v>1304</v>
      </c>
      <c r="L8645" s="3">
        <v>119</v>
      </c>
      <c r="M8645" s="3">
        <v>180</v>
      </c>
    </row>
    <row r="8646" spans="1:13" x14ac:dyDescent="0.25">
      <c r="A8646" s="1" t="str">
        <f>HYPERLINK("http://www.rosaceae.org/Prunus/Prunus_persica/p.persica_gdr_reftransV1_0044981","p.persica_gdr_reftransV1_0044981")</f>
        <v>p.persica_gdr_reftransV1_0044981</v>
      </c>
      <c r="B8646" s="3">
        <v>1049</v>
      </c>
      <c r="C8646" s="1" t="str">
        <f>HYPERLINK("http://www.uniprot.org/uniprot/SACS_HUMAN","SACS_HUMAN")</f>
        <v>SACS_HUMAN</v>
      </c>
      <c r="D8646" t="s">
        <v>756</v>
      </c>
      <c r="E8646" s="3" t="s">
        <v>28</v>
      </c>
      <c r="F8646" s="4">
        <v>6.0500000000000002E-50</v>
      </c>
      <c r="G8646" s="3">
        <v>472</v>
      </c>
      <c r="H8646" s="3">
        <v>33</v>
      </c>
      <c r="I8646" s="3">
        <v>350</v>
      </c>
      <c r="J8646" s="3">
        <v>25</v>
      </c>
      <c r="K8646" s="3">
        <v>1041</v>
      </c>
      <c r="L8646" s="3">
        <v>2389</v>
      </c>
      <c r="M8646" s="3">
        <v>2713</v>
      </c>
    </row>
    <row r="8647" spans="1:13" x14ac:dyDescent="0.25">
      <c r="A8647" s="1" t="str">
        <f>HYPERLINK("http://www.rosaceae.org/Prunus/Prunus_persica/p.persica_gdr_reftransV1_0045031","p.persica_gdr_reftransV1_0045031")</f>
        <v>p.persica_gdr_reftransV1_0045031</v>
      </c>
      <c r="B8647" s="3">
        <v>1763</v>
      </c>
      <c r="C8647" s="1" t="str">
        <f>HYPERLINK("http://www.uniprot.org/uniprot/UXS5_ARATH","UXS5_ARATH")</f>
        <v>UXS5_ARATH</v>
      </c>
      <c r="D8647" t="s">
        <v>1315</v>
      </c>
      <c r="E8647" s="3" t="s">
        <v>3</v>
      </c>
      <c r="F8647" s="4">
        <v>0</v>
      </c>
      <c r="G8647" s="3">
        <v>1621</v>
      </c>
      <c r="H8647" s="3">
        <v>91</v>
      </c>
      <c r="I8647" s="3">
        <v>339</v>
      </c>
      <c r="J8647" s="3">
        <v>409</v>
      </c>
      <c r="K8647" s="3">
        <v>1425</v>
      </c>
      <c r="L8647" s="3">
        <v>2</v>
      </c>
      <c r="M8647" s="3">
        <v>340</v>
      </c>
    </row>
    <row r="8648" spans="1:13" x14ac:dyDescent="0.25">
      <c r="A8648" s="1" t="str">
        <f>HYPERLINK("http://www.rosaceae.org/Prunus/Prunus_persica/p.persica_gdr_reftransV1_0045081","p.persica_gdr_reftransV1_0045081")</f>
        <v>p.persica_gdr_reftransV1_0045081</v>
      </c>
      <c r="B8648" s="3">
        <v>1868</v>
      </c>
      <c r="C8648" s="1" t="str">
        <f>HYPERLINK("http://www.uniprot.org/uniprot/RHD32_ARATH","RHD32_ARATH")</f>
        <v>RHD32_ARATH</v>
      </c>
      <c r="D8648" t="s">
        <v>6627</v>
      </c>
      <c r="E8648" s="3" t="s">
        <v>3</v>
      </c>
      <c r="F8648" s="4">
        <v>0</v>
      </c>
      <c r="G8648" s="3">
        <v>1768</v>
      </c>
      <c r="H8648" s="3">
        <v>64</v>
      </c>
      <c r="I8648" s="3">
        <v>545</v>
      </c>
      <c r="J8648" s="3">
        <v>242</v>
      </c>
      <c r="K8648" s="3">
        <v>1867</v>
      </c>
      <c r="L8648" s="3">
        <v>293</v>
      </c>
      <c r="M8648" s="3">
        <v>832</v>
      </c>
    </row>
    <row r="8649" spans="1:13" x14ac:dyDescent="0.25">
      <c r="A8649" s="1" t="str">
        <f>HYPERLINK("http://www.rosaceae.org/Prunus/Prunus_persica/p.persica_gdr_reftransV1_0045131","p.persica_gdr_reftransV1_0045131")</f>
        <v>p.persica_gdr_reftransV1_0045131</v>
      </c>
      <c r="B8649" s="3">
        <v>352</v>
      </c>
      <c r="C8649" s="1" t="str">
        <f>HYPERLINK("http://www.uniprot.org/uniprot/CDP1_ARATH","CDP1_ARATH")</f>
        <v>CDP1_ARATH</v>
      </c>
      <c r="D8649" t="s">
        <v>1974</v>
      </c>
      <c r="E8649" s="3" t="s">
        <v>3</v>
      </c>
      <c r="F8649" s="4">
        <v>1.5299999999999999E-48</v>
      </c>
      <c r="G8649" s="3">
        <v>429</v>
      </c>
      <c r="H8649" s="3">
        <v>67</v>
      </c>
      <c r="I8649" s="3">
        <v>117</v>
      </c>
      <c r="J8649" s="3">
        <v>2</v>
      </c>
      <c r="K8649" s="3">
        <v>352</v>
      </c>
      <c r="L8649" s="3">
        <v>113</v>
      </c>
      <c r="M8649" s="3">
        <v>229</v>
      </c>
    </row>
    <row r="8650" spans="1:13" x14ac:dyDescent="0.25">
      <c r="A8650" s="1" t="str">
        <f>HYPERLINK("http://www.rosaceae.org/Prunus/Prunus_persica/p.persica_gdr_reftransV1_0045231","p.persica_gdr_reftransV1_0045231")</f>
        <v>p.persica_gdr_reftransV1_0045231</v>
      </c>
      <c r="B8650" s="3">
        <v>2551</v>
      </c>
      <c r="C8650" s="1" t="str">
        <f>HYPERLINK("http://www.uniprot.org/uniprot/CCB31_ARATH","CCB31_ARATH")</f>
        <v>CCB31_ARATH</v>
      </c>
      <c r="D8650" t="s">
        <v>6628</v>
      </c>
      <c r="E8650" s="3" t="s">
        <v>3</v>
      </c>
      <c r="F8650" s="4">
        <v>2.03E-135</v>
      </c>
      <c r="G8650" s="3">
        <v>1068</v>
      </c>
      <c r="H8650" s="3">
        <v>58</v>
      </c>
      <c r="I8650" s="3">
        <v>399</v>
      </c>
      <c r="J8650" s="3">
        <v>446</v>
      </c>
      <c r="K8650" s="3">
        <v>1612</v>
      </c>
      <c r="L8650" s="3">
        <v>8</v>
      </c>
      <c r="M8650" s="3">
        <v>396</v>
      </c>
    </row>
    <row r="8651" spans="1:13" x14ac:dyDescent="0.25">
      <c r="A8651" s="1" t="str">
        <f>HYPERLINK("http://www.rosaceae.org/Prunus/Prunus_persica/p.persica_gdr_reftransV1_0045331","p.persica_gdr_reftransV1_0045331")</f>
        <v>p.persica_gdr_reftransV1_0045331</v>
      </c>
      <c r="B8651" s="3">
        <v>2574</v>
      </c>
      <c r="C8651" s="1" t="str">
        <f>HYPERLINK("http://www.uniprot.org/uniprot/CCT15_ARATH","CCT15_ARATH")</f>
        <v>CCT15_ARATH</v>
      </c>
      <c r="D8651" t="s">
        <v>6629</v>
      </c>
      <c r="E8651" s="3" t="s">
        <v>3</v>
      </c>
      <c r="F8651" s="4">
        <v>0</v>
      </c>
      <c r="G8651" s="3">
        <v>1405</v>
      </c>
      <c r="H8651" s="3">
        <v>53</v>
      </c>
      <c r="I8651" s="3">
        <v>620</v>
      </c>
      <c r="J8651" s="3">
        <v>525</v>
      </c>
      <c r="K8651" s="3">
        <v>2354</v>
      </c>
      <c r="L8651" s="3">
        <v>1</v>
      </c>
      <c r="M8651" s="3">
        <v>577</v>
      </c>
    </row>
    <row r="8652" spans="1:13" x14ac:dyDescent="0.25">
      <c r="A8652" s="1" t="str">
        <f>HYPERLINK("http://www.rosaceae.org/Prunus/Prunus_persica/p.persica_gdr_reftransV1_0045481","p.persica_gdr_reftransV1_0045481")</f>
        <v>p.persica_gdr_reftransV1_0045481</v>
      </c>
      <c r="B8652" s="3">
        <v>1930</v>
      </c>
      <c r="C8652" s="1" t="str">
        <f>HYPERLINK("http://www.uniprot.org/uniprot/C71A1_PERAE","C71A1_PERAE")</f>
        <v>C71A1_PERAE</v>
      </c>
      <c r="D8652" t="s">
        <v>102</v>
      </c>
      <c r="E8652" s="3" t="s">
        <v>103</v>
      </c>
      <c r="F8652" s="4">
        <v>9.3999999999999998E-153</v>
      </c>
      <c r="G8652" s="3">
        <v>1177</v>
      </c>
      <c r="H8652" s="3">
        <v>52</v>
      </c>
      <c r="I8652" s="3">
        <v>460</v>
      </c>
      <c r="J8652" s="3">
        <v>341</v>
      </c>
      <c r="K8652" s="3">
        <v>1705</v>
      </c>
      <c r="L8652" s="3">
        <v>41</v>
      </c>
      <c r="M8652" s="3">
        <v>496</v>
      </c>
    </row>
    <row r="8653" spans="1:13" x14ac:dyDescent="0.25">
      <c r="A8653" s="1" t="str">
        <f>HYPERLINK("http://www.rosaceae.org/Prunus/Prunus_persica/p.persica_gdr_reftransV1_0045531","p.persica_gdr_reftransV1_0045531")</f>
        <v>p.persica_gdr_reftransV1_0045531</v>
      </c>
      <c r="B8653" s="3">
        <v>1006</v>
      </c>
      <c r="C8653" s="1" t="str">
        <f>HYPERLINK("http://www.uniprot.org/uniprot/AKRC9_ARATH","AKRC9_ARATH")</f>
        <v>AKRC9_ARATH</v>
      </c>
      <c r="D8653" t="s">
        <v>2155</v>
      </c>
      <c r="E8653" s="3" t="s">
        <v>3</v>
      </c>
      <c r="F8653" s="4">
        <v>2.08E-144</v>
      </c>
      <c r="G8653" s="3">
        <v>1073</v>
      </c>
      <c r="H8653" s="3">
        <v>76</v>
      </c>
      <c r="I8653" s="3">
        <v>278</v>
      </c>
      <c r="J8653" s="3">
        <v>6</v>
      </c>
      <c r="K8653" s="3">
        <v>839</v>
      </c>
      <c r="L8653" s="3">
        <v>38</v>
      </c>
      <c r="M8653" s="3">
        <v>315</v>
      </c>
    </row>
    <row r="8654" spans="1:13" x14ac:dyDescent="0.25">
      <c r="A8654" s="1" t="str">
        <f>HYPERLINK("http://www.rosaceae.org/Prunus/Prunus_persica/p.persica_gdr_reftransV1_0045581","p.persica_gdr_reftransV1_0045581")</f>
        <v>p.persica_gdr_reftransV1_0045581</v>
      </c>
      <c r="B8654" s="3">
        <v>1908</v>
      </c>
      <c r="C8654" s="1" t="str">
        <f>HYPERLINK("http://www.uniprot.org/uniprot/IN37_SPIOL","IN37_SPIOL")</f>
        <v>IN37_SPIOL</v>
      </c>
      <c r="D8654" t="s">
        <v>1349</v>
      </c>
      <c r="E8654" s="3" t="s">
        <v>131</v>
      </c>
      <c r="F8654" s="4">
        <v>4.3899999999999998E-164</v>
      </c>
      <c r="G8654" s="3">
        <v>1236</v>
      </c>
      <c r="H8654" s="3">
        <v>78</v>
      </c>
      <c r="I8654" s="3">
        <v>346</v>
      </c>
      <c r="J8654" s="3">
        <v>222</v>
      </c>
      <c r="K8654" s="3">
        <v>1244</v>
      </c>
      <c r="L8654" s="3">
        <v>1</v>
      </c>
      <c r="M8654" s="3">
        <v>344</v>
      </c>
    </row>
    <row r="8655" spans="1:13" x14ac:dyDescent="0.25">
      <c r="A8655" s="1" t="str">
        <f>HYPERLINK("http://www.rosaceae.org/Prunus/Prunus_persica/p.persica_gdr_reftransV1_0045631","p.persica_gdr_reftransV1_0045631")</f>
        <v>p.persica_gdr_reftransV1_0045631</v>
      </c>
      <c r="B8655" s="3">
        <v>1720</v>
      </c>
      <c r="C8655" s="1" t="str">
        <f>HYPERLINK("http://www.uniprot.org/uniprot/IF4A2_NICPL","IF4A2_NICPL")</f>
        <v>IF4A2_NICPL</v>
      </c>
      <c r="D8655" t="s">
        <v>6630</v>
      </c>
      <c r="E8655" s="3" t="s">
        <v>1450</v>
      </c>
      <c r="F8655" s="4">
        <v>0</v>
      </c>
      <c r="G8655" s="3">
        <v>2084</v>
      </c>
      <c r="H8655" s="3">
        <v>95</v>
      </c>
      <c r="I8655" s="3">
        <v>407</v>
      </c>
      <c r="J8655" s="3">
        <v>164</v>
      </c>
      <c r="K8655" s="3">
        <v>1384</v>
      </c>
      <c r="L8655" s="3">
        <v>4</v>
      </c>
      <c r="M8655" s="3">
        <v>410</v>
      </c>
    </row>
    <row r="8656" spans="1:13" x14ac:dyDescent="0.25">
      <c r="A8656" s="1" t="str">
        <f>HYPERLINK("http://www.rosaceae.org/Prunus/Prunus_persica/p.persica_gdr_reftransV1_0045681","p.persica_gdr_reftransV1_0045681")</f>
        <v>p.persica_gdr_reftransV1_0045681</v>
      </c>
      <c r="B8656" s="3">
        <v>850</v>
      </c>
      <c r="C8656" s="1" t="str">
        <f>HYPERLINK("http://www.uniprot.org/uniprot/UGPI7_ARATH","UGPI7_ARATH")</f>
        <v>UGPI7_ARATH</v>
      </c>
      <c r="D8656" t="s">
        <v>576</v>
      </c>
      <c r="E8656" s="3" t="s">
        <v>3</v>
      </c>
      <c r="F8656" s="4">
        <v>1.22E-28</v>
      </c>
      <c r="G8656" s="3">
        <v>290</v>
      </c>
      <c r="H8656" s="3">
        <v>75</v>
      </c>
      <c r="I8656" s="3">
        <v>69</v>
      </c>
      <c r="J8656" s="3">
        <v>643</v>
      </c>
      <c r="K8656" s="3">
        <v>849</v>
      </c>
      <c r="L8656" s="3">
        <v>31</v>
      </c>
      <c r="M8656" s="3">
        <v>99</v>
      </c>
    </row>
    <row r="8657" spans="1:13" x14ac:dyDescent="0.25">
      <c r="A8657" s="1" t="str">
        <f>HYPERLINK("http://www.rosaceae.org/Prunus/Prunus_persica/p.persica_gdr_reftransV1_0045731","p.persica_gdr_reftransV1_0045731")</f>
        <v>p.persica_gdr_reftransV1_0045731</v>
      </c>
      <c r="B8657" s="3">
        <v>1392</v>
      </c>
      <c r="C8657" s="1" t="str">
        <f>HYPERLINK("http://www.uniprot.org/uniprot/VEP1_ARATH","VEP1_ARATH")</f>
        <v>VEP1_ARATH</v>
      </c>
      <c r="D8657" t="s">
        <v>3813</v>
      </c>
      <c r="E8657" s="3" t="s">
        <v>3</v>
      </c>
      <c r="F8657" s="4">
        <v>0</v>
      </c>
      <c r="G8657" s="3">
        <v>1406</v>
      </c>
      <c r="H8657" s="3">
        <v>72</v>
      </c>
      <c r="I8657" s="3">
        <v>378</v>
      </c>
      <c r="J8657" s="3">
        <v>197</v>
      </c>
      <c r="K8657" s="3">
        <v>1330</v>
      </c>
      <c r="L8657" s="3">
        <v>16</v>
      </c>
      <c r="M8657" s="3">
        <v>388</v>
      </c>
    </row>
    <row r="8658" spans="1:13" x14ac:dyDescent="0.25">
      <c r="A8658" s="1" t="str">
        <f>HYPERLINK("http://www.rosaceae.org/Prunus/Prunus_persica/p.persica_gdr_reftransV1_0045781","p.persica_gdr_reftransV1_0045781")</f>
        <v>p.persica_gdr_reftransV1_0045781</v>
      </c>
      <c r="B8658" s="3">
        <v>1664</v>
      </c>
      <c r="C8658" s="1" t="str">
        <f>HYPERLINK("http://www.uniprot.org/uniprot/ADH_MALDO","ADH_MALDO")</f>
        <v>ADH_MALDO</v>
      </c>
      <c r="D8658" t="s">
        <v>1503</v>
      </c>
      <c r="E8658" s="3" t="s">
        <v>540</v>
      </c>
      <c r="F8658" s="4">
        <v>1.46E-159</v>
      </c>
      <c r="G8658" s="3">
        <v>1202</v>
      </c>
      <c r="H8658" s="3">
        <v>85</v>
      </c>
      <c r="I8658" s="3">
        <v>288</v>
      </c>
      <c r="J8658" s="3">
        <v>740</v>
      </c>
      <c r="K8658" s="3">
        <v>1603</v>
      </c>
      <c r="L8658" s="3">
        <v>1</v>
      </c>
      <c r="M8658" s="3">
        <v>288</v>
      </c>
    </row>
    <row r="8659" spans="1:13" x14ac:dyDescent="0.25">
      <c r="A8659" s="1" t="str">
        <f>HYPERLINK("http://www.rosaceae.org/Prunus/Prunus_persica/p.persica_gdr_reftransV1_0045831","p.persica_gdr_reftransV1_0045831")</f>
        <v>p.persica_gdr_reftransV1_0045831</v>
      </c>
      <c r="B8659" s="3">
        <v>2569</v>
      </c>
      <c r="C8659" s="1" t="str">
        <f>HYPERLINK("http://www.uniprot.org/uniprot/RPI2_ARATH","RPI2_ARATH")</f>
        <v>RPI2_ARATH</v>
      </c>
      <c r="D8659" t="s">
        <v>6631</v>
      </c>
      <c r="E8659" s="3" t="s">
        <v>3</v>
      </c>
      <c r="F8659" s="4">
        <v>1.9E-123</v>
      </c>
      <c r="G8659" s="3">
        <v>975</v>
      </c>
      <c r="H8659" s="3">
        <v>79</v>
      </c>
      <c r="I8659" s="3">
        <v>234</v>
      </c>
      <c r="J8659" s="3">
        <v>411</v>
      </c>
      <c r="K8659" s="3">
        <v>1112</v>
      </c>
      <c r="L8659" s="3">
        <v>32</v>
      </c>
      <c r="M8659" s="3">
        <v>264</v>
      </c>
    </row>
    <row r="8660" spans="1:13" x14ac:dyDescent="0.25">
      <c r="A8660" s="1" t="str">
        <f>HYPERLINK("http://www.rosaceae.org/Prunus/Prunus_persica/p.persica_gdr_reftransV1_0045881","p.persica_gdr_reftransV1_0045881")</f>
        <v>p.persica_gdr_reftransV1_0045881</v>
      </c>
      <c r="B8660" s="3">
        <v>1663</v>
      </c>
      <c r="C8660" s="1" t="str">
        <f>HYPERLINK("http://www.uniprot.org/uniprot/TC10A_ARATH","TC10A_ARATH")</f>
        <v>TC10A_ARATH</v>
      </c>
      <c r="D8660" t="s">
        <v>6632</v>
      </c>
      <c r="E8660" s="3" t="s">
        <v>3</v>
      </c>
      <c r="F8660" s="4">
        <v>9.2799999999999997E-141</v>
      </c>
      <c r="G8660" s="3">
        <v>1072</v>
      </c>
      <c r="H8660" s="3">
        <v>72</v>
      </c>
      <c r="I8660" s="3">
        <v>293</v>
      </c>
      <c r="J8660" s="3">
        <v>295</v>
      </c>
      <c r="K8660" s="3">
        <v>1170</v>
      </c>
      <c r="L8660" s="3">
        <v>28</v>
      </c>
      <c r="M8660" s="3">
        <v>320</v>
      </c>
    </row>
    <row r="8661" spans="1:13" x14ac:dyDescent="0.25">
      <c r="A8661" s="1" t="str">
        <f>HYPERLINK("http://www.rosaceae.org/Prunus/Prunus_persica/p.persica_gdr_reftransV1_0045931","p.persica_gdr_reftransV1_0045931")</f>
        <v>p.persica_gdr_reftransV1_0045931</v>
      </c>
      <c r="B8661" s="3">
        <v>977</v>
      </c>
      <c r="C8661" s="1" t="str">
        <f>HYPERLINK("http://www.uniprot.org/uniprot/SLK2_ARATH","SLK2_ARATH")</f>
        <v>SLK2_ARATH</v>
      </c>
      <c r="D8661" t="s">
        <v>795</v>
      </c>
      <c r="E8661" s="3" t="s">
        <v>3</v>
      </c>
      <c r="F8661" s="4">
        <v>5.9599999999999997E-17</v>
      </c>
      <c r="G8661" s="3">
        <v>210</v>
      </c>
      <c r="H8661" s="3">
        <v>71</v>
      </c>
      <c r="I8661" s="3">
        <v>66</v>
      </c>
      <c r="J8661" s="3">
        <v>309</v>
      </c>
      <c r="K8661" s="3">
        <v>503</v>
      </c>
      <c r="L8661" s="3">
        <v>41</v>
      </c>
      <c r="M8661" s="3">
        <v>106</v>
      </c>
    </row>
    <row r="8662" spans="1:13" x14ac:dyDescent="0.25">
      <c r="A8662" s="1" t="str">
        <f>HYPERLINK("http://www.rosaceae.org/Prunus/Prunus_persica/p.persica_gdr_reftransV1_0045981","p.persica_gdr_reftransV1_0045981")</f>
        <v>p.persica_gdr_reftransV1_0045981</v>
      </c>
      <c r="B8662" s="3">
        <v>805</v>
      </c>
      <c r="C8662" s="1" t="str">
        <f>HYPERLINK("http://www.uniprot.org/uniprot/CP31B_ARATH","CP31B_ARATH")</f>
        <v>CP31B_ARATH</v>
      </c>
      <c r="D8662" t="s">
        <v>2957</v>
      </c>
      <c r="E8662" s="3" t="s">
        <v>3</v>
      </c>
      <c r="F8662" s="4">
        <v>8.3900000000000001E-14</v>
      </c>
      <c r="G8662" s="3">
        <v>177</v>
      </c>
      <c r="H8662" s="3">
        <v>28</v>
      </c>
      <c r="I8662" s="3">
        <v>202</v>
      </c>
      <c r="J8662" s="3">
        <v>129</v>
      </c>
      <c r="K8662" s="3">
        <v>719</v>
      </c>
      <c r="L8662" s="3">
        <v>84</v>
      </c>
      <c r="M8662" s="3">
        <v>283</v>
      </c>
    </row>
    <row r="8663" spans="1:13" x14ac:dyDescent="0.25">
      <c r="A8663" s="1" t="str">
        <f>HYPERLINK("http://www.rosaceae.org/Prunus/Prunus_persica/p.persica_gdr_reftransV1_0046081","p.persica_gdr_reftransV1_0046081")</f>
        <v>p.persica_gdr_reftransV1_0046081</v>
      </c>
      <c r="B8663" s="3">
        <v>1122</v>
      </c>
      <c r="C8663" s="1" t="str">
        <f>HYPERLINK("http://www.uniprot.org/uniprot/TAF9_ARATH","TAF9_ARATH")</f>
        <v>TAF9_ARATH</v>
      </c>
      <c r="D8663" t="s">
        <v>6633</v>
      </c>
      <c r="E8663" s="3" t="s">
        <v>3</v>
      </c>
      <c r="F8663" s="4">
        <v>4.7799999999999999E-81</v>
      </c>
      <c r="G8663" s="3">
        <v>644</v>
      </c>
      <c r="H8663" s="3">
        <v>77</v>
      </c>
      <c r="I8663" s="3">
        <v>183</v>
      </c>
      <c r="J8663" s="3">
        <v>235</v>
      </c>
      <c r="K8663" s="3">
        <v>762</v>
      </c>
      <c r="L8663" s="3">
        <v>1</v>
      </c>
      <c r="M8663" s="3">
        <v>183</v>
      </c>
    </row>
    <row r="8664" spans="1:13" x14ac:dyDescent="0.25">
      <c r="A8664" s="1" t="str">
        <f>HYPERLINK("http://www.rosaceae.org/Prunus/Prunus_persica/p.persica_gdr_reftransV1_0046131","p.persica_gdr_reftransV1_0046131")</f>
        <v>p.persica_gdr_reftransV1_0046131</v>
      </c>
      <c r="B8664" s="3">
        <v>1797</v>
      </c>
      <c r="C8664" s="1" t="str">
        <f>HYPERLINK("http://www.uniprot.org/uniprot/CAHC_PEA","CAHC_PEA")</f>
        <v>CAHC_PEA</v>
      </c>
      <c r="D8664" t="s">
        <v>5519</v>
      </c>
      <c r="E8664" s="3" t="s">
        <v>60</v>
      </c>
      <c r="F8664" s="4">
        <v>2.5300000000000001E-120</v>
      </c>
      <c r="G8664" s="3">
        <v>940</v>
      </c>
      <c r="H8664" s="3">
        <v>74</v>
      </c>
      <c r="I8664" s="3">
        <v>270</v>
      </c>
      <c r="J8664" s="3">
        <v>551</v>
      </c>
      <c r="K8664" s="3">
        <v>1345</v>
      </c>
      <c r="L8664" s="3">
        <v>48</v>
      </c>
      <c r="M8664" s="3">
        <v>316</v>
      </c>
    </row>
    <row r="8665" spans="1:13" x14ac:dyDescent="0.25">
      <c r="A8665" s="1" t="str">
        <f>HYPERLINK("http://www.rosaceae.org/Prunus/Prunus_persica/p.persica_gdr_reftransV1_0046431","p.persica_gdr_reftransV1_0046431")</f>
        <v>p.persica_gdr_reftransV1_0046431</v>
      </c>
      <c r="B8665" s="3">
        <v>3362</v>
      </c>
      <c r="C8665" s="1" t="str">
        <f>HYPERLINK("http://www.uniprot.org/uniprot/ATK4_ARATH","ATK4_ARATH")</f>
        <v>ATK4_ARATH</v>
      </c>
      <c r="D8665" t="s">
        <v>3593</v>
      </c>
      <c r="E8665" s="3" t="s">
        <v>3</v>
      </c>
      <c r="F8665" s="4">
        <v>0</v>
      </c>
      <c r="G8665" s="3">
        <v>2437</v>
      </c>
      <c r="H8665" s="3">
        <v>64</v>
      </c>
      <c r="I8665" s="3">
        <v>761</v>
      </c>
      <c r="J8665" s="3">
        <v>295</v>
      </c>
      <c r="K8665" s="3">
        <v>2520</v>
      </c>
      <c r="L8665" s="3">
        <v>11</v>
      </c>
      <c r="M8665" s="3">
        <v>752</v>
      </c>
    </row>
    <row r="8666" spans="1:13" x14ac:dyDescent="0.25">
      <c r="A8666" s="1" t="str">
        <f>HYPERLINK("http://www.rosaceae.org/Prunus/Prunus_persica/p.persica_gdr_reftransV1_0046581","p.persica_gdr_reftransV1_0046581")</f>
        <v>p.persica_gdr_reftransV1_0046581</v>
      </c>
      <c r="B8666" s="3">
        <v>463</v>
      </c>
      <c r="C8666" s="1" t="str">
        <f>HYPERLINK("http://www.uniprot.org/uniprot/PP449_ARATH","PP449_ARATH")</f>
        <v>PP449_ARATH</v>
      </c>
      <c r="D8666" t="s">
        <v>1725</v>
      </c>
      <c r="E8666" s="3" t="s">
        <v>3</v>
      </c>
      <c r="F8666" s="4">
        <v>1.4500000000000001E-17</v>
      </c>
      <c r="G8666" s="3">
        <v>205</v>
      </c>
      <c r="H8666" s="3">
        <v>38</v>
      </c>
      <c r="I8666" s="3">
        <v>126</v>
      </c>
      <c r="J8666" s="3">
        <v>1</v>
      </c>
      <c r="K8666" s="3">
        <v>375</v>
      </c>
      <c r="L8666" s="3">
        <v>29</v>
      </c>
      <c r="M8666" s="3">
        <v>154</v>
      </c>
    </row>
    <row r="8667" spans="1:13" x14ac:dyDescent="0.25">
      <c r="A8667" s="1" t="str">
        <f>HYPERLINK("http://www.rosaceae.org/Prunus/Prunus_persica/p.persica_gdr_reftransV1_0046631","p.persica_gdr_reftransV1_0046631")</f>
        <v>p.persica_gdr_reftransV1_0046631</v>
      </c>
      <c r="B8667" s="3">
        <v>1863</v>
      </c>
      <c r="C8667" s="1" t="str">
        <f>HYPERLINK("http://www.uniprot.org/uniprot/BIODA_ARATH","BIODA_ARATH")</f>
        <v>BIODA_ARATH</v>
      </c>
      <c r="D8667" t="s">
        <v>1158</v>
      </c>
      <c r="E8667" s="3" t="s">
        <v>3</v>
      </c>
      <c r="F8667" s="4">
        <v>0</v>
      </c>
      <c r="G8667" s="3">
        <v>1001</v>
      </c>
      <c r="H8667" s="3">
        <v>70</v>
      </c>
      <c r="I8667" s="3">
        <v>288</v>
      </c>
      <c r="J8667" s="3">
        <v>1</v>
      </c>
      <c r="K8667" s="3">
        <v>858</v>
      </c>
      <c r="L8667" s="3">
        <v>400</v>
      </c>
      <c r="M8667" s="3">
        <v>681</v>
      </c>
    </row>
    <row r="8668" spans="1:13" x14ac:dyDescent="0.25">
      <c r="A8668" s="1" t="str">
        <f>HYPERLINK("http://www.rosaceae.org/Prunus/Prunus_persica/p.persica_gdr_reftransV1_0046731","p.persica_gdr_reftransV1_0046731")</f>
        <v>p.persica_gdr_reftransV1_0046731</v>
      </c>
      <c r="B8668" s="3">
        <v>682</v>
      </c>
      <c r="C8668" s="1" t="str">
        <f>HYPERLINK("http://www.uniprot.org/uniprot/ADS3_ARATH","ADS3_ARATH")</f>
        <v>ADS3_ARATH</v>
      </c>
      <c r="D8668" t="s">
        <v>2103</v>
      </c>
      <c r="E8668" s="3" t="s">
        <v>3</v>
      </c>
      <c r="F8668" s="4">
        <v>1.4000000000000001E-82</v>
      </c>
      <c r="G8668" s="3">
        <v>657</v>
      </c>
      <c r="H8668" s="3">
        <v>63</v>
      </c>
      <c r="I8668" s="3">
        <v>185</v>
      </c>
      <c r="J8668" s="3">
        <v>4</v>
      </c>
      <c r="K8668" s="3">
        <v>558</v>
      </c>
      <c r="L8668" s="3">
        <v>184</v>
      </c>
      <c r="M8668" s="3">
        <v>367</v>
      </c>
    </row>
    <row r="8669" spans="1:13" x14ac:dyDescent="0.25">
      <c r="A8669" s="1" t="str">
        <f>HYPERLINK("http://www.rosaceae.org/Prunus/Prunus_persica/p.persica_gdr_reftransV1_0046831","p.persica_gdr_reftransV1_0046831")</f>
        <v>p.persica_gdr_reftransV1_0046831</v>
      </c>
      <c r="B8669" s="3">
        <v>1014</v>
      </c>
      <c r="C8669" s="1" t="str">
        <f>HYPERLINK("http://www.uniprot.org/uniprot/P2C76_ARATH","P2C76_ARATH")</f>
        <v>P2C76_ARATH</v>
      </c>
      <c r="D8669" t="s">
        <v>4165</v>
      </c>
      <c r="E8669" s="3" t="s">
        <v>3</v>
      </c>
      <c r="F8669" s="4">
        <v>1.63E-94</v>
      </c>
      <c r="G8669" s="3">
        <v>752</v>
      </c>
      <c r="H8669" s="3">
        <v>85</v>
      </c>
      <c r="I8669" s="3">
        <v>182</v>
      </c>
      <c r="J8669" s="3">
        <v>173</v>
      </c>
      <c r="K8669" s="3">
        <v>718</v>
      </c>
      <c r="L8669" s="3">
        <v>172</v>
      </c>
      <c r="M8669" s="3">
        <v>353</v>
      </c>
    </row>
    <row r="8670" spans="1:13" x14ac:dyDescent="0.25">
      <c r="A8670" s="1" t="str">
        <f>HYPERLINK("http://www.rosaceae.org/Prunus/Prunus_persica/p.persica_gdr_reftransV1_0046931","p.persica_gdr_reftransV1_0046931")</f>
        <v>p.persica_gdr_reftransV1_0046931</v>
      </c>
      <c r="B8670" s="3">
        <v>1553</v>
      </c>
      <c r="C8670" s="1" t="str">
        <f>HYPERLINK("http://www.uniprot.org/uniprot/AMYA_VIGMU","AMYA_VIGMU")</f>
        <v>AMYA_VIGMU</v>
      </c>
      <c r="D8670" t="s">
        <v>3414</v>
      </c>
      <c r="E8670" s="3" t="s">
        <v>208</v>
      </c>
      <c r="F8670" s="4">
        <v>0</v>
      </c>
      <c r="G8670" s="3">
        <v>1492</v>
      </c>
      <c r="H8670" s="3">
        <v>67</v>
      </c>
      <c r="I8670" s="3">
        <v>416</v>
      </c>
      <c r="J8670" s="3">
        <v>184</v>
      </c>
      <c r="K8670" s="3">
        <v>1428</v>
      </c>
      <c r="L8670" s="3">
        <v>10</v>
      </c>
      <c r="M8670" s="3">
        <v>421</v>
      </c>
    </row>
    <row r="8671" spans="1:13" x14ac:dyDescent="0.25">
      <c r="A8671" s="1" t="str">
        <f>HYPERLINK("http://www.rosaceae.org/Prunus/Prunus_persica/p.persica_gdr_reftransV1_0047031","p.persica_gdr_reftransV1_0047031")</f>
        <v>p.persica_gdr_reftransV1_0047031</v>
      </c>
      <c r="B8671" s="3">
        <v>850</v>
      </c>
      <c r="C8671" s="1" t="str">
        <f>HYPERLINK("http://www.uniprot.org/uniprot/CET2_TOBAC","CET2_TOBAC")</f>
        <v>CET2_TOBAC</v>
      </c>
      <c r="D8671" t="s">
        <v>6634</v>
      </c>
      <c r="E8671" s="3" t="s">
        <v>200</v>
      </c>
      <c r="F8671" s="4">
        <v>1.5000000000000001E-87</v>
      </c>
      <c r="G8671" s="3">
        <v>678</v>
      </c>
      <c r="H8671" s="3">
        <v>73</v>
      </c>
      <c r="I8671" s="3">
        <v>168</v>
      </c>
      <c r="J8671" s="3">
        <v>259</v>
      </c>
      <c r="K8671" s="3">
        <v>756</v>
      </c>
      <c r="L8671" s="3">
        <v>3</v>
      </c>
      <c r="M8671" s="3">
        <v>170</v>
      </c>
    </row>
    <row r="8672" spans="1:13" x14ac:dyDescent="0.25">
      <c r="A8672" s="1" t="str">
        <f>HYPERLINK("http://www.rosaceae.org/Prunus/Prunus_persica/p.persica_gdr_reftransV1_0047131","p.persica_gdr_reftransV1_0047131")</f>
        <v>p.persica_gdr_reftransV1_0047131</v>
      </c>
      <c r="B8672" s="3">
        <v>1802</v>
      </c>
      <c r="C8672" s="1" t="str">
        <f>HYPERLINK("http://www.uniprot.org/uniprot/ASSY_ARATH","ASSY_ARATH")</f>
        <v>ASSY_ARATH</v>
      </c>
      <c r="D8672" t="s">
        <v>6635</v>
      </c>
      <c r="E8672" s="3" t="s">
        <v>3</v>
      </c>
      <c r="F8672" s="4">
        <v>0</v>
      </c>
      <c r="G8672" s="3">
        <v>1924</v>
      </c>
      <c r="H8672" s="3">
        <v>80</v>
      </c>
      <c r="I8672" s="3">
        <v>462</v>
      </c>
      <c r="J8672" s="3">
        <v>234</v>
      </c>
      <c r="K8672" s="3">
        <v>1619</v>
      </c>
      <c r="L8672" s="3">
        <v>32</v>
      </c>
      <c r="M8672" s="3">
        <v>490</v>
      </c>
    </row>
    <row r="8673" spans="1:13" x14ac:dyDescent="0.25">
      <c r="A8673" s="1" t="str">
        <f>HYPERLINK("http://www.rosaceae.org/Prunus/Prunus_persica/p.persica_gdr_reftransV1_0047181","p.persica_gdr_reftransV1_0047181")</f>
        <v>p.persica_gdr_reftransV1_0047181</v>
      </c>
      <c r="B8673" s="3">
        <v>1067</v>
      </c>
      <c r="C8673" s="1" t="str">
        <f>HYPERLINK("http://www.uniprot.org/uniprot/ACA11_ARATH","ACA11_ARATH")</f>
        <v>ACA11_ARATH</v>
      </c>
      <c r="D8673" t="s">
        <v>6636</v>
      </c>
      <c r="E8673" s="3" t="s">
        <v>3</v>
      </c>
      <c r="F8673" s="4">
        <v>2.02E-91</v>
      </c>
      <c r="G8673" s="3">
        <v>769</v>
      </c>
      <c r="H8673" s="3">
        <v>79</v>
      </c>
      <c r="I8673" s="3">
        <v>202</v>
      </c>
      <c r="J8673" s="3">
        <v>460</v>
      </c>
      <c r="K8673" s="3">
        <v>1065</v>
      </c>
      <c r="L8673" s="3">
        <v>800</v>
      </c>
      <c r="M8673" s="3">
        <v>1001</v>
      </c>
    </row>
    <row r="8674" spans="1:13" x14ac:dyDescent="0.25">
      <c r="A8674" s="1" t="str">
        <f>HYPERLINK("http://www.rosaceae.org/Prunus/Prunus_persica/p.persica_gdr_reftransV1_0047381","p.persica_gdr_reftransV1_0047381")</f>
        <v>p.persica_gdr_reftransV1_0047381</v>
      </c>
      <c r="B8674" s="3">
        <v>1495</v>
      </c>
      <c r="C8674" s="1" t="str">
        <f>HYPERLINK("http://www.uniprot.org/uniprot/SPA1_ARATH","SPA1_ARATH")</f>
        <v>SPA1_ARATH</v>
      </c>
      <c r="D8674" t="s">
        <v>5543</v>
      </c>
      <c r="E8674" s="3" t="s">
        <v>3</v>
      </c>
      <c r="F8674" s="4">
        <v>1.7999999999999999E-155</v>
      </c>
      <c r="G8674" s="3">
        <v>1225</v>
      </c>
      <c r="H8674" s="3">
        <v>78</v>
      </c>
      <c r="I8674" s="3">
        <v>278</v>
      </c>
      <c r="J8674" s="3">
        <v>661</v>
      </c>
      <c r="K8674" s="3">
        <v>1494</v>
      </c>
      <c r="L8674" s="3">
        <v>752</v>
      </c>
      <c r="M8674" s="3">
        <v>1029</v>
      </c>
    </row>
    <row r="8675" spans="1:13" x14ac:dyDescent="0.25">
      <c r="A8675" s="1" t="str">
        <f>HYPERLINK("http://www.rosaceae.org/Prunus/Prunus_persica/p.persica_gdr_reftransV1_0047481","p.persica_gdr_reftransV1_0047481")</f>
        <v>p.persica_gdr_reftransV1_0047481</v>
      </c>
      <c r="B8675" s="3">
        <v>900</v>
      </c>
      <c r="C8675" s="1" t="str">
        <f>HYPERLINK("http://www.uniprot.org/uniprot/Y5986_ARATH","Y5986_ARATH")</f>
        <v>Y5986_ARATH</v>
      </c>
      <c r="D8675" t="s">
        <v>4689</v>
      </c>
      <c r="E8675" s="3" t="s">
        <v>3</v>
      </c>
      <c r="F8675" s="4">
        <v>7.7699999999999999E-28</v>
      </c>
      <c r="G8675" s="3">
        <v>287</v>
      </c>
      <c r="H8675" s="3">
        <v>42</v>
      </c>
      <c r="I8675" s="3">
        <v>129</v>
      </c>
      <c r="J8675" s="3">
        <v>540</v>
      </c>
      <c r="K8675" s="3">
        <v>896</v>
      </c>
      <c r="L8675" s="3">
        <v>223</v>
      </c>
      <c r="M8675" s="3">
        <v>351</v>
      </c>
    </row>
    <row r="8676" spans="1:13" x14ac:dyDescent="0.25">
      <c r="A8676" s="1" t="str">
        <f>HYPERLINK("http://www.rosaceae.org/Prunus/Prunus_persica/p.persica_gdr_reftransV1_0047531","p.persica_gdr_reftransV1_0047531")</f>
        <v>p.persica_gdr_reftransV1_0047531</v>
      </c>
      <c r="B8676" s="3">
        <v>1305</v>
      </c>
      <c r="C8676" s="1" t="str">
        <f>HYPERLINK("http://www.uniprot.org/uniprot/PDF2_ARATH","PDF2_ARATH")</f>
        <v>PDF2_ARATH</v>
      </c>
      <c r="D8676" t="s">
        <v>547</v>
      </c>
      <c r="E8676" s="3" t="s">
        <v>3</v>
      </c>
      <c r="F8676" s="4">
        <v>7.3699999999999997E-173</v>
      </c>
      <c r="G8676" s="3">
        <v>1312</v>
      </c>
      <c r="H8676" s="3">
        <v>74</v>
      </c>
      <c r="I8676" s="3">
        <v>343</v>
      </c>
      <c r="J8676" s="3">
        <v>281</v>
      </c>
      <c r="K8676" s="3">
        <v>1303</v>
      </c>
      <c r="L8676" s="3">
        <v>1</v>
      </c>
      <c r="M8676" s="3">
        <v>327</v>
      </c>
    </row>
    <row r="8677" spans="1:13" x14ac:dyDescent="0.25">
      <c r="A8677" s="1" t="str">
        <f>HYPERLINK("http://www.rosaceae.org/Prunus/Prunus_persica/p.persica_gdr_reftransV1_0047581","p.persica_gdr_reftransV1_0047581")</f>
        <v>p.persica_gdr_reftransV1_0047581</v>
      </c>
      <c r="B8677" s="3">
        <v>1109</v>
      </c>
      <c r="C8677" s="1" t="str">
        <f>HYPERLINK("http://www.uniprot.org/uniprot/EMS1_ARATH","EMS1_ARATH")</f>
        <v>EMS1_ARATH</v>
      </c>
      <c r="D8677" t="s">
        <v>4601</v>
      </c>
      <c r="E8677" s="3" t="s">
        <v>3</v>
      </c>
      <c r="F8677" s="4">
        <v>2.47E-177</v>
      </c>
      <c r="G8677" s="3">
        <v>1370</v>
      </c>
      <c r="H8677" s="3">
        <v>74</v>
      </c>
      <c r="I8677" s="3">
        <v>341</v>
      </c>
      <c r="J8677" s="3">
        <v>41</v>
      </c>
      <c r="K8677" s="3">
        <v>1054</v>
      </c>
      <c r="L8677" s="3">
        <v>850</v>
      </c>
      <c r="M8677" s="3">
        <v>1190</v>
      </c>
    </row>
    <row r="8678" spans="1:13" x14ac:dyDescent="0.25">
      <c r="A8678" s="1" t="str">
        <f>HYPERLINK("http://www.rosaceae.org/Prunus/Prunus_persica/p.persica_gdr_reftransV1_0047631","p.persica_gdr_reftransV1_0047631")</f>
        <v>p.persica_gdr_reftransV1_0047631</v>
      </c>
      <c r="B8678" s="3">
        <v>1304</v>
      </c>
      <c r="C8678" s="1" t="str">
        <f>HYPERLINK("http://www.uniprot.org/uniprot/ASAT1_ARATH","ASAT1_ARATH")</f>
        <v>ASAT1_ARATH</v>
      </c>
      <c r="D8678" t="s">
        <v>81</v>
      </c>
      <c r="E8678" s="3" t="s">
        <v>3</v>
      </c>
      <c r="F8678" s="4">
        <v>4.1099999999999998E-54</v>
      </c>
      <c r="G8678" s="3">
        <v>481</v>
      </c>
      <c r="H8678" s="3">
        <v>52</v>
      </c>
      <c r="I8678" s="3">
        <v>240</v>
      </c>
      <c r="J8678" s="3">
        <v>561</v>
      </c>
      <c r="K8678" s="3">
        <v>1277</v>
      </c>
      <c r="L8678" s="3">
        <v>1</v>
      </c>
      <c r="M8678" s="3">
        <v>220</v>
      </c>
    </row>
    <row r="8679" spans="1:13" x14ac:dyDescent="0.25">
      <c r="A8679" s="1" t="str">
        <f>HYPERLINK("http://www.rosaceae.org/Prunus/Prunus_persica/p.persica_gdr_reftransV1_0047681","p.persica_gdr_reftransV1_0047681")</f>
        <v>p.persica_gdr_reftransV1_0047681</v>
      </c>
      <c r="B8679" s="3">
        <v>1970</v>
      </c>
      <c r="C8679" s="1" t="str">
        <f>HYPERLINK("http://www.uniprot.org/uniprot/ACR9_ARATH","ACR9_ARATH")</f>
        <v>ACR9_ARATH</v>
      </c>
      <c r="D8679" t="s">
        <v>4091</v>
      </c>
      <c r="E8679" s="3" t="s">
        <v>3</v>
      </c>
      <c r="F8679" s="4">
        <v>0</v>
      </c>
      <c r="G8679" s="3">
        <v>1422</v>
      </c>
      <c r="H8679" s="3">
        <v>66</v>
      </c>
      <c r="I8679" s="3">
        <v>421</v>
      </c>
      <c r="J8679" s="3">
        <v>262</v>
      </c>
      <c r="K8679" s="3">
        <v>1524</v>
      </c>
      <c r="L8679" s="3">
        <v>1</v>
      </c>
      <c r="M8679" s="3">
        <v>411</v>
      </c>
    </row>
    <row r="8680" spans="1:13" x14ac:dyDescent="0.25">
      <c r="A8680" s="1" t="str">
        <f>HYPERLINK("http://www.rosaceae.org/Prunus/Prunus_persica/p.persica_gdr_reftransV1_0047781","p.persica_gdr_reftransV1_0047781")</f>
        <v>p.persica_gdr_reftransV1_0047781</v>
      </c>
      <c r="B8680" s="3">
        <v>1285</v>
      </c>
      <c r="C8680" s="1" t="str">
        <f>HYPERLINK("http://www.uniprot.org/uniprot/COV1_ARATH","COV1_ARATH")</f>
        <v>COV1_ARATH</v>
      </c>
      <c r="D8680" t="s">
        <v>6637</v>
      </c>
      <c r="E8680" s="3" t="s">
        <v>3</v>
      </c>
      <c r="F8680" s="4">
        <v>9.0599999999999993E-139</v>
      </c>
      <c r="G8680" s="3">
        <v>1041</v>
      </c>
      <c r="H8680" s="3">
        <v>78</v>
      </c>
      <c r="I8680" s="3">
        <v>268</v>
      </c>
      <c r="J8680" s="3">
        <v>143</v>
      </c>
      <c r="K8680" s="3">
        <v>931</v>
      </c>
      <c r="L8680" s="3">
        <v>1</v>
      </c>
      <c r="M8680" s="3">
        <v>263</v>
      </c>
    </row>
    <row r="8681" spans="1:13" x14ac:dyDescent="0.25">
      <c r="A8681" s="1" t="str">
        <f>HYPERLINK("http://www.rosaceae.org/Prunus/Prunus_persica/p.persica_gdr_reftransV1_0047981","p.persica_gdr_reftransV1_0047981")</f>
        <v>p.persica_gdr_reftransV1_0047981</v>
      </c>
      <c r="B8681" s="3">
        <v>573</v>
      </c>
      <c r="C8681" s="1" t="str">
        <f>HYPERLINK("http://www.uniprot.org/uniprot/Y1141_ARATH","Y1141_ARATH")</f>
        <v>Y1141_ARATH</v>
      </c>
      <c r="D8681" t="s">
        <v>2233</v>
      </c>
      <c r="E8681" s="3" t="s">
        <v>3</v>
      </c>
      <c r="F8681" s="4">
        <v>6.1E-35</v>
      </c>
      <c r="G8681" s="3">
        <v>339</v>
      </c>
      <c r="H8681" s="3">
        <v>41</v>
      </c>
      <c r="I8681" s="3">
        <v>182</v>
      </c>
      <c r="J8681" s="3">
        <v>1</v>
      </c>
      <c r="K8681" s="3">
        <v>537</v>
      </c>
      <c r="L8681" s="3">
        <v>293</v>
      </c>
      <c r="M8681" s="3">
        <v>472</v>
      </c>
    </row>
    <row r="8682" spans="1:13" x14ac:dyDescent="0.25">
      <c r="A8682" s="1" t="str">
        <f>HYPERLINK("http://www.rosaceae.org/Prunus/Prunus_persica/p.persica_gdr_reftransV1_0048031","p.persica_gdr_reftransV1_0048031")</f>
        <v>p.persica_gdr_reftransV1_0048031</v>
      </c>
      <c r="B8682" s="3">
        <v>377</v>
      </c>
      <c r="C8682" s="1" t="str">
        <f>HYPERLINK("http://www.uniprot.org/uniprot/MCA2_ARATH","MCA2_ARATH")</f>
        <v>MCA2_ARATH</v>
      </c>
      <c r="D8682" t="s">
        <v>6638</v>
      </c>
      <c r="E8682" s="3" t="s">
        <v>3</v>
      </c>
      <c r="F8682" s="4">
        <v>8.1000000000000001E-22</v>
      </c>
      <c r="G8682" s="3">
        <v>230</v>
      </c>
      <c r="H8682" s="3">
        <v>76</v>
      </c>
      <c r="I8682" s="3">
        <v>55</v>
      </c>
      <c r="J8682" s="3">
        <v>5</v>
      </c>
      <c r="K8682" s="3">
        <v>169</v>
      </c>
      <c r="L8682" s="3">
        <v>113</v>
      </c>
      <c r="M8682" s="3">
        <v>167</v>
      </c>
    </row>
    <row r="8683" spans="1:13" x14ac:dyDescent="0.25">
      <c r="A8683" s="1" t="str">
        <f>HYPERLINK("http://www.rosaceae.org/Prunus/Prunus_persica/p.persica_gdr_reftransV1_0048081","p.persica_gdr_reftransV1_0048081")</f>
        <v>p.persica_gdr_reftransV1_0048081</v>
      </c>
      <c r="B8683" s="3">
        <v>916</v>
      </c>
      <c r="C8683" s="1" t="str">
        <f>HYPERLINK("http://www.uniprot.org/uniprot/UBC4_SOLLC","UBC4_SOLLC")</f>
        <v>UBC4_SOLLC</v>
      </c>
      <c r="D8683" t="s">
        <v>5556</v>
      </c>
      <c r="E8683" s="3" t="s">
        <v>64</v>
      </c>
      <c r="F8683" s="4">
        <v>5.6000000000000005E-103</v>
      </c>
      <c r="G8683" s="3">
        <v>779</v>
      </c>
      <c r="H8683" s="3">
        <v>99</v>
      </c>
      <c r="I8683" s="3">
        <v>148</v>
      </c>
      <c r="J8683" s="3">
        <v>285</v>
      </c>
      <c r="K8683" s="3">
        <v>728</v>
      </c>
      <c r="L8683" s="3">
        <v>1</v>
      </c>
      <c r="M8683" s="3">
        <v>148</v>
      </c>
    </row>
    <row r="8684" spans="1:13" x14ac:dyDescent="0.25">
      <c r="A8684" s="1" t="str">
        <f>HYPERLINK("http://www.rosaceae.org/Prunus/Prunus_persica/p.persica_gdr_reftransV1_0048231","p.persica_gdr_reftransV1_0048231")</f>
        <v>p.persica_gdr_reftransV1_0048231</v>
      </c>
      <c r="B8684" s="3">
        <v>408</v>
      </c>
      <c r="C8684" s="1" t="str">
        <f>HYPERLINK("http://www.uniprot.org/uniprot/PP200_ARATH","PP200_ARATH")</f>
        <v>PP200_ARATH</v>
      </c>
      <c r="D8684" t="s">
        <v>6639</v>
      </c>
      <c r="E8684" s="3" t="s">
        <v>3</v>
      </c>
      <c r="F8684" s="4">
        <v>6.8499999999999998E-14</v>
      </c>
      <c r="G8684" s="3">
        <v>175</v>
      </c>
      <c r="H8684" s="3">
        <v>38</v>
      </c>
      <c r="I8684" s="3">
        <v>100</v>
      </c>
      <c r="J8684" s="3">
        <v>118</v>
      </c>
      <c r="K8684" s="3">
        <v>408</v>
      </c>
      <c r="L8684" s="3">
        <v>28</v>
      </c>
      <c r="M8684" s="3">
        <v>126</v>
      </c>
    </row>
    <row r="8685" spans="1:13" x14ac:dyDescent="0.25">
      <c r="A8685" s="1" t="str">
        <f>HYPERLINK("http://www.rosaceae.org/Prunus/Prunus_persica/p.persica_gdr_reftransV1_0048381","p.persica_gdr_reftransV1_0048381")</f>
        <v>p.persica_gdr_reftransV1_0048381</v>
      </c>
      <c r="B8685" s="3">
        <v>2069</v>
      </c>
      <c r="C8685" s="1" t="str">
        <f>HYPERLINK("http://www.uniprot.org/uniprot/PPO_MALDO","PPO_MALDO")</f>
        <v>PPO_MALDO</v>
      </c>
      <c r="D8685" t="s">
        <v>2145</v>
      </c>
      <c r="E8685" s="3" t="s">
        <v>540</v>
      </c>
      <c r="F8685" s="4">
        <v>0</v>
      </c>
      <c r="G8685" s="3">
        <v>2387</v>
      </c>
      <c r="H8685" s="3">
        <v>86</v>
      </c>
      <c r="I8685" s="3">
        <v>577</v>
      </c>
      <c r="J8685" s="3">
        <v>177</v>
      </c>
      <c r="K8685" s="3">
        <v>1904</v>
      </c>
      <c r="L8685" s="3">
        <v>18</v>
      </c>
      <c r="M8685" s="3">
        <v>593</v>
      </c>
    </row>
    <row r="8686" spans="1:13" x14ac:dyDescent="0.25">
      <c r="A8686" s="1" t="str">
        <f>HYPERLINK("http://www.rosaceae.org/Prunus/Prunus_persica/p.persica_gdr_reftransV1_0048431","p.persica_gdr_reftransV1_0048431")</f>
        <v>p.persica_gdr_reftransV1_0048431</v>
      </c>
      <c r="B8686" s="3">
        <v>2113</v>
      </c>
      <c r="C8686" s="1" t="str">
        <f>HYPERLINK("http://www.uniprot.org/uniprot/HSP7H_ARATH","HSP7H_ARATH")</f>
        <v>HSP7H_ARATH</v>
      </c>
      <c r="D8686" t="s">
        <v>6640</v>
      </c>
      <c r="E8686" s="3" t="s">
        <v>3</v>
      </c>
      <c r="F8686" s="4">
        <v>0</v>
      </c>
      <c r="G8686" s="3">
        <v>2255</v>
      </c>
      <c r="H8686" s="3">
        <v>72</v>
      </c>
      <c r="I8686" s="3">
        <v>572</v>
      </c>
      <c r="J8686" s="3">
        <v>256</v>
      </c>
      <c r="K8686" s="3">
        <v>1956</v>
      </c>
      <c r="L8686" s="3">
        <v>3</v>
      </c>
      <c r="M8686" s="3">
        <v>563</v>
      </c>
    </row>
    <row r="8687" spans="1:13" x14ac:dyDescent="0.25">
      <c r="A8687" s="1" t="str">
        <f>HYPERLINK("http://www.rosaceae.org/Prunus/Prunus_persica/p.persica_gdr_reftransV1_0048481","p.persica_gdr_reftransV1_0048481")</f>
        <v>p.persica_gdr_reftransV1_0048481</v>
      </c>
      <c r="B8687" s="3">
        <v>763</v>
      </c>
      <c r="C8687" s="1" t="str">
        <f>HYPERLINK("http://www.uniprot.org/uniprot/PSAEA_NICSY","PSAEA_NICSY")</f>
        <v>PSAEA_NICSY</v>
      </c>
      <c r="D8687" t="s">
        <v>6641</v>
      </c>
      <c r="E8687" s="3" t="s">
        <v>495</v>
      </c>
      <c r="F8687" s="4">
        <v>1.5300000000000001E-34</v>
      </c>
      <c r="G8687" s="3">
        <v>318</v>
      </c>
      <c r="H8687" s="3">
        <v>92</v>
      </c>
      <c r="I8687" s="3">
        <v>64</v>
      </c>
      <c r="J8687" s="3">
        <v>182</v>
      </c>
      <c r="K8687" s="3">
        <v>373</v>
      </c>
      <c r="L8687" s="3">
        <v>78</v>
      </c>
      <c r="M8687" s="3">
        <v>141</v>
      </c>
    </row>
    <row r="8688" spans="1:13" x14ac:dyDescent="0.25">
      <c r="A8688" s="1" t="str">
        <f>HYPERLINK("http://www.rosaceae.org/Prunus/Prunus_persica/p.persica_gdr_reftransV1_0048581","p.persica_gdr_reftransV1_0048581")</f>
        <v>p.persica_gdr_reftransV1_0048581</v>
      </c>
      <c r="B8688" s="3">
        <v>355</v>
      </c>
      <c r="C8688" s="1" t="str">
        <f>HYPERLINK("http://www.uniprot.org/uniprot/ERL2_ARATH","ERL2_ARATH")</f>
        <v>ERL2_ARATH</v>
      </c>
      <c r="D8688" t="s">
        <v>2141</v>
      </c>
      <c r="E8688" s="3" t="s">
        <v>3</v>
      </c>
      <c r="F8688" s="4">
        <v>1.12E-10</v>
      </c>
      <c r="G8688" s="3">
        <v>150</v>
      </c>
      <c r="H8688" s="3">
        <v>38</v>
      </c>
      <c r="I8688" s="3">
        <v>120</v>
      </c>
      <c r="J8688" s="3">
        <v>9</v>
      </c>
      <c r="K8688" s="3">
        <v>350</v>
      </c>
      <c r="L8688" s="3">
        <v>144</v>
      </c>
      <c r="M8688" s="3">
        <v>261</v>
      </c>
    </row>
    <row r="8689" spans="1:13" x14ac:dyDescent="0.25">
      <c r="A8689" s="1" t="str">
        <f>HYPERLINK("http://www.rosaceae.org/Prunus/Prunus_persica/p.persica_gdr_reftransV1_0048631","p.persica_gdr_reftransV1_0048631")</f>
        <v>p.persica_gdr_reftransV1_0048631</v>
      </c>
      <c r="B8689" s="3">
        <v>639</v>
      </c>
      <c r="C8689" s="1" t="str">
        <f>HYPERLINK("http://www.uniprot.org/uniprot/MCM8_ARATH","MCM8_ARATH")</f>
        <v>MCM8_ARATH</v>
      </c>
      <c r="D8689" t="s">
        <v>2557</v>
      </c>
      <c r="E8689" s="3" t="s">
        <v>3</v>
      </c>
      <c r="F8689" s="4">
        <v>1.3799999999999999E-107</v>
      </c>
      <c r="G8689" s="3">
        <v>854</v>
      </c>
      <c r="H8689" s="3">
        <v>78</v>
      </c>
      <c r="I8689" s="3">
        <v>215</v>
      </c>
      <c r="J8689" s="3">
        <v>3</v>
      </c>
      <c r="K8689" s="3">
        <v>638</v>
      </c>
      <c r="L8689" s="3">
        <v>527</v>
      </c>
      <c r="M8689" s="3">
        <v>741</v>
      </c>
    </row>
    <row r="8690" spans="1:13" x14ac:dyDescent="0.25">
      <c r="A8690" s="1" t="str">
        <f>HYPERLINK("http://www.rosaceae.org/Prunus/Prunus_persica/p.persica_gdr_reftransV1_0048681","p.persica_gdr_reftransV1_0048681")</f>
        <v>p.persica_gdr_reftransV1_0048681</v>
      </c>
      <c r="B8690" s="3">
        <v>520</v>
      </c>
      <c r="C8690" s="1" t="str">
        <f>HYPERLINK("http://www.uniprot.org/uniprot/D14_ORYSJ","D14_ORYSJ")</f>
        <v>D14_ORYSJ</v>
      </c>
      <c r="D8690" t="s">
        <v>3172</v>
      </c>
      <c r="E8690" s="3" t="s">
        <v>38</v>
      </c>
      <c r="F8690" s="4">
        <v>1.53E-56</v>
      </c>
      <c r="G8690" s="3">
        <v>472</v>
      </c>
      <c r="H8690" s="3">
        <v>81</v>
      </c>
      <c r="I8690" s="3">
        <v>106</v>
      </c>
      <c r="J8690" s="3">
        <v>201</v>
      </c>
      <c r="K8690" s="3">
        <v>518</v>
      </c>
      <c r="L8690" s="3">
        <v>70</v>
      </c>
      <c r="M8690" s="3">
        <v>175</v>
      </c>
    </row>
    <row r="8691" spans="1:13" x14ac:dyDescent="0.25">
      <c r="A8691" s="1" t="str">
        <f>HYPERLINK("http://www.rosaceae.org/Prunus/Prunus_persica/p.persica_gdr_reftransV1_0048731","p.persica_gdr_reftransV1_0048731")</f>
        <v>p.persica_gdr_reftransV1_0048731</v>
      </c>
      <c r="B8691" s="3">
        <v>1542</v>
      </c>
      <c r="C8691" s="1" t="str">
        <f>HYPERLINK("http://www.uniprot.org/uniprot/RTL2_ARATH","RTL2_ARATH")</f>
        <v>RTL2_ARATH</v>
      </c>
      <c r="D8691" t="s">
        <v>5268</v>
      </c>
      <c r="E8691" s="3" t="s">
        <v>3</v>
      </c>
      <c r="F8691" s="4">
        <v>5.5399999999999998E-62</v>
      </c>
      <c r="G8691" s="3">
        <v>544</v>
      </c>
      <c r="H8691" s="3">
        <v>40</v>
      </c>
      <c r="I8691" s="3">
        <v>350</v>
      </c>
      <c r="J8691" s="3">
        <v>100</v>
      </c>
      <c r="K8691" s="3">
        <v>1110</v>
      </c>
      <c r="L8691" s="3">
        <v>58</v>
      </c>
      <c r="M8691" s="3">
        <v>385</v>
      </c>
    </row>
    <row r="8692" spans="1:13" x14ac:dyDescent="0.25">
      <c r="A8692" s="1" t="str">
        <f>HYPERLINK("http://www.rosaceae.org/Prunus/Prunus_persica/p.persica_gdr_reftransV1_0048781","p.persica_gdr_reftransV1_0048781")</f>
        <v>p.persica_gdr_reftransV1_0048781</v>
      </c>
      <c r="B8692" s="3">
        <v>1023</v>
      </c>
      <c r="C8692" s="1" t="str">
        <f>HYPERLINK("http://www.uniprot.org/uniprot/LOR15_ARATH","LOR15_ARATH")</f>
        <v>LOR15_ARATH</v>
      </c>
      <c r="D8692" t="s">
        <v>2655</v>
      </c>
      <c r="E8692" s="3" t="s">
        <v>3</v>
      </c>
      <c r="F8692" s="4">
        <v>2.0300000000000001E-77</v>
      </c>
      <c r="G8692" s="3">
        <v>620</v>
      </c>
      <c r="H8692" s="3">
        <v>54</v>
      </c>
      <c r="I8692" s="3">
        <v>200</v>
      </c>
      <c r="J8692" s="3">
        <v>142</v>
      </c>
      <c r="K8692" s="3">
        <v>735</v>
      </c>
      <c r="L8692" s="3">
        <v>12</v>
      </c>
      <c r="M8692" s="3">
        <v>211</v>
      </c>
    </row>
    <row r="8693" spans="1:13" x14ac:dyDescent="0.25">
      <c r="A8693" s="1" t="str">
        <f>HYPERLINK("http://www.rosaceae.org/Prunus/Prunus_persica/p.persica_gdr_reftransV1_0048831","p.persica_gdr_reftransV1_0048831")</f>
        <v>p.persica_gdr_reftransV1_0048831</v>
      </c>
      <c r="B8693" s="3">
        <v>1879</v>
      </c>
      <c r="C8693" s="1" t="str">
        <f>HYPERLINK("http://www.uniprot.org/uniprot/Y1491_ARATH","Y1491_ARATH")</f>
        <v>Y1491_ARATH</v>
      </c>
      <c r="D8693" t="s">
        <v>310</v>
      </c>
      <c r="E8693" s="3" t="s">
        <v>3</v>
      </c>
      <c r="F8693" s="4">
        <v>8.3599999999999993E-71</v>
      </c>
      <c r="G8693" s="3">
        <v>622</v>
      </c>
      <c r="H8693" s="3">
        <v>35</v>
      </c>
      <c r="I8693" s="3">
        <v>433</v>
      </c>
      <c r="J8693" s="3">
        <v>284</v>
      </c>
      <c r="K8693" s="3">
        <v>1561</v>
      </c>
      <c r="L8693" s="3">
        <v>62</v>
      </c>
      <c r="M8693" s="3">
        <v>475</v>
      </c>
    </row>
    <row r="8694" spans="1:13" x14ac:dyDescent="0.25">
      <c r="A8694" s="1" t="str">
        <f>HYPERLINK("http://www.rosaceae.org/Prunus/Prunus_persica/p.persica_gdr_reftransV1_0048881","p.persica_gdr_reftransV1_0048881")</f>
        <v>p.persica_gdr_reftransV1_0048881</v>
      </c>
      <c r="B8694" s="3">
        <v>3522</v>
      </c>
      <c r="C8694" s="1" t="str">
        <f>HYPERLINK("http://www.uniprot.org/uniprot/GOGC5_ARATH","GOGC5_ARATH")</f>
        <v>GOGC5_ARATH</v>
      </c>
      <c r="D8694" t="s">
        <v>4627</v>
      </c>
      <c r="E8694" s="3" t="s">
        <v>3</v>
      </c>
      <c r="F8694" s="4">
        <v>0</v>
      </c>
      <c r="G8694" s="3">
        <v>2133</v>
      </c>
      <c r="H8694" s="3">
        <v>85</v>
      </c>
      <c r="I8694" s="3">
        <v>585</v>
      </c>
      <c r="J8694" s="3">
        <v>301</v>
      </c>
      <c r="K8694" s="3">
        <v>2055</v>
      </c>
      <c r="L8694" s="3">
        <v>372</v>
      </c>
      <c r="M8694" s="3">
        <v>956</v>
      </c>
    </row>
    <row r="8695" spans="1:13" x14ac:dyDescent="0.25">
      <c r="A8695" s="1" t="str">
        <f>HYPERLINK("http://www.rosaceae.org/Prunus/Prunus_persica/p.persica_gdr_reftransV1_0048931","p.persica_gdr_reftransV1_0048931")</f>
        <v>p.persica_gdr_reftransV1_0048931</v>
      </c>
      <c r="B8695" s="3">
        <v>1284</v>
      </c>
      <c r="C8695" s="1" t="str">
        <f>HYPERLINK("http://www.uniprot.org/uniprot/CBWD5_HUMAN","CBWD5_HUMAN")</f>
        <v>CBWD5_HUMAN</v>
      </c>
      <c r="D8695" t="s">
        <v>6642</v>
      </c>
      <c r="E8695" s="3" t="s">
        <v>28</v>
      </c>
      <c r="F8695" s="4">
        <v>3.4299999999999998E-27</v>
      </c>
      <c r="G8695" s="3">
        <v>288</v>
      </c>
      <c r="H8695" s="3">
        <v>32</v>
      </c>
      <c r="I8695" s="3">
        <v>251</v>
      </c>
      <c r="J8695" s="3">
        <v>359</v>
      </c>
      <c r="K8695" s="3">
        <v>1078</v>
      </c>
      <c r="L8695" s="3">
        <v>139</v>
      </c>
      <c r="M8695" s="3">
        <v>373</v>
      </c>
    </row>
    <row r="8696" spans="1:13" x14ac:dyDescent="0.25">
      <c r="A8696" s="1" t="str">
        <f>HYPERLINK("http://www.rosaceae.org/Prunus/Prunus_persica/p.persica_gdr_reftransV1_0048981","p.persica_gdr_reftransV1_0048981")</f>
        <v>p.persica_gdr_reftransV1_0048981</v>
      </c>
      <c r="B8696" s="3">
        <v>440</v>
      </c>
      <c r="C8696" s="1" t="str">
        <f>HYPERLINK("http://www.uniprot.org/uniprot/U86A1_ARATH","U86A1_ARATH")</f>
        <v>U86A1_ARATH</v>
      </c>
      <c r="D8696" t="s">
        <v>1139</v>
      </c>
      <c r="E8696" s="3" t="s">
        <v>3</v>
      </c>
      <c r="F8696" s="4">
        <v>5.4099999999999995E-32</v>
      </c>
      <c r="G8696" s="3">
        <v>307</v>
      </c>
      <c r="H8696" s="3">
        <v>62</v>
      </c>
      <c r="I8696" s="3">
        <v>103</v>
      </c>
      <c r="J8696" s="3">
        <v>6</v>
      </c>
      <c r="K8696" s="3">
        <v>311</v>
      </c>
      <c r="L8696" s="3">
        <v>5</v>
      </c>
      <c r="M8696" s="3">
        <v>104</v>
      </c>
    </row>
    <row r="8697" spans="1:13" x14ac:dyDescent="0.25">
      <c r="A8697" s="1" t="str">
        <f>HYPERLINK("http://www.rosaceae.org/Prunus/Prunus_persica/p.persica_gdr_reftransV1_0049031","p.persica_gdr_reftransV1_0049031")</f>
        <v>p.persica_gdr_reftransV1_0049031</v>
      </c>
      <c r="B8697" s="3">
        <v>544</v>
      </c>
      <c r="C8697" s="1" t="str">
        <f>HYPERLINK("http://www.uniprot.org/uniprot/PP445_ARATH","PP445_ARATH")</f>
        <v>PP445_ARATH</v>
      </c>
      <c r="D8697" t="s">
        <v>6643</v>
      </c>
      <c r="E8697" s="3" t="s">
        <v>3</v>
      </c>
      <c r="F8697" s="4">
        <v>4.3000000000000001E-56</v>
      </c>
      <c r="G8697" s="3">
        <v>493</v>
      </c>
      <c r="H8697" s="3">
        <v>54</v>
      </c>
      <c r="I8697" s="3">
        <v>183</v>
      </c>
      <c r="J8697" s="3">
        <v>1</v>
      </c>
      <c r="K8697" s="3">
        <v>543</v>
      </c>
      <c r="L8697" s="3">
        <v>93</v>
      </c>
      <c r="M8697" s="3">
        <v>275</v>
      </c>
    </row>
    <row r="8698" spans="1:13" x14ac:dyDescent="0.25">
      <c r="A8698" s="1" t="str">
        <f>HYPERLINK("http://www.rosaceae.org/Prunus/Prunus_persica/p.persica_gdr_reftransV1_0049081","p.persica_gdr_reftransV1_0049081")</f>
        <v>p.persica_gdr_reftransV1_0049081</v>
      </c>
      <c r="B8698" s="3">
        <v>1153</v>
      </c>
      <c r="C8698" s="1" t="str">
        <f>HYPERLINK("http://www.uniprot.org/uniprot/PGMC_POPTN","PGMC_POPTN")</f>
        <v>PGMC_POPTN</v>
      </c>
      <c r="D8698" t="s">
        <v>3120</v>
      </c>
      <c r="E8698" s="3" t="s">
        <v>3121</v>
      </c>
      <c r="F8698" s="4">
        <v>9.5800000000000002E-170</v>
      </c>
      <c r="G8698" s="3">
        <v>1271</v>
      </c>
      <c r="H8698" s="3">
        <v>92</v>
      </c>
      <c r="I8698" s="3">
        <v>259</v>
      </c>
      <c r="J8698" s="3">
        <v>1</v>
      </c>
      <c r="K8698" s="3">
        <v>777</v>
      </c>
      <c r="L8698" s="3">
        <v>324</v>
      </c>
      <c r="M8698" s="3">
        <v>582</v>
      </c>
    </row>
    <row r="8699" spans="1:13" x14ac:dyDescent="0.25">
      <c r="A8699" s="1" t="str">
        <f>HYPERLINK("http://www.rosaceae.org/Prunus/Prunus_persica/p.persica_gdr_reftransV1_0049131","p.persica_gdr_reftransV1_0049131")</f>
        <v>p.persica_gdr_reftransV1_0049131</v>
      </c>
      <c r="B8699" s="3">
        <v>423</v>
      </c>
      <c r="C8699" s="1" t="str">
        <f>HYPERLINK("http://www.uniprot.org/uniprot/IRE_ARATH","IRE_ARATH")</f>
        <v>IRE_ARATH</v>
      </c>
      <c r="D8699" t="s">
        <v>5267</v>
      </c>
      <c r="E8699" s="3" t="s">
        <v>3</v>
      </c>
      <c r="F8699" s="4">
        <v>1.27E-26</v>
      </c>
      <c r="G8699" s="3">
        <v>273</v>
      </c>
      <c r="H8699" s="3">
        <v>48</v>
      </c>
      <c r="I8699" s="3">
        <v>141</v>
      </c>
      <c r="J8699" s="3">
        <v>2</v>
      </c>
      <c r="K8699" s="3">
        <v>421</v>
      </c>
      <c r="L8699" s="3">
        <v>527</v>
      </c>
      <c r="M8699" s="3">
        <v>650</v>
      </c>
    </row>
    <row r="8700" spans="1:13" x14ac:dyDescent="0.25">
      <c r="A8700" s="1" t="str">
        <f>HYPERLINK("http://www.rosaceae.org/Prunus/Prunus_persica/p.persica_gdr_reftransV1_0049181","p.persica_gdr_reftransV1_0049181")</f>
        <v>p.persica_gdr_reftransV1_0049181</v>
      </c>
      <c r="B8700" s="3">
        <v>1758</v>
      </c>
      <c r="C8700" s="1" t="str">
        <f>HYPERLINK("http://www.uniprot.org/uniprot/NEP1_NEPGR","NEP1_NEPGR")</f>
        <v>NEP1_NEPGR</v>
      </c>
      <c r="D8700" t="s">
        <v>6644</v>
      </c>
      <c r="E8700" s="3" t="s">
        <v>6645</v>
      </c>
      <c r="F8700" s="4">
        <v>2.5100000000000001E-50</v>
      </c>
      <c r="G8700" s="3">
        <v>469</v>
      </c>
      <c r="H8700" s="3">
        <v>34</v>
      </c>
      <c r="I8700" s="3">
        <v>403</v>
      </c>
      <c r="J8700" s="3">
        <v>200</v>
      </c>
      <c r="K8700" s="3">
        <v>1402</v>
      </c>
      <c r="L8700" s="3">
        <v>62</v>
      </c>
      <c r="M8700" s="3">
        <v>435</v>
      </c>
    </row>
    <row r="8701" spans="1:13" x14ac:dyDescent="0.25">
      <c r="A8701" s="1" t="str">
        <f>HYPERLINK("http://www.rosaceae.org/Prunus/Prunus_persica/p.persica_gdr_reftransV1_0000032","p.persica_gdr_reftransV1_0000032")</f>
        <v>p.persica_gdr_reftransV1_0000032</v>
      </c>
      <c r="B8701" s="3">
        <v>2100</v>
      </c>
      <c r="C8701" s="1" t="str">
        <f>HYPERLINK("http://www.uniprot.org/uniprot/GAUTC_ARATH","GAUTC_ARATH")</f>
        <v>GAUTC_ARATH</v>
      </c>
      <c r="D8701" t="s">
        <v>6646</v>
      </c>
      <c r="E8701" s="3" t="s">
        <v>3</v>
      </c>
      <c r="F8701" s="4">
        <v>0</v>
      </c>
      <c r="G8701" s="3">
        <v>2258</v>
      </c>
      <c r="H8701" s="3">
        <v>81</v>
      </c>
      <c r="I8701" s="3">
        <v>535</v>
      </c>
      <c r="J8701" s="3">
        <v>191</v>
      </c>
      <c r="K8701" s="3">
        <v>1789</v>
      </c>
      <c r="L8701" s="3">
        <v>1</v>
      </c>
      <c r="M8701" s="3">
        <v>535</v>
      </c>
    </row>
    <row r="8702" spans="1:13" x14ac:dyDescent="0.25">
      <c r="A8702" s="1" t="str">
        <f>HYPERLINK("http://www.rosaceae.org/Prunus/Prunus_persica/p.persica_gdr_reftransV1_0000082","p.persica_gdr_reftransV1_0000082")</f>
        <v>p.persica_gdr_reftransV1_0000082</v>
      </c>
      <c r="B8702" s="3">
        <v>1697</v>
      </c>
      <c r="C8702" s="1" t="str">
        <f>HYPERLINK("http://www.uniprot.org/uniprot/VRN1_ARATH","VRN1_ARATH")</f>
        <v>VRN1_ARATH</v>
      </c>
      <c r="D8702" t="s">
        <v>4078</v>
      </c>
      <c r="E8702" s="3" t="s">
        <v>3</v>
      </c>
      <c r="F8702" s="4">
        <v>3.7799999999999998E-131</v>
      </c>
      <c r="G8702" s="3">
        <v>1010</v>
      </c>
      <c r="H8702" s="3">
        <v>55</v>
      </c>
      <c r="I8702" s="3">
        <v>368</v>
      </c>
      <c r="J8702" s="3">
        <v>235</v>
      </c>
      <c r="K8702" s="3">
        <v>1335</v>
      </c>
      <c r="L8702" s="3">
        <v>1</v>
      </c>
      <c r="M8702" s="3">
        <v>339</v>
      </c>
    </row>
    <row r="8703" spans="1:13" x14ac:dyDescent="0.25">
      <c r="A8703" s="1" t="str">
        <f>HYPERLINK("http://www.rosaceae.org/Prunus/Prunus_persica/p.persica_gdr_reftransV1_0000132","p.persica_gdr_reftransV1_0000132")</f>
        <v>p.persica_gdr_reftransV1_0000132</v>
      </c>
      <c r="B8703" s="3">
        <v>1959</v>
      </c>
      <c r="C8703" s="1" t="str">
        <f>HYPERLINK("http://www.uniprot.org/uniprot/PYRH_SYNJA","PYRH_SYNJA")</f>
        <v>PYRH_SYNJA</v>
      </c>
      <c r="D8703" t="s">
        <v>6647</v>
      </c>
      <c r="E8703" s="3" t="s">
        <v>2403</v>
      </c>
      <c r="F8703" s="4">
        <v>9.0899999999999998E-77</v>
      </c>
      <c r="G8703" s="3">
        <v>643</v>
      </c>
      <c r="H8703" s="3">
        <v>52</v>
      </c>
      <c r="I8703" s="3">
        <v>239</v>
      </c>
      <c r="J8703" s="3">
        <v>458</v>
      </c>
      <c r="K8703" s="3">
        <v>1168</v>
      </c>
      <c r="L8703" s="3">
        <v>1</v>
      </c>
      <c r="M8703" s="3">
        <v>236</v>
      </c>
    </row>
    <row r="8704" spans="1:13" x14ac:dyDescent="0.25">
      <c r="A8704" s="1" t="str">
        <f>HYPERLINK("http://www.rosaceae.org/Prunus/Prunus_persica/p.persica_gdr_reftransV1_0000232","p.persica_gdr_reftransV1_0000232")</f>
        <v>p.persica_gdr_reftransV1_0000232</v>
      </c>
      <c r="B8704" s="3">
        <v>2489</v>
      </c>
      <c r="C8704" s="1" t="str">
        <f>HYPERLINK("http://www.uniprot.org/uniprot/PSKR2_ARATH","PSKR2_ARATH")</f>
        <v>PSKR2_ARATH</v>
      </c>
      <c r="D8704" t="s">
        <v>127</v>
      </c>
      <c r="E8704" s="3" t="s">
        <v>3</v>
      </c>
      <c r="F8704" s="4">
        <v>0</v>
      </c>
      <c r="G8704" s="3">
        <v>2635</v>
      </c>
      <c r="H8704" s="3">
        <v>67</v>
      </c>
      <c r="I8704" s="3">
        <v>832</v>
      </c>
      <c r="J8704" s="3">
        <v>1</v>
      </c>
      <c r="K8704" s="3">
        <v>2487</v>
      </c>
      <c r="L8704" s="3">
        <v>126</v>
      </c>
      <c r="M8704" s="3">
        <v>955</v>
      </c>
    </row>
    <row r="8705" spans="1:13" x14ac:dyDescent="0.25">
      <c r="A8705" s="1" t="str">
        <f>HYPERLINK("http://www.rosaceae.org/Prunus/Prunus_persica/p.persica_gdr_reftransV1_0000382","p.persica_gdr_reftransV1_0000382")</f>
        <v>p.persica_gdr_reftransV1_0000382</v>
      </c>
      <c r="B8705" s="3">
        <v>1507</v>
      </c>
      <c r="C8705" s="1" t="str">
        <f>HYPERLINK("http://www.uniprot.org/uniprot/TIP11_ARATH","TIP11_ARATH")</f>
        <v>TIP11_ARATH</v>
      </c>
      <c r="D8705" t="s">
        <v>6539</v>
      </c>
      <c r="E8705" s="3" t="s">
        <v>3</v>
      </c>
      <c r="F8705" s="4">
        <v>1.2800000000000001E-109</v>
      </c>
      <c r="G8705" s="3">
        <v>852</v>
      </c>
      <c r="H8705" s="3">
        <v>81</v>
      </c>
      <c r="I8705" s="3">
        <v>252</v>
      </c>
      <c r="J8705" s="3">
        <v>319</v>
      </c>
      <c r="K8705" s="3">
        <v>1074</v>
      </c>
      <c r="L8705" s="3">
        <v>1</v>
      </c>
      <c r="M8705" s="3">
        <v>251</v>
      </c>
    </row>
    <row r="8706" spans="1:13" x14ac:dyDescent="0.25">
      <c r="A8706" s="1" t="str">
        <f>HYPERLINK("http://www.rosaceae.org/Prunus/Prunus_persica/p.persica_gdr_reftransV1_0000432","p.persica_gdr_reftransV1_0000432")</f>
        <v>p.persica_gdr_reftransV1_0000432</v>
      </c>
      <c r="B8706" s="3">
        <v>634</v>
      </c>
      <c r="C8706" s="1" t="str">
        <f>HYPERLINK("http://www.uniprot.org/uniprot/FLA14_ARATH","FLA14_ARATH")</f>
        <v>FLA14_ARATH</v>
      </c>
      <c r="D8706" t="s">
        <v>4780</v>
      </c>
      <c r="E8706" s="3" t="s">
        <v>3</v>
      </c>
      <c r="F8706" s="4">
        <v>4.3999999999999999E-35</v>
      </c>
      <c r="G8706" s="3">
        <v>326</v>
      </c>
      <c r="H8706" s="3">
        <v>56</v>
      </c>
      <c r="I8706" s="3">
        <v>118</v>
      </c>
      <c r="J8706" s="3">
        <v>285</v>
      </c>
      <c r="K8706" s="3">
        <v>632</v>
      </c>
      <c r="L8706" s="3">
        <v>58</v>
      </c>
      <c r="M8706" s="3">
        <v>173</v>
      </c>
    </row>
    <row r="8707" spans="1:13" x14ac:dyDescent="0.25">
      <c r="A8707" s="1" t="str">
        <f>HYPERLINK("http://www.rosaceae.org/Prunus/Prunus_persica/p.persica_gdr_reftransV1_0000582","p.persica_gdr_reftransV1_0000582")</f>
        <v>p.persica_gdr_reftransV1_0000582</v>
      </c>
      <c r="B8707" s="3">
        <v>666</v>
      </c>
      <c r="C8707" s="1" t="str">
        <f>HYPERLINK("http://www.uniprot.org/uniprot/PFD1_MOUSE","PFD1_MOUSE")</f>
        <v>PFD1_MOUSE</v>
      </c>
      <c r="D8707" t="s">
        <v>6648</v>
      </c>
      <c r="E8707" s="3" t="s">
        <v>157</v>
      </c>
      <c r="F8707" s="4">
        <v>4.2099999999999999E-14</v>
      </c>
      <c r="G8707" s="3">
        <v>171</v>
      </c>
      <c r="H8707" s="3">
        <v>36</v>
      </c>
      <c r="I8707" s="3">
        <v>107</v>
      </c>
      <c r="J8707" s="3">
        <v>70</v>
      </c>
      <c r="K8707" s="3">
        <v>390</v>
      </c>
      <c r="L8707" s="3">
        <v>10</v>
      </c>
      <c r="M8707" s="3">
        <v>116</v>
      </c>
    </row>
    <row r="8708" spans="1:13" x14ac:dyDescent="0.25">
      <c r="A8708" s="1" t="str">
        <f>HYPERLINK("http://www.rosaceae.org/Prunus/Prunus_persica/p.persica_gdr_reftransV1_0000782","p.persica_gdr_reftransV1_0000782")</f>
        <v>p.persica_gdr_reftransV1_0000782</v>
      </c>
      <c r="B8708" s="3">
        <v>1512</v>
      </c>
      <c r="C8708" s="1" t="str">
        <f>HYPERLINK("http://www.uniprot.org/uniprot/DR100_ARATH","DR100_ARATH")</f>
        <v>DR100_ARATH</v>
      </c>
      <c r="D8708" t="s">
        <v>4395</v>
      </c>
      <c r="E8708" s="3" t="s">
        <v>3</v>
      </c>
      <c r="F8708" s="4">
        <v>2.1100000000000001E-154</v>
      </c>
      <c r="G8708" s="3">
        <v>1162</v>
      </c>
      <c r="H8708" s="3">
        <v>63</v>
      </c>
      <c r="I8708" s="3">
        <v>344</v>
      </c>
      <c r="J8708" s="3">
        <v>292</v>
      </c>
      <c r="K8708" s="3">
        <v>1320</v>
      </c>
      <c r="L8708" s="3">
        <v>27</v>
      </c>
      <c r="M8708" s="3">
        <v>370</v>
      </c>
    </row>
    <row r="8709" spans="1:13" x14ac:dyDescent="0.25">
      <c r="A8709" s="1" t="str">
        <f>HYPERLINK("http://www.rosaceae.org/Prunus/Prunus_persica/p.persica_gdr_reftransV1_0000882","p.persica_gdr_reftransV1_0000882")</f>
        <v>p.persica_gdr_reftransV1_0000882</v>
      </c>
      <c r="B8709" s="3">
        <v>854</v>
      </c>
      <c r="C8709" s="1" t="str">
        <f>HYPERLINK("http://www.uniprot.org/uniprot/NLTP1_PRUDU","NLTP1_PRUDU")</f>
        <v>NLTP1_PRUDU</v>
      </c>
      <c r="D8709" t="s">
        <v>3307</v>
      </c>
      <c r="E8709" s="3" t="s">
        <v>418</v>
      </c>
      <c r="F8709" s="4">
        <v>2.7000000000000001E-70</v>
      </c>
      <c r="G8709" s="3">
        <v>558</v>
      </c>
      <c r="H8709" s="3">
        <v>96</v>
      </c>
      <c r="I8709" s="3">
        <v>117</v>
      </c>
      <c r="J8709" s="3">
        <v>125</v>
      </c>
      <c r="K8709" s="3">
        <v>475</v>
      </c>
      <c r="L8709" s="3">
        <v>1</v>
      </c>
      <c r="M8709" s="3">
        <v>117</v>
      </c>
    </row>
    <row r="8710" spans="1:13" x14ac:dyDescent="0.25">
      <c r="A8710" s="1" t="str">
        <f>HYPERLINK("http://www.rosaceae.org/Prunus/Prunus_persica/p.persica_gdr_reftransV1_0000982","p.persica_gdr_reftransV1_0000982")</f>
        <v>p.persica_gdr_reftransV1_0000982</v>
      </c>
      <c r="B8710" s="3">
        <v>1774</v>
      </c>
      <c r="C8710" s="1" t="str">
        <f>HYPERLINK("http://www.uniprot.org/uniprot/TCMO_VIGRR","TCMO_VIGRR")</f>
        <v>TCMO_VIGRR</v>
      </c>
      <c r="D8710" t="s">
        <v>6649</v>
      </c>
      <c r="E8710" s="3" t="s">
        <v>2261</v>
      </c>
      <c r="F8710" s="4">
        <v>0</v>
      </c>
      <c r="G8710" s="3">
        <v>2233</v>
      </c>
      <c r="H8710" s="3">
        <v>89</v>
      </c>
      <c r="I8710" s="3">
        <v>504</v>
      </c>
      <c r="J8710" s="3">
        <v>139</v>
      </c>
      <c r="K8710" s="3">
        <v>1650</v>
      </c>
      <c r="L8710" s="3">
        <v>1</v>
      </c>
      <c r="M8710" s="3">
        <v>504</v>
      </c>
    </row>
    <row r="8711" spans="1:13" x14ac:dyDescent="0.25">
      <c r="A8711" s="1" t="str">
        <f>HYPERLINK("http://www.rosaceae.org/Prunus/Prunus_persica/p.persica_gdr_reftransV1_0001082","p.persica_gdr_reftransV1_0001082")</f>
        <v>p.persica_gdr_reftransV1_0001082</v>
      </c>
      <c r="B8711" s="3">
        <v>3725</v>
      </c>
      <c r="C8711" s="1" t="str">
        <f>HYPERLINK("http://www.uniprot.org/uniprot/AGD2_ARATH","AGD2_ARATH")</f>
        <v>AGD2_ARATH</v>
      </c>
      <c r="D8711" t="s">
        <v>5719</v>
      </c>
      <c r="E8711" s="3" t="s">
        <v>3</v>
      </c>
      <c r="F8711" s="4">
        <v>0</v>
      </c>
      <c r="G8711" s="3">
        <v>2751</v>
      </c>
      <c r="H8711" s="3">
        <v>66</v>
      </c>
      <c r="I8711" s="3">
        <v>791</v>
      </c>
      <c r="J8711" s="3">
        <v>141</v>
      </c>
      <c r="K8711" s="3">
        <v>2504</v>
      </c>
      <c r="L8711" s="3">
        <v>1</v>
      </c>
      <c r="M8711" s="3">
        <v>776</v>
      </c>
    </row>
    <row r="8712" spans="1:13" x14ac:dyDescent="0.25">
      <c r="A8712" s="1" t="str">
        <f>HYPERLINK("http://www.rosaceae.org/Prunus/Prunus_persica/p.persica_gdr_reftransV1_0001132","p.persica_gdr_reftransV1_0001132")</f>
        <v>p.persica_gdr_reftransV1_0001132</v>
      </c>
      <c r="B8712" s="3">
        <v>2476</v>
      </c>
      <c r="C8712" s="1" t="str">
        <f>HYPERLINK("http://www.uniprot.org/uniprot/CBK1_CANAL","CBK1_CANAL")</f>
        <v>CBK1_CANAL</v>
      </c>
      <c r="D8712" t="s">
        <v>6650</v>
      </c>
      <c r="E8712" s="3" t="s">
        <v>4420</v>
      </c>
      <c r="F8712" s="4">
        <v>1.96E-114</v>
      </c>
      <c r="G8712" s="3">
        <v>891</v>
      </c>
      <c r="H8712" s="3">
        <v>48</v>
      </c>
      <c r="I8712" s="3">
        <v>353</v>
      </c>
      <c r="J8712" s="3">
        <v>256</v>
      </c>
      <c r="K8712" s="3">
        <v>1263</v>
      </c>
      <c r="L8712" s="3">
        <v>257</v>
      </c>
      <c r="M8712" s="3">
        <v>600</v>
      </c>
    </row>
    <row r="8713" spans="1:13" x14ac:dyDescent="0.25">
      <c r="A8713" s="1" t="str">
        <f>HYPERLINK("http://www.rosaceae.org/Prunus/Prunus_persica/p.persica_gdr_reftransV1_0001182","p.persica_gdr_reftransV1_0001182")</f>
        <v>p.persica_gdr_reftransV1_0001182</v>
      </c>
      <c r="B8713" s="3">
        <v>585</v>
      </c>
      <c r="C8713" s="1" t="str">
        <f>HYPERLINK("http://www.uniprot.org/uniprot/HS16A_ORYSJ","HS16A_ORYSJ")</f>
        <v>HS16A_ORYSJ</v>
      </c>
      <c r="D8713" t="s">
        <v>6651</v>
      </c>
      <c r="E8713" s="3" t="s">
        <v>38</v>
      </c>
      <c r="F8713" s="4">
        <v>9.0599999999999995E-35</v>
      </c>
      <c r="G8713" s="3">
        <v>315</v>
      </c>
      <c r="H8713" s="3">
        <v>53</v>
      </c>
      <c r="I8713" s="3">
        <v>139</v>
      </c>
      <c r="J8713" s="3">
        <v>71</v>
      </c>
      <c r="K8713" s="3">
        <v>487</v>
      </c>
      <c r="L8713" s="3">
        <v>13</v>
      </c>
      <c r="M8713" s="3">
        <v>149</v>
      </c>
    </row>
    <row r="8714" spans="1:13" x14ac:dyDescent="0.25">
      <c r="A8714" s="1" t="str">
        <f>HYPERLINK("http://www.rosaceae.org/Prunus/Prunus_persica/p.persica_gdr_reftransV1_0001432","p.persica_gdr_reftransV1_0001432")</f>
        <v>p.persica_gdr_reftransV1_0001432</v>
      </c>
      <c r="B8714" s="3">
        <v>2570</v>
      </c>
      <c r="C8714" s="1" t="str">
        <f>HYPERLINK("http://www.uniprot.org/uniprot/LEU11_ARATH","LEU11_ARATH")</f>
        <v>LEU11_ARATH</v>
      </c>
      <c r="D8714" t="s">
        <v>6652</v>
      </c>
      <c r="E8714" s="3" t="s">
        <v>3</v>
      </c>
      <c r="F8714" s="4">
        <v>0</v>
      </c>
      <c r="G8714" s="3">
        <v>2523</v>
      </c>
      <c r="H8714" s="3">
        <v>83</v>
      </c>
      <c r="I8714" s="3">
        <v>555</v>
      </c>
      <c r="J8714" s="3">
        <v>542</v>
      </c>
      <c r="K8714" s="3">
        <v>2206</v>
      </c>
      <c r="L8714" s="3">
        <v>77</v>
      </c>
      <c r="M8714" s="3">
        <v>631</v>
      </c>
    </row>
    <row r="8715" spans="1:13" x14ac:dyDescent="0.25">
      <c r="A8715" s="1" t="str">
        <f>HYPERLINK("http://www.rosaceae.org/Prunus/Prunus_persica/p.persica_gdr_reftransV1_0001482","p.persica_gdr_reftransV1_0001482")</f>
        <v>p.persica_gdr_reftransV1_0001482</v>
      </c>
      <c r="B8715" s="3">
        <v>6997</v>
      </c>
      <c r="C8715" s="1" t="str">
        <f>HYPERLINK("http://www.uniprot.org/uniprot/NHX7_ARATH","NHX7_ARATH")</f>
        <v>NHX7_ARATH</v>
      </c>
      <c r="D8715" t="s">
        <v>5729</v>
      </c>
      <c r="E8715" s="3" t="s">
        <v>3</v>
      </c>
      <c r="F8715" s="4">
        <v>0</v>
      </c>
      <c r="G8715" s="3">
        <v>3600</v>
      </c>
      <c r="H8715" s="3">
        <v>67</v>
      </c>
      <c r="I8715" s="3">
        <v>1145</v>
      </c>
      <c r="J8715" s="3">
        <v>298</v>
      </c>
      <c r="K8715" s="3">
        <v>3708</v>
      </c>
      <c r="L8715" s="3">
        <v>33</v>
      </c>
      <c r="M8715" s="3">
        <v>1144</v>
      </c>
    </row>
    <row r="8716" spans="1:13" x14ac:dyDescent="0.25">
      <c r="A8716" s="1" t="str">
        <f>HYPERLINK("http://www.rosaceae.org/Prunus/Prunus_persica/p.persica_gdr_reftransV1_0001532","p.persica_gdr_reftransV1_0001532")</f>
        <v>p.persica_gdr_reftransV1_0001532</v>
      </c>
      <c r="B8716" s="3">
        <v>2068</v>
      </c>
      <c r="C8716" s="1" t="str">
        <f>HYPERLINK("http://www.uniprot.org/uniprot/RIOK1_HUMAN","RIOK1_HUMAN")</f>
        <v>RIOK1_HUMAN</v>
      </c>
      <c r="D8716" t="s">
        <v>6653</v>
      </c>
      <c r="E8716" s="3" t="s">
        <v>28</v>
      </c>
      <c r="F8716" s="4">
        <v>2.0099999999999999E-107</v>
      </c>
      <c r="G8716" s="3">
        <v>594</v>
      </c>
      <c r="H8716" s="3">
        <v>54</v>
      </c>
      <c r="I8716" s="3">
        <v>216</v>
      </c>
      <c r="J8716" s="3">
        <v>993</v>
      </c>
      <c r="K8716" s="3">
        <v>1616</v>
      </c>
      <c r="L8716" s="3">
        <v>91</v>
      </c>
      <c r="M8716" s="3">
        <v>306</v>
      </c>
    </row>
    <row r="8717" spans="1:13" x14ac:dyDescent="0.25">
      <c r="A8717" s="1" t="str">
        <f>HYPERLINK("http://www.rosaceae.org/Prunus/Prunus_persica/p.persica_gdr_reftransV1_0001632","p.persica_gdr_reftransV1_0001632")</f>
        <v>p.persica_gdr_reftransV1_0001632</v>
      </c>
      <c r="B8717" s="3">
        <v>388</v>
      </c>
      <c r="C8717" s="1" t="str">
        <f>HYPERLINK("http://www.uniprot.org/uniprot/POLX_TOBAC","POLX_TOBAC")</f>
        <v>POLX_TOBAC</v>
      </c>
      <c r="D8717" t="s">
        <v>1253</v>
      </c>
      <c r="E8717" s="3" t="s">
        <v>200</v>
      </c>
      <c r="F8717" s="4">
        <v>1.0200000000000001E-24</v>
      </c>
      <c r="G8717" s="3">
        <v>258</v>
      </c>
      <c r="H8717" s="3">
        <v>41</v>
      </c>
      <c r="I8717" s="3">
        <v>128</v>
      </c>
      <c r="J8717" s="3">
        <v>5</v>
      </c>
      <c r="K8717" s="3">
        <v>388</v>
      </c>
      <c r="L8717" s="3">
        <v>920</v>
      </c>
      <c r="M8717" s="3">
        <v>1047</v>
      </c>
    </row>
    <row r="8718" spans="1:13" x14ac:dyDescent="0.25">
      <c r="A8718" s="1" t="str">
        <f>HYPERLINK("http://www.rosaceae.org/Prunus/Prunus_persica/p.persica_gdr_reftransV1_0001682","p.persica_gdr_reftransV1_0001682")</f>
        <v>p.persica_gdr_reftransV1_0001682</v>
      </c>
      <c r="B8718" s="3">
        <v>1882</v>
      </c>
      <c r="C8718" s="1" t="str">
        <f>HYPERLINK("http://www.uniprot.org/uniprot/CCA11_ARATH","CCA11_ARATH")</f>
        <v>CCA11_ARATH</v>
      </c>
      <c r="D8718" t="s">
        <v>6654</v>
      </c>
      <c r="E8718" s="3" t="s">
        <v>3</v>
      </c>
      <c r="F8718" s="4">
        <v>0</v>
      </c>
      <c r="G8718" s="3">
        <v>1443</v>
      </c>
      <c r="H8718" s="3">
        <v>61</v>
      </c>
      <c r="I8718" s="3">
        <v>458</v>
      </c>
      <c r="J8718" s="3">
        <v>265</v>
      </c>
      <c r="K8718" s="3">
        <v>1632</v>
      </c>
      <c r="L8718" s="3">
        <v>37</v>
      </c>
      <c r="M8718" s="3">
        <v>456</v>
      </c>
    </row>
    <row r="8719" spans="1:13" x14ac:dyDescent="0.25">
      <c r="A8719" s="1" t="str">
        <f>HYPERLINK("http://www.rosaceae.org/Prunus/Prunus_persica/p.persica_gdr_reftransV1_0001832","p.persica_gdr_reftransV1_0001832")</f>
        <v>p.persica_gdr_reftransV1_0001832</v>
      </c>
      <c r="B8719" s="3">
        <v>1483</v>
      </c>
      <c r="C8719" s="1" t="str">
        <f>HYPERLINK("http://www.uniprot.org/uniprot/MD15A_ARATH","MD15A_ARATH")</f>
        <v>MD15A_ARATH</v>
      </c>
      <c r="D8719" t="s">
        <v>3789</v>
      </c>
      <c r="E8719" s="3" t="s">
        <v>3</v>
      </c>
      <c r="F8719" s="4">
        <v>6.6100000000000003E-46</v>
      </c>
      <c r="G8719" s="3">
        <v>449</v>
      </c>
      <c r="H8719" s="3">
        <v>53</v>
      </c>
      <c r="I8719" s="3">
        <v>227</v>
      </c>
      <c r="J8719" s="3">
        <v>324</v>
      </c>
      <c r="K8719" s="3">
        <v>1004</v>
      </c>
      <c r="L8719" s="3">
        <v>598</v>
      </c>
      <c r="M8719" s="3">
        <v>816</v>
      </c>
    </row>
    <row r="8720" spans="1:13" x14ac:dyDescent="0.25">
      <c r="A8720" s="1" t="str">
        <f>HYPERLINK("http://www.rosaceae.org/Prunus/Prunus_persica/p.persica_gdr_reftransV1_0001882","p.persica_gdr_reftransV1_0001882")</f>
        <v>p.persica_gdr_reftransV1_0001882</v>
      </c>
      <c r="B8720" s="3">
        <v>585</v>
      </c>
      <c r="C8720" s="1" t="str">
        <f>HYPERLINK("http://www.uniprot.org/uniprot/PHYLO_ARATH","PHYLO_ARATH")</f>
        <v>PHYLO_ARATH</v>
      </c>
      <c r="D8720" t="s">
        <v>6655</v>
      </c>
      <c r="E8720" s="3" t="s">
        <v>3</v>
      </c>
      <c r="F8720" s="4">
        <v>3.0399999999999999E-74</v>
      </c>
      <c r="G8720" s="3">
        <v>636</v>
      </c>
      <c r="H8720" s="3">
        <v>61</v>
      </c>
      <c r="I8720" s="3">
        <v>194</v>
      </c>
      <c r="J8720" s="3">
        <v>3</v>
      </c>
      <c r="K8720" s="3">
        <v>584</v>
      </c>
      <c r="L8720" s="3">
        <v>679</v>
      </c>
      <c r="M8720" s="3">
        <v>871</v>
      </c>
    </row>
    <row r="8721" spans="1:13" x14ac:dyDescent="0.25">
      <c r="A8721" s="1" t="str">
        <f>HYPERLINK("http://www.rosaceae.org/Prunus/Prunus_persica/p.persica_gdr_reftransV1_0002032","p.persica_gdr_reftransV1_0002032")</f>
        <v>p.persica_gdr_reftransV1_0002032</v>
      </c>
      <c r="B8721" s="3">
        <v>529</v>
      </c>
      <c r="C8721" s="1" t="str">
        <f>HYPERLINK("http://www.uniprot.org/uniprot/SALAT_PAPSO","SALAT_PAPSO")</f>
        <v>SALAT_PAPSO</v>
      </c>
      <c r="D8721" t="s">
        <v>5434</v>
      </c>
      <c r="E8721" s="3" t="s">
        <v>2250</v>
      </c>
      <c r="F8721" s="4">
        <v>1.7500000000000001E-16</v>
      </c>
      <c r="G8721" s="3">
        <v>197</v>
      </c>
      <c r="H8721" s="3">
        <v>35</v>
      </c>
      <c r="I8721" s="3">
        <v>154</v>
      </c>
      <c r="J8721" s="3">
        <v>84</v>
      </c>
      <c r="K8721" s="3">
        <v>527</v>
      </c>
      <c r="L8721" s="3">
        <v>2</v>
      </c>
      <c r="M8721" s="3">
        <v>153</v>
      </c>
    </row>
    <row r="8722" spans="1:13" x14ac:dyDescent="0.25">
      <c r="A8722" s="1" t="str">
        <f>HYPERLINK("http://www.rosaceae.org/Prunus/Prunus_persica/p.persica_gdr_reftransV1_0002182","p.persica_gdr_reftransV1_0002182")</f>
        <v>p.persica_gdr_reftransV1_0002182</v>
      </c>
      <c r="B8722" s="3">
        <v>1033</v>
      </c>
      <c r="C8722" s="1" t="str">
        <f>HYPERLINK("http://www.uniprot.org/uniprot/CCR2_ARATH","CCR2_ARATH")</f>
        <v>CCR2_ARATH</v>
      </c>
      <c r="D8722" t="s">
        <v>1696</v>
      </c>
      <c r="E8722" s="3" t="s">
        <v>3</v>
      </c>
      <c r="F8722" s="4">
        <v>1.74E-67</v>
      </c>
      <c r="G8722" s="3">
        <v>564</v>
      </c>
      <c r="H8722" s="3">
        <v>43</v>
      </c>
      <c r="I8722" s="3">
        <v>311</v>
      </c>
      <c r="J8722" s="3">
        <v>1</v>
      </c>
      <c r="K8722" s="3">
        <v>921</v>
      </c>
      <c r="L8722" s="3">
        <v>12</v>
      </c>
      <c r="M8722" s="3">
        <v>317</v>
      </c>
    </row>
    <row r="8723" spans="1:13" x14ac:dyDescent="0.25">
      <c r="A8723" s="1" t="str">
        <f>HYPERLINK("http://www.rosaceae.org/Prunus/Prunus_persica/p.persica_gdr_reftransV1_0002232","p.persica_gdr_reftransV1_0002232")</f>
        <v>p.persica_gdr_reftransV1_0002232</v>
      </c>
      <c r="B8723" s="3">
        <v>3660</v>
      </c>
      <c r="C8723" s="1" t="str">
        <f>HYPERLINK("http://www.uniprot.org/uniprot/HMA2_ARATH","HMA2_ARATH")</f>
        <v>HMA2_ARATH</v>
      </c>
      <c r="D8723" t="s">
        <v>6656</v>
      </c>
      <c r="E8723" s="3" t="s">
        <v>3</v>
      </c>
      <c r="F8723" s="4">
        <v>0</v>
      </c>
      <c r="G8723" s="3">
        <v>2642</v>
      </c>
      <c r="H8723" s="3">
        <v>68</v>
      </c>
      <c r="I8723" s="3">
        <v>761</v>
      </c>
      <c r="J8723" s="3">
        <v>1031</v>
      </c>
      <c r="K8723" s="3">
        <v>3265</v>
      </c>
      <c r="L8723" s="3">
        <v>9</v>
      </c>
      <c r="M8723" s="3">
        <v>768</v>
      </c>
    </row>
    <row r="8724" spans="1:13" x14ac:dyDescent="0.25">
      <c r="A8724" s="1" t="str">
        <f>HYPERLINK("http://www.rosaceae.org/Prunus/Prunus_persica/p.persica_gdr_reftransV1_0002332","p.persica_gdr_reftransV1_0002332")</f>
        <v>p.persica_gdr_reftransV1_0002332</v>
      </c>
      <c r="B8724" s="3">
        <v>550</v>
      </c>
      <c r="C8724" s="1" t="str">
        <f>HYPERLINK("http://www.uniprot.org/uniprot/PP433_ARATH","PP433_ARATH")</f>
        <v>PP433_ARATH</v>
      </c>
      <c r="D8724" t="s">
        <v>1625</v>
      </c>
      <c r="E8724" s="3" t="s">
        <v>3</v>
      </c>
      <c r="F8724" s="4">
        <v>2.09E-62</v>
      </c>
      <c r="G8724" s="3">
        <v>527</v>
      </c>
      <c r="H8724" s="3">
        <v>50</v>
      </c>
      <c r="I8724" s="3">
        <v>182</v>
      </c>
      <c r="J8724" s="3">
        <v>3</v>
      </c>
      <c r="K8724" s="3">
        <v>548</v>
      </c>
      <c r="L8724" s="3">
        <v>224</v>
      </c>
      <c r="M8724" s="3">
        <v>405</v>
      </c>
    </row>
    <row r="8725" spans="1:13" x14ac:dyDescent="0.25">
      <c r="A8725" s="1" t="str">
        <f>HYPERLINK("http://www.rosaceae.org/Prunus/Prunus_persica/p.persica_gdr_reftransV1_0002382","p.persica_gdr_reftransV1_0002382")</f>
        <v>p.persica_gdr_reftransV1_0002382</v>
      </c>
      <c r="B8725" s="3">
        <v>1289</v>
      </c>
      <c r="C8725" s="1" t="str">
        <f>HYPERLINK("http://www.uniprot.org/uniprot/HSP83_IPONI","HSP83_IPONI")</f>
        <v>HSP83_IPONI</v>
      </c>
      <c r="D8725" t="s">
        <v>6657</v>
      </c>
      <c r="E8725" s="3" t="s">
        <v>3743</v>
      </c>
      <c r="F8725" s="4">
        <v>2.9800000000000001E-98</v>
      </c>
      <c r="G8725" s="3">
        <v>807</v>
      </c>
      <c r="H8725" s="3">
        <v>46</v>
      </c>
      <c r="I8725" s="3">
        <v>385</v>
      </c>
      <c r="J8725" s="3">
        <v>2</v>
      </c>
      <c r="K8725" s="3">
        <v>1126</v>
      </c>
      <c r="L8725" s="3">
        <v>118</v>
      </c>
      <c r="M8725" s="3">
        <v>494</v>
      </c>
    </row>
    <row r="8726" spans="1:13" x14ac:dyDescent="0.25">
      <c r="A8726" s="1" t="str">
        <f>HYPERLINK("http://www.rosaceae.org/Prunus/Prunus_persica/p.persica_gdr_reftransV1_0002432","p.persica_gdr_reftransV1_0002432")</f>
        <v>p.persica_gdr_reftransV1_0002432</v>
      </c>
      <c r="B8726" s="3">
        <v>419</v>
      </c>
      <c r="C8726" s="1" t="str">
        <f>HYPERLINK("http://www.uniprot.org/uniprot/ATPB_NEUCR","ATPB_NEUCR")</f>
        <v>ATPB_NEUCR</v>
      </c>
      <c r="D8726" t="s">
        <v>6658</v>
      </c>
      <c r="E8726" s="3" t="s">
        <v>435</v>
      </c>
      <c r="F8726" s="4">
        <v>3.9700000000000001E-64</v>
      </c>
      <c r="G8726" s="3">
        <v>533</v>
      </c>
      <c r="H8726" s="3">
        <v>95</v>
      </c>
      <c r="I8726" s="3">
        <v>110</v>
      </c>
      <c r="J8726" s="3">
        <v>1</v>
      </c>
      <c r="K8726" s="3">
        <v>330</v>
      </c>
      <c r="L8726" s="3">
        <v>409</v>
      </c>
      <c r="M8726" s="3">
        <v>518</v>
      </c>
    </row>
    <row r="8727" spans="1:13" x14ac:dyDescent="0.25">
      <c r="A8727" s="1" t="str">
        <f>HYPERLINK("http://www.rosaceae.org/Prunus/Prunus_persica/p.persica_gdr_reftransV1_0002482","p.persica_gdr_reftransV1_0002482")</f>
        <v>p.persica_gdr_reftransV1_0002482</v>
      </c>
      <c r="B8727" s="3">
        <v>2738</v>
      </c>
      <c r="C8727" s="1" t="str">
        <f>HYPERLINK("http://www.uniprot.org/uniprot/Y1133_ARATH","Y1133_ARATH")</f>
        <v>Y1133_ARATH</v>
      </c>
      <c r="D8727" t="s">
        <v>3480</v>
      </c>
      <c r="E8727" s="3" t="s">
        <v>3</v>
      </c>
      <c r="F8727" s="4">
        <v>4.2299999999999999E-137</v>
      </c>
      <c r="G8727" s="3">
        <v>1123</v>
      </c>
      <c r="H8727" s="3">
        <v>39</v>
      </c>
      <c r="I8727" s="3">
        <v>694</v>
      </c>
      <c r="J8727" s="3">
        <v>309</v>
      </c>
      <c r="K8727" s="3">
        <v>2237</v>
      </c>
      <c r="L8727" s="3">
        <v>163</v>
      </c>
      <c r="M8727" s="3">
        <v>842</v>
      </c>
    </row>
    <row r="8728" spans="1:13" x14ac:dyDescent="0.25">
      <c r="A8728" s="1" t="str">
        <f>HYPERLINK("http://www.rosaceae.org/Prunus/Prunus_persica/p.persica_gdr_reftransV1_0002532","p.persica_gdr_reftransV1_0002532")</f>
        <v>p.persica_gdr_reftransV1_0002532</v>
      </c>
      <c r="B8728" s="3">
        <v>576</v>
      </c>
      <c r="C8728" s="1" t="str">
        <f>HYPERLINK("http://www.uniprot.org/uniprot/RCE1_ARATH","RCE1_ARATH")</f>
        <v>RCE1_ARATH</v>
      </c>
      <c r="D8728" t="s">
        <v>279</v>
      </c>
      <c r="E8728" s="3" t="s">
        <v>3</v>
      </c>
      <c r="F8728" s="4">
        <v>3.0399999999999998E-56</v>
      </c>
      <c r="G8728" s="3">
        <v>462</v>
      </c>
      <c r="H8728" s="3">
        <v>83</v>
      </c>
      <c r="I8728" s="3">
        <v>117</v>
      </c>
      <c r="J8728" s="3">
        <v>229</v>
      </c>
      <c r="K8728" s="3">
        <v>576</v>
      </c>
      <c r="L8728" s="3">
        <v>1</v>
      </c>
      <c r="M8728" s="3">
        <v>117</v>
      </c>
    </row>
    <row r="8729" spans="1:13" x14ac:dyDescent="0.25">
      <c r="A8729" s="1" t="str">
        <f>HYPERLINK("http://www.rosaceae.org/Prunus/Prunus_persica/p.persica_gdr_reftransV1_0002632","p.persica_gdr_reftransV1_0002632")</f>
        <v>p.persica_gdr_reftransV1_0002632</v>
      </c>
      <c r="B8729" s="3">
        <v>2087</v>
      </c>
      <c r="C8729" s="1" t="str">
        <f>HYPERLINK("http://www.uniprot.org/uniprot/ATD1B_DANRE","ATD1B_DANRE")</f>
        <v>ATD1B_DANRE</v>
      </c>
      <c r="D8729" t="s">
        <v>6659</v>
      </c>
      <c r="E8729" s="3" t="s">
        <v>704</v>
      </c>
      <c r="F8729" s="4">
        <v>9.2999999999999998E-35</v>
      </c>
      <c r="G8729" s="3">
        <v>352</v>
      </c>
      <c r="H8729" s="3">
        <v>36</v>
      </c>
      <c r="I8729" s="3">
        <v>238</v>
      </c>
      <c r="J8729" s="3">
        <v>1062</v>
      </c>
      <c r="K8729" s="3">
        <v>1748</v>
      </c>
      <c r="L8729" s="3">
        <v>85</v>
      </c>
      <c r="M8729" s="3">
        <v>310</v>
      </c>
    </row>
    <row r="8730" spans="1:13" x14ac:dyDescent="0.25">
      <c r="A8730" s="1" t="str">
        <f>HYPERLINK("http://www.rosaceae.org/Prunus/Prunus_persica/p.persica_gdr_reftransV1_0002782","p.persica_gdr_reftransV1_0002782")</f>
        <v>p.persica_gdr_reftransV1_0002782</v>
      </c>
      <c r="B8730" s="3">
        <v>1465</v>
      </c>
      <c r="C8730" s="1" t="str">
        <f>HYPERLINK("http://www.uniprot.org/uniprot/VINSY_RAUSE","VINSY_RAUSE")</f>
        <v>VINSY_RAUSE</v>
      </c>
      <c r="D8730" t="s">
        <v>2815</v>
      </c>
      <c r="E8730" s="3" t="s">
        <v>2816</v>
      </c>
      <c r="F8730" s="4">
        <v>4.1700000000000001E-85</v>
      </c>
      <c r="G8730" s="3">
        <v>702</v>
      </c>
      <c r="H8730" s="3">
        <v>38</v>
      </c>
      <c r="I8730" s="3">
        <v>430</v>
      </c>
      <c r="J8730" s="3">
        <v>80</v>
      </c>
      <c r="K8730" s="3">
        <v>1339</v>
      </c>
      <c r="L8730" s="3">
        <v>1</v>
      </c>
      <c r="M8730" s="3">
        <v>407</v>
      </c>
    </row>
    <row r="8731" spans="1:13" x14ac:dyDescent="0.25">
      <c r="A8731" s="1" t="str">
        <f>HYPERLINK("http://www.rosaceae.org/Prunus/Prunus_persica/p.persica_gdr_reftransV1_0002832","p.persica_gdr_reftransV1_0002832")</f>
        <v>p.persica_gdr_reftransV1_0002832</v>
      </c>
      <c r="B8731" s="3">
        <v>1059</v>
      </c>
      <c r="C8731" s="1" t="str">
        <f>HYPERLINK("http://www.uniprot.org/uniprot/RR20_ARATH","RR20_ARATH")</f>
        <v>RR20_ARATH</v>
      </c>
      <c r="D8731" t="s">
        <v>6660</v>
      </c>
      <c r="E8731" s="3" t="s">
        <v>3</v>
      </c>
      <c r="F8731" s="4">
        <v>2.9600000000000001E-38</v>
      </c>
      <c r="G8731" s="3">
        <v>355</v>
      </c>
      <c r="H8731" s="3">
        <v>59</v>
      </c>
      <c r="I8731" s="3">
        <v>191</v>
      </c>
      <c r="J8731" s="3">
        <v>84</v>
      </c>
      <c r="K8731" s="3">
        <v>629</v>
      </c>
      <c r="L8731" s="3">
        <v>1</v>
      </c>
      <c r="M8731" s="3">
        <v>188</v>
      </c>
    </row>
    <row r="8732" spans="1:13" x14ac:dyDescent="0.25">
      <c r="A8732" s="1" t="str">
        <f>HYPERLINK("http://www.rosaceae.org/Prunus/Prunus_persica/p.persica_gdr_reftransV1_0002882","p.persica_gdr_reftransV1_0002882")</f>
        <v>p.persica_gdr_reftransV1_0002882</v>
      </c>
      <c r="B8732" s="3">
        <v>374</v>
      </c>
      <c r="C8732" s="1" t="str">
        <f>HYPERLINK("http://www.uniprot.org/uniprot/RPB5A_ARATH","RPB5A_ARATH")</f>
        <v>RPB5A_ARATH</v>
      </c>
      <c r="D8732" t="s">
        <v>6661</v>
      </c>
      <c r="E8732" s="3" t="s">
        <v>3</v>
      </c>
      <c r="F8732" s="4">
        <v>1.4E-57</v>
      </c>
      <c r="G8732" s="3">
        <v>465</v>
      </c>
      <c r="H8732" s="3">
        <v>77</v>
      </c>
      <c r="I8732" s="3">
        <v>124</v>
      </c>
      <c r="J8732" s="3">
        <v>3</v>
      </c>
      <c r="K8732" s="3">
        <v>374</v>
      </c>
      <c r="L8732" s="3">
        <v>39</v>
      </c>
      <c r="M8732" s="3">
        <v>162</v>
      </c>
    </row>
    <row r="8733" spans="1:13" x14ac:dyDescent="0.25">
      <c r="A8733" s="1" t="str">
        <f>HYPERLINK("http://www.rosaceae.org/Prunus/Prunus_persica/p.persica_gdr_reftransV1_0002982","p.persica_gdr_reftransV1_0002982")</f>
        <v>p.persica_gdr_reftransV1_0002982</v>
      </c>
      <c r="B8733" s="3">
        <v>433</v>
      </c>
      <c r="C8733" s="1" t="str">
        <f>HYPERLINK("http://www.uniprot.org/uniprot/ALMTD_ARATH","ALMTD_ARATH")</f>
        <v>ALMTD_ARATH</v>
      </c>
      <c r="D8733" t="s">
        <v>6662</v>
      </c>
      <c r="E8733" s="3" t="s">
        <v>3</v>
      </c>
      <c r="F8733" s="4">
        <v>5.6000000000000005E-29</v>
      </c>
      <c r="G8733" s="3">
        <v>286</v>
      </c>
      <c r="H8733" s="3">
        <v>43</v>
      </c>
      <c r="I8733" s="3">
        <v>138</v>
      </c>
      <c r="J8733" s="3">
        <v>2</v>
      </c>
      <c r="K8733" s="3">
        <v>391</v>
      </c>
      <c r="L8733" s="3">
        <v>185</v>
      </c>
      <c r="M8733" s="3">
        <v>319</v>
      </c>
    </row>
    <row r="8734" spans="1:13" x14ac:dyDescent="0.25">
      <c r="A8734" s="1" t="str">
        <f>HYPERLINK("http://www.rosaceae.org/Prunus/Prunus_persica/p.persica_gdr_reftransV1_0003082","p.persica_gdr_reftransV1_0003082")</f>
        <v>p.persica_gdr_reftransV1_0003082</v>
      </c>
      <c r="B8734" s="3">
        <v>2378</v>
      </c>
      <c r="C8734" s="1" t="str">
        <f>HYPERLINK("http://www.uniprot.org/uniprot/LAS1L_HUMAN","LAS1L_HUMAN")</f>
        <v>LAS1L_HUMAN</v>
      </c>
      <c r="D8734" t="s">
        <v>6663</v>
      </c>
      <c r="E8734" s="3" t="s">
        <v>28</v>
      </c>
      <c r="F8734" s="4">
        <v>5.3299999999999998E-14</v>
      </c>
      <c r="G8734" s="3">
        <v>195</v>
      </c>
      <c r="H8734" s="3">
        <v>31</v>
      </c>
      <c r="I8734" s="3">
        <v>164</v>
      </c>
      <c r="J8734" s="3">
        <v>303</v>
      </c>
      <c r="K8734" s="3">
        <v>788</v>
      </c>
      <c r="L8734" s="3">
        <v>42</v>
      </c>
      <c r="M8734" s="3">
        <v>185</v>
      </c>
    </row>
    <row r="8735" spans="1:13" x14ac:dyDescent="0.25">
      <c r="A8735" s="1" t="str">
        <f>HYPERLINK("http://www.rosaceae.org/Prunus/Prunus_persica/p.persica_gdr_reftransV1_0003132","p.persica_gdr_reftransV1_0003132")</f>
        <v>p.persica_gdr_reftransV1_0003132</v>
      </c>
      <c r="B8735" s="3">
        <v>1536</v>
      </c>
      <c r="C8735" s="1" t="str">
        <f>HYPERLINK("http://www.uniprot.org/uniprot/XCT_ARATH","XCT_ARATH")</f>
        <v>XCT_ARATH</v>
      </c>
      <c r="D8735" t="s">
        <v>6664</v>
      </c>
      <c r="E8735" s="3" t="s">
        <v>3</v>
      </c>
      <c r="F8735" s="4">
        <v>1.13E-125</v>
      </c>
      <c r="G8735" s="3">
        <v>801</v>
      </c>
      <c r="H8735" s="3">
        <v>91</v>
      </c>
      <c r="I8735" s="3">
        <v>157</v>
      </c>
      <c r="J8735" s="3">
        <v>364</v>
      </c>
      <c r="K8735" s="3">
        <v>834</v>
      </c>
      <c r="L8735" s="3">
        <v>181</v>
      </c>
      <c r="M8735" s="3">
        <v>337</v>
      </c>
    </row>
    <row r="8736" spans="1:13" x14ac:dyDescent="0.25">
      <c r="A8736" s="1" t="str">
        <f>HYPERLINK("http://www.rosaceae.org/Prunus/Prunus_persica/p.persica_gdr_reftransV1_0003232","p.persica_gdr_reftransV1_0003232")</f>
        <v>p.persica_gdr_reftransV1_0003232</v>
      </c>
      <c r="B8736" s="3">
        <v>2104</v>
      </c>
      <c r="C8736" s="1" t="str">
        <f>HYPERLINK("http://www.uniprot.org/uniprot/EI2BD_RABIT","EI2BD_RABIT")</f>
        <v>EI2BD_RABIT</v>
      </c>
      <c r="D8736" t="s">
        <v>6500</v>
      </c>
      <c r="E8736" s="3" t="s">
        <v>6501</v>
      </c>
      <c r="F8736" s="4">
        <v>1.3700000000000001E-114</v>
      </c>
      <c r="G8736" s="3">
        <v>928</v>
      </c>
      <c r="H8736" s="3">
        <v>46</v>
      </c>
      <c r="I8736" s="3">
        <v>414</v>
      </c>
      <c r="J8736" s="3">
        <v>467</v>
      </c>
      <c r="K8736" s="3">
        <v>1708</v>
      </c>
      <c r="L8736" s="3">
        <v>114</v>
      </c>
      <c r="M8736" s="3">
        <v>517</v>
      </c>
    </row>
    <row r="8737" spans="1:13" x14ac:dyDescent="0.25">
      <c r="A8737" s="1" t="str">
        <f>HYPERLINK("http://www.rosaceae.org/Prunus/Prunus_persica/p.persica_gdr_reftransV1_0003282","p.persica_gdr_reftransV1_0003282")</f>
        <v>p.persica_gdr_reftransV1_0003282</v>
      </c>
      <c r="B8737" s="3">
        <v>389</v>
      </c>
      <c r="C8737" s="1" t="str">
        <f>HYPERLINK("http://www.uniprot.org/uniprot/CLV1_ARATH","CLV1_ARATH")</f>
        <v>CLV1_ARATH</v>
      </c>
      <c r="D8737" t="s">
        <v>2635</v>
      </c>
      <c r="E8737" s="3" t="s">
        <v>3</v>
      </c>
      <c r="F8737" s="4">
        <v>2.8899999999999999E-26</v>
      </c>
      <c r="G8737" s="3">
        <v>269</v>
      </c>
      <c r="H8737" s="3">
        <v>46</v>
      </c>
      <c r="I8737" s="3">
        <v>130</v>
      </c>
      <c r="J8737" s="3">
        <v>10</v>
      </c>
      <c r="K8737" s="3">
        <v>384</v>
      </c>
      <c r="L8737" s="3">
        <v>520</v>
      </c>
      <c r="M8737" s="3">
        <v>649</v>
      </c>
    </row>
    <row r="8738" spans="1:13" x14ac:dyDescent="0.25">
      <c r="A8738" s="1" t="str">
        <f>HYPERLINK("http://www.rosaceae.org/Prunus/Prunus_persica/p.persica_gdr_reftransV1_0003332","p.persica_gdr_reftransV1_0003332")</f>
        <v>p.persica_gdr_reftransV1_0003332</v>
      </c>
      <c r="B8738" s="3">
        <v>411</v>
      </c>
      <c r="C8738" s="1" t="str">
        <f>HYPERLINK("http://www.uniprot.org/uniprot/HKT1_ARATH","HKT1_ARATH")</f>
        <v>HKT1_ARATH</v>
      </c>
      <c r="D8738" t="s">
        <v>6665</v>
      </c>
      <c r="E8738" s="3" t="s">
        <v>3</v>
      </c>
      <c r="F8738" s="4">
        <v>8.98E-39</v>
      </c>
      <c r="G8738" s="3">
        <v>355</v>
      </c>
      <c r="H8738" s="3">
        <v>57</v>
      </c>
      <c r="I8738" s="3">
        <v>105</v>
      </c>
      <c r="J8738" s="3">
        <v>1</v>
      </c>
      <c r="K8738" s="3">
        <v>315</v>
      </c>
      <c r="L8738" s="3">
        <v>254</v>
      </c>
      <c r="M8738" s="3">
        <v>358</v>
      </c>
    </row>
    <row r="8739" spans="1:13" x14ac:dyDescent="0.25">
      <c r="A8739" s="1" t="str">
        <f>HYPERLINK("http://www.rosaceae.org/Prunus/Prunus_persica/p.persica_gdr_reftransV1_0003382","p.persica_gdr_reftransV1_0003382")</f>
        <v>p.persica_gdr_reftransV1_0003382</v>
      </c>
      <c r="B8739" s="3">
        <v>2272</v>
      </c>
      <c r="C8739" s="1" t="str">
        <f>HYPERLINK("http://www.uniprot.org/uniprot/CESA8_ARATH","CESA8_ARATH")</f>
        <v>CESA8_ARATH</v>
      </c>
      <c r="D8739" t="s">
        <v>407</v>
      </c>
      <c r="E8739" s="3" t="s">
        <v>3</v>
      </c>
      <c r="F8739" s="4">
        <v>0</v>
      </c>
      <c r="G8739" s="3">
        <v>3061</v>
      </c>
      <c r="H8739" s="3">
        <v>86</v>
      </c>
      <c r="I8739" s="3">
        <v>678</v>
      </c>
      <c r="J8739" s="3">
        <v>1</v>
      </c>
      <c r="K8739" s="3">
        <v>2034</v>
      </c>
      <c r="L8739" s="3">
        <v>314</v>
      </c>
      <c r="M8739" s="3">
        <v>985</v>
      </c>
    </row>
    <row r="8740" spans="1:13" x14ac:dyDescent="0.25">
      <c r="A8740" s="1" t="str">
        <f>HYPERLINK("http://www.rosaceae.org/Prunus/Prunus_persica/p.persica_gdr_reftransV1_0003432","p.persica_gdr_reftransV1_0003432")</f>
        <v>p.persica_gdr_reftransV1_0003432</v>
      </c>
      <c r="B8740" s="3">
        <v>875</v>
      </c>
      <c r="C8740" s="1" t="str">
        <f>HYPERLINK("http://www.uniprot.org/uniprot/MIRA_SYNDU","MIRA_SYNDU")</f>
        <v>MIRA_SYNDU</v>
      </c>
      <c r="D8740" t="s">
        <v>6666</v>
      </c>
      <c r="E8740" s="3" t="s">
        <v>6667</v>
      </c>
      <c r="F8740" s="4">
        <v>1.83E-67</v>
      </c>
      <c r="G8740" s="3">
        <v>549</v>
      </c>
      <c r="H8740" s="3">
        <v>61</v>
      </c>
      <c r="I8740" s="3">
        <v>187</v>
      </c>
      <c r="J8740" s="3">
        <v>177</v>
      </c>
      <c r="K8740" s="3">
        <v>716</v>
      </c>
      <c r="L8740" s="3">
        <v>30</v>
      </c>
      <c r="M8740" s="3">
        <v>216</v>
      </c>
    </row>
    <row r="8741" spans="1:13" x14ac:dyDescent="0.25">
      <c r="A8741" s="1" t="str">
        <f>HYPERLINK("http://www.rosaceae.org/Prunus/Prunus_persica/p.persica_gdr_reftransV1_0003532","p.persica_gdr_reftransV1_0003532")</f>
        <v>p.persica_gdr_reftransV1_0003532</v>
      </c>
      <c r="B8741" s="3">
        <v>750</v>
      </c>
      <c r="C8741" s="1" t="str">
        <f>HYPERLINK("http://www.uniprot.org/uniprot/EF1A_HYPJE","EF1A_HYPJE")</f>
        <v>EF1A_HYPJE</v>
      </c>
      <c r="D8741" t="s">
        <v>6668</v>
      </c>
      <c r="E8741" s="3" t="s">
        <v>6669</v>
      </c>
      <c r="F8741" s="4">
        <v>9.9799999999999998E-174</v>
      </c>
      <c r="G8741" s="3">
        <v>1271</v>
      </c>
      <c r="H8741" s="3">
        <v>93</v>
      </c>
      <c r="I8741" s="3">
        <v>250</v>
      </c>
      <c r="J8741" s="3">
        <v>1</v>
      </c>
      <c r="K8741" s="3">
        <v>750</v>
      </c>
      <c r="L8741" s="3">
        <v>120</v>
      </c>
      <c r="M8741" s="3">
        <v>369</v>
      </c>
    </row>
    <row r="8742" spans="1:13" x14ac:dyDescent="0.25">
      <c r="A8742" s="1" t="str">
        <f>HYPERLINK("http://www.rosaceae.org/Prunus/Prunus_persica/p.persica_gdr_reftransV1_0003582","p.persica_gdr_reftransV1_0003582")</f>
        <v>p.persica_gdr_reftransV1_0003582</v>
      </c>
      <c r="B8742" s="3">
        <v>4154</v>
      </c>
      <c r="C8742" s="1" t="str">
        <f>HYPERLINK("http://www.uniprot.org/uniprot/RBOHD_ARATH","RBOHD_ARATH")</f>
        <v>RBOHD_ARATH</v>
      </c>
      <c r="D8742" t="s">
        <v>6670</v>
      </c>
      <c r="E8742" s="3" t="s">
        <v>3</v>
      </c>
      <c r="F8742" s="4">
        <v>0</v>
      </c>
      <c r="G8742" s="3">
        <v>3321</v>
      </c>
      <c r="H8742" s="3">
        <v>71</v>
      </c>
      <c r="I8742" s="3">
        <v>915</v>
      </c>
      <c r="J8742" s="3">
        <v>463</v>
      </c>
      <c r="K8742" s="3">
        <v>3198</v>
      </c>
      <c r="L8742" s="3">
        <v>30</v>
      </c>
      <c r="M8742" s="3">
        <v>895</v>
      </c>
    </row>
    <row r="8743" spans="1:13" x14ac:dyDescent="0.25">
      <c r="A8743" s="1" t="str">
        <f>HYPERLINK("http://www.rosaceae.org/Prunus/Prunus_persica/p.persica_gdr_reftransV1_0003632","p.persica_gdr_reftransV1_0003632")</f>
        <v>p.persica_gdr_reftransV1_0003632</v>
      </c>
      <c r="B8743" s="3">
        <v>510</v>
      </c>
      <c r="C8743" s="1" t="str">
        <f>HYPERLINK("http://www.uniprot.org/uniprot/PP120_ARATH","PP120_ARATH")</f>
        <v>PP120_ARATH</v>
      </c>
      <c r="D8743" t="s">
        <v>5353</v>
      </c>
      <c r="E8743" s="3" t="s">
        <v>3</v>
      </c>
      <c r="F8743" s="4">
        <v>1.66E-66</v>
      </c>
      <c r="G8743" s="3">
        <v>564</v>
      </c>
      <c r="H8743" s="3">
        <v>58</v>
      </c>
      <c r="I8743" s="3">
        <v>168</v>
      </c>
      <c r="J8743" s="3">
        <v>6</v>
      </c>
      <c r="K8743" s="3">
        <v>509</v>
      </c>
      <c r="L8743" s="3">
        <v>381</v>
      </c>
      <c r="M8743" s="3">
        <v>548</v>
      </c>
    </row>
    <row r="8744" spans="1:13" x14ac:dyDescent="0.25">
      <c r="A8744" s="1" t="str">
        <f>HYPERLINK("http://www.rosaceae.org/Prunus/Prunus_persica/p.persica_gdr_reftransV1_0003732","p.persica_gdr_reftransV1_0003732")</f>
        <v>p.persica_gdr_reftransV1_0003732</v>
      </c>
      <c r="B8744" s="3">
        <v>3102</v>
      </c>
      <c r="C8744" s="1" t="str">
        <f>HYPERLINK("http://www.uniprot.org/uniprot/ACCA_ARATH","ACCA_ARATH")</f>
        <v>ACCA_ARATH</v>
      </c>
      <c r="D8744" t="s">
        <v>5944</v>
      </c>
      <c r="E8744" s="3" t="s">
        <v>3</v>
      </c>
      <c r="F8744" s="4">
        <v>0</v>
      </c>
      <c r="G8744" s="3">
        <v>2089</v>
      </c>
      <c r="H8744" s="3">
        <v>65</v>
      </c>
      <c r="I8744" s="3">
        <v>734</v>
      </c>
      <c r="J8744" s="3">
        <v>602</v>
      </c>
      <c r="K8744" s="3">
        <v>2764</v>
      </c>
      <c r="L8744" s="3">
        <v>1</v>
      </c>
      <c r="M8744" s="3">
        <v>727</v>
      </c>
    </row>
    <row r="8745" spans="1:13" x14ac:dyDescent="0.25">
      <c r="A8745" s="1" t="str">
        <f>HYPERLINK("http://www.rosaceae.org/Prunus/Prunus_persica/p.persica_gdr_reftransV1_0003782","p.persica_gdr_reftransV1_0003782")</f>
        <v>p.persica_gdr_reftransV1_0003782</v>
      </c>
      <c r="B8745" s="3">
        <v>494</v>
      </c>
      <c r="C8745" s="1" t="str">
        <f>HYPERLINK("http://www.uniprot.org/uniprot/PP192_ARATH","PP192_ARATH")</f>
        <v>PP192_ARATH</v>
      </c>
      <c r="D8745" t="s">
        <v>6671</v>
      </c>
      <c r="E8745" s="3" t="s">
        <v>3</v>
      </c>
      <c r="F8745" s="4">
        <v>2.9699999999999998E-31</v>
      </c>
      <c r="G8745" s="3">
        <v>303</v>
      </c>
      <c r="H8745" s="3">
        <v>43</v>
      </c>
      <c r="I8745" s="3">
        <v>164</v>
      </c>
      <c r="J8745" s="3">
        <v>1</v>
      </c>
      <c r="K8745" s="3">
        <v>477</v>
      </c>
      <c r="L8745" s="3">
        <v>42</v>
      </c>
      <c r="M8745" s="3">
        <v>201</v>
      </c>
    </row>
    <row r="8746" spans="1:13" x14ac:dyDescent="0.25">
      <c r="A8746" s="1" t="str">
        <f>HYPERLINK("http://www.rosaceae.org/Prunus/Prunus_persica/p.persica_gdr_reftransV1_0003832","p.persica_gdr_reftransV1_0003832")</f>
        <v>p.persica_gdr_reftransV1_0003832</v>
      </c>
      <c r="B8746" s="3">
        <v>1918</v>
      </c>
      <c r="C8746" s="1" t="str">
        <f>HYPERLINK("http://www.uniprot.org/uniprot/VCLA_GOSHI","VCLA_GOSHI")</f>
        <v>VCLA_GOSHI</v>
      </c>
      <c r="D8746" t="s">
        <v>6672</v>
      </c>
      <c r="E8746" s="3" t="s">
        <v>816</v>
      </c>
      <c r="F8746" s="4">
        <v>6.3399999999999996E-91</v>
      </c>
      <c r="G8746" s="3">
        <v>768</v>
      </c>
      <c r="H8746" s="3">
        <v>42</v>
      </c>
      <c r="I8746" s="3">
        <v>434</v>
      </c>
      <c r="J8746" s="3">
        <v>279</v>
      </c>
      <c r="K8746" s="3">
        <v>1526</v>
      </c>
      <c r="L8746" s="3">
        <v>181</v>
      </c>
      <c r="M8746" s="3">
        <v>584</v>
      </c>
    </row>
    <row r="8747" spans="1:13" x14ac:dyDescent="0.25">
      <c r="A8747" s="1" t="str">
        <f>HYPERLINK("http://www.rosaceae.org/Prunus/Prunus_persica/p.persica_gdr_reftransV1_0003932","p.persica_gdr_reftransV1_0003932")</f>
        <v>p.persica_gdr_reftransV1_0003932</v>
      </c>
      <c r="B8747" s="3">
        <v>798</v>
      </c>
      <c r="C8747" s="1" t="str">
        <f>HYPERLINK("http://www.uniprot.org/uniprot/YHDC_SCHPO","YHDC_SCHPO")</f>
        <v>YHDC_SCHPO</v>
      </c>
      <c r="D8747" t="s">
        <v>6673</v>
      </c>
      <c r="E8747" s="3" t="s">
        <v>464</v>
      </c>
      <c r="F8747" s="4">
        <v>8.1000000000000002E-19</v>
      </c>
      <c r="G8747" s="3">
        <v>220</v>
      </c>
      <c r="H8747" s="3">
        <v>31</v>
      </c>
      <c r="I8747" s="3">
        <v>160</v>
      </c>
      <c r="J8747" s="3">
        <v>292</v>
      </c>
      <c r="K8747" s="3">
        <v>771</v>
      </c>
      <c r="L8747" s="3">
        <v>331</v>
      </c>
      <c r="M8747" s="3">
        <v>480</v>
      </c>
    </row>
    <row r="8748" spans="1:13" x14ac:dyDescent="0.25">
      <c r="A8748" s="1" t="str">
        <f>HYPERLINK("http://www.rosaceae.org/Prunus/Prunus_persica/p.persica_gdr_reftransV1_0004032","p.persica_gdr_reftransV1_0004032")</f>
        <v>p.persica_gdr_reftransV1_0004032</v>
      </c>
      <c r="B8748" s="3">
        <v>1048</v>
      </c>
      <c r="C8748" s="1" t="str">
        <f>HYPERLINK("http://www.uniprot.org/uniprot/RTNLH_ARATH","RTNLH_ARATH")</f>
        <v>RTNLH_ARATH</v>
      </c>
      <c r="D8748" t="s">
        <v>6674</v>
      </c>
      <c r="E8748" s="3" t="s">
        <v>3</v>
      </c>
      <c r="F8748" s="4">
        <v>2.3999999999999999E-80</v>
      </c>
      <c r="G8748" s="3">
        <v>643</v>
      </c>
      <c r="H8748" s="3">
        <v>62</v>
      </c>
      <c r="I8748" s="3">
        <v>193</v>
      </c>
      <c r="J8748" s="3">
        <v>202</v>
      </c>
      <c r="K8748" s="3">
        <v>780</v>
      </c>
      <c r="L8748" s="3">
        <v>1</v>
      </c>
      <c r="M8748" s="3">
        <v>192</v>
      </c>
    </row>
    <row r="8749" spans="1:13" x14ac:dyDescent="0.25">
      <c r="A8749" s="1" t="str">
        <f>HYPERLINK("http://www.rosaceae.org/Prunus/Prunus_persica/p.persica_gdr_reftransV1_0004232","p.persica_gdr_reftransV1_0004232")</f>
        <v>p.persica_gdr_reftransV1_0004232</v>
      </c>
      <c r="B8749" s="3">
        <v>454</v>
      </c>
      <c r="C8749" s="1" t="str">
        <f>HYPERLINK("http://www.uniprot.org/uniprot/ATM_ARATH","ATM_ARATH")</f>
        <v>ATM_ARATH</v>
      </c>
      <c r="D8749" t="s">
        <v>2500</v>
      </c>
      <c r="E8749" s="3" t="s">
        <v>3</v>
      </c>
      <c r="F8749" s="4">
        <v>5.7100000000000004E-14</v>
      </c>
      <c r="G8749" s="3">
        <v>179</v>
      </c>
      <c r="H8749" s="3">
        <v>47</v>
      </c>
      <c r="I8749" s="3">
        <v>108</v>
      </c>
      <c r="J8749" s="3">
        <v>108</v>
      </c>
      <c r="K8749" s="3">
        <v>428</v>
      </c>
      <c r="L8749" s="3">
        <v>1441</v>
      </c>
      <c r="M8749" s="3">
        <v>1545</v>
      </c>
    </row>
    <row r="8750" spans="1:13" x14ac:dyDescent="0.25">
      <c r="A8750" s="1" t="str">
        <f>HYPERLINK("http://www.rosaceae.org/Prunus/Prunus_persica/p.persica_gdr_reftransV1_0004282","p.persica_gdr_reftransV1_0004282")</f>
        <v>p.persica_gdr_reftransV1_0004282</v>
      </c>
      <c r="B8750" s="3">
        <v>1538</v>
      </c>
      <c r="C8750" s="1" t="str">
        <f>HYPERLINK("http://www.uniprot.org/uniprot/ARC2A_ARATH","ARC2A_ARATH")</f>
        <v>ARC2A_ARATH</v>
      </c>
      <c r="D8750" t="s">
        <v>6675</v>
      </c>
      <c r="E8750" s="3" t="s">
        <v>3</v>
      </c>
      <c r="F8750" s="4">
        <v>5.3200000000000003E-122</v>
      </c>
      <c r="G8750" s="3">
        <v>472</v>
      </c>
      <c r="H8750" s="3">
        <v>73</v>
      </c>
      <c r="I8750" s="3">
        <v>122</v>
      </c>
      <c r="J8750" s="3">
        <v>561</v>
      </c>
      <c r="K8750" s="3">
        <v>926</v>
      </c>
      <c r="L8750" s="3">
        <v>114</v>
      </c>
      <c r="M8750" s="3">
        <v>235</v>
      </c>
    </row>
    <row r="8751" spans="1:13" x14ac:dyDescent="0.25">
      <c r="A8751" s="1" t="str">
        <f>HYPERLINK("http://www.rosaceae.org/Prunus/Prunus_persica/p.persica_gdr_reftransV1_0004332","p.persica_gdr_reftransV1_0004332")</f>
        <v>p.persica_gdr_reftransV1_0004332</v>
      </c>
      <c r="B8751" s="3">
        <v>888</v>
      </c>
      <c r="C8751" s="1" t="str">
        <f>HYPERLINK("http://www.uniprot.org/uniprot/U91C1_ARATH","U91C1_ARATH")</f>
        <v>U91C1_ARATH</v>
      </c>
      <c r="D8751" t="s">
        <v>39</v>
      </c>
      <c r="E8751" s="3" t="s">
        <v>3</v>
      </c>
      <c r="F8751" s="4">
        <v>7.2999999999999997E-97</v>
      </c>
      <c r="G8751" s="3">
        <v>767</v>
      </c>
      <c r="H8751" s="3">
        <v>58</v>
      </c>
      <c r="I8751" s="3">
        <v>277</v>
      </c>
      <c r="J8751" s="3">
        <v>2</v>
      </c>
      <c r="K8751" s="3">
        <v>832</v>
      </c>
      <c r="L8751" s="3">
        <v>186</v>
      </c>
      <c r="M8751" s="3">
        <v>451</v>
      </c>
    </row>
    <row r="8752" spans="1:13" x14ac:dyDescent="0.25">
      <c r="A8752" s="1" t="str">
        <f>HYPERLINK("http://www.rosaceae.org/Prunus/Prunus_persica/p.persica_gdr_reftransV1_0004382","p.persica_gdr_reftransV1_0004382")</f>
        <v>p.persica_gdr_reftransV1_0004382</v>
      </c>
      <c r="B8752" s="3">
        <v>2101</v>
      </c>
      <c r="C8752" s="1" t="str">
        <f>HYPERLINK("http://www.uniprot.org/uniprot/ERF1Z_ARATH","ERF1Z_ARATH")</f>
        <v>ERF1Z_ARATH</v>
      </c>
      <c r="D8752" t="s">
        <v>4505</v>
      </c>
      <c r="E8752" s="3" t="s">
        <v>3</v>
      </c>
      <c r="F8752" s="4">
        <v>0</v>
      </c>
      <c r="G8752" s="3">
        <v>2038</v>
      </c>
      <c r="H8752" s="3">
        <v>91</v>
      </c>
      <c r="I8752" s="3">
        <v>437</v>
      </c>
      <c r="J8752" s="3">
        <v>111</v>
      </c>
      <c r="K8752" s="3">
        <v>1418</v>
      </c>
      <c r="L8752" s="3">
        <v>1</v>
      </c>
      <c r="M8752" s="3">
        <v>435</v>
      </c>
    </row>
    <row r="8753" spans="1:13" x14ac:dyDescent="0.25">
      <c r="A8753" s="1" t="str">
        <f>HYPERLINK("http://www.rosaceae.org/Prunus/Prunus_persica/p.persica_gdr_reftransV1_0004432","p.persica_gdr_reftransV1_0004432")</f>
        <v>p.persica_gdr_reftransV1_0004432</v>
      </c>
      <c r="B8753" s="3">
        <v>812</v>
      </c>
      <c r="C8753" s="1" t="str">
        <f>HYPERLINK("http://www.uniprot.org/uniprot/UTP20_YEAST","UTP20_YEAST")</f>
        <v>UTP20_YEAST</v>
      </c>
      <c r="D8753" t="s">
        <v>6676</v>
      </c>
      <c r="E8753" s="3" t="s">
        <v>34</v>
      </c>
      <c r="F8753" s="4">
        <v>1.79E-7</v>
      </c>
      <c r="G8753" s="3">
        <v>133</v>
      </c>
      <c r="H8753" s="3">
        <v>24</v>
      </c>
      <c r="I8753" s="3">
        <v>195</v>
      </c>
      <c r="J8753" s="3">
        <v>11</v>
      </c>
      <c r="K8753" s="3">
        <v>589</v>
      </c>
      <c r="L8753" s="3">
        <v>152</v>
      </c>
      <c r="M8753" s="3">
        <v>336</v>
      </c>
    </row>
    <row r="8754" spans="1:13" x14ac:dyDescent="0.25">
      <c r="A8754" s="1" t="str">
        <f>HYPERLINK("http://www.rosaceae.org/Prunus/Prunus_persica/p.persica_gdr_reftransV1_0004482","p.persica_gdr_reftransV1_0004482")</f>
        <v>p.persica_gdr_reftransV1_0004482</v>
      </c>
      <c r="B8754" s="3">
        <v>2329</v>
      </c>
      <c r="C8754" s="1" t="str">
        <f>HYPERLINK("http://www.uniprot.org/uniprot/HEAT6_RAT","HEAT6_RAT")</f>
        <v>HEAT6_RAT</v>
      </c>
      <c r="D8754" t="s">
        <v>6677</v>
      </c>
      <c r="E8754" s="3" t="s">
        <v>161</v>
      </c>
      <c r="F8754" s="4">
        <v>7.1799999999999995E-23</v>
      </c>
      <c r="G8754" s="3">
        <v>270</v>
      </c>
      <c r="H8754" s="3">
        <v>27</v>
      </c>
      <c r="I8754" s="3">
        <v>385</v>
      </c>
      <c r="J8754" s="3">
        <v>523</v>
      </c>
      <c r="K8754" s="3">
        <v>1659</v>
      </c>
      <c r="L8754" s="3">
        <v>839</v>
      </c>
      <c r="M8754" s="3">
        <v>1177</v>
      </c>
    </row>
    <row r="8755" spans="1:13" x14ac:dyDescent="0.25">
      <c r="A8755" s="1" t="str">
        <f>HYPERLINK("http://www.rosaceae.org/Prunus/Prunus_persica/p.persica_gdr_reftransV1_0004582","p.persica_gdr_reftransV1_0004582")</f>
        <v>p.persica_gdr_reftransV1_0004582</v>
      </c>
      <c r="B8755" s="3">
        <v>1610</v>
      </c>
      <c r="C8755" s="1" t="str">
        <f>HYPERLINK("http://www.uniprot.org/uniprot/CCD11_ARATH","CCD11_ARATH")</f>
        <v>CCD11_ARATH</v>
      </c>
      <c r="D8755" t="s">
        <v>6678</v>
      </c>
      <c r="E8755" s="3" t="s">
        <v>3</v>
      </c>
      <c r="F8755" s="4">
        <v>3.4400000000000001E-121</v>
      </c>
      <c r="G8755" s="3">
        <v>941</v>
      </c>
      <c r="H8755" s="3">
        <v>62</v>
      </c>
      <c r="I8755" s="3">
        <v>337</v>
      </c>
      <c r="J8755" s="3">
        <v>382</v>
      </c>
      <c r="K8755" s="3">
        <v>1386</v>
      </c>
      <c r="L8755" s="3">
        <v>12</v>
      </c>
      <c r="M8755" s="3">
        <v>338</v>
      </c>
    </row>
    <row r="8756" spans="1:13" x14ac:dyDescent="0.25">
      <c r="A8756" s="1" t="str">
        <f>HYPERLINK("http://www.rosaceae.org/Prunus/Prunus_persica/p.persica_gdr_reftransV1_0004682","p.persica_gdr_reftransV1_0004682")</f>
        <v>p.persica_gdr_reftransV1_0004682</v>
      </c>
      <c r="B8756" s="3">
        <v>1469</v>
      </c>
      <c r="C8756" s="1" t="str">
        <f>HYPERLINK("http://www.uniprot.org/uniprot/AAPC_CENCI","AAPC_CENCI")</f>
        <v>AAPC_CENCI</v>
      </c>
      <c r="D8756" t="s">
        <v>2585</v>
      </c>
      <c r="E8756" s="3" t="s">
        <v>2586</v>
      </c>
      <c r="F8756" s="4">
        <v>3.26E-134</v>
      </c>
      <c r="G8756" s="3">
        <v>1022</v>
      </c>
      <c r="H8756" s="3">
        <v>62</v>
      </c>
      <c r="I8756" s="3">
        <v>314</v>
      </c>
      <c r="J8756" s="3">
        <v>262</v>
      </c>
      <c r="K8756" s="3">
        <v>1191</v>
      </c>
      <c r="L8756" s="3">
        <v>26</v>
      </c>
      <c r="M8756" s="3">
        <v>329</v>
      </c>
    </row>
    <row r="8757" spans="1:13" x14ac:dyDescent="0.25">
      <c r="A8757" s="1" t="str">
        <f>HYPERLINK("http://www.rosaceae.org/Prunus/Prunus_persica/p.persica_gdr_reftransV1_0004932","p.persica_gdr_reftransV1_0004932")</f>
        <v>p.persica_gdr_reftransV1_0004932</v>
      </c>
      <c r="B8757" s="3">
        <v>516</v>
      </c>
      <c r="C8757" s="1" t="str">
        <f>HYPERLINK("http://www.uniprot.org/uniprot/PUM21_ARATH","PUM21_ARATH")</f>
        <v>PUM21_ARATH</v>
      </c>
      <c r="D8757" t="s">
        <v>6679</v>
      </c>
      <c r="E8757" s="3" t="s">
        <v>3</v>
      </c>
      <c r="F8757" s="4">
        <v>1.47E-12</v>
      </c>
      <c r="G8757" s="3">
        <v>167</v>
      </c>
      <c r="H8757" s="3">
        <v>38</v>
      </c>
      <c r="I8757" s="3">
        <v>117</v>
      </c>
      <c r="J8757" s="3">
        <v>9</v>
      </c>
      <c r="K8757" s="3">
        <v>350</v>
      </c>
      <c r="L8757" s="3">
        <v>382</v>
      </c>
      <c r="M8757" s="3">
        <v>498</v>
      </c>
    </row>
    <row r="8758" spans="1:13" x14ac:dyDescent="0.25">
      <c r="A8758" s="1" t="str">
        <f>HYPERLINK("http://www.rosaceae.org/Prunus/Prunus_persica/p.persica_gdr_reftransV1_0004982","p.persica_gdr_reftransV1_0004982")</f>
        <v>p.persica_gdr_reftransV1_0004982</v>
      </c>
      <c r="B8758" s="3">
        <v>5848</v>
      </c>
      <c r="C8758" s="1" t="str">
        <f>HYPERLINK("http://www.uniprot.org/uniprot/GLTB1_ARATH","GLTB1_ARATH")</f>
        <v>GLTB1_ARATH</v>
      </c>
      <c r="D8758" t="s">
        <v>6680</v>
      </c>
      <c r="E8758" s="3" t="s">
        <v>3</v>
      </c>
      <c r="F8758" s="4">
        <v>0</v>
      </c>
      <c r="G8758" s="3">
        <v>5593</v>
      </c>
      <c r="H8758" s="3">
        <v>83</v>
      </c>
      <c r="I8758" s="3">
        <v>1258</v>
      </c>
      <c r="J8758" s="3">
        <v>122</v>
      </c>
      <c r="K8758" s="3">
        <v>3883</v>
      </c>
      <c r="L8758" s="3">
        <v>7</v>
      </c>
      <c r="M8758" s="3">
        <v>1258</v>
      </c>
    </row>
    <row r="8759" spans="1:13" x14ac:dyDescent="0.25">
      <c r="A8759" s="1" t="str">
        <f>HYPERLINK("http://www.rosaceae.org/Prunus/Prunus_persica/p.persica_gdr_reftransV1_0005182","p.persica_gdr_reftransV1_0005182")</f>
        <v>p.persica_gdr_reftransV1_0005182</v>
      </c>
      <c r="B8759" s="3">
        <v>1280</v>
      </c>
      <c r="C8759" s="1" t="str">
        <f>HYPERLINK("http://www.uniprot.org/uniprot/YQJG_ECOLI","YQJG_ECOLI")</f>
        <v>YQJG_ECOLI</v>
      </c>
      <c r="D8759" t="s">
        <v>3592</v>
      </c>
      <c r="E8759" s="3" t="s">
        <v>2372</v>
      </c>
      <c r="F8759" s="4">
        <v>1.22E-70</v>
      </c>
      <c r="G8759" s="3">
        <v>592</v>
      </c>
      <c r="H8759" s="3">
        <v>46</v>
      </c>
      <c r="I8759" s="3">
        <v>281</v>
      </c>
      <c r="J8759" s="3">
        <v>229</v>
      </c>
      <c r="K8759" s="3">
        <v>1065</v>
      </c>
      <c r="L8759" s="3">
        <v>56</v>
      </c>
      <c r="M8759" s="3">
        <v>324</v>
      </c>
    </row>
    <row r="8760" spans="1:13" x14ac:dyDescent="0.25">
      <c r="A8760" s="1" t="str">
        <f>HYPERLINK("http://www.rosaceae.org/Prunus/Prunus_persica/p.persica_gdr_reftransV1_0005332","p.persica_gdr_reftransV1_0005332")</f>
        <v>p.persica_gdr_reftransV1_0005332</v>
      </c>
      <c r="B8760" s="3">
        <v>2464</v>
      </c>
      <c r="C8760" s="1" t="str">
        <f>HYPERLINK("http://www.uniprot.org/uniprot/LACS2_ARATH","LACS2_ARATH")</f>
        <v>LACS2_ARATH</v>
      </c>
      <c r="D8760" t="s">
        <v>5558</v>
      </c>
      <c r="E8760" s="3" t="s">
        <v>3</v>
      </c>
      <c r="F8760" s="4">
        <v>0</v>
      </c>
      <c r="G8760" s="3">
        <v>2475</v>
      </c>
      <c r="H8760" s="3">
        <v>66</v>
      </c>
      <c r="I8760" s="3">
        <v>687</v>
      </c>
      <c r="J8760" s="3">
        <v>88</v>
      </c>
      <c r="K8760" s="3">
        <v>2139</v>
      </c>
      <c r="L8760" s="3">
        <v>6</v>
      </c>
      <c r="M8760" s="3">
        <v>663</v>
      </c>
    </row>
    <row r="8761" spans="1:13" x14ac:dyDescent="0.25">
      <c r="A8761" s="1" t="str">
        <f>HYPERLINK("http://www.rosaceae.org/Prunus/Prunus_persica/p.persica_gdr_reftransV1_0005432","p.persica_gdr_reftransV1_0005432")</f>
        <v>p.persica_gdr_reftransV1_0005432</v>
      </c>
      <c r="B8761" s="3">
        <v>1685</v>
      </c>
      <c r="C8761" s="1" t="str">
        <f>HYPERLINK("http://www.uniprot.org/uniprot/RBM39_PONAB","RBM39_PONAB")</f>
        <v>RBM39_PONAB</v>
      </c>
      <c r="D8761" t="s">
        <v>947</v>
      </c>
      <c r="E8761" s="3" t="s">
        <v>176</v>
      </c>
      <c r="F8761" s="4">
        <v>8.5100000000000004E-72</v>
      </c>
      <c r="G8761" s="3">
        <v>625</v>
      </c>
      <c r="H8761" s="3">
        <v>41</v>
      </c>
      <c r="I8761" s="3">
        <v>421</v>
      </c>
      <c r="J8761" s="3">
        <v>207</v>
      </c>
      <c r="K8761" s="3">
        <v>1433</v>
      </c>
      <c r="L8761" s="3">
        <v>133</v>
      </c>
      <c r="M8761" s="3">
        <v>509</v>
      </c>
    </row>
    <row r="8762" spans="1:13" x14ac:dyDescent="0.25">
      <c r="A8762" s="1" t="str">
        <f>HYPERLINK("http://www.rosaceae.org/Prunus/Prunus_persica/p.persica_gdr_reftransV1_0005782","p.persica_gdr_reftransV1_0005782")</f>
        <v>p.persica_gdr_reftransV1_0005782</v>
      </c>
      <c r="B8762" s="3">
        <v>1021</v>
      </c>
      <c r="C8762" s="1" t="str">
        <f>HYPERLINK("http://www.uniprot.org/uniprot/MAD50_ORYSJ","MAD50_ORYSJ")</f>
        <v>MAD50_ORYSJ</v>
      </c>
      <c r="D8762" t="s">
        <v>6681</v>
      </c>
      <c r="E8762" s="3" t="s">
        <v>38</v>
      </c>
      <c r="F8762" s="4">
        <v>9.8500000000000006E-62</v>
      </c>
      <c r="G8762" s="3">
        <v>516</v>
      </c>
      <c r="H8762" s="3">
        <v>59</v>
      </c>
      <c r="I8762" s="3">
        <v>214</v>
      </c>
      <c r="J8762" s="3">
        <v>340</v>
      </c>
      <c r="K8762" s="3">
        <v>975</v>
      </c>
      <c r="L8762" s="3">
        <v>1</v>
      </c>
      <c r="M8762" s="3">
        <v>213</v>
      </c>
    </row>
    <row r="8763" spans="1:13" x14ac:dyDescent="0.25">
      <c r="A8763" s="1" t="str">
        <f>HYPERLINK("http://www.rosaceae.org/Prunus/Prunus_persica/p.persica_gdr_reftransV1_0005932","p.persica_gdr_reftransV1_0005932")</f>
        <v>p.persica_gdr_reftransV1_0005932</v>
      </c>
      <c r="B8763" s="3">
        <v>516</v>
      </c>
      <c r="C8763" s="1" t="str">
        <f>HYPERLINK("http://www.uniprot.org/uniprot/HIR2_ARATH","HIR2_ARATH")</f>
        <v>HIR2_ARATH</v>
      </c>
      <c r="D8763" t="s">
        <v>5055</v>
      </c>
      <c r="E8763" s="3" t="s">
        <v>3</v>
      </c>
      <c r="F8763" s="4">
        <v>3.25E-93</v>
      </c>
      <c r="G8763" s="3">
        <v>714</v>
      </c>
      <c r="H8763" s="3">
        <v>81</v>
      </c>
      <c r="I8763" s="3">
        <v>161</v>
      </c>
      <c r="J8763" s="3">
        <v>34</v>
      </c>
      <c r="K8763" s="3">
        <v>516</v>
      </c>
      <c r="L8763" s="3">
        <v>1</v>
      </c>
      <c r="M8763" s="3">
        <v>161</v>
      </c>
    </row>
    <row r="8764" spans="1:13" x14ac:dyDescent="0.25">
      <c r="A8764" s="1" t="str">
        <f>HYPERLINK("http://www.rosaceae.org/Prunus/Prunus_persica/p.persica_gdr_reftransV1_0005982","p.persica_gdr_reftransV1_0005982")</f>
        <v>p.persica_gdr_reftransV1_0005982</v>
      </c>
      <c r="B8764" s="3">
        <v>2108</v>
      </c>
      <c r="C8764" s="1" t="str">
        <f>HYPERLINK("http://www.uniprot.org/uniprot/Y3720_ARATH","Y3720_ARATH")</f>
        <v>Y3720_ARATH</v>
      </c>
      <c r="D8764" t="s">
        <v>104</v>
      </c>
      <c r="E8764" s="3" t="s">
        <v>3</v>
      </c>
      <c r="F8764" s="4">
        <v>8.5100000000000007E-22</v>
      </c>
      <c r="G8764" s="3">
        <v>255</v>
      </c>
      <c r="H8764" s="3">
        <v>34</v>
      </c>
      <c r="I8764" s="3">
        <v>173</v>
      </c>
      <c r="J8764" s="3">
        <v>283</v>
      </c>
      <c r="K8764" s="3">
        <v>786</v>
      </c>
      <c r="L8764" s="3">
        <v>32</v>
      </c>
      <c r="M8764" s="3">
        <v>203</v>
      </c>
    </row>
    <row r="8765" spans="1:13" x14ac:dyDescent="0.25">
      <c r="A8765" s="1" t="str">
        <f>HYPERLINK("http://www.rosaceae.org/Prunus/Prunus_persica/p.persica_gdr_reftransV1_0006082","p.persica_gdr_reftransV1_0006082")</f>
        <v>p.persica_gdr_reftransV1_0006082</v>
      </c>
      <c r="B8765" s="3">
        <v>879</v>
      </c>
      <c r="C8765" s="1" t="str">
        <f>HYPERLINK("http://www.uniprot.org/uniprot/POLX_TOBAC","POLX_TOBAC")</f>
        <v>POLX_TOBAC</v>
      </c>
      <c r="D8765" t="s">
        <v>1253</v>
      </c>
      <c r="E8765" s="3" t="s">
        <v>200</v>
      </c>
      <c r="F8765" s="4">
        <v>1.37E-43</v>
      </c>
      <c r="G8765" s="3">
        <v>416</v>
      </c>
      <c r="H8765" s="3">
        <v>39</v>
      </c>
      <c r="I8765" s="3">
        <v>203</v>
      </c>
      <c r="J8765" s="3">
        <v>271</v>
      </c>
      <c r="K8765" s="3">
        <v>879</v>
      </c>
      <c r="L8765" s="3">
        <v>1127</v>
      </c>
      <c r="M8765" s="3">
        <v>1327</v>
      </c>
    </row>
    <row r="8766" spans="1:13" x14ac:dyDescent="0.25">
      <c r="A8766" s="1" t="str">
        <f>HYPERLINK("http://www.rosaceae.org/Prunus/Prunus_persica/p.persica_gdr_reftransV1_0006182","p.persica_gdr_reftransV1_0006182")</f>
        <v>p.persica_gdr_reftransV1_0006182</v>
      </c>
      <c r="B8766" s="3">
        <v>543</v>
      </c>
      <c r="C8766" s="1" t="str">
        <f>HYPERLINK("http://www.uniprot.org/uniprot/POLX_TOBAC","POLX_TOBAC")</f>
        <v>POLX_TOBAC</v>
      </c>
      <c r="D8766" t="s">
        <v>1253</v>
      </c>
      <c r="E8766" s="3" t="s">
        <v>200</v>
      </c>
      <c r="F8766" s="4">
        <v>9.5200000000000005E-11</v>
      </c>
      <c r="G8766" s="3">
        <v>155</v>
      </c>
      <c r="H8766" s="3">
        <v>31</v>
      </c>
      <c r="I8766" s="3">
        <v>133</v>
      </c>
      <c r="J8766" s="3">
        <v>1</v>
      </c>
      <c r="K8766" s="3">
        <v>390</v>
      </c>
      <c r="L8766" s="3">
        <v>382</v>
      </c>
      <c r="M8766" s="3">
        <v>506</v>
      </c>
    </row>
    <row r="8767" spans="1:13" x14ac:dyDescent="0.25">
      <c r="A8767" s="1" t="str">
        <f>HYPERLINK("http://www.rosaceae.org/Prunus/Prunus_persica/p.persica_gdr_reftransV1_0006532","p.persica_gdr_reftransV1_0006532")</f>
        <v>p.persica_gdr_reftransV1_0006532</v>
      </c>
      <c r="B8767" s="3">
        <v>533</v>
      </c>
      <c r="C8767" s="1" t="str">
        <f>HYPERLINK("http://www.uniprot.org/uniprot/CHI4_PHAVU","CHI4_PHAVU")</f>
        <v>CHI4_PHAVU</v>
      </c>
      <c r="D8767" t="s">
        <v>6682</v>
      </c>
      <c r="E8767" s="3" t="s">
        <v>2044</v>
      </c>
      <c r="F8767" s="4">
        <v>4.8499999999999999E-53</v>
      </c>
      <c r="G8767" s="3">
        <v>446</v>
      </c>
      <c r="H8767" s="3">
        <v>70</v>
      </c>
      <c r="I8767" s="3">
        <v>127</v>
      </c>
      <c r="J8767" s="3">
        <v>13</v>
      </c>
      <c r="K8767" s="3">
        <v>393</v>
      </c>
      <c r="L8767" s="3">
        <v>20</v>
      </c>
      <c r="M8767" s="3">
        <v>143</v>
      </c>
    </row>
    <row r="8768" spans="1:13" x14ac:dyDescent="0.25">
      <c r="A8768" s="1" t="str">
        <f>HYPERLINK("http://www.rosaceae.org/Prunus/Prunus_persica/p.persica_gdr_reftransV1_0006682","p.persica_gdr_reftransV1_0006682")</f>
        <v>p.persica_gdr_reftransV1_0006682</v>
      </c>
      <c r="B8768" s="3">
        <v>502</v>
      </c>
      <c r="C8768" s="1" t="str">
        <f>HYPERLINK("http://www.uniprot.org/uniprot/PRP8_HUMAN","PRP8_HUMAN")</f>
        <v>PRP8_HUMAN</v>
      </c>
      <c r="D8768" t="s">
        <v>6683</v>
      </c>
      <c r="E8768" s="3" t="s">
        <v>28</v>
      </c>
      <c r="F8768" s="4">
        <v>1.68E-85</v>
      </c>
      <c r="G8768" s="3">
        <v>717</v>
      </c>
      <c r="H8768" s="3">
        <v>88</v>
      </c>
      <c r="I8768" s="3">
        <v>147</v>
      </c>
      <c r="J8768" s="3">
        <v>62</v>
      </c>
      <c r="K8768" s="3">
        <v>502</v>
      </c>
      <c r="L8768" s="3">
        <v>1669</v>
      </c>
      <c r="M8768" s="3">
        <v>1815</v>
      </c>
    </row>
    <row r="8769" spans="1:13" x14ac:dyDescent="0.25">
      <c r="A8769" s="1" t="str">
        <f>HYPERLINK("http://www.rosaceae.org/Prunus/Prunus_persica/p.persica_gdr_reftransV1_0006732","p.persica_gdr_reftransV1_0006732")</f>
        <v>p.persica_gdr_reftransV1_0006732</v>
      </c>
      <c r="B8769" s="3">
        <v>778</v>
      </c>
      <c r="C8769" s="1" t="str">
        <f>HYPERLINK("http://www.uniprot.org/uniprot/C87A3_ORYSJ","C87A3_ORYSJ")</f>
        <v>C87A3_ORYSJ</v>
      </c>
      <c r="D8769" t="s">
        <v>4889</v>
      </c>
      <c r="E8769" s="3" t="s">
        <v>38</v>
      </c>
      <c r="F8769" s="4">
        <v>1.31E-61</v>
      </c>
      <c r="G8769" s="3">
        <v>529</v>
      </c>
      <c r="H8769" s="3">
        <v>55</v>
      </c>
      <c r="I8769" s="3">
        <v>174</v>
      </c>
      <c r="J8769" s="3">
        <v>43</v>
      </c>
      <c r="K8769" s="3">
        <v>561</v>
      </c>
      <c r="L8769" s="3">
        <v>340</v>
      </c>
      <c r="M8769" s="3">
        <v>513</v>
      </c>
    </row>
    <row r="8770" spans="1:13" x14ac:dyDescent="0.25">
      <c r="A8770" s="1" t="str">
        <f>HYPERLINK("http://www.rosaceae.org/Prunus/Prunus_persica/p.persica_gdr_reftransV1_0006882","p.persica_gdr_reftransV1_0006882")</f>
        <v>p.persica_gdr_reftransV1_0006882</v>
      </c>
      <c r="B8770" s="3">
        <v>1011</v>
      </c>
      <c r="C8770" s="1" t="str">
        <f>HYPERLINK("http://www.uniprot.org/uniprot/ATL41_ARATH","ATL41_ARATH")</f>
        <v>ATL41_ARATH</v>
      </c>
      <c r="D8770" t="s">
        <v>6684</v>
      </c>
      <c r="E8770" s="3" t="s">
        <v>3</v>
      </c>
      <c r="F8770" s="4">
        <v>1.4299999999999999E-45</v>
      </c>
      <c r="G8770" s="3">
        <v>407</v>
      </c>
      <c r="H8770" s="3">
        <v>45</v>
      </c>
      <c r="I8770" s="3">
        <v>249</v>
      </c>
      <c r="J8770" s="3">
        <v>222</v>
      </c>
      <c r="K8770" s="3">
        <v>950</v>
      </c>
      <c r="L8770" s="3">
        <v>4</v>
      </c>
      <c r="M8770" s="3">
        <v>236</v>
      </c>
    </row>
    <row r="8771" spans="1:13" x14ac:dyDescent="0.25">
      <c r="A8771" s="1" t="str">
        <f>HYPERLINK("http://www.rosaceae.org/Prunus/Prunus_persica/p.persica_gdr_reftransV1_0006932","p.persica_gdr_reftransV1_0006932")</f>
        <v>p.persica_gdr_reftransV1_0006932</v>
      </c>
      <c r="B8771" s="3">
        <v>639</v>
      </c>
      <c r="C8771" s="1" t="str">
        <f>HYPERLINK("http://www.uniprot.org/uniprot/LIN1_LOTJA","LIN1_LOTJA")</f>
        <v>LIN1_LOTJA</v>
      </c>
      <c r="D8771" t="s">
        <v>2734</v>
      </c>
      <c r="E8771" s="3" t="s">
        <v>880</v>
      </c>
      <c r="F8771" s="4">
        <v>1.4399999999999999E-10</v>
      </c>
      <c r="G8771" s="3">
        <v>154</v>
      </c>
      <c r="H8771" s="3">
        <v>28</v>
      </c>
      <c r="I8771" s="3">
        <v>151</v>
      </c>
      <c r="J8771" s="3">
        <v>198</v>
      </c>
      <c r="K8771" s="3">
        <v>638</v>
      </c>
      <c r="L8771" s="3">
        <v>996</v>
      </c>
      <c r="M8771" s="3">
        <v>1143</v>
      </c>
    </row>
    <row r="8772" spans="1:13" x14ac:dyDescent="0.25">
      <c r="A8772" s="1" t="str">
        <f>HYPERLINK("http://www.rosaceae.org/Prunus/Prunus_persica/p.persica_gdr_reftransV1_0007032","p.persica_gdr_reftransV1_0007032")</f>
        <v>p.persica_gdr_reftransV1_0007032</v>
      </c>
      <c r="B8772" s="3">
        <v>1557</v>
      </c>
      <c r="C8772" s="1" t="str">
        <f>HYPERLINK("http://www.uniprot.org/uniprot/WTR24_ARATH","WTR24_ARATH")</f>
        <v>WTR24_ARATH</v>
      </c>
      <c r="D8772" t="s">
        <v>2752</v>
      </c>
      <c r="E8772" s="3" t="s">
        <v>3</v>
      </c>
      <c r="F8772" s="4">
        <v>4.7300000000000003E-115</v>
      </c>
      <c r="G8772" s="3">
        <v>901</v>
      </c>
      <c r="H8772" s="3">
        <v>54</v>
      </c>
      <c r="I8772" s="3">
        <v>352</v>
      </c>
      <c r="J8772" s="3">
        <v>48</v>
      </c>
      <c r="K8772" s="3">
        <v>1100</v>
      </c>
      <c r="L8772" s="3">
        <v>9</v>
      </c>
      <c r="M8772" s="3">
        <v>353</v>
      </c>
    </row>
    <row r="8773" spans="1:13" x14ac:dyDescent="0.25">
      <c r="A8773" s="1" t="str">
        <f>HYPERLINK("http://www.rosaceae.org/Prunus/Prunus_persica/p.persica_gdr_reftransV1_0007082","p.persica_gdr_reftransV1_0007082")</f>
        <v>p.persica_gdr_reftransV1_0007082</v>
      </c>
      <c r="B8773" s="3">
        <v>553</v>
      </c>
      <c r="C8773" s="1" t="str">
        <f>HYPERLINK("http://www.uniprot.org/uniprot/PFKA3_ARATH","PFKA3_ARATH")</f>
        <v>PFKA3_ARATH</v>
      </c>
      <c r="D8773" t="s">
        <v>1362</v>
      </c>
      <c r="E8773" s="3" t="s">
        <v>3</v>
      </c>
      <c r="F8773" s="4">
        <v>4.9599999999999999E-27</v>
      </c>
      <c r="G8773" s="3">
        <v>274</v>
      </c>
      <c r="H8773" s="3">
        <v>70</v>
      </c>
      <c r="I8773" s="3">
        <v>71</v>
      </c>
      <c r="J8773" s="3">
        <v>341</v>
      </c>
      <c r="K8773" s="3">
        <v>553</v>
      </c>
      <c r="L8773" s="3">
        <v>2</v>
      </c>
      <c r="M8773" s="3">
        <v>72</v>
      </c>
    </row>
    <row r="8774" spans="1:13" x14ac:dyDescent="0.25">
      <c r="A8774" s="1" t="str">
        <f>HYPERLINK("http://www.rosaceae.org/Prunus/Prunus_persica/p.persica_gdr_reftransV1_0007182","p.persica_gdr_reftransV1_0007182")</f>
        <v>p.persica_gdr_reftransV1_0007182</v>
      </c>
      <c r="B8774" s="3">
        <v>2224</v>
      </c>
      <c r="C8774" s="1" t="str">
        <f>HYPERLINK("http://www.uniprot.org/uniprot/CER1_ARATH","CER1_ARATH")</f>
        <v>CER1_ARATH</v>
      </c>
      <c r="D8774" t="s">
        <v>6231</v>
      </c>
      <c r="E8774" s="3" t="s">
        <v>3</v>
      </c>
      <c r="F8774" s="4">
        <v>0</v>
      </c>
      <c r="G8774" s="3">
        <v>1981</v>
      </c>
      <c r="H8774" s="3">
        <v>58</v>
      </c>
      <c r="I8774" s="3">
        <v>671</v>
      </c>
      <c r="J8774" s="3">
        <v>8</v>
      </c>
      <c r="K8774" s="3">
        <v>2002</v>
      </c>
      <c r="L8774" s="3">
        <v>1</v>
      </c>
      <c r="M8774" s="3">
        <v>622</v>
      </c>
    </row>
    <row r="8775" spans="1:13" x14ac:dyDescent="0.25">
      <c r="A8775" s="1" t="str">
        <f>HYPERLINK("http://www.rosaceae.org/Prunus/Prunus_persica/p.persica_gdr_reftransV1_0007232","p.persica_gdr_reftransV1_0007232")</f>
        <v>p.persica_gdr_reftransV1_0007232</v>
      </c>
      <c r="B8775" s="3">
        <v>533</v>
      </c>
      <c r="C8775" s="1" t="str">
        <f>HYPERLINK("http://www.uniprot.org/uniprot/UGT2_GARJA","UGT2_GARJA")</f>
        <v>UGT2_GARJA</v>
      </c>
      <c r="D8775" t="s">
        <v>927</v>
      </c>
      <c r="E8775" s="3" t="s">
        <v>624</v>
      </c>
      <c r="F8775" s="4">
        <v>8.9799999999999995E-79</v>
      </c>
      <c r="G8775" s="3">
        <v>634</v>
      </c>
      <c r="H8775" s="3">
        <v>66</v>
      </c>
      <c r="I8775" s="3">
        <v>179</v>
      </c>
      <c r="J8775" s="3">
        <v>3</v>
      </c>
      <c r="K8775" s="3">
        <v>533</v>
      </c>
      <c r="L8775" s="3">
        <v>14</v>
      </c>
      <c r="M8775" s="3">
        <v>191</v>
      </c>
    </row>
    <row r="8776" spans="1:13" x14ac:dyDescent="0.25">
      <c r="A8776" s="1" t="str">
        <f>HYPERLINK("http://www.rosaceae.org/Prunus/Prunus_persica/p.persica_gdr_reftransV1_0007332","p.persica_gdr_reftransV1_0007332")</f>
        <v>p.persica_gdr_reftransV1_0007332</v>
      </c>
      <c r="B8776" s="3">
        <v>4480</v>
      </c>
      <c r="C8776" s="1" t="str">
        <f>HYPERLINK("http://www.uniprot.org/uniprot/PP380_ARATH","PP380_ARATH")</f>
        <v>PP380_ARATH</v>
      </c>
      <c r="D8776" t="s">
        <v>5617</v>
      </c>
      <c r="E8776" s="3" t="s">
        <v>3</v>
      </c>
      <c r="F8776" s="4">
        <v>0</v>
      </c>
      <c r="G8776" s="3">
        <v>1814</v>
      </c>
      <c r="H8776" s="3">
        <v>54</v>
      </c>
      <c r="I8776" s="3">
        <v>605</v>
      </c>
      <c r="J8776" s="3">
        <v>63</v>
      </c>
      <c r="K8776" s="3">
        <v>1874</v>
      </c>
      <c r="L8776" s="3">
        <v>4</v>
      </c>
      <c r="M8776" s="3">
        <v>607</v>
      </c>
    </row>
    <row r="8777" spans="1:13" x14ac:dyDescent="0.25">
      <c r="A8777" s="1" t="str">
        <f>HYPERLINK("http://www.rosaceae.org/Prunus/Prunus_persica/p.persica_gdr_reftransV1_0007382","p.persica_gdr_reftransV1_0007382")</f>
        <v>p.persica_gdr_reftransV1_0007382</v>
      </c>
      <c r="B8777" s="3">
        <v>1593</v>
      </c>
      <c r="C8777" s="1" t="str">
        <f>HYPERLINK("http://www.uniprot.org/uniprot/RNHX1_ARATH","RNHX1_ARATH")</f>
        <v>RNHX1_ARATH</v>
      </c>
      <c r="D8777" t="s">
        <v>124</v>
      </c>
      <c r="E8777" s="3" t="s">
        <v>3</v>
      </c>
      <c r="F8777" s="4">
        <v>4.9599999999999998E-51</v>
      </c>
      <c r="G8777" s="3">
        <v>480</v>
      </c>
      <c r="H8777" s="3">
        <v>31</v>
      </c>
      <c r="I8777" s="3">
        <v>422</v>
      </c>
      <c r="J8777" s="3">
        <v>348</v>
      </c>
      <c r="K8777" s="3">
        <v>1589</v>
      </c>
      <c r="L8777" s="3">
        <v>132</v>
      </c>
      <c r="M8777" s="3">
        <v>551</v>
      </c>
    </row>
    <row r="8778" spans="1:13" x14ac:dyDescent="0.25">
      <c r="A8778" s="1" t="str">
        <f>HYPERLINK("http://www.rosaceae.org/Prunus/Prunus_persica/p.persica_gdr_reftransV1_0007432","p.persica_gdr_reftransV1_0007432")</f>
        <v>p.persica_gdr_reftransV1_0007432</v>
      </c>
      <c r="B8778" s="3">
        <v>1308</v>
      </c>
      <c r="C8778" s="1" t="str">
        <f>HYPERLINK("http://www.uniprot.org/uniprot/ACCO_DENCR","ACCO_DENCR")</f>
        <v>ACCO_DENCR</v>
      </c>
      <c r="D8778" t="s">
        <v>6685</v>
      </c>
      <c r="E8778" s="3" t="s">
        <v>6686</v>
      </c>
      <c r="F8778" s="4">
        <v>2.9200000000000002E-7</v>
      </c>
      <c r="G8778" s="3">
        <v>133</v>
      </c>
      <c r="H8778" s="3">
        <v>31</v>
      </c>
      <c r="I8778" s="3">
        <v>133</v>
      </c>
      <c r="J8778" s="3">
        <v>445</v>
      </c>
      <c r="K8778" s="3">
        <v>807</v>
      </c>
      <c r="L8778" s="3">
        <v>104</v>
      </c>
      <c r="M8778" s="3">
        <v>236</v>
      </c>
    </row>
    <row r="8779" spans="1:13" x14ac:dyDescent="0.25">
      <c r="A8779" s="1" t="str">
        <f>HYPERLINK("http://www.rosaceae.org/Prunus/Prunus_persica/p.persica_gdr_reftransV1_0007482","p.persica_gdr_reftransV1_0007482")</f>
        <v>p.persica_gdr_reftransV1_0007482</v>
      </c>
      <c r="B8779" s="3">
        <v>1060</v>
      </c>
      <c r="C8779" s="1" t="str">
        <f>HYPERLINK("http://www.uniprot.org/uniprot/HT1_ARATH","HT1_ARATH")</f>
        <v>HT1_ARATH</v>
      </c>
      <c r="D8779" t="s">
        <v>1169</v>
      </c>
      <c r="E8779" s="3" t="s">
        <v>3</v>
      </c>
      <c r="F8779" s="4">
        <v>1.32E-43</v>
      </c>
      <c r="G8779" s="3">
        <v>405</v>
      </c>
      <c r="H8779" s="3">
        <v>48</v>
      </c>
      <c r="I8779" s="3">
        <v>181</v>
      </c>
      <c r="J8779" s="3">
        <v>488</v>
      </c>
      <c r="K8779" s="3">
        <v>1024</v>
      </c>
      <c r="L8779" s="3">
        <v>78</v>
      </c>
      <c r="M8779" s="3">
        <v>257</v>
      </c>
    </row>
    <row r="8780" spans="1:13" x14ac:dyDescent="0.25">
      <c r="A8780" s="1" t="str">
        <f>HYPERLINK("http://www.rosaceae.org/Prunus/Prunus_persica/p.persica_gdr_reftransV1_0007532","p.persica_gdr_reftransV1_0007532")</f>
        <v>p.persica_gdr_reftransV1_0007532</v>
      </c>
      <c r="B8780" s="3">
        <v>2101</v>
      </c>
      <c r="C8780" s="1" t="str">
        <f>HYPERLINK("http://www.uniprot.org/uniprot/CSLG3_ARATH","CSLG3_ARATH")</f>
        <v>CSLG3_ARATH</v>
      </c>
      <c r="D8780" t="s">
        <v>2455</v>
      </c>
      <c r="E8780" s="3" t="s">
        <v>3</v>
      </c>
      <c r="F8780" s="4">
        <v>1.7599999999999999E-58</v>
      </c>
      <c r="G8780" s="3">
        <v>549</v>
      </c>
      <c r="H8780" s="3">
        <v>55</v>
      </c>
      <c r="I8780" s="3">
        <v>197</v>
      </c>
      <c r="J8780" s="3">
        <v>2</v>
      </c>
      <c r="K8780" s="3">
        <v>589</v>
      </c>
      <c r="L8780" s="3">
        <v>560</v>
      </c>
      <c r="M8780" s="3">
        <v>751</v>
      </c>
    </row>
    <row r="8781" spans="1:13" x14ac:dyDescent="0.25">
      <c r="A8781" s="1" t="str">
        <f>HYPERLINK("http://www.rosaceae.org/Prunus/Prunus_persica/p.persica_gdr_reftransV1_0007632","p.persica_gdr_reftransV1_0007632")</f>
        <v>p.persica_gdr_reftransV1_0007632</v>
      </c>
      <c r="B8781" s="3">
        <v>385</v>
      </c>
      <c r="C8781" s="1" t="str">
        <f>HYPERLINK("http://www.uniprot.org/uniprot/R13L1_ARATH","R13L1_ARATH")</f>
        <v>R13L1_ARATH</v>
      </c>
      <c r="D8781" t="s">
        <v>100</v>
      </c>
      <c r="E8781" s="3" t="s">
        <v>3</v>
      </c>
      <c r="F8781" s="4">
        <v>7.8200000000000002E-37</v>
      </c>
      <c r="G8781" s="3">
        <v>348</v>
      </c>
      <c r="H8781" s="3">
        <v>50</v>
      </c>
      <c r="I8781" s="3">
        <v>129</v>
      </c>
      <c r="J8781" s="3">
        <v>3</v>
      </c>
      <c r="K8781" s="3">
        <v>383</v>
      </c>
      <c r="L8781" s="3">
        <v>215</v>
      </c>
      <c r="M8781" s="3">
        <v>343</v>
      </c>
    </row>
    <row r="8782" spans="1:13" x14ac:dyDescent="0.25">
      <c r="A8782" s="1" t="str">
        <f>HYPERLINK("http://www.rosaceae.org/Prunus/Prunus_persica/p.persica_gdr_reftransV1_0007682","p.persica_gdr_reftransV1_0007682")</f>
        <v>p.persica_gdr_reftransV1_0007682</v>
      </c>
      <c r="B8782" s="3">
        <v>1176</v>
      </c>
      <c r="C8782" s="1" t="str">
        <f>HYPERLINK("http://www.uniprot.org/uniprot/VQ9_ARATH","VQ9_ARATH")</f>
        <v>VQ9_ARATH</v>
      </c>
      <c r="D8782" t="s">
        <v>6687</v>
      </c>
      <c r="E8782" s="3" t="s">
        <v>3</v>
      </c>
      <c r="F8782" s="4">
        <v>2.04E-33</v>
      </c>
      <c r="G8782" s="3">
        <v>330</v>
      </c>
      <c r="H8782" s="3">
        <v>50</v>
      </c>
      <c r="I8782" s="3">
        <v>216</v>
      </c>
      <c r="J8782" s="3">
        <v>473</v>
      </c>
      <c r="K8782" s="3">
        <v>1105</v>
      </c>
      <c r="L8782" s="3">
        <v>82</v>
      </c>
      <c r="M8782" s="3">
        <v>276</v>
      </c>
    </row>
    <row r="8783" spans="1:13" x14ac:dyDescent="0.25">
      <c r="A8783" s="1" t="str">
        <f>HYPERLINK("http://www.rosaceae.org/Prunus/Prunus_persica/p.persica_gdr_reftransV1_0007732","p.persica_gdr_reftransV1_0007732")</f>
        <v>p.persica_gdr_reftransV1_0007732</v>
      </c>
      <c r="B8783" s="3">
        <v>1838</v>
      </c>
      <c r="C8783" s="1" t="str">
        <f>HYPERLINK("http://www.uniprot.org/uniprot/ATL60_ARATH","ATL60_ARATH")</f>
        <v>ATL60_ARATH</v>
      </c>
      <c r="D8783" t="s">
        <v>6688</v>
      </c>
      <c r="E8783" s="3" t="s">
        <v>3</v>
      </c>
      <c r="F8783" s="4">
        <v>6.9899999999999996E-40</v>
      </c>
      <c r="G8783" s="3">
        <v>384</v>
      </c>
      <c r="H8783" s="3">
        <v>44</v>
      </c>
      <c r="I8783" s="3">
        <v>224</v>
      </c>
      <c r="J8783" s="3">
        <v>404</v>
      </c>
      <c r="K8783" s="3">
        <v>1030</v>
      </c>
      <c r="L8783" s="3">
        <v>4</v>
      </c>
      <c r="M8783" s="3">
        <v>226</v>
      </c>
    </row>
    <row r="8784" spans="1:13" x14ac:dyDescent="0.25">
      <c r="A8784" s="1" t="str">
        <f>HYPERLINK("http://www.rosaceae.org/Prunus/Prunus_persica/p.persica_gdr_reftransV1_0007832","p.persica_gdr_reftransV1_0007832")</f>
        <v>p.persica_gdr_reftransV1_0007832</v>
      </c>
      <c r="B8784" s="3">
        <v>1385</v>
      </c>
      <c r="C8784" s="1" t="str">
        <f>HYPERLINK("http://www.uniprot.org/uniprot/SIL10_ARATH","SIL10_ARATH")</f>
        <v>SIL10_ARATH</v>
      </c>
      <c r="D8784" t="s">
        <v>3797</v>
      </c>
      <c r="E8784" s="3" t="s">
        <v>3</v>
      </c>
      <c r="F8784" s="4">
        <v>1.08E-45</v>
      </c>
      <c r="G8784" s="3">
        <v>424</v>
      </c>
      <c r="H8784" s="3">
        <v>43</v>
      </c>
      <c r="I8784" s="3">
        <v>237</v>
      </c>
      <c r="J8784" s="3">
        <v>280</v>
      </c>
      <c r="K8784" s="3">
        <v>984</v>
      </c>
      <c r="L8784" s="3">
        <v>104</v>
      </c>
      <c r="M8784" s="3">
        <v>339</v>
      </c>
    </row>
    <row r="8785" spans="1:13" x14ac:dyDescent="0.25">
      <c r="A8785" s="1" t="str">
        <f>HYPERLINK("http://www.rosaceae.org/Prunus/Prunus_persica/p.persica_gdr_reftransV1_0007882","p.persica_gdr_reftransV1_0007882")</f>
        <v>p.persica_gdr_reftransV1_0007882</v>
      </c>
      <c r="B8785" s="3">
        <v>1252</v>
      </c>
      <c r="C8785" s="1" t="str">
        <f>HYPERLINK("http://www.uniprot.org/uniprot/TIC32_ARATH","TIC32_ARATH")</f>
        <v>TIC32_ARATH</v>
      </c>
      <c r="D8785" t="s">
        <v>2095</v>
      </c>
      <c r="E8785" s="3" t="s">
        <v>3</v>
      </c>
      <c r="F8785" s="4">
        <v>9.6999999999999996E-68</v>
      </c>
      <c r="G8785" s="3">
        <v>571</v>
      </c>
      <c r="H8785" s="3">
        <v>42</v>
      </c>
      <c r="I8785" s="3">
        <v>277</v>
      </c>
      <c r="J8785" s="3">
        <v>356</v>
      </c>
      <c r="K8785" s="3">
        <v>1186</v>
      </c>
      <c r="L8785" s="3">
        <v>2</v>
      </c>
      <c r="M8785" s="3">
        <v>275</v>
      </c>
    </row>
    <row r="8786" spans="1:13" x14ac:dyDescent="0.25">
      <c r="A8786" s="1" t="str">
        <f>HYPERLINK("http://www.rosaceae.org/Prunus/Prunus_persica/p.persica_gdr_reftransV1_0007932","p.persica_gdr_reftransV1_0007932")</f>
        <v>p.persica_gdr_reftransV1_0007932</v>
      </c>
      <c r="B8786" s="3">
        <v>1141</v>
      </c>
      <c r="C8786" s="1" t="str">
        <f>HYPERLINK("http://www.uniprot.org/uniprot/HS217_ARATH","HS217_ARATH")</f>
        <v>HS217_ARATH</v>
      </c>
      <c r="D8786" t="s">
        <v>6689</v>
      </c>
      <c r="E8786" s="3" t="s">
        <v>3</v>
      </c>
      <c r="F8786" s="4">
        <v>1.83E-54</v>
      </c>
      <c r="G8786" s="3">
        <v>467</v>
      </c>
      <c r="H8786" s="3">
        <v>62</v>
      </c>
      <c r="I8786" s="3">
        <v>181</v>
      </c>
      <c r="J8786" s="3">
        <v>507</v>
      </c>
      <c r="K8786" s="3">
        <v>1037</v>
      </c>
      <c r="L8786" s="3">
        <v>9</v>
      </c>
      <c r="M8786" s="3">
        <v>187</v>
      </c>
    </row>
    <row r="8787" spans="1:13" x14ac:dyDescent="0.25">
      <c r="A8787" s="1" t="str">
        <f>HYPERLINK("http://www.rosaceae.org/Prunus/Prunus_persica/p.persica_gdr_reftransV1_0007982","p.persica_gdr_reftransV1_0007982")</f>
        <v>p.persica_gdr_reftransV1_0007982</v>
      </c>
      <c r="B8787" s="3">
        <v>2611</v>
      </c>
      <c r="C8787" s="1" t="str">
        <f>HYPERLINK("http://www.uniprot.org/uniprot/JAL3_ARATH","JAL3_ARATH")</f>
        <v>JAL3_ARATH</v>
      </c>
      <c r="D8787" t="s">
        <v>6690</v>
      </c>
      <c r="E8787" s="3" t="s">
        <v>3</v>
      </c>
      <c r="F8787" s="4">
        <v>0</v>
      </c>
      <c r="G8787" s="3">
        <v>1419</v>
      </c>
      <c r="H8787" s="3">
        <v>51</v>
      </c>
      <c r="I8787" s="3">
        <v>657</v>
      </c>
      <c r="J8787" s="3">
        <v>135</v>
      </c>
      <c r="K8787" s="3">
        <v>2084</v>
      </c>
      <c r="L8787" s="3">
        <v>10</v>
      </c>
      <c r="M8787" s="3">
        <v>601</v>
      </c>
    </row>
    <row r="8788" spans="1:13" x14ac:dyDescent="0.25">
      <c r="A8788" s="1" t="str">
        <f>HYPERLINK("http://www.rosaceae.org/Prunus/Prunus_persica/p.persica_gdr_reftransV1_0008032","p.persica_gdr_reftransV1_0008032")</f>
        <v>p.persica_gdr_reftransV1_0008032</v>
      </c>
      <c r="B8788" s="3">
        <v>1512</v>
      </c>
      <c r="C8788" s="1" t="str">
        <f>HYPERLINK("http://www.uniprot.org/uniprot/PAXI1_MOUSE","PAXI1_MOUSE")</f>
        <v>PAXI1_MOUSE</v>
      </c>
      <c r="D8788" t="s">
        <v>6691</v>
      </c>
      <c r="E8788" s="3" t="s">
        <v>157</v>
      </c>
      <c r="F8788" s="4">
        <v>6.9499999999999998E-26</v>
      </c>
      <c r="G8788" s="3">
        <v>289</v>
      </c>
      <c r="H8788" s="3">
        <v>34</v>
      </c>
      <c r="I8788" s="3">
        <v>190</v>
      </c>
      <c r="J8788" s="3">
        <v>703</v>
      </c>
      <c r="K8788" s="3">
        <v>1260</v>
      </c>
      <c r="L8788" s="3">
        <v>866</v>
      </c>
      <c r="M8788" s="3">
        <v>1055</v>
      </c>
    </row>
    <row r="8789" spans="1:13" x14ac:dyDescent="0.25">
      <c r="A8789" s="1" t="str">
        <f>HYPERLINK("http://www.rosaceae.org/Prunus/Prunus_persica/p.persica_gdr_reftransV1_0008332","p.persica_gdr_reftransV1_0008332")</f>
        <v>p.persica_gdr_reftransV1_0008332</v>
      </c>
      <c r="B8789" s="3">
        <v>2500</v>
      </c>
      <c r="C8789" s="1" t="str">
        <f>HYPERLINK("http://www.uniprot.org/uniprot/PIGQ_MOUSE","PIGQ_MOUSE")</f>
        <v>PIGQ_MOUSE</v>
      </c>
      <c r="D8789" t="s">
        <v>6692</v>
      </c>
      <c r="E8789" s="3" t="s">
        <v>157</v>
      </c>
      <c r="F8789" s="4">
        <v>1.62E-22</v>
      </c>
      <c r="G8789" s="3">
        <v>265</v>
      </c>
      <c r="H8789" s="3">
        <v>38</v>
      </c>
      <c r="I8789" s="3">
        <v>208</v>
      </c>
      <c r="J8789" s="3">
        <v>1421</v>
      </c>
      <c r="K8789" s="3">
        <v>2044</v>
      </c>
      <c r="L8789" s="3">
        <v>313</v>
      </c>
      <c r="M8789" s="3">
        <v>519</v>
      </c>
    </row>
    <row r="8790" spans="1:13" x14ac:dyDescent="0.25">
      <c r="A8790" s="1" t="str">
        <f>HYPERLINK("http://www.rosaceae.org/Prunus/Prunus_persica/p.persica_gdr_reftransV1_0008432","p.persica_gdr_reftransV1_0008432")</f>
        <v>p.persica_gdr_reftransV1_0008432</v>
      </c>
      <c r="B8790" s="3">
        <v>1022</v>
      </c>
      <c r="C8790" s="1" t="str">
        <f>HYPERLINK("http://www.uniprot.org/uniprot/FLA9_ARATH","FLA9_ARATH")</f>
        <v>FLA9_ARATH</v>
      </c>
      <c r="D8790" t="s">
        <v>6693</v>
      </c>
      <c r="E8790" s="3" t="s">
        <v>3</v>
      </c>
      <c r="F8790" s="4">
        <v>4.2600000000000001E-58</v>
      </c>
      <c r="G8790" s="3">
        <v>493</v>
      </c>
      <c r="H8790" s="3">
        <v>57</v>
      </c>
      <c r="I8790" s="3">
        <v>210</v>
      </c>
      <c r="J8790" s="3">
        <v>361</v>
      </c>
      <c r="K8790" s="3">
        <v>981</v>
      </c>
      <c r="L8790" s="3">
        <v>38</v>
      </c>
      <c r="M8790" s="3">
        <v>247</v>
      </c>
    </row>
    <row r="8791" spans="1:13" x14ac:dyDescent="0.25">
      <c r="A8791" s="1" t="str">
        <f>HYPERLINK("http://www.rosaceae.org/Prunus/Prunus_persica/p.persica_gdr_reftransV1_0008832","p.persica_gdr_reftransV1_0008832")</f>
        <v>p.persica_gdr_reftransV1_0008832</v>
      </c>
      <c r="B8791" s="3">
        <v>1310</v>
      </c>
      <c r="C8791" s="1" t="str">
        <f>HYPERLINK("http://www.uniprot.org/uniprot/PDX1_HEVBR","PDX1_HEVBR")</f>
        <v>PDX1_HEVBR</v>
      </c>
      <c r="D8791" t="s">
        <v>6694</v>
      </c>
      <c r="E8791" s="3" t="s">
        <v>24</v>
      </c>
      <c r="F8791" s="4">
        <v>0</v>
      </c>
      <c r="G8791" s="3">
        <v>1386</v>
      </c>
      <c r="H8791" s="3">
        <v>93</v>
      </c>
      <c r="I8791" s="3">
        <v>309</v>
      </c>
      <c r="J8791" s="3">
        <v>320</v>
      </c>
      <c r="K8791" s="3">
        <v>1246</v>
      </c>
      <c r="L8791" s="3">
        <v>1</v>
      </c>
      <c r="M8791" s="3">
        <v>309</v>
      </c>
    </row>
    <row r="8792" spans="1:13" x14ac:dyDescent="0.25">
      <c r="A8792" s="1" t="str">
        <f>HYPERLINK("http://www.rosaceae.org/Prunus/Prunus_persica/p.persica_gdr_reftransV1_0008882","p.persica_gdr_reftransV1_0008882")</f>
        <v>p.persica_gdr_reftransV1_0008882</v>
      </c>
      <c r="B8792" s="3">
        <v>1754</v>
      </c>
      <c r="C8792" s="1" t="str">
        <f>HYPERLINK("http://www.uniprot.org/uniprot/CLH1_ORYSJ","CLH1_ORYSJ")</f>
        <v>CLH1_ORYSJ</v>
      </c>
      <c r="D8792" t="s">
        <v>6695</v>
      </c>
      <c r="E8792" s="3" t="s">
        <v>38</v>
      </c>
      <c r="F8792" s="4">
        <v>0</v>
      </c>
      <c r="G8792" s="3">
        <v>1728</v>
      </c>
      <c r="H8792" s="3">
        <v>91</v>
      </c>
      <c r="I8792" s="3">
        <v>340</v>
      </c>
      <c r="J8792" s="3">
        <v>1</v>
      </c>
      <c r="K8792" s="3">
        <v>1020</v>
      </c>
      <c r="L8792" s="3">
        <v>1293</v>
      </c>
      <c r="M8792" s="3">
        <v>1632</v>
      </c>
    </row>
    <row r="8793" spans="1:13" x14ac:dyDescent="0.25">
      <c r="A8793" s="1" t="str">
        <f>HYPERLINK("http://www.rosaceae.org/Prunus/Prunus_persica/p.persica_gdr_reftransV1_0009132","p.persica_gdr_reftransV1_0009132")</f>
        <v>p.persica_gdr_reftransV1_0009132</v>
      </c>
      <c r="B8793" s="3">
        <v>3571</v>
      </c>
      <c r="C8793" s="1" t="str">
        <f>HYPERLINK("http://www.uniprot.org/uniprot/SYIM_ARATH","SYIM_ARATH")</f>
        <v>SYIM_ARATH</v>
      </c>
      <c r="D8793" t="s">
        <v>6696</v>
      </c>
      <c r="E8793" s="3" t="s">
        <v>3</v>
      </c>
      <c r="F8793" s="4">
        <v>0</v>
      </c>
      <c r="G8793" s="3">
        <v>4310</v>
      </c>
      <c r="H8793" s="3">
        <v>77</v>
      </c>
      <c r="I8793" s="3">
        <v>1081</v>
      </c>
      <c r="J8793" s="3">
        <v>268</v>
      </c>
      <c r="K8793" s="3">
        <v>3501</v>
      </c>
      <c r="L8793" s="3">
        <v>5</v>
      </c>
      <c r="M8793" s="3">
        <v>1077</v>
      </c>
    </row>
    <row r="8794" spans="1:13" x14ac:dyDescent="0.25">
      <c r="A8794" s="1" t="str">
        <f>HYPERLINK("http://www.rosaceae.org/Prunus/Prunus_persica/p.persica_gdr_reftransV1_0009232","p.persica_gdr_reftransV1_0009232")</f>
        <v>p.persica_gdr_reftransV1_0009232</v>
      </c>
      <c r="B8794" s="3">
        <v>1930</v>
      </c>
      <c r="C8794" s="1" t="str">
        <f>HYPERLINK("http://www.uniprot.org/uniprot/BAME3_ARATH","BAME3_ARATH")</f>
        <v>BAME3_ARATH</v>
      </c>
      <c r="D8794" t="s">
        <v>6697</v>
      </c>
      <c r="E8794" s="3" t="s">
        <v>3</v>
      </c>
      <c r="F8794" s="4">
        <v>0</v>
      </c>
      <c r="G8794" s="3">
        <v>1792</v>
      </c>
      <c r="H8794" s="3">
        <v>74</v>
      </c>
      <c r="I8794" s="3">
        <v>477</v>
      </c>
      <c r="J8794" s="3">
        <v>8</v>
      </c>
      <c r="K8794" s="3">
        <v>1423</v>
      </c>
      <c r="L8794" s="3">
        <v>516</v>
      </c>
      <c r="M8794" s="3">
        <v>992</v>
      </c>
    </row>
    <row r="8795" spans="1:13" x14ac:dyDescent="0.25">
      <c r="A8795" s="1" t="str">
        <f>HYPERLINK("http://www.rosaceae.org/Prunus/Prunus_persica/p.persica_gdr_reftransV1_0009382","p.persica_gdr_reftransV1_0009382")</f>
        <v>p.persica_gdr_reftransV1_0009382</v>
      </c>
      <c r="B8795" s="3">
        <v>1491</v>
      </c>
      <c r="C8795" s="1" t="str">
        <f>HYPERLINK("http://www.uniprot.org/uniprot/FRS5_ARATH","FRS5_ARATH")</f>
        <v>FRS5_ARATH</v>
      </c>
      <c r="D8795" t="s">
        <v>908</v>
      </c>
      <c r="E8795" s="3" t="s">
        <v>3</v>
      </c>
      <c r="F8795" s="4">
        <v>2.07E-24</v>
      </c>
      <c r="G8795" s="3">
        <v>276</v>
      </c>
      <c r="H8795" s="3">
        <v>43</v>
      </c>
      <c r="I8795" s="3">
        <v>160</v>
      </c>
      <c r="J8795" s="3">
        <v>237</v>
      </c>
      <c r="K8795" s="3">
        <v>677</v>
      </c>
      <c r="L8795" s="3">
        <v>31</v>
      </c>
      <c r="M8795" s="3">
        <v>190</v>
      </c>
    </row>
    <row r="8796" spans="1:13" x14ac:dyDescent="0.25">
      <c r="A8796" s="1" t="str">
        <f>HYPERLINK("http://www.rosaceae.org/Prunus/Prunus_persica/p.persica_gdr_reftransV1_0009432","p.persica_gdr_reftransV1_0009432")</f>
        <v>p.persica_gdr_reftransV1_0009432</v>
      </c>
      <c r="B8796" s="3">
        <v>1042</v>
      </c>
      <c r="C8796" s="1" t="str">
        <f>HYPERLINK("http://www.uniprot.org/uniprot/GLYT3_ARATH","GLYT3_ARATH")</f>
        <v>GLYT3_ARATH</v>
      </c>
      <c r="D8796" t="s">
        <v>2169</v>
      </c>
      <c r="E8796" s="3" t="s">
        <v>3</v>
      </c>
      <c r="F8796" s="4">
        <v>1.89E-72</v>
      </c>
      <c r="G8796" s="3">
        <v>611</v>
      </c>
      <c r="H8796" s="3">
        <v>49</v>
      </c>
      <c r="I8796" s="3">
        <v>243</v>
      </c>
      <c r="J8796" s="3">
        <v>324</v>
      </c>
      <c r="K8796" s="3">
        <v>1040</v>
      </c>
      <c r="L8796" s="3">
        <v>281</v>
      </c>
      <c r="M8796" s="3">
        <v>516</v>
      </c>
    </row>
    <row r="8797" spans="1:13" x14ac:dyDescent="0.25">
      <c r="A8797" s="1" t="str">
        <f>HYPERLINK("http://www.rosaceae.org/Prunus/Prunus_persica/p.persica_gdr_reftransV1_0009482","p.persica_gdr_reftransV1_0009482")</f>
        <v>p.persica_gdr_reftransV1_0009482</v>
      </c>
      <c r="B8797" s="3">
        <v>4411</v>
      </c>
      <c r="C8797" s="1" t="str">
        <f>HYPERLINK("http://www.uniprot.org/uniprot/SMC1_ARATH","SMC1_ARATH")</f>
        <v>SMC1_ARATH</v>
      </c>
      <c r="D8797" t="s">
        <v>6698</v>
      </c>
      <c r="E8797" s="3" t="s">
        <v>3</v>
      </c>
      <c r="F8797" s="4">
        <v>0</v>
      </c>
      <c r="G8797" s="3">
        <v>4014</v>
      </c>
      <c r="H8797" s="3">
        <v>71</v>
      </c>
      <c r="I8797" s="3">
        <v>1219</v>
      </c>
      <c r="J8797" s="3">
        <v>478</v>
      </c>
      <c r="K8797" s="3">
        <v>4131</v>
      </c>
      <c r="L8797" s="3">
        <v>1</v>
      </c>
      <c r="M8797" s="3">
        <v>1218</v>
      </c>
    </row>
    <row r="8798" spans="1:13" x14ac:dyDescent="0.25">
      <c r="A8798" s="1" t="str">
        <f>HYPERLINK("http://www.rosaceae.org/Prunus/Prunus_persica/p.persica_gdr_reftransV1_0009582","p.persica_gdr_reftransV1_0009582")</f>
        <v>p.persica_gdr_reftransV1_0009582</v>
      </c>
      <c r="B8798" s="3">
        <v>3356</v>
      </c>
      <c r="C8798" s="1" t="str">
        <f>HYPERLINK("http://www.uniprot.org/uniprot/Y2242_ARATH","Y2242_ARATH")</f>
        <v>Y2242_ARATH</v>
      </c>
      <c r="D8798" t="s">
        <v>2399</v>
      </c>
      <c r="E8798" s="3" t="s">
        <v>3</v>
      </c>
      <c r="F8798" s="4">
        <v>0</v>
      </c>
      <c r="G8798" s="3">
        <v>3015</v>
      </c>
      <c r="H8798" s="3">
        <v>73</v>
      </c>
      <c r="I8798" s="3">
        <v>838</v>
      </c>
      <c r="J8798" s="3">
        <v>794</v>
      </c>
      <c r="K8798" s="3">
        <v>3304</v>
      </c>
      <c r="L8798" s="3">
        <v>23</v>
      </c>
      <c r="M8798" s="3">
        <v>853</v>
      </c>
    </row>
    <row r="8799" spans="1:13" x14ac:dyDescent="0.25">
      <c r="A8799" s="1" t="str">
        <f>HYPERLINK("http://www.rosaceae.org/Prunus/Prunus_persica/p.persica_gdr_reftransV1_0009832","p.persica_gdr_reftransV1_0009832")</f>
        <v>p.persica_gdr_reftransV1_0009832</v>
      </c>
      <c r="B8799" s="3">
        <v>2983</v>
      </c>
      <c r="C8799" s="1" t="str">
        <f>HYPERLINK("http://www.uniprot.org/uniprot/BRPF3_HUMAN","BRPF3_HUMAN")</f>
        <v>BRPF3_HUMAN</v>
      </c>
      <c r="D8799" t="s">
        <v>647</v>
      </c>
      <c r="E8799" s="3" t="s">
        <v>28</v>
      </c>
      <c r="F8799" s="4">
        <v>6.59E-12</v>
      </c>
      <c r="G8799" s="3">
        <v>180</v>
      </c>
      <c r="H8799" s="3">
        <v>39</v>
      </c>
      <c r="I8799" s="3">
        <v>107</v>
      </c>
      <c r="J8799" s="3">
        <v>1434</v>
      </c>
      <c r="K8799" s="3">
        <v>1739</v>
      </c>
      <c r="L8799" s="3">
        <v>174</v>
      </c>
      <c r="M8799" s="3">
        <v>279</v>
      </c>
    </row>
    <row r="8800" spans="1:13" x14ac:dyDescent="0.25">
      <c r="A8800" s="1" t="str">
        <f>HYPERLINK("http://www.rosaceae.org/Prunus/Prunus_persica/p.persica_gdr_reftransV1_0009982","p.persica_gdr_reftransV1_0009982")</f>
        <v>p.persica_gdr_reftransV1_0009982</v>
      </c>
      <c r="B8800" s="3">
        <v>3822</v>
      </c>
      <c r="C8800" s="1" t="str">
        <f>HYPERLINK("http://www.uniprot.org/uniprot/HERC2_HUMAN","HERC2_HUMAN")</f>
        <v>HERC2_HUMAN</v>
      </c>
      <c r="D8800" t="s">
        <v>6699</v>
      </c>
      <c r="E8800" s="3" t="s">
        <v>28</v>
      </c>
      <c r="F8800" s="4">
        <v>1.58E-19</v>
      </c>
      <c r="G8800" s="3">
        <v>247</v>
      </c>
      <c r="H8800" s="3">
        <v>30</v>
      </c>
      <c r="I8800" s="3">
        <v>328</v>
      </c>
      <c r="J8800" s="3">
        <v>2004</v>
      </c>
      <c r="K8800" s="3">
        <v>2981</v>
      </c>
      <c r="L8800" s="3">
        <v>3976</v>
      </c>
      <c r="M8800" s="3">
        <v>4282</v>
      </c>
    </row>
    <row r="8801" spans="1:13" x14ac:dyDescent="0.25">
      <c r="A8801" s="1" t="str">
        <f>HYPERLINK("http://www.rosaceae.org/Prunus/Prunus_persica/p.persica_gdr_reftransV1_0010232","p.persica_gdr_reftransV1_0010232")</f>
        <v>p.persica_gdr_reftransV1_0010232</v>
      </c>
      <c r="B8801" s="3">
        <v>2983</v>
      </c>
      <c r="C8801" s="1" t="str">
        <f>HYPERLINK("http://www.uniprot.org/uniprot/SCAR2_ARATH","SCAR2_ARATH")</f>
        <v>SCAR2_ARATH</v>
      </c>
      <c r="D8801" t="s">
        <v>6700</v>
      </c>
      <c r="E8801" s="3" t="s">
        <v>3</v>
      </c>
      <c r="F8801" s="4">
        <v>1.3E-31</v>
      </c>
      <c r="G8801" s="3">
        <v>346</v>
      </c>
      <c r="H8801" s="3">
        <v>34</v>
      </c>
      <c r="I8801" s="3">
        <v>394</v>
      </c>
      <c r="J8801" s="3">
        <v>1320</v>
      </c>
      <c r="K8801" s="3">
        <v>2438</v>
      </c>
      <c r="L8801" s="3">
        <v>1022</v>
      </c>
      <c r="M8801" s="3">
        <v>1386</v>
      </c>
    </row>
    <row r="8802" spans="1:13" x14ac:dyDescent="0.25">
      <c r="A8802" s="1" t="str">
        <f>HYPERLINK("http://www.rosaceae.org/Prunus/Prunus_persica/p.persica_gdr_reftransV1_0010332","p.persica_gdr_reftransV1_0010332")</f>
        <v>p.persica_gdr_reftransV1_0010332</v>
      </c>
      <c r="B8802" s="3">
        <v>4081</v>
      </c>
      <c r="C8802" s="1" t="str">
        <f>HYPERLINK("http://www.uniprot.org/uniprot/HASTY_ARATH","HASTY_ARATH")</f>
        <v>HASTY_ARATH</v>
      </c>
      <c r="D8802" t="s">
        <v>6701</v>
      </c>
      <c r="E8802" s="3" t="s">
        <v>3</v>
      </c>
      <c r="F8802" s="4">
        <v>0</v>
      </c>
      <c r="G8802" s="3">
        <v>4019</v>
      </c>
      <c r="H8802" s="3">
        <v>68</v>
      </c>
      <c r="I8802" s="3">
        <v>1177</v>
      </c>
      <c r="J8802" s="3">
        <v>209</v>
      </c>
      <c r="K8802" s="3">
        <v>3712</v>
      </c>
      <c r="L8802" s="3">
        <v>19</v>
      </c>
      <c r="M8802" s="3">
        <v>1189</v>
      </c>
    </row>
    <row r="8803" spans="1:13" x14ac:dyDescent="0.25">
      <c r="A8803" s="1" t="str">
        <f>HYPERLINK("http://www.rosaceae.org/Prunus/Prunus_persica/p.persica_gdr_reftransV1_0010382","p.persica_gdr_reftransV1_0010382")</f>
        <v>p.persica_gdr_reftransV1_0010382</v>
      </c>
      <c r="B8803" s="3">
        <v>1294</v>
      </c>
      <c r="C8803" s="1" t="str">
        <f>HYPERLINK("http://www.uniprot.org/uniprot/CHI4_PHAVU","CHI4_PHAVU")</f>
        <v>CHI4_PHAVU</v>
      </c>
      <c r="D8803" t="s">
        <v>6682</v>
      </c>
      <c r="E8803" s="3" t="s">
        <v>2044</v>
      </c>
      <c r="F8803" s="4">
        <v>4.3399999999999999E-69</v>
      </c>
      <c r="G8803" s="3">
        <v>577</v>
      </c>
      <c r="H8803" s="3">
        <v>70</v>
      </c>
      <c r="I8803" s="3">
        <v>151</v>
      </c>
      <c r="J8803" s="3">
        <v>241</v>
      </c>
      <c r="K8803" s="3">
        <v>690</v>
      </c>
      <c r="L8803" s="3">
        <v>120</v>
      </c>
      <c r="M8803" s="3">
        <v>270</v>
      </c>
    </row>
    <row r="8804" spans="1:13" x14ac:dyDescent="0.25">
      <c r="A8804" s="1" t="str">
        <f>HYPERLINK("http://www.rosaceae.org/Prunus/Prunus_persica/p.persica_gdr_reftransV1_0010482","p.persica_gdr_reftransV1_0010482")</f>
        <v>p.persica_gdr_reftransV1_0010482</v>
      </c>
      <c r="B8804" s="3">
        <v>2101</v>
      </c>
      <c r="C8804" s="1" t="str">
        <f>HYPERLINK("http://www.uniprot.org/uniprot/KATAM_ORYSJ","KATAM_ORYSJ")</f>
        <v>KATAM_ORYSJ</v>
      </c>
      <c r="D8804" t="s">
        <v>1088</v>
      </c>
      <c r="E8804" s="3" t="s">
        <v>38</v>
      </c>
      <c r="F8804" s="4">
        <v>4.3799999999999998E-109</v>
      </c>
      <c r="G8804" s="3">
        <v>896</v>
      </c>
      <c r="H8804" s="3">
        <v>42</v>
      </c>
      <c r="I8804" s="3">
        <v>440</v>
      </c>
      <c r="J8804" s="3">
        <v>400</v>
      </c>
      <c r="K8804" s="3">
        <v>1683</v>
      </c>
      <c r="L8804" s="3">
        <v>83</v>
      </c>
      <c r="M8804" s="3">
        <v>518</v>
      </c>
    </row>
    <row r="8805" spans="1:13" x14ac:dyDescent="0.25">
      <c r="A8805" s="1" t="str">
        <f>HYPERLINK("http://www.rosaceae.org/Prunus/Prunus_persica/p.persica_gdr_reftransV1_0010632","p.persica_gdr_reftransV1_0010632")</f>
        <v>p.persica_gdr_reftransV1_0010632</v>
      </c>
      <c r="B8805" s="3">
        <v>544</v>
      </c>
      <c r="C8805" s="1" t="str">
        <f>HYPERLINK("http://www.uniprot.org/uniprot/PRU1_PRUAR","PRU1_PRUAR")</f>
        <v>PRU1_PRUAR</v>
      </c>
      <c r="D8805" t="s">
        <v>1198</v>
      </c>
      <c r="E8805" s="3" t="s">
        <v>62</v>
      </c>
      <c r="F8805" s="4">
        <v>3.28E-71</v>
      </c>
      <c r="G8805" s="3">
        <v>558</v>
      </c>
      <c r="H8805" s="3">
        <v>85</v>
      </c>
      <c r="I8805" s="3">
        <v>122</v>
      </c>
      <c r="J8805" s="3">
        <v>179</v>
      </c>
      <c r="K8805" s="3">
        <v>544</v>
      </c>
      <c r="L8805" s="3">
        <v>1</v>
      </c>
      <c r="M8805" s="3">
        <v>122</v>
      </c>
    </row>
    <row r="8806" spans="1:13" x14ac:dyDescent="0.25">
      <c r="A8806" s="1" t="str">
        <f>HYPERLINK("http://www.rosaceae.org/Prunus/Prunus_persica/p.persica_gdr_reftransV1_0010782","p.persica_gdr_reftransV1_0010782")</f>
        <v>p.persica_gdr_reftransV1_0010782</v>
      </c>
      <c r="B8806" s="3">
        <v>1581</v>
      </c>
      <c r="C8806" s="1" t="str">
        <f>HYPERLINK("http://www.uniprot.org/uniprot/TDL1_ARATH","TDL1_ARATH")</f>
        <v>TDL1_ARATH</v>
      </c>
      <c r="D8806" t="s">
        <v>6702</v>
      </c>
      <c r="E8806" s="3" t="s">
        <v>3</v>
      </c>
      <c r="F8806" s="4">
        <v>1.63E-51</v>
      </c>
      <c r="G8806" s="3">
        <v>455</v>
      </c>
      <c r="H8806" s="3">
        <v>60</v>
      </c>
      <c r="I8806" s="3">
        <v>154</v>
      </c>
      <c r="J8806" s="3">
        <v>105</v>
      </c>
      <c r="K8806" s="3">
        <v>566</v>
      </c>
      <c r="L8806" s="3">
        <v>32</v>
      </c>
      <c r="M8806" s="3">
        <v>178</v>
      </c>
    </row>
    <row r="8807" spans="1:13" x14ac:dyDescent="0.25">
      <c r="A8807" s="1" t="str">
        <f>HYPERLINK("http://www.rosaceae.org/Prunus/Prunus_persica/p.persica_gdr_reftransV1_0010832","p.persica_gdr_reftransV1_0010832")</f>
        <v>p.persica_gdr_reftransV1_0010832</v>
      </c>
      <c r="B8807" s="3">
        <v>918</v>
      </c>
      <c r="C8807" s="1" t="str">
        <f>HYPERLINK("http://www.uniprot.org/uniprot/CPR49_ARATH","CPR49_ARATH")</f>
        <v>CPR49_ARATH</v>
      </c>
      <c r="D8807" t="s">
        <v>6703</v>
      </c>
      <c r="E8807" s="3" t="s">
        <v>3</v>
      </c>
      <c r="F8807" s="4">
        <v>1.58E-80</v>
      </c>
      <c r="G8807" s="3">
        <v>641</v>
      </c>
      <c r="H8807" s="3">
        <v>57</v>
      </c>
      <c r="I8807" s="3">
        <v>211</v>
      </c>
      <c r="J8807" s="3">
        <v>285</v>
      </c>
      <c r="K8807" s="3">
        <v>917</v>
      </c>
      <c r="L8807" s="3">
        <v>78</v>
      </c>
      <c r="M8807" s="3">
        <v>256</v>
      </c>
    </row>
    <row r="8808" spans="1:13" x14ac:dyDescent="0.25">
      <c r="A8808" s="1" t="str">
        <f>HYPERLINK("http://www.rosaceae.org/Prunus/Prunus_persica/p.persica_gdr_reftransV1_0010982","p.persica_gdr_reftransV1_0010982")</f>
        <v>p.persica_gdr_reftransV1_0010982</v>
      </c>
      <c r="B8808" s="3">
        <v>1478</v>
      </c>
      <c r="C8808" s="1" t="str">
        <f>HYPERLINK("http://www.uniprot.org/uniprot/POLX_TOBAC","POLX_TOBAC")</f>
        <v>POLX_TOBAC</v>
      </c>
      <c r="D8808" t="s">
        <v>1253</v>
      </c>
      <c r="E8808" s="3" t="s">
        <v>200</v>
      </c>
      <c r="F8808" s="4">
        <v>3.64E-78</v>
      </c>
      <c r="G8808" s="3">
        <v>545</v>
      </c>
      <c r="H8808" s="3">
        <v>35</v>
      </c>
      <c r="I8808" s="3">
        <v>413</v>
      </c>
      <c r="J8808" s="3">
        <v>1</v>
      </c>
      <c r="K8808" s="3">
        <v>1125</v>
      </c>
      <c r="L8808" s="3">
        <v>685</v>
      </c>
      <c r="M8808" s="3">
        <v>1092</v>
      </c>
    </row>
    <row r="8809" spans="1:13" x14ac:dyDescent="0.25">
      <c r="A8809" s="1" t="str">
        <f>HYPERLINK("http://www.rosaceae.org/Prunus/Prunus_persica/p.persica_gdr_reftransV1_0011082","p.persica_gdr_reftransV1_0011082")</f>
        <v>p.persica_gdr_reftransV1_0011082</v>
      </c>
      <c r="B8809" s="3">
        <v>1821</v>
      </c>
      <c r="C8809" s="1" t="str">
        <f>HYPERLINK("http://www.uniprot.org/uniprot/PIN1C_ORYSJ","PIN1C_ORYSJ")</f>
        <v>PIN1C_ORYSJ</v>
      </c>
      <c r="D8809" t="s">
        <v>6704</v>
      </c>
      <c r="E8809" s="3" t="s">
        <v>38</v>
      </c>
      <c r="F8809" s="4">
        <v>8.6199999999999993E-170</v>
      </c>
      <c r="G8809" s="3">
        <v>1296</v>
      </c>
      <c r="H8809" s="3">
        <v>62</v>
      </c>
      <c r="I8809" s="3">
        <v>469</v>
      </c>
      <c r="J8809" s="3">
        <v>1</v>
      </c>
      <c r="K8809" s="3">
        <v>1326</v>
      </c>
      <c r="L8809" s="3">
        <v>156</v>
      </c>
      <c r="M8809" s="3">
        <v>592</v>
      </c>
    </row>
    <row r="8810" spans="1:13" x14ac:dyDescent="0.25">
      <c r="A8810" s="1" t="str">
        <f>HYPERLINK("http://www.rosaceae.org/Prunus/Prunus_persica/p.persica_gdr_reftransV1_0011232","p.persica_gdr_reftransV1_0011232")</f>
        <v>p.persica_gdr_reftransV1_0011232</v>
      </c>
      <c r="B8810" s="3">
        <v>3997</v>
      </c>
      <c r="C8810" s="1" t="str">
        <f>HYPERLINK("http://www.uniprot.org/uniprot/ATAD1_BOVIN","ATAD1_BOVIN")</f>
        <v>ATAD1_BOVIN</v>
      </c>
      <c r="D8810" t="s">
        <v>1803</v>
      </c>
      <c r="E8810" s="3" t="s">
        <v>184</v>
      </c>
      <c r="F8810" s="4">
        <v>3.5499999999999999E-61</v>
      </c>
      <c r="G8810" s="3">
        <v>559</v>
      </c>
      <c r="H8810" s="3">
        <v>40</v>
      </c>
      <c r="I8810" s="3">
        <v>337</v>
      </c>
      <c r="J8810" s="3">
        <v>2321</v>
      </c>
      <c r="K8810" s="3">
        <v>3313</v>
      </c>
      <c r="L8810" s="3">
        <v>24</v>
      </c>
      <c r="M8810" s="3">
        <v>355</v>
      </c>
    </row>
    <row r="8811" spans="1:13" x14ac:dyDescent="0.25">
      <c r="A8811" s="1" t="str">
        <f>HYPERLINK("http://www.rosaceae.org/Prunus/Prunus_persica/p.persica_gdr_reftransV1_0011282","p.persica_gdr_reftransV1_0011282")</f>
        <v>p.persica_gdr_reftransV1_0011282</v>
      </c>
      <c r="B8811" s="3">
        <v>2051</v>
      </c>
      <c r="C8811" s="1" t="str">
        <f>HYPERLINK("http://www.uniprot.org/uniprot/SBT33_ARATH","SBT33_ARATH")</f>
        <v>SBT33_ARATH</v>
      </c>
      <c r="D8811" t="s">
        <v>3104</v>
      </c>
      <c r="E8811" s="3" t="s">
        <v>3</v>
      </c>
      <c r="F8811" s="4">
        <v>1.5099999999999999E-98</v>
      </c>
      <c r="G8811" s="3">
        <v>836</v>
      </c>
      <c r="H8811" s="3">
        <v>49</v>
      </c>
      <c r="I8811" s="3">
        <v>377</v>
      </c>
      <c r="J8811" s="3">
        <v>834</v>
      </c>
      <c r="K8811" s="3">
        <v>1949</v>
      </c>
      <c r="L8811" s="3">
        <v>399</v>
      </c>
      <c r="M8811" s="3">
        <v>775</v>
      </c>
    </row>
    <row r="8812" spans="1:13" x14ac:dyDescent="0.25">
      <c r="A8812" s="1" t="str">
        <f>HYPERLINK("http://www.rosaceae.org/Prunus/Prunus_persica/p.persica_gdr_reftransV1_0011382","p.persica_gdr_reftransV1_0011382")</f>
        <v>p.persica_gdr_reftransV1_0011382</v>
      </c>
      <c r="B8812" s="3">
        <v>1341</v>
      </c>
      <c r="C8812" s="1" t="str">
        <f>HYPERLINK("http://www.uniprot.org/uniprot/HBPL1_ARATH","HBPL1_ARATH")</f>
        <v>HBPL1_ARATH</v>
      </c>
      <c r="D8812" t="s">
        <v>4159</v>
      </c>
      <c r="E8812" s="3" t="s">
        <v>3</v>
      </c>
      <c r="F8812" s="4">
        <v>1.7399999999999999E-100</v>
      </c>
      <c r="G8812" s="3">
        <v>792</v>
      </c>
      <c r="H8812" s="3">
        <v>74</v>
      </c>
      <c r="I8812" s="3">
        <v>252</v>
      </c>
      <c r="J8812" s="3">
        <v>360</v>
      </c>
      <c r="K8812" s="3">
        <v>1112</v>
      </c>
      <c r="L8812" s="3">
        <v>57</v>
      </c>
      <c r="M8812" s="3">
        <v>308</v>
      </c>
    </row>
    <row r="8813" spans="1:13" x14ac:dyDescent="0.25">
      <c r="A8813" s="1" t="str">
        <f>HYPERLINK("http://www.rosaceae.org/Prunus/Prunus_persica/p.persica_gdr_reftransV1_0011432","p.persica_gdr_reftransV1_0011432")</f>
        <v>p.persica_gdr_reftransV1_0011432</v>
      </c>
      <c r="B8813" s="3">
        <v>2905</v>
      </c>
      <c r="C8813" s="1" t="str">
        <f>HYPERLINK("http://www.uniprot.org/uniprot/RLK1_ARATH","RLK1_ARATH")</f>
        <v>RLK1_ARATH</v>
      </c>
      <c r="D8813" t="s">
        <v>806</v>
      </c>
      <c r="E8813" s="3" t="s">
        <v>3</v>
      </c>
      <c r="F8813" s="4">
        <v>0</v>
      </c>
      <c r="G8813" s="3">
        <v>1795</v>
      </c>
      <c r="H8813" s="3">
        <v>48</v>
      </c>
      <c r="I8813" s="3">
        <v>815</v>
      </c>
      <c r="J8813" s="3">
        <v>426</v>
      </c>
      <c r="K8813" s="3">
        <v>2765</v>
      </c>
      <c r="L8813" s="3">
        <v>29</v>
      </c>
      <c r="M8813" s="3">
        <v>815</v>
      </c>
    </row>
    <row r="8814" spans="1:13" x14ac:dyDescent="0.25">
      <c r="A8814" s="1" t="str">
        <f>HYPERLINK("http://www.rosaceae.org/Prunus/Prunus_persica/p.persica_gdr_reftransV1_0011482","p.persica_gdr_reftransV1_0011482")</f>
        <v>p.persica_gdr_reftransV1_0011482</v>
      </c>
      <c r="B8814" s="3">
        <v>1523</v>
      </c>
      <c r="C8814" s="1" t="str">
        <f>HYPERLINK("http://www.uniprot.org/uniprot/KINGL_ARATH","KINGL_ARATH")</f>
        <v>KINGL_ARATH</v>
      </c>
      <c r="D8814" t="s">
        <v>6705</v>
      </c>
      <c r="E8814" s="3" t="s">
        <v>3</v>
      </c>
      <c r="F8814" s="4">
        <v>8.0599999999999992E-130</v>
      </c>
      <c r="G8814" s="3">
        <v>791</v>
      </c>
      <c r="H8814" s="3">
        <v>74</v>
      </c>
      <c r="I8814" s="3">
        <v>297</v>
      </c>
      <c r="J8814" s="3">
        <v>506</v>
      </c>
      <c r="K8814" s="3">
        <v>1396</v>
      </c>
      <c r="L8814" s="3">
        <v>1</v>
      </c>
      <c r="M8814" s="3">
        <v>297</v>
      </c>
    </row>
    <row r="8815" spans="1:13" x14ac:dyDescent="0.25">
      <c r="A8815" s="1" t="str">
        <f>HYPERLINK("http://www.rosaceae.org/Prunus/Prunus_persica/p.persica_gdr_reftransV1_0011532","p.persica_gdr_reftransV1_0011532")</f>
        <v>p.persica_gdr_reftransV1_0011532</v>
      </c>
      <c r="B8815" s="3">
        <v>912</v>
      </c>
      <c r="C8815" s="1" t="str">
        <f>HYPERLINK("http://www.uniprot.org/uniprot/PSAG_ARATH","PSAG_ARATH")</f>
        <v>PSAG_ARATH</v>
      </c>
      <c r="D8815" t="s">
        <v>6706</v>
      </c>
      <c r="E8815" s="3" t="s">
        <v>3</v>
      </c>
      <c r="F8815" s="4">
        <v>4.1000000000000003E-74</v>
      </c>
      <c r="G8815" s="3">
        <v>589</v>
      </c>
      <c r="H8815" s="3">
        <v>73</v>
      </c>
      <c r="I8815" s="3">
        <v>164</v>
      </c>
      <c r="J8815" s="3">
        <v>312</v>
      </c>
      <c r="K8815" s="3">
        <v>800</v>
      </c>
      <c r="L8815" s="3">
        <v>1</v>
      </c>
      <c r="M8815" s="3">
        <v>159</v>
      </c>
    </row>
    <row r="8816" spans="1:13" x14ac:dyDescent="0.25">
      <c r="A8816" s="1" t="str">
        <f>HYPERLINK("http://www.rosaceae.org/Prunus/Prunus_persica/p.persica_gdr_reftransV1_0011582","p.persica_gdr_reftransV1_0011582")</f>
        <v>p.persica_gdr_reftransV1_0011582</v>
      </c>
      <c r="B8816" s="3">
        <v>1493</v>
      </c>
      <c r="C8816" s="1" t="str">
        <f>HYPERLINK("http://www.uniprot.org/uniprot/SY132_ARATH","SY132_ARATH")</f>
        <v>SY132_ARATH</v>
      </c>
      <c r="D8816" t="s">
        <v>6707</v>
      </c>
      <c r="E8816" s="3" t="s">
        <v>3</v>
      </c>
      <c r="F8816" s="4">
        <v>2.15E-108</v>
      </c>
      <c r="G8816" s="3">
        <v>849</v>
      </c>
      <c r="H8816" s="3">
        <v>60</v>
      </c>
      <c r="I8816" s="3">
        <v>345</v>
      </c>
      <c r="J8816" s="3">
        <v>294</v>
      </c>
      <c r="K8816" s="3">
        <v>1328</v>
      </c>
      <c r="L8816" s="3">
        <v>1</v>
      </c>
      <c r="M8816" s="3">
        <v>301</v>
      </c>
    </row>
    <row r="8817" spans="1:13" x14ac:dyDescent="0.25">
      <c r="A8817" s="1" t="str">
        <f>HYPERLINK("http://www.rosaceae.org/Prunus/Prunus_persica/p.persica_gdr_reftransV1_0011832","p.persica_gdr_reftransV1_0011832")</f>
        <v>p.persica_gdr_reftransV1_0011832</v>
      </c>
      <c r="B8817" s="3">
        <v>2494</v>
      </c>
      <c r="C8817" s="1" t="str">
        <f>HYPERLINK("http://www.uniprot.org/uniprot/NFD4_ARATH","NFD4_ARATH")</f>
        <v>NFD4_ARATH</v>
      </c>
      <c r="D8817" t="s">
        <v>404</v>
      </c>
      <c r="E8817" s="3" t="s">
        <v>3</v>
      </c>
      <c r="F8817" s="4">
        <v>1.9199999999999999E-12</v>
      </c>
      <c r="G8817" s="3">
        <v>182</v>
      </c>
      <c r="H8817" s="3">
        <v>31</v>
      </c>
      <c r="I8817" s="3">
        <v>225</v>
      </c>
      <c r="J8817" s="3">
        <v>498</v>
      </c>
      <c r="K8817" s="3">
        <v>1166</v>
      </c>
      <c r="L8817" s="3">
        <v>357</v>
      </c>
      <c r="M8817" s="3">
        <v>565</v>
      </c>
    </row>
    <row r="8818" spans="1:13" x14ac:dyDescent="0.25">
      <c r="A8818" s="1" t="str">
        <f>HYPERLINK("http://www.rosaceae.org/Prunus/Prunus_persica/p.persica_gdr_reftransV1_0012082","p.persica_gdr_reftransV1_0012082")</f>
        <v>p.persica_gdr_reftransV1_0012082</v>
      </c>
      <c r="B8818" s="3">
        <v>971</v>
      </c>
      <c r="C8818" s="1" t="str">
        <f>HYPERLINK("http://www.uniprot.org/uniprot/WEX_ARATH","WEX_ARATH")</f>
        <v>WEX_ARATH</v>
      </c>
      <c r="D8818" t="s">
        <v>6708</v>
      </c>
      <c r="E8818" s="3" t="s">
        <v>3</v>
      </c>
      <c r="F8818" s="4">
        <v>1.45E-20</v>
      </c>
      <c r="G8818" s="3">
        <v>230</v>
      </c>
      <c r="H8818" s="3">
        <v>35</v>
      </c>
      <c r="I8818" s="3">
        <v>182</v>
      </c>
      <c r="J8818" s="3">
        <v>188</v>
      </c>
      <c r="K8818" s="3">
        <v>721</v>
      </c>
      <c r="L8818" s="3">
        <v>99</v>
      </c>
      <c r="M8818" s="3">
        <v>278</v>
      </c>
    </row>
    <row r="8819" spans="1:13" x14ac:dyDescent="0.25">
      <c r="A8819" s="1" t="str">
        <f>HYPERLINK("http://www.rosaceae.org/Prunus/Prunus_persica/p.persica_gdr_reftransV1_0012182","p.persica_gdr_reftransV1_0012182")</f>
        <v>p.persica_gdr_reftransV1_0012182</v>
      </c>
      <c r="B8819" s="3">
        <v>3062</v>
      </c>
      <c r="C8819" s="1" t="str">
        <f>HYPERLINK("http://www.uniprot.org/uniprot/RLP12_ARATH","RLP12_ARATH")</f>
        <v>RLP12_ARATH</v>
      </c>
      <c r="D8819" t="s">
        <v>1219</v>
      </c>
      <c r="E8819" s="3" t="s">
        <v>3</v>
      </c>
      <c r="F8819" s="4">
        <v>2.9199999999999999E-64</v>
      </c>
      <c r="G8819" s="3">
        <v>353</v>
      </c>
      <c r="H8819" s="3">
        <v>45</v>
      </c>
      <c r="I8819" s="3">
        <v>188</v>
      </c>
      <c r="J8819" s="3">
        <v>366</v>
      </c>
      <c r="K8819" s="3">
        <v>926</v>
      </c>
      <c r="L8819" s="3">
        <v>648</v>
      </c>
      <c r="M8819" s="3">
        <v>832</v>
      </c>
    </row>
    <row r="8820" spans="1:13" x14ac:dyDescent="0.25">
      <c r="A8820" s="1" t="str">
        <f>HYPERLINK("http://www.rosaceae.org/Prunus/Prunus_persica/p.persica_gdr_reftransV1_0012332","p.persica_gdr_reftransV1_0012332")</f>
        <v>p.persica_gdr_reftransV1_0012332</v>
      </c>
      <c r="B8820" s="3">
        <v>506</v>
      </c>
      <c r="C8820" s="1" t="str">
        <f>HYPERLINK("http://www.uniprot.org/uniprot/DRL27_ARATH","DRL27_ARATH")</f>
        <v>DRL27_ARATH</v>
      </c>
      <c r="D8820" t="s">
        <v>6709</v>
      </c>
      <c r="E8820" s="3" t="s">
        <v>3</v>
      </c>
      <c r="F8820" s="4">
        <v>7.9199999999999996E-13</v>
      </c>
      <c r="G8820" s="3">
        <v>170</v>
      </c>
      <c r="H8820" s="3">
        <v>36</v>
      </c>
      <c r="I8820" s="3">
        <v>140</v>
      </c>
      <c r="J8820" s="3">
        <v>90</v>
      </c>
      <c r="K8820" s="3">
        <v>497</v>
      </c>
      <c r="L8820" s="3">
        <v>244</v>
      </c>
      <c r="M8820" s="3">
        <v>368</v>
      </c>
    </row>
    <row r="8821" spans="1:13" x14ac:dyDescent="0.25">
      <c r="A8821" s="1" t="str">
        <f>HYPERLINK("http://www.rosaceae.org/Prunus/Prunus_persica/p.persica_gdr_reftransV1_0012382","p.persica_gdr_reftransV1_0012382")</f>
        <v>p.persica_gdr_reftransV1_0012382</v>
      </c>
      <c r="B8821" s="3">
        <v>2125</v>
      </c>
      <c r="C8821" s="1" t="str">
        <f>HYPERLINK("http://www.uniprot.org/uniprot/ARP7_ARATH","ARP7_ARATH")</f>
        <v>ARP7_ARATH</v>
      </c>
      <c r="D8821" t="s">
        <v>6710</v>
      </c>
      <c r="E8821" s="3" t="s">
        <v>3</v>
      </c>
      <c r="F8821" s="4">
        <v>0</v>
      </c>
      <c r="G8821" s="3">
        <v>1648</v>
      </c>
      <c r="H8821" s="3">
        <v>83</v>
      </c>
      <c r="I8821" s="3">
        <v>364</v>
      </c>
      <c r="J8821" s="3">
        <v>877</v>
      </c>
      <c r="K8821" s="3">
        <v>1959</v>
      </c>
      <c r="L8821" s="3">
        <v>1</v>
      </c>
      <c r="M8821" s="3">
        <v>363</v>
      </c>
    </row>
    <row r="8822" spans="1:13" x14ac:dyDescent="0.25">
      <c r="A8822" s="1" t="str">
        <f>HYPERLINK("http://www.rosaceae.org/Prunus/Prunus_persica/p.persica_gdr_reftransV1_0012482","p.persica_gdr_reftransV1_0012482")</f>
        <v>p.persica_gdr_reftransV1_0012482</v>
      </c>
      <c r="B8822" s="3">
        <v>1906</v>
      </c>
      <c r="C8822" s="1" t="str">
        <f>HYPERLINK("http://www.uniprot.org/uniprot/MFSD5_MOUSE","MFSD5_MOUSE")</f>
        <v>MFSD5_MOUSE</v>
      </c>
      <c r="D8822" t="s">
        <v>6711</v>
      </c>
      <c r="E8822" s="3" t="s">
        <v>157</v>
      </c>
      <c r="F8822" s="4">
        <v>6.5400000000000002E-11</v>
      </c>
      <c r="G8822" s="3">
        <v>166</v>
      </c>
      <c r="H8822" s="3">
        <v>24</v>
      </c>
      <c r="I8822" s="3">
        <v>355</v>
      </c>
      <c r="J8822" s="3">
        <v>769</v>
      </c>
      <c r="K8822" s="3">
        <v>1803</v>
      </c>
      <c r="L8822" s="3">
        <v>37</v>
      </c>
      <c r="M8822" s="3">
        <v>384</v>
      </c>
    </row>
    <row r="8823" spans="1:13" x14ac:dyDescent="0.25">
      <c r="A8823" s="1" t="str">
        <f>HYPERLINK("http://www.rosaceae.org/Prunus/Prunus_persica/p.persica_gdr_reftransV1_0012632","p.persica_gdr_reftransV1_0012632")</f>
        <v>p.persica_gdr_reftransV1_0012632</v>
      </c>
      <c r="B8823" s="3">
        <v>630</v>
      </c>
      <c r="C8823" s="1" t="str">
        <f>HYPERLINK("http://www.uniprot.org/uniprot/CML25_ARATH","CML25_ARATH")</f>
        <v>CML25_ARATH</v>
      </c>
      <c r="D8823" t="s">
        <v>5019</v>
      </c>
      <c r="E8823" s="3" t="s">
        <v>3</v>
      </c>
      <c r="F8823" s="4">
        <v>1.17E-20</v>
      </c>
      <c r="G8823" s="3">
        <v>222</v>
      </c>
      <c r="H8823" s="3">
        <v>39</v>
      </c>
      <c r="I8823" s="3">
        <v>140</v>
      </c>
      <c r="J8823" s="3">
        <v>96</v>
      </c>
      <c r="K8823" s="3">
        <v>515</v>
      </c>
      <c r="L8823" s="3">
        <v>33</v>
      </c>
      <c r="M8823" s="3">
        <v>171</v>
      </c>
    </row>
    <row r="8824" spans="1:13" x14ac:dyDescent="0.25">
      <c r="A8824" s="1" t="str">
        <f>HYPERLINK("http://www.rosaceae.org/Prunus/Prunus_persica/p.persica_gdr_reftransV1_0012682","p.persica_gdr_reftransV1_0012682")</f>
        <v>p.persica_gdr_reftransV1_0012682</v>
      </c>
      <c r="B8824" s="3">
        <v>1333</v>
      </c>
      <c r="C8824" s="1" t="str">
        <f>HYPERLINK("http://www.uniprot.org/uniprot/HSC20_MOUSE","HSC20_MOUSE")</f>
        <v>HSC20_MOUSE</v>
      </c>
      <c r="D8824" t="s">
        <v>6712</v>
      </c>
      <c r="E8824" s="3" t="s">
        <v>157</v>
      </c>
      <c r="F8824" s="4">
        <v>1.43E-27</v>
      </c>
      <c r="G8824" s="3">
        <v>284</v>
      </c>
      <c r="H8824" s="3">
        <v>33</v>
      </c>
      <c r="I8824" s="3">
        <v>204</v>
      </c>
      <c r="J8824" s="3">
        <v>298</v>
      </c>
      <c r="K8824" s="3">
        <v>897</v>
      </c>
      <c r="L8824" s="3">
        <v>24</v>
      </c>
      <c r="M8824" s="3">
        <v>227</v>
      </c>
    </row>
    <row r="8825" spans="1:13" x14ac:dyDescent="0.25">
      <c r="A8825" s="1" t="str">
        <f>HYPERLINK("http://www.rosaceae.org/Prunus/Prunus_persica/p.persica_gdr_reftransV1_0012732","p.persica_gdr_reftransV1_0012732")</f>
        <v>p.persica_gdr_reftransV1_0012732</v>
      </c>
      <c r="B8825" s="3">
        <v>2286</v>
      </c>
      <c r="C8825" s="1" t="str">
        <f>HYPERLINK("http://www.uniprot.org/uniprot/WRK20_ARATH","WRK20_ARATH")</f>
        <v>WRK20_ARATH</v>
      </c>
      <c r="D8825" t="s">
        <v>6713</v>
      </c>
      <c r="E8825" s="3" t="s">
        <v>3</v>
      </c>
      <c r="F8825" s="4">
        <v>0</v>
      </c>
      <c r="G8825" s="3">
        <v>1561</v>
      </c>
      <c r="H8825" s="3">
        <v>60</v>
      </c>
      <c r="I8825" s="3">
        <v>547</v>
      </c>
      <c r="J8825" s="3">
        <v>332</v>
      </c>
      <c r="K8825" s="3">
        <v>1969</v>
      </c>
      <c r="L8825" s="3">
        <v>36</v>
      </c>
      <c r="M8825" s="3">
        <v>557</v>
      </c>
    </row>
    <row r="8826" spans="1:13" x14ac:dyDescent="0.25">
      <c r="A8826" s="1" t="str">
        <f>HYPERLINK("http://www.rosaceae.org/Prunus/Prunus_persica/p.persica_gdr_reftransV1_0012782","p.persica_gdr_reftransV1_0012782")</f>
        <v>p.persica_gdr_reftransV1_0012782</v>
      </c>
      <c r="B8826" s="3">
        <v>441</v>
      </c>
      <c r="C8826" s="1" t="str">
        <f>HYPERLINK("http://www.uniprot.org/uniprot/PP285_ARATH","PP285_ARATH")</f>
        <v>PP285_ARATH</v>
      </c>
      <c r="D8826" t="s">
        <v>6714</v>
      </c>
      <c r="E8826" s="3" t="s">
        <v>3</v>
      </c>
      <c r="F8826" s="4">
        <v>3.3799999999999997E-29</v>
      </c>
      <c r="G8826" s="3">
        <v>293</v>
      </c>
      <c r="H8826" s="3">
        <v>64</v>
      </c>
      <c r="I8826" s="3">
        <v>81</v>
      </c>
      <c r="J8826" s="3">
        <v>1</v>
      </c>
      <c r="K8826" s="3">
        <v>243</v>
      </c>
      <c r="L8826" s="3">
        <v>55</v>
      </c>
      <c r="M8826" s="3">
        <v>135</v>
      </c>
    </row>
    <row r="8827" spans="1:13" x14ac:dyDescent="0.25">
      <c r="A8827" s="1" t="str">
        <f>HYPERLINK("http://www.rosaceae.org/Prunus/Prunus_persica/p.persica_gdr_reftransV1_0012982","p.persica_gdr_reftransV1_0012982")</f>
        <v>p.persica_gdr_reftransV1_0012982</v>
      </c>
      <c r="B8827" s="3">
        <v>3144</v>
      </c>
      <c r="C8827" s="1" t="str">
        <f>HYPERLINK("http://www.uniprot.org/uniprot/MSH1_ARATH","MSH1_ARATH")</f>
        <v>MSH1_ARATH</v>
      </c>
      <c r="D8827" t="s">
        <v>6715</v>
      </c>
      <c r="E8827" s="3" t="s">
        <v>3</v>
      </c>
      <c r="F8827" s="4">
        <v>0</v>
      </c>
      <c r="G8827" s="3">
        <v>3525</v>
      </c>
      <c r="H8827" s="3">
        <v>72</v>
      </c>
      <c r="I8827" s="3">
        <v>958</v>
      </c>
      <c r="J8827" s="3">
        <v>274</v>
      </c>
      <c r="K8827" s="3">
        <v>3144</v>
      </c>
      <c r="L8827" s="3">
        <v>176</v>
      </c>
      <c r="M8827" s="3">
        <v>1107</v>
      </c>
    </row>
    <row r="8828" spans="1:13" x14ac:dyDescent="0.25">
      <c r="A8828" s="1" t="str">
        <f>HYPERLINK("http://www.rosaceae.org/Prunus/Prunus_persica/p.persica_gdr_reftransV1_0013132","p.persica_gdr_reftransV1_0013132")</f>
        <v>p.persica_gdr_reftransV1_0013132</v>
      </c>
      <c r="B8828" s="3">
        <v>2075</v>
      </c>
      <c r="C8828" s="1" t="str">
        <f>HYPERLINK("http://www.uniprot.org/uniprot/PCP_PONAB","PCP_PONAB")</f>
        <v>PCP_PONAB</v>
      </c>
      <c r="D8828" t="s">
        <v>3804</v>
      </c>
      <c r="E8828" s="3" t="s">
        <v>176</v>
      </c>
      <c r="F8828" s="4">
        <v>4.9999999999999998E-144</v>
      </c>
      <c r="G8828" s="3">
        <v>1123</v>
      </c>
      <c r="H8828" s="3">
        <v>47</v>
      </c>
      <c r="I8828" s="3">
        <v>452</v>
      </c>
      <c r="J8828" s="3">
        <v>350</v>
      </c>
      <c r="K8828" s="3">
        <v>1684</v>
      </c>
      <c r="L8828" s="3">
        <v>48</v>
      </c>
      <c r="M8828" s="3">
        <v>489</v>
      </c>
    </row>
    <row r="8829" spans="1:13" x14ac:dyDescent="0.25">
      <c r="A8829" s="1" t="str">
        <f>HYPERLINK("http://www.rosaceae.org/Prunus/Prunus_persica/p.persica_gdr_reftransV1_0013232","p.persica_gdr_reftransV1_0013232")</f>
        <v>p.persica_gdr_reftransV1_0013232</v>
      </c>
      <c r="B8829" s="3">
        <v>1589</v>
      </c>
      <c r="C8829" s="1" t="str">
        <f>HYPERLINK("http://www.uniprot.org/uniprot/ATL54_ARATH","ATL54_ARATH")</f>
        <v>ATL54_ARATH</v>
      </c>
      <c r="D8829" t="s">
        <v>432</v>
      </c>
      <c r="E8829" s="3" t="s">
        <v>3</v>
      </c>
      <c r="F8829" s="4">
        <v>4.7199999999999997E-40</v>
      </c>
      <c r="G8829" s="3">
        <v>390</v>
      </c>
      <c r="H8829" s="3">
        <v>54</v>
      </c>
      <c r="I8829" s="3">
        <v>132</v>
      </c>
      <c r="J8829" s="3">
        <v>878</v>
      </c>
      <c r="K8829" s="3">
        <v>1267</v>
      </c>
      <c r="L8829" s="3">
        <v>92</v>
      </c>
      <c r="M8829" s="3">
        <v>223</v>
      </c>
    </row>
    <row r="8830" spans="1:13" x14ac:dyDescent="0.25">
      <c r="A8830" s="1" t="str">
        <f>HYPERLINK("http://www.rosaceae.org/Prunus/Prunus_persica/p.persica_gdr_reftransV1_0013282","p.persica_gdr_reftransV1_0013282")</f>
        <v>p.persica_gdr_reftransV1_0013282</v>
      </c>
      <c r="B8830" s="3">
        <v>1286</v>
      </c>
      <c r="C8830" s="1" t="str">
        <f>HYPERLINK("http://www.uniprot.org/uniprot/PCNA_TOBAC","PCNA_TOBAC")</f>
        <v>PCNA_TOBAC</v>
      </c>
      <c r="D8830" t="s">
        <v>6716</v>
      </c>
      <c r="E8830" s="3" t="s">
        <v>200</v>
      </c>
      <c r="F8830" s="4">
        <v>0</v>
      </c>
      <c r="G8830" s="3">
        <v>1351</v>
      </c>
      <c r="H8830" s="3">
        <v>96</v>
      </c>
      <c r="I8830" s="3">
        <v>264</v>
      </c>
      <c r="J8830" s="3">
        <v>150</v>
      </c>
      <c r="K8830" s="3">
        <v>941</v>
      </c>
      <c r="L8830" s="3">
        <v>1</v>
      </c>
      <c r="M8830" s="3">
        <v>264</v>
      </c>
    </row>
    <row r="8831" spans="1:13" x14ac:dyDescent="0.25">
      <c r="A8831" s="1" t="str">
        <f>HYPERLINK("http://www.rosaceae.org/Prunus/Prunus_persica/p.persica_gdr_reftransV1_0013482","p.persica_gdr_reftransV1_0013482")</f>
        <v>p.persica_gdr_reftransV1_0013482</v>
      </c>
      <c r="B8831" s="3">
        <v>2441</v>
      </c>
      <c r="C8831" s="1" t="str">
        <f>HYPERLINK("http://www.uniprot.org/uniprot/FAO2_LOTJA","FAO2_LOTJA")</f>
        <v>FAO2_LOTJA</v>
      </c>
      <c r="D8831" t="s">
        <v>6717</v>
      </c>
      <c r="E8831" s="3" t="s">
        <v>880</v>
      </c>
      <c r="F8831" s="4">
        <v>0</v>
      </c>
      <c r="G8831" s="3">
        <v>2439</v>
      </c>
      <c r="H8831" s="3">
        <v>65</v>
      </c>
      <c r="I8831" s="3">
        <v>750</v>
      </c>
      <c r="J8831" s="3">
        <v>156</v>
      </c>
      <c r="K8831" s="3">
        <v>2381</v>
      </c>
      <c r="L8831" s="3">
        <v>10</v>
      </c>
      <c r="M8831" s="3">
        <v>749</v>
      </c>
    </row>
    <row r="8832" spans="1:13" x14ac:dyDescent="0.25">
      <c r="A8832" s="1" t="str">
        <f>HYPERLINK("http://www.rosaceae.org/Prunus/Prunus_persica/p.persica_gdr_reftransV1_0013582","p.persica_gdr_reftransV1_0013582")</f>
        <v>p.persica_gdr_reftransV1_0013582</v>
      </c>
      <c r="B8832" s="3">
        <v>3204</v>
      </c>
      <c r="C8832" s="1" t="str">
        <f>HYPERLINK("http://www.uniprot.org/uniprot/VSR1_ARATH","VSR1_ARATH")</f>
        <v>VSR1_ARATH</v>
      </c>
      <c r="D8832" t="s">
        <v>6718</v>
      </c>
      <c r="E8832" s="3" t="s">
        <v>3</v>
      </c>
      <c r="F8832" s="4">
        <v>0</v>
      </c>
      <c r="G8832" s="3">
        <v>2211</v>
      </c>
      <c r="H8832" s="3">
        <v>79</v>
      </c>
      <c r="I8832" s="3">
        <v>510</v>
      </c>
      <c r="J8832" s="3">
        <v>370</v>
      </c>
      <c r="K8832" s="3">
        <v>1899</v>
      </c>
      <c r="L8832" s="3">
        <v>2</v>
      </c>
      <c r="M8832" s="3">
        <v>511</v>
      </c>
    </row>
    <row r="8833" spans="1:13" x14ac:dyDescent="0.25">
      <c r="A8833" s="1" t="str">
        <f>HYPERLINK("http://www.rosaceae.org/Prunus/Prunus_persica/p.persica_gdr_reftransV1_0013732","p.persica_gdr_reftransV1_0013732")</f>
        <v>p.persica_gdr_reftransV1_0013732</v>
      </c>
      <c r="B8833" s="3">
        <v>2699</v>
      </c>
      <c r="C8833" s="1" t="str">
        <f>HYPERLINK("http://www.uniprot.org/uniprot/KEA5_ARATH","KEA5_ARATH")</f>
        <v>KEA5_ARATH</v>
      </c>
      <c r="D8833" t="s">
        <v>6719</v>
      </c>
      <c r="E8833" s="3" t="s">
        <v>3</v>
      </c>
      <c r="F8833" s="4">
        <v>0</v>
      </c>
      <c r="G8833" s="3">
        <v>1566</v>
      </c>
      <c r="H8833" s="3">
        <v>83</v>
      </c>
      <c r="I8833" s="3">
        <v>449</v>
      </c>
      <c r="J8833" s="3">
        <v>726</v>
      </c>
      <c r="K8833" s="3">
        <v>2072</v>
      </c>
      <c r="L8833" s="3">
        <v>105</v>
      </c>
      <c r="M8833" s="3">
        <v>552</v>
      </c>
    </row>
    <row r="8834" spans="1:13" x14ac:dyDescent="0.25">
      <c r="A8834" s="1" t="str">
        <f>HYPERLINK("http://www.rosaceae.org/Prunus/Prunus_persica/p.persica_gdr_reftransV1_0013782","p.persica_gdr_reftransV1_0013782")</f>
        <v>p.persica_gdr_reftransV1_0013782</v>
      </c>
      <c r="B8834" s="3">
        <v>2830</v>
      </c>
      <c r="C8834" s="1" t="str">
        <f>HYPERLINK("http://www.uniprot.org/uniprot/VIP2_NICBE","VIP2_NICBE")</f>
        <v>VIP2_NICBE</v>
      </c>
      <c r="D8834" t="s">
        <v>6720</v>
      </c>
      <c r="E8834" s="3" t="s">
        <v>1986</v>
      </c>
      <c r="F8834" s="4">
        <v>0</v>
      </c>
      <c r="G8834" s="3">
        <v>2163</v>
      </c>
      <c r="H8834" s="3">
        <v>83</v>
      </c>
      <c r="I8834" s="3">
        <v>607</v>
      </c>
      <c r="J8834" s="3">
        <v>515</v>
      </c>
      <c r="K8834" s="3">
        <v>2332</v>
      </c>
      <c r="L8834" s="3">
        <v>1</v>
      </c>
      <c r="M8834" s="3">
        <v>603</v>
      </c>
    </row>
    <row r="8835" spans="1:13" x14ac:dyDescent="0.25">
      <c r="A8835" s="1" t="str">
        <f>HYPERLINK("http://www.rosaceae.org/Prunus/Prunus_persica/p.persica_gdr_reftransV1_0014232","p.persica_gdr_reftransV1_0014232")</f>
        <v>p.persica_gdr_reftransV1_0014232</v>
      </c>
      <c r="B8835" s="3">
        <v>1826</v>
      </c>
      <c r="C8835" s="1" t="str">
        <f>HYPERLINK("http://www.uniprot.org/uniprot/PPAF_SOYBN","PPAF_SOYBN")</f>
        <v>PPAF_SOYBN</v>
      </c>
      <c r="D8835" t="s">
        <v>3927</v>
      </c>
      <c r="E8835" s="3" t="s">
        <v>307</v>
      </c>
      <c r="F8835" s="4">
        <v>0</v>
      </c>
      <c r="G8835" s="3">
        <v>1725</v>
      </c>
      <c r="H8835" s="3">
        <v>67</v>
      </c>
      <c r="I8835" s="3">
        <v>490</v>
      </c>
      <c r="J8835" s="3">
        <v>168</v>
      </c>
      <c r="K8835" s="3">
        <v>1634</v>
      </c>
      <c r="L8835" s="3">
        <v>17</v>
      </c>
      <c r="M8835" s="3">
        <v>457</v>
      </c>
    </row>
    <row r="8836" spans="1:13" x14ac:dyDescent="0.25">
      <c r="A8836" s="1" t="str">
        <f>HYPERLINK("http://www.rosaceae.org/Prunus/Prunus_persica/p.persica_gdr_reftransV1_0014482","p.persica_gdr_reftransV1_0014482")</f>
        <v>p.persica_gdr_reftransV1_0014482</v>
      </c>
      <c r="B8836" s="3">
        <v>2137</v>
      </c>
      <c r="C8836" s="1" t="str">
        <f>HYPERLINK("http://www.uniprot.org/uniprot/FKB62_ARATH","FKB62_ARATH")</f>
        <v>FKB62_ARATH</v>
      </c>
      <c r="D8836" t="s">
        <v>6721</v>
      </c>
      <c r="E8836" s="3" t="s">
        <v>3</v>
      </c>
      <c r="F8836" s="4">
        <v>0</v>
      </c>
      <c r="G8836" s="3">
        <v>1638</v>
      </c>
      <c r="H8836" s="3">
        <v>82</v>
      </c>
      <c r="I8836" s="3">
        <v>432</v>
      </c>
      <c r="J8836" s="3">
        <v>561</v>
      </c>
      <c r="K8836" s="3">
        <v>1856</v>
      </c>
      <c r="L8836" s="3">
        <v>51</v>
      </c>
      <c r="M8836" s="3">
        <v>482</v>
      </c>
    </row>
    <row r="8837" spans="1:13" x14ac:dyDescent="0.25">
      <c r="A8837" s="1" t="str">
        <f>HYPERLINK("http://www.rosaceae.org/Prunus/Prunus_persica/p.persica_gdr_reftransV1_0014882","p.persica_gdr_reftransV1_0014882")</f>
        <v>p.persica_gdr_reftransV1_0014882</v>
      </c>
      <c r="B8837" s="3">
        <v>1157</v>
      </c>
      <c r="C8837" s="1" t="str">
        <f>HYPERLINK("http://www.uniprot.org/uniprot/AIG2L_ARATH","AIG2L_ARATH")</f>
        <v>AIG2L_ARATH</v>
      </c>
      <c r="D8837" t="s">
        <v>6722</v>
      </c>
      <c r="E8837" s="3" t="s">
        <v>3</v>
      </c>
      <c r="F8837" s="4">
        <v>5.1E-16</v>
      </c>
      <c r="G8837" s="3">
        <v>193</v>
      </c>
      <c r="H8837" s="3">
        <v>49</v>
      </c>
      <c r="I8837" s="3">
        <v>75</v>
      </c>
      <c r="J8837" s="3">
        <v>800</v>
      </c>
      <c r="K8837" s="3">
        <v>1024</v>
      </c>
      <c r="L8837" s="3">
        <v>9</v>
      </c>
      <c r="M8837" s="3">
        <v>83</v>
      </c>
    </row>
    <row r="8838" spans="1:13" x14ac:dyDescent="0.25">
      <c r="A8838" s="1" t="str">
        <f>HYPERLINK("http://www.rosaceae.org/Prunus/Prunus_persica/p.persica_gdr_reftransV1_0014982","p.persica_gdr_reftransV1_0014982")</f>
        <v>p.persica_gdr_reftransV1_0014982</v>
      </c>
      <c r="B8838" s="3">
        <v>519</v>
      </c>
      <c r="C8838" s="1" t="str">
        <f>HYPERLINK("http://www.uniprot.org/uniprot/VEP1_ARATH","VEP1_ARATH")</f>
        <v>VEP1_ARATH</v>
      </c>
      <c r="D8838" t="s">
        <v>3813</v>
      </c>
      <c r="E8838" s="3" t="s">
        <v>3</v>
      </c>
      <c r="F8838" s="4">
        <v>2.44E-34</v>
      </c>
      <c r="G8838" s="3">
        <v>324</v>
      </c>
      <c r="H8838" s="3">
        <v>76</v>
      </c>
      <c r="I8838" s="3">
        <v>83</v>
      </c>
      <c r="J8838" s="3">
        <v>51</v>
      </c>
      <c r="K8838" s="3">
        <v>299</v>
      </c>
      <c r="L8838" s="3">
        <v>306</v>
      </c>
      <c r="M8838" s="3">
        <v>388</v>
      </c>
    </row>
    <row r="8839" spans="1:13" x14ac:dyDescent="0.25">
      <c r="A8839" s="1" t="str">
        <f>HYPERLINK("http://www.rosaceae.org/Prunus/Prunus_persica/p.persica_gdr_reftransV1_0015032","p.persica_gdr_reftransV1_0015032")</f>
        <v>p.persica_gdr_reftransV1_0015032</v>
      </c>
      <c r="B8839" s="3">
        <v>1726</v>
      </c>
      <c r="C8839" s="1" t="str">
        <f>HYPERLINK("http://www.uniprot.org/uniprot/PLCD4_ARATH","PLCD4_ARATH")</f>
        <v>PLCD4_ARATH</v>
      </c>
      <c r="D8839" t="s">
        <v>3865</v>
      </c>
      <c r="E8839" s="3" t="s">
        <v>3</v>
      </c>
      <c r="F8839" s="4">
        <v>0</v>
      </c>
      <c r="G8839" s="3">
        <v>1786</v>
      </c>
      <c r="H8839" s="3">
        <v>67</v>
      </c>
      <c r="I8839" s="3">
        <v>513</v>
      </c>
      <c r="J8839" s="3">
        <v>202</v>
      </c>
      <c r="K8839" s="3">
        <v>1710</v>
      </c>
      <c r="L8839" s="3">
        <v>90</v>
      </c>
      <c r="M8839" s="3">
        <v>597</v>
      </c>
    </row>
    <row r="8840" spans="1:13" x14ac:dyDescent="0.25">
      <c r="A8840" s="1" t="str">
        <f>HYPERLINK("http://www.rosaceae.org/Prunus/Prunus_persica/p.persica_gdr_reftransV1_0015082","p.persica_gdr_reftransV1_0015082")</f>
        <v>p.persica_gdr_reftransV1_0015082</v>
      </c>
      <c r="B8840" s="3">
        <v>4203</v>
      </c>
      <c r="C8840" s="1" t="str">
        <f>HYPERLINK("http://www.uniprot.org/uniprot/NRPD2_ARATH","NRPD2_ARATH")</f>
        <v>NRPD2_ARATH</v>
      </c>
      <c r="D8840" t="s">
        <v>6723</v>
      </c>
      <c r="E8840" s="3" t="s">
        <v>3</v>
      </c>
      <c r="F8840" s="4">
        <v>0</v>
      </c>
      <c r="G8840" s="3">
        <v>4303</v>
      </c>
      <c r="H8840" s="3">
        <v>69</v>
      </c>
      <c r="I8840" s="3">
        <v>1171</v>
      </c>
      <c r="J8840" s="3">
        <v>351</v>
      </c>
      <c r="K8840" s="3">
        <v>3815</v>
      </c>
      <c r="L8840" s="3">
        <v>26</v>
      </c>
      <c r="M8840" s="3">
        <v>1172</v>
      </c>
    </row>
    <row r="8841" spans="1:13" x14ac:dyDescent="0.25">
      <c r="A8841" s="1" t="str">
        <f>HYPERLINK("http://www.rosaceae.org/Prunus/Prunus_persica/p.persica_gdr_reftransV1_0015182","p.persica_gdr_reftransV1_0015182")</f>
        <v>p.persica_gdr_reftransV1_0015182</v>
      </c>
      <c r="B8841" s="3">
        <v>1620</v>
      </c>
      <c r="C8841" s="1" t="str">
        <f>HYPERLINK("http://www.uniprot.org/uniprot/IPYR_MAIZE","IPYR_MAIZE")</f>
        <v>IPYR_MAIZE</v>
      </c>
      <c r="D8841" t="s">
        <v>6724</v>
      </c>
      <c r="E8841" s="3" t="s">
        <v>72</v>
      </c>
      <c r="F8841" s="4">
        <v>2.0099999999999999E-68</v>
      </c>
      <c r="G8841" s="3">
        <v>575</v>
      </c>
      <c r="H8841" s="3">
        <v>92</v>
      </c>
      <c r="I8841" s="3">
        <v>114</v>
      </c>
      <c r="J8841" s="3">
        <v>319</v>
      </c>
      <c r="K8841" s="3">
        <v>660</v>
      </c>
      <c r="L8841" s="3">
        <v>20</v>
      </c>
      <c r="M8841" s="3">
        <v>133</v>
      </c>
    </row>
    <row r="8842" spans="1:13" x14ac:dyDescent="0.25">
      <c r="A8842" s="1" t="str">
        <f>HYPERLINK("http://www.rosaceae.org/Prunus/Prunus_persica/p.persica_gdr_reftransV1_0015232","p.persica_gdr_reftransV1_0015232")</f>
        <v>p.persica_gdr_reftransV1_0015232</v>
      </c>
      <c r="B8842" s="3">
        <v>2294</v>
      </c>
      <c r="C8842" s="1" t="str">
        <f>HYPERLINK("http://www.uniprot.org/uniprot/UVR3_ARATH","UVR3_ARATH")</f>
        <v>UVR3_ARATH</v>
      </c>
      <c r="D8842" t="s">
        <v>5618</v>
      </c>
      <c r="E8842" s="3" t="s">
        <v>3</v>
      </c>
      <c r="F8842" s="4">
        <v>0</v>
      </c>
      <c r="G8842" s="3">
        <v>2234</v>
      </c>
      <c r="H8842" s="3">
        <v>76</v>
      </c>
      <c r="I8842" s="3">
        <v>537</v>
      </c>
      <c r="J8842" s="3">
        <v>594</v>
      </c>
      <c r="K8842" s="3">
        <v>2204</v>
      </c>
      <c r="L8842" s="3">
        <v>16</v>
      </c>
      <c r="M8842" s="3">
        <v>552</v>
      </c>
    </row>
    <row r="8843" spans="1:13" x14ac:dyDescent="0.25">
      <c r="A8843" s="1" t="str">
        <f>HYPERLINK("http://www.rosaceae.org/Prunus/Prunus_persica/p.persica_gdr_reftransV1_0015282","p.persica_gdr_reftransV1_0015282")</f>
        <v>p.persica_gdr_reftransV1_0015282</v>
      </c>
      <c r="B8843" s="3">
        <v>2535</v>
      </c>
      <c r="C8843" s="1" t="str">
        <f>HYPERLINK("http://www.uniprot.org/uniprot/UPTG_PEA","UPTG_PEA")</f>
        <v>UPTG_PEA</v>
      </c>
      <c r="D8843" t="s">
        <v>6725</v>
      </c>
      <c r="E8843" s="3" t="s">
        <v>60</v>
      </c>
      <c r="F8843" s="4">
        <v>7.6199999999999997E-88</v>
      </c>
      <c r="G8843" s="3">
        <v>740</v>
      </c>
      <c r="H8843" s="3">
        <v>84</v>
      </c>
      <c r="I8843" s="3">
        <v>158</v>
      </c>
      <c r="J8843" s="3">
        <v>608</v>
      </c>
      <c r="K8843" s="3">
        <v>1081</v>
      </c>
      <c r="L8843" s="3">
        <v>189</v>
      </c>
      <c r="M8843" s="3">
        <v>346</v>
      </c>
    </row>
    <row r="8844" spans="1:13" x14ac:dyDescent="0.25">
      <c r="A8844" s="1" t="str">
        <f>HYPERLINK("http://www.rosaceae.org/Prunus/Prunus_persica/p.persica_gdr_reftransV1_0015382","p.persica_gdr_reftransV1_0015382")</f>
        <v>p.persica_gdr_reftransV1_0015382</v>
      </c>
      <c r="B8844" s="3">
        <v>544</v>
      </c>
      <c r="C8844" s="1" t="str">
        <f>HYPERLINK("http://www.uniprot.org/uniprot/TEB_ARATH","TEB_ARATH")</f>
        <v>TEB_ARATH</v>
      </c>
      <c r="D8844" t="s">
        <v>3616</v>
      </c>
      <c r="E8844" s="3" t="s">
        <v>3</v>
      </c>
      <c r="F8844" s="4">
        <v>7.16E-109</v>
      </c>
      <c r="G8844" s="3">
        <v>892</v>
      </c>
      <c r="H8844" s="3">
        <v>88</v>
      </c>
      <c r="I8844" s="3">
        <v>181</v>
      </c>
      <c r="J8844" s="3">
        <v>2</v>
      </c>
      <c r="K8844" s="3">
        <v>544</v>
      </c>
      <c r="L8844" s="3">
        <v>838</v>
      </c>
      <c r="M8844" s="3">
        <v>1018</v>
      </c>
    </row>
    <row r="8845" spans="1:13" x14ac:dyDescent="0.25">
      <c r="A8845" s="1" t="str">
        <f>HYPERLINK("http://www.rosaceae.org/Prunus/Prunus_persica/p.persica_gdr_reftransV1_0015532","p.persica_gdr_reftransV1_0015532")</f>
        <v>p.persica_gdr_reftransV1_0015532</v>
      </c>
      <c r="B8845" s="3">
        <v>3032</v>
      </c>
      <c r="C8845" s="1" t="str">
        <f>HYPERLINK("http://www.uniprot.org/uniprot/NSUN2_CHICK","NSUN2_CHICK")</f>
        <v>NSUN2_CHICK</v>
      </c>
      <c r="D8845" t="s">
        <v>6726</v>
      </c>
      <c r="E8845" s="3" t="s">
        <v>1278</v>
      </c>
      <c r="F8845" s="4">
        <v>6.7099999999999995E-122</v>
      </c>
      <c r="G8845" s="3">
        <v>649</v>
      </c>
      <c r="H8845" s="3">
        <v>47</v>
      </c>
      <c r="I8845" s="3">
        <v>264</v>
      </c>
      <c r="J8845" s="3">
        <v>225</v>
      </c>
      <c r="K8845" s="3">
        <v>1016</v>
      </c>
      <c r="L8845" s="3">
        <v>37</v>
      </c>
      <c r="M8845" s="3">
        <v>287</v>
      </c>
    </row>
    <row r="8846" spans="1:13" x14ac:dyDescent="0.25">
      <c r="A8846" s="1" t="str">
        <f>HYPERLINK("http://www.rosaceae.org/Prunus/Prunus_persica/p.persica_gdr_reftransV1_0015682","p.persica_gdr_reftransV1_0015682")</f>
        <v>p.persica_gdr_reftransV1_0015682</v>
      </c>
      <c r="B8846" s="3">
        <v>732</v>
      </c>
      <c r="C8846" s="1" t="str">
        <f>HYPERLINK("http://www.uniprot.org/uniprot/RBG4_ARATH","RBG4_ARATH")</f>
        <v>RBG4_ARATH</v>
      </c>
      <c r="D8846" t="s">
        <v>881</v>
      </c>
      <c r="E8846" s="3" t="s">
        <v>3</v>
      </c>
      <c r="F8846" s="4">
        <v>1.3199999999999999E-25</v>
      </c>
      <c r="G8846" s="3">
        <v>255</v>
      </c>
      <c r="H8846" s="3">
        <v>62</v>
      </c>
      <c r="I8846" s="3">
        <v>81</v>
      </c>
      <c r="J8846" s="3">
        <v>182</v>
      </c>
      <c r="K8846" s="3">
        <v>424</v>
      </c>
      <c r="L8846" s="3">
        <v>34</v>
      </c>
      <c r="M8846" s="3">
        <v>114</v>
      </c>
    </row>
    <row r="8847" spans="1:13" x14ac:dyDescent="0.25">
      <c r="A8847" s="1" t="str">
        <f>HYPERLINK("http://www.rosaceae.org/Prunus/Prunus_persica/p.persica_gdr_reftransV1_0015732","p.persica_gdr_reftransV1_0015732")</f>
        <v>p.persica_gdr_reftransV1_0015732</v>
      </c>
      <c r="B8847" s="3">
        <v>3128</v>
      </c>
      <c r="C8847" s="1" t="str">
        <f>HYPERLINK("http://www.uniprot.org/uniprot/CML48_ARATH","CML48_ARATH")</f>
        <v>CML48_ARATH</v>
      </c>
      <c r="D8847" t="s">
        <v>6727</v>
      </c>
      <c r="E8847" s="3" t="s">
        <v>3</v>
      </c>
      <c r="F8847" s="4">
        <v>3.9499999999999999E-15</v>
      </c>
      <c r="G8847" s="3">
        <v>197</v>
      </c>
      <c r="H8847" s="3">
        <v>55</v>
      </c>
      <c r="I8847" s="3">
        <v>62</v>
      </c>
      <c r="J8847" s="3">
        <v>1612</v>
      </c>
      <c r="K8847" s="3">
        <v>1797</v>
      </c>
      <c r="L8847" s="3">
        <v>125</v>
      </c>
      <c r="M8847" s="3">
        <v>186</v>
      </c>
    </row>
    <row r="8848" spans="1:13" x14ac:dyDescent="0.25">
      <c r="A8848" s="1" t="str">
        <f>HYPERLINK("http://www.rosaceae.org/Prunus/Prunus_persica/p.persica_gdr_reftransV1_0015832","p.persica_gdr_reftransV1_0015832")</f>
        <v>p.persica_gdr_reftransV1_0015832</v>
      </c>
      <c r="B8848" s="3">
        <v>1397</v>
      </c>
      <c r="C8848" s="1" t="str">
        <f>HYPERLINK("http://www.uniprot.org/uniprot/GDL88_ARATH","GDL88_ARATH")</f>
        <v>GDL88_ARATH</v>
      </c>
      <c r="D8848" t="s">
        <v>4370</v>
      </c>
      <c r="E8848" s="3" t="s">
        <v>3</v>
      </c>
      <c r="F8848" s="4">
        <v>3.73E-53</v>
      </c>
      <c r="G8848" s="3">
        <v>418</v>
      </c>
      <c r="H8848" s="3">
        <v>76</v>
      </c>
      <c r="I8848" s="3">
        <v>98</v>
      </c>
      <c r="J8848" s="3">
        <v>858</v>
      </c>
      <c r="K8848" s="3">
        <v>1151</v>
      </c>
      <c r="L8848" s="3">
        <v>34</v>
      </c>
      <c r="M8848" s="3">
        <v>131</v>
      </c>
    </row>
    <row r="8849" spans="1:13" x14ac:dyDescent="0.25">
      <c r="A8849" s="1" t="str">
        <f>HYPERLINK("http://www.rosaceae.org/Prunus/Prunus_persica/p.persica_gdr_reftransV1_0016032","p.persica_gdr_reftransV1_0016032")</f>
        <v>p.persica_gdr_reftransV1_0016032</v>
      </c>
      <c r="B8849" s="3">
        <v>2285</v>
      </c>
      <c r="C8849" s="1" t="str">
        <f>HYPERLINK("http://www.uniprot.org/uniprot/NOB1_PONAB","NOB1_PONAB")</f>
        <v>NOB1_PONAB</v>
      </c>
      <c r="D8849" t="s">
        <v>6728</v>
      </c>
      <c r="E8849" s="3" t="s">
        <v>176</v>
      </c>
      <c r="F8849" s="4">
        <v>4.9500000000000001E-29</v>
      </c>
      <c r="G8849" s="3">
        <v>311</v>
      </c>
      <c r="H8849" s="3">
        <v>42</v>
      </c>
      <c r="I8849" s="3">
        <v>182</v>
      </c>
      <c r="J8849" s="3">
        <v>1470</v>
      </c>
      <c r="K8849" s="3">
        <v>1985</v>
      </c>
      <c r="L8849" s="3">
        <v>231</v>
      </c>
      <c r="M8849" s="3">
        <v>401</v>
      </c>
    </row>
    <row r="8850" spans="1:13" x14ac:dyDescent="0.25">
      <c r="A8850" s="1" t="str">
        <f>HYPERLINK("http://www.rosaceae.org/Prunus/Prunus_persica/p.persica_gdr_reftransV1_0016082","p.persica_gdr_reftransV1_0016082")</f>
        <v>p.persica_gdr_reftransV1_0016082</v>
      </c>
      <c r="B8850" s="3">
        <v>6072</v>
      </c>
      <c r="C8850" s="1" t="str">
        <f>HYPERLINK("http://www.uniprot.org/uniprot/MOS1_ARATH","MOS1_ARATH")</f>
        <v>MOS1_ARATH</v>
      </c>
      <c r="D8850" t="s">
        <v>6729</v>
      </c>
      <c r="E8850" s="3" t="s">
        <v>3</v>
      </c>
      <c r="F8850" s="4">
        <v>2.0299999999999999E-91</v>
      </c>
      <c r="G8850" s="3">
        <v>851</v>
      </c>
      <c r="H8850" s="3">
        <v>43</v>
      </c>
      <c r="I8850" s="3">
        <v>821</v>
      </c>
      <c r="J8850" s="3">
        <v>3332</v>
      </c>
      <c r="K8850" s="3">
        <v>5758</v>
      </c>
      <c r="L8850" s="3">
        <v>1</v>
      </c>
      <c r="M8850" s="3">
        <v>715</v>
      </c>
    </row>
    <row r="8851" spans="1:13" x14ac:dyDescent="0.25">
      <c r="A8851" s="1" t="str">
        <f>HYPERLINK("http://www.rosaceae.org/Prunus/Prunus_persica/p.persica_gdr_reftransV1_0016132","p.persica_gdr_reftransV1_0016132")</f>
        <v>p.persica_gdr_reftransV1_0016132</v>
      </c>
      <c r="B8851" s="3">
        <v>2665</v>
      </c>
      <c r="C8851" s="1" t="str">
        <f>HYPERLINK("http://www.uniprot.org/uniprot/CAP2_ARATH","CAP2_ARATH")</f>
        <v>CAP2_ARATH</v>
      </c>
      <c r="D8851" t="s">
        <v>5631</v>
      </c>
      <c r="E8851" s="3" t="s">
        <v>3</v>
      </c>
      <c r="F8851" s="4">
        <v>0</v>
      </c>
      <c r="G8851" s="3">
        <v>1669</v>
      </c>
      <c r="H8851" s="3">
        <v>59</v>
      </c>
      <c r="I8851" s="3">
        <v>637</v>
      </c>
      <c r="J8851" s="3">
        <v>445</v>
      </c>
      <c r="K8851" s="3">
        <v>2208</v>
      </c>
      <c r="L8851" s="3">
        <v>1</v>
      </c>
      <c r="M8851" s="3">
        <v>625</v>
      </c>
    </row>
    <row r="8852" spans="1:13" x14ac:dyDescent="0.25">
      <c r="A8852" s="1" t="str">
        <f>HYPERLINK("http://www.rosaceae.org/Prunus/Prunus_persica/p.persica_gdr_reftransV1_0016532","p.persica_gdr_reftransV1_0016532")</f>
        <v>p.persica_gdr_reftransV1_0016532</v>
      </c>
      <c r="B8852" s="3">
        <v>2770</v>
      </c>
      <c r="C8852" s="1" t="str">
        <f>HYPERLINK("http://www.uniprot.org/uniprot/NSL1_ARATH","NSL1_ARATH")</f>
        <v>NSL1_ARATH</v>
      </c>
      <c r="D8852" t="s">
        <v>5376</v>
      </c>
      <c r="E8852" s="3" t="s">
        <v>3</v>
      </c>
      <c r="F8852" s="4">
        <v>0</v>
      </c>
      <c r="G8852" s="3">
        <v>1784</v>
      </c>
      <c r="H8852" s="3">
        <v>64</v>
      </c>
      <c r="I8852" s="3">
        <v>524</v>
      </c>
      <c r="J8852" s="3">
        <v>261</v>
      </c>
      <c r="K8852" s="3">
        <v>1814</v>
      </c>
      <c r="L8852" s="3">
        <v>91</v>
      </c>
      <c r="M8852" s="3">
        <v>612</v>
      </c>
    </row>
    <row r="8853" spans="1:13" x14ac:dyDescent="0.25">
      <c r="A8853" s="1" t="str">
        <f>HYPERLINK("http://www.rosaceae.org/Prunus/Prunus_persica/p.persica_gdr_reftransV1_0016732","p.persica_gdr_reftransV1_0016732")</f>
        <v>p.persica_gdr_reftransV1_0016732</v>
      </c>
      <c r="B8853" s="3">
        <v>3295</v>
      </c>
      <c r="C8853" s="1" t="str">
        <f>HYPERLINK("http://www.uniprot.org/uniprot/KATAM_ARATH","KATAM_ARATH")</f>
        <v>KATAM_ARATH</v>
      </c>
      <c r="D8853" t="s">
        <v>5884</v>
      </c>
      <c r="E8853" s="3" t="s">
        <v>3</v>
      </c>
      <c r="F8853" s="4">
        <v>0</v>
      </c>
      <c r="G8853" s="3">
        <v>2378</v>
      </c>
      <c r="H8853" s="3">
        <v>71</v>
      </c>
      <c r="I8853" s="3">
        <v>632</v>
      </c>
      <c r="J8853" s="3">
        <v>738</v>
      </c>
      <c r="K8853" s="3">
        <v>2603</v>
      </c>
      <c r="L8853" s="3">
        <v>7</v>
      </c>
      <c r="M8853" s="3">
        <v>613</v>
      </c>
    </row>
    <row r="8854" spans="1:13" x14ac:dyDescent="0.25">
      <c r="A8854" s="1" t="str">
        <f>HYPERLINK("http://www.rosaceae.org/Prunus/Prunus_persica/p.persica_gdr_reftransV1_0016882","p.persica_gdr_reftransV1_0016882")</f>
        <v>p.persica_gdr_reftransV1_0016882</v>
      </c>
      <c r="B8854" s="3">
        <v>1625</v>
      </c>
      <c r="C8854" s="1" t="str">
        <f>HYPERLINK("http://www.uniprot.org/uniprot/AGL8_SOLTU","AGL8_SOLTU")</f>
        <v>AGL8_SOLTU</v>
      </c>
      <c r="D8854" t="s">
        <v>2733</v>
      </c>
      <c r="E8854" s="3" t="s">
        <v>11</v>
      </c>
      <c r="F8854" s="4">
        <v>1.3100000000000001E-79</v>
      </c>
      <c r="G8854" s="3">
        <v>654</v>
      </c>
      <c r="H8854" s="3">
        <v>83</v>
      </c>
      <c r="I8854" s="3">
        <v>146</v>
      </c>
      <c r="J8854" s="3">
        <v>1</v>
      </c>
      <c r="K8854" s="3">
        <v>438</v>
      </c>
      <c r="L8854" s="3">
        <v>1</v>
      </c>
      <c r="M8854" s="3">
        <v>146</v>
      </c>
    </row>
    <row r="8855" spans="1:13" x14ac:dyDescent="0.25">
      <c r="A8855" s="1" t="str">
        <f>HYPERLINK("http://www.rosaceae.org/Prunus/Prunus_persica/p.persica_gdr_reftransV1_0016932","p.persica_gdr_reftransV1_0016932")</f>
        <v>p.persica_gdr_reftransV1_0016932</v>
      </c>
      <c r="B8855" s="3">
        <v>1146</v>
      </c>
      <c r="C8855" s="1" t="str">
        <f>HYPERLINK("http://www.uniprot.org/uniprot/HAL3A_ARATH","HAL3A_ARATH")</f>
        <v>HAL3A_ARATH</v>
      </c>
      <c r="D8855" t="s">
        <v>5365</v>
      </c>
      <c r="E8855" s="3" t="s">
        <v>3</v>
      </c>
      <c r="F8855" s="4">
        <v>1.2500000000000001E-116</v>
      </c>
      <c r="G8855" s="3">
        <v>884</v>
      </c>
      <c r="H8855" s="3">
        <v>79</v>
      </c>
      <c r="I8855" s="3">
        <v>198</v>
      </c>
      <c r="J8855" s="3">
        <v>238</v>
      </c>
      <c r="K8855" s="3">
        <v>825</v>
      </c>
      <c r="L8855" s="3">
        <v>11</v>
      </c>
      <c r="M8855" s="3">
        <v>208</v>
      </c>
    </row>
    <row r="8856" spans="1:13" x14ac:dyDescent="0.25">
      <c r="A8856" s="1" t="str">
        <f>HYPERLINK("http://www.rosaceae.org/Prunus/Prunus_persica/p.persica_gdr_reftransV1_0017082","p.persica_gdr_reftransV1_0017082")</f>
        <v>p.persica_gdr_reftransV1_0017082</v>
      </c>
      <c r="B8856" s="3">
        <v>1264</v>
      </c>
      <c r="C8856" s="1" t="str">
        <f>HYPERLINK("http://www.uniprot.org/uniprot/GUAA_HELHP","GUAA_HELHP")</f>
        <v>GUAA_HELHP</v>
      </c>
      <c r="D8856" t="s">
        <v>5027</v>
      </c>
      <c r="E8856" s="3" t="s">
        <v>5028</v>
      </c>
      <c r="F8856" s="4">
        <v>2.0400000000000002E-43</v>
      </c>
      <c r="G8856" s="3">
        <v>426</v>
      </c>
      <c r="H8856" s="3">
        <v>44</v>
      </c>
      <c r="I8856" s="3">
        <v>179</v>
      </c>
      <c r="J8856" s="3">
        <v>724</v>
      </c>
      <c r="K8856" s="3">
        <v>1239</v>
      </c>
      <c r="L8856" s="3">
        <v>801</v>
      </c>
      <c r="M8856" s="3">
        <v>979</v>
      </c>
    </row>
    <row r="8857" spans="1:13" x14ac:dyDescent="0.25">
      <c r="A8857" s="1" t="str">
        <f>HYPERLINK("http://www.rosaceae.org/Prunus/Prunus_persica/p.persica_gdr_reftransV1_0017182","p.persica_gdr_reftransV1_0017182")</f>
        <v>p.persica_gdr_reftransV1_0017182</v>
      </c>
      <c r="B8857" s="3">
        <v>952</v>
      </c>
      <c r="C8857" s="1" t="str">
        <f>HYPERLINK("http://www.uniprot.org/uniprot/TATA_PEA","TATA_PEA")</f>
        <v>TATA_PEA</v>
      </c>
      <c r="D8857" t="s">
        <v>6730</v>
      </c>
      <c r="E8857" s="3" t="s">
        <v>60</v>
      </c>
      <c r="F8857" s="4">
        <v>4.2400000000000001E-31</v>
      </c>
      <c r="G8857" s="3">
        <v>298</v>
      </c>
      <c r="H8857" s="3">
        <v>81</v>
      </c>
      <c r="I8857" s="3">
        <v>73</v>
      </c>
      <c r="J8857" s="3">
        <v>405</v>
      </c>
      <c r="K8857" s="3">
        <v>623</v>
      </c>
      <c r="L8857" s="3">
        <v>48</v>
      </c>
      <c r="M8857" s="3">
        <v>120</v>
      </c>
    </row>
    <row r="8858" spans="1:13" x14ac:dyDescent="0.25">
      <c r="A8858" s="1" t="str">
        <f>HYPERLINK("http://www.rosaceae.org/Prunus/Prunus_persica/p.persica_gdr_reftransV1_0017232","p.persica_gdr_reftransV1_0017232")</f>
        <v>p.persica_gdr_reftransV1_0017232</v>
      </c>
      <c r="B8858" s="3">
        <v>2515</v>
      </c>
      <c r="C8858" s="1" t="str">
        <f>HYPERLINK("http://www.uniprot.org/uniprot/PP279_ARATH","PP279_ARATH")</f>
        <v>PP279_ARATH</v>
      </c>
      <c r="D8858" t="s">
        <v>6731</v>
      </c>
      <c r="E8858" s="3" t="s">
        <v>3</v>
      </c>
      <c r="F8858" s="4">
        <v>0</v>
      </c>
      <c r="G8858" s="3">
        <v>1603</v>
      </c>
      <c r="H8858" s="3">
        <v>68</v>
      </c>
      <c r="I8858" s="3">
        <v>424</v>
      </c>
      <c r="J8858" s="3">
        <v>269</v>
      </c>
      <c r="K8858" s="3">
        <v>1540</v>
      </c>
      <c r="L8858" s="3">
        <v>20</v>
      </c>
      <c r="M8858" s="3">
        <v>443</v>
      </c>
    </row>
    <row r="8859" spans="1:13" x14ac:dyDescent="0.25">
      <c r="A8859" s="1" t="str">
        <f>HYPERLINK("http://www.rosaceae.org/Prunus/Prunus_persica/p.persica_gdr_reftransV1_0017332","p.persica_gdr_reftransV1_0017332")</f>
        <v>p.persica_gdr_reftransV1_0017332</v>
      </c>
      <c r="B8859" s="3">
        <v>1218</v>
      </c>
      <c r="C8859" s="1" t="str">
        <f>HYPERLINK("http://www.uniprot.org/uniprot/CPY28_ARATH","CPY28_ARATH")</f>
        <v>CPY28_ARATH</v>
      </c>
      <c r="D8859" t="s">
        <v>6732</v>
      </c>
      <c r="E8859" s="3" t="s">
        <v>3</v>
      </c>
      <c r="F8859" s="4">
        <v>2.41E-98</v>
      </c>
      <c r="G8859" s="3">
        <v>771</v>
      </c>
      <c r="H8859" s="3">
        <v>70</v>
      </c>
      <c r="I8859" s="3">
        <v>238</v>
      </c>
      <c r="J8859" s="3">
        <v>257</v>
      </c>
      <c r="K8859" s="3">
        <v>937</v>
      </c>
      <c r="L8859" s="3">
        <v>38</v>
      </c>
      <c r="M8859" s="3">
        <v>271</v>
      </c>
    </row>
    <row r="8860" spans="1:13" x14ac:dyDescent="0.25">
      <c r="A8860" s="1" t="str">
        <f>HYPERLINK("http://www.rosaceae.org/Prunus/Prunus_persica/p.persica_gdr_reftransV1_0017482","p.persica_gdr_reftransV1_0017482")</f>
        <v>p.persica_gdr_reftransV1_0017482</v>
      </c>
      <c r="B8860" s="3">
        <v>2555</v>
      </c>
      <c r="C8860" s="1" t="str">
        <f>HYPERLINK("http://www.uniprot.org/uniprot/HERK_ARATH","HERK_ARATH")</f>
        <v>HERK_ARATH</v>
      </c>
      <c r="D8860" t="s">
        <v>3437</v>
      </c>
      <c r="E8860" s="3" t="s">
        <v>3</v>
      </c>
      <c r="F8860" s="4">
        <v>0</v>
      </c>
      <c r="G8860" s="3">
        <v>2106</v>
      </c>
      <c r="H8860" s="3">
        <v>62</v>
      </c>
      <c r="I8860" s="3">
        <v>663</v>
      </c>
      <c r="J8860" s="3">
        <v>574</v>
      </c>
      <c r="K8860" s="3">
        <v>2553</v>
      </c>
      <c r="L8860" s="3">
        <v>1</v>
      </c>
      <c r="M8860" s="3">
        <v>651</v>
      </c>
    </row>
    <row r="8861" spans="1:13" x14ac:dyDescent="0.25">
      <c r="A8861" s="1" t="str">
        <f>HYPERLINK("http://www.rosaceae.org/Prunus/Prunus_persica/p.persica_gdr_reftransV1_0017532","p.persica_gdr_reftransV1_0017532")</f>
        <v>p.persica_gdr_reftransV1_0017532</v>
      </c>
      <c r="B8861" s="3">
        <v>2491</v>
      </c>
      <c r="C8861" s="1" t="str">
        <f>HYPERLINK("http://www.uniprot.org/uniprot/SNX2A_ARATH","SNX2A_ARATH")</f>
        <v>SNX2A_ARATH</v>
      </c>
      <c r="D8861" t="s">
        <v>6733</v>
      </c>
      <c r="E8861" s="3" t="s">
        <v>3</v>
      </c>
      <c r="F8861" s="4">
        <v>0</v>
      </c>
      <c r="G8861" s="3">
        <v>1703</v>
      </c>
      <c r="H8861" s="3">
        <v>68</v>
      </c>
      <c r="I8861" s="3">
        <v>485</v>
      </c>
      <c r="J8861" s="3">
        <v>296</v>
      </c>
      <c r="K8861" s="3">
        <v>1720</v>
      </c>
      <c r="L8861" s="3">
        <v>101</v>
      </c>
      <c r="M8861" s="3">
        <v>583</v>
      </c>
    </row>
    <row r="8862" spans="1:13" x14ac:dyDescent="0.25">
      <c r="A8862" s="1" t="str">
        <f>HYPERLINK("http://www.rosaceae.org/Prunus/Prunus_persica/p.persica_gdr_reftransV1_0017882","p.persica_gdr_reftransV1_0017882")</f>
        <v>p.persica_gdr_reftransV1_0017882</v>
      </c>
      <c r="B8862" s="3">
        <v>2556</v>
      </c>
      <c r="C8862" s="1" t="str">
        <f>HYPERLINK("http://www.uniprot.org/uniprot/KLDC4_MOUSE","KLDC4_MOUSE")</f>
        <v>KLDC4_MOUSE</v>
      </c>
      <c r="D8862" t="s">
        <v>6734</v>
      </c>
      <c r="E8862" s="3" t="s">
        <v>157</v>
      </c>
      <c r="F8862" s="4">
        <v>5.8100000000000003E-84</v>
      </c>
      <c r="G8862" s="3">
        <v>732</v>
      </c>
      <c r="H8862" s="3">
        <v>37</v>
      </c>
      <c r="I8862" s="3">
        <v>472</v>
      </c>
      <c r="J8862" s="3">
        <v>1056</v>
      </c>
      <c r="K8862" s="3">
        <v>2438</v>
      </c>
      <c r="L8862" s="3">
        <v>33</v>
      </c>
      <c r="M8862" s="3">
        <v>478</v>
      </c>
    </row>
    <row r="8863" spans="1:13" x14ac:dyDescent="0.25">
      <c r="A8863" s="1" t="str">
        <f>HYPERLINK("http://www.rosaceae.org/Prunus/Prunus_persica/p.persica_gdr_reftransV1_0017932","p.persica_gdr_reftransV1_0017932")</f>
        <v>p.persica_gdr_reftransV1_0017932</v>
      </c>
      <c r="B8863" s="3">
        <v>1988</v>
      </c>
      <c r="C8863" s="1" t="str">
        <f>HYPERLINK("http://www.uniprot.org/uniprot/CRF4_ARATH","CRF4_ARATH")</f>
        <v>CRF4_ARATH</v>
      </c>
      <c r="D8863" t="s">
        <v>6550</v>
      </c>
      <c r="E8863" s="3" t="s">
        <v>3</v>
      </c>
      <c r="F8863" s="4">
        <v>2.4600000000000001E-46</v>
      </c>
      <c r="G8863" s="3">
        <v>435</v>
      </c>
      <c r="H8863" s="3">
        <v>48</v>
      </c>
      <c r="I8863" s="3">
        <v>249</v>
      </c>
      <c r="J8863" s="3">
        <v>586</v>
      </c>
      <c r="K8863" s="3">
        <v>1311</v>
      </c>
      <c r="L8863" s="3">
        <v>2</v>
      </c>
      <c r="M8863" s="3">
        <v>218</v>
      </c>
    </row>
    <row r="8864" spans="1:13" x14ac:dyDescent="0.25">
      <c r="A8864" s="1" t="str">
        <f>HYPERLINK("http://www.rosaceae.org/Prunus/Prunus_persica/p.persica_gdr_reftransV1_0017982","p.persica_gdr_reftransV1_0017982")</f>
        <v>p.persica_gdr_reftransV1_0017982</v>
      </c>
      <c r="B8864" s="3">
        <v>2076</v>
      </c>
      <c r="C8864" s="1" t="str">
        <f>HYPERLINK("http://www.uniprot.org/uniprot/YLS9_ARATH","YLS9_ARATH")</f>
        <v>YLS9_ARATH</v>
      </c>
      <c r="D8864" t="s">
        <v>607</v>
      </c>
      <c r="E8864" s="3" t="s">
        <v>3</v>
      </c>
      <c r="F8864" s="4">
        <v>2.7999999999999999E-17</v>
      </c>
      <c r="G8864" s="3">
        <v>212</v>
      </c>
      <c r="H8864" s="3">
        <v>30</v>
      </c>
      <c r="I8864" s="3">
        <v>202</v>
      </c>
      <c r="J8864" s="3">
        <v>1150</v>
      </c>
      <c r="K8864" s="3">
        <v>1746</v>
      </c>
      <c r="L8864" s="3">
        <v>5</v>
      </c>
      <c r="M8864" s="3">
        <v>206</v>
      </c>
    </row>
    <row r="8865" spans="1:13" x14ac:dyDescent="0.25">
      <c r="A8865" s="1" t="str">
        <f>HYPERLINK("http://www.rosaceae.org/Prunus/Prunus_persica/p.persica_gdr_reftransV1_0018032","p.persica_gdr_reftransV1_0018032")</f>
        <v>p.persica_gdr_reftransV1_0018032</v>
      </c>
      <c r="B8865" s="3">
        <v>3770</v>
      </c>
      <c r="C8865" s="1" t="str">
        <f>HYPERLINK("http://www.uniprot.org/uniprot/Y1143_ARATH","Y1143_ARATH")</f>
        <v>Y1143_ARATH</v>
      </c>
      <c r="D8865" t="s">
        <v>6735</v>
      </c>
      <c r="E8865" s="3" t="s">
        <v>3</v>
      </c>
      <c r="F8865" s="4">
        <v>0</v>
      </c>
      <c r="G8865" s="3">
        <v>1631</v>
      </c>
      <c r="H8865" s="3">
        <v>52</v>
      </c>
      <c r="I8865" s="3">
        <v>733</v>
      </c>
      <c r="J8865" s="3">
        <v>200</v>
      </c>
      <c r="K8865" s="3">
        <v>2341</v>
      </c>
      <c r="L8865" s="3">
        <v>24</v>
      </c>
      <c r="M8865" s="3">
        <v>721</v>
      </c>
    </row>
    <row r="8866" spans="1:13" x14ac:dyDescent="0.25">
      <c r="A8866" s="1" t="str">
        <f>HYPERLINK("http://www.rosaceae.org/Prunus/Prunus_persica/p.persica_gdr_reftransV1_0018182","p.persica_gdr_reftransV1_0018182")</f>
        <v>p.persica_gdr_reftransV1_0018182</v>
      </c>
      <c r="B8866" s="3">
        <v>1829</v>
      </c>
      <c r="C8866" s="1" t="str">
        <f>HYPERLINK("http://www.uniprot.org/uniprot/PHF1_ARATH","PHF1_ARATH")</f>
        <v>PHF1_ARATH</v>
      </c>
      <c r="D8866" t="s">
        <v>1839</v>
      </c>
      <c r="E8866" s="3" t="s">
        <v>3</v>
      </c>
      <c r="F8866" s="4">
        <v>7.4900000000000007E-145</v>
      </c>
      <c r="G8866" s="3">
        <v>1111</v>
      </c>
      <c r="H8866" s="3">
        <v>64</v>
      </c>
      <c r="I8866" s="3">
        <v>330</v>
      </c>
      <c r="J8866" s="3">
        <v>389</v>
      </c>
      <c r="K8866" s="3">
        <v>1375</v>
      </c>
      <c r="L8866" s="3">
        <v>66</v>
      </c>
      <c r="M8866" s="3">
        <v>394</v>
      </c>
    </row>
    <row r="8867" spans="1:13" x14ac:dyDescent="0.25">
      <c r="A8867" s="1" t="str">
        <f>HYPERLINK("http://www.rosaceae.org/Prunus/Prunus_persica/p.persica_gdr_reftransV1_0018232","p.persica_gdr_reftransV1_0018232")</f>
        <v>p.persica_gdr_reftransV1_0018232</v>
      </c>
      <c r="B8867" s="3">
        <v>3756</v>
      </c>
      <c r="C8867" s="1" t="str">
        <f>HYPERLINK("http://www.uniprot.org/uniprot/CALS8_ARATH","CALS8_ARATH")</f>
        <v>CALS8_ARATH</v>
      </c>
      <c r="D8867" t="s">
        <v>2236</v>
      </c>
      <c r="E8867" s="3" t="s">
        <v>3</v>
      </c>
      <c r="F8867" s="4">
        <v>0</v>
      </c>
      <c r="G8867" s="3">
        <v>5137</v>
      </c>
      <c r="H8867" s="3">
        <v>76</v>
      </c>
      <c r="I8867" s="3">
        <v>1260</v>
      </c>
      <c r="J8867" s="3">
        <v>2</v>
      </c>
      <c r="K8867" s="3">
        <v>3751</v>
      </c>
      <c r="L8867" s="3">
        <v>692</v>
      </c>
      <c r="M8867" s="3">
        <v>1949</v>
      </c>
    </row>
    <row r="8868" spans="1:13" x14ac:dyDescent="0.25">
      <c r="A8868" s="1" t="str">
        <f>HYPERLINK("http://www.rosaceae.org/Prunus/Prunus_persica/p.persica_gdr_reftransV1_0018282","p.persica_gdr_reftransV1_0018282")</f>
        <v>p.persica_gdr_reftransV1_0018282</v>
      </c>
      <c r="B8868" s="3">
        <v>1583</v>
      </c>
      <c r="C8868" s="1" t="str">
        <f>HYPERLINK("http://www.uniprot.org/uniprot/ATPG3_IPOBA","ATPG3_IPOBA")</f>
        <v>ATPG3_IPOBA</v>
      </c>
      <c r="D8868" t="s">
        <v>6736</v>
      </c>
      <c r="E8868" s="3" t="s">
        <v>6229</v>
      </c>
      <c r="F8868" s="4">
        <v>0</v>
      </c>
      <c r="G8868" s="3">
        <v>1477</v>
      </c>
      <c r="H8868" s="3">
        <v>86</v>
      </c>
      <c r="I8868" s="3">
        <v>326</v>
      </c>
      <c r="J8868" s="3">
        <v>152</v>
      </c>
      <c r="K8868" s="3">
        <v>1120</v>
      </c>
      <c r="L8868" s="3">
        <v>1</v>
      </c>
      <c r="M8868" s="3">
        <v>326</v>
      </c>
    </row>
    <row r="8869" spans="1:13" x14ac:dyDescent="0.25">
      <c r="A8869" s="1" t="str">
        <f>HYPERLINK("http://www.rosaceae.org/Prunus/Prunus_persica/p.persica_gdr_reftransV1_0018332","p.persica_gdr_reftransV1_0018332")</f>
        <v>p.persica_gdr_reftransV1_0018332</v>
      </c>
      <c r="B8869" s="3">
        <v>4215</v>
      </c>
      <c r="C8869" s="1" t="str">
        <f>HYPERLINK("http://www.uniprot.org/uniprot/RHM1_ARATH","RHM1_ARATH")</f>
        <v>RHM1_ARATH</v>
      </c>
      <c r="D8869" t="s">
        <v>2683</v>
      </c>
      <c r="E8869" s="3" t="s">
        <v>3</v>
      </c>
      <c r="F8869" s="4">
        <v>0</v>
      </c>
      <c r="G8869" s="3">
        <v>3065</v>
      </c>
      <c r="H8869" s="3">
        <v>87</v>
      </c>
      <c r="I8869" s="3">
        <v>669</v>
      </c>
      <c r="J8869" s="3">
        <v>1244</v>
      </c>
      <c r="K8869" s="3">
        <v>3241</v>
      </c>
      <c r="L8869" s="3">
        <v>1</v>
      </c>
      <c r="M8869" s="3">
        <v>667</v>
      </c>
    </row>
    <row r="8870" spans="1:13" x14ac:dyDescent="0.25">
      <c r="A8870" s="1" t="str">
        <f>HYPERLINK("http://www.rosaceae.org/Prunus/Prunus_persica/p.persica_gdr_reftransV1_0018532","p.persica_gdr_reftransV1_0018532")</f>
        <v>p.persica_gdr_reftransV1_0018532</v>
      </c>
      <c r="B8870" s="3">
        <v>2713</v>
      </c>
      <c r="C8870" s="1" t="str">
        <f>HYPERLINK("http://www.uniprot.org/uniprot/LACS8_ARATH","LACS8_ARATH")</f>
        <v>LACS8_ARATH</v>
      </c>
      <c r="D8870" t="s">
        <v>6737</v>
      </c>
      <c r="E8870" s="3" t="s">
        <v>3</v>
      </c>
      <c r="F8870" s="4">
        <v>0</v>
      </c>
      <c r="G8870" s="3">
        <v>1711</v>
      </c>
      <c r="H8870" s="3">
        <v>79</v>
      </c>
      <c r="I8870" s="3">
        <v>392</v>
      </c>
      <c r="J8870" s="3">
        <v>1290</v>
      </c>
      <c r="K8870" s="3">
        <v>2465</v>
      </c>
      <c r="L8870" s="3">
        <v>329</v>
      </c>
      <c r="M8870" s="3">
        <v>720</v>
      </c>
    </row>
    <row r="8871" spans="1:13" x14ac:dyDescent="0.25">
      <c r="A8871" s="1" t="str">
        <f>HYPERLINK("http://www.rosaceae.org/Prunus/Prunus_persica/p.persica_gdr_reftransV1_0018582","p.persica_gdr_reftransV1_0018582")</f>
        <v>p.persica_gdr_reftransV1_0018582</v>
      </c>
      <c r="B8871" s="3">
        <v>3289</v>
      </c>
      <c r="C8871" s="1" t="str">
        <f>HYPERLINK("http://www.uniprot.org/uniprot/XRN3_ARATH","XRN3_ARATH")</f>
        <v>XRN3_ARATH</v>
      </c>
      <c r="D8871" t="s">
        <v>347</v>
      </c>
      <c r="E8871" s="3" t="s">
        <v>3</v>
      </c>
      <c r="F8871" s="4">
        <v>0</v>
      </c>
      <c r="G8871" s="3">
        <v>1634</v>
      </c>
      <c r="H8871" s="3">
        <v>86</v>
      </c>
      <c r="I8871" s="3">
        <v>413</v>
      </c>
      <c r="J8871" s="3">
        <v>229</v>
      </c>
      <c r="K8871" s="3">
        <v>1467</v>
      </c>
      <c r="L8871" s="3">
        <v>1</v>
      </c>
      <c r="M8871" s="3">
        <v>413</v>
      </c>
    </row>
    <row r="8872" spans="1:13" x14ac:dyDescent="0.25">
      <c r="A8872" s="1" t="str">
        <f>HYPERLINK("http://www.rosaceae.org/Prunus/Prunus_persica/p.persica_gdr_reftransV1_0018882","p.persica_gdr_reftransV1_0018882")</f>
        <v>p.persica_gdr_reftransV1_0018882</v>
      </c>
      <c r="B8872" s="3">
        <v>2195</v>
      </c>
      <c r="C8872" s="1" t="str">
        <f>HYPERLINK("http://www.uniprot.org/uniprot/PEX16_ARATH","PEX16_ARATH")</f>
        <v>PEX16_ARATH</v>
      </c>
      <c r="D8872" t="s">
        <v>6738</v>
      </c>
      <c r="E8872" s="3" t="s">
        <v>3</v>
      </c>
      <c r="F8872" s="4">
        <v>5.7600000000000004E-119</v>
      </c>
      <c r="G8872" s="3">
        <v>945</v>
      </c>
      <c r="H8872" s="3">
        <v>55</v>
      </c>
      <c r="I8872" s="3">
        <v>356</v>
      </c>
      <c r="J8872" s="3">
        <v>885</v>
      </c>
      <c r="K8872" s="3">
        <v>1937</v>
      </c>
      <c r="L8872" s="3">
        <v>42</v>
      </c>
      <c r="M8872" s="3">
        <v>367</v>
      </c>
    </row>
    <row r="8873" spans="1:13" x14ac:dyDescent="0.25">
      <c r="A8873" s="1" t="str">
        <f>HYPERLINK("http://www.rosaceae.org/Prunus/Prunus_persica/p.persica_gdr_reftransV1_0018932","p.persica_gdr_reftransV1_0018932")</f>
        <v>p.persica_gdr_reftransV1_0018932</v>
      </c>
      <c r="B8873" s="3">
        <v>4600</v>
      </c>
      <c r="C8873" s="1" t="str">
        <f>HYPERLINK("http://www.uniprot.org/uniprot/POLX_TOBAC","POLX_TOBAC")</f>
        <v>POLX_TOBAC</v>
      </c>
      <c r="D8873" t="s">
        <v>1253</v>
      </c>
      <c r="E8873" s="3" t="s">
        <v>200</v>
      </c>
      <c r="F8873" s="4">
        <v>1.3800000000000001E-109</v>
      </c>
      <c r="G8873" s="3">
        <v>987</v>
      </c>
      <c r="H8873" s="3">
        <v>33</v>
      </c>
      <c r="I8873" s="3">
        <v>770</v>
      </c>
      <c r="J8873" s="3">
        <v>944</v>
      </c>
      <c r="K8873" s="3">
        <v>3205</v>
      </c>
      <c r="L8873" s="3">
        <v>4</v>
      </c>
      <c r="M8873" s="3">
        <v>706</v>
      </c>
    </row>
    <row r="8874" spans="1:13" x14ac:dyDescent="0.25">
      <c r="A8874" s="1" t="str">
        <f>HYPERLINK("http://www.rosaceae.org/Prunus/Prunus_persica/p.persica_gdr_reftransV1_0019182","p.persica_gdr_reftransV1_0019182")</f>
        <v>p.persica_gdr_reftransV1_0019182</v>
      </c>
      <c r="B8874" s="3">
        <v>2706</v>
      </c>
      <c r="C8874" s="1" t="str">
        <f>HYPERLINK("http://www.uniprot.org/uniprot/PAO_ARATH","PAO_ARATH")</f>
        <v>PAO_ARATH</v>
      </c>
      <c r="D8874" t="s">
        <v>6739</v>
      </c>
      <c r="E8874" s="3" t="s">
        <v>3</v>
      </c>
      <c r="F8874" s="4">
        <v>0</v>
      </c>
      <c r="G8874" s="3">
        <v>1981</v>
      </c>
      <c r="H8874" s="3">
        <v>73</v>
      </c>
      <c r="I8874" s="3">
        <v>509</v>
      </c>
      <c r="J8874" s="3">
        <v>688</v>
      </c>
      <c r="K8874" s="3">
        <v>2205</v>
      </c>
      <c r="L8874" s="3">
        <v>38</v>
      </c>
      <c r="M8874" s="3">
        <v>537</v>
      </c>
    </row>
    <row r="8875" spans="1:13" x14ac:dyDescent="0.25">
      <c r="A8875" s="1" t="str">
        <f>HYPERLINK("http://www.rosaceae.org/Prunus/Prunus_persica/p.persica_gdr_reftransV1_0019432","p.persica_gdr_reftransV1_0019432")</f>
        <v>p.persica_gdr_reftransV1_0019432</v>
      </c>
      <c r="B8875" s="3">
        <v>2533</v>
      </c>
      <c r="C8875" s="1" t="str">
        <f>HYPERLINK("http://www.uniprot.org/uniprot/MB3R1_ARATH","MB3R1_ARATH")</f>
        <v>MB3R1_ARATH</v>
      </c>
      <c r="D8875" t="s">
        <v>4982</v>
      </c>
      <c r="E8875" s="3" t="s">
        <v>3</v>
      </c>
      <c r="F8875" s="4">
        <v>5.2900000000000002E-68</v>
      </c>
      <c r="G8875" s="3">
        <v>440</v>
      </c>
      <c r="H8875" s="3">
        <v>73</v>
      </c>
      <c r="I8875" s="3">
        <v>104</v>
      </c>
      <c r="J8875" s="3">
        <v>1621</v>
      </c>
      <c r="K8875" s="3">
        <v>1932</v>
      </c>
      <c r="L8875" s="3">
        <v>94</v>
      </c>
      <c r="M8875" s="3">
        <v>197</v>
      </c>
    </row>
    <row r="8876" spans="1:13" x14ac:dyDescent="0.25">
      <c r="A8876" s="1" t="str">
        <f>HYPERLINK("http://www.rosaceae.org/Prunus/Prunus_persica/p.persica_gdr_reftransV1_0019782","p.persica_gdr_reftransV1_0019782")</f>
        <v>p.persica_gdr_reftransV1_0019782</v>
      </c>
      <c r="B8876" s="3">
        <v>3423</v>
      </c>
      <c r="C8876" s="1" t="str">
        <f>HYPERLINK("http://www.uniprot.org/uniprot/THO5B_ARATH","THO5B_ARATH")</f>
        <v>THO5B_ARATH</v>
      </c>
      <c r="D8876" t="s">
        <v>6740</v>
      </c>
      <c r="E8876" s="3" t="s">
        <v>3</v>
      </c>
      <c r="F8876" s="4">
        <v>0</v>
      </c>
      <c r="G8876" s="3">
        <v>1487</v>
      </c>
      <c r="H8876" s="3">
        <v>68</v>
      </c>
      <c r="I8876" s="3">
        <v>479</v>
      </c>
      <c r="J8876" s="3">
        <v>1960</v>
      </c>
      <c r="K8876" s="3">
        <v>3363</v>
      </c>
      <c r="L8876" s="3">
        <v>1</v>
      </c>
      <c r="M8876" s="3">
        <v>475</v>
      </c>
    </row>
    <row r="8877" spans="1:13" x14ac:dyDescent="0.25">
      <c r="A8877" s="1" t="str">
        <f>HYPERLINK("http://www.rosaceae.org/Prunus/Prunus_persica/p.persica_gdr_reftransV1_0019882","p.persica_gdr_reftransV1_0019882")</f>
        <v>p.persica_gdr_reftransV1_0019882</v>
      </c>
      <c r="B8877" s="3">
        <v>1744</v>
      </c>
      <c r="C8877" s="1" t="str">
        <f>HYPERLINK("http://www.uniprot.org/uniprot/C7A12_PANGI","C7A12_PANGI")</f>
        <v>C7A12_PANGI</v>
      </c>
      <c r="D8877" t="s">
        <v>5987</v>
      </c>
      <c r="E8877" s="3" t="s">
        <v>1477</v>
      </c>
      <c r="F8877" s="4">
        <v>0</v>
      </c>
      <c r="G8877" s="3">
        <v>1677</v>
      </c>
      <c r="H8877" s="3">
        <v>61</v>
      </c>
      <c r="I8877" s="3">
        <v>504</v>
      </c>
      <c r="J8877" s="3">
        <v>81</v>
      </c>
      <c r="K8877" s="3">
        <v>1592</v>
      </c>
      <c r="L8877" s="3">
        <v>1</v>
      </c>
      <c r="M8877" s="3">
        <v>500</v>
      </c>
    </row>
    <row r="8878" spans="1:13" x14ac:dyDescent="0.25">
      <c r="A8878" s="1" t="str">
        <f>HYPERLINK("http://www.rosaceae.org/Prunus/Prunus_persica/p.persica_gdr_reftransV1_0020032","p.persica_gdr_reftransV1_0020032")</f>
        <v>p.persica_gdr_reftransV1_0020032</v>
      </c>
      <c r="B8878" s="3">
        <v>1899</v>
      </c>
      <c r="C8878" s="1" t="str">
        <f>HYPERLINK("http://www.uniprot.org/uniprot/WRK23_ARATH","WRK23_ARATH")</f>
        <v>WRK23_ARATH</v>
      </c>
      <c r="D8878" t="s">
        <v>6741</v>
      </c>
      <c r="E8878" s="3" t="s">
        <v>3</v>
      </c>
      <c r="F8878" s="4">
        <v>6.5799999999999999E-59</v>
      </c>
      <c r="G8878" s="3">
        <v>525</v>
      </c>
      <c r="H8878" s="3">
        <v>49</v>
      </c>
      <c r="I8878" s="3">
        <v>322</v>
      </c>
      <c r="J8878" s="3">
        <v>455</v>
      </c>
      <c r="K8878" s="3">
        <v>1333</v>
      </c>
      <c r="L8878" s="3">
        <v>19</v>
      </c>
      <c r="M8878" s="3">
        <v>337</v>
      </c>
    </row>
    <row r="8879" spans="1:13" x14ac:dyDescent="0.25">
      <c r="A8879" s="1" t="str">
        <f>HYPERLINK("http://www.rosaceae.org/Prunus/Prunus_persica/p.persica_gdr_reftransV1_0020232","p.persica_gdr_reftransV1_0020232")</f>
        <v>p.persica_gdr_reftransV1_0020232</v>
      </c>
      <c r="B8879" s="3">
        <v>876</v>
      </c>
      <c r="C8879" s="1" t="str">
        <f>HYPERLINK("http://www.uniprot.org/uniprot/CCB3_ARATH","CCB3_ARATH")</f>
        <v>CCB3_ARATH</v>
      </c>
      <c r="D8879" t="s">
        <v>6742</v>
      </c>
      <c r="E8879" s="3" t="s">
        <v>3</v>
      </c>
      <c r="F8879" s="4">
        <v>4.7900000000000003E-36</v>
      </c>
      <c r="G8879" s="3">
        <v>333</v>
      </c>
      <c r="H8879" s="3">
        <v>85</v>
      </c>
      <c r="I8879" s="3">
        <v>74</v>
      </c>
      <c r="J8879" s="3">
        <v>517</v>
      </c>
      <c r="K8879" s="3">
        <v>738</v>
      </c>
      <c r="L8879" s="3">
        <v>98</v>
      </c>
      <c r="M8879" s="3">
        <v>171</v>
      </c>
    </row>
    <row r="8880" spans="1:13" x14ac:dyDescent="0.25">
      <c r="A8880" s="1" t="str">
        <f>HYPERLINK("http://www.rosaceae.org/Prunus/Prunus_persica/p.persica_gdr_reftransV1_0020532","p.persica_gdr_reftransV1_0020532")</f>
        <v>p.persica_gdr_reftransV1_0020532</v>
      </c>
      <c r="B8880" s="3">
        <v>3566</v>
      </c>
      <c r="C8880" s="1" t="str">
        <f>HYPERLINK("http://www.uniprot.org/uniprot/Y4645_ARATH","Y4645_ARATH")</f>
        <v>Y4645_ARATH</v>
      </c>
      <c r="D8880" t="s">
        <v>6743</v>
      </c>
      <c r="E8880" s="3" t="s">
        <v>3</v>
      </c>
      <c r="F8880" s="4">
        <v>2.0499999999999999E-78</v>
      </c>
      <c r="G8880" s="3">
        <v>710</v>
      </c>
      <c r="H8880" s="3">
        <v>35</v>
      </c>
      <c r="I8880" s="3">
        <v>805</v>
      </c>
      <c r="J8880" s="3">
        <v>788</v>
      </c>
      <c r="K8880" s="3">
        <v>3064</v>
      </c>
      <c r="L8880" s="3">
        <v>1</v>
      </c>
      <c r="M8880" s="3">
        <v>708</v>
      </c>
    </row>
    <row r="8881" spans="1:13" x14ac:dyDescent="0.25">
      <c r="A8881" s="1" t="str">
        <f>HYPERLINK("http://www.rosaceae.org/Prunus/Prunus_persica/p.persica_gdr_reftransV1_0020632","p.persica_gdr_reftransV1_0020632")</f>
        <v>p.persica_gdr_reftransV1_0020632</v>
      </c>
      <c r="B8881" s="3">
        <v>1388</v>
      </c>
      <c r="C8881" s="1" t="str">
        <f>HYPERLINK("http://www.uniprot.org/uniprot/MDHM_CITLA","MDHM_CITLA")</f>
        <v>MDHM_CITLA</v>
      </c>
      <c r="D8881" t="s">
        <v>5846</v>
      </c>
      <c r="E8881" s="3" t="s">
        <v>1259</v>
      </c>
      <c r="F8881" s="4">
        <v>6.4799999999999997E-134</v>
      </c>
      <c r="G8881" s="3">
        <v>1020</v>
      </c>
      <c r="H8881" s="3">
        <v>87</v>
      </c>
      <c r="I8881" s="3">
        <v>224</v>
      </c>
      <c r="J8881" s="3">
        <v>2</v>
      </c>
      <c r="K8881" s="3">
        <v>673</v>
      </c>
      <c r="L8881" s="3">
        <v>80</v>
      </c>
      <c r="M8881" s="3">
        <v>302</v>
      </c>
    </row>
    <row r="8882" spans="1:13" x14ac:dyDescent="0.25">
      <c r="A8882" s="1" t="str">
        <f>HYPERLINK("http://www.rosaceae.org/Prunus/Prunus_persica/p.persica_gdr_reftransV1_0020682","p.persica_gdr_reftransV1_0020682")</f>
        <v>p.persica_gdr_reftransV1_0020682</v>
      </c>
      <c r="B8882" s="3">
        <v>3078</v>
      </c>
      <c r="C8882" s="1" t="str">
        <f>HYPERLINK("http://www.uniprot.org/uniprot/DGDG1_LOTJA","DGDG1_LOTJA")</f>
        <v>DGDG1_LOTJA</v>
      </c>
      <c r="D8882" t="s">
        <v>6744</v>
      </c>
      <c r="E8882" s="3" t="s">
        <v>880</v>
      </c>
      <c r="F8882" s="4">
        <v>0</v>
      </c>
      <c r="G8882" s="3">
        <v>2510</v>
      </c>
      <c r="H8882" s="3">
        <v>77</v>
      </c>
      <c r="I8882" s="3">
        <v>641</v>
      </c>
      <c r="J8882" s="3">
        <v>194</v>
      </c>
      <c r="K8882" s="3">
        <v>2077</v>
      </c>
      <c r="L8882" s="3">
        <v>1</v>
      </c>
      <c r="M8882" s="3">
        <v>627</v>
      </c>
    </row>
    <row r="8883" spans="1:13" x14ac:dyDescent="0.25">
      <c r="A8883" s="1" t="str">
        <f>HYPERLINK("http://www.rosaceae.org/Prunus/Prunus_persica/p.persica_gdr_reftransV1_0020732","p.persica_gdr_reftransV1_0020732")</f>
        <v>p.persica_gdr_reftransV1_0020732</v>
      </c>
      <c r="B8883" s="3">
        <v>1503</v>
      </c>
      <c r="C8883" s="1" t="str">
        <f>HYPERLINK("http://www.uniprot.org/uniprot/EDL2_ARATH","EDL2_ARATH")</f>
        <v>EDL2_ARATH</v>
      </c>
      <c r="D8883" t="s">
        <v>6745</v>
      </c>
      <c r="E8883" s="3" t="s">
        <v>3</v>
      </c>
      <c r="F8883" s="4">
        <v>1.92E-146</v>
      </c>
      <c r="G8883" s="3">
        <v>1097</v>
      </c>
      <c r="H8883" s="3">
        <v>84</v>
      </c>
      <c r="I8883" s="3">
        <v>235</v>
      </c>
      <c r="J8883" s="3">
        <v>381</v>
      </c>
      <c r="K8883" s="3">
        <v>1082</v>
      </c>
      <c r="L8883" s="3">
        <v>1</v>
      </c>
      <c r="M8883" s="3">
        <v>235</v>
      </c>
    </row>
    <row r="8884" spans="1:13" x14ac:dyDescent="0.25">
      <c r="A8884" s="1" t="str">
        <f>HYPERLINK("http://www.rosaceae.org/Prunus/Prunus_persica/p.persica_gdr_reftransV1_0020932","p.persica_gdr_reftransV1_0020932")</f>
        <v>p.persica_gdr_reftransV1_0020932</v>
      </c>
      <c r="B8884" s="3">
        <v>4017</v>
      </c>
      <c r="C8884" s="1" t="str">
        <f>HYPERLINK("http://www.uniprot.org/uniprot/TOP1_ARATH","TOP1_ARATH")</f>
        <v>TOP1_ARATH</v>
      </c>
      <c r="D8884" t="s">
        <v>6746</v>
      </c>
      <c r="E8884" s="3" t="s">
        <v>3</v>
      </c>
      <c r="F8884" s="4">
        <v>0</v>
      </c>
      <c r="G8884" s="3">
        <v>2311</v>
      </c>
      <c r="H8884" s="3">
        <v>61</v>
      </c>
      <c r="I8884" s="3">
        <v>796</v>
      </c>
      <c r="J8884" s="3">
        <v>316</v>
      </c>
      <c r="K8884" s="3">
        <v>2589</v>
      </c>
      <c r="L8884" s="3">
        <v>168</v>
      </c>
      <c r="M8884" s="3">
        <v>913</v>
      </c>
    </row>
    <row r="8885" spans="1:13" x14ac:dyDescent="0.25">
      <c r="A8885" s="1" t="str">
        <f>HYPERLINK("http://www.rosaceae.org/Prunus/Prunus_persica/p.persica_gdr_reftransV1_0020982","p.persica_gdr_reftransV1_0020982")</f>
        <v>p.persica_gdr_reftransV1_0020982</v>
      </c>
      <c r="B8885" s="3">
        <v>5247</v>
      </c>
      <c r="C8885" s="1" t="str">
        <f>HYPERLINK("http://www.uniprot.org/uniprot/AB20B_ARATH","AB20B_ARATH")</f>
        <v>AB20B_ARATH</v>
      </c>
      <c r="D8885" t="s">
        <v>6747</v>
      </c>
      <c r="E8885" s="3" t="s">
        <v>3</v>
      </c>
      <c r="F8885" s="4">
        <v>0</v>
      </c>
      <c r="G8885" s="3">
        <v>5966</v>
      </c>
      <c r="H8885" s="3">
        <v>85</v>
      </c>
      <c r="I8885" s="3">
        <v>1416</v>
      </c>
      <c r="J8885" s="3">
        <v>406</v>
      </c>
      <c r="K8885" s="3">
        <v>4635</v>
      </c>
      <c r="L8885" s="3">
        <v>1</v>
      </c>
      <c r="M8885" s="3">
        <v>1408</v>
      </c>
    </row>
    <row r="8886" spans="1:13" x14ac:dyDescent="0.25">
      <c r="A8886" s="1" t="str">
        <f>HYPERLINK("http://www.rosaceae.org/Prunus/Prunus_persica/p.persica_gdr_reftransV1_0021082","p.persica_gdr_reftransV1_0021082")</f>
        <v>p.persica_gdr_reftransV1_0021082</v>
      </c>
      <c r="B8886" s="3">
        <v>964</v>
      </c>
      <c r="C8886" s="1" t="str">
        <f>HYPERLINK("http://www.uniprot.org/uniprot/NCASE_ARATH","NCASE_ARATH")</f>
        <v>NCASE_ARATH</v>
      </c>
      <c r="D8886" t="s">
        <v>4341</v>
      </c>
      <c r="E8886" s="3" t="s">
        <v>3</v>
      </c>
      <c r="F8886" s="4">
        <v>1.7E-130</v>
      </c>
      <c r="G8886" s="3">
        <v>1018</v>
      </c>
      <c r="H8886" s="3">
        <v>87</v>
      </c>
      <c r="I8886" s="3">
        <v>214</v>
      </c>
      <c r="J8886" s="3">
        <v>323</v>
      </c>
      <c r="K8886" s="3">
        <v>964</v>
      </c>
      <c r="L8886" s="3">
        <v>26</v>
      </c>
      <c r="M8886" s="3">
        <v>239</v>
      </c>
    </row>
    <row r="8887" spans="1:13" x14ac:dyDescent="0.25">
      <c r="A8887" s="1" t="str">
        <f>HYPERLINK("http://www.rosaceae.org/Prunus/Prunus_persica/p.persica_gdr_reftransV1_0021332","p.persica_gdr_reftransV1_0021332")</f>
        <v>p.persica_gdr_reftransV1_0021332</v>
      </c>
      <c r="B8887" s="3">
        <v>1616</v>
      </c>
      <c r="C8887" s="1" t="str">
        <f>HYPERLINK("http://www.uniprot.org/uniprot/UBC28_ARATH","UBC28_ARATH")</f>
        <v>UBC28_ARATH</v>
      </c>
      <c r="D8887" t="s">
        <v>6748</v>
      </c>
      <c r="E8887" s="3" t="s">
        <v>3</v>
      </c>
      <c r="F8887" s="4">
        <v>1.1100000000000001E-96</v>
      </c>
      <c r="G8887" s="3">
        <v>759</v>
      </c>
      <c r="H8887" s="3">
        <v>95</v>
      </c>
      <c r="I8887" s="3">
        <v>148</v>
      </c>
      <c r="J8887" s="3">
        <v>921</v>
      </c>
      <c r="K8887" s="3">
        <v>1364</v>
      </c>
      <c r="L8887" s="3">
        <v>1</v>
      </c>
      <c r="M8887" s="3">
        <v>148</v>
      </c>
    </row>
    <row r="8888" spans="1:13" x14ac:dyDescent="0.25">
      <c r="A8888" s="1" t="str">
        <f>HYPERLINK("http://www.rosaceae.org/Prunus/Prunus_persica/p.persica_gdr_reftransV1_0021732","p.persica_gdr_reftransV1_0021732")</f>
        <v>p.persica_gdr_reftransV1_0021732</v>
      </c>
      <c r="B8888" s="3">
        <v>2179</v>
      </c>
      <c r="C8888" s="1" t="str">
        <f>HYPERLINK("http://www.uniprot.org/uniprot/PRMA_CHRVO","PRMA_CHRVO")</f>
        <v>PRMA_CHRVO</v>
      </c>
      <c r="D8888" t="s">
        <v>6749</v>
      </c>
      <c r="E8888" s="3" t="s">
        <v>6750</v>
      </c>
      <c r="F8888" s="4">
        <v>2.4499999999999999E-33</v>
      </c>
      <c r="G8888" s="3">
        <v>338</v>
      </c>
      <c r="H8888" s="3">
        <v>45</v>
      </c>
      <c r="I8888" s="3">
        <v>192</v>
      </c>
      <c r="J8888" s="3">
        <v>907</v>
      </c>
      <c r="K8888" s="3">
        <v>1482</v>
      </c>
      <c r="L8888" s="3">
        <v>131</v>
      </c>
      <c r="M8888" s="3">
        <v>295</v>
      </c>
    </row>
    <row r="8889" spans="1:13" x14ac:dyDescent="0.25">
      <c r="A8889" s="1" t="str">
        <f>HYPERLINK("http://www.rosaceae.org/Prunus/Prunus_persica/p.persica_gdr_reftransV1_0021832","p.persica_gdr_reftransV1_0021832")</f>
        <v>p.persica_gdr_reftransV1_0021832</v>
      </c>
      <c r="B8889" s="3">
        <v>477</v>
      </c>
      <c r="C8889" s="1" t="str">
        <f>HYPERLINK("http://www.uniprot.org/uniprot/CNGC5_ARATH","CNGC5_ARATH")</f>
        <v>CNGC5_ARATH</v>
      </c>
      <c r="D8889" t="s">
        <v>2976</v>
      </c>
      <c r="E8889" s="3" t="s">
        <v>3</v>
      </c>
      <c r="F8889" s="4">
        <v>1.88E-10</v>
      </c>
      <c r="G8889" s="3">
        <v>151</v>
      </c>
      <c r="H8889" s="3">
        <v>43</v>
      </c>
      <c r="I8889" s="3">
        <v>98</v>
      </c>
      <c r="J8889" s="3">
        <v>1</v>
      </c>
      <c r="K8889" s="3">
        <v>294</v>
      </c>
      <c r="L8889" s="3">
        <v>620</v>
      </c>
      <c r="M8889" s="3">
        <v>717</v>
      </c>
    </row>
    <row r="8890" spans="1:13" x14ac:dyDescent="0.25">
      <c r="A8890" s="1" t="str">
        <f>HYPERLINK("http://www.rosaceae.org/Prunus/Prunus_persica/p.persica_gdr_reftransV1_0021882","p.persica_gdr_reftransV1_0021882")</f>
        <v>p.persica_gdr_reftransV1_0021882</v>
      </c>
      <c r="B8890" s="3">
        <v>3729</v>
      </c>
      <c r="C8890" s="1" t="str">
        <f>HYPERLINK("http://www.uniprot.org/uniprot/AP2A2_ARATH","AP2A2_ARATH")</f>
        <v>AP2A2_ARATH</v>
      </c>
      <c r="D8890" t="s">
        <v>6751</v>
      </c>
      <c r="E8890" s="3" t="s">
        <v>3</v>
      </c>
      <c r="F8890" s="4">
        <v>0</v>
      </c>
      <c r="G8890" s="3">
        <v>4337</v>
      </c>
      <c r="H8890" s="3">
        <v>81</v>
      </c>
      <c r="I8890" s="3">
        <v>1020</v>
      </c>
      <c r="J8890" s="3">
        <v>373</v>
      </c>
      <c r="K8890" s="3">
        <v>3426</v>
      </c>
      <c r="L8890" s="3">
        <v>1</v>
      </c>
      <c r="M8890" s="3">
        <v>1013</v>
      </c>
    </row>
    <row r="8891" spans="1:13" x14ac:dyDescent="0.25">
      <c r="A8891" s="1" t="str">
        <f>HYPERLINK("http://www.rosaceae.org/Prunus/Prunus_persica/p.persica_gdr_reftransV1_0022082","p.persica_gdr_reftransV1_0022082")</f>
        <v>p.persica_gdr_reftransV1_0022082</v>
      </c>
      <c r="B8891" s="3">
        <v>3261</v>
      </c>
      <c r="C8891" s="1" t="str">
        <f>HYPERLINK("http://www.uniprot.org/uniprot/POT7_ARATH","POT7_ARATH")</f>
        <v>POT7_ARATH</v>
      </c>
      <c r="D8891" t="s">
        <v>6752</v>
      </c>
      <c r="E8891" s="3" t="s">
        <v>3</v>
      </c>
      <c r="F8891" s="4">
        <v>0</v>
      </c>
      <c r="G8891" s="3">
        <v>3105</v>
      </c>
      <c r="H8891" s="3">
        <v>78</v>
      </c>
      <c r="I8891" s="3">
        <v>863</v>
      </c>
      <c r="J8891" s="3">
        <v>278</v>
      </c>
      <c r="K8891" s="3">
        <v>2827</v>
      </c>
      <c r="L8891" s="3">
        <v>1</v>
      </c>
      <c r="M8891" s="3">
        <v>858</v>
      </c>
    </row>
    <row r="8892" spans="1:13" x14ac:dyDescent="0.25">
      <c r="A8892" s="1" t="str">
        <f>HYPERLINK("http://www.rosaceae.org/Prunus/Prunus_persica/p.persica_gdr_reftransV1_0022232","p.persica_gdr_reftransV1_0022232")</f>
        <v>p.persica_gdr_reftransV1_0022232</v>
      </c>
      <c r="B8892" s="3">
        <v>2555</v>
      </c>
      <c r="C8892" s="1" t="str">
        <f>HYPERLINK("http://www.uniprot.org/uniprot/DMS3_ARATH","DMS3_ARATH")</f>
        <v>DMS3_ARATH</v>
      </c>
      <c r="D8892" t="s">
        <v>3585</v>
      </c>
      <c r="E8892" s="3" t="s">
        <v>3</v>
      </c>
      <c r="F8892" s="4">
        <v>3.2099999999999998E-76</v>
      </c>
      <c r="G8892" s="3">
        <v>664</v>
      </c>
      <c r="H8892" s="3">
        <v>66</v>
      </c>
      <c r="I8892" s="3">
        <v>181</v>
      </c>
      <c r="J8892" s="3">
        <v>811</v>
      </c>
      <c r="K8892" s="3">
        <v>1353</v>
      </c>
      <c r="L8892" s="3">
        <v>163</v>
      </c>
      <c r="M8892" s="3">
        <v>343</v>
      </c>
    </row>
    <row r="8893" spans="1:13" x14ac:dyDescent="0.25">
      <c r="A8893" s="1" t="str">
        <f>HYPERLINK("http://www.rosaceae.org/Prunus/Prunus_persica/p.persica_gdr_reftransV1_0022282","p.persica_gdr_reftransV1_0022282")</f>
        <v>p.persica_gdr_reftransV1_0022282</v>
      </c>
      <c r="B8893" s="3">
        <v>576</v>
      </c>
      <c r="C8893" s="1" t="str">
        <f>HYPERLINK("http://www.uniprot.org/uniprot/TTL3_ARATH","TTL3_ARATH")</f>
        <v>TTL3_ARATH</v>
      </c>
      <c r="D8893" t="s">
        <v>3479</v>
      </c>
      <c r="E8893" s="3" t="s">
        <v>3</v>
      </c>
      <c r="F8893" s="4">
        <v>2.9900000000000002E-7</v>
      </c>
      <c r="G8893" s="3">
        <v>126</v>
      </c>
      <c r="H8893" s="3">
        <v>46</v>
      </c>
      <c r="I8893" s="3">
        <v>106</v>
      </c>
      <c r="J8893" s="3">
        <v>7</v>
      </c>
      <c r="K8893" s="3">
        <v>324</v>
      </c>
      <c r="L8893" s="3">
        <v>1</v>
      </c>
      <c r="M8893" s="3">
        <v>97</v>
      </c>
    </row>
    <row r="8894" spans="1:13" x14ac:dyDescent="0.25">
      <c r="A8894" s="1" t="str">
        <f>HYPERLINK("http://www.rosaceae.org/Prunus/Prunus_persica/p.persica_gdr_reftransV1_0022432","p.persica_gdr_reftransV1_0022432")</f>
        <v>p.persica_gdr_reftransV1_0022432</v>
      </c>
      <c r="B8894" s="3">
        <v>773</v>
      </c>
      <c r="C8894" s="1" t="str">
        <f>HYPERLINK("http://www.uniprot.org/uniprot/SRP09_ARATH","SRP09_ARATH")</f>
        <v>SRP09_ARATH</v>
      </c>
      <c r="D8894" t="s">
        <v>6753</v>
      </c>
      <c r="E8894" s="3" t="s">
        <v>3</v>
      </c>
      <c r="F8894" s="4">
        <v>2.59E-62</v>
      </c>
      <c r="G8894" s="3">
        <v>501</v>
      </c>
      <c r="H8894" s="3">
        <v>88</v>
      </c>
      <c r="I8894" s="3">
        <v>103</v>
      </c>
      <c r="J8894" s="3">
        <v>84</v>
      </c>
      <c r="K8894" s="3">
        <v>392</v>
      </c>
      <c r="L8894" s="3">
        <v>1</v>
      </c>
      <c r="M8894" s="3">
        <v>103</v>
      </c>
    </row>
    <row r="8895" spans="1:13" x14ac:dyDescent="0.25">
      <c r="A8895" s="1" t="str">
        <f>HYPERLINK("http://www.rosaceae.org/Prunus/Prunus_persica/p.persica_gdr_reftransV1_0023082","p.persica_gdr_reftransV1_0023082")</f>
        <v>p.persica_gdr_reftransV1_0023082</v>
      </c>
      <c r="B8895" s="3">
        <v>901</v>
      </c>
      <c r="C8895" s="1" t="str">
        <f>HYPERLINK("http://www.uniprot.org/uniprot/HINT3_XENTR","HINT3_XENTR")</f>
        <v>HINT3_XENTR</v>
      </c>
      <c r="D8895" t="s">
        <v>6754</v>
      </c>
      <c r="E8895" s="3" t="s">
        <v>173</v>
      </c>
      <c r="F8895" s="4">
        <v>7.6299999999999998E-23</v>
      </c>
      <c r="G8895" s="3">
        <v>240</v>
      </c>
      <c r="H8895" s="3">
        <v>48</v>
      </c>
      <c r="I8895" s="3">
        <v>104</v>
      </c>
      <c r="J8895" s="3">
        <v>176</v>
      </c>
      <c r="K8895" s="3">
        <v>481</v>
      </c>
      <c r="L8895" s="3">
        <v>19</v>
      </c>
      <c r="M8895" s="3">
        <v>120</v>
      </c>
    </row>
    <row r="8896" spans="1:13" x14ac:dyDescent="0.25">
      <c r="A8896" s="1" t="str">
        <f>HYPERLINK("http://www.rosaceae.org/Prunus/Prunus_persica/p.persica_gdr_reftransV1_0023132","p.persica_gdr_reftransV1_0023132")</f>
        <v>p.persica_gdr_reftransV1_0023132</v>
      </c>
      <c r="B8896" s="3">
        <v>2143</v>
      </c>
      <c r="C8896" s="1" t="str">
        <f>HYPERLINK("http://www.uniprot.org/uniprot/TPT_PEA","TPT_PEA")</f>
        <v>TPT_PEA</v>
      </c>
      <c r="D8896" t="s">
        <v>6755</v>
      </c>
      <c r="E8896" s="3" t="s">
        <v>60</v>
      </c>
      <c r="F8896" s="4">
        <v>1.0899999999999999E-155</v>
      </c>
      <c r="G8896" s="3">
        <v>1193</v>
      </c>
      <c r="H8896" s="3">
        <v>91</v>
      </c>
      <c r="I8896" s="3">
        <v>261</v>
      </c>
      <c r="J8896" s="3">
        <v>466</v>
      </c>
      <c r="K8896" s="3">
        <v>1248</v>
      </c>
      <c r="L8896" s="3">
        <v>142</v>
      </c>
      <c r="M8896" s="3">
        <v>402</v>
      </c>
    </row>
    <row r="8897" spans="1:13" x14ac:dyDescent="0.25">
      <c r="A8897" s="1" t="str">
        <f>HYPERLINK("http://www.rosaceae.org/Prunus/Prunus_persica/p.persica_gdr_reftransV1_0023432","p.persica_gdr_reftransV1_0023432")</f>
        <v>p.persica_gdr_reftransV1_0023432</v>
      </c>
      <c r="B8897" s="3">
        <v>1052</v>
      </c>
      <c r="C8897" s="1" t="str">
        <f>HYPERLINK("http://www.uniprot.org/uniprot/TC159_ARATH","TC159_ARATH")</f>
        <v>TC159_ARATH</v>
      </c>
      <c r="D8897" t="s">
        <v>6340</v>
      </c>
      <c r="E8897" s="3" t="s">
        <v>3</v>
      </c>
      <c r="F8897" s="4">
        <v>1.2399999999999999E-38</v>
      </c>
      <c r="G8897" s="3">
        <v>384</v>
      </c>
      <c r="H8897" s="3">
        <v>48</v>
      </c>
      <c r="I8897" s="3">
        <v>159</v>
      </c>
      <c r="J8897" s="3">
        <v>215</v>
      </c>
      <c r="K8897" s="3">
        <v>688</v>
      </c>
      <c r="L8897" s="3">
        <v>1336</v>
      </c>
      <c r="M8897" s="3">
        <v>1494</v>
      </c>
    </row>
    <row r="8898" spans="1:13" x14ac:dyDescent="0.25">
      <c r="A8898" s="1" t="str">
        <f>HYPERLINK("http://www.rosaceae.org/Prunus/Prunus_persica/p.persica_gdr_reftransV1_0023632","p.persica_gdr_reftransV1_0023632")</f>
        <v>p.persica_gdr_reftransV1_0023632</v>
      </c>
      <c r="B8898" s="3">
        <v>1490</v>
      </c>
      <c r="C8898" s="1" t="str">
        <f>HYPERLINK("http://www.uniprot.org/uniprot/MET22_MOUSE","MET22_MOUSE")</f>
        <v>MET22_MOUSE</v>
      </c>
      <c r="D8898" t="s">
        <v>6756</v>
      </c>
      <c r="E8898" s="3" t="s">
        <v>157</v>
      </c>
      <c r="F8898" s="4">
        <v>1.46E-25</v>
      </c>
      <c r="G8898" s="3">
        <v>278</v>
      </c>
      <c r="H8898" s="3">
        <v>35</v>
      </c>
      <c r="I8898" s="3">
        <v>294</v>
      </c>
      <c r="J8898" s="3">
        <v>448</v>
      </c>
      <c r="K8898" s="3">
        <v>1296</v>
      </c>
      <c r="L8898" s="3">
        <v>116</v>
      </c>
      <c r="M8898" s="3">
        <v>387</v>
      </c>
    </row>
    <row r="8899" spans="1:13" x14ac:dyDescent="0.25">
      <c r="A8899" s="1" t="str">
        <f>HYPERLINK("http://www.rosaceae.org/Prunus/Prunus_persica/p.persica_gdr_reftransV1_0023982","p.persica_gdr_reftransV1_0023982")</f>
        <v>p.persica_gdr_reftransV1_0023982</v>
      </c>
      <c r="B8899" s="3">
        <v>4138</v>
      </c>
      <c r="C8899" s="1" t="str">
        <f>HYPERLINK("http://www.uniprot.org/uniprot/SF3A1_ARATH","SF3A1_ARATH")</f>
        <v>SF3A1_ARATH</v>
      </c>
      <c r="D8899" t="s">
        <v>6757</v>
      </c>
      <c r="E8899" s="3" t="s">
        <v>3</v>
      </c>
      <c r="F8899" s="4">
        <v>0</v>
      </c>
      <c r="G8899" s="3">
        <v>2159</v>
      </c>
      <c r="H8899" s="3">
        <v>67</v>
      </c>
      <c r="I8899" s="3">
        <v>808</v>
      </c>
      <c r="J8899" s="3">
        <v>272</v>
      </c>
      <c r="K8899" s="3">
        <v>2671</v>
      </c>
      <c r="L8899" s="3">
        <v>7</v>
      </c>
      <c r="M8899" s="3">
        <v>785</v>
      </c>
    </row>
    <row r="8900" spans="1:13" x14ac:dyDescent="0.25">
      <c r="A8900" s="1" t="str">
        <f>HYPERLINK("http://www.rosaceae.org/Prunus/Prunus_persica/p.persica_gdr_reftransV1_0024082","p.persica_gdr_reftransV1_0024082")</f>
        <v>p.persica_gdr_reftransV1_0024082</v>
      </c>
      <c r="B8900" s="3">
        <v>1812</v>
      </c>
      <c r="C8900" s="1" t="str">
        <f>HYPERLINK("http://www.uniprot.org/uniprot/GPX7_ARATH","GPX7_ARATH")</f>
        <v>GPX7_ARATH</v>
      </c>
      <c r="D8900" t="s">
        <v>6758</v>
      </c>
      <c r="E8900" s="3" t="s">
        <v>3</v>
      </c>
      <c r="F8900" s="4">
        <v>7.0100000000000002E-82</v>
      </c>
      <c r="G8900" s="3">
        <v>630</v>
      </c>
      <c r="H8900" s="3">
        <v>87</v>
      </c>
      <c r="I8900" s="3">
        <v>135</v>
      </c>
      <c r="J8900" s="3">
        <v>280</v>
      </c>
      <c r="K8900" s="3">
        <v>684</v>
      </c>
      <c r="L8900" s="3">
        <v>100</v>
      </c>
      <c r="M8900" s="3">
        <v>233</v>
      </c>
    </row>
    <row r="8901" spans="1:13" x14ac:dyDescent="0.25">
      <c r="A8901" s="1" t="str">
        <f>HYPERLINK("http://www.rosaceae.org/Prunus/Prunus_persica/p.persica_gdr_reftransV1_0024332","p.persica_gdr_reftransV1_0024332")</f>
        <v>p.persica_gdr_reftransV1_0024332</v>
      </c>
      <c r="B8901" s="3">
        <v>571</v>
      </c>
      <c r="C8901" s="1" t="str">
        <f>HYPERLINK("http://www.uniprot.org/uniprot/MFDX1_ARATH","MFDX1_ARATH")</f>
        <v>MFDX1_ARATH</v>
      </c>
      <c r="D8901" t="s">
        <v>6759</v>
      </c>
      <c r="E8901" s="3" t="s">
        <v>3</v>
      </c>
      <c r="F8901" s="4">
        <v>8.3100000000000007E-40</v>
      </c>
      <c r="G8901" s="3">
        <v>352</v>
      </c>
      <c r="H8901" s="3">
        <v>81</v>
      </c>
      <c r="I8901" s="3">
        <v>80</v>
      </c>
      <c r="J8901" s="3">
        <v>3</v>
      </c>
      <c r="K8901" s="3">
        <v>242</v>
      </c>
      <c r="L8901" s="3">
        <v>114</v>
      </c>
      <c r="M8901" s="3">
        <v>193</v>
      </c>
    </row>
    <row r="8902" spans="1:13" x14ac:dyDescent="0.25">
      <c r="A8902" s="1" t="str">
        <f>HYPERLINK("http://www.rosaceae.org/Prunus/Prunus_persica/p.persica_gdr_reftransV1_0024882","p.persica_gdr_reftransV1_0024882")</f>
        <v>p.persica_gdr_reftransV1_0024882</v>
      </c>
      <c r="B8902" s="3">
        <v>2144</v>
      </c>
      <c r="C8902" s="1" t="str">
        <f>HYPERLINK("http://www.uniprot.org/uniprot/HLJ1_YEAST","HLJ1_YEAST")</f>
        <v>HLJ1_YEAST</v>
      </c>
      <c r="D8902" t="s">
        <v>6760</v>
      </c>
      <c r="E8902" s="3" t="s">
        <v>34</v>
      </c>
      <c r="F8902" s="4">
        <v>6.2900000000000001E-12</v>
      </c>
      <c r="G8902" s="3">
        <v>169</v>
      </c>
      <c r="H8902" s="3">
        <v>45</v>
      </c>
      <c r="I8902" s="3">
        <v>66</v>
      </c>
      <c r="J8902" s="3">
        <v>340</v>
      </c>
      <c r="K8902" s="3">
        <v>537</v>
      </c>
      <c r="L8902" s="3">
        <v>18</v>
      </c>
      <c r="M8902" s="3">
        <v>82</v>
      </c>
    </row>
    <row r="8903" spans="1:13" x14ac:dyDescent="0.25">
      <c r="A8903" s="1" t="str">
        <f>HYPERLINK("http://www.rosaceae.org/Prunus/Prunus_persica/p.persica_gdr_reftransV1_0024982","p.persica_gdr_reftransV1_0024982")</f>
        <v>p.persica_gdr_reftransV1_0024982</v>
      </c>
      <c r="B8903" s="3">
        <v>2355</v>
      </c>
      <c r="C8903" s="1" t="str">
        <f>HYPERLINK("http://www.uniprot.org/uniprot/UBP1_NICPL","UBP1_NICPL")</f>
        <v>UBP1_NICPL</v>
      </c>
      <c r="D8903" t="s">
        <v>4540</v>
      </c>
      <c r="E8903" s="3" t="s">
        <v>1450</v>
      </c>
      <c r="F8903" s="4">
        <v>8.3199999999999995E-88</v>
      </c>
      <c r="G8903" s="3">
        <v>740</v>
      </c>
      <c r="H8903" s="3">
        <v>53</v>
      </c>
      <c r="I8903" s="3">
        <v>292</v>
      </c>
      <c r="J8903" s="3">
        <v>1134</v>
      </c>
      <c r="K8903" s="3">
        <v>2003</v>
      </c>
      <c r="L8903" s="3">
        <v>132</v>
      </c>
      <c r="M8903" s="3">
        <v>369</v>
      </c>
    </row>
    <row r="8904" spans="1:13" x14ac:dyDescent="0.25">
      <c r="A8904" s="1" t="str">
        <f>HYPERLINK("http://www.rosaceae.org/Prunus/Prunus_persica/p.persica_gdr_reftransV1_0025182","p.persica_gdr_reftransV1_0025182")</f>
        <v>p.persica_gdr_reftransV1_0025182</v>
      </c>
      <c r="B8904" s="3">
        <v>4494</v>
      </c>
      <c r="C8904" s="1" t="str">
        <f>HYPERLINK("http://www.uniprot.org/uniprot/PP172_ARATH","PP172_ARATH")</f>
        <v>PP172_ARATH</v>
      </c>
      <c r="D8904" t="s">
        <v>6761</v>
      </c>
      <c r="E8904" s="3" t="s">
        <v>3</v>
      </c>
      <c r="F8904" s="4">
        <v>0</v>
      </c>
      <c r="G8904" s="3">
        <v>1506</v>
      </c>
      <c r="H8904" s="3">
        <v>38</v>
      </c>
      <c r="I8904" s="3">
        <v>828</v>
      </c>
      <c r="J8904" s="3">
        <v>1397</v>
      </c>
      <c r="K8904" s="3">
        <v>3868</v>
      </c>
      <c r="L8904" s="3">
        <v>46</v>
      </c>
      <c r="M8904" s="3">
        <v>868</v>
      </c>
    </row>
    <row r="8905" spans="1:13" x14ac:dyDescent="0.25">
      <c r="A8905" s="1" t="str">
        <f>HYPERLINK("http://www.rosaceae.org/Prunus/Prunus_persica/p.persica_gdr_reftransV1_0025232","p.persica_gdr_reftransV1_0025232")</f>
        <v>p.persica_gdr_reftransV1_0025232</v>
      </c>
      <c r="B8905" s="3">
        <v>907</v>
      </c>
      <c r="C8905" s="1" t="str">
        <f>HYPERLINK("http://www.uniprot.org/uniprot/CD029_RAT","CD029_RAT")</f>
        <v>CD029_RAT</v>
      </c>
      <c r="D8905" t="s">
        <v>6762</v>
      </c>
      <c r="E8905" s="3" t="s">
        <v>161</v>
      </c>
      <c r="F8905" s="4">
        <v>1.77E-14</v>
      </c>
      <c r="G8905" s="3">
        <v>188</v>
      </c>
      <c r="H8905" s="3">
        <v>36</v>
      </c>
      <c r="I8905" s="3">
        <v>107</v>
      </c>
      <c r="J8905" s="3">
        <v>489</v>
      </c>
      <c r="K8905" s="3">
        <v>806</v>
      </c>
      <c r="L8905" s="3">
        <v>360</v>
      </c>
      <c r="M8905" s="3">
        <v>458</v>
      </c>
    </row>
    <row r="8906" spans="1:13" x14ac:dyDescent="0.25">
      <c r="A8906" s="1" t="str">
        <f>HYPERLINK("http://www.rosaceae.org/Prunus/Prunus_persica/p.persica_gdr_reftransV1_0025282","p.persica_gdr_reftransV1_0025282")</f>
        <v>p.persica_gdr_reftransV1_0025282</v>
      </c>
      <c r="B8906" s="3">
        <v>2306</v>
      </c>
      <c r="C8906" s="1" t="str">
        <f>HYPERLINK("http://www.uniprot.org/uniprot/5FCL_ARATH","5FCL_ARATH")</f>
        <v>5FCL_ARATH</v>
      </c>
      <c r="D8906" t="s">
        <v>6763</v>
      </c>
      <c r="E8906" s="3" t="s">
        <v>3</v>
      </c>
      <c r="F8906" s="4">
        <v>3.0499999999999999E-42</v>
      </c>
      <c r="G8906" s="3">
        <v>403</v>
      </c>
      <c r="H8906" s="3">
        <v>50</v>
      </c>
      <c r="I8906" s="3">
        <v>161</v>
      </c>
      <c r="J8906" s="3">
        <v>1634</v>
      </c>
      <c r="K8906" s="3">
        <v>2116</v>
      </c>
      <c r="L8906" s="3">
        <v>29</v>
      </c>
      <c r="M8906" s="3">
        <v>180</v>
      </c>
    </row>
    <row r="8907" spans="1:13" x14ac:dyDescent="0.25">
      <c r="A8907" s="1" t="str">
        <f>HYPERLINK("http://www.rosaceae.org/Prunus/Prunus_persica/p.persica_gdr_reftransV1_0025482","p.persica_gdr_reftransV1_0025482")</f>
        <v>p.persica_gdr_reftransV1_0025482</v>
      </c>
      <c r="B8907" s="3">
        <v>3095</v>
      </c>
      <c r="C8907" s="1" t="str">
        <f>HYPERLINK("http://www.uniprot.org/uniprot/TSL_ARATH","TSL_ARATH")</f>
        <v>TSL_ARATH</v>
      </c>
      <c r="D8907" t="s">
        <v>6764</v>
      </c>
      <c r="E8907" s="3" t="s">
        <v>3</v>
      </c>
      <c r="F8907" s="4">
        <v>1.71E-158</v>
      </c>
      <c r="G8907" s="3">
        <v>1265</v>
      </c>
      <c r="H8907" s="3">
        <v>85</v>
      </c>
      <c r="I8907" s="3">
        <v>264</v>
      </c>
      <c r="J8907" s="3">
        <v>571</v>
      </c>
      <c r="K8907" s="3">
        <v>1359</v>
      </c>
      <c r="L8907" s="3">
        <v>425</v>
      </c>
      <c r="M8907" s="3">
        <v>688</v>
      </c>
    </row>
    <row r="8908" spans="1:13" x14ac:dyDescent="0.25">
      <c r="A8908" s="1" t="str">
        <f>HYPERLINK("http://www.rosaceae.org/Prunus/Prunus_persica/p.persica_gdr_reftransV1_0025632","p.persica_gdr_reftransV1_0025632")</f>
        <v>p.persica_gdr_reftransV1_0025632</v>
      </c>
      <c r="B8908" s="3">
        <v>2631</v>
      </c>
      <c r="C8908" s="1" t="str">
        <f>HYPERLINK("http://www.uniprot.org/uniprot/CSK_ARATH","CSK_ARATH")</f>
        <v>CSK_ARATH</v>
      </c>
      <c r="D8908" t="s">
        <v>6765</v>
      </c>
      <c r="E8908" s="3" t="s">
        <v>3</v>
      </c>
      <c r="F8908" s="4">
        <v>3.9299999999999999E-101</v>
      </c>
      <c r="G8908" s="3">
        <v>733</v>
      </c>
      <c r="H8908" s="3">
        <v>84</v>
      </c>
      <c r="I8908" s="3">
        <v>163</v>
      </c>
      <c r="J8908" s="3">
        <v>1614</v>
      </c>
      <c r="K8908" s="3">
        <v>2102</v>
      </c>
      <c r="L8908" s="3">
        <v>439</v>
      </c>
      <c r="M8908" s="3">
        <v>601</v>
      </c>
    </row>
    <row r="8909" spans="1:13" x14ac:dyDescent="0.25">
      <c r="A8909" s="1" t="str">
        <f>HYPERLINK("http://www.rosaceae.org/Prunus/Prunus_persica/p.persica_gdr_reftransV1_0025932","p.persica_gdr_reftransV1_0025932")</f>
        <v>p.persica_gdr_reftransV1_0025932</v>
      </c>
      <c r="B8909" s="3">
        <v>3043</v>
      </c>
      <c r="C8909" s="1" t="str">
        <f>HYPERLINK("http://www.uniprot.org/uniprot/TFP11_XENTR","TFP11_XENTR")</f>
        <v>TFP11_XENTR</v>
      </c>
      <c r="D8909" t="s">
        <v>6063</v>
      </c>
      <c r="E8909" s="3" t="s">
        <v>173</v>
      </c>
      <c r="F8909" s="4">
        <v>1.11E-8</v>
      </c>
      <c r="G8909" s="3">
        <v>152</v>
      </c>
      <c r="H8909" s="3">
        <v>29</v>
      </c>
      <c r="I8909" s="3">
        <v>141</v>
      </c>
      <c r="J8909" s="3">
        <v>2142</v>
      </c>
      <c r="K8909" s="3">
        <v>2480</v>
      </c>
      <c r="L8909" s="3">
        <v>63</v>
      </c>
      <c r="M8909" s="3">
        <v>203</v>
      </c>
    </row>
    <row r="8910" spans="1:13" x14ac:dyDescent="0.25">
      <c r="A8910" s="1" t="str">
        <f>HYPERLINK("http://www.rosaceae.org/Prunus/Prunus_persica/p.persica_gdr_reftransV1_0026232","p.persica_gdr_reftransV1_0026232")</f>
        <v>p.persica_gdr_reftransV1_0026232</v>
      </c>
      <c r="B8910" s="3">
        <v>494</v>
      </c>
      <c r="C8910" s="1" t="str">
        <f>HYPERLINK("http://www.uniprot.org/uniprot/PP274_ARATH","PP274_ARATH")</f>
        <v>PP274_ARATH</v>
      </c>
      <c r="D8910" t="s">
        <v>6513</v>
      </c>
      <c r="E8910" s="3" t="s">
        <v>3</v>
      </c>
      <c r="F8910" s="4">
        <v>2.2800000000000001E-73</v>
      </c>
      <c r="G8910" s="3">
        <v>610</v>
      </c>
      <c r="H8910" s="3">
        <v>70</v>
      </c>
      <c r="I8910" s="3">
        <v>165</v>
      </c>
      <c r="J8910" s="3">
        <v>2</v>
      </c>
      <c r="K8910" s="3">
        <v>493</v>
      </c>
      <c r="L8910" s="3">
        <v>164</v>
      </c>
      <c r="M8910" s="3">
        <v>328</v>
      </c>
    </row>
    <row r="8911" spans="1:13" x14ac:dyDescent="0.25">
      <c r="A8911" s="1" t="str">
        <f>HYPERLINK("http://www.rosaceae.org/Prunus/Prunus_persica/p.persica_gdr_reftransV1_0026482","p.persica_gdr_reftransV1_0026482")</f>
        <v>p.persica_gdr_reftransV1_0026482</v>
      </c>
      <c r="B8911" s="3">
        <v>4983</v>
      </c>
      <c r="C8911" s="1" t="str">
        <f>HYPERLINK("http://www.uniprot.org/uniprot/VIP1_DROME","VIP1_DROME")</f>
        <v>VIP1_DROME</v>
      </c>
      <c r="D8911" t="s">
        <v>6766</v>
      </c>
      <c r="E8911" s="3" t="s">
        <v>5</v>
      </c>
      <c r="F8911" s="4">
        <v>1.23E-128</v>
      </c>
      <c r="G8911" s="3">
        <v>1150</v>
      </c>
      <c r="H8911" s="3">
        <v>53</v>
      </c>
      <c r="I8911" s="3">
        <v>441</v>
      </c>
      <c r="J8911" s="3">
        <v>346</v>
      </c>
      <c r="K8911" s="3">
        <v>1668</v>
      </c>
      <c r="L8911" s="3">
        <v>69</v>
      </c>
      <c r="M8911" s="3">
        <v>490</v>
      </c>
    </row>
    <row r="8912" spans="1:13" x14ac:dyDescent="0.25">
      <c r="A8912" s="1" t="str">
        <f>HYPERLINK("http://www.rosaceae.org/Prunus/Prunus_persica/p.persica_gdr_reftransV1_0026532","p.persica_gdr_reftransV1_0026532")</f>
        <v>p.persica_gdr_reftransV1_0026532</v>
      </c>
      <c r="B8912" s="3">
        <v>1079</v>
      </c>
      <c r="C8912" s="1" t="str">
        <f>HYPERLINK("http://www.uniprot.org/uniprot/PP329_ARATH","PP329_ARATH")</f>
        <v>PP329_ARATH</v>
      </c>
      <c r="D8912" t="s">
        <v>6767</v>
      </c>
      <c r="E8912" s="3" t="s">
        <v>3</v>
      </c>
      <c r="F8912" s="4">
        <v>5.3500000000000001E-111</v>
      </c>
      <c r="G8912" s="3">
        <v>892</v>
      </c>
      <c r="H8912" s="3">
        <v>54</v>
      </c>
      <c r="I8912" s="3">
        <v>308</v>
      </c>
      <c r="J8912" s="3">
        <v>1</v>
      </c>
      <c r="K8912" s="3">
        <v>918</v>
      </c>
      <c r="L8912" s="3">
        <v>466</v>
      </c>
      <c r="M8912" s="3">
        <v>773</v>
      </c>
    </row>
    <row r="8913" spans="1:13" x14ac:dyDescent="0.25">
      <c r="A8913" s="1" t="str">
        <f>HYPERLINK("http://www.rosaceae.org/Prunus/Prunus_persica/p.persica_gdr_reftransV1_0026732","p.persica_gdr_reftransV1_0026732")</f>
        <v>p.persica_gdr_reftransV1_0026732</v>
      </c>
      <c r="B8913" s="3">
        <v>845</v>
      </c>
      <c r="C8913" s="1" t="str">
        <f>HYPERLINK("http://www.uniprot.org/uniprot/TOP6A_ARATH","TOP6A_ARATH")</f>
        <v>TOP6A_ARATH</v>
      </c>
      <c r="D8913" t="s">
        <v>6768</v>
      </c>
      <c r="E8913" s="3" t="s">
        <v>3</v>
      </c>
      <c r="F8913" s="4">
        <v>2.5800000000000002E-43</v>
      </c>
      <c r="G8913" s="3">
        <v>399</v>
      </c>
      <c r="H8913" s="3">
        <v>56</v>
      </c>
      <c r="I8913" s="3">
        <v>147</v>
      </c>
      <c r="J8913" s="3">
        <v>120</v>
      </c>
      <c r="K8913" s="3">
        <v>536</v>
      </c>
      <c r="L8913" s="3">
        <v>19</v>
      </c>
      <c r="M8913" s="3">
        <v>165</v>
      </c>
    </row>
    <row r="8914" spans="1:13" x14ac:dyDescent="0.25">
      <c r="A8914" s="1" t="str">
        <f>HYPERLINK("http://www.rosaceae.org/Prunus/Prunus_persica/p.persica_gdr_reftransV1_0026932","p.persica_gdr_reftransV1_0026932")</f>
        <v>p.persica_gdr_reftransV1_0026932</v>
      </c>
      <c r="B8914" s="3">
        <v>1890</v>
      </c>
      <c r="C8914" s="1" t="str">
        <f>HYPERLINK("http://www.uniprot.org/uniprot/SLMO_DICDI","SLMO_DICDI")</f>
        <v>SLMO_DICDI</v>
      </c>
      <c r="D8914" t="s">
        <v>6769</v>
      </c>
      <c r="E8914" s="3" t="s">
        <v>9</v>
      </c>
      <c r="F8914" s="4">
        <v>3.41E-25</v>
      </c>
      <c r="G8914" s="3">
        <v>271</v>
      </c>
      <c r="H8914" s="3">
        <v>35</v>
      </c>
      <c r="I8914" s="3">
        <v>165</v>
      </c>
      <c r="J8914" s="3">
        <v>403</v>
      </c>
      <c r="K8914" s="3">
        <v>897</v>
      </c>
      <c r="L8914" s="3">
        <v>6</v>
      </c>
      <c r="M8914" s="3">
        <v>161</v>
      </c>
    </row>
    <row r="8915" spans="1:13" x14ac:dyDescent="0.25">
      <c r="A8915" s="1" t="str">
        <f>HYPERLINK("http://www.rosaceae.org/Prunus/Prunus_persica/p.persica_gdr_reftransV1_0027132","p.persica_gdr_reftransV1_0027132")</f>
        <v>p.persica_gdr_reftransV1_0027132</v>
      </c>
      <c r="B8915" s="3">
        <v>1689</v>
      </c>
      <c r="C8915" s="1" t="str">
        <f>HYPERLINK("http://www.uniprot.org/uniprot/DHSO_ARATH","DHSO_ARATH")</f>
        <v>DHSO_ARATH</v>
      </c>
      <c r="D8915" t="s">
        <v>5408</v>
      </c>
      <c r="E8915" s="3" t="s">
        <v>3</v>
      </c>
      <c r="F8915" s="4">
        <v>0</v>
      </c>
      <c r="G8915" s="3">
        <v>1537</v>
      </c>
      <c r="H8915" s="3">
        <v>73</v>
      </c>
      <c r="I8915" s="3">
        <v>392</v>
      </c>
      <c r="J8915" s="3">
        <v>332</v>
      </c>
      <c r="K8915" s="3">
        <v>1507</v>
      </c>
      <c r="L8915" s="3">
        <v>12</v>
      </c>
      <c r="M8915" s="3">
        <v>364</v>
      </c>
    </row>
    <row r="8916" spans="1:13" x14ac:dyDescent="0.25">
      <c r="A8916" s="1" t="str">
        <f>HYPERLINK("http://www.rosaceae.org/Prunus/Prunus_persica/p.persica_gdr_reftransV1_0027532","p.persica_gdr_reftransV1_0027532")</f>
        <v>p.persica_gdr_reftransV1_0027532</v>
      </c>
      <c r="B8916" s="3">
        <v>3451</v>
      </c>
      <c r="C8916" s="1" t="str">
        <f>HYPERLINK("http://www.uniprot.org/uniprot/BPS1_ARATH","BPS1_ARATH")</f>
        <v>BPS1_ARATH</v>
      </c>
      <c r="D8916" t="s">
        <v>6770</v>
      </c>
      <c r="E8916" s="3" t="s">
        <v>3</v>
      </c>
      <c r="F8916" s="4">
        <v>1.96E-128</v>
      </c>
      <c r="G8916" s="3">
        <v>1035</v>
      </c>
      <c r="H8916" s="3">
        <v>59</v>
      </c>
      <c r="I8916" s="3">
        <v>340</v>
      </c>
      <c r="J8916" s="3">
        <v>1692</v>
      </c>
      <c r="K8916" s="3">
        <v>2711</v>
      </c>
      <c r="L8916" s="3">
        <v>1</v>
      </c>
      <c r="M8916" s="3">
        <v>334</v>
      </c>
    </row>
    <row r="8917" spans="1:13" x14ac:dyDescent="0.25">
      <c r="A8917" s="1" t="str">
        <f>HYPERLINK("http://www.rosaceae.org/Prunus/Prunus_persica/p.persica_gdr_reftransV1_0028082","p.persica_gdr_reftransV1_0028082")</f>
        <v>p.persica_gdr_reftransV1_0028082</v>
      </c>
      <c r="B8917" s="3">
        <v>6563</v>
      </c>
      <c r="C8917" s="1" t="str">
        <f>HYPERLINK("http://www.uniprot.org/uniprot/MSH6_ARATH","MSH6_ARATH")</f>
        <v>MSH6_ARATH</v>
      </c>
      <c r="D8917" t="s">
        <v>6771</v>
      </c>
      <c r="E8917" s="3" t="s">
        <v>3</v>
      </c>
      <c r="F8917" s="4">
        <v>0</v>
      </c>
      <c r="G8917" s="3">
        <v>3689</v>
      </c>
      <c r="H8917" s="3">
        <v>69</v>
      </c>
      <c r="I8917" s="3">
        <v>1027</v>
      </c>
      <c r="J8917" s="3">
        <v>946</v>
      </c>
      <c r="K8917" s="3">
        <v>4017</v>
      </c>
      <c r="L8917" s="3">
        <v>306</v>
      </c>
      <c r="M8917" s="3">
        <v>1312</v>
      </c>
    </row>
    <row r="8918" spans="1:13" x14ac:dyDescent="0.25">
      <c r="A8918" s="1" t="str">
        <f>HYPERLINK("http://www.rosaceae.org/Prunus/Prunus_persica/p.persica_gdr_reftransV1_0028182","p.persica_gdr_reftransV1_0028182")</f>
        <v>p.persica_gdr_reftransV1_0028182</v>
      </c>
      <c r="B8918" s="3">
        <v>944</v>
      </c>
      <c r="C8918" s="1" t="str">
        <f>HYPERLINK("http://www.uniprot.org/uniprot/ACYP_SPHWW","ACYP_SPHWW")</f>
        <v>ACYP_SPHWW</v>
      </c>
      <c r="D8918" t="s">
        <v>6772</v>
      </c>
      <c r="E8918" s="3" t="s">
        <v>6773</v>
      </c>
      <c r="F8918" s="4">
        <v>1.1600000000000001E-21</v>
      </c>
      <c r="G8918" s="3">
        <v>227</v>
      </c>
      <c r="H8918" s="3">
        <v>52</v>
      </c>
      <c r="I8918" s="3">
        <v>87</v>
      </c>
      <c r="J8918" s="3">
        <v>163</v>
      </c>
      <c r="K8918" s="3">
        <v>423</v>
      </c>
      <c r="L8918" s="3">
        <v>13</v>
      </c>
      <c r="M8918" s="3">
        <v>99</v>
      </c>
    </row>
    <row r="8919" spans="1:13" x14ac:dyDescent="0.25">
      <c r="A8919" s="1" t="str">
        <f>HYPERLINK("http://www.rosaceae.org/Prunus/Prunus_persica/p.persica_gdr_reftransV1_0028382","p.persica_gdr_reftransV1_0028382")</f>
        <v>p.persica_gdr_reftransV1_0028382</v>
      </c>
      <c r="B8919" s="3">
        <v>2024</v>
      </c>
      <c r="C8919" s="1" t="str">
        <f>HYPERLINK("http://www.uniprot.org/uniprot/IOLC_BACHK","IOLC_BACHK")</f>
        <v>IOLC_BACHK</v>
      </c>
      <c r="D8919" t="s">
        <v>6774</v>
      </c>
      <c r="E8919" s="3" t="s">
        <v>6775</v>
      </c>
      <c r="F8919" s="4">
        <v>1.8299999999999999E-16</v>
      </c>
      <c r="G8919" s="3">
        <v>208</v>
      </c>
      <c r="H8919" s="3">
        <v>28</v>
      </c>
      <c r="I8919" s="3">
        <v>333</v>
      </c>
      <c r="J8919" s="3">
        <v>774</v>
      </c>
      <c r="K8919" s="3">
        <v>1730</v>
      </c>
      <c r="L8919" s="3">
        <v>8</v>
      </c>
      <c r="M8919" s="3">
        <v>302</v>
      </c>
    </row>
    <row r="8920" spans="1:13" x14ac:dyDescent="0.25">
      <c r="A8920" s="1" t="str">
        <f>HYPERLINK("http://www.rosaceae.org/Prunus/Prunus_persica/p.persica_gdr_reftransV1_0028432","p.persica_gdr_reftransV1_0028432")</f>
        <v>p.persica_gdr_reftransV1_0028432</v>
      </c>
      <c r="B8920" s="3">
        <v>2901</v>
      </c>
      <c r="C8920" s="1" t="str">
        <f>HYPERLINK("http://www.uniprot.org/uniprot/MSH3_ARATH","MSH3_ARATH")</f>
        <v>MSH3_ARATH</v>
      </c>
      <c r="D8920" t="s">
        <v>6227</v>
      </c>
      <c r="E8920" s="3" t="s">
        <v>3</v>
      </c>
      <c r="F8920" s="4">
        <v>0</v>
      </c>
      <c r="G8920" s="3">
        <v>2647</v>
      </c>
      <c r="H8920" s="3">
        <v>61</v>
      </c>
      <c r="I8920" s="3">
        <v>869</v>
      </c>
      <c r="J8920" s="3">
        <v>34</v>
      </c>
      <c r="K8920" s="3">
        <v>2634</v>
      </c>
      <c r="L8920" s="3">
        <v>234</v>
      </c>
      <c r="M8920" s="3">
        <v>1070</v>
      </c>
    </row>
    <row r="8921" spans="1:13" x14ac:dyDescent="0.25">
      <c r="A8921" s="1" t="str">
        <f>HYPERLINK("http://www.rosaceae.org/Prunus/Prunus_persica/p.persica_gdr_reftransV1_0028532","p.persica_gdr_reftransV1_0028532")</f>
        <v>p.persica_gdr_reftransV1_0028532</v>
      </c>
      <c r="B8921" s="3">
        <v>1044</v>
      </c>
      <c r="C8921" s="1" t="str">
        <f>HYPERLINK("http://www.uniprot.org/uniprot/MTND1_VITVI","MTND1_VITVI")</f>
        <v>MTND1_VITVI</v>
      </c>
      <c r="D8921" t="s">
        <v>6776</v>
      </c>
      <c r="E8921" s="3" t="s">
        <v>362</v>
      </c>
      <c r="F8921" s="4">
        <v>1.7700000000000001E-103</v>
      </c>
      <c r="G8921" s="3">
        <v>791</v>
      </c>
      <c r="H8921" s="3">
        <v>83</v>
      </c>
      <c r="I8921" s="3">
        <v>188</v>
      </c>
      <c r="J8921" s="3">
        <v>91</v>
      </c>
      <c r="K8921" s="3">
        <v>651</v>
      </c>
      <c r="L8921" s="3">
        <v>1</v>
      </c>
      <c r="M8921" s="3">
        <v>188</v>
      </c>
    </row>
    <row r="8922" spans="1:13" x14ac:dyDescent="0.25">
      <c r="A8922" s="1" t="str">
        <f>HYPERLINK("http://www.rosaceae.org/Prunus/Prunus_persica/p.persica_gdr_reftransV1_0028582","p.persica_gdr_reftransV1_0028582")</f>
        <v>p.persica_gdr_reftransV1_0028582</v>
      </c>
      <c r="B8922" s="3">
        <v>2711</v>
      </c>
      <c r="C8922" s="1" t="str">
        <f>HYPERLINK("http://www.uniprot.org/uniprot/BAM9_ARATH","BAM9_ARATH")</f>
        <v>BAM9_ARATH</v>
      </c>
      <c r="D8922" t="s">
        <v>6777</v>
      </c>
      <c r="E8922" s="3" t="s">
        <v>3</v>
      </c>
      <c r="F8922" s="4">
        <v>2.0000000000000001E-173</v>
      </c>
      <c r="G8922" s="3">
        <v>1341</v>
      </c>
      <c r="H8922" s="3">
        <v>60</v>
      </c>
      <c r="I8922" s="3">
        <v>477</v>
      </c>
      <c r="J8922" s="3">
        <v>1018</v>
      </c>
      <c r="K8922" s="3">
        <v>2445</v>
      </c>
      <c r="L8922" s="3">
        <v>85</v>
      </c>
      <c r="M8922" s="3">
        <v>517</v>
      </c>
    </row>
    <row r="8923" spans="1:13" x14ac:dyDescent="0.25">
      <c r="A8923" s="1" t="str">
        <f>HYPERLINK("http://www.rosaceae.org/Prunus/Prunus_persica/p.persica_gdr_reftransV1_0028632","p.persica_gdr_reftransV1_0028632")</f>
        <v>p.persica_gdr_reftransV1_0028632</v>
      </c>
      <c r="B8923" s="3">
        <v>4153</v>
      </c>
      <c r="C8923" s="1" t="str">
        <f>HYPERLINK("http://www.uniprot.org/uniprot/GUCD1_MOUSE","GUCD1_MOUSE")</f>
        <v>GUCD1_MOUSE</v>
      </c>
      <c r="D8923" t="s">
        <v>4875</v>
      </c>
      <c r="E8923" s="3" t="s">
        <v>157</v>
      </c>
      <c r="F8923" s="4">
        <v>2.3400000000000002E-9</v>
      </c>
      <c r="G8923" s="3">
        <v>152</v>
      </c>
      <c r="H8923" s="3">
        <v>34</v>
      </c>
      <c r="I8923" s="3">
        <v>88</v>
      </c>
      <c r="J8923" s="3">
        <v>2024</v>
      </c>
      <c r="K8923" s="3">
        <v>2287</v>
      </c>
      <c r="L8923" s="3">
        <v>65</v>
      </c>
      <c r="M8923" s="3">
        <v>151</v>
      </c>
    </row>
    <row r="8924" spans="1:13" x14ac:dyDescent="0.25">
      <c r="A8924" s="1" t="str">
        <f>HYPERLINK("http://www.rosaceae.org/Prunus/Prunus_persica/p.persica_gdr_reftransV1_0028882","p.persica_gdr_reftransV1_0028882")</f>
        <v>p.persica_gdr_reftransV1_0028882</v>
      </c>
      <c r="B8924" s="3">
        <v>2170</v>
      </c>
      <c r="C8924" s="1" t="str">
        <f>HYPERLINK("http://www.uniprot.org/uniprot/ASSY_ARATH","ASSY_ARATH")</f>
        <v>ASSY_ARATH</v>
      </c>
      <c r="D8924" t="s">
        <v>6635</v>
      </c>
      <c r="E8924" s="3" t="s">
        <v>3</v>
      </c>
      <c r="F8924" s="4">
        <v>0</v>
      </c>
      <c r="G8924" s="3">
        <v>1925</v>
      </c>
      <c r="H8924" s="3">
        <v>79</v>
      </c>
      <c r="I8924" s="3">
        <v>462</v>
      </c>
      <c r="J8924" s="3">
        <v>264</v>
      </c>
      <c r="K8924" s="3">
        <v>1649</v>
      </c>
      <c r="L8924" s="3">
        <v>32</v>
      </c>
      <c r="M8924" s="3">
        <v>490</v>
      </c>
    </row>
    <row r="8925" spans="1:13" x14ac:dyDescent="0.25">
      <c r="A8925" s="1" t="str">
        <f>HYPERLINK("http://www.rosaceae.org/Prunus/Prunus_persica/p.persica_gdr_reftransV1_0028932","p.persica_gdr_reftransV1_0028932")</f>
        <v>p.persica_gdr_reftransV1_0028932</v>
      </c>
      <c r="B8925" s="3">
        <v>790</v>
      </c>
      <c r="C8925" s="1" t="str">
        <f>HYPERLINK("http://www.uniprot.org/uniprot/AZG1_ARATH","AZG1_ARATH")</f>
        <v>AZG1_ARATH</v>
      </c>
      <c r="D8925" t="s">
        <v>5903</v>
      </c>
      <c r="E8925" s="3" t="s">
        <v>3</v>
      </c>
      <c r="F8925" s="4">
        <v>4.2300000000000002E-77</v>
      </c>
      <c r="G8925" s="3">
        <v>564</v>
      </c>
      <c r="H8925" s="3">
        <v>84</v>
      </c>
      <c r="I8925" s="3">
        <v>140</v>
      </c>
      <c r="J8925" s="3">
        <v>213</v>
      </c>
      <c r="K8925" s="3">
        <v>632</v>
      </c>
      <c r="L8925" s="3">
        <v>409</v>
      </c>
      <c r="M8925" s="3">
        <v>548</v>
      </c>
    </row>
    <row r="8926" spans="1:13" x14ac:dyDescent="0.25">
      <c r="A8926" s="1" t="str">
        <f>HYPERLINK("http://www.rosaceae.org/Prunus/Prunus_persica/p.persica_gdr_reftransV1_0029032","p.persica_gdr_reftransV1_0029032")</f>
        <v>p.persica_gdr_reftransV1_0029032</v>
      </c>
      <c r="B8926" s="3">
        <v>3513</v>
      </c>
      <c r="C8926" s="1" t="str">
        <f>HYPERLINK("http://www.uniprot.org/uniprot/CB60B_ARATH","CB60B_ARATH")</f>
        <v>CB60B_ARATH</v>
      </c>
      <c r="D8926" t="s">
        <v>2863</v>
      </c>
      <c r="E8926" s="3" t="s">
        <v>3</v>
      </c>
      <c r="F8926" s="4">
        <v>1.3900000000000001E-87</v>
      </c>
      <c r="G8926" s="3">
        <v>774</v>
      </c>
      <c r="H8926" s="3">
        <v>48</v>
      </c>
      <c r="I8926" s="3">
        <v>312</v>
      </c>
      <c r="J8926" s="3">
        <v>1521</v>
      </c>
      <c r="K8926" s="3">
        <v>2453</v>
      </c>
      <c r="L8926" s="3">
        <v>91</v>
      </c>
      <c r="M8926" s="3">
        <v>372</v>
      </c>
    </row>
    <row r="8927" spans="1:13" x14ac:dyDescent="0.25">
      <c r="A8927" s="1" t="str">
        <f>HYPERLINK("http://www.rosaceae.org/Prunus/Prunus_persica/p.persica_gdr_reftransV1_0029132","p.persica_gdr_reftransV1_0029132")</f>
        <v>p.persica_gdr_reftransV1_0029132</v>
      </c>
      <c r="B8927" s="3">
        <v>2004</v>
      </c>
      <c r="C8927" s="1" t="str">
        <f>HYPERLINK("http://www.uniprot.org/uniprot/PP263_ARATH","PP263_ARATH")</f>
        <v>PP263_ARATH</v>
      </c>
      <c r="D8927" t="s">
        <v>6778</v>
      </c>
      <c r="E8927" s="3" t="s">
        <v>3</v>
      </c>
      <c r="F8927" s="4">
        <v>1.68E-159</v>
      </c>
      <c r="G8927" s="3">
        <v>1216</v>
      </c>
      <c r="H8927" s="3">
        <v>60</v>
      </c>
      <c r="I8927" s="3">
        <v>407</v>
      </c>
      <c r="J8927" s="3">
        <v>123</v>
      </c>
      <c r="K8927" s="3">
        <v>1343</v>
      </c>
      <c r="L8927" s="3">
        <v>9</v>
      </c>
      <c r="M8927" s="3">
        <v>415</v>
      </c>
    </row>
    <row r="8928" spans="1:13" x14ac:dyDescent="0.25">
      <c r="A8928" s="1" t="str">
        <f>HYPERLINK("http://www.rosaceae.org/Prunus/Prunus_persica/p.persica_gdr_reftransV1_0029632","p.persica_gdr_reftransV1_0029632")</f>
        <v>p.persica_gdr_reftransV1_0029632</v>
      </c>
      <c r="B8928" s="3">
        <v>1822</v>
      </c>
      <c r="C8928" s="1" t="str">
        <f>HYPERLINK("http://www.uniprot.org/uniprot/EAAC_ARATH","EAAC_ARATH")</f>
        <v>EAAC_ARATH</v>
      </c>
      <c r="D8928" t="s">
        <v>5860</v>
      </c>
      <c r="E8928" s="3" t="s">
        <v>3</v>
      </c>
      <c r="F8928" s="4">
        <v>5.7300000000000003E-177</v>
      </c>
      <c r="G8928" s="3">
        <v>1323</v>
      </c>
      <c r="H8928" s="3">
        <v>71</v>
      </c>
      <c r="I8928" s="3">
        <v>381</v>
      </c>
      <c r="J8928" s="3">
        <v>138</v>
      </c>
      <c r="K8928" s="3">
        <v>1277</v>
      </c>
      <c r="L8928" s="3">
        <v>3</v>
      </c>
      <c r="M8928" s="3">
        <v>381</v>
      </c>
    </row>
    <row r="8929" spans="1:13" x14ac:dyDescent="0.25">
      <c r="A8929" s="1" t="str">
        <f>HYPERLINK("http://www.rosaceae.org/Prunus/Prunus_persica/p.persica_gdr_reftransV1_0029682","p.persica_gdr_reftransV1_0029682")</f>
        <v>p.persica_gdr_reftransV1_0029682</v>
      </c>
      <c r="B8929" s="3">
        <v>1957</v>
      </c>
      <c r="C8929" s="1" t="str">
        <f>HYPERLINK("http://www.uniprot.org/uniprot/STK16_RAT","STK16_RAT")</f>
        <v>STK16_RAT</v>
      </c>
      <c r="D8929" t="s">
        <v>2750</v>
      </c>
      <c r="E8929" s="3" t="s">
        <v>161</v>
      </c>
      <c r="F8929" s="4">
        <v>2.0699999999999999E-29</v>
      </c>
      <c r="G8929" s="3">
        <v>308</v>
      </c>
      <c r="H8929" s="3">
        <v>40</v>
      </c>
      <c r="I8929" s="3">
        <v>172</v>
      </c>
      <c r="J8929" s="3">
        <v>1093</v>
      </c>
      <c r="K8929" s="3">
        <v>1608</v>
      </c>
      <c r="L8929" s="3">
        <v>132</v>
      </c>
      <c r="M8929" s="3">
        <v>293</v>
      </c>
    </row>
    <row r="8930" spans="1:13" x14ac:dyDescent="0.25">
      <c r="A8930" s="1" t="str">
        <f>HYPERLINK("http://www.rosaceae.org/Prunus/Prunus_persica/p.persica_gdr_reftransV1_0029782","p.persica_gdr_reftransV1_0029782")</f>
        <v>p.persica_gdr_reftransV1_0029782</v>
      </c>
      <c r="B8930" s="3">
        <v>1453</v>
      </c>
      <c r="C8930" s="1" t="str">
        <f>HYPERLINK("http://www.uniprot.org/uniprot/NAGK_ARATH","NAGK_ARATH")</f>
        <v>NAGK_ARATH</v>
      </c>
      <c r="D8930" t="s">
        <v>6779</v>
      </c>
      <c r="E8930" s="3" t="s">
        <v>3</v>
      </c>
      <c r="F8930" s="4">
        <v>1.22E-138</v>
      </c>
      <c r="G8930" s="3">
        <v>1053</v>
      </c>
      <c r="H8930" s="3">
        <v>74</v>
      </c>
      <c r="I8930" s="3">
        <v>299</v>
      </c>
      <c r="J8930" s="3">
        <v>343</v>
      </c>
      <c r="K8930" s="3">
        <v>1239</v>
      </c>
      <c r="L8930" s="3">
        <v>51</v>
      </c>
      <c r="M8930" s="3">
        <v>347</v>
      </c>
    </row>
    <row r="8931" spans="1:13" x14ac:dyDescent="0.25">
      <c r="A8931" s="1" t="str">
        <f>HYPERLINK("http://www.rosaceae.org/Prunus/Prunus_persica/p.persica_gdr_reftransV1_0029882","p.persica_gdr_reftransV1_0029882")</f>
        <v>p.persica_gdr_reftransV1_0029882</v>
      </c>
      <c r="B8931" s="3">
        <v>1665</v>
      </c>
      <c r="C8931" s="1" t="str">
        <f>HYPERLINK("http://www.uniprot.org/uniprot/PSNB_ARATH","PSNB_ARATH")</f>
        <v>PSNB_ARATH</v>
      </c>
      <c r="D8931" t="s">
        <v>6780</v>
      </c>
      <c r="E8931" s="3" t="s">
        <v>3</v>
      </c>
      <c r="F8931" s="4">
        <v>1.4400000000000001E-69</v>
      </c>
      <c r="G8931" s="3">
        <v>600</v>
      </c>
      <c r="H8931" s="3">
        <v>74</v>
      </c>
      <c r="I8931" s="3">
        <v>238</v>
      </c>
      <c r="J8931" s="3">
        <v>801</v>
      </c>
      <c r="K8931" s="3">
        <v>1511</v>
      </c>
      <c r="L8931" s="3">
        <v>1</v>
      </c>
      <c r="M8931" s="3">
        <v>238</v>
      </c>
    </row>
    <row r="8932" spans="1:13" x14ac:dyDescent="0.25">
      <c r="A8932" s="1" t="str">
        <f>HYPERLINK("http://www.rosaceae.org/Prunus/Prunus_persica/p.persica_gdr_reftransV1_0029982","p.persica_gdr_reftransV1_0029982")</f>
        <v>p.persica_gdr_reftransV1_0029982</v>
      </c>
      <c r="B8932" s="3">
        <v>3822</v>
      </c>
      <c r="C8932" s="1" t="str">
        <f>HYPERLINK("http://www.uniprot.org/uniprot/DER_SYNJA","DER_SYNJA")</f>
        <v>DER_SYNJA</v>
      </c>
      <c r="D8932" t="s">
        <v>6781</v>
      </c>
      <c r="E8932" s="3" t="s">
        <v>2403</v>
      </c>
      <c r="F8932" s="4">
        <v>4.6900000000000002E-92</v>
      </c>
      <c r="G8932" s="3">
        <v>793</v>
      </c>
      <c r="H8932" s="3">
        <v>52</v>
      </c>
      <c r="I8932" s="3">
        <v>297</v>
      </c>
      <c r="J8932" s="3">
        <v>368</v>
      </c>
      <c r="K8932" s="3">
        <v>1258</v>
      </c>
      <c r="L8932" s="3">
        <v>170</v>
      </c>
      <c r="M8932" s="3">
        <v>459</v>
      </c>
    </row>
    <row r="8933" spans="1:13" x14ac:dyDescent="0.25">
      <c r="A8933" s="1" t="str">
        <f>HYPERLINK("http://www.rosaceae.org/Prunus/Prunus_persica/p.persica_gdr_reftransV1_0030032","p.persica_gdr_reftransV1_0030032")</f>
        <v>p.persica_gdr_reftransV1_0030032</v>
      </c>
      <c r="B8933" s="3">
        <v>2217</v>
      </c>
      <c r="C8933" s="1" t="str">
        <f>HYPERLINK("http://www.uniprot.org/uniprot/Y2165_ARATH","Y2165_ARATH")</f>
        <v>Y2165_ARATH</v>
      </c>
      <c r="D8933" t="s">
        <v>1481</v>
      </c>
      <c r="E8933" s="3" t="s">
        <v>3</v>
      </c>
      <c r="F8933" s="4">
        <v>5.0200000000000004E-122</v>
      </c>
      <c r="G8933" s="3">
        <v>1011</v>
      </c>
      <c r="H8933" s="3">
        <v>58</v>
      </c>
      <c r="I8933" s="3">
        <v>373</v>
      </c>
      <c r="J8933" s="3">
        <v>743</v>
      </c>
      <c r="K8933" s="3">
        <v>1858</v>
      </c>
      <c r="L8933" s="3">
        <v>53</v>
      </c>
      <c r="M8933" s="3">
        <v>425</v>
      </c>
    </row>
    <row r="8934" spans="1:13" x14ac:dyDescent="0.25">
      <c r="A8934" s="1" t="str">
        <f>HYPERLINK("http://www.rosaceae.org/Prunus/Prunus_persica/p.persica_gdr_reftransV1_0030282","p.persica_gdr_reftransV1_0030282")</f>
        <v>p.persica_gdr_reftransV1_0030282</v>
      </c>
      <c r="B8934" s="3">
        <v>3416</v>
      </c>
      <c r="C8934" s="1" t="str">
        <f>HYPERLINK("http://www.uniprot.org/uniprot/BCAL2_ARATH","BCAL2_ARATH")</f>
        <v>BCAL2_ARATH</v>
      </c>
      <c r="D8934" t="s">
        <v>3880</v>
      </c>
      <c r="E8934" s="3" t="s">
        <v>3</v>
      </c>
      <c r="F8934" s="4">
        <v>3.87E-147</v>
      </c>
      <c r="G8934" s="3">
        <v>1183</v>
      </c>
      <c r="H8934" s="3">
        <v>75</v>
      </c>
      <c r="I8934" s="3">
        <v>293</v>
      </c>
      <c r="J8934" s="3">
        <v>1098</v>
      </c>
      <c r="K8934" s="3">
        <v>1976</v>
      </c>
      <c r="L8934" s="3">
        <v>80</v>
      </c>
      <c r="M8934" s="3">
        <v>372</v>
      </c>
    </row>
    <row r="8935" spans="1:13" x14ac:dyDescent="0.25">
      <c r="A8935" s="1" t="str">
        <f>HYPERLINK("http://www.rosaceae.org/Prunus/Prunus_persica/p.persica_gdr_reftransV1_0030382","p.persica_gdr_reftransV1_0030382")</f>
        <v>p.persica_gdr_reftransV1_0030382</v>
      </c>
      <c r="B8935" s="3">
        <v>5013</v>
      </c>
      <c r="C8935" s="1" t="str">
        <f>HYPERLINK("http://www.uniprot.org/uniprot/LPCT2_ARATH","LPCT2_ARATH")</f>
        <v>LPCT2_ARATH</v>
      </c>
      <c r="D8935" t="s">
        <v>1106</v>
      </c>
      <c r="E8935" s="3" t="s">
        <v>3</v>
      </c>
      <c r="F8935" s="4">
        <v>4.3900000000000002E-157</v>
      </c>
      <c r="G8935" s="3">
        <v>1279</v>
      </c>
      <c r="H8935" s="3">
        <v>58</v>
      </c>
      <c r="I8935" s="3">
        <v>458</v>
      </c>
      <c r="J8935" s="3">
        <v>119</v>
      </c>
      <c r="K8935" s="3">
        <v>1477</v>
      </c>
      <c r="L8935" s="3">
        <v>1</v>
      </c>
      <c r="M8935" s="3">
        <v>382</v>
      </c>
    </row>
    <row r="8936" spans="1:13" x14ac:dyDescent="0.25">
      <c r="A8936" s="1" t="str">
        <f>HYPERLINK("http://www.rosaceae.org/Prunus/Prunus_persica/p.persica_gdr_reftransV1_0030582","p.persica_gdr_reftransV1_0030582")</f>
        <v>p.persica_gdr_reftransV1_0030582</v>
      </c>
      <c r="B8936" s="3">
        <v>982</v>
      </c>
      <c r="C8936" s="1" t="str">
        <f>HYPERLINK("http://www.uniprot.org/uniprot/SC24B_ARATH","SC24B_ARATH")</f>
        <v>SC24B_ARATH</v>
      </c>
      <c r="D8936" t="s">
        <v>1073</v>
      </c>
      <c r="E8936" s="3" t="s">
        <v>3</v>
      </c>
      <c r="F8936" s="4">
        <v>1.6999999999999999E-179</v>
      </c>
      <c r="G8936" s="3">
        <v>1371</v>
      </c>
      <c r="H8936" s="3">
        <v>82</v>
      </c>
      <c r="I8936" s="3">
        <v>327</v>
      </c>
      <c r="J8936" s="3">
        <v>1</v>
      </c>
      <c r="K8936" s="3">
        <v>981</v>
      </c>
      <c r="L8936" s="3">
        <v>450</v>
      </c>
      <c r="M8936" s="3">
        <v>776</v>
      </c>
    </row>
    <row r="8937" spans="1:13" x14ac:dyDescent="0.25">
      <c r="A8937" s="1" t="str">
        <f>HYPERLINK("http://www.rosaceae.org/Prunus/Prunus_persica/p.persica_gdr_reftransV1_0030632","p.persica_gdr_reftransV1_0030632")</f>
        <v>p.persica_gdr_reftransV1_0030632</v>
      </c>
      <c r="B8937" s="3">
        <v>2069</v>
      </c>
      <c r="C8937" s="1" t="str">
        <f>HYPERLINK("http://www.uniprot.org/uniprot/UTR4_ARATH","UTR4_ARATH")</f>
        <v>UTR4_ARATH</v>
      </c>
      <c r="D8937" t="s">
        <v>6782</v>
      </c>
      <c r="E8937" s="3" t="s">
        <v>3</v>
      </c>
      <c r="F8937" s="4">
        <v>1.89E-111</v>
      </c>
      <c r="G8937" s="3">
        <v>890</v>
      </c>
      <c r="H8937" s="3">
        <v>85</v>
      </c>
      <c r="I8937" s="3">
        <v>193</v>
      </c>
      <c r="J8937" s="3">
        <v>246</v>
      </c>
      <c r="K8937" s="3">
        <v>824</v>
      </c>
      <c r="L8937" s="3">
        <v>44</v>
      </c>
      <c r="M8937" s="3">
        <v>236</v>
      </c>
    </row>
    <row r="8938" spans="1:13" x14ac:dyDescent="0.25">
      <c r="A8938" s="1" t="str">
        <f>HYPERLINK("http://www.rosaceae.org/Prunus/Prunus_persica/p.persica_gdr_reftransV1_0030732","p.persica_gdr_reftransV1_0030732")</f>
        <v>p.persica_gdr_reftransV1_0030732</v>
      </c>
      <c r="B8938" s="3">
        <v>2359</v>
      </c>
      <c r="C8938" s="1" t="str">
        <f>HYPERLINK("http://www.uniprot.org/uniprot/NORK_MEDTR","NORK_MEDTR")</f>
        <v>NORK_MEDTR</v>
      </c>
      <c r="D8938" t="s">
        <v>6783</v>
      </c>
      <c r="E8938" s="3" t="s">
        <v>91</v>
      </c>
      <c r="F8938" s="4">
        <v>4.6799999999999996E-25</v>
      </c>
      <c r="G8938" s="3">
        <v>288</v>
      </c>
      <c r="H8938" s="3">
        <v>37</v>
      </c>
      <c r="I8938" s="3">
        <v>164</v>
      </c>
      <c r="J8938" s="3">
        <v>1532</v>
      </c>
      <c r="K8938" s="3">
        <v>2020</v>
      </c>
      <c r="L8938" s="3">
        <v>706</v>
      </c>
      <c r="M8938" s="3">
        <v>869</v>
      </c>
    </row>
    <row r="8939" spans="1:13" x14ac:dyDescent="0.25">
      <c r="A8939" s="1" t="str">
        <f>HYPERLINK("http://www.rosaceae.org/Prunus/Prunus_persica/p.persica_gdr_reftransV1_0030882","p.persica_gdr_reftransV1_0030882")</f>
        <v>p.persica_gdr_reftransV1_0030882</v>
      </c>
      <c r="B8939" s="3">
        <v>1763</v>
      </c>
      <c r="C8939" s="1" t="str">
        <f>HYPERLINK("http://www.uniprot.org/uniprot/NAC72_ARATH","NAC72_ARATH")</f>
        <v>NAC72_ARATH</v>
      </c>
      <c r="D8939" t="s">
        <v>6784</v>
      </c>
      <c r="E8939" s="3" t="s">
        <v>3</v>
      </c>
      <c r="F8939" s="4">
        <v>6.8600000000000002E-116</v>
      </c>
      <c r="G8939" s="3">
        <v>906</v>
      </c>
      <c r="H8939" s="3">
        <v>66</v>
      </c>
      <c r="I8939" s="3">
        <v>290</v>
      </c>
      <c r="J8939" s="3">
        <v>726</v>
      </c>
      <c r="K8939" s="3">
        <v>1592</v>
      </c>
      <c r="L8939" s="3">
        <v>1</v>
      </c>
      <c r="M8939" s="3">
        <v>243</v>
      </c>
    </row>
    <row r="8940" spans="1:13" x14ac:dyDescent="0.25">
      <c r="A8940" s="1" t="str">
        <f>HYPERLINK("http://www.rosaceae.org/Prunus/Prunus_persica/p.persica_gdr_reftransV1_0031382","p.persica_gdr_reftransV1_0031382")</f>
        <v>p.persica_gdr_reftransV1_0031382</v>
      </c>
      <c r="B8940" s="3">
        <v>4200</v>
      </c>
      <c r="C8940" s="1" t="str">
        <f>HYPERLINK("http://www.uniprot.org/uniprot/COPA1_ARATH","COPA1_ARATH")</f>
        <v>COPA1_ARATH</v>
      </c>
      <c r="D8940" t="s">
        <v>742</v>
      </c>
      <c r="E8940" s="3" t="s">
        <v>3</v>
      </c>
      <c r="F8940" s="4">
        <v>0</v>
      </c>
      <c r="G8940" s="3">
        <v>5486</v>
      </c>
      <c r="H8940" s="3">
        <v>82</v>
      </c>
      <c r="I8940" s="3">
        <v>1213</v>
      </c>
      <c r="J8940" s="3">
        <v>1</v>
      </c>
      <c r="K8940" s="3">
        <v>3633</v>
      </c>
      <c r="L8940" s="3">
        <v>1</v>
      </c>
      <c r="M8940" s="3">
        <v>1210</v>
      </c>
    </row>
    <row r="8941" spans="1:13" x14ac:dyDescent="0.25">
      <c r="A8941" s="1" t="str">
        <f>HYPERLINK("http://www.rosaceae.org/Prunus/Prunus_persica/p.persica_gdr_reftransV1_0031532","p.persica_gdr_reftransV1_0031532")</f>
        <v>p.persica_gdr_reftransV1_0031532</v>
      </c>
      <c r="B8941" s="3">
        <v>2844</v>
      </c>
      <c r="C8941" s="1" t="str">
        <f>HYPERLINK("http://www.uniprot.org/uniprot/Y4648_ARATH","Y4648_ARATH")</f>
        <v>Y4648_ARATH</v>
      </c>
      <c r="D8941" t="s">
        <v>6785</v>
      </c>
      <c r="E8941" s="3" t="s">
        <v>3</v>
      </c>
      <c r="F8941" s="4">
        <v>7.1999999999999996E-23</v>
      </c>
      <c r="G8941" s="3">
        <v>160</v>
      </c>
      <c r="H8941" s="3">
        <v>65</v>
      </c>
      <c r="I8941" s="3">
        <v>48</v>
      </c>
      <c r="J8941" s="3">
        <v>180</v>
      </c>
      <c r="K8941" s="3">
        <v>323</v>
      </c>
      <c r="L8941" s="3">
        <v>2</v>
      </c>
      <c r="M8941" s="3">
        <v>49</v>
      </c>
    </row>
    <row r="8942" spans="1:13" x14ac:dyDescent="0.25">
      <c r="A8942" s="1" t="str">
        <f>HYPERLINK("http://www.rosaceae.org/Prunus/Prunus_persica/p.persica_gdr_reftransV1_0031682","p.persica_gdr_reftransV1_0031682")</f>
        <v>p.persica_gdr_reftransV1_0031682</v>
      </c>
      <c r="B8942" s="3">
        <v>1831</v>
      </c>
      <c r="C8942" s="1" t="str">
        <f>HYPERLINK("http://www.uniprot.org/uniprot/ALKBH_ARATH","ALKBH_ARATH")</f>
        <v>ALKBH_ARATH</v>
      </c>
      <c r="D8942" t="s">
        <v>6786</v>
      </c>
      <c r="E8942" s="3" t="s">
        <v>3</v>
      </c>
      <c r="F8942" s="4">
        <v>1.81E-153</v>
      </c>
      <c r="G8942" s="3">
        <v>1163</v>
      </c>
      <c r="H8942" s="3">
        <v>69</v>
      </c>
      <c r="I8942" s="3">
        <v>356</v>
      </c>
      <c r="J8942" s="3">
        <v>579</v>
      </c>
      <c r="K8942" s="3">
        <v>1643</v>
      </c>
      <c r="L8942" s="3">
        <v>3</v>
      </c>
      <c r="M8942" s="3">
        <v>345</v>
      </c>
    </row>
    <row r="8943" spans="1:13" x14ac:dyDescent="0.25">
      <c r="A8943" s="1" t="str">
        <f>HYPERLINK("http://www.rosaceae.org/Prunus/Prunus_persica/p.persica_gdr_reftransV1_0031782","p.persica_gdr_reftransV1_0031782")</f>
        <v>p.persica_gdr_reftransV1_0031782</v>
      </c>
      <c r="B8943" s="3">
        <v>954</v>
      </c>
      <c r="C8943" s="1" t="str">
        <f>HYPERLINK("http://www.uniprot.org/uniprot/MSBP2_ARATH","MSBP2_ARATH")</f>
        <v>MSBP2_ARATH</v>
      </c>
      <c r="D8943" t="s">
        <v>6787</v>
      </c>
      <c r="E8943" s="3" t="s">
        <v>3</v>
      </c>
      <c r="F8943" s="4">
        <v>8.8499999999999995E-53</v>
      </c>
      <c r="G8943" s="3">
        <v>454</v>
      </c>
      <c r="H8943" s="3">
        <v>52</v>
      </c>
      <c r="I8943" s="3">
        <v>175</v>
      </c>
      <c r="J8943" s="3">
        <v>141</v>
      </c>
      <c r="K8943" s="3">
        <v>665</v>
      </c>
      <c r="L8943" s="3">
        <v>5</v>
      </c>
      <c r="M8943" s="3">
        <v>166</v>
      </c>
    </row>
    <row r="8944" spans="1:13" x14ac:dyDescent="0.25">
      <c r="A8944" s="1" t="str">
        <f>HYPERLINK("http://www.rosaceae.org/Prunus/Prunus_persica/p.persica_gdr_reftransV1_0031882","p.persica_gdr_reftransV1_0031882")</f>
        <v>p.persica_gdr_reftransV1_0031882</v>
      </c>
      <c r="B8944" s="3">
        <v>3850</v>
      </c>
      <c r="C8944" s="1" t="str">
        <f>HYPERLINK("http://www.uniprot.org/uniprot/YODA_ARATH","YODA_ARATH")</f>
        <v>YODA_ARATH</v>
      </c>
      <c r="D8944" t="s">
        <v>2168</v>
      </c>
      <c r="E8944" s="3" t="s">
        <v>3</v>
      </c>
      <c r="F8944" s="4">
        <v>3.1900000000000001E-44</v>
      </c>
      <c r="G8944" s="3">
        <v>450</v>
      </c>
      <c r="H8944" s="3">
        <v>62</v>
      </c>
      <c r="I8944" s="3">
        <v>141</v>
      </c>
      <c r="J8944" s="3">
        <v>554</v>
      </c>
      <c r="K8944" s="3">
        <v>970</v>
      </c>
      <c r="L8944" s="3">
        <v>524</v>
      </c>
      <c r="M8944" s="3">
        <v>658</v>
      </c>
    </row>
    <row r="8945" spans="1:13" x14ac:dyDescent="0.25">
      <c r="A8945" s="1" t="str">
        <f>HYPERLINK("http://www.rosaceae.org/Prunus/Prunus_persica/p.persica_gdr_reftransV1_0032432","p.persica_gdr_reftransV1_0032432")</f>
        <v>p.persica_gdr_reftransV1_0032432</v>
      </c>
      <c r="B8945" s="3">
        <v>2669</v>
      </c>
      <c r="C8945" s="1" t="str">
        <f>HYPERLINK("http://www.uniprot.org/uniprot/TF2H3_DICDI","TF2H3_DICDI")</f>
        <v>TF2H3_DICDI</v>
      </c>
      <c r="D8945" t="s">
        <v>6788</v>
      </c>
      <c r="E8945" s="3" t="s">
        <v>9</v>
      </c>
      <c r="F8945" s="4">
        <v>8.1399999999999994E-36</v>
      </c>
      <c r="G8945" s="3">
        <v>364</v>
      </c>
      <c r="H8945" s="3">
        <v>54</v>
      </c>
      <c r="I8945" s="3">
        <v>131</v>
      </c>
      <c r="J8945" s="3">
        <v>464</v>
      </c>
      <c r="K8945" s="3">
        <v>856</v>
      </c>
      <c r="L8945" s="3">
        <v>214</v>
      </c>
      <c r="M8945" s="3">
        <v>344</v>
      </c>
    </row>
    <row r="8946" spans="1:13" x14ac:dyDescent="0.25">
      <c r="A8946" s="1" t="str">
        <f>HYPERLINK("http://www.rosaceae.org/Prunus/Prunus_persica/p.persica_gdr_reftransV1_0032482","p.persica_gdr_reftransV1_0032482")</f>
        <v>p.persica_gdr_reftransV1_0032482</v>
      </c>
      <c r="B8946" s="3">
        <v>3249</v>
      </c>
      <c r="C8946" s="1" t="str">
        <f>HYPERLINK("http://www.uniprot.org/uniprot/ELMD2_HUMAN","ELMD2_HUMAN")</f>
        <v>ELMD2_HUMAN</v>
      </c>
      <c r="D8946" t="s">
        <v>6789</v>
      </c>
      <c r="E8946" s="3" t="s">
        <v>28</v>
      </c>
      <c r="F8946" s="4">
        <v>8.4399999999999999E-14</v>
      </c>
      <c r="G8946" s="3">
        <v>188</v>
      </c>
      <c r="H8946" s="3">
        <v>39</v>
      </c>
      <c r="I8946" s="3">
        <v>106</v>
      </c>
      <c r="J8946" s="3">
        <v>2208</v>
      </c>
      <c r="K8946" s="3">
        <v>2489</v>
      </c>
      <c r="L8946" s="3">
        <v>79</v>
      </c>
      <c r="M8946" s="3">
        <v>184</v>
      </c>
    </row>
    <row r="8947" spans="1:13" x14ac:dyDescent="0.25">
      <c r="A8947" s="1" t="str">
        <f>HYPERLINK("http://www.rosaceae.org/Prunus/Prunus_persica/p.persica_gdr_reftransV1_0032982","p.persica_gdr_reftransV1_0032982")</f>
        <v>p.persica_gdr_reftransV1_0032982</v>
      </c>
      <c r="B8947" s="3">
        <v>4799</v>
      </c>
      <c r="C8947" s="1" t="str">
        <f>HYPERLINK("http://www.uniprot.org/uniprot/MBD8_ARATH","MBD8_ARATH")</f>
        <v>MBD8_ARATH</v>
      </c>
      <c r="D8947" t="s">
        <v>3409</v>
      </c>
      <c r="E8947" s="3" t="s">
        <v>3</v>
      </c>
      <c r="F8947" s="4">
        <v>1.2599999999999999E-31</v>
      </c>
      <c r="G8947" s="3">
        <v>341</v>
      </c>
      <c r="H8947" s="3">
        <v>38</v>
      </c>
      <c r="I8947" s="3">
        <v>344</v>
      </c>
      <c r="J8947" s="3">
        <v>225</v>
      </c>
      <c r="K8947" s="3">
        <v>1169</v>
      </c>
      <c r="L8947" s="3">
        <v>63</v>
      </c>
      <c r="M8947" s="3">
        <v>390</v>
      </c>
    </row>
    <row r="8948" spans="1:13" x14ac:dyDescent="0.25">
      <c r="A8948" s="1" t="str">
        <f>HYPERLINK("http://www.rosaceae.org/Prunus/Prunus_persica/p.persica_gdr_reftransV1_0033382","p.persica_gdr_reftransV1_0033382")</f>
        <v>p.persica_gdr_reftransV1_0033382</v>
      </c>
      <c r="B8948" s="3">
        <v>2510</v>
      </c>
      <c r="C8948" s="1" t="str">
        <f>HYPERLINK("http://www.uniprot.org/uniprot/LACS6_ARATH","LACS6_ARATH")</f>
        <v>LACS6_ARATH</v>
      </c>
      <c r="D8948" t="s">
        <v>3079</v>
      </c>
      <c r="E8948" s="3" t="s">
        <v>3</v>
      </c>
      <c r="F8948" s="4">
        <v>4.7499999999999998E-151</v>
      </c>
      <c r="G8948" s="3">
        <v>1092</v>
      </c>
      <c r="H8948" s="3">
        <v>61</v>
      </c>
      <c r="I8948" s="3">
        <v>351</v>
      </c>
      <c r="J8948" s="3">
        <v>724</v>
      </c>
      <c r="K8948" s="3">
        <v>1776</v>
      </c>
      <c r="L8948" s="3">
        <v>242</v>
      </c>
      <c r="M8948" s="3">
        <v>519</v>
      </c>
    </row>
    <row r="8949" spans="1:13" x14ac:dyDescent="0.25">
      <c r="A8949" s="1" t="str">
        <f>HYPERLINK("http://www.rosaceae.org/Prunus/Prunus_persica/p.persica_gdr_reftransV1_0033432","p.persica_gdr_reftransV1_0033432")</f>
        <v>p.persica_gdr_reftransV1_0033432</v>
      </c>
      <c r="B8949" s="3">
        <v>4009</v>
      </c>
      <c r="C8949" s="1" t="str">
        <f>HYPERLINK("http://www.uniprot.org/uniprot/EFR3B_HUMAN","EFR3B_HUMAN")</f>
        <v>EFR3B_HUMAN</v>
      </c>
      <c r="D8949" t="s">
        <v>6790</v>
      </c>
      <c r="E8949" s="3" t="s">
        <v>28</v>
      </c>
      <c r="F8949" s="4">
        <v>1.7E-18</v>
      </c>
      <c r="G8949" s="3">
        <v>236</v>
      </c>
      <c r="H8949" s="3">
        <v>24</v>
      </c>
      <c r="I8949" s="3">
        <v>433</v>
      </c>
      <c r="J8949" s="3">
        <v>2428</v>
      </c>
      <c r="K8949" s="3">
        <v>3669</v>
      </c>
      <c r="L8949" s="3">
        <v>3</v>
      </c>
      <c r="M8949" s="3">
        <v>382</v>
      </c>
    </row>
    <row r="8950" spans="1:13" x14ac:dyDescent="0.25">
      <c r="A8950" s="1" t="str">
        <f>HYPERLINK("http://www.rosaceae.org/Prunus/Prunus_persica/p.persica_gdr_reftransV1_0034382","p.persica_gdr_reftransV1_0034382")</f>
        <v>p.persica_gdr_reftransV1_0034382</v>
      </c>
      <c r="B8950" s="3">
        <v>920</v>
      </c>
      <c r="C8950" s="1" t="str">
        <f>HYPERLINK("http://www.uniprot.org/uniprot/RABA3_ARATH","RABA3_ARATH")</f>
        <v>RABA3_ARATH</v>
      </c>
      <c r="D8950" t="s">
        <v>6791</v>
      </c>
      <c r="E8950" s="3" t="s">
        <v>3</v>
      </c>
      <c r="F8950" s="4">
        <v>1.8300000000000001E-101</v>
      </c>
      <c r="G8950" s="3">
        <v>778</v>
      </c>
      <c r="H8950" s="3">
        <v>75</v>
      </c>
      <c r="I8950" s="3">
        <v>204</v>
      </c>
      <c r="J8950" s="3">
        <v>2</v>
      </c>
      <c r="K8950" s="3">
        <v>604</v>
      </c>
      <c r="L8950" s="3">
        <v>37</v>
      </c>
      <c r="M8950" s="3">
        <v>237</v>
      </c>
    </row>
    <row r="8951" spans="1:13" x14ac:dyDescent="0.25">
      <c r="A8951" s="1" t="str">
        <f>HYPERLINK("http://www.rosaceae.org/Prunus/Prunus_persica/p.persica_gdr_reftransV1_0034682","p.persica_gdr_reftransV1_0034682")</f>
        <v>p.persica_gdr_reftransV1_0034682</v>
      </c>
      <c r="B8951" s="3">
        <v>2077</v>
      </c>
      <c r="C8951" s="1" t="str">
        <f>HYPERLINK("http://www.uniprot.org/uniprot/PAPD1_MOUSE","PAPD1_MOUSE")</f>
        <v>PAPD1_MOUSE</v>
      </c>
      <c r="D8951" t="s">
        <v>6792</v>
      </c>
      <c r="E8951" s="3" t="s">
        <v>157</v>
      </c>
      <c r="F8951" s="4">
        <v>1.5799999999999999E-9</v>
      </c>
      <c r="G8951" s="3">
        <v>118</v>
      </c>
      <c r="H8951" s="3">
        <v>23</v>
      </c>
      <c r="I8951" s="3">
        <v>206</v>
      </c>
      <c r="J8951" s="3">
        <v>1409</v>
      </c>
      <c r="K8951" s="3">
        <v>1963</v>
      </c>
      <c r="L8951" s="3">
        <v>169</v>
      </c>
      <c r="M8951" s="3">
        <v>365</v>
      </c>
    </row>
    <row r="8952" spans="1:13" x14ac:dyDescent="0.25">
      <c r="A8952" s="1" t="str">
        <f>HYPERLINK("http://www.rosaceae.org/Prunus/Prunus_persica/p.persica_gdr_reftransV1_0034782","p.persica_gdr_reftransV1_0034782")</f>
        <v>p.persica_gdr_reftransV1_0034782</v>
      </c>
      <c r="B8952" s="3">
        <v>754</v>
      </c>
      <c r="C8952" s="1" t="str">
        <f>HYPERLINK("http://www.uniprot.org/uniprot/HSL2_ARATH","HSL2_ARATH")</f>
        <v>HSL2_ARATH</v>
      </c>
      <c r="D8952" t="s">
        <v>634</v>
      </c>
      <c r="E8952" s="3" t="s">
        <v>3</v>
      </c>
      <c r="F8952" s="4">
        <v>1.2200000000000001E-39</v>
      </c>
      <c r="G8952" s="3">
        <v>381</v>
      </c>
      <c r="H8952" s="3">
        <v>66</v>
      </c>
      <c r="I8952" s="3">
        <v>122</v>
      </c>
      <c r="J8952" s="3">
        <v>2</v>
      </c>
      <c r="K8952" s="3">
        <v>361</v>
      </c>
      <c r="L8952" s="3">
        <v>868</v>
      </c>
      <c r="M8952" s="3">
        <v>989</v>
      </c>
    </row>
    <row r="8953" spans="1:13" x14ac:dyDescent="0.25">
      <c r="A8953" s="1" t="str">
        <f>HYPERLINK("http://www.rosaceae.org/Prunus/Prunus_persica/p.persica_gdr_reftransV1_0034932","p.persica_gdr_reftransV1_0034932")</f>
        <v>p.persica_gdr_reftransV1_0034932</v>
      </c>
      <c r="B8953" s="3">
        <v>4294</v>
      </c>
      <c r="C8953" s="1" t="str">
        <f>HYPERLINK("http://www.uniprot.org/uniprot/UBP5_ARATH","UBP5_ARATH")</f>
        <v>UBP5_ARATH</v>
      </c>
      <c r="D8953" t="s">
        <v>4275</v>
      </c>
      <c r="E8953" s="3" t="s">
        <v>3</v>
      </c>
      <c r="F8953" s="4">
        <v>1.7300000000000001E-104</v>
      </c>
      <c r="G8953" s="3">
        <v>925</v>
      </c>
      <c r="H8953" s="3">
        <v>60</v>
      </c>
      <c r="I8953" s="3">
        <v>313</v>
      </c>
      <c r="J8953" s="3">
        <v>412</v>
      </c>
      <c r="K8953" s="3">
        <v>1335</v>
      </c>
      <c r="L8953" s="3">
        <v>614</v>
      </c>
      <c r="M8953" s="3">
        <v>915</v>
      </c>
    </row>
    <row r="8954" spans="1:13" x14ac:dyDescent="0.25">
      <c r="A8954" s="1" t="str">
        <f>HYPERLINK("http://www.rosaceae.org/Prunus/Prunus_persica/p.persica_gdr_reftransV1_0034982","p.persica_gdr_reftransV1_0034982")</f>
        <v>p.persica_gdr_reftransV1_0034982</v>
      </c>
      <c r="B8954" s="3">
        <v>1720</v>
      </c>
      <c r="C8954" s="1" t="str">
        <f>HYPERLINK("http://www.uniprot.org/uniprot/MDA1_ARATH","MDA1_ARATH")</f>
        <v>MDA1_ARATH</v>
      </c>
      <c r="D8954" t="s">
        <v>6793</v>
      </c>
      <c r="E8954" s="3" t="s">
        <v>3</v>
      </c>
      <c r="F8954" s="4">
        <v>8.0399999999999993E-24</v>
      </c>
      <c r="G8954" s="3">
        <v>266</v>
      </c>
      <c r="H8954" s="3">
        <v>33</v>
      </c>
      <c r="I8954" s="3">
        <v>260</v>
      </c>
      <c r="J8954" s="3">
        <v>423</v>
      </c>
      <c r="K8954" s="3">
        <v>1139</v>
      </c>
      <c r="L8954" s="3">
        <v>127</v>
      </c>
      <c r="M8954" s="3">
        <v>368</v>
      </c>
    </row>
    <row r="8955" spans="1:13" x14ac:dyDescent="0.25">
      <c r="A8955" s="1" t="str">
        <f>HYPERLINK("http://www.rosaceae.org/Prunus/Prunus_persica/p.persica_gdr_reftransV1_0035032","p.persica_gdr_reftransV1_0035032")</f>
        <v>p.persica_gdr_reftransV1_0035032</v>
      </c>
      <c r="B8955" s="3">
        <v>3378</v>
      </c>
      <c r="C8955" s="1" t="str">
        <f>HYPERLINK("http://www.uniprot.org/uniprot/DRTS_SOYBN","DRTS_SOYBN")</f>
        <v>DRTS_SOYBN</v>
      </c>
      <c r="D8955" t="s">
        <v>6794</v>
      </c>
      <c r="E8955" s="3" t="s">
        <v>307</v>
      </c>
      <c r="F8955" s="4">
        <v>0</v>
      </c>
      <c r="G8955" s="3">
        <v>2280</v>
      </c>
      <c r="H8955" s="3">
        <v>81</v>
      </c>
      <c r="I8955" s="3">
        <v>519</v>
      </c>
      <c r="J8955" s="3">
        <v>397</v>
      </c>
      <c r="K8955" s="3">
        <v>1953</v>
      </c>
      <c r="L8955" s="3">
        <v>12</v>
      </c>
      <c r="M8955" s="3">
        <v>530</v>
      </c>
    </row>
    <row r="8956" spans="1:13" x14ac:dyDescent="0.25">
      <c r="A8956" s="1" t="str">
        <f>HYPERLINK("http://www.rosaceae.org/Prunus/Prunus_persica/p.persica_gdr_reftransV1_0035132","p.persica_gdr_reftransV1_0035132")</f>
        <v>p.persica_gdr_reftransV1_0035132</v>
      </c>
      <c r="B8956" s="3">
        <v>2612</v>
      </c>
      <c r="C8956" s="1" t="str">
        <f>HYPERLINK("http://www.uniprot.org/uniprot/RAE1_ARATH","RAE1_ARATH")</f>
        <v>RAE1_ARATH</v>
      </c>
      <c r="D8956" t="s">
        <v>6795</v>
      </c>
      <c r="E8956" s="3" t="s">
        <v>3</v>
      </c>
      <c r="F8956" s="4">
        <v>1.41E-135</v>
      </c>
      <c r="G8956" s="3">
        <v>1066</v>
      </c>
      <c r="H8956" s="3">
        <v>81</v>
      </c>
      <c r="I8956" s="3">
        <v>238</v>
      </c>
      <c r="J8956" s="3">
        <v>1576</v>
      </c>
      <c r="K8956" s="3">
        <v>2283</v>
      </c>
      <c r="L8956" s="3">
        <v>16</v>
      </c>
      <c r="M8956" s="3">
        <v>253</v>
      </c>
    </row>
    <row r="8957" spans="1:13" x14ac:dyDescent="0.25">
      <c r="A8957" s="1" t="str">
        <f>HYPERLINK("http://www.rosaceae.org/Prunus/Prunus_persica/p.persica_gdr_reftransV1_0035182","p.persica_gdr_reftransV1_0035182")</f>
        <v>p.persica_gdr_reftransV1_0035182</v>
      </c>
      <c r="B8957" s="3">
        <v>3078</v>
      </c>
      <c r="C8957" s="1" t="str">
        <f>HYPERLINK("http://www.uniprot.org/uniprot/ZFP4_ARATH","ZFP4_ARATH")</f>
        <v>ZFP4_ARATH</v>
      </c>
      <c r="D8957" t="s">
        <v>1247</v>
      </c>
      <c r="E8957" s="3" t="s">
        <v>3</v>
      </c>
      <c r="F8957" s="4">
        <v>2.9099999999999998E-37</v>
      </c>
      <c r="G8957" s="3">
        <v>369</v>
      </c>
      <c r="H8957" s="3">
        <v>47</v>
      </c>
      <c r="I8957" s="3">
        <v>191</v>
      </c>
      <c r="J8957" s="3">
        <v>420</v>
      </c>
      <c r="K8957" s="3">
        <v>902</v>
      </c>
      <c r="L8957" s="3">
        <v>79</v>
      </c>
      <c r="M8957" s="3">
        <v>260</v>
      </c>
    </row>
    <row r="8958" spans="1:13" x14ac:dyDescent="0.25">
      <c r="A8958" s="1" t="str">
        <f>HYPERLINK("http://www.rosaceae.org/Prunus/Prunus_persica/p.persica_gdr_reftransV1_0035382","p.persica_gdr_reftransV1_0035382")</f>
        <v>p.persica_gdr_reftransV1_0035382</v>
      </c>
      <c r="B8958" s="3">
        <v>3033</v>
      </c>
      <c r="C8958" s="1" t="str">
        <f>HYPERLINK("http://www.uniprot.org/uniprot/PPCE_MOUSE","PPCE_MOUSE")</f>
        <v>PPCE_MOUSE</v>
      </c>
      <c r="D8958" t="s">
        <v>6796</v>
      </c>
      <c r="E8958" s="3" t="s">
        <v>157</v>
      </c>
      <c r="F8958" s="4">
        <v>0</v>
      </c>
      <c r="G8958" s="3">
        <v>2222</v>
      </c>
      <c r="H8958" s="3">
        <v>56</v>
      </c>
      <c r="I8958" s="3">
        <v>725</v>
      </c>
      <c r="J8958" s="3">
        <v>438</v>
      </c>
      <c r="K8958" s="3">
        <v>2606</v>
      </c>
      <c r="L8958" s="3">
        <v>2</v>
      </c>
      <c r="M8958" s="3">
        <v>710</v>
      </c>
    </row>
    <row r="8959" spans="1:13" x14ac:dyDescent="0.25">
      <c r="A8959" s="1" t="str">
        <f>HYPERLINK("http://www.rosaceae.org/Prunus/Prunus_persica/p.persica_gdr_reftransV1_0035582","p.persica_gdr_reftransV1_0035582")</f>
        <v>p.persica_gdr_reftransV1_0035582</v>
      </c>
      <c r="B8959" s="3">
        <v>2164</v>
      </c>
      <c r="C8959" s="1" t="str">
        <f>HYPERLINK("http://www.uniprot.org/uniprot/SURE_THEPX","SURE_THEPX")</f>
        <v>SURE_THEPX</v>
      </c>
      <c r="D8959" t="s">
        <v>6797</v>
      </c>
      <c r="E8959" s="3" t="s">
        <v>6798</v>
      </c>
      <c r="F8959" s="4">
        <v>1.6300000000000001E-31</v>
      </c>
      <c r="G8959" s="3">
        <v>322</v>
      </c>
      <c r="H8959" s="3">
        <v>41</v>
      </c>
      <c r="I8959" s="3">
        <v>175</v>
      </c>
      <c r="J8959" s="3">
        <v>82</v>
      </c>
      <c r="K8959" s="3">
        <v>603</v>
      </c>
      <c r="L8959" s="3">
        <v>3</v>
      </c>
      <c r="M8959" s="3">
        <v>166</v>
      </c>
    </row>
    <row r="8960" spans="1:13" x14ac:dyDescent="0.25">
      <c r="A8960" s="1" t="str">
        <f>HYPERLINK("http://www.rosaceae.org/Prunus/Prunus_persica/p.persica_gdr_reftransV1_0035832","p.persica_gdr_reftransV1_0035832")</f>
        <v>p.persica_gdr_reftransV1_0035832</v>
      </c>
      <c r="B8960" s="3">
        <v>3949</v>
      </c>
      <c r="C8960" s="1" t="str">
        <f>HYPERLINK("http://www.uniprot.org/uniprot/ACA13_ARATH","ACA13_ARATH")</f>
        <v>ACA13_ARATH</v>
      </c>
      <c r="D8960" t="s">
        <v>6799</v>
      </c>
      <c r="E8960" s="3" t="s">
        <v>3</v>
      </c>
      <c r="F8960" s="4">
        <v>0</v>
      </c>
      <c r="G8960" s="3">
        <v>3327</v>
      </c>
      <c r="H8960" s="3">
        <v>70</v>
      </c>
      <c r="I8960" s="3">
        <v>1002</v>
      </c>
      <c r="J8960" s="3">
        <v>667</v>
      </c>
      <c r="K8960" s="3">
        <v>3645</v>
      </c>
      <c r="L8960" s="3">
        <v>26</v>
      </c>
      <c r="M8960" s="3">
        <v>1008</v>
      </c>
    </row>
    <row r="8961" spans="1:13" x14ac:dyDescent="0.25">
      <c r="A8961" s="1" t="str">
        <f>HYPERLINK("http://www.rosaceae.org/Prunus/Prunus_persica/p.persica_gdr_reftransV1_0035932","p.persica_gdr_reftransV1_0035932")</f>
        <v>p.persica_gdr_reftransV1_0035932</v>
      </c>
      <c r="B8961" s="3">
        <v>3352</v>
      </c>
      <c r="C8961" s="1" t="str">
        <f>HYPERLINK("http://www.uniprot.org/uniprot/YODA_ARATH","YODA_ARATH")</f>
        <v>YODA_ARATH</v>
      </c>
      <c r="D8961" t="s">
        <v>2168</v>
      </c>
      <c r="E8961" s="3" t="s">
        <v>3</v>
      </c>
      <c r="F8961" s="4">
        <v>8.4900000000000005E-110</v>
      </c>
      <c r="G8961" s="3">
        <v>862</v>
      </c>
      <c r="H8961" s="3">
        <v>71</v>
      </c>
      <c r="I8961" s="3">
        <v>222</v>
      </c>
      <c r="J8961" s="3">
        <v>762</v>
      </c>
      <c r="K8961" s="3">
        <v>1427</v>
      </c>
      <c r="L8961" s="3">
        <v>385</v>
      </c>
      <c r="M8961" s="3">
        <v>606</v>
      </c>
    </row>
    <row r="8962" spans="1:13" x14ac:dyDescent="0.25">
      <c r="A8962" s="1" t="str">
        <f>HYPERLINK("http://www.rosaceae.org/Prunus/Prunus_persica/p.persica_gdr_reftransV1_0035982","p.persica_gdr_reftransV1_0035982")</f>
        <v>p.persica_gdr_reftransV1_0035982</v>
      </c>
      <c r="B8962" s="3">
        <v>4346</v>
      </c>
      <c r="C8962" s="1" t="str">
        <f>HYPERLINK("http://www.uniprot.org/uniprot/TRM32_ARATH","TRM32_ARATH")</f>
        <v>TRM32_ARATH</v>
      </c>
      <c r="D8962" t="s">
        <v>4198</v>
      </c>
      <c r="E8962" s="3" t="s">
        <v>3</v>
      </c>
      <c r="F8962" s="4">
        <v>9.0999999999999996E-11</v>
      </c>
      <c r="G8962" s="3">
        <v>170</v>
      </c>
      <c r="H8962" s="3">
        <v>29</v>
      </c>
      <c r="I8962" s="3">
        <v>165</v>
      </c>
      <c r="J8962" s="3">
        <v>3045</v>
      </c>
      <c r="K8962" s="3">
        <v>3524</v>
      </c>
      <c r="L8962" s="3">
        <v>397</v>
      </c>
      <c r="M8962" s="3">
        <v>552</v>
      </c>
    </row>
    <row r="8963" spans="1:13" x14ac:dyDescent="0.25">
      <c r="A8963" s="1" t="str">
        <f>HYPERLINK("http://www.rosaceae.org/Prunus/Prunus_persica/p.persica_gdr_reftransV1_0036082","p.persica_gdr_reftransV1_0036082")</f>
        <v>p.persica_gdr_reftransV1_0036082</v>
      </c>
      <c r="B8963" s="3">
        <v>689</v>
      </c>
      <c r="C8963" s="1" t="str">
        <f>HYPERLINK("http://www.uniprot.org/uniprot/TFB1C_ARATH","TFB1C_ARATH")</f>
        <v>TFB1C_ARATH</v>
      </c>
      <c r="D8963" t="s">
        <v>6800</v>
      </c>
      <c r="E8963" s="3" t="s">
        <v>3</v>
      </c>
      <c r="F8963" s="4">
        <v>3.8799999999999999E-27</v>
      </c>
      <c r="G8963" s="3">
        <v>282</v>
      </c>
      <c r="H8963" s="3">
        <v>37</v>
      </c>
      <c r="I8963" s="3">
        <v>186</v>
      </c>
      <c r="J8963" s="3">
        <v>2</v>
      </c>
      <c r="K8963" s="3">
        <v>436</v>
      </c>
      <c r="L8963" s="3">
        <v>275</v>
      </c>
      <c r="M8963" s="3">
        <v>459</v>
      </c>
    </row>
    <row r="8964" spans="1:13" x14ac:dyDescent="0.25">
      <c r="A8964" s="1" t="str">
        <f>HYPERLINK("http://www.rosaceae.org/Prunus/Prunus_persica/p.persica_gdr_reftransV1_0036132","p.persica_gdr_reftransV1_0036132")</f>
        <v>p.persica_gdr_reftransV1_0036132</v>
      </c>
      <c r="B8964" s="3">
        <v>1648</v>
      </c>
      <c r="C8964" s="1" t="str">
        <f>HYPERLINK("http://www.uniprot.org/uniprot/SG1_ARATH","SG1_ARATH")</f>
        <v>SG1_ARATH</v>
      </c>
      <c r="D8964" t="s">
        <v>6341</v>
      </c>
      <c r="E8964" s="3" t="s">
        <v>3</v>
      </c>
      <c r="F8964" s="4">
        <v>3.4799999999999999E-40</v>
      </c>
      <c r="G8964" s="3">
        <v>385</v>
      </c>
      <c r="H8964" s="3">
        <v>41</v>
      </c>
      <c r="I8964" s="3">
        <v>192</v>
      </c>
      <c r="J8964" s="3">
        <v>469</v>
      </c>
      <c r="K8964" s="3">
        <v>1044</v>
      </c>
      <c r="L8964" s="3">
        <v>109</v>
      </c>
      <c r="M8964" s="3">
        <v>300</v>
      </c>
    </row>
    <row r="8965" spans="1:13" x14ac:dyDescent="0.25">
      <c r="A8965" s="1" t="str">
        <f>HYPERLINK("http://www.rosaceae.org/Prunus/Prunus_persica/p.persica_gdr_reftransV1_0036332","p.persica_gdr_reftransV1_0036332")</f>
        <v>p.persica_gdr_reftransV1_0036332</v>
      </c>
      <c r="B8965" s="3">
        <v>2105</v>
      </c>
      <c r="C8965" s="1" t="str">
        <f>HYPERLINK("http://www.uniprot.org/uniprot/YIF1B_RAT","YIF1B_RAT")</f>
        <v>YIF1B_RAT</v>
      </c>
      <c r="D8965" t="s">
        <v>6801</v>
      </c>
      <c r="E8965" s="3" t="s">
        <v>161</v>
      </c>
      <c r="F8965" s="4">
        <v>1.0700000000000001E-12</v>
      </c>
      <c r="G8965" s="3">
        <v>176</v>
      </c>
      <c r="H8965" s="3">
        <v>41</v>
      </c>
      <c r="I8965" s="3">
        <v>100</v>
      </c>
      <c r="J8965" s="3">
        <v>406</v>
      </c>
      <c r="K8965" s="3">
        <v>693</v>
      </c>
      <c r="L8965" s="3">
        <v>85</v>
      </c>
      <c r="M8965" s="3">
        <v>177</v>
      </c>
    </row>
    <row r="8966" spans="1:13" x14ac:dyDescent="0.25">
      <c r="A8966" s="1" t="str">
        <f>HYPERLINK("http://www.rosaceae.org/Prunus/Prunus_persica/p.persica_gdr_reftransV1_0036432","p.persica_gdr_reftransV1_0036432")</f>
        <v>p.persica_gdr_reftransV1_0036432</v>
      </c>
      <c r="B8966" s="3">
        <v>3221</v>
      </c>
      <c r="C8966" s="1" t="str">
        <f>HYPERLINK("http://www.uniprot.org/uniprot/LPAH1_ARATH","LPAH1_ARATH")</f>
        <v>LPAH1_ARATH</v>
      </c>
      <c r="D8966" t="s">
        <v>6802</v>
      </c>
      <c r="E8966" s="3" t="s">
        <v>3</v>
      </c>
      <c r="F8966" s="4">
        <v>0</v>
      </c>
      <c r="G8966" s="3">
        <v>2161</v>
      </c>
      <c r="H8966" s="3">
        <v>66</v>
      </c>
      <c r="I8966" s="3">
        <v>748</v>
      </c>
      <c r="J8966" s="3">
        <v>779</v>
      </c>
      <c r="K8966" s="3">
        <v>2908</v>
      </c>
      <c r="L8966" s="3">
        <v>1</v>
      </c>
      <c r="M8966" s="3">
        <v>738</v>
      </c>
    </row>
    <row r="8967" spans="1:13" x14ac:dyDescent="0.25">
      <c r="A8967" s="1" t="str">
        <f>HYPERLINK("http://www.rosaceae.org/Prunus/Prunus_persica/p.persica_gdr_reftransV1_0036582","p.persica_gdr_reftransV1_0036582")</f>
        <v>p.persica_gdr_reftransV1_0036582</v>
      </c>
      <c r="B8967" s="3">
        <v>2539</v>
      </c>
      <c r="C8967" s="1" t="str">
        <f>HYPERLINK("http://www.uniprot.org/uniprot/FAD1_MOUSE","FAD1_MOUSE")</f>
        <v>FAD1_MOUSE</v>
      </c>
      <c r="D8967" t="s">
        <v>6226</v>
      </c>
      <c r="E8967" s="3" t="s">
        <v>157</v>
      </c>
      <c r="F8967" s="4">
        <v>1.1199999999999999E-42</v>
      </c>
      <c r="G8967" s="3">
        <v>422</v>
      </c>
      <c r="H8967" s="3">
        <v>41</v>
      </c>
      <c r="I8967" s="3">
        <v>222</v>
      </c>
      <c r="J8967" s="3">
        <v>261</v>
      </c>
      <c r="K8967" s="3">
        <v>920</v>
      </c>
      <c r="L8967" s="3">
        <v>281</v>
      </c>
      <c r="M8967" s="3">
        <v>492</v>
      </c>
    </row>
    <row r="8968" spans="1:13" x14ac:dyDescent="0.25">
      <c r="A8968" s="1" t="str">
        <f>HYPERLINK("http://www.rosaceae.org/Prunus/Prunus_persica/p.persica_gdr_reftransV1_0036782","p.persica_gdr_reftransV1_0036782")</f>
        <v>p.persica_gdr_reftransV1_0036782</v>
      </c>
      <c r="B8968" s="3">
        <v>4474</v>
      </c>
      <c r="C8968" s="1" t="str">
        <f>HYPERLINK("http://www.uniprot.org/uniprot/S11IP_XENTR","S11IP_XENTR")</f>
        <v>S11IP_XENTR</v>
      </c>
      <c r="D8968" t="s">
        <v>6803</v>
      </c>
      <c r="E8968" s="3" t="s">
        <v>173</v>
      </c>
      <c r="F8968" s="4">
        <v>9.6099999999999996E-24</v>
      </c>
      <c r="G8968" s="3">
        <v>282</v>
      </c>
      <c r="H8968" s="3">
        <v>32</v>
      </c>
      <c r="I8968" s="3">
        <v>300</v>
      </c>
      <c r="J8968" s="3">
        <v>3062</v>
      </c>
      <c r="K8968" s="3">
        <v>3928</v>
      </c>
      <c r="L8968" s="3">
        <v>79</v>
      </c>
      <c r="M8968" s="3">
        <v>372</v>
      </c>
    </row>
    <row r="8969" spans="1:13" x14ac:dyDescent="0.25">
      <c r="A8969" s="1" t="str">
        <f>HYPERLINK("http://www.rosaceae.org/Prunus/Prunus_persica/p.persica_gdr_reftransV1_0036982","p.persica_gdr_reftransV1_0036982")</f>
        <v>p.persica_gdr_reftransV1_0036982</v>
      </c>
      <c r="B8969" s="3">
        <v>2314</v>
      </c>
      <c r="C8969" s="1" t="str">
        <f>HYPERLINK("http://www.uniprot.org/uniprot/RPR1B_MOUSE","RPR1B_MOUSE")</f>
        <v>RPR1B_MOUSE</v>
      </c>
      <c r="D8969" t="s">
        <v>6804</v>
      </c>
      <c r="E8969" s="3" t="s">
        <v>157</v>
      </c>
      <c r="F8969" s="4">
        <v>1.11E-26</v>
      </c>
      <c r="G8969" s="3">
        <v>290</v>
      </c>
      <c r="H8969" s="3">
        <v>45</v>
      </c>
      <c r="I8969" s="3">
        <v>136</v>
      </c>
      <c r="J8969" s="3">
        <v>529</v>
      </c>
      <c r="K8969" s="3">
        <v>933</v>
      </c>
      <c r="L8969" s="3">
        <v>2</v>
      </c>
      <c r="M8969" s="3">
        <v>137</v>
      </c>
    </row>
    <row r="8970" spans="1:13" x14ac:dyDescent="0.25">
      <c r="A8970" s="1" t="str">
        <f>HYPERLINK("http://www.rosaceae.org/Prunus/Prunus_persica/p.persica_gdr_reftransV1_0037032","p.persica_gdr_reftransV1_0037032")</f>
        <v>p.persica_gdr_reftransV1_0037032</v>
      </c>
      <c r="B8970" s="3">
        <v>4407</v>
      </c>
      <c r="C8970" s="1" t="str">
        <f>HYPERLINK("http://www.uniprot.org/uniprot/NOMO1_HUMAN","NOMO1_HUMAN")</f>
        <v>NOMO1_HUMAN</v>
      </c>
      <c r="D8970" t="s">
        <v>6805</v>
      </c>
      <c r="E8970" s="3" t="s">
        <v>28</v>
      </c>
      <c r="F8970" s="4">
        <v>1.9199999999999999E-139</v>
      </c>
      <c r="G8970" s="3">
        <v>1201</v>
      </c>
      <c r="H8970" s="3">
        <v>32</v>
      </c>
      <c r="I8970" s="3">
        <v>1087</v>
      </c>
      <c r="J8970" s="3">
        <v>1111</v>
      </c>
      <c r="K8970" s="3">
        <v>4179</v>
      </c>
      <c r="L8970" s="3">
        <v>34</v>
      </c>
      <c r="M8970" s="3">
        <v>1063</v>
      </c>
    </row>
    <row r="8971" spans="1:13" x14ac:dyDescent="0.25">
      <c r="A8971" s="1" t="str">
        <f>HYPERLINK("http://www.rosaceae.org/Prunus/Prunus_persica/p.persica_gdr_reftransV1_0037332","p.persica_gdr_reftransV1_0037332")</f>
        <v>p.persica_gdr_reftransV1_0037332</v>
      </c>
      <c r="B8971" s="3">
        <v>496</v>
      </c>
      <c r="C8971" s="1" t="str">
        <f>HYPERLINK("http://www.uniprot.org/uniprot/APM1_ARATH","APM1_ARATH")</f>
        <v>APM1_ARATH</v>
      </c>
      <c r="D8971" t="s">
        <v>5990</v>
      </c>
      <c r="E8971" s="3" t="s">
        <v>3</v>
      </c>
      <c r="F8971" s="4">
        <v>1.9800000000000001E-65</v>
      </c>
      <c r="G8971" s="3">
        <v>558</v>
      </c>
      <c r="H8971" s="3">
        <v>74</v>
      </c>
      <c r="I8971" s="3">
        <v>142</v>
      </c>
      <c r="J8971" s="3">
        <v>3</v>
      </c>
      <c r="K8971" s="3">
        <v>428</v>
      </c>
      <c r="L8971" s="3">
        <v>1</v>
      </c>
      <c r="M8971" s="3">
        <v>142</v>
      </c>
    </row>
    <row r="8972" spans="1:13" x14ac:dyDescent="0.25">
      <c r="A8972" s="1" t="str">
        <f>HYPERLINK("http://www.rosaceae.org/Prunus/Prunus_persica/p.persica_gdr_reftransV1_0037382","p.persica_gdr_reftransV1_0037382")</f>
        <v>p.persica_gdr_reftransV1_0037382</v>
      </c>
      <c r="B8972" s="3">
        <v>1901</v>
      </c>
      <c r="C8972" s="1" t="str">
        <f>HYPERLINK("http://www.uniprot.org/uniprot/B3GTB_ARATH","B3GTB_ARATH")</f>
        <v>B3GTB_ARATH</v>
      </c>
      <c r="D8972" t="s">
        <v>6806</v>
      </c>
      <c r="E8972" s="3" t="s">
        <v>3</v>
      </c>
      <c r="F8972" s="4">
        <v>4.0399999999999999E-177</v>
      </c>
      <c r="G8972" s="3">
        <v>1322</v>
      </c>
      <c r="H8972" s="3">
        <v>73</v>
      </c>
      <c r="I8972" s="3">
        <v>322</v>
      </c>
      <c r="J8972" s="3">
        <v>456</v>
      </c>
      <c r="K8972" s="3">
        <v>1421</v>
      </c>
      <c r="L8972" s="3">
        <v>17</v>
      </c>
      <c r="M8972" s="3">
        <v>338</v>
      </c>
    </row>
    <row r="8973" spans="1:13" x14ac:dyDescent="0.25">
      <c r="A8973" s="1" t="str">
        <f>HYPERLINK("http://www.rosaceae.org/Prunus/Prunus_persica/p.persica_gdr_reftransV1_0037482","p.persica_gdr_reftransV1_0037482")</f>
        <v>p.persica_gdr_reftransV1_0037482</v>
      </c>
      <c r="B8973" s="3">
        <v>2147</v>
      </c>
      <c r="C8973" s="1" t="str">
        <f>HYPERLINK("http://www.uniprot.org/uniprot/SLD1_BOROF","SLD1_BOROF")</f>
        <v>SLD1_BOROF</v>
      </c>
      <c r="D8973" t="s">
        <v>6807</v>
      </c>
      <c r="E8973" s="3" t="s">
        <v>6808</v>
      </c>
      <c r="F8973" s="4">
        <v>0</v>
      </c>
      <c r="G8973" s="3">
        <v>1667</v>
      </c>
      <c r="H8973" s="3">
        <v>69</v>
      </c>
      <c r="I8973" s="3">
        <v>447</v>
      </c>
      <c r="J8973" s="3">
        <v>339</v>
      </c>
      <c r="K8973" s="3">
        <v>1679</v>
      </c>
      <c r="L8973" s="3">
        <v>1</v>
      </c>
      <c r="M8973" s="3">
        <v>446</v>
      </c>
    </row>
    <row r="8974" spans="1:13" x14ac:dyDescent="0.25">
      <c r="A8974" s="1" t="str">
        <f>HYPERLINK("http://www.rosaceae.org/Prunus/Prunus_persica/p.persica_gdr_reftransV1_0037782","p.persica_gdr_reftransV1_0037782")</f>
        <v>p.persica_gdr_reftransV1_0037782</v>
      </c>
      <c r="B8974" s="3">
        <v>3788</v>
      </c>
      <c r="C8974" s="1" t="str">
        <f>HYPERLINK("http://www.uniprot.org/uniprot/UBP14_ARATH","UBP14_ARATH")</f>
        <v>UBP14_ARATH</v>
      </c>
      <c r="D8974" t="s">
        <v>6232</v>
      </c>
      <c r="E8974" s="3" t="s">
        <v>3</v>
      </c>
      <c r="F8974" s="4">
        <v>0</v>
      </c>
      <c r="G8974" s="3">
        <v>1348</v>
      </c>
      <c r="H8974" s="3">
        <v>77</v>
      </c>
      <c r="I8974" s="3">
        <v>346</v>
      </c>
      <c r="J8974" s="3">
        <v>1632</v>
      </c>
      <c r="K8974" s="3">
        <v>2666</v>
      </c>
      <c r="L8974" s="3">
        <v>262</v>
      </c>
      <c r="M8974" s="3">
        <v>601</v>
      </c>
    </row>
    <row r="8975" spans="1:13" x14ac:dyDescent="0.25">
      <c r="A8975" s="1" t="str">
        <f>HYPERLINK("http://www.rosaceae.org/Prunus/Prunus_persica/p.persica_gdr_reftransV1_0038182","p.persica_gdr_reftransV1_0038182")</f>
        <v>p.persica_gdr_reftransV1_0038182</v>
      </c>
      <c r="B8975" s="3">
        <v>2773</v>
      </c>
      <c r="C8975" s="1" t="str">
        <f>HYPERLINK("http://www.uniprot.org/uniprot/HAK17_ORYSJ","HAK17_ORYSJ")</f>
        <v>HAK17_ORYSJ</v>
      </c>
      <c r="D8975" t="s">
        <v>6809</v>
      </c>
      <c r="E8975" s="3" t="s">
        <v>38</v>
      </c>
      <c r="F8975" s="4">
        <v>0</v>
      </c>
      <c r="G8975" s="3">
        <v>1432</v>
      </c>
      <c r="H8975" s="3">
        <v>72</v>
      </c>
      <c r="I8975" s="3">
        <v>411</v>
      </c>
      <c r="J8975" s="3">
        <v>318</v>
      </c>
      <c r="K8975" s="3">
        <v>1550</v>
      </c>
      <c r="L8975" s="3">
        <v>19</v>
      </c>
      <c r="M8975" s="3">
        <v>429</v>
      </c>
    </row>
    <row r="8976" spans="1:13" x14ac:dyDescent="0.25">
      <c r="A8976" s="1" t="str">
        <f>HYPERLINK("http://www.rosaceae.org/Prunus/Prunus_persica/p.persica_gdr_reftransV1_0038382","p.persica_gdr_reftransV1_0038382")</f>
        <v>p.persica_gdr_reftransV1_0038382</v>
      </c>
      <c r="B8976" s="3">
        <v>1450</v>
      </c>
      <c r="C8976" s="1" t="str">
        <f>HYPERLINK("http://www.uniprot.org/uniprot/POLX_TOBAC","POLX_TOBAC")</f>
        <v>POLX_TOBAC</v>
      </c>
      <c r="D8976" t="s">
        <v>1253</v>
      </c>
      <c r="E8976" s="3" t="s">
        <v>200</v>
      </c>
      <c r="F8976" s="4">
        <v>1.54E-109</v>
      </c>
      <c r="G8976" s="3">
        <v>921</v>
      </c>
      <c r="H8976" s="3">
        <v>60</v>
      </c>
      <c r="I8976" s="3">
        <v>288</v>
      </c>
      <c r="J8976" s="3">
        <v>544</v>
      </c>
      <c r="K8976" s="3">
        <v>1404</v>
      </c>
      <c r="L8976" s="3">
        <v>874</v>
      </c>
      <c r="M8976" s="3">
        <v>1161</v>
      </c>
    </row>
    <row r="8977" spans="1:13" x14ac:dyDescent="0.25">
      <c r="A8977" s="1" t="str">
        <f>HYPERLINK("http://www.rosaceae.org/Prunus/Prunus_persica/p.persica_gdr_reftransV1_0038432","p.persica_gdr_reftransV1_0038432")</f>
        <v>p.persica_gdr_reftransV1_0038432</v>
      </c>
      <c r="B8977" s="3">
        <v>4634</v>
      </c>
      <c r="C8977" s="1" t="str">
        <f>HYPERLINK("http://www.uniprot.org/uniprot/RLM1B_ARATH","RLM1B_ARATH")</f>
        <v>RLM1B_ARATH</v>
      </c>
      <c r="D8977" t="s">
        <v>3318</v>
      </c>
      <c r="E8977" s="3" t="s">
        <v>3</v>
      </c>
      <c r="F8977" s="4">
        <v>7.3400000000000002E-62</v>
      </c>
      <c r="G8977" s="3">
        <v>488</v>
      </c>
      <c r="H8977" s="3">
        <v>30</v>
      </c>
      <c r="I8977" s="3">
        <v>579</v>
      </c>
      <c r="J8977" s="3">
        <v>1224</v>
      </c>
      <c r="K8977" s="3">
        <v>2906</v>
      </c>
      <c r="L8977" s="3">
        <v>350</v>
      </c>
      <c r="M8977" s="3">
        <v>840</v>
      </c>
    </row>
    <row r="8978" spans="1:13" x14ac:dyDescent="0.25">
      <c r="A8978" s="1" t="str">
        <f>HYPERLINK("http://www.rosaceae.org/Prunus/Prunus_persica/p.persica_gdr_reftransV1_0038832","p.persica_gdr_reftransV1_0038832")</f>
        <v>p.persica_gdr_reftransV1_0038832</v>
      </c>
      <c r="B8978" s="3">
        <v>3921</v>
      </c>
      <c r="C8978" s="1" t="str">
        <f>HYPERLINK("http://www.uniprot.org/uniprot/CLCG_ARATH","CLCG_ARATH")</f>
        <v>CLCG_ARATH</v>
      </c>
      <c r="D8978" t="s">
        <v>6810</v>
      </c>
      <c r="E8978" s="3" t="s">
        <v>3</v>
      </c>
      <c r="F8978" s="4">
        <v>0</v>
      </c>
      <c r="G8978" s="3">
        <v>1774</v>
      </c>
      <c r="H8978" s="3">
        <v>78</v>
      </c>
      <c r="I8978" s="3">
        <v>466</v>
      </c>
      <c r="J8978" s="3">
        <v>1071</v>
      </c>
      <c r="K8978" s="3">
        <v>2468</v>
      </c>
      <c r="L8978" s="3">
        <v>259</v>
      </c>
      <c r="M8978" s="3">
        <v>724</v>
      </c>
    </row>
    <row r="8979" spans="1:13" x14ac:dyDescent="0.25">
      <c r="A8979" s="1" t="str">
        <f>HYPERLINK("http://www.rosaceae.org/Prunus/Prunus_persica/p.persica_gdr_reftransV1_0039032","p.persica_gdr_reftransV1_0039032")</f>
        <v>p.persica_gdr_reftransV1_0039032</v>
      </c>
      <c r="B8979" s="3">
        <v>2002</v>
      </c>
      <c r="C8979" s="1" t="str">
        <f>HYPERLINK("http://www.uniprot.org/uniprot/Y4729_ARATH","Y4729_ARATH")</f>
        <v>Y4729_ARATH</v>
      </c>
      <c r="D8979" t="s">
        <v>334</v>
      </c>
      <c r="E8979" s="3" t="s">
        <v>3</v>
      </c>
      <c r="F8979" s="4">
        <v>5.6000000000000003E-160</v>
      </c>
      <c r="G8979" s="3">
        <v>1224</v>
      </c>
      <c r="H8979" s="3">
        <v>45</v>
      </c>
      <c r="I8979" s="3">
        <v>518</v>
      </c>
      <c r="J8979" s="3">
        <v>165</v>
      </c>
      <c r="K8979" s="3">
        <v>1694</v>
      </c>
      <c r="L8979" s="3">
        <v>10</v>
      </c>
      <c r="M8979" s="3">
        <v>483</v>
      </c>
    </row>
    <row r="8980" spans="1:13" x14ac:dyDescent="0.25">
      <c r="A8980" s="1" t="str">
        <f>HYPERLINK("http://www.rosaceae.org/Prunus/Prunus_persica/p.persica_gdr_reftransV1_0039382","p.persica_gdr_reftransV1_0039382")</f>
        <v>p.persica_gdr_reftransV1_0039382</v>
      </c>
      <c r="B8980" s="3">
        <v>1021</v>
      </c>
      <c r="C8980" s="1" t="str">
        <f>HYPERLINK("http://www.uniprot.org/uniprot/KANL3_DANRE","KANL3_DANRE")</f>
        <v>KANL3_DANRE</v>
      </c>
      <c r="D8980" t="s">
        <v>6811</v>
      </c>
      <c r="E8980" s="3" t="s">
        <v>704</v>
      </c>
      <c r="F8980" s="4">
        <v>4.4199999999999997E-14</v>
      </c>
      <c r="G8980" s="3">
        <v>188</v>
      </c>
      <c r="H8980" s="3">
        <v>33</v>
      </c>
      <c r="I8980" s="3">
        <v>143</v>
      </c>
      <c r="J8980" s="3">
        <v>400</v>
      </c>
      <c r="K8980" s="3">
        <v>813</v>
      </c>
      <c r="L8980" s="3">
        <v>331</v>
      </c>
      <c r="M8980" s="3">
        <v>471</v>
      </c>
    </row>
    <row r="8981" spans="1:13" x14ac:dyDescent="0.25">
      <c r="A8981" s="1" t="str">
        <f>HYPERLINK("http://www.rosaceae.org/Prunus/Prunus_persica/p.persica_gdr_reftransV1_0039482","p.persica_gdr_reftransV1_0039482")</f>
        <v>p.persica_gdr_reftransV1_0039482</v>
      </c>
      <c r="B8981" s="3">
        <v>2821</v>
      </c>
      <c r="C8981" s="1" t="str">
        <f>HYPERLINK("http://www.uniprot.org/uniprot/RPAP2_ARATH","RPAP2_ARATH")</f>
        <v>RPAP2_ARATH</v>
      </c>
      <c r="D8981" t="s">
        <v>6812</v>
      </c>
      <c r="E8981" s="3" t="s">
        <v>3</v>
      </c>
      <c r="F8981" s="4">
        <v>1.6800000000000001E-74</v>
      </c>
      <c r="G8981" s="3">
        <v>556</v>
      </c>
      <c r="H8981" s="3">
        <v>58</v>
      </c>
      <c r="I8981" s="3">
        <v>175</v>
      </c>
      <c r="J8981" s="3">
        <v>1798</v>
      </c>
      <c r="K8981" s="3">
        <v>2322</v>
      </c>
      <c r="L8981" s="3">
        <v>565</v>
      </c>
      <c r="M8981" s="3">
        <v>735</v>
      </c>
    </row>
    <row r="8982" spans="1:13" x14ac:dyDescent="0.25">
      <c r="A8982" s="1" t="str">
        <f>HYPERLINK("http://www.rosaceae.org/Prunus/Prunus_persica/p.persica_gdr_reftransV1_0039532","p.persica_gdr_reftransV1_0039532")</f>
        <v>p.persica_gdr_reftransV1_0039532</v>
      </c>
      <c r="B8982" s="3">
        <v>2769</v>
      </c>
      <c r="C8982" s="1" t="str">
        <f>HYPERLINK("http://www.uniprot.org/uniprot/Y1491_ARATH","Y1491_ARATH")</f>
        <v>Y1491_ARATH</v>
      </c>
      <c r="D8982" t="s">
        <v>310</v>
      </c>
      <c r="E8982" s="3" t="s">
        <v>3</v>
      </c>
      <c r="F8982" s="4">
        <v>2.1000000000000002E-27</v>
      </c>
      <c r="G8982" s="3">
        <v>303</v>
      </c>
      <c r="H8982" s="3">
        <v>33</v>
      </c>
      <c r="I8982" s="3">
        <v>215</v>
      </c>
      <c r="J8982" s="3">
        <v>1748</v>
      </c>
      <c r="K8982" s="3">
        <v>2386</v>
      </c>
      <c r="L8982" s="3">
        <v>73</v>
      </c>
      <c r="M8982" s="3">
        <v>278</v>
      </c>
    </row>
    <row r="8983" spans="1:13" x14ac:dyDescent="0.25">
      <c r="A8983" s="1" t="str">
        <f>HYPERLINK("http://www.rosaceae.org/Prunus/Prunus_persica/p.persica_gdr_reftransV1_0039932","p.persica_gdr_reftransV1_0039932")</f>
        <v>p.persica_gdr_reftransV1_0039932</v>
      </c>
      <c r="B8983" s="3">
        <v>3833</v>
      </c>
      <c r="C8983" s="1" t="str">
        <f>HYPERLINK("http://www.uniprot.org/uniprot/ORC1_ORYSJ","ORC1_ORYSJ")</f>
        <v>ORC1_ORYSJ</v>
      </c>
      <c r="D8983" t="s">
        <v>6813</v>
      </c>
      <c r="E8983" s="3" t="s">
        <v>38</v>
      </c>
      <c r="F8983" s="4">
        <v>0</v>
      </c>
      <c r="G8983" s="3">
        <v>1493</v>
      </c>
      <c r="H8983" s="3">
        <v>58</v>
      </c>
      <c r="I8983" s="3">
        <v>568</v>
      </c>
      <c r="J8983" s="3">
        <v>1606</v>
      </c>
      <c r="K8983" s="3">
        <v>3279</v>
      </c>
      <c r="L8983" s="3">
        <v>14</v>
      </c>
      <c r="M8983" s="3">
        <v>579</v>
      </c>
    </row>
    <row r="8984" spans="1:13" x14ac:dyDescent="0.25">
      <c r="A8984" s="1" t="str">
        <f>HYPERLINK("http://www.rosaceae.org/Prunus/Prunus_persica/p.persica_gdr_reftransV1_0040132","p.persica_gdr_reftransV1_0040132")</f>
        <v>p.persica_gdr_reftransV1_0040132</v>
      </c>
      <c r="B8984" s="3">
        <v>3500</v>
      </c>
      <c r="C8984" s="1" t="str">
        <f>HYPERLINK("http://www.uniprot.org/uniprot/FLUG_EMENI","FLUG_EMENI")</f>
        <v>FLUG_EMENI</v>
      </c>
      <c r="D8984" t="s">
        <v>6814</v>
      </c>
      <c r="E8984" s="3" t="s">
        <v>205</v>
      </c>
      <c r="F8984" s="4">
        <v>1.6200000000000001E-65</v>
      </c>
      <c r="G8984" s="3">
        <v>619</v>
      </c>
      <c r="H8984" s="3">
        <v>30</v>
      </c>
      <c r="I8984" s="3">
        <v>638</v>
      </c>
      <c r="J8984" s="3">
        <v>157</v>
      </c>
      <c r="K8984" s="3">
        <v>1908</v>
      </c>
      <c r="L8984" s="3">
        <v>4</v>
      </c>
      <c r="M8984" s="3">
        <v>616</v>
      </c>
    </row>
    <row r="8985" spans="1:13" x14ac:dyDescent="0.25">
      <c r="A8985" s="1" t="str">
        <f>HYPERLINK("http://www.rosaceae.org/Prunus/Prunus_persica/p.persica_gdr_reftransV1_0040282","p.persica_gdr_reftransV1_0040282")</f>
        <v>p.persica_gdr_reftransV1_0040282</v>
      </c>
      <c r="B8985" s="3">
        <v>1339</v>
      </c>
      <c r="C8985" s="1" t="str">
        <f>HYPERLINK("http://www.uniprot.org/uniprot/NET2D_ARATH","NET2D_ARATH")</f>
        <v>NET2D_ARATH</v>
      </c>
      <c r="D8985" t="s">
        <v>6815</v>
      </c>
      <c r="E8985" s="3" t="s">
        <v>3</v>
      </c>
      <c r="F8985" s="4">
        <v>1.5499999999999999E-124</v>
      </c>
      <c r="G8985" s="3">
        <v>1004</v>
      </c>
      <c r="H8985" s="3">
        <v>56</v>
      </c>
      <c r="I8985" s="3">
        <v>349</v>
      </c>
      <c r="J8985" s="3">
        <v>4</v>
      </c>
      <c r="K8985" s="3">
        <v>1050</v>
      </c>
      <c r="L8985" s="3">
        <v>618</v>
      </c>
      <c r="M8985" s="3">
        <v>946</v>
      </c>
    </row>
    <row r="8986" spans="1:13" x14ac:dyDescent="0.25">
      <c r="A8986" s="1" t="str">
        <f>HYPERLINK("http://www.rosaceae.org/Prunus/Prunus_persica/p.persica_gdr_reftransV1_0040332","p.persica_gdr_reftransV1_0040332")</f>
        <v>p.persica_gdr_reftransV1_0040332</v>
      </c>
      <c r="B8986" s="3">
        <v>794</v>
      </c>
      <c r="C8986" s="1" t="str">
        <f>HYPERLINK("http://www.uniprot.org/uniprot/CYB5B_ARATH","CYB5B_ARATH")</f>
        <v>CYB5B_ARATH</v>
      </c>
      <c r="D8986" t="s">
        <v>6816</v>
      </c>
      <c r="E8986" s="3" t="s">
        <v>3</v>
      </c>
      <c r="F8986" s="4">
        <v>6.7100000000000004E-64</v>
      </c>
      <c r="G8986" s="3">
        <v>515</v>
      </c>
      <c r="H8986" s="3">
        <v>77</v>
      </c>
      <c r="I8986" s="3">
        <v>133</v>
      </c>
      <c r="J8986" s="3">
        <v>198</v>
      </c>
      <c r="K8986" s="3">
        <v>596</v>
      </c>
      <c r="L8986" s="3">
        <v>1</v>
      </c>
      <c r="M8986" s="3">
        <v>133</v>
      </c>
    </row>
    <row r="8987" spans="1:13" x14ac:dyDescent="0.25">
      <c r="A8987" s="1" t="str">
        <f>HYPERLINK("http://www.rosaceae.org/Prunus/Prunus_persica/p.persica_gdr_reftransV1_0040682","p.persica_gdr_reftransV1_0040682")</f>
        <v>p.persica_gdr_reftransV1_0040682</v>
      </c>
      <c r="B8987" s="3">
        <v>1991</v>
      </c>
      <c r="C8987" s="1" t="str">
        <f>HYPERLINK("http://www.uniprot.org/uniprot/TAF15_ARATH","TAF15_ARATH")</f>
        <v>TAF15_ARATH</v>
      </c>
      <c r="D8987" t="s">
        <v>6817</v>
      </c>
      <c r="E8987" s="3" t="s">
        <v>3</v>
      </c>
      <c r="F8987" s="4">
        <v>3.2299999999999998E-80</v>
      </c>
      <c r="G8987" s="3">
        <v>678</v>
      </c>
      <c r="H8987" s="3">
        <v>67</v>
      </c>
      <c r="I8987" s="3">
        <v>248</v>
      </c>
      <c r="J8987" s="3">
        <v>296</v>
      </c>
      <c r="K8987" s="3">
        <v>1036</v>
      </c>
      <c r="L8987" s="3">
        <v>3</v>
      </c>
      <c r="M8987" s="3">
        <v>235</v>
      </c>
    </row>
    <row r="8988" spans="1:13" x14ac:dyDescent="0.25">
      <c r="A8988" s="1" t="str">
        <f>HYPERLINK("http://www.rosaceae.org/Prunus/Prunus_persica/p.persica_gdr_reftransV1_0041232","p.persica_gdr_reftransV1_0041232")</f>
        <v>p.persica_gdr_reftransV1_0041232</v>
      </c>
      <c r="B8988" s="3">
        <v>1681</v>
      </c>
      <c r="C8988" s="1" t="str">
        <f>HYPERLINK("http://www.uniprot.org/uniprot/RFWD3_MOUSE","RFWD3_MOUSE")</f>
        <v>RFWD3_MOUSE</v>
      </c>
      <c r="D8988" t="s">
        <v>1093</v>
      </c>
      <c r="E8988" s="3" t="s">
        <v>157</v>
      </c>
      <c r="F8988" s="4">
        <v>7.8999999999999996E-18</v>
      </c>
      <c r="G8988" s="3">
        <v>224</v>
      </c>
      <c r="H8988" s="3">
        <v>38</v>
      </c>
      <c r="I8988" s="3">
        <v>121</v>
      </c>
      <c r="J8988" s="3">
        <v>830</v>
      </c>
      <c r="K8988" s="3">
        <v>1117</v>
      </c>
      <c r="L8988" s="3">
        <v>284</v>
      </c>
      <c r="M8988" s="3">
        <v>403</v>
      </c>
    </row>
    <row r="8989" spans="1:13" x14ac:dyDescent="0.25">
      <c r="A8989" s="1" t="str">
        <f>HYPERLINK("http://www.rosaceae.org/Prunus/Prunus_persica/p.persica_gdr_reftransV1_0041532","p.persica_gdr_reftransV1_0041532")</f>
        <v>p.persica_gdr_reftransV1_0041532</v>
      </c>
      <c r="B8989" s="3">
        <v>2479</v>
      </c>
      <c r="C8989" s="1" t="str">
        <f>HYPERLINK("http://www.uniprot.org/uniprot/PP175_ARATH","PP175_ARATH")</f>
        <v>PP175_ARATH</v>
      </c>
      <c r="D8989" t="s">
        <v>272</v>
      </c>
      <c r="E8989" s="3" t="s">
        <v>3</v>
      </c>
      <c r="F8989" s="4">
        <v>0</v>
      </c>
      <c r="G8989" s="3">
        <v>2602</v>
      </c>
      <c r="H8989" s="3">
        <v>64</v>
      </c>
      <c r="I8989" s="3">
        <v>741</v>
      </c>
      <c r="J8989" s="3">
        <v>245</v>
      </c>
      <c r="K8989" s="3">
        <v>2458</v>
      </c>
      <c r="L8989" s="3">
        <v>1</v>
      </c>
      <c r="M8989" s="3">
        <v>738</v>
      </c>
    </row>
    <row r="8990" spans="1:13" x14ac:dyDescent="0.25">
      <c r="A8990" s="1" t="str">
        <f>HYPERLINK("http://www.rosaceae.org/Prunus/Prunus_persica/p.persica_gdr_reftransV1_0041882","p.persica_gdr_reftransV1_0041882")</f>
        <v>p.persica_gdr_reftransV1_0041882</v>
      </c>
      <c r="B8990" s="3">
        <v>3578</v>
      </c>
      <c r="C8990" s="1" t="str">
        <f>HYPERLINK("http://www.uniprot.org/uniprot/XB35_ARATH","XB35_ARATH")</f>
        <v>XB35_ARATH</v>
      </c>
      <c r="D8990" t="s">
        <v>6818</v>
      </c>
      <c r="E8990" s="3" t="s">
        <v>3</v>
      </c>
      <c r="F8990" s="4">
        <v>5.0399999999999997E-79</v>
      </c>
      <c r="G8990" s="3">
        <v>696</v>
      </c>
      <c r="H8990" s="3">
        <v>71</v>
      </c>
      <c r="I8990" s="3">
        <v>185</v>
      </c>
      <c r="J8990" s="3">
        <v>395</v>
      </c>
      <c r="K8990" s="3">
        <v>943</v>
      </c>
      <c r="L8990" s="3">
        <v>1</v>
      </c>
      <c r="M8990" s="3">
        <v>185</v>
      </c>
    </row>
    <row r="8991" spans="1:13" x14ac:dyDescent="0.25">
      <c r="A8991" s="1" t="str">
        <f>HYPERLINK("http://www.rosaceae.org/Prunus/Prunus_persica/p.persica_gdr_reftransV1_0042032","p.persica_gdr_reftransV1_0042032")</f>
        <v>p.persica_gdr_reftransV1_0042032</v>
      </c>
      <c r="B8991" s="3">
        <v>2792</v>
      </c>
      <c r="C8991" s="1" t="str">
        <f>HYPERLINK("http://www.uniprot.org/uniprot/DTD_DICDI","DTD_DICDI")</f>
        <v>DTD_DICDI</v>
      </c>
      <c r="D8991" t="s">
        <v>6819</v>
      </c>
      <c r="E8991" s="3" t="s">
        <v>9</v>
      </c>
      <c r="F8991" s="4">
        <v>8.3699999999999996E-45</v>
      </c>
      <c r="G8991" s="3">
        <v>414</v>
      </c>
      <c r="H8991" s="3">
        <v>51</v>
      </c>
      <c r="I8991" s="3">
        <v>134</v>
      </c>
      <c r="J8991" s="3">
        <v>166</v>
      </c>
      <c r="K8991" s="3">
        <v>567</v>
      </c>
      <c r="L8991" s="3">
        <v>17</v>
      </c>
      <c r="M8991" s="3">
        <v>150</v>
      </c>
    </row>
    <row r="8992" spans="1:13" x14ac:dyDescent="0.25">
      <c r="A8992" s="1" t="str">
        <f>HYPERLINK("http://www.rosaceae.org/Prunus/Prunus_persica/p.persica_gdr_reftransV1_0042382","p.persica_gdr_reftransV1_0042382")</f>
        <v>p.persica_gdr_reftransV1_0042382</v>
      </c>
      <c r="B8992" s="3">
        <v>1085</v>
      </c>
      <c r="C8992" s="1" t="str">
        <f>HYPERLINK("http://www.uniprot.org/uniprot/TPPC3_CHICK","TPPC3_CHICK")</f>
        <v>TPPC3_CHICK</v>
      </c>
      <c r="D8992" t="s">
        <v>6820</v>
      </c>
      <c r="E8992" s="3" t="s">
        <v>1278</v>
      </c>
      <c r="F8992" s="4">
        <v>6.8300000000000001E-65</v>
      </c>
      <c r="G8992" s="3">
        <v>535</v>
      </c>
      <c r="H8992" s="3">
        <v>58</v>
      </c>
      <c r="I8992" s="3">
        <v>165</v>
      </c>
      <c r="J8992" s="3">
        <v>293</v>
      </c>
      <c r="K8992" s="3">
        <v>787</v>
      </c>
      <c r="L8992" s="3">
        <v>12</v>
      </c>
      <c r="M8992" s="3">
        <v>176</v>
      </c>
    </row>
    <row r="8993" spans="1:13" x14ac:dyDescent="0.25">
      <c r="A8993" s="1" t="str">
        <f>HYPERLINK("http://www.rosaceae.org/Prunus/Prunus_persica/p.persica_gdr_reftransV1_0042432","p.persica_gdr_reftransV1_0042432")</f>
        <v>p.persica_gdr_reftransV1_0042432</v>
      </c>
      <c r="B8993" s="3">
        <v>739</v>
      </c>
      <c r="C8993" s="1" t="str">
        <f>HYPERLINK("http://www.uniprot.org/uniprot/H2B1_MEDTR","H2B1_MEDTR")</f>
        <v>H2B1_MEDTR</v>
      </c>
      <c r="D8993" t="s">
        <v>3333</v>
      </c>
      <c r="E8993" s="3" t="s">
        <v>91</v>
      </c>
      <c r="F8993" s="4">
        <v>1.5199999999999999E-58</v>
      </c>
      <c r="G8993" s="3">
        <v>479</v>
      </c>
      <c r="H8993" s="3">
        <v>100</v>
      </c>
      <c r="I8993" s="3">
        <v>91</v>
      </c>
      <c r="J8993" s="3">
        <v>263</v>
      </c>
      <c r="K8993" s="3">
        <v>535</v>
      </c>
      <c r="L8993" s="3">
        <v>58</v>
      </c>
      <c r="M8993" s="3">
        <v>148</v>
      </c>
    </row>
    <row r="8994" spans="1:13" x14ac:dyDescent="0.25">
      <c r="A8994" s="1" t="str">
        <f>HYPERLINK("http://www.rosaceae.org/Prunus/Prunus_persica/p.persica_gdr_reftransV1_0042832","p.persica_gdr_reftransV1_0042832")</f>
        <v>p.persica_gdr_reftransV1_0042832</v>
      </c>
      <c r="B8994" s="3">
        <v>2831</v>
      </c>
      <c r="C8994" s="1" t="str">
        <f>HYPERLINK("http://www.uniprot.org/uniprot/PHSB_ARATH","PHSB_ARATH")</f>
        <v>PHSB_ARATH</v>
      </c>
      <c r="D8994" t="s">
        <v>6821</v>
      </c>
      <c r="E8994" s="3" t="s">
        <v>3</v>
      </c>
      <c r="F8994" s="4">
        <v>0</v>
      </c>
      <c r="G8994" s="3">
        <v>1741</v>
      </c>
      <c r="H8994" s="3">
        <v>70</v>
      </c>
      <c r="I8994" s="3">
        <v>491</v>
      </c>
      <c r="J8994" s="3">
        <v>217</v>
      </c>
      <c r="K8994" s="3">
        <v>1665</v>
      </c>
      <c r="L8994" s="3">
        <v>1</v>
      </c>
      <c r="M8994" s="3">
        <v>491</v>
      </c>
    </row>
    <row r="8995" spans="1:13" x14ac:dyDescent="0.25">
      <c r="A8995" s="1" t="str">
        <f>HYPERLINK("http://www.rosaceae.org/Prunus/Prunus_persica/p.persica_gdr_reftransV1_0043032","p.persica_gdr_reftransV1_0043032")</f>
        <v>p.persica_gdr_reftransV1_0043032</v>
      </c>
      <c r="B8995" s="3">
        <v>488</v>
      </c>
      <c r="C8995" s="1" t="str">
        <f>HYPERLINK("http://www.uniprot.org/uniprot/G3P_BOVIN","G3P_BOVIN")</f>
        <v>G3P_BOVIN</v>
      </c>
      <c r="D8995" t="s">
        <v>6822</v>
      </c>
      <c r="E8995" s="3" t="s">
        <v>184</v>
      </c>
      <c r="F8995" s="4">
        <v>1.6599999999999999E-115</v>
      </c>
      <c r="G8995" s="3">
        <v>864</v>
      </c>
      <c r="H8995" s="3">
        <v>100</v>
      </c>
      <c r="I8995" s="3">
        <v>162</v>
      </c>
      <c r="J8995" s="3">
        <v>3</v>
      </c>
      <c r="K8995" s="3">
        <v>488</v>
      </c>
      <c r="L8995" s="3">
        <v>9</v>
      </c>
      <c r="M8995" s="3">
        <v>170</v>
      </c>
    </row>
    <row r="8996" spans="1:13" x14ac:dyDescent="0.25">
      <c r="A8996" s="1" t="str">
        <f>HYPERLINK("http://www.rosaceae.org/Prunus/Prunus_persica/p.persica_gdr_reftransV1_0043082","p.persica_gdr_reftransV1_0043082")</f>
        <v>p.persica_gdr_reftransV1_0043082</v>
      </c>
      <c r="B8996" s="3">
        <v>1612</v>
      </c>
      <c r="C8996" s="1" t="str">
        <f>HYPERLINK("http://www.uniprot.org/uniprot/GALAK_ARATH","GALAK_ARATH")</f>
        <v>GALAK_ARATH</v>
      </c>
      <c r="D8996" t="s">
        <v>4252</v>
      </c>
      <c r="E8996" s="3" t="s">
        <v>3</v>
      </c>
      <c r="F8996" s="4">
        <v>1.1700000000000001E-176</v>
      </c>
      <c r="G8996" s="3">
        <v>1318</v>
      </c>
      <c r="H8996" s="3">
        <v>67</v>
      </c>
      <c r="I8996" s="3">
        <v>430</v>
      </c>
      <c r="J8996" s="3">
        <v>224</v>
      </c>
      <c r="K8996" s="3">
        <v>1504</v>
      </c>
      <c r="L8996" s="3">
        <v>2</v>
      </c>
      <c r="M8996" s="3">
        <v>423</v>
      </c>
    </row>
    <row r="8997" spans="1:13" x14ac:dyDescent="0.25">
      <c r="A8997" s="1" t="str">
        <f>HYPERLINK("http://www.rosaceae.org/Prunus/Prunus_persica/p.persica_gdr_reftransV1_0043182","p.persica_gdr_reftransV1_0043182")</f>
        <v>p.persica_gdr_reftransV1_0043182</v>
      </c>
      <c r="B8997" s="3">
        <v>561</v>
      </c>
      <c r="C8997" s="1" t="str">
        <f>HYPERLINK("http://www.uniprot.org/uniprot/MIPEP_ARATH","MIPEP_ARATH")</f>
        <v>MIPEP_ARATH</v>
      </c>
      <c r="D8997" t="s">
        <v>6593</v>
      </c>
      <c r="E8997" s="3" t="s">
        <v>3</v>
      </c>
      <c r="F8997" s="4">
        <v>4.2199999999999997E-48</v>
      </c>
      <c r="G8997" s="3">
        <v>285</v>
      </c>
      <c r="H8997" s="3">
        <v>59</v>
      </c>
      <c r="I8997" s="3">
        <v>93</v>
      </c>
      <c r="J8997" s="3">
        <v>76</v>
      </c>
      <c r="K8997" s="3">
        <v>354</v>
      </c>
      <c r="L8997" s="3">
        <v>186</v>
      </c>
      <c r="M8997" s="3">
        <v>278</v>
      </c>
    </row>
    <row r="8998" spans="1:13" x14ac:dyDescent="0.25">
      <c r="A8998" s="1" t="str">
        <f>HYPERLINK("http://www.rosaceae.org/Prunus/Prunus_persica/p.persica_gdr_reftransV1_0043332","p.persica_gdr_reftransV1_0043332")</f>
        <v>p.persica_gdr_reftransV1_0043332</v>
      </c>
      <c r="B8998" s="3">
        <v>761</v>
      </c>
      <c r="C8998" s="1" t="str">
        <f>HYPERLINK("http://www.uniprot.org/uniprot/UGT6_CATRO","UGT6_CATRO")</f>
        <v>UGT6_CATRO</v>
      </c>
      <c r="D8998" t="s">
        <v>3893</v>
      </c>
      <c r="E8998" s="3" t="s">
        <v>457</v>
      </c>
      <c r="F8998" s="4">
        <v>3.6E-119</v>
      </c>
      <c r="G8998" s="3">
        <v>913</v>
      </c>
      <c r="H8998" s="3">
        <v>66</v>
      </c>
      <c r="I8998" s="3">
        <v>255</v>
      </c>
      <c r="J8998" s="3">
        <v>2</v>
      </c>
      <c r="K8998" s="3">
        <v>760</v>
      </c>
      <c r="L8998" s="3">
        <v>47</v>
      </c>
      <c r="M8998" s="3">
        <v>300</v>
      </c>
    </row>
    <row r="8999" spans="1:13" x14ac:dyDescent="0.25">
      <c r="A8999" s="1" t="str">
        <f>HYPERLINK("http://www.rosaceae.org/Prunus/Prunus_persica/p.persica_gdr_reftransV1_0043382","p.persica_gdr_reftransV1_0043382")</f>
        <v>p.persica_gdr_reftransV1_0043382</v>
      </c>
      <c r="B8999" s="3">
        <v>2700</v>
      </c>
      <c r="C8999" s="1" t="str">
        <f>HYPERLINK("http://www.uniprot.org/uniprot/CENPE_MOUSE","CENPE_MOUSE")</f>
        <v>CENPE_MOUSE</v>
      </c>
      <c r="D8999" t="s">
        <v>6823</v>
      </c>
      <c r="E8999" s="3" t="s">
        <v>157</v>
      </c>
      <c r="F8999" s="4">
        <v>1.29E-105</v>
      </c>
      <c r="G8999" s="3">
        <v>941</v>
      </c>
      <c r="H8999" s="3">
        <v>54</v>
      </c>
      <c r="I8999" s="3">
        <v>376</v>
      </c>
      <c r="J8999" s="3">
        <v>67</v>
      </c>
      <c r="K8999" s="3">
        <v>1176</v>
      </c>
      <c r="L8999" s="3">
        <v>7</v>
      </c>
      <c r="M8999" s="3">
        <v>373</v>
      </c>
    </row>
    <row r="9000" spans="1:13" x14ac:dyDescent="0.25">
      <c r="A9000" s="1" t="str">
        <f>HYPERLINK("http://www.rosaceae.org/Prunus/Prunus_persica/p.persica_gdr_reftransV1_0043432","p.persica_gdr_reftransV1_0043432")</f>
        <v>p.persica_gdr_reftransV1_0043432</v>
      </c>
      <c r="B9000" s="3">
        <v>729</v>
      </c>
      <c r="C9000" s="1" t="str">
        <f>HYPERLINK("http://www.uniprot.org/uniprot/PPA15_ARATH","PPA15_ARATH")</f>
        <v>PPA15_ARATH</v>
      </c>
      <c r="D9000" t="s">
        <v>6824</v>
      </c>
      <c r="E9000" s="3" t="s">
        <v>3</v>
      </c>
      <c r="F9000" s="4">
        <v>1.2300000000000001E-74</v>
      </c>
      <c r="G9000" s="3">
        <v>617</v>
      </c>
      <c r="H9000" s="3">
        <v>78</v>
      </c>
      <c r="I9000" s="3">
        <v>141</v>
      </c>
      <c r="J9000" s="3">
        <v>302</v>
      </c>
      <c r="K9000" s="3">
        <v>724</v>
      </c>
      <c r="L9000" s="3">
        <v>387</v>
      </c>
      <c r="M9000" s="3">
        <v>524</v>
      </c>
    </row>
    <row r="9001" spans="1:13" x14ac:dyDescent="0.25">
      <c r="A9001" s="1" t="str">
        <f>HYPERLINK("http://www.rosaceae.org/Prunus/Prunus_persica/p.persica_gdr_reftransV1_0043532","p.persica_gdr_reftransV1_0043532")</f>
        <v>p.persica_gdr_reftransV1_0043532</v>
      </c>
      <c r="B9001" s="3">
        <v>1886</v>
      </c>
      <c r="C9001" s="1" t="str">
        <f>HYPERLINK("http://www.uniprot.org/uniprot/ATG2_CRYNJ","ATG2_CRYNJ")</f>
        <v>ATG2_CRYNJ</v>
      </c>
      <c r="D9001" t="s">
        <v>1719</v>
      </c>
      <c r="E9001" s="3" t="s">
        <v>1720</v>
      </c>
      <c r="F9001" s="4">
        <v>8.1000000000000004E-47</v>
      </c>
      <c r="G9001" s="3">
        <v>465</v>
      </c>
      <c r="H9001" s="3">
        <v>33</v>
      </c>
      <c r="I9001" s="3">
        <v>448</v>
      </c>
      <c r="J9001" s="3">
        <v>407</v>
      </c>
      <c r="K9001" s="3">
        <v>1675</v>
      </c>
      <c r="L9001" s="3">
        <v>1508</v>
      </c>
      <c r="M9001" s="3">
        <v>1934</v>
      </c>
    </row>
    <row r="9002" spans="1:13" x14ac:dyDescent="0.25">
      <c r="A9002" s="1" t="str">
        <f>HYPERLINK("http://www.rosaceae.org/Prunus/Prunus_persica/p.persica_gdr_reftransV1_0043582","p.persica_gdr_reftransV1_0043582")</f>
        <v>p.persica_gdr_reftransV1_0043582</v>
      </c>
      <c r="B9002" s="3">
        <v>1915</v>
      </c>
      <c r="C9002" s="1" t="str">
        <f>HYPERLINK("http://www.uniprot.org/uniprot/CSA1_ARATH","CSA1_ARATH")</f>
        <v>CSA1_ARATH</v>
      </c>
      <c r="D9002" t="s">
        <v>3569</v>
      </c>
      <c r="E9002" s="3" t="s">
        <v>3</v>
      </c>
      <c r="F9002" s="4">
        <v>1.69E-15</v>
      </c>
      <c r="G9002" s="3">
        <v>207</v>
      </c>
      <c r="H9002" s="3">
        <v>29</v>
      </c>
      <c r="I9002" s="3">
        <v>274</v>
      </c>
      <c r="J9002" s="3">
        <v>15</v>
      </c>
      <c r="K9002" s="3">
        <v>815</v>
      </c>
      <c r="L9002" s="3">
        <v>768</v>
      </c>
      <c r="M9002" s="3">
        <v>989</v>
      </c>
    </row>
    <row r="9003" spans="1:13" x14ac:dyDescent="0.25">
      <c r="A9003" s="1" t="str">
        <f>HYPERLINK("http://www.rosaceae.org/Prunus/Prunus_persica/p.persica_gdr_reftransV1_0043732","p.persica_gdr_reftransV1_0043732")</f>
        <v>p.persica_gdr_reftransV1_0043732</v>
      </c>
      <c r="B9003" s="3">
        <v>1613</v>
      </c>
      <c r="C9003" s="1" t="str">
        <f>HYPERLINK("http://www.uniprot.org/uniprot/LST2_DROYA","LST2_DROYA")</f>
        <v>LST2_DROYA</v>
      </c>
      <c r="D9003" t="s">
        <v>6825</v>
      </c>
      <c r="E9003" s="3" t="s">
        <v>6826</v>
      </c>
      <c r="F9003" s="4">
        <v>2.9700000000000002E-14</v>
      </c>
      <c r="G9003" s="3">
        <v>195</v>
      </c>
      <c r="H9003" s="3">
        <v>44</v>
      </c>
      <c r="I9003" s="3">
        <v>89</v>
      </c>
      <c r="J9003" s="3">
        <v>181</v>
      </c>
      <c r="K9003" s="3">
        <v>438</v>
      </c>
      <c r="L9003" s="3">
        <v>896</v>
      </c>
      <c r="M9003" s="3">
        <v>984</v>
      </c>
    </row>
    <row r="9004" spans="1:13" x14ac:dyDescent="0.25">
      <c r="A9004" s="1" t="str">
        <f>HYPERLINK("http://www.rosaceae.org/Prunus/Prunus_persica/p.persica_gdr_reftransV1_0043832","p.persica_gdr_reftransV1_0043832")</f>
        <v>p.persica_gdr_reftransV1_0043832</v>
      </c>
      <c r="B9004" s="3">
        <v>389</v>
      </c>
      <c r="C9004" s="1" t="str">
        <f>HYPERLINK("http://www.uniprot.org/uniprot/MD33B_ARATH","MD33B_ARATH")</f>
        <v>MD33B_ARATH</v>
      </c>
      <c r="D9004" t="s">
        <v>723</v>
      </c>
      <c r="E9004" s="3" t="s">
        <v>3</v>
      </c>
      <c r="F9004" s="4">
        <v>3.3999999999999998E-9</v>
      </c>
      <c r="G9004" s="3">
        <v>140</v>
      </c>
      <c r="H9004" s="3">
        <v>33</v>
      </c>
      <c r="I9004" s="3">
        <v>101</v>
      </c>
      <c r="J9004" s="3">
        <v>18</v>
      </c>
      <c r="K9004" s="3">
        <v>317</v>
      </c>
      <c r="L9004" s="3">
        <v>151</v>
      </c>
      <c r="M9004" s="3">
        <v>248</v>
      </c>
    </row>
    <row r="9005" spans="1:13" x14ac:dyDescent="0.25">
      <c r="A9005" s="1" t="str">
        <f>HYPERLINK("http://www.rosaceae.org/Prunus/Prunus_persica/p.persica_gdr_reftransV1_0043932","p.persica_gdr_reftransV1_0043932")</f>
        <v>p.persica_gdr_reftransV1_0043932</v>
      </c>
      <c r="B9005" s="3">
        <v>1189</v>
      </c>
      <c r="C9005" s="1" t="str">
        <f>HYPERLINK("http://www.uniprot.org/uniprot/AAE16_ARATH","AAE16_ARATH")</f>
        <v>AAE16_ARATH</v>
      </c>
      <c r="D9005" t="s">
        <v>1487</v>
      </c>
      <c r="E9005" s="3" t="s">
        <v>3</v>
      </c>
      <c r="F9005" s="4">
        <v>0</v>
      </c>
      <c r="G9005" s="3">
        <v>1529</v>
      </c>
      <c r="H9005" s="3">
        <v>74</v>
      </c>
      <c r="I9005" s="3">
        <v>396</v>
      </c>
      <c r="J9005" s="3">
        <v>3</v>
      </c>
      <c r="K9005" s="3">
        <v>1187</v>
      </c>
      <c r="L9005" s="3">
        <v>296</v>
      </c>
      <c r="M9005" s="3">
        <v>691</v>
      </c>
    </row>
    <row r="9006" spans="1:13" x14ac:dyDescent="0.25">
      <c r="A9006" s="1" t="str">
        <f>HYPERLINK("http://www.rosaceae.org/Prunus/Prunus_persica/p.persica_gdr_reftransV1_0043982","p.persica_gdr_reftransV1_0043982")</f>
        <v>p.persica_gdr_reftransV1_0043982</v>
      </c>
      <c r="B9006" s="3">
        <v>568</v>
      </c>
      <c r="C9006" s="1" t="str">
        <f>HYPERLINK("http://www.uniprot.org/uniprot/XTH27_ARATH","XTH27_ARATH")</f>
        <v>XTH27_ARATH</v>
      </c>
      <c r="D9006" t="s">
        <v>6827</v>
      </c>
      <c r="E9006" s="3" t="s">
        <v>3</v>
      </c>
      <c r="F9006" s="4">
        <v>2.3800000000000002E-22</v>
      </c>
      <c r="G9006" s="3">
        <v>237</v>
      </c>
      <c r="H9006" s="3">
        <v>38</v>
      </c>
      <c r="I9006" s="3">
        <v>153</v>
      </c>
      <c r="J9006" s="3">
        <v>116</v>
      </c>
      <c r="K9006" s="3">
        <v>547</v>
      </c>
      <c r="L9006" s="3">
        <v>49</v>
      </c>
      <c r="M9006" s="3">
        <v>201</v>
      </c>
    </row>
    <row r="9007" spans="1:13" x14ac:dyDescent="0.25">
      <c r="A9007" s="1" t="str">
        <f>HYPERLINK("http://www.rosaceae.org/Prunus/Prunus_persica/p.persica_gdr_reftransV1_0044032","p.persica_gdr_reftransV1_0044032")</f>
        <v>p.persica_gdr_reftransV1_0044032</v>
      </c>
      <c r="B9007" s="3">
        <v>1061</v>
      </c>
      <c r="C9007" s="1" t="str">
        <f>HYPERLINK("http://www.uniprot.org/uniprot/GDL15_ARATH","GDL15_ARATH")</f>
        <v>GDL15_ARATH</v>
      </c>
      <c r="D9007" t="s">
        <v>6233</v>
      </c>
      <c r="E9007" s="3" t="s">
        <v>3</v>
      </c>
      <c r="F9007" s="4">
        <v>2.35E-93</v>
      </c>
      <c r="G9007" s="3">
        <v>741</v>
      </c>
      <c r="H9007" s="3">
        <v>51</v>
      </c>
      <c r="I9007" s="3">
        <v>313</v>
      </c>
      <c r="J9007" s="3">
        <v>2</v>
      </c>
      <c r="K9007" s="3">
        <v>889</v>
      </c>
      <c r="L9007" s="3">
        <v>54</v>
      </c>
      <c r="M9007" s="3">
        <v>363</v>
      </c>
    </row>
    <row r="9008" spans="1:13" x14ac:dyDescent="0.25">
      <c r="A9008" s="1" t="str">
        <f>HYPERLINK("http://www.rosaceae.org/Prunus/Prunus_persica/p.persica_gdr_reftransV1_0044082","p.persica_gdr_reftransV1_0044082")</f>
        <v>p.persica_gdr_reftransV1_0044082</v>
      </c>
      <c r="B9008" s="3">
        <v>1062</v>
      </c>
      <c r="C9008" s="1" t="str">
        <f>HYPERLINK("http://www.uniprot.org/uniprot/SKIP8_ARATH","SKIP8_ARATH")</f>
        <v>SKIP8_ARATH</v>
      </c>
      <c r="D9008" t="s">
        <v>6828</v>
      </c>
      <c r="E9008" s="3" t="s">
        <v>3</v>
      </c>
      <c r="F9008" s="4">
        <v>1.54E-13</v>
      </c>
      <c r="G9008" s="3">
        <v>177</v>
      </c>
      <c r="H9008" s="3">
        <v>29</v>
      </c>
      <c r="I9008" s="3">
        <v>132</v>
      </c>
      <c r="J9008" s="3">
        <v>126</v>
      </c>
      <c r="K9008" s="3">
        <v>521</v>
      </c>
      <c r="L9008" s="3">
        <v>104</v>
      </c>
      <c r="M9008" s="3">
        <v>231</v>
      </c>
    </row>
    <row r="9009" spans="1:13" x14ac:dyDescent="0.25">
      <c r="A9009" s="1" t="str">
        <f>HYPERLINK("http://www.rosaceae.org/Prunus/Prunus_persica/p.persica_gdr_reftransV1_0044132","p.persica_gdr_reftransV1_0044132")</f>
        <v>p.persica_gdr_reftransV1_0044132</v>
      </c>
      <c r="B9009" s="3">
        <v>400</v>
      </c>
      <c r="C9009" s="1" t="str">
        <f>HYPERLINK("http://www.uniprot.org/uniprot/PCS2_LOTJA","PCS2_LOTJA")</f>
        <v>PCS2_LOTJA</v>
      </c>
      <c r="D9009" t="s">
        <v>6829</v>
      </c>
      <c r="E9009" s="3" t="s">
        <v>880</v>
      </c>
      <c r="F9009" s="4">
        <v>1.91E-75</v>
      </c>
      <c r="G9009" s="3">
        <v>607</v>
      </c>
      <c r="H9009" s="3">
        <v>81</v>
      </c>
      <c r="I9009" s="3">
        <v>133</v>
      </c>
      <c r="J9009" s="3">
        <v>2</v>
      </c>
      <c r="K9009" s="3">
        <v>400</v>
      </c>
      <c r="L9009" s="3">
        <v>53</v>
      </c>
      <c r="M9009" s="3">
        <v>185</v>
      </c>
    </row>
    <row r="9010" spans="1:13" x14ac:dyDescent="0.25">
      <c r="A9010" s="1" t="str">
        <f>HYPERLINK("http://www.rosaceae.org/Prunus/Prunus_persica/p.persica_gdr_reftransV1_0044282","p.persica_gdr_reftransV1_0044282")</f>
        <v>p.persica_gdr_reftransV1_0044282</v>
      </c>
      <c r="B9010" s="3">
        <v>1896</v>
      </c>
      <c r="C9010" s="1" t="str">
        <f>HYPERLINK("http://www.uniprot.org/uniprot/TRPB2_AQUAE","TRPB2_AQUAE")</f>
        <v>TRPB2_AQUAE</v>
      </c>
      <c r="D9010" t="s">
        <v>6830</v>
      </c>
      <c r="E9010" s="3" t="s">
        <v>863</v>
      </c>
      <c r="F9010" s="4">
        <v>0</v>
      </c>
      <c r="G9010" s="3">
        <v>1398</v>
      </c>
      <c r="H9010" s="3">
        <v>62</v>
      </c>
      <c r="I9010" s="3">
        <v>425</v>
      </c>
      <c r="J9010" s="3">
        <v>293</v>
      </c>
      <c r="K9010" s="3">
        <v>1558</v>
      </c>
      <c r="L9010" s="3">
        <v>10</v>
      </c>
      <c r="M9010" s="3">
        <v>434</v>
      </c>
    </row>
    <row r="9011" spans="1:13" x14ac:dyDescent="0.25">
      <c r="A9011" s="1" t="str">
        <f>HYPERLINK("http://www.rosaceae.org/Prunus/Prunus_persica/p.persica_gdr_reftransV1_0044332","p.persica_gdr_reftransV1_0044332")</f>
        <v>p.persica_gdr_reftransV1_0044332</v>
      </c>
      <c r="B9011" s="3">
        <v>2714</v>
      </c>
      <c r="C9011" s="1" t="str">
        <f>HYPERLINK("http://www.uniprot.org/uniprot/C71DA_SOYBN","C71DA_SOYBN")</f>
        <v>C71DA_SOYBN</v>
      </c>
      <c r="D9011" t="s">
        <v>6831</v>
      </c>
      <c r="E9011" s="3" t="s">
        <v>307</v>
      </c>
      <c r="F9011" s="4">
        <v>1.9799999999999999E-78</v>
      </c>
      <c r="G9011" s="3">
        <v>689</v>
      </c>
      <c r="H9011" s="3">
        <v>59</v>
      </c>
      <c r="I9011" s="3">
        <v>205</v>
      </c>
      <c r="J9011" s="3">
        <v>335</v>
      </c>
      <c r="K9011" s="3">
        <v>946</v>
      </c>
      <c r="L9011" s="3">
        <v>306</v>
      </c>
      <c r="M9011" s="3">
        <v>510</v>
      </c>
    </row>
    <row r="9012" spans="1:13" x14ac:dyDescent="0.25">
      <c r="A9012" s="1" t="str">
        <f>HYPERLINK("http://www.rosaceae.org/Prunus/Prunus_persica/p.persica_gdr_reftransV1_0044382","p.persica_gdr_reftransV1_0044382")</f>
        <v>p.persica_gdr_reftransV1_0044382</v>
      </c>
      <c r="B9012" s="3">
        <v>2405</v>
      </c>
      <c r="C9012" s="1" t="str">
        <f>HYPERLINK("http://www.uniprot.org/uniprot/CND1_XENLA","CND1_XENLA")</f>
        <v>CND1_XENLA</v>
      </c>
      <c r="D9012" t="s">
        <v>6832</v>
      </c>
      <c r="E9012" s="3" t="s">
        <v>475</v>
      </c>
      <c r="F9012" s="4">
        <v>5.7800000000000001E-97</v>
      </c>
      <c r="G9012" s="3">
        <v>857</v>
      </c>
      <c r="H9012" s="3">
        <v>35</v>
      </c>
      <c r="I9012" s="3">
        <v>596</v>
      </c>
      <c r="J9012" s="3">
        <v>680</v>
      </c>
      <c r="K9012" s="3">
        <v>2389</v>
      </c>
      <c r="L9012" s="3">
        <v>702</v>
      </c>
      <c r="M9012" s="3">
        <v>1269</v>
      </c>
    </row>
    <row r="9013" spans="1:13" x14ac:dyDescent="0.25">
      <c r="A9013" s="1" t="str">
        <f>HYPERLINK("http://www.rosaceae.org/Prunus/Prunus_persica/p.persica_gdr_reftransV1_0044432","p.persica_gdr_reftransV1_0044432")</f>
        <v>p.persica_gdr_reftransV1_0044432</v>
      </c>
      <c r="B9013" s="3">
        <v>753</v>
      </c>
      <c r="C9013" s="1" t="str">
        <f>HYPERLINK("http://www.uniprot.org/uniprot/GDL34_ARATH","GDL34_ARATH")</f>
        <v>GDL34_ARATH</v>
      </c>
      <c r="D9013" t="s">
        <v>2779</v>
      </c>
      <c r="E9013" s="3" t="s">
        <v>3</v>
      </c>
      <c r="F9013" s="4">
        <v>9.5800000000000004E-73</v>
      </c>
      <c r="G9013" s="3">
        <v>592</v>
      </c>
      <c r="H9013" s="3">
        <v>56</v>
      </c>
      <c r="I9013" s="3">
        <v>179</v>
      </c>
      <c r="J9013" s="3">
        <v>1</v>
      </c>
      <c r="K9013" s="3">
        <v>537</v>
      </c>
      <c r="L9013" s="3">
        <v>165</v>
      </c>
      <c r="M9013" s="3">
        <v>342</v>
      </c>
    </row>
    <row r="9014" spans="1:13" x14ac:dyDescent="0.25">
      <c r="A9014" s="1" t="str">
        <f>HYPERLINK("http://www.rosaceae.org/Prunus/Prunus_persica/p.persica_gdr_reftransV1_0044482","p.persica_gdr_reftransV1_0044482")</f>
        <v>p.persica_gdr_reftransV1_0044482</v>
      </c>
      <c r="B9014" s="3">
        <v>318</v>
      </c>
      <c r="C9014" s="1" t="str">
        <f>HYPERLINK("http://www.uniprot.org/uniprot/BZP34_ARATH","BZP34_ARATH")</f>
        <v>BZP34_ARATH</v>
      </c>
      <c r="D9014" t="s">
        <v>6833</v>
      </c>
      <c r="E9014" s="3" t="s">
        <v>3</v>
      </c>
      <c r="F9014" s="4">
        <v>2.5000000000000001E-23</v>
      </c>
      <c r="G9014" s="3">
        <v>236</v>
      </c>
      <c r="H9014" s="3">
        <v>53</v>
      </c>
      <c r="I9014" s="3">
        <v>98</v>
      </c>
      <c r="J9014" s="3">
        <v>20</v>
      </c>
      <c r="K9014" s="3">
        <v>313</v>
      </c>
      <c r="L9014" s="3">
        <v>15</v>
      </c>
      <c r="M9014" s="3">
        <v>100</v>
      </c>
    </row>
    <row r="9015" spans="1:13" x14ac:dyDescent="0.25">
      <c r="A9015" s="1" t="str">
        <f>HYPERLINK("http://www.rosaceae.org/Prunus/Prunus_persica/p.persica_gdr_reftransV1_0044532","p.persica_gdr_reftransV1_0044532")</f>
        <v>p.persica_gdr_reftransV1_0044532</v>
      </c>
      <c r="B9015" s="3">
        <v>537</v>
      </c>
      <c r="C9015" s="1" t="str">
        <f>HYPERLINK("http://www.uniprot.org/uniprot/C79D4_LOTJA","C79D4_LOTJA")</f>
        <v>C79D4_LOTJA</v>
      </c>
      <c r="D9015" t="s">
        <v>1537</v>
      </c>
      <c r="E9015" s="3" t="s">
        <v>880</v>
      </c>
      <c r="F9015" s="4">
        <v>4.5299999999999997E-54</v>
      </c>
      <c r="G9015" s="3">
        <v>469</v>
      </c>
      <c r="H9015" s="3">
        <v>56</v>
      </c>
      <c r="I9015" s="3">
        <v>153</v>
      </c>
      <c r="J9015" s="3">
        <v>78</v>
      </c>
      <c r="K9015" s="3">
        <v>536</v>
      </c>
      <c r="L9015" s="3">
        <v>19</v>
      </c>
      <c r="M9015" s="3">
        <v>171</v>
      </c>
    </row>
    <row r="9016" spans="1:13" x14ac:dyDescent="0.25">
      <c r="A9016" s="1" t="str">
        <f>HYPERLINK("http://www.rosaceae.org/Prunus/Prunus_persica/p.persica_gdr_reftransV1_0044582","p.persica_gdr_reftransV1_0044582")</f>
        <v>p.persica_gdr_reftransV1_0044582</v>
      </c>
      <c r="B9016" s="3">
        <v>1256</v>
      </c>
      <c r="C9016" s="1" t="str">
        <f>HYPERLINK("http://www.uniprot.org/uniprot/RRP2_SPIOL","RRP2_SPIOL")</f>
        <v>RRP2_SPIOL</v>
      </c>
      <c r="D9016" t="s">
        <v>6834</v>
      </c>
      <c r="E9016" s="3" t="s">
        <v>131</v>
      </c>
      <c r="F9016" s="4">
        <v>1.3E-74</v>
      </c>
      <c r="G9016" s="3">
        <v>612</v>
      </c>
      <c r="H9016" s="3">
        <v>71</v>
      </c>
      <c r="I9016" s="3">
        <v>181</v>
      </c>
      <c r="J9016" s="3">
        <v>401</v>
      </c>
      <c r="K9016" s="3">
        <v>943</v>
      </c>
      <c r="L9016" s="3">
        <v>80</v>
      </c>
      <c r="M9016" s="3">
        <v>260</v>
      </c>
    </row>
    <row r="9017" spans="1:13" x14ac:dyDescent="0.25">
      <c r="A9017" s="1" t="str">
        <f>HYPERLINK("http://www.rosaceae.org/Prunus/Prunus_persica/p.persica_gdr_reftransV1_0044682","p.persica_gdr_reftransV1_0044682")</f>
        <v>p.persica_gdr_reftransV1_0044682</v>
      </c>
      <c r="B9017" s="3">
        <v>456</v>
      </c>
      <c r="C9017" s="1" t="str">
        <f>HYPERLINK("http://www.uniprot.org/uniprot/Y2446_ARATH","Y2446_ARATH")</f>
        <v>Y2446_ARATH</v>
      </c>
      <c r="D9017" t="s">
        <v>4577</v>
      </c>
      <c r="E9017" s="3" t="s">
        <v>3</v>
      </c>
      <c r="F9017" s="4">
        <v>2.66E-8</v>
      </c>
      <c r="G9017" s="3">
        <v>130</v>
      </c>
      <c r="H9017" s="3">
        <v>41</v>
      </c>
      <c r="I9017" s="3">
        <v>76</v>
      </c>
      <c r="J9017" s="3">
        <v>27</v>
      </c>
      <c r="K9017" s="3">
        <v>251</v>
      </c>
      <c r="L9017" s="3">
        <v>187</v>
      </c>
      <c r="M9017" s="3">
        <v>262</v>
      </c>
    </row>
    <row r="9018" spans="1:13" x14ac:dyDescent="0.25">
      <c r="A9018" s="1" t="str">
        <f>HYPERLINK("http://www.rosaceae.org/Prunus/Prunus_persica/p.persica_gdr_reftransV1_0044782","p.persica_gdr_reftransV1_0044782")</f>
        <v>p.persica_gdr_reftransV1_0044782</v>
      </c>
      <c r="B9018" s="3">
        <v>455</v>
      </c>
      <c r="C9018" s="1" t="str">
        <f>HYPERLINK("http://www.uniprot.org/uniprot/FBK70_ARATH","FBK70_ARATH")</f>
        <v>FBK70_ARATH</v>
      </c>
      <c r="D9018" t="s">
        <v>5323</v>
      </c>
      <c r="E9018" s="3" t="s">
        <v>3</v>
      </c>
      <c r="F9018" s="4">
        <v>3.6099999999999999E-47</v>
      </c>
      <c r="G9018" s="3">
        <v>413</v>
      </c>
      <c r="H9018" s="3">
        <v>50</v>
      </c>
      <c r="I9018" s="3">
        <v>153</v>
      </c>
      <c r="J9018" s="3">
        <v>3</v>
      </c>
      <c r="K9018" s="3">
        <v>455</v>
      </c>
      <c r="L9018" s="3">
        <v>86</v>
      </c>
      <c r="M9018" s="3">
        <v>238</v>
      </c>
    </row>
    <row r="9019" spans="1:13" x14ac:dyDescent="0.25">
      <c r="A9019" s="1" t="str">
        <f>HYPERLINK("http://www.rosaceae.org/Prunus/Prunus_persica/p.persica_gdr_reftransV1_0044832","p.persica_gdr_reftransV1_0044832")</f>
        <v>p.persica_gdr_reftransV1_0044832</v>
      </c>
      <c r="B9019" s="3">
        <v>1030</v>
      </c>
      <c r="C9019" s="1" t="str">
        <f>HYPERLINK("http://www.uniprot.org/uniprot/ALG14_MOUSE","ALG14_MOUSE")</f>
        <v>ALG14_MOUSE</v>
      </c>
      <c r="D9019" t="s">
        <v>6835</v>
      </c>
      <c r="E9019" s="3" t="s">
        <v>157</v>
      </c>
      <c r="F9019" s="4">
        <v>6.9000000000000002E-48</v>
      </c>
      <c r="G9019" s="3">
        <v>422</v>
      </c>
      <c r="H9019" s="3">
        <v>47</v>
      </c>
      <c r="I9019" s="3">
        <v>186</v>
      </c>
      <c r="J9019" s="3">
        <v>260</v>
      </c>
      <c r="K9019" s="3">
        <v>784</v>
      </c>
      <c r="L9019" s="3">
        <v>32</v>
      </c>
      <c r="M9019" s="3">
        <v>214</v>
      </c>
    </row>
    <row r="9020" spans="1:13" x14ac:dyDescent="0.25">
      <c r="A9020" s="1" t="str">
        <f>HYPERLINK("http://www.rosaceae.org/Prunus/Prunus_persica/p.persica_gdr_reftransV1_0044932","p.persica_gdr_reftransV1_0044932")</f>
        <v>p.persica_gdr_reftransV1_0044932</v>
      </c>
      <c r="B9020" s="3">
        <v>527</v>
      </c>
      <c r="C9020" s="1" t="str">
        <f>HYPERLINK("http://www.uniprot.org/uniprot/SUVH4_ARATH","SUVH4_ARATH")</f>
        <v>SUVH4_ARATH</v>
      </c>
      <c r="D9020" t="s">
        <v>4988</v>
      </c>
      <c r="E9020" s="3" t="s">
        <v>3</v>
      </c>
      <c r="F9020" s="4">
        <v>1.1900000000000001E-78</v>
      </c>
      <c r="G9020" s="3">
        <v>643</v>
      </c>
      <c r="H9020" s="3">
        <v>70</v>
      </c>
      <c r="I9020" s="3">
        <v>168</v>
      </c>
      <c r="J9020" s="3">
        <v>28</v>
      </c>
      <c r="K9020" s="3">
        <v>525</v>
      </c>
      <c r="L9020" s="3">
        <v>460</v>
      </c>
      <c r="M9020" s="3">
        <v>624</v>
      </c>
    </row>
    <row r="9021" spans="1:13" x14ac:dyDescent="0.25">
      <c r="A9021" s="1" t="str">
        <f>HYPERLINK("http://www.rosaceae.org/Prunus/Prunus_persica/p.persica_gdr_reftransV1_0044982","p.persica_gdr_reftransV1_0044982")</f>
        <v>p.persica_gdr_reftransV1_0044982</v>
      </c>
      <c r="B9021" s="3">
        <v>1341</v>
      </c>
      <c r="C9021" s="1" t="str">
        <f>HYPERLINK("http://www.uniprot.org/uniprot/NTAN1_MOUSE","NTAN1_MOUSE")</f>
        <v>NTAN1_MOUSE</v>
      </c>
      <c r="D9021" t="s">
        <v>3548</v>
      </c>
      <c r="E9021" s="3" t="s">
        <v>157</v>
      </c>
      <c r="F9021" s="4">
        <v>3.74E-30</v>
      </c>
      <c r="G9021" s="3">
        <v>308</v>
      </c>
      <c r="H9021" s="3">
        <v>32</v>
      </c>
      <c r="I9021" s="3">
        <v>297</v>
      </c>
      <c r="J9021" s="3">
        <v>273</v>
      </c>
      <c r="K9021" s="3">
        <v>1142</v>
      </c>
      <c r="L9021" s="3">
        <v>39</v>
      </c>
      <c r="M9021" s="3">
        <v>304</v>
      </c>
    </row>
    <row r="9022" spans="1:13" x14ac:dyDescent="0.25">
      <c r="A9022" s="1" t="str">
        <f>HYPERLINK("http://www.rosaceae.org/Prunus/Prunus_persica/p.persica_gdr_reftransV1_0045082","p.persica_gdr_reftransV1_0045082")</f>
        <v>p.persica_gdr_reftransV1_0045082</v>
      </c>
      <c r="B9022" s="3">
        <v>1439</v>
      </c>
      <c r="C9022" s="1" t="str">
        <f>HYPERLINK("http://www.uniprot.org/uniprot/PPT1_CAEEL","PPT1_CAEEL")</f>
        <v>PPT1_CAEEL</v>
      </c>
      <c r="D9022" t="s">
        <v>6586</v>
      </c>
      <c r="E9022" s="3" t="s">
        <v>281</v>
      </c>
      <c r="F9022" s="4">
        <v>1.57E-32</v>
      </c>
      <c r="G9022" s="3">
        <v>266</v>
      </c>
      <c r="H9022" s="3">
        <v>41</v>
      </c>
      <c r="I9022" s="3">
        <v>139</v>
      </c>
      <c r="J9022" s="3">
        <v>376</v>
      </c>
      <c r="K9022" s="3">
        <v>792</v>
      </c>
      <c r="L9022" s="3">
        <v>150</v>
      </c>
      <c r="M9022" s="3">
        <v>286</v>
      </c>
    </row>
    <row r="9023" spans="1:13" x14ac:dyDescent="0.25">
      <c r="A9023" s="1" t="str">
        <f>HYPERLINK("http://www.rosaceae.org/Prunus/Prunus_persica/p.persica_gdr_reftransV1_0045182","p.persica_gdr_reftransV1_0045182")</f>
        <v>p.persica_gdr_reftransV1_0045182</v>
      </c>
      <c r="B9023" s="3">
        <v>1832</v>
      </c>
      <c r="C9023" s="1" t="str">
        <f>HYPERLINK("http://www.uniprot.org/uniprot/TPX2_ARATH","TPX2_ARATH")</f>
        <v>TPX2_ARATH</v>
      </c>
      <c r="D9023" t="s">
        <v>6836</v>
      </c>
      <c r="E9023" s="3" t="s">
        <v>3</v>
      </c>
      <c r="F9023" s="4">
        <v>4.1800000000000001E-7</v>
      </c>
      <c r="G9023" s="3">
        <v>136</v>
      </c>
      <c r="H9023" s="3">
        <v>41</v>
      </c>
      <c r="I9023" s="3">
        <v>71</v>
      </c>
      <c r="J9023" s="3">
        <v>352</v>
      </c>
      <c r="K9023" s="3">
        <v>564</v>
      </c>
      <c r="L9023" s="3">
        <v>646</v>
      </c>
      <c r="M9023" s="3">
        <v>716</v>
      </c>
    </row>
    <row r="9024" spans="1:13" x14ac:dyDescent="0.25">
      <c r="A9024" s="1" t="str">
        <f>HYPERLINK("http://www.rosaceae.org/Prunus/Prunus_persica/p.persica_gdr_reftransV1_0045232","p.persica_gdr_reftransV1_0045232")</f>
        <v>p.persica_gdr_reftransV1_0045232</v>
      </c>
      <c r="B9024" s="3">
        <v>744</v>
      </c>
      <c r="C9024" s="1" t="str">
        <f>HYPERLINK("http://www.uniprot.org/uniprot/Y3028_ARATH","Y3028_ARATH")</f>
        <v>Y3028_ARATH</v>
      </c>
      <c r="D9024" t="s">
        <v>919</v>
      </c>
      <c r="E9024" s="3" t="s">
        <v>3</v>
      </c>
      <c r="F9024" s="4">
        <v>1.7500000000000001E-55</v>
      </c>
      <c r="G9024" s="3">
        <v>481</v>
      </c>
      <c r="H9024" s="3">
        <v>46</v>
      </c>
      <c r="I9024" s="3">
        <v>225</v>
      </c>
      <c r="J9024" s="3">
        <v>34</v>
      </c>
      <c r="K9024" s="3">
        <v>699</v>
      </c>
      <c r="L9024" s="3">
        <v>1</v>
      </c>
      <c r="M9024" s="3">
        <v>216</v>
      </c>
    </row>
    <row r="9025" spans="1:13" x14ac:dyDescent="0.25">
      <c r="A9025" s="1" t="str">
        <f>HYPERLINK("http://www.rosaceae.org/Prunus/Prunus_persica/p.persica_gdr_reftransV1_0045382","p.persica_gdr_reftransV1_0045382")</f>
        <v>p.persica_gdr_reftransV1_0045382</v>
      </c>
      <c r="B9025" s="3">
        <v>738</v>
      </c>
      <c r="C9025" s="1" t="str">
        <f>HYPERLINK("http://www.uniprot.org/uniprot/BGL14_ORYSJ","BGL14_ORYSJ")</f>
        <v>BGL14_ORYSJ</v>
      </c>
      <c r="D9025" t="s">
        <v>6837</v>
      </c>
      <c r="E9025" s="3" t="s">
        <v>38</v>
      </c>
      <c r="F9025" s="4">
        <v>4.6900000000000002E-80</v>
      </c>
      <c r="G9025" s="3">
        <v>629</v>
      </c>
      <c r="H9025" s="3">
        <v>63</v>
      </c>
      <c r="I9025" s="3">
        <v>168</v>
      </c>
      <c r="J9025" s="3">
        <v>235</v>
      </c>
      <c r="K9025" s="3">
        <v>738</v>
      </c>
      <c r="L9025" s="3">
        <v>74</v>
      </c>
      <c r="M9025" s="3">
        <v>241</v>
      </c>
    </row>
    <row r="9026" spans="1:13" x14ac:dyDescent="0.25">
      <c r="A9026" s="1" t="str">
        <f>HYPERLINK("http://www.rosaceae.org/Prunus/Prunus_persica/p.persica_gdr_reftransV1_0045482","p.persica_gdr_reftransV1_0045482")</f>
        <v>p.persica_gdr_reftransV1_0045482</v>
      </c>
      <c r="B9026" s="3">
        <v>2002</v>
      </c>
      <c r="C9026" s="1" t="str">
        <f>HYPERLINK("http://www.uniprot.org/uniprot/FB254_ARATH","FB254_ARATH")</f>
        <v>FB254_ARATH</v>
      </c>
      <c r="D9026" t="s">
        <v>6838</v>
      </c>
      <c r="E9026" s="3" t="s">
        <v>3</v>
      </c>
      <c r="F9026" s="4">
        <v>0</v>
      </c>
      <c r="G9026" s="3">
        <v>1461</v>
      </c>
      <c r="H9026" s="3">
        <v>62</v>
      </c>
      <c r="I9026" s="3">
        <v>483</v>
      </c>
      <c r="J9026" s="3">
        <v>237</v>
      </c>
      <c r="K9026" s="3">
        <v>1667</v>
      </c>
      <c r="L9026" s="3">
        <v>8</v>
      </c>
      <c r="M9026" s="3">
        <v>476</v>
      </c>
    </row>
    <row r="9027" spans="1:13" x14ac:dyDescent="0.25">
      <c r="A9027" s="1" t="str">
        <f>HYPERLINK("http://www.rosaceae.org/Prunus/Prunus_persica/p.persica_gdr_reftransV1_0045532","p.persica_gdr_reftransV1_0045532")</f>
        <v>p.persica_gdr_reftransV1_0045532</v>
      </c>
      <c r="B9027" s="3">
        <v>1291</v>
      </c>
      <c r="C9027" s="1" t="str">
        <f>HYPERLINK("http://www.uniprot.org/uniprot/COPZ1_ARATH","COPZ1_ARATH")</f>
        <v>COPZ1_ARATH</v>
      </c>
      <c r="D9027" t="s">
        <v>6839</v>
      </c>
      <c r="E9027" s="3" t="s">
        <v>3</v>
      </c>
      <c r="F9027" s="4">
        <v>2.34E-84</v>
      </c>
      <c r="G9027" s="3">
        <v>670</v>
      </c>
      <c r="H9027" s="3">
        <v>77</v>
      </c>
      <c r="I9027" s="3">
        <v>177</v>
      </c>
      <c r="J9027" s="3">
        <v>55</v>
      </c>
      <c r="K9027" s="3">
        <v>585</v>
      </c>
      <c r="L9027" s="3">
        <v>1</v>
      </c>
      <c r="M9027" s="3">
        <v>177</v>
      </c>
    </row>
    <row r="9028" spans="1:13" x14ac:dyDescent="0.25">
      <c r="A9028" s="1" t="str">
        <f>HYPERLINK("http://www.rosaceae.org/Prunus/Prunus_persica/p.persica_gdr_reftransV1_0045582","p.persica_gdr_reftransV1_0045582")</f>
        <v>p.persica_gdr_reftransV1_0045582</v>
      </c>
      <c r="B9028" s="3">
        <v>1096</v>
      </c>
      <c r="C9028" s="1" t="str">
        <f>HYPERLINK("http://www.uniprot.org/uniprot/RL91_ARATH","RL91_ARATH")</f>
        <v>RL91_ARATH</v>
      </c>
      <c r="D9028" t="s">
        <v>6840</v>
      </c>
      <c r="E9028" s="3" t="s">
        <v>3</v>
      </c>
      <c r="F9028" s="4">
        <v>9.0099999999999998E-101</v>
      </c>
      <c r="G9028" s="3">
        <v>775</v>
      </c>
      <c r="H9028" s="3">
        <v>87</v>
      </c>
      <c r="I9028" s="3">
        <v>166</v>
      </c>
      <c r="J9028" s="3">
        <v>72</v>
      </c>
      <c r="K9028" s="3">
        <v>569</v>
      </c>
      <c r="L9028" s="3">
        <v>1</v>
      </c>
      <c r="M9028" s="3">
        <v>166</v>
      </c>
    </row>
    <row r="9029" spans="1:13" x14ac:dyDescent="0.25">
      <c r="A9029" s="1" t="str">
        <f>HYPERLINK("http://www.rosaceae.org/Prunus/Prunus_persica/p.persica_gdr_reftransV1_0045682","p.persica_gdr_reftransV1_0045682")</f>
        <v>p.persica_gdr_reftransV1_0045682</v>
      </c>
      <c r="B9029" s="3">
        <v>349</v>
      </c>
      <c r="C9029" s="1" t="str">
        <f>HYPERLINK("http://www.uniprot.org/uniprot/10HGO_CATRO","10HGO_CATRO")</f>
        <v>10HGO_CATRO</v>
      </c>
      <c r="D9029" t="s">
        <v>6841</v>
      </c>
      <c r="E9029" s="3" t="s">
        <v>457</v>
      </c>
      <c r="F9029" s="4">
        <v>1.98E-42</v>
      </c>
      <c r="G9029" s="3">
        <v>373</v>
      </c>
      <c r="H9029" s="3">
        <v>89</v>
      </c>
      <c r="I9029" s="3">
        <v>74</v>
      </c>
      <c r="J9029" s="3">
        <v>69</v>
      </c>
      <c r="K9029" s="3">
        <v>290</v>
      </c>
      <c r="L9029" s="3">
        <v>1</v>
      </c>
      <c r="M9029" s="3">
        <v>74</v>
      </c>
    </row>
    <row r="9030" spans="1:13" x14ac:dyDescent="0.25">
      <c r="A9030" s="1" t="str">
        <f>HYPERLINK("http://www.rosaceae.org/Prunus/Prunus_persica/p.persica_gdr_reftransV1_0045732","p.persica_gdr_reftransV1_0045732")</f>
        <v>p.persica_gdr_reftransV1_0045732</v>
      </c>
      <c r="B9030" s="3">
        <v>2070</v>
      </c>
      <c r="C9030" s="1" t="str">
        <f>HYPERLINK("http://www.uniprot.org/uniprot/MCMBP_ARATH","MCMBP_ARATH")</f>
        <v>MCMBP_ARATH</v>
      </c>
      <c r="D9030" t="s">
        <v>3462</v>
      </c>
      <c r="E9030" s="3" t="s">
        <v>3</v>
      </c>
      <c r="F9030" s="4">
        <v>0</v>
      </c>
      <c r="G9030" s="3">
        <v>1812</v>
      </c>
      <c r="H9030" s="3">
        <v>61</v>
      </c>
      <c r="I9030" s="3">
        <v>579</v>
      </c>
      <c r="J9030" s="3">
        <v>211</v>
      </c>
      <c r="K9030" s="3">
        <v>1938</v>
      </c>
      <c r="L9030" s="3">
        <v>1</v>
      </c>
      <c r="M9030" s="3">
        <v>577</v>
      </c>
    </row>
    <row r="9031" spans="1:13" x14ac:dyDescent="0.25">
      <c r="A9031" s="1" t="str">
        <f>HYPERLINK("http://www.rosaceae.org/Prunus/Prunus_persica/p.persica_gdr_reftransV1_0045832","p.persica_gdr_reftransV1_0045832")</f>
        <v>p.persica_gdr_reftransV1_0045832</v>
      </c>
      <c r="B9031" s="3">
        <v>1226</v>
      </c>
      <c r="C9031" s="1" t="str">
        <f>HYPERLINK("http://www.uniprot.org/uniprot/R18A2_ARATH","R18A2_ARATH")</f>
        <v>R18A2_ARATH</v>
      </c>
      <c r="D9031" t="s">
        <v>6842</v>
      </c>
      <c r="E9031" s="3" t="s">
        <v>3</v>
      </c>
      <c r="F9031" s="4">
        <v>2.8600000000000002E-90</v>
      </c>
      <c r="G9031" s="3">
        <v>708</v>
      </c>
      <c r="H9031" s="3">
        <v>94</v>
      </c>
      <c r="I9031" s="3">
        <v>139</v>
      </c>
      <c r="J9031" s="3">
        <v>493</v>
      </c>
      <c r="K9031" s="3">
        <v>909</v>
      </c>
      <c r="L9031" s="3">
        <v>40</v>
      </c>
      <c r="M9031" s="3">
        <v>178</v>
      </c>
    </row>
    <row r="9032" spans="1:13" x14ac:dyDescent="0.25">
      <c r="A9032" s="1" t="str">
        <f>HYPERLINK("http://www.rosaceae.org/Prunus/Prunus_persica/p.persica_gdr_reftransV1_0045882","p.persica_gdr_reftransV1_0045882")</f>
        <v>p.persica_gdr_reftransV1_0045882</v>
      </c>
      <c r="B9032" s="3">
        <v>1002</v>
      </c>
      <c r="C9032" s="1" t="str">
        <f>HYPERLINK("http://www.uniprot.org/uniprot/Y575_SYNY3","Y575_SYNY3")</f>
        <v>Y575_SYNY3</v>
      </c>
      <c r="D9032" t="s">
        <v>6843</v>
      </c>
      <c r="E9032" s="3" t="s">
        <v>527</v>
      </c>
      <c r="F9032" s="4">
        <v>3.0400000000000001E-25</v>
      </c>
      <c r="G9032" s="3">
        <v>260</v>
      </c>
      <c r="H9032" s="3">
        <v>41</v>
      </c>
      <c r="I9032" s="3">
        <v>147</v>
      </c>
      <c r="J9032" s="3">
        <v>162</v>
      </c>
      <c r="K9032" s="3">
        <v>596</v>
      </c>
      <c r="L9032" s="3">
        <v>40</v>
      </c>
      <c r="M9032" s="3">
        <v>180</v>
      </c>
    </row>
    <row r="9033" spans="1:13" x14ac:dyDescent="0.25">
      <c r="A9033" s="1" t="str">
        <f>HYPERLINK("http://www.rosaceae.org/Prunus/Prunus_persica/p.persica_gdr_reftransV1_0045982","p.persica_gdr_reftransV1_0045982")</f>
        <v>p.persica_gdr_reftransV1_0045982</v>
      </c>
      <c r="B9033" s="3">
        <v>2172</v>
      </c>
      <c r="C9033" s="1" t="str">
        <f>HYPERLINK("http://www.uniprot.org/uniprot/CDPKK_ARATH","CDPKK_ARATH")</f>
        <v>CDPKK_ARATH</v>
      </c>
      <c r="D9033" t="s">
        <v>5670</v>
      </c>
      <c r="E9033" s="3" t="s">
        <v>3</v>
      </c>
      <c r="F9033" s="4">
        <v>0</v>
      </c>
      <c r="G9033" s="3">
        <v>2356</v>
      </c>
      <c r="H9033" s="3">
        <v>74</v>
      </c>
      <c r="I9033" s="3">
        <v>605</v>
      </c>
      <c r="J9033" s="3">
        <v>300</v>
      </c>
      <c r="K9033" s="3">
        <v>2081</v>
      </c>
      <c r="L9033" s="3">
        <v>1</v>
      </c>
      <c r="M9033" s="3">
        <v>577</v>
      </c>
    </row>
    <row r="9034" spans="1:13" x14ac:dyDescent="0.25">
      <c r="A9034" s="1" t="str">
        <f>HYPERLINK("http://www.rosaceae.org/Prunus/Prunus_persica/p.persica_gdr_reftransV1_0046032","p.persica_gdr_reftransV1_0046032")</f>
        <v>p.persica_gdr_reftransV1_0046032</v>
      </c>
      <c r="B9034" s="3">
        <v>1371</v>
      </c>
      <c r="C9034" s="1" t="str">
        <f>HYPERLINK("http://www.uniprot.org/uniprot/DNAT1_ARATH","DNAT1_ARATH")</f>
        <v>DNAT1_ARATH</v>
      </c>
      <c r="D9034" t="s">
        <v>5533</v>
      </c>
      <c r="E9034" s="3" t="s">
        <v>3</v>
      </c>
      <c r="F9034" s="4">
        <v>2.38E-65</v>
      </c>
      <c r="G9034" s="3">
        <v>543</v>
      </c>
      <c r="H9034" s="3">
        <v>66</v>
      </c>
      <c r="I9034" s="3">
        <v>149</v>
      </c>
      <c r="J9034" s="3">
        <v>89</v>
      </c>
      <c r="K9034" s="3">
        <v>535</v>
      </c>
      <c r="L9034" s="3">
        <v>8</v>
      </c>
      <c r="M9034" s="3">
        <v>156</v>
      </c>
    </row>
    <row r="9035" spans="1:13" x14ac:dyDescent="0.25">
      <c r="A9035" s="1" t="str">
        <f>HYPERLINK("http://www.rosaceae.org/Prunus/Prunus_persica/p.persica_gdr_reftransV1_0046132","p.persica_gdr_reftransV1_0046132")</f>
        <v>p.persica_gdr_reftransV1_0046132</v>
      </c>
      <c r="B9035" s="3">
        <v>1911</v>
      </c>
      <c r="C9035" s="1" t="str">
        <f>HYPERLINK("http://www.uniprot.org/uniprot/APR3_ARATH","APR3_ARATH")</f>
        <v>APR3_ARATH</v>
      </c>
      <c r="D9035" t="s">
        <v>2348</v>
      </c>
      <c r="E9035" s="3" t="s">
        <v>3</v>
      </c>
      <c r="F9035" s="4">
        <v>0</v>
      </c>
      <c r="G9035" s="3">
        <v>1686</v>
      </c>
      <c r="H9035" s="3">
        <v>73</v>
      </c>
      <c r="I9035" s="3">
        <v>415</v>
      </c>
      <c r="J9035" s="3">
        <v>269</v>
      </c>
      <c r="K9035" s="3">
        <v>1513</v>
      </c>
      <c r="L9035" s="3">
        <v>53</v>
      </c>
      <c r="M9035" s="3">
        <v>458</v>
      </c>
    </row>
    <row r="9036" spans="1:13" x14ac:dyDescent="0.25">
      <c r="A9036" s="1" t="str">
        <f>HYPERLINK("http://www.rosaceae.org/Prunus/Prunus_persica/p.persica_gdr_reftransV1_0046232","p.persica_gdr_reftransV1_0046232")</f>
        <v>p.persica_gdr_reftransV1_0046232</v>
      </c>
      <c r="B9036" s="3">
        <v>2521</v>
      </c>
      <c r="C9036" s="1" t="str">
        <f>HYPERLINK("http://www.uniprot.org/uniprot/HST_ARATH","HST_ARATH")</f>
        <v>HST_ARATH</v>
      </c>
      <c r="D9036" t="s">
        <v>2435</v>
      </c>
      <c r="E9036" s="3" t="s">
        <v>3</v>
      </c>
      <c r="F9036" s="4">
        <v>0</v>
      </c>
      <c r="G9036" s="3">
        <v>1685</v>
      </c>
      <c r="H9036" s="3">
        <v>71</v>
      </c>
      <c r="I9036" s="3">
        <v>439</v>
      </c>
      <c r="J9036" s="3">
        <v>212</v>
      </c>
      <c r="K9036" s="3">
        <v>1522</v>
      </c>
      <c r="L9036" s="3">
        <v>1</v>
      </c>
      <c r="M9036" s="3">
        <v>433</v>
      </c>
    </row>
    <row r="9037" spans="1:13" x14ac:dyDescent="0.25">
      <c r="A9037" s="1" t="str">
        <f>HYPERLINK("http://www.rosaceae.org/Prunus/Prunus_persica/p.persica_gdr_reftransV1_0046382","p.persica_gdr_reftransV1_0046382")</f>
        <v>p.persica_gdr_reftransV1_0046382</v>
      </c>
      <c r="B9037" s="3">
        <v>2034</v>
      </c>
      <c r="C9037" s="1" t="str">
        <f>HYPERLINK("http://www.uniprot.org/uniprot/ACR11_ARATH","ACR11_ARATH")</f>
        <v>ACR11_ARATH</v>
      </c>
      <c r="D9037" t="s">
        <v>6844</v>
      </c>
      <c r="E9037" s="3" t="s">
        <v>3</v>
      </c>
      <c r="F9037" s="4">
        <v>6.5800000000000001E-77</v>
      </c>
      <c r="G9037" s="3">
        <v>649</v>
      </c>
      <c r="H9037" s="3">
        <v>81</v>
      </c>
      <c r="I9037" s="3">
        <v>146</v>
      </c>
      <c r="J9037" s="3">
        <v>1397</v>
      </c>
      <c r="K9037" s="3">
        <v>1834</v>
      </c>
      <c r="L9037" s="3">
        <v>145</v>
      </c>
      <c r="M9037" s="3">
        <v>290</v>
      </c>
    </row>
    <row r="9038" spans="1:13" x14ac:dyDescent="0.25">
      <c r="A9038" s="1" t="str">
        <f>HYPERLINK("http://www.rosaceae.org/Prunus/Prunus_persica/p.persica_gdr_reftransV1_0046432","p.persica_gdr_reftransV1_0046432")</f>
        <v>p.persica_gdr_reftransV1_0046432</v>
      </c>
      <c r="B9038" s="3">
        <v>2094</v>
      </c>
      <c r="C9038" s="1" t="str">
        <f>HYPERLINK("http://www.uniprot.org/uniprot/PPR26_ARATH","PPR26_ARATH")</f>
        <v>PPR26_ARATH</v>
      </c>
      <c r="D9038" t="s">
        <v>4993</v>
      </c>
      <c r="E9038" s="3" t="s">
        <v>3</v>
      </c>
      <c r="F9038" s="4">
        <v>5.4700000000000002E-11</v>
      </c>
      <c r="G9038" s="3">
        <v>169</v>
      </c>
      <c r="H9038" s="3">
        <v>25</v>
      </c>
      <c r="I9038" s="3">
        <v>223</v>
      </c>
      <c r="J9038" s="3">
        <v>1144</v>
      </c>
      <c r="K9038" s="3">
        <v>1809</v>
      </c>
      <c r="L9038" s="3">
        <v>348</v>
      </c>
      <c r="M9038" s="3">
        <v>567</v>
      </c>
    </row>
    <row r="9039" spans="1:13" x14ac:dyDescent="0.25">
      <c r="A9039" s="1" t="str">
        <f>HYPERLINK("http://www.rosaceae.org/Prunus/Prunus_persica/p.persica_gdr_reftransV1_0046582","p.persica_gdr_reftransV1_0046582")</f>
        <v>p.persica_gdr_reftransV1_0046582</v>
      </c>
      <c r="B9039" s="3">
        <v>951</v>
      </c>
      <c r="C9039" s="1" t="str">
        <f>HYPERLINK("http://www.uniprot.org/uniprot/RR9_ARATH","RR9_ARATH")</f>
        <v>RR9_ARATH</v>
      </c>
      <c r="D9039" t="s">
        <v>6845</v>
      </c>
      <c r="E9039" s="3" t="s">
        <v>3</v>
      </c>
      <c r="F9039" s="4">
        <v>4.8899999999999997E-87</v>
      </c>
      <c r="G9039" s="3">
        <v>681</v>
      </c>
      <c r="H9039" s="3">
        <v>78</v>
      </c>
      <c r="I9039" s="3">
        <v>185</v>
      </c>
      <c r="J9039" s="3">
        <v>182</v>
      </c>
      <c r="K9039" s="3">
        <v>730</v>
      </c>
      <c r="L9039" s="3">
        <v>24</v>
      </c>
      <c r="M9039" s="3">
        <v>208</v>
      </c>
    </row>
    <row r="9040" spans="1:13" x14ac:dyDescent="0.25">
      <c r="A9040" s="1" t="str">
        <f>HYPERLINK("http://www.rosaceae.org/Prunus/Prunus_persica/p.persica_gdr_reftransV1_0046632","p.persica_gdr_reftransV1_0046632")</f>
        <v>p.persica_gdr_reftransV1_0046632</v>
      </c>
      <c r="B9040" s="3">
        <v>2291</v>
      </c>
      <c r="C9040" s="1" t="str">
        <f>HYPERLINK("http://www.uniprot.org/uniprot/TENAC_ARATH","TENAC_ARATH")</f>
        <v>TENAC_ARATH</v>
      </c>
      <c r="D9040" t="s">
        <v>6846</v>
      </c>
      <c r="E9040" s="3" t="s">
        <v>3</v>
      </c>
      <c r="F9040" s="4">
        <v>0</v>
      </c>
      <c r="G9040" s="3">
        <v>1239</v>
      </c>
      <c r="H9040" s="3">
        <v>72</v>
      </c>
      <c r="I9040" s="3">
        <v>352</v>
      </c>
      <c r="J9040" s="3">
        <v>710</v>
      </c>
      <c r="K9040" s="3">
        <v>1750</v>
      </c>
      <c r="L9040" s="3">
        <v>267</v>
      </c>
      <c r="M9040" s="3">
        <v>616</v>
      </c>
    </row>
    <row r="9041" spans="1:13" x14ac:dyDescent="0.25">
      <c r="A9041" s="1" t="str">
        <f>HYPERLINK("http://www.rosaceae.org/Prunus/Prunus_persica/p.persica_gdr_reftransV1_0046682","p.persica_gdr_reftransV1_0046682")</f>
        <v>p.persica_gdr_reftransV1_0046682</v>
      </c>
      <c r="B9041" s="3">
        <v>3619</v>
      </c>
      <c r="C9041" s="1" t="str">
        <f>HYPERLINK("http://www.uniprot.org/uniprot/AP4E_ARATH","AP4E_ARATH")</f>
        <v>AP4E_ARATH</v>
      </c>
      <c r="D9041" t="s">
        <v>6408</v>
      </c>
      <c r="E9041" s="3" t="s">
        <v>3</v>
      </c>
      <c r="F9041" s="4">
        <v>0</v>
      </c>
      <c r="G9041" s="3">
        <v>2075</v>
      </c>
      <c r="H9041" s="3">
        <v>87</v>
      </c>
      <c r="I9041" s="3">
        <v>438</v>
      </c>
      <c r="J9041" s="3">
        <v>176</v>
      </c>
      <c r="K9041" s="3">
        <v>1489</v>
      </c>
      <c r="L9041" s="3">
        <v>1</v>
      </c>
      <c r="M9041" s="3">
        <v>438</v>
      </c>
    </row>
    <row r="9042" spans="1:13" x14ac:dyDescent="0.25">
      <c r="A9042" s="1" t="str">
        <f>HYPERLINK("http://www.rosaceae.org/Prunus/Prunus_persica/p.persica_gdr_reftransV1_0046782","p.persica_gdr_reftransV1_0046782")</f>
        <v>p.persica_gdr_reftransV1_0046782</v>
      </c>
      <c r="B9042" s="3">
        <v>1442</v>
      </c>
      <c r="C9042" s="1" t="str">
        <f>HYPERLINK("http://www.uniprot.org/uniprot/CNG14_ARATH","CNG14_ARATH")</f>
        <v>CNG14_ARATH</v>
      </c>
      <c r="D9042" t="s">
        <v>6847</v>
      </c>
      <c r="E9042" s="3" t="s">
        <v>3</v>
      </c>
      <c r="F9042" s="4">
        <v>0</v>
      </c>
      <c r="G9042" s="3">
        <v>1429</v>
      </c>
      <c r="H9042" s="3">
        <v>77</v>
      </c>
      <c r="I9042" s="3">
        <v>361</v>
      </c>
      <c r="J9042" s="3">
        <v>1</v>
      </c>
      <c r="K9042" s="3">
        <v>1068</v>
      </c>
      <c r="L9042" s="3">
        <v>366</v>
      </c>
      <c r="M9042" s="3">
        <v>725</v>
      </c>
    </row>
    <row r="9043" spans="1:13" x14ac:dyDescent="0.25">
      <c r="A9043" s="1" t="str">
        <f>HYPERLINK("http://www.rosaceae.org/Prunus/Prunus_persica/p.persica_gdr_reftransV1_0046832","p.persica_gdr_reftransV1_0046832")</f>
        <v>p.persica_gdr_reftransV1_0046832</v>
      </c>
      <c r="B9043" s="3">
        <v>745</v>
      </c>
      <c r="C9043" s="1" t="str">
        <f>HYPERLINK("http://www.uniprot.org/uniprot/TPC6B_HUMAN","TPC6B_HUMAN")</f>
        <v>TPC6B_HUMAN</v>
      </c>
      <c r="D9043" t="s">
        <v>6848</v>
      </c>
      <c r="E9043" s="3" t="s">
        <v>28</v>
      </c>
      <c r="F9043" s="4">
        <v>3.4999999999999998E-10</v>
      </c>
      <c r="G9043" s="3">
        <v>145</v>
      </c>
      <c r="H9043" s="3">
        <v>35</v>
      </c>
      <c r="I9043" s="3">
        <v>86</v>
      </c>
      <c r="J9043" s="3">
        <v>296</v>
      </c>
      <c r="K9043" s="3">
        <v>553</v>
      </c>
      <c r="L9043" s="3">
        <v>90</v>
      </c>
      <c r="M9043" s="3">
        <v>157</v>
      </c>
    </row>
    <row r="9044" spans="1:13" x14ac:dyDescent="0.25">
      <c r="A9044" s="1" t="str">
        <f>HYPERLINK("http://www.rosaceae.org/Prunus/Prunus_persica/p.persica_gdr_reftransV1_0046882","p.persica_gdr_reftransV1_0046882")</f>
        <v>p.persica_gdr_reftransV1_0046882</v>
      </c>
      <c r="B9044" s="3">
        <v>491</v>
      </c>
      <c r="C9044" s="1" t="str">
        <f>HYPERLINK("http://www.uniprot.org/uniprot/C7A12_PANGI","C7A12_PANGI")</f>
        <v>C7A12_PANGI</v>
      </c>
      <c r="D9044" t="s">
        <v>5987</v>
      </c>
      <c r="E9044" s="3" t="s">
        <v>1477</v>
      </c>
      <c r="F9044" s="4">
        <v>1.57E-46</v>
      </c>
      <c r="G9044" s="3">
        <v>414</v>
      </c>
      <c r="H9044" s="3">
        <v>47</v>
      </c>
      <c r="I9044" s="3">
        <v>169</v>
      </c>
      <c r="J9044" s="3">
        <v>2</v>
      </c>
      <c r="K9044" s="3">
        <v>490</v>
      </c>
      <c r="L9044" s="3">
        <v>215</v>
      </c>
      <c r="M9044" s="3">
        <v>383</v>
      </c>
    </row>
    <row r="9045" spans="1:13" x14ac:dyDescent="0.25">
      <c r="A9045" s="1" t="str">
        <f>HYPERLINK("http://www.rosaceae.org/Prunus/Prunus_persica/p.persica_gdr_reftransV1_0046932","p.persica_gdr_reftransV1_0046932")</f>
        <v>p.persica_gdr_reftransV1_0046932</v>
      </c>
      <c r="B9045" s="3">
        <v>2325</v>
      </c>
      <c r="C9045" s="1" t="str">
        <f>HYPERLINK("http://www.uniprot.org/uniprot/FBL78_ARATH","FBL78_ARATH")</f>
        <v>FBL78_ARATH</v>
      </c>
      <c r="D9045" t="s">
        <v>6849</v>
      </c>
      <c r="E9045" s="3" t="s">
        <v>3</v>
      </c>
      <c r="F9045" s="4">
        <v>2.4400000000000001E-11</v>
      </c>
      <c r="G9045" s="3">
        <v>171</v>
      </c>
      <c r="H9045" s="3">
        <v>30</v>
      </c>
      <c r="I9045" s="3">
        <v>281</v>
      </c>
      <c r="J9045" s="3">
        <v>629</v>
      </c>
      <c r="K9045" s="3">
        <v>1417</v>
      </c>
      <c r="L9045" s="3">
        <v>27</v>
      </c>
      <c r="M9045" s="3">
        <v>272</v>
      </c>
    </row>
    <row r="9046" spans="1:13" x14ac:dyDescent="0.25">
      <c r="A9046" s="1" t="str">
        <f>HYPERLINK("http://www.rosaceae.org/Prunus/Prunus_persica/p.persica_gdr_reftransV1_0047082","p.persica_gdr_reftransV1_0047082")</f>
        <v>p.persica_gdr_reftransV1_0047082</v>
      </c>
      <c r="B9046" s="3">
        <v>1819</v>
      </c>
      <c r="C9046" s="1" t="str">
        <f>HYPERLINK("http://www.uniprot.org/uniprot/UBP12_ARATH","UBP12_ARATH")</f>
        <v>UBP12_ARATH</v>
      </c>
      <c r="D9046" t="s">
        <v>5651</v>
      </c>
      <c r="E9046" s="3" t="s">
        <v>3</v>
      </c>
      <c r="F9046" s="4">
        <v>2.0299999999999998E-46</v>
      </c>
      <c r="G9046" s="3">
        <v>458</v>
      </c>
      <c r="H9046" s="3">
        <v>57</v>
      </c>
      <c r="I9046" s="3">
        <v>141</v>
      </c>
      <c r="J9046" s="3">
        <v>87</v>
      </c>
      <c r="K9046" s="3">
        <v>509</v>
      </c>
      <c r="L9046" s="3">
        <v>44</v>
      </c>
      <c r="M9046" s="3">
        <v>184</v>
      </c>
    </row>
    <row r="9047" spans="1:13" x14ac:dyDescent="0.25">
      <c r="A9047" s="1" t="str">
        <f>HYPERLINK("http://www.rosaceae.org/Prunus/Prunus_persica/p.persica_gdr_reftransV1_0047132","p.persica_gdr_reftransV1_0047132")</f>
        <v>p.persica_gdr_reftransV1_0047132</v>
      </c>
      <c r="B9047" s="3">
        <v>513</v>
      </c>
      <c r="C9047" s="1" t="str">
        <f>HYPERLINK("http://www.uniprot.org/uniprot/Y4845_ARATH","Y4845_ARATH")</f>
        <v>Y4845_ARATH</v>
      </c>
      <c r="D9047" t="s">
        <v>466</v>
      </c>
      <c r="E9047" s="3" t="s">
        <v>3</v>
      </c>
      <c r="F9047" s="4">
        <v>6.5899999999999996E-47</v>
      </c>
      <c r="G9047" s="3">
        <v>402</v>
      </c>
      <c r="H9047" s="3">
        <v>65</v>
      </c>
      <c r="I9047" s="3">
        <v>117</v>
      </c>
      <c r="J9047" s="3">
        <v>3</v>
      </c>
      <c r="K9047" s="3">
        <v>353</v>
      </c>
      <c r="L9047" s="3">
        <v>112</v>
      </c>
      <c r="M9047" s="3">
        <v>228</v>
      </c>
    </row>
    <row r="9048" spans="1:13" x14ac:dyDescent="0.25">
      <c r="A9048" s="1" t="str">
        <f>HYPERLINK("http://www.rosaceae.org/Prunus/Prunus_persica/p.persica_gdr_reftransV1_0047232","p.persica_gdr_reftransV1_0047232")</f>
        <v>p.persica_gdr_reftransV1_0047232</v>
      </c>
      <c r="B9048" s="3">
        <v>1559</v>
      </c>
      <c r="C9048" s="1" t="str">
        <f>HYPERLINK("http://www.uniprot.org/uniprot/TL225_ARATH","TL225_ARATH")</f>
        <v>TL225_ARATH</v>
      </c>
      <c r="D9048" t="s">
        <v>5988</v>
      </c>
      <c r="E9048" s="3" t="s">
        <v>3</v>
      </c>
      <c r="F9048" s="4">
        <v>5.7099999999999997E-50</v>
      </c>
      <c r="G9048" s="3">
        <v>296</v>
      </c>
      <c r="H9048" s="3">
        <v>87</v>
      </c>
      <c r="I9048" s="3">
        <v>63</v>
      </c>
      <c r="J9048" s="3">
        <v>1128</v>
      </c>
      <c r="K9048" s="3">
        <v>1316</v>
      </c>
      <c r="L9048" s="3">
        <v>218</v>
      </c>
      <c r="M9048" s="3">
        <v>280</v>
      </c>
    </row>
    <row r="9049" spans="1:13" x14ac:dyDescent="0.25">
      <c r="A9049" s="1" t="str">
        <f>HYPERLINK("http://www.rosaceae.org/Prunus/Prunus_persica/p.persica_gdr_reftransV1_0047282","p.persica_gdr_reftransV1_0047282")</f>
        <v>p.persica_gdr_reftransV1_0047282</v>
      </c>
      <c r="B9049" s="3">
        <v>384</v>
      </c>
      <c r="C9049" s="1" t="str">
        <f>HYPERLINK("http://www.uniprot.org/uniprot/FON1_ORYSJ","FON1_ORYSJ")</f>
        <v>FON1_ORYSJ</v>
      </c>
      <c r="D9049" t="s">
        <v>6850</v>
      </c>
      <c r="E9049" s="3" t="s">
        <v>38</v>
      </c>
      <c r="F9049" s="4">
        <v>1.24E-19</v>
      </c>
      <c r="G9049" s="3">
        <v>219</v>
      </c>
      <c r="H9049" s="3">
        <v>42</v>
      </c>
      <c r="I9049" s="3">
        <v>125</v>
      </c>
      <c r="J9049" s="3">
        <v>1</v>
      </c>
      <c r="K9049" s="3">
        <v>375</v>
      </c>
      <c r="L9049" s="3">
        <v>474</v>
      </c>
      <c r="M9049" s="3">
        <v>598</v>
      </c>
    </row>
    <row r="9050" spans="1:13" x14ac:dyDescent="0.25">
      <c r="A9050" s="1" t="str">
        <f>HYPERLINK("http://www.rosaceae.org/Prunus/Prunus_persica/p.persica_gdr_reftransV1_0047532","p.persica_gdr_reftransV1_0047532")</f>
        <v>p.persica_gdr_reftransV1_0047532</v>
      </c>
      <c r="B9050" s="3">
        <v>1134</v>
      </c>
      <c r="C9050" s="1" t="str">
        <f>HYPERLINK("http://www.uniprot.org/uniprot/BH030_ARATH","BH030_ARATH")</f>
        <v>BH030_ARATH</v>
      </c>
      <c r="D9050" t="s">
        <v>2098</v>
      </c>
      <c r="E9050" s="3" t="s">
        <v>3</v>
      </c>
      <c r="F9050" s="4">
        <v>2.0199999999999999E-88</v>
      </c>
      <c r="G9050" s="3">
        <v>710</v>
      </c>
      <c r="H9050" s="3">
        <v>70</v>
      </c>
      <c r="I9050" s="3">
        <v>266</v>
      </c>
      <c r="J9050" s="3">
        <v>75</v>
      </c>
      <c r="K9050" s="3">
        <v>833</v>
      </c>
      <c r="L9050" s="3">
        <v>99</v>
      </c>
      <c r="M9050" s="3">
        <v>349</v>
      </c>
    </row>
    <row r="9051" spans="1:13" x14ac:dyDescent="0.25">
      <c r="A9051" s="1" t="str">
        <f>HYPERLINK("http://www.rosaceae.org/Prunus/Prunus_persica/p.persica_gdr_reftransV1_0047582","p.persica_gdr_reftransV1_0047582")</f>
        <v>p.persica_gdr_reftransV1_0047582</v>
      </c>
      <c r="B9051" s="3">
        <v>832</v>
      </c>
      <c r="C9051" s="1" t="str">
        <f>HYPERLINK("http://www.uniprot.org/uniprot/GUN2_ARATH","GUN2_ARATH")</f>
        <v>GUN2_ARATH</v>
      </c>
      <c r="D9051" t="s">
        <v>6851</v>
      </c>
      <c r="E9051" s="3" t="s">
        <v>3</v>
      </c>
      <c r="F9051" s="4">
        <v>2.9200000000000001E-80</v>
      </c>
      <c r="G9051" s="3">
        <v>657</v>
      </c>
      <c r="H9051" s="3">
        <v>74</v>
      </c>
      <c r="I9051" s="3">
        <v>172</v>
      </c>
      <c r="J9051" s="3">
        <v>63</v>
      </c>
      <c r="K9051" s="3">
        <v>578</v>
      </c>
      <c r="L9051" s="3">
        <v>344</v>
      </c>
      <c r="M9051" s="3">
        <v>515</v>
      </c>
    </row>
    <row r="9052" spans="1:13" x14ac:dyDescent="0.25">
      <c r="A9052" s="1" t="str">
        <f>HYPERLINK("http://www.rosaceae.org/Prunus/Prunus_persica/p.persica_gdr_reftransV1_0047632","p.persica_gdr_reftransV1_0047632")</f>
        <v>p.persica_gdr_reftransV1_0047632</v>
      </c>
      <c r="B9052" s="3">
        <v>2233</v>
      </c>
      <c r="C9052" s="1" t="str">
        <f>HYPERLINK("http://www.uniprot.org/uniprot/LYK4_ARATH","LYK4_ARATH")</f>
        <v>LYK4_ARATH</v>
      </c>
      <c r="D9052" t="s">
        <v>3180</v>
      </c>
      <c r="E9052" s="3" t="s">
        <v>3</v>
      </c>
      <c r="F9052" s="4">
        <v>4.1599999999999998E-80</v>
      </c>
      <c r="G9052" s="3">
        <v>701</v>
      </c>
      <c r="H9052" s="3">
        <v>33</v>
      </c>
      <c r="I9052" s="3">
        <v>598</v>
      </c>
      <c r="J9052" s="3">
        <v>177</v>
      </c>
      <c r="K9052" s="3">
        <v>1883</v>
      </c>
      <c r="L9052" s="3">
        <v>45</v>
      </c>
      <c r="M9052" s="3">
        <v>599</v>
      </c>
    </row>
    <row r="9053" spans="1:13" x14ac:dyDescent="0.25">
      <c r="A9053" s="1" t="str">
        <f>HYPERLINK("http://www.rosaceae.org/Prunus/Prunus_persica/p.persica_gdr_reftransV1_0047732","p.persica_gdr_reftransV1_0047732")</f>
        <v>p.persica_gdr_reftransV1_0047732</v>
      </c>
      <c r="B9053" s="3">
        <v>4551</v>
      </c>
      <c r="C9053" s="1" t="str">
        <f>HYPERLINK("http://www.uniprot.org/uniprot/PMA1_SOLLC","PMA1_SOLLC")</f>
        <v>PMA1_SOLLC</v>
      </c>
      <c r="D9053" t="s">
        <v>680</v>
      </c>
      <c r="E9053" s="3" t="s">
        <v>64</v>
      </c>
      <c r="F9053" s="4">
        <v>0</v>
      </c>
      <c r="G9053" s="3">
        <v>3958</v>
      </c>
      <c r="H9053" s="3">
        <v>89</v>
      </c>
      <c r="I9053" s="3">
        <v>956</v>
      </c>
      <c r="J9053" s="3">
        <v>215</v>
      </c>
      <c r="K9053" s="3">
        <v>3082</v>
      </c>
      <c r="L9053" s="3">
        <v>1</v>
      </c>
      <c r="M9053" s="3">
        <v>956</v>
      </c>
    </row>
    <row r="9054" spans="1:13" x14ac:dyDescent="0.25">
      <c r="A9054" s="1" t="str">
        <f>HYPERLINK("http://www.rosaceae.org/Prunus/Prunus_persica/p.persica_gdr_reftransV1_0047932","p.persica_gdr_reftransV1_0047932")</f>
        <v>p.persica_gdr_reftransV1_0047932</v>
      </c>
      <c r="B9054" s="3">
        <v>750</v>
      </c>
      <c r="C9054" s="1" t="str">
        <f>HYPERLINK("http://www.uniprot.org/uniprot/YFK5_SCHPO","YFK5_SCHPO")</f>
        <v>YFK5_SCHPO</v>
      </c>
      <c r="D9054" t="s">
        <v>3356</v>
      </c>
      <c r="E9054" s="3" t="s">
        <v>464</v>
      </c>
      <c r="F9054" s="4">
        <v>5.1600000000000001E-7</v>
      </c>
      <c r="G9054" s="3">
        <v>128</v>
      </c>
      <c r="H9054" s="3">
        <v>28</v>
      </c>
      <c r="I9054" s="3">
        <v>162</v>
      </c>
      <c r="J9054" s="3">
        <v>150</v>
      </c>
      <c r="K9054" s="3">
        <v>602</v>
      </c>
      <c r="L9054" s="3">
        <v>435</v>
      </c>
      <c r="M9054" s="3">
        <v>571</v>
      </c>
    </row>
    <row r="9055" spans="1:13" x14ac:dyDescent="0.25">
      <c r="A9055" s="1" t="str">
        <f>HYPERLINK("http://www.rosaceae.org/Prunus/Prunus_persica/p.persica_gdr_reftransV1_0047982","p.persica_gdr_reftransV1_0047982")</f>
        <v>p.persica_gdr_reftransV1_0047982</v>
      </c>
      <c r="B9055" s="3">
        <v>1556</v>
      </c>
      <c r="C9055" s="1" t="str">
        <f>HYPERLINK("http://www.uniprot.org/uniprot/TOLB_RHOPA","TOLB_RHOPA")</f>
        <v>TOLB_RHOPA</v>
      </c>
      <c r="D9055" t="s">
        <v>6852</v>
      </c>
      <c r="E9055" s="3" t="s">
        <v>4398</v>
      </c>
      <c r="F9055" s="4">
        <v>2.0500000000000002E-15</v>
      </c>
      <c r="G9055" s="3">
        <v>202</v>
      </c>
      <c r="H9055" s="3">
        <v>27</v>
      </c>
      <c r="I9055" s="3">
        <v>286</v>
      </c>
      <c r="J9055" s="3">
        <v>32</v>
      </c>
      <c r="K9055" s="3">
        <v>832</v>
      </c>
      <c r="L9055" s="3">
        <v>188</v>
      </c>
      <c r="M9055" s="3">
        <v>441</v>
      </c>
    </row>
    <row r="9056" spans="1:13" x14ac:dyDescent="0.25">
      <c r="A9056" s="1" t="str">
        <f>HYPERLINK("http://www.rosaceae.org/Prunus/Prunus_persica/p.persica_gdr_reftransV1_0048032","p.persica_gdr_reftransV1_0048032")</f>
        <v>p.persica_gdr_reftransV1_0048032</v>
      </c>
      <c r="B9056" s="3">
        <v>2882</v>
      </c>
      <c r="C9056" s="1" t="str">
        <f>HYPERLINK("http://www.uniprot.org/uniprot/LDL1_ARATH","LDL1_ARATH")</f>
        <v>LDL1_ARATH</v>
      </c>
      <c r="D9056" t="s">
        <v>6853</v>
      </c>
      <c r="E9056" s="3" t="s">
        <v>3</v>
      </c>
      <c r="F9056" s="4">
        <v>0</v>
      </c>
      <c r="G9056" s="3">
        <v>2530</v>
      </c>
      <c r="H9056" s="3">
        <v>73</v>
      </c>
      <c r="I9056" s="3">
        <v>709</v>
      </c>
      <c r="J9056" s="3">
        <v>437</v>
      </c>
      <c r="K9056" s="3">
        <v>2536</v>
      </c>
      <c r="L9056" s="3">
        <v>135</v>
      </c>
      <c r="M9056" s="3">
        <v>839</v>
      </c>
    </row>
    <row r="9057" spans="1:13" x14ac:dyDescent="0.25">
      <c r="A9057" s="1" t="str">
        <f>HYPERLINK("http://www.rosaceae.org/Prunus/Prunus_persica/p.persica_gdr_reftransV1_0048082","p.persica_gdr_reftransV1_0048082")</f>
        <v>p.persica_gdr_reftransV1_0048082</v>
      </c>
      <c r="B9057" s="3">
        <v>654</v>
      </c>
      <c r="C9057" s="1" t="str">
        <f>HYPERLINK("http://www.uniprot.org/uniprot/IBH1_ARATH","IBH1_ARATH")</f>
        <v>IBH1_ARATH</v>
      </c>
      <c r="D9057" t="s">
        <v>4584</v>
      </c>
      <c r="E9057" s="3" t="s">
        <v>3</v>
      </c>
      <c r="F9057" s="4">
        <v>2.0099999999999999E-17</v>
      </c>
      <c r="G9057" s="3">
        <v>197</v>
      </c>
      <c r="H9057" s="3">
        <v>42</v>
      </c>
      <c r="I9057" s="3">
        <v>147</v>
      </c>
      <c r="J9057" s="3">
        <v>134</v>
      </c>
      <c r="K9057" s="3">
        <v>559</v>
      </c>
      <c r="L9057" s="3">
        <v>18</v>
      </c>
      <c r="M9057" s="3">
        <v>154</v>
      </c>
    </row>
    <row r="9058" spans="1:13" x14ac:dyDescent="0.25">
      <c r="A9058" s="1" t="str">
        <f>HYPERLINK("http://www.rosaceae.org/Prunus/Prunus_persica/p.persica_gdr_reftransV1_0048132","p.persica_gdr_reftransV1_0048132")</f>
        <v>p.persica_gdr_reftransV1_0048132</v>
      </c>
      <c r="B9058" s="3">
        <v>1486</v>
      </c>
      <c r="C9058" s="1" t="str">
        <f>HYPERLINK("http://www.uniprot.org/uniprot/BCCP_SOYBN","BCCP_SOYBN")</f>
        <v>BCCP_SOYBN</v>
      </c>
      <c r="D9058" t="s">
        <v>6854</v>
      </c>
      <c r="E9058" s="3" t="s">
        <v>307</v>
      </c>
      <c r="F9058" s="4">
        <v>2.9199999999999999E-43</v>
      </c>
      <c r="G9058" s="3">
        <v>402</v>
      </c>
      <c r="H9058" s="3">
        <v>53</v>
      </c>
      <c r="I9058" s="3">
        <v>222</v>
      </c>
      <c r="J9058" s="3">
        <v>326</v>
      </c>
      <c r="K9058" s="3">
        <v>991</v>
      </c>
      <c r="L9058" s="3">
        <v>44</v>
      </c>
      <c r="M9058" s="3">
        <v>262</v>
      </c>
    </row>
    <row r="9059" spans="1:13" x14ac:dyDescent="0.25">
      <c r="A9059" s="1" t="str">
        <f>HYPERLINK("http://www.rosaceae.org/Prunus/Prunus_persica/p.persica_gdr_reftransV1_0048182","p.persica_gdr_reftransV1_0048182")</f>
        <v>p.persica_gdr_reftransV1_0048182</v>
      </c>
      <c r="B9059" s="3">
        <v>2049</v>
      </c>
      <c r="C9059" s="1" t="str">
        <f>HYPERLINK("http://www.uniprot.org/uniprot/SAHH_MEDSA","SAHH_MEDSA")</f>
        <v>SAHH_MEDSA</v>
      </c>
      <c r="D9059" t="s">
        <v>6855</v>
      </c>
      <c r="E9059" s="3" t="s">
        <v>515</v>
      </c>
      <c r="F9059" s="4">
        <v>0</v>
      </c>
      <c r="G9059" s="3">
        <v>2264</v>
      </c>
      <c r="H9059" s="3">
        <v>93</v>
      </c>
      <c r="I9059" s="3">
        <v>485</v>
      </c>
      <c r="J9059" s="3">
        <v>92</v>
      </c>
      <c r="K9059" s="3">
        <v>1546</v>
      </c>
      <c r="L9059" s="3">
        <v>1</v>
      </c>
      <c r="M9059" s="3">
        <v>485</v>
      </c>
    </row>
    <row r="9060" spans="1:13" x14ac:dyDescent="0.25">
      <c r="A9060" s="1" t="str">
        <f>HYPERLINK("http://www.rosaceae.org/Prunus/Prunus_persica/p.persica_gdr_reftransV1_0048232","p.persica_gdr_reftransV1_0048232")</f>
        <v>p.persica_gdr_reftransV1_0048232</v>
      </c>
      <c r="B9060" s="3">
        <v>1044</v>
      </c>
      <c r="C9060" s="1" t="str">
        <f>HYPERLINK("http://www.uniprot.org/uniprot/PXG4_ARATH","PXG4_ARATH")</f>
        <v>PXG4_ARATH</v>
      </c>
      <c r="D9060" t="s">
        <v>6549</v>
      </c>
      <c r="E9060" s="3" t="s">
        <v>3</v>
      </c>
      <c r="F9060" s="4">
        <v>5.5600000000000002E-90</v>
      </c>
      <c r="G9060" s="3">
        <v>702</v>
      </c>
      <c r="H9060" s="3">
        <v>71</v>
      </c>
      <c r="I9060" s="3">
        <v>185</v>
      </c>
      <c r="J9060" s="3">
        <v>281</v>
      </c>
      <c r="K9060" s="3">
        <v>835</v>
      </c>
      <c r="L9060" s="3">
        <v>2</v>
      </c>
      <c r="M9060" s="3">
        <v>186</v>
      </c>
    </row>
    <row r="9061" spans="1:13" x14ac:dyDescent="0.25">
      <c r="A9061" s="1" t="str">
        <f>HYPERLINK("http://www.rosaceae.org/Prunus/Prunus_persica/p.persica_gdr_reftransV1_0048332","p.persica_gdr_reftransV1_0048332")</f>
        <v>p.persica_gdr_reftransV1_0048332</v>
      </c>
      <c r="B9061" s="3">
        <v>687</v>
      </c>
      <c r="C9061" s="1" t="str">
        <f>HYPERLINK("http://www.uniprot.org/uniprot/LRK72_ARATH","LRK72_ARATH")</f>
        <v>LRK72_ARATH</v>
      </c>
      <c r="D9061" t="s">
        <v>6856</v>
      </c>
      <c r="E9061" s="3" t="s">
        <v>3</v>
      </c>
      <c r="F9061" s="4">
        <v>2.8100000000000001E-55</v>
      </c>
      <c r="G9061" s="3">
        <v>488</v>
      </c>
      <c r="H9061" s="3">
        <v>59</v>
      </c>
      <c r="I9061" s="3">
        <v>181</v>
      </c>
      <c r="J9061" s="3">
        <v>145</v>
      </c>
      <c r="K9061" s="3">
        <v>681</v>
      </c>
      <c r="L9061" s="3">
        <v>25</v>
      </c>
      <c r="M9061" s="3">
        <v>201</v>
      </c>
    </row>
    <row r="9062" spans="1:13" x14ac:dyDescent="0.25">
      <c r="A9062" s="1" t="str">
        <f>HYPERLINK("http://www.rosaceae.org/Prunus/Prunus_persica/p.persica_gdr_reftransV1_0048432","p.persica_gdr_reftransV1_0048432")</f>
        <v>p.persica_gdr_reftransV1_0048432</v>
      </c>
      <c r="B9062" s="3">
        <v>4340</v>
      </c>
      <c r="C9062" s="1" t="str">
        <f>HYPERLINK("http://www.uniprot.org/uniprot/TPPII_ARATH","TPPII_ARATH")</f>
        <v>TPPII_ARATH</v>
      </c>
      <c r="D9062" t="s">
        <v>6857</v>
      </c>
      <c r="E9062" s="3" t="s">
        <v>3</v>
      </c>
      <c r="F9062" s="4">
        <v>0</v>
      </c>
      <c r="G9062" s="3">
        <v>4898</v>
      </c>
      <c r="H9062" s="3">
        <v>74</v>
      </c>
      <c r="I9062" s="3">
        <v>1286</v>
      </c>
      <c r="J9062" s="3">
        <v>204</v>
      </c>
      <c r="K9062" s="3">
        <v>4055</v>
      </c>
      <c r="L9062" s="3">
        <v>101</v>
      </c>
      <c r="M9062" s="3">
        <v>1380</v>
      </c>
    </row>
    <row r="9063" spans="1:13" x14ac:dyDescent="0.25">
      <c r="A9063" s="1" t="str">
        <f>HYPERLINK("http://www.rosaceae.org/Prunus/Prunus_persica/p.persica_gdr_reftransV1_0048482","p.persica_gdr_reftransV1_0048482")</f>
        <v>p.persica_gdr_reftransV1_0048482</v>
      </c>
      <c r="B9063" s="3">
        <v>1045</v>
      </c>
      <c r="C9063" s="1" t="str">
        <f>HYPERLINK("http://www.uniprot.org/uniprot/ERF25_ARATH","ERF25_ARATH")</f>
        <v>ERF25_ARATH</v>
      </c>
      <c r="D9063" t="s">
        <v>400</v>
      </c>
      <c r="E9063" s="3" t="s">
        <v>3</v>
      </c>
      <c r="F9063" s="4">
        <v>5.8199999999999998E-31</v>
      </c>
      <c r="G9063" s="3">
        <v>306</v>
      </c>
      <c r="H9063" s="3">
        <v>54</v>
      </c>
      <c r="I9063" s="3">
        <v>164</v>
      </c>
      <c r="J9063" s="3">
        <v>338</v>
      </c>
      <c r="K9063" s="3">
        <v>811</v>
      </c>
      <c r="L9063" s="3">
        <v>55</v>
      </c>
      <c r="M9063" s="3">
        <v>209</v>
      </c>
    </row>
    <row r="9064" spans="1:13" x14ac:dyDescent="0.25">
      <c r="A9064" s="1" t="str">
        <f>HYPERLINK("http://www.rosaceae.org/Prunus/Prunus_persica/p.persica_gdr_reftransV1_0048532","p.persica_gdr_reftransV1_0048532")</f>
        <v>p.persica_gdr_reftransV1_0048532</v>
      </c>
      <c r="B9064" s="3">
        <v>2381</v>
      </c>
      <c r="C9064" s="1" t="str">
        <f>HYPERLINK("http://www.uniprot.org/uniprot/GH31_ARATH","GH31_ARATH")</f>
        <v>GH31_ARATH</v>
      </c>
      <c r="D9064" t="s">
        <v>2806</v>
      </c>
      <c r="E9064" s="3" t="s">
        <v>3</v>
      </c>
      <c r="F9064" s="4">
        <v>0</v>
      </c>
      <c r="G9064" s="3">
        <v>2587</v>
      </c>
      <c r="H9064" s="3">
        <v>80</v>
      </c>
      <c r="I9064" s="3">
        <v>599</v>
      </c>
      <c r="J9064" s="3">
        <v>423</v>
      </c>
      <c r="K9064" s="3">
        <v>2213</v>
      </c>
      <c r="L9064" s="3">
        <v>1</v>
      </c>
      <c r="M9064" s="3">
        <v>586</v>
      </c>
    </row>
    <row r="9065" spans="1:13" x14ac:dyDescent="0.25">
      <c r="A9065" s="1" t="str">
        <f>HYPERLINK("http://www.rosaceae.org/Prunus/Prunus_persica/p.persica_gdr_reftransV1_0048582","p.persica_gdr_reftransV1_0048582")</f>
        <v>p.persica_gdr_reftransV1_0048582</v>
      </c>
      <c r="B9065" s="3">
        <v>1986</v>
      </c>
      <c r="C9065" s="1" t="str">
        <f>HYPERLINK("http://www.uniprot.org/uniprot/SIPL3_ARATH","SIPL3_ARATH")</f>
        <v>SIPL3_ARATH</v>
      </c>
      <c r="D9065" t="s">
        <v>6858</v>
      </c>
      <c r="E9065" s="3" t="s">
        <v>3</v>
      </c>
      <c r="F9065" s="4">
        <v>0</v>
      </c>
      <c r="G9065" s="3">
        <v>1596</v>
      </c>
      <c r="H9065" s="3">
        <v>59</v>
      </c>
      <c r="I9065" s="3">
        <v>510</v>
      </c>
      <c r="J9065" s="3">
        <v>189</v>
      </c>
      <c r="K9065" s="3">
        <v>1715</v>
      </c>
      <c r="L9065" s="3">
        <v>27</v>
      </c>
      <c r="M9065" s="3">
        <v>536</v>
      </c>
    </row>
    <row r="9066" spans="1:13" x14ac:dyDescent="0.25">
      <c r="A9066" s="1" t="str">
        <f>HYPERLINK("http://www.rosaceae.org/Prunus/Prunus_persica/p.persica_gdr_reftransV1_0048682","p.persica_gdr_reftransV1_0048682")</f>
        <v>p.persica_gdr_reftransV1_0048682</v>
      </c>
      <c r="B9066" s="3">
        <v>791</v>
      </c>
      <c r="C9066" s="1" t="str">
        <f>HYPERLINK("http://www.uniprot.org/uniprot/PPR8_ARATH","PPR8_ARATH")</f>
        <v>PPR8_ARATH</v>
      </c>
      <c r="D9066" t="s">
        <v>6859</v>
      </c>
      <c r="E9066" s="3" t="s">
        <v>3</v>
      </c>
      <c r="F9066" s="4">
        <v>1.9499999999999999E-115</v>
      </c>
      <c r="G9066" s="3">
        <v>899</v>
      </c>
      <c r="H9066" s="3">
        <v>65</v>
      </c>
      <c r="I9066" s="3">
        <v>262</v>
      </c>
      <c r="J9066" s="3">
        <v>2</v>
      </c>
      <c r="K9066" s="3">
        <v>787</v>
      </c>
      <c r="L9066" s="3">
        <v>162</v>
      </c>
      <c r="M9066" s="3">
        <v>423</v>
      </c>
    </row>
    <row r="9067" spans="1:13" x14ac:dyDescent="0.25">
      <c r="A9067" s="1" t="str">
        <f>HYPERLINK("http://www.rosaceae.org/Prunus/Prunus_persica/p.persica_gdr_reftransV1_0048732","p.persica_gdr_reftransV1_0048732")</f>
        <v>p.persica_gdr_reftransV1_0048732</v>
      </c>
      <c r="B9067" s="3">
        <v>1649</v>
      </c>
      <c r="C9067" s="1" t="str">
        <f>HYPERLINK("http://www.uniprot.org/uniprot/HEM21_ARATH","HEM21_ARATH")</f>
        <v>HEM21_ARATH</v>
      </c>
      <c r="D9067" t="s">
        <v>2076</v>
      </c>
      <c r="E9067" s="3" t="s">
        <v>3</v>
      </c>
      <c r="F9067" s="4">
        <v>0</v>
      </c>
      <c r="G9067" s="3">
        <v>1628</v>
      </c>
      <c r="H9067" s="3">
        <v>83</v>
      </c>
      <c r="I9067" s="3">
        <v>415</v>
      </c>
      <c r="J9067" s="3">
        <v>273</v>
      </c>
      <c r="K9067" s="3">
        <v>1505</v>
      </c>
      <c r="L9067" s="3">
        <v>17</v>
      </c>
      <c r="M9067" s="3">
        <v>430</v>
      </c>
    </row>
    <row r="9068" spans="1:13" x14ac:dyDescent="0.25">
      <c r="A9068" s="1" t="str">
        <f>HYPERLINK("http://www.rosaceae.org/Prunus/Prunus_persica/p.persica_gdr_reftransV1_0048832","p.persica_gdr_reftransV1_0048832")</f>
        <v>p.persica_gdr_reftransV1_0048832</v>
      </c>
      <c r="B9068" s="3">
        <v>1279</v>
      </c>
      <c r="C9068" s="1" t="str">
        <f>HYPERLINK("http://www.uniprot.org/uniprot/DUS2L_HUMAN","DUS2L_HUMAN")</f>
        <v>DUS2L_HUMAN</v>
      </c>
      <c r="D9068" t="s">
        <v>2915</v>
      </c>
      <c r="E9068" s="3" t="s">
        <v>28</v>
      </c>
      <c r="F9068" s="4">
        <v>3.6000000000000001E-89</v>
      </c>
      <c r="G9068" s="3">
        <v>730</v>
      </c>
      <c r="H9068" s="3">
        <v>47</v>
      </c>
      <c r="I9068" s="3">
        <v>315</v>
      </c>
      <c r="J9068" s="3">
        <v>303</v>
      </c>
      <c r="K9068" s="3">
        <v>1181</v>
      </c>
      <c r="L9068" s="3">
        <v>10</v>
      </c>
      <c r="M9068" s="3">
        <v>321</v>
      </c>
    </row>
    <row r="9069" spans="1:13" x14ac:dyDescent="0.25">
      <c r="A9069" s="1" t="str">
        <f>HYPERLINK("http://www.rosaceae.org/Prunus/Prunus_persica/p.persica_gdr_reftransV1_0048932","p.persica_gdr_reftransV1_0048932")</f>
        <v>p.persica_gdr_reftransV1_0048932</v>
      </c>
      <c r="B9069" s="3">
        <v>3347</v>
      </c>
      <c r="C9069" s="1" t="str">
        <f>HYPERLINK("http://www.uniprot.org/uniprot/Y1591_ARATH","Y1591_ARATH")</f>
        <v>Y1591_ARATH</v>
      </c>
      <c r="D9069" t="s">
        <v>4019</v>
      </c>
      <c r="E9069" s="3" t="s">
        <v>3</v>
      </c>
      <c r="F9069" s="4">
        <v>0</v>
      </c>
      <c r="G9069" s="3">
        <v>3253</v>
      </c>
      <c r="H9069" s="3">
        <v>69</v>
      </c>
      <c r="I9069" s="3">
        <v>1054</v>
      </c>
      <c r="J9069" s="3">
        <v>86</v>
      </c>
      <c r="K9069" s="3">
        <v>3184</v>
      </c>
      <c r="L9069" s="3">
        <v>229</v>
      </c>
      <c r="M9069" s="3">
        <v>1210</v>
      </c>
    </row>
    <row r="9070" spans="1:13" x14ac:dyDescent="0.25">
      <c r="A9070" s="1" t="str">
        <f>HYPERLINK("http://www.rosaceae.org/Prunus/Prunus_persica/p.persica_gdr_reftransV1_0048982","p.persica_gdr_reftransV1_0048982")</f>
        <v>p.persica_gdr_reftransV1_0048982</v>
      </c>
      <c r="B9070" s="3">
        <v>5076</v>
      </c>
      <c r="C9070" s="1" t="str">
        <f>HYPERLINK("http://www.uniprot.org/uniprot/CLU_ARATH","CLU_ARATH")</f>
        <v>CLU_ARATH</v>
      </c>
      <c r="D9070" t="s">
        <v>6860</v>
      </c>
      <c r="E9070" s="3" t="s">
        <v>3</v>
      </c>
      <c r="F9070" s="4">
        <v>0</v>
      </c>
      <c r="G9070" s="3">
        <v>4786</v>
      </c>
      <c r="H9070" s="3">
        <v>70</v>
      </c>
      <c r="I9070" s="3">
        <v>1432</v>
      </c>
      <c r="J9070" s="3">
        <v>590</v>
      </c>
      <c r="K9070" s="3">
        <v>4786</v>
      </c>
      <c r="L9070" s="3">
        <v>1</v>
      </c>
      <c r="M9070" s="3">
        <v>1368</v>
      </c>
    </row>
    <row r="9071" spans="1:13" x14ac:dyDescent="0.25">
      <c r="A9071" s="1" t="str">
        <f>HYPERLINK("http://www.rosaceae.org/Prunus/Prunus_persica/p.persica_gdr_reftransV1_0049032","p.persica_gdr_reftransV1_0049032")</f>
        <v>p.persica_gdr_reftransV1_0049032</v>
      </c>
      <c r="B9071" s="3">
        <v>2295</v>
      </c>
      <c r="C9071" s="1" t="str">
        <f>HYPERLINK("http://www.uniprot.org/uniprot/G6PD6_ARATH","G6PD6_ARATH")</f>
        <v>G6PD6_ARATH</v>
      </c>
      <c r="D9071" t="s">
        <v>6861</v>
      </c>
      <c r="E9071" s="3" t="s">
        <v>3</v>
      </c>
      <c r="F9071" s="4">
        <v>0</v>
      </c>
      <c r="G9071" s="3">
        <v>2361</v>
      </c>
      <c r="H9071" s="3">
        <v>85</v>
      </c>
      <c r="I9071" s="3">
        <v>517</v>
      </c>
      <c r="J9071" s="3">
        <v>337</v>
      </c>
      <c r="K9071" s="3">
        <v>1884</v>
      </c>
      <c r="L9071" s="3">
        <v>1</v>
      </c>
      <c r="M9071" s="3">
        <v>515</v>
      </c>
    </row>
    <row r="9072" spans="1:13" x14ac:dyDescent="0.25">
      <c r="A9072" s="1" t="str">
        <f>HYPERLINK("http://www.rosaceae.org/Prunus/Prunus_persica/p.persica_gdr_reftransV1_0049082","p.persica_gdr_reftransV1_0049082")</f>
        <v>p.persica_gdr_reftransV1_0049082</v>
      </c>
      <c r="B9072" s="3">
        <v>1042</v>
      </c>
      <c r="C9072" s="1" t="str">
        <f>HYPERLINK("http://www.uniprot.org/uniprot/LRK41_ARATH","LRK41_ARATH")</f>
        <v>LRK41_ARATH</v>
      </c>
      <c r="D9072" t="s">
        <v>4600</v>
      </c>
      <c r="E9072" s="3" t="s">
        <v>3</v>
      </c>
      <c r="F9072" s="4">
        <v>8.9499999999999996E-155</v>
      </c>
      <c r="G9072" s="3">
        <v>1176</v>
      </c>
      <c r="H9072" s="3">
        <v>76</v>
      </c>
      <c r="I9072" s="3">
        <v>316</v>
      </c>
      <c r="J9072" s="3">
        <v>96</v>
      </c>
      <c r="K9072" s="3">
        <v>1040</v>
      </c>
      <c r="L9072" s="3">
        <v>343</v>
      </c>
      <c r="M9072" s="3">
        <v>658</v>
      </c>
    </row>
    <row r="9073" spans="1:13" x14ac:dyDescent="0.25">
      <c r="A9073" s="1" t="str">
        <f>HYPERLINK("http://www.rosaceae.org/Prunus/Prunus_persica/p.persica_gdr_reftransV1_0049132","p.persica_gdr_reftransV1_0049132")</f>
        <v>p.persica_gdr_reftransV1_0049132</v>
      </c>
      <c r="B9073" s="3">
        <v>2673</v>
      </c>
      <c r="C9073" s="1" t="str">
        <f>HYPERLINK("http://www.uniprot.org/uniprot/PPR32_ARATH","PPR32_ARATH")</f>
        <v>PPR32_ARATH</v>
      </c>
      <c r="D9073" t="s">
        <v>3693</v>
      </c>
      <c r="E9073" s="3" t="s">
        <v>3</v>
      </c>
      <c r="F9073" s="4">
        <v>2.8699999999999999E-155</v>
      </c>
      <c r="G9073" s="3">
        <v>1243</v>
      </c>
      <c r="H9073" s="3">
        <v>37</v>
      </c>
      <c r="I9073" s="3">
        <v>736</v>
      </c>
      <c r="J9073" s="3">
        <v>53</v>
      </c>
      <c r="K9073" s="3">
        <v>2248</v>
      </c>
      <c r="L9073" s="3">
        <v>92</v>
      </c>
      <c r="M9073" s="3">
        <v>808</v>
      </c>
    </row>
    <row r="9074" spans="1:13" x14ac:dyDescent="0.25">
      <c r="A9074" s="1" t="str">
        <f>HYPERLINK("http://www.rosaceae.org/Prunus/Prunus_persica/p.persica_gdr_reftransV1_0049182","p.persica_gdr_reftransV1_0049182")</f>
        <v>p.persica_gdr_reftransV1_0049182</v>
      </c>
      <c r="B9074" s="3">
        <v>912</v>
      </c>
      <c r="C9074" s="1" t="str">
        <f>HYPERLINK("http://www.uniprot.org/uniprot/RT10_PEA","RT10_PEA")</f>
        <v>RT10_PEA</v>
      </c>
      <c r="D9074" t="s">
        <v>6862</v>
      </c>
      <c r="E9074" s="3" t="s">
        <v>60</v>
      </c>
      <c r="F9074" s="4">
        <v>8.2600000000000004E-49</v>
      </c>
      <c r="G9074" s="3">
        <v>415</v>
      </c>
      <c r="H9074" s="3">
        <v>76</v>
      </c>
      <c r="I9074" s="3">
        <v>110</v>
      </c>
      <c r="J9074" s="3">
        <v>203</v>
      </c>
      <c r="K9074" s="3">
        <v>523</v>
      </c>
      <c r="L9074" s="3">
        <v>1</v>
      </c>
      <c r="M9074" s="3">
        <v>110</v>
      </c>
    </row>
    <row r="9075" spans="1:13" x14ac:dyDescent="0.25">
      <c r="A9075" s="1" t="str">
        <f>HYPERLINK("http://www.rosaceae.org/Prunus/Prunus_persica/p.persica_gdr_reftransV1_0000133","p.persica_gdr_reftransV1_0000133")</f>
        <v>p.persica_gdr_reftransV1_0000133</v>
      </c>
      <c r="B9075" s="3">
        <v>1203</v>
      </c>
      <c r="C9075" s="1" t="str">
        <f>HYPERLINK("http://www.uniprot.org/uniprot/ATP7_ARATH","ATP7_ARATH")</f>
        <v>ATP7_ARATH</v>
      </c>
      <c r="D9075" t="s">
        <v>6863</v>
      </c>
      <c r="E9075" s="3" t="s">
        <v>3</v>
      </c>
      <c r="F9075" s="4">
        <v>1.4899999999999999E-108</v>
      </c>
      <c r="G9075" s="3">
        <v>835</v>
      </c>
      <c r="H9075" s="3">
        <v>75</v>
      </c>
      <c r="I9075" s="3">
        <v>240</v>
      </c>
      <c r="J9075" s="3">
        <v>94</v>
      </c>
      <c r="K9075" s="3">
        <v>813</v>
      </c>
      <c r="L9075" s="3">
        <v>1</v>
      </c>
      <c r="M9075" s="3">
        <v>240</v>
      </c>
    </row>
    <row r="9076" spans="1:13" x14ac:dyDescent="0.25">
      <c r="A9076" s="1" t="str">
        <f>HYPERLINK("http://www.rosaceae.org/Prunus/Prunus_persica/p.persica_gdr_reftransV1_0000233","p.persica_gdr_reftransV1_0000233")</f>
        <v>p.persica_gdr_reftransV1_0000233</v>
      </c>
      <c r="B9076" s="3">
        <v>1008</v>
      </c>
      <c r="C9076" s="1" t="str">
        <f>HYPERLINK("http://www.uniprot.org/uniprot/PSRP5_PEA","PSRP5_PEA")</f>
        <v>PSRP5_PEA</v>
      </c>
      <c r="D9076" t="s">
        <v>6864</v>
      </c>
      <c r="E9076" s="3" t="s">
        <v>60</v>
      </c>
      <c r="F9076" s="4">
        <v>9.1700000000000004E-9</v>
      </c>
      <c r="G9076" s="3">
        <v>137</v>
      </c>
      <c r="H9076" s="3">
        <v>59</v>
      </c>
      <c r="I9076" s="3">
        <v>85</v>
      </c>
      <c r="J9076" s="3">
        <v>269</v>
      </c>
      <c r="K9076" s="3">
        <v>523</v>
      </c>
      <c r="L9076" s="3">
        <v>61</v>
      </c>
      <c r="M9076" s="3">
        <v>145</v>
      </c>
    </row>
    <row r="9077" spans="1:13" x14ac:dyDescent="0.25">
      <c r="A9077" s="1" t="str">
        <f>HYPERLINK("http://www.rosaceae.org/Prunus/Prunus_persica/p.persica_gdr_reftransV1_0000283","p.persica_gdr_reftransV1_0000283")</f>
        <v>p.persica_gdr_reftransV1_0000283</v>
      </c>
      <c r="B9077" s="3">
        <v>1804</v>
      </c>
      <c r="C9077" s="1" t="str">
        <f>HYPERLINK("http://www.uniprot.org/uniprot/C3H20_ARATH","C3H20_ARATH")</f>
        <v>C3H20_ARATH</v>
      </c>
      <c r="D9077" t="s">
        <v>6865</v>
      </c>
      <c r="E9077" s="3" t="s">
        <v>3</v>
      </c>
      <c r="F9077" s="4">
        <v>1.58E-121</v>
      </c>
      <c r="G9077" s="3">
        <v>951</v>
      </c>
      <c r="H9077" s="3">
        <v>57</v>
      </c>
      <c r="I9077" s="3">
        <v>401</v>
      </c>
      <c r="J9077" s="3">
        <v>565</v>
      </c>
      <c r="K9077" s="3">
        <v>1752</v>
      </c>
      <c r="L9077" s="3">
        <v>1</v>
      </c>
      <c r="M9077" s="3">
        <v>358</v>
      </c>
    </row>
    <row r="9078" spans="1:13" x14ac:dyDescent="0.25">
      <c r="A9078" s="1" t="str">
        <f>HYPERLINK("http://www.rosaceae.org/Prunus/Prunus_persica/p.persica_gdr_reftransV1_0000333","p.persica_gdr_reftransV1_0000333")</f>
        <v>p.persica_gdr_reftransV1_0000333</v>
      </c>
      <c r="B9078" s="3">
        <v>1029</v>
      </c>
      <c r="C9078" s="1" t="str">
        <f>HYPERLINK("http://www.uniprot.org/uniprot/NACA_PINTA","NACA_PINTA")</f>
        <v>NACA_PINTA</v>
      </c>
      <c r="D9078" t="s">
        <v>0</v>
      </c>
      <c r="E9078" s="3" t="s">
        <v>1</v>
      </c>
      <c r="F9078" s="4">
        <v>5.66E-71</v>
      </c>
      <c r="G9078" s="3">
        <v>576</v>
      </c>
      <c r="H9078" s="3">
        <v>84</v>
      </c>
      <c r="I9078" s="3">
        <v>134</v>
      </c>
      <c r="J9078" s="3">
        <v>286</v>
      </c>
      <c r="K9078" s="3">
        <v>684</v>
      </c>
      <c r="L9078" s="3">
        <v>72</v>
      </c>
      <c r="M9078" s="3">
        <v>205</v>
      </c>
    </row>
    <row r="9079" spans="1:13" x14ac:dyDescent="0.25">
      <c r="A9079" s="1" t="str">
        <f>HYPERLINK("http://www.rosaceae.org/Prunus/Prunus_persica/p.persica_gdr_reftransV1_0000383","p.persica_gdr_reftransV1_0000383")</f>
        <v>p.persica_gdr_reftransV1_0000383</v>
      </c>
      <c r="B9079" s="3">
        <v>343</v>
      </c>
      <c r="C9079" s="1" t="str">
        <f>HYPERLINK("http://www.uniprot.org/uniprot/Y2416_ARATH","Y2416_ARATH")</f>
        <v>Y2416_ARATH</v>
      </c>
      <c r="D9079" t="s">
        <v>5316</v>
      </c>
      <c r="E9079" s="3" t="s">
        <v>3</v>
      </c>
      <c r="F9079" s="4">
        <v>2.37E-51</v>
      </c>
      <c r="G9079" s="3">
        <v>416</v>
      </c>
      <c r="H9079" s="3">
        <v>82</v>
      </c>
      <c r="I9079" s="3">
        <v>96</v>
      </c>
      <c r="J9079" s="3">
        <v>43</v>
      </c>
      <c r="K9079" s="3">
        <v>330</v>
      </c>
      <c r="L9079" s="3">
        <v>19</v>
      </c>
      <c r="M9079" s="3">
        <v>114</v>
      </c>
    </row>
    <row r="9080" spans="1:13" x14ac:dyDescent="0.25">
      <c r="A9080" s="1" t="str">
        <f>HYPERLINK("http://www.rosaceae.org/Prunus/Prunus_persica/p.persica_gdr_reftransV1_0000433","p.persica_gdr_reftransV1_0000433")</f>
        <v>p.persica_gdr_reftransV1_0000433</v>
      </c>
      <c r="B9080" s="3">
        <v>2553</v>
      </c>
      <c r="C9080" s="1" t="str">
        <f>HYPERLINK("http://www.uniprot.org/uniprot/CPY71_ARATH","CPY71_ARATH")</f>
        <v>CPY71_ARATH</v>
      </c>
      <c r="D9080" t="s">
        <v>6866</v>
      </c>
      <c r="E9080" s="3" t="s">
        <v>3</v>
      </c>
      <c r="F9080" s="4">
        <v>0</v>
      </c>
      <c r="G9080" s="3">
        <v>2840</v>
      </c>
      <c r="H9080" s="3">
        <v>84</v>
      </c>
      <c r="I9080" s="3">
        <v>600</v>
      </c>
      <c r="J9080" s="3">
        <v>240</v>
      </c>
      <c r="K9080" s="3">
        <v>2039</v>
      </c>
      <c r="L9080" s="3">
        <v>32</v>
      </c>
      <c r="M9080" s="3">
        <v>631</v>
      </c>
    </row>
    <row r="9081" spans="1:13" x14ac:dyDescent="0.25">
      <c r="A9081" s="1" t="str">
        <f>HYPERLINK("http://www.rosaceae.org/Prunus/Prunus_persica/p.persica_gdr_reftransV1_0000583","p.persica_gdr_reftransV1_0000583")</f>
        <v>p.persica_gdr_reftransV1_0000583</v>
      </c>
      <c r="B9081" s="3">
        <v>1747</v>
      </c>
      <c r="C9081" s="1" t="str">
        <f>HYPERLINK("http://www.uniprot.org/uniprot/E137_ARATH","E137_ARATH")</f>
        <v>E137_ARATH</v>
      </c>
      <c r="D9081" t="s">
        <v>1950</v>
      </c>
      <c r="E9081" s="3" t="s">
        <v>3</v>
      </c>
      <c r="F9081" s="4">
        <v>1.8800000000000002E-111</v>
      </c>
      <c r="G9081" s="3">
        <v>895</v>
      </c>
      <c r="H9081" s="3">
        <v>43</v>
      </c>
      <c r="I9081" s="3">
        <v>470</v>
      </c>
      <c r="J9081" s="3">
        <v>270</v>
      </c>
      <c r="K9081" s="3">
        <v>1649</v>
      </c>
      <c r="L9081" s="3">
        <v>26</v>
      </c>
      <c r="M9081" s="3">
        <v>447</v>
      </c>
    </row>
    <row r="9082" spans="1:13" x14ac:dyDescent="0.25">
      <c r="A9082" s="1" t="str">
        <f>HYPERLINK("http://www.rosaceae.org/Prunus/Prunus_persica/p.persica_gdr_reftransV1_0000683","p.persica_gdr_reftransV1_0000683")</f>
        <v>p.persica_gdr_reftransV1_0000683</v>
      </c>
      <c r="B9082" s="3">
        <v>2595</v>
      </c>
      <c r="C9082" s="1" t="str">
        <f>HYPERLINK("http://www.uniprot.org/uniprot/ATG7_ARATH","ATG7_ARATH")</f>
        <v>ATG7_ARATH</v>
      </c>
      <c r="D9082" t="s">
        <v>4302</v>
      </c>
      <c r="E9082" s="3" t="s">
        <v>3</v>
      </c>
      <c r="F9082" s="4">
        <v>0</v>
      </c>
      <c r="G9082" s="3">
        <v>2483</v>
      </c>
      <c r="H9082" s="3">
        <v>70</v>
      </c>
      <c r="I9082" s="3">
        <v>698</v>
      </c>
      <c r="J9082" s="3">
        <v>272</v>
      </c>
      <c r="K9082" s="3">
        <v>2362</v>
      </c>
      <c r="L9082" s="3">
        <v>1</v>
      </c>
      <c r="M9082" s="3">
        <v>681</v>
      </c>
    </row>
    <row r="9083" spans="1:13" x14ac:dyDescent="0.25">
      <c r="A9083" s="1" t="str">
        <f>HYPERLINK("http://www.rosaceae.org/Prunus/Prunus_persica/p.persica_gdr_reftransV1_0000783","p.persica_gdr_reftransV1_0000783")</f>
        <v>p.persica_gdr_reftransV1_0000783</v>
      </c>
      <c r="B9083" s="3">
        <v>783</v>
      </c>
      <c r="C9083" s="1" t="str">
        <f>HYPERLINK("http://www.uniprot.org/uniprot/R15A1_ARATH","R15A1_ARATH")</f>
        <v>R15A1_ARATH</v>
      </c>
      <c r="D9083" t="s">
        <v>6867</v>
      </c>
      <c r="E9083" s="3" t="s">
        <v>3</v>
      </c>
      <c r="F9083" s="4">
        <v>6.3900000000000005E-88</v>
      </c>
      <c r="G9083" s="3">
        <v>674</v>
      </c>
      <c r="H9083" s="3">
        <v>98</v>
      </c>
      <c r="I9083" s="3">
        <v>130</v>
      </c>
      <c r="J9083" s="3">
        <v>95</v>
      </c>
      <c r="K9083" s="3">
        <v>484</v>
      </c>
      <c r="L9083" s="3">
        <v>1</v>
      </c>
      <c r="M9083" s="3">
        <v>130</v>
      </c>
    </row>
    <row r="9084" spans="1:13" x14ac:dyDescent="0.25">
      <c r="A9084" s="1" t="str">
        <f>HYPERLINK("http://www.rosaceae.org/Prunus/Prunus_persica/p.persica_gdr_reftransV1_0000883","p.persica_gdr_reftransV1_0000883")</f>
        <v>p.persica_gdr_reftransV1_0000883</v>
      </c>
      <c r="B9084" s="3">
        <v>906</v>
      </c>
      <c r="C9084" s="1" t="str">
        <f>HYPERLINK("http://www.uniprot.org/uniprot/GUAD_BACSU","GUAD_BACSU")</f>
        <v>GUAD_BACSU</v>
      </c>
      <c r="D9084" t="s">
        <v>6868</v>
      </c>
      <c r="E9084" s="3" t="s">
        <v>1630</v>
      </c>
      <c r="F9084" s="4">
        <v>1.3999999999999999E-28</v>
      </c>
      <c r="G9084" s="3">
        <v>281</v>
      </c>
      <c r="H9084" s="3">
        <v>55</v>
      </c>
      <c r="I9084" s="3">
        <v>98</v>
      </c>
      <c r="J9084" s="3">
        <v>338</v>
      </c>
      <c r="K9084" s="3">
        <v>631</v>
      </c>
      <c r="L9084" s="3">
        <v>6</v>
      </c>
      <c r="M9084" s="3">
        <v>103</v>
      </c>
    </row>
    <row r="9085" spans="1:13" x14ac:dyDescent="0.25">
      <c r="A9085" s="1" t="str">
        <f>HYPERLINK("http://www.rosaceae.org/Prunus/Prunus_persica/p.persica_gdr_reftransV1_0000983","p.persica_gdr_reftransV1_0000983")</f>
        <v>p.persica_gdr_reftransV1_0000983</v>
      </c>
      <c r="B9085" s="3">
        <v>2151</v>
      </c>
      <c r="C9085" s="1" t="str">
        <f>HYPERLINK("http://www.uniprot.org/uniprot/NDB2_ARATH","NDB2_ARATH")</f>
        <v>NDB2_ARATH</v>
      </c>
      <c r="D9085" t="s">
        <v>6869</v>
      </c>
      <c r="E9085" s="3" t="s">
        <v>3</v>
      </c>
      <c r="F9085" s="4">
        <v>0</v>
      </c>
      <c r="G9085" s="3">
        <v>2168</v>
      </c>
      <c r="H9085" s="3">
        <v>73</v>
      </c>
      <c r="I9085" s="3">
        <v>565</v>
      </c>
      <c r="J9085" s="3">
        <v>462</v>
      </c>
      <c r="K9085" s="3">
        <v>2150</v>
      </c>
      <c r="L9085" s="3">
        <v>25</v>
      </c>
      <c r="M9085" s="3">
        <v>582</v>
      </c>
    </row>
    <row r="9086" spans="1:13" x14ac:dyDescent="0.25">
      <c r="A9086" s="1" t="str">
        <f>HYPERLINK("http://www.rosaceae.org/Prunus/Prunus_persica/p.persica_gdr_reftransV1_0001083","p.persica_gdr_reftransV1_0001083")</f>
        <v>p.persica_gdr_reftransV1_0001083</v>
      </c>
      <c r="B9086" s="3">
        <v>838</v>
      </c>
      <c r="C9086" s="1" t="str">
        <f>HYPERLINK("http://www.uniprot.org/uniprot/RPD6A_ARATH","RPD6A_ARATH")</f>
        <v>RPD6A_ARATH</v>
      </c>
      <c r="D9086" t="s">
        <v>3603</v>
      </c>
      <c r="E9086" s="3" t="s">
        <v>3</v>
      </c>
      <c r="F9086" s="4">
        <v>1.22E-59</v>
      </c>
      <c r="G9086" s="3">
        <v>489</v>
      </c>
      <c r="H9086" s="3">
        <v>79</v>
      </c>
      <c r="I9086" s="3">
        <v>145</v>
      </c>
      <c r="J9086" s="3">
        <v>239</v>
      </c>
      <c r="K9086" s="3">
        <v>670</v>
      </c>
      <c r="L9086" s="3">
        <v>1</v>
      </c>
      <c r="M9086" s="3">
        <v>144</v>
      </c>
    </row>
    <row r="9087" spans="1:13" x14ac:dyDescent="0.25">
      <c r="A9087" s="1" t="str">
        <f>HYPERLINK("http://www.rosaceae.org/Prunus/Prunus_persica/p.persica_gdr_reftransV1_0001133","p.persica_gdr_reftransV1_0001133")</f>
        <v>p.persica_gdr_reftransV1_0001133</v>
      </c>
      <c r="B9087" s="3">
        <v>1018</v>
      </c>
      <c r="C9087" s="1" t="str">
        <f>HYPERLINK("http://www.uniprot.org/uniprot/CHI4_PHAVU","CHI4_PHAVU")</f>
        <v>CHI4_PHAVU</v>
      </c>
      <c r="D9087" t="s">
        <v>6682</v>
      </c>
      <c r="E9087" s="3" t="s">
        <v>2044</v>
      </c>
      <c r="F9087" s="4">
        <v>2.3699999999999999E-134</v>
      </c>
      <c r="G9087" s="3">
        <v>1002</v>
      </c>
      <c r="H9087" s="3">
        <v>74</v>
      </c>
      <c r="I9087" s="3">
        <v>252</v>
      </c>
      <c r="J9087" s="3">
        <v>132</v>
      </c>
      <c r="K9087" s="3">
        <v>884</v>
      </c>
      <c r="L9087" s="3">
        <v>21</v>
      </c>
      <c r="M9087" s="3">
        <v>270</v>
      </c>
    </row>
    <row r="9088" spans="1:13" x14ac:dyDescent="0.25">
      <c r="A9088" s="1" t="str">
        <f>HYPERLINK("http://www.rosaceae.org/Prunus/Prunus_persica/p.persica_gdr_reftransV1_0001183","p.persica_gdr_reftransV1_0001183")</f>
        <v>p.persica_gdr_reftransV1_0001183</v>
      </c>
      <c r="B9088" s="3">
        <v>448</v>
      </c>
      <c r="C9088" s="1" t="str">
        <f>HYPERLINK("http://www.uniprot.org/uniprot/AB10C_ARATH","AB10C_ARATH")</f>
        <v>AB10C_ARATH</v>
      </c>
      <c r="D9088" t="s">
        <v>1068</v>
      </c>
      <c r="E9088" s="3" t="s">
        <v>3</v>
      </c>
      <c r="F9088" s="4">
        <v>1.87E-41</v>
      </c>
      <c r="G9088" s="3">
        <v>386</v>
      </c>
      <c r="H9088" s="3">
        <v>56</v>
      </c>
      <c r="I9088" s="3">
        <v>139</v>
      </c>
      <c r="J9088" s="3">
        <v>30</v>
      </c>
      <c r="K9088" s="3">
        <v>446</v>
      </c>
      <c r="L9088" s="3">
        <v>943</v>
      </c>
      <c r="M9088" s="3">
        <v>1081</v>
      </c>
    </row>
    <row r="9089" spans="1:13" x14ac:dyDescent="0.25">
      <c r="A9089" s="1" t="str">
        <f>HYPERLINK("http://www.rosaceae.org/Prunus/Prunus_persica/p.persica_gdr_reftransV1_0001233","p.persica_gdr_reftransV1_0001233")</f>
        <v>p.persica_gdr_reftransV1_0001233</v>
      </c>
      <c r="B9089" s="3">
        <v>1668</v>
      </c>
      <c r="C9089" s="1" t="str">
        <f>HYPERLINK("http://www.uniprot.org/uniprot/CPR30_ARATH","CPR30_ARATH")</f>
        <v>CPR30_ARATH</v>
      </c>
      <c r="D9089" t="s">
        <v>1594</v>
      </c>
      <c r="E9089" s="3" t="s">
        <v>3</v>
      </c>
      <c r="F9089" s="4">
        <v>2.54E-23</v>
      </c>
      <c r="G9089" s="3">
        <v>263</v>
      </c>
      <c r="H9089" s="3">
        <v>24</v>
      </c>
      <c r="I9089" s="3">
        <v>395</v>
      </c>
      <c r="J9089" s="3">
        <v>343</v>
      </c>
      <c r="K9089" s="3">
        <v>1455</v>
      </c>
      <c r="L9089" s="3">
        <v>2</v>
      </c>
      <c r="M9089" s="3">
        <v>351</v>
      </c>
    </row>
    <row r="9090" spans="1:13" x14ac:dyDescent="0.25">
      <c r="A9090" s="1" t="str">
        <f>HYPERLINK("http://www.rosaceae.org/Prunus/Prunus_persica/p.persica_gdr_reftransV1_0001483","p.persica_gdr_reftransV1_0001483")</f>
        <v>p.persica_gdr_reftransV1_0001483</v>
      </c>
      <c r="B9090" s="3">
        <v>807</v>
      </c>
      <c r="C9090" s="1" t="str">
        <f>HYPERLINK("http://www.uniprot.org/uniprot/Y5519_ARATH","Y5519_ARATH")</f>
        <v>Y5519_ARATH</v>
      </c>
      <c r="D9090" t="s">
        <v>1826</v>
      </c>
      <c r="E9090" s="3" t="s">
        <v>3</v>
      </c>
      <c r="F9090" s="4">
        <v>2.3699999999999999E-7</v>
      </c>
      <c r="G9090" s="3">
        <v>131</v>
      </c>
      <c r="H9090" s="3">
        <v>57</v>
      </c>
      <c r="I9090" s="3">
        <v>42</v>
      </c>
      <c r="J9090" s="3">
        <v>235</v>
      </c>
      <c r="K9090" s="3">
        <v>360</v>
      </c>
      <c r="L9090" s="3">
        <v>1</v>
      </c>
      <c r="M9090" s="3">
        <v>42</v>
      </c>
    </row>
    <row r="9091" spans="1:13" x14ac:dyDescent="0.25">
      <c r="A9091" s="1" t="str">
        <f>HYPERLINK("http://www.rosaceae.org/Prunus/Prunus_persica/p.persica_gdr_reftransV1_0001533","p.persica_gdr_reftransV1_0001533")</f>
        <v>p.persica_gdr_reftransV1_0001533</v>
      </c>
      <c r="B9091" s="3">
        <v>703</v>
      </c>
      <c r="C9091" s="1" t="str">
        <f>HYPERLINK("http://www.uniprot.org/uniprot/U503A_ARATH","U503A_ARATH")</f>
        <v>U503A_ARATH</v>
      </c>
      <c r="D9091" t="s">
        <v>855</v>
      </c>
      <c r="E9091" s="3" t="s">
        <v>3</v>
      </c>
      <c r="F9091" s="4">
        <v>8.0499999999999996E-24</v>
      </c>
      <c r="G9091" s="3">
        <v>259</v>
      </c>
      <c r="H9091" s="3">
        <v>40</v>
      </c>
      <c r="I9091" s="3">
        <v>214</v>
      </c>
      <c r="J9091" s="3">
        <v>68</v>
      </c>
      <c r="K9091" s="3">
        <v>538</v>
      </c>
      <c r="L9091" s="3">
        <v>241</v>
      </c>
      <c r="M9091" s="3">
        <v>448</v>
      </c>
    </row>
    <row r="9092" spans="1:13" x14ac:dyDescent="0.25">
      <c r="A9092" s="1" t="str">
        <f>HYPERLINK("http://www.rosaceae.org/Prunus/Prunus_persica/p.persica_gdr_reftransV1_0001583","p.persica_gdr_reftransV1_0001583")</f>
        <v>p.persica_gdr_reftransV1_0001583</v>
      </c>
      <c r="B9092" s="3">
        <v>2113</v>
      </c>
      <c r="C9092" s="1" t="str">
        <f>HYPERLINK("http://www.uniprot.org/uniprot/ZFNL_PEA","ZFNL_PEA")</f>
        <v>ZFNL_PEA</v>
      </c>
      <c r="D9092" t="s">
        <v>4508</v>
      </c>
      <c r="E9092" s="3" t="s">
        <v>60</v>
      </c>
      <c r="F9092" s="4">
        <v>0</v>
      </c>
      <c r="G9092" s="3">
        <v>1790</v>
      </c>
      <c r="H9092" s="3">
        <v>81</v>
      </c>
      <c r="I9092" s="3">
        <v>417</v>
      </c>
      <c r="J9092" s="3">
        <v>508</v>
      </c>
      <c r="K9092" s="3">
        <v>1758</v>
      </c>
      <c r="L9092" s="3">
        <v>5</v>
      </c>
      <c r="M9092" s="3">
        <v>416</v>
      </c>
    </row>
    <row r="9093" spans="1:13" x14ac:dyDescent="0.25">
      <c r="A9093" s="1" t="str">
        <f>HYPERLINK("http://www.rosaceae.org/Prunus/Prunus_persica/p.persica_gdr_reftransV1_0001683","p.persica_gdr_reftransV1_0001683")</f>
        <v>p.persica_gdr_reftransV1_0001683</v>
      </c>
      <c r="B9093" s="3">
        <v>2129</v>
      </c>
      <c r="C9093" s="1" t="str">
        <f>HYPERLINK("http://www.uniprot.org/uniprot/FUBP2_CHICK","FUBP2_CHICK")</f>
        <v>FUBP2_CHICK</v>
      </c>
      <c r="D9093" t="s">
        <v>6870</v>
      </c>
      <c r="E9093" s="3" t="s">
        <v>1278</v>
      </c>
      <c r="F9093" s="4">
        <v>1.38E-16</v>
      </c>
      <c r="G9093" s="3">
        <v>216</v>
      </c>
      <c r="H9093" s="3">
        <v>31</v>
      </c>
      <c r="I9093" s="3">
        <v>170</v>
      </c>
      <c r="J9093" s="3">
        <v>1310</v>
      </c>
      <c r="K9093" s="3">
        <v>1819</v>
      </c>
      <c r="L9093" s="3">
        <v>220</v>
      </c>
      <c r="M9093" s="3">
        <v>380</v>
      </c>
    </row>
    <row r="9094" spans="1:13" x14ac:dyDescent="0.25">
      <c r="A9094" s="1" t="str">
        <f>HYPERLINK("http://www.rosaceae.org/Prunus/Prunus_persica/p.persica_gdr_reftransV1_0001783","p.persica_gdr_reftransV1_0001783")</f>
        <v>p.persica_gdr_reftransV1_0001783</v>
      </c>
      <c r="B9094" s="3">
        <v>1153</v>
      </c>
      <c r="C9094" s="1" t="str">
        <f>HYPERLINK("http://www.uniprot.org/uniprot/UBC28_ARATH","UBC28_ARATH")</f>
        <v>UBC28_ARATH</v>
      </c>
      <c r="D9094" t="s">
        <v>6748</v>
      </c>
      <c r="E9094" s="3" t="s">
        <v>3</v>
      </c>
      <c r="F9094" s="4">
        <v>1.14E-101</v>
      </c>
      <c r="G9094" s="3">
        <v>779</v>
      </c>
      <c r="H9094" s="3">
        <v>98</v>
      </c>
      <c r="I9094" s="3">
        <v>148</v>
      </c>
      <c r="J9094" s="3">
        <v>430</v>
      </c>
      <c r="K9094" s="3">
        <v>873</v>
      </c>
      <c r="L9094" s="3">
        <v>1</v>
      </c>
      <c r="M9094" s="3">
        <v>148</v>
      </c>
    </row>
    <row r="9095" spans="1:13" x14ac:dyDescent="0.25">
      <c r="A9095" s="1" t="str">
        <f>HYPERLINK("http://www.rosaceae.org/Prunus/Prunus_persica/p.persica_gdr_reftransV1_0001833","p.persica_gdr_reftransV1_0001833")</f>
        <v>p.persica_gdr_reftransV1_0001833</v>
      </c>
      <c r="B9095" s="3">
        <v>408</v>
      </c>
      <c r="C9095" s="1" t="str">
        <f>HYPERLINK("http://www.uniprot.org/uniprot/PLYF_EMENI","PLYF_EMENI")</f>
        <v>PLYF_EMENI</v>
      </c>
      <c r="D9095" t="s">
        <v>6871</v>
      </c>
      <c r="E9095" s="3" t="s">
        <v>205</v>
      </c>
      <c r="F9095" s="4">
        <v>1.08E-41</v>
      </c>
      <c r="G9095" s="3">
        <v>362</v>
      </c>
      <c r="H9095" s="3">
        <v>59</v>
      </c>
      <c r="I9095" s="3">
        <v>116</v>
      </c>
      <c r="J9095" s="3">
        <v>41</v>
      </c>
      <c r="K9095" s="3">
        <v>385</v>
      </c>
      <c r="L9095" s="3">
        <v>3</v>
      </c>
      <c r="M9095" s="3">
        <v>118</v>
      </c>
    </row>
    <row r="9096" spans="1:13" x14ac:dyDescent="0.25">
      <c r="A9096" s="1" t="str">
        <f>HYPERLINK("http://www.rosaceae.org/Prunus/Prunus_persica/p.persica_gdr_reftransV1_0001883","p.persica_gdr_reftransV1_0001883")</f>
        <v>p.persica_gdr_reftransV1_0001883</v>
      </c>
      <c r="B9096" s="3">
        <v>2605</v>
      </c>
      <c r="C9096" s="1" t="str">
        <f>HYPERLINK("http://www.uniprot.org/uniprot/API5_CHICK","API5_CHICK")</f>
        <v>API5_CHICK</v>
      </c>
      <c r="D9096" t="s">
        <v>6872</v>
      </c>
      <c r="E9096" s="3" t="s">
        <v>1278</v>
      </c>
      <c r="F9096" s="4">
        <v>8.1599999999999995E-60</v>
      </c>
      <c r="G9096" s="3">
        <v>553</v>
      </c>
      <c r="H9096" s="3">
        <v>33</v>
      </c>
      <c r="I9096" s="3">
        <v>488</v>
      </c>
      <c r="J9096" s="3">
        <v>139</v>
      </c>
      <c r="K9096" s="3">
        <v>1539</v>
      </c>
      <c r="L9096" s="3">
        <v>4</v>
      </c>
      <c r="M9096" s="3">
        <v>448</v>
      </c>
    </row>
    <row r="9097" spans="1:13" x14ac:dyDescent="0.25">
      <c r="A9097" s="1" t="str">
        <f>HYPERLINK("http://www.rosaceae.org/Prunus/Prunus_persica/p.persica_gdr_reftransV1_0001983","p.persica_gdr_reftransV1_0001983")</f>
        <v>p.persica_gdr_reftransV1_0001983</v>
      </c>
      <c r="B9097" s="3">
        <v>308</v>
      </c>
      <c r="C9097" s="1" t="str">
        <f>HYPERLINK("http://www.uniprot.org/uniprot/UFOG3_FRAAN","UFOG3_FRAAN")</f>
        <v>UFOG3_FRAAN</v>
      </c>
      <c r="D9097" t="s">
        <v>3110</v>
      </c>
      <c r="E9097" s="3" t="s">
        <v>15</v>
      </c>
      <c r="F9097" s="4">
        <v>1.51E-21</v>
      </c>
      <c r="G9097" s="3">
        <v>227</v>
      </c>
      <c r="H9097" s="3">
        <v>61</v>
      </c>
      <c r="I9097" s="3">
        <v>75</v>
      </c>
      <c r="J9097" s="3">
        <v>23</v>
      </c>
      <c r="K9097" s="3">
        <v>241</v>
      </c>
      <c r="L9097" s="3">
        <v>1</v>
      </c>
      <c r="M9097" s="3">
        <v>75</v>
      </c>
    </row>
    <row r="9098" spans="1:13" x14ac:dyDescent="0.25">
      <c r="A9098" s="1" t="str">
        <f>HYPERLINK("http://www.rosaceae.org/Prunus/Prunus_persica/p.persica_gdr_reftransV1_0002033","p.persica_gdr_reftransV1_0002033")</f>
        <v>p.persica_gdr_reftransV1_0002033</v>
      </c>
      <c r="B9098" s="3">
        <v>4970</v>
      </c>
      <c r="C9098" s="1" t="str">
        <f>HYPERLINK("http://www.uniprot.org/uniprot/ATX1_ARATH","ATX1_ARATH")</f>
        <v>ATX1_ARATH</v>
      </c>
      <c r="D9098" t="s">
        <v>6873</v>
      </c>
      <c r="E9098" s="3" t="s">
        <v>3</v>
      </c>
      <c r="F9098" s="4">
        <v>1.27E-38</v>
      </c>
      <c r="G9098" s="3">
        <v>408</v>
      </c>
      <c r="H9098" s="3">
        <v>31</v>
      </c>
      <c r="I9098" s="3">
        <v>369</v>
      </c>
      <c r="J9098" s="3">
        <v>104</v>
      </c>
      <c r="K9098" s="3">
        <v>1126</v>
      </c>
      <c r="L9098" s="3">
        <v>685</v>
      </c>
      <c r="M9098" s="3">
        <v>1038</v>
      </c>
    </row>
    <row r="9099" spans="1:13" x14ac:dyDescent="0.25">
      <c r="A9099" s="1" t="str">
        <f>HYPERLINK("http://www.rosaceae.org/Prunus/Prunus_persica/p.persica_gdr_reftransV1_0002183","p.persica_gdr_reftransV1_0002183")</f>
        <v>p.persica_gdr_reftransV1_0002183</v>
      </c>
      <c r="B9099" s="3">
        <v>1036</v>
      </c>
      <c r="C9099" s="1" t="str">
        <f>HYPERLINK("http://www.uniprot.org/uniprot/POK2_ARATH","POK2_ARATH")</f>
        <v>POK2_ARATH</v>
      </c>
      <c r="D9099" t="s">
        <v>3327</v>
      </c>
      <c r="E9099" s="3" t="s">
        <v>3</v>
      </c>
      <c r="F9099" s="4">
        <v>3.1299999999999997E-148</v>
      </c>
      <c r="G9099" s="3">
        <v>1206</v>
      </c>
      <c r="H9099" s="3">
        <v>73</v>
      </c>
      <c r="I9099" s="3">
        <v>347</v>
      </c>
      <c r="J9099" s="3">
        <v>5</v>
      </c>
      <c r="K9099" s="3">
        <v>1036</v>
      </c>
      <c r="L9099" s="3">
        <v>361</v>
      </c>
      <c r="M9099" s="3">
        <v>704</v>
      </c>
    </row>
    <row r="9100" spans="1:13" x14ac:dyDescent="0.25">
      <c r="A9100" s="1" t="str">
        <f>HYPERLINK("http://www.rosaceae.org/Prunus/Prunus_persica/p.persica_gdr_reftransV1_0002233","p.persica_gdr_reftransV1_0002233")</f>
        <v>p.persica_gdr_reftransV1_0002233</v>
      </c>
      <c r="B9100" s="3">
        <v>481</v>
      </c>
      <c r="C9100" s="1" t="str">
        <f>HYPERLINK("http://www.uniprot.org/uniprot/DOT3_ARATH","DOT3_ARATH")</f>
        <v>DOT3_ARATH</v>
      </c>
      <c r="D9100" t="s">
        <v>4389</v>
      </c>
      <c r="E9100" s="3" t="s">
        <v>3</v>
      </c>
      <c r="F9100" s="4">
        <v>2.6500000000000001E-49</v>
      </c>
      <c r="G9100" s="3">
        <v>436</v>
      </c>
      <c r="H9100" s="3">
        <v>60</v>
      </c>
      <c r="I9100" s="3">
        <v>156</v>
      </c>
      <c r="J9100" s="3">
        <v>13</v>
      </c>
      <c r="K9100" s="3">
        <v>480</v>
      </c>
      <c r="L9100" s="3">
        <v>292</v>
      </c>
      <c r="M9100" s="3">
        <v>425</v>
      </c>
    </row>
    <row r="9101" spans="1:13" x14ac:dyDescent="0.25">
      <c r="A9101" s="1" t="str">
        <f>HYPERLINK("http://www.rosaceae.org/Prunus/Prunus_persica/p.persica_gdr_reftransV1_0002333","p.persica_gdr_reftransV1_0002333")</f>
        <v>p.persica_gdr_reftransV1_0002333</v>
      </c>
      <c r="B9101" s="3">
        <v>3971</v>
      </c>
      <c r="C9101" s="1" t="str">
        <f>HYPERLINK("http://www.uniprot.org/uniprot/IBTK_XENLA","IBTK_XENLA")</f>
        <v>IBTK_XENLA</v>
      </c>
      <c r="D9101" t="s">
        <v>3202</v>
      </c>
      <c r="E9101" s="3" t="s">
        <v>475</v>
      </c>
      <c r="F9101" s="4">
        <v>1.5400000000000001E-35</v>
      </c>
      <c r="G9101" s="3">
        <v>382</v>
      </c>
      <c r="H9101" s="3">
        <v>30</v>
      </c>
      <c r="I9101" s="3">
        <v>449</v>
      </c>
      <c r="J9101" s="3">
        <v>1962</v>
      </c>
      <c r="K9101" s="3">
        <v>3227</v>
      </c>
      <c r="L9101" s="3">
        <v>48</v>
      </c>
      <c r="M9101" s="3">
        <v>474</v>
      </c>
    </row>
    <row r="9102" spans="1:13" x14ac:dyDescent="0.25">
      <c r="A9102" s="1" t="str">
        <f>HYPERLINK("http://www.rosaceae.org/Prunus/Prunus_persica/p.persica_gdr_reftransV1_0002383","p.persica_gdr_reftransV1_0002383")</f>
        <v>p.persica_gdr_reftransV1_0002383</v>
      </c>
      <c r="B9102" s="3">
        <v>1201</v>
      </c>
      <c r="C9102" s="1" t="str">
        <f>HYPERLINK("http://www.uniprot.org/uniprot/YCF45_PORPU","YCF45_PORPU")</f>
        <v>YCF45_PORPU</v>
      </c>
      <c r="D9102" t="s">
        <v>693</v>
      </c>
      <c r="E9102" s="3" t="s">
        <v>694</v>
      </c>
      <c r="F9102" s="4">
        <v>4.8200000000000003E-101</v>
      </c>
      <c r="G9102" s="3">
        <v>667</v>
      </c>
      <c r="H9102" s="3">
        <v>62</v>
      </c>
      <c r="I9102" s="3">
        <v>201</v>
      </c>
      <c r="J9102" s="3">
        <v>481</v>
      </c>
      <c r="K9102" s="3">
        <v>1080</v>
      </c>
      <c r="L9102" s="3">
        <v>129</v>
      </c>
      <c r="M9102" s="3">
        <v>329</v>
      </c>
    </row>
    <row r="9103" spans="1:13" x14ac:dyDescent="0.25">
      <c r="A9103" s="1" t="str">
        <f>HYPERLINK("http://www.rosaceae.org/Prunus/Prunus_persica/p.persica_gdr_reftransV1_0002483","p.persica_gdr_reftransV1_0002483")</f>
        <v>p.persica_gdr_reftransV1_0002483</v>
      </c>
      <c r="B9103" s="3">
        <v>2699</v>
      </c>
      <c r="C9103" s="1" t="str">
        <f>HYPERLINK("http://www.uniprot.org/uniprot/FCF1_PONAB","FCF1_PONAB")</f>
        <v>FCF1_PONAB</v>
      </c>
      <c r="D9103" t="s">
        <v>5534</v>
      </c>
      <c r="E9103" s="3" t="s">
        <v>176</v>
      </c>
      <c r="F9103" s="4">
        <v>1.7000000000000001E-84</v>
      </c>
      <c r="G9103" s="3">
        <v>703</v>
      </c>
      <c r="H9103" s="3">
        <v>69</v>
      </c>
      <c r="I9103" s="3">
        <v>200</v>
      </c>
      <c r="J9103" s="3">
        <v>1956</v>
      </c>
      <c r="K9103" s="3">
        <v>2549</v>
      </c>
      <c r="L9103" s="3">
        <v>1</v>
      </c>
      <c r="M9103" s="3">
        <v>198</v>
      </c>
    </row>
    <row r="9104" spans="1:13" x14ac:dyDescent="0.25">
      <c r="A9104" s="1" t="str">
        <f>HYPERLINK("http://www.rosaceae.org/Prunus/Prunus_persica/p.persica_gdr_reftransV1_0002533","p.persica_gdr_reftransV1_0002533")</f>
        <v>p.persica_gdr_reftransV1_0002533</v>
      </c>
      <c r="B9104" s="3">
        <v>941</v>
      </c>
      <c r="C9104" s="1" t="str">
        <f>HYPERLINK("http://www.uniprot.org/uniprot/REHY_MEDTR","REHY_MEDTR")</f>
        <v>REHY_MEDTR</v>
      </c>
      <c r="D9104" t="s">
        <v>6874</v>
      </c>
      <c r="E9104" s="3" t="s">
        <v>91</v>
      </c>
      <c r="F9104" s="4">
        <v>6.4300000000000003E-121</v>
      </c>
      <c r="G9104" s="3">
        <v>906</v>
      </c>
      <c r="H9104" s="3">
        <v>76</v>
      </c>
      <c r="I9104" s="3">
        <v>220</v>
      </c>
      <c r="J9104" s="3">
        <v>217</v>
      </c>
      <c r="K9104" s="3">
        <v>876</v>
      </c>
      <c r="L9104" s="3">
        <v>1</v>
      </c>
      <c r="M9104" s="3">
        <v>218</v>
      </c>
    </row>
    <row r="9105" spans="1:13" x14ac:dyDescent="0.25">
      <c r="A9105" s="1" t="str">
        <f>HYPERLINK("http://www.rosaceae.org/Prunus/Prunus_persica/p.persica_gdr_reftransV1_0002633","p.persica_gdr_reftransV1_0002633")</f>
        <v>p.persica_gdr_reftransV1_0002633</v>
      </c>
      <c r="B9105" s="3">
        <v>863</v>
      </c>
      <c r="C9105" s="1" t="str">
        <f>HYPERLINK("http://www.uniprot.org/uniprot/DYL1_HELCR","DYL1_HELCR")</f>
        <v>DYL1_HELCR</v>
      </c>
      <c r="D9105" t="s">
        <v>6875</v>
      </c>
      <c r="E9105" s="3" t="s">
        <v>6876</v>
      </c>
      <c r="F9105" s="4">
        <v>2.4700000000000001E-20</v>
      </c>
      <c r="G9105" s="3">
        <v>216</v>
      </c>
      <c r="H9105" s="3">
        <v>49</v>
      </c>
      <c r="I9105" s="3">
        <v>92</v>
      </c>
      <c r="J9105" s="3">
        <v>302</v>
      </c>
      <c r="K9105" s="3">
        <v>577</v>
      </c>
      <c r="L9105" s="3">
        <v>1</v>
      </c>
      <c r="M9105" s="3">
        <v>89</v>
      </c>
    </row>
    <row r="9106" spans="1:13" x14ac:dyDescent="0.25">
      <c r="A9106" s="1" t="str">
        <f>HYPERLINK("http://www.rosaceae.org/Prunus/Prunus_persica/p.persica_gdr_reftransV1_0002683","p.persica_gdr_reftransV1_0002683")</f>
        <v>p.persica_gdr_reftransV1_0002683</v>
      </c>
      <c r="B9106" s="3">
        <v>4990</v>
      </c>
      <c r="C9106" s="1" t="str">
        <f>HYPERLINK("http://www.uniprot.org/uniprot/YGI3_SCHPO","YGI3_SCHPO")</f>
        <v>YGI3_SCHPO</v>
      </c>
      <c r="D9106" t="s">
        <v>567</v>
      </c>
      <c r="E9106" s="3" t="s">
        <v>464</v>
      </c>
      <c r="F9106" s="4">
        <v>2.8800000000000002E-29</v>
      </c>
      <c r="G9106" s="3">
        <v>319</v>
      </c>
      <c r="H9106" s="3">
        <v>33</v>
      </c>
      <c r="I9106" s="3">
        <v>249</v>
      </c>
      <c r="J9106" s="3">
        <v>3761</v>
      </c>
      <c r="K9106" s="3">
        <v>4507</v>
      </c>
      <c r="L9106" s="3">
        <v>178</v>
      </c>
      <c r="M9106" s="3">
        <v>416</v>
      </c>
    </row>
    <row r="9107" spans="1:13" x14ac:dyDescent="0.25">
      <c r="A9107" s="1" t="str">
        <f>HYPERLINK("http://www.rosaceae.org/Prunus/Prunus_persica/p.persica_gdr_reftransV1_0002783","p.persica_gdr_reftransV1_0002783")</f>
        <v>p.persica_gdr_reftransV1_0002783</v>
      </c>
      <c r="B9107" s="3">
        <v>3523</v>
      </c>
      <c r="C9107" s="1" t="str">
        <f>HYPERLINK("http://www.uniprot.org/uniprot/LNG1_ARATH","LNG1_ARATH")</f>
        <v>LNG1_ARATH</v>
      </c>
      <c r="D9107" t="s">
        <v>512</v>
      </c>
      <c r="E9107" s="3" t="s">
        <v>3</v>
      </c>
      <c r="F9107" s="4">
        <v>1.7399999999999999E-95</v>
      </c>
      <c r="G9107" s="3">
        <v>851</v>
      </c>
      <c r="H9107" s="3">
        <v>33</v>
      </c>
      <c r="I9107" s="3">
        <v>927</v>
      </c>
      <c r="J9107" s="3">
        <v>324</v>
      </c>
      <c r="K9107" s="3">
        <v>3056</v>
      </c>
      <c r="L9107" s="3">
        <v>146</v>
      </c>
      <c r="M9107" s="3">
        <v>925</v>
      </c>
    </row>
    <row r="9108" spans="1:13" x14ac:dyDescent="0.25">
      <c r="A9108" s="1" t="str">
        <f>HYPERLINK("http://www.rosaceae.org/Prunus/Prunus_persica/p.persica_gdr_reftransV1_0002833","p.persica_gdr_reftransV1_0002833")</f>
        <v>p.persica_gdr_reftransV1_0002833</v>
      </c>
      <c r="B9108" s="3">
        <v>1365</v>
      </c>
      <c r="C9108" s="1" t="str">
        <f>HYPERLINK("http://www.uniprot.org/uniprot/C71BX_ARATH","C71BX_ARATH")</f>
        <v>C71BX_ARATH</v>
      </c>
      <c r="D9108" t="s">
        <v>6877</v>
      </c>
      <c r="E9108" s="3" t="s">
        <v>3</v>
      </c>
      <c r="F9108" s="4">
        <v>2.4E-147</v>
      </c>
      <c r="G9108" s="3">
        <v>1123</v>
      </c>
      <c r="H9108" s="3">
        <v>52</v>
      </c>
      <c r="I9108" s="3">
        <v>408</v>
      </c>
      <c r="J9108" s="3">
        <v>141</v>
      </c>
      <c r="K9108" s="3">
        <v>1364</v>
      </c>
      <c r="L9108" s="3">
        <v>99</v>
      </c>
      <c r="M9108" s="3">
        <v>497</v>
      </c>
    </row>
    <row r="9109" spans="1:13" x14ac:dyDescent="0.25">
      <c r="A9109" s="1" t="str">
        <f>HYPERLINK("http://www.rosaceae.org/Prunus/Prunus_persica/p.persica_gdr_reftransV1_0002883","p.persica_gdr_reftransV1_0002883")</f>
        <v>p.persica_gdr_reftransV1_0002883</v>
      </c>
      <c r="B9109" s="3">
        <v>636</v>
      </c>
      <c r="C9109" s="1" t="str">
        <f>HYPERLINK("http://www.uniprot.org/uniprot/PP260_ARATH","PP260_ARATH")</f>
        <v>PP260_ARATH</v>
      </c>
      <c r="D9109" t="s">
        <v>6878</v>
      </c>
      <c r="E9109" s="3" t="s">
        <v>3</v>
      </c>
      <c r="F9109" s="4">
        <v>1.6000000000000001E-67</v>
      </c>
      <c r="G9109" s="3">
        <v>564</v>
      </c>
      <c r="H9109" s="3">
        <v>59</v>
      </c>
      <c r="I9109" s="3">
        <v>179</v>
      </c>
      <c r="J9109" s="3">
        <v>100</v>
      </c>
      <c r="K9109" s="3">
        <v>636</v>
      </c>
      <c r="L9109" s="3">
        <v>324</v>
      </c>
      <c r="M9109" s="3">
        <v>502</v>
      </c>
    </row>
    <row r="9110" spans="1:13" x14ac:dyDescent="0.25">
      <c r="A9110" s="1" t="str">
        <f>HYPERLINK("http://www.rosaceae.org/Prunus/Prunus_persica/p.persica_gdr_reftransV1_0002933","p.persica_gdr_reftransV1_0002933")</f>
        <v>p.persica_gdr_reftransV1_0002933</v>
      </c>
      <c r="B9110" s="3">
        <v>1163</v>
      </c>
      <c r="C9110" s="1" t="str">
        <f>HYPERLINK("http://www.uniprot.org/uniprot/SDE3_ARATH","SDE3_ARATH")</f>
        <v>SDE3_ARATH</v>
      </c>
      <c r="D9110" t="s">
        <v>697</v>
      </c>
      <c r="E9110" s="3" t="s">
        <v>3</v>
      </c>
      <c r="F9110" s="4">
        <v>2.3400000000000002E-19</v>
      </c>
      <c r="G9110" s="3">
        <v>232</v>
      </c>
      <c r="H9110" s="3">
        <v>31</v>
      </c>
      <c r="I9110" s="3">
        <v>181</v>
      </c>
      <c r="J9110" s="3">
        <v>2</v>
      </c>
      <c r="K9110" s="3">
        <v>532</v>
      </c>
      <c r="L9110" s="3">
        <v>211</v>
      </c>
      <c r="M9110" s="3">
        <v>376</v>
      </c>
    </row>
    <row r="9111" spans="1:13" x14ac:dyDescent="0.25">
      <c r="A9111" s="1" t="str">
        <f>HYPERLINK("http://www.rosaceae.org/Prunus/Prunus_persica/p.persica_gdr_reftransV1_0003033","p.persica_gdr_reftransV1_0003033")</f>
        <v>p.persica_gdr_reftransV1_0003033</v>
      </c>
      <c r="B9111" s="3">
        <v>571</v>
      </c>
      <c r="C9111" s="1" t="str">
        <f>HYPERLINK("http://www.uniprot.org/uniprot/KPYC_SOYBN","KPYC_SOYBN")</f>
        <v>KPYC_SOYBN</v>
      </c>
      <c r="D9111" t="s">
        <v>6879</v>
      </c>
      <c r="E9111" s="3" t="s">
        <v>307</v>
      </c>
      <c r="F9111" s="4">
        <v>7.7799999999999999E-23</v>
      </c>
      <c r="G9111" s="3">
        <v>246</v>
      </c>
      <c r="H9111" s="3">
        <v>42</v>
      </c>
      <c r="I9111" s="3">
        <v>128</v>
      </c>
      <c r="J9111" s="3">
        <v>29</v>
      </c>
      <c r="K9111" s="3">
        <v>409</v>
      </c>
      <c r="L9111" s="3">
        <v>23</v>
      </c>
      <c r="M9111" s="3">
        <v>150</v>
      </c>
    </row>
    <row r="9112" spans="1:13" x14ac:dyDescent="0.25">
      <c r="A9112" s="1" t="str">
        <f>HYPERLINK("http://www.rosaceae.org/Prunus/Prunus_persica/p.persica_gdr_reftransV1_0003133","p.persica_gdr_reftransV1_0003133")</f>
        <v>p.persica_gdr_reftransV1_0003133</v>
      </c>
      <c r="B9112" s="3">
        <v>1301</v>
      </c>
      <c r="C9112" s="1" t="str">
        <f>HYPERLINK("http://www.uniprot.org/uniprot/YZR3_ARATH","YZR3_ARATH")</f>
        <v>YZR3_ARATH</v>
      </c>
      <c r="D9112" t="s">
        <v>6880</v>
      </c>
      <c r="E9112" s="3" t="s">
        <v>3</v>
      </c>
      <c r="F9112" s="4">
        <v>5.6600000000000001E-116</v>
      </c>
      <c r="G9112" s="3">
        <v>892</v>
      </c>
      <c r="H9112" s="3">
        <v>73</v>
      </c>
      <c r="I9112" s="3">
        <v>269</v>
      </c>
      <c r="J9112" s="3">
        <v>433</v>
      </c>
      <c r="K9112" s="3">
        <v>1230</v>
      </c>
      <c r="L9112" s="3">
        <v>1</v>
      </c>
      <c r="M9112" s="3">
        <v>267</v>
      </c>
    </row>
    <row r="9113" spans="1:13" x14ac:dyDescent="0.25">
      <c r="A9113" s="1" t="str">
        <f>HYPERLINK("http://www.rosaceae.org/Prunus/Prunus_persica/p.persica_gdr_reftransV1_0003233","p.persica_gdr_reftransV1_0003233")</f>
        <v>p.persica_gdr_reftransV1_0003233</v>
      </c>
      <c r="B9113" s="3">
        <v>409</v>
      </c>
      <c r="C9113" s="1" t="str">
        <f>HYPERLINK("http://www.uniprot.org/uniprot/PSYR1_ARATH","PSYR1_ARATH")</f>
        <v>PSYR1_ARATH</v>
      </c>
      <c r="D9113" t="s">
        <v>177</v>
      </c>
      <c r="E9113" s="3" t="s">
        <v>3</v>
      </c>
      <c r="F9113" s="4">
        <v>3.2099999999999998E-11</v>
      </c>
      <c r="G9113" s="3">
        <v>156</v>
      </c>
      <c r="H9113" s="3">
        <v>49</v>
      </c>
      <c r="I9113" s="3">
        <v>102</v>
      </c>
      <c r="J9113" s="3">
        <v>36</v>
      </c>
      <c r="K9113" s="3">
        <v>341</v>
      </c>
      <c r="L9113" s="3">
        <v>615</v>
      </c>
      <c r="M9113" s="3">
        <v>715</v>
      </c>
    </row>
    <row r="9114" spans="1:13" x14ac:dyDescent="0.25">
      <c r="A9114" s="1" t="str">
        <f>HYPERLINK("http://www.rosaceae.org/Prunus/Prunus_persica/p.persica_gdr_reftransV1_0003333","p.persica_gdr_reftransV1_0003333")</f>
        <v>p.persica_gdr_reftransV1_0003333</v>
      </c>
      <c r="B9114" s="3">
        <v>1885</v>
      </c>
      <c r="C9114" s="1" t="str">
        <f>HYPERLINK("http://www.uniprot.org/uniprot/AB21B_ARATH","AB21B_ARATH")</f>
        <v>AB21B_ARATH</v>
      </c>
      <c r="D9114" t="s">
        <v>6038</v>
      </c>
      <c r="E9114" s="3" t="s">
        <v>3</v>
      </c>
      <c r="F9114" s="4">
        <v>0</v>
      </c>
      <c r="G9114" s="3">
        <v>2004</v>
      </c>
      <c r="H9114" s="3">
        <v>76</v>
      </c>
      <c r="I9114" s="3">
        <v>522</v>
      </c>
      <c r="J9114" s="3">
        <v>3</v>
      </c>
      <c r="K9114" s="3">
        <v>1568</v>
      </c>
      <c r="L9114" s="3">
        <v>57</v>
      </c>
      <c r="M9114" s="3">
        <v>578</v>
      </c>
    </row>
    <row r="9115" spans="1:13" x14ac:dyDescent="0.25">
      <c r="A9115" s="1" t="str">
        <f>HYPERLINK("http://www.rosaceae.org/Prunus/Prunus_persica/p.persica_gdr_reftransV1_0003433","p.persica_gdr_reftransV1_0003433")</f>
        <v>p.persica_gdr_reftransV1_0003433</v>
      </c>
      <c r="B9115" s="3">
        <v>3253</v>
      </c>
      <c r="C9115" s="1" t="str">
        <f>HYPERLINK("http://www.uniprot.org/uniprot/PPP7I_ARATH","PPP7I_ARATH")</f>
        <v>PPP7I_ARATH</v>
      </c>
      <c r="D9115" t="s">
        <v>6881</v>
      </c>
      <c r="E9115" s="3" t="s">
        <v>3</v>
      </c>
      <c r="F9115" s="4">
        <v>5.7900000000000003E-116</v>
      </c>
      <c r="G9115" s="3">
        <v>969</v>
      </c>
      <c r="H9115" s="3">
        <v>45</v>
      </c>
      <c r="I9115" s="3">
        <v>476</v>
      </c>
      <c r="J9115" s="3">
        <v>924</v>
      </c>
      <c r="K9115" s="3">
        <v>2330</v>
      </c>
      <c r="L9115" s="3">
        <v>157</v>
      </c>
      <c r="M9115" s="3">
        <v>599</v>
      </c>
    </row>
    <row r="9116" spans="1:13" x14ac:dyDescent="0.25">
      <c r="A9116" s="1" t="str">
        <f>HYPERLINK("http://www.rosaceae.org/Prunus/Prunus_persica/p.persica_gdr_reftransV1_0003483","p.persica_gdr_reftransV1_0003483")</f>
        <v>p.persica_gdr_reftransV1_0003483</v>
      </c>
      <c r="B9116" s="3">
        <v>742</v>
      </c>
      <c r="C9116" s="1" t="str">
        <f>HYPERLINK("http://www.uniprot.org/uniprot/CRSP_ARATH","CRSP_ARATH")</f>
        <v>CRSP_ARATH</v>
      </c>
      <c r="D9116" t="s">
        <v>1526</v>
      </c>
      <c r="E9116" s="3" t="s">
        <v>3</v>
      </c>
      <c r="F9116" s="4">
        <v>1.11E-94</v>
      </c>
      <c r="G9116" s="3">
        <v>768</v>
      </c>
      <c r="H9116" s="3">
        <v>61</v>
      </c>
      <c r="I9116" s="3">
        <v>252</v>
      </c>
      <c r="J9116" s="3">
        <v>1</v>
      </c>
      <c r="K9116" s="3">
        <v>741</v>
      </c>
      <c r="L9116" s="3">
        <v>267</v>
      </c>
      <c r="M9116" s="3">
        <v>518</v>
      </c>
    </row>
    <row r="9117" spans="1:13" x14ac:dyDescent="0.25">
      <c r="A9117" s="1" t="str">
        <f>HYPERLINK("http://www.rosaceae.org/Prunus/Prunus_persica/p.persica_gdr_reftransV1_0003583","p.persica_gdr_reftransV1_0003583")</f>
        <v>p.persica_gdr_reftransV1_0003583</v>
      </c>
      <c r="B9117" s="3">
        <v>871</v>
      </c>
      <c r="C9117" s="1" t="str">
        <f>HYPERLINK("http://www.uniprot.org/uniprot/CYSK_CITLA","CYSK_CITLA")</f>
        <v>CYSK_CITLA</v>
      </c>
      <c r="D9117" t="s">
        <v>1258</v>
      </c>
      <c r="E9117" s="3" t="s">
        <v>1259</v>
      </c>
      <c r="F9117" s="4">
        <v>4.3399999999999998E-91</v>
      </c>
      <c r="G9117" s="3">
        <v>716</v>
      </c>
      <c r="H9117" s="3">
        <v>78</v>
      </c>
      <c r="I9117" s="3">
        <v>227</v>
      </c>
      <c r="J9117" s="3">
        <v>2</v>
      </c>
      <c r="K9117" s="3">
        <v>682</v>
      </c>
      <c r="L9117" s="3">
        <v>95</v>
      </c>
      <c r="M9117" s="3">
        <v>321</v>
      </c>
    </row>
    <row r="9118" spans="1:13" x14ac:dyDescent="0.25">
      <c r="A9118" s="1" t="str">
        <f>HYPERLINK("http://www.rosaceae.org/Prunus/Prunus_persica/p.persica_gdr_reftransV1_0003783","p.persica_gdr_reftransV1_0003783")</f>
        <v>p.persica_gdr_reftransV1_0003783</v>
      </c>
      <c r="B9118" s="3">
        <v>1109</v>
      </c>
      <c r="C9118" s="1" t="str">
        <f>HYPERLINK("http://www.uniprot.org/uniprot/TEB_ARATH","TEB_ARATH")</f>
        <v>TEB_ARATH</v>
      </c>
      <c r="D9118" t="s">
        <v>3616</v>
      </c>
      <c r="E9118" s="3" t="s">
        <v>3</v>
      </c>
      <c r="F9118" s="4">
        <v>0</v>
      </c>
      <c r="G9118" s="3">
        <v>1574</v>
      </c>
      <c r="H9118" s="3">
        <v>85</v>
      </c>
      <c r="I9118" s="3">
        <v>369</v>
      </c>
      <c r="J9118" s="3">
        <v>3</v>
      </c>
      <c r="K9118" s="3">
        <v>1109</v>
      </c>
      <c r="L9118" s="3">
        <v>627</v>
      </c>
      <c r="M9118" s="3">
        <v>995</v>
      </c>
    </row>
    <row r="9119" spans="1:13" x14ac:dyDescent="0.25">
      <c r="A9119" s="1" t="str">
        <f>HYPERLINK("http://www.rosaceae.org/Prunus/Prunus_persica/p.persica_gdr_reftransV1_0003833","p.persica_gdr_reftransV1_0003833")</f>
        <v>p.persica_gdr_reftransV1_0003833</v>
      </c>
      <c r="B9119" s="3">
        <v>2427</v>
      </c>
      <c r="C9119" s="1" t="str">
        <f>HYPERLINK("http://www.uniprot.org/uniprot/PMGI_MESCR","PMGI_MESCR")</f>
        <v>PMGI_MESCR</v>
      </c>
      <c r="D9119" t="s">
        <v>6882</v>
      </c>
      <c r="E9119" s="3" t="s">
        <v>2486</v>
      </c>
      <c r="F9119" s="4">
        <v>0</v>
      </c>
      <c r="G9119" s="3">
        <v>2593</v>
      </c>
      <c r="H9119" s="3">
        <v>88</v>
      </c>
      <c r="I9119" s="3">
        <v>559</v>
      </c>
      <c r="J9119" s="3">
        <v>149</v>
      </c>
      <c r="K9119" s="3">
        <v>1825</v>
      </c>
      <c r="L9119" s="3">
        <v>1</v>
      </c>
      <c r="M9119" s="3">
        <v>559</v>
      </c>
    </row>
    <row r="9120" spans="1:13" x14ac:dyDescent="0.25">
      <c r="A9120" s="1" t="str">
        <f>HYPERLINK("http://www.rosaceae.org/Prunus/Prunus_persica/p.persica_gdr_reftransV1_0003883","p.persica_gdr_reftransV1_0003883")</f>
        <v>p.persica_gdr_reftransV1_0003883</v>
      </c>
      <c r="B9120" s="3">
        <v>1253</v>
      </c>
      <c r="C9120" s="1" t="str">
        <f>HYPERLINK("http://www.uniprot.org/uniprot/CXE13_ARATH","CXE13_ARATH")</f>
        <v>CXE13_ARATH</v>
      </c>
      <c r="D9120" t="s">
        <v>2286</v>
      </c>
      <c r="E9120" s="3" t="s">
        <v>3</v>
      </c>
      <c r="F9120" s="4">
        <v>2.1499999999999999E-107</v>
      </c>
      <c r="G9120" s="3">
        <v>837</v>
      </c>
      <c r="H9120" s="3">
        <v>53</v>
      </c>
      <c r="I9120" s="3">
        <v>324</v>
      </c>
      <c r="J9120" s="3">
        <v>209</v>
      </c>
      <c r="K9120" s="3">
        <v>1144</v>
      </c>
      <c r="L9120" s="3">
        <v>2</v>
      </c>
      <c r="M9120" s="3">
        <v>325</v>
      </c>
    </row>
    <row r="9121" spans="1:13" x14ac:dyDescent="0.25">
      <c r="A9121" s="1" t="str">
        <f>HYPERLINK("http://www.rosaceae.org/Prunus/Prunus_persica/p.persica_gdr_reftransV1_0003933","p.persica_gdr_reftransV1_0003933")</f>
        <v>p.persica_gdr_reftransV1_0003933</v>
      </c>
      <c r="B9121" s="3">
        <v>1863</v>
      </c>
      <c r="C9121" s="1" t="str">
        <f>HYPERLINK("http://www.uniprot.org/uniprot/ILL4_ARATH","ILL4_ARATH")</f>
        <v>ILL4_ARATH</v>
      </c>
      <c r="D9121" t="s">
        <v>3955</v>
      </c>
      <c r="E9121" s="3" t="s">
        <v>3</v>
      </c>
      <c r="F9121" s="4">
        <v>1.1199999999999999E-180</v>
      </c>
      <c r="G9121" s="3">
        <v>1354</v>
      </c>
      <c r="H9121" s="3">
        <v>58</v>
      </c>
      <c r="I9121" s="3">
        <v>429</v>
      </c>
      <c r="J9121" s="3">
        <v>209</v>
      </c>
      <c r="K9121" s="3">
        <v>1495</v>
      </c>
      <c r="L9121" s="3">
        <v>1</v>
      </c>
      <c r="M9121" s="3">
        <v>425</v>
      </c>
    </row>
    <row r="9122" spans="1:13" x14ac:dyDescent="0.25">
      <c r="A9122" s="1" t="str">
        <f>HYPERLINK("http://www.rosaceae.org/Prunus/Prunus_persica/p.persica_gdr_reftransV1_0003983","p.persica_gdr_reftransV1_0003983")</f>
        <v>p.persica_gdr_reftransV1_0003983</v>
      </c>
      <c r="B9122" s="3">
        <v>610</v>
      </c>
      <c r="C9122" s="1" t="str">
        <f>HYPERLINK("http://www.uniprot.org/uniprot/DIP5_YEAST","DIP5_YEAST")</f>
        <v>DIP5_YEAST</v>
      </c>
      <c r="D9122" t="s">
        <v>3924</v>
      </c>
      <c r="E9122" s="3" t="s">
        <v>34</v>
      </c>
      <c r="F9122" s="4">
        <v>2.9899999999999999E-71</v>
      </c>
      <c r="G9122" s="3">
        <v>594</v>
      </c>
      <c r="H9122" s="3">
        <v>62</v>
      </c>
      <c r="I9122" s="3">
        <v>205</v>
      </c>
      <c r="J9122" s="3">
        <v>1</v>
      </c>
      <c r="K9122" s="3">
        <v>609</v>
      </c>
      <c r="L9122" s="3">
        <v>101</v>
      </c>
      <c r="M9122" s="3">
        <v>304</v>
      </c>
    </row>
    <row r="9123" spans="1:13" x14ac:dyDescent="0.25">
      <c r="A9123" s="1" t="str">
        <f>HYPERLINK("http://www.rosaceae.org/Prunus/Prunus_persica/p.persica_gdr_reftransV1_0004133","p.persica_gdr_reftransV1_0004133")</f>
        <v>p.persica_gdr_reftransV1_0004133</v>
      </c>
      <c r="B9123" s="3">
        <v>906</v>
      </c>
      <c r="C9123" s="1" t="str">
        <f>HYPERLINK("http://www.uniprot.org/uniprot/MD37B_ARATH","MD37B_ARATH")</f>
        <v>MD37B_ARATH</v>
      </c>
      <c r="D9123" t="s">
        <v>6883</v>
      </c>
      <c r="E9123" s="3" t="s">
        <v>3</v>
      </c>
      <c r="F9123" s="4">
        <v>6.3500000000000002E-151</v>
      </c>
      <c r="G9123" s="3">
        <v>1146</v>
      </c>
      <c r="H9123" s="3">
        <v>81</v>
      </c>
      <c r="I9123" s="3">
        <v>279</v>
      </c>
      <c r="J9123" s="3">
        <v>80</v>
      </c>
      <c r="K9123" s="3">
        <v>904</v>
      </c>
      <c r="L9123" s="3">
        <v>12</v>
      </c>
      <c r="M9123" s="3">
        <v>285</v>
      </c>
    </row>
    <row r="9124" spans="1:13" x14ac:dyDescent="0.25">
      <c r="A9124" s="1" t="str">
        <f>HYPERLINK("http://www.rosaceae.org/Prunus/Prunus_persica/p.persica_gdr_reftransV1_0004183","p.persica_gdr_reftransV1_0004183")</f>
        <v>p.persica_gdr_reftransV1_0004183</v>
      </c>
      <c r="B9124" s="3">
        <v>1331</v>
      </c>
      <c r="C9124" s="1" t="str">
        <f>HYPERLINK("http://www.uniprot.org/uniprot/ETHE1_ARATH","ETHE1_ARATH")</f>
        <v>ETHE1_ARATH</v>
      </c>
      <c r="D9124" t="s">
        <v>1661</v>
      </c>
      <c r="E9124" s="3" t="s">
        <v>3</v>
      </c>
      <c r="F9124" s="4">
        <v>1.6799999999999999E-136</v>
      </c>
      <c r="G9124" s="3">
        <v>1030</v>
      </c>
      <c r="H9124" s="3">
        <v>82</v>
      </c>
      <c r="I9124" s="3">
        <v>242</v>
      </c>
      <c r="J9124" s="3">
        <v>398</v>
      </c>
      <c r="K9124" s="3">
        <v>1123</v>
      </c>
      <c r="L9124" s="3">
        <v>51</v>
      </c>
      <c r="M9124" s="3">
        <v>292</v>
      </c>
    </row>
    <row r="9125" spans="1:13" x14ac:dyDescent="0.25">
      <c r="A9125" s="1" t="str">
        <f>HYPERLINK("http://www.rosaceae.org/Prunus/Prunus_persica/p.persica_gdr_reftransV1_0004233","p.persica_gdr_reftransV1_0004233")</f>
        <v>p.persica_gdr_reftransV1_0004233</v>
      </c>
      <c r="B9125" s="3">
        <v>4149</v>
      </c>
      <c r="C9125" s="1" t="str">
        <f>HYPERLINK("http://www.uniprot.org/uniprot/SYVM1_ARATH","SYVM1_ARATH")</f>
        <v>SYVM1_ARATH</v>
      </c>
      <c r="D9125" t="s">
        <v>6884</v>
      </c>
      <c r="E9125" s="3" t="s">
        <v>3</v>
      </c>
      <c r="F9125" s="4">
        <v>0</v>
      </c>
      <c r="G9125" s="3">
        <v>3915</v>
      </c>
      <c r="H9125" s="3">
        <v>73</v>
      </c>
      <c r="I9125" s="3">
        <v>964</v>
      </c>
      <c r="J9125" s="3">
        <v>433</v>
      </c>
      <c r="K9125" s="3">
        <v>3300</v>
      </c>
      <c r="L9125" s="3">
        <v>114</v>
      </c>
      <c r="M9125" s="3">
        <v>1077</v>
      </c>
    </row>
    <row r="9126" spans="1:13" x14ac:dyDescent="0.25">
      <c r="A9126" s="1" t="str">
        <f>HYPERLINK("http://www.rosaceae.org/Prunus/Prunus_persica/p.persica_gdr_reftransV1_0004333","p.persica_gdr_reftransV1_0004333")</f>
        <v>p.persica_gdr_reftransV1_0004333</v>
      </c>
      <c r="B9126" s="3">
        <v>897</v>
      </c>
      <c r="C9126" s="1" t="str">
        <f>HYPERLINK("http://www.uniprot.org/uniprot/MPK8_ARATH","MPK8_ARATH")</f>
        <v>MPK8_ARATH</v>
      </c>
      <c r="D9126" t="s">
        <v>6885</v>
      </c>
      <c r="E9126" s="3" t="s">
        <v>3</v>
      </c>
      <c r="F9126" s="4">
        <v>5.4000000000000004E-62</v>
      </c>
      <c r="G9126" s="3">
        <v>539</v>
      </c>
      <c r="H9126" s="3">
        <v>83</v>
      </c>
      <c r="I9126" s="3">
        <v>142</v>
      </c>
      <c r="J9126" s="3">
        <v>2</v>
      </c>
      <c r="K9126" s="3">
        <v>427</v>
      </c>
      <c r="L9126" s="3">
        <v>62</v>
      </c>
      <c r="M9126" s="3">
        <v>198</v>
      </c>
    </row>
    <row r="9127" spans="1:13" x14ac:dyDescent="0.25">
      <c r="A9127" s="1" t="str">
        <f>HYPERLINK("http://www.rosaceae.org/Prunus/Prunus_persica/p.persica_gdr_reftransV1_0004383","p.persica_gdr_reftransV1_0004383")</f>
        <v>p.persica_gdr_reftransV1_0004383</v>
      </c>
      <c r="B9127" s="3">
        <v>3739</v>
      </c>
      <c r="C9127" s="1" t="str">
        <f>HYPERLINK("http://www.uniprot.org/uniprot/POK2_ARATH","POK2_ARATH")</f>
        <v>POK2_ARATH</v>
      </c>
      <c r="D9127" t="s">
        <v>3327</v>
      </c>
      <c r="E9127" s="3" t="s">
        <v>3</v>
      </c>
      <c r="F9127" s="4">
        <v>1.03E-119</v>
      </c>
      <c r="G9127" s="3">
        <v>1073</v>
      </c>
      <c r="H9127" s="3">
        <v>49</v>
      </c>
      <c r="I9127" s="3">
        <v>547</v>
      </c>
      <c r="J9127" s="3">
        <v>3</v>
      </c>
      <c r="K9127" s="3">
        <v>1589</v>
      </c>
      <c r="L9127" s="3">
        <v>322</v>
      </c>
      <c r="M9127" s="3">
        <v>838</v>
      </c>
    </row>
    <row r="9128" spans="1:13" x14ac:dyDescent="0.25">
      <c r="A9128" s="1" t="str">
        <f>HYPERLINK("http://www.rosaceae.org/Prunus/Prunus_persica/p.persica_gdr_reftransV1_0004433","p.persica_gdr_reftransV1_0004433")</f>
        <v>p.persica_gdr_reftransV1_0004433</v>
      </c>
      <c r="B9128" s="3">
        <v>1581</v>
      </c>
      <c r="C9128" s="1" t="str">
        <f>HYPERLINK("http://www.uniprot.org/uniprot/MENH_BACSU","MENH_BACSU")</f>
        <v>MENH_BACSU</v>
      </c>
      <c r="D9128" t="s">
        <v>6886</v>
      </c>
      <c r="E9128" s="3" t="s">
        <v>1630</v>
      </c>
      <c r="F9128" s="4">
        <v>8.2100000000000001E-8</v>
      </c>
      <c r="G9128" s="3">
        <v>137</v>
      </c>
      <c r="H9128" s="3">
        <v>31</v>
      </c>
      <c r="I9128" s="3">
        <v>126</v>
      </c>
      <c r="J9128" s="3">
        <v>811</v>
      </c>
      <c r="K9128" s="3">
        <v>1179</v>
      </c>
      <c r="L9128" s="3">
        <v>6</v>
      </c>
      <c r="M9128" s="3">
        <v>121</v>
      </c>
    </row>
    <row r="9129" spans="1:13" x14ac:dyDescent="0.25">
      <c r="A9129" s="1" t="str">
        <f>HYPERLINK("http://www.rosaceae.org/Prunus/Prunus_persica/p.persica_gdr_reftransV1_0004583","p.persica_gdr_reftransV1_0004583")</f>
        <v>p.persica_gdr_reftransV1_0004583</v>
      </c>
      <c r="B9129" s="3">
        <v>3294</v>
      </c>
      <c r="C9129" s="1" t="str">
        <f>HYPERLINK("http://www.uniprot.org/uniprot/HSP7R_ARATH","HSP7R_ARATH")</f>
        <v>HSP7R_ARATH</v>
      </c>
      <c r="D9129" t="s">
        <v>6887</v>
      </c>
      <c r="E9129" s="3" t="s">
        <v>3</v>
      </c>
      <c r="F9129" s="4">
        <v>0</v>
      </c>
      <c r="G9129" s="3">
        <v>3228</v>
      </c>
      <c r="H9129" s="3">
        <v>74</v>
      </c>
      <c r="I9129" s="3">
        <v>812</v>
      </c>
      <c r="J9129" s="3">
        <v>649</v>
      </c>
      <c r="K9129" s="3">
        <v>3081</v>
      </c>
      <c r="L9129" s="3">
        <v>21</v>
      </c>
      <c r="M9129" s="3">
        <v>827</v>
      </c>
    </row>
    <row r="9130" spans="1:13" x14ac:dyDescent="0.25">
      <c r="A9130" s="1" t="str">
        <f>HYPERLINK("http://www.rosaceae.org/Prunus/Prunus_persica/p.persica_gdr_reftransV1_0004633","p.persica_gdr_reftransV1_0004633")</f>
        <v>p.persica_gdr_reftransV1_0004633</v>
      </c>
      <c r="B9130" s="3">
        <v>2737</v>
      </c>
      <c r="C9130" s="1" t="str">
        <f>HYPERLINK("http://www.uniprot.org/uniprot/GTE8_ARATH","GTE8_ARATH")</f>
        <v>GTE8_ARATH</v>
      </c>
      <c r="D9130" t="s">
        <v>2926</v>
      </c>
      <c r="E9130" s="3" t="s">
        <v>3</v>
      </c>
      <c r="F9130" s="4">
        <v>1.21E-144</v>
      </c>
      <c r="G9130" s="3">
        <v>1172</v>
      </c>
      <c r="H9130" s="3">
        <v>51</v>
      </c>
      <c r="I9130" s="3">
        <v>577</v>
      </c>
      <c r="J9130" s="3">
        <v>330</v>
      </c>
      <c r="K9130" s="3">
        <v>2048</v>
      </c>
      <c r="L9130" s="3">
        <v>9</v>
      </c>
      <c r="M9130" s="3">
        <v>562</v>
      </c>
    </row>
    <row r="9131" spans="1:13" x14ac:dyDescent="0.25">
      <c r="A9131" s="1" t="str">
        <f>HYPERLINK("http://www.rosaceae.org/Prunus/Prunus_persica/p.persica_gdr_reftransV1_0004683","p.persica_gdr_reftransV1_0004683")</f>
        <v>p.persica_gdr_reftransV1_0004683</v>
      </c>
      <c r="B9131" s="3">
        <v>3429</v>
      </c>
      <c r="C9131" s="1" t="str">
        <f>HYPERLINK("http://www.uniprot.org/uniprot/Y3148_ARATH","Y3148_ARATH")</f>
        <v>Y3148_ARATH</v>
      </c>
      <c r="D9131" t="s">
        <v>953</v>
      </c>
      <c r="E9131" s="3" t="s">
        <v>3</v>
      </c>
      <c r="F9131" s="4">
        <v>0</v>
      </c>
      <c r="G9131" s="3">
        <v>2420</v>
      </c>
      <c r="H9131" s="3">
        <v>49</v>
      </c>
      <c r="I9131" s="3">
        <v>1039</v>
      </c>
      <c r="J9131" s="3">
        <v>245</v>
      </c>
      <c r="K9131" s="3">
        <v>3304</v>
      </c>
      <c r="L9131" s="3">
        <v>26</v>
      </c>
      <c r="M9131" s="3">
        <v>1009</v>
      </c>
    </row>
    <row r="9132" spans="1:13" x14ac:dyDescent="0.25">
      <c r="A9132" s="1" t="str">
        <f>HYPERLINK("http://www.rosaceae.org/Prunus/Prunus_persica/p.persica_gdr_reftransV1_0004883","p.persica_gdr_reftransV1_0004883")</f>
        <v>p.persica_gdr_reftransV1_0004883</v>
      </c>
      <c r="B9132" s="3">
        <v>432</v>
      </c>
      <c r="C9132" s="1" t="str">
        <f>HYPERLINK("http://www.uniprot.org/uniprot/E135_ARATH","E135_ARATH")</f>
        <v>E135_ARATH</v>
      </c>
      <c r="D9132" t="s">
        <v>6888</v>
      </c>
      <c r="E9132" s="3" t="s">
        <v>3</v>
      </c>
      <c r="F9132" s="4">
        <v>1.61E-50</v>
      </c>
      <c r="G9132" s="3">
        <v>439</v>
      </c>
      <c r="H9132" s="3">
        <v>61</v>
      </c>
      <c r="I9132" s="3">
        <v>143</v>
      </c>
      <c r="J9132" s="3">
        <v>3</v>
      </c>
      <c r="K9132" s="3">
        <v>431</v>
      </c>
      <c r="L9132" s="3">
        <v>179</v>
      </c>
      <c r="M9132" s="3">
        <v>321</v>
      </c>
    </row>
    <row r="9133" spans="1:13" x14ac:dyDescent="0.25">
      <c r="A9133" s="1" t="str">
        <f>HYPERLINK("http://www.rosaceae.org/Prunus/Prunus_persica/p.persica_gdr_reftransV1_0004933","p.persica_gdr_reftransV1_0004933")</f>
        <v>p.persica_gdr_reftransV1_0004933</v>
      </c>
      <c r="B9133" s="3">
        <v>1097</v>
      </c>
      <c r="C9133" s="1" t="str">
        <f>HYPERLINK("http://www.uniprot.org/uniprot/TGT2_ARATH","TGT2_ARATH")</f>
        <v>TGT2_ARATH</v>
      </c>
      <c r="D9133" t="s">
        <v>5090</v>
      </c>
      <c r="E9133" s="3" t="s">
        <v>3</v>
      </c>
      <c r="F9133" s="4">
        <v>6.6899999999999996E-33</v>
      </c>
      <c r="G9133" s="3">
        <v>333</v>
      </c>
      <c r="H9133" s="3">
        <v>41</v>
      </c>
      <c r="I9133" s="3">
        <v>218</v>
      </c>
      <c r="J9133" s="3">
        <v>241</v>
      </c>
      <c r="K9133" s="3">
        <v>864</v>
      </c>
      <c r="L9133" s="3">
        <v>268</v>
      </c>
      <c r="M9133" s="3">
        <v>484</v>
      </c>
    </row>
    <row r="9134" spans="1:13" x14ac:dyDescent="0.25">
      <c r="A9134" s="1" t="str">
        <f>HYPERLINK("http://www.rosaceae.org/Prunus/Prunus_persica/p.persica_gdr_reftransV1_0004983","p.persica_gdr_reftransV1_0004983")</f>
        <v>p.persica_gdr_reftransV1_0004983</v>
      </c>
      <c r="B9134" s="3">
        <v>1268</v>
      </c>
      <c r="C9134" s="1" t="str">
        <f>HYPERLINK("http://www.uniprot.org/uniprot/BPA1_ARATH","BPA1_ARATH")</f>
        <v>BPA1_ARATH</v>
      </c>
      <c r="D9134" t="s">
        <v>4085</v>
      </c>
      <c r="E9134" s="3" t="s">
        <v>3</v>
      </c>
      <c r="F9134" s="4">
        <v>2.7600000000000001E-98</v>
      </c>
      <c r="G9134" s="3">
        <v>771</v>
      </c>
      <c r="H9134" s="3">
        <v>66</v>
      </c>
      <c r="I9134" s="3">
        <v>237</v>
      </c>
      <c r="J9134" s="3">
        <v>128</v>
      </c>
      <c r="K9134" s="3">
        <v>838</v>
      </c>
      <c r="L9134" s="3">
        <v>1</v>
      </c>
      <c r="M9134" s="3">
        <v>229</v>
      </c>
    </row>
    <row r="9135" spans="1:13" x14ac:dyDescent="0.25">
      <c r="A9135" s="1" t="str">
        <f>HYPERLINK("http://www.rosaceae.org/Prunus/Prunus_persica/p.persica_gdr_reftransV1_0005083","p.persica_gdr_reftransV1_0005083")</f>
        <v>p.persica_gdr_reftransV1_0005083</v>
      </c>
      <c r="B9135" s="3">
        <v>1339</v>
      </c>
      <c r="C9135" s="1" t="str">
        <f>HYPERLINK("http://www.uniprot.org/uniprot/GYAR_THEPD","GYAR_THEPD")</f>
        <v>GYAR_THEPD</v>
      </c>
      <c r="D9135" t="s">
        <v>6889</v>
      </c>
      <c r="E9135" s="3" t="s">
        <v>6890</v>
      </c>
      <c r="F9135" s="4">
        <v>4.6700000000000002E-30</v>
      </c>
      <c r="G9135" s="3">
        <v>308</v>
      </c>
      <c r="H9135" s="3">
        <v>31</v>
      </c>
      <c r="I9135" s="3">
        <v>265</v>
      </c>
      <c r="J9135" s="3">
        <v>309</v>
      </c>
      <c r="K9135" s="3">
        <v>1079</v>
      </c>
      <c r="L9135" s="3">
        <v>70</v>
      </c>
      <c r="M9135" s="3">
        <v>315</v>
      </c>
    </row>
    <row r="9136" spans="1:13" x14ac:dyDescent="0.25">
      <c r="A9136" s="1" t="str">
        <f>HYPERLINK("http://www.rosaceae.org/Prunus/Prunus_persica/p.persica_gdr_reftransV1_0005133","p.persica_gdr_reftransV1_0005133")</f>
        <v>p.persica_gdr_reftransV1_0005133</v>
      </c>
      <c r="B9136" s="3">
        <v>1706</v>
      </c>
      <c r="C9136" s="1" t="str">
        <f>HYPERLINK("http://www.uniprot.org/uniprot/GATA5_ARATH","GATA5_ARATH")</f>
        <v>GATA5_ARATH</v>
      </c>
      <c r="D9136" t="s">
        <v>244</v>
      </c>
      <c r="E9136" s="3" t="s">
        <v>3</v>
      </c>
      <c r="F9136" s="4">
        <v>5.3099999999999998E-45</v>
      </c>
      <c r="G9136" s="3">
        <v>423</v>
      </c>
      <c r="H9136" s="3">
        <v>50</v>
      </c>
      <c r="I9136" s="3">
        <v>232</v>
      </c>
      <c r="J9136" s="3">
        <v>583</v>
      </c>
      <c r="K9136" s="3">
        <v>1266</v>
      </c>
      <c r="L9136" s="3">
        <v>101</v>
      </c>
      <c r="M9136" s="3">
        <v>332</v>
      </c>
    </row>
    <row r="9137" spans="1:13" x14ac:dyDescent="0.25">
      <c r="A9137" s="1" t="str">
        <f>HYPERLINK("http://www.rosaceae.org/Prunus/Prunus_persica/p.persica_gdr_reftransV1_0005233","p.persica_gdr_reftransV1_0005233")</f>
        <v>p.persica_gdr_reftransV1_0005233</v>
      </c>
      <c r="B9137" s="3">
        <v>2194</v>
      </c>
      <c r="C9137" s="1" t="str">
        <f>HYPERLINK("http://www.uniprot.org/uniprot/LCB1_ARATH","LCB1_ARATH")</f>
        <v>LCB1_ARATH</v>
      </c>
      <c r="D9137" t="s">
        <v>284</v>
      </c>
      <c r="E9137" s="3" t="s">
        <v>3</v>
      </c>
      <c r="F9137" s="4">
        <v>0</v>
      </c>
      <c r="G9137" s="3">
        <v>1958</v>
      </c>
      <c r="H9137" s="3">
        <v>79</v>
      </c>
      <c r="I9137" s="3">
        <v>481</v>
      </c>
      <c r="J9137" s="3">
        <v>372</v>
      </c>
      <c r="K9137" s="3">
        <v>1811</v>
      </c>
      <c r="L9137" s="3">
        <v>1</v>
      </c>
      <c r="M9137" s="3">
        <v>481</v>
      </c>
    </row>
    <row r="9138" spans="1:13" x14ac:dyDescent="0.25">
      <c r="A9138" s="1" t="str">
        <f>HYPERLINK("http://www.rosaceae.org/Prunus/Prunus_persica/p.persica_gdr_reftransV1_0005333","p.persica_gdr_reftransV1_0005333")</f>
        <v>p.persica_gdr_reftransV1_0005333</v>
      </c>
      <c r="B9138" s="3">
        <v>959</v>
      </c>
      <c r="C9138" s="1" t="str">
        <f>HYPERLINK("http://www.uniprot.org/uniprot/CSN8_ARATH","CSN8_ARATH")</f>
        <v>CSN8_ARATH</v>
      </c>
      <c r="D9138" t="s">
        <v>4592</v>
      </c>
      <c r="E9138" s="3" t="s">
        <v>3</v>
      </c>
      <c r="F9138" s="4">
        <v>1.4399999999999999E-99</v>
      </c>
      <c r="G9138" s="3">
        <v>763</v>
      </c>
      <c r="H9138" s="3">
        <v>70</v>
      </c>
      <c r="I9138" s="3">
        <v>197</v>
      </c>
      <c r="J9138" s="3">
        <v>307</v>
      </c>
      <c r="K9138" s="3">
        <v>897</v>
      </c>
      <c r="L9138" s="3">
        <v>1</v>
      </c>
      <c r="M9138" s="3">
        <v>197</v>
      </c>
    </row>
    <row r="9139" spans="1:13" x14ac:dyDescent="0.25">
      <c r="A9139" s="1" t="str">
        <f>HYPERLINK("http://www.rosaceae.org/Prunus/Prunus_persica/p.persica_gdr_reftransV1_0005383","p.persica_gdr_reftransV1_0005383")</f>
        <v>p.persica_gdr_reftransV1_0005383</v>
      </c>
      <c r="B9139" s="3">
        <v>1620</v>
      </c>
      <c r="C9139" s="1" t="str">
        <f>HYPERLINK("http://www.uniprot.org/uniprot/CCL11_ARATH","CCL11_ARATH")</f>
        <v>CCL11_ARATH</v>
      </c>
      <c r="D9139" t="s">
        <v>6891</v>
      </c>
      <c r="E9139" s="3" t="s">
        <v>3</v>
      </c>
      <c r="F9139" s="4">
        <v>3.39E-177</v>
      </c>
      <c r="G9139" s="3">
        <v>1321</v>
      </c>
      <c r="H9139" s="3">
        <v>72</v>
      </c>
      <c r="I9139" s="3">
        <v>345</v>
      </c>
      <c r="J9139" s="3">
        <v>490</v>
      </c>
      <c r="K9139" s="3">
        <v>1524</v>
      </c>
      <c r="L9139" s="3">
        <v>1</v>
      </c>
      <c r="M9139" s="3">
        <v>342</v>
      </c>
    </row>
    <row r="9140" spans="1:13" x14ac:dyDescent="0.25">
      <c r="A9140" s="1" t="str">
        <f>HYPERLINK("http://www.rosaceae.org/Prunus/Prunus_persica/p.persica_gdr_reftransV1_0005433","p.persica_gdr_reftransV1_0005433")</f>
        <v>p.persica_gdr_reftransV1_0005433</v>
      </c>
      <c r="B9140" s="3">
        <v>435</v>
      </c>
      <c r="C9140" s="1" t="str">
        <f>HYPERLINK("http://www.uniprot.org/uniprot/ATXR4_ARATH","ATXR4_ARATH")</f>
        <v>ATXR4_ARATH</v>
      </c>
      <c r="D9140" t="s">
        <v>2393</v>
      </c>
      <c r="E9140" s="3" t="s">
        <v>3</v>
      </c>
      <c r="F9140" s="4">
        <v>4.2800000000000003E-55</v>
      </c>
      <c r="G9140" s="3">
        <v>460</v>
      </c>
      <c r="H9140" s="3">
        <v>68</v>
      </c>
      <c r="I9140" s="3">
        <v>145</v>
      </c>
      <c r="J9140" s="3">
        <v>3</v>
      </c>
      <c r="K9140" s="3">
        <v>434</v>
      </c>
      <c r="L9140" s="3">
        <v>152</v>
      </c>
      <c r="M9140" s="3">
        <v>296</v>
      </c>
    </row>
    <row r="9141" spans="1:13" x14ac:dyDescent="0.25">
      <c r="A9141" s="1" t="str">
        <f>HYPERLINK("http://www.rosaceae.org/Prunus/Prunus_persica/p.persica_gdr_reftransV1_0005733","p.persica_gdr_reftransV1_0005733")</f>
        <v>p.persica_gdr_reftransV1_0005733</v>
      </c>
      <c r="B9141" s="3">
        <v>504</v>
      </c>
      <c r="C9141" s="1" t="str">
        <f>HYPERLINK("http://www.uniprot.org/uniprot/IMK2_ARATH","IMK2_ARATH")</f>
        <v>IMK2_ARATH</v>
      </c>
      <c r="D9141" t="s">
        <v>6892</v>
      </c>
      <c r="E9141" s="3" t="s">
        <v>3</v>
      </c>
      <c r="F9141" s="4">
        <v>3.2099999999999998E-10</v>
      </c>
      <c r="G9141" s="3">
        <v>149</v>
      </c>
      <c r="H9141" s="3">
        <v>35</v>
      </c>
      <c r="I9141" s="3">
        <v>134</v>
      </c>
      <c r="J9141" s="3">
        <v>14</v>
      </c>
      <c r="K9141" s="3">
        <v>412</v>
      </c>
      <c r="L9141" s="3">
        <v>241</v>
      </c>
      <c r="M9141" s="3">
        <v>373</v>
      </c>
    </row>
    <row r="9142" spans="1:13" x14ac:dyDescent="0.25">
      <c r="A9142" s="1" t="str">
        <f>HYPERLINK("http://www.rosaceae.org/Prunus/Prunus_persica/p.persica_gdr_reftransV1_0006083","p.persica_gdr_reftransV1_0006083")</f>
        <v>p.persica_gdr_reftransV1_0006083</v>
      </c>
      <c r="B9142" s="3">
        <v>677</v>
      </c>
      <c r="C9142" s="1" t="str">
        <f>HYPERLINK("http://www.uniprot.org/uniprot/NDHN_ARATH","NDHN_ARATH")</f>
        <v>NDHN_ARATH</v>
      </c>
      <c r="D9142" t="s">
        <v>6893</v>
      </c>
      <c r="E9142" s="3" t="s">
        <v>3</v>
      </c>
      <c r="F9142" s="4">
        <v>1.42E-39</v>
      </c>
      <c r="G9142" s="3">
        <v>355</v>
      </c>
      <c r="H9142" s="3">
        <v>74</v>
      </c>
      <c r="I9142" s="3">
        <v>87</v>
      </c>
      <c r="J9142" s="3">
        <v>36</v>
      </c>
      <c r="K9142" s="3">
        <v>296</v>
      </c>
      <c r="L9142" s="3">
        <v>39</v>
      </c>
      <c r="M9142" s="3">
        <v>123</v>
      </c>
    </row>
    <row r="9143" spans="1:13" x14ac:dyDescent="0.25">
      <c r="A9143" s="1" t="str">
        <f>HYPERLINK("http://www.rosaceae.org/Prunus/Prunus_persica/p.persica_gdr_reftransV1_0006233","p.persica_gdr_reftransV1_0006233")</f>
        <v>p.persica_gdr_reftransV1_0006233</v>
      </c>
      <c r="B9143" s="3">
        <v>1538</v>
      </c>
      <c r="C9143" s="1" t="str">
        <f>HYPERLINK("http://www.uniprot.org/uniprot/FACR3_ARATH","FACR3_ARATH")</f>
        <v>FACR3_ARATH</v>
      </c>
      <c r="D9143" t="s">
        <v>6492</v>
      </c>
      <c r="E9143" s="3" t="s">
        <v>3</v>
      </c>
      <c r="F9143" s="4">
        <v>5.1099999999999997E-146</v>
      </c>
      <c r="G9143" s="3">
        <v>1119</v>
      </c>
      <c r="H9143" s="3">
        <v>50</v>
      </c>
      <c r="I9143" s="3">
        <v>399</v>
      </c>
      <c r="J9143" s="3">
        <v>2</v>
      </c>
      <c r="K9143" s="3">
        <v>1198</v>
      </c>
      <c r="L9143" s="3">
        <v>96</v>
      </c>
      <c r="M9143" s="3">
        <v>492</v>
      </c>
    </row>
    <row r="9144" spans="1:13" x14ac:dyDescent="0.25">
      <c r="A9144" s="1" t="str">
        <f>HYPERLINK("http://www.rosaceae.org/Prunus/Prunus_persica/p.persica_gdr_reftransV1_0006283","p.persica_gdr_reftransV1_0006283")</f>
        <v>p.persica_gdr_reftransV1_0006283</v>
      </c>
      <c r="B9144" s="3">
        <v>4700</v>
      </c>
      <c r="C9144" s="1" t="str">
        <f>HYPERLINK("http://www.uniprot.org/uniprot/CNOT4_MOUSE","CNOT4_MOUSE")</f>
        <v>CNOT4_MOUSE</v>
      </c>
      <c r="D9144" t="s">
        <v>6894</v>
      </c>
      <c r="E9144" s="3" t="s">
        <v>157</v>
      </c>
      <c r="F9144" s="4">
        <v>1.5299999999999999E-54</v>
      </c>
      <c r="G9144" s="3">
        <v>526</v>
      </c>
      <c r="H9144" s="3">
        <v>46</v>
      </c>
      <c r="I9144" s="3">
        <v>223</v>
      </c>
      <c r="J9144" s="3">
        <v>171</v>
      </c>
      <c r="K9144" s="3">
        <v>839</v>
      </c>
      <c r="L9144" s="3">
        <v>14</v>
      </c>
      <c r="M9144" s="3">
        <v>228</v>
      </c>
    </row>
    <row r="9145" spans="1:13" x14ac:dyDescent="0.25">
      <c r="A9145" s="1" t="str">
        <f>HYPERLINK("http://www.rosaceae.org/Prunus/Prunus_persica/p.persica_gdr_reftransV1_0006333","p.persica_gdr_reftransV1_0006333")</f>
        <v>p.persica_gdr_reftransV1_0006333</v>
      </c>
      <c r="B9145" s="3">
        <v>844</v>
      </c>
      <c r="C9145" s="1" t="str">
        <f>HYPERLINK("http://www.uniprot.org/uniprot/TMVRN_NICGU","TMVRN_NICGU")</f>
        <v>TMVRN_NICGU</v>
      </c>
      <c r="D9145" t="s">
        <v>151</v>
      </c>
      <c r="E9145" s="3" t="s">
        <v>152</v>
      </c>
      <c r="F9145" s="4">
        <v>1.4199999999999999E-54</v>
      </c>
      <c r="G9145" s="3">
        <v>496</v>
      </c>
      <c r="H9145" s="3">
        <v>42</v>
      </c>
      <c r="I9145" s="3">
        <v>291</v>
      </c>
      <c r="J9145" s="3">
        <v>1</v>
      </c>
      <c r="K9145" s="3">
        <v>837</v>
      </c>
      <c r="L9145" s="3">
        <v>58</v>
      </c>
      <c r="M9145" s="3">
        <v>341</v>
      </c>
    </row>
    <row r="9146" spans="1:13" x14ac:dyDescent="0.25">
      <c r="A9146" s="1" t="str">
        <f>HYPERLINK("http://www.rosaceae.org/Prunus/Prunus_persica/p.persica_gdr_reftransV1_0006583","p.persica_gdr_reftransV1_0006583")</f>
        <v>p.persica_gdr_reftransV1_0006583</v>
      </c>
      <c r="B9146" s="3">
        <v>497</v>
      </c>
      <c r="C9146" s="1" t="str">
        <f>HYPERLINK("http://www.uniprot.org/uniprot/TET8_ARATH","TET8_ARATH")</f>
        <v>TET8_ARATH</v>
      </c>
      <c r="D9146" t="s">
        <v>1161</v>
      </c>
      <c r="E9146" s="3" t="s">
        <v>3</v>
      </c>
      <c r="F9146" s="4">
        <v>2.68E-36</v>
      </c>
      <c r="G9146" s="3">
        <v>332</v>
      </c>
      <c r="H9146" s="3">
        <v>43</v>
      </c>
      <c r="I9146" s="3">
        <v>149</v>
      </c>
      <c r="J9146" s="3">
        <v>2</v>
      </c>
      <c r="K9146" s="3">
        <v>445</v>
      </c>
      <c r="L9146" s="3">
        <v>113</v>
      </c>
      <c r="M9146" s="3">
        <v>261</v>
      </c>
    </row>
    <row r="9147" spans="1:13" x14ac:dyDescent="0.25">
      <c r="A9147" s="1" t="str">
        <f>HYPERLINK("http://www.rosaceae.org/Prunus/Prunus_persica/p.persica_gdr_reftransV1_0006633","p.persica_gdr_reftransV1_0006633")</f>
        <v>p.persica_gdr_reftransV1_0006633</v>
      </c>
      <c r="B9147" s="3">
        <v>2277</v>
      </c>
      <c r="C9147" s="1" t="str">
        <f>HYPERLINK("http://www.uniprot.org/uniprot/ACR1_ARATH","ACR1_ARATH")</f>
        <v>ACR1_ARATH</v>
      </c>
      <c r="D9147" t="s">
        <v>6895</v>
      </c>
      <c r="E9147" s="3" t="s">
        <v>3</v>
      </c>
      <c r="F9147" s="4">
        <v>4.7099999999999996E-162</v>
      </c>
      <c r="G9147" s="3">
        <v>1247</v>
      </c>
      <c r="H9147" s="3">
        <v>50</v>
      </c>
      <c r="I9147" s="3">
        <v>543</v>
      </c>
      <c r="J9147" s="3">
        <v>275</v>
      </c>
      <c r="K9147" s="3">
        <v>1858</v>
      </c>
      <c r="L9147" s="3">
        <v>2</v>
      </c>
      <c r="M9147" s="3">
        <v>477</v>
      </c>
    </row>
    <row r="9148" spans="1:13" x14ac:dyDescent="0.25">
      <c r="A9148" s="1" t="str">
        <f>HYPERLINK("http://www.rosaceae.org/Prunus/Prunus_persica/p.persica_gdr_reftransV1_0006733","p.persica_gdr_reftransV1_0006733")</f>
        <v>p.persica_gdr_reftransV1_0006733</v>
      </c>
      <c r="B9148" s="3">
        <v>478</v>
      </c>
      <c r="C9148" s="1" t="str">
        <f>HYPERLINK("http://www.uniprot.org/uniprot/NPC3_ARATH","NPC3_ARATH")</f>
        <v>NPC3_ARATH</v>
      </c>
      <c r="D9148" t="s">
        <v>2487</v>
      </c>
      <c r="E9148" s="3" t="s">
        <v>3</v>
      </c>
      <c r="F9148" s="4">
        <v>3.1599999999999999E-35</v>
      </c>
      <c r="G9148" s="3">
        <v>332</v>
      </c>
      <c r="H9148" s="3">
        <v>49</v>
      </c>
      <c r="I9148" s="3">
        <v>132</v>
      </c>
      <c r="J9148" s="3">
        <v>1</v>
      </c>
      <c r="K9148" s="3">
        <v>384</v>
      </c>
      <c r="L9148" s="3">
        <v>392</v>
      </c>
      <c r="M9148" s="3">
        <v>523</v>
      </c>
    </row>
    <row r="9149" spans="1:13" x14ac:dyDescent="0.25">
      <c r="A9149" s="1" t="str">
        <f>HYPERLINK("http://www.rosaceae.org/Prunus/Prunus_persica/p.persica_gdr_reftransV1_0006783","p.persica_gdr_reftransV1_0006783")</f>
        <v>p.persica_gdr_reftransV1_0006783</v>
      </c>
      <c r="B9149" s="3">
        <v>2442</v>
      </c>
      <c r="C9149" s="1" t="str">
        <f>HYPERLINK("http://www.uniprot.org/uniprot/CHR4_ARATH","CHR4_ARATH")</f>
        <v>CHR4_ARATH</v>
      </c>
      <c r="D9149" t="s">
        <v>534</v>
      </c>
      <c r="E9149" s="3" t="s">
        <v>3</v>
      </c>
      <c r="F9149" s="4">
        <v>1.37E-13</v>
      </c>
      <c r="G9149" s="3">
        <v>193</v>
      </c>
      <c r="H9149" s="3">
        <v>58</v>
      </c>
      <c r="I9149" s="3">
        <v>60</v>
      </c>
      <c r="J9149" s="3">
        <v>1073</v>
      </c>
      <c r="K9149" s="3">
        <v>1252</v>
      </c>
      <c r="L9149" s="3">
        <v>1697</v>
      </c>
      <c r="M9149" s="3">
        <v>1756</v>
      </c>
    </row>
    <row r="9150" spans="1:13" x14ac:dyDescent="0.25">
      <c r="A9150" s="1" t="str">
        <f>HYPERLINK("http://www.rosaceae.org/Prunus/Prunus_persica/p.persica_gdr_reftransV1_0006833","p.persica_gdr_reftransV1_0006833")</f>
        <v>p.persica_gdr_reftransV1_0006833</v>
      </c>
      <c r="B9150" s="3">
        <v>431</v>
      </c>
      <c r="C9150" s="1" t="str">
        <f>HYPERLINK("http://www.uniprot.org/uniprot/PSKR1_DAUCA","PSKR1_DAUCA")</f>
        <v>PSKR1_DAUCA</v>
      </c>
      <c r="D9150" t="s">
        <v>6896</v>
      </c>
      <c r="E9150" s="3" t="s">
        <v>32</v>
      </c>
      <c r="F9150" s="4">
        <v>5.85E-24</v>
      </c>
      <c r="G9150" s="3">
        <v>253</v>
      </c>
      <c r="H9150" s="3">
        <v>59</v>
      </c>
      <c r="I9150" s="3">
        <v>94</v>
      </c>
      <c r="J9150" s="3">
        <v>17</v>
      </c>
      <c r="K9150" s="3">
        <v>298</v>
      </c>
      <c r="L9150" s="3">
        <v>551</v>
      </c>
      <c r="M9150" s="3">
        <v>643</v>
      </c>
    </row>
    <row r="9151" spans="1:13" x14ac:dyDescent="0.25">
      <c r="A9151" s="1" t="str">
        <f>HYPERLINK("http://www.rosaceae.org/Prunus/Prunus_persica/p.persica_gdr_reftransV1_0006933","p.persica_gdr_reftransV1_0006933")</f>
        <v>p.persica_gdr_reftransV1_0006933</v>
      </c>
      <c r="B9151" s="3">
        <v>683</v>
      </c>
      <c r="C9151" s="1" t="str">
        <f>HYPERLINK("http://www.uniprot.org/uniprot/1A1C_SOYBN","1A1C_SOYBN")</f>
        <v>1A1C_SOYBN</v>
      </c>
      <c r="D9151" t="s">
        <v>5495</v>
      </c>
      <c r="E9151" s="3" t="s">
        <v>307</v>
      </c>
      <c r="F9151" s="4">
        <v>1.0900000000000001E-67</v>
      </c>
      <c r="G9151" s="3">
        <v>565</v>
      </c>
      <c r="H9151" s="3">
        <v>63</v>
      </c>
      <c r="I9151" s="3">
        <v>167</v>
      </c>
      <c r="J9151" s="3">
        <v>182</v>
      </c>
      <c r="K9151" s="3">
        <v>682</v>
      </c>
      <c r="L9151" s="3">
        <v>317</v>
      </c>
      <c r="M9151" s="3">
        <v>482</v>
      </c>
    </row>
    <row r="9152" spans="1:13" x14ac:dyDescent="0.25">
      <c r="A9152" s="1" t="str">
        <f>HYPERLINK("http://www.rosaceae.org/Prunus/Prunus_persica/p.persica_gdr_reftransV1_0007133","p.persica_gdr_reftransV1_0007133")</f>
        <v>p.persica_gdr_reftransV1_0007133</v>
      </c>
      <c r="B9152" s="3">
        <v>410</v>
      </c>
      <c r="C9152" s="1" t="str">
        <f>HYPERLINK("http://www.uniprot.org/uniprot/PHT14_ARATH","PHT14_ARATH")</f>
        <v>PHT14_ARATH</v>
      </c>
      <c r="D9152" t="s">
        <v>6897</v>
      </c>
      <c r="E9152" s="3" t="s">
        <v>3</v>
      </c>
      <c r="F9152" s="4">
        <v>1.19E-62</v>
      </c>
      <c r="G9152" s="3">
        <v>524</v>
      </c>
      <c r="H9152" s="3">
        <v>91</v>
      </c>
      <c r="I9152" s="3">
        <v>104</v>
      </c>
      <c r="J9152" s="3">
        <v>1</v>
      </c>
      <c r="K9152" s="3">
        <v>312</v>
      </c>
      <c r="L9152" s="3">
        <v>1</v>
      </c>
      <c r="M9152" s="3">
        <v>104</v>
      </c>
    </row>
    <row r="9153" spans="1:13" x14ac:dyDescent="0.25">
      <c r="A9153" s="1" t="str">
        <f>HYPERLINK("http://www.rosaceae.org/Prunus/Prunus_persica/p.persica_gdr_reftransV1_0007233","p.persica_gdr_reftransV1_0007233")</f>
        <v>p.persica_gdr_reftransV1_0007233</v>
      </c>
      <c r="B9153" s="3">
        <v>2308</v>
      </c>
      <c r="C9153" s="1" t="str">
        <f>HYPERLINK("http://www.uniprot.org/uniprot/ATAD3_XENTR","ATAD3_XENTR")</f>
        <v>ATAD3_XENTR</v>
      </c>
      <c r="D9153" t="s">
        <v>3131</v>
      </c>
      <c r="E9153" s="3" t="s">
        <v>173</v>
      </c>
      <c r="F9153" s="4">
        <v>9.6300000000000003E-80</v>
      </c>
      <c r="G9153" s="3">
        <v>499</v>
      </c>
      <c r="H9153" s="3">
        <v>36</v>
      </c>
      <c r="I9153" s="3">
        <v>404</v>
      </c>
      <c r="J9153" s="3">
        <v>804</v>
      </c>
      <c r="K9153" s="3">
        <v>1952</v>
      </c>
      <c r="L9153" s="3">
        <v>44</v>
      </c>
      <c r="M9153" s="3">
        <v>405</v>
      </c>
    </row>
    <row r="9154" spans="1:13" x14ac:dyDescent="0.25">
      <c r="A9154" s="1" t="str">
        <f>HYPERLINK("http://www.rosaceae.org/Prunus/Prunus_persica/p.persica_gdr_reftransV1_0007333","p.persica_gdr_reftransV1_0007333")</f>
        <v>p.persica_gdr_reftransV1_0007333</v>
      </c>
      <c r="B9154" s="3">
        <v>1513</v>
      </c>
      <c r="C9154" s="1" t="str">
        <f>HYPERLINK("http://www.uniprot.org/uniprot/Cid5_ARATH","Cid5_ARATH")</f>
        <v>Cid5_ARATH</v>
      </c>
      <c r="D9154" t="s">
        <v>6898</v>
      </c>
      <c r="E9154" s="3" t="s">
        <v>3</v>
      </c>
      <c r="F9154" s="4">
        <v>3.6799999999999999E-26</v>
      </c>
      <c r="G9154" s="3">
        <v>270</v>
      </c>
      <c r="H9154" s="3">
        <v>40</v>
      </c>
      <c r="I9154" s="3">
        <v>167</v>
      </c>
      <c r="J9154" s="3">
        <v>214</v>
      </c>
      <c r="K9154" s="3">
        <v>714</v>
      </c>
      <c r="L9154" s="3">
        <v>1</v>
      </c>
      <c r="M9154" s="3">
        <v>131</v>
      </c>
    </row>
    <row r="9155" spans="1:13" x14ac:dyDescent="0.25">
      <c r="A9155" s="1" t="str">
        <f>HYPERLINK("http://www.rosaceae.org/Prunus/Prunus_persica/p.persica_gdr_reftransV1_0007383","p.persica_gdr_reftransV1_0007383")</f>
        <v>p.persica_gdr_reftransV1_0007383</v>
      </c>
      <c r="B9155" s="3">
        <v>1324</v>
      </c>
      <c r="C9155" s="1" t="str">
        <f>HYPERLINK("http://www.uniprot.org/uniprot/PRA1E_ARATH","PRA1E_ARATH")</f>
        <v>PRA1E_ARATH</v>
      </c>
      <c r="D9155" t="s">
        <v>6899</v>
      </c>
      <c r="E9155" s="3" t="s">
        <v>3</v>
      </c>
      <c r="F9155" s="4">
        <v>4.6399999999999999E-37</v>
      </c>
      <c r="G9155" s="3">
        <v>351</v>
      </c>
      <c r="H9155" s="3">
        <v>56</v>
      </c>
      <c r="I9155" s="3">
        <v>172</v>
      </c>
      <c r="J9155" s="3">
        <v>490</v>
      </c>
      <c r="K9155" s="3">
        <v>996</v>
      </c>
      <c r="L9155" s="3">
        <v>40</v>
      </c>
      <c r="M9155" s="3">
        <v>209</v>
      </c>
    </row>
    <row r="9156" spans="1:13" x14ac:dyDescent="0.25">
      <c r="A9156" s="1" t="str">
        <f>HYPERLINK("http://www.rosaceae.org/Prunus/Prunus_persica/p.persica_gdr_reftransV1_0007433","p.persica_gdr_reftransV1_0007433")</f>
        <v>p.persica_gdr_reftransV1_0007433</v>
      </c>
      <c r="B9156" s="3">
        <v>1000</v>
      </c>
      <c r="C9156" s="1" t="str">
        <f>HYPERLINK("http://www.uniprot.org/uniprot/PLA1_PLAAC","PLA1_PLAAC")</f>
        <v>PLA1_PLAAC</v>
      </c>
      <c r="D9156" t="s">
        <v>3329</v>
      </c>
      <c r="E9156" s="3" t="s">
        <v>3330</v>
      </c>
      <c r="F9156" s="4">
        <v>1.1399999999999999E-13</v>
      </c>
      <c r="G9156" s="3">
        <v>175</v>
      </c>
      <c r="H9156" s="3">
        <v>28</v>
      </c>
      <c r="I9156" s="3">
        <v>160</v>
      </c>
      <c r="J9156" s="3">
        <v>366</v>
      </c>
      <c r="K9156" s="3">
        <v>818</v>
      </c>
      <c r="L9156" s="3">
        <v>21</v>
      </c>
      <c r="M9156" s="3">
        <v>177</v>
      </c>
    </row>
    <row r="9157" spans="1:13" x14ac:dyDescent="0.25">
      <c r="A9157" s="1" t="str">
        <f>HYPERLINK("http://www.rosaceae.org/Prunus/Prunus_persica/p.persica_gdr_reftransV1_0007483","p.persica_gdr_reftransV1_0007483")</f>
        <v>p.persica_gdr_reftransV1_0007483</v>
      </c>
      <c r="B9157" s="3">
        <v>2317</v>
      </c>
      <c r="C9157" s="1" t="str">
        <f>HYPERLINK("http://www.uniprot.org/uniprot/FAFL_ARATH","FAFL_ARATH")</f>
        <v>FAFL_ARATH</v>
      </c>
      <c r="D9157" t="s">
        <v>6900</v>
      </c>
      <c r="E9157" s="3" t="s">
        <v>3</v>
      </c>
      <c r="F9157" s="4">
        <v>4.8499999999999999E-58</v>
      </c>
      <c r="G9157" s="3">
        <v>533</v>
      </c>
      <c r="H9157" s="3">
        <v>35</v>
      </c>
      <c r="I9157" s="3">
        <v>535</v>
      </c>
      <c r="J9157" s="3">
        <v>324</v>
      </c>
      <c r="K9157" s="3">
        <v>1913</v>
      </c>
      <c r="L9157" s="3">
        <v>19</v>
      </c>
      <c r="M9157" s="3">
        <v>463</v>
      </c>
    </row>
    <row r="9158" spans="1:13" x14ac:dyDescent="0.25">
      <c r="A9158" s="1" t="str">
        <f>HYPERLINK("http://www.rosaceae.org/Prunus/Prunus_persica/p.persica_gdr_reftransV1_0007533","p.persica_gdr_reftransV1_0007533")</f>
        <v>p.persica_gdr_reftransV1_0007533</v>
      </c>
      <c r="B9158" s="3">
        <v>1820</v>
      </c>
      <c r="C9158" s="1" t="str">
        <f>HYPERLINK("http://www.uniprot.org/uniprot/PP243_ARATH","PP243_ARATH")</f>
        <v>PP243_ARATH</v>
      </c>
      <c r="D9158" t="s">
        <v>6901</v>
      </c>
      <c r="E9158" s="3" t="s">
        <v>3</v>
      </c>
      <c r="F9158" s="4">
        <v>7.68E-151</v>
      </c>
      <c r="G9158" s="3">
        <v>1158</v>
      </c>
      <c r="H9158" s="3">
        <v>51</v>
      </c>
      <c r="I9158" s="3">
        <v>470</v>
      </c>
      <c r="J9158" s="3">
        <v>129</v>
      </c>
      <c r="K9158" s="3">
        <v>1517</v>
      </c>
      <c r="L9158" s="3">
        <v>5</v>
      </c>
      <c r="M9158" s="3">
        <v>472</v>
      </c>
    </row>
    <row r="9159" spans="1:13" x14ac:dyDescent="0.25">
      <c r="A9159" s="1" t="str">
        <f>HYPERLINK("http://www.rosaceae.org/Prunus/Prunus_persica/p.persica_gdr_reftransV1_0007583","p.persica_gdr_reftransV1_0007583")</f>
        <v>p.persica_gdr_reftransV1_0007583</v>
      </c>
      <c r="B9159" s="3">
        <v>1794</v>
      </c>
      <c r="C9159" s="1" t="str">
        <f>HYPERLINK("http://www.uniprot.org/uniprot/PRT1_ARATH","PRT1_ARATH")</f>
        <v>PRT1_ARATH</v>
      </c>
      <c r="D9159" t="s">
        <v>5547</v>
      </c>
      <c r="E9159" s="3" t="s">
        <v>3</v>
      </c>
      <c r="F9159" s="4">
        <v>2.21E-86</v>
      </c>
      <c r="G9159" s="3">
        <v>719</v>
      </c>
      <c r="H9159" s="3">
        <v>45</v>
      </c>
      <c r="I9159" s="3">
        <v>372</v>
      </c>
      <c r="J9159" s="3">
        <v>616</v>
      </c>
      <c r="K9159" s="3">
        <v>1689</v>
      </c>
      <c r="L9159" s="3">
        <v>14</v>
      </c>
      <c r="M9159" s="3">
        <v>365</v>
      </c>
    </row>
    <row r="9160" spans="1:13" x14ac:dyDescent="0.25">
      <c r="A9160" s="1" t="str">
        <f>HYPERLINK("http://www.rosaceae.org/Prunus/Prunus_persica/p.persica_gdr_reftransV1_0007683","p.persica_gdr_reftransV1_0007683")</f>
        <v>p.persica_gdr_reftransV1_0007683</v>
      </c>
      <c r="B9160" s="3">
        <v>2528</v>
      </c>
      <c r="C9160" s="1" t="str">
        <f>HYPERLINK("http://www.uniprot.org/uniprot/GH35_ORYSJ","GH35_ORYSJ")</f>
        <v>GH35_ORYSJ</v>
      </c>
      <c r="D9160" t="s">
        <v>2264</v>
      </c>
      <c r="E9160" s="3" t="s">
        <v>38</v>
      </c>
      <c r="F9160" s="4">
        <v>0</v>
      </c>
      <c r="G9160" s="3">
        <v>1515</v>
      </c>
      <c r="H9160" s="3">
        <v>52</v>
      </c>
      <c r="I9160" s="3">
        <v>584</v>
      </c>
      <c r="J9160" s="3">
        <v>617</v>
      </c>
      <c r="K9160" s="3">
        <v>2356</v>
      </c>
      <c r="L9160" s="3">
        <v>7</v>
      </c>
      <c r="M9160" s="3">
        <v>580</v>
      </c>
    </row>
    <row r="9161" spans="1:13" x14ac:dyDescent="0.25">
      <c r="A9161" s="1" t="str">
        <f>HYPERLINK("http://www.rosaceae.org/Prunus/Prunus_persica/p.persica_gdr_reftransV1_0007833","p.persica_gdr_reftransV1_0007833")</f>
        <v>p.persica_gdr_reftransV1_0007833</v>
      </c>
      <c r="B9161" s="3">
        <v>1244</v>
      </c>
      <c r="C9161" s="1" t="str">
        <f>HYPERLINK("http://www.uniprot.org/uniprot/RTM2B_ARATH","RTM2B_ARATH")</f>
        <v>RTM2B_ARATH</v>
      </c>
      <c r="D9161" t="s">
        <v>3686</v>
      </c>
      <c r="E9161" s="3" t="s">
        <v>3</v>
      </c>
      <c r="F9161" s="4">
        <v>7.7799999999999994E-15</v>
      </c>
      <c r="G9161" s="3">
        <v>193</v>
      </c>
      <c r="H9161" s="3">
        <v>39</v>
      </c>
      <c r="I9161" s="3">
        <v>88</v>
      </c>
      <c r="J9161" s="3">
        <v>109</v>
      </c>
      <c r="K9161" s="3">
        <v>369</v>
      </c>
      <c r="L9161" s="3">
        <v>16</v>
      </c>
      <c r="M9161" s="3">
        <v>103</v>
      </c>
    </row>
    <row r="9162" spans="1:13" x14ac:dyDescent="0.25">
      <c r="A9162" s="1" t="str">
        <f>HYPERLINK("http://www.rosaceae.org/Prunus/Prunus_persica/p.persica_gdr_reftransV1_0008033","p.persica_gdr_reftransV1_0008033")</f>
        <v>p.persica_gdr_reftransV1_0008033</v>
      </c>
      <c r="B9162" s="3">
        <v>1746</v>
      </c>
      <c r="C9162" s="1" t="str">
        <f>HYPERLINK("http://www.uniprot.org/uniprot/FLA1_ARATH","FLA1_ARATH")</f>
        <v>FLA1_ARATH</v>
      </c>
      <c r="D9162" t="s">
        <v>6902</v>
      </c>
      <c r="E9162" s="3" t="s">
        <v>3</v>
      </c>
      <c r="F9162" s="4">
        <v>1.1E-141</v>
      </c>
      <c r="G9162" s="3">
        <v>1090</v>
      </c>
      <c r="H9162" s="3">
        <v>68</v>
      </c>
      <c r="I9162" s="3">
        <v>312</v>
      </c>
      <c r="J9162" s="3">
        <v>535</v>
      </c>
      <c r="K9162" s="3">
        <v>1470</v>
      </c>
      <c r="L9162" s="3">
        <v>23</v>
      </c>
      <c r="M9162" s="3">
        <v>332</v>
      </c>
    </row>
    <row r="9163" spans="1:13" x14ac:dyDescent="0.25">
      <c r="A9163" s="1" t="str">
        <f>HYPERLINK("http://www.rosaceae.org/Prunus/Prunus_persica/p.persica_gdr_reftransV1_0008083","p.persica_gdr_reftransV1_0008083")</f>
        <v>p.persica_gdr_reftransV1_0008083</v>
      </c>
      <c r="B9163" s="3">
        <v>1769</v>
      </c>
      <c r="C9163" s="1" t="str">
        <f>HYPERLINK("http://www.uniprot.org/uniprot/PP413_ARATH","PP413_ARATH")</f>
        <v>PP413_ARATH</v>
      </c>
      <c r="D9163" t="s">
        <v>1982</v>
      </c>
      <c r="E9163" s="3" t="s">
        <v>3</v>
      </c>
      <c r="F9163" s="4">
        <v>5.2599999999999999E-85</v>
      </c>
      <c r="G9163" s="3">
        <v>731</v>
      </c>
      <c r="H9163" s="3">
        <v>41</v>
      </c>
      <c r="I9163" s="3">
        <v>343</v>
      </c>
      <c r="J9163" s="3">
        <v>3</v>
      </c>
      <c r="K9163" s="3">
        <v>1031</v>
      </c>
      <c r="L9163" s="3">
        <v>350</v>
      </c>
      <c r="M9163" s="3">
        <v>692</v>
      </c>
    </row>
    <row r="9164" spans="1:13" x14ac:dyDescent="0.25">
      <c r="A9164" s="1" t="str">
        <f>HYPERLINK("http://www.rosaceae.org/Prunus/Prunus_persica/p.persica_gdr_reftransV1_0008233","p.persica_gdr_reftransV1_0008233")</f>
        <v>p.persica_gdr_reftransV1_0008233</v>
      </c>
      <c r="B9164" s="3">
        <v>2252</v>
      </c>
      <c r="C9164" s="1" t="str">
        <f>HYPERLINK("http://www.uniprot.org/uniprot/HY5_ARATH","HY5_ARATH")</f>
        <v>HY5_ARATH</v>
      </c>
      <c r="D9164" t="s">
        <v>6903</v>
      </c>
      <c r="E9164" s="3" t="s">
        <v>3</v>
      </c>
      <c r="F9164" s="4">
        <v>7.0799999999999993E-46</v>
      </c>
      <c r="G9164" s="3">
        <v>419</v>
      </c>
      <c r="H9164" s="3">
        <v>77</v>
      </c>
      <c r="I9164" s="3">
        <v>122</v>
      </c>
      <c r="J9164" s="3">
        <v>268</v>
      </c>
      <c r="K9164" s="3">
        <v>630</v>
      </c>
      <c r="L9164" s="3">
        <v>27</v>
      </c>
      <c r="M9164" s="3">
        <v>148</v>
      </c>
    </row>
    <row r="9165" spans="1:13" x14ac:dyDescent="0.25">
      <c r="A9165" s="1" t="str">
        <f>HYPERLINK("http://www.rosaceae.org/Prunus/Prunus_persica/p.persica_gdr_reftransV1_0008283","p.persica_gdr_reftransV1_0008283")</f>
        <v>p.persica_gdr_reftransV1_0008283</v>
      </c>
      <c r="B9165" s="3">
        <v>1737</v>
      </c>
      <c r="C9165" s="1" t="str">
        <f>HYPERLINK("http://www.uniprot.org/uniprot/DPOLL_MACFA","DPOLL_MACFA")</f>
        <v>DPOLL_MACFA</v>
      </c>
      <c r="D9165" t="s">
        <v>6904</v>
      </c>
      <c r="E9165" s="3" t="s">
        <v>674</v>
      </c>
      <c r="F9165" s="4">
        <v>4.6800000000000001E-67</v>
      </c>
      <c r="G9165" s="3">
        <v>596</v>
      </c>
      <c r="H9165" s="3">
        <v>39</v>
      </c>
      <c r="I9165" s="3">
        <v>331</v>
      </c>
      <c r="J9165" s="3">
        <v>544</v>
      </c>
      <c r="K9165" s="3">
        <v>1530</v>
      </c>
      <c r="L9165" s="3">
        <v>253</v>
      </c>
      <c r="M9165" s="3">
        <v>574</v>
      </c>
    </row>
    <row r="9166" spans="1:13" x14ac:dyDescent="0.25">
      <c r="A9166" s="1" t="str">
        <f>HYPERLINK("http://www.rosaceae.org/Prunus/Prunus_persica/p.persica_gdr_reftransV1_0008383","p.persica_gdr_reftransV1_0008383")</f>
        <v>p.persica_gdr_reftransV1_0008383</v>
      </c>
      <c r="B9166" s="3">
        <v>491</v>
      </c>
      <c r="C9166" s="1" t="str">
        <f>HYPERLINK("http://www.uniprot.org/uniprot/SM3L1_ARATH","SM3L1_ARATH")</f>
        <v>SM3L1_ARATH</v>
      </c>
      <c r="D9166" t="s">
        <v>1855</v>
      </c>
      <c r="E9166" s="3" t="s">
        <v>3</v>
      </c>
      <c r="F9166" s="4">
        <v>1.4700000000000001E-26</v>
      </c>
      <c r="G9166" s="3">
        <v>274</v>
      </c>
      <c r="H9166" s="3">
        <v>65</v>
      </c>
      <c r="I9166" s="3">
        <v>83</v>
      </c>
      <c r="J9166" s="3">
        <v>242</v>
      </c>
      <c r="K9166" s="3">
        <v>490</v>
      </c>
      <c r="L9166" s="3">
        <v>55</v>
      </c>
      <c r="M9166" s="3">
        <v>137</v>
      </c>
    </row>
    <row r="9167" spans="1:13" x14ac:dyDescent="0.25">
      <c r="A9167" s="1" t="str">
        <f>HYPERLINK("http://www.rosaceae.org/Prunus/Prunus_persica/p.persica_gdr_reftransV1_0008533","p.persica_gdr_reftransV1_0008533")</f>
        <v>p.persica_gdr_reftransV1_0008533</v>
      </c>
      <c r="B9167" s="3">
        <v>2231</v>
      </c>
      <c r="C9167" s="1" t="str">
        <f>HYPERLINK("http://www.uniprot.org/uniprot/FRS6_ARATH","FRS6_ARATH")</f>
        <v>FRS6_ARATH</v>
      </c>
      <c r="D9167" t="s">
        <v>503</v>
      </c>
      <c r="E9167" s="3" t="s">
        <v>3</v>
      </c>
      <c r="F9167" s="4">
        <v>0</v>
      </c>
      <c r="G9167" s="3">
        <v>1720</v>
      </c>
      <c r="H9167" s="3">
        <v>50</v>
      </c>
      <c r="I9167" s="3">
        <v>664</v>
      </c>
      <c r="J9167" s="3">
        <v>137</v>
      </c>
      <c r="K9167" s="3">
        <v>2119</v>
      </c>
      <c r="L9167" s="3">
        <v>53</v>
      </c>
      <c r="M9167" s="3">
        <v>700</v>
      </c>
    </row>
    <row r="9168" spans="1:13" x14ac:dyDescent="0.25">
      <c r="A9168" s="1" t="str">
        <f>HYPERLINK("http://www.rosaceae.org/Prunus/Prunus_persica/p.persica_gdr_reftransV1_0008633","p.persica_gdr_reftransV1_0008633")</f>
        <v>p.persica_gdr_reftransV1_0008633</v>
      </c>
      <c r="B9168" s="3">
        <v>1926</v>
      </c>
      <c r="C9168" s="1" t="str">
        <f>HYPERLINK("http://www.uniprot.org/uniprot/DGP14_ARATH","DGP14_ARATH")</f>
        <v>DGP14_ARATH</v>
      </c>
      <c r="D9168" t="s">
        <v>6905</v>
      </c>
      <c r="E9168" s="3" t="s">
        <v>3</v>
      </c>
      <c r="F9168" s="4">
        <v>3.86E-122</v>
      </c>
      <c r="G9168" s="3">
        <v>689</v>
      </c>
      <c r="H9168" s="3">
        <v>61</v>
      </c>
      <c r="I9168" s="3">
        <v>277</v>
      </c>
      <c r="J9168" s="3">
        <v>1035</v>
      </c>
      <c r="K9168" s="3">
        <v>1814</v>
      </c>
      <c r="L9168" s="3">
        <v>1</v>
      </c>
      <c r="M9168" s="3">
        <v>277</v>
      </c>
    </row>
    <row r="9169" spans="1:13" x14ac:dyDescent="0.25">
      <c r="A9169" s="1" t="str">
        <f>HYPERLINK("http://www.rosaceae.org/Prunus/Prunus_persica/p.persica_gdr_reftransV1_0008683","p.persica_gdr_reftransV1_0008683")</f>
        <v>p.persica_gdr_reftransV1_0008683</v>
      </c>
      <c r="B9169" s="3">
        <v>820</v>
      </c>
      <c r="C9169" s="1" t="str">
        <f>HYPERLINK("http://www.uniprot.org/uniprot/RR18_GOSBA","RR18_GOSBA")</f>
        <v>RR18_GOSBA</v>
      </c>
      <c r="D9169" t="s">
        <v>6906</v>
      </c>
      <c r="E9169" s="3" t="s">
        <v>6907</v>
      </c>
      <c r="F9169" s="4">
        <v>3.6099999999999999E-35</v>
      </c>
      <c r="G9169" s="3">
        <v>320</v>
      </c>
      <c r="H9169" s="3">
        <v>100</v>
      </c>
      <c r="I9169" s="3">
        <v>64</v>
      </c>
      <c r="J9169" s="3">
        <v>421</v>
      </c>
      <c r="K9169" s="3">
        <v>612</v>
      </c>
      <c r="L9169" s="3">
        <v>20</v>
      </c>
      <c r="M9169" s="3">
        <v>83</v>
      </c>
    </row>
    <row r="9170" spans="1:13" x14ac:dyDescent="0.25">
      <c r="A9170" s="1" t="str">
        <f>HYPERLINK("http://www.rosaceae.org/Prunus/Prunus_persica/p.persica_gdr_reftransV1_0008733","p.persica_gdr_reftransV1_0008733")</f>
        <v>p.persica_gdr_reftransV1_0008733</v>
      </c>
      <c r="B9170" s="3">
        <v>4766</v>
      </c>
      <c r="C9170" s="1" t="str">
        <f>HYPERLINK("http://www.uniprot.org/uniprot/UBP27_ARATH","UBP27_ARATH")</f>
        <v>UBP27_ARATH</v>
      </c>
      <c r="D9170" t="s">
        <v>3635</v>
      </c>
      <c r="E9170" s="3" t="s">
        <v>3</v>
      </c>
      <c r="F9170" s="4">
        <v>1.5999999999999999E-37</v>
      </c>
      <c r="G9170" s="3">
        <v>388</v>
      </c>
      <c r="H9170" s="3">
        <v>46</v>
      </c>
      <c r="I9170" s="3">
        <v>249</v>
      </c>
      <c r="J9170" s="3">
        <v>3784</v>
      </c>
      <c r="K9170" s="3">
        <v>4515</v>
      </c>
      <c r="L9170" s="3">
        <v>29</v>
      </c>
      <c r="M9170" s="3">
        <v>251</v>
      </c>
    </row>
    <row r="9171" spans="1:13" x14ac:dyDescent="0.25">
      <c r="A9171" s="1" t="str">
        <f>HYPERLINK("http://www.rosaceae.org/Prunus/Prunus_persica/p.persica_gdr_reftransV1_0008833","p.persica_gdr_reftransV1_0008833")</f>
        <v>p.persica_gdr_reftransV1_0008833</v>
      </c>
      <c r="B9171" s="3">
        <v>1254</v>
      </c>
      <c r="C9171" s="1" t="str">
        <f>HYPERLINK("http://www.uniprot.org/uniprot/TI232_ARATH","TI232_ARATH")</f>
        <v>TI232_ARATH</v>
      </c>
      <c r="D9171" t="s">
        <v>6908</v>
      </c>
      <c r="E9171" s="3" t="s">
        <v>3</v>
      </c>
      <c r="F9171" s="4">
        <v>7.1999999999999998E-53</v>
      </c>
      <c r="G9171" s="3">
        <v>458</v>
      </c>
      <c r="H9171" s="3">
        <v>64</v>
      </c>
      <c r="I9171" s="3">
        <v>188</v>
      </c>
      <c r="J9171" s="3">
        <v>127</v>
      </c>
      <c r="K9171" s="3">
        <v>681</v>
      </c>
      <c r="L9171" s="3">
        <v>1</v>
      </c>
      <c r="M9171" s="3">
        <v>188</v>
      </c>
    </row>
    <row r="9172" spans="1:13" x14ac:dyDescent="0.25">
      <c r="A9172" s="1" t="str">
        <f>HYPERLINK("http://www.rosaceae.org/Prunus/Prunus_persica/p.persica_gdr_reftransV1_0008933","p.persica_gdr_reftransV1_0008933")</f>
        <v>p.persica_gdr_reftransV1_0008933</v>
      </c>
      <c r="B9172" s="3">
        <v>1083</v>
      </c>
      <c r="C9172" s="1" t="str">
        <f>HYPERLINK("http://www.uniprot.org/uniprot/ZFP1_ARATH","ZFP1_ARATH")</f>
        <v>ZFP1_ARATH</v>
      </c>
      <c r="D9172" t="s">
        <v>6909</v>
      </c>
      <c r="E9172" s="3" t="s">
        <v>3</v>
      </c>
      <c r="F9172" s="4">
        <v>3.3100000000000003E-36</v>
      </c>
      <c r="G9172" s="3">
        <v>343</v>
      </c>
      <c r="H9172" s="3">
        <v>45</v>
      </c>
      <c r="I9172" s="3">
        <v>196</v>
      </c>
      <c r="J9172" s="3">
        <v>251</v>
      </c>
      <c r="K9172" s="3">
        <v>811</v>
      </c>
      <c r="L9172" s="3">
        <v>22</v>
      </c>
      <c r="M9172" s="3">
        <v>189</v>
      </c>
    </row>
    <row r="9173" spans="1:13" x14ac:dyDescent="0.25">
      <c r="A9173" s="1" t="str">
        <f>HYPERLINK("http://www.rosaceae.org/Prunus/Prunus_persica/p.persica_gdr_reftransV1_0008983","p.persica_gdr_reftransV1_0008983")</f>
        <v>p.persica_gdr_reftransV1_0008983</v>
      </c>
      <c r="B9173" s="3">
        <v>2312</v>
      </c>
      <c r="C9173" s="1" t="str">
        <f>HYPERLINK("http://www.uniprot.org/uniprot/NRAM2_ARATH","NRAM2_ARATH")</f>
        <v>NRAM2_ARATH</v>
      </c>
      <c r="D9173" t="s">
        <v>6910</v>
      </c>
      <c r="E9173" s="3" t="s">
        <v>3</v>
      </c>
      <c r="F9173" s="4">
        <v>0</v>
      </c>
      <c r="G9173" s="3">
        <v>2105</v>
      </c>
      <c r="H9173" s="3">
        <v>84</v>
      </c>
      <c r="I9173" s="3">
        <v>476</v>
      </c>
      <c r="J9173" s="3">
        <v>284</v>
      </c>
      <c r="K9173" s="3">
        <v>1711</v>
      </c>
      <c r="L9173" s="3">
        <v>34</v>
      </c>
      <c r="M9173" s="3">
        <v>507</v>
      </c>
    </row>
    <row r="9174" spans="1:13" x14ac:dyDescent="0.25">
      <c r="A9174" s="1" t="str">
        <f>HYPERLINK("http://www.rosaceae.org/Prunus/Prunus_persica/p.persica_gdr_reftransV1_0009033","p.persica_gdr_reftransV1_0009033")</f>
        <v>p.persica_gdr_reftransV1_0009033</v>
      </c>
      <c r="B9174" s="3">
        <v>2732</v>
      </c>
      <c r="C9174" s="1" t="str">
        <f>HYPERLINK("http://www.uniprot.org/uniprot/PUB4_ARATH","PUB4_ARATH")</f>
        <v>PUB4_ARATH</v>
      </c>
      <c r="D9174" t="s">
        <v>1286</v>
      </c>
      <c r="E9174" s="3" t="s">
        <v>3</v>
      </c>
      <c r="F9174" s="4">
        <v>1.3300000000000001E-10</v>
      </c>
      <c r="G9174" s="3">
        <v>168</v>
      </c>
      <c r="H9174" s="3">
        <v>28</v>
      </c>
      <c r="I9174" s="3">
        <v>296</v>
      </c>
      <c r="J9174" s="3">
        <v>1199</v>
      </c>
      <c r="K9174" s="3">
        <v>2080</v>
      </c>
      <c r="L9174" s="3">
        <v>524</v>
      </c>
      <c r="M9174" s="3">
        <v>808</v>
      </c>
    </row>
    <row r="9175" spans="1:13" x14ac:dyDescent="0.25">
      <c r="A9175" s="1" t="str">
        <f>HYPERLINK("http://www.rosaceae.org/Prunus/Prunus_persica/p.persica_gdr_reftransV1_0009083","p.persica_gdr_reftransV1_0009083")</f>
        <v>p.persica_gdr_reftransV1_0009083</v>
      </c>
      <c r="B9175" s="3">
        <v>654</v>
      </c>
      <c r="C9175" s="1" t="str">
        <f>HYPERLINK("http://www.uniprot.org/uniprot/PP364_ARATH","PP364_ARATH")</f>
        <v>PP364_ARATH</v>
      </c>
      <c r="D9175" t="s">
        <v>6911</v>
      </c>
      <c r="E9175" s="3" t="s">
        <v>3</v>
      </c>
      <c r="F9175" s="4">
        <v>8.04E-58</v>
      </c>
      <c r="G9175" s="3">
        <v>504</v>
      </c>
      <c r="H9175" s="3">
        <v>47</v>
      </c>
      <c r="I9175" s="3">
        <v>217</v>
      </c>
      <c r="J9175" s="3">
        <v>2</v>
      </c>
      <c r="K9175" s="3">
        <v>652</v>
      </c>
      <c r="L9175" s="3">
        <v>378</v>
      </c>
      <c r="M9175" s="3">
        <v>594</v>
      </c>
    </row>
    <row r="9176" spans="1:13" x14ac:dyDescent="0.25">
      <c r="A9176" s="1" t="str">
        <f>HYPERLINK("http://www.rosaceae.org/Prunus/Prunus_persica/p.persica_gdr_reftransV1_0009133","p.persica_gdr_reftransV1_0009133")</f>
        <v>p.persica_gdr_reftransV1_0009133</v>
      </c>
      <c r="B9176" s="3">
        <v>3369</v>
      </c>
      <c r="C9176" s="1" t="str">
        <f>HYPERLINK("http://www.uniprot.org/uniprot/AB26B_ARATH","AB26B_ARATH")</f>
        <v>AB26B_ARATH</v>
      </c>
      <c r="D9176" t="s">
        <v>4065</v>
      </c>
      <c r="E9176" s="3" t="s">
        <v>3</v>
      </c>
      <c r="F9176" s="4">
        <v>0</v>
      </c>
      <c r="G9176" s="3">
        <v>1689</v>
      </c>
      <c r="H9176" s="3">
        <v>73</v>
      </c>
      <c r="I9176" s="3">
        <v>449</v>
      </c>
      <c r="J9176" s="3">
        <v>273</v>
      </c>
      <c r="K9176" s="3">
        <v>1613</v>
      </c>
      <c r="L9176" s="3">
        <v>39</v>
      </c>
      <c r="M9176" s="3">
        <v>485</v>
      </c>
    </row>
    <row r="9177" spans="1:13" x14ac:dyDescent="0.25">
      <c r="A9177" s="1" t="str">
        <f>HYPERLINK("http://www.rosaceae.org/Prunus/Prunus_persica/p.persica_gdr_reftransV1_0009183","p.persica_gdr_reftransV1_0009183")</f>
        <v>p.persica_gdr_reftransV1_0009183</v>
      </c>
      <c r="B9177" s="3">
        <v>1668</v>
      </c>
      <c r="C9177" s="1" t="str">
        <f>HYPERLINK("http://www.uniprot.org/uniprot/YBDL_ECOLI","YBDL_ECOLI")</f>
        <v>YBDL_ECOLI</v>
      </c>
      <c r="D9177" t="s">
        <v>6912</v>
      </c>
      <c r="E9177" s="3" t="s">
        <v>2372</v>
      </c>
      <c r="F9177" s="4">
        <v>6.7899999999999996E-101</v>
      </c>
      <c r="G9177" s="3">
        <v>811</v>
      </c>
      <c r="H9177" s="3">
        <v>41</v>
      </c>
      <c r="I9177" s="3">
        <v>385</v>
      </c>
      <c r="J9177" s="3">
        <v>350</v>
      </c>
      <c r="K9177" s="3">
        <v>1501</v>
      </c>
      <c r="L9177" s="3">
        <v>2</v>
      </c>
      <c r="M9177" s="3">
        <v>385</v>
      </c>
    </row>
    <row r="9178" spans="1:13" x14ac:dyDescent="0.25">
      <c r="A9178" s="1" t="str">
        <f>HYPERLINK("http://www.rosaceae.org/Prunus/Prunus_persica/p.persica_gdr_reftransV1_0009233","p.persica_gdr_reftransV1_0009233")</f>
        <v>p.persica_gdr_reftransV1_0009233</v>
      </c>
      <c r="B9178" s="3">
        <v>1212</v>
      </c>
      <c r="C9178" s="1" t="str">
        <f>HYPERLINK("http://www.uniprot.org/uniprot/CRS1_MAIZE","CRS1_MAIZE")</f>
        <v>CRS1_MAIZE</v>
      </c>
      <c r="D9178" t="s">
        <v>1394</v>
      </c>
      <c r="E9178" s="3" t="s">
        <v>72</v>
      </c>
      <c r="F9178" s="4">
        <v>1.9900000000000001E-25</v>
      </c>
      <c r="G9178" s="3">
        <v>280</v>
      </c>
      <c r="H9178" s="3">
        <v>37</v>
      </c>
      <c r="I9178" s="3">
        <v>241</v>
      </c>
      <c r="J9178" s="3">
        <v>499</v>
      </c>
      <c r="K9178" s="3">
        <v>1212</v>
      </c>
      <c r="L9178" s="3">
        <v>161</v>
      </c>
      <c r="M9178" s="3">
        <v>364</v>
      </c>
    </row>
    <row r="9179" spans="1:13" x14ac:dyDescent="0.25">
      <c r="A9179" s="1" t="str">
        <f>HYPERLINK("http://www.rosaceae.org/Prunus/Prunus_persica/p.persica_gdr_reftransV1_0009433","p.persica_gdr_reftransV1_0009433")</f>
        <v>p.persica_gdr_reftransV1_0009433</v>
      </c>
      <c r="B9179" s="3">
        <v>364</v>
      </c>
      <c r="C9179" s="1" t="str">
        <f>HYPERLINK("http://www.uniprot.org/uniprot/RS193_ARATH","RS193_ARATH")</f>
        <v>RS193_ARATH</v>
      </c>
      <c r="D9179" t="s">
        <v>6913</v>
      </c>
      <c r="E9179" s="3" t="s">
        <v>3</v>
      </c>
      <c r="F9179" s="4">
        <v>4.1900000000000001E-30</v>
      </c>
      <c r="G9179" s="3">
        <v>276</v>
      </c>
      <c r="H9179" s="3">
        <v>86</v>
      </c>
      <c r="I9179" s="3">
        <v>58</v>
      </c>
      <c r="J9179" s="3">
        <v>106</v>
      </c>
      <c r="K9179" s="3">
        <v>279</v>
      </c>
      <c r="L9179" s="3">
        <v>1</v>
      </c>
      <c r="M9179" s="3">
        <v>58</v>
      </c>
    </row>
    <row r="9180" spans="1:13" x14ac:dyDescent="0.25">
      <c r="A9180" s="1" t="str">
        <f>HYPERLINK("http://www.rosaceae.org/Prunus/Prunus_persica/p.persica_gdr_reftransV1_0009483","p.persica_gdr_reftransV1_0009483")</f>
        <v>p.persica_gdr_reftransV1_0009483</v>
      </c>
      <c r="B9180" s="3">
        <v>875</v>
      </c>
      <c r="C9180" s="1" t="str">
        <f>HYPERLINK("http://www.uniprot.org/uniprot/UGT1_GARJA","UGT1_GARJA")</f>
        <v>UGT1_GARJA</v>
      </c>
      <c r="D9180" t="s">
        <v>1593</v>
      </c>
      <c r="E9180" s="3" t="s">
        <v>624</v>
      </c>
      <c r="F9180" s="4">
        <v>4.8899999999999999E-82</v>
      </c>
      <c r="G9180" s="3">
        <v>668</v>
      </c>
      <c r="H9180" s="3">
        <v>56</v>
      </c>
      <c r="I9180" s="3">
        <v>237</v>
      </c>
      <c r="J9180" s="3">
        <v>183</v>
      </c>
      <c r="K9180" s="3">
        <v>872</v>
      </c>
      <c r="L9180" s="3">
        <v>1</v>
      </c>
      <c r="M9180" s="3">
        <v>230</v>
      </c>
    </row>
    <row r="9181" spans="1:13" x14ac:dyDescent="0.25">
      <c r="A9181" s="1" t="str">
        <f>HYPERLINK("http://www.rosaceae.org/Prunus/Prunus_persica/p.persica_gdr_reftransV1_0009733","p.persica_gdr_reftransV1_0009733")</f>
        <v>p.persica_gdr_reftransV1_0009733</v>
      </c>
      <c r="B9181" s="3">
        <v>315</v>
      </c>
      <c r="C9181" s="1" t="str">
        <f>HYPERLINK("http://www.uniprot.org/uniprot/PDC1_PEA","PDC1_PEA")</f>
        <v>PDC1_PEA</v>
      </c>
      <c r="D9181" t="s">
        <v>834</v>
      </c>
      <c r="E9181" s="3" t="s">
        <v>60</v>
      </c>
      <c r="F9181" s="4">
        <v>3.0300000000000002E-27</v>
      </c>
      <c r="G9181" s="3">
        <v>271</v>
      </c>
      <c r="H9181" s="3">
        <v>82</v>
      </c>
      <c r="I9181" s="3">
        <v>57</v>
      </c>
      <c r="J9181" s="3">
        <v>108</v>
      </c>
      <c r="K9181" s="3">
        <v>278</v>
      </c>
      <c r="L9181" s="3">
        <v>24</v>
      </c>
      <c r="M9181" s="3">
        <v>80</v>
      </c>
    </row>
    <row r="9182" spans="1:13" x14ac:dyDescent="0.25">
      <c r="A9182" s="1" t="str">
        <f>HYPERLINK("http://www.rosaceae.org/Prunus/Prunus_persica/p.persica_gdr_reftransV1_0009783","p.persica_gdr_reftransV1_0009783")</f>
        <v>p.persica_gdr_reftransV1_0009783</v>
      </c>
      <c r="B9182" s="3">
        <v>1495</v>
      </c>
      <c r="C9182" s="1" t="str">
        <f>HYPERLINK("http://www.uniprot.org/uniprot/PPA28_ARATH","PPA28_ARATH")</f>
        <v>PPA28_ARATH</v>
      </c>
      <c r="D9182" t="s">
        <v>6914</v>
      </c>
      <c r="E9182" s="3" t="s">
        <v>3</v>
      </c>
      <c r="F9182" s="4">
        <v>9.0199999999999998E-179</v>
      </c>
      <c r="G9182" s="3">
        <v>1325</v>
      </c>
      <c r="H9182" s="3">
        <v>69</v>
      </c>
      <c r="I9182" s="3">
        <v>392</v>
      </c>
      <c r="J9182" s="3">
        <v>176</v>
      </c>
      <c r="K9182" s="3">
        <v>1336</v>
      </c>
      <c r="L9182" s="3">
        <v>2</v>
      </c>
      <c r="M9182" s="3">
        <v>390</v>
      </c>
    </row>
    <row r="9183" spans="1:13" x14ac:dyDescent="0.25">
      <c r="A9183" s="1" t="str">
        <f>HYPERLINK("http://www.rosaceae.org/Prunus/Prunus_persica/p.persica_gdr_reftransV1_0009883","p.persica_gdr_reftransV1_0009883")</f>
        <v>p.persica_gdr_reftransV1_0009883</v>
      </c>
      <c r="B9183" s="3">
        <v>655</v>
      </c>
      <c r="C9183" s="1" t="str">
        <f>HYPERLINK("http://www.uniprot.org/uniprot/RNHX1_ARATH","RNHX1_ARATH")</f>
        <v>RNHX1_ARATH</v>
      </c>
      <c r="D9183" t="s">
        <v>124</v>
      </c>
      <c r="E9183" s="3" t="s">
        <v>3</v>
      </c>
      <c r="F9183" s="4">
        <v>1.08E-7</v>
      </c>
      <c r="G9183" s="3">
        <v>131</v>
      </c>
      <c r="H9183" s="3">
        <v>32</v>
      </c>
      <c r="I9183" s="3">
        <v>138</v>
      </c>
      <c r="J9183" s="3">
        <v>168</v>
      </c>
      <c r="K9183" s="3">
        <v>578</v>
      </c>
      <c r="L9183" s="3">
        <v>451</v>
      </c>
      <c r="M9183" s="3">
        <v>582</v>
      </c>
    </row>
    <row r="9184" spans="1:13" x14ac:dyDescent="0.25">
      <c r="A9184" s="1" t="str">
        <f>HYPERLINK("http://www.rosaceae.org/Prunus/Prunus_persica/p.persica_gdr_reftransV1_0010033","p.persica_gdr_reftransV1_0010033")</f>
        <v>p.persica_gdr_reftransV1_0010033</v>
      </c>
      <c r="B9184" s="3">
        <v>1710</v>
      </c>
      <c r="C9184" s="1" t="str">
        <f>HYPERLINK("http://www.uniprot.org/uniprot/GRPE_PROM4","GRPE_PROM4")</f>
        <v>GRPE_PROM4</v>
      </c>
      <c r="D9184" t="s">
        <v>6915</v>
      </c>
      <c r="E9184" s="3" t="s">
        <v>3990</v>
      </c>
      <c r="F9184" s="4">
        <v>1.2299999999999999E-33</v>
      </c>
      <c r="G9184" s="3">
        <v>332</v>
      </c>
      <c r="H9184" s="3">
        <v>51</v>
      </c>
      <c r="I9184" s="3">
        <v>139</v>
      </c>
      <c r="J9184" s="3">
        <v>721</v>
      </c>
      <c r="K9184" s="3">
        <v>1137</v>
      </c>
      <c r="L9184" s="3">
        <v>82</v>
      </c>
      <c r="M9184" s="3">
        <v>220</v>
      </c>
    </row>
    <row r="9185" spans="1:13" x14ac:dyDescent="0.25">
      <c r="A9185" s="1" t="str">
        <f>HYPERLINK("http://www.rosaceae.org/Prunus/Prunus_persica/p.persica_gdr_reftransV1_0010083","p.persica_gdr_reftransV1_0010083")</f>
        <v>p.persica_gdr_reftransV1_0010083</v>
      </c>
      <c r="B9185" s="3">
        <v>3818</v>
      </c>
      <c r="C9185" s="1" t="str">
        <f>HYPERLINK("http://www.uniprot.org/uniprot/PREP1_ARATH","PREP1_ARATH")</f>
        <v>PREP1_ARATH</v>
      </c>
      <c r="D9185" t="s">
        <v>6916</v>
      </c>
      <c r="E9185" s="3" t="s">
        <v>3</v>
      </c>
      <c r="F9185" s="4">
        <v>0</v>
      </c>
      <c r="G9185" s="3">
        <v>4406</v>
      </c>
      <c r="H9185" s="3">
        <v>82</v>
      </c>
      <c r="I9185" s="3">
        <v>1017</v>
      </c>
      <c r="J9185" s="3">
        <v>399</v>
      </c>
      <c r="K9185" s="3">
        <v>3434</v>
      </c>
      <c r="L9185" s="3">
        <v>67</v>
      </c>
      <c r="M9185" s="3">
        <v>1080</v>
      </c>
    </row>
    <row r="9186" spans="1:13" x14ac:dyDescent="0.25">
      <c r="A9186" s="1" t="str">
        <f>HYPERLINK("http://www.rosaceae.org/Prunus/Prunus_persica/p.persica_gdr_reftransV1_0010133","p.persica_gdr_reftransV1_0010133")</f>
        <v>p.persica_gdr_reftransV1_0010133</v>
      </c>
      <c r="B9186" s="3">
        <v>2532</v>
      </c>
      <c r="C9186" s="1" t="str">
        <f>HYPERLINK("http://www.uniprot.org/uniprot/NUP1_ARATH","NUP1_ARATH")</f>
        <v>NUP1_ARATH</v>
      </c>
      <c r="D9186" t="s">
        <v>6917</v>
      </c>
      <c r="E9186" s="3" t="s">
        <v>3</v>
      </c>
      <c r="F9186" s="4">
        <v>1.2200000000000001E-19</v>
      </c>
      <c r="G9186" s="3">
        <v>244</v>
      </c>
      <c r="H9186" s="3">
        <v>28</v>
      </c>
      <c r="I9186" s="3">
        <v>353</v>
      </c>
      <c r="J9186" s="3">
        <v>255</v>
      </c>
      <c r="K9186" s="3">
        <v>1277</v>
      </c>
      <c r="L9186" s="3">
        <v>58</v>
      </c>
      <c r="M9186" s="3">
        <v>370</v>
      </c>
    </row>
    <row r="9187" spans="1:13" x14ac:dyDescent="0.25">
      <c r="A9187" s="1" t="str">
        <f>HYPERLINK("http://www.rosaceae.org/Prunus/Prunus_persica/p.persica_gdr_reftransV1_0010233","p.persica_gdr_reftransV1_0010233")</f>
        <v>p.persica_gdr_reftransV1_0010233</v>
      </c>
      <c r="B9187" s="3">
        <v>1221</v>
      </c>
      <c r="C9187" s="1" t="str">
        <f>HYPERLINK("http://www.uniprot.org/uniprot/IQD14_ARATH","IQD14_ARATH")</f>
        <v>IQD14_ARATH</v>
      </c>
      <c r="D9187" t="s">
        <v>4118</v>
      </c>
      <c r="E9187" s="3" t="s">
        <v>3</v>
      </c>
      <c r="F9187" s="4">
        <v>9.0300000000000001E-12</v>
      </c>
      <c r="G9187" s="3">
        <v>171</v>
      </c>
      <c r="H9187" s="3">
        <v>31</v>
      </c>
      <c r="I9187" s="3">
        <v>135</v>
      </c>
      <c r="J9187" s="3">
        <v>678</v>
      </c>
      <c r="K9187" s="3">
        <v>1076</v>
      </c>
      <c r="L9187" s="3">
        <v>346</v>
      </c>
      <c r="M9187" s="3">
        <v>471</v>
      </c>
    </row>
    <row r="9188" spans="1:13" x14ac:dyDescent="0.25">
      <c r="A9188" s="1" t="str">
        <f>HYPERLINK("http://www.rosaceae.org/Prunus/Prunus_persica/p.persica_gdr_reftransV1_0010333","p.persica_gdr_reftransV1_0010333")</f>
        <v>p.persica_gdr_reftransV1_0010333</v>
      </c>
      <c r="B9188" s="3">
        <v>958</v>
      </c>
      <c r="C9188" s="1" t="str">
        <f>HYPERLINK("http://www.uniprot.org/uniprot/VITH4_ARATH","VITH4_ARATH")</f>
        <v>VITH4_ARATH</v>
      </c>
      <c r="D9188" t="s">
        <v>6918</v>
      </c>
      <c r="E9188" s="3" t="s">
        <v>3</v>
      </c>
      <c r="F9188" s="4">
        <v>6.9099999999999995E-82</v>
      </c>
      <c r="G9188" s="3">
        <v>646</v>
      </c>
      <c r="H9188" s="3">
        <v>68</v>
      </c>
      <c r="I9188" s="3">
        <v>207</v>
      </c>
      <c r="J9188" s="3">
        <v>209</v>
      </c>
      <c r="K9188" s="3">
        <v>829</v>
      </c>
      <c r="L9188" s="3">
        <v>11</v>
      </c>
      <c r="M9188" s="3">
        <v>198</v>
      </c>
    </row>
    <row r="9189" spans="1:13" x14ac:dyDescent="0.25">
      <c r="A9189" s="1" t="str">
        <f>HYPERLINK("http://www.rosaceae.org/Prunus/Prunus_persica/p.persica_gdr_reftransV1_0010533","p.persica_gdr_reftransV1_0010533")</f>
        <v>p.persica_gdr_reftransV1_0010533</v>
      </c>
      <c r="B9189" s="3">
        <v>599</v>
      </c>
      <c r="C9189" s="1" t="str">
        <f>HYPERLINK("http://www.uniprot.org/uniprot/CCA32_ARATH","CCA32_ARATH")</f>
        <v>CCA32_ARATH</v>
      </c>
      <c r="D9189" t="s">
        <v>6919</v>
      </c>
      <c r="E9189" s="3" t="s">
        <v>3</v>
      </c>
      <c r="F9189" s="4">
        <v>7.3000000000000003E-17</v>
      </c>
      <c r="G9189" s="3">
        <v>199</v>
      </c>
      <c r="H9189" s="3">
        <v>49</v>
      </c>
      <c r="I9189" s="3">
        <v>96</v>
      </c>
      <c r="J9189" s="3">
        <v>356</v>
      </c>
      <c r="K9189" s="3">
        <v>598</v>
      </c>
      <c r="L9189" s="3">
        <v>32</v>
      </c>
      <c r="M9189" s="3">
        <v>127</v>
      </c>
    </row>
    <row r="9190" spans="1:13" x14ac:dyDescent="0.25">
      <c r="A9190" s="1" t="str">
        <f>HYPERLINK("http://www.rosaceae.org/Prunus/Prunus_persica/p.persica_gdr_reftransV1_0010633","p.persica_gdr_reftransV1_0010633")</f>
        <v>p.persica_gdr_reftransV1_0010633</v>
      </c>
      <c r="B9190" s="3">
        <v>964</v>
      </c>
      <c r="C9190" s="1" t="str">
        <f>HYPERLINK("http://www.uniprot.org/uniprot/YL572_MIMIV","YL572_MIMIV")</f>
        <v>YL572_MIMIV</v>
      </c>
      <c r="D9190" t="s">
        <v>6920</v>
      </c>
      <c r="E9190" s="3" t="s">
        <v>2033</v>
      </c>
      <c r="F9190" s="4">
        <v>9.3600000000000007E-19</v>
      </c>
      <c r="G9190" s="3">
        <v>212</v>
      </c>
      <c r="H9190" s="3">
        <v>34</v>
      </c>
      <c r="I9190" s="3">
        <v>198</v>
      </c>
      <c r="J9190" s="3">
        <v>6</v>
      </c>
      <c r="K9190" s="3">
        <v>566</v>
      </c>
      <c r="L9190" s="3">
        <v>13</v>
      </c>
      <c r="M9190" s="3">
        <v>196</v>
      </c>
    </row>
    <row r="9191" spans="1:13" x14ac:dyDescent="0.25">
      <c r="A9191" s="1" t="str">
        <f>HYPERLINK("http://www.rosaceae.org/Prunus/Prunus_persica/p.persica_gdr_reftransV1_0010683","p.persica_gdr_reftransV1_0010683")</f>
        <v>p.persica_gdr_reftransV1_0010683</v>
      </c>
      <c r="B9191" s="3">
        <v>1036</v>
      </c>
      <c r="C9191" s="1" t="str">
        <f>HYPERLINK("http://www.uniprot.org/uniprot/HEBP2_HUMAN","HEBP2_HUMAN")</f>
        <v>HEBP2_HUMAN</v>
      </c>
      <c r="D9191" t="s">
        <v>1767</v>
      </c>
      <c r="E9191" s="3" t="s">
        <v>28</v>
      </c>
      <c r="F9191" s="4">
        <v>2.84E-12</v>
      </c>
      <c r="G9191" s="3">
        <v>166</v>
      </c>
      <c r="H9191" s="3">
        <v>33</v>
      </c>
      <c r="I9191" s="3">
        <v>163</v>
      </c>
      <c r="J9191" s="3">
        <v>198</v>
      </c>
      <c r="K9191" s="3">
        <v>686</v>
      </c>
      <c r="L9191" s="3">
        <v>38</v>
      </c>
      <c r="M9191" s="3">
        <v>194</v>
      </c>
    </row>
    <row r="9192" spans="1:13" x14ac:dyDescent="0.25">
      <c r="A9192" s="1" t="str">
        <f>HYPERLINK("http://www.rosaceae.org/Prunus/Prunus_persica/p.persica_gdr_reftransV1_0010733","p.persica_gdr_reftransV1_0010733")</f>
        <v>p.persica_gdr_reftransV1_0010733</v>
      </c>
      <c r="B9192" s="3">
        <v>2832</v>
      </c>
      <c r="C9192" s="1" t="str">
        <f>HYPERLINK("http://www.uniprot.org/uniprot/NFYA3_ARATH","NFYA3_ARATH")</f>
        <v>NFYA3_ARATH</v>
      </c>
      <c r="D9192" t="s">
        <v>6921</v>
      </c>
      <c r="E9192" s="3" t="s">
        <v>3</v>
      </c>
      <c r="F9192" s="4">
        <v>2.35E-44</v>
      </c>
      <c r="G9192" s="3">
        <v>427</v>
      </c>
      <c r="H9192" s="3">
        <v>47</v>
      </c>
      <c r="I9192" s="3">
        <v>215</v>
      </c>
      <c r="J9192" s="3">
        <v>465</v>
      </c>
      <c r="K9192" s="3">
        <v>1058</v>
      </c>
      <c r="L9192" s="3">
        <v>109</v>
      </c>
      <c r="M9192" s="3">
        <v>322</v>
      </c>
    </row>
    <row r="9193" spans="1:13" x14ac:dyDescent="0.25">
      <c r="A9193" s="1" t="str">
        <f>HYPERLINK("http://www.rosaceae.org/Prunus/Prunus_persica/p.persica_gdr_reftransV1_0010783","p.persica_gdr_reftransV1_0010783")</f>
        <v>p.persica_gdr_reftransV1_0010783</v>
      </c>
      <c r="B9193" s="3">
        <v>1714</v>
      </c>
      <c r="C9193" s="1" t="str">
        <f>HYPERLINK("http://www.uniprot.org/uniprot/EBP1_ARATH","EBP1_ARATH")</f>
        <v>EBP1_ARATH</v>
      </c>
      <c r="D9193" t="s">
        <v>6922</v>
      </c>
      <c r="E9193" s="3" t="s">
        <v>3</v>
      </c>
      <c r="F9193" s="4">
        <v>1.79E-162</v>
      </c>
      <c r="G9193" s="3">
        <v>965</v>
      </c>
      <c r="H9193" s="3">
        <v>84</v>
      </c>
      <c r="I9193" s="3">
        <v>231</v>
      </c>
      <c r="J9193" s="3">
        <v>834</v>
      </c>
      <c r="K9193" s="3">
        <v>1526</v>
      </c>
      <c r="L9193" s="3">
        <v>3</v>
      </c>
      <c r="M9193" s="3">
        <v>233</v>
      </c>
    </row>
    <row r="9194" spans="1:13" x14ac:dyDescent="0.25">
      <c r="A9194" s="1" t="str">
        <f>HYPERLINK("http://www.rosaceae.org/Prunus/Prunus_persica/p.persica_gdr_reftransV1_0010833","p.persica_gdr_reftransV1_0010833")</f>
        <v>p.persica_gdr_reftransV1_0010833</v>
      </c>
      <c r="B9194" s="3">
        <v>377</v>
      </c>
      <c r="C9194" s="1" t="str">
        <f>HYPERLINK("http://www.uniprot.org/uniprot/PP435_ARATH","PP435_ARATH")</f>
        <v>PP435_ARATH</v>
      </c>
      <c r="D9194" t="s">
        <v>5391</v>
      </c>
      <c r="E9194" s="3" t="s">
        <v>3</v>
      </c>
      <c r="F9194" s="4">
        <v>1.54E-28</v>
      </c>
      <c r="G9194" s="3">
        <v>281</v>
      </c>
      <c r="H9194" s="3">
        <v>52</v>
      </c>
      <c r="I9194" s="3">
        <v>106</v>
      </c>
      <c r="J9194" s="3">
        <v>50</v>
      </c>
      <c r="K9194" s="3">
        <v>364</v>
      </c>
      <c r="L9194" s="3">
        <v>1</v>
      </c>
      <c r="M9194" s="3">
        <v>106</v>
      </c>
    </row>
    <row r="9195" spans="1:13" x14ac:dyDescent="0.25">
      <c r="A9195" s="1" t="str">
        <f>HYPERLINK("http://www.rosaceae.org/Prunus/Prunus_persica/p.persica_gdr_reftransV1_0010883","p.persica_gdr_reftransV1_0010883")</f>
        <v>p.persica_gdr_reftransV1_0010883</v>
      </c>
      <c r="B9195" s="3">
        <v>2117</v>
      </c>
      <c r="C9195" s="1" t="str">
        <f>HYPERLINK("http://www.uniprot.org/uniprot/RNC_GEOKA","RNC_GEOKA")</f>
        <v>RNC_GEOKA</v>
      </c>
      <c r="D9195" t="s">
        <v>6923</v>
      </c>
      <c r="E9195" s="3" t="s">
        <v>6924</v>
      </c>
      <c r="F9195" s="4">
        <v>1.5700000000000002E-8</v>
      </c>
      <c r="G9195" s="3">
        <v>143</v>
      </c>
      <c r="H9195" s="3">
        <v>30</v>
      </c>
      <c r="I9195" s="3">
        <v>124</v>
      </c>
      <c r="J9195" s="3">
        <v>700</v>
      </c>
      <c r="K9195" s="3">
        <v>1071</v>
      </c>
      <c r="L9195" s="3">
        <v>32</v>
      </c>
      <c r="M9195" s="3">
        <v>155</v>
      </c>
    </row>
    <row r="9196" spans="1:13" x14ac:dyDescent="0.25">
      <c r="A9196" s="1" t="str">
        <f>HYPERLINK("http://www.rosaceae.org/Prunus/Prunus_persica/p.persica_gdr_reftransV1_0010933","p.persica_gdr_reftransV1_0010933")</f>
        <v>p.persica_gdr_reftransV1_0010933</v>
      </c>
      <c r="B9196" s="3">
        <v>1275</v>
      </c>
      <c r="C9196" s="1" t="str">
        <f>HYPERLINK("http://www.uniprot.org/uniprot/ASPG2_ARATH","ASPG2_ARATH")</f>
        <v>ASPG2_ARATH</v>
      </c>
      <c r="D9196" t="s">
        <v>437</v>
      </c>
      <c r="E9196" s="3" t="s">
        <v>3</v>
      </c>
      <c r="F9196" s="4">
        <v>5.1799999999999999E-23</v>
      </c>
      <c r="G9196" s="3">
        <v>259</v>
      </c>
      <c r="H9196" s="3">
        <v>36</v>
      </c>
      <c r="I9196" s="3">
        <v>213</v>
      </c>
      <c r="J9196" s="3">
        <v>6</v>
      </c>
      <c r="K9196" s="3">
        <v>623</v>
      </c>
      <c r="L9196" s="3">
        <v>261</v>
      </c>
      <c r="M9196" s="3">
        <v>470</v>
      </c>
    </row>
    <row r="9197" spans="1:13" x14ac:dyDescent="0.25">
      <c r="A9197" s="1" t="str">
        <f>HYPERLINK("http://www.rosaceae.org/Prunus/Prunus_persica/p.persica_gdr_reftransV1_0011033","p.persica_gdr_reftransV1_0011033")</f>
        <v>p.persica_gdr_reftransV1_0011033</v>
      </c>
      <c r="B9197" s="3">
        <v>2853</v>
      </c>
      <c r="C9197" s="1" t="str">
        <f>HYPERLINK("http://www.uniprot.org/uniprot/SBT17_ARATH","SBT17_ARATH")</f>
        <v>SBT17_ARATH</v>
      </c>
      <c r="D9197" t="s">
        <v>218</v>
      </c>
      <c r="E9197" s="3" t="s">
        <v>3</v>
      </c>
      <c r="F9197" s="4">
        <v>4.2700000000000002E-156</v>
      </c>
      <c r="G9197" s="3">
        <v>1249</v>
      </c>
      <c r="H9197" s="3">
        <v>41</v>
      </c>
      <c r="I9197" s="3">
        <v>773</v>
      </c>
      <c r="J9197" s="3">
        <v>358</v>
      </c>
      <c r="K9197" s="3">
        <v>2592</v>
      </c>
      <c r="L9197" s="3">
        <v>13</v>
      </c>
      <c r="M9197" s="3">
        <v>752</v>
      </c>
    </row>
    <row r="9198" spans="1:13" x14ac:dyDescent="0.25">
      <c r="A9198" s="1" t="str">
        <f>HYPERLINK("http://www.rosaceae.org/Prunus/Prunus_persica/p.persica_gdr_reftransV1_0011083","p.persica_gdr_reftransV1_0011083")</f>
        <v>p.persica_gdr_reftransV1_0011083</v>
      </c>
      <c r="B9198" s="3">
        <v>510</v>
      </c>
      <c r="C9198" s="1" t="str">
        <f>HYPERLINK("http://www.uniprot.org/uniprot/POK1_ARATH","POK1_ARATH")</f>
        <v>POK1_ARATH</v>
      </c>
      <c r="D9198" t="s">
        <v>2570</v>
      </c>
      <c r="E9198" s="3" t="s">
        <v>3</v>
      </c>
      <c r="F9198" s="4">
        <v>2.8400000000000002E-69</v>
      </c>
      <c r="G9198" s="3">
        <v>597</v>
      </c>
      <c r="H9198" s="3">
        <v>78</v>
      </c>
      <c r="I9198" s="3">
        <v>161</v>
      </c>
      <c r="J9198" s="3">
        <v>1</v>
      </c>
      <c r="K9198" s="3">
        <v>483</v>
      </c>
      <c r="L9198" s="3">
        <v>412</v>
      </c>
      <c r="M9198" s="3">
        <v>572</v>
      </c>
    </row>
    <row r="9199" spans="1:13" x14ac:dyDescent="0.25">
      <c r="A9199" s="1" t="str">
        <f>HYPERLINK("http://www.rosaceae.org/Prunus/Prunus_persica/p.persica_gdr_reftransV1_0011133","p.persica_gdr_reftransV1_0011133")</f>
        <v>p.persica_gdr_reftransV1_0011133</v>
      </c>
      <c r="B9199" s="3">
        <v>910</v>
      </c>
      <c r="C9199" s="1" t="str">
        <f>HYPERLINK("http://www.uniprot.org/uniprot/MSRA_FRAAN","MSRA_FRAAN")</f>
        <v>MSRA_FRAAN</v>
      </c>
      <c r="D9199" t="s">
        <v>6925</v>
      </c>
      <c r="E9199" s="3" t="s">
        <v>15</v>
      </c>
      <c r="F9199" s="4">
        <v>3.0300000000000001E-117</v>
      </c>
      <c r="G9199" s="3">
        <v>878</v>
      </c>
      <c r="H9199" s="3">
        <v>86</v>
      </c>
      <c r="I9199" s="3">
        <v>184</v>
      </c>
      <c r="J9199" s="3">
        <v>237</v>
      </c>
      <c r="K9199" s="3">
        <v>788</v>
      </c>
      <c r="L9199" s="3">
        <v>8</v>
      </c>
      <c r="M9199" s="3">
        <v>191</v>
      </c>
    </row>
    <row r="9200" spans="1:13" x14ac:dyDescent="0.25">
      <c r="A9200" s="1" t="str">
        <f>HYPERLINK("http://www.rosaceae.org/Prunus/Prunus_persica/p.persica_gdr_reftransV1_0011233","p.persica_gdr_reftransV1_0011233")</f>
        <v>p.persica_gdr_reftransV1_0011233</v>
      </c>
      <c r="B9200" s="3">
        <v>1975</v>
      </c>
      <c r="C9200" s="1" t="str">
        <f>HYPERLINK("http://www.uniprot.org/uniprot/PABP7_ARATH","PABP7_ARATH")</f>
        <v>PABP7_ARATH</v>
      </c>
      <c r="D9200" t="s">
        <v>3423</v>
      </c>
      <c r="E9200" s="3" t="s">
        <v>3</v>
      </c>
      <c r="F9200" s="4">
        <v>3.0500000000000002E-168</v>
      </c>
      <c r="G9200" s="3">
        <v>1292</v>
      </c>
      <c r="H9200" s="3">
        <v>52</v>
      </c>
      <c r="I9200" s="3">
        <v>582</v>
      </c>
      <c r="J9200" s="3">
        <v>2</v>
      </c>
      <c r="K9200" s="3">
        <v>1741</v>
      </c>
      <c r="L9200" s="3">
        <v>62</v>
      </c>
      <c r="M9200" s="3">
        <v>604</v>
      </c>
    </row>
    <row r="9201" spans="1:13" x14ac:dyDescent="0.25">
      <c r="A9201" s="1" t="str">
        <f>HYPERLINK("http://www.rosaceae.org/Prunus/Prunus_persica/p.persica_gdr_reftransV1_0011283","p.persica_gdr_reftransV1_0011283")</f>
        <v>p.persica_gdr_reftransV1_0011283</v>
      </c>
      <c r="B9201" s="3">
        <v>1619</v>
      </c>
      <c r="C9201" s="1" t="str">
        <f>HYPERLINK("http://www.uniprot.org/uniprot/E13B_WHEAT","E13B_WHEAT")</f>
        <v>E13B_WHEAT</v>
      </c>
      <c r="D9201" t="s">
        <v>1559</v>
      </c>
      <c r="E9201" s="3" t="s">
        <v>710</v>
      </c>
      <c r="F9201" s="4">
        <v>1.5200000000000001E-144</v>
      </c>
      <c r="G9201" s="3">
        <v>1109</v>
      </c>
      <c r="H9201" s="3">
        <v>51</v>
      </c>
      <c r="I9201" s="3">
        <v>444</v>
      </c>
      <c r="J9201" s="3">
        <v>88</v>
      </c>
      <c r="K9201" s="3">
        <v>1404</v>
      </c>
      <c r="L9201" s="3">
        <v>26</v>
      </c>
      <c r="M9201" s="3">
        <v>459</v>
      </c>
    </row>
    <row r="9202" spans="1:13" x14ac:dyDescent="0.25">
      <c r="A9202" s="1" t="str">
        <f>HYPERLINK("http://www.rosaceae.org/Prunus/Prunus_persica/p.persica_gdr_reftransV1_0011433","p.persica_gdr_reftransV1_0011433")</f>
        <v>p.persica_gdr_reftransV1_0011433</v>
      </c>
      <c r="B9202" s="3">
        <v>455</v>
      </c>
      <c r="C9202" s="1" t="str">
        <f>HYPERLINK("http://www.uniprot.org/uniprot/TLP1_PYRPY","TLP1_PYRPY")</f>
        <v>TLP1_PYRPY</v>
      </c>
      <c r="D9202" t="s">
        <v>5470</v>
      </c>
      <c r="E9202" s="3" t="s">
        <v>2862</v>
      </c>
      <c r="F9202" s="4">
        <v>1.0600000000000001E-65</v>
      </c>
      <c r="G9202" s="3">
        <v>525</v>
      </c>
      <c r="H9202" s="3">
        <v>87</v>
      </c>
      <c r="I9202" s="3">
        <v>111</v>
      </c>
      <c r="J9202" s="3">
        <v>122</v>
      </c>
      <c r="K9202" s="3">
        <v>454</v>
      </c>
      <c r="L9202" s="3">
        <v>134</v>
      </c>
      <c r="M9202" s="3">
        <v>244</v>
      </c>
    </row>
    <row r="9203" spans="1:13" x14ac:dyDescent="0.25">
      <c r="A9203" s="1" t="str">
        <f>HYPERLINK("http://www.rosaceae.org/Prunus/Prunus_persica/p.persica_gdr_reftransV1_0011483","p.persica_gdr_reftransV1_0011483")</f>
        <v>p.persica_gdr_reftransV1_0011483</v>
      </c>
      <c r="B9203" s="3">
        <v>2207</v>
      </c>
      <c r="C9203" s="1" t="str">
        <f>HYPERLINK("http://www.uniprot.org/uniprot/FBL17_ARATH","FBL17_ARATH")</f>
        <v>FBL17_ARATH</v>
      </c>
      <c r="D9203" t="s">
        <v>6926</v>
      </c>
      <c r="E9203" s="3" t="s">
        <v>3</v>
      </c>
      <c r="F9203" s="4">
        <v>0</v>
      </c>
      <c r="G9203" s="3">
        <v>1613</v>
      </c>
      <c r="H9203" s="3">
        <v>58</v>
      </c>
      <c r="I9203" s="3">
        <v>599</v>
      </c>
      <c r="J9203" s="3">
        <v>365</v>
      </c>
      <c r="K9203" s="3">
        <v>2107</v>
      </c>
      <c r="L9203" s="3">
        <v>8</v>
      </c>
      <c r="M9203" s="3">
        <v>591</v>
      </c>
    </row>
    <row r="9204" spans="1:13" x14ac:dyDescent="0.25">
      <c r="A9204" s="1" t="str">
        <f>HYPERLINK("http://www.rosaceae.org/Prunus/Prunus_persica/p.persica_gdr_reftransV1_0012033","p.persica_gdr_reftransV1_0012033")</f>
        <v>p.persica_gdr_reftransV1_0012033</v>
      </c>
      <c r="B9204" s="3">
        <v>1403</v>
      </c>
      <c r="C9204" s="1" t="str">
        <f>HYPERLINK("http://www.uniprot.org/uniprot/STEP2_ARATH","STEP2_ARATH")</f>
        <v>STEP2_ARATH</v>
      </c>
      <c r="D9204" t="s">
        <v>6927</v>
      </c>
      <c r="E9204" s="3" t="s">
        <v>3</v>
      </c>
      <c r="F9204" s="4">
        <v>3.2499999999999998E-46</v>
      </c>
      <c r="G9204" s="3">
        <v>417</v>
      </c>
      <c r="H9204" s="3">
        <v>52</v>
      </c>
      <c r="I9204" s="3">
        <v>203</v>
      </c>
      <c r="J9204" s="3">
        <v>363</v>
      </c>
      <c r="K9204" s="3">
        <v>938</v>
      </c>
      <c r="L9204" s="3">
        <v>1</v>
      </c>
      <c r="M9204" s="3">
        <v>202</v>
      </c>
    </row>
    <row r="9205" spans="1:13" x14ac:dyDescent="0.25">
      <c r="A9205" s="1" t="str">
        <f>HYPERLINK("http://www.rosaceae.org/Prunus/Prunus_persica/p.persica_gdr_reftransV1_0012083","p.persica_gdr_reftransV1_0012083")</f>
        <v>p.persica_gdr_reftransV1_0012083</v>
      </c>
      <c r="B9205" s="3">
        <v>2784</v>
      </c>
      <c r="C9205" s="1" t="str">
        <f>HYPERLINK("http://www.uniprot.org/uniprot/RGA3_SOLBU","RGA3_SOLBU")</f>
        <v>RGA3_SOLBU</v>
      </c>
      <c r="D9205" t="s">
        <v>1884</v>
      </c>
      <c r="E9205" s="3" t="s">
        <v>560</v>
      </c>
      <c r="F9205" s="4">
        <v>7.7100000000000003E-59</v>
      </c>
      <c r="G9205" s="3">
        <v>564</v>
      </c>
      <c r="H9205" s="3">
        <v>33</v>
      </c>
      <c r="I9205" s="3">
        <v>598</v>
      </c>
      <c r="J9205" s="3">
        <v>3</v>
      </c>
      <c r="K9205" s="3">
        <v>1787</v>
      </c>
      <c r="L9205" s="3">
        <v>285</v>
      </c>
      <c r="M9205" s="3">
        <v>824</v>
      </c>
    </row>
    <row r="9206" spans="1:13" x14ac:dyDescent="0.25">
      <c r="A9206" s="1" t="str">
        <f>HYPERLINK("http://www.rosaceae.org/Prunus/Prunus_persica/p.persica_gdr_reftransV1_0012133","p.persica_gdr_reftransV1_0012133")</f>
        <v>p.persica_gdr_reftransV1_0012133</v>
      </c>
      <c r="B9206" s="3">
        <v>370</v>
      </c>
      <c r="C9206" s="1" t="str">
        <f>HYPERLINK("http://www.uniprot.org/uniprot/APX3_ARATH","APX3_ARATH")</f>
        <v>APX3_ARATH</v>
      </c>
      <c r="D9206" t="s">
        <v>5014</v>
      </c>
      <c r="E9206" s="3" t="s">
        <v>3</v>
      </c>
      <c r="F9206" s="4">
        <v>2.5799999999999999E-54</v>
      </c>
      <c r="G9206" s="3">
        <v>450</v>
      </c>
      <c r="H9206" s="3">
        <v>75</v>
      </c>
      <c r="I9206" s="3">
        <v>114</v>
      </c>
      <c r="J9206" s="3">
        <v>6</v>
      </c>
      <c r="K9206" s="3">
        <v>347</v>
      </c>
      <c r="L9206" s="3">
        <v>1</v>
      </c>
      <c r="M9206" s="3">
        <v>111</v>
      </c>
    </row>
    <row r="9207" spans="1:13" x14ac:dyDescent="0.25">
      <c r="A9207" s="1" t="str">
        <f>HYPERLINK("http://www.rosaceae.org/Prunus/Prunus_persica/p.persica_gdr_reftransV1_0012583","p.persica_gdr_reftransV1_0012583")</f>
        <v>p.persica_gdr_reftransV1_0012583</v>
      </c>
      <c r="B9207" s="3">
        <v>784</v>
      </c>
      <c r="C9207" s="1" t="str">
        <f>HYPERLINK("http://www.uniprot.org/uniprot/AHP4_ARATH","AHP4_ARATH")</f>
        <v>AHP4_ARATH</v>
      </c>
      <c r="D9207" t="s">
        <v>6928</v>
      </c>
      <c r="E9207" s="3" t="s">
        <v>3</v>
      </c>
      <c r="F9207" s="4">
        <v>4.9500000000000001E-45</v>
      </c>
      <c r="G9207" s="3">
        <v>388</v>
      </c>
      <c r="H9207" s="3">
        <v>60</v>
      </c>
      <c r="I9207" s="3">
        <v>117</v>
      </c>
      <c r="J9207" s="3">
        <v>280</v>
      </c>
      <c r="K9207" s="3">
        <v>630</v>
      </c>
      <c r="L9207" s="3">
        <v>9</v>
      </c>
      <c r="M9207" s="3">
        <v>124</v>
      </c>
    </row>
    <row r="9208" spans="1:13" x14ac:dyDescent="0.25">
      <c r="A9208" s="1" t="str">
        <f>HYPERLINK("http://www.rosaceae.org/Prunus/Prunus_persica/p.persica_gdr_reftransV1_0012683","p.persica_gdr_reftransV1_0012683")</f>
        <v>p.persica_gdr_reftransV1_0012683</v>
      </c>
      <c r="B9208" s="3">
        <v>1498</v>
      </c>
      <c r="C9208" s="1" t="str">
        <f>HYPERLINK("http://www.uniprot.org/uniprot/RLA0_SOYBN","RLA0_SOYBN")</f>
        <v>RLA0_SOYBN</v>
      </c>
      <c r="D9208" t="s">
        <v>6929</v>
      </c>
      <c r="E9208" s="3" t="s">
        <v>307</v>
      </c>
      <c r="F9208" s="4">
        <v>7.8199999999999996E-153</v>
      </c>
      <c r="G9208" s="3">
        <v>1146</v>
      </c>
      <c r="H9208" s="3">
        <v>89</v>
      </c>
      <c r="I9208" s="3">
        <v>278</v>
      </c>
      <c r="J9208" s="3">
        <v>475</v>
      </c>
      <c r="K9208" s="3">
        <v>1308</v>
      </c>
      <c r="L9208" s="3">
        <v>1</v>
      </c>
      <c r="M9208" s="3">
        <v>278</v>
      </c>
    </row>
    <row r="9209" spans="1:13" x14ac:dyDescent="0.25">
      <c r="A9209" s="1" t="str">
        <f>HYPERLINK("http://www.rosaceae.org/Prunus/Prunus_persica/p.persica_gdr_reftransV1_0012733","p.persica_gdr_reftransV1_0012733")</f>
        <v>p.persica_gdr_reftransV1_0012733</v>
      </c>
      <c r="B9209" s="3">
        <v>1842</v>
      </c>
      <c r="C9209" s="1" t="str">
        <f>HYPERLINK("http://www.uniprot.org/uniprot/HBPL1_ARATH","HBPL1_ARATH")</f>
        <v>HBPL1_ARATH</v>
      </c>
      <c r="D9209" t="s">
        <v>4159</v>
      </c>
      <c r="E9209" s="3" t="s">
        <v>3</v>
      </c>
      <c r="F9209" s="4">
        <v>5.26E-22</v>
      </c>
      <c r="G9209" s="3">
        <v>251</v>
      </c>
      <c r="H9209" s="3">
        <v>37</v>
      </c>
      <c r="I9209" s="3">
        <v>216</v>
      </c>
      <c r="J9209" s="3">
        <v>250</v>
      </c>
      <c r="K9209" s="3">
        <v>867</v>
      </c>
      <c r="L9209" s="3">
        <v>100</v>
      </c>
      <c r="M9209" s="3">
        <v>305</v>
      </c>
    </row>
    <row r="9210" spans="1:13" x14ac:dyDescent="0.25">
      <c r="A9210" s="1" t="str">
        <f>HYPERLINK("http://www.rosaceae.org/Prunus/Prunus_persica/p.persica_gdr_reftransV1_0012833","p.persica_gdr_reftransV1_0012833")</f>
        <v>p.persica_gdr_reftransV1_0012833</v>
      </c>
      <c r="B9210" s="3">
        <v>3829</v>
      </c>
      <c r="C9210" s="1" t="str">
        <f>HYPERLINK("http://www.uniprot.org/uniprot/TEB_ARATH","TEB_ARATH")</f>
        <v>TEB_ARATH</v>
      </c>
      <c r="D9210" t="s">
        <v>3616</v>
      </c>
      <c r="E9210" s="3" t="s">
        <v>3</v>
      </c>
      <c r="F9210" s="4">
        <v>0</v>
      </c>
      <c r="G9210" s="3">
        <v>2662</v>
      </c>
      <c r="H9210" s="3">
        <v>60</v>
      </c>
      <c r="I9210" s="3">
        <v>905</v>
      </c>
      <c r="J9210" s="3">
        <v>3</v>
      </c>
      <c r="K9210" s="3">
        <v>2693</v>
      </c>
      <c r="L9210" s="3">
        <v>1279</v>
      </c>
      <c r="M9210" s="3">
        <v>2154</v>
      </c>
    </row>
    <row r="9211" spans="1:13" x14ac:dyDescent="0.25">
      <c r="A9211" s="1" t="str">
        <f>HYPERLINK("http://www.rosaceae.org/Prunus/Prunus_persica/p.persica_gdr_reftransV1_0012883","p.persica_gdr_reftransV1_0012883")</f>
        <v>p.persica_gdr_reftransV1_0012883</v>
      </c>
      <c r="B9211" s="3">
        <v>1185</v>
      </c>
      <c r="C9211" s="1" t="str">
        <f>HYPERLINK("http://www.uniprot.org/uniprot/ECH1_MOUSE","ECH1_MOUSE")</f>
        <v>ECH1_MOUSE</v>
      </c>
      <c r="D9211" t="s">
        <v>6930</v>
      </c>
      <c r="E9211" s="3" t="s">
        <v>157</v>
      </c>
      <c r="F9211" s="4">
        <v>2.5899999999999999E-73</v>
      </c>
      <c r="G9211" s="3">
        <v>607</v>
      </c>
      <c r="H9211" s="3">
        <v>44</v>
      </c>
      <c r="I9211" s="3">
        <v>277</v>
      </c>
      <c r="J9211" s="3">
        <v>257</v>
      </c>
      <c r="K9211" s="3">
        <v>1075</v>
      </c>
      <c r="L9211" s="3">
        <v>53</v>
      </c>
      <c r="M9211" s="3">
        <v>327</v>
      </c>
    </row>
    <row r="9212" spans="1:13" x14ac:dyDescent="0.25">
      <c r="A9212" s="1" t="str">
        <f>HYPERLINK("http://www.rosaceae.org/Prunus/Prunus_persica/p.persica_gdr_reftransV1_0013033","p.persica_gdr_reftransV1_0013033")</f>
        <v>p.persica_gdr_reftransV1_0013033</v>
      </c>
      <c r="B9212" s="3">
        <v>1535</v>
      </c>
      <c r="C9212" s="1" t="str">
        <f>HYPERLINK("http://www.uniprot.org/uniprot/NC100_ARATH","NC100_ARATH")</f>
        <v>NC100_ARATH</v>
      </c>
      <c r="D9212" t="s">
        <v>1980</v>
      </c>
      <c r="E9212" s="3" t="s">
        <v>3</v>
      </c>
      <c r="F9212" s="4">
        <v>7.5600000000000002E-124</v>
      </c>
      <c r="G9212" s="3">
        <v>956</v>
      </c>
      <c r="H9212" s="3">
        <v>57</v>
      </c>
      <c r="I9212" s="3">
        <v>363</v>
      </c>
      <c r="J9212" s="3">
        <v>230</v>
      </c>
      <c r="K9212" s="3">
        <v>1285</v>
      </c>
      <c r="L9212" s="3">
        <v>1</v>
      </c>
      <c r="M9212" s="3">
        <v>336</v>
      </c>
    </row>
    <row r="9213" spans="1:13" x14ac:dyDescent="0.25">
      <c r="A9213" s="1" t="str">
        <f>HYPERLINK("http://www.rosaceae.org/Prunus/Prunus_persica/p.persica_gdr_reftransV1_0013183","p.persica_gdr_reftransV1_0013183")</f>
        <v>p.persica_gdr_reftransV1_0013183</v>
      </c>
      <c r="B9213" s="3">
        <v>3264</v>
      </c>
      <c r="C9213" s="1" t="str">
        <f>HYPERLINK("http://www.uniprot.org/uniprot/VAR3_ARATH","VAR3_ARATH")</f>
        <v>VAR3_ARATH</v>
      </c>
      <c r="D9213" t="s">
        <v>5435</v>
      </c>
      <c r="E9213" s="3" t="s">
        <v>3</v>
      </c>
      <c r="F9213" s="4">
        <v>6.7299999999999999E-36</v>
      </c>
      <c r="G9213" s="3">
        <v>379</v>
      </c>
      <c r="H9213" s="3">
        <v>32</v>
      </c>
      <c r="I9213" s="3">
        <v>334</v>
      </c>
      <c r="J9213" s="3">
        <v>1811</v>
      </c>
      <c r="K9213" s="3">
        <v>2770</v>
      </c>
      <c r="L9213" s="3">
        <v>93</v>
      </c>
      <c r="M9213" s="3">
        <v>388</v>
      </c>
    </row>
    <row r="9214" spans="1:13" x14ac:dyDescent="0.25">
      <c r="A9214" s="1" t="str">
        <f>HYPERLINK("http://www.rosaceae.org/Prunus/Prunus_persica/p.persica_gdr_reftransV1_0013233","p.persica_gdr_reftransV1_0013233")</f>
        <v>p.persica_gdr_reftransV1_0013233</v>
      </c>
      <c r="B9214" s="3">
        <v>1034</v>
      </c>
      <c r="C9214" s="1" t="str">
        <f>HYPERLINK("http://www.uniprot.org/uniprot/GSTX4_TOBAC","GSTX4_TOBAC")</f>
        <v>GSTX4_TOBAC</v>
      </c>
      <c r="D9214" t="s">
        <v>1788</v>
      </c>
      <c r="E9214" s="3" t="s">
        <v>200</v>
      </c>
      <c r="F9214" s="4">
        <v>8.9699999999999995E-107</v>
      </c>
      <c r="G9214" s="3">
        <v>816</v>
      </c>
      <c r="H9214" s="3">
        <v>70</v>
      </c>
      <c r="I9214" s="3">
        <v>215</v>
      </c>
      <c r="J9214" s="3">
        <v>120</v>
      </c>
      <c r="K9214" s="3">
        <v>761</v>
      </c>
      <c r="L9214" s="3">
        <v>4</v>
      </c>
      <c r="M9214" s="3">
        <v>218</v>
      </c>
    </row>
    <row r="9215" spans="1:13" x14ac:dyDescent="0.25">
      <c r="A9215" s="1" t="str">
        <f>HYPERLINK("http://www.rosaceae.org/Prunus/Prunus_persica/p.persica_gdr_reftransV1_0013383","p.persica_gdr_reftransV1_0013383")</f>
        <v>p.persica_gdr_reftransV1_0013383</v>
      </c>
      <c r="B9215" s="3">
        <v>1529</v>
      </c>
      <c r="C9215" s="1" t="str">
        <f>HYPERLINK("http://www.uniprot.org/uniprot/Y4102_ARATH","Y4102_ARATH")</f>
        <v>Y4102_ARATH</v>
      </c>
      <c r="D9215" t="s">
        <v>2385</v>
      </c>
      <c r="E9215" s="3" t="s">
        <v>3</v>
      </c>
      <c r="F9215" s="4">
        <v>4.8000000000000005E-19</v>
      </c>
      <c r="G9215" s="3">
        <v>235</v>
      </c>
      <c r="H9215" s="3">
        <v>29</v>
      </c>
      <c r="I9215" s="3">
        <v>201</v>
      </c>
      <c r="J9215" s="3">
        <v>422</v>
      </c>
      <c r="K9215" s="3">
        <v>1015</v>
      </c>
      <c r="L9215" s="3">
        <v>1553</v>
      </c>
      <c r="M9215" s="3">
        <v>1747</v>
      </c>
    </row>
    <row r="9216" spans="1:13" x14ac:dyDescent="0.25">
      <c r="A9216" s="1" t="str">
        <f>HYPERLINK("http://www.rosaceae.org/Prunus/Prunus_persica/p.persica_gdr_reftransV1_0013433","p.persica_gdr_reftransV1_0013433")</f>
        <v>p.persica_gdr_reftransV1_0013433</v>
      </c>
      <c r="B9216" s="3">
        <v>792</v>
      </c>
      <c r="C9216" s="1" t="str">
        <f>HYPERLINK("http://www.uniprot.org/uniprot/RS143_ARATH","RS143_ARATH")</f>
        <v>RS143_ARATH</v>
      </c>
      <c r="D9216" t="s">
        <v>6931</v>
      </c>
      <c r="E9216" s="3" t="s">
        <v>3</v>
      </c>
      <c r="F9216" s="4">
        <v>2.5899999999999999E-77</v>
      </c>
      <c r="G9216" s="3">
        <v>606</v>
      </c>
      <c r="H9216" s="3">
        <v>91</v>
      </c>
      <c r="I9216" s="3">
        <v>139</v>
      </c>
      <c r="J9216" s="3">
        <v>299</v>
      </c>
      <c r="K9216" s="3">
        <v>715</v>
      </c>
      <c r="L9216" s="3">
        <v>1</v>
      </c>
      <c r="M9216" s="3">
        <v>139</v>
      </c>
    </row>
    <row r="9217" spans="1:13" x14ac:dyDescent="0.25">
      <c r="A9217" s="1" t="str">
        <f>HYPERLINK("http://www.rosaceae.org/Prunus/Prunus_persica/p.persica_gdr_reftransV1_0013533","p.persica_gdr_reftransV1_0013533")</f>
        <v>p.persica_gdr_reftransV1_0013533</v>
      </c>
      <c r="B9217" s="3">
        <v>2204</v>
      </c>
      <c r="C9217" s="1" t="str">
        <f>HYPERLINK("http://www.uniprot.org/uniprot/RPD1_ARATH","RPD1_ARATH")</f>
        <v>RPD1_ARATH</v>
      </c>
      <c r="D9217" t="s">
        <v>1883</v>
      </c>
      <c r="E9217" s="3" t="s">
        <v>3</v>
      </c>
      <c r="F9217" s="4">
        <v>9.2800000000000001E-32</v>
      </c>
      <c r="G9217" s="3">
        <v>332</v>
      </c>
      <c r="H9217" s="3">
        <v>30</v>
      </c>
      <c r="I9217" s="3">
        <v>342</v>
      </c>
      <c r="J9217" s="3">
        <v>180</v>
      </c>
      <c r="K9217" s="3">
        <v>1112</v>
      </c>
      <c r="L9217" s="3">
        <v>53</v>
      </c>
      <c r="M9217" s="3">
        <v>382</v>
      </c>
    </row>
    <row r="9218" spans="1:13" x14ac:dyDescent="0.25">
      <c r="A9218" s="1" t="str">
        <f>HYPERLINK("http://www.rosaceae.org/Prunus/Prunus_persica/p.persica_gdr_reftransV1_0013583","p.persica_gdr_reftransV1_0013583")</f>
        <v>p.persica_gdr_reftransV1_0013583</v>
      </c>
      <c r="B9218" s="3">
        <v>1537</v>
      </c>
      <c r="C9218" s="1" t="str">
        <f>HYPERLINK("http://www.uniprot.org/uniprot/LTO1_ARATH","LTO1_ARATH")</f>
        <v>LTO1_ARATH</v>
      </c>
      <c r="D9218" t="s">
        <v>6932</v>
      </c>
      <c r="E9218" s="3" t="s">
        <v>3</v>
      </c>
      <c r="F9218" s="4">
        <v>5.1999999999999997E-105</v>
      </c>
      <c r="G9218" s="3">
        <v>834</v>
      </c>
      <c r="H9218" s="3">
        <v>59</v>
      </c>
      <c r="I9218" s="3">
        <v>335</v>
      </c>
      <c r="J9218" s="3">
        <v>407</v>
      </c>
      <c r="K9218" s="3">
        <v>1390</v>
      </c>
      <c r="L9218" s="3">
        <v>37</v>
      </c>
      <c r="M9218" s="3">
        <v>370</v>
      </c>
    </row>
    <row r="9219" spans="1:13" x14ac:dyDescent="0.25">
      <c r="A9219" s="1" t="str">
        <f>HYPERLINK("http://www.rosaceae.org/Prunus/Prunus_persica/p.persica_gdr_reftransV1_0014133","p.persica_gdr_reftransV1_0014133")</f>
        <v>p.persica_gdr_reftransV1_0014133</v>
      </c>
      <c r="B9219" s="3">
        <v>1419</v>
      </c>
      <c r="C9219" s="1" t="str">
        <f>HYPERLINK("http://www.uniprot.org/uniprot/ARFQ_ARATH","ARFQ_ARATH")</f>
        <v>ARFQ_ARATH</v>
      </c>
      <c r="D9219" t="s">
        <v>967</v>
      </c>
      <c r="E9219" s="3" t="s">
        <v>3</v>
      </c>
      <c r="F9219" s="4">
        <v>4.6500000000000001E-11</v>
      </c>
      <c r="G9219" s="3">
        <v>166</v>
      </c>
      <c r="H9219" s="3">
        <v>41</v>
      </c>
      <c r="I9219" s="3">
        <v>150</v>
      </c>
      <c r="J9219" s="3">
        <v>980</v>
      </c>
      <c r="K9219" s="3">
        <v>1417</v>
      </c>
      <c r="L9219" s="3">
        <v>428</v>
      </c>
      <c r="M9219" s="3">
        <v>567</v>
      </c>
    </row>
    <row r="9220" spans="1:13" x14ac:dyDescent="0.25">
      <c r="A9220" s="1" t="str">
        <f>HYPERLINK("http://www.rosaceae.org/Prunus/Prunus_persica/p.persica_gdr_reftransV1_0014433","p.persica_gdr_reftransV1_0014433")</f>
        <v>p.persica_gdr_reftransV1_0014433</v>
      </c>
      <c r="B9220" s="3">
        <v>1706</v>
      </c>
      <c r="C9220" s="1" t="str">
        <f>HYPERLINK("http://www.uniprot.org/uniprot/BSDC1_CHICK","BSDC1_CHICK")</f>
        <v>BSDC1_CHICK</v>
      </c>
      <c r="D9220" t="s">
        <v>6933</v>
      </c>
      <c r="E9220" s="3" t="s">
        <v>1278</v>
      </c>
      <c r="F9220" s="4">
        <v>4.3199999999999998E-13</v>
      </c>
      <c r="G9220" s="3">
        <v>183</v>
      </c>
      <c r="H9220" s="3">
        <v>25</v>
      </c>
      <c r="I9220" s="3">
        <v>214</v>
      </c>
      <c r="J9220" s="3">
        <v>729</v>
      </c>
      <c r="K9220" s="3">
        <v>1367</v>
      </c>
      <c r="L9220" s="3">
        <v>24</v>
      </c>
      <c r="M9220" s="3">
        <v>211</v>
      </c>
    </row>
    <row r="9221" spans="1:13" x14ac:dyDescent="0.25">
      <c r="A9221" s="1" t="str">
        <f>HYPERLINK("http://www.rosaceae.org/Prunus/Prunus_persica/p.persica_gdr_reftransV1_0014483","p.persica_gdr_reftransV1_0014483")</f>
        <v>p.persica_gdr_reftransV1_0014483</v>
      </c>
      <c r="B9221" s="3">
        <v>2841</v>
      </c>
      <c r="C9221" s="1" t="str">
        <f>HYPERLINK("http://www.uniprot.org/uniprot/ARP1_ARATH","ARP1_ARATH")</f>
        <v>ARP1_ARATH</v>
      </c>
      <c r="D9221" t="s">
        <v>5986</v>
      </c>
      <c r="E9221" s="3" t="s">
        <v>3</v>
      </c>
      <c r="F9221" s="4">
        <v>1.6500000000000001E-33</v>
      </c>
      <c r="G9221" s="3">
        <v>340</v>
      </c>
      <c r="H9221" s="3">
        <v>69</v>
      </c>
      <c r="I9221" s="3">
        <v>88</v>
      </c>
      <c r="J9221" s="3">
        <v>1965</v>
      </c>
      <c r="K9221" s="3">
        <v>2228</v>
      </c>
      <c r="L9221" s="3">
        <v>7</v>
      </c>
      <c r="M9221" s="3">
        <v>94</v>
      </c>
    </row>
    <row r="9222" spans="1:13" x14ac:dyDescent="0.25">
      <c r="A9222" s="1" t="str">
        <f>HYPERLINK("http://www.rosaceae.org/Prunus/Prunus_persica/p.persica_gdr_reftransV1_0014583","p.persica_gdr_reftransV1_0014583")</f>
        <v>p.persica_gdr_reftransV1_0014583</v>
      </c>
      <c r="B9222" s="3">
        <v>2735</v>
      </c>
      <c r="C9222" s="1" t="str">
        <f>HYPERLINK("http://www.uniprot.org/uniprot/SM3L3_ARATH","SM3L3_ARATH")</f>
        <v>SM3L3_ARATH</v>
      </c>
      <c r="D9222" t="s">
        <v>44</v>
      </c>
      <c r="E9222" s="3" t="s">
        <v>3</v>
      </c>
      <c r="F9222" s="4">
        <v>0</v>
      </c>
      <c r="G9222" s="3">
        <v>2943</v>
      </c>
      <c r="H9222" s="3">
        <v>66</v>
      </c>
      <c r="I9222" s="3">
        <v>834</v>
      </c>
      <c r="J9222" s="3">
        <v>259</v>
      </c>
      <c r="K9222" s="3">
        <v>2733</v>
      </c>
      <c r="L9222" s="3">
        <v>514</v>
      </c>
      <c r="M9222" s="3">
        <v>1276</v>
      </c>
    </row>
    <row r="9223" spans="1:13" x14ac:dyDescent="0.25">
      <c r="A9223" s="1" t="str">
        <f>HYPERLINK("http://www.rosaceae.org/Prunus/Prunus_persica/p.persica_gdr_reftransV1_0014983","p.persica_gdr_reftransV1_0014983")</f>
        <v>p.persica_gdr_reftransV1_0014983</v>
      </c>
      <c r="B9223" s="3">
        <v>2680</v>
      </c>
      <c r="C9223" s="1" t="str">
        <f>HYPERLINK("http://www.uniprot.org/uniprot/DYAD_ARATH","DYAD_ARATH")</f>
        <v>DYAD_ARATH</v>
      </c>
      <c r="D9223" t="s">
        <v>6934</v>
      </c>
      <c r="E9223" s="3" t="s">
        <v>3</v>
      </c>
      <c r="F9223" s="4">
        <v>1.08E-43</v>
      </c>
      <c r="G9223" s="3">
        <v>436</v>
      </c>
      <c r="H9223" s="3">
        <v>56</v>
      </c>
      <c r="I9223" s="3">
        <v>147</v>
      </c>
      <c r="J9223" s="3">
        <v>455</v>
      </c>
      <c r="K9223" s="3">
        <v>895</v>
      </c>
      <c r="L9223" s="3">
        <v>287</v>
      </c>
      <c r="M9223" s="3">
        <v>433</v>
      </c>
    </row>
    <row r="9224" spans="1:13" x14ac:dyDescent="0.25">
      <c r="A9224" s="1" t="str">
        <f>HYPERLINK("http://www.rosaceae.org/Prunus/Prunus_persica/p.persica_gdr_reftransV1_0015033","p.persica_gdr_reftransV1_0015033")</f>
        <v>p.persica_gdr_reftransV1_0015033</v>
      </c>
      <c r="B9224" s="3">
        <v>651</v>
      </c>
      <c r="C9224" s="1" t="str">
        <f>HYPERLINK("http://www.uniprot.org/uniprot/PP301_ARATH","PP301_ARATH")</f>
        <v>PP301_ARATH</v>
      </c>
      <c r="D9224" t="s">
        <v>1571</v>
      </c>
      <c r="E9224" s="3" t="s">
        <v>3</v>
      </c>
      <c r="F9224" s="4">
        <v>6.8200000000000004E-53</v>
      </c>
      <c r="G9224" s="3">
        <v>471</v>
      </c>
      <c r="H9224" s="3">
        <v>48</v>
      </c>
      <c r="I9224" s="3">
        <v>180</v>
      </c>
      <c r="J9224" s="3">
        <v>111</v>
      </c>
      <c r="K9224" s="3">
        <v>650</v>
      </c>
      <c r="L9224" s="3">
        <v>477</v>
      </c>
      <c r="M9224" s="3">
        <v>655</v>
      </c>
    </row>
    <row r="9225" spans="1:13" x14ac:dyDescent="0.25">
      <c r="A9225" s="1" t="str">
        <f>HYPERLINK("http://www.rosaceae.org/Prunus/Prunus_persica/p.persica_gdr_reftransV1_0015383","p.persica_gdr_reftransV1_0015383")</f>
        <v>p.persica_gdr_reftransV1_0015383</v>
      </c>
      <c r="B9225" s="3">
        <v>1976</v>
      </c>
      <c r="C9225" s="1" t="str">
        <f>HYPERLINK("http://www.uniprot.org/uniprot/DAPF_ARATH","DAPF_ARATH")</f>
        <v>DAPF_ARATH</v>
      </c>
      <c r="D9225" t="s">
        <v>6935</v>
      </c>
      <c r="E9225" s="3" t="s">
        <v>3</v>
      </c>
      <c r="F9225" s="4">
        <v>3.07E-168</v>
      </c>
      <c r="G9225" s="3">
        <v>1268</v>
      </c>
      <c r="H9225" s="3">
        <v>83</v>
      </c>
      <c r="I9225" s="3">
        <v>297</v>
      </c>
      <c r="J9225" s="3">
        <v>258</v>
      </c>
      <c r="K9225" s="3">
        <v>1148</v>
      </c>
      <c r="L9225" s="3">
        <v>66</v>
      </c>
      <c r="M9225" s="3">
        <v>362</v>
      </c>
    </row>
    <row r="9226" spans="1:13" x14ac:dyDescent="0.25">
      <c r="A9226" s="1" t="str">
        <f>HYPERLINK("http://www.rosaceae.org/Prunus/Prunus_persica/p.persica_gdr_reftransV1_0015483","p.persica_gdr_reftransV1_0015483")</f>
        <v>p.persica_gdr_reftransV1_0015483</v>
      </c>
      <c r="B9226" s="3">
        <v>1400</v>
      </c>
      <c r="C9226" s="1" t="str">
        <f>HYPERLINK("http://www.uniprot.org/uniprot/QTRD1_MOUSE","QTRD1_MOUSE")</f>
        <v>QTRD1_MOUSE</v>
      </c>
      <c r="D9226" t="s">
        <v>6936</v>
      </c>
      <c r="E9226" s="3" t="s">
        <v>157</v>
      </c>
      <c r="F9226" s="4">
        <v>1.1199999999999999E-45</v>
      </c>
      <c r="G9226" s="3">
        <v>428</v>
      </c>
      <c r="H9226" s="3">
        <v>32</v>
      </c>
      <c r="I9226" s="3">
        <v>403</v>
      </c>
      <c r="J9226" s="3">
        <v>176</v>
      </c>
      <c r="K9226" s="3">
        <v>1243</v>
      </c>
      <c r="L9226" s="3">
        <v>24</v>
      </c>
      <c r="M9226" s="3">
        <v>408</v>
      </c>
    </row>
    <row r="9227" spans="1:13" x14ac:dyDescent="0.25">
      <c r="A9227" s="1" t="str">
        <f>HYPERLINK("http://www.rosaceae.org/Prunus/Prunus_persica/p.persica_gdr_reftransV1_0015583","p.persica_gdr_reftransV1_0015583")</f>
        <v>p.persica_gdr_reftransV1_0015583</v>
      </c>
      <c r="B9227" s="3">
        <v>1528</v>
      </c>
      <c r="C9227" s="1" t="str">
        <f>HYPERLINK("http://www.uniprot.org/uniprot/PP276_ARATH","PP276_ARATH")</f>
        <v>PP276_ARATH</v>
      </c>
      <c r="D9227" t="s">
        <v>6937</v>
      </c>
      <c r="E9227" s="3" t="s">
        <v>3</v>
      </c>
      <c r="F9227" s="4">
        <v>2E-169</v>
      </c>
      <c r="G9227" s="3">
        <v>1296</v>
      </c>
      <c r="H9227" s="3">
        <v>55</v>
      </c>
      <c r="I9227" s="3">
        <v>482</v>
      </c>
      <c r="J9227" s="3">
        <v>1</v>
      </c>
      <c r="K9227" s="3">
        <v>1434</v>
      </c>
      <c r="L9227" s="3">
        <v>256</v>
      </c>
      <c r="M9227" s="3">
        <v>736</v>
      </c>
    </row>
    <row r="9228" spans="1:13" x14ac:dyDescent="0.25">
      <c r="A9228" s="1" t="str">
        <f>HYPERLINK("http://www.rosaceae.org/Prunus/Prunus_persica/p.persica_gdr_reftransV1_0015883","p.persica_gdr_reftransV1_0015883")</f>
        <v>p.persica_gdr_reftransV1_0015883</v>
      </c>
      <c r="B9228" s="3">
        <v>1128</v>
      </c>
      <c r="C9228" s="1" t="str">
        <f>HYPERLINK("http://www.uniprot.org/uniprot/PP448_ARATH","PP448_ARATH")</f>
        <v>PP448_ARATH</v>
      </c>
      <c r="D9228" t="s">
        <v>6938</v>
      </c>
      <c r="E9228" s="3" t="s">
        <v>3</v>
      </c>
      <c r="F9228" s="4">
        <v>7.71E-130</v>
      </c>
      <c r="G9228" s="3">
        <v>1001</v>
      </c>
      <c r="H9228" s="3">
        <v>56</v>
      </c>
      <c r="I9228" s="3">
        <v>323</v>
      </c>
      <c r="J9228" s="3">
        <v>2</v>
      </c>
      <c r="K9228" s="3">
        <v>964</v>
      </c>
      <c r="L9228" s="3">
        <v>207</v>
      </c>
      <c r="M9228" s="3">
        <v>529</v>
      </c>
    </row>
    <row r="9229" spans="1:13" x14ac:dyDescent="0.25">
      <c r="A9229" s="1" t="str">
        <f>HYPERLINK("http://www.rosaceae.org/Prunus/Prunus_persica/p.persica_gdr_reftransV1_0015983","p.persica_gdr_reftransV1_0015983")</f>
        <v>p.persica_gdr_reftransV1_0015983</v>
      </c>
      <c r="B9229" s="3">
        <v>2536</v>
      </c>
      <c r="C9229" s="1" t="str">
        <f>HYPERLINK("http://www.uniprot.org/uniprot/PT525_ARATH","PT525_ARATH")</f>
        <v>PT525_ARATH</v>
      </c>
      <c r="D9229" t="s">
        <v>6939</v>
      </c>
      <c r="E9229" s="3" t="s">
        <v>3</v>
      </c>
      <c r="F9229" s="4">
        <v>0</v>
      </c>
      <c r="G9229" s="3">
        <v>1462</v>
      </c>
      <c r="H9229" s="3">
        <v>86</v>
      </c>
      <c r="I9229" s="3">
        <v>349</v>
      </c>
      <c r="J9229" s="3">
        <v>1048</v>
      </c>
      <c r="K9229" s="3">
        <v>2094</v>
      </c>
      <c r="L9229" s="3">
        <v>1</v>
      </c>
      <c r="M9229" s="3">
        <v>349</v>
      </c>
    </row>
    <row r="9230" spans="1:13" x14ac:dyDescent="0.25">
      <c r="A9230" s="1" t="str">
        <f>HYPERLINK("http://www.rosaceae.org/Prunus/Prunus_persica/p.persica_gdr_reftransV1_0016033","p.persica_gdr_reftransV1_0016033")</f>
        <v>p.persica_gdr_reftransV1_0016033</v>
      </c>
      <c r="B9230" s="3">
        <v>505</v>
      </c>
      <c r="C9230" s="1" t="str">
        <f>HYPERLINK("http://www.uniprot.org/uniprot/DSLE_ARATH","DSLE_ARATH")</f>
        <v>DSLE_ARATH</v>
      </c>
      <c r="D9230" t="s">
        <v>1940</v>
      </c>
      <c r="E9230" s="3" t="s">
        <v>3</v>
      </c>
      <c r="F9230" s="4">
        <v>9.06E-14</v>
      </c>
      <c r="G9230" s="3">
        <v>177</v>
      </c>
      <c r="H9230" s="3">
        <v>44</v>
      </c>
      <c r="I9230" s="3">
        <v>78</v>
      </c>
      <c r="J9230" s="3">
        <v>252</v>
      </c>
      <c r="K9230" s="3">
        <v>485</v>
      </c>
      <c r="L9230" s="3">
        <v>600</v>
      </c>
      <c r="M9230" s="3">
        <v>676</v>
      </c>
    </row>
    <row r="9231" spans="1:13" x14ac:dyDescent="0.25">
      <c r="A9231" s="1" t="str">
        <f>HYPERLINK("http://www.rosaceae.org/Prunus/Prunus_persica/p.persica_gdr_reftransV1_0016083","p.persica_gdr_reftransV1_0016083")</f>
        <v>p.persica_gdr_reftransV1_0016083</v>
      </c>
      <c r="B9231" s="3">
        <v>936</v>
      </c>
      <c r="C9231" s="1" t="str">
        <f>HYPERLINK("http://www.uniprot.org/uniprot/WRK75_ARATH","WRK75_ARATH")</f>
        <v>WRK75_ARATH</v>
      </c>
      <c r="D9231" t="s">
        <v>6940</v>
      </c>
      <c r="E9231" s="3" t="s">
        <v>3</v>
      </c>
      <c r="F9231" s="4">
        <v>1.67E-51</v>
      </c>
      <c r="G9231" s="3">
        <v>437</v>
      </c>
      <c r="H9231" s="3">
        <v>86</v>
      </c>
      <c r="I9231" s="3">
        <v>90</v>
      </c>
      <c r="J9231" s="3">
        <v>460</v>
      </c>
      <c r="K9231" s="3">
        <v>729</v>
      </c>
      <c r="L9231" s="3">
        <v>54</v>
      </c>
      <c r="M9231" s="3">
        <v>143</v>
      </c>
    </row>
    <row r="9232" spans="1:13" x14ac:dyDescent="0.25">
      <c r="A9232" s="1" t="str">
        <f>HYPERLINK("http://www.rosaceae.org/Prunus/Prunus_persica/p.persica_gdr_reftransV1_0016133","p.persica_gdr_reftransV1_0016133")</f>
        <v>p.persica_gdr_reftransV1_0016133</v>
      </c>
      <c r="B9232" s="3">
        <v>1592</v>
      </c>
      <c r="C9232" s="1" t="str">
        <f>HYPERLINK("http://www.uniprot.org/uniprot/EXOL5_ARATH","EXOL5_ARATH")</f>
        <v>EXOL5_ARATH</v>
      </c>
      <c r="D9232" t="s">
        <v>6941</v>
      </c>
      <c r="E9232" s="3" t="s">
        <v>3</v>
      </c>
      <c r="F9232" s="4">
        <v>6.4299999999999997E-157</v>
      </c>
      <c r="G9232" s="3">
        <v>1180</v>
      </c>
      <c r="H9232" s="3">
        <v>78</v>
      </c>
      <c r="I9232" s="3">
        <v>314</v>
      </c>
      <c r="J9232" s="3">
        <v>437</v>
      </c>
      <c r="K9232" s="3">
        <v>1372</v>
      </c>
      <c r="L9232" s="3">
        <v>52</v>
      </c>
      <c r="M9232" s="3">
        <v>363</v>
      </c>
    </row>
    <row r="9233" spans="1:13" x14ac:dyDescent="0.25">
      <c r="A9233" s="1" t="str">
        <f>HYPERLINK("http://www.rosaceae.org/Prunus/Prunus_persica/p.persica_gdr_reftransV1_0016183","p.persica_gdr_reftransV1_0016183")</f>
        <v>p.persica_gdr_reftransV1_0016183</v>
      </c>
      <c r="B9233" s="3">
        <v>1728</v>
      </c>
      <c r="C9233" s="1" t="str">
        <f>HYPERLINK("http://www.uniprot.org/uniprot/TIF3B_ARATH","TIF3B_ARATH")</f>
        <v>TIF3B_ARATH</v>
      </c>
      <c r="D9233" t="s">
        <v>4450</v>
      </c>
      <c r="E9233" s="3" t="s">
        <v>3</v>
      </c>
      <c r="F9233" s="4">
        <v>5.9899999999999996E-25</v>
      </c>
      <c r="G9233" s="3">
        <v>266</v>
      </c>
      <c r="H9233" s="3">
        <v>52</v>
      </c>
      <c r="I9233" s="3">
        <v>124</v>
      </c>
      <c r="J9233" s="3">
        <v>511</v>
      </c>
      <c r="K9233" s="3">
        <v>876</v>
      </c>
      <c r="L9233" s="3">
        <v>55</v>
      </c>
      <c r="M9233" s="3">
        <v>172</v>
      </c>
    </row>
    <row r="9234" spans="1:13" x14ac:dyDescent="0.25">
      <c r="A9234" s="1" t="str">
        <f>HYPERLINK("http://www.rosaceae.org/Prunus/Prunus_persica/p.persica_gdr_reftransV1_0016333","p.persica_gdr_reftransV1_0016333")</f>
        <v>p.persica_gdr_reftransV1_0016333</v>
      </c>
      <c r="B9234" s="3">
        <v>3453</v>
      </c>
      <c r="C9234" s="1" t="str">
        <f>HYPERLINK("http://www.uniprot.org/uniprot/MYOB2_ARATH","MYOB2_ARATH")</f>
        <v>MYOB2_ARATH</v>
      </c>
      <c r="D9234" t="s">
        <v>6942</v>
      </c>
      <c r="E9234" s="3" t="s">
        <v>3</v>
      </c>
      <c r="F9234" s="4">
        <v>1.6300000000000001E-15</v>
      </c>
      <c r="G9234" s="3">
        <v>210</v>
      </c>
      <c r="H9234" s="3">
        <v>48</v>
      </c>
      <c r="I9234" s="3">
        <v>119</v>
      </c>
      <c r="J9234" s="3">
        <v>1781</v>
      </c>
      <c r="K9234" s="3">
        <v>2131</v>
      </c>
      <c r="L9234" s="3">
        <v>412</v>
      </c>
      <c r="M9234" s="3">
        <v>525</v>
      </c>
    </row>
    <row r="9235" spans="1:13" x14ac:dyDescent="0.25">
      <c r="A9235" s="1" t="str">
        <f>HYPERLINK("http://www.rosaceae.org/Prunus/Prunus_persica/p.persica_gdr_reftransV1_0016383","p.persica_gdr_reftransV1_0016383")</f>
        <v>p.persica_gdr_reftransV1_0016383</v>
      </c>
      <c r="B9235" s="3">
        <v>1543</v>
      </c>
      <c r="C9235" s="1" t="str">
        <f>HYPERLINK("http://www.uniprot.org/uniprot/CXE13_ARATH","CXE13_ARATH")</f>
        <v>CXE13_ARATH</v>
      </c>
      <c r="D9235" t="s">
        <v>2286</v>
      </c>
      <c r="E9235" s="3" t="s">
        <v>3</v>
      </c>
      <c r="F9235" s="4">
        <v>5.6399999999999997E-109</v>
      </c>
      <c r="G9235" s="3">
        <v>857</v>
      </c>
      <c r="H9235" s="3">
        <v>53</v>
      </c>
      <c r="I9235" s="3">
        <v>324</v>
      </c>
      <c r="J9235" s="3">
        <v>230</v>
      </c>
      <c r="K9235" s="3">
        <v>1168</v>
      </c>
      <c r="L9235" s="3">
        <v>2</v>
      </c>
      <c r="M9235" s="3">
        <v>325</v>
      </c>
    </row>
    <row r="9236" spans="1:13" x14ac:dyDescent="0.25">
      <c r="A9236" s="1" t="str">
        <f>HYPERLINK("http://www.rosaceae.org/Prunus/Prunus_persica/p.persica_gdr_reftransV1_0016433","p.persica_gdr_reftransV1_0016433")</f>
        <v>p.persica_gdr_reftransV1_0016433</v>
      </c>
      <c r="B9236" s="3">
        <v>1022</v>
      </c>
      <c r="C9236" s="1" t="str">
        <f>HYPERLINK("http://www.uniprot.org/uniprot/NACA_PINTA","NACA_PINTA")</f>
        <v>NACA_PINTA</v>
      </c>
      <c r="D9236" t="s">
        <v>0</v>
      </c>
      <c r="E9236" s="3" t="s">
        <v>1</v>
      </c>
      <c r="F9236" s="4">
        <v>2.8000000000000001E-76</v>
      </c>
      <c r="G9236" s="3">
        <v>611</v>
      </c>
      <c r="H9236" s="3">
        <v>85</v>
      </c>
      <c r="I9236" s="3">
        <v>157</v>
      </c>
      <c r="J9236" s="3">
        <v>331</v>
      </c>
      <c r="K9236" s="3">
        <v>798</v>
      </c>
      <c r="L9236" s="3">
        <v>50</v>
      </c>
      <c r="M9236" s="3">
        <v>204</v>
      </c>
    </row>
    <row r="9237" spans="1:13" x14ac:dyDescent="0.25">
      <c r="A9237" s="1" t="str">
        <f>HYPERLINK("http://www.rosaceae.org/Prunus/Prunus_persica/p.persica_gdr_reftransV1_0016483","p.persica_gdr_reftransV1_0016483")</f>
        <v>p.persica_gdr_reftransV1_0016483</v>
      </c>
      <c r="B9237" s="3">
        <v>1307</v>
      </c>
      <c r="C9237" s="1" t="str">
        <f>HYPERLINK("http://www.uniprot.org/uniprot/NOL_ARATH","NOL_ARATH")</f>
        <v>NOL_ARATH</v>
      </c>
      <c r="D9237" t="s">
        <v>6943</v>
      </c>
      <c r="E9237" s="3" t="s">
        <v>3</v>
      </c>
      <c r="F9237" s="4">
        <v>6.5199999999999999E-134</v>
      </c>
      <c r="G9237" s="3">
        <v>1017</v>
      </c>
      <c r="H9237" s="3">
        <v>72</v>
      </c>
      <c r="I9237" s="3">
        <v>282</v>
      </c>
      <c r="J9237" s="3">
        <v>374</v>
      </c>
      <c r="K9237" s="3">
        <v>1204</v>
      </c>
      <c r="L9237" s="3">
        <v>26</v>
      </c>
      <c r="M9237" s="3">
        <v>290</v>
      </c>
    </row>
    <row r="9238" spans="1:13" x14ac:dyDescent="0.25">
      <c r="A9238" s="1" t="str">
        <f>HYPERLINK("http://www.rosaceae.org/Prunus/Prunus_persica/p.persica_gdr_reftransV1_0016533","p.persica_gdr_reftransV1_0016533")</f>
        <v>p.persica_gdr_reftransV1_0016533</v>
      </c>
      <c r="B9238" s="3">
        <v>1918</v>
      </c>
      <c r="C9238" s="1" t="str">
        <f>HYPERLINK("http://www.uniprot.org/uniprot/Y3905_ARATH","Y3905_ARATH")</f>
        <v>Y3905_ARATH</v>
      </c>
      <c r="D9238" t="s">
        <v>6944</v>
      </c>
      <c r="E9238" s="3" t="s">
        <v>3</v>
      </c>
      <c r="F9238" s="4">
        <v>2.3999999999999999E-47</v>
      </c>
      <c r="G9238" s="3">
        <v>451</v>
      </c>
      <c r="H9238" s="3">
        <v>42</v>
      </c>
      <c r="I9238" s="3">
        <v>504</v>
      </c>
      <c r="J9238" s="3">
        <v>116</v>
      </c>
      <c r="K9238" s="3">
        <v>1621</v>
      </c>
      <c r="L9238" s="3">
        <v>3</v>
      </c>
      <c r="M9238" s="3">
        <v>452</v>
      </c>
    </row>
    <row r="9239" spans="1:13" x14ac:dyDescent="0.25">
      <c r="A9239" s="1" t="str">
        <f>HYPERLINK("http://www.rosaceae.org/Prunus/Prunus_persica/p.persica_gdr_reftransV1_0016633","p.persica_gdr_reftransV1_0016633")</f>
        <v>p.persica_gdr_reftransV1_0016633</v>
      </c>
      <c r="B9239" s="3">
        <v>2319</v>
      </c>
      <c r="C9239" s="1" t="str">
        <f>HYPERLINK("http://www.uniprot.org/uniprot/TT12_ARATH","TT12_ARATH")</f>
        <v>TT12_ARATH</v>
      </c>
      <c r="D9239" t="s">
        <v>353</v>
      </c>
      <c r="E9239" s="3" t="s">
        <v>3</v>
      </c>
      <c r="F9239" s="4">
        <v>2.0500000000000001E-96</v>
      </c>
      <c r="G9239" s="3">
        <v>808</v>
      </c>
      <c r="H9239" s="3">
        <v>41</v>
      </c>
      <c r="I9239" s="3">
        <v>486</v>
      </c>
      <c r="J9239" s="3">
        <v>198</v>
      </c>
      <c r="K9239" s="3">
        <v>1616</v>
      </c>
      <c r="L9239" s="3">
        <v>1</v>
      </c>
      <c r="M9239" s="3">
        <v>485</v>
      </c>
    </row>
    <row r="9240" spans="1:13" x14ac:dyDescent="0.25">
      <c r="A9240" s="1" t="str">
        <f>HYPERLINK("http://www.rosaceae.org/Prunus/Prunus_persica/p.persica_gdr_reftransV1_0016783","p.persica_gdr_reftransV1_0016783")</f>
        <v>p.persica_gdr_reftransV1_0016783</v>
      </c>
      <c r="B9240" s="3">
        <v>881</v>
      </c>
      <c r="C9240" s="1" t="str">
        <f>HYPERLINK("http://www.uniprot.org/uniprot/SKP1A_ARATH","SKP1A_ARATH")</f>
        <v>SKP1A_ARATH</v>
      </c>
      <c r="D9240" t="s">
        <v>6945</v>
      </c>
      <c r="E9240" s="3" t="s">
        <v>3</v>
      </c>
      <c r="F9240" s="4">
        <v>2.8499999999999998E-75</v>
      </c>
      <c r="G9240" s="3">
        <v>596</v>
      </c>
      <c r="H9240" s="3">
        <v>83</v>
      </c>
      <c r="I9240" s="3">
        <v>149</v>
      </c>
      <c r="J9240" s="3">
        <v>178</v>
      </c>
      <c r="K9240" s="3">
        <v>606</v>
      </c>
      <c r="L9240" s="3">
        <v>12</v>
      </c>
      <c r="M9240" s="3">
        <v>160</v>
      </c>
    </row>
    <row r="9241" spans="1:13" x14ac:dyDescent="0.25">
      <c r="A9241" s="1" t="str">
        <f>HYPERLINK("http://www.rosaceae.org/Prunus/Prunus_persica/p.persica_gdr_reftransV1_0016933","p.persica_gdr_reftransV1_0016933")</f>
        <v>p.persica_gdr_reftransV1_0016933</v>
      </c>
      <c r="B9241" s="3">
        <v>1398</v>
      </c>
      <c r="C9241" s="1" t="str">
        <f>HYPERLINK("http://www.uniprot.org/uniprot/FB244_ARATH","FB244_ARATH")</f>
        <v>FB244_ARATH</v>
      </c>
      <c r="D9241" t="s">
        <v>6946</v>
      </c>
      <c r="E9241" s="3" t="s">
        <v>3</v>
      </c>
      <c r="F9241" s="4">
        <v>2.19E-11</v>
      </c>
      <c r="G9241" s="3">
        <v>168</v>
      </c>
      <c r="H9241" s="3">
        <v>27</v>
      </c>
      <c r="I9241" s="3">
        <v>183</v>
      </c>
      <c r="J9241" s="3">
        <v>5</v>
      </c>
      <c r="K9241" s="3">
        <v>529</v>
      </c>
      <c r="L9241" s="3">
        <v>211</v>
      </c>
      <c r="M9241" s="3">
        <v>363</v>
      </c>
    </row>
    <row r="9242" spans="1:13" x14ac:dyDescent="0.25">
      <c r="A9242" s="1" t="str">
        <f>HYPERLINK("http://www.rosaceae.org/Prunus/Prunus_persica/p.persica_gdr_reftransV1_0017283","p.persica_gdr_reftransV1_0017283")</f>
        <v>p.persica_gdr_reftransV1_0017283</v>
      </c>
      <c r="B9242" s="3">
        <v>1587</v>
      </c>
      <c r="C9242" s="1" t="str">
        <f>HYPERLINK("http://www.uniprot.org/uniprot/DRIP2_ARATH","DRIP2_ARATH")</f>
        <v>DRIP2_ARATH</v>
      </c>
      <c r="D9242" t="s">
        <v>4270</v>
      </c>
      <c r="E9242" s="3" t="s">
        <v>3</v>
      </c>
      <c r="F9242" s="4">
        <v>6.9599999999999998E-123</v>
      </c>
      <c r="G9242" s="3">
        <v>959</v>
      </c>
      <c r="H9242" s="3">
        <v>48</v>
      </c>
      <c r="I9242" s="3">
        <v>461</v>
      </c>
      <c r="J9242" s="3">
        <v>12</v>
      </c>
      <c r="K9242" s="3">
        <v>1388</v>
      </c>
      <c r="L9242" s="3">
        <v>2</v>
      </c>
      <c r="M9242" s="3">
        <v>415</v>
      </c>
    </row>
    <row r="9243" spans="1:13" x14ac:dyDescent="0.25">
      <c r="A9243" s="1" t="str">
        <f>HYPERLINK("http://www.rosaceae.org/Prunus/Prunus_persica/p.persica_gdr_reftransV1_0017333","p.persica_gdr_reftransV1_0017333")</f>
        <v>p.persica_gdr_reftransV1_0017333</v>
      </c>
      <c r="B9243" s="3">
        <v>3627</v>
      </c>
      <c r="C9243" s="1" t="str">
        <f>HYPERLINK("http://www.uniprot.org/uniprot/FB348_ARATH","FB348_ARATH")</f>
        <v>FB348_ARATH</v>
      </c>
      <c r="D9243" t="s">
        <v>6947</v>
      </c>
      <c r="E9243" s="3" t="s">
        <v>3</v>
      </c>
      <c r="F9243" s="4">
        <v>1.7500000000000001E-19</v>
      </c>
      <c r="G9243" s="3">
        <v>244</v>
      </c>
      <c r="H9243" s="3">
        <v>36</v>
      </c>
      <c r="I9243" s="3">
        <v>201</v>
      </c>
      <c r="J9243" s="3">
        <v>1069</v>
      </c>
      <c r="K9243" s="3">
        <v>1662</v>
      </c>
      <c r="L9243" s="3">
        <v>283</v>
      </c>
      <c r="M9243" s="3">
        <v>454</v>
      </c>
    </row>
    <row r="9244" spans="1:13" x14ac:dyDescent="0.25">
      <c r="A9244" s="1" t="str">
        <f>HYPERLINK("http://www.rosaceae.org/Prunus/Prunus_persica/p.persica_gdr_reftransV1_0017383","p.persica_gdr_reftransV1_0017383")</f>
        <v>p.persica_gdr_reftransV1_0017383</v>
      </c>
      <c r="B9244" s="3">
        <v>823</v>
      </c>
      <c r="C9244" s="1" t="str">
        <f>HYPERLINK("http://www.uniprot.org/uniprot/PP296_ARATH","PP296_ARATH")</f>
        <v>PP296_ARATH</v>
      </c>
      <c r="D9244" t="s">
        <v>6136</v>
      </c>
      <c r="E9244" s="3" t="s">
        <v>3</v>
      </c>
      <c r="F9244" s="4">
        <v>7.8299999999999996E-85</v>
      </c>
      <c r="G9244" s="3">
        <v>712</v>
      </c>
      <c r="H9244" s="3">
        <v>52</v>
      </c>
      <c r="I9244" s="3">
        <v>262</v>
      </c>
      <c r="J9244" s="3">
        <v>1</v>
      </c>
      <c r="K9244" s="3">
        <v>786</v>
      </c>
      <c r="L9244" s="3">
        <v>332</v>
      </c>
      <c r="M9244" s="3">
        <v>593</v>
      </c>
    </row>
    <row r="9245" spans="1:13" x14ac:dyDescent="0.25">
      <c r="A9245" s="1" t="str">
        <f>HYPERLINK("http://www.rosaceae.org/Prunus/Prunus_persica/p.persica_gdr_reftransV1_0017433","p.persica_gdr_reftransV1_0017433")</f>
        <v>p.persica_gdr_reftransV1_0017433</v>
      </c>
      <c r="B9245" s="3">
        <v>1084</v>
      </c>
      <c r="C9245" s="1" t="str">
        <f>HYPERLINK("http://www.uniprot.org/uniprot/PLDA1_RICCO","PLDA1_RICCO")</f>
        <v>PLDA1_RICCO</v>
      </c>
      <c r="D9245" t="s">
        <v>6173</v>
      </c>
      <c r="E9245" s="3" t="s">
        <v>421</v>
      </c>
      <c r="F9245" s="4">
        <v>0</v>
      </c>
      <c r="G9245" s="3">
        <v>1366</v>
      </c>
      <c r="H9245" s="3">
        <v>79</v>
      </c>
      <c r="I9245" s="3">
        <v>317</v>
      </c>
      <c r="J9245" s="3">
        <v>3</v>
      </c>
      <c r="K9245" s="3">
        <v>953</v>
      </c>
      <c r="L9245" s="3">
        <v>492</v>
      </c>
      <c r="M9245" s="3">
        <v>808</v>
      </c>
    </row>
    <row r="9246" spans="1:13" x14ac:dyDescent="0.25">
      <c r="A9246" s="1" t="str">
        <f>HYPERLINK("http://www.rosaceae.org/Prunus/Prunus_persica/p.persica_gdr_reftransV1_0017633","p.persica_gdr_reftransV1_0017633")</f>
        <v>p.persica_gdr_reftransV1_0017633</v>
      </c>
      <c r="B9246" s="3">
        <v>2784</v>
      </c>
      <c r="C9246" s="1" t="str">
        <f>HYPERLINK("http://www.uniprot.org/uniprot/RER5_ARATH","RER5_ARATH")</f>
        <v>RER5_ARATH</v>
      </c>
      <c r="D9246" t="s">
        <v>6948</v>
      </c>
      <c r="E9246" s="3" t="s">
        <v>3</v>
      </c>
      <c r="F9246" s="4">
        <v>0</v>
      </c>
      <c r="G9246" s="3">
        <v>2333</v>
      </c>
      <c r="H9246" s="3">
        <v>74</v>
      </c>
      <c r="I9246" s="3">
        <v>627</v>
      </c>
      <c r="J9246" s="3">
        <v>694</v>
      </c>
      <c r="K9246" s="3">
        <v>2574</v>
      </c>
      <c r="L9246" s="3">
        <v>115</v>
      </c>
      <c r="M9246" s="3">
        <v>735</v>
      </c>
    </row>
    <row r="9247" spans="1:13" x14ac:dyDescent="0.25">
      <c r="A9247" s="1" t="str">
        <f>HYPERLINK("http://www.rosaceae.org/Prunus/Prunus_persica/p.persica_gdr_reftransV1_0017783","p.persica_gdr_reftransV1_0017783")</f>
        <v>p.persica_gdr_reftransV1_0017783</v>
      </c>
      <c r="B9247" s="3">
        <v>3932</v>
      </c>
      <c r="C9247" s="1" t="str">
        <f>HYPERLINK("http://www.uniprot.org/uniprot/PUB62_ARATH","PUB62_ARATH")</f>
        <v>PUB62_ARATH</v>
      </c>
      <c r="D9247" t="s">
        <v>6949</v>
      </c>
      <c r="E9247" s="3" t="s">
        <v>3</v>
      </c>
      <c r="F9247" s="4">
        <v>3.5200000000000001E-20</v>
      </c>
      <c r="G9247" s="3">
        <v>242</v>
      </c>
      <c r="H9247" s="3">
        <v>41</v>
      </c>
      <c r="I9247" s="3">
        <v>152</v>
      </c>
      <c r="J9247" s="3">
        <v>609</v>
      </c>
      <c r="K9247" s="3">
        <v>1061</v>
      </c>
      <c r="L9247" s="3">
        <v>221</v>
      </c>
      <c r="M9247" s="3">
        <v>361</v>
      </c>
    </row>
    <row r="9248" spans="1:13" x14ac:dyDescent="0.25">
      <c r="A9248" s="1" t="str">
        <f>HYPERLINK("http://www.rosaceae.org/Prunus/Prunus_persica/p.persica_gdr_reftransV1_0018033","p.persica_gdr_reftransV1_0018033")</f>
        <v>p.persica_gdr_reftransV1_0018033</v>
      </c>
      <c r="B9248" s="3">
        <v>719</v>
      </c>
      <c r="C9248" s="1" t="str">
        <f>HYPERLINK("http://www.uniprot.org/uniprot/TTC1_HUMAN","TTC1_HUMAN")</f>
        <v>TTC1_HUMAN</v>
      </c>
      <c r="D9248" t="s">
        <v>349</v>
      </c>
      <c r="E9248" s="3" t="s">
        <v>28</v>
      </c>
      <c r="F9248" s="4">
        <v>1.5300000000000001E-11</v>
      </c>
      <c r="G9248" s="3">
        <v>160</v>
      </c>
      <c r="H9248" s="3">
        <v>33</v>
      </c>
      <c r="I9248" s="3">
        <v>147</v>
      </c>
      <c r="J9248" s="3">
        <v>315</v>
      </c>
      <c r="K9248" s="3">
        <v>713</v>
      </c>
      <c r="L9248" s="3">
        <v>72</v>
      </c>
      <c r="M9248" s="3">
        <v>216</v>
      </c>
    </row>
    <row r="9249" spans="1:13" x14ac:dyDescent="0.25">
      <c r="A9249" s="1" t="str">
        <f>HYPERLINK("http://www.rosaceae.org/Prunus/Prunus_persica/p.persica_gdr_reftransV1_0018233","p.persica_gdr_reftransV1_0018233")</f>
        <v>p.persica_gdr_reftransV1_0018233</v>
      </c>
      <c r="B9249" s="3">
        <v>2266</v>
      </c>
      <c r="C9249" s="1" t="str">
        <f>HYPERLINK("http://www.uniprot.org/uniprot/C3H5_ARATH","C3H5_ARATH")</f>
        <v>C3H5_ARATH</v>
      </c>
      <c r="D9249" t="s">
        <v>6950</v>
      </c>
      <c r="E9249" s="3" t="s">
        <v>3</v>
      </c>
      <c r="F9249" s="4">
        <v>8.8400000000000003E-74</v>
      </c>
      <c r="G9249" s="3">
        <v>665</v>
      </c>
      <c r="H9249" s="3">
        <v>76</v>
      </c>
      <c r="I9249" s="3">
        <v>156</v>
      </c>
      <c r="J9249" s="3">
        <v>1</v>
      </c>
      <c r="K9249" s="3">
        <v>468</v>
      </c>
      <c r="L9249" s="3">
        <v>294</v>
      </c>
      <c r="M9249" s="3">
        <v>447</v>
      </c>
    </row>
    <row r="9250" spans="1:13" x14ac:dyDescent="0.25">
      <c r="A9250" s="1" t="str">
        <f>HYPERLINK("http://www.rosaceae.org/Prunus/Prunus_persica/p.persica_gdr_reftransV1_0018283","p.persica_gdr_reftransV1_0018283")</f>
        <v>p.persica_gdr_reftransV1_0018283</v>
      </c>
      <c r="B9250" s="3">
        <v>1122</v>
      </c>
      <c r="C9250" s="1" t="str">
        <f>HYPERLINK("http://www.uniprot.org/uniprot/RL7A_ORYSJ","RL7A_ORYSJ")</f>
        <v>RL7A_ORYSJ</v>
      </c>
      <c r="D9250" t="s">
        <v>3339</v>
      </c>
      <c r="E9250" s="3" t="s">
        <v>38</v>
      </c>
      <c r="F9250" s="4">
        <v>5.6299999999999999E-147</v>
      </c>
      <c r="G9250" s="3">
        <v>1088</v>
      </c>
      <c r="H9250" s="3">
        <v>91</v>
      </c>
      <c r="I9250" s="3">
        <v>258</v>
      </c>
      <c r="J9250" s="3">
        <v>46</v>
      </c>
      <c r="K9250" s="3">
        <v>819</v>
      </c>
      <c r="L9250" s="3">
        <v>1</v>
      </c>
      <c r="M9250" s="3">
        <v>258</v>
      </c>
    </row>
    <row r="9251" spans="1:13" x14ac:dyDescent="0.25">
      <c r="A9251" s="1" t="str">
        <f>HYPERLINK("http://www.rosaceae.org/Prunus/Prunus_persica/p.persica_gdr_reftransV1_0018333","p.persica_gdr_reftransV1_0018333")</f>
        <v>p.persica_gdr_reftransV1_0018333</v>
      </c>
      <c r="B9251" s="3">
        <v>923</v>
      </c>
      <c r="C9251" s="1" t="str">
        <f>HYPERLINK("http://www.uniprot.org/uniprot/TPL_ARATH","TPL_ARATH")</f>
        <v>TPL_ARATH</v>
      </c>
      <c r="D9251" t="s">
        <v>5349</v>
      </c>
      <c r="E9251" s="3" t="s">
        <v>3</v>
      </c>
      <c r="F9251" s="4">
        <v>2.1999999999999999E-115</v>
      </c>
      <c r="G9251" s="3">
        <v>936</v>
      </c>
      <c r="H9251" s="3">
        <v>98</v>
      </c>
      <c r="I9251" s="3">
        <v>177</v>
      </c>
      <c r="J9251" s="3">
        <v>211</v>
      </c>
      <c r="K9251" s="3">
        <v>741</v>
      </c>
      <c r="L9251" s="3">
        <v>1</v>
      </c>
      <c r="M9251" s="3">
        <v>177</v>
      </c>
    </row>
    <row r="9252" spans="1:13" x14ac:dyDescent="0.25">
      <c r="A9252" s="1" t="str">
        <f>HYPERLINK("http://www.rosaceae.org/Prunus/Prunus_persica/p.persica_gdr_reftransV1_0018433","p.persica_gdr_reftransV1_0018433")</f>
        <v>p.persica_gdr_reftransV1_0018433</v>
      </c>
      <c r="B9252" s="3">
        <v>1207</v>
      </c>
      <c r="C9252" s="1" t="str">
        <f>HYPERLINK("http://www.uniprot.org/uniprot/NRPE7_ARATH","NRPE7_ARATH")</f>
        <v>NRPE7_ARATH</v>
      </c>
      <c r="D9252" t="s">
        <v>6951</v>
      </c>
      <c r="E9252" s="3" t="s">
        <v>3</v>
      </c>
      <c r="F9252" s="4">
        <v>4.8199999999999999E-48</v>
      </c>
      <c r="G9252" s="3">
        <v>423</v>
      </c>
      <c r="H9252" s="3">
        <v>44</v>
      </c>
      <c r="I9252" s="3">
        <v>179</v>
      </c>
      <c r="J9252" s="3">
        <v>250</v>
      </c>
      <c r="K9252" s="3">
        <v>786</v>
      </c>
      <c r="L9252" s="3">
        <v>1</v>
      </c>
      <c r="M9252" s="3">
        <v>176</v>
      </c>
    </row>
    <row r="9253" spans="1:13" x14ac:dyDescent="0.25">
      <c r="A9253" s="1" t="str">
        <f>HYPERLINK("http://www.rosaceae.org/Prunus/Prunus_persica/p.persica_gdr_reftransV1_0018583","p.persica_gdr_reftransV1_0018583")</f>
        <v>p.persica_gdr_reftransV1_0018583</v>
      </c>
      <c r="B9253" s="3">
        <v>1854</v>
      </c>
      <c r="C9253" s="1" t="str">
        <f>HYPERLINK("http://www.uniprot.org/uniprot/CD48B_ARATH","CD48B_ARATH")</f>
        <v>CD48B_ARATH</v>
      </c>
      <c r="D9253" t="s">
        <v>6952</v>
      </c>
      <c r="E9253" s="3" t="s">
        <v>3</v>
      </c>
      <c r="F9253" s="4">
        <v>0</v>
      </c>
      <c r="G9253" s="3">
        <v>1806</v>
      </c>
      <c r="H9253" s="3">
        <v>76</v>
      </c>
      <c r="I9253" s="3">
        <v>499</v>
      </c>
      <c r="J9253" s="3">
        <v>361</v>
      </c>
      <c r="K9253" s="3">
        <v>1854</v>
      </c>
      <c r="L9253" s="3">
        <v>53</v>
      </c>
      <c r="M9253" s="3">
        <v>545</v>
      </c>
    </row>
    <row r="9254" spans="1:13" x14ac:dyDescent="0.25">
      <c r="A9254" s="1" t="str">
        <f>HYPERLINK("http://www.rosaceae.org/Prunus/Prunus_persica/p.persica_gdr_reftransV1_0018733","p.persica_gdr_reftransV1_0018733")</f>
        <v>p.persica_gdr_reftransV1_0018733</v>
      </c>
      <c r="B9254" s="3">
        <v>4399</v>
      </c>
      <c r="C9254" s="1" t="str">
        <f>HYPERLINK("http://www.uniprot.org/uniprot/DHX37_HUMAN","DHX37_HUMAN")</f>
        <v>DHX37_HUMAN</v>
      </c>
      <c r="D9254" t="s">
        <v>4897</v>
      </c>
      <c r="E9254" s="3" t="s">
        <v>28</v>
      </c>
      <c r="F9254" s="4">
        <v>2.4499999999999999E-45</v>
      </c>
      <c r="G9254" s="3">
        <v>464</v>
      </c>
      <c r="H9254" s="3">
        <v>44</v>
      </c>
      <c r="I9254" s="3">
        <v>262</v>
      </c>
      <c r="J9254" s="3">
        <v>1221</v>
      </c>
      <c r="K9254" s="3">
        <v>2006</v>
      </c>
      <c r="L9254" s="3">
        <v>252</v>
      </c>
      <c r="M9254" s="3">
        <v>491</v>
      </c>
    </row>
    <row r="9255" spans="1:13" x14ac:dyDescent="0.25">
      <c r="A9255" s="1" t="str">
        <f>HYPERLINK("http://www.rosaceae.org/Prunus/Prunus_persica/p.persica_gdr_reftransV1_0018833","p.persica_gdr_reftransV1_0018833")</f>
        <v>p.persica_gdr_reftransV1_0018833</v>
      </c>
      <c r="B9255" s="3">
        <v>1391</v>
      </c>
      <c r="C9255" s="1" t="str">
        <f>HYPERLINK("http://www.uniprot.org/uniprot/PPR6_ARATH","PPR6_ARATH")</f>
        <v>PPR6_ARATH</v>
      </c>
      <c r="D9255" t="s">
        <v>6953</v>
      </c>
      <c r="E9255" s="3" t="s">
        <v>3</v>
      </c>
      <c r="F9255" s="4">
        <v>0</v>
      </c>
      <c r="G9255" s="3">
        <v>1522</v>
      </c>
      <c r="H9255" s="3">
        <v>74</v>
      </c>
      <c r="I9255" s="3">
        <v>383</v>
      </c>
      <c r="J9255" s="3">
        <v>208</v>
      </c>
      <c r="K9255" s="3">
        <v>1353</v>
      </c>
      <c r="L9255" s="3">
        <v>411</v>
      </c>
      <c r="M9255" s="3">
        <v>792</v>
      </c>
    </row>
    <row r="9256" spans="1:13" x14ac:dyDescent="0.25">
      <c r="A9256" s="1" t="str">
        <f>HYPERLINK("http://www.rosaceae.org/Prunus/Prunus_persica/p.persica_gdr_reftransV1_0018933","p.persica_gdr_reftransV1_0018933")</f>
        <v>p.persica_gdr_reftransV1_0018933</v>
      </c>
      <c r="B9256" s="3">
        <v>891</v>
      </c>
      <c r="C9256" s="1" t="str">
        <f>HYPERLINK("http://www.uniprot.org/uniprot/TONS_ARATH","TONS_ARATH")</f>
        <v>TONS_ARATH</v>
      </c>
      <c r="D9256" t="s">
        <v>6954</v>
      </c>
      <c r="E9256" s="3" t="s">
        <v>3</v>
      </c>
      <c r="F9256" s="4">
        <v>3.4899999999999998E-10</v>
      </c>
      <c r="G9256" s="3">
        <v>116</v>
      </c>
      <c r="H9256" s="3">
        <v>49</v>
      </c>
      <c r="I9256" s="3">
        <v>51</v>
      </c>
      <c r="J9256" s="3">
        <v>188</v>
      </c>
      <c r="K9256" s="3">
        <v>331</v>
      </c>
      <c r="L9256" s="3">
        <v>1261</v>
      </c>
      <c r="M9256" s="3">
        <v>1311</v>
      </c>
    </row>
    <row r="9257" spans="1:13" x14ac:dyDescent="0.25">
      <c r="A9257" s="1" t="str">
        <f>HYPERLINK("http://www.rosaceae.org/Prunus/Prunus_persica/p.persica_gdr_reftransV1_0019083","p.persica_gdr_reftransV1_0019083")</f>
        <v>p.persica_gdr_reftransV1_0019083</v>
      </c>
      <c r="B9257" s="3">
        <v>1549</v>
      </c>
      <c r="C9257" s="1" t="str">
        <f>HYPERLINK("http://www.uniprot.org/uniprot/PPR87_ARATH","PPR87_ARATH")</f>
        <v>PPR87_ARATH</v>
      </c>
      <c r="D9257" t="s">
        <v>41</v>
      </c>
      <c r="E9257" s="3" t="s">
        <v>3</v>
      </c>
      <c r="F9257" s="4">
        <v>3.3099999999999998E-162</v>
      </c>
      <c r="G9257" s="3">
        <v>1219</v>
      </c>
      <c r="H9257" s="3">
        <v>58</v>
      </c>
      <c r="I9257" s="3">
        <v>394</v>
      </c>
      <c r="J9257" s="3">
        <v>302</v>
      </c>
      <c r="K9257" s="3">
        <v>1456</v>
      </c>
      <c r="L9257" s="3">
        <v>15</v>
      </c>
      <c r="M9257" s="3">
        <v>408</v>
      </c>
    </row>
    <row r="9258" spans="1:13" x14ac:dyDescent="0.25">
      <c r="A9258" s="1" t="str">
        <f>HYPERLINK("http://www.rosaceae.org/Prunus/Prunus_persica/p.persica_gdr_reftransV1_0019183","p.persica_gdr_reftransV1_0019183")</f>
        <v>p.persica_gdr_reftransV1_0019183</v>
      </c>
      <c r="B9258" s="3">
        <v>2405</v>
      </c>
      <c r="C9258" s="1" t="str">
        <f>HYPERLINK("http://www.uniprot.org/uniprot/YCF45_PORPU","YCF45_PORPU")</f>
        <v>YCF45_PORPU</v>
      </c>
      <c r="D9258" t="s">
        <v>693</v>
      </c>
      <c r="E9258" s="3" t="s">
        <v>694</v>
      </c>
      <c r="F9258" s="4">
        <v>2.5899999999999999E-146</v>
      </c>
      <c r="G9258" s="3">
        <v>1154</v>
      </c>
      <c r="H9258" s="3">
        <v>44</v>
      </c>
      <c r="I9258" s="3">
        <v>551</v>
      </c>
      <c r="J9258" s="3">
        <v>388</v>
      </c>
      <c r="K9258" s="3">
        <v>1971</v>
      </c>
      <c r="L9258" s="3">
        <v>18</v>
      </c>
      <c r="M9258" s="3">
        <v>564</v>
      </c>
    </row>
    <row r="9259" spans="1:13" x14ac:dyDescent="0.25">
      <c r="A9259" s="1" t="str">
        <f>HYPERLINK("http://www.rosaceae.org/Prunus/Prunus_persica/p.persica_gdr_reftransV1_0019433","p.persica_gdr_reftransV1_0019433")</f>
        <v>p.persica_gdr_reftransV1_0019433</v>
      </c>
      <c r="B9259" s="3">
        <v>1567</v>
      </c>
      <c r="C9259" s="1" t="str">
        <f>HYPERLINK("http://www.uniprot.org/uniprot/FH1_ARATH","FH1_ARATH")</f>
        <v>FH1_ARATH</v>
      </c>
      <c r="D9259" t="s">
        <v>6955</v>
      </c>
      <c r="E9259" s="3" t="s">
        <v>3</v>
      </c>
      <c r="F9259" s="4">
        <v>1.37E-9</v>
      </c>
      <c r="G9259" s="3">
        <v>156</v>
      </c>
      <c r="H9259" s="3">
        <v>39</v>
      </c>
      <c r="I9259" s="3">
        <v>201</v>
      </c>
      <c r="J9259" s="3">
        <v>379</v>
      </c>
      <c r="K9259" s="3">
        <v>957</v>
      </c>
      <c r="L9259" s="3">
        <v>89</v>
      </c>
      <c r="M9259" s="3">
        <v>270</v>
      </c>
    </row>
    <row r="9260" spans="1:13" x14ac:dyDescent="0.25">
      <c r="A9260" s="1" t="str">
        <f>HYPERLINK("http://www.rosaceae.org/Prunus/Prunus_persica/p.persica_gdr_reftransV1_0019683","p.persica_gdr_reftransV1_0019683")</f>
        <v>p.persica_gdr_reftransV1_0019683</v>
      </c>
      <c r="B9260" s="3">
        <v>1890</v>
      </c>
      <c r="C9260" s="1" t="str">
        <f>HYPERLINK("http://www.uniprot.org/uniprot/RNP1_ARATH","RNP1_ARATH")</f>
        <v>RNP1_ARATH</v>
      </c>
      <c r="D9260" t="s">
        <v>2083</v>
      </c>
      <c r="E9260" s="3" t="s">
        <v>3</v>
      </c>
      <c r="F9260" s="4">
        <v>9.5200000000000007E-86</v>
      </c>
      <c r="G9260" s="3">
        <v>717</v>
      </c>
      <c r="H9260" s="3">
        <v>66</v>
      </c>
      <c r="I9260" s="3">
        <v>214</v>
      </c>
      <c r="J9260" s="3">
        <v>1109</v>
      </c>
      <c r="K9260" s="3">
        <v>1741</v>
      </c>
      <c r="L9260" s="3">
        <v>19</v>
      </c>
      <c r="M9260" s="3">
        <v>232</v>
      </c>
    </row>
    <row r="9261" spans="1:13" x14ac:dyDescent="0.25">
      <c r="A9261" s="1" t="str">
        <f>HYPERLINK("http://www.rosaceae.org/Prunus/Prunus_persica/p.persica_gdr_reftransV1_0019833","p.persica_gdr_reftransV1_0019833")</f>
        <v>p.persica_gdr_reftransV1_0019833</v>
      </c>
      <c r="B9261" s="3">
        <v>4931</v>
      </c>
      <c r="C9261" s="1" t="str">
        <f>HYPERLINK("http://www.uniprot.org/uniprot/OML2_ORYSJ","OML2_ORYSJ")</f>
        <v>OML2_ORYSJ</v>
      </c>
      <c r="D9261" t="s">
        <v>4348</v>
      </c>
      <c r="E9261" s="3" t="s">
        <v>38</v>
      </c>
      <c r="F9261" s="4">
        <v>0</v>
      </c>
      <c r="G9261" s="3">
        <v>2131</v>
      </c>
      <c r="H9261" s="3">
        <v>58</v>
      </c>
      <c r="I9261" s="3">
        <v>792</v>
      </c>
      <c r="J9261" s="3">
        <v>663</v>
      </c>
      <c r="K9261" s="3">
        <v>2990</v>
      </c>
      <c r="L9261" s="3">
        <v>55</v>
      </c>
      <c r="M9261" s="3">
        <v>819</v>
      </c>
    </row>
    <row r="9262" spans="1:13" x14ac:dyDescent="0.25">
      <c r="A9262" s="1" t="str">
        <f>HYPERLINK("http://www.rosaceae.org/Prunus/Prunus_persica/p.persica_gdr_reftransV1_0019883","p.persica_gdr_reftransV1_0019883")</f>
        <v>p.persica_gdr_reftransV1_0019883</v>
      </c>
      <c r="B9262" s="3">
        <v>2427</v>
      </c>
      <c r="C9262" s="1" t="str">
        <f>HYPERLINK("http://www.uniprot.org/uniprot/PMTF_ARATH","PMTF_ARATH")</f>
        <v>PMTF_ARATH</v>
      </c>
      <c r="D9262" t="s">
        <v>6956</v>
      </c>
      <c r="E9262" s="3" t="s">
        <v>3</v>
      </c>
      <c r="F9262" s="4">
        <v>0</v>
      </c>
      <c r="G9262" s="3">
        <v>2413</v>
      </c>
      <c r="H9262" s="3">
        <v>70</v>
      </c>
      <c r="I9262" s="3">
        <v>625</v>
      </c>
      <c r="J9262" s="3">
        <v>222</v>
      </c>
      <c r="K9262" s="3">
        <v>2087</v>
      </c>
      <c r="L9262" s="3">
        <v>7</v>
      </c>
      <c r="M9262" s="3">
        <v>631</v>
      </c>
    </row>
    <row r="9263" spans="1:13" x14ac:dyDescent="0.25">
      <c r="A9263" s="1" t="str">
        <f>HYPERLINK("http://www.rosaceae.org/Prunus/Prunus_persica/p.persica_gdr_reftransV1_0020033","p.persica_gdr_reftransV1_0020033")</f>
        <v>p.persica_gdr_reftransV1_0020033</v>
      </c>
      <c r="B9263" s="3">
        <v>1773</v>
      </c>
      <c r="C9263" s="1" t="str">
        <f>HYPERLINK("http://www.uniprot.org/uniprot/PP325_ARATH","PP325_ARATH")</f>
        <v>PP325_ARATH</v>
      </c>
      <c r="D9263" t="s">
        <v>303</v>
      </c>
      <c r="E9263" s="3" t="s">
        <v>3</v>
      </c>
      <c r="F9263" s="4">
        <v>8.6300000000000002E-161</v>
      </c>
      <c r="G9263" s="3">
        <v>1255</v>
      </c>
      <c r="H9263" s="3">
        <v>50</v>
      </c>
      <c r="I9263" s="3">
        <v>474</v>
      </c>
      <c r="J9263" s="3">
        <v>8</v>
      </c>
      <c r="K9263" s="3">
        <v>1429</v>
      </c>
      <c r="L9263" s="3">
        <v>372</v>
      </c>
      <c r="M9263" s="3">
        <v>835</v>
      </c>
    </row>
    <row r="9264" spans="1:13" x14ac:dyDescent="0.25">
      <c r="A9264" s="1" t="str">
        <f>HYPERLINK("http://www.rosaceae.org/Prunus/Prunus_persica/p.persica_gdr_reftransV1_0020183","p.persica_gdr_reftransV1_0020183")</f>
        <v>p.persica_gdr_reftransV1_0020183</v>
      </c>
      <c r="B9264" s="3">
        <v>3483</v>
      </c>
      <c r="C9264" s="1" t="str">
        <f>HYPERLINK("http://www.uniprot.org/uniprot/CKB21_ARATH","CKB21_ARATH")</f>
        <v>CKB21_ARATH</v>
      </c>
      <c r="D9264" t="s">
        <v>6957</v>
      </c>
      <c r="E9264" s="3" t="s">
        <v>3</v>
      </c>
      <c r="F9264" s="4">
        <v>9.5800000000000002E-29</v>
      </c>
      <c r="G9264" s="3">
        <v>277</v>
      </c>
      <c r="H9264" s="3">
        <v>50</v>
      </c>
      <c r="I9264" s="3">
        <v>131</v>
      </c>
      <c r="J9264" s="3">
        <v>2395</v>
      </c>
      <c r="K9264" s="3">
        <v>2787</v>
      </c>
      <c r="L9264" s="3">
        <v>207</v>
      </c>
      <c r="M9264" s="3">
        <v>304</v>
      </c>
    </row>
    <row r="9265" spans="1:13" x14ac:dyDescent="0.25">
      <c r="A9265" s="1" t="str">
        <f>HYPERLINK("http://www.rosaceae.org/Prunus/Prunus_persica/p.persica_gdr_reftransV1_0020233","p.persica_gdr_reftransV1_0020233")</f>
        <v>p.persica_gdr_reftransV1_0020233</v>
      </c>
      <c r="B9265" s="3">
        <v>581</v>
      </c>
      <c r="C9265" s="1" t="str">
        <f>HYPERLINK("http://www.uniprot.org/uniprot/PPR35_ARATH","PPR35_ARATH")</f>
        <v>PPR35_ARATH</v>
      </c>
      <c r="D9265" t="s">
        <v>6958</v>
      </c>
      <c r="E9265" s="3" t="s">
        <v>3</v>
      </c>
      <c r="F9265" s="4">
        <v>1.6600000000000001E-40</v>
      </c>
      <c r="G9265" s="3">
        <v>369</v>
      </c>
      <c r="H9265" s="3">
        <v>55</v>
      </c>
      <c r="I9265" s="3">
        <v>131</v>
      </c>
      <c r="J9265" s="3">
        <v>1</v>
      </c>
      <c r="K9265" s="3">
        <v>387</v>
      </c>
      <c r="L9265" s="3">
        <v>233</v>
      </c>
      <c r="M9265" s="3">
        <v>363</v>
      </c>
    </row>
    <row r="9266" spans="1:13" x14ac:dyDescent="0.25">
      <c r="A9266" s="1" t="str">
        <f>HYPERLINK("http://www.rosaceae.org/Prunus/Prunus_persica/p.persica_gdr_reftransV1_0020283","p.persica_gdr_reftransV1_0020283")</f>
        <v>p.persica_gdr_reftransV1_0020283</v>
      </c>
      <c r="B9266" s="3">
        <v>2310</v>
      </c>
      <c r="C9266" s="1" t="str">
        <f>HYPERLINK("http://www.uniprot.org/uniprot/HT1_ARATH","HT1_ARATH")</f>
        <v>HT1_ARATH</v>
      </c>
      <c r="D9266" t="s">
        <v>1169</v>
      </c>
      <c r="E9266" s="3" t="s">
        <v>3</v>
      </c>
      <c r="F9266" s="4">
        <v>1.2499999999999999E-58</v>
      </c>
      <c r="G9266" s="3">
        <v>532</v>
      </c>
      <c r="H9266" s="3">
        <v>34</v>
      </c>
      <c r="I9266" s="3">
        <v>346</v>
      </c>
      <c r="J9266" s="3">
        <v>906</v>
      </c>
      <c r="K9266" s="3">
        <v>1943</v>
      </c>
      <c r="L9266" s="3">
        <v>33</v>
      </c>
      <c r="M9266" s="3">
        <v>351</v>
      </c>
    </row>
    <row r="9267" spans="1:13" x14ac:dyDescent="0.25">
      <c r="A9267" s="1" t="str">
        <f>HYPERLINK("http://www.rosaceae.org/Prunus/Prunus_persica/p.persica_gdr_reftransV1_0020333","p.persica_gdr_reftransV1_0020333")</f>
        <v>p.persica_gdr_reftransV1_0020333</v>
      </c>
      <c r="B9267" s="3">
        <v>982</v>
      </c>
      <c r="C9267" s="1" t="str">
        <f>HYPERLINK("http://www.uniprot.org/uniprot/GRS17_ARATH","GRS17_ARATH")</f>
        <v>GRS17_ARATH</v>
      </c>
      <c r="D9267" t="s">
        <v>1872</v>
      </c>
      <c r="E9267" s="3" t="s">
        <v>3</v>
      </c>
      <c r="F9267" s="4">
        <v>3.0699999999999999E-45</v>
      </c>
      <c r="G9267" s="3">
        <v>419</v>
      </c>
      <c r="H9267" s="3">
        <v>43</v>
      </c>
      <c r="I9267" s="3">
        <v>242</v>
      </c>
      <c r="J9267" s="3">
        <v>91</v>
      </c>
      <c r="K9267" s="3">
        <v>681</v>
      </c>
      <c r="L9267" s="3">
        <v>1</v>
      </c>
      <c r="M9267" s="3">
        <v>239</v>
      </c>
    </row>
    <row r="9268" spans="1:13" x14ac:dyDescent="0.25">
      <c r="A9268" s="1" t="str">
        <f>HYPERLINK("http://www.rosaceae.org/Prunus/Prunus_persica/p.persica_gdr_reftransV1_0020633","p.persica_gdr_reftransV1_0020633")</f>
        <v>p.persica_gdr_reftransV1_0020633</v>
      </c>
      <c r="B9268" s="3">
        <v>2161</v>
      </c>
      <c r="C9268" s="1" t="str">
        <f>HYPERLINK("http://www.uniprot.org/uniprot/IQD14_ARATH","IQD14_ARATH")</f>
        <v>IQD14_ARATH</v>
      </c>
      <c r="D9268" t="s">
        <v>4118</v>
      </c>
      <c r="E9268" s="3" t="s">
        <v>3</v>
      </c>
      <c r="F9268" s="4">
        <v>9.8600000000000005E-105</v>
      </c>
      <c r="G9268" s="3">
        <v>874</v>
      </c>
      <c r="H9268" s="3">
        <v>54</v>
      </c>
      <c r="I9268" s="3">
        <v>420</v>
      </c>
      <c r="J9268" s="3">
        <v>752</v>
      </c>
      <c r="K9268" s="3">
        <v>1969</v>
      </c>
      <c r="L9268" s="3">
        <v>306</v>
      </c>
      <c r="M9268" s="3">
        <v>668</v>
      </c>
    </row>
    <row r="9269" spans="1:13" x14ac:dyDescent="0.25">
      <c r="A9269" s="1" t="str">
        <f>HYPERLINK("http://www.rosaceae.org/Prunus/Prunus_persica/p.persica_gdr_reftransV1_0020883","p.persica_gdr_reftransV1_0020883")</f>
        <v>p.persica_gdr_reftransV1_0020883</v>
      </c>
      <c r="B9269" s="3">
        <v>2521</v>
      </c>
      <c r="C9269" s="1" t="str">
        <f>HYPERLINK("http://www.uniprot.org/uniprot/MLO4_ARATH","MLO4_ARATH")</f>
        <v>MLO4_ARATH</v>
      </c>
      <c r="D9269" t="s">
        <v>930</v>
      </c>
      <c r="E9269" s="3" t="s">
        <v>3</v>
      </c>
      <c r="F9269" s="4">
        <v>1.64E-81</v>
      </c>
      <c r="G9269" s="3">
        <v>713</v>
      </c>
      <c r="H9269" s="3">
        <v>46</v>
      </c>
      <c r="I9269" s="3">
        <v>330</v>
      </c>
      <c r="J9269" s="3">
        <v>517</v>
      </c>
      <c r="K9269" s="3">
        <v>1500</v>
      </c>
      <c r="L9269" s="3">
        <v>80</v>
      </c>
      <c r="M9269" s="3">
        <v>367</v>
      </c>
    </row>
    <row r="9270" spans="1:13" x14ac:dyDescent="0.25">
      <c r="A9270" s="1" t="str">
        <f>HYPERLINK("http://www.rosaceae.org/Prunus/Prunus_persica/p.persica_gdr_reftransV1_0021033","p.persica_gdr_reftransV1_0021033")</f>
        <v>p.persica_gdr_reftransV1_0021033</v>
      </c>
      <c r="B9270" s="3">
        <v>1153</v>
      </c>
      <c r="C9270" s="1" t="str">
        <f>HYPERLINK("http://www.uniprot.org/uniprot/RBS_PYRPY","RBS_PYRPY")</f>
        <v>RBS_PYRPY</v>
      </c>
      <c r="D9270" t="s">
        <v>6959</v>
      </c>
      <c r="E9270" s="3" t="s">
        <v>2862</v>
      </c>
      <c r="F9270" s="4">
        <v>1.4700000000000001E-80</v>
      </c>
      <c r="G9270" s="3">
        <v>415</v>
      </c>
      <c r="H9270" s="3">
        <v>85</v>
      </c>
      <c r="I9270" s="3">
        <v>107</v>
      </c>
      <c r="J9270" s="3">
        <v>828</v>
      </c>
      <c r="K9270" s="3">
        <v>1148</v>
      </c>
      <c r="L9270" s="3">
        <v>1</v>
      </c>
      <c r="M9270" s="3">
        <v>107</v>
      </c>
    </row>
    <row r="9271" spans="1:13" x14ac:dyDescent="0.25">
      <c r="A9271" s="1" t="str">
        <f>HYPERLINK("http://www.rosaceae.org/Prunus/Prunus_persica/p.persica_gdr_reftransV1_0021083","p.persica_gdr_reftransV1_0021083")</f>
        <v>p.persica_gdr_reftransV1_0021083</v>
      </c>
      <c r="B9271" s="3">
        <v>1399</v>
      </c>
      <c r="C9271" s="1" t="str">
        <f>HYPERLINK("http://www.uniprot.org/uniprot/LON2_MYXXA","LON2_MYXXA")</f>
        <v>LON2_MYXXA</v>
      </c>
      <c r="D9271" t="s">
        <v>6960</v>
      </c>
      <c r="E9271" s="3" t="s">
        <v>6961</v>
      </c>
      <c r="F9271" s="4">
        <v>9.6800000000000004E-11</v>
      </c>
      <c r="G9271" s="3">
        <v>164</v>
      </c>
      <c r="H9271" s="3">
        <v>28</v>
      </c>
      <c r="I9271" s="3">
        <v>190</v>
      </c>
      <c r="J9271" s="3">
        <v>272</v>
      </c>
      <c r="K9271" s="3">
        <v>799</v>
      </c>
      <c r="L9271" s="3">
        <v>46</v>
      </c>
      <c r="M9271" s="3">
        <v>231</v>
      </c>
    </row>
    <row r="9272" spans="1:13" x14ac:dyDescent="0.25">
      <c r="A9272" s="1" t="str">
        <f>HYPERLINK("http://www.rosaceae.org/Prunus/Prunus_persica/p.persica_gdr_reftransV1_0021183","p.persica_gdr_reftransV1_0021183")</f>
        <v>p.persica_gdr_reftransV1_0021183</v>
      </c>
      <c r="B9272" s="3">
        <v>2826</v>
      </c>
      <c r="C9272" s="1" t="str">
        <f>HYPERLINK("http://www.uniprot.org/uniprot/MORC4_HUMAN","MORC4_HUMAN")</f>
        <v>MORC4_HUMAN</v>
      </c>
      <c r="D9272" t="s">
        <v>6962</v>
      </c>
      <c r="E9272" s="3" t="s">
        <v>28</v>
      </c>
      <c r="F9272" s="4">
        <v>2.53E-26</v>
      </c>
      <c r="G9272" s="3">
        <v>300</v>
      </c>
      <c r="H9272" s="3">
        <v>40</v>
      </c>
      <c r="I9272" s="3">
        <v>183</v>
      </c>
      <c r="J9272" s="3">
        <v>293</v>
      </c>
      <c r="K9272" s="3">
        <v>829</v>
      </c>
      <c r="L9272" s="3">
        <v>37</v>
      </c>
      <c r="M9272" s="3">
        <v>206</v>
      </c>
    </row>
    <row r="9273" spans="1:13" x14ac:dyDescent="0.25">
      <c r="A9273" s="1" t="str">
        <f>HYPERLINK("http://www.rosaceae.org/Prunus/Prunus_persica/p.persica_gdr_reftransV1_0021633","p.persica_gdr_reftransV1_0021633")</f>
        <v>p.persica_gdr_reftransV1_0021633</v>
      </c>
      <c r="B9273" s="3">
        <v>2354</v>
      </c>
      <c r="C9273" s="1" t="str">
        <f>HYPERLINK("http://www.uniprot.org/uniprot/RAF2A_ARATH","RAF2A_ARATH")</f>
        <v>RAF2A_ARATH</v>
      </c>
      <c r="D9273" t="s">
        <v>6963</v>
      </c>
      <c r="E9273" s="3" t="s">
        <v>3</v>
      </c>
      <c r="F9273" s="4">
        <v>2.49E-36</v>
      </c>
      <c r="G9273" s="3">
        <v>354</v>
      </c>
      <c r="H9273" s="3">
        <v>74</v>
      </c>
      <c r="I9273" s="3">
        <v>94</v>
      </c>
      <c r="J9273" s="3">
        <v>1974</v>
      </c>
      <c r="K9273" s="3">
        <v>2255</v>
      </c>
      <c r="L9273" s="3">
        <v>1</v>
      </c>
      <c r="M9273" s="3">
        <v>94</v>
      </c>
    </row>
    <row r="9274" spans="1:13" x14ac:dyDescent="0.25">
      <c r="A9274" s="1" t="str">
        <f>HYPERLINK("http://www.rosaceae.org/Prunus/Prunus_persica/p.persica_gdr_reftransV1_0021733","p.persica_gdr_reftransV1_0021733")</f>
        <v>p.persica_gdr_reftransV1_0021733</v>
      </c>
      <c r="B9274" s="3">
        <v>851</v>
      </c>
      <c r="C9274" s="1" t="str">
        <f>HYPERLINK("http://www.uniprot.org/uniprot/SBT4E_ARATH","SBT4E_ARATH")</f>
        <v>SBT4E_ARATH</v>
      </c>
      <c r="D9274" t="s">
        <v>4212</v>
      </c>
      <c r="E9274" s="3" t="s">
        <v>3</v>
      </c>
      <c r="F9274" s="4">
        <v>2.8500000000000001E-74</v>
      </c>
      <c r="G9274" s="3">
        <v>631</v>
      </c>
      <c r="H9274" s="3">
        <v>51</v>
      </c>
      <c r="I9274" s="3">
        <v>245</v>
      </c>
      <c r="J9274" s="3">
        <v>120</v>
      </c>
      <c r="K9274" s="3">
        <v>851</v>
      </c>
      <c r="L9274" s="3">
        <v>500</v>
      </c>
      <c r="M9274" s="3">
        <v>744</v>
      </c>
    </row>
    <row r="9275" spans="1:13" x14ac:dyDescent="0.25">
      <c r="A9275" s="1" t="str">
        <f>HYPERLINK("http://www.rosaceae.org/Prunus/Prunus_persica/p.persica_gdr_reftransV1_0021783","p.persica_gdr_reftransV1_0021783")</f>
        <v>p.persica_gdr_reftransV1_0021783</v>
      </c>
      <c r="B9275" s="3">
        <v>2311</v>
      </c>
      <c r="C9275" s="1" t="str">
        <f>HYPERLINK("http://www.uniprot.org/uniprot/NAGK_DICDI","NAGK_DICDI")</f>
        <v>NAGK_DICDI</v>
      </c>
      <c r="D9275" t="s">
        <v>6964</v>
      </c>
      <c r="E9275" s="3" t="s">
        <v>9</v>
      </c>
      <c r="F9275" s="4">
        <v>1.4499999999999999E-26</v>
      </c>
      <c r="G9275" s="3">
        <v>289</v>
      </c>
      <c r="H9275" s="3">
        <v>33</v>
      </c>
      <c r="I9275" s="3">
        <v>213</v>
      </c>
      <c r="J9275" s="3">
        <v>1405</v>
      </c>
      <c r="K9275" s="3">
        <v>2022</v>
      </c>
      <c r="L9275" s="3">
        <v>4</v>
      </c>
      <c r="M9275" s="3">
        <v>207</v>
      </c>
    </row>
    <row r="9276" spans="1:13" x14ac:dyDescent="0.25">
      <c r="A9276" s="1" t="str">
        <f>HYPERLINK("http://www.rosaceae.org/Prunus/Prunus_persica/p.persica_gdr_reftransV1_0022133","p.persica_gdr_reftransV1_0022133")</f>
        <v>p.persica_gdr_reftransV1_0022133</v>
      </c>
      <c r="B9276" s="3">
        <v>2140</v>
      </c>
      <c r="C9276" s="1" t="str">
        <f>HYPERLINK("http://www.uniprot.org/uniprot/HSOP2_ARATH","HSOP2_ARATH")</f>
        <v>HSOP2_ARATH</v>
      </c>
      <c r="D9276" t="s">
        <v>6965</v>
      </c>
      <c r="E9276" s="3" t="s">
        <v>3</v>
      </c>
      <c r="F9276" s="4">
        <v>0</v>
      </c>
      <c r="G9276" s="3">
        <v>2143</v>
      </c>
      <c r="H9276" s="3">
        <v>75</v>
      </c>
      <c r="I9276" s="3">
        <v>573</v>
      </c>
      <c r="J9276" s="3">
        <v>142</v>
      </c>
      <c r="K9276" s="3">
        <v>1860</v>
      </c>
      <c r="L9276" s="3">
        <v>1</v>
      </c>
      <c r="M9276" s="3">
        <v>571</v>
      </c>
    </row>
    <row r="9277" spans="1:13" x14ac:dyDescent="0.25">
      <c r="A9277" s="1" t="str">
        <f>HYPERLINK("http://www.rosaceae.org/Prunus/Prunus_persica/p.persica_gdr_reftransV1_0022433","p.persica_gdr_reftransV1_0022433")</f>
        <v>p.persica_gdr_reftransV1_0022433</v>
      </c>
      <c r="B9277" s="3">
        <v>2225</v>
      </c>
      <c r="C9277" s="1" t="str">
        <f>HYPERLINK("http://www.uniprot.org/uniprot/GPX4_CITSI","GPX4_CITSI")</f>
        <v>GPX4_CITSI</v>
      </c>
      <c r="D9277" t="s">
        <v>1275</v>
      </c>
      <c r="E9277" s="3" t="s">
        <v>1276</v>
      </c>
      <c r="F9277" s="4">
        <v>2.3300000000000001E-91</v>
      </c>
      <c r="G9277" s="3">
        <v>740</v>
      </c>
      <c r="H9277" s="3">
        <v>86</v>
      </c>
      <c r="I9277" s="3">
        <v>161</v>
      </c>
      <c r="J9277" s="3">
        <v>1054</v>
      </c>
      <c r="K9277" s="3">
        <v>1536</v>
      </c>
      <c r="L9277" s="3">
        <v>9</v>
      </c>
      <c r="M9277" s="3">
        <v>167</v>
      </c>
    </row>
    <row r="9278" spans="1:13" x14ac:dyDescent="0.25">
      <c r="A9278" s="1" t="str">
        <f>HYPERLINK("http://www.rosaceae.org/Prunus/Prunus_persica/p.persica_gdr_reftransV1_0022883","p.persica_gdr_reftransV1_0022883")</f>
        <v>p.persica_gdr_reftransV1_0022883</v>
      </c>
      <c r="B9278" s="3">
        <v>523</v>
      </c>
      <c r="C9278" s="1" t="str">
        <f>HYPERLINK("http://www.uniprot.org/uniprot/PP128_ARATH","PP128_ARATH")</f>
        <v>PP128_ARATH</v>
      </c>
      <c r="D9278" t="s">
        <v>6966</v>
      </c>
      <c r="E9278" s="3" t="s">
        <v>3</v>
      </c>
      <c r="F9278" s="4">
        <v>3.6699999999999998E-31</v>
      </c>
      <c r="G9278" s="3">
        <v>303</v>
      </c>
      <c r="H9278" s="3">
        <v>49</v>
      </c>
      <c r="I9278" s="3">
        <v>114</v>
      </c>
      <c r="J9278" s="3">
        <v>180</v>
      </c>
      <c r="K9278" s="3">
        <v>521</v>
      </c>
      <c r="L9278" s="3">
        <v>42</v>
      </c>
      <c r="M9278" s="3">
        <v>155</v>
      </c>
    </row>
    <row r="9279" spans="1:13" x14ac:dyDescent="0.25">
      <c r="A9279" s="1" t="str">
        <f>HYPERLINK("http://www.rosaceae.org/Prunus/Prunus_persica/p.persica_gdr_reftransV1_0023183","p.persica_gdr_reftransV1_0023183")</f>
        <v>p.persica_gdr_reftransV1_0023183</v>
      </c>
      <c r="B9279" s="3">
        <v>933</v>
      </c>
      <c r="C9279" s="1" t="str">
        <f>HYPERLINK("http://www.uniprot.org/uniprot/GWD1_SOLTU","GWD1_SOLTU")</f>
        <v>GWD1_SOLTU</v>
      </c>
      <c r="D9279" t="s">
        <v>6967</v>
      </c>
      <c r="E9279" s="3" t="s">
        <v>11</v>
      </c>
      <c r="F9279" s="4">
        <v>3.7000000000000003E-144</v>
      </c>
      <c r="G9279" s="3">
        <v>1151</v>
      </c>
      <c r="H9279" s="3">
        <v>90</v>
      </c>
      <c r="I9279" s="3">
        <v>233</v>
      </c>
      <c r="J9279" s="3">
        <v>233</v>
      </c>
      <c r="K9279" s="3">
        <v>931</v>
      </c>
      <c r="L9279" s="3">
        <v>1232</v>
      </c>
      <c r="M9279" s="3">
        <v>1464</v>
      </c>
    </row>
    <row r="9280" spans="1:13" x14ac:dyDescent="0.25">
      <c r="A9280" s="1" t="str">
        <f>HYPERLINK("http://www.rosaceae.org/Prunus/Prunus_persica/p.persica_gdr_reftransV1_0023383","p.persica_gdr_reftransV1_0023383")</f>
        <v>p.persica_gdr_reftransV1_0023383</v>
      </c>
      <c r="B9280" s="3">
        <v>1116</v>
      </c>
      <c r="C9280" s="1" t="str">
        <f>HYPERLINK("http://www.uniprot.org/uniprot/GXM3_ARATH","GXM3_ARATH")</f>
        <v>GXM3_ARATH</v>
      </c>
      <c r="D9280" t="s">
        <v>6968</v>
      </c>
      <c r="E9280" s="3" t="s">
        <v>3</v>
      </c>
      <c r="F9280" s="4">
        <v>2.23E-123</v>
      </c>
      <c r="G9280" s="3">
        <v>936</v>
      </c>
      <c r="H9280" s="3">
        <v>69</v>
      </c>
      <c r="I9280" s="3">
        <v>236</v>
      </c>
      <c r="J9280" s="3">
        <v>131</v>
      </c>
      <c r="K9280" s="3">
        <v>838</v>
      </c>
      <c r="L9280" s="3">
        <v>60</v>
      </c>
      <c r="M9280" s="3">
        <v>290</v>
      </c>
    </row>
    <row r="9281" spans="1:13" x14ac:dyDescent="0.25">
      <c r="A9281" s="1" t="str">
        <f>HYPERLINK("http://www.rosaceae.org/Prunus/Prunus_persica/p.persica_gdr_reftransV1_0023483","p.persica_gdr_reftransV1_0023483")</f>
        <v>p.persica_gdr_reftransV1_0023483</v>
      </c>
      <c r="B9281" s="3">
        <v>1805</v>
      </c>
      <c r="C9281" s="1" t="str">
        <f>HYPERLINK("http://www.uniprot.org/uniprot/RKS1_ARATH","RKS1_ARATH")</f>
        <v>RKS1_ARATH</v>
      </c>
      <c r="D9281" t="s">
        <v>3709</v>
      </c>
      <c r="E9281" s="3" t="s">
        <v>3</v>
      </c>
      <c r="F9281" s="4">
        <v>2.8299999999999999E-148</v>
      </c>
      <c r="G9281" s="3">
        <v>1172</v>
      </c>
      <c r="H9281" s="3">
        <v>51</v>
      </c>
      <c r="I9281" s="3">
        <v>491</v>
      </c>
      <c r="J9281" s="3">
        <v>3</v>
      </c>
      <c r="K9281" s="3">
        <v>1415</v>
      </c>
      <c r="L9281" s="3">
        <v>349</v>
      </c>
      <c r="M9281" s="3">
        <v>833</v>
      </c>
    </row>
    <row r="9282" spans="1:13" x14ac:dyDescent="0.25">
      <c r="A9282" s="1" t="str">
        <f>HYPERLINK("http://www.rosaceae.org/Prunus/Prunus_persica/p.persica_gdr_reftransV1_0023533","p.persica_gdr_reftransV1_0023533")</f>
        <v>p.persica_gdr_reftransV1_0023533</v>
      </c>
      <c r="B9282" s="3">
        <v>307</v>
      </c>
      <c r="C9282" s="1" t="str">
        <f>HYPERLINK("http://www.uniprot.org/uniprot/ERG1_PANGI","ERG1_PANGI")</f>
        <v>ERG1_PANGI</v>
      </c>
      <c r="D9282" t="s">
        <v>1476</v>
      </c>
      <c r="E9282" s="3" t="s">
        <v>1477</v>
      </c>
      <c r="F9282" s="4">
        <v>1.95E-19</v>
      </c>
      <c r="G9282" s="3">
        <v>213</v>
      </c>
      <c r="H9282" s="3">
        <v>65</v>
      </c>
      <c r="I9282" s="3">
        <v>102</v>
      </c>
      <c r="J9282" s="3">
        <v>1</v>
      </c>
      <c r="K9282" s="3">
        <v>306</v>
      </c>
      <c r="L9282" s="3">
        <v>419</v>
      </c>
      <c r="M9282" s="3">
        <v>520</v>
      </c>
    </row>
    <row r="9283" spans="1:13" x14ac:dyDescent="0.25">
      <c r="A9283" s="1" t="str">
        <f>HYPERLINK("http://www.rosaceae.org/Prunus/Prunus_persica/p.persica_gdr_reftransV1_0023733","p.persica_gdr_reftransV1_0023733")</f>
        <v>p.persica_gdr_reftransV1_0023733</v>
      </c>
      <c r="B9283" s="3">
        <v>536</v>
      </c>
      <c r="C9283" s="1" t="str">
        <f>HYPERLINK("http://www.uniprot.org/uniprot/AB2C_ARATH","AB2C_ARATH")</f>
        <v>AB2C_ARATH</v>
      </c>
      <c r="D9283" t="s">
        <v>6969</v>
      </c>
      <c r="E9283" s="3" t="s">
        <v>3</v>
      </c>
      <c r="F9283" s="4">
        <v>3.44E-68</v>
      </c>
      <c r="G9283" s="3">
        <v>588</v>
      </c>
      <c r="H9283" s="3">
        <v>86</v>
      </c>
      <c r="I9283" s="3">
        <v>159</v>
      </c>
      <c r="J9283" s="3">
        <v>58</v>
      </c>
      <c r="K9283" s="3">
        <v>534</v>
      </c>
      <c r="L9283" s="3">
        <v>468</v>
      </c>
      <c r="M9283" s="3">
        <v>626</v>
      </c>
    </row>
    <row r="9284" spans="1:13" x14ac:dyDescent="0.25">
      <c r="A9284" s="1" t="str">
        <f>HYPERLINK("http://www.rosaceae.org/Prunus/Prunus_persica/p.persica_gdr_reftransV1_0023783","p.persica_gdr_reftransV1_0023783")</f>
        <v>p.persica_gdr_reftransV1_0023783</v>
      </c>
      <c r="B9284" s="3">
        <v>2613</v>
      </c>
      <c r="C9284" s="1" t="str">
        <f>HYPERLINK("http://www.uniprot.org/uniprot/WDL1_ARATH","WDL1_ARATH")</f>
        <v>WDL1_ARATH</v>
      </c>
      <c r="D9284" t="s">
        <v>5008</v>
      </c>
      <c r="E9284" s="3" t="s">
        <v>3</v>
      </c>
      <c r="F9284" s="4">
        <v>1.3400000000000001E-7</v>
      </c>
      <c r="G9284" s="3">
        <v>138</v>
      </c>
      <c r="H9284" s="3">
        <v>40</v>
      </c>
      <c r="I9284" s="3">
        <v>88</v>
      </c>
      <c r="J9284" s="3">
        <v>1624</v>
      </c>
      <c r="K9284" s="3">
        <v>1887</v>
      </c>
      <c r="L9284" s="3">
        <v>128</v>
      </c>
      <c r="M9284" s="3">
        <v>205</v>
      </c>
    </row>
    <row r="9285" spans="1:13" x14ac:dyDescent="0.25">
      <c r="A9285" s="1" t="str">
        <f>HYPERLINK("http://www.rosaceae.org/Prunus/Prunus_persica/p.persica_gdr_reftransV1_0024133","p.persica_gdr_reftransV1_0024133")</f>
        <v>p.persica_gdr_reftransV1_0024133</v>
      </c>
      <c r="B9285" s="3">
        <v>1862</v>
      </c>
      <c r="C9285" s="1" t="str">
        <f>HYPERLINK("http://www.uniprot.org/uniprot/F16P2_ORYSJ","F16P2_ORYSJ")</f>
        <v>F16P2_ORYSJ</v>
      </c>
      <c r="D9285" t="s">
        <v>6970</v>
      </c>
      <c r="E9285" s="3" t="s">
        <v>38</v>
      </c>
      <c r="F9285" s="4">
        <v>2.4699999999999998E-103</v>
      </c>
      <c r="G9285" s="3">
        <v>829</v>
      </c>
      <c r="H9285" s="3">
        <v>89</v>
      </c>
      <c r="I9285" s="3">
        <v>172</v>
      </c>
      <c r="J9285" s="3">
        <v>623</v>
      </c>
      <c r="K9285" s="3">
        <v>1138</v>
      </c>
      <c r="L9285" s="3">
        <v>138</v>
      </c>
      <c r="M9285" s="3">
        <v>309</v>
      </c>
    </row>
    <row r="9286" spans="1:13" x14ac:dyDescent="0.25">
      <c r="A9286" s="1" t="str">
        <f>HYPERLINK("http://www.rosaceae.org/Prunus/Prunus_persica/p.persica_gdr_reftransV1_0024233","p.persica_gdr_reftransV1_0024233")</f>
        <v>p.persica_gdr_reftransV1_0024233</v>
      </c>
      <c r="B9286" s="3">
        <v>1971</v>
      </c>
      <c r="C9286" s="1" t="str">
        <f>HYPERLINK("http://www.uniprot.org/uniprot/ALMT2_ARATH","ALMT2_ARATH")</f>
        <v>ALMT2_ARATH</v>
      </c>
      <c r="D9286" t="s">
        <v>6971</v>
      </c>
      <c r="E9286" s="3" t="s">
        <v>3</v>
      </c>
      <c r="F9286" s="4">
        <v>7.9300000000000001E-141</v>
      </c>
      <c r="G9286" s="3">
        <v>1098</v>
      </c>
      <c r="H9286" s="3">
        <v>54</v>
      </c>
      <c r="I9286" s="3">
        <v>400</v>
      </c>
      <c r="J9286" s="3">
        <v>186</v>
      </c>
      <c r="K9286" s="3">
        <v>1370</v>
      </c>
      <c r="L9286" s="3">
        <v>1</v>
      </c>
      <c r="M9286" s="3">
        <v>394</v>
      </c>
    </row>
    <row r="9287" spans="1:13" x14ac:dyDescent="0.25">
      <c r="A9287" s="1" t="str">
        <f>HYPERLINK("http://www.rosaceae.org/Prunus/Prunus_persica/p.persica_gdr_reftransV1_0024383","p.persica_gdr_reftransV1_0024383")</f>
        <v>p.persica_gdr_reftransV1_0024383</v>
      </c>
      <c r="B9287" s="3">
        <v>2616</v>
      </c>
      <c r="C9287" s="1" t="str">
        <f>HYPERLINK("http://www.uniprot.org/uniprot/CX32_ARATH","CX32_ARATH")</f>
        <v>CX32_ARATH</v>
      </c>
      <c r="D9287" t="s">
        <v>1141</v>
      </c>
      <c r="E9287" s="3" t="s">
        <v>3</v>
      </c>
      <c r="F9287" s="4">
        <v>1.4400000000000001E-70</v>
      </c>
      <c r="G9287" s="3">
        <v>624</v>
      </c>
      <c r="H9287" s="3">
        <v>61</v>
      </c>
      <c r="I9287" s="3">
        <v>187</v>
      </c>
      <c r="J9287" s="3">
        <v>1604</v>
      </c>
      <c r="K9287" s="3">
        <v>2158</v>
      </c>
      <c r="L9287" s="3">
        <v>44</v>
      </c>
      <c r="M9287" s="3">
        <v>227</v>
      </c>
    </row>
    <row r="9288" spans="1:13" x14ac:dyDescent="0.25">
      <c r="A9288" s="1" t="str">
        <f>HYPERLINK("http://www.rosaceae.org/Prunus/Prunus_persica/p.persica_gdr_reftransV1_0024433","p.persica_gdr_reftransV1_0024433")</f>
        <v>p.persica_gdr_reftransV1_0024433</v>
      </c>
      <c r="B9288" s="3">
        <v>1495</v>
      </c>
      <c r="C9288" s="1" t="str">
        <f>HYPERLINK("http://www.uniprot.org/uniprot/PP114_ARATH","PP114_ARATH")</f>
        <v>PP114_ARATH</v>
      </c>
      <c r="D9288" t="s">
        <v>5109</v>
      </c>
      <c r="E9288" s="3" t="s">
        <v>3</v>
      </c>
      <c r="F9288" s="4">
        <v>1.4700000000000001E-127</v>
      </c>
      <c r="G9288" s="3">
        <v>1015</v>
      </c>
      <c r="H9288" s="3">
        <v>63</v>
      </c>
      <c r="I9288" s="3">
        <v>312</v>
      </c>
      <c r="J9288" s="3">
        <v>1</v>
      </c>
      <c r="K9288" s="3">
        <v>924</v>
      </c>
      <c r="L9288" s="3">
        <v>435</v>
      </c>
      <c r="M9288" s="3">
        <v>745</v>
      </c>
    </row>
    <row r="9289" spans="1:13" x14ac:dyDescent="0.25">
      <c r="A9289" s="1" t="str">
        <f>HYPERLINK("http://www.rosaceae.org/Prunus/Prunus_persica/p.persica_gdr_reftransV1_0024583","p.persica_gdr_reftransV1_0024583")</f>
        <v>p.persica_gdr_reftransV1_0024583</v>
      </c>
      <c r="B9289" s="3">
        <v>2929</v>
      </c>
      <c r="C9289" s="1" t="str">
        <f>HYPERLINK("http://www.uniprot.org/uniprot/R3HD2_BOVIN","R3HD2_BOVIN")</f>
        <v>R3HD2_BOVIN</v>
      </c>
      <c r="D9289" t="s">
        <v>5928</v>
      </c>
      <c r="E9289" s="3" t="s">
        <v>184</v>
      </c>
      <c r="F9289" s="4">
        <v>7.2100000000000002E-11</v>
      </c>
      <c r="G9289" s="3">
        <v>171</v>
      </c>
      <c r="H9289" s="3">
        <v>31</v>
      </c>
      <c r="I9289" s="3">
        <v>168</v>
      </c>
      <c r="J9289" s="3">
        <v>1957</v>
      </c>
      <c r="K9289" s="3">
        <v>2457</v>
      </c>
      <c r="L9289" s="3">
        <v>141</v>
      </c>
      <c r="M9289" s="3">
        <v>299</v>
      </c>
    </row>
    <row r="9290" spans="1:13" x14ac:dyDescent="0.25">
      <c r="A9290" s="1" t="str">
        <f>HYPERLINK("http://www.rosaceae.org/Prunus/Prunus_persica/p.persica_gdr_reftransV1_0024633","p.persica_gdr_reftransV1_0024633")</f>
        <v>p.persica_gdr_reftransV1_0024633</v>
      </c>
      <c r="B9290" s="3">
        <v>3859</v>
      </c>
      <c r="C9290" s="1" t="str">
        <f>HYPERLINK("http://www.uniprot.org/uniprot/MANA_CANEN","MANA_CANEN")</f>
        <v>MANA_CANEN</v>
      </c>
      <c r="D9290" t="s">
        <v>614</v>
      </c>
      <c r="E9290" s="3" t="s">
        <v>615</v>
      </c>
      <c r="F9290" s="4">
        <v>0</v>
      </c>
      <c r="G9290" s="3">
        <v>2774</v>
      </c>
      <c r="H9290" s="3">
        <v>57</v>
      </c>
      <c r="I9290" s="3">
        <v>905</v>
      </c>
      <c r="J9290" s="3">
        <v>368</v>
      </c>
      <c r="K9290" s="3">
        <v>3073</v>
      </c>
      <c r="L9290" s="3">
        <v>1</v>
      </c>
      <c r="M9290" s="3">
        <v>896</v>
      </c>
    </row>
    <row r="9291" spans="1:13" x14ac:dyDescent="0.25">
      <c r="A9291" s="1" t="str">
        <f>HYPERLINK("http://www.rosaceae.org/Prunus/Prunus_persica/p.persica_gdr_reftransV1_0024683","p.persica_gdr_reftransV1_0024683")</f>
        <v>p.persica_gdr_reftransV1_0024683</v>
      </c>
      <c r="B9291" s="3">
        <v>3030</v>
      </c>
      <c r="C9291" s="1" t="str">
        <f>HYPERLINK("http://www.uniprot.org/uniprot/VAR3_ARATH","VAR3_ARATH")</f>
        <v>VAR3_ARATH</v>
      </c>
      <c r="D9291" t="s">
        <v>5435</v>
      </c>
      <c r="E9291" s="3" t="s">
        <v>3</v>
      </c>
      <c r="F9291" s="4">
        <v>1.0899999999999999E-127</v>
      </c>
      <c r="G9291" s="3">
        <v>1059</v>
      </c>
      <c r="H9291" s="3">
        <v>45</v>
      </c>
      <c r="I9291" s="3">
        <v>599</v>
      </c>
      <c r="J9291" s="3">
        <v>903</v>
      </c>
      <c r="K9291" s="3">
        <v>2660</v>
      </c>
      <c r="L9291" s="3">
        <v>93</v>
      </c>
      <c r="M9291" s="3">
        <v>646</v>
      </c>
    </row>
    <row r="9292" spans="1:13" x14ac:dyDescent="0.25">
      <c r="A9292" s="1" t="str">
        <f>HYPERLINK("http://www.rosaceae.org/Prunus/Prunus_persica/p.persica_gdr_reftransV1_0024733","p.persica_gdr_reftransV1_0024733")</f>
        <v>p.persica_gdr_reftransV1_0024733</v>
      </c>
      <c r="B9292" s="3">
        <v>3193</v>
      </c>
      <c r="C9292" s="1" t="str">
        <f>HYPERLINK("http://www.uniprot.org/uniprot/C3H30_ARATH","C3H30_ARATH")</f>
        <v>C3H30_ARATH</v>
      </c>
      <c r="D9292" t="s">
        <v>6972</v>
      </c>
      <c r="E9292" s="3" t="s">
        <v>3</v>
      </c>
      <c r="F9292" s="4">
        <v>0</v>
      </c>
      <c r="G9292" s="3">
        <v>2153</v>
      </c>
      <c r="H9292" s="3">
        <v>65</v>
      </c>
      <c r="I9292" s="3">
        <v>722</v>
      </c>
      <c r="J9292" s="3">
        <v>437</v>
      </c>
      <c r="K9292" s="3">
        <v>2530</v>
      </c>
      <c r="L9292" s="3">
        <v>31</v>
      </c>
      <c r="M9292" s="3">
        <v>707</v>
      </c>
    </row>
    <row r="9293" spans="1:13" x14ac:dyDescent="0.25">
      <c r="A9293" s="1" t="str">
        <f>HYPERLINK("http://www.rosaceae.org/Prunus/Prunus_persica/p.persica_gdr_reftransV1_0024783","p.persica_gdr_reftransV1_0024783")</f>
        <v>p.persica_gdr_reftransV1_0024783</v>
      </c>
      <c r="B9293" s="3">
        <v>1617</v>
      </c>
      <c r="C9293" s="1" t="str">
        <f>HYPERLINK("http://www.uniprot.org/uniprot/IF4E1_ARATH","IF4E1_ARATH")</f>
        <v>IF4E1_ARATH</v>
      </c>
      <c r="D9293" t="s">
        <v>6973</v>
      </c>
      <c r="E9293" s="3" t="s">
        <v>3</v>
      </c>
      <c r="F9293" s="4">
        <v>4.4700000000000003E-80</v>
      </c>
      <c r="G9293" s="3">
        <v>656</v>
      </c>
      <c r="H9293" s="3">
        <v>63</v>
      </c>
      <c r="I9293" s="3">
        <v>201</v>
      </c>
      <c r="J9293" s="3">
        <v>112</v>
      </c>
      <c r="K9293" s="3">
        <v>699</v>
      </c>
      <c r="L9293" s="3">
        <v>1</v>
      </c>
      <c r="M9293" s="3">
        <v>198</v>
      </c>
    </row>
    <row r="9294" spans="1:13" x14ac:dyDescent="0.25">
      <c r="A9294" s="1" t="str">
        <f>HYPERLINK("http://www.rosaceae.org/Prunus/Prunus_persica/p.persica_gdr_reftransV1_0024833","p.persica_gdr_reftransV1_0024833")</f>
        <v>p.persica_gdr_reftransV1_0024833</v>
      </c>
      <c r="B9294" s="3">
        <v>2429</v>
      </c>
      <c r="C9294" s="1" t="str">
        <f>HYPERLINK("http://www.uniprot.org/uniprot/ANM3_ARATH","ANM3_ARATH")</f>
        <v>ANM3_ARATH</v>
      </c>
      <c r="D9294" t="s">
        <v>6974</v>
      </c>
      <c r="E9294" s="3" t="s">
        <v>3</v>
      </c>
      <c r="F9294" s="4">
        <v>0</v>
      </c>
      <c r="G9294" s="3">
        <v>1662</v>
      </c>
      <c r="H9294" s="3">
        <v>56</v>
      </c>
      <c r="I9294" s="3">
        <v>593</v>
      </c>
      <c r="J9294" s="3">
        <v>195</v>
      </c>
      <c r="K9294" s="3">
        <v>1967</v>
      </c>
      <c r="L9294" s="3">
        <v>55</v>
      </c>
      <c r="M9294" s="3">
        <v>601</v>
      </c>
    </row>
    <row r="9295" spans="1:13" x14ac:dyDescent="0.25">
      <c r="A9295" s="1" t="str">
        <f>HYPERLINK("http://www.rosaceae.org/Prunus/Prunus_persica/p.persica_gdr_reftransV1_0024883","p.persica_gdr_reftransV1_0024883")</f>
        <v>p.persica_gdr_reftransV1_0024883</v>
      </c>
      <c r="B9295" s="3">
        <v>1212</v>
      </c>
      <c r="C9295" s="1" t="str">
        <f>HYPERLINK("http://www.uniprot.org/uniprot/UFC1_ARATH","UFC1_ARATH")</f>
        <v>UFC1_ARATH</v>
      </c>
      <c r="D9295" t="s">
        <v>6975</v>
      </c>
      <c r="E9295" s="3" t="s">
        <v>3</v>
      </c>
      <c r="F9295" s="4">
        <v>3.9099999999999999E-116</v>
      </c>
      <c r="G9295" s="3">
        <v>879</v>
      </c>
      <c r="H9295" s="3">
        <v>96</v>
      </c>
      <c r="I9295" s="3">
        <v>167</v>
      </c>
      <c r="J9295" s="3">
        <v>593</v>
      </c>
      <c r="K9295" s="3">
        <v>1093</v>
      </c>
      <c r="L9295" s="3">
        <v>1</v>
      </c>
      <c r="M9295" s="3">
        <v>167</v>
      </c>
    </row>
    <row r="9296" spans="1:13" x14ac:dyDescent="0.25">
      <c r="A9296" s="1" t="str">
        <f>HYPERLINK("http://www.rosaceae.org/Prunus/Prunus_persica/p.persica_gdr_reftransV1_0025133","p.persica_gdr_reftransV1_0025133")</f>
        <v>p.persica_gdr_reftransV1_0025133</v>
      </c>
      <c r="B9296" s="3">
        <v>3068</v>
      </c>
      <c r="C9296" s="1" t="str">
        <f>HYPERLINK("http://www.uniprot.org/uniprot/FPGS2_ARATH","FPGS2_ARATH")</f>
        <v>FPGS2_ARATH</v>
      </c>
      <c r="D9296" t="s">
        <v>764</v>
      </c>
      <c r="E9296" s="3" t="s">
        <v>3</v>
      </c>
      <c r="F9296" s="4">
        <v>8.1000000000000001E-131</v>
      </c>
      <c r="G9296" s="3">
        <v>1070</v>
      </c>
      <c r="H9296" s="3">
        <v>60</v>
      </c>
      <c r="I9296" s="3">
        <v>362</v>
      </c>
      <c r="J9296" s="3">
        <v>1514</v>
      </c>
      <c r="K9296" s="3">
        <v>2593</v>
      </c>
      <c r="L9296" s="3">
        <v>273</v>
      </c>
      <c r="M9296" s="3">
        <v>618</v>
      </c>
    </row>
    <row r="9297" spans="1:13" x14ac:dyDescent="0.25">
      <c r="A9297" s="1" t="str">
        <f>HYPERLINK("http://www.rosaceae.org/Prunus/Prunus_persica/p.persica_gdr_reftransV1_0025283","p.persica_gdr_reftransV1_0025283")</f>
        <v>p.persica_gdr_reftransV1_0025283</v>
      </c>
      <c r="B9297" s="3">
        <v>2192</v>
      </c>
      <c r="C9297" s="1" t="str">
        <f>HYPERLINK("http://www.uniprot.org/uniprot/VAB_ARATH","VAB_ARATH")</f>
        <v>VAB_ARATH</v>
      </c>
      <c r="D9297" t="s">
        <v>2108</v>
      </c>
      <c r="E9297" s="3" t="s">
        <v>3</v>
      </c>
      <c r="F9297" s="4">
        <v>1.0799999999999999E-25</v>
      </c>
      <c r="G9297" s="3">
        <v>287</v>
      </c>
      <c r="H9297" s="3">
        <v>41</v>
      </c>
      <c r="I9297" s="3">
        <v>212</v>
      </c>
      <c r="J9297" s="3">
        <v>379</v>
      </c>
      <c r="K9297" s="3">
        <v>954</v>
      </c>
      <c r="L9297" s="3">
        <v>269</v>
      </c>
      <c r="M9297" s="3">
        <v>480</v>
      </c>
    </row>
    <row r="9298" spans="1:13" x14ac:dyDescent="0.25">
      <c r="A9298" s="1" t="str">
        <f>HYPERLINK("http://www.rosaceae.org/Prunus/Prunus_persica/p.persica_gdr_reftransV1_0025383","p.persica_gdr_reftransV1_0025383")</f>
        <v>p.persica_gdr_reftransV1_0025383</v>
      </c>
      <c r="B9298" s="3">
        <v>1240</v>
      </c>
      <c r="C9298" s="1" t="str">
        <f>HYPERLINK("http://www.uniprot.org/uniprot/Y1497_ARATH","Y1497_ARATH")</f>
        <v>Y1497_ARATH</v>
      </c>
      <c r="D9298" t="s">
        <v>4408</v>
      </c>
      <c r="E9298" s="3" t="s">
        <v>3</v>
      </c>
      <c r="F9298" s="4">
        <v>6.5400000000000005E-131</v>
      </c>
      <c r="G9298" s="3">
        <v>1023</v>
      </c>
      <c r="H9298" s="3">
        <v>61</v>
      </c>
      <c r="I9298" s="3">
        <v>389</v>
      </c>
      <c r="J9298" s="3">
        <v>2</v>
      </c>
      <c r="K9298" s="3">
        <v>1162</v>
      </c>
      <c r="L9298" s="3">
        <v>26</v>
      </c>
      <c r="M9298" s="3">
        <v>413</v>
      </c>
    </row>
    <row r="9299" spans="1:13" x14ac:dyDescent="0.25">
      <c r="A9299" s="1" t="str">
        <f>HYPERLINK("http://www.rosaceae.org/Prunus/Prunus_persica/p.persica_gdr_reftransV1_0025483","p.persica_gdr_reftransV1_0025483")</f>
        <v>p.persica_gdr_reftransV1_0025483</v>
      </c>
      <c r="B9299" s="3">
        <v>915</v>
      </c>
      <c r="C9299" s="1" t="str">
        <f>HYPERLINK("http://www.uniprot.org/uniprot/PP343_ARATH","PP343_ARATH")</f>
        <v>PP343_ARATH</v>
      </c>
      <c r="D9299" t="s">
        <v>2184</v>
      </c>
      <c r="E9299" s="3" t="s">
        <v>3</v>
      </c>
      <c r="F9299" s="4">
        <v>1.8900000000000001E-51</v>
      </c>
      <c r="G9299" s="3">
        <v>467</v>
      </c>
      <c r="H9299" s="3">
        <v>52</v>
      </c>
      <c r="I9299" s="3">
        <v>166</v>
      </c>
      <c r="J9299" s="3">
        <v>420</v>
      </c>
      <c r="K9299" s="3">
        <v>914</v>
      </c>
      <c r="L9299" s="3">
        <v>445</v>
      </c>
      <c r="M9299" s="3">
        <v>609</v>
      </c>
    </row>
    <row r="9300" spans="1:13" x14ac:dyDescent="0.25">
      <c r="A9300" s="1" t="str">
        <f>HYPERLINK("http://www.rosaceae.org/Prunus/Prunus_persica/p.persica_gdr_reftransV1_0026083","p.persica_gdr_reftransV1_0026083")</f>
        <v>p.persica_gdr_reftransV1_0026083</v>
      </c>
      <c r="B9300" s="3">
        <v>1258</v>
      </c>
      <c r="C9300" s="1" t="str">
        <f>HYPERLINK("http://www.uniprot.org/uniprot/KINB2_ARATH","KINB2_ARATH")</f>
        <v>KINB2_ARATH</v>
      </c>
      <c r="D9300" t="s">
        <v>4345</v>
      </c>
      <c r="E9300" s="3" t="s">
        <v>3</v>
      </c>
      <c r="F9300" s="4">
        <v>3.7E-65</v>
      </c>
      <c r="G9300" s="3">
        <v>551</v>
      </c>
      <c r="H9300" s="3">
        <v>47</v>
      </c>
      <c r="I9300" s="3">
        <v>246</v>
      </c>
      <c r="J9300" s="3">
        <v>189</v>
      </c>
      <c r="K9300" s="3">
        <v>902</v>
      </c>
      <c r="L9300" s="3">
        <v>44</v>
      </c>
      <c r="M9300" s="3">
        <v>289</v>
      </c>
    </row>
    <row r="9301" spans="1:13" x14ac:dyDescent="0.25">
      <c r="A9301" s="1" t="str">
        <f>HYPERLINK("http://www.rosaceae.org/Prunus/Prunus_persica/p.persica_gdr_reftransV1_0026233","p.persica_gdr_reftransV1_0026233")</f>
        <v>p.persica_gdr_reftransV1_0026233</v>
      </c>
      <c r="B9301" s="3">
        <v>917</v>
      </c>
      <c r="C9301" s="1" t="str">
        <f>HYPERLINK("http://www.uniprot.org/uniprot/RK35_SPIOL","RK35_SPIOL")</f>
        <v>RK35_SPIOL</v>
      </c>
      <c r="D9301" t="s">
        <v>6976</v>
      </c>
      <c r="E9301" s="3" t="s">
        <v>131</v>
      </c>
      <c r="F9301" s="4">
        <v>5.06E-35</v>
      </c>
      <c r="G9301" s="3">
        <v>326</v>
      </c>
      <c r="H9301" s="3">
        <v>82</v>
      </c>
      <c r="I9301" s="3">
        <v>77</v>
      </c>
      <c r="J9301" s="3">
        <v>377</v>
      </c>
      <c r="K9301" s="3">
        <v>607</v>
      </c>
      <c r="L9301" s="3">
        <v>82</v>
      </c>
      <c r="M9301" s="3">
        <v>158</v>
      </c>
    </row>
    <row r="9302" spans="1:13" x14ac:dyDescent="0.25">
      <c r="A9302" s="1" t="str">
        <f>HYPERLINK("http://www.rosaceae.org/Prunus/Prunus_persica/p.persica_gdr_reftransV1_0026283","p.persica_gdr_reftransV1_0026283")</f>
        <v>p.persica_gdr_reftransV1_0026283</v>
      </c>
      <c r="B9302" s="3">
        <v>655</v>
      </c>
      <c r="C9302" s="1" t="str">
        <f>HYPERLINK("http://www.uniprot.org/uniprot/BQMT1_ORYSJ","BQMT1_ORYSJ")</f>
        <v>BQMT1_ORYSJ</v>
      </c>
      <c r="D9302" t="s">
        <v>6977</v>
      </c>
      <c r="E9302" s="3" t="s">
        <v>38</v>
      </c>
      <c r="F9302" s="4">
        <v>1.11E-32</v>
      </c>
      <c r="G9302" s="3">
        <v>315</v>
      </c>
      <c r="H9302" s="3">
        <v>72</v>
      </c>
      <c r="I9302" s="3">
        <v>83</v>
      </c>
      <c r="J9302" s="3">
        <v>1</v>
      </c>
      <c r="K9302" s="3">
        <v>237</v>
      </c>
      <c r="L9302" s="3">
        <v>18</v>
      </c>
      <c r="M9302" s="3">
        <v>100</v>
      </c>
    </row>
    <row r="9303" spans="1:13" x14ac:dyDescent="0.25">
      <c r="A9303" s="1" t="str">
        <f>HYPERLINK("http://www.rosaceae.org/Prunus/Prunus_persica/p.persica_gdr_reftransV1_0026533","p.persica_gdr_reftransV1_0026533")</f>
        <v>p.persica_gdr_reftransV1_0026533</v>
      </c>
      <c r="B9303" s="3">
        <v>838</v>
      </c>
      <c r="C9303" s="1" t="str">
        <f>HYPERLINK("http://www.uniprot.org/uniprot/PP342_ARATH","PP342_ARATH")</f>
        <v>PP342_ARATH</v>
      </c>
      <c r="D9303" t="s">
        <v>1589</v>
      </c>
      <c r="E9303" s="3" t="s">
        <v>3</v>
      </c>
      <c r="F9303" s="4">
        <v>9.8400000000000007E-127</v>
      </c>
      <c r="G9303" s="3">
        <v>998</v>
      </c>
      <c r="H9303" s="3">
        <v>67</v>
      </c>
      <c r="I9303" s="3">
        <v>278</v>
      </c>
      <c r="J9303" s="3">
        <v>3</v>
      </c>
      <c r="K9303" s="3">
        <v>836</v>
      </c>
      <c r="L9303" s="3">
        <v>349</v>
      </c>
      <c r="M9303" s="3">
        <v>626</v>
      </c>
    </row>
    <row r="9304" spans="1:13" x14ac:dyDescent="0.25">
      <c r="A9304" s="1" t="str">
        <f>HYPERLINK("http://www.rosaceae.org/Prunus/Prunus_persica/p.persica_gdr_reftransV1_0026683","p.persica_gdr_reftransV1_0026683")</f>
        <v>p.persica_gdr_reftransV1_0026683</v>
      </c>
      <c r="B9304" s="3">
        <v>2228</v>
      </c>
      <c r="C9304" s="1" t="str">
        <f>HYPERLINK("http://www.uniprot.org/uniprot/RISA_SCHPO","RISA_SCHPO")</f>
        <v>RISA_SCHPO</v>
      </c>
      <c r="D9304" t="s">
        <v>6978</v>
      </c>
      <c r="E9304" s="3" t="s">
        <v>464</v>
      </c>
      <c r="F9304" s="4">
        <v>7.0099999999999997E-56</v>
      </c>
      <c r="G9304" s="3">
        <v>496</v>
      </c>
      <c r="H9304" s="3">
        <v>50</v>
      </c>
      <c r="I9304" s="3">
        <v>211</v>
      </c>
      <c r="J9304" s="3">
        <v>1016</v>
      </c>
      <c r="K9304" s="3">
        <v>1642</v>
      </c>
      <c r="L9304" s="3">
        <v>1</v>
      </c>
      <c r="M9304" s="3">
        <v>206</v>
      </c>
    </row>
    <row r="9305" spans="1:13" x14ac:dyDescent="0.25">
      <c r="A9305" s="1" t="str">
        <f>HYPERLINK("http://www.rosaceae.org/Prunus/Prunus_persica/p.persica_gdr_reftransV1_0027133","p.persica_gdr_reftransV1_0027133")</f>
        <v>p.persica_gdr_reftransV1_0027133</v>
      </c>
      <c r="B9305" s="3">
        <v>2514</v>
      </c>
      <c r="C9305" s="1" t="str">
        <f>HYPERLINK("http://www.uniprot.org/uniprot/TCX5_ARATH","TCX5_ARATH")</f>
        <v>TCX5_ARATH</v>
      </c>
      <c r="D9305" t="s">
        <v>6979</v>
      </c>
      <c r="E9305" s="3" t="s">
        <v>3</v>
      </c>
      <c r="F9305" s="4">
        <v>6.5000000000000003E-121</v>
      </c>
      <c r="G9305" s="3">
        <v>988</v>
      </c>
      <c r="H9305" s="3">
        <v>51</v>
      </c>
      <c r="I9305" s="3">
        <v>437</v>
      </c>
      <c r="J9305" s="3">
        <v>696</v>
      </c>
      <c r="K9305" s="3">
        <v>1985</v>
      </c>
      <c r="L9305" s="3">
        <v>104</v>
      </c>
      <c r="M9305" s="3">
        <v>525</v>
      </c>
    </row>
    <row r="9306" spans="1:13" x14ac:dyDescent="0.25">
      <c r="A9306" s="1" t="str">
        <f>HYPERLINK("http://www.rosaceae.org/Prunus/Prunus_persica/p.persica_gdr_reftransV1_0027183","p.persica_gdr_reftransV1_0027183")</f>
        <v>p.persica_gdr_reftransV1_0027183</v>
      </c>
      <c r="B9306" s="3">
        <v>2299</v>
      </c>
      <c r="C9306" s="1" t="str">
        <f>HYPERLINK("http://www.uniprot.org/uniprot/RF298_ARATH","RF298_ARATH")</f>
        <v>RF298_ARATH</v>
      </c>
      <c r="D9306" t="s">
        <v>716</v>
      </c>
      <c r="E9306" s="3" t="s">
        <v>3</v>
      </c>
      <c r="F9306" s="4">
        <v>2.7599999999999998E-39</v>
      </c>
      <c r="G9306" s="3">
        <v>403</v>
      </c>
      <c r="H9306" s="3">
        <v>33</v>
      </c>
      <c r="I9306" s="3">
        <v>487</v>
      </c>
      <c r="J9306" s="3">
        <v>758</v>
      </c>
      <c r="K9306" s="3">
        <v>2209</v>
      </c>
      <c r="L9306" s="3">
        <v>17</v>
      </c>
      <c r="M9306" s="3">
        <v>431</v>
      </c>
    </row>
    <row r="9307" spans="1:13" x14ac:dyDescent="0.25">
      <c r="A9307" s="1" t="str">
        <f>HYPERLINK("http://www.rosaceae.org/Prunus/Prunus_persica/p.persica_gdr_reftransV1_0027233","p.persica_gdr_reftransV1_0027233")</f>
        <v>p.persica_gdr_reftransV1_0027233</v>
      </c>
      <c r="B9307" s="3">
        <v>2503</v>
      </c>
      <c r="C9307" s="1" t="str">
        <f>HYPERLINK("http://www.uniprot.org/uniprot/TCPH_ARATH","TCPH_ARATH")</f>
        <v>TCPH_ARATH</v>
      </c>
      <c r="D9307" t="s">
        <v>6980</v>
      </c>
      <c r="E9307" s="3" t="s">
        <v>3</v>
      </c>
      <c r="F9307" s="4">
        <v>0</v>
      </c>
      <c r="G9307" s="3">
        <v>2465</v>
      </c>
      <c r="H9307" s="3">
        <v>93</v>
      </c>
      <c r="I9307" s="3">
        <v>525</v>
      </c>
      <c r="J9307" s="3">
        <v>145</v>
      </c>
      <c r="K9307" s="3">
        <v>1719</v>
      </c>
      <c r="L9307" s="3">
        <v>6</v>
      </c>
      <c r="M9307" s="3">
        <v>530</v>
      </c>
    </row>
    <row r="9308" spans="1:13" x14ac:dyDescent="0.25">
      <c r="A9308" s="1" t="str">
        <f>HYPERLINK("http://www.rosaceae.org/Prunus/Prunus_persica/p.persica_gdr_reftransV1_0027383","p.persica_gdr_reftransV1_0027383")</f>
        <v>p.persica_gdr_reftransV1_0027383</v>
      </c>
      <c r="B9308" s="3">
        <v>2043</v>
      </c>
      <c r="C9308" s="1" t="str">
        <f>HYPERLINK("http://www.uniprot.org/uniprot/5FCL_ARATH","5FCL_ARATH")</f>
        <v>5FCL_ARATH</v>
      </c>
      <c r="D9308" t="s">
        <v>6763</v>
      </c>
      <c r="E9308" s="3" t="s">
        <v>3</v>
      </c>
      <c r="F9308" s="4">
        <v>2.9699999999999999E-68</v>
      </c>
      <c r="G9308" s="3">
        <v>588</v>
      </c>
      <c r="H9308" s="3">
        <v>59</v>
      </c>
      <c r="I9308" s="3">
        <v>190</v>
      </c>
      <c r="J9308" s="3">
        <v>123</v>
      </c>
      <c r="K9308" s="3">
        <v>665</v>
      </c>
      <c r="L9308" s="3">
        <v>14</v>
      </c>
      <c r="M9308" s="3">
        <v>199</v>
      </c>
    </row>
    <row r="9309" spans="1:13" x14ac:dyDescent="0.25">
      <c r="A9309" s="1" t="str">
        <f>HYPERLINK("http://www.rosaceae.org/Prunus/Prunus_persica/p.persica_gdr_reftransV1_0027483","p.persica_gdr_reftransV1_0027483")</f>
        <v>p.persica_gdr_reftransV1_0027483</v>
      </c>
      <c r="B9309" s="3">
        <v>1334</v>
      </c>
      <c r="C9309" s="1" t="str">
        <f>HYPERLINK("http://www.uniprot.org/uniprot/HA22A_ARATH","HA22A_ARATH")</f>
        <v>HA22A_ARATH</v>
      </c>
      <c r="D9309" t="s">
        <v>1633</v>
      </c>
      <c r="E9309" s="3" t="s">
        <v>3</v>
      </c>
      <c r="F9309" s="4">
        <v>4.0600000000000001E-59</v>
      </c>
      <c r="G9309" s="3">
        <v>502</v>
      </c>
      <c r="H9309" s="3">
        <v>74</v>
      </c>
      <c r="I9309" s="3">
        <v>122</v>
      </c>
      <c r="J9309" s="3">
        <v>560</v>
      </c>
      <c r="K9309" s="3">
        <v>922</v>
      </c>
      <c r="L9309" s="3">
        <v>31</v>
      </c>
      <c r="M9309" s="3">
        <v>152</v>
      </c>
    </row>
    <row r="9310" spans="1:13" x14ac:dyDescent="0.25">
      <c r="A9310" s="1" t="str">
        <f>HYPERLINK("http://www.rosaceae.org/Prunus/Prunus_persica/p.persica_gdr_reftransV1_0027533","p.persica_gdr_reftransV1_0027533")</f>
        <v>p.persica_gdr_reftransV1_0027533</v>
      </c>
      <c r="B9310" s="3">
        <v>1961</v>
      </c>
      <c r="C9310" s="1" t="str">
        <f>HYPERLINK("http://www.uniprot.org/uniprot/MRS24_ARATH","MRS24_ARATH")</f>
        <v>MRS24_ARATH</v>
      </c>
      <c r="D9310" t="s">
        <v>6981</v>
      </c>
      <c r="E9310" s="3" t="s">
        <v>3</v>
      </c>
      <c r="F9310" s="4">
        <v>3.1499999999999998E-180</v>
      </c>
      <c r="G9310" s="3">
        <v>1354</v>
      </c>
      <c r="H9310" s="3">
        <v>72</v>
      </c>
      <c r="I9310" s="3">
        <v>386</v>
      </c>
      <c r="J9310" s="3">
        <v>313</v>
      </c>
      <c r="K9310" s="3">
        <v>1461</v>
      </c>
      <c r="L9310" s="3">
        <v>63</v>
      </c>
      <c r="M9310" s="3">
        <v>436</v>
      </c>
    </row>
    <row r="9311" spans="1:13" x14ac:dyDescent="0.25">
      <c r="A9311" s="1" t="str">
        <f>HYPERLINK("http://www.rosaceae.org/Prunus/Prunus_persica/p.persica_gdr_reftransV1_0028133","p.persica_gdr_reftransV1_0028133")</f>
        <v>p.persica_gdr_reftransV1_0028133</v>
      </c>
      <c r="B9311" s="3">
        <v>3420</v>
      </c>
      <c r="C9311" s="1" t="str">
        <f>HYPERLINK("http://www.uniprot.org/uniprot/PHO19_ARATH","PHO19_ARATH")</f>
        <v>PHO19_ARATH</v>
      </c>
      <c r="D9311" t="s">
        <v>6427</v>
      </c>
      <c r="E9311" s="3" t="s">
        <v>3</v>
      </c>
      <c r="F9311" s="4">
        <v>9.3600000000000008E-124</v>
      </c>
      <c r="G9311" s="3">
        <v>1043</v>
      </c>
      <c r="H9311" s="3">
        <v>49</v>
      </c>
      <c r="I9311" s="3">
        <v>473</v>
      </c>
      <c r="J9311" s="3">
        <v>282</v>
      </c>
      <c r="K9311" s="3">
        <v>1556</v>
      </c>
      <c r="L9311" s="3">
        <v>1</v>
      </c>
      <c r="M9311" s="3">
        <v>441</v>
      </c>
    </row>
    <row r="9312" spans="1:13" x14ac:dyDescent="0.25">
      <c r="A9312" s="1" t="str">
        <f>HYPERLINK("http://www.rosaceae.org/Prunus/Prunus_persica/p.persica_gdr_reftransV1_0028183","p.persica_gdr_reftransV1_0028183")</f>
        <v>p.persica_gdr_reftransV1_0028183</v>
      </c>
      <c r="B9312" s="3">
        <v>1875</v>
      </c>
      <c r="C9312" s="1" t="str">
        <f>HYPERLINK("http://www.uniprot.org/uniprot/C7A52_PANGI","C7A52_PANGI")</f>
        <v>C7A52_PANGI</v>
      </c>
      <c r="D9312" t="s">
        <v>4188</v>
      </c>
      <c r="E9312" s="3" t="s">
        <v>1477</v>
      </c>
      <c r="F9312" s="4">
        <v>8.9300000000000004E-129</v>
      </c>
      <c r="G9312" s="3">
        <v>913</v>
      </c>
      <c r="H9312" s="3">
        <v>51</v>
      </c>
      <c r="I9312" s="3">
        <v>322</v>
      </c>
      <c r="J9312" s="3">
        <v>140</v>
      </c>
      <c r="K9312" s="3">
        <v>1105</v>
      </c>
      <c r="L9312" s="3">
        <v>161</v>
      </c>
      <c r="M9312" s="3">
        <v>479</v>
      </c>
    </row>
    <row r="9313" spans="1:13" x14ac:dyDescent="0.25">
      <c r="A9313" s="1" t="str">
        <f>HYPERLINK("http://www.rosaceae.org/Prunus/Prunus_persica/p.persica_gdr_reftransV1_0028533","p.persica_gdr_reftransV1_0028533")</f>
        <v>p.persica_gdr_reftransV1_0028533</v>
      </c>
      <c r="B9313" s="3">
        <v>2315</v>
      </c>
      <c r="C9313" s="1" t="str">
        <f>HYPERLINK("http://www.uniprot.org/uniprot/U73C3_ARATH","U73C3_ARATH")</f>
        <v>U73C3_ARATH</v>
      </c>
      <c r="D9313" t="s">
        <v>379</v>
      </c>
      <c r="E9313" s="3" t="s">
        <v>3</v>
      </c>
      <c r="F9313" s="4">
        <v>4.2599999999999999E-44</v>
      </c>
      <c r="G9313" s="3">
        <v>430</v>
      </c>
      <c r="H9313" s="3">
        <v>38</v>
      </c>
      <c r="I9313" s="3">
        <v>258</v>
      </c>
      <c r="J9313" s="3">
        <v>1356</v>
      </c>
      <c r="K9313" s="3">
        <v>2090</v>
      </c>
      <c r="L9313" s="3">
        <v>221</v>
      </c>
      <c r="M9313" s="3">
        <v>460</v>
      </c>
    </row>
    <row r="9314" spans="1:13" x14ac:dyDescent="0.25">
      <c r="A9314" s="1" t="str">
        <f>HYPERLINK("http://www.rosaceae.org/Prunus/Prunus_persica/p.persica_gdr_reftransV1_0028933","p.persica_gdr_reftransV1_0028933")</f>
        <v>p.persica_gdr_reftransV1_0028933</v>
      </c>
      <c r="B9314" s="3">
        <v>2402</v>
      </c>
      <c r="C9314" s="1" t="str">
        <f>HYPERLINK("http://www.uniprot.org/uniprot/RGLG2_ARATH","RGLG2_ARATH")</f>
        <v>RGLG2_ARATH</v>
      </c>
      <c r="D9314" t="s">
        <v>3345</v>
      </c>
      <c r="E9314" s="3" t="s">
        <v>3</v>
      </c>
      <c r="F9314" s="4">
        <v>6.2200000000000004E-85</v>
      </c>
      <c r="G9314" s="3">
        <v>727</v>
      </c>
      <c r="H9314" s="3">
        <v>63</v>
      </c>
      <c r="I9314" s="3">
        <v>215</v>
      </c>
      <c r="J9314" s="3">
        <v>399</v>
      </c>
      <c r="K9314" s="3">
        <v>1037</v>
      </c>
      <c r="L9314" s="3">
        <v>66</v>
      </c>
      <c r="M9314" s="3">
        <v>280</v>
      </c>
    </row>
    <row r="9315" spans="1:13" x14ac:dyDescent="0.25">
      <c r="A9315" s="1" t="str">
        <f>HYPERLINK("http://www.rosaceae.org/Prunus/Prunus_persica/p.persica_gdr_reftransV1_0028983","p.persica_gdr_reftransV1_0028983")</f>
        <v>p.persica_gdr_reftransV1_0028983</v>
      </c>
      <c r="B9315" s="3">
        <v>2055</v>
      </c>
      <c r="C9315" s="1" t="str">
        <f>HYPERLINK("http://www.uniprot.org/uniprot/TTC38_HUMAN","TTC38_HUMAN")</f>
        <v>TTC38_HUMAN</v>
      </c>
      <c r="D9315" t="s">
        <v>6982</v>
      </c>
      <c r="E9315" s="3" t="s">
        <v>28</v>
      </c>
      <c r="F9315" s="4">
        <v>8.5800000000000004E-10</v>
      </c>
      <c r="G9315" s="3">
        <v>158</v>
      </c>
      <c r="H9315" s="3">
        <v>26</v>
      </c>
      <c r="I9315" s="3">
        <v>285</v>
      </c>
      <c r="J9315" s="3">
        <v>869</v>
      </c>
      <c r="K9315" s="3">
        <v>1717</v>
      </c>
      <c r="L9315" s="3">
        <v>174</v>
      </c>
      <c r="M9315" s="3">
        <v>421</v>
      </c>
    </row>
    <row r="9316" spans="1:13" x14ac:dyDescent="0.25">
      <c r="A9316" s="1" t="str">
        <f>HYPERLINK("http://www.rosaceae.org/Prunus/Prunus_persica/p.persica_gdr_reftransV1_0029183","p.persica_gdr_reftransV1_0029183")</f>
        <v>p.persica_gdr_reftransV1_0029183</v>
      </c>
      <c r="B9316" s="3">
        <v>2413</v>
      </c>
      <c r="C9316" s="1" t="str">
        <f>HYPERLINK("http://www.uniprot.org/uniprot/GUX8_ARATH","GUX8_ARATH")</f>
        <v>GUX8_ARATH</v>
      </c>
      <c r="D9316" t="s">
        <v>6983</v>
      </c>
      <c r="E9316" s="3" t="s">
        <v>3</v>
      </c>
      <c r="F9316" s="4">
        <v>0</v>
      </c>
      <c r="G9316" s="3">
        <v>1482</v>
      </c>
      <c r="H9316" s="3">
        <v>74</v>
      </c>
      <c r="I9316" s="3">
        <v>370</v>
      </c>
      <c r="J9316" s="3">
        <v>409</v>
      </c>
      <c r="K9316" s="3">
        <v>1518</v>
      </c>
      <c r="L9316" s="3">
        <v>116</v>
      </c>
      <c r="M9316" s="3">
        <v>485</v>
      </c>
    </row>
    <row r="9317" spans="1:13" x14ac:dyDescent="0.25">
      <c r="A9317" s="1" t="str">
        <f>HYPERLINK("http://www.rosaceae.org/Prunus/Prunus_persica/p.persica_gdr_reftransV1_0029683","p.persica_gdr_reftransV1_0029683")</f>
        <v>p.persica_gdr_reftransV1_0029683</v>
      </c>
      <c r="B9317" s="3">
        <v>991</v>
      </c>
      <c r="C9317" s="1" t="str">
        <f>HYPERLINK("http://www.uniprot.org/uniprot/NDK2_SPIOL","NDK2_SPIOL")</f>
        <v>NDK2_SPIOL</v>
      </c>
      <c r="D9317" t="s">
        <v>6984</v>
      </c>
      <c r="E9317" s="3" t="s">
        <v>131</v>
      </c>
      <c r="F9317" s="4">
        <v>2.4699999999999999E-100</v>
      </c>
      <c r="G9317" s="3">
        <v>773</v>
      </c>
      <c r="H9317" s="3">
        <v>71</v>
      </c>
      <c r="I9317" s="3">
        <v>238</v>
      </c>
      <c r="J9317" s="3">
        <v>286</v>
      </c>
      <c r="K9317" s="3">
        <v>969</v>
      </c>
      <c r="L9317" s="3">
        <v>3</v>
      </c>
      <c r="M9317" s="3">
        <v>233</v>
      </c>
    </row>
    <row r="9318" spans="1:13" x14ac:dyDescent="0.25">
      <c r="A9318" s="1" t="str">
        <f>HYPERLINK("http://www.rosaceae.org/Prunus/Prunus_persica/p.persica_gdr_reftransV1_0030033","p.persica_gdr_reftransV1_0030033")</f>
        <v>p.persica_gdr_reftransV1_0030033</v>
      </c>
      <c r="B9318" s="3">
        <v>1006</v>
      </c>
      <c r="C9318" s="1" t="str">
        <f>HYPERLINK("http://www.uniprot.org/uniprot/UGPI3_ARATH","UGPI3_ARATH")</f>
        <v>UGPI3_ARATH</v>
      </c>
      <c r="D9318" t="s">
        <v>6985</v>
      </c>
      <c r="E9318" s="3" t="s">
        <v>3</v>
      </c>
      <c r="F9318" s="4">
        <v>4.5199999999999997E-43</v>
      </c>
      <c r="G9318" s="3">
        <v>386</v>
      </c>
      <c r="H9318" s="3">
        <v>51</v>
      </c>
      <c r="I9318" s="3">
        <v>152</v>
      </c>
      <c r="J9318" s="3">
        <v>207</v>
      </c>
      <c r="K9318" s="3">
        <v>662</v>
      </c>
      <c r="L9318" s="3">
        <v>28</v>
      </c>
      <c r="M9318" s="3">
        <v>177</v>
      </c>
    </row>
    <row r="9319" spans="1:13" x14ac:dyDescent="0.25">
      <c r="A9319" s="1" t="str">
        <f>HYPERLINK("http://www.rosaceae.org/Prunus/Prunus_persica/p.persica_gdr_reftransV1_0030083","p.persica_gdr_reftransV1_0030083")</f>
        <v>p.persica_gdr_reftransV1_0030083</v>
      </c>
      <c r="B9319" s="3">
        <v>2708</v>
      </c>
      <c r="C9319" s="1" t="str">
        <f>HYPERLINK("http://www.uniprot.org/uniprot/INVA_ARATH","INVA_ARATH")</f>
        <v>INVA_ARATH</v>
      </c>
      <c r="D9319" t="s">
        <v>2790</v>
      </c>
      <c r="E9319" s="3" t="s">
        <v>3</v>
      </c>
      <c r="F9319" s="4">
        <v>0</v>
      </c>
      <c r="G9319" s="3">
        <v>2388</v>
      </c>
      <c r="H9319" s="3">
        <v>74</v>
      </c>
      <c r="I9319" s="3">
        <v>597</v>
      </c>
      <c r="J9319" s="3">
        <v>523</v>
      </c>
      <c r="K9319" s="3">
        <v>2307</v>
      </c>
      <c r="L9319" s="3">
        <v>56</v>
      </c>
      <c r="M9319" s="3">
        <v>615</v>
      </c>
    </row>
    <row r="9320" spans="1:13" x14ac:dyDescent="0.25">
      <c r="A9320" s="1" t="str">
        <f>HYPERLINK("http://www.rosaceae.org/Prunus/Prunus_persica/p.persica_gdr_reftransV1_0030133","p.persica_gdr_reftransV1_0030133")</f>
        <v>p.persica_gdr_reftransV1_0030133</v>
      </c>
      <c r="B9320" s="3">
        <v>1934</v>
      </c>
      <c r="C9320" s="1" t="str">
        <f>HYPERLINK("http://www.uniprot.org/uniprot/Y5162_ARATH","Y5162_ARATH")</f>
        <v>Y5162_ARATH</v>
      </c>
      <c r="D9320" t="s">
        <v>3184</v>
      </c>
      <c r="E9320" s="3" t="s">
        <v>3</v>
      </c>
      <c r="F9320" s="4">
        <v>7.2500000000000006E-30</v>
      </c>
      <c r="G9320" s="3">
        <v>322</v>
      </c>
      <c r="H9320" s="3">
        <v>33</v>
      </c>
      <c r="I9320" s="3">
        <v>227</v>
      </c>
      <c r="J9320" s="3">
        <v>394</v>
      </c>
      <c r="K9320" s="3">
        <v>1068</v>
      </c>
      <c r="L9320" s="3">
        <v>187</v>
      </c>
      <c r="M9320" s="3">
        <v>413</v>
      </c>
    </row>
    <row r="9321" spans="1:13" x14ac:dyDescent="0.25">
      <c r="A9321" s="1" t="str">
        <f>HYPERLINK("http://www.rosaceae.org/Prunus/Prunus_persica/p.persica_gdr_reftransV1_0030283","p.persica_gdr_reftransV1_0030283")</f>
        <v>p.persica_gdr_reftransV1_0030283</v>
      </c>
      <c r="B9321" s="3">
        <v>3338</v>
      </c>
      <c r="C9321" s="1" t="str">
        <f>HYPERLINK("http://www.uniprot.org/uniprot/ARid2_ARATH","ARid2_ARATH")</f>
        <v>ARid2_ARATH</v>
      </c>
      <c r="D9321" t="s">
        <v>6986</v>
      </c>
      <c r="E9321" s="3" t="s">
        <v>3</v>
      </c>
      <c r="F9321" s="4">
        <v>8.1399999999999995E-68</v>
      </c>
      <c r="G9321" s="3">
        <v>620</v>
      </c>
      <c r="H9321" s="3">
        <v>42</v>
      </c>
      <c r="I9321" s="3">
        <v>348</v>
      </c>
      <c r="J9321" s="3">
        <v>1714</v>
      </c>
      <c r="K9321" s="3">
        <v>2721</v>
      </c>
      <c r="L9321" s="3">
        <v>208</v>
      </c>
      <c r="M9321" s="3">
        <v>550</v>
      </c>
    </row>
    <row r="9322" spans="1:13" x14ac:dyDescent="0.25">
      <c r="A9322" s="1" t="str">
        <f>HYPERLINK("http://www.rosaceae.org/Prunus/Prunus_persica/p.persica_gdr_reftransV1_0030483","p.persica_gdr_reftransV1_0030483")</f>
        <v>p.persica_gdr_reftransV1_0030483</v>
      </c>
      <c r="B9322" s="3">
        <v>4959</v>
      </c>
      <c r="C9322" s="1" t="str">
        <f>HYPERLINK("http://www.uniprot.org/uniprot/AP1_ARATH","AP1_ARATH")</f>
        <v>AP1_ARATH</v>
      </c>
      <c r="D9322" t="s">
        <v>6987</v>
      </c>
      <c r="E9322" s="3" t="s">
        <v>3</v>
      </c>
      <c r="F9322" s="4">
        <v>6.2300000000000005E-23</v>
      </c>
      <c r="G9322" s="3">
        <v>262</v>
      </c>
      <c r="H9322" s="3">
        <v>63</v>
      </c>
      <c r="I9322" s="3">
        <v>102</v>
      </c>
      <c r="J9322" s="3">
        <v>1279</v>
      </c>
      <c r="K9322" s="3">
        <v>1584</v>
      </c>
      <c r="L9322" s="3">
        <v>63</v>
      </c>
      <c r="M9322" s="3">
        <v>164</v>
      </c>
    </row>
    <row r="9323" spans="1:13" x14ac:dyDescent="0.25">
      <c r="A9323" s="1" t="str">
        <f>HYPERLINK("http://www.rosaceae.org/Prunus/Prunus_persica/p.persica_gdr_reftransV1_0030533","p.persica_gdr_reftransV1_0030533")</f>
        <v>p.persica_gdr_reftransV1_0030533</v>
      </c>
      <c r="B9323" s="3">
        <v>1040</v>
      </c>
      <c r="C9323" s="1" t="str">
        <f>HYPERLINK("http://www.uniprot.org/uniprot/KAN2_ARATH","KAN2_ARATH")</f>
        <v>KAN2_ARATH</v>
      </c>
      <c r="D9323" t="s">
        <v>6519</v>
      </c>
      <c r="E9323" s="3" t="s">
        <v>3</v>
      </c>
      <c r="F9323" s="4">
        <v>3.9099999999999998E-20</v>
      </c>
      <c r="G9323" s="3">
        <v>231</v>
      </c>
      <c r="H9323" s="3">
        <v>91</v>
      </c>
      <c r="I9323" s="3">
        <v>47</v>
      </c>
      <c r="J9323" s="3">
        <v>900</v>
      </c>
      <c r="K9323" s="3">
        <v>1040</v>
      </c>
      <c r="L9323" s="3">
        <v>196</v>
      </c>
      <c r="M9323" s="3">
        <v>242</v>
      </c>
    </row>
    <row r="9324" spans="1:13" x14ac:dyDescent="0.25">
      <c r="A9324" s="1" t="str">
        <f>HYPERLINK("http://www.rosaceae.org/Prunus/Prunus_persica/p.persica_gdr_reftransV1_0030583","p.persica_gdr_reftransV1_0030583")</f>
        <v>p.persica_gdr_reftransV1_0030583</v>
      </c>
      <c r="B9324" s="3">
        <v>2816</v>
      </c>
      <c r="C9324" s="1" t="str">
        <f>HYPERLINK("http://www.uniprot.org/uniprot/PP388_ARATH","PP388_ARATH")</f>
        <v>PP388_ARATH</v>
      </c>
      <c r="D9324" t="s">
        <v>6988</v>
      </c>
      <c r="E9324" s="3" t="s">
        <v>3</v>
      </c>
      <c r="F9324" s="4">
        <v>0</v>
      </c>
      <c r="G9324" s="3">
        <v>1566</v>
      </c>
      <c r="H9324" s="3">
        <v>59</v>
      </c>
      <c r="I9324" s="3">
        <v>498</v>
      </c>
      <c r="J9324" s="3">
        <v>407</v>
      </c>
      <c r="K9324" s="3">
        <v>1894</v>
      </c>
      <c r="L9324" s="3">
        <v>35</v>
      </c>
      <c r="M9324" s="3">
        <v>531</v>
      </c>
    </row>
    <row r="9325" spans="1:13" x14ac:dyDescent="0.25">
      <c r="A9325" s="1" t="str">
        <f>HYPERLINK("http://www.rosaceae.org/Prunus/Prunus_persica/p.persica_gdr_reftransV1_0030683","p.persica_gdr_reftransV1_0030683")</f>
        <v>p.persica_gdr_reftransV1_0030683</v>
      </c>
      <c r="B9325" s="3">
        <v>1554</v>
      </c>
      <c r="C9325" s="1" t="str">
        <f>HYPERLINK("http://www.uniprot.org/uniprot/LUL4_ARATH","LUL4_ARATH")</f>
        <v>LUL4_ARATH</v>
      </c>
      <c r="D9325" t="s">
        <v>6989</v>
      </c>
      <c r="E9325" s="3" t="s">
        <v>3</v>
      </c>
      <c r="F9325" s="4">
        <v>2.4499999999999999E-97</v>
      </c>
      <c r="G9325" s="3">
        <v>782</v>
      </c>
      <c r="H9325" s="3">
        <v>65</v>
      </c>
      <c r="I9325" s="3">
        <v>250</v>
      </c>
      <c r="J9325" s="3">
        <v>445</v>
      </c>
      <c r="K9325" s="3">
        <v>1188</v>
      </c>
      <c r="L9325" s="3">
        <v>114</v>
      </c>
      <c r="M9325" s="3">
        <v>355</v>
      </c>
    </row>
    <row r="9326" spans="1:13" x14ac:dyDescent="0.25">
      <c r="A9326" s="1" t="str">
        <f>HYPERLINK("http://www.rosaceae.org/Prunus/Prunus_persica/p.persica_gdr_reftransV1_0030833","p.persica_gdr_reftransV1_0030833")</f>
        <v>p.persica_gdr_reftransV1_0030833</v>
      </c>
      <c r="B9326" s="3">
        <v>6614</v>
      </c>
      <c r="C9326" s="1" t="str">
        <f>HYPERLINK("http://www.uniprot.org/uniprot/YG42_SCHPO","YG42_SCHPO")</f>
        <v>YG42_SCHPO</v>
      </c>
      <c r="D9326" t="s">
        <v>6290</v>
      </c>
      <c r="E9326" s="3" t="s">
        <v>464</v>
      </c>
      <c r="F9326" s="4">
        <v>3.8100000000000003E-76</v>
      </c>
      <c r="G9326" s="3">
        <v>719</v>
      </c>
      <c r="H9326" s="3">
        <v>30</v>
      </c>
      <c r="I9326" s="3">
        <v>774</v>
      </c>
      <c r="J9326" s="3">
        <v>3168</v>
      </c>
      <c r="K9326" s="3">
        <v>5411</v>
      </c>
      <c r="L9326" s="3">
        <v>371</v>
      </c>
      <c r="M9326" s="3">
        <v>1004</v>
      </c>
    </row>
    <row r="9327" spans="1:13" x14ac:dyDescent="0.25">
      <c r="A9327" s="1" t="str">
        <f>HYPERLINK("http://www.rosaceae.org/Prunus/Prunus_persica/p.persica_gdr_reftransV1_0030883","p.persica_gdr_reftransV1_0030883")</f>
        <v>p.persica_gdr_reftransV1_0030883</v>
      </c>
      <c r="B9327" s="3">
        <v>3048</v>
      </c>
      <c r="C9327" s="1" t="str">
        <f>HYPERLINK("http://www.uniprot.org/uniprot/EXOSX_MOUSE","EXOSX_MOUSE")</f>
        <v>EXOSX_MOUSE</v>
      </c>
      <c r="D9327" t="s">
        <v>6990</v>
      </c>
      <c r="E9327" s="3" t="s">
        <v>157</v>
      </c>
      <c r="F9327" s="4">
        <v>4.36E-84</v>
      </c>
      <c r="G9327" s="3">
        <v>759</v>
      </c>
      <c r="H9327" s="3">
        <v>39</v>
      </c>
      <c r="I9327" s="3">
        <v>527</v>
      </c>
      <c r="J9327" s="3">
        <v>1434</v>
      </c>
      <c r="K9327" s="3">
        <v>2864</v>
      </c>
      <c r="L9327" s="3">
        <v>52</v>
      </c>
      <c r="M9327" s="3">
        <v>545</v>
      </c>
    </row>
    <row r="9328" spans="1:13" x14ac:dyDescent="0.25">
      <c r="A9328" s="1" t="str">
        <f>HYPERLINK("http://www.rosaceae.org/Prunus/Prunus_persica/p.persica_gdr_reftransV1_0031033","p.persica_gdr_reftransV1_0031033")</f>
        <v>p.persica_gdr_reftransV1_0031033</v>
      </c>
      <c r="B9328" s="3">
        <v>1691</v>
      </c>
      <c r="C9328" s="1" t="str">
        <f>HYPERLINK("http://www.uniprot.org/uniprot/OCT3_ARATH","OCT3_ARATH")</f>
        <v>OCT3_ARATH</v>
      </c>
      <c r="D9328" t="s">
        <v>6991</v>
      </c>
      <c r="E9328" s="3" t="s">
        <v>3</v>
      </c>
      <c r="F9328" s="4">
        <v>0</v>
      </c>
      <c r="G9328" s="3">
        <v>1583</v>
      </c>
      <c r="H9328" s="3">
        <v>61</v>
      </c>
      <c r="I9328" s="3">
        <v>524</v>
      </c>
      <c r="J9328" s="3">
        <v>110</v>
      </c>
      <c r="K9328" s="3">
        <v>1663</v>
      </c>
      <c r="L9328" s="3">
        <v>1</v>
      </c>
      <c r="M9328" s="3">
        <v>509</v>
      </c>
    </row>
    <row r="9329" spans="1:13" x14ac:dyDescent="0.25">
      <c r="A9329" s="1" t="str">
        <f>HYPERLINK("http://www.rosaceae.org/Prunus/Prunus_persica/p.persica_gdr_reftransV1_0031133","p.persica_gdr_reftransV1_0031133")</f>
        <v>p.persica_gdr_reftransV1_0031133</v>
      </c>
      <c r="B9329" s="3">
        <v>2449</v>
      </c>
      <c r="C9329" s="1" t="str">
        <f>HYPERLINK("http://www.uniprot.org/uniprot/PPX_PSEAE","PPX_PSEAE")</f>
        <v>PPX_PSEAE</v>
      </c>
      <c r="D9329" t="s">
        <v>6992</v>
      </c>
      <c r="E9329" s="3" t="s">
        <v>2933</v>
      </c>
      <c r="F9329" s="4">
        <v>4.62E-36</v>
      </c>
      <c r="G9329" s="3">
        <v>371</v>
      </c>
      <c r="H9329" s="3">
        <v>28</v>
      </c>
      <c r="I9329" s="3">
        <v>510</v>
      </c>
      <c r="J9329" s="3">
        <v>108</v>
      </c>
      <c r="K9329" s="3">
        <v>1610</v>
      </c>
      <c r="L9329" s="3">
        <v>4</v>
      </c>
      <c r="M9329" s="3">
        <v>447</v>
      </c>
    </row>
    <row r="9330" spans="1:13" x14ac:dyDescent="0.25">
      <c r="A9330" s="1" t="str">
        <f>HYPERLINK("http://www.rosaceae.org/Prunus/Prunus_persica/p.persica_gdr_reftransV1_0031233","p.persica_gdr_reftransV1_0031233")</f>
        <v>p.persica_gdr_reftransV1_0031233</v>
      </c>
      <c r="B9330" s="3">
        <v>2933</v>
      </c>
      <c r="C9330" s="1" t="str">
        <f>HYPERLINK("http://www.uniprot.org/uniprot/UKL4_ARATH","UKL4_ARATH")</f>
        <v>UKL4_ARATH</v>
      </c>
      <c r="D9330" t="s">
        <v>6993</v>
      </c>
      <c r="E9330" s="3" t="s">
        <v>3</v>
      </c>
      <c r="F9330" s="4">
        <v>0</v>
      </c>
      <c r="G9330" s="3">
        <v>1518</v>
      </c>
      <c r="H9330" s="3">
        <v>85</v>
      </c>
      <c r="I9330" s="3">
        <v>340</v>
      </c>
      <c r="J9330" s="3">
        <v>1518</v>
      </c>
      <c r="K9330" s="3">
        <v>2525</v>
      </c>
      <c r="L9330" s="3">
        <v>1</v>
      </c>
      <c r="M9330" s="3">
        <v>336</v>
      </c>
    </row>
    <row r="9331" spans="1:13" x14ac:dyDescent="0.25">
      <c r="A9331" s="1" t="str">
        <f>HYPERLINK("http://www.rosaceae.org/Prunus/Prunus_persica/p.persica_gdr_reftransV1_0031433","p.persica_gdr_reftransV1_0031433")</f>
        <v>p.persica_gdr_reftransV1_0031433</v>
      </c>
      <c r="B9331" s="3">
        <v>1948</v>
      </c>
      <c r="C9331" s="1" t="str">
        <f>HYPERLINK("http://www.uniprot.org/uniprot/KAD1_ORYSJ","KAD1_ORYSJ")</f>
        <v>KAD1_ORYSJ</v>
      </c>
      <c r="D9331" t="s">
        <v>6994</v>
      </c>
      <c r="E9331" s="3" t="s">
        <v>38</v>
      </c>
      <c r="F9331" s="4">
        <v>1.0099999999999999E-82</v>
      </c>
      <c r="G9331" s="3">
        <v>576</v>
      </c>
      <c r="H9331" s="3">
        <v>76</v>
      </c>
      <c r="I9331" s="3">
        <v>139</v>
      </c>
      <c r="J9331" s="3">
        <v>1002</v>
      </c>
      <c r="K9331" s="3">
        <v>1418</v>
      </c>
      <c r="L9331" s="3">
        <v>107</v>
      </c>
      <c r="M9331" s="3">
        <v>245</v>
      </c>
    </row>
    <row r="9332" spans="1:13" x14ac:dyDescent="0.25">
      <c r="A9332" s="1" t="str">
        <f>HYPERLINK("http://www.rosaceae.org/Prunus/Prunus_persica/p.persica_gdr_reftransV1_0031533","p.persica_gdr_reftransV1_0031533")</f>
        <v>p.persica_gdr_reftransV1_0031533</v>
      </c>
      <c r="B9332" s="3">
        <v>1280</v>
      </c>
      <c r="C9332" s="1" t="str">
        <f>HYPERLINK("http://www.uniprot.org/uniprot/PPDEX_ARATH","PPDEX_ARATH")</f>
        <v>PPDEX_ARATH</v>
      </c>
      <c r="D9332" t="s">
        <v>3683</v>
      </c>
      <c r="E9332" s="3" t="s">
        <v>3</v>
      </c>
      <c r="F9332" s="4">
        <v>6.2099999999999996E-57</v>
      </c>
      <c r="G9332" s="3">
        <v>490</v>
      </c>
      <c r="H9332" s="3">
        <v>54</v>
      </c>
      <c r="I9332" s="3">
        <v>151</v>
      </c>
      <c r="J9332" s="3">
        <v>516</v>
      </c>
      <c r="K9332" s="3">
        <v>959</v>
      </c>
      <c r="L9332" s="3">
        <v>18</v>
      </c>
      <c r="M9332" s="3">
        <v>168</v>
      </c>
    </row>
    <row r="9333" spans="1:13" x14ac:dyDescent="0.25">
      <c r="A9333" s="1" t="str">
        <f>HYPERLINK("http://www.rosaceae.org/Prunus/Prunus_persica/p.persica_gdr_reftransV1_0031633","p.persica_gdr_reftransV1_0031633")</f>
        <v>p.persica_gdr_reftransV1_0031633</v>
      </c>
      <c r="B9333" s="3">
        <v>1683</v>
      </c>
      <c r="C9333" s="1" t="str">
        <f>HYPERLINK("http://www.uniprot.org/uniprot/DAPB2_ARATH","DAPB2_ARATH")</f>
        <v>DAPB2_ARATH</v>
      </c>
      <c r="D9333" t="s">
        <v>3605</v>
      </c>
      <c r="E9333" s="3" t="s">
        <v>3</v>
      </c>
      <c r="F9333" s="4">
        <v>4.9000000000000003E-104</v>
      </c>
      <c r="G9333" s="3">
        <v>830</v>
      </c>
      <c r="H9333" s="3">
        <v>81</v>
      </c>
      <c r="I9333" s="3">
        <v>187</v>
      </c>
      <c r="J9333" s="3">
        <v>323</v>
      </c>
      <c r="K9333" s="3">
        <v>883</v>
      </c>
      <c r="L9333" s="3">
        <v>75</v>
      </c>
      <c r="M9333" s="3">
        <v>261</v>
      </c>
    </row>
    <row r="9334" spans="1:13" x14ac:dyDescent="0.25">
      <c r="A9334" s="1" t="str">
        <f>HYPERLINK("http://www.rosaceae.org/Prunus/Prunus_persica/p.persica_gdr_reftransV1_0031783","p.persica_gdr_reftransV1_0031783")</f>
        <v>p.persica_gdr_reftransV1_0031783</v>
      </c>
      <c r="B9334" s="3">
        <v>1414</v>
      </c>
      <c r="C9334" s="1" t="str">
        <f>HYPERLINK("http://www.uniprot.org/uniprot/KIN13_ARATH","KIN13_ARATH")</f>
        <v>KIN13_ARATH</v>
      </c>
      <c r="D9334" t="s">
        <v>465</v>
      </c>
      <c r="E9334" s="3" t="s">
        <v>3</v>
      </c>
      <c r="F9334" s="4">
        <v>3.2899999999999999E-24</v>
      </c>
      <c r="G9334" s="3">
        <v>273</v>
      </c>
      <c r="H9334" s="3">
        <v>94</v>
      </c>
      <c r="I9334" s="3">
        <v>52</v>
      </c>
      <c r="J9334" s="3">
        <v>1258</v>
      </c>
      <c r="K9334" s="3">
        <v>1413</v>
      </c>
      <c r="L9334" s="3">
        <v>475</v>
      </c>
      <c r="M9334" s="3">
        <v>526</v>
      </c>
    </row>
    <row r="9335" spans="1:13" x14ac:dyDescent="0.25">
      <c r="A9335" s="1" t="str">
        <f>HYPERLINK("http://www.rosaceae.org/Prunus/Prunus_persica/p.persica_gdr_reftransV1_0031833","p.persica_gdr_reftransV1_0031833")</f>
        <v>p.persica_gdr_reftransV1_0031833</v>
      </c>
      <c r="B9335" s="3">
        <v>1620</v>
      </c>
      <c r="C9335" s="1" t="str">
        <f>HYPERLINK("http://www.uniprot.org/uniprot/VRN1_ARATH","VRN1_ARATH")</f>
        <v>VRN1_ARATH</v>
      </c>
      <c r="D9335" t="s">
        <v>4078</v>
      </c>
      <c r="E9335" s="3" t="s">
        <v>3</v>
      </c>
      <c r="F9335" s="4">
        <v>1.92E-7</v>
      </c>
      <c r="G9335" s="3">
        <v>136</v>
      </c>
      <c r="H9335" s="3">
        <v>34</v>
      </c>
      <c r="I9335" s="3">
        <v>101</v>
      </c>
      <c r="J9335" s="3">
        <v>619</v>
      </c>
      <c r="K9335" s="3">
        <v>909</v>
      </c>
      <c r="L9335" s="3">
        <v>9</v>
      </c>
      <c r="M9335" s="3">
        <v>108</v>
      </c>
    </row>
    <row r="9336" spans="1:13" x14ac:dyDescent="0.25">
      <c r="A9336" s="1" t="str">
        <f>HYPERLINK("http://www.rosaceae.org/Prunus/Prunus_persica/p.persica_gdr_reftransV1_0031933","p.persica_gdr_reftransV1_0031933")</f>
        <v>p.persica_gdr_reftransV1_0031933</v>
      </c>
      <c r="B9336" s="3">
        <v>3518</v>
      </c>
      <c r="C9336" s="1" t="str">
        <f>HYPERLINK("http://www.uniprot.org/uniprot/D6KL2_ARATH","D6KL2_ARATH")</f>
        <v>D6KL2_ARATH</v>
      </c>
      <c r="D9336" t="s">
        <v>1171</v>
      </c>
      <c r="E9336" s="3" t="s">
        <v>3</v>
      </c>
      <c r="F9336" s="4">
        <v>4.08E-170</v>
      </c>
      <c r="G9336" s="3">
        <v>1345</v>
      </c>
      <c r="H9336" s="3">
        <v>84</v>
      </c>
      <c r="I9336" s="3">
        <v>297</v>
      </c>
      <c r="J9336" s="3">
        <v>155</v>
      </c>
      <c r="K9336" s="3">
        <v>1045</v>
      </c>
      <c r="L9336" s="3">
        <v>292</v>
      </c>
      <c r="M9336" s="3">
        <v>586</v>
      </c>
    </row>
    <row r="9337" spans="1:13" x14ac:dyDescent="0.25">
      <c r="A9337" s="1" t="str">
        <f>HYPERLINK("http://www.rosaceae.org/Prunus/Prunus_persica/p.persica_gdr_reftransV1_0031983","p.persica_gdr_reftransV1_0031983")</f>
        <v>p.persica_gdr_reftransV1_0031983</v>
      </c>
      <c r="B9337" s="3">
        <v>2203</v>
      </c>
      <c r="C9337" s="1" t="str">
        <f>HYPERLINK("http://www.uniprot.org/uniprot/BPM2_ARATH","BPM2_ARATH")</f>
        <v>BPM2_ARATH</v>
      </c>
      <c r="D9337" t="s">
        <v>5867</v>
      </c>
      <c r="E9337" s="3" t="s">
        <v>3</v>
      </c>
      <c r="F9337" s="4">
        <v>7.2400000000000002E-110</v>
      </c>
      <c r="G9337" s="3">
        <v>888</v>
      </c>
      <c r="H9337" s="3">
        <v>74</v>
      </c>
      <c r="I9337" s="3">
        <v>218</v>
      </c>
      <c r="J9337" s="3">
        <v>1093</v>
      </c>
      <c r="K9337" s="3">
        <v>1746</v>
      </c>
      <c r="L9337" s="3">
        <v>32</v>
      </c>
      <c r="M9337" s="3">
        <v>249</v>
      </c>
    </row>
    <row r="9338" spans="1:13" x14ac:dyDescent="0.25">
      <c r="A9338" s="1" t="str">
        <f>HYPERLINK("http://www.rosaceae.org/Prunus/Prunus_persica/p.persica_gdr_reftransV1_0032583","p.persica_gdr_reftransV1_0032583")</f>
        <v>p.persica_gdr_reftransV1_0032583</v>
      </c>
      <c r="B9338" s="3">
        <v>3326</v>
      </c>
      <c r="C9338" s="1" t="str">
        <f>HYPERLINK("http://www.uniprot.org/uniprot/TPR4_ARATH","TPR4_ARATH")</f>
        <v>TPR4_ARATH</v>
      </c>
      <c r="D9338" t="s">
        <v>3003</v>
      </c>
      <c r="E9338" s="3" t="s">
        <v>3</v>
      </c>
      <c r="F9338" s="4">
        <v>0</v>
      </c>
      <c r="G9338" s="3">
        <v>3196</v>
      </c>
      <c r="H9338" s="3">
        <v>62</v>
      </c>
      <c r="I9338" s="3">
        <v>1006</v>
      </c>
      <c r="J9338" s="3">
        <v>446</v>
      </c>
      <c r="K9338" s="3">
        <v>3325</v>
      </c>
      <c r="L9338" s="3">
        <v>167</v>
      </c>
      <c r="M9338" s="3">
        <v>1135</v>
      </c>
    </row>
    <row r="9339" spans="1:13" x14ac:dyDescent="0.25">
      <c r="A9339" s="1" t="str">
        <f>HYPERLINK("http://www.rosaceae.org/Prunus/Prunus_persica/p.persica_gdr_reftransV1_0032783","p.persica_gdr_reftransV1_0032783")</f>
        <v>p.persica_gdr_reftransV1_0032783</v>
      </c>
      <c r="B9339" s="3">
        <v>2640</v>
      </c>
      <c r="C9339" s="1" t="str">
        <f>HYPERLINK("http://www.uniprot.org/uniprot/SR34A_ARATH","SR34A_ARATH")</f>
        <v>SR34A_ARATH</v>
      </c>
      <c r="D9339" t="s">
        <v>6995</v>
      </c>
      <c r="E9339" s="3" t="s">
        <v>3</v>
      </c>
      <c r="F9339" s="4">
        <v>4.2599999999999999E-60</v>
      </c>
      <c r="G9339" s="3">
        <v>537</v>
      </c>
      <c r="H9339" s="3">
        <v>79</v>
      </c>
      <c r="I9339" s="3">
        <v>168</v>
      </c>
      <c r="J9339" s="3">
        <v>1024</v>
      </c>
      <c r="K9339" s="3">
        <v>1500</v>
      </c>
      <c r="L9339" s="3">
        <v>1</v>
      </c>
      <c r="M9339" s="3">
        <v>168</v>
      </c>
    </row>
    <row r="9340" spans="1:13" x14ac:dyDescent="0.25">
      <c r="A9340" s="1" t="str">
        <f>HYPERLINK("http://www.rosaceae.org/Prunus/Prunus_persica/p.persica_gdr_reftransV1_0032833","p.persica_gdr_reftransV1_0032833")</f>
        <v>p.persica_gdr_reftransV1_0032833</v>
      </c>
      <c r="B9340" s="3">
        <v>2289</v>
      </c>
      <c r="C9340" s="1" t="str">
        <f>HYPERLINK("http://www.uniprot.org/uniprot/NFYBA_ARATH","NFYBA_ARATH")</f>
        <v>NFYBA_ARATH</v>
      </c>
      <c r="D9340" t="s">
        <v>6996</v>
      </c>
      <c r="E9340" s="3" t="s">
        <v>3</v>
      </c>
      <c r="F9340" s="4">
        <v>7.4900000000000002E-67</v>
      </c>
      <c r="G9340" s="3">
        <v>572</v>
      </c>
      <c r="H9340" s="3">
        <v>84</v>
      </c>
      <c r="I9340" s="3">
        <v>147</v>
      </c>
      <c r="J9340" s="3">
        <v>320</v>
      </c>
      <c r="K9340" s="3">
        <v>748</v>
      </c>
      <c r="L9340" s="3">
        <v>19</v>
      </c>
      <c r="M9340" s="3">
        <v>164</v>
      </c>
    </row>
    <row r="9341" spans="1:13" x14ac:dyDescent="0.25">
      <c r="A9341" s="1" t="str">
        <f>HYPERLINK("http://www.rosaceae.org/Prunus/Prunus_persica/p.persica_gdr_reftransV1_0032933","p.persica_gdr_reftransV1_0032933")</f>
        <v>p.persica_gdr_reftransV1_0032933</v>
      </c>
      <c r="B9341" s="3">
        <v>2698</v>
      </c>
      <c r="C9341" s="1" t="str">
        <f>HYPERLINK("http://www.uniprot.org/uniprot/RH7_SPIOL","RH7_SPIOL")</f>
        <v>RH7_SPIOL</v>
      </c>
      <c r="D9341" t="s">
        <v>6997</v>
      </c>
      <c r="E9341" s="3" t="s">
        <v>131</v>
      </c>
      <c r="F9341" s="4">
        <v>0</v>
      </c>
      <c r="G9341" s="3">
        <v>2044</v>
      </c>
      <c r="H9341" s="3">
        <v>74</v>
      </c>
      <c r="I9341" s="3">
        <v>534</v>
      </c>
      <c r="J9341" s="3">
        <v>614</v>
      </c>
      <c r="K9341" s="3">
        <v>2215</v>
      </c>
      <c r="L9341" s="3">
        <v>105</v>
      </c>
      <c r="M9341" s="3">
        <v>638</v>
      </c>
    </row>
    <row r="9342" spans="1:13" x14ac:dyDescent="0.25">
      <c r="A9342" s="1" t="str">
        <f>HYPERLINK("http://www.rosaceae.org/Prunus/Prunus_persica/p.persica_gdr_reftransV1_0033583","p.persica_gdr_reftransV1_0033583")</f>
        <v>p.persica_gdr_reftransV1_0033583</v>
      </c>
      <c r="B9342" s="3">
        <v>2765</v>
      </c>
      <c r="C9342" s="1" t="str">
        <f>HYPERLINK("http://www.uniprot.org/uniprot/ORC3_ORYSJ","ORC3_ORYSJ")</f>
        <v>ORC3_ORYSJ</v>
      </c>
      <c r="D9342" t="s">
        <v>6998</v>
      </c>
      <c r="E9342" s="3" t="s">
        <v>38</v>
      </c>
      <c r="F9342" s="4">
        <v>5.9000000000000002E-157</v>
      </c>
      <c r="G9342" s="3">
        <v>849</v>
      </c>
      <c r="H9342" s="3">
        <v>42</v>
      </c>
      <c r="I9342" s="3">
        <v>423</v>
      </c>
      <c r="J9342" s="3">
        <v>1496</v>
      </c>
      <c r="K9342" s="3">
        <v>2635</v>
      </c>
      <c r="L9342" s="3">
        <v>11</v>
      </c>
      <c r="M9342" s="3">
        <v>431</v>
      </c>
    </row>
    <row r="9343" spans="1:13" x14ac:dyDescent="0.25">
      <c r="A9343" s="1" t="str">
        <f>HYPERLINK("http://www.rosaceae.org/Prunus/Prunus_persica/p.persica_gdr_reftransV1_0033683","p.persica_gdr_reftransV1_0033683")</f>
        <v>p.persica_gdr_reftransV1_0033683</v>
      </c>
      <c r="B9343" s="3">
        <v>2390</v>
      </c>
      <c r="C9343" s="1" t="str">
        <f>HYPERLINK("http://www.uniprot.org/uniprot/PDCB3_ARATH","PDCB3_ARATH")</f>
        <v>PDCB3_ARATH</v>
      </c>
      <c r="D9343" t="s">
        <v>3021</v>
      </c>
      <c r="E9343" s="3" t="s">
        <v>3</v>
      </c>
      <c r="F9343" s="4">
        <v>6.3500000000000004E-26</v>
      </c>
      <c r="G9343" s="3">
        <v>276</v>
      </c>
      <c r="H9343" s="3">
        <v>65</v>
      </c>
      <c r="I9343" s="3">
        <v>69</v>
      </c>
      <c r="J9343" s="3">
        <v>599</v>
      </c>
      <c r="K9343" s="3">
        <v>805</v>
      </c>
      <c r="L9343" s="3">
        <v>20</v>
      </c>
      <c r="M9343" s="3">
        <v>88</v>
      </c>
    </row>
    <row r="9344" spans="1:13" x14ac:dyDescent="0.25">
      <c r="A9344" s="1" t="str">
        <f>HYPERLINK("http://www.rosaceae.org/Prunus/Prunus_persica/p.persica_gdr_reftransV1_0033983","p.persica_gdr_reftransV1_0033983")</f>
        <v>p.persica_gdr_reftransV1_0033983</v>
      </c>
      <c r="B9344" s="3">
        <v>2372</v>
      </c>
      <c r="C9344" s="1" t="str">
        <f>HYPERLINK("http://www.uniprot.org/uniprot/ARP1_ARATH","ARP1_ARATH")</f>
        <v>ARP1_ARATH</v>
      </c>
      <c r="D9344" t="s">
        <v>5986</v>
      </c>
      <c r="E9344" s="3" t="s">
        <v>3</v>
      </c>
      <c r="F9344" s="4">
        <v>3.0699999999999999E-34</v>
      </c>
      <c r="G9344" s="3">
        <v>344</v>
      </c>
      <c r="H9344" s="3">
        <v>55</v>
      </c>
      <c r="I9344" s="3">
        <v>121</v>
      </c>
      <c r="J9344" s="3">
        <v>1327</v>
      </c>
      <c r="K9344" s="3">
        <v>1689</v>
      </c>
      <c r="L9344" s="3">
        <v>8</v>
      </c>
      <c r="M9344" s="3">
        <v>119</v>
      </c>
    </row>
    <row r="9345" spans="1:13" x14ac:dyDescent="0.25">
      <c r="A9345" s="1" t="str">
        <f>HYPERLINK("http://www.rosaceae.org/Prunus/Prunus_persica/p.persica_gdr_reftransV1_0034083","p.persica_gdr_reftransV1_0034083")</f>
        <v>p.persica_gdr_reftransV1_0034083</v>
      </c>
      <c r="B9345" s="3">
        <v>883</v>
      </c>
      <c r="C9345" s="1" t="str">
        <f>HYPERLINK("http://www.uniprot.org/uniprot/Y3264_ARATH","Y3264_ARATH")</f>
        <v>Y3264_ARATH</v>
      </c>
      <c r="D9345" t="s">
        <v>5582</v>
      </c>
      <c r="E9345" s="3" t="s">
        <v>3</v>
      </c>
      <c r="F9345" s="4">
        <v>1.0000000000000001E-9</v>
      </c>
      <c r="G9345" s="3">
        <v>151</v>
      </c>
      <c r="H9345" s="3">
        <v>25</v>
      </c>
      <c r="I9345" s="3">
        <v>158</v>
      </c>
      <c r="J9345" s="3">
        <v>15</v>
      </c>
      <c r="K9345" s="3">
        <v>479</v>
      </c>
      <c r="L9345" s="3">
        <v>340</v>
      </c>
      <c r="M9345" s="3">
        <v>496</v>
      </c>
    </row>
    <row r="9346" spans="1:13" x14ac:dyDescent="0.25">
      <c r="A9346" s="1" t="str">
        <f>HYPERLINK("http://www.rosaceae.org/Prunus/Prunus_persica/p.persica_gdr_reftransV1_0034133","p.persica_gdr_reftransV1_0034133")</f>
        <v>p.persica_gdr_reftransV1_0034133</v>
      </c>
      <c r="B9346" s="3">
        <v>2711</v>
      </c>
      <c r="C9346" s="1" t="str">
        <f>HYPERLINK("http://www.uniprot.org/uniprot/MNS1_ARATH","MNS1_ARATH")</f>
        <v>MNS1_ARATH</v>
      </c>
      <c r="D9346" t="s">
        <v>3751</v>
      </c>
      <c r="E9346" s="3" t="s">
        <v>3</v>
      </c>
      <c r="F9346" s="4">
        <v>0</v>
      </c>
      <c r="G9346" s="3">
        <v>1639</v>
      </c>
      <c r="H9346" s="3">
        <v>67</v>
      </c>
      <c r="I9346" s="3">
        <v>478</v>
      </c>
      <c r="J9346" s="3">
        <v>916</v>
      </c>
      <c r="K9346" s="3">
        <v>2340</v>
      </c>
      <c r="L9346" s="3">
        <v>1</v>
      </c>
      <c r="M9346" s="3">
        <v>431</v>
      </c>
    </row>
    <row r="9347" spans="1:13" x14ac:dyDescent="0.25">
      <c r="A9347" s="1" t="str">
        <f>HYPERLINK("http://www.rosaceae.org/Prunus/Prunus_persica/p.persica_gdr_reftransV1_0034383","p.persica_gdr_reftransV1_0034383")</f>
        <v>p.persica_gdr_reftransV1_0034383</v>
      </c>
      <c r="B9347" s="3">
        <v>3372</v>
      </c>
      <c r="C9347" s="1" t="str">
        <f>HYPERLINK("http://www.uniprot.org/uniprot/D42E1_MACFA","D42E1_MACFA")</f>
        <v>D42E1_MACFA</v>
      </c>
      <c r="D9347" t="s">
        <v>6999</v>
      </c>
      <c r="E9347" s="3" t="s">
        <v>674</v>
      </c>
      <c r="F9347" s="4">
        <v>8.8199999999999995E-84</v>
      </c>
      <c r="G9347" s="3">
        <v>724</v>
      </c>
      <c r="H9347" s="3">
        <v>48</v>
      </c>
      <c r="I9347" s="3">
        <v>326</v>
      </c>
      <c r="J9347" s="3">
        <v>2099</v>
      </c>
      <c r="K9347" s="3">
        <v>3070</v>
      </c>
      <c r="L9347" s="3">
        <v>28</v>
      </c>
      <c r="M9347" s="3">
        <v>336</v>
      </c>
    </row>
    <row r="9348" spans="1:13" x14ac:dyDescent="0.25">
      <c r="A9348" s="1" t="str">
        <f>HYPERLINK("http://www.rosaceae.org/Prunus/Prunus_persica/p.persica_gdr_reftransV1_0034483","p.persica_gdr_reftransV1_0034483")</f>
        <v>p.persica_gdr_reftransV1_0034483</v>
      </c>
      <c r="B9348" s="3">
        <v>1687</v>
      </c>
      <c r="C9348" s="1" t="str">
        <f>HYPERLINK("http://www.uniprot.org/uniprot/S35F1_HUMAN","S35F1_HUMAN")</f>
        <v>S35F1_HUMAN</v>
      </c>
      <c r="D9348" t="s">
        <v>7000</v>
      </c>
      <c r="E9348" s="3" t="s">
        <v>28</v>
      </c>
      <c r="F9348" s="4">
        <v>4.2500000000000003E-37</v>
      </c>
      <c r="G9348" s="3">
        <v>281</v>
      </c>
      <c r="H9348" s="3">
        <v>36</v>
      </c>
      <c r="I9348" s="3">
        <v>206</v>
      </c>
      <c r="J9348" s="3">
        <v>180</v>
      </c>
      <c r="K9348" s="3">
        <v>770</v>
      </c>
      <c r="L9348" s="3">
        <v>66</v>
      </c>
      <c r="M9348" s="3">
        <v>271</v>
      </c>
    </row>
    <row r="9349" spans="1:13" x14ac:dyDescent="0.25">
      <c r="A9349" s="1" t="str">
        <f>HYPERLINK("http://www.rosaceae.org/Prunus/Prunus_persica/p.persica_gdr_reftransV1_0034583","p.persica_gdr_reftransV1_0034583")</f>
        <v>p.persica_gdr_reftransV1_0034583</v>
      </c>
      <c r="B9349" s="3">
        <v>2692</v>
      </c>
      <c r="C9349" s="1" t="str">
        <f>HYPERLINK("http://www.uniprot.org/uniprot/EXO1_ARATH","EXO1_ARATH")</f>
        <v>EXO1_ARATH</v>
      </c>
      <c r="D9349" t="s">
        <v>7001</v>
      </c>
      <c r="E9349" s="3" t="s">
        <v>3</v>
      </c>
      <c r="F9349" s="4">
        <v>0</v>
      </c>
      <c r="G9349" s="3">
        <v>1701</v>
      </c>
      <c r="H9349" s="3">
        <v>55</v>
      </c>
      <c r="I9349" s="3">
        <v>746</v>
      </c>
      <c r="J9349" s="3">
        <v>108</v>
      </c>
      <c r="K9349" s="3">
        <v>2180</v>
      </c>
      <c r="L9349" s="3">
        <v>1</v>
      </c>
      <c r="M9349" s="3">
        <v>734</v>
      </c>
    </row>
    <row r="9350" spans="1:13" x14ac:dyDescent="0.25">
      <c r="A9350" s="1" t="str">
        <f>HYPERLINK("http://www.rosaceae.org/Prunus/Prunus_persica/p.persica_gdr_reftransV1_0034783","p.persica_gdr_reftransV1_0034783")</f>
        <v>p.persica_gdr_reftransV1_0034783</v>
      </c>
      <c r="B9350" s="3">
        <v>2823</v>
      </c>
      <c r="C9350" s="1" t="str">
        <f>HYPERLINK("http://www.uniprot.org/uniprot/PP307_ARATH","PP307_ARATH")</f>
        <v>PP307_ARATH</v>
      </c>
      <c r="D9350" t="s">
        <v>5226</v>
      </c>
      <c r="E9350" s="3" t="s">
        <v>3</v>
      </c>
      <c r="F9350" s="4">
        <v>0</v>
      </c>
      <c r="G9350" s="3">
        <v>1448</v>
      </c>
      <c r="H9350" s="3">
        <v>34</v>
      </c>
      <c r="I9350" s="3">
        <v>858</v>
      </c>
      <c r="J9350" s="3">
        <v>35</v>
      </c>
      <c r="K9350" s="3">
        <v>2605</v>
      </c>
      <c r="L9350" s="3">
        <v>208</v>
      </c>
      <c r="M9350" s="3">
        <v>1064</v>
      </c>
    </row>
    <row r="9351" spans="1:13" x14ac:dyDescent="0.25">
      <c r="A9351" s="1" t="str">
        <f>HYPERLINK("http://www.rosaceae.org/Prunus/Prunus_persica/p.persica_gdr_reftransV1_0034833","p.persica_gdr_reftransV1_0034833")</f>
        <v>p.persica_gdr_reftransV1_0034833</v>
      </c>
      <c r="B9351" s="3">
        <v>6684</v>
      </c>
      <c r="C9351" s="1" t="str">
        <f>HYPERLINK("http://www.uniprot.org/uniprot/CHUP1_ARATH","CHUP1_ARATH")</f>
        <v>CHUP1_ARATH</v>
      </c>
      <c r="D9351" t="s">
        <v>3256</v>
      </c>
      <c r="E9351" s="3" t="s">
        <v>3</v>
      </c>
      <c r="F9351" s="4">
        <v>0</v>
      </c>
      <c r="G9351" s="3">
        <v>2542</v>
      </c>
      <c r="H9351" s="3">
        <v>73</v>
      </c>
      <c r="I9351" s="3">
        <v>940</v>
      </c>
      <c r="J9351" s="3">
        <v>1811</v>
      </c>
      <c r="K9351" s="3">
        <v>4552</v>
      </c>
      <c r="L9351" s="3">
        <v>66</v>
      </c>
      <c r="M9351" s="3">
        <v>988</v>
      </c>
    </row>
    <row r="9352" spans="1:13" x14ac:dyDescent="0.25">
      <c r="A9352" s="1" t="str">
        <f>HYPERLINK("http://www.rosaceae.org/Prunus/Prunus_persica/p.persica_gdr_reftransV1_0034883","p.persica_gdr_reftransV1_0034883")</f>
        <v>p.persica_gdr_reftransV1_0034883</v>
      </c>
      <c r="B9352" s="3">
        <v>970</v>
      </c>
      <c r="C9352" s="1" t="str">
        <f>HYPERLINK("http://www.uniprot.org/uniprot/H2B1_MEDTR","H2B1_MEDTR")</f>
        <v>H2B1_MEDTR</v>
      </c>
      <c r="D9352" t="s">
        <v>3333</v>
      </c>
      <c r="E9352" s="3" t="s">
        <v>91</v>
      </c>
      <c r="F9352" s="4">
        <v>1.3899999999999999E-57</v>
      </c>
      <c r="G9352" s="3">
        <v>479</v>
      </c>
      <c r="H9352" s="3">
        <v>100</v>
      </c>
      <c r="I9352" s="3">
        <v>91</v>
      </c>
      <c r="J9352" s="3">
        <v>288</v>
      </c>
      <c r="K9352" s="3">
        <v>560</v>
      </c>
      <c r="L9352" s="3">
        <v>58</v>
      </c>
      <c r="M9352" s="3">
        <v>148</v>
      </c>
    </row>
    <row r="9353" spans="1:13" x14ac:dyDescent="0.25">
      <c r="A9353" s="1" t="str">
        <f>HYPERLINK("http://www.rosaceae.org/Prunus/Prunus_persica/p.persica_gdr_reftransV1_0036083","p.persica_gdr_reftransV1_0036083")</f>
        <v>p.persica_gdr_reftransV1_0036083</v>
      </c>
      <c r="B9353" s="3">
        <v>1254</v>
      </c>
      <c r="C9353" s="1" t="str">
        <f>HYPERLINK("http://www.uniprot.org/uniprot/PT112_ARATH","PT112_ARATH")</f>
        <v>PT112_ARATH</v>
      </c>
      <c r="D9353" t="s">
        <v>7002</v>
      </c>
      <c r="E9353" s="3" t="s">
        <v>3</v>
      </c>
      <c r="F9353" s="4">
        <v>1.44E-174</v>
      </c>
      <c r="G9353" s="3">
        <v>1285</v>
      </c>
      <c r="H9353" s="3">
        <v>77</v>
      </c>
      <c r="I9353" s="3">
        <v>358</v>
      </c>
      <c r="J9353" s="3">
        <v>73</v>
      </c>
      <c r="K9353" s="3">
        <v>1146</v>
      </c>
      <c r="L9353" s="3">
        <v>1</v>
      </c>
      <c r="M9353" s="3">
        <v>357</v>
      </c>
    </row>
    <row r="9354" spans="1:13" x14ac:dyDescent="0.25">
      <c r="A9354" s="1" t="str">
        <f>HYPERLINK("http://www.rosaceae.org/Prunus/Prunus_persica/p.persica_gdr_reftransV1_0036533","p.persica_gdr_reftransV1_0036533")</f>
        <v>p.persica_gdr_reftransV1_0036533</v>
      </c>
      <c r="B9354" s="3">
        <v>1723</v>
      </c>
      <c r="C9354" s="1" t="str">
        <f>HYPERLINK("http://www.uniprot.org/uniprot/SRC33_ARATH","SRC33_ARATH")</f>
        <v>SRC33_ARATH</v>
      </c>
      <c r="D9354" t="s">
        <v>6012</v>
      </c>
      <c r="E9354" s="3" t="s">
        <v>3</v>
      </c>
      <c r="F9354" s="4">
        <v>5.3399999999999997E-20</v>
      </c>
      <c r="G9354" s="3">
        <v>234</v>
      </c>
      <c r="H9354" s="3">
        <v>72</v>
      </c>
      <c r="I9354" s="3">
        <v>58</v>
      </c>
      <c r="J9354" s="3">
        <v>624</v>
      </c>
      <c r="K9354" s="3">
        <v>797</v>
      </c>
      <c r="L9354" s="3">
        <v>65</v>
      </c>
      <c r="M9354" s="3">
        <v>122</v>
      </c>
    </row>
    <row r="9355" spans="1:13" x14ac:dyDescent="0.25">
      <c r="A9355" s="1" t="str">
        <f>HYPERLINK("http://www.rosaceae.org/Prunus/Prunus_persica/p.persica_gdr_reftransV1_0036683","p.persica_gdr_reftransV1_0036683")</f>
        <v>p.persica_gdr_reftransV1_0036683</v>
      </c>
      <c r="B9355" s="3">
        <v>2214</v>
      </c>
      <c r="C9355" s="1" t="str">
        <f>HYPERLINK("http://www.uniprot.org/uniprot/FH3_ORYSJ","FH3_ORYSJ")</f>
        <v>FH3_ORYSJ</v>
      </c>
      <c r="D9355" t="s">
        <v>7003</v>
      </c>
      <c r="E9355" s="3" t="s">
        <v>38</v>
      </c>
      <c r="F9355" s="4">
        <v>1.8799999999999999E-171</v>
      </c>
      <c r="G9355" s="3">
        <v>1029</v>
      </c>
      <c r="H9355" s="3">
        <v>84</v>
      </c>
      <c r="I9355" s="3">
        <v>231</v>
      </c>
      <c r="J9355" s="3">
        <v>888</v>
      </c>
      <c r="K9355" s="3">
        <v>1580</v>
      </c>
      <c r="L9355" s="3">
        <v>981</v>
      </c>
      <c r="M9355" s="3">
        <v>1211</v>
      </c>
    </row>
    <row r="9356" spans="1:13" x14ac:dyDescent="0.25">
      <c r="A9356" s="1" t="str">
        <f>HYPERLINK("http://www.rosaceae.org/Prunus/Prunus_persica/p.persica_gdr_reftransV1_0036933","p.persica_gdr_reftransV1_0036933")</f>
        <v>p.persica_gdr_reftransV1_0036933</v>
      </c>
      <c r="B9356" s="3">
        <v>1948</v>
      </c>
      <c r="C9356" s="1" t="str">
        <f>HYPERLINK("http://www.uniprot.org/uniprot/SPEA_BACHD","SPEA_BACHD")</f>
        <v>SPEA_BACHD</v>
      </c>
      <c r="D9356" t="s">
        <v>7004</v>
      </c>
      <c r="E9356" s="3" t="s">
        <v>4833</v>
      </c>
      <c r="F9356" s="4">
        <v>5.6699999999999999E-97</v>
      </c>
      <c r="G9356" s="3">
        <v>802</v>
      </c>
      <c r="H9356" s="3">
        <v>37</v>
      </c>
      <c r="I9356" s="3">
        <v>495</v>
      </c>
      <c r="J9356" s="3">
        <v>286</v>
      </c>
      <c r="K9356" s="3">
        <v>1758</v>
      </c>
      <c r="L9356" s="3">
        <v>1</v>
      </c>
      <c r="M9356" s="3">
        <v>485</v>
      </c>
    </row>
    <row r="9357" spans="1:13" x14ac:dyDescent="0.25">
      <c r="A9357" s="1" t="str">
        <f>HYPERLINK("http://www.rosaceae.org/Prunus/Prunus_persica/p.persica_gdr_reftransV1_0037033","p.persica_gdr_reftransV1_0037033")</f>
        <v>p.persica_gdr_reftransV1_0037033</v>
      </c>
      <c r="B9357" s="3">
        <v>3165</v>
      </c>
      <c r="C9357" s="1" t="str">
        <f>HYPERLINK("http://www.uniprot.org/uniprot/CPSF3_ARATH","CPSF3_ARATH")</f>
        <v>CPSF3_ARATH</v>
      </c>
      <c r="D9357" t="s">
        <v>2163</v>
      </c>
      <c r="E9357" s="3" t="s">
        <v>3</v>
      </c>
      <c r="F9357" s="4">
        <v>0</v>
      </c>
      <c r="G9357" s="3">
        <v>1487</v>
      </c>
      <c r="H9357" s="3">
        <v>86</v>
      </c>
      <c r="I9357" s="3">
        <v>310</v>
      </c>
      <c r="J9357" s="3">
        <v>892</v>
      </c>
      <c r="K9357" s="3">
        <v>1815</v>
      </c>
      <c r="L9357" s="3">
        <v>147</v>
      </c>
      <c r="M9357" s="3">
        <v>456</v>
      </c>
    </row>
    <row r="9358" spans="1:13" x14ac:dyDescent="0.25">
      <c r="A9358" s="1" t="str">
        <f>HYPERLINK("http://www.rosaceae.org/Prunus/Prunus_persica/p.persica_gdr_reftransV1_0037083","p.persica_gdr_reftransV1_0037083")</f>
        <v>p.persica_gdr_reftransV1_0037083</v>
      </c>
      <c r="B9358" s="3">
        <v>1071</v>
      </c>
      <c r="C9358" s="1" t="str">
        <f>HYPERLINK("http://www.uniprot.org/uniprot/TRNH1_ARATH","TRNH1_ARATH")</f>
        <v>TRNH1_ARATH</v>
      </c>
      <c r="D9358" t="s">
        <v>7005</v>
      </c>
      <c r="E9358" s="3" t="s">
        <v>3</v>
      </c>
      <c r="F9358" s="4">
        <v>9.4600000000000001E-121</v>
      </c>
      <c r="G9358" s="3">
        <v>914</v>
      </c>
      <c r="H9358" s="3">
        <v>72</v>
      </c>
      <c r="I9358" s="3">
        <v>255</v>
      </c>
      <c r="J9358" s="3">
        <v>75</v>
      </c>
      <c r="K9358" s="3">
        <v>839</v>
      </c>
      <c r="L9358" s="3">
        <v>10</v>
      </c>
      <c r="M9358" s="3">
        <v>263</v>
      </c>
    </row>
    <row r="9359" spans="1:13" x14ac:dyDescent="0.25">
      <c r="A9359" s="1" t="str">
        <f>HYPERLINK("http://www.rosaceae.org/Prunus/Prunus_persica/p.persica_gdr_reftransV1_0037333","p.persica_gdr_reftransV1_0037333")</f>
        <v>p.persica_gdr_reftransV1_0037333</v>
      </c>
      <c r="B9359" s="3">
        <v>1635</v>
      </c>
      <c r="C9359" s="1" t="str">
        <f>HYPERLINK("http://www.uniprot.org/uniprot/PP357_ARATH","PP357_ARATH")</f>
        <v>PP357_ARATH</v>
      </c>
      <c r="D9359" t="s">
        <v>7006</v>
      </c>
      <c r="E9359" s="3" t="s">
        <v>3</v>
      </c>
      <c r="F9359" s="4">
        <v>4.7999999999999998E-143</v>
      </c>
      <c r="G9359" s="3">
        <v>1131</v>
      </c>
      <c r="H9359" s="3">
        <v>64</v>
      </c>
      <c r="I9359" s="3">
        <v>338</v>
      </c>
      <c r="J9359" s="3">
        <v>620</v>
      </c>
      <c r="K9359" s="3">
        <v>1633</v>
      </c>
      <c r="L9359" s="3">
        <v>496</v>
      </c>
      <c r="M9359" s="3">
        <v>833</v>
      </c>
    </row>
    <row r="9360" spans="1:13" x14ac:dyDescent="0.25">
      <c r="A9360" s="1" t="str">
        <f>HYPERLINK("http://www.rosaceae.org/Prunus/Prunus_persica/p.persica_gdr_reftransV1_0037533","p.persica_gdr_reftransV1_0037533")</f>
        <v>p.persica_gdr_reftransV1_0037533</v>
      </c>
      <c r="B9360" s="3">
        <v>2538</v>
      </c>
      <c r="C9360" s="1" t="str">
        <f>HYPERLINK("http://www.uniprot.org/uniprot/ANP1_ARATH","ANP1_ARATH")</f>
        <v>ANP1_ARATH</v>
      </c>
      <c r="D9360" t="s">
        <v>7007</v>
      </c>
      <c r="E9360" s="3" t="s">
        <v>3</v>
      </c>
      <c r="F9360" s="4">
        <v>0</v>
      </c>
      <c r="G9360" s="3">
        <v>1901</v>
      </c>
      <c r="H9360" s="3">
        <v>62</v>
      </c>
      <c r="I9360" s="3">
        <v>688</v>
      </c>
      <c r="J9360" s="3">
        <v>50</v>
      </c>
      <c r="K9360" s="3">
        <v>2065</v>
      </c>
      <c r="L9360" s="3">
        <v>1</v>
      </c>
      <c r="M9360" s="3">
        <v>665</v>
      </c>
    </row>
    <row r="9361" spans="1:13" x14ac:dyDescent="0.25">
      <c r="A9361" s="1" t="str">
        <f>HYPERLINK("http://www.rosaceae.org/Prunus/Prunus_persica/p.persica_gdr_reftransV1_0037683","p.persica_gdr_reftransV1_0037683")</f>
        <v>p.persica_gdr_reftransV1_0037683</v>
      </c>
      <c r="B9361" s="3">
        <v>2084</v>
      </c>
      <c r="C9361" s="1" t="str">
        <f>HYPERLINK("http://www.uniprot.org/uniprot/Y4095_ARATH","Y4095_ARATH")</f>
        <v>Y4095_ARATH</v>
      </c>
      <c r="D9361" t="s">
        <v>7008</v>
      </c>
      <c r="E9361" s="3" t="s">
        <v>3</v>
      </c>
      <c r="F9361" s="4">
        <v>9.4099999999999994E-20</v>
      </c>
      <c r="G9361" s="3">
        <v>233</v>
      </c>
      <c r="H9361" s="3">
        <v>36</v>
      </c>
      <c r="I9361" s="3">
        <v>280</v>
      </c>
      <c r="J9361" s="3">
        <v>215</v>
      </c>
      <c r="K9361" s="3">
        <v>847</v>
      </c>
      <c r="L9361" s="3">
        <v>15</v>
      </c>
      <c r="M9361" s="3">
        <v>288</v>
      </c>
    </row>
    <row r="9362" spans="1:13" x14ac:dyDescent="0.25">
      <c r="A9362" s="1" t="str">
        <f>HYPERLINK("http://www.rosaceae.org/Prunus/Prunus_persica/p.persica_gdr_reftransV1_0037883","p.persica_gdr_reftransV1_0037883")</f>
        <v>p.persica_gdr_reftransV1_0037883</v>
      </c>
      <c r="B9362" s="3">
        <v>2360</v>
      </c>
      <c r="C9362" s="1" t="str">
        <f>HYPERLINK("http://www.uniprot.org/uniprot/KNAP3_MALDO","KNAP3_MALDO")</f>
        <v>KNAP3_MALDO</v>
      </c>
      <c r="D9362" t="s">
        <v>4673</v>
      </c>
      <c r="E9362" s="3" t="s">
        <v>540</v>
      </c>
      <c r="F9362" s="4">
        <v>3.7399999999999999E-180</v>
      </c>
      <c r="G9362" s="3">
        <v>1192</v>
      </c>
      <c r="H9362" s="3">
        <v>84</v>
      </c>
      <c r="I9362" s="3">
        <v>349</v>
      </c>
      <c r="J9362" s="3">
        <v>289</v>
      </c>
      <c r="K9362" s="3">
        <v>1335</v>
      </c>
      <c r="L9362" s="3">
        <v>1</v>
      </c>
      <c r="M9362" s="3">
        <v>340</v>
      </c>
    </row>
    <row r="9363" spans="1:13" x14ac:dyDescent="0.25">
      <c r="A9363" s="1" t="str">
        <f>HYPERLINK("http://www.rosaceae.org/Prunus/Prunus_persica/p.persica_gdr_reftransV1_0038133","p.persica_gdr_reftransV1_0038133")</f>
        <v>p.persica_gdr_reftransV1_0038133</v>
      </c>
      <c r="B9363" s="3">
        <v>4138</v>
      </c>
      <c r="C9363" s="1" t="str">
        <f>HYPERLINK("http://www.uniprot.org/uniprot/PRP39_XENLA","PRP39_XENLA")</f>
        <v>PRP39_XENLA</v>
      </c>
      <c r="D9363" t="s">
        <v>7009</v>
      </c>
      <c r="E9363" s="3" t="s">
        <v>475</v>
      </c>
      <c r="F9363" s="4">
        <v>4.57E-20</v>
      </c>
      <c r="G9363" s="3">
        <v>248</v>
      </c>
      <c r="H9363" s="3">
        <v>44</v>
      </c>
      <c r="I9363" s="3">
        <v>105</v>
      </c>
      <c r="J9363" s="3">
        <v>3102</v>
      </c>
      <c r="K9363" s="3">
        <v>3410</v>
      </c>
      <c r="L9363" s="3">
        <v>57</v>
      </c>
      <c r="M9363" s="3">
        <v>159</v>
      </c>
    </row>
    <row r="9364" spans="1:13" x14ac:dyDescent="0.25">
      <c r="A9364" s="1" t="str">
        <f>HYPERLINK("http://www.rosaceae.org/Prunus/Prunus_persica/p.persica_gdr_reftransV1_0039233","p.persica_gdr_reftransV1_0039233")</f>
        <v>p.persica_gdr_reftransV1_0039233</v>
      </c>
      <c r="B9364" s="3">
        <v>1154</v>
      </c>
      <c r="C9364" s="1" t="str">
        <f>HYPERLINK("http://www.uniprot.org/uniprot/NADHK_ARATH","NADHK_ARATH")</f>
        <v>NADHK_ARATH</v>
      </c>
      <c r="D9364" t="s">
        <v>1893</v>
      </c>
      <c r="E9364" s="3" t="s">
        <v>3</v>
      </c>
      <c r="F9364" s="4">
        <v>6.9999999999999998E-127</v>
      </c>
      <c r="G9364" s="3">
        <v>962</v>
      </c>
      <c r="H9364" s="3">
        <v>64</v>
      </c>
      <c r="I9364" s="3">
        <v>316</v>
      </c>
      <c r="J9364" s="3">
        <v>174</v>
      </c>
      <c r="K9364" s="3">
        <v>1118</v>
      </c>
      <c r="L9364" s="3">
        <v>1</v>
      </c>
      <c r="M9364" s="3">
        <v>313</v>
      </c>
    </row>
    <row r="9365" spans="1:13" x14ac:dyDescent="0.25">
      <c r="A9365" s="1" t="str">
        <f>HYPERLINK("http://www.rosaceae.org/Prunus/Prunus_persica/p.persica_gdr_reftransV1_0039333","p.persica_gdr_reftransV1_0039333")</f>
        <v>p.persica_gdr_reftransV1_0039333</v>
      </c>
      <c r="B9365" s="3">
        <v>4277</v>
      </c>
      <c r="C9365" s="1" t="str">
        <f>HYPERLINK("http://www.uniprot.org/uniprot/NUD19_ARATH","NUD19_ARATH")</f>
        <v>NUD19_ARATH</v>
      </c>
      <c r="D9365" t="s">
        <v>7010</v>
      </c>
      <c r="E9365" s="3" t="s">
        <v>3</v>
      </c>
      <c r="F9365" s="4">
        <v>2.3799999999999999E-130</v>
      </c>
      <c r="G9365" s="3">
        <v>1071</v>
      </c>
      <c r="H9365" s="3">
        <v>84</v>
      </c>
      <c r="I9365" s="3">
        <v>227</v>
      </c>
      <c r="J9365" s="3">
        <v>1079</v>
      </c>
      <c r="K9365" s="3">
        <v>1759</v>
      </c>
      <c r="L9365" s="3">
        <v>198</v>
      </c>
      <c r="M9365" s="3">
        <v>424</v>
      </c>
    </row>
    <row r="9366" spans="1:13" x14ac:dyDescent="0.25">
      <c r="A9366" s="1" t="str">
        <f>HYPERLINK("http://www.rosaceae.org/Prunus/Prunus_persica/p.persica_gdr_reftransV1_0039433","p.persica_gdr_reftransV1_0039433")</f>
        <v>p.persica_gdr_reftransV1_0039433</v>
      </c>
      <c r="B9366" s="3">
        <v>1603</v>
      </c>
      <c r="C9366" s="1" t="str">
        <f>HYPERLINK("http://www.uniprot.org/uniprot/Y1839_ARATH","Y1839_ARATH")</f>
        <v>Y1839_ARATH</v>
      </c>
      <c r="D9366" t="s">
        <v>3075</v>
      </c>
      <c r="E9366" s="3" t="s">
        <v>3</v>
      </c>
      <c r="F9366" s="4">
        <v>4.0500000000000002E-85</v>
      </c>
      <c r="G9366" s="3">
        <v>724</v>
      </c>
      <c r="H9366" s="3">
        <v>41</v>
      </c>
      <c r="I9366" s="3">
        <v>431</v>
      </c>
      <c r="J9366" s="3">
        <v>355</v>
      </c>
      <c r="K9366" s="3">
        <v>1581</v>
      </c>
      <c r="L9366" s="3">
        <v>217</v>
      </c>
      <c r="M9366" s="3">
        <v>625</v>
      </c>
    </row>
    <row r="9367" spans="1:13" x14ac:dyDescent="0.25">
      <c r="A9367" s="1" t="str">
        <f>HYPERLINK("http://www.rosaceae.org/Prunus/Prunus_persica/p.persica_gdr_reftransV1_0039483","p.persica_gdr_reftransV1_0039483")</f>
        <v>p.persica_gdr_reftransV1_0039483</v>
      </c>
      <c r="B9367" s="3">
        <v>633</v>
      </c>
      <c r="C9367" s="1" t="str">
        <f>HYPERLINK("http://www.uniprot.org/uniprot/WTR32_ARATH","WTR32_ARATH")</f>
        <v>WTR32_ARATH</v>
      </c>
      <c r="D9367" t="s">
        <v>3084</v>
      </c>
      <c r="E9367" s="3" t="s">
        <v>3</v>
      </c>
      <c r="F9367" s="4">
        <v>4.34E-57</v>
      </c>
      <c r="G9367" s="3">
        <v>484</v>
      </c>
      <c r="H9367" s="3">
        <v>73</v>
      </c>
      <c r="I9367" s="3">
        <v>118</v>
      </c>
      <c r="J9367" s="3">
        <v>103</v>
      </c>
      <c r="K9367" s="3">
        <v>456</v>
      </c>
      <c r="L9367" s="3">
        <v>8</v>
      </c>
      <c r="M9367" s="3">
        <v>125</v>
      </c>
    </row>
    <row r="9368" spans="1:13" x14ac:dyDescent="0.25">
      <c r="A9368" s="1" t="str">
        <f>HYPERLINK("http://www.rosaceae.org/Prunus/Prunus_persica/p.persica_gdr_reftransV1_0039633","p.persica_gdr_reftransV1_0039633")</f>
        <v>p.persica_gdr_reftransV1_0039633</v>
      </c>
      <c r="B9368" s="3">
        <v>2679</v>
      </c>
      <c r="C9368" s="1" t="str">
        <f>HYPERLINK("http://www.uniprot.org/uniprot/UTR4_ARATH","UTR4_ARATH")</f>
        <v>UTR4_ARATH</v>
      </c>
      <c r="D9368" t="s">
        <v>6782</v>
      </c>
      <c r="E9368" s="3" t="s">
        <v>3</v>
      </c>
      <c r="F9368" s="4">
        <v>3E-134</v>
      </c>
      <c r="G9368" s="3">
        <v>1059</v>
      </c>
      <c r="H9368" s="3">
        <v>85</v>
      </c>
      <c r="I9368" s="3">
        <v>237</v>
      </c>
      <c r="J9368" s="3">
        <v>1173</v>
      </c>
      <c r="K9368" s="3">
        <v>1883</v>
      </c>
      <c r="L9368" s="3">
        <v>44</v>
      </c>
      <c r="M9368" s="3">
        <v>280</v>
      </c>
    </row>
    <row r="9369" spans="1:13" x14ac:dyDescent="0.25">
      <c r="A9369" s="1" t="str">
        <f>HYPERLINK("http://www.rosaceae.org/Prunus/Prunus_persica/p.persica_gdr_reftransV1_0039933","p.persica_gdr_reftransV1_0039933")</f>
        <v>p.persica_gdr_reftransV1_0039933</v>
      </c>
      <c r="B9369" s="3">
        <v>1438</v>
      </c>
      <c r="C9369" s="1" t="str">
        <f>HYPERLINK("http://www.uniprot.org/uniprot/RAB1B_ARATH","RAB1B_ARATH")</f>
        <v>RAB1B_ARATH</v>
      </c>
      <c r="D9369" t="s">
        <v>7011</v>
      </c>
      <c r="E9369" s="3" t="s">
        <v>3</v>
      </c>
      <c r="F9369" s="4">
        <v>5.0799999999999996E-124</v>
      </c>
      <c r="G9369" s="3">
        <v>942</v>
      </c>
      <c r="H9369" s="3">
        <v>96</v>
      </c>
      <c r="I9369" s="3">
        <v>181</v>
      </c>
      <c r="J9369" s="3">
        <v>740</v>
      </c>
      <c r="K9369" s="3">
        <v>1282</v>
      </c>
      <c r="L9369" s="3">
        <v>1</v>
      </c>
      <c r="M9369" s="3">
        <v>181</v>
      </c>
    </row>
    <row r="9370" spans="1:13" x14ac:dyDescent="0.25">
      <c r="A9370" s="1" t="str">
        <f>HYPERLINK("http://www.rosaceae.org/Prunus/Prunus_persica/p.persica_gdr_reftransV1_0040283","p.persica_gdr_reftransV1_0040283")</f>
        <v>p.persica_gdr_reftransV1_0040283</v>
      </c>
      <c r="B9370" s="3">
        <v>3775</v>
      </c>
      <c r="C9370" s="1" t="str">
        <f>HYPERLINK("http://www.uniprot.org/uniprot/PSAN_ARATH","PSAN_ARATH")</f>
        <v>PSAN_ARATH</v>
      </c>
      <c r="D9370" t="s">
        <v>7012</v>
      </c>
      <c r="E9370" s="3" t="s">
        <v>3</v>
      </c>
      <c r="F9370" s="4">
        <v>2.1300000000000001E-58</v>
      </c>
      <c r="G9370" s="3">
        <v>520</v>
      </c>
      <c r="H9370" s="3">
        <v>66</v>
      </c>
      <c r="I9370" s="3">
        <v>176</v>
      </c>
      <c r="J9370" s="3">
        <v>223</v>
      </c>
      <c r="K9370" s="3">
        <v>738</v>
      </c>
      <c r="L9370" s="3">
        <v>1</v>
      </c>
      <c r="M9370" s="3">
        <v>171</v>
      </c>
    </row>
    <row r="9371" spans="1:13" x14ac:dyDescent="0.25">
      <c r="A9371" s="1" t="str">
        <f>HYPERLINK("http://www.rosaceae.org/Prunus/Prunus_persica/p.persica_gdr_reftransV1_0040383","p.persica_gdr_reftransV1_0040383")</f>
        <v>p.persica_gdr_reftransV1_0040383</v>
      </c>
      <c r="B9371" s="3">
        <v>3305</v>
      </c>
      <c r="C9371" s="1" t="str">
        <f>HYPERLINK("http://www.uniprot.org/uniprot/PGAP3_DROME","PGAP3_DROME")</f>
        <v>PGAP3_DROME</v>
      </c>
      <c r="D9371" t="s">
        <v>7013</v>
      </c>
      <c r="E9371" s="3" t="s">
        <v>5</v>
      </c>
      <c r="F9371" s="4">
        <v>2.6900000000000002E-28</v>
      </c>
      <c r="G9371" s="3">
        <v>262</v>
      </c>
      <c r="H9371" s="3">
        <v>35</v>
      </c>
      <c r="I9371" s="3">
        <v>210</v>
      </c>
      <c r="J9371" s="3">
        <v>2394</v>
      </c>
      <c r="K9371" s="3">
        <v>3017</v>
      </c>
      <c r="L9371" s="3">
        <v>111</v>
      </c>
      <c r="M9371" s="3">
        <v>310</v>
      </c>
    </row>
    <row r="9372" spans="1:13" x14ac:dyDescent="0.25">
      <c r="A9372" s="1" t="str">
        <f>HYPERLINK("http://www.rosaceae.org/Prunus/Prunus_persica/p.persica_gdr_reftransV1_0040783","p.persica_gdr_reftransV1_0040783")</f>
        <v>p.persica_gdr_reftransV1_0040783</v>
      </c>
      <c r="B9372" s="3">
        <v>2395</v>
      </c>
      <c r="C9372" s="1" t="str">
        <f>HYPERLINK("http://www.uniprot.org/uniprot/LOFG2_ARATH","LOFG2_ARATH")</f>
        <v>LOFG2_ARATH</v>
      </c>
      <c r="D9372" t="s">
        <v>4025</v>
      </c>
      <c r="E9372" s="3" t="s">
        <v>3</v>
      </c>
      <c r="F9372" s="4">
        <v>6.1599999999999996E-85</v>
      </c>
      <c r="G9372" s="3">
        <v>720</v>
      </c>
      <c r="H9372" s="3">
        <v>65</v>
      </c>
      <c r="I9372" s="3">
        <v>217</v>
      </c>
      <c r="J9372" s="3">
        <v>430</v>
      </c>
      <c r="K9372" s="3">
        <v>1062</v>
      </c>
      <c r="L9372" s="3">
        <v>155</v>
      </c>
      <c r="M9372" s="3">
        <v>370</v>
      </c>
    </row>
    <row r="9373" spans="1:13" x14ac:dyDescent="0.25">
      <c r="A9373" s="1" t="str">
        <f>HYPERLINK("http://www.rosaceae.org/Prunus/Prunus_persica/p.persica_gdr_reftransV1_0040833","p.persica_gdr_reftransV1_0040833")</f>
        <v>p.persica_gdr_reftransV1_0040833</v>
      </c>
      <c r="B9373" s="3">
        <v>3134</v>
      </c>
      <c r="C9373" s="1" t="str">
        <f>HYPERLINK("http://www.uniprot.org/uniprot/WDR44_BOVIN","WDR44_BOVIN")</f>
        <v>WDR44_BOVIN</v>
      </c>
      <c r="D9373" t="s">
        <v>1269</v>
      </c>
      <c r="E9373" s="3" t="s">
        <v>184</v>
      </c>
      <c r="F9373" s="4">
        <v>1.7899999999999999E-46</v>
      </c>
      <c r="G9373" s="3">
        <v>468</v>
      </c>
      <c r="H9373" s="3">
        <v>34</v>
      </c>
      <c r="I9373" s="3">
        <v>357</v>
      </c>
      <c r="J9373" s="3">
        <v>1124</v>
      </c>
      <c r="K9373" s="3">
        <v>2149</v>
      </c>
      <c r="L9373" s="3">
        <v>481</v>
      </c>
      <c r="M9373" s="3">
        <v>813</v>
      </c>
    </row>
    <row r="9374" spans="1:13" x14ac:dyDescent="0.25">
      <c r="A9374" s="1" t="str">
        <f>HYPERLINK("http://www.rosaceae.org/Prunus/Prunus_persica/p.persica_gdr_reftransV1_0041583","p.persica_gdr_reftransV1_0041583")</f>
        <v>p.persica_gdr_reftransV1_0041583</v>
      </c>
      <c r="B9374" s="3">
        <v>1856</v>
      </c>
      <c r="C9374" s="1" t="str">
        <f>HYPERLINK("http://www.uniprot.org/uniprot/CYPB_VICFA","CYPB_VICFA")</f>
        <v>CYPB_VICFA</v>
      </c>
      <c r="D9374" t="s">
        <v>7014</v>
      </c>
      <c r="E9374" s="3" t="s">
        <v>2253</v>
      </c>
      <c r="F9374" s="4">
        <v>5.9600000000000002E-68</v>
      </c>
      <c r="G9374" s="3">
        <v>473</v>
      </c>
      <c r="H9374" s="3">
        <v>79</v>
      </c>
      <c r="I9374" s="3">
        <v>128</v>
      </c>
      <c r="J9374" s="3">
        <v>792</v>
      </c>
      <c r="K9374" s="3">
        <v>1172</v>
      </c>
      <c r="L9374" s="3">
        <v>120</v>
      </c>
      <c r="M9374" s="3">
        <v>247</v>
      </c>
    </row>
    <row r="9375" spans="1:13" x14ac:dyDescent="0.25">
      <c r="A9375" s="1" t="str">
        <f>HYPERLINK("http://www.rosaceae.org/Prunus/Prunus_persica/p.persica_gdr_reftransV1_0041983","p.persica_gdr_reftransV1_0041983")</f>
        <v>p.persica_gdr_reftransV1_0041983</v>
      </c>
      <c r="B9375" s="3">
        <v>1037</v>
      </c>
      <c r="C9375" s="1" t="str">
        <f>HYPERLINK("http://www.uniprot.org/uniprot/RFC3_ARATH","RFC3_ARATH")</f>
        <v>RFC3_ARATH</v>
      </c>
      <c r="D9375" t="s">
        <v>7015</v>
      </c>
      <c r="E9375" s="3" t="s">
        <v>3</v>
      </c>
      <c r="F9375" s="4">
        <v>7.0899999999999995E-49</v>
      </c>
      <c r="G9375" s="3">
        <v>439</v>
      </c>
      <c r="H9375" s="3">
        <v>83</v>
      </c>
      <c r="I9375" s="3">
        <v>120</v>
      </c>
      <c r="J9375" s="3">
        <v>355</v>
      </c>
      <c r="K9375" s="3">
        <v>705</v>
      </c>
      <c r="L9375" s="3">
        <v>235</v>
      </c>
      <c r="M9375" s="3">
        <v>354</v>
      </c>
    </row>
    <row r="9376" spans="1:13" x14ac:dyDescent="0.25">
      <c r="A9376" s="1" t="str">
        <f>HYPERLINK("http://www.rosaceae.org/Prunus/Prunus_persica/p.persica_gdr_reftransV1_0042433","p.persica_gdr_reftransV1_0042433")</f>
        <v>p.persica_gdr_reftransV1_0042433</v>
      </c>
      <c r="B9376" s="3">
        <v>5497</v>
      </c>
      <c r="C9376" s="1" t="str">
        <f>HYPERLINK("http://www.uniprot.org/uniprot/NRX1_ARATH","NRX1_ARATH")</f>
        <v>NRX1_ARATH</v>
      </c>
      <c r="D9376" t="s">
        <v>6089</v>
      </c>
      <c r="E9376" s="3" t="s">
        <v>3</v>
      </c>
      <c r="F9376" s="4">
        <v>1.8900000000000001E-157</v>
      </c>
      <c r="G9376" s="3">
        <v>1291</v>
      </c>
      <c r="H9376" s="3">
        <v>65</v>
      </c>
      <c r="I9376" s="3">
        <v>385</v>
      </c>
      <c r="J9376" s="3">
        <v>4079</v>
      </c>
      <c r="K9376" s="3">
        <v>5227</v>
      </c>
      <c r="L9376" s="3">
        <v>195</v>
      </c>
      <c r="M9376" s="3">
        <v>578</v>
      </c>
    </row>
    <row r="9377" spans="1:13" x14ac:dyDescent="0.25">
      <c r="A9377" s="1" t="str">
        <f>HYPERLINK("http://www.rosaceae.org/Prunus/Prunus_persica/p.persica_gdr_reftransV1_0042483","p.persica_gdr_reftransV1_0042483")</f>
        <v>p.persica_gdr_reftransV1_0042483</v>
      </c>
      <c r="B9377" s="3">
        <v>2726</v>
      </c>
      <c r="C9377" s="1" t="str">
        <f>HYPERLINK("http://www.uniprot.org/uniprot/CATA1_GOSHI","CATA1_GOSHI")</f>
        <v>CATA1_GOSHI</v>
      </c>
      <c r="D9377" t="s">
        <v>815</v>
      </c>
      <c r="E9377" s="3" t="s">
        <v>816</v>
      </c>
      <c r="F9377" s="4">
        <v>0</v>
      </c>
      <c r="G9377" s="3">
        <v>1796</v>
      </c>
      <c r="H9377" s="3">
        <v>90</v>
      </c>
      <c r="I9377" s="3">
        <v>363</v>
      </c>
      <c r="J9377" s="3">
        <v>437</v>
      </c>
      <c r="K9377" s="3">
        <v>1525</v>
      </c>
      <c r="L9377" s="3">
        <v>130</v>
      </c>
      <c r="M9377" s="3">
        <v>492</v>
      </c>
    </row>
    <row r="9378" spans="1:13" x14ac:dyDescent="0.25">
      <c r="A9378" s="1" t="str">
        <f>HYPERLINK("http://www.rosaceae.org/Prunus/Prunus_persica/p.persica_gdr_reftransV1_0042533","p.persica_gdr_reftransV1_0042533")</f>
        <v>p.persica_gdr_reftransV1_0042533</v>
      </c>
      <c r="B9378" s="3">
        <v>2654</v>
      </c>
      <c r="C9378" s="1" t="str">
        <f>HYPERLINK("http://www.uniprot.org/uniprot/HDA15_ARATH","HDA15_ARATH")</f>
        <v>HDA15_ARATH</v>
      </c>
      <c r="D9378" t="s">
        <v>7016</v>
      </c>
      <c r="E9378" s="3" t="s">
        <v>3</v>
      </c>
      <c r="F9378" s="4">
        <v>1.9999999999999999E-74</v>
      </c>
      <c r="G9378" s="3">
        <v>663</v>
      </c>
      <c r="H9378" s="3">
        <v>82</v>
      </c>
      <c r="I9378" s="3">
        <v>182</v>
      </c>
      <c r="J9378" s="3">
        <v>897</v>
      </c>
      <c r="K9378" s="3">
        <v>1442</v>
      </c>
      <c r="L9378" s="3">
        <v>211</v>
      </c>
      <c r="M9378" s="3">
        <v>392</v>
      </c>
    </row>
    <row r="9379" spans="1:13" x14ac:dyDescent="0.25">
      <c r="A9379" s="1" t="str">
        <f>HYPERLINK("http://www.rosaceae.org/Prunus/Prunus_persica/p.persica_gdr_reftransV1_0042633","p.persica_gdr_reftransV1_0042633")</f>
        <v>p.persica_gdr_reftransV1_0042633</v>
      </c>
      <c r="B9379" s="3">
        <v>1853</v>
      </c>
      <c r="C9379" s="1" t="str">
        <f>HYPERLINK("http://www.uniprot.org/uniprot/XYLA_ARATH","XYLA_ARATH")</f>
        <v>XYLA_ARATH</v>
      </c>
      <c r="D9379" t="s">
        <v>7017</v>
      </c>
      <c r="E9379" s="3" t="s">
        <v>3</v>
      </c>
      <c r="F9379" s="4">
        <v>0</v>
      </c>
      <c r="G9379" s="3">
        <v>2082</v>
      </c>
      <c r="H9379" s="3">
        <v>86</v>
      </c>
      <c r="I9379" s="3">
        <v>459</v>
      </c>
      <c r="J9379" s="3">
        <v>295</v>
      </c>
      <c r="K9379" s="3">
        <v>1668</v>
      </c>
      <c r="L9379" s="3">
        <v>20</v>
      </c>
      <c r="M9379" s="3">
        <v>477</v>
      </c>
    </row>
    <row r="9380" spans="1:13" x14ac:dyDescent="0.25">
      <c r="A9380" s="1" t="str">
        <f>HYPERLINK("http://www.rosaceae.org/Prunus/Prunus_persica/p.persica_gdr_reftransV1_0042833","p.persica_gdr_reftransV1_0042833")</f>
        <v>p.persica_gdr_reftransV1_0042833</v>
      </c>
      <c r="B9380" s="3">
        <v>473</v>
      </c>
      <c r="C9380" s="1" t="str">
        <f>HYPERLINK("http://www.uniprot.org/uniprot/PP286_ARATH","PP286_ARATH")</f>
        <v>PP286_ARATH</v>
      </c>
      <c r="D9380" t="s">
        <v>7018</v>
      </c>
      <c r="E9380" s="3" t="s">
        <v>3</v>
      </c>
      <c r="F9380" s="4">
        <v>3.52E-36</v>
      </c>
      <c r="G9380" s="3">
        <v>344</v>
      </c>
      <c r="H9380" s="3">
        <v>40</v>
      </c>
      <c r="I9380" s="3">
        <v>157</v>
      </c>
      <c r="J9380" s="3">
        <v>3</v>
      </c>
      <c r="K9380" s="3">
        <v>473</v>
      </c>
      <c r="L9380" s="3">
        <v>256</v>
      </c>
      <c r="M9380" s="3">
        <v>412</v>
      </c>
    </row>
    <row r="9381" spans="1:13" x14ac:dyDescent="0.25">
      <c r="A9381" s="1" t="str">
        <f>HYPERLINK("http://www.rosaceae.org/Prunus/Prunus_persica/p.persica_gdr_reftransV1_0042883","p.persica_gdr_reftransV1_0042883")</f>
        <v>p.persica_gdr_reftransV1_0042883</v>
      </c>
      <c r="B9381" s="3">
        <v>2001</v>
      </c>
      <c r="C9381" s="1" t="str">
        <f>HYPERLINK("http://www.uniprot.org/uniprot/GMPPA_DICDI","GMPPA_DICDI")</f>
        <v>GMPPA_DICDI</v>
      </c>
      <c r="D9381" t="s">
        <v>1812</v>
      </c>
      <c r="E9381" s="3" t="s">
        <v>9</v>
      </c>
      <c r="F9381" s="4">
        <v>8.92E-109</v>
      </c>
      <c r="G9381" s="3">
        <v>876</v>
      </c>
      <c r="H9381" s="3">
        <v>45</v>
      </c>
      <c r="I9381" s="3">
        <v>360</v>
      </c>
      <c r="J9381" s="3">
        <v>709</v>
      </c>
      <c r="K9381" s="3">
        <v>1788</v>
      </c>
      <c r="L9381" s="3">
        <v>8</v>
      </c>
      <c r="M9381" s="3">
        <v>359</v>
      </c>
    </row>
    <row r="9382" spans="1:13" x14ac:dyDescent="0.25">
      <c r="A9382" s="1" t="str">
        <f>HYPERLINK("http://www.rosaceae.org/Prunus/Prunus_persica/p.persica_gdr_reftransV1_0043033","p.persica_gdr_reftransV1_0043033")</f>
        <v>p.persica_gdr_reftransV1_0043033</v>
      </c>
      <c r="B9382" s="3">
        <v>371</v>
      </c>
      <c r="C9382" s="1" t="str">
        <f>HYPERLINK("http://www.uniprot.org/uniprot/MYG_BOVIN","MYG_BOVIN")</f>
        <v>MYG_BOVIN</v>
      </c>
      <c r="D9382" t="s">
        <v>7019</v>
      </c>
      <c r="E9382" s="3" t="s">
        <v>184</v>
      </c>
      <c r="F9382" s="4">
        <v>1.04E-76</v>
      </c>
      <c r="G9382" s="3">
        <v>587</v>
      </c>
      <c r="H9382" s="3">
        <v>100</v>
      </c>
      <c r="I9382" s="3">
        <v>116</v>
      </c>
      <c r="J9382" s="3">
        <v>22</v>
      </c>
      <c r="K9382" s="3">
        <v>369</v>
      </c>
      <c r="L9382" s="3">
        <v>39</v>
      </c>
      <c r="M9382" s="3">
        <v>154</v>
      </c>
    </row>
    <row r="9383" spans="1:13" x14ac:dyDescent="0.25">
      <c r="A9383" s="1" t="str">
        <f>HYPERLINK("http://www.rosaceae.org/Prunus/Prunus_persica/p.persica_gdr_reftransV1_0043133","p.persica_gdr_reftransV1_0043133")</f>
        <v>p.persica_gdr_reftransV1_0043133</v>
      </c>
      <c r="B9383" s="3">
        <v>466</v>
      </c>
      <c r="C9383" s="1" t="str">
        <f>HYPERLINK("http://www.uniprot.org/uniprot/AFC2_ARATH","AFC2_ARATH")</f>
        <v>AFC2_ARATH</v>
      </c>
      <c r="D9383" t="s">
        <v>2742</v>
      </c>
      <c r="E9383" s="3" t="s">
        <v>3</v>
      </c>
      <c r="F9383" s="4">
        <v>2.9799999999999999E-59</v>
      </c>
      <c r="G9383" s="3">
        <v>496</v>
      </c>
      <c r="H9383" s="3">
        <v>62</v>
      </c>
      <c r="I9383" s="3">
        <v>149</v>
      </c>
      <c r="J9383" s="3">
        <v>1</v>
      </c>
      <c r="K9383" s="3">
        <v>444</v>
      </c>
      <c r="L9383" s="3">
        <v>8</v>
      </c>
      <c r="M9383" s="3">
        <v>156</v>
      </c>
    </row>
    <row r="9384" spans="1:13" x14ac:dyDescent="0.25">
      <c r="A9384" s="1" t="str">
        <f>HYPERLINK("http://www.rosaceae.org/Prunus/Prunus_persica/p.persica_gdr_reftransV1_0043233","p.persica_gdr_reftransV1_0043233")</f>
        <v>p.persica_gdr_reftransV1_0043233</v>
      </c>
      <c r="B9384" s="3">
        <v>1247</v>
      </c>
      <c r="C9384" s="1" t="str">
        <f>HYPERLINK("http://www.uniprot.org/uniprot/RAS_MELOI","RAS_MELOI")</f>
        <v>RAS_MELOI</v>
      </c>
      <c r="D9384" t="s">
        <v>7020</v>
      </c>
      <c r="E9384" s="3" t="s">
        <v>7021</v>
      </c>
      <c r="F9384" s="4">
        <v>3.17E-12</v>
      </c>
      <c r="G9384" s="3">
        <v>174</v>
      </c>
      <c r="H9384" s="3">
        <v>31</v>
      </c>
      <c r="I9384" s="3">
        <v>144</v>
      </c>
      <c r="J9384" s="3">
        <v>672</v>
      </c>
      <c r="K9384" s="3">
        <v>1103</v>
      </c>
      <c r="L9384" s="3">
        <v>36</v>
      </c>
      <c r="M9384" s="3">
        <v>170</v>
      </c>
    </row>
    <row r="9385" spans="1:13" x14ac:dyDescent="0.25">
      <c r="A9385" s="1" t="str">
        <f>HYPERLINK("http://www.rosaceae.org/Prunus/Prunus_persica/p.persica_gdr_reftransV1_0043283","p.persica_gdr_reftransV1_0043283")</f>
        <v>p.persica_gdr_reftransV1_0043283</v>
      </c>
      <c r="B9385" s="3">
        <v>351</v>
      </c>
      <c r="C9385" s="1" t="str">
        <f>HYPERLINK("http://www.uniprot.org/uniprot/IAA33_ARATH","IAA33_ARATH")</f>
        <v>IAA33_ARATH</v>
      </c>
      <c r="D9385" t="s">
        <v>7022</v>
      </c>
      <c r="E9385" s="3" t="s">
        <v>3</v>
      </c>
      <c r="F9385" s="4">
        <v>1.1799999999999999E-22</v>
      </c>
      <c r="G9385" s="3">
        <v>227</v>
      </c>
      <c r="H9385" s="3">
        <v>55</v>
      </c>
      <c r="I9385" s="3">
        <v>129</v>
      </c>
      <c r="J9385" s="3">
        <v>3</v>
      </c>
      <c r="K9385" s="3">
        <v>338</v>
      </c>
      <c r="L9385" s="3">
        <v>1</v>
      </c>
      <c r="M9385" s="3">
        <v>121</v>
      </c>
    </row>
    <row r="9386" spans="1:13" x14ac:dyDescent="0.25">
      <c r="A9386" s="1" t="str">
        <f>HYPERLINK("http://www.rosaceae.org/Prunus/Prunus_persica/p.persica_gdr_reftransV1_0043333","p.persica_gdr_reftransV1_0043333")</f>
        <v>p.persica_gdr_reftransV1_0043333</v>
      </c>
      <c r="B9386" s="3">
        <v>868</v>
      </c>
      <c r="C9386" s="1" t="str">
        <f>HYPERLINK("http://www.uniprot.org/uniprot/UGT2_GARJA","UGT2_GARJA")</f>
        <v>UGT2_GARJA</v>
      </c>
      <c r="D9386" t="s">
        <v>927</v>
      </c>
      <c r="E9386" s="3" t="s">
        <v>624</v>
      </c>
      <c r="F9386" s="4">
        <v>8.6300000000000005E-104</v>
      </c>
      <c r="G9386" s="3">
        <v>814</v>
      </c>
      <c r="H9386" s="3">
        <v>55</v>
      </c>
      <c r="I9386" s="3">
        <v>280</v>
      </c>
      <c r="J9386" s="3">
        <v>28</v>
      </c>
      <c r="K9386" s="3">
        <v>867</v>
      </c>
      <c r="L9386" s="3">
        <v>9</v>
      </c>
      <c r="M9386" s="3">
        <v>282</v>
      </c>
    </row>
    <row r="9387" spans="1:13" x14ac:dyDescent="0.25">
      <c r="A9387" s="1" t="str">
        <f>HYPERLINK("http://www.rosaceae.org/Prunus/Prunus_persica/p.persica_gdr_reftransV1_0043383","p.persica_gdr_reftransV1_0043383")</f>
        <v>p.persica_gdr_reftransV1_0043383</v>
      </c>
      <c r="B9387" s="3">
        <v>2341</v>
      </c>
      <c r="C9387" s="1" t="str">
        <f>HYPERLINK("http://www.uniprot.org/uniprot/HDA5_ARATH","HDA5_ARATH")</f>
        <v>HDA5_ARATH</v>
      </c>
      <c r="D9387" t="s">
        <v>4714</v>
      </c>
      <c r="E9387" s="3" t="s">
        <v>3</v>
      </c>
      <c r="F9387" s="4">
        <v>0</v>
      </c>
      <c r="G9387" s="3">
        <v>2309</v>
      </c>
      <c r="H9387" s="3">
        <v>64</v>
      </c>
      <c r="I9387" s="3">
        <v>665</v>
      </c>
      <c r="J9387" s="3">
        <v>114</v>
      </c>
      <c r="K9387" s="3">
        <v>2093</v>
      </c>
      <c r="L9387" s="3">
        <v>14</v>
      </c>
      <c r="M9387" s="3">
        <v>660</v>
      </c>
    </row>
    <row r="9388" spans="1:13" x14ac:dyDescent="0.25">
      <c r="A9388" s="1" t="str">
        <f>HYPERLINK("http://www.rosaceae.org/Prunus/Prunus_persica/p.persica_gdr_reftransV1_0043483","p.persica_gdr_reftransV1_0043483")</f>
        <v>p.persica_gdr_reftransV1_0043483</v>
      </c>
      <c r="B9388" s="3">
        <v>720</v>
      </c>
      <c r="C9388" s="1" t="str">
        <f>HYPERLINK("http://www.uniprot.org/uniprot/NDUA2_ARATH","NDUA2_ARATH")</f>
        <v>NDUA2_ARATH</v>
      </c>
      <c r="D9388" t="s">
        <v>7023</v>
      </c>
      <c r="E9388" s="3" t="s">
        <v>3</v>
      </c>
      <c r="F9388" s="4">
        <v>2.8900000000000001E-49</v>
      </c>
      <c r="G9388" s="3">
        <v>412</v>
      </c>
      <c r="H9388" s="3">
        <v>79</v>
      </c>
      <c r="I9388" s="3">
        <v>95</v>
      </c>
      <c r="J9388" s="3">
        <v>104</v>
      </c>
      <c r="K9388" s="3">
        <v>388</v>
      </c>
      <c r="L9388" s="3">
        <v>1</v>
      </c>
      <c r="M9388" s="3">
        <v>95</v>
      </c>
    </row>
    <row r="9389" spans="1:13" x14ac:dyDescent="0.25">
      <c r="A9389" s="1" t="str">
        <f>HYPERLINK("http://www.rosaceae.org/Prunus/Prunus_persica/p.persica_gdr_reftransV1_0043533","p.persica_gdr_reftransV1_0043533")</f>
        <v>p.persica_gdr_reftransV1_0043533</v>
      </c>
      <c r="B9389" s="3">
        <v>823</v>
      </c>
      <c r="C9389" s="1" t="str">
        <f>HYPERLINK("http://www.uniprot.org/uniprot/PSBR_SOLTU","PSBR_SOLTU")</f>
        <v>PSBR_SOLTU</v>
      </c>
      <c r="D9389" t="s">
        <v>7024</v>
      </c>
      <c r="E9389" s="3" t="s">
        <v>11</v>
      </c>
      <c r="F9389" s="4">
        <v>7.6799999999999999E-63</v>
      </c>
      <c r="G9389" s="3">
        <v>509</v>
      </c>
      <c r="H9389" s="3">
        <v>80</v>
      </c>
      <c r="I9389" s="3">
        <v>139</v>
      </c>
      <c r="J9389" s="3">
        <v>88</v>
      </c>
      <c r="K9389" s="3">
        <v>504</v>
      </c>
      <c r="L9389" s="3">
        <v>1</v>
      </c>
      <c r="M9389" s="3">
        <v>138</v>
      </c>
    </row>
    <row r="9390" spans="1:13" x14ac:dyDescent="0.25">
      <c r="A9390" s="1" t="str">
        <f>HYPERLINK("http://www.rosaceae.org/Prunus/Prunus_persica/p.persica_gdr_reftransV1_0043633","p.persica_gdr_reftransV1_0043633")</f>
        <v>p.persica_gdr_reftransV1_0043633</v>
      </c>
      <c r="B9390" s="3">
        <v>2930</v>
      </c>
      <c r="C9390" s="1" t="str">
        <f>HYPERLINK("http://www.uniprot.org/uniprot/RBOHB_SOLTU","RBOHB_SOLTU")</f>
        <v>RBOHB_SOLTU</v>
      </c>
      <c r="D9390" t="s">
        <v>7025</v>
      </c>
      <c r="E9390" s="3" t="s">
        <v>11</v>
      </c>
      <c r="F9390" s="4">
        <v>0</v>
      </c>
      <c r="G9390" s="3">
        <v>3672</v>
      </c>
      <c r="H9390" s="3">
        <v>78</v>
      </c>
      <c r="I9390" s="3">
        <v>844</v>
      </c>
      <c r="J9390" s="3">
        <v>124</v>
      </c>
      <c r="K9390" s="3">
        <v>2655</v>
      </c>
      <c r="L9390" s="3">
        <v>35</v>
      </c>
      <c r="M9390" s="3">
        <v>867</v>
      </c>
    </row>
    <row r="9391" spans="1:13" x14ac:dyDescent="0.25">
      <c r="A9391" s="1" t="str">
        <f>HYPERLINK("http://www.rosaceae.org/Prunus/Prunus_persica/p.persica_gdr_reftransV1_0043683","p.persica_gdr_reftransV1_0043683")</f>
        <v>p.persica_gdr_reftransV1_0043683</v>
      </c>
      <c r="B9391" s="3">
        <v>1146</v>
      </c>
      <c r="C9391" s="1" t="str">
        <f>HYPERLINK("http://www.uniprot.org/uniprot/YL126_YEAST","YL126_YEAST")</f>
        <v>YL126_YEAST</v>
      </c>
      <c r="D9391" t="s">
        <v>7026</v>
      </c>
      <c r="E9391" s="3" t="s">
        <v>34</v>
      </c>
      <c r="F9391" s="4">
        <v>2.3899999999999999E-16</v>
      </c>
      <c r="G9391" s="3">
        <v>200</v>
      </c>
      <c r="H9391" s="3">
        <v>30</v>
      </c>
      <c r="I9391" s="3">
        <v>226</v>
      </c>
      <c r="J9391" s="3">
        <v>348</v>
      </c>
      <c r="K9391" s="3">
        <v>971</v>
      </c>
      <c r="L9391" s="3">
        <v>1</v>
      </c>
      <c r="M9391" s="3">
        <v>222</v>
      </c>
    </row>
    <row r="9392" spans="1:13" x14ac:dyDescent="0.25">
      <c r="A9392" s="1" t="str">
        <f>HYPERLINK("http://www.rosaceae.org/Prunus/Prunus_persica/p.persica_gdr_reftransV1_0043733","p.persica_gdr_reftransV1_0043733")</f>
        <v>p.persica_gdr_reftransV1_0043733</v>
      </c>
      <c r="B9392" s="3">
        <v>835</v>
      </c>
      <c r="C9392" s="1" t="str">
        <f>HYPERLINK("http://www.uniprot.org/uniprot/OFP6_ARATH","OFP6_ARATH")</f>
        <v>OFP6_ARATH</v>
      </c>
      <c r="D9392" t="s">
        <v>4457</v>
      </c>
      <c r="E9392" s="3" t="s">
        <v>3</v>
      </c>
      <c r="F9392" s="4">
        <v>2.0700000000000001E-22</v>
      </c>
      <c r="G9392" s="3">
        <v>236</v>
      </c>
      <c r="H9392" s="3">
        <v>65</v>
      </c>
      <c r="I9392" s="3">
        <v>63</v>
      </c>
      <c r="J9392" s="3">
        <v>314</v>
      </c>
      <c r="K9392" s="3">
        <v>502</v>
      </c>
      <c r="L9392" s="3">
        <v>67</v>
      </c>
      <c r="M9392" s="3">
        <v>129</v>
      </c>
    </row>
    <row r="9393" spans="1:13" x14ac:dyDescent="0.25">
      <c r="A9393" s="1" t="str">
        <f>HYPERLINK("http://www.rosaceae.org/Prunus/Prunus_persica/p.persica_gdr_reftransV1_0043783","p.persica_gdr_reftransV1_0043783")</f>
        <v>p.persica_gdr_reftransV1_0043783</v>
      </c>
      <c r="B9393" s="3">
        <v>1226</v>
      </c>
      <c r="C9393" s="1" t="str">
        <f>HYPERLINK("http://www.uniprot.org/uniprot/IMP3_SOLLC","IMP3_SOLLC")</f>
        <v>IMP3_SOLLC</v>
      </c>
      <c r="D9393" t="s">
        <v>2834</v>
      </c>
      <c r="E9393" s="3" t="s">
        <v>64</v>
      </c>
      <c r="F9393" s="4">
        <v>2.4000000000000001E-158</v>
      </c>
      <c r="G9393" s="3">
        <v>1168</v>
      </c>
      <c r="H9393" s="3">
        <v>82</v>
      </c>
      <c r="I9393" s="3">
        <v>268</v>
      </c>
      <c r="J9393" s="3">
        <v>295</v>
      </c>
      <c r="K9393" s="3">
        <v>1098</v>
      </c>
      <c r="L9393" s="3">
        <v>1</v>
      </c>
      <c r="M9393" s="3">
        <v>268</v>
      </c>
    </row>
    <row r="9394" spans="1:13" x14ac:dyDescent="0.25">
      <c r="A9394" s="1" t="str">
        <f>HYPERLINK("http://www.rosaceae.org/Prunus/Prunus_persica/p.persica_gdr_reftransV1_0043833","p.persica_gdr_reftransV1_0043833")</f>
        <v>p.persica_gdr_reftransV1_0043833</v>
      </c>
      <c r="B9394" s="3">
        <v>1781</v>
      </c>
      <c r="C9394" s="1" t="str">
        <f>HYPERLINK("http://www.uniprot.org/uniprot/F3PH_ARATH","F3PH_ARATH")</f>
        <v>F3PH_ARATH</v>
      </c>
      <c r="D9394" t="s">
        <v>12</v>
      </c>
      <c r="E9394" s="3" t="s">
        <v>3</v>
      </c>
      <c r="F9394" s="4">
        <v>1.7099999999999999E-114</v>
      </c>
      <c r="G9394" s="3">
        <v>917</v>
      </c>
      <c r="H9394" s="3">
        <v>42</v>
      </c>
      <c r="I9394" s="3">
        <v>473</v>
      </c>
      <c r="J9394" s="3">
        <v>187</v>
      </c>
      <c r="K9394" s="3">
        <v>1593</v>
      </c>
      <c r="L9394" s="3">
        <v>42</v>
      </c>
      <c r="M9394" s="3">
        <v>508</v>
      </c>
    </row>
    <row r="9395" spans="1:13" x14ac:dyDescent="0.25">
      <c r="A9395" s="1" t="str">
        <f>HYPERLINK("http://www.rosaceae.org/Prunus/Prunus_persica/p.persica_gdr_reftransV1_0043883","p.persica_gdr_reftransV1_0043883")</f>
        <v>p.persica_gdr_reftransV1_0043883</v>
      </c>
      <c r="B9395" s="3">
        <v>3086</v>
      </c>
      <c r="C9395" s="1" t="str">
        <f>HYPERLINK("http://www.uniprot.org/uniprot/DNJC7_PONAB","DNJC7_PONAB")</f>
        <v>DNJC7_PONAB</v>
      </c>
      <c r="D9395" t="s">
        <v>7027</v>
      </c>
      <c r="E9395" s="3" t="s">
        <v>176</v>
      </c>
      <c r="F9395" s="4">
        <v>8.16E-41</v>
      </c>
      <c r="G9395" s="3">
        <v>410</v>
      </c>
      <c r="H9395" s="3">
        <v>29</v>
      </c>
      <c r="I9395" s="3">
        <v>502</v>
      </c>
      <c r="J9395" s="3">
        <v>841</v>
      </c>
      <c r="K9395" s="3">
        <v>2334</v>
      </c>
      <c r="L9395" s="3">
        <v>29</v>
      </c>
      <c r="M9395" s="3">
        <v>456</v>
      </c>
    </row>
    <row r="9396" spans="1:13" x14ac:dyDescent="0.25">
      <c r="A9396" s="1" t="str">
        <f>HYPERLINK("http://www.rosaceae.org/Prunus/Prunus_persica/p.persica_gdr_reftransV1_0043933","p.persica_gdr_reftransV1_0043933")</f>
        <v>p.persica_gdr_reftransV1_0043933</v>
      </c>
      <c r="B9396" s="3">
        <v>474</v>
      </c>
      <c r="C9396" s="1" t="str">
        <f>HYPERLINK("http://www.uniprot.org/uniprot/MYBF_ARATH","MYBF_ARATH")</f>
        <v>MYBF_ARATH</v>
      </c>
      <c r="D9396" t="s">
        <v>2783</v>
      </c>
      <c r="E9396" s="3" t="s">
        <v>3</v>
      </c>
      <c r="F9396" s="4">
        <v>1.4799999999999999E-23</v>
      </c>
      <c r="G9396" s="3">
        <v>242</v>
      </c>
      <c r="H9396" s="3">
        <v>70</v>
      </c>
      <c r="I9396" s="3">
        <v>64</v>
      </c>
      <c r="J9396" s="3">
        <v>58</v>
      </c>
      <c r="K9396" s="3">
        <v>249</v>
      </c>
      <c r="L9396" s="3">
        <v>14</v>
      </c>
      <c r="M9396" s="3">
        <v>77</v>
      </c>
    </row>
    <row r="9397" spans="1:13" x14ac:dyDescent="0.25">
      <c r="A9397" s="1" t="str">
        <f>HYPERLINK("http://www.rosaceae.org/Prunus/Prunus_persica/p.persica_gdr_reftransV1_0043983","p.persica_gdr_reftransV1_0043983")</f>
        <v>p.persica_gdr_reftransV1_0043983</v>
      </c>
      <c r="B9397" s="3">
        <v>694</v>
      </c>
      <c r="C9397" s="1" t="str">
        <f>HYPERLINK("http://www.uniprot.org/uniprot/E13B_WHEAT","E13B_WHEAT")</f>
        <v>E13B_WHEAT</v>
      </c>
      <c r="D9397" t="s">
        <v>1559</v>
      </c>
      <c r="E9397" s="3" t="s">
        <v>710</v>
      </c>
      <c r="F9397" s="4">
        <v>2.8E-19</v>
      </c>
      <c r="G9397" s="3">
        <v>221</v>
      </c>
      <c r="H9397" s="3">
        <v>46</v>
      </c>
      <c r="I9397" s="3">
        <v>87</v>
      </c>
      <c r="J9397" s="3">
        <v>273</v>
      </c>
      <c r="K9397" s="3">
        <v>533</v>
      </c>
      <c r="L9397" s="3">
        <v>373</v>
      </c>
      <c r="M9397" s="3">
        <v>459</v>
      </c>
    </row>
    <row r="9398" spans="1:13" x14ac:dyDescent="0.25">
      <c r="A9398" s="1" t="str">
        <f>HYPERLINK("http://www.rosaceae.org/Prunus/Prunus_persica/p.persica_gdr_reftransV1_0044033","p.persica_gdr_reftransV1_0044033")</f>
        <v>p.persica_gdr_reftransV1_0044033</v>
      </c>
      <c r="B9398" s="3">
        <v>1462</v>
      </c>
      <c r="C9398" s="1" t="str">
        <f>HYPERLINK("http://www.uniprot.org/uniprot/GDL14_ARATH","GDL14_ARATH")</f>
        <v>GDL14_ARATH</v>
      </c>
      <c r="D9398" t="s">
        <v>7028</v>
      </c>
      <c r="E9398" s="3" t="s">
        <v>3</v>
      </c>
      <c r="F9398" s="4">
        <v>2.0400000000000001E-126</v>
      </c>
      <c r="G9398" s="3">
        <v>974</v>
      </c>
      <c r="H9398" s="3">
        <v>52</v>
      </c>
      <c r="I9398" s="3">
        <v>339</v>
      </c>
      <c r="J9398" s="3">
        <v>196</v>
      </c>
      <c r="K9398" s="3">
        <v>1194</v>
      </c>
      <c r="L9398" s="3">
        <v>27</v>
      </c>
      <c r="M9398" s="3">
        <v>364</v>
      </c>
    </row>
    <row r="9399" spans="1:13" x14ac:dyDescent="0.25">
      <c r="A9399" s="1" t="str">
        <f>HYPERLINK("http://www.rosaceae.org/Prunus/Prunus_persica/p.persica_gdr_reftransV1_0044083","p.persica_gdr_reftransV1_0044083")</f>
        <v>p.persica_gdr_reftransV1_0044083</v>
      </c>
      <c r="B9399" s="3">
        <v>748</v>
      </c>
      <c r="C9399" s="1" t="str">
        <f>HYPERLINK("http://www.uniprot.org/uniprot/HA22A_ARATH","HA22A_ARATH")</f>
        <v>HA22A_ARATH</v>
      </c>
      <c r="D9399" t="s">
        <v>1633</v>
      </c>
      <c r="E9399" s="3" t="s">
        <v>3</v>
      </c>
      <c r="F9399" s="4">
        <v>1.04E-38</v>
      </c>
      <c r="G9399" s="3">
        <v>349</v>
      </c>
      <c r="H9399" s="3">
        <v>46</v>
      </c>
      <c r="I9399" s="3">
        <v>156</v>
      </c>
      <c r="J9399" s="3">
        <v>123</v>
      </c>
      <c r="K9399" s="3">
        <v>581</v>
      </c>
      <c r="L9399" s="3">
        <v>4</v>
      </c>
      <c r="M9399" s="3">
        <v>158</v>
      </c>
    </row>
    <row r="9400" spans="1:13" x14ac:dyDescent="0.25">
      <c r="A9400" s="1" t="str">
        <f>HYPERLINK("http://www.rosaceae.org/Prunus/Prunus_persica/p.persica_gdr_reftransV1_0044183","p.persica_gdr_reftransV1_0044183")</f>
        <v>p.persica_gdr_reftransV1_0044183</v>
      </c>
      <c r="B9400" s="3">
        <v>386</v>
      </c>
      <c r="C9400" s="1" t="str">
        <f>HYPERLINK("http://www.uniprot.org/uniprot/PAL1_PRUAV","PAL1_PRUAV")</f>
        <v>PAL1_PRUAV</v>
      </c>
      <c r="D9400" t="s">
        <v>2694</v>
      </c>
      <c r="E9400" s="3" t="s">
        <v>1404</v>
      </c>
      <c r="F9400" s="4">
        <v>3.0800000000000002E-39</v>
      </c>
      <c r="G9400" s="3">
        <v>362</v>
      </c>
      <c r="H9400" s="3">
        <v>92</v>
      </c>
      <c r="I9400" s="3">
        <v>75</v>
      </c>
      <c r="J9400" s="3">
        <v>160</v>
      </c>
      <c r="K9400" s="3">
        <v>384</v>
      </c>
      <c r="L9400" s="3">
        <v>1</v>
      </c>
      <c r="M9400" s="3">
        <v>75</v>
      </c>
    </row>
    <row r="9401" spans="1:13" x14ac:dyDescent="0.25">
      <c r="A9401" s="1" t="str">
        <f>HYPERLINK("http://www.rosaceae.org/Prunus/Prunus_persica/p.persica_gdr_reftransV1_0044233","p.persica_gdr_reftransV1_0044233")</f>
        <v>p.persica_gdr_reftransV1_0044233</v>
      </c>
      <c r="B9401" s="3">
        <v>874</v>
      </c>
      <c r="C9401" s="1" t="str">
        <f>HYPERLINK("http://www.uniprot.org/uniprot/PPR68_ARATH","PPR68_ARATH")</f>
        <v>PPR68_ARATH</v>
      </c>
      <c r="D9401" t="s">
        <v>4533</v>
      </c>
      <c r="E9401" s="3" t="s">
        <v>3</v>
      </c>
      <c r="F9401" s="4">
        <v>3.3400000000000001E-139</v>
      </c>
      <c r="G9401" s="3">
        <v>1061</v>
      </c>
      <c r="H9401" s="3">
        <v>64</v>
      </c>
      <c r="I9401" s="3">
        <v>288</v>
      </c>
      <c r="J9401" s="3">
        <v>10</v>
      </c>
      <c r="K9401" s="3">
        <v>867</v>
      </c>
      <c r="L9401" s="3">
        <v>319</v>
      </c>
      <c r="M9401" s="3">
        <v>606</v>
      </c>
    </row>
    <row r="9402" spans="1:13" x14ac:dyDescent="0.25">
      <c r="A9402" s="1" t="str">
        <f>HYPERLINK("http://www.rosaceae.org/Prunus/Prunus_persica/p.persica_gdr_reftransV1_0044383","p.persica_gdr_reftransV1_0044383")</f>
        <v>p.persica_gdr_reftransV1_0044383</v>
      </c>
      <c r="B9402" s="3">
        <v>2180</v>
      </c>
      <c r="C9402" s="1" t="str">
        <f>HYPERLINK("http://www.uniprot.org/uniprot/LUH_ARATH","LUH_ARATH")</f>
        <v>LUH_ARATH</v>
      </c>
      <c r="D9402" t="s">
        <v>2134</v>
      </c>
      <c r="E9402" s="3" t="s">
        <v>3</v>
      </c>
      <c r="F9402" s="4">
        <v>0</v>
      </c>
      <c r="G9402" s="3">
        <v>1853</v>
      </c>
      <c r="H9402" s="3">
        <v>67</v>
      </c>
      <c r="I9402" s="3">
        <v>615</v>
      </c>
      <c r="J9402" s="3">
        <v>309</v>
      </c>
      <c r="K9402" s="3">
        <v>2114</v>
      </c>
      <c r="L9402" s="3">
        <v>175</v>
      </c>
      <c r="M9402" s="3">
        <v>787</v>
      </c>
    </row>
    <row r="9403" spans="1:13" x14ac:dyDescent="0.25">
      <c r="A9403" s="1" t="str">
        <f>HYPERLINK("http://www.rosaceae.org/Prunus/Prunus_persica/p.persica_gdr_reftransV1_0044433","p.persica_gdr_reftransV1_0044433")</f>
        <v>p.persica_gdr_reftransV1_0044433</v>
      </c>
      <c r="B9403" s="3">
        <v>524</v>
      </c>
      <c r="C9403" s="1" t="str">
        <f>HYPERLINK("http://www.uniprot.org/uniprot/GDL34_ARATH","GDL34_ARATH")</f>
        <v>GDL34_ARATH</v>
      </c>
      <c r="D9403" t="s">
        <v>2779</v>
      </c>
      <c r="E9403" s="3" t="s">
        <v>3</v>
      </c>
      <c r="F9403" s="4">
        <v>9.3900000000000004E-68</v>
      </c>
      <c r="G9403" s="3">
        <v>550</v>
      </c>
      <c r="H9403" s="3">
        <v>76</v>
      </c>
      <c r="I9403" s="3">
        <v>131</v>
      </c>
      <c r="J9403" s="3">
        <v>3</v>
      </c>
      <c r="K9403" s="3">
        <v>395</v>
      </c>
      <c r="L9403" s="3">
        <v>23</v>
      </c>
      <c r="M9403" s="3">
        <v>153</v>
      </c>
    </row>
    <row r="9404" spans="1:13" x14ac:dyDescent="0.25">
      <c r="A9404" s="1" t="str">
        <f>HYPERLINK("http://www.rosaceae.org/Prunus/Prunus_persica/p.persica_gdr_reftransV1_0044533","p.persica_gdr_reftransV1_0044533")</f>
        <v>p.persica_gdr_reftransV1_0044533</v>
      </c>
      <c r="B9404" s="3">
        <v>1662</v>
      </c>
      <c r="C9404" s="1" t="str">
        <f>HYPERLINK("http://www.uniprot.org/uniprot/SERB1_ARATH","SERB1_ARATH")</f>
        <v>SERB1_ARATH</v>
      </c>
      <c r="D9404" t="s">
        <v>7029</v>
      </c>
      <c r="E9404" s="3" t="s">
        <v>3</v>
      </c>
      <c r="F9404" s="4">
        <v>0</v>
      </c>
      <c r="G9404" s="3">
        <v>1730</v>
      </c>
      <c r="H9404" s="3">
        <v>84</v>
      </c>
      <c r="I9404" s="3">
        <v>390</v>
      </c>
      <c r="J9404" s="3">
        <v>210</v>
      </c>
      <c r="K9404" s="3">
        <v>1376</v>
      </c>
      <c r="L9404" s="3">
        <v>41</v>
      </c>
      <c r="M9404" s="3">
        <v>430</v>
      </c>
    </row>
    <row r="9405" spans="1:13" x14ac:dyDescent="0.25">
      <c r="A9405" s="1" t="str">
        <f>HYPERLINK("http://www.rosaceae.org/Prunus/Prunus_persica/p.persica_gdr_reftransV1_0044583","p.persica_gdr_reftransV1_0044583")</f>
        <v>p.persica_gdr_reftransV1_0044583</v>
      </c>
      <c r="B9405" s="3">
        <v>1989</v>
      </c>
      <c r="C9405" s="1" t="str">
        <f>HYPERLINK("http://www.uniprot.org/uniprot/GSHB_BRAJU","GSHB_BRAJU")</f>
        <v>GSHB_BRAJU</v>
      </c>
      <c r="D9405" t="s">
        <v>7030</v>
      </c>
      <c r="E9405" s="3" t="s">
        <v>7031</v>
      </c>
      <c r="F9405" s="4">
        <v>6.5099999999999997E-136</v>
      </c>
      <c r="G9405" s="3">
        <v>1069</v>
      </c>
      <c r="H9405" s="3">
        <v>65</v>
      </c>
      <c r="I9405" s="3">
        <v>310</v>
      </c>
      <c r="J9405" s="3">
        <v>941</v>
      </c>
      <c r="K9405" s="3">
        <v>1870</v>
      </c>
      <c r="L9405" s="3">
        <v>25</v>
      </c>
      <c r="M9405" s="3">
        <v>323</v>
      </c>
    </row>
    <row r="9406" spans="1:13" x14ac:dyDescent="0.25">
      <c r="A9406" s="1" t="str">
        <f>HYPERLINK("http://www.rosaceae.org/Prunus/Prunus_persica/p.persica_gdr_reftransV1_0044833","p.persica_gdr_reftransV1_0044833")</f>
        <v>p.persica_gdr_reftransV1_0044833</v>
      </c>
      <c r="B9406" s="3">
        <v>561</v>
      </c>
      <c r="C9406" s="1" t="str">
        <f>HYPERLINK("http://www.uniprot.org/uniprot/SRS2L_ARATH","SRS2L_ARATH")</f>
        <v>SRS2L_ARATH</v>
      </c>
      <c r="D9406" t="s">
        <v>1474</v>
      </c>
      <c r="E9406" s="3" t="s">
        <v>3</v>
      </c>
      <c r="F9406" s="4">
        <v>5.8999999999999998E-66</v>
      </c>
      <c r="G9406" s="3">
        <v>569</v>
      </c>
      <c r="H9406" s="3">
        <v>71</v>
      </c>
      <c r="I9406" s="3">
        <v>147</v>
      </c>
      <c r="J9406" s="3">
        <v>107</v>
      </c>
      <c r="K9406" s="3">
        <v>547</v>
      </c>
      <c r="L9406" s="3">
        <v>1001</v>
      </c>
      <c r="M9406" s="3">
        <v>1147</v>
      </c>
    </row>
    <row r="9407" spans="1:13" x14ac:dyDescent="0.25">
      <c r="A9407" s="1" t="str">
        <f>HYPERLINK("http://www.rosaceae.org/Prunus/Prunus_persica/p.persica_gdr_reftransV1_0044883","p.persica_gdr_reftransV1_0044883")</f>
        <v>p.persica_gdr_reftransV1_0044883</v>
      </c>
      <c r="B9407" s="3">
        <v>1158</v>
      </c>
      <c r="C9407" s="1" t="str">
        <f>HYPERLINK("http://www.uniprot.org/uniprot/RS3A_CICAR","RS3A_CICAR")</f>
        <v>RS3A_CICAR</v>
      </c>
      <c r="D9407" t="s">
        <v>7032</v>
      </c>
      <c r="E9407" s="3" t="s">
        <v>944</v>
      </c>
      <c r="F9407" s="4">
        <v>3.1399999999999999E-136</v>
      </c>
      <c r="G9407" s="3">
        <v>1019</v>
      </c>
      <c r="H9407" s="3">
        <v>87</v>
      </c>
      <c r="I9407" s="3">
        <v>234</v>
      </c>
      <c r="J9407" s="3">
        <v>290</v>
      </c>
      <c r="K9407" s="3">
        <v>988</v>
      </c>
      <c r="L9407" s="3">
        <v>28</v>
      </c>
      <c r="M9407" s="3">
        <v>261</v>
      </c>
    </row>
    <row r="9408" spans="1:13" x14ac:dyDescent="0.25">
      <c r="A9408" s="1" t="str">
        <f>HYPERLINK("http://www.rosaceae.org/Prunus/Prunus_persica/p.persica_gdr_reftransV1_0044933","p.persica_gdr_reftransV1_0044933")</f>
        <v>p.persica_gdr_reftransV1_0044933</v>
      </c>
      <c r="B9408" s="3">
        <v>859</v>
      </c>
      <c r="C9408" s="1" t="str">
        <f>HYPERLINK("http://www.uniprot.org/uniprot/ATG8F_ARATH","ATG8F_ARATH")</f>
        <v>ATG8F_ARATH</v>
      </c>
      <c r="D9408" t="s">
        <v>5736</v>
      </c>
      <c r="E9408" s="3" t="s">
        <v>3</v>
      </c>
      <c r="F9408" s="4">
        <v>7.0200000000000001E-62</v>
      </c>
      <c r="G9408" s="3">
        <v>503</v>
      </c>
      <c r="H9408" s="3">
        <v>91</v>
      </c>
      <c r="I9408" s="3">
        <v>121</v>
      </c>
      <c r="J9408" s="3">
        <v>175</v>
      </c>
      <c r="K9408" s="3">
        <v>537</v>
      </c>
      <c r="L9408" s="3">
        <v>1</v>
      </c>
      <c r="M9408" s="3">
        <v>121</v>
      </c>
    </row>
    <row r="9409" spans="1:13" x14ac:dyDescent="0.25">
      <c r="A9409" s="1" t="str">
        <f>HYPERLINK("http://www.rosaceae.org/Prunus/Prunus_persica/p.persica_gdr_reftransV1_0044983","p.persica_gdr_reftransV1_0044983")</f>
        <v>p.persica_gdr_reftransV1_0044983</v>
      </c>
      <c r="B9409" s="3">
        <v>2865</v>
      </c>
      <c r="C9409" s="1" t="str">
        <f>HYPERLINK("http://www.uniprot.org/uniprot/CD48D_ARATH","CD48D_ARATH")</f>
        <v>CD48D_ARATH</v>
      </c>
      <c r="D9409" t="s">
        <v>7033</v>
      </c>
      <c r="E9409" s="3" t="s">
        <v>3</v>
      </c>
      <c r="F9409" s="4">
        <v>0</v>
      </c>
      <c r="G9409" s="3">
        <v>3765</v>
      </c>
      <c r="H9409" s="3">
        <v>91</v>
      </c>
      <c r="I9409" s="3">
        <v>816</v>
      </c>
      <c r="J9409" s="3">
        <v>273</v>
      </c>
      <c r="K9409" s="3">
        <v>2690</v>
      </c>
      <c r="L9409" s="3">
        <v>1</v>
      </c>
      <c r="M9409" s="3">
        <v>815</v>
      </c>
    </row>
    <row r="9410" spans="1:13" x14ac:dyDescent="0.25">
      <c r="A9410" s="1" t="str">
        <f>HYPERLINK("http://www.rosaceae.org/Prunus/Prunus_persica/p.persica_gdr_reftransV1_0045083","p.persica_gdr_reftransV1_0045083")</f>
        <v>p.persica_gdr_reftransV1_0045083</v>
      </c>
      <c r="B9410" s="3">
        <v>1350</v>
      </c>
      <c r="C9410" s="1" t="str">
        <f>HYPERLINK("http://www.uniprot.org/uniprot/EBF1_ARATH","EBF1_ARATH")</f>
        <v>EBF1_ARATH</v>
      </c>
      <c r="D9410" t="s">
        <v>1332</v>
      </c>
      <c r="E9410" s="3" t="s">
        <v>3</v>
      </c>
      <c r="F9410" s="4">
        <v>1.0100000000000001E-119</v>
      </c>
      <c r="G9410" s="3">
        <v>949</v>
      </c>
      <c r="H9410" s="3">
        <v>57</v>
      </c>
      <c r="I9410" s="3">
        <v>360</v>
      </c>
      <c r="J9410" s="3">
        <v>278</v>
      </c>
      <c r="K9410" s="3">
        <v>1342</v>
      </c>
      <c r="L9410" s="3">
        <v>1</v>
      </c>
      <c r="M9410" s="3">
        <v>333</v>
      </c>
    </row>
    <row r="9411" spans="1:13" x14ac:dyDescent="0.25">
      <c r="A9411" s="1" t="str">
        <f>HYPERLINK("http://www.rosaceae.org/Prunus/Prunus_persica/p.persica_gdr_reftransV1_0045183","p.persica_gdr_reftransV1_0045183")</f>
        <v>p.persica_gdr_reftransV1_0045183</v>
      </c>
      <c r="B9411" s="3">
        <v>676</v>
      </c>
      <c r="C9411" s="1" t="str">
        <f>HYPERLINK("http://www.uniprot.org/uniprot/U87A2_ARATH","U87A2_ARATH")</f>
        <v>U87A2_ARATH</v>
      </c>
      <c r="D9411" t="s">
        <v>7034</v>
      </c>
      <c r="E9411" s="3" t="s">
        <v>3</v>
      </c>
      <c r="F9411" s="4">
        <v>2.36E-72</v>
      </c>
      <c r="G9411" s="3">
        <v>594</v>
      </c>
      <c r="H9411" s="3">
        <v>60</v>
      </c>
      <c r="I9411" s="3">
        <v>193</v>
      </c>
      <c r="J9411" s="3">
        <v>3</v>
      </c>
      <c r="K9411" s="3">
        <v>578</v>
      </c>
      <c r="L9411" s="3">
        <v>264</v>
      </c>
      <c r="M9411" s="3">
        <v>455</v>
      </c>
    </row>
    <row r="9412" spans="1:13" x14ac:dyDescent="0.25">
      <c r="A9412" s="1" t="str">
        <f>HYPERLINK("http://www.rosaceae.org/Prunus/Prunus_persica/p.persica_gdr_reftransV1_0045283","p.persica_gdr_reftransV1_0045283")</f>
        <v>p.persica_gdr_reftransV1_0045283</v>
      </c>
      <c r="B9412" s="3">
        <v>1415</v>
      </c>
      <c r="C9412" s="1" t="str">
        <f>HYPERLINK("http://www.uniprot.org/uniprot/OMA1_SCHPO","OMA1_SCHPO")</f>
        <v>OMA1_SCHPO</v>
      </c>
      <c r="D9412" t="s">
        <v>7035</v>
      </c>
      <c r="E9412" s="3" t="s">
        <v>464</v>
      </c>
      <c r="F9412" s="4">
        <v>7.9800000000000001E-30</v>
      </c>
      <c r="G9412" s="3">
        <v>307</v>
      </c>
      <c r="H9412" s="3">
        <v>38</v>
      </c>
      <c r="I9412" s="3">
        <v>185</v>
      </c>
      <c r="J9412" s="3">
        <v>646</v>
      </c>
      <c r="K9412" s="3">
        <v>1170</v>
      </c>
      <c r="L9412" s="3">
        <v>144</v>
      </c>
      <c r="M9412" s="3">
        <v>325</v>
      </c>
    </row>
    <row r="9413" spans="1:13" x14ac:dyDescent="0.25">
      <c r="A9413" s="1" t="str">
        <f>HYPERLINK("http://www.rosaceae.org/Prunus/Prunus_persica/p.persica_gdr_reftransV1_0045333","p.persica_gdr_reftransV1_0045333")</f>
        <v>p.persica_gdr_reftransV1_0045333</v>
      </c>
      <c r="B9413" s="3">
        <v>441</v>
      </c>
      <c r="C9413" s="1" t="str">
        <f>HYPERLINK("http://www.uniprot.org/uniprot/MYBC_MAIZE","MYBC_MAIZE")</f>
        <v>MYBC_MAIZE</v>
      </c>
      <c r="D9413" t="s">
        <v>2070</v>
      </c>
      <c r="E9413" s="3" t="s">
        <v>72</v>
      </c>
      <c r="F9413" s="4">
        <v>1.01E-40</v>
      </c>
      <c r="G9413" s="3">
        <v>360</v>
      </c>
      <c r="H9413" s="3">
        <v>70</v>
      </c>
      <c r="I9413" s="3">
        <v>93</v>
      </c>
      <c r="J9413" s="3">
        <v>161</v>
      </c>
      <c r="K9413" s="3">
        <v>439</v>
      </c>
      <c r="L9413" s="3">
        <v>8</v>
      </c>
      <c r="M9413" s="3">
        <v>100</v>
      </c>
    </row>
    <row r="9414" spans="1:13" x14ac:dyDescent="0.25">
      <c r="A9414" s="1" t="str">
        <f>HYPERLINK("http://www.rosaceae.org/Prunus/Prunus_persica/p.persica_gdr_reftransV1_0045383","p.persica_gdr_reftransV1_0045383")</f>
        <v>p.persica_gdr_reftransV1_0045383</v>
      </c>
      <c r="B9414" s="3">
        <v>1113</v>
      </c>
      <c r="C9414" s="1" t="str">
        <f>HYPERLINK("http://www.uniprot.org/uniprot/CML49_ARATH","CML49_ARATH")</f>
        <v>CML49_ARATH</v>
      </c>
      <c r="D9414" t="s">
        <v>4391</v>
      </c>
      <c r="E9414" s="3" t="s">
        <v>3</v>
      </c>
      <c r="F9414" s="4">
        <v>2.0600000000000001E-107</v>
      </c>
      <c r="G9414" s="3">
        <v>833</v>
      </c>
      <c r="H9414" s="3">
        <v>81</v>
      </c>
      <c r="I9414" s="3">
        <v>183</v>
      </c>
      <c r="J9414" s="3">
        <v>260</v>
      </c>
      <c r="K9414" s="3">
        <v>808</v>
      </c>
      <c r="L9414" s="3">
        <v>153</v>
      </c>
      <c r="M9414" s="3">
        <v>335</v>
      </c>
    </row>
    <row r="9415" spans="1:13" x14ac:dyDescent="0.25">
      <c r="A9415" s="1" t="str">
        <f>HYPERLINK("http://www.rosaceae.org/Prunus/Prunus_persica/p.persica_gdr_reftransV1_0045483","p.persica_gdr_reftransV1_0045483")</f>
        <v>p.persica_gdr_reftransV1_0045483</v>
      </c>
      <c r="B9415" s="3">
        <v>1834</v>
      </c>
      <c r="C9415" s="1" t="str">
        <f>HYPERLINK("http://www.uniprot.org/uniprot/E137_ARATH","E137_ARATH")</f>
        <v>E137_ARATH</v>
      </c>
      <c r="D9415" t="s">
        <v>1950</v>
      </c>
      <c r="E9415" s="3" t="s">
        <v>3</v>
      </c>
      <c r="F9415" s="4">
        <v>0</v>
      </c>
      <c r="G9415" s="3">
        <v>1507</v>
      </c>
      <c r="H9415" s="3">
        <v>68</v>
      </c>
      <c r="I9415" s="3">
        <v>451</v>
      </c>
      <c r="J9415" s="3">
        <v>385</v>
      </c>
      <c r="K9415" s="3">
        <v>1737</v>
      </c>
      <c r="L9415" s="3">
        <v>9</v>
      </c>
      <c r="M9415" s="3">
        <v>448</v>
      </c>
    </row>
    <row r="9416" spans="1:13" x14ac:dyDescent="0.25">
      <c r="A9416" s="1" t="str">
        <f>HYPERLINK("http://www.rosaceae.org/Prunus/Prunus_persica/p.persica_gdr_reftransV1_0045533","p.persica_gdr_reftransV1_0045533")</f>
        <v>p.persica_gdr_reftransV1_0045533</v>
      </c>
      <c r="B9416" s="3">
        <v>1373</v>
      </c>
      <c r="C9416" s="1" t="str">
        <f>HYPERLINK("http://www.uniprot.org/uniprot/BBX24_ARATH","BBX24_ARATH")</f>
        <v>BBX24_ARATH</v>
      </c>
      <c r="D9416" t="s">
        <v>7036</v>
      </c>
      <c r="E9416" s="3" t="s">
        <v>3</v>
      </c>
      <c r="F9416" s="4">
        <v>7.6899999999999995E-97</v>
      </c>
      <c r="G9416" s="3">
        <v>763</v>
      </c>
      <c r="H9416" s="3">
        <v>62</v>
      </c>
      <c r="I9416" s="3">
        <v>250</v>
      </c>
      <c r="J9416" s="3">
        <v>392</v>
      </c>
      <c r="K9416" s="3">
        <v>1102</v>
      </c>
      <c r="L9416" s="3">
        <v>1</v>
      </c>
      <c r="M9416" s="3">
        <v>248</v>
      </c>
    </row>
    <row r="9417" spans="1:13" x14ac:dyDescent="0.25">
      <c r="A9417" s="1" t="str">
        <f>HYPERLINK("http://www.rosaceae.org/Prunus/Prunus_persica/p.persica_gdr_reftransV1_0045633","p.persica_gdr_reftransV1_0045633")</f>
        <v>p.persica_gdr_reftransV1_0045633</v>
      </c>
      <c r="B9417" s="3">
        <v>440</v>
      </c>
      <c r="C9417" s="1" t="str">
        <f>HYPERLINK("http://www.uniprot.org/uniprot/ATL4_ARATH","ATL4_ARATH")</f>
        <v>ATL4_ARATH</v>
      </c>
      <c r="D9417" t="s">
        <v>7037</v>
      </c>
      <c r="E9417" s="3" t="s">
        <v>3</v>
      </c>
      <c r="F9417" s="4">
        <v>2.9199999999999998E-9</v>
      </c>
      <c r="G9417" s="3">
        <v>138</v>
      </c>
      <c r="H9417" s="3">
        <v>52</v>
      </c>
      <c r="I9417" s="3">
        <v>91</v>
      </c>
      <c r="J9417" s="3">
        <v>2</v>
      </c>
      <c r="K9417" s="3">
        <v>244</v>
      </c>
      <c r="L9417" s="3">
        <v>42</v>
      </c>
      <c r="M9417" s="3">
        <v>131</v>
      </c>
    </row>
    <row r="9418" spans="1:13" x14ac:dyDescent="0.25">
      <c r="A9418" s="1" t="str">
        <f>HYPERLINK("http://www.rosaceae.org/Prunus/Prunus_persica/p.persica_gdr_reftransV1_0045683","p.persica_gdr_reftransV1_0045683")</f>
        <v>p.persica_gdr_reftransV1_0045683</v>
      </c>
      <c r="B9418" s="3">
        <v>1100</v>
      </c>
      <c r="C9418" s="1" t="str">
        <f>HYPERLINK("http://www.uniprot.org/uniprot/CFI_PYRCO","CFI_PYRCO")</f>
        <v>CFI_PYRCO</v>
      </c>
      <c r="D9418" t="s">
        <v>7038</v>
      </c>
      <c r="E9418" s="3" t="s">
        <v>3258</v>
      </c>
      <c r="F9418" s="4">
        <v>2.8499999999999999E-133</v>
      </c>
      <c r="G9418" s="3">
        <v>993</v>
      </c>
      <c r="H9418" s="3">
        <v>88</v>
      </c>
      <c r="I9418" s="3">
        <v>215</v>
      </c>
      <c r="J9418" s="3">
        <v>156</v>
      </c>
      <c r="K9418" s="3">
        <v>800</v>
      </c>
      <c r="L9418" s="3">
        <v>1</v>
      </c>
      <c r="M9418" s="3">
        <v>215</v>
      </c>
    </row>
    <row r="9419" spans="1:13" x14ac:dyDescent="0.25">
      <c r="A9419" s="1" t="str">
        <f>HYPERLINK("http://www.rosaceae.org/Prunus/Prunus_persica/p.persica_gdr_reftransV1_0045783","p.persica_gdr_reftransV1_0045783")</f>
        <v>p.persica_gdr_reftransV1_0045783</v>
      </c>
      <c r="B9419" s="3">
        <v>2500</v>
      </c>
      <c r="C9419" s="1" t="str">
        <f>HYPERLINK("http://www.uniprot.org/uniprot/CUCM1_CUCME","CUCM1_CUCME")</f>
        <v>CUCM1_CUCME</v>
      </c>
      <c r="D9419" t="s">
        <v>265</v>
      </c>
      <c r="E9419" s="3" t="s">
        <v>266</v>
      </c>
      <c r="F9419" s="4">
        <v>0</v>
      </c>
      <c r="G9419" s="3">
        <v>1832</v>
      </c>
      <c r="H9419" s="3">
        <v>54</v>
      </c>
      <c r="I9419" s="3">
        <v>718</v>
      </c>
      <c r="J9419" s="3">
        <v>200</v>
      </c>
      <c r="K9419" s="3">
        <v>2344</v>
      </c>
      <c r="L9419" s="3">
        <v>29</v>
      </c>
      <c r="M9419" s="3">
        <v>730</v>
      </c>
    </row>
    <row r="9420" spans="1:13" x14ac:dyDescent="0.25">
      <c r="A9420" s="1" t="str">
        <f>HYPERLINK("http://www.rosaceae.org/Prunus/Prunus_persica/p.persica_gdr_reftransV1_0045833","p.persica_gdr_reftransV1_0045833")</f>
        <v>p.persica_gdr_reftransV1_0045833</v>
      </c>
      <c r="B9420" s="3">
        <v>2145</v>
      </c>
      <c r="C9420" s="1" t="str">
        <f>HYPERLINK("http://www.uniprot.org/uniprot/FBK28_ARATH","FBK28_ARATH")</f>
        <v>FBK28_ARATH</v>
      </c>
      <c r="D9420" t="s">
        <v>1935</v>
      </c>
      <c r="E9420" s="3" t="s">
        <v>3</v>
      </c>
      <c r="F9420" s="4">
        <v>2.9100000000000001E-156</v>
      </c>
      <c r="G9420" s="3">
        <v>1195</v>
      </c>
      <c r="H9420" s="3">
        <v>63</v>
      </c>
      <c r="I9420" s="3">
        <v>345</v>
      </c>
      <c r="J9420" s="3">
        <v>309</v>
      </c>
      <c r="K9420" s="3">
        <v>1343</v>
      </c>
      <c r="L9420" s="3">
        <v>30</v>
      </c>
      <c r="M9420" s="3">
        <v>374</v>
      </c>
    </row>
    <row r="9421" spans="1:13" x14ac:dyDescent="0.25">
      <c r="A9421" s="1" t="str">
        <f>HYPERLINK("http://www.rosaceae.org/Prunus/Prunus_persica/p.persica_gdr_reftransV1_0045933","p.persica_gdr_reftransV1_0045933")</f>
        <v>p.persica_gdr_reftransV1_0045933</v>
      </c>
      <c r="B9421" s="3">
        <v>2033</v>
      </c>
      <c r="C9421" s="1" t="str">
        <f>HYPERLINK("http://www.uniprot.org/uniprot/PUB4_ARATH","PUB4_ARATH")</f>
        <v>PUB4_ARATH</v>
      </c>
      <c r="D9421" t="s">
        <v>1286</v>
      </c>
      <c r="E9421" s="3" t="s">
        <v>3</v>
      </c>
      <c r="F9421" s="4">
        <v>3.2399999999999999E-12</v>
      </c>
      <c r="G9421" s="3">
        <v>179</v>
      </c>
      <c r="H9421" s="3">
        <v>24</v>
      </c>
      <c r="I9421" s="3">
        <v>259</v>
      </c>
      <c r="J9421" s="3">
        <v>566</v>
      </c>
      <c r="K9421" s="3">
        <v>1222</v>
      </c>
      <c r="L9421" s="3">
        <v>543</v>
      </c>
      <c r="M9421" s="3">
        <v>798</v>
      </c>
    </row>
    <row r="9422" spans="1:13" x14ac:dyDescent="0.25">
      <c r="A9422" s="1" t="str">
        <f>HYPERLINK("http://www.rosaceae.org/Prunus/Prunus_persica/p.persica_gdr_reftransV1_0046083","p.persica_gdr_reftransV1_0046083")</f>
        <v>p.persica_gdr_reftransV1_0046083</v>
      </c>
      <c r="B9422" s="3">
        <v>1071</v>
      </c>
      <c r="C9422" s="1" t="str">
        <f>HYPERLINK("http://www.uniprot.org/uniprot/JOIN_SOLLC","JOIN_SOLLC")</f>
        <v>JOIN_SOLLC</v>
      </c>
      <c r="D9422" t="s">
        <v>2718</v>
      </c>
      <c r="E9422" s="3" t="s">
        <v>64</v>
      </c>
      <c r="F9422" s="4">
        <v>1.4400000000000001E-68</v>
      </c>
      <c r="G9422" s="3">
        <v>567</v>
      </c>
      <c r="H9422" s="3">
        <v>52</v>
      </c>
      <c r="I9422" s="3">
        <v>241</v>
      </c>
      <c r="J9422" s="3">
        <v>43</v>
      </c>
      <c r="K9422" s="3">
        <v>666</v>
      </c>
      <c r="L9422" s="3">
        <v>5</v>
      </c>
      <c r="M9422" s="3">
        <v>239</v>
      </c>
    </row>
    <row r="9423" spans="1:13" x14ac:dyDescent="0.25">
      <c r="A9423" s="1" t="str">
        <f>HYPERLINK("http://www.rosaceae.org/Prunus/Prunus_persica/p.persica_gdr_reftransV1_0046333","p.persica_gdr_reftransV1_0046333")</f>
        <v>p.persica_gdr_reftransV1_0046333</v>
      </c>
      <c r="B9423" s="3">
        <v>2236</v>
      </c>
      <c r="C9423" s="1" t="str">
        <f>HYPERLINK("http://www.uniprot.org/uniprot/YTHD2_MACFA","YTHD2_MACFA")</f>
        <v>YTHD2_MACFA</v>
      </c>
      <c r="D9423" t="s">
        <v>7039</v>
      </c>
      <c r="E9423" s="3" t="s">
        <v>674</v>
      </c>
      <c r="F9423" s="4">
        <v>3.4900000000000002E-53</v>
      </c>
      <c r="G9423" s="3">
        <v>503</v>
      </c>
      <c r="H9423" s="3">
        <v>49</v>
      </c>
      <c r="I9423" s="3">
        <v>189</v>
      </c>
      <c r="J9423" s="3">
        <v>527</v>
      </c>
      <c r="K9423" s="3">
        <v>1084</v>
      </c>
      <c r="L9423" s="3">
        <v>396</v>
      </c>
      <c r="M9423" s="3">
        <v>577</v>
      </c>
    </row>
    <row r="9424" spans="1:13" x14ac:dyDescent="0.25">
      <c r="A9424" s="1" t="str">
        <f>HYPERLINK("http://www.rosaceae.org/Prunus/Prunus_persica/p.persica_gdr_reftransV1_0046433","p.persica_gdr_reftransV1_0046433")</f>
        <v>p.persica_gdr_reftransV1_0046433</v>
      </c>
      <c r="B9424" s="3">
        <v>1642</v>
      </c>
      <c r="C9424" s="1" t="str">
        <f>HYPERLINK("http://www.uniprot.org/uniprot/DRP5A_ARATH","DRP5A_ARATH")</f>
        <v>DRP5A_ARATH</v>
      </c>
      <c r="D9424" t="s">
        <v>878</v>
      </c>
      <c r="E9424" s="3" t="s">
        <v>3</v>
      </c>
      <c r="F9424" s="4">
        <v>0</v>
      </c>
      <c r="G9424" s="3">
        <v>2144</v>
      </c>
      <c r="H9424" s="3">
        <v>86</v>
      </c>
      <c r="I9424" s="3">
        <v>478</v>
      </c>
      <c r="J9424" s="3">
        <v>208</v>
      </c>
      <c r="K9424" s="3">
        <v>1641</v>
      </c>
      <c r="L9424" s="3">
        <v>42</v>
      </c>
      <c r="M9424" s="3">
        <v>519</v>
      </c>
    </row>
    <row r="9425" spans="1:13" x14ac:dyDescent="0.25">
      <c r="A9425" s="1" t="str">
        <f>HYPERLINK("http://www.rosaceae.org/Prunus/Prunus_persica/p.persica_gdr_reftransV1_0046533","p.persica_gdr_reftransV1_0046533")</f>
        <v>p.persica_gdr_reftransV1_0046533</v>
      </c>
      <c r="B9425" s="3">
        <v>690</v>
      </c>
      <c r="C9425" s="1" t="str">
        <f>HYPERLINK("http://www.uniprot.org/uniprot/RL34_PEA","RL34_PEA")</f>
        <v>RL34_PEA</v>
      </c>
      <c r="D9425" t="s">
        <v>7040</v>
      </c>
      <c r="E9425" s="3" t="s">
        <v>60</v>
      </c>
      <c r="F9425" s="4">
        <v>7.0300000000000002E-59</v>
      </c>
      <c r="G9425" s="3">
        <v>477</v>
      </c>
      <c r="H9425" s="3">
        <v>97</v>
      </c>
      <c r="I9425" s="3">
        <v>95</v>
      </c>
      <c r="J9425" s="3">
        <v>73</v>
      </c>
      <c r="K9425" s="3">
        <v>357</v>
      </c>
      <c r="L9425" s="3">
        <v>1</v>
      </c>
      <c r="M9425" s="3">
        <v>95</v>
      </c>
    </row>
    <row r="9426" spans="1:13" x14ac:dyDescent="0.25">
      <c r="A9426" s="1" t="str">
        <f>HYPERLINK("http://www.rosaceae.org/Prunus/Prunus_persica/p.persica_gdr_reftransV1_0046783","p.persica_gdr_reftransV1_0046783")</f>
        <v>p.persica_gdr_reftransV1_0046783</v>
      </c>
      <c r="B9426" s="3">
        <v>787</v>
      </c>
      <c r="C9426" s="1" t="str">
        <f>HYPERLINK("http://www.uniprot.org/uniprot/HAL3A_ARATH","HAL3A_ARATH")</f>
        <v>HAL3A_ARATH</v>
      </c>
      <c r="D9426" t="s">
        <v>5365</v>
      </c>
      <c r="E9426" s="3" t="s">
        <v>3</v>
      </c>
      <c r="F9426" s="4">
        <v>1.6800000000000001E-99</v>
      </c>
      <c r="G9426" s="3">
        <v>758</v>
      </c>
      <c r="H9426" s="3">
        <v>76</v>
      </c>
      <c r="I9426" s="3">
        <v>174</v>
      </c>
      <c r="J9426" s="3">
        <v>265</v>
      </c>
      <c r="K9426" s="3">
        <v>786</v>
      </c>
      <c r="L9426" s="3">
        <v>11</v>
      </c>
      <c r="M9426" s="3">
        <v>184</v>
      </c>
    </row>
    <row r="9427" spans="1:13" x14ac:dyDescent="0.25">
      <c r="A9427" s="1" t="str">
        <f>HYPERLINK("http://www.rosaceae.org/Prunus/Prunus_persica/p.persica_gdr_reftransV1_0046833","p.persica_gdr_reftransV1_0046833")</f>
        <v>p.persica_gdr_reftransV1_0046833</v>
      </c>
      <c r="B9427" s="3">
        <v>922</v>
      </c>
      <c r="C9427" s="1" t="str">
        <f>HYPERLINK("http://www.uniprot.org/uniprot/RL12_PRUAR","RL12_PRUAR")</f>
        <v>RL12_PRUAR</v>
      </c>
      <c r="D9427" t="s">
        <v>4648</v>
      </c>
      <c r="E9427" s="3" t="s">
        <v>62</v>
      </c>
      <c r="F9427" s="4">
        <v>2.5900000000000001E-110</v>
      </c>
      <c r="G9427" s="3">
        <v>830</v>
      </c>
      <c r="H9427" s="3">
        <v>98</v>
      </c>
      <c r="I9427" s="3">
        <v>166</v>
      </c>
      <c r="J9427" s="3">
        <v>137</v>
      </c>
      <c r="K9427" s="3">
        <v>634</v>
      </c>
      <c r="L9427" s="3">
        <v>1</v>
      </c>
      <c r="M9427" s="3">
        <v>166</v>
      </c>
    </row>
    <row r="9428" spans="1:13" x14ac:dyDescent="0.25">
      <c r="A9428" s="1" t="str">
        <f>HYPERLINK("http://www.rosaceae.org/Prunus/Prunus_persica/p.persica_gdr_reftransV1_0047033","p.persica_gdr_reftransV1_0047033")</f>
        <v>p.persica_gdr_reftransV1_0047033</v>
      </c>
      <c r="B9428" s="3">
        <v>1204</v>
      </c>
      <c r="C9428" s="1" t="str">
        <f>HYPERLINK("http://www.uniprot.org/uniprot/BPS1_ARATH","BPS1_ARATH")</f>
        <v>BPS1_ARATH</v>
      </c>
      <c r="D9428" t="s">
        <v>6770</v>
      </c>
      <c r="E9428" s="3" t="s">
        <v>3</v>
      </c>
      <c r="F9428" s="4">
        <v>1.42E-14</v>
      </c>
      <c r="G9428" s="3">
        <v>191</v>
      </c>
      <c r="H9428" s="3">
        <v>27</v>
      </c>
      <c r="I9428" s="3">
        <v>260</v>
      </c>
      <c r="J9428" s="3">
        <v>219</v>
      </c>
      <c r="K9428" s="3">
        <v>950</v>
      </c>
      <c r="L9428" s="3">
        <v>57</v>
      </c>
      <c r="M9428" s="3">
        <v>316</v>
      </c>
    </row>
    <row r="9429" spans="1:13" x14ac:dyDescent="0.25">
      <c r="A9429" s="1" t="str">
        <f>HYPERLINK("http://www.rosaceae.org/Prunus/Prunus_persica/p.persica_gdr_reftransV1_0047083","p.persica_gdr_reftransV1_0047083")</f>
        <v>p.persica_gdr_reftransV1_0047083</v>
      </c>
      <c r="B9429" s="3">
        <v>2844</v>
      </c>
      <c r="C9429" s="1" t="str">
        <f>HYPERLINK("http://www.uniprot.org/uniprot/TOP2_ARATH","TOP2_ARATH")</f>
        <v>TOP2_ARATH</v>
      </c>
      <c r="D9429" t="s">
        <v>7041</v>
      </c>
      <c r="E9429" s="3" t="s">
        <v>3</v>
      </c>
      <c r="F9429" s="4">
        <v>0</v>
      </c>
      <c r="G9429" s="3">
        <v>1704</v>
      </c>
      <c r="H9429" s="3">
        <v>67</v>
      </c>
      <c r="I9429" s="3">
        <v>508</v>
      </c>
      <c r="J9429" s="3">
        <v>3</v>
      </c>
      <c r="K9429" s="3">
        <v>1511</v>
      </c>
      <c r="L9429" s="3">
        <v>663</v>
      </c>
      <c r="M9429" s="3">
        <v>1167</v>
      </c>
    </row>
    <row r="9430" spans="1:13" x14ac:dyDescent="0.25">
      <c r="A9430" s="1" t="str">
        <f>HYPERLINK("http://www.rosaceae.org/Prunus/Prunus_persica/p.persica_gdr_reftransV1_0047183","p.persica_gdr_reftransV1_0047183")</f>
        <v>p.persica_gdr_reftransV1_0047183</v>
      </c>
      <c r="B9430" s="3">
        <v>1516</v>
      </c>
      <c r="C9430" s="1" t="str">
        <f>HYPERLINK("http://www.uniprot.org/uniprot/PRP38_ARATH","PRP38_ARATH")</f>
        <v>PRP38_ARATH</v>
      </c>
      <c r="D9430" t="s">
        <v>4596</v>
      </c>
      <c r="E9430" s="3" t="s">
        <v>3</v>
      </c>
      <c r="F9430" s="4">
        <v>1.4900000000000001E-111</v>
      </c>
      <c r="G9430" s="3">
        <v>876</v>
      </c>
      <c r="H9430" s="3">
        <v>86</v>
      </c>
      <c r="I9430" s="3">
        <v>184</v>
      </c>
      <c r="J9430" s="3">
        <v>118</v>
      </c>
      <c r="K9430" s="3">
        <v>669</v>
      </c>
      <c r="L9430" s="3">
        <v>1</v>
      </c>
      <c r="M9430" s="3">
        <v>184</v>
      </c>
    </row>
    <row r="9431" spans="1:13" x14ac:dyDescent="0.25">
      <c r="A9431" s="1" t="str">
        <f>HYPERLINK("http://www.rosaceae.org/Prunus/Prunus_persica/p.persica_gdr_reftransV1_0047433","p.persica_gdr_reftransV1_0047433")</f>
        <v>p.persica_gdr_reftransV1_0047433</v>
      </c>
      <c r="B9431" s="3">
        <v>3510</v>
      </c>
      <c r="C9431" s="1" t="str">
        <f>HYPERLINK("http://www.uniprot.org/uniprot/EFR3B_MOUSE","EFR3B_MOUSE")</f>
        <v>EFR3B_MOUSE</v>
      </c>
      <c r="D9431" t="s">
        <v>7042</v>
      </c>
      <c r="E9431" s="3" t="s">
        <v>157</v>
      </c>
      <c r="F9431" s="4">
        <v>1.42E-15</v>
      </c>
      <c r="G9431" s="3">
        <v>211</v>
      </c>
      <c r="H9431" s="3">
        <v>21</v>
      </c>
      <c r="I9431" s="3">
        <v>544</v>
      </c>
      <c r="J9431" s="3">
        <v>1802</v>
      </c>
      <c r="K9431" s="3">
        <v>3343</v>
      </c>
      <c r="L9431" s="3">
        <v>3</v>
      </c>
      <c r="M9431" s="3">
        <v>495</v>
      </c>
    </row>
    <row r="9432" spans="1:13" x14ac:dyDescent="0.25">
      <c r="A9432" s="1" t="str">
        <f>HYPERLINK("http://www.rosaceae.org/Prunus/Prunus_persica/p.persica_gdr_reftransV1_0047483","p.persica_gdr_reftransV1_0047483")</f>
        <v>p.persica_gdr_reftransV1_0047483</v>
      </c>
      <c r="B9432" s="3">
        <v>1606</v>
      </c>
      <c r="C9432" s="1" t="str">
        <f>HYPERLINK("http://www.uniprot.org/uniprot/PP334_ARATH","PP334_ARATH")</f>
        <v>PP334_ARATH</v>
      </c>
      <c r="D9432" t="s">
        <v>168</v>
      </c>
      <c r="E9432" s="3" t="s">
        <v>3</v>
      </c>
      <c r="F9432" s="4">
        <v>8.0699999999999999E-13</v>
      </c>
      <c r="G9432" s="3">
        <v>181</v>
      </c>
      <c r="H9432" s="3">
        <v>64</v>
      </c>
      <c r="I9432" s="3">
        <v>55</v>
      </c>
      <c r="J9432" s="3">
        <v>6</v>
      </c>
      <c r="K9432" s="3">
        <v>170</v>
      </c>
      <c r="L9432" s="3">
        <v>261</v>
      </c>
      <c r="M9432" s="3">
        <v>315</v>
      </c>
    </row>
    <row r="9433" spans="1:13" x14ac:dyDescent="0.25">
      <c r="A9433" s="1" t="str">
        <f>HYPERLINK("http://www.rosaceae.org/Prunus/Prunus_persica/p.persica_gdr_reftransV1_0047533","p.persica_gdr_reftransV1_0047533")</f>
        <v>p.persica_gdr_reftransV1_0047533</v>
      </c>
      <c r="B9433" s="3">
        <v>387</v>
      </c>
      <c r="C9433" s="1" t="str">
        <f>HYPERLINK("http://www.uniprot.org/uniprot/SEPR_BOVIN","SEPR_BOVIN")</f>
        <v>SEPR_BOVIN</v>
      </c>
      <c r="D9433" t="s">
        <v>7043</v>
      </c>
      <c r="E9433" s="3" t="s">
        <v>184</v>
      </c>
      <c r="F9433" s="4">
        <v>8.0100000000000004E-7</v>
      </c>
      <c r="G9433" s="3">
        <v>120</v>
      </c>
      <c r="H9433" s="3">
        <v>35</v>
      </c>
      <c r="I9433" s="3">
        <v>109</v>
      </c>
      <c r="J9433" s="3">
        <v>62</v>
      </c>
      <c r="K9433" s="3">
        <v>379</v>
      </c>
      <c r="L9433" s="3">
        <v>527</v>
      </c>
      <c r="M9433" s="3">
        <v>635</v>
      </c>
    </row>
    <row r="9434" spans="1:13" x14ac:dyDescent="0.25">
      <c r="A9434" s="1" t="str">
        <f>HYPERLINK("http://www.rosaceae.org/Prunus/Prunus_persica/p.persica_gdr_reftransV1_0047633","p.persica_gdr_reftransV1_0047633")</f>
        <v>p.persica_gdr_reftransV1_0047633</v>
      </c>
      <c r="B9434" s="3">
        <v>1259</v>
      </c>
      <c r="C9434" s="1" t="str">
        <f>HYPERLINK("http://www.uniprot.org/uniprot/Y3126_ARATH","Y3126_ARATH")</f>
        <v>Y3126_ARATH</v>
      </c>
      <c r="D9434" t="s">
        <v>2660</v>
      </c>
      <c r="E9434" s="3" t="s">
        <v>3</v>
      </c>
      <c r="F9434" s="4">
        <v>2.95E-29</v>
      </c>
      <c r="G9434" s="3">
        <v>184</v>
      </c>
      <c r="H9434" s="3">
        <v>60</v>
      </c>
      <c r="I9434" s="3">
        <v>118</v>
      </c>
      <c r="J9434" s="3">
        <v>770</v>
      </c>
      <c r="K9434" s="3">
        <v>1120</v>
      </c>
      <c r="L9434" s="3">
        <v>48</v>
      </c>
      <c r="M9434" s="3">
        <v>161</v>
      </c>
    </row>
    <row r="9435" spans="1:13" x14ac:dyDescent="0.25">
      <c r="A9435" s="1" t="str">
        <f>HYPERLINK("http://www.rosaceae.org/Prunus/Prunus_persica/p.persica_gdr_reftransV1_0047733","p.persica_gdr_reftransV1_0047733")</f>
        <v>p.persica_gdr_reftransV1_0047733</v>
      </c>
      <c r="B9435" s="3">
        <v>356</v>
      </c>
      <c r="C9435" s="1" t="str">
        <f>HYPERLINK("http://www.uniprot.org/uniprot/WAK2_ARATH","WAK2_ARATH")</f>
        <v>WAK2_ARATH</v>
      </c>
      <c r="D9435" t="s">
        <v>2792</v>
      </c>
      <c r="E9435" s="3" t="s">
        <v>3</v>
      </c>
      <c r="F9435" s="4">
        <v>6.0599999999999996E-12</v>
      </c>
      <c r="G9435" s="3">
        <v>159</v>
      </c>
      <c r="H9435" s="3">
        <v>35</v>
      </c>
      <c r="I9435" s="3">
        <v>108</v>
      </c>
      <c r="J9435" s="3">
        <v>31</v>
      </c>
      <c r="K9435" s="3">
        <v>348</v>
      </c>
      <c r="L9435" s="3">
        <v>29</v>
      </c>
      <c r="M9435" s="3">
        <v>132</v>
      </c>
    </row>
    <row r="9436" spans="1:13" x14ac:dyDescent="0.25">
      <c r="A9436" s="1" t="str">
        <f>HYPERLINK("http://www.rosaceae.org/Prunus/Prunus_persica/p.persica_gdr_reftransV1_0047833","p.persica_gdr_reftransV1_0047833")</f>
        <v>p.persica_gdr_reftransV1_0047833</v>
      </c>
      <c r="B9436" s="3">
        <v>3533</v>
      </c>
      <c r="C9436" s="1" t="str">
        <f>HYPERLINK("http://www.uniprot.org/uniprot/TRP5_ARATH","TRP5_ARATH")</f>
        <v>TRP5_ARATH</v>
      </c>
      <c r="D9436" t="s">
        <v>7044</v>
      </c>
      <c r="E9436" s="3" t="s">
        <v>3</v>
      </c>
      <c r="F9436" s="4">
        <v>2.58E-64</v>
      </c>
      <c r="G9436" s="3">
        <v>360</v>
      </c>
      <c r="H9436" s="3">
        <v>51</v>
      </c>
      <c r="I9436" s="3">
        <v>189</v>
      </c>
      <c r="J9436" s="3">
        <v>2375</v>
      </c>
      <c r="K9436" s="3">
        <v>2935</v>
      </c>
      <c r="L9436" s="3">
        <v>379</v>
      </c>
      <c r="M9436" s="3">
        <v>551</v>
      </c>
    </row>
    <row r="9437" spans="1:13" x14ac:dyDescent="0.25">
      <c r="A9437" s="1" t="str">
        <f>HYPERLINK("http://www.rosaceae.org/Prunus/Prunus_persica/p.persica_gdr_reftransV1_0047883","p.persica_gdr_reftransV1_0047883")</f>
        <v>p.persica_gdr_reftransV1_0047883</v>
      </c>
      <c r="B9437" s="3">
        <v>1897</v>
      </c>
      <c r="C9437" s="1" t="str">
        <f>HYPERLINK("http://www.uniprot.org/uniprot/ILL6_ARATH","ILL6_ARATH")</f>
        <v>ILL6_ARATH</v>
      </c>
      <c r="D9437" t="s">
        <v>7045</v>
      </c>
      <c r="E9437" s="3" t="s">
        <v>3</v>
      </c>
      <c r="F9437" s="4">
        <v>0</v>
      </c>
      <c r="G9437" s="3">
        <v>1527</v>
      </c>
      <c r="H9437" s="3">
        <v>70</v>
      </c>
      <c r="I9437" s="3">
        <v>402</v>
      </c>
      <c r="J9437" s="3">
        <v>326</v>
      </c>
      <c r="K9437" s="3">
        <v>1531</v>
      </c>
      <c r="L9437" s="3">
        <v>65</v>
      </c>
      <c r="M9437" s="3">
        <v>461</v>
      </c>
    </row>
    <row r="9438" spans="1:13" x14ac:dyDescent="0.25">
      <c r="A9438" s="1" t="str">
        <f>HYPERLINK("http://www.rosaceae.org/Prunus/Prunus_persica/p.persica_gdr_reftransV1_0047933","p.persica_gdr_reftransV1_0047933")</f>
        <v>p.persica_gdr_reftransV1_0047933</v>
      </c>
      <c r="B9438" s="3">
        <v>765</v>
      </c>
      <c r="C9438" s="1" t="str">
        <f>HYPERLINK("http://www.uniprot.org/uniprot/SF21_HELAN","SF21_HELAN")</f>
        <v>SF21_HELAN</v>
      </c>
      <c r="D9438" t="s">
        <v>598</v>
      </c>
      <c r="E9438" s="3" t="s">
        <v>599</v>
      </c>
      <c r="F9438" s="4">
        <v>5.7800000000000003E-101</v>
      </c>
      <c r="G9438" s="3">
        <v>780</v>
      </c>
      <c r="H9438" s="3">
        <v>71</v>
      </c>
      <c r="I9438" s="3">
        <v>203</v>
      </c>
      <c r="J9438" s="3">
        <v>156</v>
      </c>
      <c r="K9438" s="3">
        <v>764</v>
      </c>
      <c r="L9438" s="3">
        <v>73</v>
      </c>
      <c r="M9438" s="3">
        <v>275</v>
      </c>
    </row>
    <row r="9439" spans="1:13" x14ac:dyDescent="0.25">
      <c r="A9439" s="1" t="str">
        <f>HYPERLINK("http://www.rosaceae.org/Prunus/Prunus_persica/p.persica_gdr_reftransV1_0047983","p.persica_gdr_reftransV1_0047983")</f>
        <v>p.persica_gdr_reftransV1_0047983</v>
      </c>
      <c r="B9439" s="3">
        <v>1747</v>
      </c>
      <c r="C9439" s="1" t="str">
        <f>HYPERLINK("http://www.uniprot.org/uniprot/RBL2_ARATH","RBL2_ARATH")</f>
        <v>RBL2_ARATH</v>
      </c>
      <c r="D9439" t="s">
        <v>7046</v>
      </c>
      <c r="E9439" s="3" t="s">
        <v>3</v>
      </c>
      <c r="F9439" s="4">
        <v>3.4999999999999998E-85</v>
      </c>
      <c r="G9439" s="3">
        <v>701</v>
      </c>
      <c r="H9439" s="3">
        <v>70</v>
      </c>
      <c r="I9439" s="3">
        <v>318</v>
      </c>
      <c r="J9439" s="3">
        <v>298</v>
      </c>
      <c r="K9439" s="3">
        <v>1251</v>
      </c>
      <c r="L9439" s="3">
        <v>5</v>
      </c>
      <c r="M9439" s="3">
        <v>317</v>
      </c>
    </row>
    <row r="9440" spans="1:13" x14ac:dyDescent="0.25">
      <c r="A9440" s="1" t="str">
        <f>HYPERLINK("http://www.rosaceae.org/Prunus/Prunus_persica/p.persica_gdr_reftransV1_0048033","p.persica_gdr_reftransV1_0048033")</f>
        <v>p.persica_gdr_reftransV1_0048033</v>
      </c>
      <c r="B9440" s="3">
        <v>3587</v>
      </c>
      <c r="C9440" s="1" t="str">
        <f>HYPERLINK("http://www.uniprot.org/uniprot/SEC_ARATH","SEC_ARATH")</f>
        <v>SEC_ARATH</v>
      </c>
      <c r="D9440" t="s">
        <v>486</v>
      </c>
      <c r="E9440" s="3" t="s">
        <v>3</v>
      </c>
      <c r="F9440" s="4">
        <v>0</v>
      </c>
      <c r="G9440" s="3">
        <v>4327</v>
      </c>
      <c r="H9440" s="3">
        <v>86</v>
      </c>
      <c r="I9440" s="3">
        <v>921</v>
      </c>
      <c r="J9440" s="3">
        <v>462</v>
      </c>
      <c r="K9440" s="3">
        <v>3224</v>
      </c>
      <c r="L9440" s="3">
        <v>57</v>
      </c>
      <c r="M9440" s="3">
        <v>977</v>
      </c>
    </row>
    <row r="9441" spans="1:13" x14ac:dyDescent="0.25">
      <c r="A9441" s="1" t="str">
        <f>HYPERLINK("http://www.rosaceae.org/Prunus/Prunus_persica/p.persica_gdr_reftransV1_0048083","p.persica_gdr_reftransV1_0048083")</f>
        <v>p.persica_gdr_reftransV1_0048083</v>
      </c>
      <c r="B9441" s="3">
        <v>1088</v>
      </c>
      <c r="C9441" s="1" t="str">
        <f>HYPERLINK("http://www.uniprot.org/uniprot/CB24_TOBAC","CB24_TOBAC")</f>
        <v>CB24_TOBAC</v>
      </c>
      <c r="D9441" t="s">
        <v>7047</v>
      </c>
      <c r="E9441" s="3" t="s">
        <v>200</v>
      </c>
      <c r="F9441" s="4">
        <v>3.5999999999999999E-180</v>
      </c>
      <c r="G9441" s="3">
        <v>1307</v>
      </c>
      <c r="H9441" s="3">
        <v>91</v>
      </c>
      <c r="I9441" s="3">
        <v>267</v>
      </c>
      <c r="J9441" s="3">
        <v>69</v>
      </c>
      <c r="K9441" s="3">
        <v>869</v>
      </c>
      <c r="L9441" s="3">
        <v>1</v>
      </c>
      <c r="M9441" s="3">
        <v>267</v>
      </c>
    </row>
    <row r="9442" spans="1:13" x14ac:dyDescent="0.25">
      <c r="A9442" s="1" t="str">
        <f>HYPERLINK("http://www.rosaceae.org/Prunus/Prunus_persica/p.persica_gdr_reftransV1_0048133","p.persica_gdr_reftransV1_0048133")</f>
        <v>p.persica_gdr_reftransV1_0048133</v>
      </c>
      <c r="B9442" s="3">
        <v>1981</v>
      </c>
      <c r="C9442" s="1" t="str">
        <f>HYPERLINK("http://www.uniprot.org/uniprot/TAS_SHIFL","TAS_SHIFL")</f>
        <v>TAS_SHIFL</v>
      </c>
      <c r="D9442" t="s">
        <v>1702</v>
      </c>
      <c r="E9442" s="3" t="s">
        <v>1703</v>
      </c>
      <c r="F9442" s="4">
        <v>6.3E-46</v>
      </c>
      <c r="G9442" s="3">
        <v>433</v>
      </c>
      <c r="H9442" s="3">
        <v>42</v>
      </c>
      <c r="I9442" s="3">
        <v>224</v>
      </c>
      <c r="J9442" s="3">
        <v>879</v>
      </c>
      <c r="K9442" s="3">
        <v>1550</v>
      </c>
      <c r="L9442" s="3">
        <v>130</v>
      </c>
      <c r="M9442" s="3">
        <v>344</v>
      </c>
    </row>
    <row r="9443" spans="1:13" x14ac:dyDescent="0.25">
      <c r="A9443" s="1" t="str">
        <f>HYPERLINK("http://www.rosaceae.org/Prunus/Prunus_persica/p.persica_gdr_reftransV1_0048183","p.persica_gdr_reftransV1_0048183")</f>
        <v>p.persica_gdr_reftransV1_0048183</v>
      </c>
      <c r="B9443" s="3">
        <v>1179</v>
      </c>
      <c r="C9443" s="1" t="str">
        <f>HYPERLINK("http://www.uniprot.org/uniprot/CRL_ARATH","CRL_ARATH")</f>
        <v>CRL_ARATH</v>
      </c>
      <c r="D9443" t="s">
        <v>7048</v>
      </c>
      <c r="E9443" s="3" t="s">
        <v>3</v>
      </c>
      <c r="F9443" s="4">
        <v>3.1999999999999998E-150</v>
      </c>
      <c r="G9443" s="3">
        <v>1113</v>
      </c>
      <c r="H9443" s="3">
        <v>79</v>
      </c>
      <c r="I9443" s="3">
        <v>251</v>
      </c>
      <c r="J9443" s="3">
        <v>82</v>
      </c>
      <c r="K9443" s="3">
        <v>834</v>
      </c>
      <c r="L9443" s="3">
        <v>19</v>
      </c>
      <c r="M9443" s="3">
        <v>269</v>
      </c>
    </row>
    <row r="9444" spans="1:13" x14ac:dyDescent="0.25">
      <c r="A9444" s="1" t="str">
        <f>HYPERLINK("http://www.rosaceae.org/Prunus/Prunus_persica/p.persica_gdr_reftransV1_0048233","p.persica_gdr_reftransV1_0048233")</f>
        <v>p.persica_gdr_reftransV1_0048233</v>
      </c>
      <c r="B9444" s="3">
        <v>1075</v>
      </c>
      <c r="C9444" s="1" t="str">
        <f>HYPERLINK("http://www.uniprot.org/uniprot/R35A1_ARATH","R35A1_ARATH")</f>
        <v>R35A1_ARATH</v>
      </c>
      <c r="D9444" t="s">
        <v>7049</v>
      </c>
      <c r="E9444" s="3" t="s">
        <v>3</v>
      </c>
      <c r="F9444" s="4">
        <v>1.5899999999999999E-65</v>
      </c>
      <c r="G9444" s="3">
        <v>532</v>
      </c>
      <c r="H9444" s="3">
        <v>87</v>
      </c>
      <c r="I9444" s="3">
        <v>112</v>
      </c>
      <c r="J9444" s="3">
        <v>652</v>
      </c>
      <c r="K9444" s="3">
        <v>987</v>
      </c>
      <c r="L9444" s="3">
        <v>1</v>
      </c>
      <c r="M9444" s="3">
        <v>112</v>
      </c>
    </row>
    <row r="9445" spans="1:13" x14ac:dyDescent="0.25">
      <c r="A9445" s="1" t="str">
        <f>HYPERLINK("http://www.rosaceae.org/Prunus/Prunus_persica/p.persica_gdr_reftransV1_0048433","p.persica_gdr_reftransV1_0048433")</f>
        <v>p.persica_gdr_reftransV1_0048433</v>
      </c>
      <c r="B9445" s="3">
        <v>346</v>
      </c>
      <c r="C9445" s="1" t="str">
        <f>HYPERLINK("http://www.uniprot.org/uniprot/RLK1_ARATH","RLK1_ARATH")</f>
        <v>RLK1_ARATH</v>
      </c>
      <c r="D9445" t="s">
        <v>806</v>
      </c>
      <c r="E9445" s="3" t="s">
        <v>3</v>
      </c>
      <c r="F9445" s="4">
        <v>2.8199999999999999E-14</v>
      </c>
      <c r="G9445" s="3">
        <v>177</v>
      </c>
      <c r="H9445" s="3">
        <v>36</v>
      </c>
      <c r="I9445" s="3">
        <v>124</v>
      </c>
      <c r="J9445" s="3">
        <v>1</v>
      </c>
      <c r="K9445" s="3">
        <v>345</v>
      </c>
      <c r="L9445" s="3">
        <v>68</v>
      </c>
      <c r="M9445" s="3">
        <v>191</v>
      </c>
    </row>
    <row r="9446" spans="1:13" x14ac:dyDescent="0.25">
      <c r="A9446" s="1" t="str">
        <f>HYPERLINK("http://www.rosaceae.org/Prunus/Prunus_persica/p.persica_gdr_reftransV1_0048533","p.persica_gdr_reftransV1_0048533")</f>
        <v>p.persica_gdr_reftransV1_0048533</v>
      </c>
      <c r="B9446" s="3">
        <v>2836</v>
      </c>
      <c r="C9446" s="1" t="str">
        <f>HYPERLINK("http://www.uniprot.org/uniprot/MSL10_ARATH","MSL10_ARATH")</f>
        <v>MSL10_ARATH</v>
      </c>
      <c r="D9446" t="s">
        <v>378</v>
      </c>
      <c r="E9446" s="3" t="s">
        <v>3</v>
      </c>
      <c r="F9446" s="4">
        <v>0</v>
      </c>
      <c r="G9446" s="3">
        <v>2055</v>
      </c>
      <c r="H9446" s="3">
        <v>65</v>
      </c>
      <c r="I9446" s="3">
        <v>691</v>
      </c>
      <c r="J9446" s="3">
        <v>611</v>
      </c>
      <c r="K9446" s="3">
        <v>2662</v>
      </c>
      <c r="L9446" s="3">
        <v>50</v>
      </c>
      <c r="M9446" s="3">
        <v>732</v>
      </c>
    </row>
    <row r="9447" spans="1:13" x14ac:dyDescent="0.25">
      <c r="A9447" s="1" t="str">
        <f>HYPERLINK("http://www.rosaceae.org/Prunus/Prunus_persica/p.persica_gdr_reftransV1_0048583","p.persica_gdr_reftransV1_0048583")</f>
        <v>p.persica_gdr_reftransV1_0048583</v>
      </c>
      <c r="B9447" s="3">
        <v>913</v>
      </c>
      <c r="C9447" s="1" t="str">
        <f>HYPERLINK("http://www.uniprot.org/uniprot/CUT1A_ARATH","CUT1A_ARATH")</f>
        <v>CUT1A_ARATH</v>
      </c>
      <c r="D9447" t="s">
        <v>4707</v>
      </c>
      <c r="E9447" s="3" t="s">
        <v>3</v>
      </c>
      <c r="F9447" s="4">
        <v>7.8599999999999996E-63</v>
      </c>
      <c r="G9447" s="3">
        <v>514</v>
      </c>
      <c r="H9447" s="3">
        <v>70</v>
      </c>
      <c r="I9447" s="3">
        <v>153</v>
      </c>
      <c r="J9447" s="3">
        <v>158</v>
      </c>
      <c r="K9447" s="3">
        <v>607</v>
      </c>
      <c r="L9447" s="3">
        <v>13</v>
      </c>
      <c r="M9447" s="3">
        <v>164</v>
      </c>
    </row>
    <row r="9448" spans="1:13" x14ac:dyDescent="0.25">
      <c r="A9448" s="1" t="str">
        <f>HYPERLINK("http://www.rosaceae.org/Prunus/Prunus_persica/p.persica_gdr_reftransV1_0048633","p.persica_gdr_reftransV1_0048633")</f>
        <v>p.persica_gdr_reftransV1_0048633</v>
      </c>
      <c r="B9448" s="3">
        <v>385</v>
      </c>
      <c r="C9448" s="1" t="str">
        <f>HYPERLINK("http://www.uniprot.org/uniprot/PP386_ARATH","PP386_ARATH")</f>
        <v>PP386_ARATH</v>
      </c>
      <c r="D9448" t="s">
        <v>3727</v>
      </c>
      <c r="E9448" s="3" t="s">
        <v>3</v>
      </c>
      <c r="F9448" s="4">
        <v>4.3800000000000001E-44</v>
      </c>
      <c r="G9448" s="3">
        <v>394</v>
      </c>
      <c r="H9448" s="3">
        <v>57</v>
      </c>
      <c r="I9448" s="3">
        <v>127</v>
      </c>
      <c r="J9448" s="3">
        <v>3</v>
      </c>
      <c r="K9448" s="3">
        <v>383</v>
      </c>
      <c r="L9448" s="3">
        <v>116</v>
      </c>
      <c r="M9448" s="3">
        <v>242</v>
      </c>
    </row>
    <row r="9449" spans="1:13" x14ac:dyDescent="0.25">
      <c r="A9449" s="1" t="str">
        <f>HYPERLINK("http://www.rosaceae.org/Prunus/Prunus_persica/p.persica_gdr_reftransV1_0048683","p.persica_gdr_reftransV1_0048683")</f>
        <v>p.persica_gdr_reftransV1_0048683</v>
      </c>
      <c r="B9449" s="3">
        <v>683</v>
      </c>
      <c r="C9449" s="1" t="str">
        <f>HYPERLINK("http://www.uniprot.org/uniprot/PHR_ARATH","PHR_ARATH")</f>
        <v>PHR_ARATH</v>
      </c>
      <c r="D9449" t="s">
        <v>7050</v>
      </c>
      <c r="E9449" s="3" t="s">
        <v>3</v>
      </c>
      <c r="F9449" s="4">
        <v>4.9500000000000002E-54</v>
      </c>
      <c r="G9449" s="3">
        <v>472</v>
      </c>
      <c r="H9449" s="3">
        <v>83</v>
      </c>
      <c r="I9449" s="3">
        <v>105</v>
      </c>
      <c r="J9449" s="3">
        <v>272</v>
      </c>
      <c r="K9449" s="3">
        <v>580</v>
      </c>
      <c r="L9449" s="3">
        <v>384</v>
      </c>
      <c r="M9449" s="3">
        <v>488</v>
      </c>
    </row>
    <row r="9450" spans="1:13" x14ac:dyDescent="0.25">
      <c r="A9450" s="1" t="str">
        <f>HYPERLINK("http://www.rosaceae.org/Prunus/Prunus_persica/p.persica_gdr_reftransV1_0048783","p.persica_gdr_reftransV1_0048783")</f>
        <v>p.persica_gdr_reftransV1_0048783</v>
      </c>
      <c r="B9450" s="3">
        <v>597</v>
      </c>
      <c r="C9450" s="1" t="str">
        <f>HYPERLINK("http://www.uniprot.org/uniprot/VATL_GOSHI","VATL_GOSHI")</f>
        <v>VATL_GOSHI</v>
      </c>
      <c r="D9450" t="s">
        <v>3823</v>
      </c>
      <c r="E9450" s="3" t="s">
        <v>816</v>
      </c>
      <c r="F9450" s="4">
        <v>1.6600000000000001E-60</v>
      </c>
      <c r="G9450" s="3">
        <v>489</v>
      </c>
      <c r="H9450" s="3">
        <v>100</v>
      </c>
      <c r="I9450" s="3">
        <v>133</v>
      </c>
      <c r="J9450" s="3">
        <v>158</v>
      </c>
      <c r="K9450" s="3">
        <v>556</v>
      </c>
      <c r="L9450" s="3">
        <v>2</v>
      </c>
      <c r="M9450" s="3">
        <v>134</v>
      </c>
    </row>
    <row r="9451" spans="1:13" x14ac:dyDescent="0.25">
      <c r="A9451" s="1" t="str">
        <f>HYPERLINK("http://www.rosaceae.org/Prunus/Prunus_persica/p.persica_gdr_reftransV1_0048833","p.persica_gdr_reftransV1_0048833")</f>
        <v>p.persica_gdr_reftransV1_0048833</v>
      </c>
      <c r="B9451" s="3">
        <v>636</v>
      </c>
      <c r="C9451" s="1" t="str">
        <f>HYPERLINK("http://www.uniprot.org/uniprot/C14C2_ORYSJ","C14C2_ORYSJ")</f>
        <v>C14C2_ORYSJ</v>
      </c>
      <c r="D9451" t="s">
        <v>1022</v>
      </c>
      <c r="E9451" s="3" t="s">
        <v>38</v>
      </c>
      <c r="F9451" s="4">
        <v>8.6800000000000002E-52</v>
      </c>
      <c r="G9451" s="3">
        <v>456</v>
      </c>
      <c r="H9451" s="3">
        <v>46</v>
      </c>
      <c r="I9451" s="3">
        <v>218</v>
      </c>
      <c r="J9451" s="3">
        <v>2</v>
      </c>
      <c r="K9451" s="3">
        <v>634</v>
      </c>
      <c r="L9451" s="3">
        <v>124</v>
      </c>
      <c r="M9451" s="3">
        <v>341</v>
      </c>
    </row>
    <row r="9452" spans="1:13" x14ac:dyDescent="0.25">
      <c r="A9452" s="1" t="str">
        <f>HYPERLINK("http://www.rosaceae.org/Prunus/Prunus_persica/p.persica_gdr_reftransV1_0048883","p.persica_gdr_reftransV1_0048883")</f>
        <v>p.persica_gdr_reftransV1_0048883</v>
      </c>
      <c r="B9452" s="3">
        <v>1431</v>
      </c>
      <c r="C9452" s="1" t="str">
        <f>HYPERLINK("http://www.uniprot.org/uniprot/NFYC9_ARATH","NFYC9_ARATH")</f>
        <v>NFYC9_ARATH</v>
      </c>
      <c r="D9452" t="s">
        <v>7051</v>
      </c>
      <c r="E9452" s="3" t="s">
        <v>3</v>
      </c>
      <c r="F9452" s="4">
        <v>8.1300000000000001E-75</v>
      </c>
      <c r="G9452" s="3">
        <v>615</v>
      </c>
      <c r="H9452" s="3">
        <v>61</v>
      </c>
      <c r="I9452" s="3">
        <v>250</v>
      </c>
      <c r="J9452" s="3">
        <v>442</v>
      </c>
      <c r="K9452" s="3">
        <v>1191</v>
      </c>
      <c r="L9452" s="3">
        <v>1</v>
      </c>
      <c r="M9452" s="3">
        <v>219</v>
      </c>
    </row>
    <row r="9453" spans="1:13" x14ac:dyDescent="0.25">
      <c r="A9453" s="1" t="str">
        <f>HYPERLINK("http://www.rosaceae.org/Prunus/Prunus_persica/p.persica_gdr_reftransV1_0048983","p.persica_gdr_reftransV1_0048983")</f>
        <v>p.persica_gdr_reftransV1_0048983</v>
      </c>
      <c r="B9453" s="3">
        <v>342</v>
      </c>
      <c r="C9453" s="1" t="str">
        <f>HYPERLINK("http://www.uniprot.org/uniprot/MYO7_ARATH","MYO7_ARATH")</f>
        <v>MYO7_ARATH</v>
      </c>
      <c r="D9453" t="s">
        <v>1183</v>
      </c>
      <c r="E9453" s="3" t="s">
        <v>3</v>
      </c>
      <c r="F9453" s="4">
        <v>1.7599999999999999E-59</v>
      </c>
      <c r="G9453" s="3">
        <v>516</v>
      </c>
      <c r="H9453" s="3">
        <v>83</v>
      </c>
      <c r="I9453" s="3">
        <v>113</v>
      </c>
      <c r="J9453" s="3">
        <v>4</v>
      </c>
      <c r="K9453" s="3">
        <v>342</v>
      </c>
      <c r="L9453" s="3">
        <v>289</v>
      </c>
      <c r="M9453" s="3">
        <v>401</v>
      </c>
    </row>
    <row r="9454" spans="1:13" x14ac:dyDescent="0.25">
      <c r="A9454" s="1" t="str">
        <f>HYPERLINK("http://www.rosaceae.org/Prunus/Prunus_persica/p.persica_gdr_reftransV1_0049033","p.persica_gdr_reftransV1_0049033")</f>
        <v>p.persica_gdr_reftransV1_0049033</v>
      </c>
      <c r="B9454" s="3">
        <v>1470</v>
      </c>
      <c r="C9454" s="1" t="str">
        <f>HYPERLINK("http://www.uniprot.org/uniprot/ENL2_ARATH","ENL2_ARATH")</f>
        <v>ENL2_ARATH</v>
      </c>
      <c r="D9454" t="s">
        <v>1508</v>
      </c>
      <c r="E9454" s="3" t="s">
        <v>3</v>
      </c>
      <c r="F9454" s="4">
        <v>4.53E-42</v>
      </c>
      <c r="G9454" s="3">
        <v>400</v>
      </c>
      <c r="H9454" s="3">
        <v>56</v>
      </c>
      <c r="I9454" s="3">
        <v>121</v>
      </c>
      <c r="J9454" s="3">
        <v>253</v>
      </c>
      <c r="K9454" s="3">
        <v>615</v>
      </c>
      <c r="L9454" s="3">
        <v>12</v>
      </c>
      <c r="M9454" s="3">
        <v>132</v>
      </c>
    </row>
    <row r="9455" spans="1:13" x14ac:dyDescent="0.25">
      <c r="A9455" s="1" t="str">
        <f>HYPERLINK("http://www.rosaceae.org/Prunus/Prunus_persica/p.persica_gdr_reftransV1_0049183","p.persica_gdr_reftransV1_0049183")</f>
        <v>p.persica_gdr_reftransV1_0049183</v>
      </c>
      <c r="B9455" s="3">
        <v>3788</v>
      </c>
      <c r="C9455" s="1" t="str">
        <f>HYPERLINK("http://www.uniprot.org/uniprot/CMTA3_ARATH","CMTA3_ARATH")</f>
        <v>CMTA3_ARATH</v>
      </c>
      <c r="D9455" t="s">
        <v>7052</v>
      </c>
      <c r="E9455" s="3" t="s">
        <v>3</v>
      </c>
      <c r="F9455" s="4">
        <v>0</v>
      </c>
      <c r="G9455" s="3">
        <v>2474</v>
      </c>
      <c r="H9455" s="3">
        <v>50</v>
      </c>
      <c r="I9455" s="3">
        <v>1092</v>
      </c>
      <c r="J9455" s="3">
        <v>303</v>
      </c>
      <c r="K9455" s="3">
        <v>3521</v>
      </c>
      <c r="L9455" s="3">
        <v>1</v>
      </c>
      <c r="M9455" s="3">
        <v>990</v>
      </c>
    </row>
    <row r="9456" spans="1:13" x14ac:dyDescent="0.25">
      <c r="A9456" s="1" t="str">
        <f>HYPERLINK("http://www.rosaceae.org/Prunus/Prunus_persica/p.persica_gdr_reftransV1_0000034","p.persica_gdr_reftransV1_0000034")</f>
        <v>p.persica_gdr_reftransV1_0000034</v>
      </c>
      <c r="B9456" s="3">
        <v>1193</v>
      </c>
      <c r="C9456" s="1" t="str">
        <f>HYPERLINK("http://www.uniprot.org/uniprot/BGAL6_ORYSJ","BGAL6_ORYSJ")</f>
        <v>BGAL6_ORYSJ</v>
      </c>
      <c r="D9456" t="s">
        <v>2991</v>
      </c>
      <c r="E9456" s="3" t="s">
        <v>38</v>
      </c>
      <c r="F9456" s="4">
        <v>2.6899999999999998E-100</v>
      </c>
      <c r="G9456" s="3">
        <v>828</v>
      </c>
      <c r="H9456" s="3">
        <v>52</v>
      </c>
      <c r="I9456" s="3">
        <v>317</v>
      </c>
      <c r="J9456" s="3">
        <v>10</v>
      </c>
      <c r="K9456" s="3">
        <v>951</v>
      </c>
      <c r="L9456" s="3">
        <v>545</v>
      </c>
      <c r="M9456" s="3">
        <v>858</v>
      </c>
    </row>
    <row r="9457" spans="1:13" x14ac:dyDescent="0.25">
      <c r="A9457" s="1" t="str">
        <f>HYPERLINK("http://www.rosaceae.org/Prunus/Prunus_persica/p.persica_gdr_reftransV1_0000084","p.persica_gdr_reftransV1_0000084")</f>
        <v>p.persica_gdr_reftransV1_0000084</v>
      </c>
      <c r="B9457" s="3">
        <v>823</v>
      </c>
      <c r="C9457" s="1" t="str">
        <f>HYPERLINK("http://www.uniprot.org/uniprot/WRK60_ARATH","WRK60_ARATH")</f>
        <v>WRK60_ARATH</v>
      </c>
      <c r="D9457" t="s">
        <v>7053</v>
      </c>
      <c r="E9457" s="3" t="s">
        <v>3</v>
      </c>
      <c r="F9457" s="4">
        <v>1.03E-46</v>
      </c>
      <c r="G9457" s="3">
        <v>412</v>
      </c>
      <c r="H9457" s="3">
        <v>55</v>
      </c>
      <c r="I9457" s="3">
        <v>158</v>
      </c>
      <c r="J9457" s="3">
        <v>347</v>
      </c>
      <c r="K9457" s="3">
        <v>820</v>
      </c>
      <c r="L9457" s="3">
        <v>139</v>
      </c>
      <c r="M9457" s="3">
        <v>270</v>
      </c>
    </row>
    <row r="9458" spans="1:13" x14ac:dyDescent="0.25">
      <c r="A9458" s="1" t="str">
        <f>HYPERLINK("http://www.rosaceae.org/Prunus/Prunus_persica/p.persica_gdr_reftransV1_0000134","p.persica_gdr_reftransV1_0000134")</f>
        <v>p.persica_gdr_reftransV1_0000134</v>
      </c>
      <c r="B9458" s="3">
        <v>496</v>
      </c>
      <c r="C9458" s="1" t="str">
        <f>HYPERLINK("http://www.uniprot.org/uniprot/PP433_ARATH","PP433_ARATH")</f>
        <v>PP433_ARATH</v>
      </c>
      <c r="D9458" t="s">
        <v>1625</v>
      </c>
      <c r="E9458" s="3" t="s">
        <v>3</v>
      </c>
      <c r="F9458" s="4">
        <v>4.14E-48</v>
      </c>
      <c r="G9458" s="3">
        <v>426</v>
      </c>
      <c r="H9458" s="3">
        <v>61</v>
      </c>
      <c r="I9458" s="3">
        <v>132</v>
      </c>
      <c r="J9458" s="3">
        <v>99</v>
      </c>
      <c r="K9458" s="3">
        <v>494</v>
      </c>
      <c r="L9458" s="3">
        <v>396</v>
      </c>
      <c r="M9458" s="3">
        <v>527</v>
      </c>
    </row>
    <row r="9459" spans="1:13" x14ac:dyDescent="0.25">
      <c r="A9459" s="1" t="str">
        <f>HYPERLINK("http://www.rosaceae.org/Prunus/Prunus_persica/p.persica_gdr_reftransV1_0000234","p.persica_gdr_reftransV1_0000234")</f>
        <v>p.persica_gdr_reftransV1_0000234</v>
      </c>
      <c r="B9459" s="3">
        <v>1599</v>
      </c>
      <c r="C9459" s="1" t="str">
        <f>HYPERLINK("http://www.uniprot.org/uniprot/STR7_ARATH","STR7_ARATH")</f>
        <v>STR7_ARATH</v>
      </c>
      <c r="D9459" t="s">
        <v>7054</v>
      </c>
      <c r="E9459" s="3" t="s">
        <v>3</v>
      </c>
      <c r="F9459" s="4">
        <v>0</v>
      </c>
      <c r="G9459" s="3">
        <v>1433</v>
      </c>
      <c r="H9459" s="3">
        <v>79</v>
      </c>
      <c r="I9459" s="3">
        <v>351</v>
      </c>
      <c r="J9459" s="3">
        <v>245</v>
      </c>
      <c r="K9459" s="3">
        <v>1294</v>
      </c>
      <c r="L9459" s="3">
        <v>104</v>
      </c>
      <c r="M9459" s="3">
        <v>454</v>
      </c>
    </row>
    <row r="9460" spans="1:13" x14ac:dyDescent="0.25">
      <c r="A9460" s="1" t="str">
        <f>HYPERLINK("http://www.rosaceae.org/Prunus/Prunus_persica/p.persica_gdr_reftransV1_0000284","p.persica_gdr_reftransV1_0000284")</f>
        <v>p.persica_gdr_reftransV1_0000284</v>
      </c>
      <c r="B9460" s="3">
        <v>3864</v>
      </c>
      <c r="C9460" s="1" t="str">
        <f>HYPERLINK("http://www.uniprot.org/uniprot/EFTS_CYAP7","EFTS_CYAP7")</f>
        <v>EFTS_CYAP7</v>
      </c>
      <c r="D9460" t="s">
        <v>7055</v>
      </c>
      <c r="E9460" s="3" t="s">
        <v>7056</v>
      </c>
      <c r="F9460" s="4">
        <v>1.6499999999999999E-84</v>
      </c>
      <c r="G9460" s="3">
        <v>721</v>
      </c>
      <c r="H9460" s="3">
        <v>65</v>
      </c>
      <c r="I9460" s="3">
        <v>198</v>
      </c>
      <c r="J9460" s="3">
        <v>427</v>
      </c>
      <c r="K9460" s="3">
        <v>1017</v>
      </c>
      <c r="L9460" s="3">
        <v>4</v>
      </c>
      <c r="M9460" s="3">
        <v>201</v>
      </c>
    </row>
    <row r="9461" spans="1:13" x14ac:dyDescent="0.25">
      <c r="A9461" s="1" t="str">
        <f>HYPERLINK("http://www.rosaceae.org/Prunus/Prunus_persica/p.persica_gdr_reftransV1_0000384","p.persica_gdr_reftransV1_0000384")</f>
        <v>p.persica_gdr_reftransV1_0000384</v>
      </c>
      <c r="B9461" s="3">
        <v>3171</v>
      </c>
      <c r="C9461" s="1" t="str">
        <f>HYPERLINK("http://www.uniprot.org/uniprot/AB1F_ARATH","AB1F_ARATH")</f>
        <v>AB1F_ARATH</v>
      </c>
      <c r="D9461" t="s">
        <v>7057</v>
      </c>
      <c r="E9461" s="3" t="s">
        <v>3</v>
      </c>
      <c r="F9461" s="4">
        <v>0</v>
      </c>
      <c r="G9461" s="3">
        <v>2505</v>
      </c>
      <c r="H9461" s="3">
        <v>87</v>
      </c>
      <c r="I9461" s="3">
        <v>557</v>
      </c>
      <c r="J9461" s="3">
        <v>912</v>
      </c>
      <c r="K9461" s="3">
        <v>2582</v>
      </c>
      <c r="L9461" s="3">
        <v>37</v>
      </c>
      <c r="M9461" s="3">
        <v>593</v>
      </c>
    </row>
    <row r="9462" spans="1:13" x14ac:dyDescent="0.25">
      <c r="A9462" s="1" t="str">
        <f>HYPERLINK("http://www.rosaceae.org/Prunus/Prunus_persica/p.persica_gdr_reftransV1_0000434","p.persica_gdr_reftransV1_0000434")</f>
        <v>p.persica_gdr_reftransV1_0000434</v>
      </c>
      <c r="B9462" s="3">
        <v>3121</v>
      </c>
      <c r="C9462" s="1" t="str">
        <f>HYPERLINK("http://www.uniprot.org/uniprot/NIA_CUCMA","NIA_CUCMA")</f>
        <v>NIA_CUCMA</v>
      </c>
      <c r="D9462" t="s">
        <v>7058</v>
      </c>
      <c r="E9462" s="3" t="s">
        <v>1511</v>
      </c>
      <c r="F9462" s="4">
        <v>0</v>
      </c>
      <c r="G9462" s="3">
        <v>3698</v>
      </c>
      <c r="H9462" s="3">
        <v>76</v>
      </c>
      <c r="I9462" s="3">
        <v>927</v>
      </c>
      <c r="J9462" s="3">
        <v>139</v>
      </c>
      <c r="K9462" s="3">
        <v>2850</v>
      </c>
      <c r="L9462" s="3">
        <v>1</v>
      </c>
      <c r="M9462" s="3">
        <v>916</v>
      </c>
    </row>
    <row r="9463" spans="1:13" x14ac:dyDescent="0.25">
      <c r="A9463" s="1" t="str">
        <f>HYPERLINK("http://www.rosaceae.org/Prunus/Prunus_persica/p.persica_gdr_reftransV1_0000534","p.persica_gdr_reftransV1_0000534")</f>
        <v>p.persica_gdr_reftransV1_0000534</v>
      </c>
      <c r="B9463" s="3">
        <v>3625</v>
      </c>
      <c r="C9463" s="1" t="str">
        <f>HYPERLINK("http://www.uniprot.org/uniprot/NDHN_ARATH","NDHN_ARATH")</f>
        <v>NDHN_ARATH</v>
      </c>
      <c r="D9463" t="s">
        <v>6893</v>
      </c>
      <c r="E9463" s="3" t="s">
        <v>3</v>
      </c>
      <c r="F9463" s="4">
        <v>1.6300000000000001E-89</v>
      </c>
      <c r="G9463" s="3">
        <v>749</v>
      </c>
      <c r="H9463" s="3">
        <v>79</v>
      </c>
      <c r="I9463" s="3">
        <v>173</v>
      </c>
      <c r="J9463" s="3">
        <v>2770</v>
      </c>
      <c r="K9463" s="3">
        <v>3288</v>
      </c>
      <c r="L9463" s="3">
        <v>39</v>
      </c>
      <c r="M9463" s="3">
        <v>209</v>
      </c>
    </row>
    <row r="9464" spans="1:13" x14ac:dyDescent="0.25">
      <c r="A9464" s="1" t="str">
        <f>HYPERLINK("http://www.rosaceae.org/Prunus/Prunus_persica/p.persica_gdr_reftransV1_0000584","p.persica_gdr_reftransV1_0000584")</f>
        <v>p.persica_gdr_reftransV1_0000584</v>
      </c>
      <c r="B9464" s="3">
        <v>784</v>
      </c>
      <c r="C9464" s="1" t="str">
        <f>HYPERLINK("http://www.uniprot.org/uniprot/M810_ARATH","M810_ARATH")</f>
        <v>M810_ARATH</v>
      </c>
      <c r="D9464" t="s">
        <v>92</v>
      </c>
      <c r="E9464" s="3" t="s">
        <v>3</v>
      </c>
      <c r="F9464" s="4">
        <v>1.91E-43</v>
      </c>
      <c r="G9464" s="3">
        <v>387</v>
      </c>
      <c r="H9464" s="3">
        <v>52</v>
      </c>
      <c r="I9464" s="3">
        <v>144</v>
      </c>
      <c r="J9464" s="3">
        <v>32</v>
      </c>
      <c r="K9464" s="3">
        <v>457</v>
      </c>
      <c r="L9464" s="3">
        <v>82</v>
      </c>
      <c r="M9464" s="3">
        <v>225</v>
      </c>
    </row>
    <row r="9465" spans="1:13" x14ac:dyDescent="0.25">
      <c r="A9465" s="1" t="str">
        <f>HYPERLINK("http://www.rosaceae.org/Prunus/Prunus_persica/p.persica_gdr_reftransV1_0000634","p.persica_gdr_reftransV1_0000634")</f>
        <v>p.persica_gdr_reftransV1_0000634</v>
      </c>
      <c r="B9465" s="3">
        <v>2022</v>
      </c>
      <c r="C9465" s="1" t="str">
        <f>HYPERLINK("http://www.uniprot.org/uniprot/OBGC2_ORYSJ","OBGC2_ORYSJ")</f>
        <v>OBGC2_ORYSJ</v>
      </c>
      <c r="D9465" t="s">
        <v>5560</v>
      </c>
      <c r="E9465" s="3" t="s">
        <v>38</v>
      </c>
      <c r="F9465" s="4">
        <v>1.38E-176</v>
      </c>
      <c r="G9465" s="3">
        <v>1339</v>
      </c>
      <c r="H9465" s="3">
        <v>62</v>
      </c>
      <c r="I9465" s="3">
        <v>477</v>
      </c>
      <c r="J9465" s="3">
        <v>425</v>
      </c>
      <c r="K9465" s="3">
        <v>1816</v>
      </c>
      <c r="L9465" s="3">
        <v>43</v>
      </c>
      <c r="M9465" s="3">
        <v>496</v>
      </c>
    </row>
    <row r="9466" spans="1:13" x14ac:dyDescent="0.25">
      <c r="A9466" s="1" t="str">
        <f>HYPERLINK("http://www.rosaceae.org/Prunus/Prunus_persica/p.persica_gdr_reftransV1_0000734","p.persica_gdr_reftransV1_0000734")</f>
        <v>p.persica_gdr_reftransV1_0000734</v>
      </c>
      <c r="B9466" s="3">
        <v>1102</v>
      </c>
      <c r="C9466" s="1" t="str">
        <f>HYPERLINK("http://www.uniprot.org/uniprot/SAR1A_ARATH","SAR1A_ARATH")</f>
        <v>SAR1A_ARATH</v>
      </c>
      <c r="D9466" t="s">
        <v>3604</v>
      </c>
      <c r="E9466" s="3" t="s">
        <v>3</v>
      </c>
      <c r="F9466" s="4">
        <v>1.2300000000000001E-115</v>
      </c>
      <c r="G9466" s="3">
        <v>874</v>
      </c>
      <c r="H9466" s="3">
        <v>95</v>
      </c>
      <c r="I9466" s="3">
        <v>193</v>
      </c>
      <c r="J9466" s="3">
        <v>199</v>
      </c>
      <c r="K9466" s="3">
        <v>777</v>
      </c>
      <c r="L9466" s="3">
        <v>1</v>
      </c>
      <c r="M9466" s="3">
        <v>193</v>
      </c>
    </row>
    <row r="9467" spans="1:13" x14ac:dyDescent="0.25">
      <c r="A9467" s="1" t="str">
        <f>HYPERLINK("http://www.rosaceae.org/Prunus/Prunus_persica/p.persica_gdr_reftransV1_0000784","p.persica_gdr_reftransV1_0000784")</f>
        <v>p.persica_gdr_reftransV1_0000784</v>
      </c>
      <c r="B9467" s="3">
        <v>2361</v>
      </c>
      <c r="C9467" s="1" t="str">
        <f>HYPERLINK("http://www.uniprot.org/uniprot/PT106_ARATH","PT106_ARATH")</f>
        <v>PT106_ARATH</v>
      </c>
      <c r="D9467" t="s">
        <v>2609</v>
      </c>
      <c r="E9467" s="3" t="s">
        <v>3</v>
      </c>
      <c r="F9467" s="4">
        <v>6.1999999999999996E-124</v>
      </c>
      <c r="G9467" s="3">
        <v>819</v>
      </c>
      <c r="H9467" s="3">
        <v>73</v>
      </c>
      <c r="I9467" s="3">
        <v>266</v>
      </c>
      <c r="J9467" s="3">
        <v>408</v>
      </c>
      <c r="K9467" s="3">
        <v>1205</v>
      </c>
      <c r="L9467" s="3">
        <v>148</v>
      </c>
      <c r="M9467" s="3">
        <v>412</v>
      </c>
    </row>
    <row r="9468" spans="1:13" x14ac:dyDescent="0.25">
      <c r="A9468" s="1" t="str">
        <f>HYPERLINK("http://www.rosaceae.org/Prunus/Prunus_persica/p.persica_gdr_reftransV1_0000834","p.persica_gdr_reftransV1_0000834")</f>
        <v>p.persica_gdr_reftransV1_0000834</v>
      </c>
      <c r="B9468" s="3">
        <v>322</v>
      </c>
      <c r="C9468" s="1" t="str">
        <f>HYPERLINK("http://www.uniprot.org/uniprot/NU5C_PLAOC","NU5C_PLAOC")</f>
        <v>NU5C_PLAOC</v>
      </c>
      <c r="D9468" t="s">
        <v>7059</v>
      </c>
      <c r="E9468" s="3" t="s">
        <v>5400</v>
      </c>
      <c r="F9468" s="4">
        <v>1E-54</v>
      </c>
      <c r="G9468" s="3">
        <v>471</v>
      </c>
      <c r="H9468" s="3">
        <v>85</v>
      </c>
      <c r="I9468" s="3">
        <v>107</v>
      </c>
      <c r="J9468" s="3">
        <v>2</v>
      </c>
      <c r="K9468" s="3">
        <v>322</v>
      </c>
      <c r="L9468" s="3">
        <v>10</v>
      </c>
      <c r="M9468" s="3">
        <v>116</v>
      </c>
    </row>
    <row r="9469" spans="1:13" x14ac:dyDescent="0.25">
      <c r="A9469" s="1" t="str">
        <f>HYPERLINK("http://www.rosaceae.org/Prunus/Prunus_persica/p.persica_gdr_reftransV1_0000984","p.persica_gdr_reftransV1_0000984")</f>
        <v>p.persica_gdr_reftransV1_0000984</v>
      </c>
      <c r="B9469" s="3">
        <v>337</v>
      </c>
      <c r="C9469" s="1" t="str">
        <f>HYPERLINK("http://www.uniprot.org/uniprot/BGLS_TRIRP","BGLS_TRIRP")</f>
        <v>BGLS_TRIRP</v>
      </c>
      <c r="D9469" t="s">
        <v>732</v>
      </c>
      <c r="E9469" s="3" t="s">
        <v>733</v>
      </c>
      <c r="F9469" s="4">
        <v>2.4200000000000001E-30</v>
      </c>
      <c r="G9469" s="3">
        <v>291</v>
      </c>
      <c r="H9469" s="3">
        <v>70</v>
      </c>
      <c r="I9469" s="3">
        <v>71</v>
      </c>
      <c r="J9469" s="3">
        <v>2</v>
      </c>
      <c r="K9469" s="3">
        <v>214</v>
      </c>
      <c r="L9469" s="3">
        <v>31</v>
      </c>
      <c r="M9469" s="3">
        <v>101</v>
      </c>
    </row>
    <row r="9470" spans="1:13" x14ac:dyDescent="0.25">
      <c r="A9470" s="1" t="str">
        <f>HYPERLINK("http://www.rosaceae.org/Prunus/Prunus_persica/p.persica_gdr_reftransV1_0001084","p.persica_gdr_reftransV1_0001084")</f>
        <v>p.persica_gdr_reftransV1_0001084</v>
      </c>
      <c r="B9470" s="3">
        <v>1646</v>
      </c>
      <c r="C9470" s="1" t="str">
        <f>HYPERLINK("http://www.uniprot.org/uniprot/WRK22_ARATH","WRK22_ARATH")</f>
        <v>WRK22_ARATH</v>
      </c>
      <c r="D9470" t="s">
        <v>7060</v>
      </c>
      <c r="E9470" s="3" t="s">
        <v>3</v>
      </c>
      <c r="F9470" s="4">
        <v>2.53E-66</v>
      </c>
      <c r="G9470" s="3">
        <v>569</v>
      </c>
      <c r="H9470" s="3">
        <v>60</v>
      </c>
      <c r="I9470" s="3">
        <v>198</v>
      </c>
      <c r="J9470" s="3">
        <v>353</v>
      </c>
      <c r="K9470" s="3">
        <v>940</v>
      </c>
      <c r="L9470" s="3">
        <v>109</v>
      </c>
      <c r="M9470" s="3">
        <v>298</v>
      </c>
    </row>
    <row r="9471" spans="1:13" x14ac:dyDescent="0.25">
      <c r="A9471" s="1" t="str">
        <f>HYPERLINK("http://www.rosaceae.org/Prunus/Prunus_persica/p.persica_gdr_reftransV1_0001184","p.persica_gdr_reftransV1_0001184")</f>
        <v>p.persica_gdr_reftransV1_0001184</v>
      </c>
      <c r="B9471" s="3">
        <v>395</v>
      </c>
      <c r="C9471" s="1" t="str">
        <f>HYPERLINK("http://www.uniprot.org/uniprot/FB116_ARATH","FB116_ARATH")</f>
        <v>FB116_ARATH</v>
      </c>
      <c r="D9471" t="s">
        <v>7061</v>
      </c>
      <c r="E9471" s="3" t="s">
        <v>3</v>
      </c>
      <c r="F9471" s="4">
        <v>3.6699999999999999E-9</v>
      </c>
      <c r="G9471" s="3">
        <v>136</v>
      </c>
      <c r="H9471" s="3">
        <v>47</v>
      </c>
      <c r="I9471" s="3">
        <v>58</v>
      </c>
      <c r="J9471" s="3">
        <v>127</v>
      </c>
      <c r="K9471" s="3">
        <v>300</v>
      </c>
      <c r="L9471" s="3">
        <v>1</v>
      </c>
      <c r="M9471" s="3">
        <v>58</v>
      </c>
    </row>
    <row r="9472" spans="1:13" x14ac:dyDescent="0.25">
      <c r="A9472" s="1" t="str">
        <f>HYPERLINK("http://www.rosaceae.org/Prunus/Prunus_persica/p.persica_gdr_reftransV1_0001284","p.persica_gdr_reftransV1_0001284")</f>
        <v>p.persica_gdr_reftransV1_0001284</v>
      </c>
      <c r="B9472" s="3">
        <v>1279</v>
      </c>
      <c r="C9472" s="1" t="str">
        <f>HYPERLINK("http://www.uniprot.org/uniprot/TRB4_ARATH","TRB4_ARATH")</f>
        <v>TRB4_ARATH</v>
      </c>
      <c r="D9472" t="s">
        <v>7062</v>
      </c>
      <c r="E9472" s="3" t="s">
        <v>3</v>
      </c>
      <c r="F9472" s="4">
        <v>3.9700000000000001E-32</v>
      </c>
      <c r="G9472" s="3">
        <v>321</v>
      </c>
      <c r="H9472" s="3">
        <v>48</v>
      </c>
      <c r="I9472" s="3">
        <v>180</v>
      </c>
      <c r="J9472" s="3">
        <v>680</v>
      </c>
      <c r="K9472" s="3">
        <v>1210</v>
      </c>
      <c r="L9472" s="3">
        <v>1</v>
      </c>
      <c r="M9472" s="3">
        <v>161</v>
      </c>
    </row>
    <row r="9473" spans="1:13" x14ac:dyDescent="0.25">
      <c r="A9473" s="1" t="str">
        <f>HYPERLINK("http://www.rosaceae.org/Prunus/Prunus_persica/p.persica_gdr_reftransV1_0001534","p.persica_gdr_reftransV1_0001534")</f>
        <v>p.persica_gdr_reftransV1_0001534</v>
      </c>
      <c r="B9473" s="3">
        <v>710</v>
      </c>
      <c r="C9473" s="1" t="str">
        <f>HYPERLINK("http://www.uniprot.org/uniprot/WTR38_ARATH","WTR38_ARATH")</f>
        <v>WTR38_ARATH</v>
      </c>
      <c r="D9473" t="s">
        <v>7063</v>
      </c>
      <c r="E9473" s="3" t="s">
        <v>3</v>
      </c>
      <c r="F9473" s="4">
        <v>3.4399999999999999E-31</v>
      </c>
      <c r="G9473" s="3">
        <v>308</v>
      </c>
      <c r="H9473" s="3">
        <v>64</v>
      </c>
      <c r="I9473" s="3">
        <v>97</v>
      </c>
      <c r="J9473" s="3">
        <v>419</v>
      </c>
      <c r="K9473" s="3">
        <v>709</v>
      </c>
      <c r="L9473" s="3">
        <v>247</v>
      </c>
      <c r="M9473" s="3">
        <v>343</v>
      </c>
    </row>
    <row r="9474" spans="1:13" x14ac:dyDescent="0.25">
      <c r="A9474" s="1" t="str">
        <f>HYPERLINK("http://www.rosaceae.org/Prunus/Prunus_persica/p.persica_gdr_reftransV1_0001634","p.persica_gdr_reftransV1_0001634")</f>
        <v>p.persica_gdr_reftransV1_0001634</v>
      </c>
      <c r="B9474" s="3">
        <v>381</v>
      </c>
      <c r="C9474" s="1" t="str">
        <f>HYPERLINK("http://www.uniprot.org/uniprot/PPA27_ARATH","PPA27_ARATH")</f>
        <v>PPA27_ARATH</v>
      </c>
      <c r="D9474" t="s">
        <v>1364</v>
      </c>
      <c r="E9474" s="3" t="s">
        <v>3</v>
      </c>
      <c r="F9474" s="4">
        <v>1.86E-64</v>
      </c>
      <c r="G9474" s="3">
        <v>539</v>
      </c>
      <c r="H9474" s="3">
        <v>74</v>
      </c>
      <c r="I9474" s="3">
        <v>127</v>
      </c>
      <c r="J9474" s="3">
        <v>1</v>
      </c>
      <c r="K9474" s="3">
        <v>381</v>
      </c>
      <c r="L9474" s="3">
        <v>421</v>
      </c>
      <c r="M9474" s="3">
        <v>547</v>
      </c>
    </row>
    <row r="9475" spans="1:13" x14ac:dyDescent="0.25">
      <c r="A9475" s="1" t="str">
        <f>HYPERLINK("http://www.rosaceae.org/Prunus/Prunus_persica/p.persica_gdr_reftransV1_0001734","p.persica_gdr_reftransV1_0001734")</f>
        <v>p.persica_gdr_reftransV1_0001734</v>
      </c>
      <c r="B9475" s="3">
        <v>2110</v>
      </c>
      <c r="C9475" s="1" t="str">
        <f>HYPERLINK("http://www.uniprot.org/uniprot/GPT_DICDI","GPT_DICDI")</f>
        <v>GPT_DICDI</v>
      </c>
      <c r="D9475" t="s">
        <v>7064</v>
      </c>
      <c r="E9475" s="3" t="s">
        <v>9</v>
      </c>
      <c r="F9475" s="4">
        <v>2.8800000000000001E-82</v>
      </c>
      <c r="G9475" s="3">
        <v>698</v>
      </c>
      <c r="H9475" s="3">
        <v>53</v>
      </c>
      <c r="I9475" s="3">
        <v>294</v>
      </c>
      <c r="J9475" s="3">
        <v>810</v>
      </c>
      <c r="K9475" s="3">
        <v>1640</v>
      </c>
      <c r="L9475" s="3">
        <v>105</v>
      </c>
      <c r="M9475" s="3">
        <v>396</v>
      </c>
    </row>
    <row r="9476" spans="1:13" x14ac:dyDescent="0.25">
      <c r="A9476" s="1" t="str">
        <f>HYPERLINK("http://www.rosaceae.org/Prunus/Prunus_persica/p.persica_gdr_reftransV1_0001784","p.persica_gdr_reftransV1_0001784")</f>
        <v>p.persica_gdr_reftransV1_0001784</v>
      </c>
      <c r="B9476" s="3">
        <v>363</v>
      </c>
      <c r="C9476" s="1" t="str">
        <f>HYPERLINK("http://www.uniprot.org/uniprot/ACCH3_SOLLC","ACCH3_SOLLC")</f>
        <v>ACCH3_SOLLC</v>
      </c>
      <c r="D9476" t="s">
        <v>3752</v>
      </c>
      <c r="E9476" s="3" t="s">
        <v>64</v>
      </c>
      <c r="F9476" s="4">
        <v>1.5000000000000001E-20</v>
      </c>
      <c r="G9476" s="3">
        <v>218</v>
      </c>
      <c r="H9476" s="3">
        <v>37</v>
      </c>
      <c r="I9476" s="3">
        <v>117</v>
      </c>
      <c r="J9476" s="3">
        <v>8</v>
      </c>
      <c r="K9476" s="3">
        <v>358</v>
      </c>
      <c r="L9476" s="3">
        <v>37</v>
      </c>
      <c r="M9476" s="3">
        <v>146</v>
      </c>
    </row>
    <row r="9477" spans="1:13" x14ac:dyDescent="0.25">
      <c r="A9477" s="1" t="str">
        <f>HYPERLINK("http://www.rosaceae.org/Prunus/Prunus_persica/p.persica_gdr_reftransV1_0001834","p.persica_gdr_reftransV1_0001834")</f>
        <v>p.persica_gdr_reftransV1_0001834</v>
      </c>
      <c r="B9477" s="3">
        <v>338</v>
      </c>
      <c r="C9477" s="1" t="str">
        <f>HYPERLINK("http://www.uniprot.org/uniprot/CNDG2_XENLA","CNDG2_XENLA")</f>
        <v>CNDG2_XENLA</v>
      </c>
      <c r="D9477" t="s">
        <v>7065</v>
      </c>
      <c r="E9477" s="3" t="s">
        <v>475</v>
      </c>
      <c r="F9477" s="4">
        <v>4.9900000000000001E-14</v>
      </c>
      <c r="G9477" s="3">
        <v>176</v>
      </c>
      <c r="H9477" s="3">
        <v>41</v>
      </c>
      <c r="I9477" s="3">
        <v>109</v>
      </c>
      <c r="J9477" s="3">
        <v>2</v>
      </c>
      <c r="K9477" s="3">
        <v>328</v>
      </c>
      <c r="L9477" s="3">
        <v>323</v>
      </c>
      <c r="M9477" s="3">
        <v>431</v>
      </c>
    </row>
    <row r="9478" spans="1:13" x14ac:dyDescent="0.25">
      <c r="A9478" s="1" t="str">
        <f>HYPERLINK("http://www.rosaceae.org/Prunus/Prunus_persica/p.persica_gdr_reftransV1_0001984","p.persica_gdr_reftransV1_0001984")</f>
        <v>p.persica_gdr_reftransV1_0001984</v>
      </c>
      <c r="B9478" s="3">
        <v>1398</v>
      </c>
      <c r="C9478" s="1" t="str">
        <f>HYPERLINK("http://www.uniprot.org/uniprot/PLCD2_ARATH","PLCD2_ARATH")</f>
        <v>PLCD2_ARATH</v>
      </c>
      <c r="D9478" t="s">
        <v>5900</v>
      </c>
      <c r="E9478" s="3" t="s">
        <v>3</v>
      </c>
      <c r="F9478" s="4">
        <v>0</v>
      </c>
      <c r="G9478" s="3">
        <v>1579</v>
      </c>
      <c r="H9478" s="3">
        <v>62</v>
      </c>
      <c r="I9478" s="3">
        <v>495</v>
      </c>
      <c r="J9478" s="3">
        <v>3</v>
      </c>
      <c r="K9478" s="3">
        <v>1397</v>
      </c>
      <c r="L9478" s="3">
        <v>79</v>
      </c>
      <c r="M9478" s="3">
        <v>573</v>
      </c>
    </row>
    <row r="9479" spans="1:13" x14ac:dyDescent="0.25">
      <c r="A9479" s="1" t="str">
        <f>HYPERLINK("http://www.rosaceae.org/Prunus/Prunus_persica/p.persica_gdr_reftransV1_0002034","p.persica_gdr_reftransV1_0002034")</f>
        <v>p.persica_gdr_reftransV1_0002034</v>
      </c>
      <c r="B9479" s="3">
        <v>1965</v>
      </c>
      <c r="C9479" s="1" t="str">
        <f>HYPERLINK("http://www.uniprot.org/uniprot/HEL2_SCHPO","HEL2_SCHPO")</f>
        <v>HEL2_SCHPO</v>
      </c>
      <c r="D9479" t="s">
        <v>7066</v>
      </c>
      <c r="E9479" s="3" t="s">
        <v>464</v>
      </c>
      <c r="F9479" s="4">
        <v>4.9399999999999995E-44</v>
      </c>
      <c r="G9479" s="3">
        <v>434</v>
      </c>
      <c r="H9479" s="3">
        <v>32</v>
      </c>
      <c r="I9479" s="3">
        <v>299</v>
      </c>
      <c r="J9479" s="3">
        <v>792</v>
      </c>
      <c r="K9479" s="3">
        <v>1682</v>
      </c>
      <c r="L9479" s="3">
        <v>81</v>
      </c>
      <c r="M9479" s="3">
        <v>351</v>
      </c>
    </row>
    <row r="9480" spans="1:13" x14ac:dyDescent="0.25">
      <c r="A9480" s="1" t="str">
        <f>HYPERLINK("http://www.rosaceae.org/Prunus/Prunus_persica/p.persica_gdr_reftransV1_0002084","p.persica_gdr_reftransV1_0002084")</f>
        <v>p.persica_gdr_reftransV1_0002084</v>
      </c>
      <c r="B9480" s="3">
        <v>5549</v>
      </c>
      <c r="C9480" s="1" t="str">
        <f>HYPERLINK("http://www.uniprot.org/uniprot/SAC9_ARATH","SAC9_ARATH")</f>
        <v>SAC9_ARATH</v>
      </c>
      <c r="D9480" t="s">
        <v>4256</v>
      </c>
      <c r="E9480" s="3" t="s">
        <v>3</v>
      </c>
      <c r="F9480" s="4">
        <v>0</v>
      </c>
      <c r="G9480" s="3">
        <v>5805</v>
      </c>
      <c r="H9480" s="3">
        <v>69</v>
      </c>
      <c r="I9480" s="3">
        <v>1640</v>
      </c>
      <c r="J9480" s="3">
        <v>288</v>
      </c>
      <c r="K9480" s="3">
        <v>5183</v>
      </c>
      <c r="L9480" s="3">
        <v>7</v>
      </c>
      <c r="M9480" s="3">
        <v>1630</v>
      </c>
    </row>
    <row r="9481" spans="1:13" x14ac:dyDescent="0.25">
      <c r="A9481" s="1" t="str">
        <f>HYPERLINK("http://www.rosaceae.org/Prunus/Prunus_persica/p.persica_gdr_reftransV1_0002134","p.persica_gdr_reftransV1_0002134")</f>
        <v>p.persica_gdr_reftransV1_0002134</v>
      </c>
      <c r="B9481" s="3">
        <v>2605</v>
      </c>
      <c r="C9481" s="1" t="str">
        <f>HYPERLINK("http://www.uniprot.org/uniprot/Y1839_ARATH","Y1839_ARATH")</f>
        <v>Y1839_ARATH</v>
      </c>
      <c r="D9481" t="s">
        <v>3075</v>
      </c>
      <c r="E9481" s="3" t="s">
        <v>3</v>
      </c>
      <c r="F9481" s="4">
        <v>3.5599999999999998E-158</v>
      </c>
      <c r="G9481" s="3">
        <v>1247</v>
      </c>
      <c r="H9481" s="3">
        <v>45</v>
      </c>
      <c r="I9481" s="3">
        <v>648</v>
      </c>
      <c r="J9481" s="3">
        <v>602</v>
      </c>
      <c r="K9481" s="3">
        <v>2524</v>
      </c>
      <c r="L9481" s="3">
        <v>8</v>
      </c>
      <c r="M9481" s="3">
        <v>627</v>
      </c>
    </row>
    <row r="9482" spans="1:13" x14ac:dyDescent="0.25">
      <c r="A9482" s="1" t="str">
        <f>HYPERLINK("http://www.rosaceae.org/Prunus/Prunus_persica/p.persica_gdr_reftransV1_0002184","p.persica_gdr_reftransV1_0002184")</f>
        <v>p.persica_gdr_reftransV1_0002184</v>
      </c>
      <c r="B9482" s="3">
        <v>1822</v>
      </c>
      <c r="C9482" s="1" t="str">
        <f>HYPERLINK("http://www.uniprot.org/uniprot/RBCMT_PEA","RBCMT_PEA")</f>
        <v>RBCMT_PEA</v>
      </c>
      <c r="D9482" t="s">
        <v>7067</v>
      </c>
      <c r="E9482" s="3" t="s">
        <v>60</v>
      </c>
      <c r="F9482" s="4">
        <v>0</v>
      </c>
      <c r="G9482" s="3">
        <v>931</v>
      </c>
      <c r="H9482" s="3">
        <v>75</v>
      </c>
      <c r="I9482" s="3">
        <v>243</v>
      </c>
      <c r="J9482" s="3">
        <v>924</v>
      </c>
      <c r="K9482" s="3">
        <v>1652</v>
      </c>
      <c r="L9482" s="3">
        <v>241</v>
      </c>
      <c r="M9482" s="3">
        <v>482</v>
      </c>
    </row>
    <row r="9483" spans="1:13" x14ac:dyDescent="0.25">
      <c r="A9483" s="1" t="str">
        <f>HYPERLINK("http://www.rosaceae.org/Prunus/Prunus_persica/p.persica_gdr_reftransV1_0002284","p.persica_gdr_reftransV1_0002284")</f>
        <v>p.persica_gdr_reftransV1_0002284</v>
      </c>
      <c r="B9483" s="3">
        <v>1828</v>
      </c>
      <c r="C9483" s="1" t="str">
        <f>HYPERLINK("http://www.uniprot.org/uniprot/LAC11_ARATH","LAC11_ARATH")</f>
        <v>LAC11_ARATH</v>
      </c>
      <c r="D9483" t="s">
        <v>7068</v>
      </c>
      <c r="E9483" s="3" t="s">
        <v>3</v>
      </c>
      <c r="F9483" s="4">
        <v>0</v>
      </c>
      <c r="G9483" s="3">
        <v>2290</v>
      </c>
      <c r="H9483" s="3">
        <v>80</v>
      </c>
      <c r="I9483" s="3">
        <v>539</v>
      </c>
      <c r="J9483" s="3">
        <v>123</v>
      </c>
      <c r="K9483" s="3">
        <v>1739</v>
      </c>
      <c r="L9483" s="3">
        <v>19</v>
      </c>
      <c r="M9483" s="3">
        <v>557</v>
      </c>
    </row>
    <row r="9484" spans="1:13" x14ac:dyDescent="0.25">
      <c r="A9484" s="1" t="str">
        <f>HYPERLINK("http://www.rosaceae.org/Prunus/Prunus_persica/p.persica_gdr_reftransV1_0002434","p.persica_gdr_reftransV1_0002434")</f>
        <v>p.persica_gdr_reftransV1_0002434</v>
      </c>
      <c r="B9484" s="3">
        <v>1099</v>
      </c>
      <c r="C9484" s="1" t="str">
        <f>HYPERLINK("http://www.uniprot.org/uniprot/NAC2_ARATH","NAC2_ARATH")</f>
        <v>NAC2_ARATH</v>
      </c>
      <c r="D9484" t="s">
        <v>1954</v>
      </c>
      <c r="E9484" s="3" t="s">
        <v>3</v>
      </c>
      <c r="F9484" s="4">
        <v>7.6100000000000004E-112</v>
      </c>
      <c r="G9484" s="3">
        <v>858</v>
      </c>
      <c r="H9484" s="3">
        <v>62</v>
      </c>
      <c r="I9484" s="3">
        <v>298</v>
      </c>
      <c r="J9484" s="3">
        <v>168</v>
      </c>
      <c r="K9484" s="3">
        <v>1025</v>
      </c>
      <c r="L9484" s="3">
        <v>5</v>
      </c>
      <c r="M9484" s="3">
        <v>289</v>
      </c>
    </row>
    <row r="9485" spans="1:13" x14ac:dyDescent="0.25">
      <c r="A9485" s="1" t="str">
        <f>HYPERLINK("http://www.rosaceae.org/Prunus/Prunus_persica/p.persica_gdr_reftransV1_0002784","p.persica_gdr_reftransV1_0002784")</f>
        <v>p.persica_gdr_reftransV1_0002784</v>
      </c>
      <c r="B9485" s="3">
        <v>878</v>
      </c>
      <c r="C9485" s="1" t="str">
        <f>HYPERLINK("http://www.uniprot.org/uniprot/CSLA9_ARATH","CSLA9_ARATH")</f>
        <v>CSLA9_ARATH</v>
      </c>
      <c r="D9485" t="s">
        <v>5825</v>
      </c>
      <c r="E9485" s="3" t="s">
        <v>3</v>
      </c>
      <c r="F9485" s="4">
        <v>2.1399999999999999E-140</v>
      </c>
      <c r="G9485" s="3">
        <v>1062</v>
      </c>
      <c r="H9485" s="3">
        <v>78</v>
      </c>
      <c r="I9485" s="3">
        <v>262</v>
      </c>
      <c r="J9485" s="3">
        <v>3</v>
      </c>
      <c r="K9485" s="3">
        <v>788</v>
      </c>
      <c r="L9485" s="3">
        <v>271</v>
      </c>
      <c r="M9485" s="3">
        <v>532</v>
      </c>
    </row>
    <row r="9486" spans="1:13" x14ac:dyDescent="0.25">
      <c r="A9486" s="1" t="str">
        <f>HYPERLINK("http://www.rosaceae.org/Prunus/Prunus_persica/p.persica_gdr_reftransV1_0002884","p.persica_gdr_reftransV1_0002884")</f>
        <v>p.persica_gdr_reftransV1_0002884</v>
      </c>
      <c r="B9486" s="3">
        <v>3739</v>
      </c>
      <c r="C9486" s="1" t="str">
        <f>HYPERLINK("http://www.uniprot.org/uniprot/R1A6_SOLDE","R1A6_SOLDE")</f>
        <v>R1A6_SOLDE</v>
      </c>
      <c r="D9486" t="s">
        <v>7069</v>
      </c>
      <c r="E9486" s="3" t="s">
        <v>4712</v>
      </c>
      <c r="F9486" s="4">
        <v>2.5E-36</v>
      </c>
      <c r="G9486" s="3">
        <v>388</v>
      </c>
      <c r="H9486" s="3">
        <v>29</v>
      </c>
      <c r="I9486" s="3">
        <v>536</v>
      </c>
      <c r="J9486" s="3">
        <v>811</v>
      </c>
      <c r="K9486" s="3">
        <v>2307</v>
      </c>
      <c r="L9486" s="3">
        <v>526</v>
      </c>
      <c r="M9486" s="3">
        <v>1015</v>
      </c>
    </row>
    <row r="9487" spans="1:13" x14ac:dyDescent="0.25">
      <c r="A9487" s="1" t="str">
        <f>HYPERLINK("http://www.rosaceae.org/Prunus/Prunus_persica/p.persica_gdr_reftransV1_0002984","p.persica_gdr_reftransV1_0002984")</f>
        <v>p.persica_gdr_reftransV1_0002984</v>
      </c>
      <c r="B9487" s="3">
        <v>3848</v>
      </c>
      <c r="C9487" s="1" t="str">
        <f>HYPERLINK("http://www.uniprot.org/uniprot/UBP5_ARATH","UBP5_ARATH")</f>
        <v>UBP5_ARATH</v>
      </c>
      <c r="D9487" t="s">
        <v>4275</v>
      </c>
      <c r="E9487" s="3" t="s">
        <v>3</v>
      </c>
      <c r="F9487" s="4">
        <v>0</v>
      </c>
      <c r="G9487" s="3">
        <v>2262</v>
      </c>
      <c r="H9487" s="3">
        <v>75</v>
      </c>
      <c r="I9487" s="3">
        <v>572</v>
      </c>
      <c r="J9487" s="3">
        <v>317</v>
      </c>
      <c r="K9487" s="3">
        <v>2032</v>
      </c>
      <c r="L9487" s="3">
        <v>22</v>
      </c>
      <c r="M9487" s="3">
        <v>585</v>
      </c>
    </row>
    <row r="9488" spans="1:13" x14ac:dyDescent="0.25">
      <c r="A9488" s="1" t="str">
        <f>HYPERLINK("http://www.rosaceae.org/Prunus/Prunus_persica/p.persica_gdr_reftransV1_0003034","p.persica_gdr_reftransV1_0003034")</f>
        <v>p.persica_gdr_reftransV1_0003034</v>
      </c>
      <c r="B9488" s="3">
        <v>803</v>
      </c>
      <c r="C9488" s="1" t="str">
        <f>HYPERLINK("http://www.uniprot.org/uniprot/Y1680_ARATH","Y1680_ARATH")</f>
        <v>Y1680_ARATH</v>
      </c>
      <c r="D9488" t="s">
        <v>750</v>
      </c>
      <c r="E9488" s="3" t="s">
        <v>3</v>
      </c>
      <c r="F9488" s="4">
        <v>3.0799999999999999E-71</v>
      </c>
      <c r="G9488" s="3">
        <v>604</v>
      </c>
      <c r="H9488" s="3">
        <v>65</v>
      </c>
      <c r="I9488" s="3">
        <v>207</v>
      </c>
      <c r="J9488" s="3">
        <v>167</v>
      </c>
      <c r="K9488" s="3">
        <v>787</v>
      </c>
      <c r="L9488" s="3">
        <v>31</v>
      </c>
      <c r="M9488" s="3">
        <v>237</v>
      </c>
    </row>
    <row r="9489" spans="1:13" x14ac:dyDescent="0.25">
      <c r="A9489" s="1" t="str">
        <f>HYPERLINK("http://www.rosaceae.org/Prunus/Prunus_persica/p.persica_gdr_reftransV1_0003084","p.persica_gdr_reftransV1_0003084")</f>
        <v>p.persica_gdr_reftransV1_0003084</v>
      </c>
      <c r="B9489" s="3">
        <v>2559</v>
      </c>
      <c r="C9489" s="1" t="str">
        <f>HYPERLINK("http://www.uniprot.org/uniprot/TM1L2_XENLA","TM1L2_XENLA")</f>
        <v>TM1L2_XENLA</v>
      </c>
      <c r="D9489" t="s">
        <v>7070</v>
      </c>
      <c r="E9489" s="3" t="s">
        <v>475</v>
      </c>
      <c r="F9489" s="4">
        <v>8.4500000000000004E-29</v>
      </c>
      <c r="G9489" s="3">
        <v>313</v>
      </c>
      <c r="H9489" s="3">
        <v>30</v>
      </c>
      <c r="I9489" s="3">
        <v>292</v>
      </c>
      <c r="J9489" s="3">
        <v>93</v>
      </c>
      <c r="K9489" s="3">
        <v>875</v>
      </c>
      <c r="L9489" s="3">
        <v>16</v>
      </c>
      <c r="M9489" s="3">
        <v>305</v>
      </c>
    </row>
    <row r="9490" spans="1:13" x14ac:dyDescent="0.25">
      <c r="A9490" s="1" t="str">
        <f>HYPERLINK("http://www.rosaceae.org/Prunus/Prunus_persica/p.persica_gdr_reftransV1_0003134","p.persica_gdr_reftransV1_0003134")</f>
        <v>p.persica_gdr_reftransV1_0003134</v>
      </c>
      <c r="B9490" s="3">
        <v>1277</v>
      </c>
      <c r="C9490" s="1" t="str">
        <f>HYPERLINK("http://www.uniprot.org/uniprot/TL225_ARATH","TL225_ARATH")</f>
        <v>TL225_ARATH</v>
      </c>
      <c r="D9490" t="s">
        <v>5988</v>
      </c>
      <c r="E9490" s="3" t="s">
        <v>3</v>
      </c>
      <c r="F9490" s="4">
        <v>1.17E-97</v>
      </c>
      <c r="G9490" s="3">
        <v>769</v>
      </c>
      <c r="H9490" s="3">
        <v>90</v>
      </c>
      <c r="I9490" s="3">
        <v>163</v>
      </c>
      <c r="J9490" s="3">
        <v>248</v>
      </c>
      <c r="K9490" s="3">
        <v>736</v>
      </c>
      <c r="L9490" s="3">
        <v>118</v>
      </c>
      <c r="M9490" s="3">
        <v>280</v>
      </c>
    </row>
    <row r="9491" spans="1:13" x14ac:dyDescent="0.25">
      <c r="A9491" s="1" t="str">
        <f>HYPERLINK("http://www.rosaceae.org/Prunus/Prunus_persica/p.persica_gdr_reftransV1_0003234","p.persica_gdr_reftransV1_0003234")</f>
        <v>p.persica_gdr_reftransV1_0003234</v>
      </c>
      <c r="B9491" s="3">
        <v>764</v>
      </c>
      <c r="C9491" s="1" t="str">
        <f>HYPERLINK("http://www.uniprot.org/uniprot/LEUNG_ARATH","LEUNG_ARATH")</f>
        <v>LEUNG_ARATH</v>
      </c>
      <c r="D9491" t="s">
        <v>7071</v>
      </c>
      <c r="E9491" s="3" t="s">
        <v>3</v>
      </c>
      <c r="F9491" s="4">
        <v>3.6700000000000002E-60</v>
      </c>
      <c r="G9491" s="3">
        <v>530</v>
      </c>
      <c r="H9491" s="3">
        <v>70</v>
      </c>
      <c r="I9491" s="3">
        <v>244</v>
      </c>
      <c r="J9491" s="3">
        <v>2</v>
      </c>
      <c r="K9491" s="3">
        <v>694</v>
      </c>
      <c r="L9491" s="3">
        <v>298</v>
      </c>
      <c r="M9491" s="3">
        <v>540</v>
      </c>
    </row>
    <row r="9492" spans="1:13" x14ac:dyDescent="0.25">
      <c r="A9492" s="1" t="str">
        <f>HYPERLINK("http://www.rosaceae.org/Prunus/Prunus_persica/p.persica_gdr_reftransV1_0003284","p.persica_gdr_reftransV1_0003284")</f>
        <v>p.persica_gdr_reftransV1_0003284</v>
      </c>
      <c r="B9492" s="3">
        <v>1953</v>
      </c>
      <c r="C9492" s="1" t="str">
        <f>HYPERLINK("http://www.uniprot.org/uniprot/ERO1_ARATH","ERO1_ARATH")</f>
        <v>ERO1_ARATH</v>
      </c>
      <c r="D9492" t="s">
        <v>4782</v>
      </c>
      <c r="E9492" s="3" t="s">
        <v>3</v>
      </c>
      <c r="F9492" s="4">
        <v>0</v>
      </c>
      <c r="G9492" s="3">
        <v>1536</v>
      </c>
      <c r="H9492" s="3">
        <v>66</v>
      </c>
      <c r="I9492" s="3">
        <v>445</v>
      </c>
      <c r="J9492" s="3">
        <v>534</v>
      </c>
      <c r="K9492" s="3">
        <v>1757</v>
      </c>
      <c r="L9492" s="3">
        <v>18</v>
      </c>
      <c r="M9492" s="3">
        <v>462</v>
      </c>
    </row>
    <row r="9493" spans="1:13" x14ac:dyDescent="0.25">
      <c r="A9493" s="1" t="str">
        <f>HYPERLINK("http://www.rosaceae.org/Prunus/Prunus_persica/p.persica_gdr_reftransV1_0003384","p.persica_gdr_reftransV1_0003384")</f>
        <v>p.persica_gdr_reftransV1_0003384</v>
      </c>
      <c r="B9493" s="3">
        <v>2329</v>
      </c>
      <c r="C9493" s="1" t="str">
        <f>HYPERLINK("http://www.uniprot.org/uniprot/PIRL6_ORYSJ","PIRL6_ORYSJ")</f>
        <v>PIRL6_ORYSJ</v>
      </c>
      <c r="D9493" t="s">
        <v>7072</v>
      </c>
      <c r="E9493" s="3" t="s">
        <v>38</v>
      </c>
      <c r="F9493" s="4">
        <v>4.8000000000000003E-173</v>
      </c>
      <c r="G9493" s="3">
        <v>1332</v>
      </c>
      <c r="H9493" s="3">
        <v>64</v>
      </c>
      <c r="I9493" s="3">
        <v>496</v>
      </c>
      <c r="J9493" s="3">
        <v>507</v>
      </c>
      <c r="K9493" s="3">
        <v>1988</v>
      </c>
      <c r="L9493" s="3">
        <v>88</v>
      </c>
      <c r="M9493" s="3">
        <v>583</v>
      </c>
    </row>
    <row r="9494" spans="1:13" x14ac:dyDescent="0.25">
      <c r="A9494" s="1" t="str">
        <f>HYPERLINK("http://www.rosaceae.org/Prunus/Prunus_persica/p.persica_gdr_reftransV1_0003484","p.persica_gdr_reftransV1_0003484")</f>
        <v>p.persica_gdr_reftransV1_0003484</v>
      </c>
      <c r="B9494" s="3">
        <v>1264</v>
      </c>
      <c r="C9494" s="1" t="str">
        <f>HYPERLINK("http://www.uniprot.org/uniprot/RSSA_VITVI","RSSA_VITVI")</f>
        <v>RSSA_VITVI</v>
      </c>
      <c r="D9494" t="s">
        <v>7073</v>
      </c>
      <c r="E9494" s="3" t="s">
        <v>362</v>
      </c>
      <c r="F9494" s="4">
        <v>2.4299999999999999E-139</v>
      </c>
      <c r="G9494" s="3">
        <v>1048</v>
      </c>
      <c r="H9494" s="3">
        <v>89</v>
      </c>
      <c r="I9494" s="3">
        <v>230</v>
      </c>
      <c r="J9494" s="3">
        <v>474</v>
      </c>
      <c r="K9494" s="3">
        <v>1163</v>
      </c>
      <c r="L9494" s="3">
        <v>2</v>
      </c>
      <c r="M9494" s="3">
        <v>231</v>
      </c>
    </row>
    <row r="9495" spans="1:13" x14ac:dyDescent="0.25">
      <c r="A9495" s="1" t="str">
        <f>HYPERLINK("http://www.rosaceae.org/Prunus/Prunus_persica/p.persica_gdr_reftransV1_0003534","p.persica_gdr_reftransV1_0003534")</f>
        <v>p.persica_gdr_reftransV1_0003534</v>
      </c>
      <c r="B9495" s="3">
        <v>1271</v>
      </c>
      <c r="C9495" s="1" t="str">
        <f>HYPERLINK("http://www.uniprot.org/uniprot/TMVRN_NICGU","TMVRN_NICGU")</f>
        <v>TMVRN_NICGU</v>
      </c>
      <c r="D9495" t="s">
        <v>151</v>
      </c>
      <c r="E9495" s="3" t="s">
        <v>152</v>
      </c>
      <c r="F9495" s="4">
        <v>1.5599999999999999E-72</v>
      </c>
      <c r="G9495" s="3">
        <v>641</v>
      </c>
      <c r="H9495" s="3">
        <v>43</v>
      </c>
      <c r="I9495" s="3">
        <v>329</v>
      </c>
      <c r="J9495" s="3">
        <v>327</v>
      </c>
      <c r="K9495" s="3">
        <v>1271</v>
      </c>
      <c r="L9495" s="3">
        <v>12</v>
      </c>
      <c r="M9495" s="3">
        <v>336</v>
      </c>
    </row>
    <row r="9496" spans="1:13" x14ac:dyDescent="0.25">
      <c r="A9496" s="1" t="str">
        <f>HYPERLINK("http://www.rosaceae.org/Prunus/Prunus_persica/p.persica_gdr_reftransV1_0003584","p.persica_gdr_reftransV1_0003584")</f>
        <v>p.persica_gdr_reftransV1_0003584</v>
      </c>
      <c r="B9496" s="3">
        <v>404</v>
      </c>
      <c r="C9496" s="1" t="str">
        <f>HYPERLINK("http://www.uniprot.org/uniprot/Y4862_ARATH","Y4862_ARATH")</f>
        <v>Y4862_ARATH</v>
      </c>
      <c r="D9496" t="s">
        <v>1186</v>
      </c>
      <c r="E9496" s="3" t="s">
        <v>3</v>
      </c>
      <c r="F9496" s="4">
        <v>1.2799999999999999E-38</v>
      </c>
      <c r="G9496" s="3">
        <v>362</v>
      </c>
      <c r="H9496" s="3">
        <v>55</v>
      </c>
      <c r="I9496" s="3">
        <v>132</v>
      </c>
      <c r="J9496" s="3">
        <v>1</v>
      </c>
      <c r="K9496" s="3">
        <v>396</v>
      </c>
      <c r="L9496" s="3">
        <v>228</v>
      </c>
      <c r="M9496" s="3">
        <v>359</v>
      </c>
    </row>
    <row r="9497" spans="1:13" x14ac:dyDescent="0.25">
      <c r="A9497" s="1" t="str">
        <f>HYPERLINK("http://www.rosaceae.org/Prunus/Prunus_persica/p.persica_gdr_reftransV1_0003684","p.persica_gdr_reftransV1_0003684")</f>
        <v>p.persica_gdr_reftransV1_0003684</v>
      </c>
      <c r="B9497" s="3">
        <v>1510</v>
      </c>
      <c r="C9497" s="1" t="str">
        <f>HYPERLINK("http://www.uniprot.org/uniprot/MED27_ARATH","MED27_ARATH")</f>
        <v>MED27_ARATH</v>
      </c>
      <c r="D9497" t="s">
        <v>7074</v>
      </c>
      <c r="E9497" s="3" t="s">
        <v>3</v>
      </c>
      <c r="F9497" s="4">
        <v>3.14E-165</v>
      </c>
      <c r="G9497" s="3">
        <v>1237</v>
      </c>
      <c r="H9497" s="3">
        <v>66</v>
      </c>
      <c r="I9497" s="3">
        <v>373</v>
      </c>
      <c r="J9497" s="3">
        <v>1</v>
      </c>
      <c r="K9497" s="3">
        <v>1110</v>
      </c>
      <c r="L9497" s="3">
        <v>37</v>
      </c>
      <c r="M9497" s="3">
        <v>401</v>
      </c>
    </row>
    <row r="9498" spans="1:13" x14ac:dyDescent="0.25">
      <c r="A9498" s="1" t="str">
        <f>HYPERLINK("http://www.rosaceae.org/Prunus/Prunus_persica/p.persica_gdr_reftransV1_0003934","p.persica_gdr_reftransV1_0003934")</f>
        <v>p.persica_gdr_reftransV1_0003934</v>
      </c>
      <c r="B9498" s="3">
        <v>1184</v>
      </c>
      <c r="C9498" s="1" t="str">
        <f>HYPERLINK("http://www.uniprot.org/uniprot/PP345_ARATH","PP345_ARATH")</f>
        <v>PP345_ARATH</v>
      </c>
      <c r="D9498" t="s">
        <v>714</v>
      </c>
      <c r="E9498" s="3" t="s">
        <v>3</v>
      </c>
      <c r="F9498" s="4">
        <v>4.81E-130</v>
      </c>
      <c r="G9498" s="3">
        <v>546</v>
      </c>
      <c r="H9498" s="3">
        <v>61</v>
      </c>
      <c r="I9498" s="3">
        <v>163</v>
      </c>
      <c r="J9498" s="3">
        <v>339</v>
      </c>
      <c r="K9498" s="3">
        <v>827</v>
      </c>
      <c r="L9498" s="3">
        <v>391</v>
      </c>
      <c r="M9498" s="3">
        <v>553</v>
      </c>
    </row>
    <row r="9499" spans="1:13" x14ac:dyDescent="0.25">
      <c r="A9499" s="1" t="str">
        <f>HYPERLINK("http://www.rosaceae.org/Prunus/Prunus_persica/p.persica_gdr_reftransV1_0004084","p.persica_gdr_reftransV1_0004084")</f>
        <v>p.persica_gdr_reftransV1_0004084</v>
      </c>
      <c r="B9499" s="3">
        <v>316</v>
      </c>
      <c r="C9499" s="1" t="str">
        <f>HYPERLINK("http://www.uniprot.org/uniprot/PLCD4_ARATH","PLCD4_ARATH")</f>
        <v>PLCD4_ARATH</v>
      </c>
      <c r="D9499" t="s">
        <v>3865</v>
      </c>
      <c r="E9499" s="3" t="s">
        <v>3</v>
      </c>
      <c r="F9499" s="4">
        <v>8.9000000000000004E-13</v>
      </c>
      <c r="G9499" s="3">
        <v>164</v>
      </c>
      <c r="H9499" s="3">
        <v>52</v>
      </c>
      <c r="I9499" s="3">
        <v>60</v>
      </c>
      <c r="J9499" s="3">
        <v>127</v>
      </c>
      <c r="K9499" s="3">
        <v>306</v>
      </c>
      <c r="L9499" s="3">
        <v>5</v>
      </c>
      <c r="M9499" s="3">
        <v>61</v>
      </c>
    </row>
    <row r="9500" spans="1:13" x14ac:dyDescent="0.25">
      <c r="A9500" s="1" t="str">
        <f>HYPERLINK("http://www.rosaceae.org/Prunus/Prunus_persica/p.persica_gdr_reftransV1_0004134","p.persica_gdr_reftransV1_0004134")</f>
        <v>p.persica_gdr_reftransV1_0004134</v>
      </c>
      <c r="B9500" s="3">
        <v>498</v>
      </c>
      <c r="C9500" s="1" t="str">
        <f>HYPERLINK("http://www.uniprot.org/uniprot/RS4_YARLI","RS4_YARLI")</f>
        <v>RS4_YARLI</v>
      </c>
      <c r="D9500" t="s">
        <v>7075</v>
      </c>
      <c r="E9500" s="3" t="s">
        <v>1669</v>
      </c>
      <c r="F9500" s="4">
        <v>8.58E-77</v>
      </c>
      <c r="G9500" s="3">
        <v>602</v>
      </c>
      <c r="H9500" s="3">
        <v>78</v>
      </c>
      <c r="I9500" s="3">
        <v>147</v>
      </c>
      <c r="J9500" s="3">
        <v>57</v>
      </c>
      <c r="K9500" s="3">
        <v>494</v>
      </c>
      <c r="L9500" s="3">
        <v>111</v>
      </c>
      <c r="M9500" s="3">
        <v>257</v>
      </c>
    </row>
    <row r="9501" spans="1:13" x14ac:dyDescent="0.25">
      <c r="A9501" s="1" t="str">
        <f>HYPERLINK("http://www.rosaceae.org/Prunus/Prunus_persica/p.persica_gdr_reftransV1_0004234","p.persica_gdr_reftransV1_0004234")</f>
        <v>p.persica_gdr_reftransV1_0004234</v>
      </c>
      <c r="B9501" s="3">
        <v>558</v>
      </c>
      <c r="C9501" s="1" t="str">
        <f>HYPERLINK("http://www.uniprot.org/uniprot/MUS81_ARATH","MUS81_ARATH")</f>
        <v>MUS81_ARATH</v>
      </c>
      <c r="D9501" t="s">
        <v>412</v>
      </c>
      <c r="E9501" s="3" t="s">
        <v>3</v>
      </c>
      <c r="F9501" s="4">
        <v>8.1299999999999996E-63</v>
      </c>
      <c r="G9501" s="3">
        <v>536</v>
      </c>
      <c r="H9501" s="3">
        <v>72</v>
      </c>
      <c r="I9501" s="3">
        <v>145</v>
      </c>
      <c r="J9501" s="3">
        <v>127</v>
      </c>
      <c r="K9501" s="3">
        <v>558</v>
      </c>
      <c r="L9501" s="3">
        <v>514</v>
      </c>
      <c r="M9501" s="3">
        <v>658</v>
      </c>
    </row>
    <row r="9502" spans="1:13" x14ac:dyDescent="0.25">
      <c r="A9502" s="1" t="str">
        <f>HYPERLINK("http://www.rosaceae.org/Prunus/Prunus_persica/p.persica_gdr_reftransV1_0004284","p.persica_gdr_reftransV1_0004284")</f>
        <v>p.persica_gdr_reftransV1_0004284</v>
      </c>
      <c r="B9502" s="3">
        <v>2643</v>
      </c>
      <c r="C9502" s="1" t="str">
        <f>HYPERLINK("http://www.uniprot.org/uniprot/RH29_ARATH","RH29_ARATH")</f>
        <v>RH29_ARATH</v>
      </c>
      <c r="D9502" t="s">
        <v>5767</v>
      </c>
      <c r="E9502" s="3" t="s">
        <v>3</v>
      </c>
      <c r="F9502" s="4">
        <v>0</v>
      </c>
      <c r="G9502" s="3">
        <v>2297</v>
      </c>
      <c r="H9502" s="3">
        <v>75</v>
      </c>
      <c r="I9502" s="3">
        <v>607</v>
      </c>
      <c r="J9502" s="3">
        <v>166</v>
      </c>
      <c r="K9502" s="3">
        <v>1962</v>
      </c>
      <c r="L9502" s="3">
        <v>9</v>
      </c>
      <c r="M9502" s="3">
        <v>613</v>
      </c>
    </row>
    <row r="9503" spans="1:13" x14ac:dyDescent="0.25">
      <c r="A9503" s="1" t="str">
        <f>HYPERLINK("http://www.rosaceae.org/Prunus/Prunus_persica/p.persica_gdr_reftransV1_0004484","p.persica_gdr_reftransV1_0004484")</f>
        <v>p.persica_gdr_reftransV1_0004484</v>
      </c>
      <c r="B9503" s="3">
        <v>381</v>
      </c>
      <c r="C9503" s="1" t="str">
        <f>HYPERLINK("http://www.uniprot.org/uniprot/PP429_ARATH","PP429_ARATH")</f>
        <v>PP429_ARATH</v>
      </c>
      <c r="D9503" t="s">
        <v>2967</v>
      </c>
      <c r="E9503" s="3" t="s">
        <v>3</v>
      </c>
      <c r="F9503" s="4">
        <v>1.64E-61</v>
      </c>
      <c r="G9503" s="3">
        <v>518</v>
      </c>
      <c r="H9503" s="3">
        <v>73</v>
      </c>
      <c r="I9503" s="3">
        <v>127</v>
      </c>
      <c r="J9503" s="3">
        <v>1</v>
      </c>
      <c r="K9503" s="3">
        <v>381</v>
      </c>
      <c r="L9503" s="3">
        <v>116</v>
      </c>
      <c r="M9503" s="3">
        <v>242</v>
      </c>
    </row>
    <row r="9504" spans="1:13" x14ac:dyDescent="0.25">
      <c r="A9504" s="1" t="str">
        <f>HYPERLINK("http://www.rosaceae.org/Prunus/Prunus_persica/p.persica_gdr_reftransV1_0004534","p.persica_gdr_reftransV1_0004534")</f>
        <v>p.persica_gdr_reftransV1_0004534</v>
      </c>
      <c r="B9504" s="3">
        <v>3649</v>
      </c>
      <c r="C9504" s="1" t="str">
        <f>HYPERLINK("http://www.uniprot.org/uniprot/JMJ25_ARATH","JMJ25_ARATH")</f>
        <v>JMJ25_ARATH</v>
      </c>
      <c r="D9504" t="s">
        <v>1512</v>
      </c>
      <c r="E9504" s="3" t="s">
        <v>3</v>
      </c>
      <c r="F9504" s="4">
        <v>7.0999999999999998E-115</v>
      </c>
      <c r="G9504" s="3">
        <v>1000</v>
      </c>
      <c r="H9504" s="3">
        <v>41</v>
      </c>
      <c r="I9504" s="3">
        <v>585</v>
      </c>
      <c r="J9504" s="3">
        <v>254</v>
      </c>
      <c r="K9504" s="3">
        <v>1876</v>
      </c>
      <c r="L9504" s="3">
        <v>154</v>
      </c>
      <c r="M9504" s="3">
        <v>719</v>
      </c>
    </row>
    <row r="9505" spans="1:13" x14ac:dyDescent="0.25">
      <c r="A9505" s="1" t="str">
        <f>HYPERLINK("http://www.rosaceae.org/Prunus/Prunus_persica/p.persica_gdr_reftransV1_0004634","p.persica_gdr_reftransV1_0004634")</f>
        <v>p.persica_gdr_reftransV1_0004634</v>
      </c>
      <c r="B9505" s="3">
        <v>2774</v>
      </c>
      <c r="C9505" s="1" t="str">
        <f>HYPERLINK("http://www.uniprot.org/uniprot/ERCC2_ARATH","ERCC2_ARATH")</f>
        <v>ERCC2_ARATH</v>
      </c>
      <c r="D9505" t="s">
        <v>3510</v>
      </c>
      <c r="E9505" s="3" t="s">
        <v>3</v>
      </c>
      <c r="F9505" s="4">
        <v>0</v>
      </c>
      <c r="G9505" s="3">
        <v>3543</v>
      </c>
      <c r="H9505" s="3">
        <v>85</v>
      </c>
      <c r="I9505" s="3">
        <v>757</v>
      </c>
      <c r="J9505" s="3">
        <v>107</v>
      </c>
      <c r="K9505" s="3">
        <v>2377</v>
      </c>
      <c r="L9505" s="3">
        <v>1</v>
      </c>
      <c r="M9505" s="3">
        <v>756</v>
      </c>
    </row>
    <row r="9506" spans="1:13" x14ac:dyDescent="0.25">
      <c r="A9506" s="1" t="str">
        <f>HYPERLINK("http://www.rosaceae.org/Prunus/Prunus_persica/p.persica_gdr_reftransV1_0004834","p.persica_gdr_reftransV1_0004834")</f>
        <v>p.persica_gdr_reftransV1_0004834</v>
      </c>
      <c r="B9506" s="3">
        <v>3407</v>
      </c>
      <c r="C9506" s="1" t="str">
        <f>HYPERLINK("http://www.uniprot.org/uniprot/TTC1_HUMAN","TTC1_HUMAN")</f>
        <v>TTC1_HUMAN</v>
      </c>
      <c r="D9506" t="s">
        <v>349</v>
      </c>
      <c r="E9506" s="3" t="s">
        <v>28</v>
      </c>
      <c r="F9506" s="4">
        <v>1.48E-13</v>
      </c>
      <c r="G9506" s="3">
        <v>186</v>
      </c>
      <c r="H9506" s="3">
        <v>35</v>
      </c>
      <c r="I9506" s="3">
        <v>135</v>
      </c>
      <c r="J9506" s="3">
        <v>2074</v>
      </c>
      <c r="K9506" s="3">
        <v>2475</v>
      </c>
      <c r="L9506" s="3">
        <v>116</v>
      </c>
      <c r="M9506" s="3">
        <v>248</v>
      </c>
    </row>
    <row r="9507" spans="1:13" x14ac:dyDescent="0.25">
      <c r="A9507" s="1" t="str">
        <f>HYPERLINK("http://www.rosaceae.org/Prunus/Prunus_persica/p.persica_gdr_reftransV1_0004884","p.persica_gdr_reftransV1_0004884")</f>
        <v>p.persica_gdr_reftransV1_0004884</v>
      </c>
      <c r="B9507" s="3">
        <v>404</v>
      </c>
      <c r="C9507" s="1" t="str">
        <f>HYPERLINK("http://www.uniprot.org/uniprot/GRP1_SINAL","GRP1_SINAL")</f>
        <v>GRP1_SINAL</v>
      </c>
      <c r="D9507" t="s">
        <v>3870</v>
      </c>
      <c r="E9507" s="3" t="s">
        <v>3871</v>
      </c>
      <c r="F9507" s="4">
        <v>1.1100000000000001E-43</v>
      </c>
      <c r="G9507" s="3">
        <v>370</v>
      </c>
      <c r="H9507" s="3">
        <v>79</v>
      </c>
      <c r="I9507" s="3">
        <v>85</v>
      </c>
      <c r="J9507" s="3">
        <v>66</v>
      </c>
      <c r="K9507" s="3">
        <v>320</v>
      </c>
      <c r="L9507" s="3">
        <v>1</v>
      </c>
      <c r="M9507" s="3">
        <v>85</v>
      </c>
    </row>
    <row r="9508" spans="1:13" x14ac:dyDescent="0.25">
      <c r="A9508" s="1" t="str">
        <f>HYPERLINK("http://www.rosaceae.org/Prunus/Prunus_persica/p.persica_gdr_reftransV1_0004934","p.persica_gdr_reftransV1_0004934")</f>
        <v>p.persica_gdr_reftransV1_0004934</v>
      </c>
      <c r="B9508" s="3">
        <v>3279</v>
      </c>
      <c r="C9508" s="1" t="str">
        <f>HYPERLINK("http://www.uniprot.org/uniprot/XLG2_ARATH","XLG2_ARATH")</f>
        <v>XLG2_ARATH</v>
      </c>
      <c r="D9508" t="s">
        <v>7076</v>
      </c>
      <c r="E9508" s="3" t="s">
        <v>3</v>
      </c>
      <c r="F9508" s="4">
        <v>0</v>
      </c>
      <c r="G9508" s="3">
        <v>1000</v>
      </c>
      <c r="H9508" s="3">
        <v>49</v>
      </c>
      <c r="I9508" s="3">
        <v>441</v>
      </c>
      <c r="J9508" s="3">
        <v>1782</v>
      </c>
      <c r="K9508" s="3">
        <v>3074</v>
      </c>
      <c r="L9508" s="3">
        <v>432</v>
      </c>
      <c r="M9508" s="3">
        <v>850</v>
      </c>
    </row>
    <row r="9509" spans="1:13" x14ac:dyDescent="0.25">
      <c r="A9509" s="1" t="str">
        <f>HYPERLINK("http://www.rosaceae.org/Prunus/Prunus_persica/p.persica_gdr_reftransV1_0004984","p.persica_gdr_reftransV1_0004984")</f>
        <v>p.persica_gdr_reftransV1_0004984</v>
      </c>
      <c r="B9509" s="3">
        <v>1574</v>
      </c>
      <c r="C9509" s="1" t="str">
        <f>HYPERLINK("http://www.uniprot.org/uniprot/SMBP2_MOUSE","SMBP2_MOUSE")</f>
        <v>SMBP2_MOUSE</v>
      </c>
      <c r="D9509" t="s">
        <v>5263</v>
      </c>
      <c r="E9509" s="3" t="s">
        <v>157</v>
      </c>
      <c r="F9509" s="4">
        <v>1.14E-100</v>
      </c>
      <c r="G9509" s="3">
        <v>692</v>
      </c>
      <c r="H9509" s="3">
        <v>44</v>
      </c>
      <c r="I9509" s="3">
        <v>393</v>
      </c>
      <c r="J9509" s="3">
        <v>76</v>
      </c>
      <c r="K9509" s="3">
        <v>1221</v>
      </c>
      <c r="L9509" s="3">
        <v>3</v>
      </c>
      <c r="M9509" s="3">
        <v>391</v>
      </c>
    </row>
    <row r="9510" spans="1:13" x14ac:dyDescent="0.25">
      <c r="A9510" s="1" t="str">
        <f>HYPERLINK("http://www.rosaceae.org/Prunus/Prunus_persica/p.persica_gdr_reftransV1_0005034","p.persica_gdr_reftransV1_0005034")</f>
        <v>p.persica_gdr_reftransV1_0005034</v>
      </c>
      <c r="B9510" s="3">
        <v>3741</v>
      </c>
      <c r="C9510" s="1" t="str">
        <f>HYPERLINK("http://www.uniprot.org/uniprot/XPO7_CHICK","XPO7_CHICK")</f>
        <v>XPO7_CHICK</v>
      </c>
      <c r="D9510" t="s">
        <v>7077</v>
      </c>
      <c r="E9510" s="3" t="s">
        <v>1278</v>
      </c>
      <c r="F9510" s="4">
        <v>0</v>
      </c>
      <c r="G9510" s="3">
        <v>2257</v>
      </c>
      <c r="H9510" s="3">
        <v>45</v>
      </c>
      <c r="I9510" s="3">
        <v>1084</v>
      </c>
      <c r="J9510" s="3">
        <v>219</v>
      </c>
      <c r="K9510" s="3">
        <v>3365</v>
      </c>
      <c r="L9510" s="3">
        <v>3</v>
      </c>
      <c r="M9510" s="3">
        <v>1068</v>
      </c>
    </row>
    <row r="9511" spans="1:13" x14ac:dyDescent="0.25">
      <c r="A9511" s="1" t="str">
        <f>HYPERLINK("http://www.rosaceae.org/Prunus/Prunus_persica/p.persica_gdr_reftransV1_0005234","p.persica_gdr_reftransV1_0005234")</f>
        <v>p.persica_gdr_reftransV1_0005234</v>
      </c>
      <c r="B9511" s="3">
        <v>782</v>
      </c>
      <c r="C9511" s="1" t="str">
        <f>HYPERLINK("http://www.uniprot.org/uniprot/PRB1_TOBAC","PRB1_TOBAC")</f>
        <v>PRB1_TOBAC</v>
      </c>
      <c r="D9511" t="s">
        <v>5722</v>
      </c>
      <c r="E9511" s="3" t="s">
        <v>200</v>
      </c>
      <c r="F9511" s="4">
        <v>2.3E-38</v>
      </c>
      <c r="G9511" s="3">
        <v>347</v>
      </c>
      <c r="H9511" s="3">
        <v>40</v>
      </c>
      <c r="I9511" s="3">
        <v>156</v>
      </c>
      <c r="J9511" s="3">
        <v>94</v>
      </c>
      <c r="K9511" s="3">
        <v>558</v>
      </c>
      <c r="L9511" s="3">
        <v>4</v>
      </c>
      <c r="M9511" s="3">
        <v>159</v>
      </c>
    </row>
    <row r="9512" spans="1:13" x14ac:dyDescent="0.25">
      <c r="A9512" s="1" t="str">
        <f>HYPERLINK("http://www.rosaceae.org/Prunus/Prunus_persica/p.persica_gdr_reftransV1_0005284","p.persica_gdr_reftransV1_0005284")</f>
        <v>p.persica_gdr_reftransV1_0005284</v>
      </c>
      <c r="B9512" s="3">
        <v>1217</v>
      </c>
      <c r="C9512" s="1" t="str">
        <f>HYPERLINK("http://www.uniprot.org/uniprot/CX32_ARATH","CX32_ARATH")</f>
        <v>CX32_ARATH</v>
      </c>
      <c r="D9512" t="s">
        <v>1141</v>
      </c>
      <c r="E9512" s="3" t="s">
        <v>3</v>
      </c>
      <c r="F9512" s="4">
        <v>1.6400000000000001E-90</v>
      </c>
      <c r="G9512" s="3">
        <v>509</v>
      </c>
      <c r="H9512" s="3">
        <v>64</v>
      </c>
      <c r="I9512" s="3">
        <v>149</v>
      </c>
      <c r="J9512" s="3">
        <v>516</v>
      </c>
      <c r="K9512" s="3">
        <v>959</v>
      </c>
      <c r="L9512" s="3">
        <v>39</v>
      </c>
      <c r="M9512" s="3">
        <v>183</v>
      </c>
    </row>
    <row r="9513" spans="1:13" x14ac:dyDescent="0.25">
      <c r="A9513" s="1" t="str">
        <f>HYPERLINK("http://www.rosaceae.org/Prunus/Prunus_persica/p.persica_gdr_reftransV1_0005534","p.persica_gdr_reftransV1_0005534")</f>
        <v>p.persica_gdr_reftransV1_0005534</v>
      </c>
      <c r="B9513" s="3">
        <v>308</v>
      </c>
      <c r="C9513" s="1" t="str">
        <f>HYPERLINK("http://www.uniprot.org/uniprot/Y5188_ARATH","Y5188_ARATH")</f>
        <v>Y5188_ARATH</v>
      </c>
      <c r="D9513" t="s">
        <v>1179</v>
      </c>
      <c r="E9513" s="3" t="s">
        <v>3</v>
      </c>
      <c r="F9513" s="4">
        <v>1.2000000000000001E-35</v>
      </c>
      <c r="G9513" s="3">
        <v>335</v>
      </c>
      <c r="H9513" s="3">
        <v>61</v>
      </c>
      <c r="I9513" s="3">
        <v>97</v>
      </c>
      <c r="J9513" s="3">
        <v>4</v>
      </c>
      <c r="K9513" s="3">
        <v>294</v>
      </c>
      <c r="L9513" s="3">
        <v>588</v>
      </c>
      <c r="M9513" s="3">
        <v>684</v>
      </c>
    </row>
    <row r="9514" spans="1:13" x14ac:dyDescent="0.25">
      <c r="A9514" s="1" t="str">
        <f>HYPERLINK("http://www.rosaceae.org/Prunus/Prunus_persica/p.persica_gdr_reftransV1_0005584","p.persica_gdr_reftransV1_0005584")</f>
        <v>p.persica_gdr_reftransV1_0005584</v>
      </c>
      <c r="B9514" s="3">
        <v>448</v>
      </c>
      <c r="C9514" s="1" t="str">
        <f>HYPERLINK("http://www.uniprot.org/uniprot/FON1_ORYSJ","FON1_ORYSJ")</f>
        <v>FON1_ORYSJ</v>
      </c>
      <c r="D9514" t="s">
        <v>6850</v>
      </c>
      <c r="E9514" s="3" t="s">
        <v>38</v>
      </c>
      <c r="F9514" s="4">
        <v>1.88E-10</v>
      </c>
      <c r="G9514" s="3">
        <v>150</v>
      </c>
      <c r="H9514" s="3">
        <v>44</v>
      </c>
      <c r="I9514" s="3">
        <v>84</v>
      </c>
      <c r="J9514" s="3">
        <v>193</v>
      </c>
      <c r="K9514" s="3">
        <v>444</v>
      </c>
      <c r="L9514" s="3">
        <v>542</v>
      </c>
      <c r="M9514" s="3">
        <v>625</v>
      </c>
    </row>
    <row r="9515" spans="1:13" x14ac:dyDescent="0.25">
      <c r="A9515" s="1" t="str">
        <f>HYPERLINK("http://www.rosaceae.org/Prunus/Prunus_persica/p.persica_gdr_reftransV1_0005784","p.persica_gdr_reftransV1_0005784")</f>
        <v>p.persica_gdr_reftransV1_0005784</v>
      </c>
      <c r="B9515" s="3">
        <v>890</v>
      </c>
      <c r="C9515" s="1" t="str">
        <f>HYPERLINK("http://www.uniprot.org/uniprot/LORF2_MOUSE","LORF2_MOUSE")</f>
        <v>LORF2_MOUSE</v>
      </c>
      <c r="D9515" t="s">
        <v>360</v>
      </c>
      <c r="E9515" s="3" t="s">
        <v>157</v>
      </c>
      <c r="F9515" s="4">
        <v>8.7799999999999999E-13</v>
      </c>
      <c r="G9515" s="3">
        <v>176</v>
      </c>
      <c r="H9515" s="3">
        <v>29</v>
      </c>
      <c r="I9515" s="3">
        <v>190</v>
      </c>
      <c r="J9515" s="3">
        <v>21</v>
      </c>
      <c r="K9515" s="3">
        <v>575</v>
      </c>
      <c r="L9515" s="3">
        <v>397</v>
      </c>
      <c r="M9515" s="3">
        <v>583</v>
      </c>
    </row>
    <row r="9516" spans="1:13" x14ac:dyDescent="0.25">
      <c r="A9516" s="1" t="str">
        <f>HYPERLINK("http://www.rosaceae.org/Prunus/Prunus_persica/p.persica_gdr_reftransV1_0005934","p.persica_gdr_reftransV1_0005934")</f>
        <v>p.persica_gdr_reftransV1_0005934</v>
      </c>
      <c r="B9516" s="3">
        <v>760</v>
      </c>
      <c r="C9516" s="1" t="str">
        <f>HYPERLINK("http://www.uniprot.org/uniprot/RLP12_ARATH","RLP12_ARATH")</f>
        <v>RLP12_ARATH</v>
      </c>
      <c r="D9516" t="s">
        <v>1219</v>
      </c>
      <c r="E9516" s="3" t="s">
        <v>3</v>
      </c>
      <c r="F9516" s="4">
        <v>1.52E-12</v>
      </c>
      <c r="G9516" s="3">
        <v>171</v>
      </c>
      <c r="H9516" s="3">
        <v>33</v>
      </c>
      <c r="I9516" s="3">
        <v>204</v>
      </c>
      <c r="J9516" s="3">
        <v>2</v>
      </c>
      <c r="K9516" s="3">
        <v>613</v>
      </c>
      <c r="L9516" s="3">
        <v>35</v>
      </c>
      <c r="M9516" s="3">
        <v>221</v>
      </c>
    </row>
    <row r="9517" spans="1:13" x14ac:dyDescent="0.25">
      <c r="A9517" s="1" t="str">
        <f>HYPERLINK("http://www.rosaceae.org/Prunus/Prunus_persica/p.persica_gdr_reftransV1_0006084","p.persica_gdr_reftransV1_0006084")</f>
        <v>p.persica_gdr_reftransV1_0006084</v>
      </c>
      <c r="B9517" s="3">
        <v>433</v>
      </c>
      <c r="C9517" s="1" t="str">
        <f>HYPERLINK("http://www.uniprot.org/uniprot/CVNH_NEUCR","CVNH_NEUCR")</f>
        <v>CVNH_NEUCR</v>
      </c>
      <c r="D9517" t="s">
        <v>7078</v>
      </c>
      <c r="E9517" s="3" t="s">
        <v>435</v>
      </c>
      <c r="F9517" s="4">
        <v>5.4700000000000001E-25</v>
      </c>
      <c r="G9517" s="3">
        <v>242</v>
      </c>
      <c r="H9517" s="3">
        <v>50</v>
      </c>
      <c r="I9517" s="3">
        <v>107</v>
      </c>
      <c r="J9517" s="3">
        <v>63</v>
      </c>
      <c r="K9517" s="3">
        <v>371</v>
      </c>
      <c r="L9517" s="3">
        <v>1</v>
      </c>
      <c r="M9517" s="3">
        <v>107</v>
      </c>
    </row>
    <row r="9518" spans="1:13" x14ac:dyDescent="0.25">
      <c r="A9518" s="1" t="str">
        <f>HYPERLINK("http://www.rosaceae.org/Prunus/Prunus_persica/p.persica_gdr_reftransV1_0006384","p.persica_gdr_reftransV1_0006384")</f>
        <v>p.persica_gdr_reftransV1_0006384</v>
      </c>
      <c r="B9518" s="3">
        <v>1334</v>
      </c>
      <c r="C9518" s="1" t="str">
        <f>HYPERLINK("http://www.uniprot.org/uniprot/WAKLA_ARATH","WAKLA_ARATH")</f>
        <v>WAKLA_ARATH</v>
      </c>
      <c r="D9518" t="s">
        <v>3025</v>
      </c>
      <c r="E9518" s="3" t="s">
        <v>3</v>
      </c>
      <c r="F9518" s="4">
        <v>6.4100000000000002E-43</v>
      </c>
      <c r="G9518" s="3">
        <v>416</v>
      </c>
      <c r="H9518" s="3">
        <v>34</v>
      </c>
      <c r="I9518" s="3">
        <v>418</v>
      </c>
      <c r="J9518" s="3">
        <v>3</v>
      </c>
      <c r="K9518" s="3">
        <v>1163</v>
      </c>
      <c r="L9518" s="3">
        <v>23</v>
      </c>
      <c r="M9518" s="3">
        <v>425</v>
      </c>
    </row>
    <row r="9519" spans="1:13" x14ac:dyDescent="0.25">
      <c r="A9519" s="1" t="str">
        <f>HYPERLINK("http://www.rosaceae.org/Prunus/Prunus_persica/p.persica_gdr_reftransV1_0006434","p.persica_gdr_reftransV1_0006434")</f>
        <v>p.persica_gdr_reftransV1_0006434</v>
      </c>
      <c r="B9519" s="3">
        <v>469</v>
      </c>
      <c r="C9519" s="1" t="str">
        <f>HYPERLINK("http://www.uniprot.org/uniprot/BCH2_ARATH","BCH2_ARATH")</f>
        <v>BCH2_ARATH</v>
      </c>
      <c r="D9519" t="s">
        <v>7079</v>
      </c>
      <c r="E9519" s="3" t="s">
        <v>3</v>
      </c>
      <c r="F9519" s="4">
        <v>6.7599999999999997E-14</v>
      </c>
      <c r="G9519" s="3">
        <v>172</v>
      </c>
      <c r="H9519" s="3">
        <v>39</v>
      </c>
      <c r="I9519" s="3">
        <v>109</v>
      </c>
      <c r="J9519" s="3">
        <v>179</v>
      </c>
      <c r="K9519" s="3">
        <v>469</v>
      </c>
      <c r="L9519" s="3">
        <v>13</v>
      </c>
      <c r="M9519" s="3">
        <v>121</v>
      </c>
    </row>
    <row r="9520" spans="1:13" x14ac:dyDescent="0.25">
      <c r="A9520" s="1" t="str">
        <f>HYPERLINK("http://www.rosaceae.org/Prunus/Prunus_persica/p.persica_gdr_reftransV1_0006584","p.persica_gdr_reftransV1_0006584")</f>
        <v>p.persica_gdr_reftransV1_0006584</v>
      </c>
      <c r="B9520" s="3">
        <v>1114</v>
      </c>
      <c r="C9520" s="1" t="str">
        <f>HYPERLINK("http://www.uniprot.org/uniprot/GATA4_ARATH","GATA4_ARATH")</f>
        <v>GATA4_ARATH</v>
      </c>
      <c r="D9520" t="s">
        <v>7080</v>
      </c>
      <c r="E9520" s="3" t="s">
        <v>3</v>
      </c>
      <c r="F9520" s="4">
        <v>5.9199999999999997E-52</v>
      </c>
      <c r="G9520" s="3">
        <v>453</v>
      </c>
      <c r="H9520" s="3">
        <v>59</v>
      </c>
      <c r="I9520" s="3">
        <v>177</v>
      </c>
      <c r="J9520" s="3">
        <v>253</v>
      </c>
      <c r="K9520" s="3">
        <v>744</v>
      </c>
      <c r="L9520" s="3">
        <v>51</v>
      </c>
      <c r="M9520" s="3">
        <v>223</v>
      </c>
    </row>
    <row r="9521" spans="1:13" x14ac:dyDescent="0.25">
      <c r="A9521" s="1" t="str">
        <f>HYPERLINK("http://www.rosaceae.org/Prunus/Prunus_persica/p.persica_gdr_reftransV1_0006634","p.persica_gdr_reftransV1_0006634")</f>
        <v>p.persica_gdr_reftransV1_0006634</v>
      </c>
      <c r="B9521" s="3">
        <v>1008</v>
      </c>
      <c r="C9521" s="1" t="str">
        <f>HYPERLINK("http://www.uniprot.org/uniprot/COMT1_MAIZE","COMT1_MAIZE")</f>
        <v>COMT1_MAIZE</v>
      </c>
      <c r="D9521" t="s">
        <v>7081</v>
      </c>
      <c r="E9521" s="3" t="s">
        <v>72</v>
      </c>
      <c r="F9521" s="4">
        <v>2.87E-61</v>
      </c>
      <c r="G9521" s="3">
        <v>523</v>
      </c>
      <c r="H9521" s="3">
        <v>45</v>
      </c>
      <c r="I9521" s="3">
        <v>232</v>
      </c>
      <c r="J9521" s="3">
        <v>113</v>
      </c>
      <c r="K9521" s="3">
        <v>808</v>
      </c>
      <c r="L9521" s="3">
        <v>136</v>
      </c>
      <c r="M9521" s="3">
        <v>364</v>
      </c>
    </row>
    <row r="9522" spans="1:13" x14ac:dyDescent="0.25">
      <c r="A9522" s="1" t="str">
        <f>HYPERLINK("http://www.rosaceae.org/Prunus/Prunus_persica/p.persica_gdr_reftransV1_0006684","p.persica_gdr_reftransV1_0006684")</f>
        <v>p.persica_gdr_reftransV1_0006684</v>
      </c>
      <c r="B9522" s="3">
        <v>1921</v>
      </c>
      <c r="C9522" s="1" t="str">
        <f>HYPERLINK("http://www.uniprot.org/uniprot/FBD4_ARATH","FBD4_ARATH")</f>
        <v>FBD4_ARATH</v>
      </c>
      <c r="D9522" t="s">
        <v>7082</v>
      </c>
      <c r="E9522" s="3" t="s">
        <v>3</v>
      </c>
      <c r="F9522" s="4">
        <v>2.3999999999999999E-49</v>
      </c>
      <c r="G9522" s="3">
        <v>464</v>
      </c>
      <c r="H9522" s="3">
        <v>30</v>
      </c>
      <c r="I9522" s="3">
        <v>443</v>
      </c>
      <c r="J9522" s="3">
        <v>382</v>
      </c>
      <c r="K9522" s="3">
        <v>1683</v>
      </c>
      <c r="L9522" s="3">
        <v>14</v>
      </c>
      <c r="M9522" s="3">
        <v>421</v>
      </c>
    </row>
    <row r="9523" spans="1:13" x14ac:dyDescent="0.25">
      <c r="A9523" s="1" t="str">
        <f>HYPERLINK("http://www.rosaceae.org/Prunus/Prunus_persica/p.persica_gdr_reftransV1_0006884","p.persica_gdr_reftransV1_0006884")</f>
        <v>p.persica_gdr_reftransV1_0006884</v>
      </c>
      <c r="B9523" s="3">
        <v>688</v>
      </c>
      <c r="C9523" s="1" t="str">
        <f>HYPERLINK("http://www.uniprot.org/uniprot/PPR69_ARATH","PPR69_ARATH")</f>
        <v>PPR69_ARATH</v>
      </c>
      <c r="D9523" t="s">
        <v>7083</v>
      </c>
      <c r="E9523" s="3" t="s">
        <v>3</v>
      </c>
      <c r="F9523" s="4">
        <v>1.13E-59</v>
      </c>
      <c r="G9523" s="3">
        <v>522</v>
      </c>
      <c r="H9523" s="3">
        <v>59</v>
      </c>
      <c r="I9523" s="3">
        <v>162</v>
      </c>
      <c r="J9523" s="3">
        <v>3</v>
      </c>
      <c r="K9523" s="3">
        <v>479</v>
      </c>
      <c r="L9523" s="3">
        <v>581</v>
      </c>
      <c r="M9523" s="3">
        <v>742</v>
      </c>
    </row>
    <row r="9524" spans="1:13" x14ac:dyDescent="0.25">
      <c r="A9524" s="1" t="str">
        <f>HYPERLINK("http://www.rosaceae.org/Prunus/Prunus_persica/p.persica_gdr_reftransV1_0006934","p.persica_gdr_reftransV1_0006934")</f>
        <v>p.persica_gdr_reftransV1_0006934</v>
      </c>
      <c r="B9524" s="3">
        <v>454</v>
      </c>
      <c r="C9524" s="1" t="str">
        <f>HYPERLINK("http://www.uniprot.org/uniprot/RLP12_ARATH","RLP12_ARATH")</f>
        <v>RLP12_ARATH</v>
      </c>
      <c r="D9524" t="s">
        <v>1219</v>
      </c>
      <c r="E9524" s="3" t="s">
        <v>3</v>
      </c>
      <c r="F9524" s="4">
        <v>1.01E-15</v>
      </c>
      <c r="G9524" s="3">
        <v>191</v>
      </c>
      <c r="H9524" s="3">
        <v>34</v>
      </c>
      <c r="I9524" s="3">
        <v>118</v>
      </c>
      <c r="J9524" s="3">
        <v>2</v>
      </c>
      <c r="K9524" s="3">
        <v>355</v>
      </c>
      <c r="L9524" s="3">
        <v>25</v>
      </c>
      <c r="M9524" s="3">
        <v>134</v>
      </c>
    </row>
    <row r="9525" spans="1:13" x14ac:dyDescent="0.25">
      <c r="A9525" s="1" t="str">
        <f>HYPERLINK("http://www.rosaceae.org/Prunus/Prunus_persica/p.persica_gdr_reftransV1_0007184","p.persica_gdr_reftransV1_0007184")</f>
        <v>p.persica_gdr_reftransV1_0007184</v>
      </c>
      <c r="B9525" s="3">
        <v>1017</v>
      </c>
      <c r="C9525" s="1" t="str">
        <f>HYPERLINK("http://www.uniprot.org/uniprot/RBX1A_ARATH","RBX1A_ARATH")</f>
        <v>RBX1A_ARATH</v>
      </c>
      <c r="D9525" t="s">
        <v>7084</v>
      </c>
      <c r="E9525" s="3" t="s">
        <v>3</v>
      </c>
      <c r="F9525" s="4">
        <v>1.5499999999999999E-66</v>
      </c>
      <c r="G9525" s="3">
        <v>538</v>
      </c>
      <c r="H9525" s="3">
        <v>91</v>
      </c>
      <c r="I9525" s="3">
        <v>118</v>
      </c>
      <c r="J9525" s="3">
        <v>200</v>
      </c>
      <c r="K9525" s="3">
        <v>547</v>
      </c>
      <c r="L9525" s="3">
        <v>1</v>
      </c>
      <c r="M9525" s="3">
        <v>118</v>
      </c>
    </row>
    <row r="9526" spans="1:13" x14ac:dyDescent="0.25">
      <c r="A9526" s="1" t="str">
        <f>HYPERLINK("http://www.rosaceae.org/Prunus/Prunus_persica/p.persica_gdr_reftransV1_0007234","p.persica_gdr_reftransV1_0007234")</f>
        <v>p.persica_gdr_reftransV1_0007234</v>
      </c>
      <c r="B9526" s="3">
        <v>772</v>
      </c>
      <c r="C9526" s="1" t="str">
        <f>HYPERLINK("http://www.uniprot.org/uniprot/SAR1A_ARATH","SAR1A_ARATH")</f>
        <v>SAR1A_ARATH</v>
      </c>
      <c r="D9526" t="s">
        <v>3604</v>
      </c>
      <c r="E9526" s="3" t="s">
        <v>3</v>
      </c>
      <c r="F9526" s="4">
        <v>1.0299999999999999E-67</v>
      </c>
      <c r="G9526" s="3">
        <v>545</v>
      </c>
      <c r="H9526" s="3">
        <v>95</v>
      </c>
      <c r="I9526" s="3">
        <v>129</v>
      </c>
      <c r="J9526" s="3">
        <v>3</v>
      </c>
      <c r="K9526" s="3">
        <v>389</v>
      </c>
      <c r="L9526" s="3">
        <v>64</v>
      </c>
      <c r="M9526" s="3">
        <v>192</v>
      </c>
    </row>
    <row r="9527" spans="1:13" x14ac:dyDescent="0.25">
      <c r="A9527" s="1" t="str">
        <f>HYPERLINK("http://www.rosaceae.org/Prunus/Prunus_persica/p.persica_gdr_reftransV1_0007284","p.persica_gdr_reftransV1_0007284")</f>
        <v>p.persica_gdr_reftransV1_0007284</v>
      </c>
      <c r="B9527" s="3">
        <v>1141</v>
      </c>
      <c r="C9527" s="1" t="str">
        <f>HYPERLINK("http://www.uniprot.org/uniprot/LOR12_ARATH","LOR12_ARATH")</f>
        <v>LOR12_ARATH</v>
      </c>
      <c r="D9527" t="s">
        <v>1270</v>
      </c>
      <c r="E9527" s="3" t="s">
        <v>3</v>
      </c>
      <c r="F9527" s="4">
        <v>1.1600000000000001E-84</v>
      </c>
      <c r="G9527" s="3">
        <v>672</v>
      </c>
      <c r="H9527" s="3">
        <v>63</v>
      </c>
      <c r="I9527" s="3">
        <v>195</v>
      </c>
      <c r="J9527" s="3">
        <v>244</v>
      </c>
      <c r="K9527" s="3">
        <v>828</v>
      </c>
      <c r="L9527" s="3">
        <v>14</v>
      </c>
      <c r="M9527" s="3">
        <v>208</v>
      </c>
    </row>
    <row r="9528" spans="1:13" x14ac:dyDescent="0.25">
      <c r="A9528" s="1" t="str">
        <f>HYPERLINK("http://www.rosaceae.org/Prunus/Prunus_persica/p.persica_gdr_reftransV1_0007334","p.persica_gdr_reftransV1_0007334")</f>
        <v>p.persica_gdr_reftransV1_0007334</v>
      </c>
      <c r="B9528" s="3">
        <v>1245</v>
      </c>
      <c r="C9528" s="1" t="str">
        <f>HYPERLINK("http://www.uniprot.org/uniprot/TRXM1_ARATH","TRXM1_ARATH")</f>
        <v>TRXM1_ARATH</v>
      </c>
      <c r="D9528" t="s">
        <v>7085</v>
      </c>
      <c r="E9528" s="3" t="s">
        <v>3</v>
      </c>
      <c r="F9528" s="4">
        <v>1.4299999999999999E-53</v>
      </c>
      <c r="G9528" s="3">
        <v>462</v>
      </c>
      <c r="H9528" s="3">
        <v>53</v>
      </c>
      <c r="I9528" s="3">
        <v>165</v>
      </c>
      <c r="J9528" s="3">
        <v>474</v>
      </c>
      <c r="K9528" s="3">
        <v>968</v>
      </c>
      <c r="L9528" s="3">
        <v>20</v>
      </c>
      <c r="M9528" s="3">
        <v>179</v>
      </c>
    </row>
    <row r="9529" spans="1:13" x14ac:dyDescent="0.25">
      <c r="A9529" s="1" t="str">
        <f>HYPERLINK("http://www.rosaceae.org/Prunus/Prunus_persica/p.persica_gdr_reftransV1_0007384","p.persica_gdr_reftransV1_0007384")</f>
        <v>p.persica_gdr_reftransV1_0007384</v>
      </c>
      <c r="B9529" s="3">
        <v>2267</v>
      </c>
      <c r="C9529" s="1" t="str">
        <f>HYPERLINK("http://www.uniprot.org/uniprot/G6PDC_TOBAC","G6PDC_TOBAC")</f>
        <v>G6PDC_TOBAC</v>
      </c>
      <c r="D9529" t="s">
        <v>7086</v>
      </c>
      <c r="E9529" s="3" t="s">
        <v>200</v>
      </c>
      <c r="F9529" s="4">
        <v>0</v>
      </c>
      <c r="G9529" s="3">
        <v>2414</v>
      </c>
      <c r="H9529" s="3">
        <v>85</v>
      </c>
      <c r="I9529" s="3">
        <v>546</v>
      </c>
      <c r="J9529" s="3">
        <v>165</v>
      </c>
      <c r="K9529" s="3">
        <v>1802</v>
      </c>
      <c r="L9529" s="3">
        <v>47</v>
      </c>
      <c r="M9529" s="3">
        <v>592</v>
      </c>
    </row>
    <row r="9530" spans="1:13" x14ac:dyDescent="0.25">
      <c r="A9530" s="1" t="str">
        <f>HYPERLINK("http://www.rosaceae.org/Prunus/Prunus_persica/p.persica_gdr_reftransV1_0007434","p.persica_gdr_reftransV1_0007434")</f>
        <v>p.persica_gdr_reftransV1_0007434</v>
      </c>
      <c r="B9530" s="3">
        <v>2632</v>
      </c>
      <c r="C9530" s="1" t="str">
        <f>HYPERLINK("http://www.uniprot.org/uniprot/RSLE1_ORYSJ","RSLE1_ORYSJ")</f>
        <v>RSLE1_ORYSJ</v>
      </c>
      <c r="D9530" t="s">
        <v>7087</v>
      </c>
      <c r="E9530" s="3" t="s">
        <v>38</v>
      </c>
      <c r="F9530" s="4">
        <v>1.5900000000000001E-141</v>
      </c>
      <c r="G9530" s="3">
        <v>1141</v>
      </c>
      <c r="H9530" s="3">
        <v>38</v>
      </c>
      <c r="I9530" s="3">
        <v>671</v>
      </c>
      <c r="J9530" s="3">
        <v>487</v>
      </c>
      <c r="K9530" s="3">
        <v>2442</v>
      </c>
      <c r="L9530" s="3">
        <v>56</v>
      </c>
      <c r="M9530" s="3">
        <v>703</v>
      </c>
    </row>
    <row r="9531" spans="1:13" x14ac:dyDescent="0.25">
      <c r="A9531" s="1" t="str">
        <f>HYPERLINK("http://www.rosaceae.org/Prunus/Prunus_persica/p.persica_gdr_reftransV1_0007534","p.persica_gdr_reftransV1_0007534")</f>
        <v>p.persica_gdr_reftransV1_0007534</v>
      </c>
      <c r="B9531" s="3">
        <v>3118</v>
      </c>
      <c r="C9531" s="1" t="str">
        <f>HYPERLINK("http://www.uniprot.org/uniprot/PP239_ARATH","PP239_ARATH")</f>
        <v>PP239_ARATH</v>
      </c>
      <c r="D9531" t="s">
        <v>7088</v>
      </c>
      <c r="E9531" s="3" t="s">
        <v>3</v>
      </c>
      <c r="F9531" s="4">
        <v>0</v>
      </c>
      <c r="G9531" s="3">
        <v>1840</v>
      </c>
      <c r="H9531" s="3">
        <v>58</v>
      </c>
      <c r="I9531" s="3">
        <v>593</v>
      </c>
      <c r="J9531" s="3">
        <v>278</v>
      </c>
      <c r="K9531" s="3">
        <v>2056</v>
      </c>
      <c r="L9531" s="3">
        <v>45</v>
      </c>
      <c r="M9531" s="3">
        <v>635</v>
      </c>
    </row>
    <row r="9532" spans="1:13" x14ac:dyDescent="0.25">
      <c r="A9532" s="1" t="str">
        <f>HYPERLINK("http://www.rosaceae.org/Prunus/Prunus_persica/p.persica_gdr_reftransV1_0007684","p.persica_gdr_reftransV1_0007684")</f>
        <v>p.persica_gdr_reftransV1_0007684</v>
      </c>
      <c r="B9532" s="3">
        <v>607</v>
      </c>
      <c r="C9532" s="1" t="str">
        <f>HYPERLINK("http://www.uniprot.org/uniprot/COPT1_ARATH","COPT1_ARATH")</f>
        <v>COPT1_ARATH</v>
      </c>
      <c r="D9532" t="s">
        <v>6421</v>
      </c>
      <c r="E9532" s="3" t="s">
        <v>3</v>
      </c>
      <c r="F9532" s="4">
        <v>3.11E-40</v>
      </c>
      <c r="G9532" s="3">
        <v>354</v>
      </c>
      <c r="H9532" s="3">
        <v>64</v>
      </c>
      <c r="I9532" s="3">
        <v>107</v>
      </c>
      <c r="J9532" s="3">
        <v>122</v>
      </c>
      <c r="K9532" s="3">
        <v>433</v>
      </c>
      <c r="L9532" s="3">
        <v>45</v>
      </c>
      <c r="M9532" s="3">
        <v>151</v>
      </c>
    </row>
    <row r="9533" spans="1:13" x14ac:dyDescent="0.25">
      <c r="A9533" s="1" t="str">
        <f>HYPERLINK("http://www.rosaceae.org/Prunus/Prunus_persica/p.persica_gdr_reftransV1_0007734","p.persica_gdr_reftransV1_0007734")</f>
        <v>p.persica_gdr_reftransV1_0007734</v>
      </c>
      <c r="B9533" s="3">
        <v>1890</v>
      </c>
      <c r="C9533" s="1" t="str">
        <f>HYPERLINK("http://www.uniprot.org/uniprot/YNB1_YEAST","YNB1_YEAST")</f>
        <v>YNB1_YEAST</v>
      </c>
      <c r="D9533" t="s">
        <v>7089</v>
      </c>
      <c r="E9533" s="3" t="s">
        <v>34</v>
      </c>
      <c r="F9533" s="4">
        <v>5.8900000000000002E-57</v>
      </c>
      <c r="G9533" s="3">
        <v>519</v>
      </c>
      <c r="H9533" s="3">
        <v>32</v>
      </c>
      <c r="I9533" s="3">
        <v>434</v>
      </c>
      <c r="J9533" s="3">
        <v>230</v>
      </c>
      <c r="K9533" s="3">
        <v>1339</v>
      </c>
      <c r="L9533" s="3">
        <v>2</v>
      </c>
      <c r="M9533" s="3">
        <v>408</v>
      </c>
    </row>
    <row r="9534" spans="1:13" x14ac:dyDescent="0.25">
      <c r="A9534" s="1" t="str">
        <f>HYPERLINK("http://www.rosaceae.org/Prunus/Prunus_persica/p.persica_gdr_reftransV1_0007784","p.persica_gdr_reftransV1_0007784")</f>
        <v>p.persica_gdr_reftransV1_0007784</v>
      </c>
      <c r="B9534" s="3">
        <v>2716</v>
      </c>
      <c r="C9534" s="1" t="str">
        <f>HYPERLINK("http://www.uniprot.org/uniprot/DRP4C_ARATH","DRP4C_ARATH")</f>
        <v>DRP4C_ARATH</v>
      </c>
      <c r="D9534" t="s">
        <v>7090</v>
      </c>
      <c r="E9534" s="3" t="s">
        <v>3</v>
      </c>
      <c r="F9534" s="4">
        <v>0</v>
      </c>
      <c r="G9534" s="3">
        <v>1961</v>
      </c>
      <c r="H9534" s="3">
        <v>61</v>
      </c>
      <c r="I9534" s="3">
        <v>628</v>
      </c>
      <c r="J9534" s="3">
        <v>517</v>
      </c>
      <c r="K9534" s="3">
        <v>2388</v>
      </c>
      <c r="L9534" s="3">
        <v>22</v>
      </c>
      <c r="M9534" s="3">
        <v>645</v>
      </c>
    </row>
    <row r="9535" spans="1:13" x14ac:dyDescent="0.25">
      <c r="A9535" s="1" t="str">
        <f>HYPERLINK("http://www.rosaceae.org/Prunus/Prunus_persica/p.persica_gdr_reftransV1_0007834","p.persica_gdr_reftransV1_0007834")</f>
        <v>p.persica_gdr_reftransV1_0007834</v>
      </c>
      <c r="B9535" s="3">
        <v>1724</v>
      </c>
      <c r="C9535" s="1" t="str">
        <f>HYPERLINK("http://www.uniprot.org/uniprot/RBM8A_SALSA","RBM8A_SALSA")</f>
        <v>RBM8A_SALSA</v>
      </c>
      <c r="D9535" t="s">
        <v>7091</v>
      </c>
      <c r="E9535" s="3" t="s">
        <v>628</v>
      </c>
      <c r="F9535" s="4">
        <v>9.9499999999999992E-37</v>
      </c>
      <c r="G9535" s="3">
        <v>349</v>
      </c>
      <c r="H9535" s="3">
        <v>57</v>
      </c>
      <c r="I9535" s="3">
        <v>122</v>
      </c>
      <c r="J9535" s="3">
        <v>1104</v>
      </c>
      <c r="K9535" s="3">
        <v>1463</v>
      </c>
      <c r="L9535" s="3">
        <v>36</v>
      </c>
      <c r="M9535" s="3">
        <v>153</v>
      </c>
    </row>
    <row r="9536" spans="1:13" x14ac:dyDescent="0.25">
      <c r="A9536" s="1" t="str">
        <f>HYPERLINK("http://www.rosaceae.org/Prunus/Prunus_persica/p.persica_gdr_reftransV1_0007934","p.persica_gdr_reftransV1_0007934")</f>
        <v>p.persica_gdr_reftransV1_0007934</v>
      </c>
      <c r="B9536" s="3">
        <v>3909</v>
      </c>
      <c r="C9536" s="1" t="str">
        <f>HYPERLINK("http://www.uniprot.org/uniprot/METL1_ARATH","METL1_ARATH")</f>
        <v>METL1_ARATH</v>
      </c>
      <c r="D9536" t="s">
        <v>7092</v>
      </c>
      <c r="E9536" s="3" t="s">
        <v>3</v>
      </c>
      <c r="F9536" s="4">
        <v>7.0200000000000006E-139</v>
      </c>
      <c r="G9536" s="3">
        <v>1156</v>
      </c>
      <c r="H9536" s="3">
        <v>77</v>
      </c>
      <c r="I9536" s="3">
        <v>306</v>
      </c>
      <c r="J9536" s="3">
        <v>1708</v>
      </c>
      <c r="K9536" s="3">
        <v>2625</v>
      </c>
      <c r="L9536" s="3">
        <v>474</v>
      </c>
      <c r="M9536" s="3">
        <v>775</v>
      </c>
    </row>
    <row r="9537" spans="1:13" x14ac:dyDescent="0.25">
      <c r="A9537" s="1" t="str">
        <f>HYPERLINK("http://www.rosaceae.org/Prunus/Prunus_persica/p.persica_gdr_reftransV1_0008034","p.persica_gdr_reftransV1_0008034")</f>
        <v>p.persica_gdr_reftransV1_0008034</v>
      </c>
      <c r="B9537" s="3">
        <v>493</v>
      </c>
      <c r="C9537" s="1" t="str">
        <f>HYPERLINK("http://www.uniprot.org/uniprot/U92A1_ARATH","U92A1_ARATH")</f>
        <v>U92A1_ARATH</v>
      </c>
      <c r="D9537" t="s">
        <v>2811</v>
      </c>
      <c r="E9537" s="3" t="s">
        <v>3</v>
      </c>
      <c r="F9537" s="4">
        <v>3.4100000000000002E-32</v>
      </c>
      <c r="G9537" s="3">
        <v>310</v>
      </c>
      <c r="H9537" s="3">
        <v>50</v>
      </c>
      <c r="I9537" s="3">
        <v>119</v>
      </c>
      <c r="J9537" s="3">
        <v>3</v>
      </c>
      <c r="K9537" s="3">
        <v>359</v>
      </c>
      <c r="L9537" s="3">
        <v>362</v>
      </c>
      <c r="M9537" s="3">
        <v>478</v>
      </c>
    </row>
    <row r="9538" spans="1:13" x14ac:dyDescent="0.25">
      <c r="A9538" s="1" t="str">
        <f>HYPERLINK("http://www.rosaceae.org/Prunus/Prunus_persica/p.persica_gdr_reftransV1_0008084","p.persica_gdr_reftransV1_0008084")</f>
        <v>p.persica_gdr_reftransV1_0008084</v>
      </c>
      <c r="B9538" s="3">
        <v>1140</v>
      </c>
      <c r="C9538" s="1" t="str">
        <f>HYPERLINK("http://www.uniprot.org/uniprot/ISPF_ARATH","ISPF_ARATH")</f>
        <v>ISPF_ARATH</v>
      </c>
      <c r="D9538" t="s">
        <v>7093</v>
      </c>
      <c r="E9538" s="3" t="s">
        <v>3</v>
      </c>
      <c r="F9538" s="4">
        <v>1.5399999999999999E-105</v>
      </c>
      <c r="G9538" s="3">
        <v>812</v>
      </c>
      <c r="H9538" s="3">
        <v>77</v>
      </c>
      <c r="I9538" s="3">
        <v>209</v>
      </c>
      <c r="J9538" s="3">
        <v>292</v>
      </c>
      <c r="K9538" s="3">
        <v>918</v>
      </c>
      <c r="L9538" s="3">
        <v>27</v>
      </c>
      <c r="M9538" s="3">
        <v>231</v>
      </c>
    </row>
    <row r="9539" spans="1:13" x14ac:dyDescent="0.25">
      <c r="A9539" s="1" t="str">
        <f>HYPERLINK("http://www.rosaceae.org/Prunus/Prunus_persica/p.persica_gdr_reftransV1_0008184","p.persica_gdr_reftransV1_0008184")</f>
        <v>p.persica_gdr_reftransV1_0008184</v>
      </c>
      <c r="B9539" s="3">
        <v>1372</v>
      </c>
      <c r="C9539" s="1" t="str">
        <f>HYPERLINK("http://www.uniprot.org/uniprot/MB3R1_ARATH","MB3R1_ARATH")</f>
        <v>MB3R1_ARATH</v>
      </c>
      <c r="D9539" t="s">
        <v>4982</v>
      </c>
      <c r="E9539" s="3" t="s">
        <v>3</v>
      </c>
      <c r="F9539" s="4">
        <v>2.5500000000000001E-72</v>
      </c>
      <c r="G9539" s="3">
        <v>635</v>
      </c>
      <c r="H9539" s="3">
        <v>64</v>
      </c>
      <c r="I9539" s="3">
        <v>171</v>
      </c>
      <c r="J9539" s="3">
        <v>466</v>
      </c>
      <c r="K9539" s="3">
        <v>975</v>
      </c>
      <c r="L9539" s="3">
        <v>25</v>
      </c>
      <c r="M9539" s="3">
        <v>195</v>
      </c>
    </row>
    <row r="9540" spans="1:13" x14ac:dyDescent="0.25">
      <c r="A9540" s="1" t="str">
        <f>HYPERLINK("http://www.rosaceae.org/Prunus/Prunus_persica/p.persica_gdr_reftransV1_0008284","p.persica_gdr_reftransV1_0008284")</f>
        <v>p.persica_gdr_reftransV1_0008284</v>
      </c>
      <c r="B9540" s="3">
        <v>1111</v>
      </c>
      <c r="C9540" s="1" t="str">
        <f>HYPERLINK("http://www.uniprot.org/uniprot/MT21B_BOVIN","MT21B_BOVIN")</f>
        <v>MT21B_BOVIN</v>
      </c>
      <c r="D9540" t="s">
        <v>7094</v>
      </c>
      <c r="E9540" s="3" t="s">
        <v>184</v>
      </c>
      <c r="F9540" s="4">
        <v>8.4099999999999996E-21</v>
      </c>
      <c r="G9540" s="3">
        <v>231</v>
      </c>
      <c r="H9540" s="3">
        <v>36</v>
      </c>
      <c r="I9540" s="3">
        <v>197</v>
      </c>
      <c r="J9540" s="3">
        <v>182</v>
      </c>
      <c r="K9540" s="3">
        <v>772</v>
      </c>
      <c r="L9540" s="3">
        <v>23</v>
      </c>
      <c r="M9540" s="3">
        <v>207</v>
      </c>
    </row>
    <row r="9541" spans="1:13" x14ac:dyDescent="0.25">
      <c r="A9541" s="1" t="str">
        <f>HYPERLINK("http://www.rosaceae.org/Prunus/Prunus_persica/p.persica_gdr_reftransV1_0008434","p.persica_gdr_reftransV1_0008434")</f>
        <v>p.persica_gdr_reftransV1_0008434</v>
      </c>
      <c r="B9541" s="3">
        <v>1613</v>
      </c>
      <c r="C9541" s="1" t="str">
        <f>HYPERLINK("http://www.uniprot.org/uniprot/ASPGB_ARATH","ASPGB_ARATH")</f>
        <v>ASPGB_ARATH</v>
      </c>
      <c r="D9541" t="s">
        <v>7095</v>
      </c>
      <c r="E9541" s="3" t="s">
        <v>3</v>
      </c>
      <c r="F9541" s="4">
        <v>0</v>
      </c>
      <c r="G9541" s="3">
        <v>1459</v>
      </c>
      <c r="H9541" s="3">
        <v>84</v>
      </c>
      <c r="I9541" s="3">
        <v>325</v>
      </c>
      <c r="J9541" s="3">
        <v>518</v>
      </c>
      <c r="K9541" s="3">
        <v>1492</v>
      </c>
      <c r="L9541" s="3">
        <v>1</v>
      </c>
      <c r="M9541" s="3">
        <v>325</v>
      </c>
    </row>
    <row r="9542" spans="1:13" x14ac:dyDescent="0.25">
      <c r="A9542" s="1" t="str">
        <f>HYPERLINK("http://www.rosaceae.org/Prunus/Prunus_persica/p.persica_gdr_reftransV1_0008484","p.persica_gdr_reftransV1_0008484")</f>
        <v>p.persica_gdr_reftransV1_0008484</v>
      </c>
      <c r="B9542" s="3">
        <v>2106</v>
      </c>
      <c r="C9542" s="1" t="str">
        <f>HYPERLINK("http://www.uniprot.org/uniprot/C7101_ARATH","C7101_ARATH")</f>
        <v>C7101_ARATH</v>
      </c>
      <c r="D9542" t="s">
        <v>7096</v>
      </c>
      <c r="E9542" s="3" t="s">
        <v>3</v>
      </c>
      <c r="F9542" s="4">
        <v>0</v>
      </c>
      <c r="G9542" s="3">
        <v>1714</v>
      </c>
      <c r="H9542" s="3">
        <v>68</v>
      </c>
      <c r="I9542" s="3">
        <v>470</v>
      </c>
      <c r="J9542" s="3">
        <v>380</v>
      </c>
      <c r="K9542" s="3">
        <v>1789</v>
      </c>
      <c r="L9542" s="3">
        <v>26</v>
      </c>
      <c r="M9542" s="3">
        <v>483</v>
      </c>
    </row>
    <row r="9543" spans="1:13" x14ac:dyDescent="0.25">
      <c r="A9543" s="1" t="str">
        <f>HYPERLINK("http://www.rosaceae.org/Prunus/Prunus_persica/p.persica_gdr_reftransV1_0008534","p.persica_gdr_reftransV1_0008534")</f>
        <v>p.persica_gdr_reftransV1_0008534</v>
      </c>
      <c r="B9543" s="3">
        <v>1451</v>
      </c>
      <c r="C9543" s="1" t="str">
        <f>HYPERLINK("http://www.uniprot.org/uniprot/SFT2_YEAST","SFT2_YEAST")</f>
        <v>SFT2_YEAST</v>
      </c>
      <c r="D9543" t="s">
        <v>7097</v>
      </c>
      <c r="E9543" s="3" t="s">
        <v>34</v>
      </c>
      <c r="F9543" s="4">
        <v>5.2099999999999996E-19</v>
      </c>
      <c r="G9543" s="3">
        <v>221</v>
      </c>
      <c r="H9543" s="3">
        <v>29</v>
      </c>
      <c r="I9543" s="3">
        <v>206</v>
      </c>
      <c r="J9543" s="3">
        <v>570</v>
      </c>
      <c r="K9543" s="3">
        <v>1187</v>
      </c>
      <c r="L9543" s="3">
        <v>2</v>
      </c>
      <c r="M9543" s="3">
        <v>204</v>
      </c>
    </row>
    <row r="9544" spans="1:13" x14ac:dyDescent="0.25">
      <c r="A9544" s="1" t="str">
        <f>HYPERLINK("http://www.rosaceae.org/Prunus/Prunus_persica/p.persica_gdr_reftransV1_0008584","p.persica_gdr_reftransV1_0008584")</f>
        <v>p.persica_gdr_reftransV1_0008584</v>
      </c>
      <c r="B9544" s="3">
        <v>872</v>
      </c>
      <c r="C9544" s="1" t="str">
        <f>HYPERLINK("http://www.uniprot.org/uniprot/AOX1_MANIN","AOX1_MANIN")</f>
        <v>AOX1_MANIN</v>
      </c>
      <c r="D9544" t="s">
        <v>7098</v>
      </c>
      <c r="E9544" s="3" t="s">
        <v>7099</v>
      </c>
      <c r="F9544" s="4">
        <v>3.6899999999999998E-38</v>
      </c>
      <c r="G9544" s="3">
        <v>358</v>
      </c>
      <c r="H9544" s="3">
        <v>48</v>
      </c>
      <c r="I9544" s="3">
        <v>151</v>
      </c>
      <c r="J9544" s="3">
        <v>422</v>
      </c>
      <c r="K9544" s="3">
        <v>871</v>
      </c>
      <c r="L9544" s="3">
        <v>2</v>
      </c>
      <c r="M9544" s="3">
        <v>139</v>
      </c>
    </row>
    <row r="9545" spans="1:13" x14ac:dyDescent="0.25">
      <c r="A9545" s="1" t="str">
        <f>HYPERLINK("http://www.rosaceae.org/Prunus/Prunus_persica/p.persica_gdr_reftransV1_0008634","p.persica_gdr_reftransV1_0008634")</f>
        <v>p.persica_gdr_reftransV1_0008634</v>
      </c>
      <c r="B9545" s="3">
        <v>885</v>
      </c>
      <c r="C9545" s="1" t="str">
        <f>HYPERLINK("http://www.uniprot.org/uniprot/DHAR3_ARATH","DHAR3_ARATH")</f>
        <v>DHAR3_ARATH</v>
      </c>
      <c r="D9545" t="s">
        <v>7100</v>
      </c>
      <c r="E9545" s="3" t="s">
        <v>3</v>
      </c>
      <c r="F9545" s="4">
        <v>2.4399999999999999E-92</v>
      </c>
      <c r="G9545" s="3">
        <v>719</v>
      </c>
      <c r="H9545" s="3">
        <v>74</v>
      </c>
      <c r="I9545" s="3">
        <v>178</v>
      </c>
      <c r="J9545" s="3">
        <v>351</v>
      </c>
      <c r="K9545" s="3">
        <v>884</v>
      </c>
      <c r="L9545" s="3">
        <v>31</v>
      </c>
      <c r="M9545" s="3">
        <v>204</v>
      </c>
    </row>
    <row r="9546" spans="1:13" x14ac:dyDescent="0.25">
      <c r="A9546" s="1" t="str">
        <f>HYPERLINK("http://www.rosaceae.org/Prunus/Prunus_persica/p.persica_gdr_reftransV1_0008934","p.persica_gdr_reftransV1_0008934")</f>
        <v>p.persica_gdr_reftransV1_0008934</v>
      </c>
      <c r="B9546" s="3">
        <v>426</v>
      </c>
      <c r="C9546" s="1" t="str">
        <f>HYPERLINK("http://www.uniprot.org/uniprot/P24D3_ARATH","P24D3_ARATH")</f>
        <v>P24D3_ARATH</v>
      </c>
      <c r="D9546" t="s">
        <v>7101</v>
      </c>
      <c r="E9546" s="3" t="s">
        <v>3</v>
      </c>
      <c r="F9546" s="4">
        <v>1.64E-53</v>
      </c>
      <c r="G9546" s="3">
        <v>441</v>
      </c>
      <c r="H9546" s="3">
        <v>59</v>
      </c>
      <c r="I9546" s="3">
        <v>123</v>
      </c>
      <c r="J9546" s="3">
        <v>57</v>
      </c>
      <c r="K9546" s="3">
        <v>425</v>
      </c>
      <c r="L9546" s="3">
        <v>7</v>
      </c>
      <c r="M9546" s="3">
        <v>129</v>
      </c>
    </row>
    <row r="9547" spans="1:13" x14ac:dyDescent="0.25">
      <c r="A9547" s="1" t="str">
        <f>HYPERLINK("http://www.rosaceae.org/Prunus/Prunus_persica/p.persica_gdr_reftransV1_0009034","p.persica_gdr_reftransV1_0009034")</f>
        <v>p.persica_gdr_reftransV1_0009034</v>
      </c>
      <c r="B9547" s="3">
        <v>1077</v>
      </c>
      <c r="C9547" s="1" t="str">
        <f>HYPERLINK("http://www.uniprot.org/uniprot/idD3_ARATH","idD3_ARATH")</f>
        <v>idD3_ARATH</v>
      </c>
      <c r="D9547" t="s">
        <v>3599</v>
      </c>
      <c r="E9547" s="3" t="s">
        <v>3</v>
      </c>
      <c r="F9547" s="4">
        <v>3.1200000000000001E-77</v>
      </c>
      <c r="G9547" s="3">
        <v>644</v>
      </c>
      <c r="H9547" s="3">
        <v>71</v>
      </c>
      <c r="I9547" s="3">
        <v>181</v>
      </c>
      <c r="J9547" s="3">
        <v>494</v>
      </c>
      <c r="K9547" s="3">
        <v>1033</v>
      </c>
      <c r="L9547" s="3">
        <v>46</v>
      </c>
      <c r="M9547" s="3">
        <v>226</v>
      </c>
    </row>
    <row r="9548" spans="1:13" x14ac:dyDescent="0.25">
      <c r="A9548" s="1" t="str">
        <f>HYPERLINK("http://www.rosaceae.org/Prunus/Prunus_persica/p.persica_gdr_reftransV1_0009184","p.persica_gdr_reftransV1_0009184")</f>
        <v>p.persica_gdr_reftransV1_0009184</v>
      </c>
      <c r="B9548" s="3">
        <v>1197</v>
      </c>
      <c r="C9548" s="1" t="str">
        <f>HYPERLINK("http://www.uniprot.org/uniprot/CAS1_CUCPE","CAS1_CUCPE")</f>
        <v>CAS1_CUCPE</v>
      </c>
      <c r="D9548" t="s">
        <v>7102</v>
      </c>
      <c r="E9548" s="3" t="s">
        <v>2469</v>
      </c>
      <c r="F9548" s="4">
        <v>2.0200000000000001E-161</v>
      </c>
      <c r="G9548" s="3">
        <v>922</v>
      </c>
      <c r="H9548" s="3">
        <v>75</v>
      </c>
      <c r="I9548" s="3">
        <v>244</v>
      </c>
      <c r="J9548" s="3">
        <v>110</v>
      </c>
      <c r="K9548" s="3">
        <v>826</v>
      </c>
      <c r="L9548" s="3">
        <v>1</v>
      </c>
      <c r="M9548" s="3">
        <v>242</v>
      </c>
    </row>
    <row r="9549" spans="1:13" x14ac:dyDescent="0.25">
      <c r="A9549" s="1" t="str">
        <f>HYPERLINK("http://www.rosaceae.org/Prunus/Prunus_persica/p.persica_gdr_reftransV1_0009234","p.persica_gdr_reftransV1_0009234")</f>
        <v>p.persica_gdr_reftransV1_0009234</v>
      </c>
      <c r="B9549" s="3">
        <v>1268</v>
      </c>
      <c r="C9549" s="1" t="str">
        <f>HYPERLINK("http://www.uniprot.org/uniprot/PAI1_ARATH","PAI1_ARATH")</f>
        <v>PAI1_ARATH</v>
      </c>
      <c r="D9549" t="s">
        <v>7103</v>
      </c>
      <c r="E9549" s="3" t="s">
        <v>3</v>
      </c>
      <c r="F9549" s="4">
        <v>7.2900000000000003E-110</v>
      </c>
      <c r="G9549" s="3">
        <v>849</v>
      </c>
      <c r="H9549" s="3">
        <v>63</v>
      </c>
      <c r="I9549" s="3">
        <v>276</v>
      </c>
      <c r="J9549" s="3">
        <v>309</v>
      </c>
      <c r="K9549" s="3">
        <v>1136</v>
      </c>
      <c r="L9549" s="3">
        <v>1</v>
      </c>
      <c r="M9549" s="3">
        <v>275</v>
      </c>
    </row>
    <row r="9550" spans="1:13" x14ac:dyDescent="0.25">
      <c r="A9550" s="1" t="str">
        <f>HYPERLINK("http://www.rosaceae.org/Prunus/Prunus_persica/p.persica_gdr_reftransV1_0009384","p.persica_gdr_reftransV1_0009384")</f>
        <v>p.persica_gdr_reftransV1_0009384</v>
      </c>
      <c r="B9550" s="3">
        <v>897</v>
      </c>
      <c r="C9550" s="1" t="str">
        <f>HYPERLINK("http://www.uniprot.org/uniprot/Y4117_ARATH","Y4117_ARATH")</f>
        <v>Y4117_ARATH</v>
      </c>
      <c r="D9550" t="s">
        <v>5603</v>
      </c>
      <c r="E9550" s="3" t="s">
        <v>3</v>
      </c>
      <c r="F9550" s="4">
        <v>1.6800000000000001E-29</v>
      </c>
      <c r="G9550" s="3">
        <v>309</v>
      </c>
      <c r="H9550" s="3">
        <v>31</v>
      </c>
      <c r="I9550" s="3">
        <v>297</v>
      </c>
      <c r="J9550" s="3">
        <v>1</v>
      </c>
      <c r="K9550" s="3">
        <v>861</v>
      </c>
      <c r="L9550" s="3">
        <v>115</v>
      </c>
      <c r="M9550" s="3">
        <v>388</v>
      </c>
    </row>
    <row r="9551" spans="1:13" x14ac:dyDescent="0.25">
      <c r="A9551" s="1" t="str">
        <f>HYPERLINK("http://www.rosaceae.org/Prunus/Prunus_persica/p.persica_gdr_reftransV1_0009434","p.persica_gdr_reftransV1_0009434")</f>
        <v>p.persica_gdr_reftransV1_0009434</v>
      </c>
      <c r="B9551" s="3">
        <v>999</v>
      </c>
      <c r="C9551" s="1" t="str">
        <f>HYPERLINK("http://www.uniprot.org/uniprot/HY6H_HYONI","HY6H_HYONI")</f>
        <v>HY6H_HYONI</v>
      </c>
      <c r="D9551" t="s">
        <v>2546</v>
      </c>
      <c r="E9551" s="3" t="s">
        <v>2547</v>
      </c>
      <c r="F9551" s="4">
        <v>2.73E-23</v>
      </c>
      <c r="G9551" s="3">
        <v>253</v>
      </c>
      <c r="H9551" s="3">
        <v>35</v>
      </c>
      <c r="I9551" s="3">
        <v>170</v>
      </c>
      <c r="J9551" s="3">
        <v>245</v>
      </c>
      <c r="K9551" s="3">
        <v>715</v>
      </c>
      <c r="L9551" s="3">
        <v>47</v>
      </c>
      <c r="M9551" s="3">
        <v>213</v>
      </c>
    </row>
    <row r="9552" spans="1:13" x14ac:dyDescent="0.25">
      <c r="A9552" s="1" t="str">
        <f>HYPERLINK("http://www.rosaceae.org/Prunus/Prunus_persica/p.persica_gdr_reftransV1_0009534","p.persica_gdr_reftransV1_0009534")</f>
        <v>p.persica_gdr_reftransV1_0009534</v>
      </c>
      <c r="B9552" s="3">
        <v>1550</v>
      </c>
      <c r="C9552" s="1" t="str">
        <f>HYPERLINK("http://www.uniprot.org/uniprot/PGLR_ACTDE","PGLR_ACTDE")</f>
        <v>PGLR_ACTDE</v>
      </c>
      <c r="D9552" t="s">
        <v>2757</v>
      </c>
      <c r="E9552" s="3" t="s">
        <v>2188</v>
      </c>
      <c r="F9552" s="4">
        <v>1.18E-169</v>
      </c>
      <c r="G9552" s="3">
        <v>1274</v>
      </c>
      <c r="H9552" s="3">
        <v>63</v>
      </c>
      <c r="I9552" s="3">
        <v>447</v>
      </c>
      <c r="J9552" s="3">
        <v>87</v>
      </c>
      <c r="K9552" s="3">
        <v>1415</v>
      </c>
      <c r="L9552" s="3">
        <v>16</v>
      </c>
      <c r="M9552" s="3">
        <v>455</v>
      </c>
    </row>
    <row r="9553" spans="1:13" x14ac:dyDescent="0.25">
      <c r="A9553" s="1" t="str">
        <f>HYPERLINK("http://www.rosaceae.org/Prunus/Prunus_persica/p.persica_gdr_reftransV1_0009584","p.persica_gdr_reftransV1_0009584")</f>
        <v>p.persica_gdr_reftransV1_0009584</v>
      </c>
      <c r="B9553" s="3">
        <v>2564</v>
      </c>
      <c r="C9553" s="1" t="str">
        <f>HYPERLINK("http://www.uniprot.org/uniprot/Cid11_ARATH","Cid11_ARATH")</f>
        <v>Cid11_ARATH</v>
      </c>
      <c r="D9553" t="s">
        <v>4980</v>
      </c>
      <c r="E9553" s="3" t="s">
        <v>3</v>
      </c>
      <c r="F9553" s="4">
        <v>6.1900000000000005E-8</v>
      </c>
      <c r="G9553" s="3">
        <v>142</v>
      </c>
      <c r="H9553" s="3">
        <v>40</v>
      </c>
      <c r="I9553" s="3">
        <v>91</v>
      </c>
      <c r="J9553" s="3">
        <v>1425</v>
      </c>
      <c r="K9553" s="3">
        <v>1685</v>
      </c>
      <c r="L9553" s="3">
        <v>165</v>
      </c>
      <c r="M9553" s="3">
        <v>250</v>
      </c>
    </row>
    <row r="9554" spans="1:13" x14ac:dyDescent="0.25">
      <c r="A9554" s="1" t="str">
        <f>HYPERLINK("http://www.rosaceae.org/Prunus/Prunus_persica/p.persica_gdr_reftransV1_0009734","p.persica_gdr_reftransV1_0009734")</f>
        <v>p.persica_gdr_reftransV1_0009734</v>
      </c>
      <c r="B9554" s="3">
        <v>779</v>
      </c>
      <c r="C9554" s="1" t="str">
        <f>HYPERLINK("http://www.uniprot.org/uniprot/RLA1_MAIZE","RLA1_MAIZE")</f>
        <v>RLA1_MAIZE</v>
      </c>
      <c r="D9554" t="s">
        <v>2430</v>
      </c>
      <c r="E9554" s="3" t="s">
        <v>72</v>
      </c>
      <c r="F9554" s="4">
        <v>5.8399999999999997E-27</v>
      </c>
      <c r="G9554" s="3">
        <v>264</v>
      </c>
      <c r="H9554" s="3">
        <v>75</v>
      </c>
      <c r="I9554" s="3">
        <v>109</v>
      </c>
      <c r="J9554" s="3">
        <v>83</v>
      </c>
      <c r="K9554" s="3">
        <v>409</v>
      </c>
      <c r="L9554" s="3">
        <v>1</v>
      </c>
      <c r="M9554" s="3">
        <v>109</v>
      </c>
    </row>
    <row r="9555" spans="1:13" x14ac:dyDescent="0.25">
      <c r="A9555" s="1" t="str">
        <f>HYPERLINK("http://www.rosaceae.org/Prunus/Prunus_persica/p.persica_gdr_reftransV1_0009784","p.persica_gdr_reftransV1_0009784")</f>
        <v>p.persica_gdr_reftransV1_0009784</v>
      </c>
      <c r="B9555" s="3">
        <v>1941</v>
      </c>
      <c r="C9555" s="1" t="str">
        <f>HYPERLINK("http://www.uniprot.org/uniprot/Y2144_ARATH","Y2144_ARATH")</f>
        <v>Y2144_ARATH</v>
      </c>
      <c r="D9555" t="s">
        <v>7104</v>
      </c>
      <c r="E9555" s="3" t="s">
        <v>3</v>
      </c>
      <c r="F9555" s="4">
        <v>2.7499999999999999E-21</v>
      </c>
      <c r="G9555" s="3">
        <v>255</v>
      </c>
      <c r="H9555" s="3">
        <v>38</v>
      </c>
      <c r="I9555" s="3">
        <v>144</v>
      </c>
      <c r="J9555" s="3">
        <v>1408</v>
      </c>
      <c r="K9555" s="3">
        <v>1824</v>
      </c>
      <c r="L9555" s="3">
        <v>369</v>
      </c>
      <c r="M9555" s="3">
        <v>511</v>
      </c>
    </row>
    <row r="9556" spans="1:13" x14ac:dyDescent="0.25">
      <c r="A9556" s="1" t="str">
        <f>HYPERLINK("http://www.rosaceae.org/Prunus/Prunus_persica/p.persica_gdr_reftransV1_0009834","p.persica_gdr_reftransV1_0009834")</f>
        <v>p.persica_gdr_reftransV1_0009834</v>
      </c>
      <c r="B9556" s="3">
        <v>356</v>
      </c>
      <c r="C9556" s="1" t="str">
        <f>HYPERLINK("http://www.uniprot.org/uniprot/FRS3_ARATH","FRS3_ARATH")</f>
        <v>FRS3_ARATH</v>
      </c>
      <c r="D9556" t="s">
        <v>2843</v>
      </c>
      <c r="E9556" s="3" t="s">
        <v>3</v>
      </c>
      <c r="F9556" s="4">
        <v>6.7899999999999999E-31</v>
      </c>
      <c r="G9556" s="3">
        <v>302</v>
      </c>
      <c r="H9556" s="3">
        <v>47</v>
      </c>
      <c r="I9556" s="3">
        <v>117</v>
      </c>
      <c r="J9556" s="3">
        <v>6</v>
      </c>
      <c r="K9556" s="3">
        <v>353</v>
      </c>
      <c r="L9556" s="3">
        <v>193</v>
      </c>
      <c r="M9556" s="3">
        <v>309</v>
      </c>
    </row>
    <row r="9557" spans="1:13" x14ac:dyDescent="0.25">
      <c r="A9557" s="1" t="str">
        <f>HYPERLINK("http://www.rosaceae.org/Prunus/Prunus_persica/p.persica_gdr_reftransV1_0009884","p.persica_gdr_reftransV1_0009884")</f>
        <v>p.persica_gdr_reftransV1_0009884</v>
      </c>
      <c r="B9557" s="3">
        <v>1426</v>
      </c>
      <c r="C9557" s="1" t="str">
        <f>HYPERLINK("http://www.uniprot.org/uniprot/BURP3_ORYSJ","BURP3_ORYSJ")</f>
        <v>BURP3_ORYSJ</v>
      </c>
      <c r="D9557" t="s">
        <v>1863</v>
      </c>
      <c r="E9557" s="3" t="s">
        <v>38</v>
      </c>
      <c r="F9557" s="4">
        <v>8.2200000000000001E-67</v>
      </c>
      <c r="G9557" s="3">
        <v>577</v>
      </c>
      <c r="H9557" s="3">
        <v>55</v>
      </c>
      <c r="I9557" s="3">
        <v>219</v>
      </c>
      <c r="J9557" s="3">
        <v>298</v>
      </c>
      <c r="K9557" s="3">
        <v>933</v>
      </c>
      <c r="L9557" s="3">
        <v>207</v>
      </c>
      <c r="M9557" s="3">
        <v>425</v>
      </c>
    </row>
    <row r="9558" spans="1:13" x14ac:dyDescent="0.25">
      <c r="A9558" s="1" t="str">
        <f>HYPERLINK("http://www.rosaceae.org/Prunus/Prunus_persica/p.persica_gdr_reftransV1_0009984","p.persica_gdr_reftransV1_0009984")</f>
        <v>p.persica_gdr_reftransV1_0009984</v>
      </c>
      <c r="B9558" s="3">
        <v>1636</v>
      </c>
      <c r="C9558" s="1" t="str">
        <f>HYPERLINK("http://www.uniprot.org/uniprot/OHP1_ORYSJ","OHP1_ORYSJ")</f>
        <v>OHP1_ORYSJ</v>
      </c>
      <c r="D9558" t="s">
        <v>7105</v>
      </c>
      <c r="E9558" s="3" t="s">
        <v>38</v>
      </c>
      <c r="F9558" s="4">
        <v>1.54E-13</v>
      </c>
      <c r="G9558" s="3">
        <v>177</v>
      </c>
      <c r="H9558" s="3">
        <v>36</v>
      </c>
      <c r="I9558" s="3">
        <v>109</v>
      </c>
      <c r="J9558" s="3">
        <v>1006</v>
      </c>
      <c r="K9558" s="3">
        <v>1329</v>
      </c>
      <c r="L9558" s="3">
        <v>2</v>
      </c>
      <c r="M9558" s="3">
        <v>110</v>
      </c>
    </row>
    <row r="9559" spans="1:13" x14ac:dyDescent="0.25">
      <c r="A9559" s="1" t="str">
        <f>HYPERLINK("http://www.rosaceae.org/Prunus/Prunus_persica/p.persica_gdr_reftransV1_0010134","p.persica_gdr_reftransV1_0010134")</f>
        <v>p.persica_gdr_reftransV1_0010134</v>
      </c>
      <c r="B9559" s="3">
        <v>727</v>
      </c>
      <c r="C9559" s="1" t="str">
        <f>HYPERLINK("http://www.uniprot.org/uniprot/CHLP_TOBAC","CHLP_TOBAC")</f>
        <v>CHLP_TOBAC</v>
      </c>
      <c r="D9559" t="s">
        <v>7106</v>
      </c>
      <c r="E9559" s="3" t="s">
        <v>200</v>
      </c>
      <c r="F9559" s="4">
        <v>4.2099999999999998E-77</v>
      </c>
      <c r="G9559" s="3">
        <v>629</v>
      </c>
      <c r="H9559" s="3">
        <v>66</v>
      </c>
      <c r="I9559" s="3">
        <v>170</v>
      </c>
      <c r="J9559" s="3">
        <v>217</v>
      </c>
      <c r="K9559" s="3">
        <v>726</v>
      </c>
      <c r="L9559" s="3">
        <v>296</v>
      </c>
      <c r="M9559" s="3">
        <v>464</v>
      </c>
    </row>
    <row r="9560" spans="1:13" x14ac:dyDescent="0.25">
      <c r="A9560" s="1" t="str">
        <f>HYPERLINK("http://www.rosaceae.org/Prunus/Prunus_persica/p.persica_gdr_reftransV1_0010234","p.persica_gdr_reftransV1_0010234")</f>
        <v>p.persica_gdr_reftransV1_0010234</v>
      </c>
      <c r="B9560" s="3">
        <v>2694</v>
      </c>
      <c r="C9560" s="1" t="str">
        <f>HYPERLINK("http://www.uniprot.org/uniprot/C3H66_ARATH","C3H66_ARATH")</f>
        <v>C3H66_ARATH</v>
      </c>
      <c r="D9560" t="s">
        <v>7107</v>
      </c>
      <c r="E9560" s="3" t="s">
        <v>3</v>
      </c>
      <c r="F9560" s="4">
        <v>0</v>
      </c>
      <c r="G9560" s="3">
        <v>1454</v>
      </c>
      <c r="H9560" s="3">
        <v>53</v>
      </c>
      <c r="I9560" s="3">
        <v>682</v>
      </c>
      <c r="J9560" s="3">
        <v>243</v>
      </c>
      <c r="K9560" s="3">
        <v>2246</v>
      </c>
      <c r="L9560" s="3">
        <v>11</v>
      </c>
      <c r="M9560" s="3">
        <v>607</v>
      </c>
    </row>
    <row r="9561" spans="1:13" x14ac:dyDescent="0.25">
      <c r="A9561" s="1" t="str">
        <f>HYPERLINK("http://www.rosaceae.org/Prunus/Prunus_persica/p.persica_gdr_reftransV1_0010334","p.persica_gdr_reftransV1_0010334")</f>
        <v>p.persica_gdr_reftransV1_0010334</v>
      </c>
      <c r="B9561" s="3">
        <v>1889</v>
      </c>
      <c r="C9561" s="1" t="str">
        <f>HYPERLINK("http://www.uniprot.org/uniprot/Rid3_ARATH","Rid3_ARATH")</f>
        <v>Rid3_ARATH</v>
      </c>
      <c r="D9561" t="s">
        <v>6571</v>
      </c>
      <c r="E9561" s="3" t="s">
        <v>3</v>
      </c>
      <c r="F9561" s="4">
        <v>9.2799999999999995E-167</v>
      </c>
      <c r="G9561" s="3">
        <v>1263</v>
      </c>
      <c r="H9561" s="3">
        <v>55</v>
      </c>
      <c r="I9561" s="3">
        <v>444</v>
      </c>
      <c r="J9561" s="3">
        <v>272</v>
      </c>
      <c r="K9561" s="3">
        <v>1579</v>
      </c>
      <c r="L9561" s="3">
        <v>4</v>
      </c>
      <c r="M9561" s="3">
        <v>438</v>
      </c>
    </row>
    <row r="9562" spans="1:13" x14ac:dyDescent="0.25">
      <c r="A9562" s="1" t="str">
        <f>HYPERLINK("http://www.rosaceae.org/Prunus/Prunus_persica/p.persica_gdr_reftransV1_0010434","p.persica_gdr_reftransV1_0010434")</f>
        <v>p.persica_gdr_reftransV1_0010434</v>
      </c>
      <c r="B9562" s="3">
        <v>2544</v>
      </c>
      <c r="C9562" s="1" t="str">
        <f>HYPERLINK("http://www.uniprot.org/uniprot/CE101_ARATH","CE101_ARATH")</f>
        <v>CE101_ARATH</v>
      </c>
      <c r="D9562" t="s">
        <v>7108</v>
      </c>
      <c r="E9562" s="3" t="s">
        <v>3</v>
      </c>
      <c r="F9562" s="4">
        <v>1.9700000000000001E-45</v>
      </c>
      <c r="G9562" s="3">
        <v>454</v>
      </c>
      <c r="H9562" s="3">
        <v>35</v>
      </c>
      <c r="I9562" s="3">
        <v>382</v>
      </c>
      <c r="J9562" s="3">
        <v>1135</v>
      </c>
      <c r="K9562" s="3">
        <v>2172</v>
      </c>
      <c r="L9562" s="3">
        <v>26</v>
      </c>
      <c r="M9562" s="3">
        <v>390</v>
      </c>
    </row>
    <row r="9563" spans="1:13" x14ac:dyDescent="0.25">
      <c r="A9563" s="1" t="str">
        <f>HYPERLINK("http://www.rosaceae.org/Prunus/Prunus_persica/p.persica_gdr_reftransV1_0010684","p.persica_gdr_reftransV1_0010684")</f>
        <v>p.persica_gdr_reftransV1_0010684</v>
      </c>
      <c r="B9563" s="3">
        <v>3960</v>
      </c>
      <c r="C9563" s="1" t="str">
        <f>HYPERLINK("http://www.uniprot.org/uniprot/SMC21_ARATH","SMC21_ARATH")</f>
        <v>SMC21_ARATH</v>
      </c>
      <c r="D9563" t="s">
        <v>7109</v>
      </c>
      <c r="E9563" s="3" t="s">
        <v>3</v>
      </c>
      <c r="F9563" s="4">
        <v>0</v>
      </c>
      <c r="G9563" s="3">
        <v>4410</v>
      </c>
      <c r="H9563" s="3">
        <v>77</v>
      </c>
      <c r="I9563" s="3">
        <v>1175</v>
      </c>
      <c r="J9563" s="3">
        <v>299</v>
      </c>
      <c r="K9563" s="3">
        <v>3823</v>
      </c>
      <c r="L9563" s="3">
        <v>1</v>
      </c>
      <c r="M9563" s="3">
        <v>1175</v>
      </c>
    </row>
    <row r="9564" spans="1:13" x14ac:dyDescent="0.25">
      <c r="A9564" s="1" t="str">
        <f>HYPERLINK("http://www.rosaceae.org/Prunus/Prunus_persica/p.persica_gdr_reftransV1_0010734","p.persica_gdr_reftransV1_0010734")</f>
        <v>p.persica_gdr_reftransV1_0010734</v>
      </c>
      <c r="B9564" s="3">
        <v>797</v>
      </c>
      <c r="C9564" s="1" t="str">
        <f>HYPERLINK("http://www.uniprot.org/uniprot/RFA3B_ARATH","RFA3B_ARATH")</f>
        <v>RFA3B_ARATH</v>
      </c>
      <c r="D9564" t="s">
        <v>7110</v>
      </c>
      <c r="E9564" s="3" t="s">
        <v>3</v>
      </c>
      <c r="F9564" s="4">
        <v>1.35E-43</v>
      </c>
      <c r="G9564" s="3">
        <v>377</v>
      </c>
      <c r="H9564" s="3">
        <v>61</v>
      </c>
      <c r="I9564" s="3">
        <v>106</v>
      </c>
      <c r="J9564" s="3">
        <v>163</v>
      </c>
      <c r="K9564" s="3">
        <v>480</v>
      </c>
      <c r="L9564" s="3">
        <v>1</v>
      </c>
      <c r="M9564" s="3">
        <v>106</v>
      </c>
    </row>
    <row r="9565" spans="1:13" x14ac:dyDescent="0.25">
      <c r="A9565" s="1" t="str">
        <f>HYPERLINK("http://www.rosaceae.org/Prunus/Prunus_persica/p.persica_gdr_reftransV1_0011034","p.persica_gdr_reftransV1_0011034")</f>
        <v>p.persica_gdr_reftransV1_0011034</v>
      </c>
      <c r="B9565" s="3">
        <v>653</v>
      </c>
      <c r="C9565" s="1" t="str">
        <f>HYPERLINK("http://www.uniprot.org/uniprot/CRNL1_HUMAN","CRNL1_HUMAN")</f>
        <v>CRNL1_HUMAN</v>
      </c>
      <c r="D9565" t="s">
        <v>7111</v>
      </c>
      <c r="E9565" s="3" t="s">
        <v>28</v>
      </c>
      <c r="F9565" s="4">
        <v>4.5699999999999997E-9</v>
      </c>
      <c r="G9565" s="3">
        <v>100</v>
      </c>
      <c r="H9565" s="3">
        <v>31</v>
      </c>
      <c r="I9565" s="3">
        <v>94</v>
      </c>
      <c r="J9565" s="3">
        <v>59</v>
      </c>
      <c r="K9565" s="3">
        <v>334</v>
      </c>
      <c r="L9565" s="3">
        <v>242</v>
      </c>
      <c r="M9565" s="3">
        <v>329</v>
      </c>
    </row>
    <row r="9566" spans="1:13" x14ac:dyDescent="0.25">
      <c r="A9566" s="1" t="str">
        <f>HYPERLINK("http://www.rosaceae.org/Prunus/Prunus_persica/p.persica_gdr_reftransV1_0011084","p.persica_gdr_reftransV1_0011084")</f>
        <v>p.persica_gdr_reftransV1_0011084</v>
      </c>
      <c r="B9566" s="3">
        <v>899</v>
      </c>
      <c r="C9566" s="1" t="str">
        <f>HYPERLINK("http://www.uniprot.org/uniprot/TL17_ARATH","TL17_ARATH")</f>
        <v>TL17_ARATH</v>
      </c>
      <c r="D9566" t="s">
        <v>3005</v>
      </c>
      <c r="E9566" s="3" t="s">
        <v>3</v>
      </c>
      <c r="F9566" s="4">
        <v>1.13E-85</v>
      </c>
      <c r="G9566" s="3">
        <v>673</v>
      </c>
      <c r="H9566" s="3">
        <v>78</v>
      </c>
      <c r="I9566" s="3">
        <v>156</v>
      </c>
      <c r="J9566" s="3">
        <v>173</v>
      </c>
      <c r="K9566" s="3">
        <v>640</v>
      </c>
      <c r="L9566" s="3">
        <v>81</v>
      </c>
      <c r="M9566" s="3">
        <v>236</v>
      </c>
    </row>
    <row r="9567" spans="1:13" x14ac:dyDescent="0.25">
      <c r="A9567" s="1" t="str">
        <f>HYPERLINK("http://www.rosaceae.org/Prunus/Prunus_persica/p.persica_gdr_reftransV1_0011134","p.persica_gdr_reftransV1_0011134")</f>
        <v>p.persica_gdr_reftransV1_0011134</v>
      </c>
      <c r="B9567" s="3">
        <v>1140</v>
      </c>
      <c r="C9567" s="1" t="str">
        <f>HYPERLINK("http://www.uniprot.org/uniprot/MCAPS_PEMVW","MCAPS_PEMVW")</f>
        <v>MCAPS_PEMVW</v>
      </c>
      <c r="D9567" t="s">
        <v>7112</v>
      </c>
      <c r="E9567" s="3" t="s">
        <v>7113</v>
      </c>
      <c r="F9567" s="4">
        <v>2.0700000000000001E-21</v>
      </c>
      <c r="G9567" s="3">
        <v>245</v>
      </c>
      <c r="H9567" s="3">
        <v>63</v>
      </c>
      <c r="I9567" s="3">
        <v>71</v>
      </c>
      <c r="J9567" s="3">
        <v>928</v>
      </c>
      <c r="K9567" s="3">
        <v>1140</v>
      </c>
      <c r="L9567" s="3">
        <v>358</v>
      </c>
      <c r="M9567" s="3">
        <v>428</v>
      </c>
    </row>
    <row r="9568" spans="1:13" x14ac:dyDescent="0.25">
      <c r="A9568" s="1" t="str">
        <f>HYPERLINK("http://www.rosaceae.org/Prunus/Prunus_persica/p.persica_gdr_reftransV1_0011234","p.persica_gdr_reftransV1_0011234")</f>
        <v>p.persica_gdr_reftransV1_0011234</v>
      </c>
      <c r="B9568" s="3">
        <v>1633</v>
      </c>
      <c r="C9568" s="1" t="str">
        <f>HYPERLINK("http://www.uniprot.org/uniprot/ZWIP3_ARATH","ZWIP3_ARATH")</f>
        <v>ZWIP3_ARATH</v>
      </c>
      <c r="D9568" t="s">
        <v>7114</v>
      </c>
      <c r="E9568" s="3" t="s">
        <v>3</v>
      </c>
      <c r="F9568" s="4">
        <v>1.1899999999999999E-115</v>
      </c>
      <c r="G9568" s="3">
        <v>905</v>
      </c>
      <c r="H9568" s="3">
        <v>58</v>
      </c>
      <c r="I9568" s="3">
        <v>343</v>
      </c>
      <c r="J9568" s="3">
        <v>86</v>
      </c>
      <c r="K9568" s="3">
        <v>976</v>
      </c>
      <c r="L9568" s="3">
        <v>5</v>
      </c>
      <c r="M9568" s="3">
        <v>335</v>
      </c>
    </row>
    <row r="9569" spans="1:13" x14ac:dyDescent="0.25">
      <c r="A9569" s="1" t="str">
        <f>HYPERLINK("http://www.rosaceae.org/Prunus/Prunus_persica/p.persica_gdr_reftransV1_0011384","p.persica_gdr_reftransV1_0011384")</f>
        <v>p.persica_gdr_reftransV1_0011384</v>
      </c>
      <c r="B9569" s="3">
        <v>2516</v>
      </c>
      <c r="C9569" s="1" t="str">
        <f>HYPERLINK("http://www.uniprot.org/uniprot/SEOB_ARATH","SEOB_ARATH")</f>
        <v>SEOB_ARATH</v>
      </c>
      <c r="D9569" t="s">
        <v>4149</v>
      </c>
      <c r="E9569" s="3" t="s">
        <v>3</v>
      </c>
      <c r="F9569" s="4">
        <v>1.45E-98</v>
      </c>
      <c r="G9569" s="3">
        <v>845</v>
      </c>
      <c r="H9569" s="3">
        <v>40</v>
      </c>
      <c r="I9569" s="3">
        <v>462</v>
      </c>
      <c r="J9569" s="3">
        <v>273</v>
      </c>
      <c r="K9569" s="3">
        <v>1598</v>
      </c>
      <c r="L9569" s="3">
        <v>271</v>
      </c>
      <c r="M9569" s="3">
        <v>729</v>
      </c>
    </row>
    <row r="9570" spans="1:13" x14ac:dyDescent="0.25">
      <c r="A9570" s="1" t="str">
        <f>HYPERLINK("http://www.rosaceae.org/Prunus/Prunus_persica/p.persica_gdr_reftransV1_0011484","p.persica_gdr_reftransV1_0011484")</f>
        <v>p.persica_gdr_reftransV1_0011484</v>
      </c>
      <c r="B9570" s="3">
        <v>2826</v>
      </c>
      <c r="C9570" s="1" t="str">
        <f>HYPERLINK("http://www.uniprot.org/uniprot/COG2_HUMAN","COG2_HUMAN")</f>
        <v>COG2_HUMAN</v>
      </c>
      <c r="D9570" t="s">
        <v>7115</v>
      </c>
      <c r="E9570" s="3" t="s">
        <v>28</v>
      </c>
      <c r="F9570" s="4">
        <v>1.36E-59</v>
      </c>
      <c r="G9570" s="3">
        <v>563</v>
      </c>
      <c r="H9570" s="3">
        <v>30</v>
      </c>
      <c r="I9570" s="3">
        <v>461</v>
      </c>
      <c r="J9570" s="3">
        <v>159</v>
      </c>
      <c r="K9570" s="3">
        <v>1526</v>
      </c>
      <c r="L9570" s="3">
        <v>9</v>
      </c>
      <c r="M9570" s="3">
        <v>434</v>
      </c>
    </row>
    <row r="9571" spans="1:13" x14ac:dyDescent="0.25">
      <c r="A9571" s="1" t="str">
        <f>HYPERLINK("http://www.rosaceae.org/Prunus/Prunus_persica/p.persica_gdr_reftransV1_0011534","p.persica_gdr_reftransV1_0011534")</f>
        <v>p.persica_gdr_reftransV1_0011534</v>
      </c>
      <c r="B9571" s="3">
        <v>2372</v>
      </c>
      <c r="C9571" s="1" t="str">
        <f>HYPERLINK("http://www.uniprot.org/uniprot/GSTX6_SOYBN","GSTX6_SOYBN")</f>
        <v>GSTX6_SOYBN</v>
      </c>
      <c r="D9571" t="s">
        <v>2987</v>
      </c>
      <c r="E9571" s="3" t="s">
        <v>307</v>
      </c>
      <c r="F9571" s="4">
        <v>8.9700000000000008E-56</v>
      </c>
      <c r="G9571" s="3">
        <v>497</v>
      </c>
      <c r="H9571" s="3">
        <v>44</v>
      </c>
      <c r="I9571" s="3">
        <v>214</v>
      </c>
      <c r="J9571" s="3">
        <v>1700</v>
      </c>
      <c r="K9571" s="3">
        <v>2338</v>
      </c>
      <c r="L9571" s="3">
        <v>7</v>
      </c>
      <c r="M9571" s="3">
        <v>220</v>
      </c>
    </row>
    <row r="9572" spans="1:13" x14ac:dyDescent="0.25">
      <c r="A9572" s="1" t="str">
        <f>HYPERLINK("http://www.rosaceae.org/Prunus/Prunus_persica/p.persica_gdr_reftransV1_0011734","p.persica_gdr_reftransV1_0011734")</f>
        <v>p.persica_gdr_reftransV1_0011734</v>
      </c>
      <c r="B9572" s="3">
        <v>850</v>
      </c>
      <c r="C9572" s="1" t="str">
        <f>HYPERLINK("http://www.uniprot.org/uniprot/DHX8_ARATH","DHX8_ARATH")</f>
        <v>DHX8_ARATH</v>
      </c>
      <c r="D9572" t="s">
        <v>653</v>
      </c>
      <c r="E9572" s="3" t="s">
        <v>3</v>
      </c>
      <c r="F9572" s="4">
        <v>1.9500000000000002E-152</v>
      </c>
      <c r="G9572" s="3">
        <v>1189</v>
      </c>
      <c r="H9572" s="3">
        <v>82</v>
      </c>
      <c r="I9572" s="3">
        <v>282</v>
      </c>
      <c r="J9572" s="3">
        <v>3</v>
      </c>
      <c r="K9572" s="3">
        <v>848</v>
      </c>
      <c r="L9572" s="3">
        <v>572</v>
      </c>
      <c r="M9572" s="3">
        <v>853</v>
      </c>
    </row>
    <row r="9573" spans="1:13" x14ac:dyDescent="0.25">
      <c r="A9573" s="1" t="str">
        <f>HYPERLINK("http://www.rosaceae.org/Prunus/Prunus_persica/p.persica_gdr_reftransV1_0011784","p.persica_gdr_reftransV1_0011784")</f>
        <v>p.persica_gdr_reftransV1_0011784</v>
      </c>
      <c r="B9573" s="3">
        <v>2053</v>
      </c>
      <c r="C9573" s="1" t="str">
        <f>HYPERLINK("http://www.uniprot.org/uniprot/MYB06_ANTMA","MYB06_ANTMA")</f>
        <v>MYB06_ANTMA</v>
      </c>
      <c r="D9573" t="s">
        <v>7116</v>
      </c>
      <c r="E9573" s="3" t="s">
        <v>1408</v>
      </c>
      <c r="F9573" s="4">
        <v>9.7099999999999992E-50</v>
      </c>
      <c r="G9573" s="3">
        <v>459</v>
      </c>
      <c r="H9573" s="3">
        <v>48</v>
      </c>
      <c r="I9573" s="3">
        <v>275</v>
      </c>
      <c r="J9573" s="3">
        <v>1097</v>
      </c>
      <c r="K9573" s="3">
        <v>1903</v>
      </c>
      <c r="L9573" s="3">
        <v>86</v>
      </c>
      <c r="M9573" s="3">
        <v>316</v>
      </c>
    </row>
    <row r="9574" spans="1:13" x14ac:dyDescent="0.25">
      <c r="A9574" s="1" t="str">
        <f>HYPERLINK("http://www.rosaceae.org/Prunus/Prunus_persica/p.persica_gdr_reftransV1_0011934","p.persica_gdr_reftransV1_0011934")</f>
        <v>p.persica_gdr_reftransV1_0011934</v>
      </c>
      <c r="B9574" s="3">
        <v>769</v>
      </c>
      <c r="C9574" s="1" t="str">
        <f>HYPERLINK("http://www.uniprot.org/uniprot/TIC40_ARATH","TIC40_ARATH")</f>
        <v>TIC40_ARATH</v>
      </c>
      <c r="D9574" t="s">
        <v>7117</v>
      </c>
      <c r="E9574" s="3" t="s">
        <v>3</v>
      </c>
      <c r="F9574" s="4">
        <v>2.68E-18</v>
      </c>
      <c r="G9574" s="3">
        <v>215</v>
      </c>
      <c r="H9574" s="3">
        <v>83</v>
      </c>
      <c r="I9574" s="3">
        <v>47</v>
      </c>
      <c r="J9574" s="3">
        <v>447</v>
      </c>
      <c r="K9574" s="3">
        <v>587</v>
      </c>
      <c r="L9574" s="3">
        <v>105</v>
      </c>
      <c r="M9574" s="3">
        <v>151</v>
      </c>
    </row>
    <row r="9575" spans="1:13" x14ac:dyDescent="0.25">
      <c r="A9575" s="1" t="str">
        <f>HYPERLINK("http://www.rosaceae.org/Prunus/Prunus_persica/p.persica_gdr_reftransV1_0012034","p.persica_gdr_reftransV1_0012034")</f>
        <v>p.persica_gdr_reftransV1_0012034</v>
      </c>
      <c r="B9575" s="3">
        <v>706</v>
      </c>
      <c r="C9575" s="1" t="str">
        <f>HYPERLINK("http://www.uniprot.org/uniprot/UBXN6_HUMAN","UBXN6_HUMAN")</f>
        <v>UBXN6_HUMAN</v>
      </c>
      <c r="D9575" t="s">
        <v>7118</v>
      </c>
      <c r="E9575" s="3" t="s">
        <v>28</v>
      </c>
      <c r="F9575" s="4">
        <v>5.0200000000000002E-7</v>
      </c>
      <c r="G9575" s="3">
        <v>127</v>
      </c>
      <c r="H9575" s="3">
        <v>43</v>
      </c>
      <c r="I9575" s="3">
        <v>61</v>
      </c>
      <c r="J9575" s="3">
        <v>407</v>
      </c>
      <c r="K9575" s="3">
        <v>589</v>
      </c>
      <c r="L9575" s="3">
        <v>165</v>
      </c>
      <c r="M9575" s="3">
        <v>224</v>
      </c>
    </row>
    <row r="9576" spans="1:13" x14ac:dyDescent="0.25">
      <c r="A9576" s="1" t="str">
        <f>HYPERLINK("http://www.rosaceae.org/Prunus/Prunus_persica/p.persica_gdr_reftransV1_0012134","p.persica_gdr_reftransV1_0012134")</f>
        <v>p.persica_gdr_reftransV1_0012134</v>
      </c>
      <c r="B9576" s="3">
        <v>726</v>
      </c>
      <c r="C9576" s="1" t="str">
        <f>HYPERLINK("http://www.uniprot.org/uniprot/MRH1_ARATH","MRH1_ARATH")</f>
        <v>MRH1_ARATH</v>
      </c>
      <c r="D9576" t="s">
        <v>7119</v>
      </c>
      <c r="E9576" s="3" t="s">
        <v>3</v>
      </c>
      <c r="F9576" s="4">
        <v>2.96E-36</v>
      </c>
      <c r="G9576" s="3">
        <v>351</v>
      </c>
      <c r="H9576" s="3">
        <v>44</v>
      </c>
      <c r="I9576" s="3">
        <v>198</v>
      </c>
      <c r="J9576" s="3">
        <v>23</v>
      </c>
      <c r="K9576" s="3">
        <v>613</v>
      </c>
      <c r="L9576" s="3">
        <v>25</v>
      </c>
      <c r="M9576" s="3">
        <v>222</v>
      </c>
    </row>
    <row r="9577" spans="1:13" x14ac:dyDescent="0.25">
      <c r="A9577" s="1" t="str">
        <f>HYPERLINK("http://www.rosaceae.org/Prunus/Prunus_persica/p.persica_gdr_reftransV1_0012234","p.persica_gdr_reftransV1_0012234")</f>
        <v>p.persica_gdr_reftransV1_0012234</v>
      </c>
      <c r="B9577" s="3">
        <v>3079</v>
      </c>
      <c r="C9577" s="1" t="str">
        <f>HYPERLINK("http://www.uniprot.org/uniprot/MOCOS_SOLLC","MOCOS_SOLLC")</f>
        <v>MOCOS_SOLLC</v>
      </c>
      <c r="D9577" t="s">
        <v>7120</v>
      </c>
      <c r="E9577" s="3" t="s">
        <v>64</v>
      </c>
      <c r="F9577" s="4">
        <v>0</v>
      </c>
      <c r="G9577" s="3">
        <v>2737</v>
      </c>
      <c r="H9577" s="3">
        <v>64</v>
      </c>
      <c r="I9577" s="3">
        <v>821</v>
      </c>
      <c r="J9577" s="3">
        <v>442</v>
      </c>
      <c r="K9577" s="3">
        <v>2889</v>
      </c>
      <c r="L9577" s="3">
        <v>2</v>
      </c>
      <c r="M9577" s="3">
        <v>812</v>
      </c>
    </row>
    <row r="9578" spans="1:13" x14ac:dyDescent="0.25">
      <c r="A9578" s="1" t="str">
        <f>HYPERLINK("http://www.rosaceae.org/Prunus/Prunus_persica/p.persica_gdr_reftransV1_0012734","p.persica_gdr_reftransV1_0012734")</f>
        <v>p.persica_gdr_reftransV1_0012734</v>
      </c>
      <c r="B9578" s="3">
        <v>4345</v>
      </c>
      <c r="C9578" s="1" t="str">
        <f>HYPERLINK("http://www.uniprot.org/uniprot/YODA_ARATH","YODA_ARATH")</f>
        <v>YODA_ARATH</v>
      </c>
      <c r="D9578" t="s">
        <v>2168</v>
      </c>
      <c r="E9578" s="3" t="s">
        <v>3</v>
      </c>
      <c r="F9578" s="4">
        <v>0</v>
      </c>
      <c r="G9578" s="3">
        <v>2078</v>
      </c>
      <c r="H9578" s="3">
        <v>60</v>
      </c>
      <c r="I9578" s="3">
        <v>867</v>
      </c>
      <c r="J9578" s="3">
        <v>856</v>
      </c>
      <c r="K9578" s="3">
        <v>3432</v>
      </c>
      <c r="L9578" s="3">
        <v>19</v>
      </c>
      <c r="M9578" s="3">
        <v>864</v>
      </c>
    </row>
    <row r="9579" spans="1:13" x14ac:dyDescent="0.25">
      <c r="A9579" s="1" t="str">
        <f>HYPERLINK("http://www.rosaceae.org/Prunus/Prunus_persica/p.persica_gdr_reftransV1_0012834","p.persica_gdr_reftransV1_0012834")</f>
        <v>p.persica_gdr_reftransV1_0012834</v>
      </c>
      <c r="B9579" s="3">
        <v>1051</v>
      </c>
      <c r="C9579" s="1" t="str">
        <f>HYPERLINK("http://www.uniprot.org/uniprot/FIMB5_ARATH","FIMB5_ARATH")</f>
        <v>FIMB5_ARATH</v>
      </c>
      <c r="D9579" t="s">
        <v>7121</v>
      </c>
      <c r="E9579" s="3" t="s">
        <v>3</v>
      </c>
      <c r="F9579" s="4">
        <v>2.1600000000000001E-70</v>
      </c>
      <c r="G9579" s="3">
        <v>607</v>
      </c>
      <c r="H9579" s="3">
        <v>78</v>
      </c>
      <c r="I9579" s="3">
        <v>144</v>
      </c>
      <c r="J9579" s="3">
        <v>1</v>
      </c>
      <c r="K9579" s="3">
        <v>432</v>
      </c>
      <c r="L9579" s="3">
        <v>490</v>
      </c>
      <c r="M9579" s="3">
        <v>632</v>
      </c>
    </row>
    <row r="9580" spans="1:13" x14ac:dyDescent="0.25">
      <c r="A9580" s="1" t="str">
        <f>HYPERLINK("http://www.rosaceae.org/Prunus/Prunus_persica/p.persica_gdr_reftransV1_0012984","p.persica_gdr_reftransV1_0012984")</f>
        <v>p.persica_gdr_reftransV1_0012984</v>
      </c>
      <c r="B9580" s="3">
        <v>1970</v>
      </c>
      <c r="C9580" s="1" t="str">
        <f>HYPERLINK("http://www.uniprot.org/uniprot/PPR26_ARATH","PPR26_ARATH")</f>
        <v>PPR26_ARATH</v>
      </c>
      <c r="D9580" t="s">
        <v>4993</v>
      </c>
      <c r="E9580" s="3" t="s">
        <v>3</v>
      </c>
      <c r="F9580" s="4">
        <v>5.68E-170</v>
      </c>
      <c r="G9580" s="3">
        <v>1303</v>
      </c>
      <c r="H9580" s="3">
        <v>65</v>
      </c>
      <c r="I9580" s="3">
        <v>368</v>
      </c>
      <c r="J9580" s="3">
        <v>862</v>
      </c>
      <c r="K9580" s="3">
        <v>1965</v>
      </c>
      <c r="L9580" s="3">
        <v>240</v>
      </c>
      <c r="M9580" s="3">
        <v>607</v>
      </c>
    </row>
    <row r="9581" spans="1:13" x14ac:dyDescent="0.25">
      <c r="A9581" s="1" t="str">
        <f>HYPERLINK("http://www.rosaceae.org/Prunus/Prunus_persica/p.persica_gdr_reftransV1_0013134","p.persica_gdr_reftransV1_0013134")</f>
        <v>p.persica_gdr_reftransV1_0013134</v>
      </c>
      <c r="B9581" s="3">
        <v>3108</v>
      </c>
      <c r="C9581" s="1" t="str">
        <f>HYPERLINK("http://www.uniprot.org/uniprot/PRPF3_BOVIN","PRPF3_BOVIN")</f>
        <v>PRPF3_BOVIN</v>
      </c>
      <c r="D9581" t="s">
        <v>7122</v>
      </c>
      <c r="E9581" s="3" t="s">
        <v>184</v>
      </c>
      <c r="F9581" s="4">
        <v>6.7000000000000004E-60</v>
      </c>
      <c r="G9581" s="3">
        <v>565</v>
      </c>
      <c r="H9581" s="3">
        <v>37</v>
      </c>
      <c r="I9581" s="3">
        <v>499</v>
      </c>
      <c r="J9581" s="3">
        <v>405</v>
      </c>
      <c r="K9581" s="3">
        <v>1853</v>
      </c>
      <c r="L9581" s="3">
        <v>200</v>
      </c>
      <c r="M9581" s="3">
        <v>675</v>
      </c>
    </row>
    <row r="9582" spans="1:13" x14ac:dyDescent="0.25">
      <c r="A9582" s="1" t="str">
        <f>HYPERLINK("http://www.rosaceae.org/Prunus/Prunus_persica/p.persica_gdr_reftransV1_0013234","p.persica_gdr_reftransV1_0013234")</f>
        <v>p.persica_gdr_reftransV1_0013234</v>
      </c>
      <c r="B9582" s="3">
        <v>1627</v>
      </c>
      <c r="C9582" s="1" t="str">
        <f>HYPERLINK("http://www.uniprot.org/uniprot/RER4_ARATH","RER4_ARATH")</f>
        <v>RER4_ARATH</v>
      </c>
      <c r="D9582" t="s">
        <v>4461</v>
      </c>
      <c r="E9582" s="3" t="s">
        <v>3</v>
      </c>
      <c r="F9582" s="4">
        <v>4.5600000000000003E-159</v>
      </c>
      <c r="G9582" s="3">
        <v>1198</v>
      </c>
      <c r="H9582" s="3">
        <v>76</v>
      </c>
      <c r="I9582" s="3">
        <v>287</v>
      </c>
      <c r="J9582" s="3">
        <v>188</v>
      </c>
      <c r="K9582" s="3">
        <v>1048</v>
      </c>
      <c r="L9582" s="3">
        <v>98</v>
      </c>
      <c r="M9582" s="3">
        <v>384</v>
      </c>
    </row>
    <row r="9583" spans="1:13" x14ac:dyDescent="0.25">
      <c r="A9583" s="1" t="str">
        <f>HYPERLINK("http://www.rosaceae.org/Prunus/Prunus_persica/p.persica_gdr_reftransV1_0013384","p.persica_gdr_reftransV1_0013384")</f>
        <v>p.persica_gdr_reftransV1_0013384</v>
      </c>
      <c r="B9583" s="3">
        <v>1471</v>
      </c>
      <c r="C9583" s="1" t="str">
        <f>HYPERLINK("http://www.uniprot.org/uniprot/GLYR1_ARATH","GLYR1_ARATH")</f>
        <v>GLYR1_ARATH</v>
      </c>
      <c r="D9583" t="s">
        <v>7123</v>
      </c>
      <c r="E9583" s="3" t="s">
        <v>3</v>
      </c>
      <c r="F9583" s="4">
        <v>2.0500000000000001E-148</v>
      </c>
      <c r="G9583" s="3">
        <v>1113</v>
      </c>
      <c r="H9583" s="3">
        <v>82</v>
      </c>
      <c r="I9583" s="3">
        <v>283</v>
      </c>
      <c r="J9583" s="3">
        <v>376</v>
      </c>
      <c r="K9583" s="3">
        <v>1224</v>
      </c>
      <c r="L9583" s="3">
        <v>3</v>
      </c>
      <c r="M9583" s="3">
        <v>285</v>
      </c>
    </row>
    <row r="9584" spans="1:13" x14ac:dyDescent="0.25">
      <c r="A9584" s="1" t="str">
        <f>HYPERLINK("http://www.rosaceae.org/Prunus/Prunus_persica/p.persica_gdr_reftransV1_0013434","p.persica_gdr_reftransV1_0013434")</f>
        <v>p.persica_gdr_reftransV1_0013434</v>
      </c>
      <c r="B9584" s="3">
        <v>2504</v>
      </c>
      <c r="C9584" s="1" t="str">
        <f>HYPERLINK("http://www.uniprot.org/uniprot/TYPA_SYNY3","TYPA_SYNY3")</f>
        <v>TYPA_SYNY3</v>
      </c>
      <c r="D9584" t="s">
        <v>7124</v>
      </c>
      <c r="E9584" s="3" t="s">
        <v>527</v>
      </c>
      <c r="F9584" s="4">
        <v>0</v>
      </c>
      <c r="G9584" s="3">
        <v>1621</v>
      </c>
      <c r="H9584" s="3">
        <v>54</v>
      </c>
      <c r="I9584" s="3">
        <v>585</v>
      </c>
      <c r="J9584" s="3">
        <v>399</v>
      </c>
      <c r="K9584" s="3">
        <v>2150</v>
      </c>
      <c r="L9584" s="3">
        <v>5</v>
      </c>
      <c r="M9584" s="3">
        <v>588</v>
      </c>
    </row>
    <row r="9585" spans="1:13" x14ac:dyDescent="0.25">
      <c r="A9585" s="1" t="str">
        <f>HYPERLINK("http://www.rosaceae.org/Prunus/Prunus_persica/p.persica_gdr_reftransV1_0013534","p.persica_gdr_reftransV1_0013534")</f>
        <v>p.persica_gdr_reftransV1_0013534</v>
      </c>
      <c r="B9585" s="3">
        <v>902</v>
      </c>
      <c r="C9585" s="1" t="str">
        <f>HYPERLINK("http://www.uniprot.org/uniprot/IOJAM_ARATH","IOJAM_ARATH")</f>
        <v>IOJAM_ARATH</v>
      </c>
      <c r="D9585" t="s">
        <v>7125</v>
      </c>
      <c r="E9585" s="3" t="s">
        <v>3</v>
      </c>
      <c r="F9585" s="4">
        <v>2.4299999999999998E-47</v>
      </c>
      <c r="G9585" s="3">
        <v>412</v>
      </c>
      <c r="H9585" s="3">
        <v>62</v>
      </c>
      <c r="I9585" s="3">
        <v>125</v>
      </c>
      <c r="J9585" s="3">
        <v>213</v>
      </c>
      <c r="K9585" s="3">
        <v>584</v>
      </c>
      <c r="L9585" s="3">
        <v>44</v>
      </c>
      <c r="M9585" s="3">
        <v>167</v>
      </c>
    </row>
    <row r="9586" spans="1:13" x14ac:dyDescent="0.25">
      <c r="A9586" s="1" t="str">
        <f>HYPERLINK("http://www.rosaceae.org/Prunus/Prunus_persica/p.persica_gdr_reftransV1_0013584","p.persica_gdr_reftransV1_0013584")</f>
        <v>p.persica_gdr_reftransV1_0013584</v>
      </c>
      <c r="B9586" s="3">
        <v>1880</v>
      </c>
      <c r="C9586" s="1" t="str">
        <f>HYPERLINK("http://www.uniprot.org/uniprot/PP205_ARATH","PP205_ARATH")</f>
        <v>PP205_ARATH</v>
      </c>
      <c r="D9586" t="s">
        <v>7126</v>
      </c>
      <c r="E9586" s="3" t="s">
        <v>3</v>
      </c>
      <c r="F9586" s="4">
        <v>2.45E-169</v>
      </c>
      <c r="G9586" s="3">
        <v>1301</v>
      </c>
      <c r="H9586" s="3">
        <v>54</v>
      </c>
      <c r="I9586" s="3">
        <v>423</v>
      </c>
      <c r="J9586" s="3">
        <v>7</v>
      </c>
      <c r="K9586" s="3">
        <v>1272</v>
      </c>
      <c r="L9586" s="3">
        <v>224</v>
      </c>
      <c r="M9586" s="3">
        <v>646</v>
      </c>
    </row>
    <row r="9587" spans="1:13" x14ac:dyDescent="0.25">
      <c r="A9587" s="1" t="str">
        <f>HYPERLINK("http://www.rosaceae.org/Prunus/Prunus_persica/p.persica_gdr_reftransV1_0013884","p.persica_gdr_reftransV1_0013884")</f>
        <v>p.persica_gdr_reftransV1_0013884</v>
      </c>
      <c r="B9587" s="3">
        <v>2529</v>
      </c>
      <c r="C9587" s="1" t="str">
        <f>HYPERLINK("http://www.uniprot.org/uniprot/MDHG_CUCSA","MDHG_CUCSA")</f>
        <v>MDHG_CUCSA</v>
      </c>
      <c r="D9587" t="s">
        <v>7127</v>
      </c>
      <c r="E9587" s="3" t="s">
        <v>1149</v>
      </c>
      <c r="F9587" s="4">
        <v>3.5400000000000002E-41</v>
      </c>
      <c r="G9587" s="3">
        <v>256</v>
      </c>
      <c r="H9587" s="3">
        <v>85</v>
      </c>
      <c r="I9587" s="3">
        <v>55</v>
      </c>
      <c r="J9587" s="3">
        <v>214</v>
      </c>
      <c r="K9587" s="3">
        <v>378</v>
      </c>
      <c r="L9587" s="3">
        <v>301</v>
      </c>
      <c r="M9587" s="3">
        <v>355</v>
      </c>
    </row>
    <row r="9588" spans="1:13" x14ac:dyDescent="0.25">
      <c r="A9588" s="1" t="str">
        <f>HYPERLINK("http://www.rosaceae.org/Prunus/Prunus_persica/p.persica_gdr_reftransV1_0013934","p.persica_gdr_reftransV1_0013934")</f>
        <v>p.persica_gdr_reftransV1_0013934</v>
      </c>
      <c r="B9588" s="3">
        <v>1362</v>
      </c>
      <c r="C9588" s="1" t="str">
        <f>HYPERLINK("http://www.uniprot.org/uniprot/SYP71_ARATH","SYP71_ARATH")</f>
        <v>SYP71_ARATH</v>
      </c>
      <c r="D9588" t="s">
        <v>7128</v>
      </c>
      <c r="E9588" s="3" t="s">
        <v>3</v>
      </c>
      <c r="F9588" s="4">
        <v>5.9299999999999999E-128</v>
      </c>
      <c r="G9588" s="3">
        <v>971</v>
      </c>
      <c r="H9588" s="3">
        <v>73</v>
      </c>
      <c r="I9588" s="3">
        <v>267</v>
      </c>
      <c r="J9588" s="3">
        <v>210</v>
      </c>
      <c r="K9588" s="3">
        <v>1004</v>
      </c>
      <c r="L9588" s="3">
        <v>1</v>
      </c>
      <c r="M9588" s="3">
        <v>266</v>
      </c>
    </row>
    <row r="9589" spans="1:13" x14ac:dyDescent="0.25">
      <c r="A9589" s="1" t="str">
        <f>HYPERLINK("http://www.rosaceae.org/Prunus/Prunus_persica/p.persica_gdr_reftransV1_0013984","p.persica_gdr_reftransV1_0013984")</f>
        <v>p.persica_gdr_reftransV1_0013984</v>
      </c>
      <c r="B9589" s="3">
        <v>1395</v>
      </c>
      <c r="C9589" s="1" t="str">
        <f>HYPERLINK("http://www.uniprot.org/uniprot/RS18_THET8","RS18_THET8")</f>
        <v>RS18_THET8</v>
      </c>
      <c r="D9589" t="s">
        <v>7129</v>
      </c>
      <c r="E9589" s="3" t="s">
        <v>679</v>
      </c>
      <c r="F9589" s="4">
        <v>5.4400000000000002E-9</v>
      </c>
      <c r="G9589" s="3">
        <v>139</v>
      </c>
      <c r="H9589" s="3">
        <v>52</v>
      </c>
      <c r="I9589" s="3">
        <v>50</v>
      </c>
      <c r="J9589" s="3">
        <v>574</v>
      </c>
      <c r="K9589" s="3">
        <v>723</v>
      </c>
      <c r="L9589" s="3">
        <v>33</v>
      </c>
      <c r="M9589" s="3">
        <v>82</v>
      </c>
    </row>
    <row r="9590" spans="1:13" x14ac:dyDescent="0.25">
      <c r="A9590" s="1" t="str">
        <f>HYPERLINK("http://www.rosaceae.org/Prunus/Prunus_persica/p.persica_gdr_reftransV1_0014034","p.persica_gdr_reftransV1_0014034")</f>
        <v>p.persica_gdr_reftransV1_0014034</v>
      </c>
      <c r="B9590" s="3">
        <v>1260</v>
      </c>
      <c r="C9590" s="1" t="str">
        <f>HYPERLINK("http://www.uniprot.org/uniprot/SSRB_CANFA","SSRB_CANFA")</f>
        <v>SSRB_CANFA</v>
      </c>
      <c r="D9590" t="s">
        <v>3850</v>
      </c>
      <c r="E9590" s="3" t="s">
        <v>2940</v>
      </c>
      <c r="F9590" s="4">
        <v>1.6799999999999999E-10</v>
      </c>
      <c r="G9590" s="3">
        <v>154</v>
      </c>
      <c r="H9590" s="3">
        <v>31</v>
      </c>
      <c r="I9590" s="3">
        <v>132</v>
      </c>
      <c r="J9590" s="3">
        <v>181</v>
      </c>
      <c r="K9590" s="3">
        <v>549</v>
      </c>
      <c r="L9590" s="3">
        <v>12</v>
      </c>
      <c r="M9590" s="3">
        <v>143</v>
      </c>
    </row>
    <row r="9591" spans="1:13" x14ac:dyDescent="0.25">
      <c r="A9591" s="1" t="str">
        <f>HYPERLINK("http://www.rosaceae.org/Prunus/Prunus_persica/p.persica_gdr_reftransV1_0014084","p.persica_gdr_reftransV1_0014084")</f>
        <v>p.persica_gdr_reftransV1_0014084</v>
      </c>
      <c r="B9591" s="3">
        <v>781</v>
      </c>
      <c r="C9591" s="1" t="str">
        <f>HYPERLINK("http://www.uniprot.org/uniprot/RKF1_ARATH","RKF1_ARATH")</f>
        <v>RKF1_ARATH</v>
      </c>
      <c r="D9591" t="s">
        <v>4071</v>
      </c>
      <c r="E9591" s="3" t="s">
        <v>3</v>
      </c>
      <c r="F9591" s="4">
        <v>1.8799999999999999E-79</v>
      </c>
      <c r="G9591" s="3">
        <v>673</v>
      </c>
      <c r="H9591" s="3">
        <v>66</v>
      </c>
      <c r="I9591" s="3">
        <v>203</v>
      </c>
      <c r="J9591" s="3">
        <v>164</v>
      </c>
      <c r="K9591" s="3">
        <v>772</v>
      </c>
      <c r="L9591" s="3">
        <v>364</v>
      </c>
      <c r="M9591" s="3">
        <v>565</v>
      </c>
    </row>
    <row r="9592" spans="1:13" x14ac:dyDescent="0.25">
      <c r="A9592" s="1" t="str">
        <f>HYPERLINK("http://www.rosaceae.org/Prunus/Prunus_persica/p.persica_gdr_reftransV1_0014234","p.persica_gdr_reftransV1_0014234")</f>
        <v>p.persica_gdr_reftransV1_0014234</v>
      </c>
      <c r="B9592" s="3">
        <v>2319</v>
      </c>
      <c r="C9592" s="1" t="str">
        <f>HYPERLINK("http://www.uniprot.org/uniprot/Y3857_ARATH","Y3857_ARATH")</f>
        <v>Y3857_ARATH</v>
      </c>
      <c r="D9592" t="s">
        <v>7130</v>
      </c>
      <c r="E9592" s="3" t="s">
        <v>3</v>
      </c>
      <c r="F9592" s="4">
        <v>0</v>
      </c>
      <c r="G9592" s="3">
        <v>1896</v>
      </c>
      <c r="H9592" s="3">
        <v>66</v>
      </c>
      <c r="I9592" s="3">
        <v>593</v>
      </c>
      <c r="J9592" s="3">
        <v>135</v>
      </c>
      <c r="K9592" s="3">
        <v>1868</v>
      </c>
      <c r="L9592" s="3">
        <v>1</v>
      </c>
      <c r="M9592" s="3">
        <v>586</v>
      </c>
    </row>
    <row r="9593" spans="1:13" x14ac:dyDescent="0.25">
      <c r="A9593" s="1" t="str">
        <f>HYPERLINK("http://www.rosaceae.org/Prunus/Prunus_persica/p.persica_gdr_reftransV1_0014334","p.persica_gdr_reftransV1_0014334")</f>
        <v>p.persica_gdr_reftransV1_0014334</v>
      </c>
      <c r="B9593" s="3">
        <v>2340</v>
      </c>
      <c r="C9593" s="1" t="str">
        <f>HYPERLINK("http://www.uniprot.org/uniprot/ACCC1_POPTR","ACCC1_POPTR")</f>
        <v>ACCC1_POPTR</v>
      </c>
      <c r="D9593" t="s">
        <v>7131</v>
      </c>
      <c r="E9593" s="3" t="s">
        <v>340</v>
      </c>
      <c r="F9593" s="4">
        <v>0</v>
      </c>
      <c r="G9593" s="3">
        <v>2465</v>
      </c>
      <c r="H9593" s="3">
        <v>83</v>
      </c>
      <c r="I9593" s="3">
        <v>565</v>
      </c>
      <c r="J9593" s="3">
        <v>358</v>
      </c>
      <c r="K9593" s="3">
        <v>2052</v>
      </c>
      <c r="L9593" s="3">
        <v>1</v>
      </c>
      <c r="M9593" s="3">
        <v>520</v>
      </c>
    </row>
    <row r="9594" spans="1:13" x14ac:dyDescent="0.25">
      <c r="A9594" s="1" t="str">
        <f>HYPERLINK("http://www.rosaceae.org/Prunus/Prunus_persica/p.persica_gdr_reftransV1_0014534","p.persica_gdr_reftransV1_0014534")</f>
        <v>p.persica_gdr_reftransV1_0014534</v>
      </c>
      <c r="B9594" s="3">
        <v>1628</v>
      </c>
      <c r="C9594" s="1" t="str">
        <f>HYPERLINK("http://www.uniprot.org/uniprot/C3H11_ORYSJ","C3H11_ORYSJ")</f>
        <v>C3H11_ORYSJ</v>
      </c>
      <c r="D9594" t="s">
        <v>7132</v>
      </c>
      <c r="E9594" s="3" t="s">
        <v>38</v>
      </c>
      <c r="F9594" s="4">
        <v>1.2800000000000001E-156</v>
      </c>
      <c r="G9594" s="3">
        <v>1180</v>
      </c>
      <c r="H9594" s="3">
        <v>78</v>
      </c>
      <c r="I9594" s="3">
        <v>323</v>
      </c>
      <c r="J9594" s="3">
        <v>553</v>
      </c>
      <c r="K9594" s="3">
        <v>1515</v>
      </c>
      <c r="L9594" s="3">
        <v>1</v>
      </c>
      <c r="M9594" s="3">
        <v>321</v>
      </c>
    </row>
    <row r="9595" spans="1:13" x14ac:dyDescent="0.25">
      <c r="A9595" s="1" t="str">
        <f>HYPERLINK("http://www.rosaceae.org/Prunus/Prunus_persica/p.persica_gdr_reftransV1_0014634","p.persica_gdr_reftransV1_0014634")</f>
        <v>p.persica_gdr_reftransV1_0014634</v>
      </c>
      <c r="B9595" s="3">
        <v>2713</v>
      </c>
      <c r="C9595" s="1" t="str">
        <f>HYPERLINK("http://www.uniprot.org/uniprot/ATE1_ARATH","ATE1_ARATH")</f>
        <v>ATE1_ARATH</v>
      </c>
      <c r="D9595" t="s">
        <v>7133</v>
      </c>
      <c r="E9595" s="3" t="s">
        <v>3</v>
      </c>
      <c r="F9595" s="4">
        <v>0</v>
      </c>
      <c r="G9595" s="3">
        <v>1637</v>
      </c>
      <c r="H9595" s="3">
        <v>53</v>
      </c>
      <c r="I9595" s="3">
        <v>631</v>
      </c>
      <c r="J9595" s="3">
        <v>347</v>
      </c>
      <c r="K9595" s="3">
        <v>2179</v>
      </c>
      <c r="L9595" s="3">
        <v>18</v>
      </c>
      <c r="M9595" s="3">
        <v>631</v>
      </c>
    </row>
    <row r="9596" spans="1:13" x14ac:dyDescent="0.25">
      <c r="A9596" s="1" t="str">
        <f>HYPERLINK("http://www.rosaceae.org/Prunus/Prunus_persica/p.persica_gdr_reftransV1_0014734","p.persica_gdr_reftransV1_0014734")</f>
        <v>p.persica_gdr_reftransV1_0014734</v>
      </c>
      <c r="B9596" s="3">
        <v>3139</v>
      </c>
      <c r="C9596" s="1" t="str">
        <f>HYPERLINK("http://www.uniprot.org/uniprot/SYPM_ARATH","SYPM_ARATH")</f>
        <v>SYPM_ARATH</v>
      </c>
      <c r="D9596" t="s">
        <v>6035</v>
      </c>
      <c r="E9596" s="3" t="s">
        <v>3</v>
      </c>
      <c r="F9596" s="4">
        <v>0</v>
      </c>
      <c r="G9596" s="3">
        <v>1479</v>
      </c>
      <c r="H9596" s="3">
        <v>87</v>
      </c>
      <c r="I9596" s="3">
        <v>313</v>
      </c>
      <c r="J9596" s="3">
        <v>225</v>
      </c>
      <c r="K9596" s="3">
        <v>1163</v>
      </c>
      <c r="L9596" s="3">
        <v>40</v>
      </c>
      <c r="M9596" s="3">
        <v>348</v>
      </c>
    </row>
    <row r="9597" spans="1:13" x14ac:dyDescent="0.25">
      <c r="A9597" s="1" t="str">
        <f>HYPERLINK("http://www.rosaceae.org/Prunus/Prunus_persica/p.persica_gdr_reftransV1_0014834","p.persica_gdr_reftransV1_0014834")</f>
        <v>p.persica_gdr_reftransV1_0014834</v>
      </c>
      <c r="B9597" s="3">
        <v>1282</v>
      </c>
      <c r="C9597" s="1" t="str">
        <f>HYPERLINK("http://www.uniprot.org/uniprot/REXO4_XENLA","REXO4_XENLA")</f>
        <v>REXO4_XENLA</v>
      </c>
      <c r="D9597" t="s">
        <v>7134</v>
      </c>
      <c r="E9597" s="3" t="s">
        <v>475</v>
      </c>
      <c r="F9597" s="4">
        <v>2.2600000000000002E-52</v>
      </c>
      <c r="G9597" s="3">
        <v>474</v>
      </c>
      <c r="H9597" s="3">
        <v>52</v>
      </c>
      <c r="I9597" s="3">
        <v>163</v>
      </c>
      <c r="J9597" s="3">
        <v>278</v>
      </c>
      <c r="K9597" s="3">
        <v>760</v>
      </c>
      <c r="L9597" s="3">
        <v>231</v>
      </c>
      <c r="M9597" s="3">
        <v>393</v>
      </c>
    </row>
    <row r="9598" spans="1:13" x14ac:dyDescent="0.25">
      <c r="A9598" s="1" t="str">
        <f>HYPERLINK("http://www.rosaceae.org/Prunus/Prunus_persica/p.persica_gdr_reftransV1_0014934","p.persica_gdr_reftransV1_0014934")</f>
        <v>p.persica_gdr_reftransV1_0014934</v>
      </c>
      <c r="B9598" s="3">
        <v>722</v>
      </c>
      <c r="C9598" s="1" t="str">
        <f>HYPERLINK("http://www.uniprot.org/uniprot/MD37C_ARATH","MD37C_ARATH")</f>
        <v>MD37C_ARATH</v>
      </c>
      <c r="D9598" t="s">
        <v>1010</v>
      </c>
      <c r="E9598" s="3" t="s">
        <v>3</v>
      </c>
      <c r="F9598" s="4">
        <v>5.0600000000000003E-46</v>
      </c>
      <c r="G9598" s="3">
        <v>421</v>
      </c>
      <c r="H9598" s="3">
        <v>61</v>
      </c>
      <c r="I9598" s="3">
        <v>165</v>
      </c>
      <c r="J9598" s="3">
        <v>230</v>
      </c>
      <c r="K9598" s="3">
        <v>721</v>
      </c>
      <c r="L9598" s="3">
        <v>366</v>
      </c>
      <c r="M9598" s="3">
        <v>529</v>
      </c>
    </row>
    <row r="9599" spans="1:13" x14ac:dyDescent="0.25">
      <c r="A9599" s="1" t="str">
        <f>HYPERLINK("http://www.rosaceae.org/Prunus/Prunus_persica/p.persica_gdr_reftransV1_0015034","p.persica_gdr_reftransV1_0015034")</f>
        <v>p.persica_gdr_reftransV1_0015034</v>
      </c>
      <c r="B9599" s="3">
        <v>2294</v>
      </c>
      <c r="C9599" s="1" t="str">
        <f>HYPERLINK("http://www.uniprot.org/uniprot/RBP47_NICPL","RBP47_NICPL")</f>
        <v>RBP47_NICPL</v>
      </c>
      <c r="D9599" t="s">
        <v>2751</v>
      </c>
      <c r="E9599" s="3" t="s">
        <v>1450</v>
      </c>
      <c r="F9599" s="4">
        <v>3.2400000000000001E-90</v>
      </c>
      <c r="G9599" s="3">
        <v>758</v>
      </c>
      <c r="H9599" s="3">
        <v>73</v>
      </c>
      <c r="I9599" s="3">
        <v>180</v>
      </c>
      <c r="J9599" s="3">
        <v>1320</v>
      </c>
      <c r="K9599" s="3">
        <v>1859</v>
      </c>
      <c r="L9599" s="3">
        <v>79</v>
      </c>
      <c r="M9599" s="3">
        <v>258</v>
      </c>
    </row>
    <row r="9600" spans="1:13" x14ac:dyDescent="0.25">
      <c r="A9600" s="1" t="str">
        <f>HYPERLINK("http://www.rosaceae.org/Prunus/Prunus_persica/p.persica_gdr_reftransV1_0015084","p.persica_gdr_reftransV1_0015084")</f>
        <v>p.persica_gdr_reftransV1_0015084</v>
      </c>
      <c r="B9600" s="3">
        <v>6167</v>
      </c>
      <c r="C9600" s="1" t="str">
        <f>HYPERLINK("http://www.uniprot.org/uniprot/YEJJ_SCHPO","YEJJ_SCHPO")</f>
        <v>YEJJ_SCHPO</v>
      </c>
      <c r="D9600" t="s">
        <v>7135</v>
      </c>
      <c r="E9600" s="3" t="s">
        <v>464</v>
      </c>
      <c r="F9600" s="4">
        <v>1.6000000000000001E-88</v>
      </c>
      <c r="G9600" s="3">
        <v>823</v>
      </c>
      <c r="H9600" s="3">
        <v>62</v>
      </c>
      <c r="I9600" s="3">
        <v>233</v>
      </c>
      <c r="J9600" s="3">
        <v>2042</v>
      </c>
      <c r="K9600" s="3">
        <v>2740</v>
      </c>
      <c r="L9600" s="3">
        <v>264</v>
      </c>
      <c r="M9600" s="3">
        <v>496</v>
      </c>
    </row>
    <row r="9601" spans="1:13" x14ac:dyDescent="0.25">
      <c r="A9601" s="1" t="str">
        <f>HYPERLINK("http://www.rosaceae.org/Prunus/Prunus_persica/p.persica_gdr_reftransV1_0015134","p.persica_gdr_reftransV1_0015134")</f>
        <v>p.persica_gdr_reftransV1_0015134</v>
      </c>
      <c r="B9601" s="3">
        <v>1779</v>
      </c>
      <c r="C9601" s="1" t="str">
        <f>HYPERLINK("http://www.uniprot.org/uniprot/idM1_ARATH","idM1_ARATH")</f>
        <v>idM1_ARATH</v>
      </c>
      <c r="D9601" t="s">
        <v>1345</v>
      </c>
      <c r="E9601" s="3" t="s">
        <v>3</v>
      </c>
      <c r="F9601" s="4">
        <v>4.58E-39</v>
      </c>
      <c r="G9601" s="3">
        <v>399</v>
      </c>
      <c r="H9601" s="3">
        <v>28</v>
      </c>
      <c r="I9601" s="3">
        <v>445</v>
      </c>
      <c r="J9601" s="3">
        <v>251</v>
      </c>
      <c r="K9601" s="3">
        <v>1501</v>
      </c>
      <c r="L9601" s="3">
        <v>651</v>
      </c>
      <c r="M9601" s="3">
        <v>1023</v>
      </c>
    </row>
    <row r="9602" spans="1:13" x14ac:dyDescent="0.25">
      <c r="A9602" s="1" t="str">
        <f>HYPERLINK("http://www.rosaceae.org/Prunus/Prunus_persica/p.persica_gdr_reftransV1_0015184","p.persica_gdr_reftransV1_0015184")</f>
        <v>p.persica_gdr_reftransV1_0015184</v>
      </c>
      <c r="B9602" s="3">
        <v>3591</v>
      </c>
      <c r="C9602" s="1" t="str">
        <f>HYPERLINK("http://www.uniprot.org/uniprot/DNAJ_THEEB","DNAJ_THEEB")</f>
        <v>DNAJ_THEEB</v>
      </c>
      <c r="D9602" t="s">
        <v>7136</v>
      </c>
      <c r="E9602" s="3" t="s">
        <v>5446</v>
      </c>
      <c r="F9602" s="4">
        <v>1.5400000000000001E-88</v>
      </c>
      <c r="G9602" s="3">
        <v>758</v>
      </c>
      <c r="H9602" s="3">
        <v>48</v>
      </c>
      <c r="I9602" s="3">
        <v>328</v>
      </c>
      <c r="J9602" s="3">
        <v>2247</v>
      </c>
      <c r="K9602" s="3">
        <v>3209</v>
      </c>
      <c r="L9602" s="3">
        <v>37</v>
      </c>
      <c r="M9602" s="3">
        <v>353</v>
      </c>
    </row>
    <row r="9603" spans="1:13" x14ac:dyDescent="0.25">
      <c r="A9603" s="1" t="str">
        <f>HYPERLINK("http://www.rosaceae.org/Prunus/Prunus_persica/p.persica_gdr_reftransV1_0015234","p.persica_gdr_reftransV1_0015234")</f>
        <v>p.persica_gdr_reftransV1_0015234</v>
      </c>
      <c r="B9603" s="3">
        <v>2664</v>
      </c>
      <c r="C9603" s="1" t="str">
        <f>HYPERLINK("http://www.uniprot.org/uniprot/BAM4_ARATH","BAM4_ARATH")</f>
        <v>BAM4_ARATH</v>
      </c>
      <c r="D9603" t="s">
        <v>7137</v>
      </c>
      <c r="E9603" s="3" t="s">
        <v>3</v>
      </c>
      <c r="F9603" s="4">
        <v>2.05E-144</v>
      </c>
      <c r="G9603" s="3">
        <v>1145</v>
      </c>
      <c r="H9603" s="3">
        <v>70</v>
      </c>
      <c r="I9603" s="3">
        <v>325</v>
      </c>
      <c r="J9603" s="3">
        <v>152</v>
      </c>
      <c r="K9603" s="3">
        <v>1120</v>
      </c>
      <c r="L9603" s="3">
        <v>30</v>
      </c>
      <c r="M9603" s="3">
        <v>350</v>
      </c>
    </row>
    <row r="9604" spans="1:13" x14ac:dyDescent="0.25">
      <c r="A9604" s="1" t="str">
        <f>HYPERLINK("http://www.rosaceae.org/Prunus/Prunus_persica/p.persica_gdr_reftransV1_0015384","p.persica_gdr_reftransV1_0015384")</f>
        <v>p.persica_gdr_reftransV1_0015384</v>
      </c>
      <c r="B9604" s="3">
        <v>1496</v>
      </c>
      <c r="C9604" s="1" t="str">
        <f>HYPERLINK("http://www.uniprot.org/uniprot/CALSC_ARATH","CALSC_ARATH")</f>
        <v>CALSC_ARATH</v>
      </c>
      <c r="D9604" t="s">
        <v>6287</v>
      </c>
      <c r="E9604" s="3" t="s">
        <v>3</v>
      </c>
      <c r="F9604" s="4">
        <v>2.1399999999999999E-159</v>
      </c>
      <c r="G9604" s="3">
        <v>1291</v>
      </c>
      <c r="H9604" s="3">
        <v>79</v>
      </c>
      <c r="I9604" s="3">
        <v>334</v>
      </c>
      <c r="J9604" s="3">
        <v>497</v>
      </c>
      <c r="K9604" s="3">
        <v>1495</v>
      </c>
      <c r="L9604" s="3">
        <v>1446</v>
      </c>
      <c r="M9604" s="3">
        <v>1779</v>
      </c>
    </row>
    <row r="9605" spans="1:13" x14ac:dyDescent="0.25">
      <c r="A9605" s="1" t="str">
        <f>HYPERLINK("http://www.rosaceae.org/Prunus/Prunus_persica/p.persica_gdr_reftransV1_0015484","p.persica_gdr_reftransV1_0015484")</f>
        <v>p.persica_gdr_reftransV1_0015484</v>
      </c>
      <c r="B9605" s="3">
        <v>2192</v>
      </c>
      <c r="C9605" s="1" t="str">
        <f>HYPERLINK("http://www.uniprot.org/uniprot/DNJ36_ARATH","DNJ36_ARATH")</f>
        <v>DNJ36_ARATH</v>
      </c>
      <c r="D9605" t="s">
        <v>7138</v>
      </c>
      <c r="E9605" s="3" t="s">
        <v>3</v>
      </c>
      <c r="F9605" s="4">
        <v>5.1499999999999999E-157</v>
      </c>
      <c r="G9605" s="3">
        <v>1148</v>
      </c>
      <c r="H9605" s="3">
        <v>80</v>
      </c>
      <c r="I9605" s="3">
        <v>326</v>
      </c>
      <c r="J9605" s="3">
        <v>398</v>
      </c>
      <c r="K9605" s="3">
        <v>1375</v>
      </c>
      <c r="L9605" s="3">
        <v>98</v>
      </c>
      <c r="M9605" s="3">
        <v>422</v>
      </c>
    </row>
    <row r="9606" spans="1:13" x14ac:dyDescent="0.25">
      <c r="A9606" s="1" t="str">
        <f>HYPERLINK("http://www.rosaceae.org/Prunus/Prunus_persica/p.persica_gdr_reftransV1_0015584","p.persica_gdr_reftransV1_0015584")</f>
        <v>p.persica_gdr_reftransV1_0015584</v>
      </c>
      <c r="B9606" s="3">
        <v>677</v>
      </c>
      <c r="C9606" s="1" t="str">
        <f>HYPERLINK("http://www.uniprot.org/uniprot/GRXC9_ARATH","GRXC9_ARATH")</f>
        <v>GRXC9_ARATH</v>
      </c>
      <c r="D9606" t="s">
        <v>7139</v>
      </c>
      <c r="E9606" s="3" t="s">
        <v>3</v>
      </c>
      <c r="F9606" s="4">
        <v>8.8999999999999995E-32</v>
      </c>
      <c r="G9606" s="3">
        <v>296</v>
      </c>
      <c r="H9606" s="3">
        <v>57</v>
      </c>
      <c r="I9606" s="3">
        <v>113</v>
      </c>
      <c r="J9606" s="3">
        <v>153</v>
      </c>
      <c r="K9606" s="3">
        <v>491</v>
      </c>
      <c r="L9606" s="3">
        <v>28</v>
      </c>
      <c r="M9606" s="3">
        <v>137</v>
      </c>
    </row>
    <row r="9607" spans="1:13" x14ac:dyDescent="0.25">
      <c r="A9607" s="1" t="str">
        <f>HYPERLINK("http://www.rosaceae.org/Prunus/Prunus_persica/p.persica_gdr_reftransV1_0015684","p.persica_gdr_reftransV1_0015684")</f>
        <v>p.persica_gdr_reftransV1_0015684</v>
      </c>
      <c r="B9607" s="3">
        <v>2259</v>
      </c>
      <c r="C9607" s="1" t="str">
        <f>HYPERLINK("http://www.uniprot.org/uniprot/C82A3_SOYBN","C82A3_SOYBN")</f>
        <v>C82A3_SOYBN</v>
      </c>
      <c r="D9607" t="s">
        <v>1355</v>
      </c>
      <c r="E9607" s="3" t="s">
        <v>307</v>
      </c>
      <c r="F9607" s="4">
        <v>9.9299999999999994E-148</v>
      </c>
      <c r="G9607" s="3">
        <v>765</v>
      </c>
      <c r="H9607" s="3">
        <v>65</v>
      </c>
      <c r="I9607" s="3">
        <v>205</v>
      </c>
      <c r="J9607" s="3">
        <v>1069</v>
      </c>
      <c r="K9607" s="3">
        <v>1683</v>
      </c>
      <c r="L9607" s="3">
        <v>320</v>
      </c>
      <c r="M9607" s="3">
        <v>524</v>
      </c>
    </row>
    <row r="9608" spans="1:13" x14ac:dyDescent="0.25">
      <c r="A9608" s="1" t="str">
        <f>HYPERLINK("http://www.rosaceae.org/Prunus/Prunus_persica/p.persica_gdr_reftransV1_0015934","p.persica_gdr_reftransV1_0015934")</f>
        <v>p.persica_gdr_reftransV1_0015934</v>
      </c>
      <c r="B9608" s="3">
        <v>5425</v>
      </c>
      <c r="C9608" s="1" t="str">
        <f>HYPERLINK("http://www.uniprot.org/uniprot/HUAL3_ARATH","HUAL3_ARATH")</f>
        <v>HUAL3_ARATH</v>
      </c>
      <c r="D9608" t="s">
        <v>7140</v>
      </c>
      <c r="E9608" s="3" t="s">
        <v>3</v>
      </c>
      <c r="F9608" s="4">
        <v>3.4199999999999999E-77</v>
      </c>
      <c r="G9608" s="3">
        <v>733</v>
      </c>
      <c r="H9608" s="3">
        <v>40</v>
      </c>
      <c r="I9608" s="3">
        <v>538</v>
      </c>
      <c r="J9608" s="3">
        <v>374</v>
      </c>
      <c r="K9608" s="3">
        <v>1867</v>
      </c>
      <c r="L9608" s="3">
        <v>23</v>
      </c>
      <c r="M9608" s="3">
        <v>537</v>
      </c>
    </row>
    <row r="9609" spans="1:13" x14ac:dyDescent="0.25">
      <c r="A9609" s="1" t="str">
        <f>HYPERLINK("http://www.rosaceae.org/Prunus/Prunus_persica/p.persica_gdr_reftransV1_0016034","p.persica_gdr_reftransV1_0016034")</f>
        <v>p.persica_gdr_reftransV1_0016034</v>
      </c>
      <c r="B9609" s="3">
        <v>2815</v>
      </c>
      <c r="C9609" s="1" t="str">
        <f>HYPERLINK("http://www.uniprot.org/uniprot/Y1343_ARATH","Y1343_ARATH")</f>
        <v>Y1343_ARATH</v>
      </c>
      <c r="D9609" t="s">
        <v>1207</v>
      </c>
      <c r="E9609" s="3" t="s">
        <v>3</v>
      </c>
      <c r="F9609" s="4">
        <v>0</v>
      </c>
      <c r="G9609" s="3">
        <v>2388</v>
      </c>
      <c r="H9609" s="3">
        <v>64</v>
      </c>
      <c r="I9609" s="3">
        <v>770</v>
      </c>
      <c r="J9609" s="3">
        <v>154</v>
      </c>
      <c r="K9609" s="3">
        <v>2451</v>
      </c>
      <c r="L9609" s="3">
        <v>25</v>
      </c>
      <c r="M9609" s="3">
        <v>782</v>
      </c>
    </row>
    <row r="9610" spans="1:13" x14ac:dyDescent="0.25">
      <c r="A9610" s="1" t="str">
        <f>HYPERLINK("http://www.rosaceae.org/Prunus/Prunus_persica/p.persica_gdr_reftransV1_0016084","p.persica_gdr_reftransV1_0016084")</f>
        <v>p.persica_gdr_reftransV1_0016084</v>
      </c>
      <c r="B9610" s="3">
        <v>6613</v>
      </c>
      <c r="C9610" s="1" t="str">
        <f>HYPERLINK("http://www.uniprot.org/uniprot/YGBJ_ECOLI","YGBJ_ECOLI")</f>
        <v>YGBJ_ECOLI</v>
      </c>
      <c r="D9610" t="s">
        <v>3861</v>
      </c>
      <c r="E9610" s="3" t="s">
        <v>2372</v>
      </c>
      <c r="F9610" s="4">
        <v>1.7499999999999999E-60</v>
      </c>
      <c r="G9610" s="3">
        <v>553</v>
      </c>
      <c r="H9610" s="3">
        <v>42</v>
      </c>
      <c r="I9610" s="3">
        <v>296</v>
      </c>
      <c r="J9610" s="3">
        <v>4707</v>
      </c>
      <c r="K9610" s="3">
        <v>5585</v>
      </c>
      <c r="L9610" s="3">
        <v>8</v>
      </c>
      <c r="M9610" s="3">
        <v>301</v>
      </c>
    </row>
    <row r="9611" spans="1:13" x14ac:dyDescent="0.25">
      <c r="A9611" s="1" t="str">
        <f>HYPERLINK("http://www.rosaceae.org/Prunus/Prunus_persica/p.persica_gdr_reftransV1_0016134","p.persica_gdr_reftransV1_0016134")</f>
        <v>p.persica_gdr_reftransV1_0016134</v>
      </c>
      <c r="B9611" s="3">
        <v>936</v>
      </c>
      <c r="C9611" s="1" t="str">
        <f>HYPERLINK("http://www.uniprot.org/uniprot/HIKES_DANRE","HIKES_DANRE")</f>
        <v>HIKES_DANRE</v>
      </c>
      <c r="D9611" t="s">
        <v>7141</v>
      </c>
      <c r="E9611" s="3" t="s">
        <v>704</v>
      </c>
      <c r="F9611" s="4">
        <v>2.0500000000000002E-9</v>
      </c>
      <c r="G9611" s="3">
        <v>143</v>
      </c>
      <c r="H9611" s="3">
        <v>28</v>
      </c>
      <c r="I9611" s="3">
        <v>167</v>
      </c>
      <c r="J9611" s="3">
        <v>339</v>
      </c>
      <c r="K9611" s="3">
        <v>776</v>
      </c>
      <c r="L9611" s="3">
        <v>30</v>
      </c>
      <c r="M9611" s="3">
        <v>196</v>
      </c>
    </row>
    <row r="9612" spans="1:13" x14ac:dyDescent="0.25">
      <c r="A9612" s="1" t="str">
        <f>HYPERLINK("http://www.rosaceae.org/Prunus/Prunus_persica/p.persica_gdr_reftransV1_0016184","p.persica_gdr_reftransV1_0016184")</f>
        <v>p.persica_gdr_reftransV1_0016184</v>
      </c>
      <c r="B9612" s="3">
        <v>2134</v>
      </c>
      <c r="C9612" s="1" t="str">
        <f>HYPERLINK("http://www.uniprot.org/uniprot/CBK1_PNECA","CBK1_PNECA")</f>
        <v>CBK1_PNECA</v>
      </c>
      <c r="D9612" t="s">
        <v>5231</v>
      </c>
      <c r="E9612" s="3" t="s">
        <v>5232</v>
      </c>
      <c r="F9612" s="4">
        <v>5.1599999999999994E-116</v>
      </c>
      <c r="G9612" s="3">
        <v>937</v>
      </c>
      <c r="H9612" s="3">
        <v>50</v>
      </c>
      <c r="I9612" s="3">
        <v>356</v>
      </c>
      <c r="J9612" s="3">
        <v>11</v>
      </c>
      <c r="K9612" s="3">
        <v>1051</v>
      </c>
      <c r="L9612" s="3">
        <v>148</v>
      </c>
      <c r="M9612" s="3">
        <v>502</v>
      </c>
    </row>
    <row r="9613" spans="1:13" x14ac:dyDescent="0.25">
      <c r="A9613" s="1" t="str">
        <f>HYPERLINK("http://www.rosaceae.org/Prunus/Prunus_persica/p.persica_gdr_reftransV1_0016284","p.persica_gdr_reftransV1_0016284")</f>
        <v>p.persica_gdr_reftransV1_0016284</v>
      </c>
      <c r="B9613" s="3">
        <v>1477</v>
      </c>
      <c r="C9613" s="1" t="str">
        <f>HYPERLINK("http://www.uniprot.org/uniprot/HY6H_HYONI","HY6H_HYONI")</f>
        <v>HY6H_HYONI</v>
      </c>
      <c r="D9613" t="s">
        <v>2546</v>
      </c>
      <c r="E9613" s="3" t="s">
        <v>2547</v>
      </c>
      <c r="F9613" s="4">
        <v>2.7400000000000001E-16</v>
      </c>
      <c r="G9613" s="3">
        <v>158</v>
      </c>
      <c r="H9613" s="3">
        <v>33</v>
      </c>
      <c r="I9613" s="3">
        <v>114</v>
      </c>
      <c r="J9613" s="3">
        <v>634</v>
      </c>
      <c r="K9613" s="3">
        <v>975</v>
      </c>
      <c r="L9613" s="3">
        <v>155</v>
      </c>
      <c r="M9613" s="3">
        <v>266</v>
      </c>
    </row>
    <row r="9614" spans="1:13" x14ac:dyDescent="0.25">
      <c r="A9614" s="1" t="str">
        <f>HYPERLINK("http://www.rosaceae.org/Prunus/Prunus_persica/p.persica_gdr_reftransV1_0016634","p.persica_gdr_reftransV1_0016634")</f>
        <v>p.persica_gdr_reftransV1_0016634</v>
      </c>
      <c r="B9614" s="3">
        <v>1746</v>
      </c>
      <c r="C9614" s="1" t="str">
        <f>HYPERLINK("http://www.uniprot.org/uniprot/HQGT_RAUSE","HQGT_RAUSE")</f>
        <v>HQGT_RAUSE</v>
      </c>
      <c r="D9614" t="s">
        <v>7142</v>
      </c>
      <c r="E9614" s="3" t="s">
        <v>2816</v>
      </c>
      <c r="F9614" s="4">
        <v>0</v>
      </c>
      <c r="G9614" s="3">
        <v>1528</v>
      </c>
      <c r="H9614" s="3">
        <v>60</v>
      </c>
      <c r="I9614" s="3">
        <v>462</v>
      </c>
      <c r="J9614" s="3">
        <v>187</v>
      </c>
      <c r="K9614" s="3">
        <v>1572</v>
      </c>
      <c r="L9614" s="3">
        <v>5</v>
      </c>
      <c r="M9614" s="3">
        <v>465</v>
      </c>
    </row>
    <row r="9615" spans="1:13" x14ac:dyDescent="0.25">
      <c r="A9615" s="1" t="str">
        <f>HYPERLINK("http://www.rosaceae.org/Prunus/Prunus_persica/p.persica_gdr_reftransV1_0016684","p.persica_gdr_reftransV1_0016684")</f>
        <v>p.persica_gdr_reftransV1_0016684</v>
      </c>
      <c r="B9615" s="3">
        <v>2198</v>
      </c>
      <c r="C9615" s="1" t="str">
        <f>HYPERLINK("http://www.uniprot.org/uniprot/UFOG5_MANES","UFOG5_MANES")</f>
        <v>UFOG5_MANES</v>
      </c>
      <c r="D9615" t="s">
        <v>4222</v>
      </c>
      <c r="E9615" s="3" t="s">
        <v>1797</v>
      </c>
      <c r="F9615" s="4">
        <v>8.4200000000000004E-167</v>
      </c>
      <c r="G9615" s="3">
        <v>1051</v>
      </c>
      <c r="H9615" s="3">
        <v>63</v>
      </c>
      <c r="I9615" s="3">
        <v>321</v>
      </c>
      <c r="J9615" s="3">
        <v>404</v>
      </c>
      <c r="K9615" s="3">
        <v>1366</v>
      </c>
      <c r="L9615" s="3">
        <v>8</v>
      </c>
      <c r="M9615" s="3">
        <v>323</v>
      </c>
    </row>
    <row r="9616" spans="1:13" x14ac:dyDescent="0.25">
      <c r="A9616" s="1" t="str">
        <f>HYPERLINK("http://www.rosaceae.org/Prunus/Prunus_persica/p.persica_gdr_reftransV1_0016734","p.persica_gdr_reftransV1_0016734")</f>
        <v>p.persica_gdr_reftransV1_0016734</v>
      </c>
      <c r="B9616" s="3">
        <v>894</v>
      </c>
      <c r="C9616" s="1" t="str">
        <f>HYPERLINK("http://www.uniprot.org/uniprot/HTPG_RHOPB","HTPG_RHOPB")</f>
        <v>HTPG_RHOPB</v>
      </c>
      <c r="D9616" t="s">
        <v>7143</v>
      </c>
      <c r="E9616" s="3" t="s">
        <v>4398</v>
      </c>
      <c r="F9616" s="4">
        <v>1.75E-39</v>
      </c>
      <c r="G9616" s="3">
        <v>378</v>
      </c>
      <c r="H9616" s="3">
        <v>57</v>
      </c>
      <c r="I9616" s="3">
        <v>145</v>
      </c>
      <c r="J9616" s="3">
        <v>3</v>
      </c>
      <c r="K9616" s="3">
        <v>437</v>
      </c>
      <c r="L9616" s="3">
        <v>4</v>
      </c>
      <c r="M9616" s="3">
        <v>145</v>
      </c>
    </row>
    <row r="9617" spans="1:13" x14ac:dyDescent="0.25">
      <c r="A9617" s="1" t="str">
        <f>HYPERLINK("http://www.rosaceae.org/Prunus/Prunus_persica/p.persica_gdr_reftransV1_0016784","p.persica_gdr_reftransV1_0016784")</f>
        <v>p.persica_gdr_reftransV1_0016784</v>
      </c>
      <c r="B9617" s="3">
        <v>543</v>
      </c>
      <c r="C9617" s="1" t="str">
        <f>HYPERLINK("http://www.uniprot.org/uniprot/POLX_TOBAC","POLX_TOBAC")</f>
        <v>POLX_TOBAC</v>
      </c>
      <c r="D9617" t="s">
        <v>1253</v>
      </c>
      <c r="E9617" s="3" t="s">
        <v>200</v>
      </c>
      <c r="F9617" s="4">
        <v>2.1999999999999998E-19</v>
      </c>
      <c r="G9617" s="3">
        <v>223</v>
      </c>
      <c r="H9617" s="3">
        <v>38</v>
      </c>
      <c r="I9617" s="3">
        <v>110</v>
      </c>
      <c r="J9617" s="3">
        <v>3</v>
      </c>
      <c r="K9617" s="3">
        <v>332</v>
      </c>
      <c r="L9617" s="3">
        <v>419</v>
      </c>
      <c r="M9617" s="3">
        <v>528</v>
      </c>
    </row>
    <row r="9618" spans="1:13" x14ac:dyDescent="0.25">
      <c r="A9618" s="1" t="str">
        <f>HYPERLINK("http://www.rosaceae.org/Prunus/Prunus_persica/p.persica_gdr_reftransV1_0016984","p.persica_gdr_reftransV1_0016984")</f>
        <v>p.persica_gdr_reftransV1_0016984</v>
      </c>
      <c r="B9618" s="3">
        <v>4051</v>
      </c>
      <c r="C9618" s="1" t="str">
        <f>HYPERLINK("http://www.uniprot.org/uniprot/STXB5_MOUSE","STXB5_MOUSE")</f>
        <v>STXB5_MOUSE</v>
      </c>
      <c r="D9618" t="s">
        <v>7144</v>
      </c>
      <c r="E9618" s="3" t="s">
        <v>157</v>
      </c>
      <c r="F9618" s="4">
        <v>2.91E-15</v>
      </c>
      <c r="G9618" s="3">
        <v>210</v>
      </c>
      <c r="H9618" s="3">
        <v>24</v>
      </c>
      <c r="I9618" s="3">
        <v>347</v>
      </c>
      <c r="J9618" s="3">
        <v>210</v>
      </c>
      <c r="K9618" s="3">
        <v>1199</v>
      </c>
      <c r="L9618" s="3">
        <v>41</v>
      </c>
      <c r="M9618" s="3">
        <v>331</v>
      </c>
    </row>
    <row r="9619" spans="1:13" x14ac:dyDescent="0.25">
      <c r="A9619" s="1" t="str">
        <f>HYPERLINK("http://www.rosaceae.org/Prunus/Prunus_persica/p.persica_gdr_reftransV1_0017234","p.persica_gdr_reftransV1_0017234")</f>
        <v>p.persica_gdr_reftransV1_0017234</v>
      </c>
      <c r="B9619" s="3">
        <v>1622</v>
      </c>
      <c r="C9619" s="1" t="str">
        <f>HYPERLINK("http://www.uniprot.org/uniprot/Y2267_ARATH","Y2267_ARATH")</f>
        <v>Y2267_ARATH</v>
      </c>
      <c r="D9619" t="s">
        <v>2221</v>
      </c>
      <c r="E9619" s="3" t="s">
        <v>3</v>
      </c>
      <c r="F9619" s="4">
        <v>1.8700000000000001E-55</v>
      </c>
      <c r="G9619" s="3">
        <v>515</v>
      </c>
      <c r="H9619" s="3">
        <v>34</v>
      </c>
      <c r="I9619" s="3">
        <v>447</v>
      </c>
      <c r="J9619" s="3">
        <v>4</v>
      </c>
      <c r="K9619" s="3">
        <v>1278</v>
      </c>
      <c r="L9619" s="3">
        <v>198</v>
      </c>
      <c r="M9619" s="3">
        <v>626</v>
      </c>
    </row>
    <row r="9620" spans="1:13" x14ac:dyDescent="0.25">
      <c r="A9620" s="1" t="str">
        <f>HYPERLINK("http://www.rosaceae.org/Prunus/Prunus_persica/p.persica_gdr_reftransV1_0017284","p.persica_gdr_reftransV1_0017284")</f>
        <v>p.persica_gdr_reftransV1_0017284</v>
      </c>
      <c r="B9620" s="3">
        <v>884</v>
      </c>
      <c r="C9620" s="1" t="str">
        <f>HYPERLINK("http://www.uniprot.org/uniprot/MYBC_MAIZE","MYBC_MAIZE")</f>
        <v>MYBC_MAIZE</v>
      </c>
      <c r="D9620" t="s">
        <v>2070</v>
      </c>
      <c r="E9620" s="3" t="s">
        <v>72</v>
      </c>
      <c r="F9620" s="4">
        <v>6.0799999999999996E-48</v>
      </c>
      <c r="G9620" s="3">
        <v>423</v>
      </c>
      <c r="H9620" s="3">
        <v>73</v>
      </c>
      <c r="I9620" s="3">
        <v>106</v>
      </c>
      <c r="J9620" s="3">
        <v>415</v>
      </c>
      <c r="K9620" s="3">
        <v>732</v>
      </c>
      <c r="L9620" s="3">
        <v>7</v>
      </c>
      <c r="M9620" s="3">
        <v>112</v>
      </c>
    </row>
    <row r="9621" spans="1:13" x14ac:dyDescent="0.25">
      <c r="A9621" s="1" t="str">
        <f>HYPERLINK("http://www.rosaceae.org/Prunus/Prunus_persica/p.persica_gdr_reftransV1_0017334","p.persica_gdr_reftransV1_0017334")</f>
        <v>p.persica_gdr_reftransV1_0017334</v>
      </c>
      <c r="B9621" s="3">
        <v>618</v>
      </c>
      <c r="C9621" s="1" t="str">
        <f>HYPERLINK("http://www.uniprot.org/uniprot/BABL_LILLO","BABL_LILLO")</f>
        <v>BABL_LILLO</v>
      </c>
      <c r="D9621" t="s">
        <v>7145</v>
      </c>
      <c r="E9621" s="3" t="s">
        <v>3887</v>
      </c>
      <c r="F9621" s="4">
        <v>1.8200000000000001E-21</v>
      </c>
      <c r="G9621" s="3">
        <v>223</v>
      </c>
      <c r="H9621" s="3">
        <v>47</v>
      </c>
      <c r="I9621" s="3">
        <v>96</v>
      </c>
      <c r="J9621" s="3">
        <v>122</v>
      </c>
      <c r="K9621" s="3">
        <v>409</v>
      </c>
      <c r="L9621" s="3">
        <v>33</v>
      </c>
      <c r="M9621" s="3">
        <v>125</v>
      </c>
    </row>
    <row r="9622" spans="1:13" x14ac:dyDescent="0.25">
      <c r="A9622" s="1" t="str">
        <f>HYPERLINK("http://www.rosaceae.org/Prunus/Prunus_persica/p.persica_gdr_reftransV1_0017434","p.persica_gdr_reftransV1_0017434")</f>
        <v>p.persica_gdr_reftransV1_0017434</v>
      </c>
      <c r="B9622" s="3">
        <v>1685</v>
      </c>
      <c r="C9622" s="1" t="str">
        <f>HYPERLINK("http://www.uniprot.org/uniprot/FBL23_ARATH","FBL23_ARATH")</f>
        <v>FBL23_ARATH</v>
      </c>
      <c r="D9622" t="s">
        <v>7146</v>
      </c>
      <c r="E9622" s="3" t="s">
        <v>3</v>
      </c>
      <c r="F9622" s="4">
        <v>1.47E-72</v>
      </c>
      <c r="G9622" s="3">
        <v>625</v>
      </c>
      <c r="H9622" s="3">
        <v>49</v>
      </c>
      <c r="I9622" s="3">
        <v>270</v>
      </c>
      <c r="J9622" s="3">
        <v>595</v>
      </c>
      <c r="K9622" s="3">
        <v>1404</v>
      </c>
      <c r="L9622" s="3">
        <v>177</v>
      </c>
      <c r="M9622" s="3">
        <v>418</v>
      </c>
    </row>
    <row r="9623" spans="1:13" x14ac:dyDescent="0.25">
      <c r="A9623" s="1" t="str">
        <f>HYPERLINK("http://www.rosaceae.org/Prunus/Prunus_persica/p.persica_gdr_reftransV1_0017584","p.persica_gdr_reftransV1_0017584")</f>
        <v>p.persica_gdr_reftransV1_0017584</v>
      </c>
      <c r="B9623" s="3">
        <v>5255</v>
      </c>
      <c r="C9623" s="1" t="str">
        <f>HYPERLINK("http://www.uniprot.org/uniprot/RTOR1_ARATH","RTOR1_ARATH")</f>
        <v>RTOR1_ARATH</v>
      </c>
      <c r="D9623" t="s">
        <v>7147</v>
      </c>
      <c r="E9623" s="3" t="s">
        <v>3</v>
      </c>
      <c r="F9623" s="4">
        <v>0</v>
      </c>
      <c r="G9623" s="3">
        <v>3516</v>
      </c>
      <c r="H9623" s="3">
        <v>79</v>
      </c>
      <c r="I9623" s="3">
        <v>915</v>
      </c>
      <c r="J9623" s="3">
        <v>2134</v>
      </c>
      <c r="K9623" s="3">
        <v>4836</v>
      </c>
      <c r="L9623" s="3">
        <v>1</v>
      </c>
      <c r="M9623" s="3">
        <v>905</v>
      </c>
    </row>
    <row r="9624" spans="1:13" x14ac:dyDescent="0.25">
      <c r="A9624" s="1" t="str">
        <f>HYPERLINK("http://www.rosaceae.org/Prunus/Prunus_persica/p.persica_gdr_reftransV1_0017634","p.persica_gdr_reftransV1_0017634")</f>
        <v>p.persica_gdr_reftransV1_0017634</v>
      </c>
      <c r="B9624" s="3">
        <v>3152</v>
      </c>
      <c r="C9624" s="1" t="str">
        <f>HYPERLINK("http://www.uniprot.org/uniprot/DJC21_DANRE","DJC21_DANRE")</f>
        <v>DJC21_DANRE</v>
      </c>
      <c r="D9624" t="s">
        <v>7148</v>
      </c>
      <c r="E9624" s="3" t="s">
        <v>704</v>
      </c>
      <c r="F9624" s="4">
        <v>2.8900000000000001E-49</v>
      </c>
      <c r="G9624" s="3">
        <v>479</v>
      </c>
      <c r="H9624" s="3">
        <v>45</v>
      </c>
      <c r="I9624" s="3">
        <v>228</v>
      </c>
      <c r="J9624" s="3">
        <v>93</v>
      </c>
      <c r="K9624" s="3">
        <v>773</v>
      </c>
      <c r="L9624" s="3">
        <v>2</v>
      </c>
      <c r="M9624" s="3">
        <v>220</v>
      </c>
    </row>
    <row r="9625" spans="1:13" x14ac:dyDescent="0.25">
      <c r="A9625" s="1" t="str">
        <f>HYPERLINK("http://www.rosaceae.org/Prunus/Prunus_persica/p.persica_gdr_reftransV1_0017684","p.persica_gdr_reftransV1_0017684")</f>
        <v>p.persica_gdr_reftransV1_0017684</v>
      </c>
      <c r="B9625" s="3">
        <v>2709</v>
      </c>
      <c r="C9625" s="1" t="str">
        <f>HYPERLINK("http://www.uniprot.org/uniprot/AS1_ARATH","AS1_ARATH")</f>
        <v>AS1_ARATH</v>
      </c>
      <c r="D9625" t="s">
        <v>331</v>
      </c>
      <c r="E9625" s="3" t="s">
        <v>3</v>
      </c>
      <c r="F9625" s="4">
        <v>1.48E-135</v>
      </c>
      <c r="G9625" s="3">
        <v>1070</v>
      </c>
      <c r="H9625" s="3">
        <v>66</v>
      </c>
      <c r="I9625" s="3">
        <v>370</v>
      </c>
      <c r="J9625" s="3">
        <v>1005</v>
      </c>
      <c r="K9625" s="3">
        <v>2036</v>
      </c>
      <c r="L9625" s="3">
        <v>1</v>
      </c>
      <c r="M9625" s="3">
        <v>361</v>
      </c>
    </row>
    <row r="9626" spans="1:13" x14ac:dyDescent="0.25">
      <c r="A9626" s="1" t="str">
        <f>HYPERLINK("http://www.rosaceae.org/Prunus/Prunus_persica/p.persica_gdr_reftransV1_0017734","p.persica_gdr_reftransV1_0017734")</f>
        <v>p.persica_gdr_reftransV1_0017734</v>
      </c>
      <c r="B9626" s="3">
        <v>2081</v>
      </c>
      <c r="C9626" s="1" t="str">
        <f>HYPERLINK("http://www.uniprot.org/uniprot/PK01_HELAN","PK01_HELAN")</f>
        <v>PK01_HELAN</v>
      </c>
      <c r="D9626" t="s">
        <v>7149</v>
      </c>
      <c r="E9626" s="3" t="s">
        <v>599</v>
      </c>
      <c r="F9626" s="4">
        <v>2.44E-77</v>
      </c>
      <c r="G9626" s="3">
        <v>575</v>
      </c>
      <c r="H9626" s="3">
        <v>67</v>
      </c>
      <c r="I9626" s="3">
        <v>157</v>
      </c>
      <c r="J9626" s="3">
        <v>573</v>
      </c>
      <c r="K9626" s="3">
        <v>1043</v>
      </c>
      <c r="L9626" s="3">
        <v>61</v>
      </c>
      <c r="M9626" s="3">
        <v>217</v>
      </c>
    </row>
    <row r="9627" spans="1:13" x14ac:dyDescent="0.25">
      <c r="A9627" s="1" t="str">
        <f>HYPERLINK("http://www.rosaceae.org/Prunus/Prunus_persica/p.persica_gdr_reftransV1_0017784","p.persica_gdr_reftransV1_0017784")</f>
        <v>p.persica_gdr_reftransV1_0017784</v>
      </c>
      <c r="B9627" s="3">
        <v>2282</v>
      </c>
      <c r="C9627" s="1" t="str">
        <f>HYPERLINK("http://www.uniprot.org/uniprot/TBR_ARATH","TBR_ARATH")</f>
        <v>TBR_ARATH</v>
      </c>
      <c r="D9627" t="s">
        <v>7150</v>
      </c>
      <c r="E9627" s="3" t="s">
        <v>3</v>
      </c>
      <c r="F9627" s="4">
        <v>6.4599999999999998E-159</v>
      </c>
      <c r="G9627" s="3">
        <v>1239</v>
      </c>
      <c r="H9627" s="3">
        <v>65</v>
      </c>
      <c r="I9627" s="3">
        <v>342</v>
      </c>
      <c r="J9627" s="3">
        <v>427</v>
      </c>
      <c r="K9627" s="3">
        <v>1452</v>
      </c>
      <c r="L9627" s="3">
        <v>254</v>
      </c>
      <c r="M9627" s="3">
        <v>595</v>
      </c>
    </row>
    <row r="9628" spans="1:13" x14ac:dyDescent="0.25">
      <c r="A9628" s="1" t="str">
        <f>HYPERLINK("http://www.rosaceae.org/Prunus/Prunus_persica/p.persica_gdr_reftransV1_0017834","p.persica_gdr_reftransV1_0017834")</f>
        <v>p.persica_gdr_reftransV1_0017834</v>
      </c>
      <c r="B9628" s="3">
        <v>738</v>
      </c>
      <c r="C9628" s="1" t="str">
        <f>HYPERLINK("http://www.uniprot.org/uniprot/HA22F_ARATH","HA22F_ARATH")</f>
        <v>HA22F_ARATH</v>
      </c>
      <c r="D9628" t="s">
        <v>7151</v>
      </c>
      <c r="E9628" s="3" t="s">
        <v>3</v>
      </c>
      <c r="F9628" s="4">
        <v>6.3399999999999999E-74</v>
      </c>
      <c r="G9628" s="3">
        <v>582</v>
      </c>
      <c r="H9628" s="3">
        <v>66</v>
      </c>
      <c r="I9628" s="3">
        <v>158</v>
      </c>
      <c r="J9628" s="3">
        <v>194</v>
      </c>
      <c r="K9628" s="3">
        <v>664</v>
      </c>
      <c r="L9628" s="3">
        <v>1</v>
      </c>
      <c r="M9628" s="3">
        <v>158</v>
      </c>
    </row>
    <row r="9629" spans="1:13" x14ac:dyDescent="0.25">
      <c r="A9629" s="1" t="str">
        <f>HYPERLINK("http://www.rosaceae.org/Prunus/Prunus_persica/p.persica_gdr_reftransV1_0017884","p.persica_gdr_reftransV1_0017884")</f>
        <v>p.persica_gdr_reftransV1_0017884</v>
      </c>
      <c r="B9629" s="3">
        <v>6382</v>
      </c>
      <c r="C9629" s="1" t="str">
        <f>HYPERLINK("http://www.uniprot.org/uniprot/TSS_ARATH","TSS_ARATH")</f>
        <v>TSS_ARATH</v>
      </c>
      <c r="D9629" t="s">
        <v>2404</v>
      </c>
      <c r="E9629" s="3" t="s">
        <v>3</v>
      </c>
      <c r="F9629" s="4">
        <v>0</v>
      </c>
      <c r="G9629" s="3">
        <v>1998</v>
      </c>
      <c r="H9629" s="3">
        <v>58</v>
      </c>
      <c r="I9629" s="3">
        <v>716</v>
      </c>
      <c r="J9629" s="3">
        <v>1708</v>
      </c>
      <c r="K9629" s="3">
        <v>3831</v>
      </c>
      <c r="L9629" s="3">
        <v>716</v>
      </c>
      <c r="M9629" s="3">
        <v>1400</v>
      </c>
    </row>
    <row r="9630" spans="1:13" x14ac:dyDescent="0.25">
      <c r="A9630" s="1" t="str">
        <f>HYPERLINK("http://www.rosaceae.org/Prunus/Prunus_persica/p.persica_gdr_reftransV1_0017984","p.persica_gdr_reftransV1_0017984")</f>
        <v>p.persica_gdr_reftransV1_0017984</v>
      </c>
      <c r="B9630" s="3">
        <v>4687</v>
      </c>
      <c r="C9630" s="1" t="str">
        <f>HYPERLINK("http://www.uniprot.org/uniprot/LNG1_ARATH","LNG1_ARATH")</f>
        <v>LNG1_ARATH</v>
      </c>
      <c r="D9630" t="s">
        <v>512</v>
      </c>
      <c r="E9630" s="3" t="s">
        <v>3</v>
      </c>
      <c r="F9630" s="4">
        <v>2.4700000000000001E-69</v>
      </c>
      <c r="G9630" s="3">
        <v>657</v>
      </c>
      <c r="H9630" s="3">
        <v>30</v>
      </c>
      <c r="I9630" s="3">
        <v>1111</v>
      </c>
      <c r="J9630" s="3">
        <v>1219</v>
      </c>
      <c r="K9630" s="3">
        <v>4422</v>
      </c>
      <c r="L9630" s="3">
        <v>1</v>
      </c>
      <c r="M9630" s="3">
        <v>913</v>
      </c>
    </row>
    <row r="9631" spans="1:13" x14ac:dyDescent="0.25">
      <c r="A9631" s="1" t="str">
        <f>HYPERLINK("http://www.rosaceae.org/Prunus/Prunus_persica/p.persica_gdr_reftransV1_0018234","p.persica_gdr_reftransV1_0018234")</f>
        <v>p.persica_gdr_reftransV1_0018234</v>
      </c>
      <c r="B9631" s="3">
        <v>2103</v>
      </c>
      <c r="C9631" s="1" t="str">
        <f>HYPERLINK("http://www.uniprot.org/uniprot/ALF4_ARATH","ALF4_ARATH")</f>
        <v>ALF4_ARATH</v>
      </c>
      <c r="D9631" t="s">
        <v>7152</v>
      </c>
      <c r="E9631" s="3" t="s">
        <v>3</v>
      </c>
      <c r="F9631" s="4">
        <v>1.2399999999999999E-153</v>
      </c>
      <c r="G9631" s="3">
        <v>1200</v>
      </c>
      <c r="H9631" s="3">
        <v>49</v>
      </c>
      <c r="I9631" s="3">
        <v>577</v>
      </c>
      <c r="J9631" s="3">
        <v>168</v>
      </c>
      <c r="K9631" s="3">
        <v>1856</v>
      </c>
      <c r="L9631" s="3">
        <v>67</v>
      </c>
      <c r="M9631" s="3">
        <v>626</v>
      </c>
    </row>
    <row r="9632" spans="1:13" x14ac:dyDescent="0.25">
      <c r="A9632" s="1" t="str">
        <f>HYPERLINK("http://www.rosaceae.org/Prunus/Prunus_persica/p.persica_gdr_reftransV1_0018284","p.persica_gdr_reftransV1_0018284")</f>
        <v>p.persica_gdr_reftransV1_0018284</v>
      </c>
      <c r="B9632" s="3">
        <v>1309</v>
      </c>
      <c r="C9632" s="1" t="str">
        <f>HYPERLINK("http://www.uniprot.org/uniprot/EIF3J_XENLA","EIF3J_XENLA")</f>
        <v>EIF3J_XENLA</v>
      </c>
      <c r="D9632" t="s">
        <v>7153</v>
      </c>
      <c r="E9632" s="3" t="s">
        <v>475</v>
      </c>
      <c r="F9632" s="4">
        <v>2.1999999999999999E-10</v>
      </c>
      <c r="G9632" s="3">
        <v>155</v>
      </c>
      <c r="H9632" s="3">
        <v>38</v>
      </c>
      <c r="I9632" s="3">
        <v>93</v>
      </c>
      <c r="J9632" s="3">
        <v>645</v>
      </c>
      <c r="K9632" s="3">
        <v>923</v>
      </c>
      <c r="L9632" s="3">
        <v>106</v>
      </c>
      <c r="M9632" s="3">
        <v>198</v>
      </c>
    </row>
    <row r="9633" spans="1:13" x14ac:dyDescent="0.25">
      <c r="A9633" s="1" t="str">
        <f>HYPERLINK("http://www.rosaceae.org/Prunus/Prunus_persica/p.persica_gdr_reftransV1_0018534","p.persica_gdr_reftransV1_0018534")</f>
        <v>p.persica_gdr_reftransV1_0018534</v>
      </c>
      <c r="B9633" s="3">
        <v>1295</v>
      </c>
      <c r="C9633" s="1" t="str">
        <f>HYPERLINK("http://www.uniprot.org/uniprot/RAD51_SOLLC","RAD51_SOLLC")</f>
        <v>RAD51_SOLLC</v>
      </c>
      <c r="D9633" t="s">
        <v>4385</v>
      </c>
      <c r="E9633" s="3" t="s">
        <v>64</v>
      </c>
      <c r="F9633" s="4">
        <v>6.5200000000000002E-162</v>
      </c>
      <c r="G9633" s="3">
        <v>967</v>
      </c>
      <c r="H9633" s="3">
        <v>95</v>
      </c>
      <c r="I9633" s="3">
        <v>190</v>
      </c>
      <c r="J9633" s="3">
        <v>528</v>
      </c>
      <c r="K9633" s="3">
        <v>1097</v>
      </c>
      <c r="L9633" s="3">
        <v>153</v>
      </c>
      <c r="M9633" s="3">
        <v>342</v>
      </c>
    </row>
    <row r="9634" spans="1:13" x14ac:dyDescent="0.25">
      <c r="A9634" s="1" t="str">
        <f>HYPERLINK("http://www.rosaceae.org/Prunus/Prunus_persica/p.persica_gdr_reftransV1_0018584","p.persica_gdr_reftransV1_0018584")</f>
        <v>p.persica_gdr_reftransV1_0018584</v>
      </c>
      <c r="B9634" s="3">
        <v>2795</v>
      </c>
      <c r="C9634" s="1" t="str">
        <f>HYPERLINK("http://www.uniprot.org/uniprot/DRL7_ARATH","DRL7_ARATH")</f>
        <v>DRL7_ARATH</v>
      </c>
      <c r="D9634" t="s">
        <v>7154</v>
      </c>
      <c r="E9634" s="3" t="s">
        <v>3</v>
      </c>
      <c r="F9634" s="4">
        <v>1.2399999999999999E-72</v>
      </c>
      <c r="G9634" s="3">
        <v>671</v>
      </c>
      <c r="H9634" s="3">
        <v>36</v>
      </c>
      <c r="I9634" s="3">
        <v>521</v>
      </c>
      <c r="J9634" s="3">
        <v>1263</v>
      </c>
      <c r="K9634" s="3">
        <v>2795</v>
      </c>
      <c r="L9634" s="3">
        <v>412</v>
      </c>
      <c r="M9634" s="3">
        <v>901</v>
      </c>
    </row>
    <row r="9635" spans="1:13" x14ac:dyDescent="0.25">
      <c r="A9635" s="1" t="str">
        <f>HYPERLINK("http://www.rosaceae.org/Prunus/Prunus_persica/p.persica_gdr_reftransV1_0018684","p.persica_gdr_reftransV1_0018684")</f>
        <v>p.persica_gdr_reftransV1_0018684</v>
      </c>
      <c r="B9635" s="3">
        <v>1920</v>
      </c>
      <c r="C9635" s="1" t="str">
        <f>HYPERLINK("http://www.uniprot.org/uniprot/FBK5_ARATH","FBK5_ARATH")</f>
        <v>FBK5_ARATH</v>
      </c>
      <c r="D9635" t="s">
        <v>7155</v>
      </c>
      <c r="E9635" s="3" t="s">
        <v>3</v>
      </c>
      <c r="F9635" s="4">
        <v>0</v>
      </c>
      <c r="G9635" s="3">
        <v>1483</v>
      </c>
      <c r="H9635" s="3">
        <v>70</v>
      </c>
      <c r="I9635" s="3">
        <v>381</v>
      </c>
      <c r="J9635" s="3">
        <v>389</v>
      </c>
      <c r="K9635" s="3">
        <v>1531</v>
      </c>
      <c r="L9635" s="3">
        <v>1</v>
      </c>
      <c r="M9635" s="3">
        <v>381</v>
      </c>
    </row>
    <row r="9636" spans="1:13" x14ac:dyDescent="0.25">
      <c r="A9636" s="1" t="str">
        <f>HYPERLINK("http://www.rosaceae.org/Prunus/Prunus_persica/p.persica_gdr_reftransV1_0018784","p.persica_gdr_reftransV1_0018784")</f>
        <v>p.persica_gdr_reftransV1_0018784</v>
      </c>
      <c r="B9636" s="3">
        <v>1780</v>
      </c>
      <c r="C9636" s="1" t="str">
        <f>HYPERLINK("http://www.uniprot.org/uniprot/ATPZ_SYNP6","ATPZ_SYNP6")</f>
        <v>ATPZ_SYNP6</v>
      </c>
      <c r="D9636" t="s">
        <v>7156</v>
      </c>
      <c r="E9636" s="3" t="s">
        <v>2403</v>
      </c>
      <c r="F9636" s="4">
        <v>1.0899999999999999E-11</v>
      </c>
      <c r="G9636" s="3">
        <v>162</v>
      </c>
      <c r="H9636" s="3">
        <v>34</v>
      </c>
      <c r="I9636" s="3">
        <v>131</v>
      </c>
      <c r="J9636" s="3">
        <v>729</v>
      </c>
      <c r="K9636" s="3">
        <v>1121</v>
      </c>
      <c r="L9636" s="3">
        <v>3</v>
      </c>
      <c r="M9636" s="3">
        <v>118</v>
      </c>
    </row>
    <row r="9637" spans="1:13" x14ac:dyDescent="0.25">
      <c r="A9637" s="1" t="str">
        <f>HYPERLINK("http://www.rosaceae.org/Prunus/Prunus_persica/p.persica_gdr_reftransV1_0018834","p.persica_gdr_reftransV1_0018834")</f>
        <v>p.persica_gdr_reftransV1_0018834</v>
      </c>
      <c r="B9637" s="3">
        <v>838</v>
      </c>
      <c r="C9637" s="1" t="str">
        <f>HYPERLINK("http://www.uniprot.org/uniprot/RTNLT_ARATH","RTNLT_ARATH")</f>
        <v>RTNLT_ARATH</v>
      </c>
      <c r="D9637" t="s">
        <v>7157</v>
      </c>
      <c r="E9637" s="3" t="s">
        <v>3</v>
      </c>
      <c r="F9637" s="4">
        <v>8.6999999999999993E-56</v>
      </c>
      <c r="G9637" s="3">
        <v>465</v>
      </c>
      <c r="H9637" s="3">
        <v>73</v>
      </c>
      <c r="I9637" s="3">
        <v>124</v>
      </c>
      <c r="J9637" s="3">
        <v>254</v>
      </c>
      <c r="K9637" s="3">
        <v>625</v>
      </c>
      <c r="L9637" s="3">
        <v>44</v>
      </c>
      <c r="M9637" s="3">
        <v>164</v>
      </c>
    </row>
    <row r="9638" spans="1:13" x14ac:dyDescent="0.25">
      <c r="A9638" s="1" t="str">
        <f>HYPERLINK("http://www.rosaceae.org/Prunus/Prunus_persica/p.persica_gdr_reftransV1_0018934","p.persica_gdr_reftransV1_0018934")</f>
        <v>p.persica_gdr_reftransV1_0018934</v>
      </c>
      <c r="B9638" s="3">
        <v>858</v>
      </c>
      <c r="C9638" s="1" t="str">
        <f>HYPERLINK("http://www.uniprot.org/uniprot/AFC3_ARATH","AFC3_ARATH")</f>
        <v>AFC3_ARATH</v>
      </c>
      <c r="D9638" t="s">
        <v>2478</v>
      </c>
      <c r="E9638" s="3" t="s">
        <v>3</v>
      </c>
      <c r="F9638" s="4">
        <v>3.2699999999999998E-53</v>
      </c>
      <c r="G9638" s="3">
        <v>467</v>
      </c>
      <c r="H9638" s="3">
        <v>73</v>
      </c>
      <c r="I9638" s="3">
        <v>120</v>
      </c>
      <c r="J9638" s="3">
        <v>3</v>
      </c>
      <c r="K9638" s="3">
        <v>362</v>
      </c>
      <c r="L9638" s="3">
        <v>280</v>
      </c>
      <c r="M9638" s="3">
        <v>397</v>
      </c>
    </row>
    <row r="9639" spans="1:13" x14ac:dyDescent="0.25">
      <c r="A9639" s="1" t="str">
        <f>HYPERLINK("http://www.rosaceae.org/Prunus/Prunus_persica/p.persica_gdr_reftransV1_0019134","p.persica_gdr_reftransV1_0019134")</f>
        <v>p.persica_gdr_reftransV1_0019134</v>
      </c>
      <c r="B9639" s="3">
        <v>1436</v>
      </c>
      <c r="C9639" s="1" t="str">
        <f>HYPERLINK("http://www.uniprot.org/uniprot/TCHQD_ARATH","TCHQD_ARATH")</f>
        <v>TCHQD_ARATH</v>
      </c>
      <c r="D9639" t="s">
        <v>7158</v>
      </c>
      <c r="E9639" s="3" t="s">
        <v>3</v>
      </c>
      <c r="F9639" s="4">
        <v>1.12E-136</v>
      </c>
      <c r="G9639" s="3">
        <v>1031</v>
      </c>
      <c r="H9639" s="3">
        <v>69</v>
      </c>
      <c r="I9639" s="3">
        <v>267</v>
      </c>
      <c r="J9639" s="3">
        <v>330</v>
      </c>
      <c r="K9639" s="3">
        <v>1130</v>
      </c>
      <c r="L9639" s="3">
        <v>1</v>
      </c>
      <c r="M9639" s="3">
        <v>266</v>
      </c>
    </row>
    <row r="9640" spans="1:13" x14ac:dyDescent="0.25">
      <c r="A9640" s="1" t="str">
        <f>HYPERLINK("http://www.rosaceae.org/Prunus/Prunus_persica/p.persica_gdr_reftransV1_0019184","p.persica_gdr_reftransV1_0019184")</f>
        <v>p.persica_gdr_reftransV1_0019184</v>
      </c>
      <c r="B9640" s="3">
        <v>2158</v>
      </c>
      <c r="C9640" s="1" t="str">
        <f>HYPERLINK("http://www.uniprot.org/uniprot/UFD1_DICDI","UFD1_DICDI")</f>
        <v>UFD1_DICDI</v>
      </c>
      <c r="D9640" t="s">
        <v>7159</v>
      </c>
      <c r="E9640" s="3" t="s">
        <v>9</v>
      </c>
      <c r="F9640" s="4">
        <v>5.2100000000000002E-26</v>
      </c>
      <c r="G9640" s="3">
        <v>284</v>
      </c>
      <c r="H9640" s="3">
        <v>38</v>
      </c>
      <c r="I9640" s="3">
        <v>169</v>
      </c>
      <c r="J9640" s="3">
        <v>413</v>
      </c>
      <c r="K9640" s="3">
        <v>919</v>
      </c>
      <c r="L9640" s="3">
        <v>46</v>
      </c>
      <c r="M9640" s="3">
        <v>196</v>
      </c>
    </row>
    <row r="9641" spans="1:13" x14ac:dyDescent="0.25">
      <c r="A9641" s="1" t="str">
        <f>HYPERLINK("http://www.rosaceae.org/Prunus/Prunus_persica/p.persica_gdr_reftransV1_0019234","p.persica_gdr_reftransV1_0019234")</f>
        <v>p.persica_gdr_reftransV1_0019234</v>
      </c>
      <c r="B9641" s="3">
        <v>972</v>
      </c>
      <c r="C9641" s="1" t="str">
        <f>HYPERLINK("http://www.uniprot.org/uniprot/ZMY15_MOUSE","ZMY15_MOUSE")</f>
        <v>ZMY15_MOUSE</v>
      </c>
      <c r="D9641" t="s">
        <v>811</v>
      </c>
      <c r="E9641" s="3" t="s">
        <v>157</v>
      </c>
      <c r="F9641" s="4">
        <v>7.3999999999999995E-17</v>
      </c>
      <c r="G9641" s="3">
        <v>209</v>
      </c>
      <c r="H9641" s="3">
        <v>25</v>
      </c>
      <c r="I9641" s="3">
        <v>302</v>
      </c>
      <c r="J9641" s="3">
        <v>36</v>
      </c>
      <c r="K9641" s="3">
        <v>890</v>
      </c>
      <c r="L9641" s="3">
        <v>322</v>
      </c>
      <c r="M9641" s="3">
        <v>618</v>
      </c>
    </row>
    <row r="9642" spans="1:13" x14ac:dyDescent="0.25">
      <c r="A9642" s="1" t="str">
        <f>HYPERLINK("http://www.rosaceae.org/Prunus/Prunus_persica/p.persica_gdr_reftransV1_0019384","p.persica_gdr_reftransV1_0019384")</f>
        <v>p.persica_gdr_reftransV1_0019384</v>
      </c>
      <c r="B9642" s="3">
        <v>970</v>
      </c>
      <c r="C9642" s="1" t="str">
        <f>HYPERLINK("http://www.uniprot.org/uniprot/FA32A_DANRE","FA32A_DANRE")</f>
        <v>FA32A_DANRE</v>
      </c>
      <c r="D9642" t="s">
        <v>2981</v>
      </c>
      <c r="E9642" s="3" t="s">
        <v>704</v>
      </c>
      <c r="F9642" s="4">
        <v>8.6200000000000002E-10</v>
      </c>
      <c r="G9642" s="3">
        <v>143</v>
      </c>
      <c r="H9642" s="3">
        <v>43</v>
      </c>
      <c r="I9642" s="3">
        <v>63</v>
      </c>
      <c r="J9642" s="3">
        <v>413</v>
      </c>
      <c r="K9642" s="3">
        <v>601</v>
      </c>
      <c r="L9642" s="3">
        <v>44</v>
      </c>
      <c r="M9642" s="3">
        <v>106</v>
      </c>
    </row>
    <row r="9643" spans="1:13" x14ac:dyDescent="0.25">
      <c r="A9643" s="1" t="str">
        <f>HYPERLINK("http://www.rosaceae.org/Prunus/Prunus_persica/p.persica_gdr_reftransV1_0019434","p.persica_gdr_reftransV1_0019434")</f>
        <v>p.persica_gdr_reftransV1_0019434</v>
      </c>
      <c r="B9643" s="3">
        <v>889</v>
      </c>
      <c r="C9643" s="1" t="str">
        <f>HYPERLINK("http://www.uniprot.org/uniprot/PP307_ARATH","PP307_ARATH")</f>
        <v>PP307_ARATH</v>
      </c>
      <c r="D9643" t="s">
        <v>5226</v>
      </c>
      <c r="E9643" s="3" t="s">
        <v>3</v>
      </c>
      <c r="F9643" s="4">
        <v>2.5399999999999999E-76</v>
      </c>
      <c r="G9643" s="3">
        <v>655</v>
      </c>
      <c r="H9643" s="3">
        <v>43</v>
      </c>
      <c r="I9643" s="3">
        <v>291</v>
      </c>
      <c r="J9643" s="3">
        <v>1</v>
      </c>
      <c r="K9643" s="3">
        <v>867</v>
      </c>
      <c r="L9643" s="3">
        <v>689</v>
      </c>
      <c r="M9643" s="3">
        <v>978</v>
      </c>
    </row>
    <row r="9644" spans="1:13" x14ac:dyDescent="0.25">
      <c r="A9644" s="1" t="str">
        <f>HYPERLINK("http://www.rosaceae.org/Prunus/Prunus_persica/p.persica_gdr_reftransV1_0019634","p.persica_gdr_reftransV1_0019634")</f>
        <v>p.persica_gdr_reftransV1_0019634</v>
      </c>
      <c r="B9644" s="3">
        <v>1074</v>
      </c>
      <c r="C9644" s="1" t="str">
        <f>HYPERLINK("http://www.uniprot.org/uniprot/PP229_ARATH","PP229_ARATH")</f>
        <v>PP229_ARATH</v>
      </c>
      <c r="D9644" t="s">
        <v>7160</v>
      </c>
      <c r="E9644" s="3" t="s">
        <v>3</v>
      </c>
      <c r="F9644" s="4">
        <v>4.7300000000000002E-144</v>
      </c>
      <c r="G9644" s="3">
        <v>1109</v>
      </c>
      <c r="H9644" s="3">
        <v>68</v>
      </c>
      <c r="I9644" s="3">
        <v>295</v>
      </c>
      <c r="J9644" s="3">
        <v>6</v>
      </c>
      <c r="K9644" s="3">
        <v>890</v>
      </c>
      <c r="L9644" s="3">
        <v>416</v>
      </c>
      <c r="M9644" s="3">
        <v>710</v>
      </c>
    </row>
    <row r="9645" spans="1:13" x14ac:dyDescent="0.25">
      <c r="A9645" s="1" t="str">
        <f>HYPERLINK("http://www.rosaceae.org/Prunus/Prunus_persica/p.persica_gdr_reftransV1_0019684","p.persica_gdr_reftransV1_0019684")</f>
        <v>p.persica_gdr_reftransV1_0019684</v>
      </c>
      <c r="B9645" s="3">
        <v>1759</v>
      </c>
      <c r="C9645" s="1" t="str">
        <f>HYPERLINK("http://www.uniprot.org/uniprot/NSE1_XENLA","NSE1_XENLA")</f>
        <v>NSE1_XENLA</v>
      </c>
      <c r="D9645" t="s">
        <v>7161</v>
      </c>
      <c r="E9645" s="3" t="s">
        <v>475</v>
      </c>
      <c r="F9645" s="4">
        <v>1.06E-14</v>
      </c>
      <c r="G9645" s="3">
        <v>191</v>
      </c>
      <c r="H9645" s="3">
        <v>25</v>
      </c>
      <c r="I9645" s="3">
        <v>273</v>
      </c>
      <c r="J9645" s="3">
        <v>571</v>
      </c>
      <c r="K9645" s="3">
        <v>1359</v>
      </c>
      <c r="L9645" s="3">
        <v>5</v>
      </c>
      <c r="M9645" s="3">
        <v>246</v>
      </c>
    </row>
    <row r="9646" spans="1:13" x14ac:dyDescent="0.25">
      <c r="A9646" s="1" t="str">
        <f>HYPERLINK("http://www.rosaceae.org/Prunus/Prunus_persica/p.persica_gdr_reftransV1_0019934","p.persica_gdr_reftransV1_0019934")</f>
        <v>p.persica_gdr_reftransV1_0019934</v>
      </c>
      <c r="B9646" s="3">
        <v>1600</v>
      </c>
      <c r="C9646" s="1" t="str">
        <f>HYPERLINK("http://www.uniprot.org/uniprot/HMCES_XENTR","HMCES_XENTR")</f>
        <v>HMCES_XENTR</v>
      </c>
      <c r="D9646" t="s">
        <v>7162</v>
      </c>
      <c r="E9646" s="3" t="s">
        <v>173</v>
      </c>
      <c r="F9646" s="4">
        <v>1.3799999999999999E-24</v>
      </c>
      <c r="G9646" s="3">
        <v>270</v>
      </c>
      <c r="H9646" s="3">
        <v>36</v>
      </c>
      <c r="I9646" s="3">
        <v>210</v>
      </c>
      <c r="J9646" s="3">
        <v>968</v>
      </c>
      <c r="K9646" s="3">
        <v>1504</v>
      </c>
      <c r="L9646" s="3">
        <v>1</v>
      </c>
      <c r="M9646" s="3">
        <v>210</v>
      </c>
    </row>
    <row r="9647" spans="1:13" x14ac:dyDescent="0.25">
      <c r="A9647" s="1" t="str">
        <f>HYPERLINK("http://www.rosaceae.org/Prunus/Prunus_persica/p.persica_gdr_reftransV1_0020134","p.persica_gdr_reftransV1_0020134")</f>
        <v>p.persica_gdr_reftransV1_0020134</v>
      </c>
      <c r="B9647" s="3">
        <v>643</v>
      </c>
      <c r="C9647" s="1" t="str">
        <f>HYPERLINK("http://www.uniprot.org/uniprot/TPPD_ARATH","TPPD_ARATH")</f>
        <v>TPPD_ARATH</v>
      </c>
      <c r="D9647" t="s">
        <v>6109</v>
      </c>
      <c r="E9647" s="3" t="s">
        <v>3</v>
      </c>
      <c r="F9647" s="4">
        <v>9.4599999999999996E-39</v>
      </c>
      <c r="G9647" s="3">
        <v>359</v>
      </c>
      <c r="H9647" s="3">
        <v>48</v>
      </c>
      <c r="I9647" s="3">
        <v>159</v>
      </c>
      <c r="J9647" s="3">
        <v>1</v>
      </c>
      <c r="K9647" s="3">
        <v>453</v>
      </c>
      <c r="L9647" s="3">
        <v>1</v>
      </c>
      <c r="M9647" s="3">
        <v>145</v>
      </c>
    </row>
    <row r="9648" spans="1:13" x14ac:dyDescent="0.25">
      <c r="A9648" s="1" t="str">
        <f>HYPERLINK("http://www.rosaceae.org/Prunus/Prunus_persica/p.persica_gdr_reftransV1_0020634","p.persica_gdr_reftransV1_0020634")</f>
        <v>p.persica_gdr_reftransV1_0020634</v>
      </c>
      <c r="B9648" s="3">
        <v>1547</v>
      </c>
      <c r="C9648" s="1" t="str">
        <f>HYPERLINK("http://www.uniprot.org/uniprot/C76BA_SWEMU","C76BA_SWEMU")</f>
        <v>C76BA_SWEMU</v>
      </c>
      <c r="D9648" t="s">
        <v>7163</v>
      </c>
      <c r="E9648" s="3" t="s">
        <v>7164</v>
      </c>
      <c r="F9648" s="4">
        <v>0</v>
      </c>
      <c r="G9648" s="3">
        <v>1409</v>
      </c>
      <c r="H9648" s="3">
        <v>58</v>
      </c>
      <c r="I9648" s="3">
        <v>451</v>
      </c>
      <c r="J9648" s="3">
        <v>194</v>
      </c>
      <c r="K9648" s="3">
        <v>1546</v>
      </c>
      <c r="L9648" s="3">
        <v>42</v>
      </c>
      <c r="M9648" s="3">
        <v>490</v>
      </c>
    </row>
    <row r="9649" spans="1:13" x14ac:dyDescent="0.25">
      <c r="A9649" s="1" t="str">
        <f>HYPERLINK("http://www.rosaceae.org/Prunus/Prunus_persica/p.persica_gdr_reftransV1_0020784","p.persica_gdr_reftransV1_0020784")</f>
        <v>p.persica_gdr_reftransV1_0020784</v>
      </c>
      <c r="B9649" s="3">
        <v>937</v>
      </c>
      <c r="C9649" s="1" t="str">
        <f>HYPERLINK("http://www.uniprot.org/uniprot/JI23_HORVU","JI23_HORVU")</f>
        <v>JI23_HORVU</v>
      </c>
      <c r="D9649" t="s">
        <v>7165</v>
      </c>
      <c r="E9649" s="3" t="s">
        <v>769</v>
      </c>
      <c r="F9649" s="4">
        <v>2.6499999999999999E-30</v>
      </c>
      <c r="G9649" s="3">
        <v>298</v>
      </c>
      <c r="H9649" s="3">
        <v>44</v>
      </c>
      <c r="I9649" s="3">
        <v>167</v>
      </c>
      <c r="J9649" s="3">
        <v>440</v>
      </c>
      <c r="K9649" s="3">
        <v>937</v>
      </c>
      <c r="L9649" s="3">
        <v>2</v>
      </c>
      <c r="M9649" s="3">
        <v>166</v>
      </c>
    </row>
    <row r="9650" spans="1:13" x14ac:dyDescent="0.25">
      <c r="A9650" s="1" t="str">
        <f>HYPERLINK("http://www.rosaceae.org/Prunus/Prunus_persica/p.persica_gdr_reftransV1_0020984","p.persica_gdr_reftransV1_0020984")</f>
        <v>p.persica_gdr_reftransV1_0020984</v>
      </c>
      <c r="B9650" s="3">
        <v>2222</v>
      </c>
      <c r="C9650" s="1" t="str">
        <f>HYPERLINK("http://www.uniprot.org/uniprot/RBP10_DANRE","RBP10_DANRE")</f>
        <v>RBP10_DANRE</v>
      </c>
      <c r="D9650" t="s">
        <v>7166</v>
      </c>
      <c r="E9650" s="3" t="s">
        <v>704</v>
      </c>
      <c r="F9650" s="4">
        <v>2.04E-47</v>
      </c>
      <c r="G9650" s="3">
        <v>460</v>
      </c>
      <c r="H9650" s="3">
        <v>31</v>
      </c>
      <c r="I9650" s="3">
        <v>291</v>
      </c>
      <c r="J9650" s="3">
        <v>921</v>
      </c>
      <c r="K9650" s="3">
        <v>1772</v>
      </c>
      <c r="L9650" s="3">
        <v>53</v>
      </c>
      <c r="M9650" s="3">
        <v>329</v>
      </c>
    </row>
    <row r="9651" spans="1:13" x14ac:dyDescent="0.25">
      <c r="A9651" s="1" t="str">
        <f>HYPERLINK("http://www.rosaceae.org/Prunus/Prunus_persica/p.persica_gdr_reftransV1_0021434","p.persica_gdr_reftransV1_0021434")</f>
        <v>p.persica_gdr_reftransV1_0021434</v>
      </c>
      <c r="B9651" s="3">
        <v>2060</v>
      </c>
      <c r="C9651" s="1" t="str">
        <f>HYPERLINK("http://www.uniprot.org/uniprot/U1131_ARATH","U1131_ARATH")</f>
        <v>U1131_ARATH</v>
      </c>
      <c r="D9651" t="s">
        <v>7167</v>
      </c>
      <c r="E9651" s="3" t="s">
        <v>3</v>
      </c>
      <c r="F9651" s="4">
        <v>6.4899999999999998E-61</v>
      </c>
      <c r="G9651" s="3">
        <v>535</v>
      </c>
      <c r="H9651" s="3">
        <v>69</v>
      </c>
      <c r="I9651" s="3">
        <v>157</v>
      </c>
      <c r="J9651" s="3">
        <v>97</v>
      </c>
      <c r="K9651" s="3">
        <v>537</v>
      </c>
      <c r="L9651" s="3">
        <v>16</v>
      </c>
      <c r="M9651" s="3">
        <v>172</v>
      </c>
    </row>
    <row r="9652" spans="1:13" x14ac:dyDescent="0.25">
      <c r="A9652" s="1" t="str">
        <f>HYPERLINK("http://www.rosaceae.org/Prunus/Prunus_persica/p.persica_gdr_reftransV1_0021834","p.persica_gdr_reftransV1_0021834")</f>
        <v>p.persica_gdr_reftransV1_0021834</v>
      </c>
      <c r="B9652" s="3">
        <v>1477</v>
      </c>
      <c r="C9652" s="1" t="str">
        <f>HYPERLINK("http://www.uniprot.org/uniprot/KPPR_WHEAT","KPPR_WHEAT")</f>
        <v>KPPR_WHEAT</v>
      </c>
      <c r="D9652" t="s">
        <v>7168</v>
      </c>
      <c r="E9652" s="3" t="s">
        <v>710</v>
      </c>
      <c r="F9652" s="4">
        <v>0</v>
      </c>
      <c r="G9652" s="3">
        <v>1789</v>
      </c>
      <c r="H9652" s="3">
        <v>81</v>
      </c>
      <c r="I9652" s="3">
        <v>416</v>
      </c>
      <c r="J9652" s="3">
        <v>150</v>
      </c>
      <c r="K9652" s="3">
        <v>1388</v>
      </c>
      <c r="L9652" s="3">
        <v>1</v>
      </c>
      <c r="M9652" s="3">
        <v>403</v>
      </c>
    </row>
    <row r="9653" spans="1:13" x14ac:dyDescent="0.25">
      <c r="A9653" s="1" t="str">
        <f>HYPERLINK("http://www.rosaceae.org/Prunus/Prunus_persica/p.persica_gdr_reftransV1_0021934","p.persica_gdr_reftransV1_0021934")</f>
        <v>p.persica_gdr_reftransV1_0021934</v>
      </c>
      <c r="B9653" s="3">
        <v>2214</v>
      </c>
      <c r="C9653" s="1" t="str">
        <f>HYPERLINK("http://www.uniprot.org/uniprot/YPGQ_BACSU","YPGQ_BACSU")</f>
        <v>YPGQ_BACSU</v>
      </c>
      <c r="D9653" t="s">
        <v>3577</v>
      </c>
      <c r="E9653" s="3" t="s">
        <v>1630</v>
      </c>
      <c r="F9653" s="4">
        <v>5.3400000000000002E-8</v>
      </c>
      <c r="G9653" s="3">
        <v>137</v>
      </c>
      <c r="H9653" s="3">
        <v>40</v>
      </c>
      <c r="I9653" s="3">
        <v>108</v>
      </c>
      <c r="J9653" s="3">
        <v>1066</v>
      </c>
      <c r="K9653" s="3">
        <v>1389</v>
      </c>
      <c r="L9653" s="3">
        <v>109</v>
      </c>
      <c r="M9653" s="3">
        <v>199</v>
      </c>
    </row>
    <row r="9654" spans="1:13" x14ac:dyDescent="0.25">
      <c r="A9654" s="1" t="str">
        <f>HYPERLINK("http://www.rosaceae.org/Prunus/Prunus_persica/p.persica_gdr_reftransV1_0022134","p.persica_gdr_reftransV1_0022134")</f>
        <v>p.persica_gdr_reftransV1_0022134</v>
      </c>
      <c r="B9654" s="3">
        <v>3502</v>
      </c>
      <c r="C9654" s="1" t="str">
        <f>HYPERLINK("http://www.uniprot.org/uniprot/U80B1_ARATH","U80B1_ARATH")</f>
        <v>U80B1_ARATH</v>
      </c>
      <c r="D9654" t="s">
        <v>5472</v>
      </c>
      <c r="E9654" s="3" t="s">
        <v>3</v>
      </c>
      <c r="F9654" s="4">
        <v>0</v>
      </c>
      <c r="G9654" s="3">
        <v>2268</v>
      </c>
      <c r="H9654" s="3">
        <v>71</v>
      </c>
      <c r="I9654" s="3">
        <v>624</v>
      </c>
      <c r="J9654" s="3">
        <v>486</v>
      </c>
      <c r="K9654" s="3">
        <v>2342</v>
      </c>
      <c r="L9654" s="3">
        <v>1</v>
      </c>
      <c r="M9654" s="3">
        <v>613</v>
      </c>
    </row>
    <row r="9655" spans="1:13" x14ac:dyDescent="0.25">
      <c r="A9655" s="1" t="str">
        <f>HYPERLINK("http://www.rosaceae.org/Prunus/Prunus_persica/p.persica_gdr_reftransV1_0022284","p.persica_gdr_reftransV1_0022284")</f>
        <v>p.persica_gdr_reftransV1_0022284</v>
      </c>
      <c r="B9655" s="3">
        <v>1369</v>
      </c>
      <c r="C9655" s="1" t="str">
        <f>HYPERLINK("http://www.uniprot.org/uniprot/P24B2_ARATH","P24B2_ARATH")</f>
        <v>P24B2_ARATH</v>
      </c>
      <c r="D9655" t="s">
        <v>2684</v>
      </c>
      <c r="E9655" s="3" t="s">
        <v>3</v>
      </c>
      <c r="F9655" s="4">
        <v>2.21E-91</v>
      </c>
      <c r="G9655" s="3">
        <v>723</v>
      </c>
      <c r="H9655" s="3">
        <v>55</v>
      </c>
      <c r="I9655" s="3">
        <v>261</v>
      </c>
      <c r="J9655" s="3">
        <v>201</v>
      </c>
      <c r="K9655" s="3">
        <v>983</v>
      </c>
      <c r="L9655" s="3">
        <v>5</v>
      </c>
      <c r="M9655" s="3">
        <v>208</v>
      </c>
    </row>
    <row r="9656" spans="1:13" x14ac:dyDescent="0.25">
      <c r="A9656" s="1" t="str">
        <f>HYPERLINK("http://www.rosaceae.org/Prunus/Prunus_persica/p.persica_gdr_reftransV1_0022684","p.persica_gdr_reftransV1_0022684")</f>
        <v>p.persica_gdr_reftransV1_0022684</v>
      </c>
      <c r="B9656" s="3">
        <v>1627</v>
      </c>
      <c r="C9656" s="1" t="str">
        <f>HYPERLINK("http://www.uniprot.org/uniprot/PSA2_ORYSJ","PSA2_ORYSJ")</f>
        <v>PSA2_ORYSJ</v>
      </c>
      <c r="D9656" t="s">
        <v>7169</v>
      </c>
      <c r="E9656" s="3" t="s">
        <v>38</v>
      </c>
      <c r="F9656" s="4">
        <v>2.72E-132</v>
      </c>
      <c r="G9656" s="3">
        <v>1005</v>
      </c>
      <c r="H9656" s="3">
        <v>92</v>
      </c>
      <c r="I9656" s="3">
        <v>208</v>
      </c>
      <c r="J9656" s="3">
        <v>235</v>
      </c>
      <c r="K9656" s="3">
        <v>858</v>
      </c>
      <c r="L9656" s="3">
        <v>1</v>
      </c>
      <c r="M9656" s="3">
        <v>208</v>
      </c>
    </row>
    <row r="9657" spans="1:13" x14ac:dyDescent="0.25">
      <c r="A9657" s="1" t="str">
        <f>HYPERLINK("http://www.rosaceae.org/Prunus/Prunus_persica/p.persica_gdr_reftransV1_0022734","p.persica_gdr_reftransV1_0022734")</f>
        <v>p.persica_gdr_reftransV1_0022734</v>
      </c>
      <c r="B9657" s="3">
        <v>2135</v>
      </c>
      <c r="C9657" s="1" t="str">
        <f>HYPERLINK("http://www.uniprot.org/uniprot/GPMA_PARUW","GPMA_PARUW")</f>
        <v>GPMA_PARUW</v>
      </c>
      <c r="D9657" t="s">
        <v>7170</v>
      </c>
      <c r="E9657" s="3" t="s">
        <v>4254</v>
      </c>
      <c r="F9657" s="4">
        <v>1.05E-91</v>
      </c>
      <c r="G9657" s="3">
        <v>746</v>
      </c>
      <c r="H9657" s="3">
        <v>58</v>
      </c>
      <c r="I9657" s="3">
        <v>221</v>
      </c>
      <c r="J9657" s="3">
        <v>447</v>
      </c>
      <c r="K9657" s="3">
        <v>1109</v>
      </c>
      <c r="L9657" s="3">
        <v>4</v>
      </c>
      <c r="M9657" s="3">
        <v>224</v>
      </c>
    </row>
    <row r="9658" spans="1:13" x14ac:dyDescent="0.25">
      <c r="A9658" s="1" t="str">
        <f>HYPERLINK("http://www.rosaceae.org/Prunus/Prunus_persica/p.persica_gdr_reftransV1_0022884","p.persica_gdr_reftransV1_0022884")</f>
        <v>p.persica_gdr_reftransV1_0022884</v>
      </c>
      <c r="B9658" s="3">
        <v>1592</v>
      </c>
      <c r="C9658" s="1" t="str">
        <f>HYPERLINK("http://www.uniprot.org/uniprot/Y232_RICCO","Y232_RICCO")</f>
        <v>Y232_RICCO</v>
      </c>
      <c r="D9658" t="s">
        <v>7171</v>
      </c>
      <c r="E9658" s="3" t="s">
        <v>421</v>
      </c>
      <c r="F9658" s="4">
        <v>0</v>
      </c>
      <c r="G9658" s="3">
        <v>1579</v>
      </c>
      <c r="H9658" s="3">
        <v>70</v>
      </c>
      <c r="I9658" s="3">
        <v>414</v>
      </c>
      <c r="J9658" s="3">
        <v>286</v>
      </c>
      <c r="K9658" s="3">
        <v>1527</v>
      </c>
      <c r="L9658" s="3">
        <v>175</v>
      </c>
      <c r="M9658" s="3">
        <v>576</v>
      </c>
    </row>
    <row r="9659" spans="1:13" x14ac:dyDescent="0.25">
      <c r="A9659" s="1" t="str">
        <f>HYPERLINK("http://www.rosaceae.org/Prunus/Prunus_persica/p.persica_gdr_reftransV1_0022934","p.persica_gdr_reftransV1_0022934")</f>
        <v>p.persica_gdr_reftransV1_0022934</v>
      </c>
      <c r="B9659" s="3">
        <v>1921</v>
      </c>
      <c r="C9659" s="1" t="str">
        <f>HYPERLINK("http://www.uniprot.org/uniprot/MET17_MOUSE","MET17_MOUSE")</f>
        <v>MET17_MOUSE</v>
      </c>
      <c r="D9659" t="s">
        <v>7172</v>
      </c>
      <c r="E9659" s="3" t="s">
        <v>157</v>
      </c>
      <c r="F9659" s="4">
        <v>1.13E-22</v>
      </c>
      <c r="G9659" s="3">
        <v>261</v>
      </c>
      <c r="H9659" s="3">
        <v>28</v>
      </c>
      <c r="I9659" s="3">
        <v>323</v>
      </c>
      <c r="J9659" s="3">
        <v>14</v>
      </c>
      <c r="K9659" s="3">
        <v>949</v>
      </c>
      <c r="L9659" s="3">
        <v>46</v>
      </c>
      <c r="M9659" s="3">
        <v>315</v>
      </c>
    </row>
    <row r="9660" spans="1:13" x14ac:dyDescent="0.25">
      <c r="A9660" s="1" t="str">
        <f>HYPERLINK("http://www.rosaceae.org/Prunus/Prunus_persica/p.persica_gdr_reftransV1_0022984","p.persica_gdr_reftransV1_0022984")</f>
        <v>p.persica_gdr_reftransV1_0022984</v>
      </c>
      <c r="B9660" s="3">
        <v>2405</v>
      </c>
      <c r="C9660" s="1" t="str">
        <f>HYPERLINK("http://www.uniprot.org/uniprot/PTR9_ARATH","PTR9_ARATH")</f>
        <v>PTR9_ARATH</v>
      </c>
      <c r="D9660" t="s">
        <v>7173</v>
      </c>
      <c r="E9660" s="3" t="s">
        <v>3</v>
      </c>
      <c r="F9660" s="4">
        <v>0</v>
      </c>
      <c r="G9660" s="3">
        <v>1705</v>
      </c>
      <c r="H9660" s="3">
        <v>69</v>
      </c>
      <c r="I9660" s="3">
        <v>559</v>
      </c>
      <c r="J9660" s="3">
        <v>200</v>
      </c>
      <c r="K9660" s="3">
        <v>1876</v>
      </c>
      <c r="L9660" s="3">
        <v>12</v>
      </c>
      <c r="M9660" s="3">
        <v>556</v>
      </c>
    </row>
    <row r="9661" spans="1:13" x14ac:dyDescent="0.25">
      <c r="A9661" s="1" t="str">
        <f>HYPERLINK("http://www.rosaceae.org/Prunus/Prunus_persica/p.persica_gdr_reftransV1_0023084","p.persica_gdr_reftransV1_0023084")</f>
        <v>p.persica_gdr_reftransV1_0023084</v>
      </c>
      <c r="B9661" s="3">
        <v>2136</v>
      </c>
      <c r="C9661" s="1" t="str">
        <f>HYPERLINK("http://www.uniprot.org/uniprot/BAHD1_ARATH","BAHD1_ARATH")</f>
        <v>BAHD1_ARATH</v>
      </c>
      <c r="D9661" t="s">
        <v>897</v>
      </c>
      <c r="E9661" s="3" t="s">
        <v>3</v>
      </c>
      <c r="F9661" s="4">
        <v>8.4699999999999999E-61</v>
      </c>
      <c r="G9661" s="3">
        <v>550</v>
      </c>
      <c r="H9661" s="3">
        <v>33</v>
      </c>
      <c r="I9661" s="3">
        <v>485</v>
      </c>
      <c r="J9661" s="3">
        <v>493</v>
      </c>
      <c r="K9661" s="3">
        <v>1896</v>
      </c>
      <c r="L9661" s="3">
        <v>3</v>
      </c>
      <c r="M9661" s="3">
        <v>442</v>
      </c>
    </row>
    <row r="9662" spans="1:13" x14ac:dyDescent="0.25">
      <c r="A9662" s="1" t="str">
        <f>HYPERLINK("http://www.rosaceae.org/Prunus/Prunus_persica/p.persica_gdr_reftransV1_0023184","p.persica_gdr_reftransV1_0023184")</f>
        <v>p.persica_gdr_reftransV1_0023184</v>
      </c>
      <c r="B9662" s="3">
        <v>722</v>
      </c>
      <c r="C9662" s="1" t="str">
        <f>HYPERLINK("http://www.uniprot.org/uniprot/GDL71_ARATH","GDL71_ARATH")</f>
        <v>GDL71_ARATH</v>
      </c>
      <c r="D9662" t="s">
        <v>7174</v>
      </c>
      <c r="E9662" s="3" t="s">
        <v>3</v>
      </c>
      <c r="F9662" s="4">
        <v>3.5199999999999999E-22</v>
      </c>
      <c r="G9662" s="3">
        <v>240</v>
      </c>
      <c r="H9662" s="3">
        <v>75</v>
      </c>
      <c r="I9662" s="3">
        <v>56</v>
      </c>
      <c r="J9662" s="3">
        <v>289</v>
      </c>
      <c r="K9662" s="3">
        <v>456</v>
      </c>
      <c r="L9662" s="3">
        <v>37</v>
      </c>
      <c r="M9662" s="3">
        <v>92</v>
      </c>
    </row>
    <row r="9663" spans="1:13" x14ac:dyDescent="0.25">
      <c r="A9663" s="1" t="str">
        <f>HYPERLINK("http://www.rosaceae.org/Prunus/Prunus_persica/p.persica_gdr_reftransV1_0023284","p.persica_gdr_reftransV1_0023284")</f>
        <v>p.persica_gdr_reftransV1_0023284</v>
      </c>
      <c r="B9663" s="3">
        <v>2296</v>
      </c>
      <c r="C9663" s="1" t="str">
        <f>HYPERLINK("http://www.uniprot.org/uniprot/Y3739_ARATH","Y3739_ARATH")</f>
        <v>Y3739_ARATH</v>
      </c>
      <c r="D9663" t="s">
        <v>831</v>
      </c>
      <c r="E9663" s="3" t="s">
        <v>3</v>
      </c>
      <c r="F9663" s="4">
        <v>2.48E-128</v>
      </c>
      <c r="G9663" s="3">
        <v>1031</v>
      </c>
      <c r="H9663" s="3">
        <v>40</v>
      </c>
      <c r="I9663" s="3">
        <v>554</v>
      </c>
      <c r="J9663" s="3">
        <v>201</v>
      </c>
      <c r="K9663" s="3">
        <v>1838</v>
      </c>
      <c r="L9663" s="3">
        <v>21</v>
      </c>
      <c r="M9663" s="3">
        <v>542</v>
      </c>
    </row>
    <row r="9664" spans="1:13" x14ac:dyDescent="0.25">
      <c r="A9664" s="1" t="str">
        <f>HYPERLINK("http://www.rosaceae.org/Prunus/Prunus_persica/p.persica_gdr_reftransV1_0023434","p.persica_gdr_reftransV1_0023434")</f>
        <v>p.persica_gdr_reftransV1_0023434</v>
      </c>
      <c r="B9664" s="3">
        <v>2684</v>
      </c>
      <c r="C9664" s="1" t="str">
        <f>HYPERLINK("http://www.uniprot.org/uniprot/U183_ARATH","U183_ARATH")</f>
        <v>U183_ARATH</v>
      </c>
      <c r="D9664" t="s">
        <v>7175</v>
      </c>
      <c r="E9664" s="3" t="s">
        <v>3</v>
      </c>
      <c r="F9664" s="4">
        <v>0</v>
      </c>
      <c r="G9664" s="3">
        <v>1689</v>
      </c>
      <c r="H9664" s="3">
        <v>86</v>
      </c>
      <c r="I9664" s="3">
        <v>359</v>
      </c>
      <c r="J9664" s="3">
        <v>823</v>
      </c>
      <c r="K9664" s="3">
        <v>1899</v>
      </c>
      <c r="L9664" s="3">
        <v>41</v>
      </c>
      <c r="M9664" s="3">
        <v>396</v>
      </c>
    </row>
    <row r="9665" spans="1:13" x14ac:dyDescent="0.25">
      <c r="A9665" s="1" t="str">
        <f>HYPERLINK("http://www.rosaceae.org/Prunus/Prunus_persica/p.persica_gdr_reftransV1_0023534","p.persica_gdr_reftransV1_0023534")</f>
        <v>p.persica_gdr_reftransV1_0023534</v>
      </c>
      <c r="B9665" s="3">
        <v>1536</v>
      </c>
      <c r="C9665" s="1" t="str">
        <f>HYPERLINK("http://www.uniprot.org/uniprot/EF102_ARATH","EF102_ARATH")</f>
        <v>EF102_ARATH</v>
      </c>
      <c r="D9665" t="s">
        <v>7176</v>
      </c>
      <c r="E9665" s="3" t="s">
        <v>3</v>
      </c>
      <c r="F9665" s="4">
        <v>1.57E-48</v>
      </c>
      <c r="G9665" s="3">
        <v>443</v>
      </c>
      <c r="H9665" s="3">
        <v>59</v>
      </c>
      <c r="I9665" s="3">
        <v>171</v>
      </c>
      <c r="J9665" s="3">
        <v>649</v>
      </c>
      <c r="K9665" s="3">
        <v>1155</v>
      </c>
      <c r="L9665" s="3">
        <v>56</v>
      </c>
      <c r="M9665" s="3">
        <v>218</v>
      </c>
    </row>
    <row r="9666" spans="1:13" x14ac:dyDescent="0.25">
      <c r="A9666" s="1" t="str">
        <f>HYPERLINK("http://www.rosaceae.org/Prunus/Prunus_persica/p.persica_gdr_reftransV1_0023784","p.persica_gdr_reftransV1_0023784")</f>
        <v>p.persica_gdr_reftransV1_0023784</v>
      </c>
      <c r="B9666" s="3">
        <v>2297</v>
      </c>
      <c r="C9666" s="1" t="str">
        <f>HYPERLINK("http://www.uniprot.org/uniprot/SKIP8_ARATH","SKIP8_ARATH")</f>
        <v>SKIP8_ARATH</v>
      </c>
      <c r="D9666" t="s">
        <v>6828</v>
      </c>
      <c r="E9666" s="3" t="s">
        <v>3</v>
      </c>
      <c r="F9666" s="4">
        <v>4.5899999999999996E-13</v>
      </c>
      <c r="G9666" s="3">
        <v>179</v>
      </c>
      <c r="H9666" s="3">
        <v>29</v>
      </c>
      <c r="I9666" s="3">
        <v>132</v>
      </c>
      <c r="J9666" s="3">
        <v>1208</v>
      </c>
      <c r="K9666" s="3">
        <v>1603</v>
      </c>
      <c r="L9666" s="3">
        <v>104</v>
      </c>
      <c r="M9666" s="3">
        <v>231</v>
      </c>
    </row>
    <row r="9667" spans="1:13" x14ac:dyDescent="0.25">
      <c r="A9667" s="1" t="str">
        <f>HYPERLINK("http://www.rosaceae.org/Prunus/Prunus_persica/p.persica_gdr_reftransV1_0023884","p.persica_gdr_reftransV1_0023884")</f>
        <v>p.persica_gdr_reftransV1_0023884</v>
      </c>
      <c r="B9667" s="3">
        <v>2506</v>
      </c>
      <c r="C9667" s="1" t="str">
        <f>HYPERLINK("http://www.uniprot.org/uniprot/SRPR_MOUSE","SRPR_MOUSE")</f>
        <v>SRPR_MOUSE</v>
      </c>
      <c r="D9667" t="s">
        <v>7177</v>
      </c>
      <c r="E9667" s="3" t="s">
        <v>157</v>
      </c>
      <c r="F9667" s="4">
        <v>4.5200000000000004E-75</v>
      </c>
      <c r="G9667" s="3">
        <v>671</v>
      </c>
      <c r="H9667" s="3">
        <v>36</v>
      </c>
      <c r="I9667" s="3">
        <v>551</v>
      </c>
      <c r="J9667" s="3">
        <v>764</v>
      </c>
      <c r="K9667" s="3">
        <v>2308</v>
      </c>
      <c r="L9667" s="3">
        <v>1</v>
      </c>
      <c r="M9667" s="3">
        <v>524</v>
      </c>
    </row>
    <row r="9668" spans="1:13" x14ac:dyDescent="0.25">
      <c r="A9668" s="1" t="str">
        <f>HYPERLINK("http://www.rosaceae.org/Prunus/Prunus_persica/p.persica_gdr_reftransV1_0024084","p.persica_gdr_reftransV1_0024084")</f>
        <v>p.persica_gdr_reftransV1_0024084</v>
      </c>
      <c r="B9668" s="3">
        <v>2437</v>
      </c>
      <c r="C9668" s="1" t="str">
        <f>HYPERLINK("http://www.uniprot.org/uniprot/Y1514_ARATH","Y1514_ARATH")</f>
        <v>Y1514_ARATH</v>
      </c>
      <c r="D9668" t="s">
        <v>7178</v>
      </c>
      <c r="E9668" s="3" t="s">
        <v>3</v>
      </c>
      <c r="F9668" s="4">
        <v>0</v>
      </c>
      <c r="G9668" s="3">
        <v>1730</v>
      </c>
      <c r="H9668" s="3">
        <v>62</v>
      </c>
      <c r="I9668" s="3">
        <v>585</v>
      </c>
      <c r="J9668" s="3">
        <v>249</v>
      </c>
      <c r="K9668" s="3">
        <v>1982</v>
      </c>
      <c r="L9668" s="3">
        <v>70</v>
      </c>
      <c r="M9668" s="3">
        <v>617</v>
      </c>
    </row>
    <row r="9669" spans="1:13" x14ac:dyDescent="0.25">
      <c r="A9669" s="1" t="str">
        <f>HYPERLINK("http://www.rosaceae.org/Prunus/Prunus_persica/p.persica_gdr_reftransV1_0024184","p.persica_gdr_reftransV1_0024184")</f>
        <v>p.persica_gdr_reftransV1_0024184</v>
      </c>
      <c r="B9669" s="3">
        <v>1653</v>
      </c>
      <c r="C9669" s="1" t="str">
        <f>HYPERLINK("http://www.uniprot.org/uniprot/AGUB_SOLTU","AGUB_SOLTU")</f>
        <v>AGUB_SOLTU</v>
      </c>
      <c r="D9669" t="s">
        <v>7179</v>
      </c>
      <c r="E9669" s="3" t="s">
        <v>11</v>
      </c>
      <c r="F9669" s="4">
        <v>2.0199999999999999E-88</v>
      </c>
      <c r="G9669" s="3">
        <v>719</v>
      </c>
      <c r="H9669" s="3">
        <v>82</v>
      </c>
      <c r="I9669" s="3">
        <v>163</v>
      </c>
      <c r="J9669" s="3">
        <v>1100</v>
      </c>
      <c r="K9669" s="3">
        <v>1588</v>
      </c>
      <c r="L9669" s="3">
        <v>1</v>
      </c>
      <c r="M9669" s="3">
        <v>158</v>
      </c>
    </row>
    <row r="9670" spans="1:13" x14ac:dyDescent="0.25">
      <c r="A9670" s="1" t="str">
        <f>HYPERLINK("http://www.rosaceae.org/Prunus/Prunus_persica/p.persica_gdr_reftransV1_0024234","p.persica_gdr_reftransV1_0024234")</f>
        <v>p.persica_gdr_reftransV1_0024234</v>
      </c>
      <c r="B9670" s="3">
        <v>2744</v>
      </c>
      <c r="C9670" s="1" t="str">
        <f>HYPERLINK("http://www.uniprot.org/uniprot/SYKM_ARATH","SYKM_ARATH")</f>
        <v>SYKM_ARATH</v>
      </c>
      <c r="D9670" t="s">
        <v>7180</v>
      </c>
      <c r="E9670" s="3" t="s">
        <v>3</v>
      </c>
      <c r="F9670" s="4">
        <v>0</v>
      </c>
      <c r="G9670" s="3">
        <v>2281</v>
      </c>
      <c r="H9670" s="3">
        <v>82</v>
      </c>
      <c r="I9670" s="3">
        <v>516</v>
      </c>
      <c r="J9670" s="3">
        <v>974</v>
      </c>
      <c r="K9670" s="3">
        <v>2518</v>
      </c>
      <c r="L9670" s="3">
        <v>87</v>
      </c>
      <c r="M9670" s="3">
        <v>602</v>
      </c>
    </row>
    <row r="9671" spans="1:13" x14ac:dyDescent="0.25">
      <c r="A9671" s="1" t="str">
        <f>HYPERLINK("http://www.rosaceae.org/Prunus/Prunus_persica/p.persica_gdr_reftransV1_0024584","p.persica_gdr_reftransV1_0024584")</f>
        <v>p.persica_gdr_reftransV1_0024584</v>
      </c>
      <c r="B9671" s="3">
        <v>1675</v>
      </c>
      <c r="C9671" s="1" t="str">
        <f>HYPERLINK("http://www.uniprot.org/uniprot/RPF2_ARATH","RPF2_ARATH")</f>
        <v>RPF2_ARATH</v>
      </c>
      <c r="D9671" t="s">
        <v>7181</v>
      </c>
      <c r="E9671" s="3" t="s">
        <v>3</v>
      </c>
      <c r="F9671" s="4">
        <v>6.5499999999999996E-135</v>
      </c>
      <c r="G9671" s="3">
        <v>1032</v>
      </c>
      <c r="H9671" s="3">
        <v>64</v>
      </c>
      <c r="I9671" s="3">
        <v>320</v>
      </c>
      <c r="J9671" s="3">
        <v>636</v>
      </c>
      <c r="K9671" s="3">
        <v>1592</v>
      </c>
      <c r="L9671" s="3">
        <v>1</v>
      </c>
      <c r="M9671" s="3">
        <v>310</v>
      </c>
    </row>
    <row r="9672" spans="1:13" x14ac:dyDescent="0.25">
      <c r="A9672" s="1" t="str">
        <f>HYPERLINK("http://www.rosaceae.org/Prunus/Prunus_persica/p.persica_gdr_reftransV1_0024634","p.persica_gdr_reftransV1_0024634")</f>
        <v>p.persica_gdr_reftransV1_0024634</v>
      </c>
      <c r="B9672" s="3">
        <v>2169</v>
      </c>
      <c r="C9672" s="1" t="str">
        <f>HYPERLINK("http://www.uniprot.org/uniprot/UBP6_ARATH","UBP6_ARATH")</f>
        <v>UBP6_ARATH</v>
      </c>
      <c r="D9672" t="s">
        <v>7182</v>
      </c>
      <c r="E9672" s="3" t="s">
        <v>3</v>
      </c>
      <c r="F9672" s="4">
        <v>0</v>
      </c>
      <c r="G9672" s="3">
        <v>1882</v>
      </c>
      <c r="H9672" s="3">
        <v>79</v>
      </c>
      <c r="I9672" s="3">
        <v>483</v>
      </c>
      <c r="J9672" s="3">
        <v>584</v>
      </c>
      <c r="K9672" s="3">
        <v>2017</v>
      </c>
      <c r="L9672" s="3">
        <v>1</v>
      </c>
      <c r="M9672" s="3">
        <v>482</v>
      </c>
    </row>
    <row r="9673" spans="1:13" x14ac:dyDescent="0.25">
      <c r="A9673" s="1" t="str">
        <f>HYPERLINK("http://www.rosaceae.org/Prunus/Prunus_persica/p.persica_gdr_reftransV1_0024734","p.persica_gdr_reftransV1_0024734")</f>
        <v>p.persica_gdr_reftransV1_0024734</v>
      </c>
      <c r="B9673" s="3">
        <v>1947</v>
      </c>
      <c r="C9673" s="1" t="str">
        <f>HYPERLINK("http://www.uniprot.org/uniprot/RBL19_ARATH","RBL19_ARATH")</f>
        <v>RBL19_ARATH</v>
      </c>
      <c r="D9673" t="s">
        <v>7183</v>
      </c>
      <c r="E9673" s="3" t="s">
        <v>3</v>
      </c>
      <c r="F9673" s="4">
        <v>7.4900000000000004E-51</v>
      </c>
      <c r="G9673" s="3">
        <v>465</v>
      </c>
      <c r="H9673" s="3">
        <v>72</v>
      </c>
      <c r="I9673" s="3">
        <v>141</v>
      </c>
      <c r="J9673" s="3">
        <v>501</v>
      </c>
      <c r="K9673" s="3">
        <v>923</v>
      </c>
      <c r="L9673" s="3">
        <v>123</v>
      </c>
      <c r="M9673" s="3">
        <v>263</v>
      </c>
    </row>
    <row r="9674" spans="1:13" x14ac:dyDescent="0.25">
      <c r="A9674" s="1" t="str">
        <f>HYPERLINK("http://www.rosaceae.org/Prunus/Prunus_persica/p.persica_gdr_reftransV1_0025034","p.persica_gdr_reftransV1_0025034")</f>
        <v>p.persica_gdr_reftransV1_0025034</v>
      </c>
      <c r="B9674" s="3">
        <v>1232</v>
      </c>
      <c r="C9674" s="1" t="str">
        <f>HYPERLINK("http://www.uniprot.org/uniprot/CNX3_ARATH","CNX3_ARATH")</f>
        <v>CNX3_ARATH</v>
      </c>
      <c r="D9674" t="s">
        <v>7184</v>
      </c>
      <c r="E9674" s="3" t="s">
        <v>3</v>
      </c>
      <c r="F9674" s="4">
        <v>1.24E-82</v>
      </c>
      <c r="G9674" s="3">
        <v>666</v>
      </c>
      <c r="H9674" s="3">
        <v>82</v>
      </c>
      <c r="I9674" s="3">
        <v>154</v>
      </c>
      <c r="J9674" s="3">
        <v>314</v>
      </c>
      <c r="K9674" s="3">
        <v>775</v>
      </c>
      <c r="L9674" s="3">
        <v>116</v>
      </c>
      <c r="M9674" s="3">
        <v>269</v>
      </c>
    </row>
    <row r="9675" spans="1:13" x14ac:dyDescent="0.25">
      <c r="A9675" s="1" t="str">
        <f>HYPERLINK("http://www.rosaceae.org/Prunus/Prunus_persica/p.persica_gdr_reftransV1_0025284","p.persica_gdr_reftransV1_0025284")</f>
        <v>p.persica_gdr_reftransV1_0025284</v>
      </c>
      <c r="B9675" s="3">
        <v>1557</v>
      </c>
      <c r="C9675" s="1" t="str">
        <f>HYPERLINK("http://www.uniprot.org/uniprot/TKPR1_ARATH","TKPR1_ARATH")</f>
        <v>TKPR1_ARATH</v>
      </c>
      <c r="D9675" t="s">
        <v>221</v>
      </c>
      <c r="E9675" s="3" t="s">
        <v>3</v>
      </c>
      <c r="F9675" s="4">
        <v>1.3500000000000001E-22</v>
      </c>
      <c r="G9675" s="3">
        <v>254</v>
      </c>
      <c r="H9675" s="3">
        <v>33</v>
      </c>
      <c r="I9675" s="3">
        <v>209</v>
      </c>
      <c r="J9675" s="3">
        <v>774</v>
      </c>
      <c r="K9675" s="3">
        <v>1379</v>
      </c>
      <c r="L9675" s="3">
        <v>8</v>
      </c>
      <c r="M9675" s="3">
        <v>214</v>
      </c>
    </row>
    <row r="9676" spans="1:13" x14ac:dyDescent="0.25">
      <c r="A9676" s="1" t="str">
        <f>HYPERLINK("http://www.rosaceae.org/Prunus/Prunus_persica/p.persica_gdr_reftransV1_0025484","p.persica_gdr_reftransV1_0025484")</f>
        <v>p.persica_gdr_reftransV1_0025484</v>
      </c>
      <c r="B9676" s="3">
        <v>6799</v>
      </c>
      <c r="C9676" s="1" t="str">
        <f>HYPERLINK("http://www.uniprot.org/uniprot/LDL3_ARATH","LDL3_ARATH")</f>
        <v>LDL3_ARATH</v>
      </c>
      <c r="D9676" t="s">
        <v>7185</v>
      </c>
      <c r="E9676" s="3" t="s">
        <v>3</v>
      </c>
      <c r="F9676" s="4">
        <v>0</v>
      </c>
      <c r="G9676" s="3">
        <v>2930</v>
      </c>
      <c r="H9676" s="3">
        <v>58</v>
      </c>
      <c r="I9676" s="3">
        <v>1102</v>
      </c>
      <c r="J9676" s="3">
        <v>1724</v>
      </c>
      <c r="K9676" s="3">
        <v>4930</v>
      </c>
      <c r="L9676" s="3">
        <v>246</v>
      </c>
      <c r="M9676" s="3">
        <v>1296</v>
      </c>
    </row>
    <row r="9677" spans="1:13" x14ac:dyDescent="0.25">
      <c r="A9677" s="1" t="str">
        <f>HYPERLINK("http://www.rosaceae.org/Prunus/Prunus_persica/p.persica_gdr_reftransV1_0025534","p.persica_gdr_reftransV1_0025534")</f>
        <v>p.persica_gdr_reftransV1_0025534</v>
      </c>
      <c r="B9677" s="3">
        <v>2952</v>
      </c>
      <c r="C9677" s="1" t="str">
        <f>HYPERLINK("http://www.uniprot.org/uniprot/NTL9_ARATH","NTL9_ARATH")</f>
        <v>NTL9_ARATH</v>
      </c>
      <c r="D9677" t="s">
        <v>3428</v>
      </c>
      <c r="E9677" s="3" t="s">
        <v>3</v>
      </c>
      <c r="F9677" s="4">
        <v>8.3600000000000003E-72</v>
      </c>
      <c r="G9677" s="3">
        <v>644</v>
      </c>
      <c r="H9677" s="3">
        <v>73</v>
      </c>
      <c r="I9677" s="3">
        <v>157</v>
      </c>
      <c r="J9677" s="3">
        <v>250</v>
      </c>
      <c r="K9677" s="3">
        <v>720</v>
      </c>
      <c r="L9677" s="3">
        <v>1</v>
      </c>
      <c r="M9677" s="3">
        <v>157</v>
      </c>
    </row>
    <row r="9678" spans="1:13" x14ac:dyDescent="0.25">
      <c r="A9678" s="1" t="str">
        <f>HYPERLINK("http://www.rosaceae.org/Prunus/Prunus_persica/p.persica_gdr_reftransV1_0025634","p.persica_gdr_reftransV1_0025634")</f>
        <v>p.persica_gdr_reftransV1_0025634</v>
      </c>
      <c r="B9678" s="3">
        <v>1198</v>
      </c>
      <c r="C9678" s="1" t="str">
        <f>HYPERLINK("http://www.uniprot.org/uniprot/Y4826_ARATH","Y4826_ARATH")</f>
        <v>Y4826_ARATH</v>
      </c>
      <c r="D9678" t="s">
        <v>5866</v>
      </c>
      <c r="E9678" s="3" t="s">
        <v>3</v>
      </c>
      <c r="F9678" s="4">
        <v>6.8299999999999996E-93</v>
      </c>
      <c r="G9678" s="3">
        <v>732</v>
      </c>
      <c r="H9678" s="3">
        <v>66</v>
      </c>
      <c r="I9678" s="3">
        <v>247</v>
      </c>
      <c r="J9678" s="3">
        <v>300</v>
      </c>
      <c r="K9678" s="3">
        <v>1034</v>
      </c>
      <c r="L9678" s="3">
        <v>2</v>
      </c>
      <c r="M9678" s="3">
        <v>246</v>
      </c>
    </row>
    <row r="9679" spans="1:13" x14ac:dyDescent="0.25">
      <c r="A9679" s="1" t="str">
        <f>HYPERLINK("http://www.rosaceae.org/Prunus/Prunus_persica/p.persica_gdr_reftransV1_0025684","p.persica_gdr_reftransV1_0025684")</f>
        <v>p.persica_gdr_reftransV1_0025684</v>
      </c>
      <c r="B9679" s="3">
        <v>3608</v>
      </c>
      <c r="C9679" s="1" t="str">
        <f>HYPERLINK("http://www.uniprot.org/uniprot/LEUNG_ARATH","LEUNG_ARATH")</f>
        <v>LEUNG_ARATH</v>
      </c>
      <c r="D9679" t="s">
        <v>7071</v>
      </c>
      <c r="E9679" s="3" t="s">
        <v>3</v>
      </c>
      <c r="F9679" s="4">
        <v>0</v>
      </c>
      <c r="G9679" s="3">
        <v>2114</v>
      </c>
      <c r="H9679" s="3">
        <v>60</v>
      </c>
      <c r="I9679" s="3">
        <v>751</v>
      </c>
      <c r="J9679" s="3">
        <v>86</v>
      </c>
      <c r="K9679" s="3">
        <v>2263</v>
      </c>
      <c r="L9679" s="3">
        <v>185</v>
      </c>
      <c r="M9679" s="3">
        <v>931</v>
      </c>
    </row>
    <row r="9680" spans="1:13" x14ac:dyDescent="0.25">
      <c r="A9680" s="1" t="str">
        <f>HYPERLINK("http://www.rosaceae.org/Prunus/Prunus_persica/p.persica_gdr_reftransV1_0025734","p.persica_gdr_reftransV1_0025734")</f>
        <v>p.persica_gdr_reftransV1_0025734</v>
      </c>
      <c r="B9680" s="3">
        <v>5003</v>
      </c>
      <c r="C9680" s="1" t="str">
        <f>HYPERLINK("http://www.uniprot.org/uniprot/ACA2_ARATH","ACA2_ARATH")</f>
        <v>ACA2_ARATH</v>
      </c>
      <c r="D9680" t="s">
        <v>7186</v>
      </c>
      <c r="E9680" s="3" t="s">
        <v>3</v>
      </c>
      <c r="F9680" s="4">
        <v>0</v>
      </c>
      <c r="G9680" s="3">
        <v>4040</v>
      </c>
      <c r="H9680" s="3">
        <v>78</v>
      </c>
      <c r="I9680" s="3">
        <v>1023</v>
      </c>
      <c r="J9680" s="3">
        <v>1472</v>
      </c>
      <c r="K9680" s="3">
        <v>4534</v>
      </c>
      <c r="L9680" s="3">
        <v>3</v>
      </c>
      <c r="M9680" s="3">
        <v>1014</v>
      </c>
    </row>
    <row r="9681" spans="1:13" x14ac:dyDescent="0.25">
      <c r="A9681" s="1" t="str">
        <f>HYPERLINK("http://www.rosaceae.org/Prunus/Prunus_persica/p.persica_gdr_reftransV1_0025884","p.persica_gdr_reftransV1_0025884")</f>
        <v>p.persica_gdr_reftransV1_0025884</v>
      </c>
      <c r="B9681" s="3">
        <v>2464</v>
      </c>
      <c r="C9681" s="1" t="str">
        <f>HYPERLINK("http://www.uniprot.org/uniprot/CNDD3_MOUSE","CNDD3_MOUSE")</f>
        <v>CNDD3_MOUSE</v>
      </c>
      <c r="D9681" t="s">
        <v>7187</v>
      </c>
      <c r="E9681" s="3" t="s">
        <v>157</v>
      </c>
      <c r="F9681" s="4">
        <v>1.8E-34</v>
      </c>
      <c r="G9681" s="3">
        <v>368</v>
      </c>
      <c r="H9681" s="3">
        <v>30</v>
      </c>
      <c r="I9681" s="3">
        <v>313</v>
      </c>
      <c r="J9681" s="3">
        <v>5</v>
      </c>
      <c r="K9681" s="3">
        <v>904</v>
      </c>
      <c r="L9681" s="3">
        <v>752</v>
      </c>
      <c r="M9681" s="3">
        <v>1039</v>
      </c>
    </row>
    <row r="9682" spans="1:13" x14ac:dyDescent="0.25">
      <c r="A9682" s="1" t="str">
        <f>HYPERLINK("http://www.rosaceae.org/Prunus/Prunus_persica/p.persica_gdr_reftransV1_0025984","p.persica_gdr_reftransV1_0025984")</f>
        <v>p.persica_gdr_reftransV1_0025984</v>
      </c>
      <c r="B9682" s="3">
        <v>2388</v>
      </c>
      <c r="C9682" s="1" t="str">
        <f>HYPERLINK("http://www.uniprot.org/uniprot/ALB33_ARATH","ALB33_ARATH")</f>
        <v>ALB33_ARATH</v>
      </c>
      <c r="D9682" t="s">
        <v>3666</v>
      </c>
      <c r="E9682" s="3" t="s">
        <v>3</v>
      </c>
      <c r="F9682" s="4">
        <v>3.8000000000000001E-122</v>
      </c>
      <c r="G9682" s="3">
        <v>990</v>
      </c>
      <c r="H9682" s="3">
        <v>53</v>
      </c>
      <c r="I9682" s="3">
        <v>426</v>
      </c>
      <c r="J9682" s="3">
        <v>722</v>
      </c>
      <c r="K9682" s="3">
        <v>1981</v>
      </c>
      <c r="L9682" s="3">
        <v>120</v>
      </c>
      <c r="M9682" s="3">
        <v>538</v>
      </c>
    </row>
    <row r="9683" spans="1:13" x14ac:dyDescent="0.25">
      <c r="A9683" s="1" t="str">
        <f>HYPERLINK("http://www.rosaceae.org/Prunus/Prunus_persica/p.persica_gdr_reftransV1_0026234","p.persica_gdr_reftransV1_0026234")</f>
        <v>p.persica_gdr_reftransV1_0026234</v>
      </c>
      <c r="B9683" s="3">
        <v>766</v>
      </c>
      <c r="C9683" s="1" t="str">
        <f>HYPERLINK("http://www.uniprot.org/uniprot/TMVRN_NICGU","TMVRN_NICGU")</f>
        <v>TMVRN_NICGU</v>
      </c>
      <c r="D9683" t="s">
        <v>151</v>
      </c>
      <c r="E9683" s="3" t="s">
        <v>152</v>
      </c>
      <c r="F9683" s="4">
        <v>1.5499999999999999E-47</v>
      </c>
      <c r="G9683" s="3">
        <v>441</v>
      </c>
      <c r="H9683" s="3">
        <v>41</v>
      </c>
      <c r="I9683" s="3">
        <v>260</v>
      </c>
      <c r="J9683" s="3">
        <v>9</v>
      </c>
      <c r="K9683" s="3">
        <v>764</v>
      </c>
      <c r="L9683" s="3">
        <v>86</v>
      </c>
      <c r="M9683" s="3">
        <v>340</v>
      </c>
    </row>
    <row r="9684" spans="1:13" x14ac:dyDescent="0.25">
      <c r="A9684" s="1" t="str">
        <f>HYPERLINK("http://www.rosaceae.org/Prunus/Prunus_persica/p.persica_gdr_reftransV1_0026334","p.persica_gdr_reftransV1_0026334")</f>
        <v>p.persica_gdr_reftransV1_0026334</v>
      </c>
      <c r="B9684" s="3">
        <v>650</v>
      </c>
      <c r="C9684" s="1" t="str">
        <f>HYPERLINK("http://www.uniprot.org/uniprot/LYRM4_TAEGU","LYRM4_TAEGU")</f>
        <v>LYRM4_TAEGU</v>
      </c>
      <c r="D9684" t="s">
        <v>7188</v>
      </c>
      <c r="E9684" s="3" t="s">
        <v>7189</v>
      </c>
      <c r="F9684" s="4">
        <v>3.5999999999999998E-14</v>
      </c>
      <c r="G9684" s="3">
        <v>169</v>
      </c>
      <c r="H9684" s="3">
        <v>42</v>
      </c>
      <c r="I9684" s="3">
        <v>78</v>
      </c>
      <c r="J9684" s="3">
        <v>94</v>
      </c>
      <c r="K9684" s="3">
        <v>327</v>
      </c>
      <c r="L9684" s="3">
        <v>2</v>
      </c>
      <c r="M9684" s="3">
        <v>79</v>
      </c>
    </row>
    <row r="9685" spans="1:13" x14ac:dyDescent="0.25">
      <c r="A9685" s="1" t="str">
        <f>HYPERLINK("http://www.rosaceae.org/Prunus/Prunus_persica/p.persica_gdr_reftransV1_0026434","p.persica_gdr_reftransV1_0026434")</f>
        <v>p.persica_gdr_reftransV1_0026434</v>
      </c>
      <c r="B9685" s="3">
        <v>1401</v>
      </c>
      <c r="C9685" s="1" t="str">
        <f>HYPERLINK("http://www.uniprot.org/uniprot/CP18A_ARATH","CP18A_ARATH")</f>
        <v>CP18A_ARATH</v>
      </c>
      <c r="D9685" t="s">
        <v>7190</v>
      </c>
      <c r="E9685" s="3" t="s">
        <v>3</v>
      </c>
      <c r="F9685" s="4">
        <v>9.2499999999999999E-78</v>
      </c>
      <c r="G9685" s="3">
        <v>628</v>
      </c>
      <c r="H9685" s="3">
        <v>96</v>
      </c>
      <c r="I9685" s="3">
        <v>134</v>
      </c>
      <c r="J9685" s="3">
        <v>128</v>
      </c>
      <c r="K9685" s="3">
        <v>529</v>
      </c>
      <c r="L9685" s="3">
        <v>1</v>
      </c>
      <c r="M9685" s="3">
        <v>134</v>
      </c>
    </row>
    <row r="9686" spans="1:13" x14ac:dyDescent="0.25">
      <c r="A9686" s="1" t="str">
        <f>HYPERLINK("http://www.rosaceae.org/Prunus/Prunus_persica/p.persica_gdr_reftransV1_0026734","p.persica_gdr_reftransV1_0026734")</f>
        <v>p.persica_gdr_reftransV1_0026734</v>
      </c>
      <c r="B9686" s="3">
        <v>1632</v>
      </c>
      <c r="C9686" s="1" t="str">
        <f>HYPERLINK("http://www.uniprot.org/uniprot/HUS1_DICDI","HUS1_DICDI")</f>
        <v>HUS1_DICDI</v>
      </c>
      <c r="D9686" t="s">
        <v>7191</v>
      </c>
      <c r="E9686" s="3" t="s">
        <v>9</v>
      </c>
      <c r="F9686" s="4">
        <v>4.8699999999999997E-10</v>
      </c>
      <c r="G9686" s="3">
        <v>154</v>
      </c>
      <c r="H9686" s="3">
        <v>24</v>
      </c>
      <c r="I9686" s="3">
        <v>280</v>
      </c>
      <c r="J9686" s="3">
        <v>234</v>
      </c>
      <c r="K9686" s="3">
        <v>1052</v>
      </c>
      <c r="L9686" s="3">
        <v>1</v>
      </c>
      <c r="M9686" s="3">
        <v>238</v>
      </c>
    </row>
    <row r="9687" spans="1:13" x14ac:dyDescent="0.25">
      <c r="A9687" s="1" t="str">
        <f>HYPERLINK("http://www.rosaceae.org/Prunus/Prunus_persica/p.persica_gdr_reftransV1_0026884","p.persica_gdr_reftransV1_0026884")</f>
        <v>p.persica_gdr_reftransV1_0026884</v>
      </c>
      <c r="B9687" s="3">
        <v>2914</v>
      </c>
      <c r="C9687" s="1" t="str">
        <f>HYPERLINK("http://www.uniprot.org/uniprot/PUB35_ARATH","PUB35_ARATH")</f>
        <v>PUB35_ARATH</v>
      </c>
      <c r="D9687" t="s">
        <v>7192</v>
      </c>
      <c r="E9687" s="3" t="s">
        <v>3</v>
      </c>
      <c r="F9687" s="4">
        <v>0</v>
      </c>
      <c r="G9687" s="3">
        <v>2229</v>
      </c>
      <c r="H9687" s="3">
        <v>58</v>
      </c>
      <c r="I9687" s="3">
        <v>816</v>
      </c>
      <c r="J9687" s="3">
        <v>248</v>
      </c>
      <c r="K9687" s="3">
        <v>2596</v>
      </c>
      <c r="L9687" s="3">
        <v>22</v>
      </c>
      <c r="M9687" s="3">
        <v>833</v>
      </c>
    </row>
    <row r="9688" spans="1:13" x14ac:dyDescent="0.25">
      <c r="A9688" s="1" t="str">
        <f>HYPERLINK("http://www.rosaceae.org/Prunus/Prunus_persica/p.persica_gdr_reftransV1_0027134","p.persica_gdr_reftransV1_0027134")</f>
        <v>p.persica_gdr_reftransV1_0027134</v>
      </c>
      <c r="B9688" s="3">
        <v>1439</v>
      </c>
      <c r="C9688" s="1" t="str">
        <f>HYPERLINK("http://www.uniprot.org/uniprot/GLAK1_ARATH","GLAK1_ARATH")</f>
        <v>GLAK1_ARATH</v>
      </c>
      <c r="D9688" t="s">
        <v>7193</v>
      </c>
      <c r="E9688" s="3" t="s">
        <v>3</v>
      </c>
      <c r="F9688" s="4">
        <v>0</v>
      </c>
      <c r="G9688" s="3">
        <v>1505</v>
      </c>
      <c r="H9688" s="3">
        <v>77</v>
      </c>
      <c r="I9688" s="3">
        <v>358</v>
      </c>
      <c r="J9688" s="3">
        <v>110</v>
      </c>
      <c r="K9688" s="3">
        <v>1183</v>
      </c>
      <c r="L9688" s="3">
        <v>9</v>
      </c>
      <c r="M9688" s="3">
        <v>362</v>
      </c>
    </row>
    <row r="9689" spans="1:13" x14ac:dyDescent="0.25">
      <c r="A9689" s="1" t="str">
        <f>HYPERLINK("http://www.rosaceae.org/Prunus/Prunus_persica/p.persica_gdr_reftransV1_0027184","p.persica_gdr_reftransV1_0027184")</f>
        <v>p.persica_gdr_reftransV1_0027184</v>
      </c>
      <c r="B9689" s="3">
        <v>1916</v>
      </c>
      <c r="C9689" s="1" t="str">
        <f>HYPERLINK("http://www.uniprot.org/uniprot/APO4_ARATH","APO4_ARATH")</f>
        <v>APO4_ARATH</v>
      </c>
      <c r="D9689" t="s">
        <v>7194</v>
      </c>
      <c r="E9689" s="3" t="s">
        <v>3</v>
      </c>
      <c r="F9689" s="4">
        <v>5.1999999999999997E-121</v>
      </c>
      <c r="G9689" s="3">
        <v>949</v>
      </c>
      <c r="H9689" s="3">
        <v>56</v>
      </c>
      <c r="I9689" s="3">
        <v>303</v>
      </c>
      <c r="J9689" s="3">
        <v>500</v>
      </c>
      <c r="K9689" s="3">
        <v>1402</v>
      </c>
      <c r="L9689" s="3">
        <v>23</v>
      </c>
      <c r="M9689" s="3">
        <v>325</v>
      </c>
    </row>
    <row r="9690" spans="1:13" x14ac:dyDescent="0.25">
      <c r="A9690" s="1" t="str">
        <f>HYPERLINK("http://www.rosaceae.org/Prunus/Prunus_persica/p.persica_gdr_reftransV1_0027334","p.persica_gdr_reftransV1_0027334")</f>
        <v>p.persica_gdr_reftransV1_0027334</v>
      </c>
      <c r="B9690" s="3">
        <v>3221</v>
      </c>
      <c r="C9690" s="1" t="str">
        <f>HYPERLINK("http://www.uniprot.org/uniprot/SSY4_ARATH","SSY4_ARATH")</f>
        <v>SSY4_ARATH</v>
      </c>
      <c r="D9690" t="s">
        <v>6124</v>
      </c>
      <c r="E9690" s="3" t="s">
        <v>3</v>
      </c>
      <c r="F9690" s="4">
        <v>7.3599999999999997E-44</v>
      </c>
      <c r="G9690" s="3">
        <v>448</v>
      </c>
      <c r="H9690" s="3">
        <v>41</v>
      </c>
      <c r="I9690" s="3">
        <v>204</v>
      </c>
      <c r="J9690" s="3">
        <v>1416</v>
      </c>
      <c r="K9690" s="3">
        <v>2012</v>
      </c>
      <c r="L9690" s="3">
        <v>636</v>
      </c>
      <c r="M9690" s="3">
        <v>839</v>
      </c>
    </row>
    <row r="9691" spans="1:13" x14ac:dyDescent="0.25">
      <c r="A9691" s="1" t="str">
        <f>HYPERLINK("http://www.rosaceae.org/Prunus/Prunus_persica/p.persica_gdr_reftransV1_0027384","p.persica_gdr_reftransV1_0027384")</f>
        <v>p.persica_gdr_reftransV1_0027384</v>
      </c>
      <c r="B9691" s="3">
        <v>896</v>
      </c>
      <c r="C9691" s="1" t="str">
        <f>HYPERLINK("http://www.uniprot.org/uniprot/FAOMT_VITVI","FAOMT_VITVI")</f>
        <v>FAOMT_VITVI</v>
      </c>
      <c r="D9691" t="s">
        <v>1684</v>
      </c>
      <c r="E9691" s="3" t="s">
        <v>362</v>
      </c>
      <c r="F9691" s="4">
        <v>1.2000000000000001E-108</v>
      </c>
      <c r="G9691" s="3">
        <v>825</v>
      </c>
      <c r="H9691" s="3">
        <v>69</v>
      </c>
      <c r="I9691" s="3">
        <v>235</v>
      </c>
      <c r="J9691" s="3">
        <v>72</v>
      </c>
      <c r="K9691" s="3">
        <v>773</v>
      </c>
      <c r="L9691" s="3">
        <v>1</v>
      </c>
      <c r="M9691" s="3">
        <v>235</v>
      </c>
    </row>
    <row r="9692" spans="1:13" x14ac:dyDescent="0.25">
      <c r="A9692" s="1" t="str">
        <f>HYPERLINK("http://www.rosaceae.org/Prunus/Prunus_persica/p.persica_gdr_reftransV1_0027584","p.persica_gdr_reftransV1_0027584")</f>
        <v>p.persica_gdr_reftransV1_0027584</v>
      </c>
      <c r="B9692" s="3">
        <v>379</v>
      </c>
      <c r="C9692" s="1" t="str">
        <f>HYPERLINK("http://www.uniprot.org/uniprot/KATAM_ARATH","KATAM_ARATH")</f>
        <v>KATAM_ARATH</v>
      </c>
      <c r="D9692" t="s">
        <v>5884</v>
      </c>
      <c r="E9692" s="3" t="s">
        <v>3</v>
      </c>
      <c r="F9692" s="4">
        <v>9.9600000000000005E-26</v>
      </c>
      <c r="G9692" s="3">
        <v>262</v>
      </c>
      <c r="H9692" s="3">
        <v>47</v>
      </c>
      <c r="I9692" s="3">
        <v>110</v>
      </c>
      <c r="J9692" s="3">
        <v>53</v>
      </c>
      <c r="K9692" s="3">
        <v>376</v>
      </c>
      <c r="L9692" s="3">
        <v>432</v>
      </c>
      <c r="M9692" s="3">
        <v>541</v>
      </c>
    </row>
    <row r="9693" spans="1:13" x14ac:dyDescent="0.25">
      <c r="A9693" s="1" t="str">
        <f>HYPERLINK("http://www.rosaceae.org/Prunus/Prunus_persica/p.persica_gdr_reftransV1_0027684","p.persica_gdr_reftransV1_0027684")</f>
        <v>p.persica_gdr_reftransV1_0027684</v>
      </c>
      <c r="B9693" s="3">
        <v>892</v>
      </c>
      <c r="C9693" s="1" t="str">
        <f>HYPERLINK("http://www.uniprot.org/uniprot/RK34_SPIOL","RK34_SPIOL")</f>
        <v>RK34_SPIOL</v>
      </c>
      <c r="D9693" t="s">
        <v>7195</v>
      </c>
      <c r="E9693" s="3" t="s">
        <v>131</v>
      </c>
      <c r="F9693" s="4">
        <v>9.8099999999999998E-25</v>
      </c>
      <c r="G9693" s="3">
        <v>253</v>
      </c>
      <c r="H9693" s="3">
        <v>62</v>
      </c>
      <c r="I9693" s="3">
        <v>133</v>
      </c>
      <c r="J9693" s="3">
        <v>173</v>
      </c>
      <c r="K9693" s="3">
        <v>571</v>
      </c>
      <c r="L9693" s="3">
        <v>19</v>
      </c>
      <c r="M9693" s="3">
        <v>150</v>
      </c>
    </row>
    <row r="9694" spans="1:13" x14ac:dyDescent="0.25">
      <c r="A9694" s="1" t="str">
        <f>HYPERLINK("http://www.rosaceae.org/Prunus/Prunus_persica/p.persica_gdr_reftransV1_0027884","p.persica_gdr_reftransV1_0027884")</f>
        <v>p.persica_gdr_reftransV1_0027884</v>
      </c>
      <c r="B9694" s="3">
        <v>1976</v>
      </c>
      <c r="C9694" s="1" t="str">
        <f>HYPERLINK("http://www.uniprot.org/uniprot/NAC83_ARATH","NAC83_ARATH")</f>
        <v>NAC83_ARATH</v>
      </c>
      <c r="D9694" t="s">
        <v>4943</v>
      </c>
      <c r="E9694" s="3" t="s">
        <v>3</v>
      </c>
      <c r="F9694" s="4">
        <v>1.85E-40</v>
      </c>
      <c r="G9694" s="3">
        <v>385</v>
      </c>
      <c r="H9694" s="3">
        <v>86</v>
      </c>
      <c r="I9694" s="3">
        <v>78</v>
      </c>
      <c r="J9694" s="3">
        <v>904</v>
      </c>
      <c r="K9694" s="3">
        <v>1137</v>
      </c>
      <c r="L9694" s="3">
        <v>61</v>
      </c>
      <c r="M9694" s="3">
        <v>138</v>
      </c>
    </row>
    <row r="9695" spans="1:13" x14ac:dyDescent="0.25">
      <c r="A9695" s="1" t="str">
        <f>HYPERLINK("http://www.rosaceae.org/Prunus/Prunus_persica/p.persica_gdr_reftransV1_0027934","p.persica_gdr_reftransV1_0027934")</f>
        <v>p.persica_gdr_reftransV1_0027934</v>
      </c>
      <c r="B9695" s="3">
        <v>4146</v>
      </c>
      <c r="C9695" s="1" t="str">
        <f>HYPERLINK("http://www.uniprot.org/uniprot/MOCOS_SOLLC","MOCOS_SOLLC")</f>
        <v>MOCOS_SOLLC</v>
      </c>
      <c r="D9695" t="s">
        <v>7120</v>
      </c>
      <c r="E9695" s="3" t="s">
        <v>64</v>
      </c>
      <c r="F9695" s="4">
        <v>8.98E-16</v>
      </c>
      <c r="G9695" s="3">
        <v>213</v>
      </c>
      <c r="H9695" s="3">
        <v>25</v>
      </c>
      <c r="I9695" s="3">
        <v>315</v>
      </c>
      <c r="J9695" s="3">
        <v>1065</v>
      </c>
      <c r="K9695" s="3">
        <v>1907</v>
      </c>
      <c r="L9695" s="3">
        <v>11</v>
      </c>
      <c r="M9695" s="3">
        <v>308</v>
      </c>
    </row>
    <row r="9696" spans="1:13" x14ac:dyDescent="0.25">
      <c r="A9696" s="1" t="str">
        <f>HYPERLINK("http://www.rosaceae.org/Prunus/Prunus_persica/p.persica_gdr_reftransV1_0028084","p.persica_gdr_reftransV1_0028084")</f>
        <v>p.persica_gdr_reftransV1_0028084</v>
      </c>
      <c r="B9696" s="3">
        <v>1283</v>
      </c>
      <c r="C9696" s="1" t="str">
        <f>HYPERLINK("http://www.uniprot.org/uniprot/PPR24_ARATH","PPR24_ARATH")</f>
        <v>PPR24_ARATH</v>
      </c>
      <c r="D9696" t="s">
        <v>7196</v>
      </c>
      <c r="E9696" s="3" t="s">
        <v>3</v>
      </c>
      <c r="F9696" s="4">
        <v>5.69E-108</v>
      </c>
      <c r="G9696" s="3">
        <v>858</v>
      </c>
      <c r="H9696" s="3">
        <v>64</v>
      </c>
      <c r="I9696" s="3">
        <v>255</v>
      </c>
      <c r="J9696" s="3">
        <v>7</v>
      </c>
      <c r="K9696" s="3">
        <v>768</v>
      </c>
      <c r="L9696" s="3">
        <v>250</v>
      </c>
      <c r="M9696" s="3">
        <v>503</v>
      </c>
    </row>
    <row r="9697" spans="1:13" x14ac:dyDescent="0.25">
      <c r="A9697" s="1" t="str">
        <f>HYPERLINK("http://www.rosaceae.org/Prunus/Prunus_persica/p.persica_gdr_reftransV1_0028584","p.persica_gdr_reftransV1_0028584")</f>
        <v>p.persica_gdr_reftransV1_0028584</v>
      </c>
      <c r="B9697" s="3">
        <v>1873</v>
      </c>
      <c r="C9697" s="1" t="str">
        <f>HYPERLINK("http://www.uniprot.org/uniprot/EB1B_ARATH","EB1B_ARATH")</f>
        <v>EB1B_ARATH</v>
      </c>
      <c r="D9697" t="s">
        <v>7197</v>
      </c>
      <c r="E9697" s="3" t="s">
        <v>3</v>
      </c>
      <c r="F9697" s="4">
        <v>4.3499999999999998E-131</v>
      </c>
      <c r="G9697" s="3">
        <v>1011</v>
      </c>
      <c r="H9697" s="3">
        <v>74</v>
      </c>
      <c r="I9697" s="3">
        <v>247</v>
      </c>
      <c r="J9697" s="3">
        <v>370</v>
      </c>
      <c r="K9697" s="3">
        <v>1110</v>
      </c>
      <c r="L9697" s="3">
        <v>1</v>
      </c>
      <c r="M9697" s="3">
        <v>244</v>
      </c>
    </row>
    <row r="9698" spans="1:13" x14ac:dyDescent="0.25">
      <c r="A9698" s="1" t="str">
        <f>HYPERLINK("http://www.rosaceae.org/Prunus/Prunus_persica/p.persica_gdr_reftransV1_0028734","p.persica_gdr_reftransV1_0028734")</f>
        <v>p.persica_gdr_reftransV1_0028734</v>
      </c>
      <c r="B9698" s="3">
        <v>1554</v>
      </c>
      <c r="C9698" s="1" t="str">
        <f>HYPERLINK("http://www.uniprot.org/uniprot/NUD23_ARATH","NUD23_ARATH")</f>
        <v>NUD23_ARATH</v>
      </c>
      <c r="D9698" t="s">
        <v>7198</v>
      </c>
      <c r="E9698" s="3" t="s">
        <v>3</v>
      </c>
      <c r="F9698" s="4">
        <v>6.4299999999999997E-80</v>
      </c>
      <c r="G9698" s="3">
        <v>657</v>
      </c>
      <c r="H9698" s="3">
        <v>79</v>
      </c>
      <c r="I9698" s="3">
        <v>151</v>
      </c>
      <c r="J9698" s="3">
        <v>348</v>
      </c>
      <c r="K9698" s="3">
        <v>800</v>
      </c>
      <c r="L9698" s="3">
        <v>129</v>
      </c>
      <c r="M9698" s="3">
        <v>279</v>
      </c>
    </row>
    <row r="9699" spans="1:13" x14ac:dyDescent="0.25">
      <c r="A9699" s="1" t="str">
        <f>HYPERLINK("http://www.rosaceae.org/Prunus/Prunus_persica/p.persica_gdr_reftransV1_0029534","p.persica_gdr_reftransV1_0029534")</f>
        <v>p.persica_gdr_reftransV1_0029534</v>
      </c>
      <c r="B9699" s="3">
        <v>2612</v>
      </c>
      <c r="C9699" s="1" t="str">
        <f>HYPERLINK("http://www.uniprot.org/uniprot/GOGC5_ARATH","GOGC5_ARATH")</f>
        <v>GOGC5_ARATH</v>
      </c>
      <c r="D9699" t="s">
        <v>4627</v>
      </c>
      <c r="E9699" s="3" t="s">
        <v>3</v>
      </c>
      <c r="F9699" s="4">
        <v>0</v>
      </c>
      <c r="G9699" s="3">
        <v>2125</v>
      </c>
      <c r="H9699" s="3">
        <v>85</v>
      </c>
      <c r="I9699" s="3">
        <v>585</v>
      </c>
      <c r="J9699" s="3">
        <v>498</v>
      </c>
      <c r="K9699" s="3">
        <v>2252</v>
      </c>
      <c r="L9699" s="3">
        <v>372</v>
      </c>
      <c r="M9699" s="3">
        <v>956</v>
      </c>
    </row>
    <row r="9700" spans="1:13" x14ac:dyDescent="0.25">
      <c r="A9700" s="1" t="str">
        <f>HYPERLINK("http://www.rosaceae.org/Prunus/Prunus_persica/p.persica_gdr_reftransV1_0029634","p.persica_gdr_reftransV1_0029634")</f>
        <v>p.persica_gdr_reftransV1_0029634</v>
      </c>
      <c r="B9700" s="3">
        <v>1348</v>
      </c>
      <c r="C9700" s="1" t="str">
        <f>HYPERLINK("http://www.uniprot.org/uniprot/DSP8_ARATH","DSP8_ARATH")</f>
        <v>DSP8_ARATH</v>
      </c>
      <c r="D9700" t="s">
        <v>338</v>
      </c>
      <c r="E9700" s="3" t="s">
        <v>3</v>
      </c>
      <c r="F9700" s="4">
        <v>6.8699999999999993E-24</v>
      </c>
      <c r="G9700" s="3">
        <v>261</v>
      </c>
      <c r="H9700" s="3">
        <v>44</v>
      </c>
      <c r="I9700" s="3">
        <v>140</v>
      </c>
      <c r="J9700" s="3">
        <v>234</v>
      </c>
      <c r="K9700" s="3">
        <v>623</v>
      </c>
      <c r="L9700" s="3">
        <v>209</v>
      </c>
      <c r="M9700" s="3">
        <v>337</v>
      </c>
    </row>
    <row r="9701" spans="1:13" x14ac:dyDescent="0.25">
      <c r="A9701" s="1" t="str">
        <f>HYPERLINK("http://www.rosaceae.org/Prunus/Prunus_persica/p.persica_gdr_reftransV1_0030134","p.persica_gdr_reftransV1_0030134")</f>
        <v>p.persica_gdr_reftransV1_0030134</v>
      </c>
      <c r="B9701" s="3">
        <v>1336</v>
      </c>
      <c r="C9701" s="1" t="str">
        <f>HYPERLINK("http://www.uniprot.org/uniprot/XPP3_RAT","XPP3_RAT")</f>
        <v>XPP3_RAT</v>
      </c>
      <c r="D9701" t="s">
        <v>7199</v>
      </c>
      <c r="E9701" s="3" t="s">
        <v>161</v>
      </c>
      <c r="F9701" s="4">
        <v>1.76E-98</v>
      </c>
      <c r="G9701" s="3">
        <v>796</v>
      </c>
      <c r="H9701" s="3">
        <v>38</v>
      </c>
      <c r="I9701" s="3">
        <v>409</v>
      </c>
      <c r="J9701" s="3">
        <v>1</v>
      </c>
      <c r="K9701" s="3">
        <v>1158</v>
      </c>
      <c r="L9701" s="3">
        <v>46</v>
      </c>
      <c r="M9701" s="3">
        <v>454</v>
      </c>
    </row>
    <row r="9702" spans="1:13" x14ac:dyDescent="0.25">
      <c r="A9702" s="1" t="str">
        <f>HYPERLINK("http://www.rosaceae.org/Prunus/Prunus_persica/p.persica_gdr_reftransV1_0030284","p.persica_gdr_reftransV1_0030284")</f>
        <v>p.persica_gdr_reftransV1_0030284</v>
      </c>
      <c r="B9702" s="3">
        <v>1942</v>
      </c>
      <c r="C9702" s="1" t="str">
        <f>HYPERLINK("http://www.uniprot.org/uniprot/PUS7_YEAST","PUS7_YEAST")</f>
        <v>PUS7_YEAST</v>
      </c>
      <c r="D9702" t="s">
        <v>5817</v>
      </c>
      <c r="E9702" s="3" t="s">
        <v>34</v>
      </c>
      <c r="F9702" s="4">
        <v>3.5299999999999998E-48</v>
      </c>
      <c r="G9702" s="3">
        <v>465</v>
      </c>
      <c r="H9702" s="3">
        <v>35</v>
      </c>
      <c r="I9702" s="3">
        <v>373</v>
      </c>
      <c r="J9702" s="3">
        <v>312</v>
      </c>
      <c r="K9702" s="3">
        <v>1400</v>
      </c>
      <c r="L9702" s="3">
        <v>345</v>
      </c>
      <c r="M9702" s="3">
        <v>664</v>
      </c>
    </row>
    <row r="9703" spans="1:13" x14ac:dyDescent="0.25">
      <c r="A9703" s="1" t="str">
        <f>HYPERLINK("http://www.rosaceae.org/Prunus/Prunus_persica/p.persica_gdr_reftransV1_0030434","p.persica_gdr_reftransV1_0030434")</f>
        <v>p.persica_gdr_reftransV1_0030434</v>
      </c>
      <c r="B9703" s="3">
        <v>3064</v>
      </c>
      <c r="C9703" s="1" t="str">
        <f>HYPERLINK("http://www.uniprot.org/uniprot/PCO4_ARATH","PCO4_ARATH")</f>
        <v>PCO4_ARATH</v>
      </c>
      <c r="D9703" t="s">
        <v>7200</v>
      </c>
      <c r="E9703" s="3" t="s">
        <v>3</v>
      </c>
      <c r="F9703" s="4">
        <v>4.74E-51</v>
      </c>
      <c r="G9703" s="3">
        <v>470</v>
      </c>
      <c r="H9703" s="3">
        <v>66</v>
      </c>
      <c r="I9703" s="3">
        <v>133</v>
      </c>
      <c r="J9703" s="3">
        <v>943</v>
      </c>
      <c r="K9703" s="3">
        <v>1335</v>
      </c>
      <c r="L9703" s="3">
        <v>5</v>
      </c>
      <c r="M9703" s="3">
        <v>135</v>
      </c>
    </row>
    <row r="9704" spans="1:13" x14ac:dyDescent="0.25">
      <c r="A9704" s="1" t="str">
        <f>HYPERLINK("http://www.rosaceae.org/Prunus/Prunus_persica/p.persica_gdr_reftransV1_0030534","p.persica_gdr_reftransV1_0030534")</f>
        <v>p.persica_gdr_reftransV1_0030534</v>
      </c>
      <c r="B9704" s="3">
        <v>1389</v>
      </c>
      <c r="C9704" s="1" t="str">
        <f>HYPERLINK("http://www.uniprot.org/uniprot/MED32_ARATH","MED32_ARATH")</f>
        <v>MED32_ARATH</v>
      </c>
      <c r="D9704" t="s">
        <v>6307</v>
      </c>
      <c r="E9704" s="3" t="s">
        <v>3</v>
      </c>
      <c r="F9704" s="4">
        <v>1.1E-64</v>
      </c>
      <c r="G9704" s="3">
        <v>538</v>
      </c>
      <c r="H9704" s="3">
        <v>71</v>
      </c>
      <c r="I9704" s="3">
        <v>152</v>
      </c>
      <c r="J9704" s="3">
        <v>414</v>
      </c>
      <c r="K9704" s="3">
        <v>845</v>
      </c>
      <c r="L9704" s="3">
        <v>1</v>
      </c>
      <c r="M9704" s="3">
        <v>151</v>
      </c>
    </row>
    <row r="9705" spans="1:13" x14ac:dyDescent="0.25">
      <c r="A9705" s="1" t="str">
        <f>HYPERLINK("http://www.rosaceae.org/Prunus/Prunus_persica/p.persica_gdr_reftransV1_0030634","p.persica_gdr_reftransV1_0030634")</f>
        <v>p.persica_gdr_reftransV1_0030634</v>
      </c>
      <c r="B9705" s="3">
        <v>2189</v>
      </c>
      <c r="C9705" s="1" t="str">
        <f>HYPERLINK("http://www.uniprot.org/uniprot/YGI3_SCHPO","YGI3_SCHPO")</f>
        <v>YGI3_SCHPO</v>
      </c>
      <c r="D9705" t="s">
        <v>567</v>
      </c>
      <c r="E9705" s="3" t="s">
        <v>464</v>
      </c>
      <c r="F9705" s="4">
        <v>2.2000000000000001E-31</v>
      </c>
      <c r="G9705" s="3">
        <v>330</v>
      </c>
      <c r="H9705" s="3">
        <v>28</v>
      </c>
      <c r="I9705" s="3">
        <v>391</v>
      </c>
      <c r="J9705" s="3">
        <v>571</v>
      </c>
      <c r="K9705" s="3">
        <v>1737</v>
      </c>
      <c r="L9705" s="3">
        <v>54</v>
      </c>
      <c r="M9705" s="3">
        <v>416</v>
      </c>
    </row>
    <row r="9706" spans="1:13" x14ac:dyDescent="0.25">
      <c r="A9706" s="1" t="str">
        <f>HYPERLINK("http://www.rosaceae.org/Prunus/Prunus_persica/p.persica_gdr_reftransV1_0030784","p.persica_gdr_reftransV1_0030784")</f>
        <v>p.persica_gdr_reftransV1_0030784</v>
      </c>
      <c r="B9706" s="3">
        <v>2469</v>
      </c>
      <c r="C9706" s="1" t="str">
        <f>HYPERLINK("http://www.uniprot.org/uniprot/PHO11_ARATH","PHO11_ARATH")</f>
        <v>PHO11_ARATH</v>
      </c>
      <c r="D9706" t="s">
        <v>7201</v>
      </c>
      <c r="E9706" s="3" t="s">
        <v>3</v>
      </c>
      <c r="F9706" s="4">
        <v>0</v>
      </c>
      <c r="G9706" s="3">
        <v>2724</v>
      </c>
      <c r="H9706" s="3">
        <v>74</v>
      </c>
      <c r="I9706" s="3">
        <v>750</v>
      </c>
      <c r="J9706" s="3">
        <v>236</v>
      </c>
      <c r="K9706" s="3">
        <v>2464</v>
      </c>
      <c r="L9706" s="3">
        <v>47</v>
      </c>
      <c r="M9706" s="3">
        <v>784</v>
      </c>
    </row>
    <row r="9707" spans="1:13" x14ac:dyDescent="0.25">
      <c r="A9707" s="1" t="str">
        <f>HYPERLINK("http://www.rosaceae.org/Prunus/Prunus_persica/p.persica_gdr_reftransV1_0030984","p.persica_gdr_reftransV1_0030984")</f>
        <v>p.persica_gdr_reftransV1_0030984</v>
      </c>
      <c r="B9707" s="3">
        <v>3979</v>
      </c>
      <c r="C9707" s="1" t="str">
        <f>HYPERLINK("http://www.uniprot.org/uniprot/SKI14_ARATH","SKI14_ARATH")</f>
        <v>SKI14_ARATH</v>
      </c>
      <c r="D9707" t="s">
        <v>1130</v>
      </c>
      <c r="E9707" s="3" t="s">
        <v>3</v>
      </c>
      <c r="F9707" s="4">
        <v>5.3200000000000003E-122</v>
      </c>
      <c r="G9707" s="3">
        <v>1010</v>
      </c>
      <c r="H9707" s="3">
        <v>47</v>
      </c>
      <c r="I9707" s="3">
        <v>485</v>
      </c>
      <c r="J9707" s="3">
        <v>1366</v>
      </c>
      <c r="K9707" s="3">
        <v>2751</v>
      </c>
      <c r="L9707" s="3">
        <v>1</v>
      </c>
      <c r="M9707" s="3">
        <v>446</v>
      </c>
    </row>
    <row r="9708" spans="1:13" x14ac:dyDescent="0.25">
      <c r="A9708" s="1" t="str">
        <f>HYPERLINK("http://www.rosaceae.org/Prunus/Prunus_persica/p.persica_gdr_reftransV1_0031384","p.persica_gdr_reftransV1_0031384")</f>
        <v>p.persica_gdr_reftransV1_0031384</v>
      </c>
      <c r="B9708" s="3">
        <v>4325</v>
      </c>
      <c r="C9708" s="1" t="str">
        <f>HYPERLINK("http://www.uniprot.org/uniprot/TR130_ARATH","TR130_ARATH")</f>
        <v>TR130_ARATH</v>
      </c>
      <c r="D9708" t="s">
        <v>7202</v>
      </c>
      <c r="E9708" s="3" t="s">
        <v>3</v>
      </c>
      <c r="F9708" s="4">
        <v>0</v>
      </c>
      <c r="G9708" s="3">
        <v>4958</v>
      </c>
      <c r="H9708" s="3">
        <v>76</v>
      </c>
      <c r="I9708" s="3">
        <v>1260</v>
      </c>
      <c r="J9708" s="3">
        <v>132</v>
      </c>
      <c r="K9708" s="3">
        <v>3905</v>
      </c>
      <c r="L9708" s="3">
        <v>1</v>
      </c>
      <c r="M9708" s="3">
        <v>1257</v>
      </c>
    </row>
    <row r="9709" spans="1:13" x14ac:dyDescent="0.25">
      <c r="A9709" s="1" t="str">
        <f>HYPERLINK("http://www.rosaceae.org/Prunus/Prunus_persica/p.persica_gdr_reftransV1_0031684","p.persica_gdr_reftransV1_0031684")</f>
        <v>p.persica_gdr_reftransV1_0031684</v>
      </c>
      <c r="B9709" s="3">
        <v>1359</v>
      </c>
      <c r="C9709" s="1" t="str">
        <f>HYPERLINK("http://www.uniprot.org/uniprot/RAD2C_ARATH","RAD2C_ARATH")</f>
        <v>RAD2C_ARATH</v>
      </c>
      <c r="D9709" t="s">
        <v>7203</v>
      </c>
      <c r="E9709" s="3" t="s">
        <v>3</v>
      </c>
      <c r="F9709" s="4">
        <v>2.0100000000000001E-102</v>
      </c>
      <c r="G9709" s="3">
        <v>541</v>
      </c>
      <c r="H9709" s="3">
        <v>85</v>
      </c>
      <c r="I9709" s="3">
        <v>117</v>
      </c>
      <c r="J9709" s="3">
        <v>463</v>
      </c>
      <c r="K9709" s="3">
        <v>813</v>
      </c>
      <c r="L9709" s="3">
        <v>86</v>
      </c>
      <c r="M9709" s="3">
        <v>202</v>
      </c>
    </row>
    <row r="9710" spans="1:13" x14ac:dyDescent="0.25">
      <c r="A9710" s="1" t="str">
        <f>HYPERLINK("http://www.rosaceae.org/Prunus/Prunus_persica/p.persica_gdr_reftransV1_0031734","p.persica_gdr_reftransV1_0031734")</f>
        <v>p.persica_gdr_reftransV1_0031734</v>
      </c>
      <c r="B9710" s="3">
        <v>1745</v>
      </c>
      <c r="C9710" s="1" t="str">
        <f>HYPERLINK("http://www.uniprot.org/uniprot/HACD_ARATH","HACD_ARATH")</f>
        <v>HACD_ARATH</v>
      </c>
      <c r="D9710" t="s">
        <v>7204</v>
      </c>
      <c r="E9710" s="3" t="s">
        <v>3</v>
      </c>
      <c r="F9710" s="4">
        <v>1.49E-34</v>
      </c>
      <c r="G9710" s="3">
        <v>337</v>
      </c>
      <c r="H9710" s="3">
        <v>77</v>
      </c>
      <c r="I9710" s="3">
        <v>82</v>
      </c>
      <c r="J9710" s="3">
        <v>1220</v>
      </c>
      <c r="K9710" s="3">
        <v>1465</v>
      </c>
      <c r="L9710" s="3">
        <v>17</v>
      </c>
      <c r="M9710" s="3">
        <v>98</v>
      </c>
    </row>
    <row r="9711" spans="1:13" x14ac:dyDescent="0.25">
      <c r="A9711" s="1" t="str">
        <f>HYPERLINK("http://www.rosaceae.org/Prunus/Prunus_persica/p.persica_gdr_reftransV1_0031784","p.persica_gdr_reftransV1_0031784")</f>
        <v>p.persica_gdr_reftransV1_0031784</v>
      </c>
      <c r="B9711" s="3">
        <v>1084</v>
      </c>
      <c r="C9711" s="1" t="str">
        <f>HYPERLINK("http://www.uniprot.org/uniprot/UCKC_DICDI","UCKC_DICDI")</f>
        <v>UCKC_DICDI</v>
      </c>
      <c r="D9711" t="s">
        <v>1028</v>
      </c>
      <c r="E9711" s="3" t="s">
        <v>9</v>
      </c>
      <c r="F9711" s="4">
        <v>8.4199999999999998E-65</v>
      </c>
      <c r="G9711" s="3">
        <v>556</v>
      </c>
      <c r="H9711" s="3">
        <v>51</v>
      </c>
      <c r="I9711" s="3">
        <v>203</v>
      </c>
      <c r="J9711" s="3">
        <v>179</v>
      </c>
      <c r="K9711" s="3">
        <v>778</v>
      </c>
      <c r="L9711" s="3">
        <v>5</v>
      </c>
      <c r="M9711" s="3">
        <v>207</v>
      </c>
    </row>
    <row r="9712" spans="1:13" x14ac:dyDescent="0.25">
      <c r="A9712" s="1" t="str">
        <f>HYPERLINK("http://www.rosaceae.org/Prunus/Prunus_persica/p.persica_gdr_reftransV1_0032184","p.persica_gdr_reftransV1_0032184")</f>
        <v>p.persica_gdr_reftransV1_0032184</v>
      </c>
      <c r="B9712" s="3">
        <v>1072</v>
      </c>
      <c r="C9712" s="1" t="str">
        <f>HYPERLINK("http://www.uniprot.org/uniprot/ODO1_DICDI","ODO1_DICDI")</f>
        <v>ODO1_DICDI</v>
      </c>
      <c r="D9712" t="s">
        <v>2389</v>
      </c>
      <c r="E9712" s="3" t="s">
        <v>9</v>
      </c>
      <c r="F9712" s="4">
        <v>1.1700000000000001E-47</v>
      </c>
      <c r="G9712" s="3">
        <v>451</v>
      </c>
      <c r="H9712" s="3">
        <v>47</v>
      </c>
      <c r="I9712" s="3">
        <v>193</v>
      </c>
      <c r="J9712" s="3">
        <v>562</v>
      </c>
      <c r="K9712" s="3">
        <v>1071</v>
      </c>
      <c r="L9712" s="3">
        <v>35</v>
      </c>
      <c r="M9712" s="3">
        <v>227</v>
      </c>
    </row>
    <row r="9713" spans="1:13" x14ac:dyDescent="0.25">
      <c r="A9713" s="1" t="str">
        <f>HYPERLINK("http://www.rosaceae.org/Prunus/Prunus_persica/p.persica_gdr_reftransV1_0032334","p.persica_gdr_reftransV1_0032334")</f>
        <v>p.persica_gdr_reftransV1_0032334</v>
      </c>
      <c r="B9713" s="3">
        <v>1001</v>
      </c>
      <c r="C9713" s="1" t="str">
        <f>HYPERLINK("http://www.uniprot.org/uniprot/UAF30_YEAST","UAF30_YEAST")</f>
        <v>UAF30_YEAST</v>
      </c>
      <c r="D9713" t="s">
        <v>7205</v>
      </c>
      <c r="E9713" s="3" t="s">
        <v>34</v>
      </c>
      <c r="F9713" s="4">
        <v>2.05E-7</v>
      </c>
      <c r="G9713" s="3">
        <v>130</v>
      </c>
      <c r="H9713" s="3">
        <v>35</v>
      </c>
      <c r="I9713" s="3">
        <v>77</v>
      </c>
      <c r="J9713" s="3">
        <v>268</v>
      </c>
      <c r="K9713" s="3">
        <v>498</v>
      </c>
      <c r="L9713" s="3">
        <v>124</v>
      </c>
      <c r="M9713" s="3">
        <v>198</v>
      </c>
    </row>
    <row r="9714" spans="1:13" x14ac:dyDescent="0.25">
      <c r="A9714" s="1" t="str">
        <f>HYPERLINK("http://www.rosaceae.org/Prunus/Prunus_persica/p.persica_gdr_reftransV1_0032484","p.persica_gdr_reftransV1_0032484")</f>
        <v>p.persica_gdr_reftransV1_0032484</v>
      </c>
      <c r="B9714" s="3">
        <v>1957</v>
      </c>
      <c r="C9714" s="1" t="str">
        <f>HYPERLINK("http://www.uniprot.org/uniprot/PUB4_ARATH","PUB4_ARATH")</f>
        <v>PUB4_ARATH</v>
      </c>
      <c r="D9714" t="s">
        <v>1286</v>
      </c>
      <c r="E9714" s="3" t="s">
        <v>3</v>
      </c>
      <c r="F9714" s="4">
        <v>5.06E-30</v>
      </c>
      <c r="G9714" s="3">
        <v>326</v>
      </c>
      <c r="H9714" s="3">
        <v>39</v>
      </c>
      <c r="I9714" s="3">
        <v>245</v>
      </c>
      <c r="J9714" s="3">
        <v>755</v>
      </c>
      <c r="K9714" s="3">
        <v>1489</v>
      </c>
      <c r="L9714" s="3">
        <v>579</v>
      </c>
      <c r="M9714" s="3">
        <v>817</v>
      </c>
    </row>
    <row r="9715" spans="1:13" x14ac:dyDescent="0.25">
      <c r="A9715" s="1" t="str">
        <f>HYPERLINK("http://www.rosaceae.org/Prunus/Prunus_persica/p.persica_gdr_reftransV1_0032584","p.persica_gdr_reftransV1_0032584")</f>
        <v>p.persica_gdr_reftransV1_0032584</v>
      </c>
      <c r="B9715" s="3">
        <v>1879</v>
      </c>
      <c r="C9715" s="1" t="str">
        <f>HYPERLINK("http://www.uniprot.org/uniprot/PLA20_ARATH","PLA20_ARATH")</f>
        <v>PLA20_ARATH</v>
      </c>
      <c r="D9715" t="s">
        <v>7206</v>
      </c>
      <c r="E9715" s="3" t="s">
        <v>3</v>
      </c>
      <c r="F9715" s="4">
        <v>1.1399999999999999E-170</v>
      </c>
      <c r="G9715" s="3">
        <v>1286</v>
      </c>
      <c r="H9715" s="3">
        <v>63</v>
      </c>
      <c r="I9715" s="3">
        <v>416</v>
      </c>
      <c r="J9715" s="3">
        <v>361</v>
      </c>
      <c r="K9715" s="3">
        <v>1608</v>
      </c>
      <c r="L9715" s="3">
        <v>4</v>
      </c>
      <c r="M9715" s="3">
        <v>407</v>
      </c>
    </row>
    <row r="9716" spans="1:13" x14ac:dyDescent="0.25">
      <c r="A9716" s="1" t="str">
        <f>HYPERLINK("http://www.rosaceae.org/Prunus/Prunus_persica/p.persica_gdr_reftransV1_0032934","p.persica_gdr_reftransV1_0032934")</f>
        <v>p.persica_gdr_reftransV1_0032934</v>
      </c>
      <c r="B9716" s="3">
        <v>1784</v>
      </c>
      <c r="C9716" s="1" t="str">
        <f>HYPERLINK("http://www.uniprot.org/uniprot/PSD7A_ARATH","PSD7A_ARATH")</f>
        <v>PSD7A_ARATH</v>
      </c>
      <c r="D9716" t="s">
        <v>7207</v>
      </c>
      <c r="E9716" s="3" t="s">
        <v>3</v>
      </c>
      <c r="F9716" s="4">
        <v>1.44E-74</v>
      </c>
      <c r="G9716" s="3">
        <v>629</v>
      </c>
      <c r="H9716" s="3">
        <v>91</v>
      </c>
      <c r="I9716" s="3">
        <v>135</v>
      </c>
      <c r="J9716" s="3">
        <v>1</v>
      </c>
      <c r="K9716" s="3">
        <v>405</v>
      </c>
      <c r="L9716" s="3">
        <v>174</v>
      </c>
      <c r="M9716" s="3">
        <v>308</v>
      </c>
    </row>
    <row r="9717" spans="1:13" x14ac:dyDescent="0.25">
      <c r="A9717" s="1" t="str">
        <f>HYPERLINK("http://www.rosaceae.org/Prunus/Prunus_persica/p.persica_gdr_reftransV1_0032984","p.persica_gdr_reftransV1_0032984")</f>
        <v>p.persica_gdr_reftransV1_0032984</v>
      </c>
      <c r="B9717" s="3">
        <v>2825</v>
      </c>
      <c r="C9717" s="1" t="str">
        <f>HYPERLINK("http://www.uniprot.org/uniprot/DDM1_ARATH","DDM1_ARATH")</f>
        <v>DDM1_ARATH</v>
      </c>
      <c r="D9717" t="s">
        <v>7208</v>
      </c>
      <c r="E9717" s="3" t="s">
        <v>3</v>
      </c>
      <c r="F9717" s="4">
        <v>0</v>
      </c>
      <c r="G9717" s="3">
        <v>1643</v>
      </c>
      <c r="H9717" s="3">
        <v>70</v>
      </c>
      <c r="I9717" s="3">
        <v>497</v>
      </c>
      <c r="J9717" s="3">
        <v>1196</v>
      </c>
      <c r="K9717" s="3">
        <v>2683</v>
      </c>
      <c r="L9717" s="3">
        <v>24</v>
      </c>
      <c r="M9717" s="3">
        <v>510</v>
      </c>
    </row>
    <row r="9718" spans="1:13" x14ac:dyDescent="0.25">
      <c r="A9718" s="1" t="str">
        <f>HYPERLINK("http://www.rosaceae.org/Prunus/Prunus_persica/p.persica_gdr_reftransV1_0033084","p.persica_gdr_reftransV1_0033084")</f>
        <v>p.persica_gdr_reftransV1_0033084</v>
      </c>
      <c r="B9718" s="3">
        <v>3348</v>
      </c>
      <c r="C9718" s="1" t="str">
        <f>HYPERLINK("http://www.uniprot.org/uniprot/RNF10_XENLA","RNF10_XENLA")</f>
        <v>RNF10_XENLA</v>
      </c>
      <c r="D9718" t="s">
        <v>7209</v>
      </c>
      <c r="E9718" s="3" t="s">
        <v>475</v>
      </c>
      <c r="F9718" s="4">
        <v>1.81E-58</v>
      </c>
      <c r="G9718" s="3">
        <v>560</v>
      </c>
      <c r="H9718" s="3">
        <v>31</v>
      </c>
      <c r="I9718" s="3">
        <v>519</v>
      </c>
      <c r="J9718" s="3">
        <v>552</v>
      </c>
      <c r="K9718" s="3">
        <v>2006</v>
      </c>
      <c r="L9718" s="3">
        <v>99</v>
      </c>
      <c r="M9718" s="3">
        <v>578</v>
      </c>
    </row>
    <row r="9719" spans="1:13" x14ac:dyDescent="0.25">
      <c r="A9719" s="1" t="str">
        <f>HYPERLINK("http://www.rosaceae.org/Prunus/Prunus_persica/p.persica_gdr_reftransV1_0033434","p.persica_gdr_reftransV1_0033434")</f>
        <v>p.persica_gdr_reftransV1_0033434</v>
      </c>
      <c r="B9719" s="3">
        <v>1488</v>
      </c>
      <c r="C9719" s="1" t="str">
        <f>HYPERLINK("http://www.uniprot.org/uniprot/DPB3_DEBHA","DPB3_DEBHA")</f>
        <v>DPB3_DEBHA</v>
      </c>
      <c r="D9719" t="s">
        <v>7210</v>
      </c>
      <c r="E9719" s="3" t="s">
        <v>351</v>
      </c>
      <c r="F9719" s="4">
        <v>3.1499999999999998E-8</v>
      </c>
      <c r="G9719" s="3">
        <v>140</v>
      </c>
      <c r="H9719" s="3">
        <v>33</v>
      </c>
      <c r="I9719" s="3">
        <v>79</v>
      </c>
      <c r="J9719" s="3">
        <v>507</v>
      </c>
      <c r="K9719" s="3">
        <v>743</v>
      </c>
      <c r="L9719" s="3">
        <v>90</v>
      </c>
      <c r="M9719" s="3">
        <v>168</v>
      </c>
    </row>
    <row r="9720" spans="1:13" x14ac:dyDescent="0.25">
      <c r="A9720" s="1" t="str">
        <f>HYPERLINK("http://www.rosaceae.org/Prunus/Prunus_persica/p.persica_gdr_reftransV1_0033534","p.persica_gdr_reftransV1_0033534")</f>
        <v>p.persica_gdr_reftransV1_0033534</v>
      </c>
      <c r="B9720" s="3">
        <v>3242</v>
      </c>
      <c r="C9720" s="1" t="str">
        <f>HYPERLINK("http://www.uniprot.org/uniprot/LOX5_ARATH","LOX5_ARATH")</f>
        <v>LOX5_ARATH</v>
      </c>
      <c r="D9720" t="s">
        <v>7211</v>
      </c>
      <c r="E9720" s="3" t="s">
        <v>3</v>
      </c>
      <c r="F9720" s="4">
        <v>4.4100000000000002E-94</v>
      </c>
      <c r="G9720" s="3">
        <v>835</v>
      </c>
      <c r="H9720" s="3">
        <v>53</v>
      </c>
      <c r="I9720" s="3">
        <v>279</v>
      </c>
      <c r="J9720" s="3">
        <v>2393</v>
      </c>
      <c r="K9720" s="3">
        <v>3229</v>
      </c>
      <c r="L9720" s="3">
        <v>606</v>
      </c>
      <c r="M9720" s="3">
        <v>882</v>
      </c>
    </row>
    <row r="9721" spans="1:13" x14ac:dyDescent="0.25">
      <c r="A9721" s="1" t="str">
        <f>HYPERLINK("http://www.rosaceae.org/Prunus/Prunus_persica/p.persica_gdr_reftransV1_0033884","p.persica_gdr_reftransV1_0033884")</f>
        <v>p.persica_gdr_reftransV1_0033884</v>
      </c>
      <c r="B9721" s="3">
        <v>1554</v>
      </c>
      <c r="C9721" s="1" t="str">
        <f>HYPERLINK("http://www.uniprot.org/uniprot/UBC4_SOLLC","UBC4_SOLLC")</f>
        <v>UBC4_SOLLC</v>
      </c>
      <c r="D9721" t="s">
        <v>5556</v>
      </c>
      <c r="E9721" s="3" t="s">
        <v>64</v>
      </c>
      <c r="F9721" s="4">
        <v>1.2700000000000001E-81</v>
      </c>
      <c r="G9721" s="3">
        <v>656</v>
      </c>
      <c r="H9721" s="3">
        <v>94</v>
      </c>
      <c r="I9721" s="3">
        <v>129</v>
      </c>
      <c r="J9721" s="3">
        <v>327</v>
      </c>
      <c r="K9721" s="3">
        <v>713</v>
      </c>
      <c r="L9721" s="3">
        <v>20</v>
      </c>
      <c r="M9721" s="3">
        <v>148</v>
      </c>
    </row>
    <row r="9722" spans="1:13" x14ac:dyDescent="0.25">
      <c r="A9722" s="1" t="str">
        <f>HYPERLINK("http://www.rosaceae.org/Prunus/Prunus_persica/p.persica_gdr_reftransV1_0033934","p.persica_gdr_reftransV1_0033934")</f>
        <v>p.persica_gdr_reftransV1_0033934</v>
      </c>
      <c r="B9722" s="3">
        <v>3347</v>
      </c>
      <c r="C9722" s="1" t="str">
        <f>HYPERLINK("http://www.uniprot.org/uniprot/FTSH1_SYNY3","FTSH1_SYNY3")</f>
        <v>FTSH1_SYNY3</v>
      </c>
      <c r="D9722" t="s">
        <v>7212</v>
      </c>
      <c r="E9722" s="3" t="s">
        <v>527</v>
      </c>
      <c r="F9722" s="4">
        <v>8.4700000000000003E-67</v>
      </c>
      <c r="G9722" s="3">
        <v>528</v>
      </c>
      <c r="H9722" s="3">
        <v>44</v>
      </c>
      <c r="I9722" s="3">
        <v>346</v>
      </c>
      <c r="J9722" s="3">
        <v>742</v>
      </c>
      <c r="K9722" s="3">
        <v>1755</v>
      </c>
      <c r="L9722" s="3">
        <v>258</v>
      </c>
      <c r="M9722" s="3">
        <v>584</v>
      </c>
    </row>
    <row r="9723" spans="1:13" x14ac:dyDescent="0.25">
      <c r="A9723" s="1" t="str">
        <f>HYPERLINK("http://www.rosaceae.org/Prunus/Prunus_persica/p.persica_gdr_reftransV1_0034084","p.persica_gdr_reftransV1_0034084")</f>
        <v>p.persica_gdr_reftransV1_0034084</v>
      </c>
      <c r="B9723" s="3">
        <v>5489</v>
      </c>
      <c r="C9723" s="1" t="str">
        <f>HYPERLINK("http://www.uniprot.org/uniprot/SNL4_ARATH","SNL4_ARATH")</f>
        <v>SNL4_ARATH</v>
      </c>
      <c r="D9723" t="s">
        <v>7213</v>
      </c>
      <c r="E9723" s="3" t="s">
        <v>3</v>
      </c>
      <c r="F9723" s="4">
        <v>0</v>
      </c>
      <c r="G9723" s="3">
        <v>3269</v>
      </c>
      <c r="H9723" s="3">
        <v>56</v>
      </c>
      <c r="I9723" s="3">
        <v>1295</v>
      </c>
      <c r="J9723" s="3">
        <v>483</v>
      </c>
      <c r="K9723" s="3">
        <v>4304</v>
      </c>
      <c r="L9723" s="3">
        <v>1</v>
      </c>
      <c r="M9723" s="3">
        <v>1184</v>
      </c>
    </row>
    <row r="9724" spans="1:13" x14ac:dyDescent="0.25">
      <c r="A9724" s="1" t="str">
        <f>HYPERLINK("http://www.rosaceae.org/Prunus/Prunus_persica/p.persica_gdr_reftransV1_0034234","p.persica_gdr_reftransV1_0034234")</f>
        <v>p.persica_gdr_reftransV1_0034234</v>
      </c>
      <c r="B9724" s="3">
        <v>734</v>
      </c>
      <c r="C9724" s="1" t="str">
        <f>HYPERLINK("http://www.uniprot.org/uniprot/Y2090_ARATH","Y2090_ARATH")</f>
        <v>Y2090_ARATH</v>
      </c>
      <c r="D9724" t="s">
        <v>1875</v>
      </c>
      <c r="E9724" s="3" t="s">
        <v>3</v>
      </c>
      <c r="F9724" s="4">
        <v>1.54E-142</v>
      </c>
      <c r="G9724" s="3">
        <v>1072</v>
      </c>
      <c r="H9724" s="3">
        <v>82</v>
      </c>
      <c r="I9724" s="3">
        <v>244</v>
      </c>
      <c r="J9724" s="3">
        <v>1</v>
      </c>
      <c r="K9724" s="3">
        <v>732</v>
      </c>
      <c r="L9724" s="3">
        <v>81</v>
      </c>
      <c r="M9724" s="3">
        <v>324</v>
      </c>
    </row>
    <row r="9725" spans="1:13" x14ac:dyDescent="0.25">
      <c r="A9725" s="1" t="str">
        <f>HYPERLINK("http://www.rosaceae.org/Prunus/Prunus_persica/p.persica_gdr_reftransV1_0034434","p.persica_gdr_reftransV1_0034434")</f>
        <v>p.persica_gdr_reftransV1_0034434</v>
      </c>
      <c r="B9725" s="3">
        <v>1097</v>
      </c>
      <c r="C9725" s="1" t="str">
        <f>HYPERLINK("http://www.uniprot.org/uniprot/CMB1_DIACA","CMB1_DIACA")</f>
        <v>CMB1_DIACA</v>
      </c>
      <c r="D9725" t="s">
        <v>7214</v>
      </c>
      <c r="E9725" s="3" t="s">
        <v>3050</v>
      </c>
      <c r="F9725" s="4">
        <v>2.0500000000000001E-102</v>
      </c>
      <c r="G9725" s="3">
        <v>790</v>
      </c>
      <c r="H9725" s="3">
        <v>65</v>
      </c>
      <c r="I9725" s="3">
        <v>253</v>
      </c>
      <c r="J9725" s="3">
        <v>123</v>
      </c>
      <c r="K9725" s="3">
        <v>875</v>
      </c>
      <c r="L9725" s="3">
        <v>1</v>
      </c>
      <c r="M9725" s="3">
        <v>233</v>
      </c>
    </row>
    <row r="9726" spans="1:13" x14ac:dyDescent="0.25">
      <c r="A9726" s="1" t="str">
        <f>HYPERLINK("http://www.rosaceae.org/Prunus/Prunus_persica/p.persica_gdr_reftransV1_0034684","p.persica_gdr_reftransV1_0034684")</f>
        <v>p.persica_gdr_reftransV1_0034684</v>
      </c>
      <c r="B9726" s="3">
        <v>4195</v>
      </c>
      <c r="C9726" s="1" t="str">
        <f>HYPERLINK("http://www.uniprot.org/uniprot/PHYC_ORYSJ","PHYC_ORYSJ")</f>
        <v>PHYC_ORYSJ</v>
      </c>
      <c r="D9726" t="s">
        <v>7215</v>
      </c>
      <c r="E9726" s="3" t="s">
        <v>38</v>
      </c>
      <c r="F9726" s="4">
        <v>0</v>
      </c>
      <c r="G9726" s="3">
        <v>2229</v>
      </c>
      <c r="H9726" s="3">
        <v>77</v>
      </c>
      <c r="I9726" s="3">
        <v>537</v>
      </c>
      <c r="J9726" s="3">
        <v>2611</v>
      </c>
      <c r="K9726" s="3">
        <v>4194</v>
      </c>
      <c r="L9726" s="3">
        <v>153</v>
      </c>
      <c r="M9726" s="3">
        <v>689</v>
      </c>
    </row>
    <row r="9727" spans="1:13" x14ac:dyDescent="0.25">
      <c r="A9727" s="1" t="str">
        <f>HYPERLINK("http://www.rosaceae.org/Prunus/Prunus_persica/p.persica_gdr_reftransV1_0035034","p.persica_gdr_reftransV1_0035034")</f>
        <v>p.persica_gdr_reftransV1_0035034</v>
      </c>
      <c r="B9727" s="3">
        <v>6763</v>
      </c>
      <c r="C9727" s="1" t="str">
        <f>HYPERLINK("http://www.uniprot.org/uniprot/PSME4_ARATH","PSME4_ARATH")</f>
        <v>PSME4_ARATH</v>
      </c>
      <c r="D9727" t="s">
        <v>7216</v>
      </c>
      <c r="E9727" s="3" t="s">
        <v>3</v>
      </c>
      <c r="F9727" s="4">
        <v>0</v>
      </c>
      <c r="G9727" s="3">
        <v>5393</v>
      </c>
      <c r="H9727" s="3">
        <v>71</v>
      </c>
      <c r="I9727" s="3">
        <v>1611</v>
      </c>
      <c r="J9727" s="3">
        <v>348</v>
      </c>
      <c r="K9727" s="3">
        <v>5171</v>
      </c>
      <c r="L9727" s="3">
        <v>248</v>
      </c>
      <c r="M9727" s="3">
        <v>1811</v>
      </c>
    </row>
    <row r="9728" spans="1:13" x14ac:dyDescent="0.25">
      <c r="A9728" s="1" t="str">
        <f>HYPERLINK("http://www.rosaceae.org/Prunus/Prunus_persica/p.persica_gdr_reftransV1_0035084","p.persica_gdr_reftransV1_0035084")</f>
        <v>p.persica_gdr_reftransV1_0035084</v>
      </c>
      <c r="B9728" s="3">
        <v>3942</v>
      </c>
      <c r="C9728" s="1" t="str">
        <f>HYPERLINK("http://www.uniprot.org/uniprot/INT1_ARATH","INT1_ARATH")</f>
        <v>INT1_ARATH</v>
      </c>
      <c r="D9728" t="s">
        <v>7217</v>
      </c>
      <c r="E9728" s="3" t="s">
        <v>3</v>
      </c>
      <c r="F9728" s="4">
        <v>3.2000000000000002E-121</v>
      </c>
      <c r="G9728" s="3">
        <v>1009</v>
      </c>
      <c r="H9728" s="3">
        <v>71</v>
      </c>
      <c r="I9728" s="3">
        <v>347</v>
      </c>
      <c r="J9728" s="3">
        <v>2563</v>
      </c>
      <c r="K9728" s="3">
        <v>3576</v>
      </c>
      <c r="L9728" s="3">
        <v>164</v>
      </c>
      <c r="M9728" s="3">
        <v>509</v>
      </c>
    </row>
    <row r="9729" spans="1:13" x14ac:dyDescent="0.25">
      <c r="A9729" s="1" t="str">
        <f>HYPERLINK("http://www.rosaceae.org/Prunus/Prunus_persica/p.persica_gdr_reftransV1_0035334","p.persica_gdr_reftransV1_0035334")</f>
        <v>p.persica_gdr_reftransV1_0035334</v>
      </c>
      <c r="B9729" s="3">
        <v>2424</v>
      </c>
      <c r="C9729" s="1" t="str">
        <f>HYPERLINK("http://www.uniprot.org/uniprot/HPSE1_ARATH","HPSE1_ARATH")</f>
        <v>HPSE1_ARATH</v>
      </c>
      <c r="D9729" t="s">
        <v>7218</v>
      </c>
      <c r="E9729" s="3" t="s">
        <v>3</v>
      </c>
      <c r="F9729" s="4">
        <v>0</v>
      </c>
      <c r="G9729" s="3">
        <v>1740</v>
      </c>
      <c r="H9729" s="3">
        <v>59</v>
      </c>
      <c r="I9729" s="3">
        <v>548</v>
      </c>
      <c r="J9729" s="3">
        <v>187</v>
      </c>
      <c r="K9729" s="3">
        <v>1827</v>
      </c>
      <c r="L9729" s="3">
        <v>1</v>
      </c>
      <c r="M9729" s="3">
        <v>543</v>
      </c>
    </row>
    <row r="9730" spans="1:13" x14ac:dyDescent="0.25">
      <c r="A9730" s="1" t="str">
        <f>HYPERLINK("http://www.rosaceae.org/Prunus/Prunus_persica/p.persica_gdr_reftransV1_0035384","p.persica_gdr_reftransV1_0035384")</f>
        <v>p.persica_gdr_reftransV1_0035384</v>
      </c>
      <c r="B9730" s="3">
        <v>2145</v>
      </c>
      <c r="C9730" s="1" t="str">
        <f>HYPERLINK("http://www.uniprot.org/uniprot/HPSE3_ARATH","HPSE3_ARATH")</f>
        <v>HPSE3_ARATH</v>
      </c>
      <c r="D9730" t="s">
        <v>1530</v>
      </c>
      <c r="E9730" s="3" t="s">
        <v>3</v>
      </c>
      <c r="F9730" s="4">
        <v>0</v>
      </c>
      <c r="G9730" s="3">
        <v>1627</v>
      </c>
      <c r="H9730" s="3">
        <v>59</v>
      </c>
      <c r="I9730" s="3">
        <v>535</v>
      </c>
      <c r="J9730" s="3">
        <v>381</v>
      </c>
      <c r="K9730" s="3">
        <v>1961</v>
      </c>
      <c r="L9730" s="3">
        <v>7</v>
      </c>
      <c r="M9730" s="3">
        <v>535</v>
      </c>
    </row>
    <row r="9731" spans="1:13" x14ac:dyDescent="0.25">
      <c r="A9731" s="1" t="str">
        <f>HYPERLINK("http://www.rosaceae.org/Prunus/Prunus_persica/p.persica_gdr_reftransV1_0035434","p.persica_gdr_reftransV1_0035434")</f>
        <v>p.persica_gdr_reftransV1_0035434</v>
      </c>
      <c r="B9731" s="3">
        <v>1184</v>
      </c>
      <c r="C9731" s="1" t="str">
        <f>HYPERLINK("http://www.uniprot.org/uniprot/UBP12_ARATH","UBP12_ARATH")</f>
        <v>UBP12_ARATH</v>
      </c>
      <c r="D9731" t="s">
        <v>5651</v>
      </c>
      <c r="E9731" s="3" t="s">
        <v>3</v>
      </c>
      <c r="F9731" s="4">
        <v>2.0400000000000001E-48</v>
      </c>
      <c r="G9731" s="3">
        <v>460</v>
      </c>
      <c r="H9731" s="3">
        <v>76</v>
      </c>
      <c r="I9731" s="3">
        <v>106</v>
      </c>
      <c r="J9731" s="3">
        <v>177</v>
      </c>
      <c r="K9731" s="3">
        <v>494</v>
      </c>
      <c r="L9731" s="3">
        <v>1011</v>
      </c>
      <c r="M9731" s="3">
        <v>1116</v>
      </c>
    </row>
    <row r="9732" spans="1:13" x14ac:dyDescent="0.25">
      <c r="A9732" s="1" t="str">
        <f>HYPERLINK("http://www.rosaceae.org/Prunus/Prunus_persica/p.persica_gdr_reftransV1_0035484","p.persica_gdr_reftransV1_0035484")</f>
        <v>p.persica_gdr_reftransV1_0035484</v>
      </c>
      <c r="B9732" s="3">
        <v>1189</v>
      </c>
      <c r="C9732" s="1" t="str">
        <f>HYPERLINK("http://www.uniprot.org/uniprot/SGGP_ARATH","SGGP_ARATH")</f>
        <v>SGGP_ARATH</v>
      </c>
      <c r="D9732" t="s">
        <v>2170</v>
      </c>
      <c r="E9732" s="3" t="s">
        <v>3</v>
      </c>
      <c r="F9732" s="4">
        <v>1.8800000000000001E-122</v>
      </c>
      <c r="G9732" s="3">
        <v>927</v>
      </c>
      <c r="H9732" s="3">
        <v>68</v>
      </c>
      <c r="I9732" s="3">
        <v>243</v>
      </c>
      <c r="J9732" s="3">
        <v>171</v>
      </c>
      <c r="K9732" s="3">
        <v>899</v>
      </c>
      <c r="L9732" s="3">
        <v>1</v>
      </c>
      <c r="M9732" s="3">
        <v>243</v>
      </c>
    </row>
    <row r="9733" spans="1:13" x14ac:dyDescent="0.25">
      <c r="A9733" s="1" t="str">
        <f>HYPERLINK("http://www.rosaceae.org/Prunus/Prunus_persica/p.persica_gdr_reftransV1_0035584","p.persica_gdr_reftransV1_0035584")</f>
        <v>p.persica_gdr_reftransV1_0035584</v>
      </c>
      <c r="B9733" s="3">
        <v>2145</v>
      </c>
      <c r="C9733" s="1" t="str">
        <f>HYPERLINK("http://www.uniprot.org/uniprot/PP18_ARATH","PP18_ARATH")</f>
        <v>PP18_ARATH</v>
      </c>
      <c r="D9733" t="s">
        <v>7219</v>
      </c>
      <c r="E9733" s="3" t="s">
        <v>3</v>
      </c>
      <c r="F9733" s="4">
        <v>3.4800000000000002E-156</v>
      </c>
      <c r="G9733" s="3">
        <v>1189</v>
      </c>
      <c r="H9733" s="3">
        <v>89</v>
      </c>
      <c r="I9733" s="3">
        <v>243</v>
      </c>
      <c r="J9733" s="3">
        <v>941</v>
      </c>
      <c r="K9733" s="3">
        <v>1669</v>
      </c>
      <c r="L9733" s="3">
        <v>10</v>
      </c>
      <c r="M9733" s="3">
        <v>252</v>
      </c>
    </row>
    <row r="9734" spans="1:13" x14ac:dyDescent="0.25">
      <c r="A9734" s="1" t="str">
        <f>HYPERLINK("http://www.rosaceae.org/Prunus/Prunus_persica/p.persica_gdr_reftransV1_0035834","p.persica_gdr_reftransV1_0035834")</f>
        <v>p.persica_gdr_reftransV1_0035834</v>
      </c>
      <c r="B9734" s="3">
        <v>1107</v>
      </c>
      <c r="C9734" s="1" t="str">
        <f>HYPERLINK("http://www.uniprot.org/uniprot/FRS8_ARATH","FRS8_ARATH")</f>
        <v>FRS8_ARATH</v>
      </c>
      <c r="D9734" t="s">
        <v>7220</v>
      </c>
      <c r="E9734" s="3" t="s">
        <v>3</v>
      </c>
      <c r="F9734" s="4">
        <v>5.5199999999999997E-7</v>
      </c>
      <c r="G9734" s="3">
        <v>131</v>
      </c>
      <c r="H9734" s="3">
        <v>34</v>
      </c>
      <c r="I9734" s="3">
        <v>104</v>
      </c>
      <c r="J9734" s="3">
        <v>398</v>
      </c>
      <c r="K9734" s="3">
        <v>685</v>
      </c>
      <c r="L9734" s="3">
        <v>304</v>
      </c>
      <c r="M9734" s="3">
        <v>407</v>
      </c>
    </row>
    <row r="9735" spans="1:13" x14ac:dyDescent="0.25">
      <c r="A9735" s="1" t="str">
        <f>HYPERLINK("http://www.rosaceae.org/Prunus/Prunus_persica/p.persica_gdr_reftransV1_0035884","p.persica_gdr_reftransV1_0035884")</f>
        <v>p.persica_gdr_reftransV1_0035884</v>
      </c>
      <c r="B9735" s="3">
        <v>2356</v>
      </c>
      <c r="C9735" s="1" t="str">
        <f>HYPERLINK("http://www.uniprot.org/uniprot/PYRD2_HUMAN","PYRD2_HUMAN")</f>
        <v>PYRD2_HUMAN</v>
      </c>
      <c r="D9735" t="s">
        <v>7221</v>
      </c>
      <c r="E9735" s="3" t="s">
        <v>28</v>
      </c>
      <c r="F9735" s="4">
        <v>3.7600000000000002E-101</v>
      </c>
      <c r="G9735" s="3">
        <v>847</v>
      </c>
      <c r="H9735" s="3">
        <v>52</v>
      </c>
      <c r="I9735" s="3">
        <v>345</v>
      </c>
      <c r="J9735" s="3">
        <v>991</v>
      </c>
      <c r="K9735" s="3">
        <v>2022</v>
      </c>
      <c r="L9735" s="3">
        <v>235</v>
      </c>
      <c r="M9735" s="3">
        <v>579</v>
      </c>
    </row>
    <row r="9736" spans="1:13" x14ac:dyDescent="0.25">
      <c r="A9736" s="1" t="str">
        <f>HYPERLINK("http://www.rosaceae.org/Prunus/Prunus_persica/p.persica_gdr_reftransV1_0036284","p.persica_gdr_reftransV1_0036284")</f>
        <v>p.persica_gdr_reftransV1_0036284</v>
      </c>
      <c r="B9736" s="3">
        <v>1837</v>
      </c>
      <c r="C9736" s="1" t="str">
        <f>HYPERLINK("http://www.uniprot.org/uniprot/MUB3_ARATH","MUB3_ARATH")</f>
        <v>MUB3_ARATH</v>
      </c>
      <c r="D9736" t="s">
        <v>7222</v>
      </c>
      <c r="E9736" s="3" t="s">
        <v>3</v>
      </c>
      <c r="F9736" s="4">
        <v>3.9099999999999997E-39</v>
      </c>
      <c r="G9736" s="3">
        <v>362</v>
      </c>
      <c r="H9736" s="3">
        <v>79</v>
      </c>
      <c r="I9736" s="3">
        <v>102</v>
      </c>
      <c r="J9736" s="3">
        <v>1189</v>
      </c>
      <c r="K9736" s="3">
        <v>1494</v>
      </c>
      <c r="L9736" s="3">
        <v>1</v>
      </c>
      <c r="M9736" s="3">
        <v>102</v>
      </c>
    </row>
    <row r="9737" spans="1:13" x14ac:dyDescent="0.25">
      <c r="A9737" s="1" t="str">
        <f>HYPERLINK("http://www.rosaceae.org/Prunus/Prunus_persica/p.persica_gdr_reftransV1_0036434","p.persica_gdr_reftransV1_0036434")</f>
        <v>p.persica_gdr_reftransV1_0036434</v>
      </c>
      <c r="B9737" s="3">
        <v>2470</v>
      </c>
      <c r="C9737" s="1" t="str">
        <f>HYPERLINK("http://www.uniprot.org/uniprot/PLY4_ARATH","PLY4_ARATH")</f>
        <v>PLY4_ARATH</v>
      </c>
      <c r="D9737" t="s">
        <v>7223</v>
      </c>
      <c r="E9737" s="3" t="s">
        <v>3</v>
      </c>
      <c r="F9737" s="4">
        <v>5.5399999999999998E-39</v>
      </c>
      <c r="G9737" s="3">
        <v>387</v>
      </c>
      <c r="H9737" s="3">
        <v>41</v>
      </c>
      <c r="I9737" s="3">
        <v>219</v>
      </c>
      <c r="J9737" s="3">
        <v>1278</v>
      </c>
      <c r="K9737" s="3">
        <v>1904</v>
      </c>
      <c r="L9737" s="3">
        <v>75</v>
      </c>
      <c r="M9737" s="3">
        <v>292</v>
      </c>
    </row>
    <row r="9738" spans="1:13" x14ac:dyDescent="0.25">
      <c r="A9738" s="1" t="str">
        <f>HYPERLINK("http://www.rosaceae.org/Prunus/Prunus_persica/p.persica_gdr_reftransV1_0036734","p.persica_gdr_reftransV1_0036734")</f>
        <v>p.persica_gdr_reftransV1_0036734</v>
      </c>
      <c r="B9738" s="3">
        <v>3471</v>
      </c>
      <c r="C9738" s="1" t="str">
        <f>HYPERLINK("http://www.uniprot.org/uniprot/GTE1_ARATH","GTE1_ARATH")</f>
        <v>GTE1_ARATH</v>
      </c>
      <c r="D9738" t="s">
        <v>4838</v>
      </c>
      <c r="E9738" s="3" t="s">
        <v>3</v>
      </c>
      <c r="F9738" s="4">
        <v>8.3700000000000002E-8</v>
      </c>
      <c r="G9738" s="3">
        <v>143</v>
      </c>
      <c r="H9738" s="3">
        <v>28</v>
      </c>
      <c r="I9738" s="3">
        <v>120</v>
      </c>
      <c r="J9738" s="3">
        <v>596</v>
      </c>
      <c r="K9738" s="3">
        <v>913</v>
      </c>
      <c r="L9738" s="3">
        <v>215</v>
      </c>
      <c r="M9738" s="3">
        <v>334</v>
      </c>
    </row>
    <row r="9739" spans="1:13" x14ac:dyDescent="0.25">
      <c r="A9739" s="1" t="str">
        <f>HYPERLINK("http://www.rosaceae.org/Prunus/Prunus_persica/p.persica_gdr_reftransV1_0036984","p.persica_gdr_reftransV1_0036984")</f>
        <v>p.persica_gdr_reftransV1_0036984</v>
      </c>
      <c r="B9739" s="3">
        <v>5021</v>
      </c>
      <c r="C9739" s="1" t="str">
        <f>HYPERLINK("http://www.uniprot.org/uniprot/UTP20_MOUSE","UTP20_MOUSE")</f>
        <v>UTP20_MOUSE</v>
      </c>
      <c r="D9739" t="s">
        <v>7224</v>
      </c>
      <c r="E9739" s="3" t="s">
        <v>157</v>
      </c>
      <c r="F9739" s="4">
        <v>6.0999999999999997E-109</v>
      </c>
      <c r="G9739" s="3">
        <v>1003</v>
      </c>
      <c r="H9739" s="3">
        <v>24</v>
      </c>
      <c r="I9739" s="3">
        <v>1699</v>
      </c>
      <c r="J9739" s="3">
        <v>378</v>
      </c>
      <c r="K9739" s="3">
        <v>5000</v>
      </c>
      <c r="L9739" s="3">
        <v>1149</v>
      </c>
      <c r="M9739" s="3">
        <v>2770</v>
      </c>
    </row>
    <row r="9740" spans="1:13" x14ac:dyDescent="0.25">
      <c r="A9740" s="1" t="str">
        <f>HYPERLINK("http://www.rosaceae.org/Prunus/Prunus_persica/p.persica_gdr_reftransV1_0037134","p.persica_gdr_reftransV1_0037134")</f>
        <v>p.persica_gdr_reftransV1_0037134</v>
      </c>
      <c r="B9740" s="3">
        <v>2174</v>
      </c>
      <c r="C9740" s="1" t="str">
        <f>HYPERLINK("http://www.uniprot.org/uniprot/EGY3_ARATH","EGY3_ARATH")</f>
        <v>EGY3_ARATH</v>
      </c>
      <c r="D9740" t="s">
        <v>7225</v>
      </c>
      <c r="E9740" s="3" t="s">
        <v>3</v>
      </c>
      <c r="F9740" s="4">
        <v>0</v>
      </c>
      <c r="G9740" s="3">
        <v>1848</v>
      </c>
      <c r="H9740" s="3">
        <v>78</v>
      </c>
      <c r="I9740" s="3">
        <v>544</v>
      </c>
      <c r="J9740" s="3">
        <v>261</v>
      </c>
      <c r="K9740" s="3">
        <v>1886</v>
      </c>
      <c r="L9740" s="3">
        <v>34</v>
      </c>
      <c r="M9740" s="3">
        <v>571</v>
      </c>
    </row>
    <row r="9741" spans="1:13" x14ac:dyDescent="0.25">
      <c r="A9741" s="1" t="str">
        <f>HYPERLINK("http://www.rosaceae.org/Prunus/Prunus_persica/p.persica_gdr_reftransV1_0037234","p.persica_gdr_reftransV1_0037234")</f>
        <v>p.persica_gdr_reftransV1_0037234</v>
      </c>
      <c r="B9741" s="3">
        <v>2388</v>
      </c>
      <c r="C9741" s="1" t="str">
        <f>HYPERLINK("http://www.uniprot.org/uniprot/PNAA_PRUDU","PNAA_PRUDU")</f>
        <v>PNAA_PRUDU</v>
      </c>
      <c r="D9741" t="s">
        <v>7226</v>
      </c>
      <c r="E9741" s="3" t="s">
        <v>418</v>
      </c>
      <c r="F9741" s="4">
        <v>0</v>
      </c>
      <c r="G9741" s="3">
        <v>2904</v>
      </c>
      <c r="H9741" s="3">
        <v>98</v>
      </c>
      <c r="I9741" s="3">
        <v>571</v>
      </c>
      <c r="J9741" s="3">
        <v>397</v>
      </c>
      <c r="K9741" s="3">
        <v>2109</v>
      </c>
      <c r="L9741" s="3">
        <v>1</v>
      </c>
      <c r="M9741" s="3">
        <v>571</v>
      </c>
    </row>
    <row r="9742" spans="1:13" x14ac:dyDescent="0.25">
      <c r="A9742" s="1" t="str">
        <f>HYPERLINK("http://www.rosaceae.org/Prunus/Prunus_persica/p.persica_gdr_reftransV1_0037484","p.persica_gdr_reftransV1_0037484")</f>
        <v>p.persica_gdr_reftransV1_0037484</v>
      </c>
      <c r="B9742" s="3">
        <v>2610</v>
      </c>
      <c r="C9742" s="1" t="str">
        <f>HYPERLINK("http://www.uniprot.org/uniprot/CLCE_ARATH","CLCE_ARATH")</f>
        <v>CLCE_ARATH</v>
      </c>
      <c r="D9742" t="s">
        <v>7227</v>
      </c>
      <c r="E9742" s="3" t="s">
        <v>3</v>
      </c>
      <c r="F9742" s="4">
        <v>0</v>
      </c>
      <c r="G9742" s="3">
        <v>1711</v>
      </c>
      <c r="H9742" s="3">
        <v>63</v>
      </c>
      <c r="I9742" s="3">
        <v>645</v>
      </c>
      <c r="J9742" s="3">
        <v>159</v>
      </c>
      <c r="K9742" s="3">
        <v>2093</v>
      </c>
      <c r="L9742" s="3">
        <v>94</v>
      </c>
      <c r="M9742" s="3">
        <v>701</v>
      </c>
    </row>
    <row r="9743" spans="1:13" x14ac:dyDescent="0.25">
      <c r="A9743" s="1" t="str">
        <f>HYPERLINK("http://www.rosaceae.org/Prunus/Prunus_persica/p.persica_gdr_reftransV1_0037834","p.persica_gdr_reftransV1_0037834")</f>
        <v>p.persica_gdr_reftransV1_0037834</v>
      </c>
      <c r="B9743" s="3">
        <v>3209</v>
      </c>
      <c r="C9743" s="1" t="str">
        <f>HYPERLINK("http://www.uniprot.org/uniprot/POLX_TOBAC","POLX_TOBAC")</f>
        <v>POLX_TOBAC</v>
      </c>
      <c r="D9743" t="s">
        <v>1253</v>
      </c>
      <c r="E9743" s="3" t="s">
        <v>200</v>
      </c>
      <c r="F9743" s="4">
        <v>4.6600000000000001E-51</v>
      </c>
      <c r="G9743" s="3">
        <v>509</v>
      </c>
      <c r="H9743" s="3">
        <v>31</v>
      </c>
      <c r="I9743" s="3">
        <v>434</v>
      </c>
      <c r="J9743" s="3">
        <v>486</v>
      </c>
      <c r="K9743" s="3">
        <v>1778</v>
      </c>
      <c r="L9743" s="3">
        <v>289</v>
      </c>
      <c r="M9743" s="3">
        <v>707</v>
      </c>
    </row>
    <row r="9744" spans="1:13" x14ac:dyDescent="0.25">
      <c r="A9744" s="1" t="str">
        <f>HYPERLINK("http://www.rosaceae.org/Prunus/Prunus_persica/p.persica_gdr_reftransV1_0037984","p.persica_gdr_reftransV1_0037984")</f>
        <v>p.persica_gdr_reftransV1_0037984</v>
      </c>
      <c r="B9744" s="3">
        <v>3643</v>
      </c>
      <c r="C9744" s="1" t="str">
        <f>HYPERLINK("http://www.uniprot.org/uniprot/PR40C_ARATH","PR40C_ARATH")</f>
        <v>PR40C_ARATH</v>
      </c>
      <c r="D9744" t="s">
        <v>7228</v>
      </c>
      <c r="E9744" s="3" t="s">
        <v>3</v>
      </c>
      <c r="F9744" s="4">
        <v>7.8300000000000001E-143</v>
      </c>
      <c r="G9744" s="3">
        <v>828</v>
      </c>
      <c r="H9744" s="3">
        <v>65</v>
      </c>
      <c r="I9744" s="3">
        <v>343</v>
      </c>
      <c r="J9744" s="3">
        <v>867</v>
      </c>
      <c r="K9744" s="3">
        <v>1895</v>
      </c>
      <c r="L9744" s="3">
        <v>281</v>
      </c>
      <c r="M9744" s="3">
        <v>614</v>
      </c>
    </row>
    <row r="9745" spans="1:13" x14ac:dyDescent="0.25">
      <c r="A9745" s="1" t="str">
        <f>HYPERLINK("http://www.rosaceae.org/Prunus/Prunus_persica/p.persica_gdr_reftransV1_0038234","p.persica_gdr_reftransV1_0038234")</f>
        <v>p.persica_gdr_reftransV1_0038234</v>
      </c>
      <c r="B9745" s="3">
        <v>1639</v>
      </c>
      <c r="C9745" s="1" t="str">
        <f>HYPERLINK("http://www.uniprot.org/uniprot/FAD3E_TOBAC","FAD3E_TOBAC")</f>
        <v>FAD3E_TOBAC</v>
      </c>
      <c r="D9745" t="s">
        <v>7229</v>
      </c>
      <c r="E9745" s="3" t="s">
        <v>200</v>
      </c>
      <c r="F9745" s="4">
        <v>6.0099999999999998E-97</v>
      </c>
      <c r="G9745" s="3">
        <v>784</v>
      </c>
      <c r="H9745" s="3">
        <v>77</v>
      </c>
      <c r="I9745" s="3">
        <v>184</v>
      </c>
      <c r="J9745" s="3">
        <v>242</v>
      </c>
      <c r="K9745" s="3">
        <v>793</v>
      </c>
      <c r="L9745" s="3">
        <v>185</v>
      </c>
      <c r="M9745" s="3">
        <v>368</v>
      </c>
    </row>
    <row r="9746" spans="1:13" x14ac:dyDescent="0.25">
      <c r="A9746" s="1" t="str">
        <f>HYPERLINK("http://www.rosaceae.org/Prunus/Prunus_persica/p.persica_gdr_reftransV1_0038384","p.persica_gdr_reftransV1_0038384")</f>
        <v>p.persica_gdr_reftransV1_0038384</v>
      </c>
      <c r="B9746" s="3">
        <v>1696</v>
      </c>
      <c r="C9746" s="1" t="str">
        <f>HYPERLINK("http://www.uniprot.org/uniprot/RTNLC_ARATH","RTNLC_ARATH")</f>
        <v>RTNLC_ARATH</v>
      </c>
      <c r="D9746" t="s">
        <v>7230</v>
      </c>
      <c r="E9746" s="3" t="s">
        <v>3</v>
      </c>
      <c r="F9746" s="4">
        <v>3.7000000000000002E-56</v>
      </c>
      <c r="G9746" s="3">
        <v>496</v>
      </c>
      <c r="H9746" s="3">
        <v>60</v>
      </c>
      <c r="I9746" s="3">
        <v>171</v>
      </c>
      <c r="J9746" s="3">
        <v>182</v>
      </c>
      <c r="K9746" s="3">
        <v>694</v>
      </c>
      <c r="L9746" s="3">
        <v>3</v>
      </c>
      <c r="M9746" s="3">
        <v>168</v>
      </c>
    </row>
    <row r="9747" spans="1:13" x14ac:dyDescent="0.25">
      <c r="A9747" s="1" t="str">
        <f>HYPERLINK("http://www.rosaceae.org/Prunus/Prunus_persica/p.persica_gdr_reftransV1_0038434","p.persica_gdr_reftransV1_0038434")</f>
        <v>p.persica_gdr_reftransV1_0038434</v>
      </c>
      <c r="B9747" s="3">
        <v>567</v>
      </c>
      <c r="C9747" s="1" t="str">
        <f>HYPERLINK("http://www.uniprot.org/uniprot/RA211_ARATH","RA211_ARATH")</f>
        <v>RA211_ARATH</v>
      </c>
      <c r="D9747" t="s">
        <v>7231</v>
      </c>
      <c r="E9747" s="3" t="s">
        <v>3</v>
      </c>
      <c r="F9747" s="4">
        <v>4.9699999999999999E-14</v>
      </c>
      <c r="G9747" s="3">
        <v>173</v>
      </c>
      <c r="H9747" s="3">
        <v>70</v>
      </c>
      <c r="I9747" s="3">
        <v>63</v>
      </c>
      <c r="J9747" s="3">
        <v>57</v>
      </c>
      <c r="K9747" s="3">
        <v>245</v>
      </c>
      <c r="L9747" s="3">
        <v>21</v>
      </c>
      <c r="M9747" s="3">
        <v>83</v>
      </c>
    </row>
    <row r="9748" spans="1:13" x14ac:dyDescent="0.25">
      <c r="A9748" s="1" t="str">
        <f>HYPERLINK("http://www.rosaceae.org/Prunus/Prunus_persica/p.persica_gdr_reftransV1_0038734","p.persica_gdr_reftransV1_0038734")</f>
        <v>p.persica_gdr_reftransV1_0038734</v>
      </c>
      <c r="B9748" s="3">
        <v>2199</v>
      </c>
      <c r="C9748" s="1" t="str">
        <f>HYPERLINK("http://www.uniprot.org/uniprot/DNJH2_ALLPO","DNJH2_ALLPO")</f>
        <v>DNJH2_ALLPO</v>
      </c>
      <c r="D9748" t="s">
        <v>7232</v>
      </c>
      <c r="E9748" s="3" t="s">
        <v>7233</v>
      </c>
      <c r="F9748" s="4">
        <v>5.0100000000000001E-124</v>
      </c>
      <c r="G9748" s="3">
        <v>984</v>
      </c>
      <c r="H9748" s="3">
        <v>70</v>
      </c>
      <c r="I9748" s="3">
        <v>267</v>
      </c>
      <c r="J9748" s="3">
        <v>1033</v>
      </c>
      <c r="K9748" s="3">
        <v>1833</v>
      </c>
      <c r="L9748" s="3">
        <v>154</v>
      </c>
      <c r="M9748" s="3">
        <v>418</v>
      </c>
    </row>
    <row r="9749" spans="1:13" x14ac:dyDescent="0.25">
      <c r="A9749" s="1" t="str">
        <f>HYPERLINK("http://www.rosaceae.org/Prunus/Prunus_persica/p.persica_gdr_reftransV1_0038784","p.persica_gdr_reftransV1_0038784")</f>
        <v>p.persica_gdr_reftransV1_0038784</v>
      </c>
      <c r="B9749" s="3">
        <v>1747</v>
      </c>
      <c r="C9749" s="1" t="str">
        <f>HYPERLINK("http://www.uniprot.org/uniprot/UCHL5_HUMAN","UCHL5_HUMAN")</f>
        <v>UCHL5_HUMAN</v>
      </c>
      <c r="D9749" t="s">
        <v>5810</v>
      </c>
      <c r="E9749" s="3" t="s">
        <v>28</v>
      </c>
      <c r="F9749" s="4">
        <v>8.3900000000000001E-88</v>
      </c>
      <c r="G9749" s="3">
        <v>720</v>
      </c>
      <c r="H9749" s="3">
        <v>51</v>
      </c>
      <c r="I9749" s="3">
        <v>293</v>
      </c>
      <c r="J9749" s="3">
        <v>628</v>
      </c>
      <c r="K9749" s="3">
        <v>1491</v>
      </c>
      <c r="L9749" s="3">
        <v>47</v>
      </c>
      <c r="M9749" s="3">
        <v>319</v>
      </c>
    </row>
    <row r="9750" spans="1:13" x14ac:dyDescent="0.25">
      <c r="A9750" s="1" t="str">
        <f>HYPERLINK("http://www.rosaceae.org/Prunus/Prunus_persica/p.persica_gdr_reftransV1_0038884","p.persica_gdr_reftransV1_0038884")</f>
        <v>p.persica_gdr_reftransV1_0038884</v>
      </c>
      <c r="B9750" s="3">
        <v>4526</v>
      </c>
      <c r="C9750" s="1" t="str">
        <f>HYPERLINK("http://www.uniprot.org/uniprot/VITH4_ARATH","VITH4_ARATH")</f>
        <v>VITH4_ARATH</v>
      </c>
      <c r="D9750" t="s">
        <v>6918</v>
      </c>
      <c r="E9750" s="3" t="s">
        <v>3</v>
      </c>
      <c r="F9750" s="4">
        <v>1.3899999999999999E-49</v>
      </c>
      <c r="G9750" s="3">
        <v>459</v>
      </c>
      <c r="H9750" s="3">
        <v>67</v>
      </c>
      <c r="I9750" s="3">
        <v>198</v>
      </c>
      <c r="J9750" s="3">
        <v>2901</v>
      </c>
      <c r="K9750" s="3">
        <v>3494</v>
      </c>
      <c r="L9750" s="3">
        <v>13</v>
      </c>
      <c r="M9750" s="3">
        <v>198</v>
      </c>
    </row>
    <row r="9751" spans="1:13" x14ac:dyDescent="0.25">
      <c r="A9751" s="1" t="str">
        <f>HYPERLINK("http://www.rosaceae.org/Prunus/Prunus_persica/p.persica_gdr_reftransV1_0038984","p.persica_gdr_reftransV1_0038984")</f>
        <v>p.persica_gdr_reftransV1_0038984</v>
      </c>
      <c r="B9751" s="3">
        <v>4771</v>
      </c>
      <c r="C9751" s="1" t="str">
        <f>HYPERLINK("http://www.uniprot.org/uniprot/CRK2_ARATH","CRK2_ARATH")</f>
        <v>CRK2_ARATH</v>
      </c>
      <c r="D9751" t="s">
        <v>1517</v>
      </c>
      <c r="E9751" s="3" t="s">
        <v>3</v>
      </c>
      <c r="F9751" s="4">
        <v>3.8399999999999998E-121</v>
      </c>
      <c r="G9751" s="3">
        <v>902</v>
      </c>
      <c r="H9751" s="3">
        <v>82</v>
      </c>
      <c r="I9751" s="3">
        <v>199</v>
      </c>
      <c r="J9751" s="3">
        <v>1696</v>
      </c>
      <c r="K9751" s="3">
        <v>2292</v>
      </c>
      <c r="L9751" s="3">
        <v>341</v>
      </c>
      <c r="M9751" s="3">
        <v>539</v>
      </c>
    </row>
    <row r="9752" spans="1:13" x14ac:dyDescent="0.25">
      <c r="A9752" s="1" t="str">
        <f>HYPERLINK("http://www.rosaceae.org/Prunus/Prunus_persica/p.persica_gdr_reftransV1_0039034","p.persica_gdr_reftransV1_0039034")</f>
        <v>p.persica_gdr_reftransV1_0039034</v>
      </c>
      <c r="B9752" s="3">
        <v>2898</v>
      </c>
      <c r="C9752" s="1" t="str">
        <f>HYPERLINK("http://www.uniprot.org/uniprot/CTPA3_ARATH","CTPA3_ARATH")</f>
        <v>CTPA3_ARATH</v>
      </c>
      <c r="D9752" t="s">
        <v>4411</v>
      </c>
      <c r="E9752" s="3" t="s">
        <v>3</v>
      </c>
      <c r="F9752" s="4">
        <v>6.8700000000000005E-91</v>
      </c>
      <c r="G9752" s="3">
        <v>781</v>
      </c>
      <c r="H9752" s="3">
        <v>80</v>
      </c>
      <c r="I9752" s="3">
        <v>197</v>
      </c>
      <c r="J9752" s="3">
        <v>1488</v>
      </c>
      <c r="K9752" s="3">
        <v>2078</v>
      </c>
      <c r="L9752" s="3">
        <v>240</v>
      </c>
      <c r="M9752" s="3">
        <v>436</v>
      </c>
    </row>
    <row r="9753" spans="1:13" x14ac:dyDescent="0.25">
      <c r="A9753" s="1" t="str">
        <f>HYPERLINK("http://www.rosaceae.org/Prunus/Prunus_persica/p.persica_gdr_reftransV1_0039384","p.persica_gdr_reftransV1_0039384")</f>
        <v>p.persica_gdr_reftransV1_0039384</v>
      </c>
      <c r="B9753" s="3">
        <v>1959</v>
      </c>
      <c r="C9753" s="1" t="str">
        <f>HYPERLINK("http://www.uniprot.org/uniprot/RNG1L_ARATH","RNG1L_ARATH")</f>
        <v>RNG1L_ARATH</v>
      </c>
      <c r="D9753" t="s">
        <v>189</v>
      </c>
      <c r="E9753" s="3" t="s">
        <v>3</v>
      </c>
      <c r="F9753" s="4">
        <v>8.6800000000000007E-27</v>
      </c>
      <c r="G9753" s="3">
        <v>289</v>
      </c>
      <c r="H9753" s="3">
        <v>50</v>
      </c>
      <c r="I9753" s="3">
        <v>98</v>
      </c>
      <c r="J9753" s="3">
        <v>836</v>
      </c>
      <c r="K9753" s="3">
        <v>1129</v>
      </c>
      <c r="L9753" s="3">
        <v>171</v>
      </c>
      <c r="M9753" s="3">
        <v>268</v>
      </c>
    </row>
    <row r="9754" spans="1:13" x14ac:dyDescent="0.25">
      <c r="A9754" s="1" t="str">
        <f>HYPERLINK("http://www.rosaceae.org/Prunus/Prunus_persica/p.persica_gdr_reftransV1_0039534","p.persica_gdr_reftransV1_0039534")</f>
        <v>p.persica_gdr_reftransV1_0039534</v>
      </c>
      <c r="B9754" s="3">
        <v>2267</v>
      </c>
      <c r="C9754" s="1" t="str">
        <f>HYPERLINK("http://www.uniprot.org/uniprot/HF101_ARATH","HF101_ARATH")</f>
        <v>HF101_ARATH</v>
      </c>
      <c r="D9754" t="s">
        <v>1157</v>
      </c>
      <c r="E9754" s="3" t="s">
        <v>3</v>
      </c>
      <c r="F9754" s="4">
        <v>8.7400000000000005E-159</v>
      </c>
      <c r="G9754" s="3">
        <v>1230</v>
      </c>
      <c r="H9754" s="3">
        <v>91</v>
      </c>
      <c r="I9754" s="3">
        <v>253</v>
      </c>
      <c r="J9754" s="3">
        <v>499</v>
      </c>
      <c r="K9754" s="3">
        <v>1257</v>
      </c>
      <c r="L9754" s="3">
        <v>114</v>
      </c>
      <c r="M9754" s="3">
        <v>366</v>
      </c>
    </row>
    <row r="9755" spans="1:13" x14ac:dyDescent="0.25">
      <c r="A9755" s="1" t="str">
        <f>HYPERLINK("http://www.rosaceae.org/Prunus/Prunus_persica/p.persica_gdr_reftransV1_0039984","p.persica_gdr_reftransV1_0039984")</f>
        <v>p.persica_gdr_reftransV1_0039984</v>
      </c>
      <c r="B9755" s="3">
        <v>3683</v>
      </c>
      <c r="C9755" s="1" t="str">
        <f>HYPERLINK("http://www.uniprot.org/uniprot/AB2A_ARATH","AB2A_ARATH")</f>
        <v>AB2A_ARATH</v>
      </c>
      <c r="D9755" t="s">
        <v>2678</v>
      </c>
      <c r="E9755" s="3" t="s">
        <v>3</v>
      </c>
      <c r="F9755" s="4">
        <v>0</v>
      </c>
      <c r="G9755" s="3">
        <v>2783</v>
      </c>
      <c r="H9755" s="3">
        <v>75</v>
      </c>
      <c r="I9755" s="3">
        <v>739</v>
      </c>
      <c r="J9755" s="3">
        <v>474</v>
      </c>
      <c r="K9755" s="3">
        <v>2687</v>
      </c>
      <c r="L9755" s="3">
        <v>1</v>
      </c>
      <c r="M9755" s="3">
        <v>739</v>
      </c>
    </row>
    <row r="9756" spans="1:13" x14ac:dyDescent="0.25">
      <c r="A9756" s="1" t="str">
        <f>HYPERLINK("http://www.rosaceae.org/Prunus/Prunus_persica/p.persica_gdr_reftransV1_0040434","p.persica_gdr_reftransV1_0040434")</f>
        <v>p.persica_gdr_reftransV1_0040434</v>
      </c>
      <c r="B9756" s="3">
        <v>5144</v>
      </c>
      <c r="C9756" s="1" t="str">
        <f>HYPERLINK("http://www.uniprot.org/uniprot/RDM3_ARATH","RDM3_ARATH")</f>
        <v>RDM3_ARATH</v>
      </c>
      <c r="D9756" t="s">
        <v>7234</v>
      </c>
      <c r="E9756" s="3" t="s">
        <v>3</v>
      </c>
      <c r="F9756" s="4">
        <v>1.73E-100</v>
      </c>
      <c r="G9756" s="3">
        <v>923</v>
      </c>
      <c r="H9756" s="3">
        <v>56</v>
      </c>
      <c r="I9756" s="3">
        <v>302</v>
      </c>
      <c r="J9756" s="3">
        <v>3920</v>
      </c>
      <c r="K9756" s="3">
        <v>4825</v>
      </c>
      <c r="L9756" s="3">
        <v>87</v>
      </c>
      <c r="M9756" s="3">
        <v>384</v>
      </c>
    </row>
    <row r="9757" spans="1:13" x14ac:dyDescent="0.25">
      <c r="A9757" s="1" t="str">
        <f>HYPERLINK("http://www.rosaceae.org/Prunus/Prunus_persica/p.persica_gdr_reftransV1_0040484","p.persica_gdr_reftransV1_0040484")</f>
        <v>p.persica_gdr_reftransV1_0040484</v>
      </c>
      <c r="B9757" s="3">
        <v>2783</v>
      </c>
      <c r="C9757" s="1" t="str">
        <f>HYPERLINK("http://www.uniprot.org/uniprot/DCP5_ARATH","DCP5_ARATH")</f>
        <v>DCP5_ARATH</v>
      </c>
      <c r="D9757" t="s">
        <v>6216</v>
      </c>
      <c r="E9757" s="3" t="s">
        <v>3</v>
      </c>
      <c r="F9757" s="4">
        <v>9.8999999999999991E-81</v>
      </c>
      <c r="G9757" s="3">
        <v>714</v>
      </c>
      <c r="H9757" s="3">
        <v>73</v>
      </c>
      <c r="I9757" s="3">
        <v>205</v>
      </c>
      <c r="J9757" s="3">
        <v>145</v>
      </c>
      <c r="K9757" s="3">
        <v>756</v>
      </c>
      <c r="L9757" s="3">
        <v>17</v>
      </c>
      <c r="M9757" s="3">
        <v>211</v>
      </c>
    </row>
    <row r="9758" spans="1:13" x14ac:dyDescent="0.25">
      <c r="A9758" s="1" t="str">
        <f>HYPERLINK("http://www.rosaceae.org/Prunus/Prunus_persica/p.persica_gdr_reftransV1_0041734","p.persica_gdr_reftransV1_0041734")</f>
        <v>p.persica_gdr_reftransV1_0041734</v>
      </c>
      <c r="B9758" s="3">
        <v>1139</v>
      </c>
      <c r="C9758" s="1" t="str">
        <f>HYPERLINK("http://www.uniprot.org/uniprot/RPE1_ORYSJ","RPE1_ORYSJ")</f>
        <v>RPE1_ORYSJ</v>
      </c>
      <c r="D9758" t="s">
        <v>7235</v>
      </c>
      <c r="E9758" s="3" t="s">
        <v>38</v>
      </c>
      <c r="F9758" s="4">
        <v>2.6E-138</v>
      </c>
      <c r="G9758" s="3">
        <v>1029</v>
      </c>
      <c r="H9758" s="3">
        <v>83</v>
      </c>
      <c r="I9758" s="3">
        <v>221</v>
      </c>
      <c r="J9758" s="3">
        <v>248</v>
      </c>
      <c r="K9758" s="3">
        <v>910</v>
      </c>
      <c r="L9758" s="3">
        <v>8</v>
      </c>
      <c r="M9758" s="3">
        <v>228</v>
      </c>
    </row>
    <row r="9759" spans="1:13" x14ac:dyDescent="0.25">
      <c r="A9759" s="1" t="str">
        <f>HYPERLINK("http://www.rosaceae.org/Prunus/Prunus_persica/p.persica_gdr_reftransV1_0041884","p.persica_gdr_reftransV1_0041884")</f>
        <v>p.persica_gdr_reftransV1_0041884</v>
      </c>
      <c r="B9759" s="3">
        <v>1821</v>
      </c>
      <c r="C9759" s="1" t="str">
        <f>HYPERLINK("http://www.uniprot.org/uniprot/U76F1_ARATH","U76F1_ARATH")</f>
        <v>U76F1_ARATH</v>
      </c>
      <c r="D9759" t="s">
        <v>6611</v>
      </c>
      <c r="E9759" s="3" t="s">
        <v>3</v>
      </c>
      <c r="F9759" s="4">
        <v>6.3699999999999994E-107</v>
      </c>
      <c r="G9759" s="3">
        <v>863</v>
      </c>
      <c r="H9759" s="3">
        <v>55</v>
      </c>
      <c r="I9759" s="3">
        <v>304</v>
      </c>
      <c r="J9759" s="3">
        <v>242</v>
      </c>
      <c r="K9759" s="3">
        <v>1141</v>
      </c>
      <c r="L9759" s="3">
        <v>164</v>
      </c>
      <c r="M9759" s="3">
        <v>459</v>
      </c>
    </row>
    <row r="9760" spans="1:13" x14ac:dyDescent="0.25">
      <c r="A9760" s="1" t="str">
        <f>HYPERLINK("http://www.rosaceae.org/Prunus/Prunus_persica/p.persica_gdr_reftransV1_0041934","p.persica_gdr_reftransV1_0041934")</f>
        <v>p.persica_gdr_reftransV1_0041934</v>
      </c>
      <c r="B9760" s="3">
        <v>5027</v>
      </c>
      <c r="C9760" s="1" t="str">
        <f>HYPERLINK("http://www.uniprot.org/uniprot/CTSL2_DICDI","CTSL2_DICDI")</f>
        <v>CTSL2_DICDI</v>
      </c>
      <c r="D9760" t="s">
        <v>4332</v>
      </c>
      <c r="E9760" s="3" t="s">
        <v>9</v>
      </c>
      <c r="F9760" s="4">
        <v>2.0500000000000001E-49</v>
      </c>
      <c r="G9760" s="3">
        <v>486</v>
      </c>
      <c r="H9760" s="3">
        <v>52</v>
      </c>
      <c r="I9760" s="3">
        <v>203</v>
      </c>
      <c r="J9760" s="3">
        <v>2458</v>
      </c>
      <c r="K9760" s="3">
        <v>3066</v>
      </c>
      <c r="L9760" s="3">
        <v>360</v>
      </c>
      <c r="M9760" s="3">
        <v>558</v>
      </c>
    </row>
    <row r="9761" spans="1:13" x14ac:dyDescent="0.25">
      <c r="A9761" s="1" t="str">
        <f>HYPERLINK("http://www.rosaceae.org/Prunus/Prunus_persica/p.persica_gdr_reftransV1_0042734","p.persica_gdr_reftransV1_0042734")</f>
        <v>p.persica_gdr_reftransV1_0042734</v>
      </c>
      <c r="B9761" s="3">
        <v>1878</v>
      </c>
      <c r="C9761" s="1" t="str">
        <f>HYPERLINK("http://www.uniprot.org/uniprot/RING1_GOSHI","RING1_GOSHI")</f>
        <v>RING1_GOSHI</v>
      </c>
      <c r="D9761" t="s">
        <v>2201</v>
      </c>
      <c r="E9761" s="3" t="s">
        <v>816</v>
      </c>
      <c r="F9761" s="4">
        <v>1.19E-36</v>
      </c>
      <c r="G9761" s="3">
        <v>362</v>
      </c>
      <c r="H9761" s="3">
        <v>33</v>
      </c>
      <c r="I9761" s="3">
        <v>269</v>
      </c>
      <c r="J9761" s="3">
        <v>933</v>
      </c>
      <c r="K9761" s="3">
        <v>1637</v>
      </c>
      <c r="L9761" s="3">
        <v>23</v>
      </c>
      <c r="M9761" s="3">
        <v>271</v>
      </c>
    </row>
    <row r="9762" spans="1:13" x14ac:dyDescent="0.25">
      <c r="A9762" s="1" t="str">
        <f>HYPERLINK("http://www.rosaceae.org/Prunus/Prunus_persica/p.persica_gdr_reftransV1_0042934","p.persica_gdr_reftransV1_0042934")</f>
        <v>p.persica_gdr_reftransV1_0042934</v>
      </c>
      <c r="B9762" s="3">
        <v>3929</v>
      </c>
      <c r="C9762" s="1" t="str">
        <f>HYPERLINK("http://www.uniprot.org/uniprot/APM1_ARATH","APM1_ARATH")</f>
        <v>APM1_ARATH</v>
      </c>
      <c r="D9762" t="s">
        <v>5990</v>
      </c>
      <c r="E9762" s="3" t="s">
        <v>3</v>
      </c>
      <c r="F9762" s="4">
        <v>0</v>
      </c>
      <c r="G9762" s="3">
        <v>2378</v>
      </c>
      <c r="H9762" s="3">
        <v>71</v>
      </c>
      <c r="I9762" s="3">
        <v>627</v>
      </c>
      <c r="J9762" s="3">
        <v>957</v>
      </c>
      <c r="K9762" s="3">
        <v>2828</v>
      </c>
      <c r="L9762" s="3">
        <v>250</v>
      </c>
      <c r="M9762" s="3">
        <v>876</v>
      </c>
    </row>
    <row r="9763" spans="1:13" x14ac:dyDescent="0.25">
      <c r="A9763" s="1" t="str">
        <f>HYPERLINK("http://www.rosaceae.org/Prunus/Prunus_persica/p.persica_gdr_reftransV1_0043034","p.persica_gdr_reftransV1_0043034")</f>
        <v>p.persica_gdr_reftransV1_0043034</v>
      </c>
      <c r="B9763" s="3">
        <v>322</v>
      </c>
      <c r="C9763" s="1" t="str">
        <f>HYPERLINK("http://www.uniprot.org/uniprot/TNNC2_RABIT","TNNC2_RABIT")</f>
        <v>TNNC2_RABIT</v>
      </c>
      <c r="D9763" t="s">
        <v>7236</v>
      </c>
      <c r="E9763" s="3" t="s">
        <v>6501</v>
      </c>
      <c r="F9763" s="4">
        <v>2.4499999999999999E-43</v>
      </c>
      <c r="G9763" s="3">
        <v>365</v>
      </c>
      <c r="H9763" s="3">
        <v>99</v>
      </c>
      <c r="I9763" s="3">
        <v>93</v>
      </c>
      <c r="J9763" s="3">
        <v>43</v>
      </c>
      <c r="K9763" s="3">
        <v>321</v>
      </c>
      <c r="L9763" s="3">
        <v>2</v>
      </c>
      <c r="M9763" s="3">
        <v>94</v>
      </c>
    </row>
    <row r="9764" spans="1:13" x14ac:dyDescent="0.25">
      <c r="A9764" s="1" t="str">
        <f>HYPERLINK("http://www.rosaceae.org/Prunus/Prunus_persica/p.persica_gdr_reftransV1_0043084","p.persica_gdr_reftransV1_0043084")</f>
        <v>p.persica_gdr_reftransV1_0043084</v>
      </c>
      <c r="B9764" s="3">
        <v>2074</v>
      </c>
      <c r="C9764" s="1" t="str">
        <f>HYPERLINK("http://www.uniprot.org/uniprot/VOZ1_ARATH","VOZ1_ARATH")</f>
        <v>VOZ1_ARATH</v>
      </c>
      <c r="D9764" t="s">
        <v>7237</v>
      </c>
      <c r="E9764" s="3" t="s">
        <v>3</v>
      </c>
      <c r="F9764" s="4">
        <v>0</v>
      </c>
      <c r="G9764" s="3">
        <v>1826</v>
      </c>
      <c r="H9764" s="3">
        <v>74</v>
      </c>
      <c r="I9764" s="3">
        <v>492</v>
      </c>
      <c r="J9764" s="3">
        <v>217</v>
      </c>
      <c r="K9764" s="3">
        <v>1659</v>
      </c>
      <c r="L9764" s="3">
        <v>4</v>
      </c>
      <c r="M9764" s="3">
        <v>485</v>
      </c>
    </row>
    <row r="9765" spans="1:13" x14ac:dyDescent="0.25">
      <c r="A9765" s="1" t="str">
        <f>HYPERLINK("http://www.rosaceae.org/Prunus/Prunus_persica/p.persica_gdr_reftransV1_0043184","p.persica_gdr_reftransV1_0043184")</f>
        <v>p.persica_gdr_reftransV1_0043184</v>
      </c>
      <c r="B9765" s="3">
        <v>2030</v>
      </c>
      <c r="C9765" s="1" t="str">
        <f>HYPERLINK("http://www.uniprot.org/uniprot/HTH_ARATH","HTH_ARATH")</f>
        <v>HTH_ARATH</v>
      </c>
      <c r="D9765" t="s">
        <v>5584</v>
      </c>
      <c r="E9765" s="3" t="s">
        <v>3</v>
      </c>
      <c r="F9765" s="4">
        <v>0</v>
      </c>
      <c r="G9765" s="3">
        <v>2178</v>
      </c>
      <c r="H9765" s="3">
        <v>72</v>
      </c>
      <c r="I9765" s="3">
        <v>568</v>
      </c>
      <c r="J9765" s="3">
        <v>145</v>
      </c>
      <c r="K9765" s="3">
        <v>1842</v>
      </c>
      <c r="L9765" s="3">
        <v>27</v>
      </c>
      <c r="M9765" s="3">
        <v>594</v>
      </c>
    </row>
    <row r="9766" spans="1:13" x14ac:dyDescent="0.25">
      <c r="A9766" s="1" t="str">
        <f>HYPERLINK("http://www.rosaceae.org/Prunus/Prunus_persica/p.persica_gdr_reftransV1_0043234","p.persica_gdr_reftransV1_0043234")</f>
        <v>p.persica_gdr_reftransV1_0043234</v>
      </c>
      <c r="B9766" s="3">
        <v>688</v>
      </c>
      <c r="C9766" s="1" t="str">
        <f>HYPERLINK("http://www.uniprot.org/uniprot/BAHD1_ARATH","BAHD1_ARATH")</f>
        <v>BAHD1_ARATH</v>
      </c>
      <c r="D9766" t="s">
        <v>897</v>
      </c>
      <c r="E9766" s="3" t="s">
        <v>3</v>
      </c>
      <c r="F9766" s="4">
        <v>2.6099999999999998E-38</v>
      </c>
      <c r="G9766" s="3">
        <v>360</v>
      </c>
      <c r="H9766" s="3">
        <v>38</v>
      </c>
      <c r="I9766" s="3">
        <v>232</v>
      </c>
      <c r="J9766" s="3">
        <v>27</v>
      </c>
      <c r="K9766" s="3">
        <v>686</v>
      </c>
      <c r="L9766" s="3">
        <v>215</v>
      </c>
      <c r="M9766" s="3">
        <v>442</v>
      </c>
    </row>
    <row r="9767" spans="1:13" x14ac:dyDescent="0.25">
      <c r="A9767" s="1" t="str">
        <f>HYPERLINK("http://www.rosaceae.org/Prunus/Prunus_persica/p.persica_gdr_reftransV1_0043284","p.persica_gdr_reftransV1_0043284")</f>
        <v>p.persica_gdr_reftransV1_0043284</v>
      </c>
      <c r="B9767" s="3">
        <v>1471</v>
      </c>
      <c r="C9767" s="1" t="str">
        <f>HYPERLINK("http://www.uniprot.org/uniprot/NDF5_ARATH","NDF5_ARATH")</f>
        <v>NDF5_ARATH</v>
      </c>
      <c r="D9767" t="s">
        <v>3177</v>
      </c>
      <c r="E9767" s="3" t="s">
        <v>3</v>
      </c>
      <c r="F9767" s="4">
        <v>4.3700000000000002E-64</v>
      </c>
      <c r="G9767" s="3">
        <v>554</v>
      </c>
      <c r="H9767" s="3">
        <v>40</v>
      </c>
      <c r="I9767" s="3">
        <v>355</v>
      </c>
      <c r="J9767" s="3">
        <v>221</v>
      </c>
      <c r="K9767" s="3">
        <v>1258</v>
      </c>
      <c r="L9767" s="3">
        <v>60</v>
      </c>
      <c r="M9767" s="3">
        <v>353</v>
      </c>
    </row>
    <row r="9768" spans="1:13" x14ac:dyDescent="0.25">
      <c r="A9768" s="1" t="str">
        <f>HYPERLINK("http://www.rosaceae.org/Prunus/Prunus_persica/p.persica_gdr_reftransV1_0043334","p.persica_gdr_reftransV1_0043334")</f>
        <v>p.persica_gdr_reftransV1_0043334</v>
      </c>
      <c r="B9768" s="3">
        <v>847</v>
      </c>
      <c r="C9768" s="1" t="str">
        <f>HYPERLINK("http://www.uniprot.org/uniprot/UGT2_GARJA","UGT2_GARJA")</f>
        <v>UGT2_GARJA</v>
      </c>
      <c r="D9768" t="s">
        <v>927</v>
      </c>
      <c r="E9768" s="3" t="s">
        <v>624</v>
      </c>
      <c r="F9768" s="4">
        <v>1.14E-83</v>
      </c>
      <c r="G9768" s="3">
        <v>678</v>
      </c>
      <c r="H9768" s="3">
        <v>70</v>
      </c>
      <c r="I9768" s="3">
        <v>191</v>
      </c>
      <c r="J9768" s="3">
        <v>273</v>
      </c>
      <c r="K9768" s="3">
        <v>845</v>
      </c>
      <c r="L9768" s="3">
        <v>291</v>
      </c>
      <c r="M9768" s="3">
        <v>480</v>
      </c>
    </row>
    <row r="9769" spans="1:13" x14ac:dyDescent="0.25">
      <c r="A9769" s="1" t="str">
        <f>HYPERLINK("http://www.rosaceae.org/Prunus/Prunus_persica/p.persica_gdr_reftransV1_0043384","p.persica_gdr_reftransV1_0043384")</f>
        <v>p.persica_gdr_reftransV1_0043384</v>
      </c>
      <c r="B9769" s="3">
        <v>371</v>
      </c>
      <c r="C9769" s="1" t="str">
        <f>HYPERLINK("http://www.uniprot.org/uniprot/C7A12_PANGI","C7A12_PANGI")</f>
        <v>C7A12_PANGI</v>
      </c>
      <c r="D9769" t="s">
        <v>5987</v>
      </c>
      <c r="E9769" s="3" t="s">
        <v>1477</v>
      </c>
      <c r="F9769" s="4">
        <v>2.4600000000000001E-30</v>
      </c>
      <c r="G9769" s="3">
        <v>292</v>
      </c>
      <c r="H9769" s="3">
        <v>49</v>
      </c>
      <c r="I9769" s="3">
        <v>118</v>
      </c>
      <c r="J9769" s="3">
        <v>16</v>
      </c>
      <c r="K9769" s="3">
        <v>369</v>
      </c>
      <c r="L9769" s="3">
        <v>238</v>
      </c>
      <c r="M9769" s="3">
        <v>350</v>
      </c>
    </row>
    <row r="9770" spans="1:13" x14ac:dyDescent="0.25">
      <c r="A9770" s="1" t="str">
        <f>HYPERLINK("http://www.rosaceae.org/Prunus/Prunus_persica/p.persica_gdr_reftransV1_0043434","p.persica_gdr_reftransV1_0043434")</f>
        <v>p.persica_gdr_reftransV1_0043434</v>
      </c>
      <c r="B9770" s="3">
        <v>908</v>
      </c>
      <c r="C9770" s="1" t="str">
        <f>HYPERLINK("http://www.uniprot.org/uniprot/DYR_SCHPO","DYR_SCHPO")</f>
        <v>DYR_SCHPO</v>
      </c>
      <c r="D9770" t="s">
        <v>7238</v>
      </c>
      <c r="E9770" s="3" t="s">
        <v>464</v>
      </c>
      <c r="F9770" s="4">
        <v>1.52E-18</v>
      </c>
      <c r="G9770" s="3">
        <v>219</v>
      </c>
      <c r="H9770" s="3">
        <v>29</v>
      </c>
      <c r="I9770" s="3">
        <v>207</v>
      </c>
      <c r="J9770" s="3">
        <v>111</v>
      </c>
      <c r="K9770" s="3">
        <v>677</v>
      </c>
      <c r="L9770" s="3">
        <v>3</v>
      </c>
      <c r="M9770" s="3">
        <v>207</v>
      </c>
    </row>
    <row r="9771" spans="1:13" x14ac:dyDescent="0.25">
      <c r="A9771" s="1" t="str">
        <f>HYPERLINK("http://www.rosaceae.org/Prunus/Prunus_persica/p.persica_gdr_reftransV1_0043534","p.persica_gdr_reftransV1_0043534")</f>
        <v>p.persica_gdr_reftransV1_0043534</v>
      </c>
      <c r="B9771" s="3">
        <v>901</v>
      </c>
      <c r="C9771" s="1" t="str">
        <f>HYPERLINK("http://www.uniprot.org/uniprot/Y4361_ARATH","Y4361_ARATH")</f>
        <v>Y4361_ARATH</v>
      </c>
      <c r="D9771" t="s">
        <v>2715</v>
      </c>
      <c r="E9771" s="3" t="s">
        <v>3</v>
      </c>
      <c r="F9771" s="4">
        <v>6.5399999999999999E-117</v>
      </c>
      <c r="G9771" s="3">
        <v>946</v>
      </c>
      <c r="H9771" s="3">
        <v>65</v>
      </c>
      <c r="I9771" s="3">
        <v>300</v>
      </c>
      <c r="J9771" s="3">
        <v>2</v>
      </c>
      <c r="K9771" s="3">
        <v>898</v>
      </c>
      <c r="L9771" s="3">
        <v>75</v>
      </c>
      <c r="M9771" s="3">
        <v>369</v>
      </c>
    </row>
    <row r="9772" spans="1:13" x14ac:dyDescent="0.25">
      <c r="A9772" s="1" t="str">
        <f>HYPERLINK("http://www.rosaceae.org/Prunus/Prunus_persica/p.persica_gdr_reftransV1_0043584","p.persica_gdr_reftransV1_0043584")</f>
        <v>p.persica_gdr_reftransV1_0043584</v>
      </c>
      <c r="B9772" s="3">
        <v>1235</v>
      </c>
      <c r="C9772" s="1" t="str">
        <f>HYPERLINK("http://www.uniprot.org/uniprot/HHP1_ARATH","HHP1_ARATH")</f>
        <v>HHP1_ARATH</v>
      </c>
      <c r="D9772" t="s">
        <v>7239</v>
      </c>
      <c r="E9772" s="3" t="s">
        <v>3</v>
      </c>
      <c r="F9772" s="4">
        <v>7.6400000000000003E-137</v>
      </c>
      <c r="G9772" s="3">
        <v>1032</v>
      </c>
      <c r="H9772" s="3">
        <v>62</v>
      </c>
      <c r="I9772" s="3">
        <v>324</v>
      </c>
      <c r="J9772" s="3">
        <v>42</v>
      </c>
      <c r="K9772" s="3">
        <v>1013</v>
      </c>
      <c r="L9772" s="3">
        <v>53</v>
      </c>
      <c r="M9772" s="3">
        <v>332</v>
      </c>
    </row>
    <row r="9773" spans="1:13" x14ac:dyDescent="0.25">
      <c r="A9773" s="1" t="str">
        <f>HYPERLINK("http://www.rosaceae.org/Prunus/Prunus_persica/p.persica_gdr_reftransV1_0043634","p.persica_gdr_reftransV1_0043634")</f>
        <v>p.persica_gdr_reftransV1_0043634</v>
      </c>
      <c r="B9773" s="3">
        <v>548</v>
      </c>
      <c r="C9773" s="1" t="str">
        <f>HYPERLINK("http://www.uniprot.org/uniprot/SUT3_STYHA","SUT3_STYHA")</f>
        <v>SUT3_STYHA</v>
      </c>
      <c r="D9773" t="s">
        <v>5289</v>
      </c>
      <c r="E9773" s="3" t="s">
        <v>5290</v>
      </c>
      <c r="F9773" s="4">
        <v>5.5299999999999997E-39</v>
      </c>
      <c r="G9773" s="3">
        <v>364</v>
      </c>
      <c r="H9773" s="3">
        <v>60</v>
      </c>
      <c r="I9773" s="3">
        <v>107</v>
      </c>
      <c r="J9773" s="3">
        <v>225</v>
      </c>
      <c r="K9773" s="3">
        <v>545</v>
      </c>
      <c r="L9773" s="3">
        <v>538</v>
      </c>
      <c r="M9773" s="3">
        <v>644</v>
      </c>
    </row>
    <row r="9774" spans="1:13" x14ac:dyDescent="0.25">
      <c r="A9774" s="1" t="str">
        <f>HYPERLINK("http://www.rosaceae.org/Prunus/Prunus_persica/p.persica_gdr_reftransV1_0043684","p.persica_gdr_reftransV1_0043684")</f>
        <v>p.persica_gdr_reftransV1_0043684</v>
      </c>
      <c r="B9774" s="3">
        <v>950</v>
      </c>
      <c r="C9774" s="1" t="str">
        <f>HYPERLINK("http://www.uniprot.org/uniprot/GATL2_ARATH","GATL2_ARATH")</f>
        <v>GATL2_ARATH</v>
      </c>
      <c r="D9774" t="s">
        <v>5874</v>
      </c>
      <c r="E9774" s="3" t="s">
        <v>3</v>
      </c>
      <c r="F9774" s="4">
        <v>7.1000000000000004E-75</v>
      </c>
      <c r="G9774" s="3">
        <v>612</v>
      </c>
      <c r="H9774" s="3">
        <v>70</v>
      </c>
      <c r="I9774" s="3">
        <v>216</v>
      </c>
      <c r="J9774" s="3">
        <v>311</v>
      </c>
      <c r="K9774" s="3">
        <v>949</v>
      </c>
      <c r="L9774" s="3">
        <v>23</v>
      </c>
      <c r="M9774" s="3">
        <v>233</v>
      </c>
    </row>
    <row r="9775" spans="1:13" x14ac:dyDescent="0.25">
      <c r="A9775" s="1" t="str">
        <f>HYPERLINK("http://www.rosaceae.org/Prunus/Prunus_persica/p.persica_gdr_reftransV1_0043734","p.persica_gdr_reftransV1_0043734")</f>
        <v>p.persica_gdr_reftransV1_0043734</v>
      </c>
      <c r="B9775" s="3">
        <v>1000</v>
      </c>
      <c r="C9775" s="1" t="str">
        <f>HYPERLINK("http://www.uniprot.org/uniprot/Y2579_ARATH","Y2579_ARATH")</f>
        <v>Y2579_ARATH</v>
      </c>
      <c r="D9775" t="s">
        <v>5654</v>
      </c>
      <c r="E9775" s="3" t="s">
        <v>3</v>
      </c>
      <c r="F9775" s="4">
        <v>4.3799999999999997E-43</v>
      </c>
      <c r="G9775" s="3">
        <v>414</v>
      </c>
      <c r="H9775" s="3">
        <v>41</v>
      </c>
      <c r="I9775" s="3">
        <v>264</v>
      </c>
      <c r="J9775" s="3">
        <v>9</v>
      </c>
      <c r="K9775" s="3">
        <v>791</v>
      </c>
      <c r="L9775" s="3">
        <v>109</v>
      </c>
      <c r="M9775" s="3">
        <v>369</v>
      </c>
    </row>
    <row r="9776" spans="1:13" x14ac:dyDescent="0.25">
      <c r="A9776" s="1" t="str">
        <f>HYPERLINK("http://www.rosaceae.org/Prunus/Prunus_persica/p.persica_gdr_reftransV1_0043784","p.persica_gdr_reftransV1_0043784")</f>
        <v>p.persica_gdr_reftransV1_0043784</v>
      </c>
      <c r="B9776" s="3">
        <v>2548</v>
      </c>
      <c r="C9776" s="1" t="str">
        <f>HYPERLINK("http://www.uniprot.org/uniprot/AAT5_ARATH","AAT5_ARATH")</f>
        <v>AAT5_ARATH</v>
      </c>
      <c r="D9776" t="s">
        <v>7240</v>
      </c>
      <c r="E9776" s="3" t="s">
        <v>3</v>
      </c>
      <c r="F9776" s="4">
        <v>0</v>
      </c>
      <c r="G9776" s="3">
        <v>2051</v>
      </c>
      <c r="H9776" s="3">
        <v>84</v>
      </c>
      <c r="I9776" s="3">
        <v>445</v>
      </c>
      <c r="J9776" s="3">
        <v>305</v>
      </c>
      <c r="K9776" s="3">
        <v>1639</v>
      </c>
      <c r="L9776" s="3">
        <v>16</v>
      </c>
      <c r="M9776" s="3">
        <v>453</v>
      </c>
    </row>
    <row r="9777" spans="1:13" x14ac:dyDescent="0.25">
      <c r="A9777" s="1" t="str">
        <f>HYPERLINK("http://www.rosaceae.org/Prunus/Prunus_persica/p.persica_gdr_reftransV1_0043884","p.persica_gdr_reftransV1_0043884")</f>
        <v>p.persica_gdr_reftransV1_0043884</v>
      </c>
      <c r="B9777" s="3">
        <v>1716</v>
      </c>
      <c r="C9777" s="1" t="str">
        <f>HYPERLINK("http://www.uniprot.org/uniprot/Y3804_ARATH","Y3804_ARATH")</f>
        <v>Y3804_ARATH</v>
      </c>
      <c r="D9777" t="s">
        <v>7241</v>
      </c>
      <c r="E9777" s="3" t="s">
        <v>3</v>
      </c>
      <c r="F9777" s="4">
        <v>4.4299999999999998E-170</v>
      </c>
      <c r="G9777" s="3">
        <v>1330</v>
      </c>
      <c r="H9777" s="3">
        <v>62</v>
      </c>
      <c r="I9777" s="3">
        <v>489</v>
      </c>
      <c r="J9777" s="3">
        <v>3</v>
      </c>
      <c r="K9777" s="3">
        <v>1469</v>
      </c>
      <c r="L9777" s="3">
        <v>15</v>
      </c>
      <c r="M9777" s="3">
        <v>501</v>
      </c>
    </row>
    <row r="9778" spans="1:13" x14ac:dyDescent="0.25">
      <c r="A9778" s="1" t="str">
        <f>HYPERLINK("http://www.rosaceae.org/Prunus/Prunus_persica/p.persica_gdr_reftransV1_0043934","p.persica_gdr_reftransV1_0043934")</f>
        <v>p.persica_gdr_reftransV1_0043934</v>
      </c>
      <c r="B9778" s="3">
        <v>1866</v>
      </c>
      <c r="C9778" s="1" t="str">
        <f>HYPERLINK("http://www.uniprot.org/uniprot/Y1154_ARATH","Y1154_ARATH")</f>
        <v>Y1154_ARATH</v>
      </c>
      <c r="D9778" t="s">
        <v>2604</v>
      </c>
      <c r="E9778" s="3" t="s">
        <v>3</v>
      </c>
      <c r="F9778" s="4">
        <v>0</v>
      </c>
      <c r="G9778" s="3">
        <v>1683</v>
      </c>
      <c r="H9778" s="3">
        <v>76</v>
      </c>
      <c r="I9778" s="3">
        <v>486</v>
      </c>
      <c r="J9778" s="3">
        <v>272</v>
      </c>
      <c r="K9778" s="3">
        <v>1702</v>
      </c>
      <c r="L9778" s="3">
        <v>1</v>
      </c>
      <c r="M9778" s="3">
        <v>468</v>
      </c>
    </row>
    <row r="9779" spans="1:13" x14ac:dyDescent="0.25">
      <c r="A9779" s="1" t="str">
        <f>HYPERLINK("http://www.rosaceae.org/Prunus/Prunus_persica/p.persica_gdr_reftransV1_0043984","p.persica_gdr_reftransV1_0043984")</f>
        <v>p.persica_gdr_reftransV1_0043984</v>
      </c>
      <c r="B9779" s="3">
        <v>2627</v>
      </c>
      <c r="C9779" s="1" t="str">
        <f>HYPERLINK("http://www.uniprot.org/uniprot/NADE_ARATH","NADE_ARATH")</f>
        <v>NADE_ARATH</v>
      </c>
      <c r="D9779" t="s">
        <v>7242</v>
      </c>
      <c r="E9779" s="3" t="s">
        <v>3</v>
      </c>
      <c r="F9779" s="4">
        <v>0</v>
      </c>
      <c r="G9779" s="3">
        <v>3327</v>
      </c>
      <c r="H9779" s="3">
        <v>86</v>
      </c>
      <c r="I9779" s="3">
        <v>702</v>
      </c>
      <c r="J9779" s="3">
        <v>140</v>
      </c>
      <c r="K9779" s="3">
        <v>2245</v>
      </c>
      <c r="L9779" s="3">
        <v>1</v>
      </c>
      <c r="M9779" s="3">
        <v>702</v>
      </c>
    </row>
    <row r="9780" spans="1:13" x14ac:dyDescent="0.25">
      <c r="A9780" s="1" t="str">
        <f>HYPERLINK("http://www.rosaceae.org/Prunus/Prunus_persica/p.persica_gdr_reftransV1_0044134","p.persica_gdr_reftransV1_0044134")</f>
        <v>p.persica_gdr_reftransV1_0044134</v>
      </c>
      <c r="B9780" s="3">
        <v>2265</v>
      </c>
      <c r="C9780" s="1" t="str">
        <f>HYPERLINK("http://www.uniprot.org/uniprot/Y5830_ARATH","Y5830_ARATH")</f>
        <v>Y5830_ARATH</v>
      </c>
      <c r="D9780" t="s">
        <v>6316</v>
      </c>
      <c r="E9780" s="3" t="s">
        <v>3</v>
      </c>
      <c r="F9780" s="4">
        <v>0</v>
      </c>
      <c r="G9780" s="3">
        <v>1758</v>
      </c>
      <c r="H9780" s="3">
        <v>60</v>
      </c>
      <c r="I9780" s="3">
        <v>621</v>
      </c>
      <c r="J9780" s="3">
        <v>184</v>
      </c>
      <c r="K9780" s="3">
        <v>2040</v>
      </c>
      <c r="L9780" s="3">
        <v>23</v>
      </c>
      <c r="M9780" s="3">
        <v>642</v>
      </c>
    </row>
    <row r="9781" spans="1:13" x14ac:dyDescent="0.25">
      <c r="A9781" s="1" t="str">
        <f>HYPERLINK("http://www.rosaceae.org/Prunus/Prunus_persica/p.persica_gdr_reftransV1_0044234","p.persica_gdr_reftransV1_0044234")</f>
        <v>p.persica_gdr_reftransV1_0044234</v>
      </c>
      <c r="B9781" s="3">
        <v>1688</v>
      </c>
      <c r="C9781" s="1" t="str">
        <f>HYPERLINK("http://www.uniprot.org/uniprot/SCL28_ARATH","SCL28_ARATH")</f>
        <v>SCL28_ARATH</v>
      </c>
      <c r="D9781" t="s">
        <v>5844</v>
      </c>
      <c r="E9781" s="3" t="s">
        <v>3</v>
      </c>
      <c r="F9781" s="4">
        <v>0</v>
      </c>
      <c r="G9781" s="3">
        <v>1478</v>
      </c>
      <c r="H9781" s="3">
        <v>61</v>
      </c>
      <c r="I9781" s="3">
        <v>485</v>
      </c>
      <c r="J9781" s="3">
        <v>4</v>
      </c>
      <c r="K9781" s="3">
        <v>1407</v>
      </c>
      <c r="L9781" s="3">
        <v>181</v>
      </c>
      <c r="M9781" s="3">
        <v>654</v>
      </c>
    </row>
    <row r="9782" spans="1:13" x14ac:dyDescent="0.25">
      <c r="A9782" s="1" t="str">
        <f>HYPERLINK("http://www.rosaceae.org/Prunus/Prunus_persica/p.persica_gdr_reftransV1_0044284","p.persica_gdr_reftransV1_0044284")</f>
        <v>p.persica_gdr_reftransV1_0044284</v>
      </c>
      <c r="B9782" s="3">
        <v>501</v>
      </c>
      <c r="C9782" s="1" t="str">
        <f>HYPERLINK("http://www.uniprot.org/uniprot/RLP12_ARATH","RLP12_ARATH")</f>
        <v>RLP12_ARATH</v>
      </c>
      <c r="D9782" t="s">
        <v>1219</v>
      </c>
      <c r="E9782" s="3" t="s">
        <v>3</v>
      </c>
      <c r="F9782" s="4">
        <v>7.6000000000000004E-14</v>
      </c>
      <c r="G9782" s="3">
        <v>178</v>
      </c>
      <c r="H9782" s="3">
        <v>46</v>
      </c>
      <c r="I9782" s="3">
        <v>123</v>
      </c>
      <c r="J9782" s="3">
        <v>77</v>
      </c>
      <c r="K9782" s="3">
        <v>445</v>
      </c>
      <c r="L9782" s="3">
        <v>125</v>
      </c>
      <c r="M9782" s="3">
        <v>245</v>
      </c>
    </row>
    <row r="9783" spans="1:13" x14ac:dyDescent="0.25">
      <c r="A9783" s="1" t="str">
        <f>HYPERLINK("http://www.rosaceae.org/Prunus/Prunus_persica/p.persica_gdr_reftransV1_0044334","p.persica_gdr_reftransV1_0044334")</f>
        <v>p.persica_gdr_reftransV1_0044334</v>
      </c>
      <c r="B9783" s="3">
        <v>1594</v>
      </c>
      <c r="C9783" s="1" t="str">
        <f>HYPERLINK("http://www.uniprot.org/uniprot/PCS1_LOTJA","PCS1_LOTJA")</f>
        <v>PCS1_LOTJA</v>
      </c>
      <c r="D9783" t="s">
        <v>2804</v>
      </c>
      <c r="E9783" s="3" t="s">
        <v>880</v>
      </c>
      <c r="F9783" s="4">
        <v>0</v>
      </c>
      <c r="G9783" s="3">
        <v>1663</v>
      </c>
      <c r="H9783" s="3">
        <v>72</v>
      </c>
      <c r="I9783" s="3">
        <v>449</v>
      </c>
      <c r="J9783" s="3">
        <v>2</v>
      </c>
      <c r="K9783" s="3">
        <v>1345</v>
      </c>
      <c r="L9783" s="3">
        <v>54</v>
      </c>
      <c r="M9783" s="3">
        <v>500</v>
      </c>
    </row>
    <row r="9784" spans="1:13" x14ac:dyDescent="0.25">
      <c r="A9784" s="1" t="str">
        <f>HYPERLINK("http://www.rosaceae.org/Prunus/Prunus_persica/p.persica_gdr_reftransV1_0044384","p.persica_gdr_reftransV1_0044384")</f>
        <v>p.persica_gdr_reftransV1_0044384</v>
      </c>
      <c r="B9784" s="3">
        <v>990</v>
      </c>
      <c r="C9784" s="1" t="str">
        <f>HYPERLINK("http://www.uniprot.org/uniprot/SRC33_ARATH","SRC33_ARATH")</f>
        <v>SRC33_ARATH</v>
      </c>
      <c r="D9784" t="s">
        <v>6012</v>
      </c>
      <c r="E9784" s="3" t="s">
        <v>3</v>
      </c>
      <c r="F9784" s="4">
        <v>2.0399999999999999E-45</v>
      </c>
      <c r="G9784" s="3">
        <v>409</v>
      </c>
      <c r="H9784" s="3">
        <v>85</v>
      </c>
      <c r="I9784" s="3">
        <v>89</v>
      </c>
      <c r="J9784" s="3">
        <v>211</v>
      </c>
      <c r="K9784" s="3">
        <v>477</v>
      </c>
      <c r="L9784" s="3">
        <v>34</v>
      </c>
      <c r="M9784" s="3">
        <v>122</v>
      </c>
    </row>
    <row r="9785" spans="1:13" x14ac:dyDescent="0.25">
      <c r="A9785" s="1" t="str">
        <f>HYPERLINK("http://www.rosaceae.org/Prunus/Prunus_persica/p.persica_gdr_reftransV1_0044434","p.persica_gdr_reftransV1_0044434")</f>
        <v>p.persica_gdr_reftransV1_0044434</v>
      </c>
      <c r="B9785" s="3">
        <v>1229</v>
      </c>
      <c r="C9785" s="1" t="str">
        <f>HYPERLINK("http://www.uniprot.org/uniprot/FB135_ARATH","FB135_ARATH")</f>
        <v>FB135_ARATH</v>
      </c>
      <c r="D9785" t="s">
        <v>6152</v>
      </c>
      <c r="E9785" s="3" t="s">
        <v>3</v>
      </c>
      <c r="F9785" s="4">
        <v>6.9000000000000004E-20</v>
      </c>
      <c r="G9785" s="3">
        <v>233</v>
      </c>
      <c r="H9785" s="3">
        <v>30</v>
      </c>
      <c r="I9785" s="3">
        <v>233</v>
      </c>
      <c r="J9785" s="3">
        <v>3</v>
      </c>
      <c r="K9785" s="3">
        <v>626</v>
      </c>
      <c r="L9785" s="3">
        <v>99</v>
      </c>
      <c r="M9785" s="3">
        <v>330</v>
      </c>
    </row>
    <row r="9786" spans="1:13" x14ac:dyDescent="0.25">
      <c r="A9786" s="1" t="str">
        <f>HYPERLINK("http://www.rosaceae.org/Prunus/Prunus_persica/p.persica_gdr_reftransV1_0044484","p.persica_gdr_reftransV1_0044484")</f>
        <v>p.persica_gdr_reftransV1_0044484</v>
      </c>
      <c r="B9786" s="3">
        <v>2398</v>
      </c>
      <c r="C9786" s="1" t="str">
        <f>HYPERLINK("http://www.uniprot.org/uniprot/IMK2_ARATH","IMK2_ARATH")</f>
        <v>IMK2_ARATH</v>
      </c>
      <c r="D9786" t="s">
        <v>6892</v>
      </c>
      <c r="E9786" s="3" t="s">
        <v>3</v>
      </c>
      <c r="F9786" s="4">
        <v>0</v>
      </c>
      <c r="G9786" s="3">
        <v>2074</v>
      </c>
      <c r="H9786" s="3">
        <v>67</v>
      </c>
      <c r="I9786" s="3">
        <v>705</v>
      </c>
      <c r="J9786" s="3">
        <v>311</v>
      </c>
      <c r="K9786" s="3">
        <v>2398</v>
      </c>
      <c r="L9786" s="3">
        <v>121</v>
      </c>
      <c r="M9786" s="3">
        <v>810</v>
      </c>
    </row>
    <row r="9787" spans="1:13" x14ac:dyDescent="0.25">
      <c r="A9787" s="1" t="str">
        <f>HYPERLINK("http://www.rosaceae.org/Prunus/Prunus_persica/p.persica_gdr_reftransV1_0044534","p.persica_gdr_reftransV1_0044534")</f>
        <v>p.persica_gdr_reftransV1_0044534</v>
      </c>
      <c r="B9787" s="3">
        <v>1812</v>
      </c>
      <c r="C9787" s="1" t="str">
        <f>HYPERLINK("http://www.uniprot.org/uniprot/RB47B_ARATH","RB47B_ARATH")</f>
        <v>RB47B_ARATH</v>
      </c>
      <c r="D9787" t="s">
        <v>7243</v>
      </c>
      <c r="E9787" s="3" t="s">
        <v>3</v>
      </c>
      <c r="F9787" s="4">
        <v>3.2699999999999998E-156</v>
      </c>
      <c r="G9787" s="3">
        <v>1190</v>
      </c>
      <c r="H9787" s="3">
        <v>74</v>
      </c>
      <c r="I9787" s="3">
        <v>305</v>
      </c>
      <c r="J9787" s="3">
        <v>514</v>
      </c>
      <c r="K9787" s="3">
        <v>1425</v>
      </c>
      <c r="L9787" s="3">
        <v>105</v>
      </c>
      <c r="M9787" s="3">
        <v>407</v>
      </c>
    </row>
    <row r="9788" spans="1:13" x14ac:dyDescent="0.25">
      <c r="A9788" s="1" t="str">
        <f>HYPERLINK("http://www.rosaceae.org/Prunus/Prunus_persica/p.persica_gdr_reftransV1_0044734","p.persica_gdr_reftransV1_0044734")</f>
        <v>p.persica_gdr_reftransV1_0044734</v>
      </c>
      <c r="B9788" s="3">
        <v>1593</v>
      </c>
      <c r="C9788" s="1" t="str">
        <f>HYPERLINK("http://www.uniprot.org/uniprot/METK2_ELAUM","METK2_ELAUM")</f>
        <v>METK2_ELAUM</v>
      </c>
      <c r="D9788" t="s">
        <v>7244</v>
      </c>
      <c r="E9788" s="3" t="s">
        <v>7245</v>
      </c>
      <c r="F9788" s="4">
        <v>0</v>
      </c>
      <c r="G9788" s="3">
        <v>1925</v>
      </c>
      <c r="H9788" s="3">
        <v>95</v>
      </c>
      <c r="I9788" s="3">
        <v>392</v>
      </c>
      <c r="J9788" s="3">
        <v>117</v>
      </c>
      <c r="K9788" s="3">
        <v>1283</v>
      </c>
      <c r="L9788" s="3">
        <v>1</v>
      </c>
      <c r="M9788" s="3">
        <v>392</v>
      </c>
    </row>
    <row r="9789" spans="1:13" x14ac:dyDescent="0.25">
      <c r="A9789" s="1" t="str">
        <f>HYPERLINK("http://www.rosaceae.org/Prunus/Prunus_persica/p.persica_gdr_reftransV1_0045034","p.persica_gdr_reftransV1_0045034")</f>
        <v>p.persica_gdr_reftransV1_0045034</v>
      </c>
      <c r="B9789" s="3">
        <v>1656</v>
      </c>
      <c r="C9789" s="1" t="str">
        <f>HYPERLINK("http://www.uniprot.org/uniprot/TBL19_ARATH","TBL19_ARATH")</f>
        <v>TBL19_ARATH</v>
      </c>
      <c r="D9789" t="s">
        <v>7246</v>
      </c>
      <c r="E9789" s="3" t="s">
        <v>3</v>
      </c>
      <c r="F9789" s="4">
        <v>9.3400000000000004E-178</v>
      </c>
      <c r="G9789" s="3">
        <v>1327</v>
      </c>
      <c r="H9789" s="3">
        <v>64</v>
      </c>
      <c r="I9789" s="3">
        <v>376</v>
      </c>
      <c r="J9789" s="3">
        <v>218</v>
      </c>
      <c r="K9789" s="3">
        <v>1339</v>
      </c>
      <c r="L9789" s="3">
        <v>59</v>
      </c>
      <c r="M9789" s="3">
        <v>424</v>
      </c>
    </row>
    <row r="9790" spans="1:13" x14ac:dyDescent="0.25">
      <c r="A9790" s="1" t="str">
        <f>HYPERLINK("http://www.rosaceae.org/Prunus/Prunus_persica/p.persica_gdr_reftransV1_0045184","p.persica_gdr_reftransV1_0045184")</f>
        <v>p.persica_gdr_reftransV1_0045184</v>
      </c>
      <c r="B9790" s="3">
        <v>3332</v>
      </c>
      <c r="C9790" s="1" t="str">
        <f>HYPERLINK("http://www.uniprot.org/uniprot/FH1_ARATH","FH1_ARATH")</f>
        <v>FH1_ARATH</v>
      </c>
      <c r="D9790" t="s">
        <v>6955</v>
      </c>
      <c r="E9790" s="3" t="s">
        <v>3</v>
      </c>
      <c r="F9790" s="4">
        <v>0</v>
      </c>
      <c r="G9790" s="3">
        <v>1694</v>
      </c>
      <c r="H9790" s="3">
        <v>68</v>
      </c>
      <c r="I9790" s="3">
        <v>488</v>
      </c>
      <c r="J9790" s="3">
        <v>348</v>
      </c>
      <c r="K9790" s="3">
        <v>1796</v>
      </c>
      <c r="L9790" s="3">
        <v>552</v>
      </c>
      <c r="M9790" s="3">
        <v>1026</v>
      </c>
    </row>
    <row r="9791" spans="1:13" x14ac:dyDescent="0.25">
      <c r="A9791" s="1" t="str">
        <f>HYPERLINK("http://www.rosaceae.org/Prunus/Prunus_persica/p.persica_gdr_reftransV1_0045284","p.persica_gdr_reftransV1_0045284")</f>
        <v>p.persica_gdr_reftransV1_0045284</v>
      </c>
      <c r="B9791" s="3">
        <v>2099</v>
      </c>
      <c r="C9791" s="1" t="str">
        <f>HYPERLINK("http://www.uniprot.org/uniprot/DNAJ_CYAP7","DNAJ_CYAP7")</f>
        <v>DNAJ_CYAP7</v>
      </c>
      <c r="D9791" t="s">
        <v>7247</v>
      </c>
      <c r="E9791" s="3" t="s">
        <v>7056</v>
      </c>
      <c r="F9791" s="4">
        <v>7.07E-97</v>
      </c>
      <c r="G9791" s="3">
        <v>794</v>
      </c>
      <c r="H9791" s="3">
        <v>55</v>
      </c>
      <c r="I9791" s="3">
        <v>343</v>
      </c>
      <c r="J9791" s="3">
        <v>374</v>
      </c>
      <c r="K9791" s="3">
        <v>1399</v>
      </c>
      <c r="L9791" s="3">
        <v>3</v>
      </c>
      <c r="M9791" s="3">
        <v>341</v>
      </c>
    </row>
    <row r="9792" spans="1:13" x14ac:dyDescent="0.25">
      <c r="A9792" s="1" t="str">
        <f>HYPERLINK("http://www.rosaceae.org/Prunus/Prunus_persica/p.persica_gdr_reftransV1_0045384","p.persica_gdr_reftransV1_0045384")</f>
        <v>p.persica_gdr_reftransV1_0045384</v>
      </c>
      <c r="B9792" s="3">
        <v>871</v>
      </c>
      <c r="C9792" s="1" t="str">
        <f>HYPERLINK("http://www.uniprot.org/uniprot/HSP21_SOYBN","HSP21_SOYBN")</f>
        <v>HSP21_SOYBN</v>
      </c>
      <c r="D9792" t="s">
        <v>6194</v>
      </c>
      <c r="E9792" s="3" t="s">
        <v>307</v>
      </c>
      <c r="F9792" s="4">
        <v>3.0799999999999999E-63</v>
      </c>
      <c r="G9792" s="3">
        <v>515</v>
      </c>
      <c r="H9792" s="3">
        <v>79</v>
      </c>
      <c r="I9792" s="3">
        <v>136</v>
      </c>
      <c r="J9792" s="3">
        <v>283</v>
      </c>
      <c r="K9792" s="3">
        <v>681</v>
      </c>
      <c r="L9792" s="3">
        <v>1</v>
      </c>
      <c r="M9792" s="3">
        <v>136</v>
      </c>
    </row>
    <row r="9793" spans="1:13" x14ac:dyDescent="0.25">
      <c r="A9793" s="1" t="str">
        <f>HYPERLINK("http://www.rosaceae.org/Prunus/Prunus_persica/p.persica_gdr_reftransV1_0045434","p.persica_gdr_reftransV1_0045434")</f>
        <v>p.persica_gdr_reftransV1_0045434</v>
      </c>
      <c r="B9793" s="3">
        <v>351</v>
      </c>
      <c r="C9793" s="1" t="str">
        <f>HYPERLINK("http://www.uniprot.org/uniprot/G3OX_PEA","G3OX_PEA")</f>
        <v>G3OX_PEA</v>
      </c>
      <c r="D9793" t="s">
        <v>6461</v>
      </c>
      <c r="E9793" s="3" t="s">
        <v>60</v>
      </c>
      <c r="F9793" s="4">
        <v>9.6000000000000002E-58</v>
      </c>
      <c r="G9793" s="3">
        <v>478</v>
      </c>
      <c r="H9793" s="3">
        <v>74</v>
      </c>
      <c r="I9793" s="3">
        <v>116</v>
      </c>
      <c r="J9793" s="3">
        <v>4</v>
      </c>
      <c r="K9793" s="3">
        <v>351</v>
      </c>
      <c r="L9793" s="3">
        <v>250</v>
      </c>
      <c r="M9793" s="3">
        <v>365</v>
      </c>
    </row>
    <row r="9794" spans="1:13" x14ac:dyDescent="0.25">
      <c r="A9794" s="1" t="str">
        <f>HYPERLINK("http://www.rosaceae.org/Prunus/Prunus_persica/p.persica_gdr_reftransV1_0045484","p.persica_gdr_reftransV1_0045484")</f>
        <v>p.persica_gdr_reftransV1_0045484</v>
      </c>
      <c r="B9794" s="3">
        <v>1052</v>
      </c>
      <c r="C9794" s="1" t="str">
        <f>HYPERLINK("http://www.uniprot.org/uniprot/RSSA_SOYBN","RSSA_SOYBN")</f>
        <v>RSSA_SOYBN</v>
      </c>
      <c r="D9794" t="s">
        <v>7248</v>
      </c>
      <c r="E9794" s="3" t="s">
        <v>307</v>
      </c>
      <c r="F9794" s="4">
        <v>1.13E-141</v>
      </c>
      <c r="G9794" s="3">
        <v>1056</v>
      </c>
      <c r="H9794" s="3">
        <v>85</v>
      </c>
      <c r="I9794" s="3">
        <v>241</v>
      </c>
      <c r="J9794" s="3">
        <v>152</v>
      </c>
      <c r="K9794" s="3">
        <v>862</v>
      </c>
      <c r="L9794" s="3">
        <v>11</v>
      </c>
      <c r="M9794" s="3">
        <v>250</v>
      </c>
    </row>
    <row r="9795" spans="1:13" x14ac:dyDescent="0.25">
      <c r="A9795" s="1" t="str">
        <f>HYPERLINK("http://www.rosaceae.org/Prunus/Prunus_persica/p.persica_gdr_reftransV1_0045534","p.persica_gdr_reftransV1_0045534")</f>
        <v>p.persica_gdr_reftransV1_0045534</v>
      </c>
      <c r="B9795" s="3">
        <v>2429</v>
      </c>
      <c r="C9795" s="1" t="str">
        <f>HYPERLINK("http://www.uniprot.org/uniprot/ORTH2_ARATH","ORTH2_ARATH")</f>
        <v>ORTH2_ARATH</v>
      </c>
      <c r="D9795" t="s">
        <v>2491</v>
      </c>
      <c r="E9795" s="3" t="s">
        <v>3</v>
      </c>
      <c r="F9795" s="4">
        <v>0</v>
      </c>
      <c r="G9795" s="3">
        <v>2298</v>
      </c>
      <c r="H9795" s="3">
        <v>72</v>
      </c>
      <c r="I9795" s="3">
        <v>605</v>
      </c>
      <c r="J9795" s="3">
        <v>566</v>
      </c>
      <c r="K9795" s="3">
        <v>2338</v>
      </c>
      <c r="L9795" s="3">
        <v>1</v>
      </c>
      <c r="M9795" s="3">
        <v>600</v>
      </c>
    </row>
    <row r="9796" spans="1:13" x14ac:dyDescent="0.25">
      <c r="A9796" s="1" t="str">
        <f>HYPERLINK("http://www.rosaceae.org/Prunus/Prunus_persica/p.persica_gdr_reftransV1_0045584","p.persica_gdr_reftransV1_0045584")</f>
        <v>p.persica_gdr_reftransV1_0045584</v>
      </c>
      <c r="B9796" s="3">
        <v>2085</v>
      </c>
      <c r="C9796" s="1" t="str">
        <f>HYPERLINK("http://www.uniprot.org/uniprot/GLNA4_PHAVU","GLNA4_PHAVU")</f>
        <v>GLNA4_PHAVU</v>
      </c>
      <c r="D9796" t="s">
        <v>7249</v>
      </c>
      <c r="E9796" s="3" t="s">
        <v>2044</v>
      </c>
      <c r="F9796" s="4">
        <v>0</v>
      </c>
      <c r="G9796" s="3">
        <v>1913</v>
      </c>
      <c r="H9796" s="3">
        <v>90</v>
      </c>
      <c r="I9796" s="3">
        <v>417</v>
      </c>
      <c r="J9796" s="3">
        <v>339</v>
      </c>
      <c r="K9796" s="3">
        <v>1589</v>
      </c>
      <c r="L9796" s="3">
        <v>1</v>
      </c>
      <c r="M9796" s="3">
        <v>414</v>
      </c>
    </row>
    <row r="9797" spans="1:13" x14ac:dyDescent="0.25">
      <c r="A9797" s="1" t="str">
        <f>HYPERLINK("http://www.rosaceae.org/Prunus/Prunus_persica/p.persica_gdr_reftransV1_0045634","p.persica_gdr_reftransV1_0045634")</f>
        <v>p.persica_gdr_reftransV1_0045634</v>
      </c>
      <c r="B9797" s="3">
        <v>391</v>
      </c>
      <c r="C9797" s="1" t="str">
        <f>HYPERLINK("http://www.uniprot.org/uniprot/HFB2B_ORYSJ","HFB2B_ORYSJ")</f>
        <v>HFB2B_ORYSJ</v>
      </c>
      <c r="D9797" t="s">
        <v>7250</v>
      </c>
      <c r="E9797" s="3" t="s">
        <v>38</v>
      </c>
      <c r="F9797" s="4">
        <v>8.9600000000000008E-59</v>
      </c>
      <c r="G9797" s="3">
        <v>488</v>
      </c>
      <c r="H9797" s="3">
        <v>86</v>
      </c>
      <c r="I9797" s="3">
        <v>96</v>
      </c>
      <c r="J9797" s="3">
        <v>3</v>
      </c>
      <c r="K9797" s="3">
        <v>290</v>
      </c>
      <c r="L9797" s="3">
        <v>42</v>
      </c>
      <c r="M9797" s="3">
        <v>137</v>
      </c>
    </row>
    <row r="9798" spans="1:13" x14ac:dyDescent="0.25">
      <c r="A9798" s="1" t="str">
        <f>HYPERLINK("http://www.rosaceae.org/Prunus/Prunus_persica/p.persica_gdr_reftransV1_0045734","p.persica_gdr_reftransV1_0045734")</f>
        <v>p.persica_gdr_reftransV1_0045734</v>
      </c>
      <c r="B9798" s="3">
        <v>1266</v>
      </c>
      <c r="C9798" s="1" t="str">
        <f>HYPERLINK("http://www.uniprot.org/uniprot/VQ9_ARATH","VQ9_ARATH")</f>
        <v>VQ9_ARATH</v>
      </c>
      <c r="D9798" t="s">
        <v>6687</v>
      </c>
      <c r="E9798" s="3" t="s">
        <v>3</v>
      </c>
      <c r="F9798" s="4">
        <v>1.1799999999999999E-36</v>
      </c>
      <c r="G9798" s="3">
        <v>355</v>
      </c>
      <c r="H9798" s="3">
        <v>49</v>
      </c>
      <c r="I9798" s="3">
        <v>277</v>
      </c>
      <c r="J9798" s="3">
        <v>183</v>
      </c>
      <c r="K9798" s="3">
        <v>998</v>
      </c>
      <c r="L9798" s="3">
        <v>32</v>
      </c>
      <c r="M9798" s="3">
        <v>276</v>
      </c>
    </row>
    <row r="9799" spans="1:13" x14ac:dyDescent="0.25">
      <c r="A9799" s="1" t="str">
        <f>HYPERLINK("http://www.rosaceae.org/Prunus/Prunus_persica/p.persica_gdr_reftransV1_0045834","p.persica_gdr_reftransV1_0045834")</f>
        <v>p.persica_gdr_reftransV1_0045834</v>
      </c>
      <c r="B9799" s="3">
        <v>1981</v>
      </c>
      <c r="C9799" s="1" t="str">
        <f>HYPERLINK("http://www.uniprot.org/uniprot/ARAE1_ARATH","ARAE1_ARATH")</f>
        <v>ARAE1_ARATH</v>
      </c>
      <c r="D9799" t="s">
        <v>2911</v>
      </c>
      <c r="E9799" s="3" t="s">
        <v>3</v>
      </c>
      <c r="F9799" s="4">
        <v>0</v>
      </c>
      <c r="G9799" s="3">
        <v>1959</v>
      </c>
      <c r="H9799" s="3">
        <v>88</v>
      </c>
      <c r="I9799" s="3">
        <v>410</v>
      </c>
      <c r="J9799" s="3">
        <v>386</v>
      </c>
      <c r="K9799" s="3">
        <v>1615</v>
      </c>
      <c r="L9799" s="3">
        <v>1</v>
      </c>
      <c r="M9799" s="3">
        <v>410</v>
      </c>
    </row>
    <row r="9800" spans="1:13" x14ac:dyDescent="0.25">
      <c r="A9800" s="1" t="str">
        <f>HYPERLINK("http://www.rosaceae.org/Prunus/Prunus_persica/p.persica_gdr_reftransV1_0045884","p.persica_gdr_reftransV1_0045884")</f>
        <v>p.persica_gdr_reftransV1_0045884</v>
      </c>
      <c r="B9800" s="3">
        <v>1109</v>
      </c>
      <c r="C9800" s="1" t="str">
        <f>HYPERLINK("http://www.uniprot.org/uniprot/BH068_ARATH","BH068_ARATH")</f>
        <v>BH068_ARATH</v>
      </c>
      <c r="D9800" t="s">
        <v>1973</v>
      </c>
      <c r="E9800" s="3" t="s">
        <v>3</v>
      </c>
      <c r="F9800" s="4">
        <v>3.7599999999999999E-25</v>
      </c>
      <c r="G9800" s="3">
        <v>270</v>
      </c>
      <c r="H9800" s="3">
        <v>43</v>
      </c>
      <c r="I9800" s="3">
        <v>211</v>
      </c>
      <c r="J9800" s="3">
        <v>539</v>
      </c>
      <c r="K9800" s="3">
        <v>1108</v>
      </c>
      <c r="L9800" s="3">
        <v>100</v>
      </c>
      <c r="M9800" s="3">
        <v>297</v>
      </c>
    </row>
    <row r="9801" spans="1:13" x14ac:dyDescent="0.25">
      <c r="A9801" s="1" t="str">
        <f>HYPERLINK("http://www.rosaceae.org/Prunus/Prunus_persica/p.persica_gdr_reftransV1_0045934","p.persica_gdr_reftransV1_0045934")</f>
        <v>p.persica_gdr_reftransV1_0045934</v>
      </c>
      <c r="B9801" s="3">
        <v>1081</v>
      </c>
      <c r="C9801" s="1" t="str">
        <f>HYPERLINK("http://www.uniprot.org/uniprot/RSC5_DICDI","RSC5_DICDI")</f>
        <v>RSC5_DICDI</v>
      </c>
      <c r="D9801" t="s">
        <v>2473</v>
      </c>
      <c r="E9801" s="3" t="s">
        <v>9</v>
      </c>
      <c r="F9801" s="4">
        <v>4.03E-23</v>
      </c>
      <c r="G9801" s="3">
        <v>253</v>
      </c>
      <c r="H9801" s="3">
        <v>30</v>
      </c>
      <c r="I9801" s="3">
        <v>235</v>
      </c>
      <c r="J9801" s="3">
        <v>239</v>
      </c>
      <c r="K9801" s="3">
        <v>913</v>
      </c>
      <c r="L9801" s="3">
        <v>45</v>
      </c>
      <c r="M9801" s="3">
        <v>277</v>
      </c>
    </row>
    <row r="9802" spans="1:13" x14ac:dyDescent="0.25">
      <c r="A9802" s="1" t="str">
        <f>HYPERLINK("http://www.rosaceae.org/Prunus/Prunus_persica/p.persica_gdr_reftransV1_0046034","p.persica_gdr_reftransV1_0046034")</f>
        <v>p.persica_gdr_reftransV1_0046034</v>
      </c>
      <c r="B9802" s="3">
        <v>1779</v>
      </c>
      <c r="C9802" s="1" t="str">
        <f>HYPERLINK("http://www.uniprot.org/uniprot/C3H43_ARATH","C3H43_ARATH")</f>
        <v>C3H43_ARATH</v>
      </c>
      <c r="D9802" t="s">
        <v>4884</v>
      </c>
      <c r="E9802" s="3" t="s">
        <v>3</v>
      </c>
      <c r="F9802" s="4">
        <v>5.2899999999999998E-126</v>
      </c>
      <c r="G9802" s="3">
        <v>989</v>
      </c>
      <c r="H9802" s="3">
        <v>59</v>
      </c>
      <c r="I9802" s="3">
        <v>321</v>
      </c>
      <c r="J9802" s="3">
        <v>547</v>
      </c>
      <c r="K9802" s="3">
        <v>1482</v>
      </c>
      <c r="L9802" s="3">
        <v>107</v>
      </c>
      <c r="M9802" s="3">
        <v>427</v>
      </c>
    </row>
    <row r="9803" spans="1:13" x14ac:dyDescent="0.25">
      <c r="A9803" s="1" t="str">
        <f>HYPERLINK("http://www.rosaceae.org/Prunus/Prunus_persica/p.persica_gdr_reftransV1_0046084","p.persica_gdr_reftransV1_0046084")</f>
        <v>p.persica_gdr_reftransV1_0046084</v>
      </c>
      <c r="B9803" s="3">
        <v>3173</v>
      </c>
      <c r="C9803" s="1" t="str">
        <f>HYPERLINK("http://www.uniprot.org/uniprot/TIR1L_ARATH","TIR1L_ARATH")</f>
        <v>TIR1L_ARATH</v>
      </c>
      <c r="D9803" t="s">
        <v>7251</v>
      </c>
      <c r="E9803" s="3" t="s">
        <v>3</v>
      </c>
      <c r="F9803" s="4">
        <v>0</v>
      </c>
      <c r="G9803" s="3">
        <v>2214</v>
      </c>
      <c r="H9803" s="3">
        <v>70</v>
      </c>
      <c r="I9803" s="3">
        <v>618</v>
      </c>
      <c r="J9803" s="3">
        <v>864</v>
      </c>
      <c r="K9803" s="3">
        <v>2693</v>
      </c>
      <c r="L9803" s="3">
        <v>18</v>
      </c>
      <c r="M9803" s="3">
        <v>619</v>
      </c>
    </row>
    <row r="9804" spans="1:13" x14ac:dyDescent="0.25">
      <c r="A9804" s="1" t="str">
        <f>HYPERLINK("http://www.rosaceae.org/Prunus/Prunus_persica/p.persica_gdr_reftransV1_0046134","p.persica_gdr_reftransV1_0046134")</f>
        <v>p.persica_gdr_reftransV1_0046134</v>
      </c>
      <c r="B9804" s="3">
        <v>2356</v>
      </c>
      <c r="C9804" s="1" t="str">
        <f>HYPERLINK("http://www.uniprot.org/uniprot/ASNS_ASPOF","ASNS_ASPOF")</f>
        <v>ASNS_ASPOF</v>
      </c>
      <c r="D9804" t="s">
        <v>7252</v>
      </c>
      <c r="E9804" s="3" t="s">
        <v>3095</v>
      </c>
      <c r="F9804" s="4">
        <v>0</v>
      </c>
      <c r="G9804" s="3">
        <v>2645</v>
      </c>
      <c r="H9804" s="3">
        <v>84</v>
      </c>
      <c r="I9804" s="3">
        <v>591</v>
      </c>
      <c r="J9804" s="3">
        <v>350</v>
      </c>
      <c r="K9804" s="3">
        <v>2107</v>
      </c>
      <c r="L9804" s="3">
        <v>1</v>
      </c>
      <c r="M9804" s="3">
        <v>588</v>
      </c>
    </row>
    <row r="9805" spans="1:13" x14ac:dyDescent="0.25">
      <c r="A9805" s="1" t="str">
        <f>HYPERLINK("http://www.rosaceae.org/Prunus/Prunus_persica/p.persica_gdr_reftransV1_0046434","p.persica_gdr_reftransV1_0046434")</f>
        <v>p.persica_gdr_reftransV1_0046434</v>
      </c>
      <c r="B9805" s="3">
        <v>493</v>
      </c>
      <c r="C9805" s="1" t="str">
        <f>HYPERLINK("http://www.uniprot.org/uniprot/R13L1_ARATH","R13L1_ARATH")</f>
        <v>R13L1_ARATH</v>
      </c>
      <c r="D9805" t="s">
        <v>100</v>
      </c>
      <c r="E9805" s="3" t="s">
        <v>3</v>
      </c>
      <c r="F9805" s="4">
        <v>1.66E-12</v>
      </c>
      <c r="G9805" s="3">
        <v>168</v>
      </c>
      <c r="H9805" s="3">
        <v>42</v>
      </c>
      <c r="I9805" s="3">
        <v>106</v>
      </c>
      <c r="J9805" s="3">
        <v>143</v>
      </c>
      <c r="K9805" s="3">
        <v>460</v>
      </c>
      <c r="L9805" s="3">
        <v>1</v>
      </c>
      <c r="M9805" s="3">
        <v>104</v>
      </c>
    </row>
    <row r="9806" spans="1:13" x14ac:dyDescent="0.25">
      <c r="A9806" s="1" t="str">
        <f>HYPERLINK("http://www.rosaceae.org/Prunus/Prunus_persica/p.persica_gdr_reftransV1_0046484","p.persica_gdr_reftransV1_0046484")</f>
        <v>p.persica_gdr_reftransV1_0046484</v>
      </c>
      <c r="B9806" s="3">
        <v>1664</v>
      </c>
      <c r="C9806" s="1" t="str">
        <f>HYPERLINK("http://www.uniprot.org/uniprot/BH144_ARATH","BH144_ARATH")</f>
        <v>BH144_ARATH</v>
      </c>
      <c r="D9806" t="s">
        <v>7253</v>
      </c>
      <c r="E9806" s="3" t="s">
        <v>3</v>
      </c>
      <c r="F9806" s="4">
        <v>1.18E-27</v>
      </c>
      <c r="G9806" s="3">
        <v>289</v>
      </c>
      <c r="H9806" s="3">
        <v>42</v>
      </c>
      <c r="I9806" s="3">
        <v>245</v>
      </c>
      <c r="J9806" s="3">
        <v>675</v>
      </c>
      <c r="K9806" s="3">
        <v>1358</v>
      </c>
      <c r="L9806" s="3">
        <v>3</v>
      </c>
      <c r="M9806" s="3">
        <v>244</v>
      </c>
    </row>
    <row r="9807" spans="1:13" x14ac:dyDescent="0.25">
      <c r="A9807" s="1" t="str">
        <f>HYPERLINK("http://www.rosaceae.org/Prunus/Prunus_persica/p.persica_gdr_reftransV1_0046534","p.persica_gdr_reftransV1_0046534")</f>
        <v>p.persica_gdr_reftransV1_0046534</v>
      </c>
      <c r="B9807" s="3">
        <v>1193</v>
      </c>
      <c r="C9807" s="1" t="str">
        <f>HYPERLINK("http://www.uniprot.org/uniprot/C71A1_PERAE","C71A1_PERAE")</f>
        <v>C71A1_PERAE</v>
      </c>
      <c r="D9807" t="s">
        <v>102</v>
      </c>
      <c r="E9807" s="3" t="s">
        <v>103</v>
      </c>
      <c r="F9807" s="4">
        <v>5.7300000000000002E-69</v>
      </c>
      <c r="G9807" s="3">
        <v>591</v>
      </c>
      <c r="H9807" s="3">
        <v>45</v>
      </c>
      <c r="I9807" s="3">
        <v>255</v>
      </c>
      <c r="J9807" s="3">
        <v>47</v>
      </c>
      <c r="K9807" s="3">
        <v>796</v>
      </c>
      <c r="L9807" s="3">
        <v>44</v>
      </c>
      <c r="M9807" s="3">
        <v>298</v>
      </c>
    </row>
    <row r="9808" spans="1:13" x14ac:dyDescent="0.25">
      <c r="A9808" s="1" t="str">
        <f>HYPERLINK("http://www.rosaceae.org/Prunus/Prunus_persica/p.persica_gdr_reftransV1_0046584","p.persica_gdr_reftransV1_0046584")</f>
        <v>p.persica_gdr_reftransV1_0046584</v>
      </c>
      <c r="B9808" s="3">
        <v>842</v>
      </c>
      <c r="C9808" s="1" t="str">
        <f>HYPERLINK("http://www.uniprot.org/uniprot/HIP26_ARATH","HIP26_ARATH")</f>
        <v>HIP26_ARATH</v>
      </c>
      <c r="D9808" t="s">
        <v>413</v>
      </c>
      <c r="E9808" s="3" t="s">
        <v>3</v>
      </c>
      <c r="F9808" s="4">
        <v>3.1099999999999999E-13</v>
      </c>
      <c r="G9808" s="3">
        <v>168</v>
      </c>
      <c r="H9808" s="3">
        <v>31</v>
      </c>
      <c r="I9808" s="3">
        <v>150</v>
      </c>
      <c r="J9808" s="3">
        <v>230</v>
      </c>
      <c r="K9808" s="3">
        <v>658</v>
      </c>
      <c r="L9808" s="3">
        <v>13</v>
      </c>
      <c r="M9808" s="3">
        <v>150</v>
      </c>
    </row>
    <row r="9809" spans="1:13" x14ac:dyDescent="0.25">
      <c r="A9809" s="1" t="str">
        <f>HYPERLINK("http://www.rosaceae.org/Prunus/Prunus_persica/p.persica_gdr_reftransV1_0046784","p.persica_gdr_reftransV1_0046784")</f>
        <v>p.persica_gdr_reftransV1_0046784</v>
      </c>
      <c r="B9809" s="3">
        <v>1332</v>
      </c>
      <c r="C9809" s="1" t="str">
        <f>HYPERLINK("http://www.uniprot.org/uniprot/HSF24_SOLPE","HSF24_SOLPE")</f>
        <v>HSF24_SOLPE</v>
      </c>
      <c r="D9809" t="s">
        <v>7254</v>
      </c>
      <c r="E9809" s="3" t="s">
        <v>3774</v>
      </c>
      <c r="F9809" s="4">
        <v>5.1099999999999998E-81</v>
      </c>
      <c r="G9809" s="3">
        <v>661</v>
      </c>
      <c r="H9809" s="3">
        <v>56</v>
      </c>
      <c r="I9809" s="3">
        <v>312</v>
      </c>
      <c r="J9809" s="3">
        <v>44</v>
      </c>
      <c r="K9809" s="3">
        <v>940</v>
      </c>
      <c r="L9809" s="3">
        <v>1</v>
      </c>
      <c r="M9809" s="3">
        <v>301</v>
      </c>
    </row>
    <row r="9810" spans="1:13" x14ac:dyDescent="0.25">
      <c r="A9810" s="1" t="str">
        <f>HYPERLINK("http://www.rosaceae.org/Prunus/Prunus_persica/p.persica_gdr_reftransV1_0046834","p.persica_gdr_reftransV1_0046834")</f>
        <v>p.persica_gdr_reftransV1_0046834</v>
      </c>
      <c r="B9810" s="3">
        <v>2362</v>
      </c>
      <c r="C9810" s="1" t="str">
        <f>HYPERLINK("http://www.uniprot.org/uniprot/PCid2_HUMAN","PCid2_HUMAN")</f>
        <v>PCid2_HUMAN</v>
      </c>
      <c r="D9810" t="s">
        <v>7255</v>
      </c>
      <c r="E9810" s="3" t="s">
        <v>28</v>
      </c>
      <c r="F9810" s="4">
        <v>4.5700000000000004E-65</v>
      </c>
      <c r="G9810" s="3">
        <v>580</v>
      </c>
      <c r="H9810" s="3">
        <v>36</v>
      </c>
      <c r="I9810" s="3">
        <v>411</v>
      </c>
      <c r="J9810" s="3">
        <v>72</v>
      </c>
      <c r="K9810" s="3">
        <v>1268</v>
      </c>
      <c r="L9810" s="3">
        <v>2</v>
      </c>
      <c r="M9810" s="3">
        <v>396</v>
      </c>
    </row>
    <row r="9811" spans="1:13" x14ac:dyDescent="0.25">
      <c r="A9811" s="1" t="str">
        <f>HYPERLINK("http://www.rosaceae.org/Prunus/Prunus_persica/p.persica_gdr_reftransV1_0046934","p.persica_gdr_reftransV1_0046934")</f>
        <v>p.persica_gdr_reftransV1_0046934</v>
      </c>
      <c r="B9811" s="3">
        <v>541</v>
      </c>
      <c r="C9811" s="1" t="str">
        <f>HYPERLINK("http://www.uniprot.org/uniprot/WRK19_ARATH","WRK19_ARATH")</f>
        <v>WRK19_ARATH</v>
      </c>
      <c r="D9811" t="s">
        <v>1314</v>
      </c>
      <c r="E9811" s="3" t="s">
        <v>3</v>
      </c>
      <c r="F9811" s="4">
        <v>2.3899999999999999E-30</v>
      </c>
      <c r="G9811" s="3">
        <v>307</v>
      </c>
      <c r="H9811" s="3">
        <v>40</v>
      </c>
      <c r="I9811" s="3">
        <v>197</v>
      </c>
      <c r="J9811" s="3">
        <v>1</v>
      </c>
      <c r="K9811" s="3">
        <v>534</v>
      </c>
      <c r="L9811" s="3">
        <v>1093</v>
      </c>
      <c r="M9811" s="3">
        <v>1286</v>
      </c>
    </row>
    <row r="9812" spans="1:13" x14ac:dyDescent="0.25">
      <c r="A9812" s="1" t="str">
        <f>HYPERLINK("http://www.rosaceae.org/Prunus/Prunus_persica/p.persica_gdr_reftransV1_0046984","p.persica_gdr_reftransV1_0046984")</f>
        <v>p.persica_gdr_reftransV1_0046984</v>
      </c>
      <c r="B9812" s="3">
        <v>1457</v>
      </c>
      <c r="C9812" s="1" t="str">
        <f>HYPERLINK("http://www.uniprot.org/uniprot/MGAT3_RAT","MGAT3_RAT")</f>
        <v>MGAT3_RAT</v>
      </c>
      <c r="D9812" t="s">
        <v>3707</v>
      </c>
      <c r="E9812" s="3" t="s">
        <v>161</v>
      </c>
      <c r="F9812" s="4">
        <v>3.3E-17</v>
      </c>
      <c r="G9812" s="3">
        <v>217</v>
      </c>
      <c r="H9812" s="3">
        <v>27</v>
      </c>
      <c r="I9812" s="3">
        <v>313</v>
      </c>
      <c r="J9812" s="3">
        <v>629</v>
      </c>
      <c r="K9812" s="3">
        <v>1447</v>
      </c>
      <c r="L9812" s="3">
        <v>206</v>
      </c>
      <c r="M9812" s="3">
        <v>502</v>
      </c>
    </row>
    <row r="9813" spans="1:13" x14ac:dyDescent="0.25">
      <c r="A9813" s="1" t="str">
        <f>HYPERLINK("http://www.rosaceae.org/Prunus/Prunus_persica/p.persica_gdr_reftransV1_0047084","p.persica_gdr_reftransV1_0047084")</f>
        <v>p.persica_gdr_reftransV1_0047084</v>
      </c>
      <c r="B9813" s="3">
        <v>1755</v>
      </c>
      <c r="C9813" s="1" t="str">
        <f>HYPERLINK("http://www.uniprot.org/uniprot/Y2215_ARATH","Y2215_ARATH")</f>
        <v>Y2215_ARATH</v>
      </c>
      <c r="D9813" t="s">
        <v>7256</v>
      </c>
      <c r="E9813" s="3" t="s">
        <v>3</v>
      </c>
      <c r="F9813" s="4">
        <v>8.4399999999999994E-179</v>
      </c>
      <c r="G9813" s="3">
        <v>1338</v>
      </c>
      <c r="H9813" s="3">
        <v>59</v>
      </c>
      <c r="I9813" s="3">
        <v>471</v>
      </c>
      <c r="J9813" s="3">
        <v>136</v>
      </c>
      <c r="K9813" s="3">
        <v>1533</v>
      </c>
      <c r="L9813" s="3">
        <v>1</v>
      </c>
      <c r="M9813" s="3">
        <v>432</v>
      </c>
    </row>
    <row r="9814" spans="1:13" x14ac:dyDescent="0.25">
      <c r="A9814" s="1" t="str">
        <f>HYPERLINK("http://www.rosaceae.org/Prunus/Prunus_persica/p.persica_gdr_reftransV1_0047184","p.persica_gdr_reftransV1_0047184")</f>
        <v>p.persica_gdr_reftransV1_0047184</v>
      </c>
      <c r="B9814" s="3">
        <v>1507</v>
      </c>
      <c r="C9814" s="1" t="str">
        <f>HYPERLINK("http://www.uniprot.org/uniprot/BH106_ARATH","BH106_ARATH")</f>
        <v>BH106_ARATH</v>
      </c>
      <c r="D9814" t="s">
        <v>7257</v>
      </c>
      <c r="E9814" s="3" t="s">
        <v>3</v>
      </c>
      <c r="F9814" s="4">
        <v>1.31E-30</v>
      </c>
      <c r="G9814" s="3">
        <v>309</v>
      </c>
      <c r="H9814" s="3">
        <v>44</v>
      </c>
      <c r="I9814" s="3">
        <v>179</v>
      </c>
      <c r="J9814" s="3">
        <v>265</v>
      </c>
      <c r="K9814" s="3">
        <v>786</v>
      </c>
      <c r="L9814" s="3">
        <v>59</v>
      </c>
      <c r="M9814" s="3">
        <v>227</v>
      </c>
    </row>
    <row r="9815" spans="1:13" x14ac:dyDescent="0.25">
      <c r="A9815" s="1" t="str">
        <f>HYPERLINK("http://www.rosaceae.org/Prunus/Prunus_persica/p.persica_gdr_reftransV1_0047334","p.persica_gdr_reftransV1_0047334")</f>
        <v>p.persica_gdr_reftransV1_0047334</v>
      </c>
      <c r="B9815" s="3">
        <v>934</v>
      </c>
      <c r="C9815" s="1" t="str">
        <f>HYPERLINK("http://www.uniprot.org/uniprot/WRK19_ARATH","WRK19_ARATH")</f>
        <v>WRK19_ARATH</v>
      </c>
      <c r="D9815" t="s">
        <v>1314</v>
      </c>
      <c r="E9815" s="3" t="s">
        <v>3</v>
      </c>
      <c r="F9815" s="4">
        <v>3.3099999999999998E-22</v>
      </c>
      <c r="G9815" s="3">
        <v>253</v>
      </c>
      <c r="H9815" s="3">
        <v>46</v>
      </c>
      <c r="I9815" s="3">
        <v>134</v>
      </c>
      <c r="J9815" s="3">
        <v>6</v>
      </c>
      <c r="K9815" s="3">
        <v>407</v>
      </c>
      <c r="L9815" s="3">
        <v>1326</v>
      </c>
      <c r="M9815" s="3">
        <v>1452</v>
      </c>
    </row>
    <row r="9816" spans="1:13" x14ac:dyDescent="0.25">
      <c r="A9816" s="1" t="str">
        <f>HYPERLINK("http://www.rosaceae.org/Prunus/Prunus_persica/p.persica_gdr_reftransV1_0047384","p.persica_gdr_reftransV1_0047384")</f>
        <v>p.persica_gdr_reftransV1_0047384</v>
      </c>
      <c r="B9816" s="3">
        <v>661</v>
      </c>
      <c r="C9816" s="1" t="str">
        <f>HYPERLINK("http://www.uniprot.org/uniprot/AB27G_ARATH","AB27G_ARATH")</f>
        <v>AB27G_ARATH</v>
      </c>
      <c r="D9816" t="s">
        <v>7258</v>
      </c>
      <c r="E9816" s="3" t="s">
        <v>3</v>
      </c>
      <c r="F9816" s="4">
        <v>2.9799999999999997E-67</v>
      </c>
      <c r="G9816" s="3">
        <v>574</v>
      </c>
      <c r="H9816" s="3">
        <v>62</v>
      </c>
      <c r="I9816" s="3">
        <v>199</v>
      </c>
      <c r="J9816" s="3">
        <v>2</v>
      </c>
      <c r="K9816" s="3">
        <v>568</v>
      </c>
      <c r="L9816" s="3">
        <v>537</v>
      </c>
      <c r="M9816" s="3">
        <v>735</v>
      </c>
    </row>
    <row r="9817" spans="1:13" x14ac:dyDescent="0.25">
      <c r="A9817" s="1" t="str">
        <f>HYPERLINK("http://www.rosaceae.org/Prunus/Prunus_persica/p.persica_gdr_reftransV1_0047484","p.persica_gdr_reftransV1_0047484")</f>
        <v>p.persica_gdr_reftransV1_0047484</v>
      </c>
      <c r="B9817" s="3">
        <v>1409</v>
      </c>
      <c r="C9817" s="1" t="str">
        <f>HYPERLINK("http://www.uniprot.org/uniprot/MYB44_ARATH","MYB44_ARATH")</f>
        <v>MYB44_ARATH</v>
      </c>
      <c r="D9817" t="s">
        <v>1249</v>
      </c>
      <c r="E9817" s="3" t="s">
        <v>3</v>
      </c>
      <c r="F9817" s="4">
        <v>5.4600000000000003E-66</v>
      </c>
      <c r="G9817" s="3">
        <v>562</v>
      </c>
      <c r="H9817" s="3">
        <v>51</v>
      </c>
      <c r="I9817" s="3">
        <v>289</v>
      </c>
      <c r="J9817" s="3">
        <v>412</v>
      </c>
      <c r="K9817" s="3">
        <v>1200</v>
      </c>
      <c r="L9817" s="3">
        <v>3</v>
      </c>
      <c r="M9817" s="3">
        <v>276</v>
      </c>
    </row>
    <row r="9818" spans="1:13" x14ac:dyDescent="0.25">
      <c r="A9818" s="1" t="str">
        <f>HYPERLINK("http://www.rosaceae.org/Prunus/Prunus_persica/p.persica_gdr_reftransV1_0047684","p.persica_gdr_reftransV1_0047684")</f>
        <v>p.persica_gdr_reftransV1_0047684</v>
      </c>
      <c r="B9818" s="3">
        <v>612</v>
      </c>
      <c r="C9818" s="1" t="str">
        <f>HYPERLINK("http://www.uniprot.org/uniprot/Y4729_ARATH","Y4729_ARATH")</f>
        <v>Y4729_ARATH</v>
      </c>
      <c r="D9818" t="s">
        <v>334</v>
      </c>
      <c r="E9818" s="3" t="s">
        <v>3</v>
      </c>
      <c r="F9818" s="4">
        <v>4.2700000000000001E-38</v>
      </c>
      <c r="G9818" s="3">
        <v>363</v>
      </c>
      <c r="H9818" s="3">
        <v>46</v>
      </c>
      <c r="I9818" s="3">
        <v>147</v>
      </c>
      <c r="J9818" s="3">
        <v>18</v>
      </c>
      <c r="K9818" s="3">
        <v>455</v>
      </c>
      <c r="L9818" s="3">
        <v>289</v>
      </c>
      <c r="M9818" s="3">
        <v>435</v>
      </c>
    </row>
    <row r="9819" spans="1:13" x14ac:dyDescent="0.25">
      <c r="A9819" s="1" t="str">
        <f>HYPERLINK("http://www.rosaceae.org/Prunus/Prunus_persica/p.persica_gdr_reftransV1_0047734","p.persica_gdr_reftransV1_0047734")</f>
        <v>p.persica_gdr_reftransV1_0047734</v>
      </c>
      <c r="B9819" s="3">
        <v>1374</v>
      </c>
      <c r="C9819" s="1" t="str">
        <f>HYPERLINK("http://www.uniprot.org/uniprot/SSRA_ARATH","SSRA_ARATH")</f>
        <v>SSRA_ARATH</v>
      </c>
      <c r="D9819" t="s">
        <v>226</v>
      </c>
      <c r="E9819" s="3" t="s">
        <v>3</v>
      </c>
      <c r="F9819" s="4">
        <v>1.02E-72</v>
      </c>
      <c r="G9819" s="3">
        <v>602</v>
      </c>
      <c r="H9819" s="3">
        <v>66</v>
      </c>
      <c r="I9819" s="3">
        <v>203</v>
      </c>
      <c r="J9819" s="3">
        <v>239</v>
      </c>
      <c r="K9819" s="3">
        <v>847</v>
      </c>
      <c r="L9819" s="3">
        <v>47</v>
      </c>
      <c r="M9819" s="3">
        <v>248</v>
      </c>
    </row>
    <row r="9820" spans="1:13" x14ac:dyDescent="0.25">
      <c r="A9820" s="1" t="str">
        <f>HYPERLINK("http://www.rosaceae.org/Prunus/Prunus_persica/p.persica_gdr_reftransV1_0047784","p.persica_gdr_reftransV1_0047784")</f>
        <v>p.persica_gdr_reftransV1_0047784</v>
      </c>
      <c r="B9820" s="3">
        <v>550</v>
      </c>
      <c r="C9820" s="1" t="str">
        <f>HYPERLINK("http://www.uniprot.org/uniprot/THIC1_ARATH","THIC1_ARATH")</f>
        <v>THIC1_ARATH</v>
      </c>
      <c r="D9820" t="s">
        <v>7259</v>
      </c>
      <c r="E9820" s="3" t="s">
        <v>3</v>
      </c>
      <c r="F9820" s="4">
        <v>1.17E-62</v>
      </c>
      <c r="G9820" s="3">
        <v>521</v>
      </c>
      <c r="H9820" s="3">
        <v>68</v>
      </c>
      <c r="I9820" s="3">
        <v>158</v>
      </c>
      <c r="J9820" s="3">
        <v>3</v>
      </c>
      <c r="K9820" s="3">
        <v>476</v>
      </c>
      <c r="L9820" s="3">
        <v>8</v>
      </c>
      <c r="M9820" s="3">
        <v>133</v>
      </c>
    </row>
    <row r="9821" spans="1:13" x14ac:dyDescent="0.25">
      <c r="A9821" s="1" t="str">
        <f>HYPERLINK("http://www.rosaceae.org/Prunus/Prunus_persica/p.persica_gdr_reftransV1_0047884","p.persica_gdr_reftransV1_0047884")</f>
        <v>p.persica_gdr_reftransV1_0047884</v>
      </c>
      <c r="B9821" s="3">
        <v>358</v>
      </c>
      <c r="C9821" s="1" t="str">
        <f>HYPERLINK("http://www.uniprot.org/uniprot/PME48_ARATH","PME48_ARATH")</f>
        <v>PME48_ARATH</v>
      </c>
      <c r="D9821" t="s">
        <v>7260</v>
      </c>
      <c r="E9821" s="3" t="s">
        <v>3</v>
      </c>
      <c r="F9821" s="4">
        <v>5.0699999999999998E-40</v>
      </c>
      <c r="G9821" s="3">
        <v>357</v>
      </c>
      <c r="H9821" s="3">
        <v>59</v>
      </c>
      <c r="I9821" s="3">
        <v>116</v>
      </c>
      <c r="J9821" s="3">
        <v>3</v>
      </c>
      <c r="K9821" s="3">
        <v>350</v>
      </c>
      <c r="L9821" s="3">
        <v>49</v>
      </c>
      <c r="M9821" s="3">
        <v>162</v>
      </c>
    </row>
    <row r="9822" spans="1:13" x14ac:dyDescent="0.25">
      <c r="A9822" s="1" t="str">
        <f>HYPERLINK("http://www.rosaceae.org/Prunus/Prunus_persica/p.persica_gdr_reftransV1_0047934","p.persica_gdr_reftransV1_0047934")</f>
        <v>p.persica_gdr_reftransV1_0047934</v>
      </c>
      <c r="B9822" s="3">
        <v>1213</v>
      </c>
      <c r="C9822" s="1" t="str">
        <f>HYPERLINK("http://www.uniprot.org/uniprot/TTM3_ARATH","TTM3_ARATH")</f>
        <v>TTM3_ARATH</v>
      </c>
      <c r="D9822" t="s">
        <v>3575</v>
      </c>
      <c r="E9822" s="3" t="s">
        <v>3</v>
      </c>
      <c r="F9822" s="4">
        <v>4.7899999999999999E-43</v>
      </c>
      <c r="G9822" s="3">
        <v>392</v>
      </c>
      <c r="H9822" s="3">
        <v>52</v>
      </c>
      <c r="I9822" s="3">
        <v>210</v>
      </c>
      <c r="J9822" s="3">
        <v>317</v>
      </c>
      <c r="K9822" s="3">
        <v>910</v>
      </c>
      <c r="L9822" s="3">
        <v>1</v>
      </c>
      <c r="M9822" s="3">
        <v>210</v>
      </c>
    </row>
    <row r="9823" spans="1:13" x14ac:dyDescent="0.25">
      <c r="A9823" s="1" t="str">
        <f>HYPERLINK("http://www.rosaceae.org/Prunus/Prunus_persica/p.persica_gdr_reftransV1_0047984","p.persica_gdr_reftransV1_0047984")</f>
        <v>p.persica_gdr_reftransV1_0047984</v>
      </c>
      <c r="B9823" s="3">
        <v>1002</v>
      </c>
      <c r="C9823" s="1" t="str">
        <f>HYPERLINK("http://www.uniprot.org/uniprot/PR1_MEDTR","PR1_MEDTR")</f>
        <v>PR1_MEDTR</v>
      </c>
      <c r="D9823" t="s">
        <v>2446</v>
      </c>
      <c r="E9823" s="3" t="s">
        <v>91</v>
      </c>
      <c r="F9823" s="4">
        <v>7.42E-47</v>
      </c>
      <c r="G9823" s="3">
        <v>410</v>
      </c>
      <c r="H9823" s="3">
        <v>57</v>
      </c>
      <c r="I9823" s="3">
        <v>138</v>
      </c>
      <c r="J9823" s="3">
        <v>292</v>
      </c>
      <c r="K9823" s="3">
        <v>702</v>
      </c>
      <c r="L9823" s="3">
        <v>40</v>
      </c>
      <c r="M9823" s="3">
        <v>173</v>
      </c>
    </row>
    <row r="9824" spans="1:13" x14ac:dyDescent="0.25">
      <c r="A9824" s="1" t="str">
        <f>HYPERLINK("http://www.rosaceae.org/Prunus/Prunus_persica/p.persica_gdr_reftransV1_0048084","p.persica_gdr_reftransV1_0048084")</f>
        <v>p.persica_gdr_reftransV1_0048084</v>
      </c>
      <c r="B9824" s="3">
        <v>330</v>
      </c>
      <c r="C9824" s="1" t="str">
        <f>HYPERLINK("http://www.uniprot.org/uniprot/C76BA_SWEMU","C76BA_SWEMU")</f>
        <v>C76BA_SWEMU</v>
      </c>
      <c r="D9824" t="s">
        <v>7163</v>
      </c>
      <c r="E9824" s="3" t="s">
        <v>7164</v>
      </c>
      <c r="F9824" s="4">
        <v>2.5699999999999999E-29</v>
      </c>
      <c r="G9824" s="3">
        <v>283</v>
      </c>
      <c r="H9824" s="3">
        <v>49</v>
      </c>
      <c r="I9824" s="3">
        <v>109</v>
      </c>
      <c r="J9824" s="3">
        <v>4</v>
      </c>
      <c r="K9824" s="3">
        <v>330</v>
      </c>
      <c r="L9824" s="3">
        <v>186</v>
      </c>
      <c r="M9824" s="3">
        <v>292</v>
      </c>
    </row>
    <row r="9825" spans="1:13" x14ac:dyDescent="0.25">
      <c r="A9825" s="1" t="str">
        <f>HYPERLINK("http://www.rosaceae.org/Prunus/Prunus_persica/p.persica_gdr_reftransV1_0048134","p.persica_gdr_reftransV1_0048134")</f>
        <v>p.persica_gdr_reftransV1_0048134</v>
      </c>
      <c r="B9825" s="3">
        <v>412</v>
      </c>
      <c r="C9825" s="1" t="str">
        <f>HYPERLINK("http://www.uniprot.org/uniprot/CSLA9_ARATH","CSLA9_ARATH")</f>
        <v>CSLA9_ARATH</v>
      </c>
      <c r="D9825" t="s">
        <v>5825</v>
      </c>
      <c r="E9825" s="3" t="s">
        <v>3</v>
      </c>
      <c r="F9825" s="4">
        <v>9.4399999999999994E-86</v>
      </c>
      <c r="G9825" s="3">
        <v>680</v>
      </c>
      <c r="H9825" s="3">
        <v>88</v>
      </c>
      <c r="I9825" s="3">
        <v>137</v>
      </c>
      <c r="J9825" s="3">
        <v>2</v>
      </c>
      <c r="K9825" s="3">
        <v>412</v>
      </c>
      <c r="L9825" s="3">
        <v>152</v>
      </c>
      <c r="M9825" s="3">
        <v>288</v>
      </c>
    </row>
    <row r="9826" spans="1:13" x14ac:dyDescent="0.25">
      <c r="A9826" s="1" t="str">
        <f>HYPERLINK("http://www.rosaceae.org/Prunus/Prunus_persica/p.persica_gdr_reftransV1_0048184","p.persica_gdr_reftransV1_0048184")</f>
        <v>p.persica_gdr_reftransV1_0048184</v>
      </c>
      <c r="B9826" s="3">
        <v>1254</v>
      </c>
      <c r="C9826" s="1" t="str">
        <f>HYPERLINK("http://www.uniprot.org/uniprot/DHAR3_ARATH","DHAR3_ARATH")</f>
        <v>DHAR3_ARATH</v>
      </c>
      <c r="D9826" t="s">
        <v>7100</v>
      </c>
      <c r="E9826" s="3" t="s">
        <v>3</v>
      </c>
      <c r="F9826" s="4">
        <v>1.28E-123</v>
      </c>
      <c r="G9826" s="3">
        <v>938</v>
      </c>
      <c r="H9826" s="3">
        <v>72</v>
      </c>
      <c r="I9826" s="3">
        <v>232</v>
      </c>
      <c r="J9826" s="3">
        <v>241</v>
      </c>
      <c r="K9826" s="3">
        <v>936</v>
      </c>
      <c r="L9826" s="3">
        <v>31</v>
      </c>
      <c r="M9826" s="3">
        <v>258</v>
      </c>
    </row>
    <row r="9827" spans="1:13" x14ac:dyDescent="0.25">
      <c r="A9827" s="1" t="str">
        <f>HYPERLINK("http://www.rosaceae.org/Prunus/Prunus_persica/p.persica_gdr_reftransV1_0048284","p.persica_gdr_reftransV1_0048284")</f>
        <v>p.persica_gdr_reftransV1_0048284</v>
      </c>
      <c r="B9827" s="3">
        <v>1303</v>
      </c>
      <c r="C9827" s="1" t="str">
        <f>HYPERLINK("http://www.uniprot.org/uniprot/RL341_ARATH","RL341_ARATH")</f>
        <v>RL341_ARATH</v>
      </c>
      <c r="D9827" t="s">
        <v>4191</v>
      </c>
      <c r="E9827" s="3" t="s">
        <v>3</v>
      </c>
      <c r="F9827" s="4">
        <v>1.5400000000000001E-56</v>
      </c>
      <c r="G9827" s="3">
        <v>478</v>
      </c>
      <c r="H9827" s="3">
        <v>95</v>
      </c>
      <c r="I9827" s="3">
        <v>96</v>
      </c>
      <c r="J9827" s="3">
        <v>669</v>
      </c>
      <c r="K9827" s="3">
        <v>956</v>
      </c>
      <c r="L9827" s="3">
        <v>1</v>
      </c>
      <c r="M9827" s="3">
        <v>96</v>
      </c>
    </row>
    <row r="9828" spans="1:13" x14ac:dyDescent="0.25">
      <c r="A9828" s="1" t="str">
        <f>HYPERLINK("http://www.rosaceae.org/Prunus/Prunus_persica/p.persica_gdr_reftransV1_0048434","p.persica_gdr_reftransV1_0048434")</f>
        <v>p.persica_gdr_reftransV1_0048434</v>
      </c>
      <c r="B9828" s="3">
        <v>577</v>
      </c>
      <c r="C9828" s="1" t="str">
        <f>HYPERLINK("http://www.uniprot.org/uniprot/ADT2_SOLTU","ADT2_SOLTU")</f>
        <v>ADT2_SOLTU</v>
      </c>
      <c r="D9828" t="s">
        <v>7261</v>
      </c>
      <c r="E9828" s="3" t="s">
        <v>11</v>
      </c>
      <c r="F9828" s="4">
        <v>8.4300000000000006E-39</v>
      </c>
      <c r="G9828" s="3">
        <v>358</v>
      </c>
      <c r="H9828" s="3">
        <v>69</v>
      </c>
      <c r="I9828" s="3">
        <v>126</v>
      </c>
      <c r="J9828" s="3">
        <v>204</v>
      </c>
      <c r="K9828" s="3">
        <v>575</v>
      </c>
      <c r="L9828" s="3">
        <v>3</v>
      </c>
      <c r="M9828" s="3">
        <v>123</v>
      </c>
    </row>
    <row r="9829" spans="1:13" x14ac:dyDescent="0.25">
      <c r="A9829" s="1" t="str">
        <f>HYPERLINK("http://www.rosaceae.org/Prunus/Prunus_persica/p.persica_gdr_reftransV1_0048484","p.persica_gdr_reftransV1_0048484")</f>
        <v>p.persica_gdr_reftransV1_0048484</v>
      </c>
      <c r="B9829" s="3">
        <v>354</v>
      </c>
      <c r="C9829" s="1" t="str">
        <f>HYPERLINK("http://www.uniprot.org/uniprot/Y1124_ARATH","Y1124_ARATH")</f>
        <v>Y1124_ARATH</v>
      </c>
      <c r="D9829" t="s">
        <v>4835</v>
      </c>
      <c r="E9829" s="3" t="s">
        <v>3</v>
      </c>
      <c r="F9829" s="4">
        <v>6.0400000000000003E-33</v>
      </c>
      <c r="G9829" s="3">
        <v>317</v>
      </c>
      <c r="H9829" s="3">
        <v>53</v>
      </c>
      <c r="I9829" s="3">
        <v>111</v>
      </c>
      <c r="J9829" s="3">
        <v>18</v>
      </c>
      <c r="K9829" s="3">
        <v>347</v>
      </c>
      <c r="L9829" s="3">
        <v>1</v>
      </c>
      <c r="M9829" s="3">
        <v>111</v>
      </c>
    </row>
    <row r="9830" spans="1:13" x14ac:dyDescent="0.25">
      <c r="A9830" s="1" t="str">
        <f>HYPERLINK("http://www.rosaceae.org/Prunus/Prunus_persica/p.persica_gdr_reftransV1_0048534","p.persica_gdr_reftransV1_0048534")</f>
        <v>p.persica_gdr_reftransV1_0048534</v>
      </c>
      <c r="B9830" s="3">
        <v>1974</v>
      </c>
      <c r="C9830" s="1" t="str">
        <f>HYPERLINK("http://www.uniprot.org/uniprot/PFKA3_ARATH","PFKA3_ARATH")</f>
        <v>PFKA3_ARATH</v>
      </c>
      <c r="D9830" t="s">
        <v>1362</v>
      </c>
      <c r="E9830" s="3" t="s">
        <v>3</v>
      </c>
      <c r="F9830" s="4">
        <v>0</v>
      </c>
      <c r="G9830" s="3">
        <v>2094</v>
      </c>
      <c r="H9830" s="3">
        <v>83</v>
      </c>
      <c r="I9830" s="3">
        <v>468</v>
      </c>
      <c r="J9830" s="3">
        <v>409</v>
      </c>
      <c r="K9830" s="3">
        <v>1812</v>
      </c>
      <c r="L9830" s="3">
        <v>10</v>
      </c>
      <c r="M9830" s="3">
        <v>474</v>
      </c>
    </row>
    <row r="9831" spans="1:13" x14ac:dyDescent="0.25">
      <c r="A9831" s="1" t="str">
        <f>HYPERLINK("http://www.rosaceae.org/Prunus/Prunus_persica/p.persica_gdr_reftransV1_0048684","p.persica_gdr_reftransV1_0048684")</f>
        <v>p.persica_gdr_reftransV1_0048684</v>
      </c>
      <c r="B9831" s="3">
        <v>1949</v>
      </c>
      <c r="C9831" s="1" t="str">
        <f>HYPERLINK("http://www.uniprot.org/uniprot/IAA9_ARATH","IAA9_ARATH")</f>
        <v>IAA9_ARATH</v>
      </c>
      <c r="D9831" t="s">
        <v>4728</v>
      </c>
      <c r="E9831" s="3" t="s">
        <v>3</v>
      </c>
      <c r="F9831" s="4">
        <v>8.37E-106</v>
      </c>
      <c r="G9831" s="3">
        <v>848</v>
      </c>
      <c r="H9831" s="3">
        <v>55</v>
      </c>
      <c r="I9831" s="3">
        <v>357</v>
      </c>
      <c r="J9831" s="3">
        <v>365</v>
      </c>
      <c r="K9831" s="3">
        <v>1417</v>
      </c>
      <c r="L9831" s="3">
        <v>8</v>
      </c>
      <c r="M9831" s="3">
        <v>337</v>
      </c>
    </row>
    <row r="9832" spans="1:13" x14ac:dyDescent="0.25">
      <c r="A9832" s="1" t="str">
        <f>HYPERLINK("http://www.rosaceae.org/Prunus/Prunus_persica/p.persica_gdr_reftransV1_0048734","p.persica_gdr_reftransV1_0048734")</f>
        <v>p.persica_gdr_reftransV1_0048734</v>
      </c>
      <c r="B9832" s="3">
        <v>920</v>
      </c>
      <c r="C9832" s="1" t="str">
        <f>HYPERLINK("http://www.uniprot.org/uniprot/CP19D_ARATH","CP19D_ARATH")</f>
        <v>CP19D_ARATH</v>
      </c>
      <c r="D9832" t="s">
        <v>2099</v>
      </c>
      <c r="E9832" s="3" t="s">
        <v>3</v>
      </c>
      <c r="F9832" s="4">
        <v>9.8500000000000004E-112</v>
      </c>
      <c r="G9832" s="3">
        <v>843</v>
      </c>
      <c r="H9832" s="3">
        <v>85</v>
      </c>
      <c r="I9832" s="3">
        <v>204</v>
      </c>
      <c r="J9832" s="3">
        <v>147</v>
      </c>
      <c r="K9832" s="3">
        <v>758</v>
      </c>
      <c r="L9832" s="3">
        <v>1</v>
      </c>
      <c r="M9832" s="3">
        <v>201</v>
      </c>
    </row>
    <row r="9833" spans="1:13" x14ac:dyDescent="0.25">
      <c r="A9833" s="1" t="str">
        <f>HYPERLINK("http://www.rosaceae.org/Prunus/Prunus_persica/p.persica_gdr_reftransV1_0048784","p.persica_gdr_reftransV1_0048784")</f>
        <v>p.persica_gdr_reftransV1_0048784</v>
      </c>
      <c r="B9833" s="3">
        <v>2979</v>
      </c>
      <c r="C9833" s="1" t="str">
        <f>HYPERLINK("http://www.uniprot.org/uniprot/HSL1_ARATH","HSL1_ARATH")</f>
        <v>HSL1_ARATH</v>
      </c>
      <c r="D9833" t="s">
        <v>4280</v>
      </c>
      <c r="E9833" s="3" t="s">
        <v>3</v>
      </c>
      <c r="F9833" s="4">
        <v>4.8100000000000002E-177</v>
      </c>
      <c r="G9833" s="3">
        <v>1414</v>
      </c>
      <c r="H9833" s="3">
        <v>43</v>
      </c>
      <c r="I9833" s="3">
        <v>836</v>
      </c>
      <c r="J9833" s="3">
        <v>516</v>
      </c>
      <c r="K9833" s="3">
        <v>2972</v>
      </c>
      <c r="L9833" s="3">
        <v>166</v>
      </c>
      <c r="M9833" s="3">
        <v>978</v>
      </c>
    </row>
    <row r="9834" spans="1:13" x14ac:dyDescent="0.25">
      <c r="A9834" s="1" t="str">
        <f>HYPERLINK("http://www.rosaceae.org/Prunus/Prunus_persica/p.persica_gdr_reftransV1_0048834","p.persica_gdr_reftransV1_0048834")</f>
        <v>p.persica_gdr_reftransV1_0048834</v>
      </c>
      <c r="B9834" s="3">
        <v>3240</v>
      </c>
      <c r="C9834" s="1" t="str">
        <f>HYPERLINK("http://www.uniprot.org/uniprot/TIR1L_ARATH","TIR1L_ARATH")</f>
        <v>TIR1L_ARATH</v>
      </c>
      <c r="D9834" t="s">
        <v>7251</v>
      </c>
      <c r="E9834" s="3" t="s">
        <v>3</v>
      </c>
      <c r="F9834" s="4">
        <v>0</v>
      </c>
      <c r="G9834" s="3">
        <v>2214</v>
      </c>
      <c r="H9834" s="3">
        <v>70</v>
      </c>
      <c r="I9834" s="3">
        <v>618</v>
      </c>
      <c r="J9834" s="3">
        <v>1072</v>
      </c>
      <c r="K9834" s="3">
        <v>2901</v>
      </c>
      <c r="L9834" s="3">
        <v>18</v>
      </c>
      <c r="M9834" s="3">
        <v>619</v>
      </c>
    </row>
    <row r="9835" spans="1:13" x14ac:dyDescent="0.25">
      <c r="A9835" s="1" t="str">
        <f>HYPERLINK("http://www.rosaceae.org/Prunus/Prunus_persica/p.persica_gdr_reftransV1_0048884","p.persica_gdr_reftransV1_0048884")</f>
        <v>p.persica_gdr_reftransV1_0048884</v>
      </c>
      <c r="B9835" s="3">
        <v>323</v>
      </c>
      <c r="C9835" s="1" t="str">
        <f>HYPERLINK("http://www.uniprot.org/uniprot/Y5614_ARATH","Y5614_ARATH")</f>
        <v>Y5614_ARATH</v>
      </c>
      <c r="D9835" t="s">
        <v>3631</v>
      </c>
      <c r="E9835" s="3" t="s">
        <v>3</v>
      </c>
      <c r="F9835" s="4">
        <v>6.4000000000000005E-17</v>
      </c>
      <c r="G9835" s="3">
        <v>197</v>
      </c>
      <c r="H9835" s="3">
        <v>41</v>
      </c>
      <c r="I9835" s="3">
        <v>107</v>
      </c>
      <c r="J9835" s="3">
        <v>9</v>
      </c>
      <c r="K9835" s="3">
        <v>317</v>
      </c>
      <c r="L9835" s="3">
        <v>34</v>
      </c>
      <c r="M9835" s="3">
        <v>139</v>
      </c>
    </row>
    <row r="9836" spans="1:13" x14ac:dyDescent="0.25">
      <c r="A9836" s="1" t="str">
        <f>HYPERLINK("http://www.rosaceae.org/Prunus/Prunus_persica/p.persica_gdr_reftransV1_0048984","p.persica_gdr_reftransV1_0048984")</f>
        <v>p.persica_gdr_reftransV1_0048984</v>
      </c>
      <c r="B9836" s="3">
        <v>522</v>
      </c>
      <c r="C9836" s="1" t="str">
        <f>HYPERLINK("http://www.uniprot.org/uniprot/RH40_ARATH","RH40_ARATH")</f>
        <v>RH40_ARATH</v>
      </c>
      <c r="D9836" t="s">
        <v>1606</v>
      </c>
      <c r="E9836" s="3" t="s">
        <v>3</v>
      </c>
      <c r="F9836" s="4">
        <v>8.0400000000000004E-94</v>
      </c>
      <c r="G9836" s="3">
        <v>768</v>
      </c>
      <c r="H9836" s="3">
        <v>88</v>
      </c>
      <c r="I9836" s="3">
        <v>163</v>
      </c>
      <c r="J9836" s="3">
        <v>3</v>
      </c>
      <c r="K9836" s="3">
        <v>491</v>
      </c>
      <c r="L9836" s="3">
        <v>446</v>
      </c>
      <c r="M9836" s="3">
        <v>608</v>
      </c>
    </row>
    <row r="9837" spans="1:13" x14ac:dyDescent="0.25">
      <c r="A9837" s="1" t="str">
        <f>HYPERLINK("http://www.rosaceae.org/Prunus/Prunus_persica/p.persica_gdr_reftransV1_0049034","p.persica_gdr_reftransV1_0049034")</f>
        <v>p.persica_gdr_reftransV1_0049034</v>
      </c>
      <c r="B9837" s="3">
        <v>3078</v>
      </c>
      <c r="C9837" s="1" t="str">
        <f>HYPERLINK("http://www.uniprot.org/uniprot/RP8L3_ARATH","RP8L3_ARATH")</f>
        <v>RP8L3_ARATH</v>
      </c>
      <c r="D9837" t="s">
        <v>2190</v>
      </c>
      <c r="E9837" s="3" t="s">
        <v>3</v>
      </c>
      <c r="F9837" s="4">
        <v>1.48E-34</v>
      </c>
      <c r="G9837" s="3">
        <v>369</v>
      </c>
      <c r="H9837" s="3">
        <v>26</v>
      </c>
      <c r="I9837" s="3">
        <v>915</v>
      </c>
      <c r="J9837" s="3">
        <v>516</v>
      </c>
      <c r="K9837" s="3">
        <v>2972</v>
      </c>
      <c r="L9837" s="3">
        <v>9</v>
      </c>
      <c r="M9837" s="3">
        <v>865</v>
      </c>
    </row>
    <row r="9838" spans="1:13" x14ac:dyDescent="0.25">
      <c r="A9838" s="1" t="str">
        <f>HYPERLINK("http://www.rosaceae.org/Prunus/Prunus_persica/p.persica_gdr_reftransV1_0049084","p.persica_gdr_reftransV1_0049084")</f>
        <v>p.persica_gdr_reftransV1_0049084</v>
      </c>
      <c r="B9838" s="3">
        <v>2054</v>
      </c>
      <c r="C9838" s="1" t="str">
        <f>HYPERLINK("http://www.uniprot.org/uniprot/ATK4_ARATH","ATK4_ARATH")</f>
        <v>ATK4_ARATH</v>
      </c>
      <c r="D9838" t="s">
        <v>3593</v>
      </c>
      <c r="E9838" s="3" t="s">
        <v>3</v>
      </c>
      <c r="F9838" s="4">
        <v>9.5900000000000008E-96</v>
      </c>
      <c r="G9838" s="3">
        <v>828</v>
      </c>
      <c r="H9838" s="3">
        <v>68</v>
      </c>
      <c r="I9838" s="3">
        <v>239</v>
      </c>
      <c r="J9838" s="3">
        <v>1</v>
      </c>
      <c r="K9838" s="3">
        <v>714</v>
      </c>
      <c r="L9838" s="3">
        <v>515</v>
      </c>
      <c r="M9838" s="3">
        <v>752</v>
      </c>
    </row>
    <row r="9839" spans="1:13" x14ac:dyDescent="0.25">
      <c r="A9839" s="1" t="str">
        <f>HYPERLINK("http://www.rosaceae.org/Prunus/Prunus_persica/p.persica_gdr_reftransV1_0049134","p.persica_gdr_reftransV1_0049134")</f>
        <v>p.persica_gdr_reftransV1_0049134</v>
      </c>
      <c r="B9839" s="3">
        <v>1983</v>
      </c>
      <c r="C9839" s="1" t="str">
        <f>HYPERLINK("http://www.uniprot.org/uniprot/ASPL1_ARATH","ASPL1_ARATH")</f>
        <v>ASPL1_ARATH</v>
      </c>
      <c r="D9839" t="s">
        <v>996</v>
      </c>
      <c r="E9839" s="3" t="s">
        <v>3</v>
      </c>
      <c r="F9839" s="4">
        <v>4.7699999999999999E-158</v>
      </c>
      <c r="G9839" s="3">
        <v>1066</v>
      </c>
      <c r="H9839" s="3">
        <v>58</v>
      </c>
      <c r="I9839" s="3">
        <v>354</v>
      </c>
      <c r="J9839" s="3">
        <v>370</v>
      </c>
      <c r="K9839" s="3">
        <v>1410</v>
      </c>
      <c r="L9839" s="3">
        <v>142</v>
      </c>
      <c r="M9839" s="3">
        <v>491</v>
      </c>
    </row>
    <row r="9840" spans="1:13" x14ac:dyDescent="0.25">
      <c r="A9840" s="1" t="str">
        <f>HYPERLINK("http://www.rosaceae.org/Prunus/Prunus_persica/p.persica_gdr_reftransV1_0049184","p.persica_gdr_reftransV1_0049184")</f>
        <v>p.persica_gdr_reftransV1_0049184</v>
      </c>
      <c r="B9840" s="3">
        <v>2892</v>
      </c>
      <c r="C9840" s="1" t="str">
        <f>HYPERLINK("http://www.uniprot.org/uniprot/CSLC5_ARATH","CSLC5_ARATH")</f>
        <v>CSLC5_ARATH</v>
      </c>
      <c r="D9840" t="s">
        <v>7262</v>
      </c>
      <c r="E9840" s="3" t="s">
        <v>3</v>
      </c>
      <c r="F9840" s="4">
        <v>0</v>
      </c>
      <c r="G9840" s="3">
        <v>2637</v>
      </c>
      <c r="H9840" s="3">
        <v>78</v>
      </c>
      <c r="I9840" s="3">
        <v>696</v>
      </c>
      <c r="J9840" s="3">
        <v>421</v>
      </c>
      <c r="K9840" s="3">
        <v>2505</v>
      </c>
      <c r="L9840" s="3">
        <v>1</v>
      </c>
      <c r="M9840" s="3">
        <v>692</v>
      </c>
    </row>
    <row r="9841" spans="1:13" x14ac:dyDescent="0.25">
      <c r="A9841" s="1" t="str">
        <f>HYPERLINK("http://www.rosaceae.org/Prunus/Prunus_persica/p.persica_gdr_reftransV1_0000035","p.persica_gdr_reftransV1_0000035")</f>
        <v>p.persica_gdr_reftransV1_0000035</v>
      </c>
      <c r="B9841" s="3">
        <v>1644</v>
      </c>
      <c r="C9841" s="1" t="str">
        <f>HYPERLINK("http://www.uniprot.org/uniprot/DGAT2_ARATH","DGAT2_ARATH")</f>
        <v>DGAT2_ARATH</v>
      </c>
      <c r="D9841" t="s">
        <v>7263</v>
      </c>
      <c r="E9841" s="3" t="s">
        <v>3</v>
      </c>
      <c r="F9841" s="4">
        <v>3.2500000000000001E-142</v>
      </c>
      <c r="G9841" s="3">
        <v>1080</v>
      </c>
      <c r="H9841" s="3">
        <v>65</v>
      </c>
      <c r="I9841" s="3">
        <v>308</v>
      </c>
      <c r="J9841" s="3">
        <v>230</v>
      </c>
      <c r="K9841" s="3">
        <v>1153</v>
      </c>
      <c r="L9841" s="3">
        <v>8</v>
      </c>
      <c r="M9841" s="3">
        <v>314</v>
      </c>
    </row>
    <row r="9842" spans="1:13" x14ac:dyDescent="0.25">
      <c r="A9842" s="1" t="str">
        <f>HYPERLINK("http://www.rosaceae.org/Prunus/Prunus_persica/p.persica_gdr_reftransV1_0000285","p.persica_gdr_reftransV1_0000285")</f>
        <v>p.persica_gdr_reftransV1_0000285</v>
      </c>
      <c r="B9842" s="3">
        <v>398</v>
      </c>
      <c r="C9842" s="1" t="str">
        <f>HYPERLINK("http://www.uniprot.org/uniprot/C724B_ORYSJ","C724B_ORYSJ")</f>
        <v>C724B_ORYSJ</v>
      </c>
      <c r="D9842" t="s">
        <v>2364</v>
      </c>
      <c r="E9842" s="3" t="s">
        <v>38</v>
      </c>
      <c r="F9842" s="4">
        <v>1.3400000000000001E-59</v>
      </c>
      <c r="G9842" s="3">
        <v>499</v>
      </c>
      <c r="H9842" s="3">
        <v>70</v>
      </c>
      <c r="I9842" s="3">
        <v>131</v>
      </c>
      <c r="J9842" s="3">
        <v>1</v>
      </c>
      <c r="K9842" s="3">
        <v>393</v>
      </c>
      <c r="L9842" s="3">
        <v>24</v>
      </c>
      <c r="M9842" s="3">
        <v>150</v>
      </c>
    </row>
    <row r="9843" spans="1:13" x14ac:dyDescent="0.25">
      <c r="A9843" s="1" t="str">
        <f>HYPERLINK("http://www.rosaceae.org/Prunus/Prunus_persica/p.persica_gdr_reftransV1_0000335","p.persica_gdr_reftransV1_0000335")</f>
        <v>p.persica_gdr_reftransV1_0000335</v>
      </c>
      <c r="B9843" s="3">
        <v>1183</v>
      </c>
      <c r="C9843" s="1" t="str">
        <f>HYPERLINK("http://www.uniprot.org/uniprot/MTN1_ARATH","MTN1_ARATH")</f>
        <v>MTN1_ARATH</v>
      </c>
      <c r="D9843" t="s">
        <v>7264</v>
      </c>
      <c r="E9843" s="3" t="s">
        <v>3</v>
      </c>
      <c r="F9843" s="4">
        <v>5.2000000000000002E-119</v>
      </c>
      <c r="G9843" s="3">
        <v>906</v>
      </c>
      <c r="H9843" s="3">
        <v>70</v>
      </c>
      <c r="I9843" s="3">
        <v>267</v>
      </c>
      <c r="J9843" s="3">
        <v>260</v>
      </c>
      <c r="K9843" s="3">
        <v>1054</v>
      </c>
      <c r="L9843" s="3">
        <v>1</v>
      </c>
      <c r="M9843" s="3">
        <v>267</v>
      </c>
    </row>
    <row r="9844" spans="1:13" x14ac:dyDescent="0.25">
      <c r="A9844" s="1" t="str">
        <f>HYPERLINK("http://www.rosaceae.org/Prunus/Prunus_persica/p.persica_gdr_reftransV1_0000435","p.persica_gdr_reftransV1_0000435")</f>
        <v>p.persica_gdr_reftransV1_0000435</v>
      </c>
      <c r="B9844" s="3">
        <v>1440</v>
      </c>
      <c r="C9844" s="1" t="str">
        <f>HYPERLINK("http://www.uniprot.org/uniprot/PPR50_ARATH","PPR50_ARATH")</f>
        <v>PPR50_ARATH</v>
      </c>
      <c r="D9844" t="s">
        <v>5520</v>
      </c>
      <c r="E9844" s="3" t="s">
        <v>3</v>
      </c>
      <c r="F9844" s="4">
        <v>3.5300000000000002E-163</v>
      </c>
      <c r="G9844" s="3">
        <v>1265</v>
      </c>
      <c r="H9844" s="3">
        <v>58</v>
      </c>
      <c r="I9844" s="3">
        <v>465</v>
      </c>
      <c r="J9844" s="3">
        <v>1</v>
      </c>
      <c r="K9844" s="3">
        <v>1389</v>
      </c>
      <c r="L9844" s="3">
        <v>13</v>
      </c>
      <c r="M9844" s="3">
        <v>471</v>
      </c>
    </row>
    <row r="9845" spans="1:13" x14ac:dyDescent="0.25">
      <c r="A9845" s="1" t="str">
        <f>HYPERLINK("http://www.rosaceae.org/Prunus/Prunus_persica/p.persica_gdr_reftransV1_0000485","p.persica_gdr_reftransV1_0000485")</f>
        <v>p.persica_gdr_reftransV1_0000485</v>
      </c>
      <c r="B9845" s="3">
        <v>1459</v>
      </c>
      <c r="C9845" s="1" t="str">
        <f>HYPERLINK("http://www.uniprot.org/uniprot/PPME1_CAEEL","PPME1_CAEEL")</f>
        <v>PPME1_CAEEL</v>
      </c>
      <c r="D9845" t="s">
        <v>7265</v>
      </c>
      <c r="E9845" s="3" t="s">
        <v>281</v>
      </c>
      <c r="F9845" s="4">
        <v>1.2599999999999999E-72</v>
      </c>
      <c r="G9845" s="3">
        <v>455</v>
      </c>
      <c r="H9845" s="3">
        <v>42</v>
      </c>
      <c r="I9845" s="3">
        <v>247</v>
      </c>
      <c r="J9845" s="3">
        <v>556</v>
      </c>
      <c r="K9845" s="3">
        <v>1269</v>
      </c>
      <c r="L9845" s="3">
        <v>1</v>
      </c>
      <c r="M9845" s="3">
        <v>245</v>
      </c>
    </row>
    <row r="9846" spans="1:13" x14ac:dyDescent="0.25">
      <c r="A9846" s="1" t="str">
        <f>HYPERLINK("http://www.rosaceae.org/Prunus/Prunus_persica/p.persica_gdr_reftransV1_0000535","p.persica_gdr_reftransV1_0000535")</f>
        <v>p.persica_gdr_reftransV1_0000535</v>
      </c>
      <c r="B9846" s="3">
        <v>1565</v>
      </c>
      <c r="C9846" s="1" t="str">
        <f>HYPERLINK("http://www.uniprot.org/uniprot/POK2_ARATH","POK2_ARATH")</f>
        <v>POK2_ARATH</v>
      </c>
      <c r="D9846" t="s">
        <v>3327</v>
      </c>
      <c r="E9846" s="3" t="s">
        <v>3</v>
      </c>
      <c r="F9846" s="4">
        <v>5.0299999999999998E-99</v>
      </c>
      <c r="G9846" s="3">
        <v>859</v>
      </c>
      <c r="H9846" s="3">
        <v>43</v>
      </c>
      <c r="I9846" s="3">
        <v>503</v>
      </c>
      <c r="J9846" s="3">
        <v>30</v>
      </c>
      <c r="K9846" s="3">
        <v>1535</v>
      </c>
      <c r="L9846" s="3">
        <v>901</v>
      </c>
      <c r="M9846" s="3">
        <v>1375</v>
      </c>
    </row>
    <row r="9847" spans="1:13" x14ac:dyDescent="0.25">
      <c r="A9847" s="1" t="str">
        <f>HYPERLINK("http://www.rosaceae.org/Prunus/Prunus_persica/p.persica_gdr_reftransV1_0000635","p.persica_gdr_reftransV1_0000635")</f>
        <v>p.persica_gdr_reftransV1_0000635</v>
      </c>
      <c r="B9847" s="3">
        <v>741</v>
      </c>
      <c r="C9847" s="1" t="str">
        <f>HYPERLINK("http://www.uniprot.org/uniprot/KAD5_ARATH","KAD5_ARATH")</f>
        <v>KAD5_ARATH</v>
      </c>
      <c r="D9847" t="s">
        <v>7266</v>
      </c>
      <c r="E9847" s="3" t="s">
        <v>3</v>
      </c>
      <c r="F9847" s="4">
        <v>2.1899999999999999E-79</v>
      </c>
      <c r="G9847" s="3">
        <v>522</v>
      </c>
      <c r="H9847" s="3">
        <v>73</v>
      </c>
      <c r="I9847" s="3">
        <v>128</v>
      </c>
      <c r="J9847" s="3">
        <v>221</v>
      </c>
      <c r="K9847" s="3">
        <v>604</v>
      </c>
      <c r="L9847" s="3">
        <v>64</v>
      </c>
      <c r="M9847" s="3">
        <v>191</v>
      </c>
    </row>
    <row r="9848" spans="1:13" x14ac:dyDescent="0.25">
      <c r="A9848" s="1" t="str">
        <f>HYPERLINK("http://www.rosaceae.org/Prunus/Prunus_persica/p.persica_gdr_reftransV1_0000785","p.persica_gdr_reftransV1_0000785")</f>
        <v>p.persica_gdr_reftransV1_0000785</v>
      </c>
      <c r="B9848" s="3">
        <v>6219</v>
      </c>
      <c r="C9848" s="1" t="str">
        <f>HYPERLINK("http://www.uniprot.org/uniprot/DCAF1_ARATH","DCAF1_ARATH")</f>
        <v>DCAF1_ARATH</v>
      </c>
      <c r="D9848" t="s">
        <v>7267</v>
      </c>
      <c r="E9848" s="3" t="s">
        <v>3</v>
      </c>
      <c r="F9848" s="4">
        <v>0</v>
      </c>
      <c r="G9848" s="3">
        <v>4437</v>
      </c>
      <c r="H9848" s="3">
        <v>60</v>
      </c>
      <c r="I9848" s="3">
        <v>1831</v>
      </c>
      <c r="J9848" s="3">
        <v>562</v>
      </c>
      <c r="K9848" s="3">
        <v>5856</v>
      </c>
      <c r="L9848" s="3">
        <v>50</v>
      </c>
      <c r="M9848" s="3">
        <v>1771</v>
      </c>
    </row>
    <row r="9849" spans="1:13" x14ac:dyDescent="0.25">
      <c r="A9849" s="1" t="str">
        <f>HYPERLINK("http://www.rosaceae.org/Prunus/Prunus_persica/p.persica_gdr_reftransV1_0000835","p.persica_gdr_reftransV1_0000835")</f>
        <v>p.persica_gdr_reftransV1_0000835</v>
      </c>
      <c r="B9849" s="3">
        <v>2217</v>
      </c>
      <c r="C9849" s="1" t="str">
        <f>HYPERLINK("http://www.uniprot.org/uniprot/E1313_ARATH","E1313_ARATH")</f>
        <v>E1313_ARATH</v>
      </c>
      <c r="D9849" t="s">
        <v>3107</v>
      </c>
      <c r="E9849" s="3" t="s">
        <v>3</v>
      </c>
      <c r="F9849" s="4">
        <v>0</v>
      </c>
      <c r="G9849" s="3">
        <v>1841</v>
      </c>
      <c r="H9849" s="3">
        <v>72</v>
      </c>
      <c r="I9849" s="3">
        <v>498</v>
      </c>
      <c r="J9849" s="3">
        <v>254</v>
      </c>
      <c r="K9849" s="3">
        <v>1735</v>
      </c>
      <c r="L9849" s="3">
        <v>1</v>
      </c>
      <c r="M9849" s="3">
        <v>498</v>
      </c>
    </row>
    <row r="9850" spans="1:13" x14ac:dyDescent="0.25">
      <c r="A9850" s="1" t="str">
        <f>HYPERLINK("http://www.rosaceae.org/Prunus/Prunus_persica/p.persica_gdr_reftransV1_0000885","p.persica_gdr_reftransV1_0000885")</f>
        <v>p.persica_gdr_reftransV1_0000885</v>
      </c>
      <c r="B9850" s="3">
        <v>3385</v>
      </c>
      <c r="C9850" s="1" t="str">
        <f>HYPERLINK("http://www.uniprot.org/uniprot/MARF1_HUMAN","MARF1_HUMAN")</f>
        <v>MARF1_HUMAN</v>
      </c>
      <c r="D9850" t="s">
        <v>7268</v>
      </c>
      <c r="E9850" s="3" t="s">
        <v>28</v>
      </c>
      <c r="F9850" s="4">
        <v>3.3699999999999997E-8</v>
      </c>
      <c r="G9850" s="3">
        <v>149</v>
      </c>
      <c r="H9850" s="3">
        <v>30</v>
      </c>
      <c r="I9850" s="3">
        <v>134</v>
      </c>
      <c r="J9850" s="3">
        <v>367</v>
      </c>
      <c r="K9850" s="3">
        <v>765</v>
      </c>
      <c r="L9850" s="3">
        <v>355</v>
      </c>
      <c r="M9850" s="3">
        <v>486</v>
      </c>
    </row>
    <row r="9851" spans="1:13" x14ac:dyDescent="0.25">
      <c r="A9851" s="1" t="str">
        <f>HYPERLINK("http://www.rosaceae.org/Prunus/Prunus_persica/p.persica_gdr_reftransV1_0000985","p.persica_gdr_reftransV1_0000985")</f>
        <v>p.persica_gdr_reftransV1_0000985</v>
      </c>
      <c r="B9851" s="3">
        <v>1371</v>
      </c>
      <c r="C9851" s="1" t="str">
        <f>HYPERLINK("http://www.uniprot.org/uniprot/AT74_ARATH","AT74_ARATH")</f>
        <v>AT74_ARATH</v>
      </c>
      <c r="D9851" t="s">
        <v>7269</v>
      </c>
      <c r="E9851" s="3" t="s">
        <v>3</v>
      </c>
      <c r="F9851" s="4">
        <v>5.5000000000000002E-142</v>
      </c>
      <c r="G9851" s="3">
        <v>1069</v>
      </c>
      <c r="H9851" s="3">
        <v>76</v>
      </c>
      <c r="I9851" s="3">
        <v>274</v>
      </c>
      <c r="J9851" s="3">
        <v>335</v>
      </c>
      <c r="K9851" s="3">
        <v>1156</v>
      </c>
      <c r="L9851" s="3">
        <v>2</v>
      </c>
      <c r="M9851" s="3">
        <v>274</v>
      </c>
    </row>
    <row r="9852" spans="1:13" x14ac:dyDescent="0.25">
      <c r="A9852" s="1" t="str">
        <f>HYPERLINK("http://www.rosaceae.org/Prunus/Prunus_persica/p.persica_gdr_reftransV1_0001035","p.persica_gdr_reftransV1_0001035")</f>
        <v>p.persica_gdr_reftransV1_0001035</v>
      </c>
      <c r="B9852" s="3">
        <v>305</v>
      </c>
      <c r="C9852" s="1" t="str">
        <f>HYPERLINK("http://www.uniprot.org/uniprot/Y3475_ARATH","Y3475_ARATH")</f>
        <v>Y3475_ARATH</v>
      </c>
      <c r="D9852" t="s">
        <v>827</v>
      </c>
      <c r="E9852" s="3" t="s">
        <v>3</v>
      </c>
      <c r="F9852" s="4">
        <v>1.46E-8</v>
      </c>
      <c r="G9852" s="3">
        <v>132</v>
      </c>
      <c r="H9852" s="3">
        <v>36</v>
      </c>
      <c r="I9852" s="3">
        <v>115</v>
      </c>
      <c r="J9852" s="3">
        <v>3</v>
      </c>
      <c r="K9852" s="3">
        <v>305</v>
      </c>
      <c r="L9852" s="3">
        <v>605</v>
      </c>
      <c r="M9852" s="3">
        <v>711</v>
      </c>
    </row>
    <row r="9853" spans="1:13" x14ac:dyDescent="0.25">
      <c r="A9853" s="1" t="str">
        <f>HYPERLINK("http://www.rosaceae.org/Prunus/Prunus_persica/p.persica_gdr_reftransV1_0001085","p.persica_gdr_reftransV1_0001085")</f>
        <v>p.persica_gdr_reftransV1_0001085</v>
      </c>
      <c r="B9853" s="3">
        <v>956</v>
      </c>
      <c r="C9853" s="1" t="str">
        <f>HYPERLINK("http://www.uniprot.org/uniprot/RTNLM_ARATH","RTNLM_ARATH")</f>
        <v>RTNLM_ARATH</v>
      </c>
      <c r="D9853" t="s">
        <v>7270</v>
      </c>
      <c r="E9853" s="3" t="s">
        <v>3</v>
      </c>
      <c r="F9853" s="4">
        <v>1.8799999999999999E-29</v>
      </c>
      <c r="G9853" s="3">
        <v>292</v>
      </c>
      <c r="H9853" s="3">
        <v>42</v>
      </c>
      <c r="I9853" s="3">
        <v>180</v>
      </c>
      <c r="J9853" s="3">
        <v>89</v>
      </c>
      <c r="K9853" s="3">
        <v>628</v>
      </c>
      <c r="L9853" s="3">
        <v>10</v>
      </c>
      <c r="M9853" s="3">
        <v>189</v>
      </c>
    </row>
    <row r="9854" spans="1:13" x14ac:dyDescent="0.25">
      <c r="A9854" s="1" t="str">
        <f>HYPERLINK("http://www.rosaceae.org/Prunus/Prunus_persica/p.persica_gdr_reftransV1_0001135","p.persica_gdr_reftransV1_0001135")</f>
        <v>p.persica_gdr_reftransV1_0001135</v>
      </c>
      <c r="B9854" s="3">
        <v>551</v>
      </c>
      <c r="C9854" s="1" t="str">
        <f>HYPERLINK("http://www.uniprot.org/uniprot/CER1_ARATH","CER1_ARATH")</f>
        <v>CER1_ARATH</v>
      </c>
      <c r="D9854" t="s">
        <v>6231</v>
      </c>
      <c r="E9854" s="3" t="s">
        <v>3</v>
      </c>
      <c r="F9854" s="4">
        <v>1.11E-69</v>
      </c>
      <c r="G9854" s="3">
        <v>582</v>
      </c>
      <c r="H9854" s="3">
        <v>68</v>
      </c>
      <c r="I9854" s="3">
        <v>174</v>
      </c>
      <c r="J9854" s="3">
        <v>30</v>
      </c>
      <c r="K9854" s="3">
        <v>551</v>
      </c>
      <c r="L9854" s="3">
        <v>1</v>
      </c>
      <c r="M9854" s="3">
        <v>174</v>
      </c>
    </row>
    <row r="9855" spans="1:13" x14ac:dyDescent="0.25">
      <c r="A9855" s="1" t="str">
        <f>HYPERLINK("http://www.rosaceae.org/Prunus/Prunus_persica/p.persica_gdr_reftransV1_0001185","p.persica_gdr_reftransV1_0001185")</f>
        <v>p.persica_gdr_reftransV1_0001185</v>
      </c>
      <c r="B9855" s="3">
        <v>670</v>
      </c>
      <c r="C9855" s="1" t="str">
        <f>HYPERLINK("http://www.uniprot.org/uniprot/SAU36_ARATH","SAU36_ARATH")</f>
        <v>SAU36_ARATH</v>
      </c>
      <c r="D9855" t="s">
        <v>4708</v>
      </c>
      <c r="E9855" s="3" t="s">
        <v>3</v>
      </c>
      <c r="F9855" s="4">
        <v>6.39E-13</v>
      </c>
      <c r="G9855" s="3">
        <v>164</v>
      </c>
      <c r="H9855" s="3">
        <v>33</v>
      </c>
      <c r="I9855" s="3">
        <v>160</v>
      </c>
      <c r="J9855" s="3">
        <v>143</v>
      </c>
      <c r="K9855" s="3">
        <v>535</v>
      </c>
      <c r="L9855" s="3">
        <v>1</v>
      </c>
      <c r="M9855" s="3">
        <v>150</v>
      </c>
    </row>
    <row r="9856" spans="1:13" x14ac:dyDescent="0.25">
      <c r="A9856" s="1" t="str">
        <f>HYPERLINK("http://www.rosaceae.org/Prunus/Prunus_persica/p.persica_gdr_reftransV1_0001285","p.persica_gdr_reftransV1_0001285")</f>
        <v>p.persica_gdr_reftransV1_0001285</v>
      </c>
      <c r="B9856" s="3">
        <v>1889</v>
      </c>
      <c r="C9856" s="1" t="str">
        <f>HYPERLINK("http://www.uniprot.org/uniprot/PME7_ARATH","PME7_ARATH")</f>
        <v>PME7_ARATH</v>
      </c>
      <c r="D9856" t="s">
        <v>5396</v>
      </c>
      <c r="E9856" s="3" t="s">
        <v>3</v>
      </c>
      <c r="F9856" s="4">
        <v>0</v>
      </c>
      <c r="G9856" s="3">
        <v>2020</v>
      </c>
      <c r="H9856" s="3">
        <v>70</v>
      </c>
      <c r="I9856" s="3">
        <v>553</v>
      </c>
      <c r="J9856" s="3">
        <v>140</v>
      </c>
      <c r="K9856" s="3">
        <v>1720</v>
      </c>
      <c r="L9856" s="3">
        <v>28</v>
      </c>
      <c r="M9856" s="3">
        <v>578</v>
      </c>
    </row>
    <row r="9857" spans="1:13" x14ac:dyDescent="0.25">
      <c r="A9857" s="1" t="str">
        <f>HYPERLINK("http://www.rosaceae.org/Prunus/Prunus_persica/p.persica_gdr_reftransV1_0001335","p.persica_gdr_reftransV1_0001335")</f>
        <v>p.persica_gdr_reftransV1_0001335</v>
      </c>
      <c r="B9857" s="3">
        <v>533</v>
      </c>
      <c r="C9857" s="1" t="str">
        <f>HYPERLINK("http://www.uniprot.org/uniprot/MP_ACLSP","MP_ACLSP")</f>
        <v>MP_ACLSP</v>
      </c>
      <c r="D9857" t="s">
        <v>7271</v>
      </c>
      <c r="E9857" s="3" t="s">
        <v>794</v>
      </c>
      <c r="F9857" s="4">
        <v>3.5600000000000002E-95</v>
      </c>
      <c r="G9857" s="3">
        <v>742</v>
      </c>
      <c r="H9857" s="3">
        <v>96</v>
      </c>
      <c r="I9857" s="3">
        <v>141</v>
      </c>
      <c r="J9857" s="3">
        <v>1</v>
      </c>
      <c r="K9857" s="3">
        <v>423</v>
      </c>
      <c r="L9857" s="3">
        <v>1</v>
      </c>
      <c r="M9857" s="3">
        <v>141</v>
      </c>
    </row>
    <row r="9858" spans="1:13" x14ac:dyDescent="0.25">
      <c r="A9858" s="1" t="str">
        <f>HYPERLINK("http://www.rosaceae.org/Prunus/Prunus_persica/p.persica_gdr_reftransV1_0001435","p.persica_gdr_reftransV1_0001435")</f>
        <v>p.persica_gdr_reftransV1_0001435</v>
      </c>
      <c r="B9858" s="3">
        <v>816</v>
      </c>
      <c r="C9858" s="1" t="str">
        <f>HYPERLINK("http://www.uniprot.org/uniprot/MGST3_MOUSE","MGST3_MOUSE")</f>
        <v>MGST3_MOUSE</v>
      </c>
      <c r="D9858" t="s">
        <v>3824</v>
      </c>
      <c r="E9858" s="3" t="s">
        <v>157</v>
      </c>
      <c r="F9858" s="4">
        <v>1.37E-20</v>
      </c>
      <c r="G9858" s="3">
        <v>222</v>
      </c>
      <c r="H9858" s="3">
        <v>44</v>
      </c>
      <c r="I9858" s="3">
        <v>134</v>
      </c>
      <c r="J9858" s="3">
        <v>152</v>
      </c>
      <c r="K9858" s="3">
        <v>547</v>
      </c>
      <c r="L9858" s="3">
        <v>1</v>
      </c>
      <c r="M9858" s="3">
        <v>132</v>
      </c>
    </row>
    <row r="9859" spans="1:13" x14ac:dyDescent="0.25">
      <c r="A9859" s="1" t="str">
        <f>HYPERLINK("http://www.rosaceae.org/Prunus/Prunus_persica/p.persica_gdr_reftransV1_0001535","p.persica_gdr_reftransV1_0001535")</f>
        <v>p.persica_gdr_reftransV1_0001535</v>
      </c>
      <c r="B9859" s="3">
        <v>2466</v>
      </c>
      <c r="C9859" s="1" t="str">
        <f>HYPERLINK("http://www.uniprot.org/uniprot/LCAT2_ARATH","LCAT2_ARATH")</f>
        <v>LCAT2_ARATH</v>
      </c>
      <c r="D9859" t="s">
        <v>872</v>
      </c>
      <c r="E9859" s="3" t="s">
        <v>3</v>
      </c>
      <c r="F9859" s="4">
        <v>0</v>
      </c>
      <c r="G9859" s="3">
        <v>1723</v>
      </c>
      <c r="H9859" s="3">
        <v>79</v>
      </c>
      <c r="I9859" s="3">
        <v>390</v>
      </c>
      <c r="J9859" s="3">
        <v>57</v>
      </c>
      <c r="K9859" s="3">
        <v>1226</v>
      </c>
      <c r="L9859" s="3">
        <v>33</v>
      </c>
      <c r="M9859" s="3">
        <v>414</v>
      </c>
    </row>
    <row r="9860" spans="1:13" x14ac:dyDescent="0.25">
      <c r="A9860" s="1" t="str">
        <f>HYPERLINK("http://www.rosaceae.org/Prunus/Prunus_persica/p.persica_gdr_reftransV1_0001635","p.persica_gdr_reftransV1_0001635")</f>
        <v>p.persica_gdr_reftransV1_0001635</v>
      </c>
      <c r="B9860" s="3">
        <v>1217</v>
      </c>
      <c r="C9860" s="1" t="str">
        <f>HYPERLINK("http://www.uniprot.org/uniprot/ALDH_ALTAL","ALDH_ALTAL")</f>
        <v>ALDH_ALTAL</v>
      </c>
      <c r="D9860" t="s">
        <v>7272</v>
      </c>
      <c r="E9860" s="3" t="s">
        <v>7273</v>
      </c>
      <c r="F9860" s="4">
        <v>0</v>
      </c>
      <c r="G9860" s="3">
        <v>1570</v>
      </c>
      <c r="H9860" s="3">
        <v>77</v>
      </c>
      <c r="I9860" s="3">
        <v>368</v>
      </c>
      <c r="J9860" s="3">
        <v>113</v>
      </c>
      <c r="K9860" s="3">
        <v>1216</v>
      </c>
      <c r="L9860" s="3">
        <v>124</v>
      </c>
      <c r="M9860" s="3">
        <v>491</v>
      </c>
    </row>
    <row r="9861" spans="1:13" x14ac:dyDescent="0.25">
      <c r="A9861" s="1" t="str">
        <f>HYPERLINK("http://www.rosaceae.org/Prunus/Prunus_persica/p.persica_gdr_reftransV1_0001735","p.persica_gdr_reftransV1_0001735")</f>
        <v>p.persica_gdr_reftransV1_0001735</v>
      </c>
      <c r="B9861" s="3">
        <v>2088</v>
      </c>
      <c r="C9861" s="1" t="str">
        <f>HYPERLINK("http://www.uniprot.org/uniprot/AMSH1_ARATH","AMSH1_ARATH")</f>
        <v>AMSH1_ARATH</v>
      </c>
      <c r="D9861" t="s">
        <v>3228</v>
      </c>
      <c r="E9861" s="3" t="s">
        <v>3</v>
      </c>
      <c r="F9861" s="4">
        <v>0</v>
      </c>
      <c r="G9861" s="3">
        <v>1597</v>
      </c>
      <c r="H9861" s="3">
        <v>60</v>
      </c>
      <c r="I9861" s="3">
        <v>517</v>
      </c>
      <c r="J9861" s="3">
        <v>330</v>
      </c>
      <c r="K9861" s="3">
        <v>1841</v>
      </c>
      <c r="L9861" s="3">
        <v>3</v>
      </c>
      <c r="M9861" s="3">
        <v>507</v>
      </c>
    </row>
    <row r="9862" spans="1:13" x14ac:dyDescent="0.25">
      <c r="A9862" s="1" t="str">
        <f>HYPERLINK("http://www.rosaceae.org/Prunus/Prunus_persica/p.persica_gdr_reftransV1_0001785","p.persica_gdr_reftransV1_0001785")</f>
        <v>p.persica_gdr_reftransV1_0001785</v>
      </c>
      <c r="B9862" s="3">
        <v>1362</v>
      </c>
      <c r="C9862" s="1" t="str">
        <f>HYPERLINK("http://www.uniprot.org/uniprot/TRUA_XANP2","TRUA_XANP2")</f>
        <v>TRUA_XANP2</v>
      </c>
      <c r="D9862" t="s">
        <v>7274</v>
      </c>
      <c r="E9862" s="3" t="s">
        <v>1080</v>
      </c>
      <c r="F9862" s="4">
        <v>6.9200000000000005E-52</v>
      </c>
      <c r="G9862" s="3">
        <v>459</v>
      </c>
      <c r="H9862" s="3">
        <v>37</v>
      </c>
      <c r="I9862" s="3">
        <v>294</v>
      </c>
      <c r="J9862" s="3">
        <v>79</v>
      </c>
      <c r="K9862" s="3">
        <v>942</v>
      </c>
      <c r="L9862" s="3">
        <v>3</v>
      </c>
      <c r="M9862" s="3">
        <v>245</v>
      </c>
    </row>
    <row r="9863" spans="1:13" x14ac:dyDescent="0.25">
      <c r="A9863" s="1" t="str">
        <f>HYPERLINK("http://www.rosaceae.org/Prunus/Prunus_persica/p.persica_gdr_reftransV1_0001835","p.persica_gdr_reftransV1_0001835")</f>
        <v>p.persica_gdr_reftransV1_0001835</v>
      </c>
      <c r="B9863" s="3">
        <v>2277</v>
      </c>
      <c r="C9863" s="1" t="str">
        <f>HYPERLINK("http://www.uniprot.org/uniprot/G6PD4_ARATH","G6PD4_ARATH")</f>
        <v>G6PD4_ARATH</v>
      </c>
      <c r="D9863" t="s">
        <v>7275</v>
      </c>
      <c r="E9863" s="3" t="s">
        <v>3</v>
      </c>
      <c r="F9863" s="4">
        <v>0</v>
      </c>
      <c r="G9863" s="3">
        <v>2089</v>
      </c>
      <c r="H9863" s="3">
        <v>67</v>
      </c>
      <c r="I9863" s="3">
        <v>603</v>
      </c>
      <c r="J9863" s="3">
        <v>240</v>
      </c>
      <c r="K9863" s="3">
        <v>2045</v>
      </c>
      <c r="L9863" s="3">
        <v>41</v>
      </c>
      <c r="M9863" s="3">
        <v>625</v>
      </c>
    </row>
    <row r="9864" spans="1:13" x14ac:dyDescent="0.25">
      <c r="A9864" s="1" t="str">
        <f>HYPERLINK("http://www.rosaceae.org/Prunus/Prunus_persica/p.persica_gdr_reftransV1_0001935","p.persica_gdr_reftransV1_0001935")</f>
        <v>p.persica_gdr_reftransV1_0001935</v>
      </c>
      <c r="B9864" s="3">
        <v>2777</v>
      </c>
      <c r="C9864" s="1" t="str">
        <f>HYPERLINK("http://www.uniprot.org/uniprot/Y4729_ARATH","Y4729_ARATH")</f>
        <v>Y4729_ARATH</v>
      </c>
      <c r="D9864" t="s">
        <v>334</v>
      </c>
      <c r="E9864" s="3" t="s">
        <v>3</v>
      </c>
      <c r="F9864" s="4">
        <v>0</v>
      </c>
      <c r="G9864" s="3">
        <v>1809</v>
      </c>
      <c r="H9864" s="3">
        <v>49</v>
      </c>
      <c r="I9864" s="3">
        <v>796</v>
      </c>
      <c r="J9864" s="3">
        <v>39</v>
      </c>
      <c r="K9864" s="3">
        <v>2375</v>
      </c>
      <c r="L9864" s="3">
        <v>4</v>
      </c>
      <c r="M9864" s="3">
        <v>763</v>
      </c>
    </row>
    <row r="9865" spans="1:13" x14ac:dyDescent="0.25">
      <c r="A9865" s="1" t="str">
        <f>HYPERLINK("http://www.rosaceae.org/Prunus/Prunus_persica/p.persica_gdr_reftransV1_0002085","p.persica_gdr_reftransV1_0002085")</f>
        <v>p.persica_gdr_reftransV1_0002085</v>
      </c>
      <c r="B9865" s="3">
        <v>2318</v>
      </c>
      <c r="C9865" s="1" t="str">
        <f>HYPERLINK("http://www.uniprot.org/uniprot/CSLE1_ARATH","CSLE1_ARATH")</f>
        <v>CSLE1_ARATH</v>
      </c>
      <c r="D9865" t="s">
        <v>4194</v>
      </c>
      <c r="E9865" s="3" t="s">
        <v>3</v>
      </c>
      <c r="F9865" s="4">
        <v>0</v>
      </c>
      <c r="G9865" s="3">
        <v>2132</v>
      </c>
      <c r="H9865" s="3">
        <v>57</v>
      </c>
      <c r="I9865" s="3">
        <v>739</v>
      </c>
      <c r="J9865" s="3">
        <v>35</v>
      </c>
      <c r="K9865" s="3">
        <v>2218</v>
      </c>
      <c r="L9865" s="3">
        <v>18</v>
      </c>
      <c r="M9865" s="3">
        <v>726</v>
      </c>
    </row>
    <row r="9866" spans="1:13" x14ac:dyDescent="0.25">
      <c r="A9866" s="1" t="str">
        <f>HYPERLINK("http://www.rosaceae.org/Prunus/Prunus_persica/p.persica_gdr_reftransV1_0002185","p.persica_gdr_reftransV1_0002185")</f>
        <v>p.persica_gdr_reftransV1_0002185</v>
      </c>
      <c r="B9866" s="3">
        <v>2123</v>
      </c>
      <c r="C9866" s="1" t="str">
        <f>HYPERLINK("http://www.uniprot.org/uniprot/CBSX6_ARATH","CBSX6_ARATH")</f>
        <v>CBSX6_ARATH</v>
      </c>
      <c r="D9866" t="s">
        <v>4701</v>
      </c>
      <c r="E9866" s="3" t="s">
        <v>3</v>
      </c>
      <c r="F9866" s="4">
        <v>0</v>
      </c>
      <c r="G9866" s="3">
        <v>1427</v>
      </c>
      <c r="H9866" s="3">
        <v>71</v>
      </c>
      <c r="I9866" s="3">
        <v>424</v>
      </c>
      <c r="J9866" s="3">
        <v>670</v>
      </c>
      <c r="K9866" s="3">
        <v>1917</v>
      </c>
      <c r="L9866" s="3">
        <v>1</v>
      </c>
      <c r="M9866" s="3">
        <v>418</v>
      </c>
    </row>
    <row r="9867" spans="1:13" x14ac:dyDescent="0.25">
      <c r="A9867" s="1" t="str">
        <f>HYPERLINK("http://www.rosaceae.org/Prunus/Prunus_persica/p.persica_gdr_reftransV1_0002235","p.persica_gdr_reftransV1_0002235")</f>
        <v>p.persica_gdr_reftransV1_0002235</v>
      </c>
      <c r="B9867" s="3">
        <v>2509</v>
      </c>
      <c r="C9867" s="1" t="str">
        <f>HYPERLINK("http://www.uniprot.org/uniprot/SUT41_ARATH","SUT41_ARATH")</f>
        <v>SUT41_ARATH</v>
      </c>
      <c r="D9867" t="s">
        <v>7276</v>
      </c>
      <c r="E9867" s="3" t="s">
        <v>3</v>
      </c>
      <c r="F9867" s="4">
        <v>0</v>
      </c>
      <c r="G9867" s="3">
        <v>1491</v>
      </c>
      <c r="H9867" s="3">
        <v>78</v>
      </c>
      <c r="I9867" s="3">
        <v>399</v>
      </c>
      <c r="J9867" s="3">
        <v>434</v>
      </c>
      <c r="K9867" s="3">
        <v>1630</v>
      </c>
      <c r="L9867" s="3">
        <v>250</v>
      </c>
      <c r="M9867" s="3">
        <v>648</v>
      </c>
    </row>
    <row r="9868" spans="1:13" x14ac:dyDescent="0.25">
      <c r="A9868" s="1" t="str">
        <f>HYPERLINK("http://www.rosaceae.org/Prunus/Prunus_persica/p.persica_gdr_reftransV1_0002285","p.persica_gdr_reftransV1_0002285")</f>
        <v>p.persica_gdr_reftransV1_0002285</v>
      </c>
      <c r="B9868" s="3">
        <v>799</v>
      </c>
      <c r="C9868" s="1" t="str">
        <f>HYPERLINK("http://www.uniprot.org/uniprot/QAY_NEUCR","QAY_NEUCR")</f>
        <v>QAY_NEUCR</v>
      </c>
      <c r="D9868" t="s">
        <v>434</v>
      </c>
      <c r="E9868" s="3" t="s">
        <v>435</v>
      </c>
      <c r="F9868" s="4">
        <v>3.7500000000000002E-41</v>
      </c>
      <c r="G9868" s="3">
        <v>386</v>
      </c>
      <c r="H9868" s="3">
        <v>36</v>
      </c>
      <c r="I9868" s="3">
        <v>274</v>
      </c>
      <c r="J9868" s="3">
        <v>2</v>
      </c>
      <c r="K9868" s="3">
        <v>796</v>
      </c>
      <c r="L9868" s="3">
        <v>133</v>
      </c>
      <c r="M9868" s="3">
        <v>400</v>
      </c>
    </row>
    <row r="9869" spans="1:13" x14ac:dyDescent="0.25">
      <c r="A9869" s="1" t="str">
        <f>HYPERLINK("http://www.rosaceae.org/Prunus/Prunus_persica/p.persica_gdr_reftransV1_0002335","p.persica_gdr_reftransV1_0002335")</f>
        <v>p.persica_gdr_reftransV1_0002335</v>
      </c>
      <c r="B9869" s="3">
        <v>322</v>
      </c>
      <c r="C9869" s="1" t="str">
        <f>HYPERLINK("http://www.uniprot.org/uniprot/AB11B_ARATH","AB11B_ARATH")</f>
        <v>AB11B_ARATH</v>
      </c>
      <c r="D9869" t="s">
        <v>686</v>
      </c>
      <c r="E9869" s="3" t="s">
        <v>3</v>
      </c>
      <c r="F9869" s="4">
        <v>1.78E-42</v>
      </c>
      <c r="G9869" s="3">
        <v>388</v>
      </c>
      <c r="H9869" s="3">
        <v>79</v>
      </c>
      <c r="I9869" s="3">
        <v>107</v>
      </c>
      <c r="J9869" s="3">
        <v>2</v>
      </c>
      <c r="K9869" s="3">
        <v>322</v>
      </c>
      <c r="L9869" s="3">
        <v>999</v>
      </c>
      <c r="M9869" s="3">
        <v>1105</v>
      </c>
    </row>
    <row r="9870" spans="1:13" x14ac:dyDescent="0.25">
      <c r="A9870" s="1" t="str">
        <f>HYPERLINK("http://www.rosaceae.org/Prunus/Prunus_persica/p.persica_gdr_reftransV1_0002385","p.persica_gdr_reftransV1_0002385")</f>
        <v>p.persica_gdr_reftransV1_0002385</v>
      </c>
      <c r="B9870" s="3">
        <v>1178</v>
      </c>
      <c r="C9870" s="1" t="str">
        <f>HYPERLINK("http://www.uniprot.org/uniprot/UTP11_ORYSJ","UTP11_ORYSJ")</f>
        <v>UTP11_ORYSJ</v>
      </c>
      <c r="D9870" t="s">
        <v>3808</v>
      </c>
      <c r="E9870" s="3" t="s">
        <v>38</v>
      </c>
      <c r="F9870" s="4">
        <v>2.7000000000000002E-101</v>
      </c>
      <c r="G9870" s="3">
        <v>785</v>
      </c>
      <c r="H9870" s="3">
        <v>71</v>
      </c>
      <c r="I9870" s="3">
        <v>226</v>
      </c>
      <c r="J9870" s="3">
        <v>238</v>
      </c>
      <c r="K9870" s="3">
        <v>909</v>
      </c>
      <c r="L9870" s="3">
        <v>5</v>
      </c>
      <c r="M9870" s="3">
        <v>229</v>
      </c>
    </row>
    <row r="9871" spans="1:13" x14ac:dyDescent="0.25">
      <c r="A9871" s="1" t="str">
        <f>HYPERLINK("http://www.rosaceae.org/Prunus/Prunus_persica/p.persica_gdr_reftransV1_0002435","p.persica_gdr_reftransV1_0002435")</f>
        <v>p.persica_gdr_reftransV1_0002435</v>
      </c>
      <c r="B9871" s="3">
        <v>435</v>
      </c>
      <c r="C9871" s="1" t="str">
        <f>HYPERLINK("http://www.uniprot.org/uniprot/MTDH_FRAAN","MTDH_FRAAN")</f>
        <v>MTDH_FRAAN</v>
      </c>
      <c r="D9871" t="s">
        <v>54</v>
      </c>
      <c r="E9871" s="3" t="s">
        <v>15</v>
      </c>
      <c r="F9871" s="4">
        <v>1.9900000000000001E-69</v>
      </c>
      <c r="G9871" s="3">
        <v>559</v>
      </c>
      <c r="H9871" s="3">
        <v>68</v>
      </c>
      <c r="I9871" s="3">
        <v>145</v>
      </c>
      <c r="J9871" s="3">
        <v>1</v>
      </c>
      <c r="K9871" s="3">
        <v>435</v>
      </c>
      <c r="L9871" s="3">
        <v>15</v>
      </c>
      <c r="M9871" s="3">
        <v>159</v>
      </c>
    </row>
    <row r="9872" spans="1:13" x14ac:dyDescent="0.25">
      <c r="A9872" s="1" t="str">
        <f>HYPERLINK("http://www.rosaceae.org/Prunus/Prunus_persica/p.persica_gdr_reftransV1_0002535","p.persica_gdr_reftransV1_0002535")</f>
        <v>p.persica_gdr_reftransV1_0002535</v>
      </c>
      <c r="B9872" s="3">
        <v>1345</v>
      </c>
      <c r="C9872" s="1" t="str">
        <f>HYPERLINK("http://www.uniprot.org/uniprot/RAE1_ARATH","RAE1_ARATH")</f>
        <v>RAE1_ARATH</v>
      </c>
      <c r="D9872" t="s">
        <v>6795</v>
      </c>
      <c r="E9872" s="3" t="s">
        <v>3</v>
      </c>
      <c r="F9872" s="4">
        <v>0</v>
      </c>
      <c r="G9872" s="3">
        <v>1520</v>
      </c>
      <c r="H9872" s="3">
        <v>82</v>
      </c>
      <c r="I9872" s="3">
        <v>331</v>
      </c>
      <c r="J9872" s="3">
        <v>250</v>
      </c>
      <c r="K9872" s="3">
        <v>1236</v>
      </c>
      <c r="L9872" s="3">
        <v>19</v>
      </c>
      <c r="M9872" s="3">
        <v>349</v>
      </c>
    </row>
    <row r="9873" spans="1:13" x14ac:dyDescent="0.25">
      <c r="A9873" s="1" t="str">
        <f>HYPERLINK("http://www.rosaceae.org/Prunus/Prunus_persica/p.persica_gdr_reftransV1_0002585","p.persica_gdr_reftransV1_0002585")</f>
        <v>p.persica_gdr_reftransV1_0002585</v>
      </c>
      <c r="B9873" s="3">
        <v>3304</v>
      </c>
      <c r="C9873" s="1" t="str">
        <f>HYPERLINK("http://www.uniprot.org/uniprot/AROA_PETHY","AROA_PETHY")</f>
        <v>AROA_PETHY</v>
      </c>
      <c r="D9873" t="s">
        <v>7277</v>
      </c>
      <c r="E9873" s="3" t="s">
        <v>509</v>
      </c>
      <c r="F9873" s="4">
        <v>0</v>
      </c>
      <c r="G9873" s="3">
        <v>1969</v>
      </c>
      <c r="H9873" s="3">
        <v>80</v>
      </c>
      <c r="I9873" s="3">
        <v>525</v>
      </c>
      <c r="J9873" s="3">
        <v>33</v>
      </c>
      <c r="K9873" s="3">
        <v>1604</v>
      </c>
      <c r="L9873" s="3">
        <v>1</v>
      </c>
      <c r="M9873" s="3">
        <v>516</v>
      </c>
    </row>
    <row r="9874" spans="1:13" x14ac:dyDescent="0.25">
      <c r="A9874" s="1" t="str">
        <f>HYPERLINK("http://www.rosaceae.org/Prunus/Prunus_persica/p.persica_gdr_reftransV1_0002635","p.persica_gdr_reftransV1_0002635")</f>
        <v>p.persica_gdr_reftransV1_0002635</v>
      </c>
      <c r="B9874" s="3">
        <v>323</v>
      </c>
      <c r="C9874" s="1" t="str">
        <f>HYPERLINK("http://www.uniprot.org/uniprot/GSP1_NEUCR","GSP1_NEUCR")</f>
        <v>GSP1_NEUCR</v>
      </c>
      <c r="D9874" t="s">
        <v>7278</v>
      </c>
      <c r="E9874" s="3" t="s">
        <v>435</v>
      </c>
      <c r="F9874" s="4">
        <v>3.3200000000000002E-72</v>
      </c>
      <c r="G9874" s="3">
        <v>561</v>
      </c>
      <c r="H9874" s="3">
        <v>97</v>
      </c>
      <c r="I9874" s="3">
        <v>107</v>
      </c>
      <c r="J9874" s="3">
        <v>2</v>
      </c>
      <c r="K9874" s="3">
        <v>322</v>
      </c>
      <c r="L9874" s="3">
        <v>78</v>
      </c>
      <c r="M9874" s="3">
        <v>184</v>
      </c>
    </row>
    <row r="9875" spans="1:13" x14ac:dyDescent="0.25">
      <c r="A9875" s="1" t="str">
        <f>HYPERLINK("http://www.rosaceae.org/Prunus/Prunus_persica/p.persica_gdr_reftransV1_0002735","p.persica_gdr_reftransV1_0002735")</f>
        <v>p.persica_gdr_reftransV1_0002735</v>
      </c>
      <c r="B9875" s="3">
        <v>1145</v>
      </c>
      <c r="C9875" s="1" t="str">
        <f>HYPERLINK("http://www.uniprot.org/uniprot/GBF1_ARATH","GBF1_ARATH")</f>
        <v>GBF1_ARATH</v>
      </c>
      <c r="D9875" t="s">
        <v>1052</v>
      </c>
      <c r="E9875" s="3" t="s">
        <v>3</v>
      </c>
      <c r="F9875" s="4">
        <v>9.01E-13</v>
      </c>
      <c r="G9875" s="3">
        <v>175</v>
      </c>
      <c r="H9875" s="3">
        <v>40</v>
      </c>
      <c r="I9875" s="3">
        <v>201</v>
      </c>
      <c r="J9875" s="3">
        <v>272</v>
      </c>
      <c r="K9875" s="3">
        <v>844</v>
      </c>
      <c r="L9875" s="3">
        <v>128</v>
      </c>
      <c r="M9875" s="3">
        <v>311</v>
      </c>
    </row>
    <row r="9876" spans="1:13" x14ac:dyDescent="0.25">
      <c r="A9876" s="1" t="str">
        <f>HYPERLINK("http://www.rosaceae.org/Prunus/Prunus_persica/p.persica_gdr_reftransV1_0002785","p.persica_gdr_reftransV1_0002785")</f>
        <v>p.persica_gdr_reftransV1_0002785</v>
      </c>
      <c r="B9876" s="3">
        <v>666</v>
      </c>
      <c r="C9876" s="1" t="str">
        <f>HYPERLINK("http://www.uniprot.org/uniprot/GDL48_ARATH","GDL48_ARATH")</f>
        <v>GDL48_ARATH</v>
      </c>
      <c r="D9876" t="s">
        <v>7279</v>
      </c>
      <c r="E9876" s="3" t="s">
        <v>3</v>
      </c>
      <c r="F9876" s="4">
        <v>6.2100000000000002E-81</v>
      </c>
      <c r="G9876" s="3">
        <v>643</v>
      </c>
      <c r="H9876" s="3">
        <v>68</v>
      </c>
      <c r="I9876" s="3">
        <v>177</v>
      </c>
      <c r="J9876" s="3">
        <v>4</v>
      </c>
      <c r="K9876" s="3">
        <v>531</v>
      </c>
      <c r="L9876" s="3">
        <v>1</v>
      </c>
      <c r="M9876" s="3">
        <v>177</v>
      </c>
    </row>
    <row r="9877" spans="1:13" x14ac:dyDescent="0.25">
      <c r="A9877" s="1" t="str">
        <f>HYPERLINK("http://www.rosaceae.org/Prunus/Prunus_persica/p.persica_gdr_reftransV1_0002835","p.persica_gdr_reftransV1_0002835")</f>
        <v>p.persica_gdr_reftransV1_0002835</v>
      </c>
      <c r="B9877" s="3">
        <v>1135</v>
      </c>
      <c r="C9877" s="1" t="str">
        <f>HYPERLINK("http://www.uniprot.org/uniprot/RCE1_ARATH","RCE1_ARATH")</f>
        <v>RCE1_ARATH</v>
      </c>
      <c r="D9877" t="s">
        <v>279</v>
      </c>
      <c r="E9877" s="3" t="s">
        <v>3</v>
      </c>
      <c r="F9877" s="4">
        <v>5.2899999999999999E-111</v>
      </c>
      <c r="G9877" s="3">
        <v>843</v>
      </c>
      <c r="H9877" s="3">
        <v>84</v>
      </c>
      <c r="I9877" s="3">
        <v>184</v>
      </c>
      <c r="J9877" s="3">
        <v>218</v>
      </c>
      <c r="K9877" s="3">
        <v>766</v>
      </c>
      <c r="L9877" s="3">
        <v>1</v>
      </c>
      <c r="M9877" s="3">
        <v>184</v>
      </c>
    </row>
    <row r="9878" spans="1:13" x14ac:dyDescent="0.25">
      <c r="A9878" s="1" t="str">
        <f>HYPERLINK("http://www.rosaceae.org/Prunus/Prunus_persica/p.persica_gdr_reftransV1_0002885","p.persica_gdr_reftransV1_0002885")</f>
        <v>p.persica_gdr_reftransV1_0002885</v>
      </c>
      <c r="B9878" s="3">
        <v>382</v>
      </c>
      <c r="C9878" s="1" t="str">
        <f>HYPERLINK("http://www.uniprot.org/uniprot/AB10C_ARATH","AB10C_ARATH")</f>
        <v>AB10C_ARATH</v>
      </c>
      <c r="D9878" t="s">
        <v>1068</v>
      </c>
      <c r="E9878" s="3" t="s">
        <v>3</v>
      </c>
      <c r="F9878" s="4">
        <v>2.8099999999999999E-27</v>
      </c>
      <c r="G9878" s="3">
        <v>277</v>
      </c>
      <c r="H9878" s="3">
        <v>44</v>
      </c>
      <c r="I9878" s="3">
        <v>129</v>
      </c>
      <c r="J9878" s="3">
        <v>2</v>
      </c>
      <c r="K9878" s="3">
        <v>379</v>
      </c>
      <c r="L9878" s="3">
        <v>795</v>
      </c>
      <c r="M9878" s="3">
        <v>918</v>
      </c>
    </row>
    <row r="9879" spans="1:13" x14ac:dyDescent="0.25">
      <c r="A9879" s="1" t="str">
        <f>HYPERLINK("http://www.rosaceae.org/Prunus/Prunus_persica/p.persica_gdr_reftransV1_0003035","p.persica_gdr_reftransV1_0003035")</f>
        <v>p.persica_gdr_reftransV1_0003035</v>
      </c>
      <c r="B9879" s="3">
        <v>1581</v>
      </c>
      <c r="C9879" s="1" t="str">
        <f>HYPERLINK("http://www.uniprot.org/uniprot/CTL1_ARATH","CTL1_ARATH")</f>
        <v>CTL1_ARATH</v>
      </c>
      <c r="D9879" t="s">
        <v>7280</v>
      </c>
      <c r="E9879" s="3" t="s">
        <v>3</v>
      </c>
      <c r="F9879" s="4">
        <v>1.6E-175</v>
      </c>
      <c r="G9879" s="3">
        <v>1299</v>
      </c>
      <c r="H9879" s="3">
        <v>81</v>
      </c>
      <c r="I9879" s="3">
        <v>284</v>
      </c>
      <c r="J9879" s="3">
        <v>440</v>
      </c>
      <c r="K9879" s="3">
        <v>1291</v>
      </c>
      <c r="L9879" s="3">
        <v>30</v>
      </c>
      <c r="M9879" s="3">
        <v>313</v>
      </c>
    </row>
    <row r="9880" spans="1:13" x14ac:dyDescent="0.25">
      <c r="A9880" s="1" t="str">
        <f>HYPERLINK("http://www.rosaceae.org/Prunus/Prunus_persica/p.persica_gdr_reftransV1_0003285","p.persica_gdr_reftransV1_0003285")</f>
        <v>p.persica_gdr_reftransV1_0003285</v>
      </c>
      <c r="B9880" s="3">
        <v>401</v>
      </c>
      <c r="C9880" s="1" t="str">
        <f>HYPERLINK("http://www.uniprot.org/uniprot/TMVRN_NICGU","TMVRN_NICGU")</f>
        <v>TMVRN_NICGU</v>
      </c>
      <c r="D9880" t="s">
        <v>151</v>
      </c>
      <c r="E9880" s="3" t="s">
        <v>152</v>
      </c>
      <c r="F9880" s="4">
        <v>7.3599999999999999E-13</v>
      </c>
      <c r="G9880" s="3">
        <v>168</v>
      </c>
      <c r="H9880" s="3">
        <v>37</v>
      </c>
      <c r="I9880" s="3">
        <v>134</v>
      </c>
      <c r="J9880" s="3">
        <v>1</v>
      </c>
      <c r="K9880" s="3">
        <v>396</v>
      </c>
      <c r="L9880" s="3">
        <v>767</v>
      </c>
      <c r="M9880" s="3">
        <v>883</v>
      </c>
    </row>
    <row r="9881" spans="1:13" x14ac:dyDescent="0.25">
      <c r="A9881" s="1" t="str">
        <f>HYPERLINK("http://www.rosaceae.org/Prunus/Prunus_persica/p.persica_gdr_reftransV1_0003335","p.persica_gdr_reftransV1_0003335")</f>
        <v>p.persica_gdr_reftransV1_0003335</v>
      </c>
      <c r="B9881" s="3">
        <v>2271</v>
      </c>
      <c r="C9881" s="1" t="str">
        <f>HYPERLINK("http://www.uniprot.org/uniprot/KPYC_SOYBN","KPYC_SOYBN")</f>
        <v>KPYC_SOYBN</v>
      </c>
      <c r="D9881" t="s">
        <v>6879</v>
      </c>
      <c r="E9881" s="3" t="s">
        <v>307</v>
      </c>
      <c r="F9881" s="4">
        <v>0</v>
      </c>
      <c r="G9881" s="3">
        <v>2496</v>
      </c>
      <c r="H9881" s="3">
        <v>92</v>
      </c>
      <c r="I9881" s="3">
        <v>511</v>
      </c>
      <c r="J9881" s="3">
        <v>312</v>
      </c>
      <c r="K9881" s="3">
        <v>1841</v>
      </c>
      <c r="L9881" s="3">
        <v>1</v>
      </c>
      <c r="M9881" s="3">
        <v>511</v>
      </c>
    </row>
    <row r="9882" spans="1:13" x14ac:dyDescent="0.25">
      <c r="A9882" s="1" t="str">
        <f>HYPERLINK("http://www.rosaceae.org/Prunus/Prunus_persica/p.persica_gdr_reftransV1_0003435","p.persica_gdr_reftransV1_0003435")</f>
        <v>p.persica_gdr_reftransV1_0003435</v>
      </c>
      <c r="B9882" s="3">
        <v>1328</v>
      </c>
      <c r="C9882" s="1" t="str">
        <f>HYPERLINK("http://www.uniprot.org/uniprot/APG2_ARATH","APG2_ARATH")</f>
        <v>APG2_ARATH</v>
      </c>
      <c r="D9882" t="s">
        <v>7281</v>
      </c>
      <c r="E9882" s="3" t="s">
        <v>3</v>
      </c>
      <c r="F9882" s="4">
        <v>4.27E-180</v>
      </c>
      <c r="G9882" s="3">
        <v>1324</v>
      </c>
      <c r="H9882" s="3">
        <v>75</v>
      </c>
      <c r="I9882" s="3">
        <v>322</v>
      </c>
      <c r="J9882" s="3">
        <v>213</v>
      </c>
      <c r="K9882" s="3">
        <v>1178</v>
      </c>
      <c r="L9882" s="3">
        <v>27</v>
      </c>
      <c r="M9882" s="3">
        <v>348</v>
      </c>
    </row>
    <row r="9883" spans="1:13" x14ac:dyDescent="0.25">
      <c r="A9883" s="1" t="str">
        <f>HYPERLINK("http://www.rosaceae.org/Prunus/Prunus_persica/p.persica_gdr_reftransV1_0003485","p.persica_gdr_reftransV1_0003485")</f>
        <v>p.persica_gdr_reftransV1_0003485</v>
      </c>
      <c r="B9883" s="3">
        <v>2191</v>
      </c>
      <c r="C9883" s="1" t="str">
        <f>HYPERLINK("http://www.uniprot.org/uniprot/NUG2_ARATH","NUG2_ARATH")</f>
        <v>NUG2_ARATH</v>
      </c>
      <c r="D9883" t="s">
        <v>7282</v>
      </c>
      <c r="E9883" s="3" t="s">
        <v>3</v>
      </c>
      <c r="F9883" s="4">
        <v>0</v>
      </c>
      <c r="G9883" s="3">
        <v>1922</v>
      </c>
      <c r="H9883" s="3">
        <v>72</v>
      </c>
      <c r="I9883" s="3">
        <v>516</v>
      </c>
      <c r="J9883" s="3">
        <v>118</v>
      </c>
      <c r="K9883" s="3">
        <v>1653</v>
      </c>
      <c r="L9883" s="3">
        <v>1</v>
      </c>
      <c r="M9883" s="3">
        <v>515</v>
      </c>
    </row>
    <row r="9884" spans="1:13" x14ac:dyDescent="0.25">
      <c r="A9884" s="1" t="str">
        <f>HYPERLINK("http://www.rosaceae.org/Prunus/Prunus_persica/p.persica_gdr_reftransV1_0003635","p.persica_gdr_reftransV1_0003635")</f>
        <v>p.persica_gdr_reftransV1_0003635</v>
      </c>
      <c r="B9884" s="3">
        <v>3094</v>
      </c>
      <c r="C9884" s="1" t="str">
        <f>HYPERLINK("http://www.uniprot.org/uniprot/PAPS1_ARATH","PAPS1_ARATH")</f>
        <v>PAPS1_ARATH</v>
      </c>
      <c r="D9884" t="s">
        <v>7283</v>
      </c>
      <c r="E9884" s="3" t="s">
        <v>3</v>
      </c>
      <c r="F9884" s="4">
        <v>0</v>
      </c>
      <c r="G9884" s="3">
        <v>2223</v>
      </c>
      <c r="H9884" s="3">
        <v>83</v>
      </c>
      <c r="I9884" s="3">
        <v>502</v>
      </c>
      <c r="J9884" s="3">
        <v>1015</v>
      </c>
      <c r="K9884" s="3">
        <v>2520</v>
      </c>
      <c r="L9884" s="3">
        <v>3</v>
      </c>
      <c r="M9884" s="3">
        <v>503</v>
      </c>
    </row>
    <row r="9885" spans="1:13" x14ac:dyDescent="0.25">
      <c r="A9885" s="1" t="str">
        <f>HYPERLINK("http://www.rosaceae.org/Prunus/Prunus_persica/p.persica_gdr_reftransV1_0003685","p.persica_gdr_reftransV1_0003685")</f>
        <v>p.persica_gdr_reftransV1_0003685</v>
      </c>
      <c r="B9885" s="3">
        <v>3894</v>
      </c>
      <c r="C9885" s="1" t="str">
        <f>HYPERLINK("http://www.uniprot.org/uniprot/XPO4_HUMAN","XPO4_HUMAN")</f>
        <v>XPO4_HUMAN</v>
      </c>
      <c r="D9885" t="s">
        <v>7284</v>
      </c>
      <c r="E9885" s="3" t="s">
        <v>28</v>
      </c>
      <c r="F9885" s="4">
        <v>2.6699999999999999E-57</v>
      </c>
      <c r="G9885" s="3">
        <v>562</v>
      </c>
      <c r="H9885" s="3">
        <v>26</v>
      </c>
      <c r="I9885" s="3">
        <v>700</v>
      </c>
      <c r="J9885" s="3">
        <v>274</v>
      </c>
      <c r="K9885" s="3">
        <v>2205</v>
      </c>
      <c r="L9885" s="3">
        <v>476</v>
      </c>
      <c r="M9885" s="3">
        <v>1148</v>
      </c>
    </row>
    <row r="9886" spans="1:13" x14ac:dyDescent="0.25">
      <c r="A9886" s="1" t="str">
        <f>HYPERLINK("http://www.rosaceae.org/Prunus/Prunus_persica/p.persica_gdr_reftransV1_0003735","p.persica_gdr_reftransV1_0003735")</f>
        <v>p.persica_gdr_reftransV1_0003735</v>
      </c>
      <c r="B9886" s="3">
        <v>1691</v>
      </c>
      <c r="C9886" s="1" t="str">
        <f>HYPERLINK("http://www.uniprot.org/uniprot/PCO2_ARATH","PCO2_ARATH")</f>
        <v>PCO2_ARATH</v>
      </c>
      <c r="D9886" t="s">
        <v>5187</v>
      </c>
      <c r="E9886" s="3" t="s">
        <v>3</v>
      </c>
      <c r="F9886" s="4">
        <v>1.49E-71</v>
      </c>
      <c r="G9886" s="3">
        <v>604</v>
      </c>
      <c r="H9886" s="3">
        <v>49</v>
      </c>
      <c r="I9886" s="3">
        <v>249</v>
      </c>
      <c r="J9886" s="3">
        <v>413</v>
      </c>
      <c r="K9886" s="3">
        <v>1141</v>
      </c>
      <c r="L9886" s="3">
        <v>33</v>
      </c>
      <c r="M9886" s="3">
        <v>276</v>
      </c>
    </row>
    <row r="9887" spans="1:13" x14ac:dyDescent="0.25">
      <c r="A9887" s="1" t="str">
        <f>HYPERLINK("http://www.rosaceae.org/Prunus/Prunus_persica/p.persica_gdr_reftransV1_0003785","p.persica_gdr_reftransV1_0003785")</f>
        <v>p.persica_gdr_reftransV1_0003785</v>
      </c>
      <c r="B9887" s="3">
        <v>971</v>
      </c>
      <c r="C9887" s="1" t="str">
        <f>HYPERLINK("http://www.uniprot.org/uniprot/TI205_ARATH","TI205_ARATH")</f>
        <v>TI205_ARATH</v>
      </c>
      <c r="D9887" t="s">
        <v>7285</v>
      </c>
      <c r="E9887" s="3" t="s">
        <v>3</v>
      </c>
      <c r="F9887" s="4">
        <v>6.55E-84</v>
      </c>
      <c r="G9887" s="3">
        <v>661</v>
      </c>
      <c r="H9887" s="3">
        <v>71</v>
      </c>
      <c r="I9887" s="3">
        <v>192</v>
      </c>
      <c r="J9887" s="3">
        <v>232</v>
      </c>
      <c r="K9887" s="3">
        <v>777</v>
      </c>
      <c r="L9887" s="3">
        <v>18</v>
      </c>
      <c r="M9887" s="3">
        <v>208</v>
      </c>
    </row>
    <row r="9888" spans="1:13" x14ac:dyDescent="0.25">
      <c r="A9888" s="1" t="str">
        <f>HYPERLINK("http://www.rosaceae.org/Prunus/Prunus_persica/p.persica_gdr_reftransV1_0003835","p.persica_gdr_reftransV1_0003835")</f>
        <v>p.persica_gdr_reftransV1_0003835</v>
      </c>
      <c r="B9888" s="3">
        <v>1625</v>
      </c>
      <c r="C9888" s="1" t="str">
        <f>HYPERLINK("http://www.uniprot.org/uniprot/C3H1_ARATH","C3H1_ARATH")</f>
        <v>C3H1_ARATH</v>
      </c>
      <c r="D9888" t="s">
        <v>7286</v>
      </c>
      <c r="E9888" s="3" t="s">
        <v>3</v>
      </c>
      <c r="F9888" s="4">
        <v>1.8000000000000001E-154</v>
      </c>
      <c r="G9888" s="3">
        <v>1163</v>
      </c>
      <c r="H9888" s="3">
        <v>72</v>
      </c>
      <c r="I9888" s="3">
        <v>308</v>
      </c>
      <c r="J9888" s="3">
        <v>324</v>
      </c>
      <c r="K9888" s="3">
        <v>1235</v>
      </c>
      <c r="L9888" s="3">
        <v>28</v>
      </c>
      <c r="M9888" s="3">
        <v>335</v>
      </c>
    </row>
    <row r="9889" spans="1:13" x14ac:dyDescent="0.25">
      <c r="A9889" s="1" t="str">
        <f>HYPERLINK("http://www.rosaceae.org/Prunus/Prunus_persica/p.persica_gdr_reftransV1_0004035","p.persica_gdr_reftransV1_0004035")</f>
        <v>p.persica_gdr_reftransV1_0004035</v>
      </c>
      <c r="B9889" s="3">
        <v>302</v>
      </c>
      <c r="C9889" s="1" t="str">
        <f>HYPERLINK("http://www.uniprot.org/uniprot/ADH1_NEUCR","ADH1_NEUCR")</f>
        <v>ADH1_NEUCR</v>
      </c>
      <c r="D9889" t="s">
        <v>2484</v>
      </c>
      <c r="E9889" s="3" t="s">
        <v>435</v>
      </c>
      <c r="F9889" s="4">
        <v>1.3000000000000001E-46</v>
      </c>
      <c r="G9889" s="3">
        <v>400</v>
      </c>
      <c r="H9889" s="3">
        <v>70</v>
      </c>
      <c r="I9889" s="3">
        <v>100</v>
      </c>
      <c r="J9889" s="3">
        <v>1</v>
      </c>
      <c r="K9889" s="3">
        <v>300</v>
      </c>
      <c r="L9889" s="3">
        <v>189</v>
      </c>
      <c r="M9889" s="3">
        <v>288</v>
      </c>
    </row>
    <row r="9890" spans="1:13" x14ac:dyDescent="0.25">
      <c r="A9890" s="1" t="str">
        <f>HYPERLINK("http://www.rosaceae.org/Prunus/Prunus_persica/p.persica_gdr_reftransV1_0004085","p.persica_gdr_reftransV1_0004085")</f>
        <v>p.persica_gdr_reftransV1_0004085</v>
      </c>
      <c r="B9890" s="3">
        <v>2112</v>
      </c>
      <c r="C9890" s="1" t="str">
        <f>HYPERLINK("http://www.uniprot.org/uniprot/LENG8_DANRE","LENG8_DANRE")</f>
        <v>LENG8_DANRE</v>
      </c>
      <c r="D9890" t="s">
        <v>7287</v>
      </c>
      <c r="E9890" s="3" t="s">
        <v>704</v>
      </c>
      <c r="F9890" s="4">
        <v>3.5300000000000002E-44</v>
      </c>
      <c r="G9890" s="3">
        <v>335</v>
      </c>
      <c r="H9890" s="3">
        <v>54</v>
      </c>
      <c r="I9890" s="3">
        <v>121</v>
      </c>
      <c r="J9890" s="3">
        <v>1008</v>
      </c>
      <c r="K9890" s="3">
        <v>1361</v>
      </c>
      <c r="L9890" s="3">
        <v>561</v>
      </c>
      <c r="M9890" s="3">
        <v>681</v>
      </c>
    </row>
    <row r="9891" spans="1:13" x14ac:dyDescent="0.25">
      <c r="A9891" s="1" t="str">
        <f>HYPERLINK("http://www.rosaceae.org/Prunus/Prunus_persica/p.persica_gdr_reftransV1_0004235","p.persica_gdr_reftransV1_0004235")</f>
        <v>p.persica_gdr_reftransV1_0004235</v>
      </c>
      <c r="B9891" s="3">
        <v>3009</v>
      </c>
      <c r="C9891" s="1" t="str">
        <f>HYPERLINK("http://www.uniprot.org/uniprot/Y1770_SYNY3","Y1770_SYNY3")</f>
        <v>Y1770_SYNY3</v>
      </c>
      <c r="D9891" t="s">
        <v>1663</v>
      </c>
      <c r="E9891" s="3" t="s">
        <v>527</v>
      </c>
      <c r="F9891" s="4">
        <v>2.7999999999999999E-161</v>
      </c>
      <c r="G9891" s="3">
        <v>1272</v>
      </c>
      <c r="H9891" s="3">
        <v>44</v>
      </c>
      <c r="I9891" s="3">
        <v>571</v>
      </c>
      <c r="J9891" s="3">
        <v>682</v>
      </c>
      <c r="K9891" s="3">
        <v>2379</v>
      </c>
      <c r="L9891" s="3">
        <v>33</v>
      </c>
      <c r="M9891" s="3">
        <v>564</v>
      </c>
    </row>
    <row r="9892" spans="1:13" x14ac:dyDescent="0.25">
      <c r="A9892" s="1" t="str">
        <f>HYPERLINK("http://www.rosaceae.org/Prunus/Prunus_persica/p.persica_gdr_reftransV1_0004385","p.persica_gdr_reftransV1_0004385")</f>
        <v>p.persica_gdr_reftransV1_0004385</v>
      </c>
      <c r="B9892" s="3">
        <v>713</v>
      </c>
      <c r="C9892" s="1" t="str">
        <f>HYPERLINK("http://www.uniprot.org/uniprot/ERF92_ARATH","ERF92_ARATH")</f>
        <v>ERF92_ARATH</v>
      </c>
      <c r="D9892" t="s">
        <v>3690</v>
      </c>
      <c r="E9892" s="3" t="s">
        <v>3</v>
      </c>
      <c r="F9892" s="4">
        <v>5.14E-46</v>
      </c>
      <c r="G9892" s="3">
        <v>400</v>
      </c>
      <c r="H9892" s="3">
        <v>56</v>
      </c>
      <c r="I9892" s="3">
        <v>186</v>
      </c>
      <c r="J9892" s="3">
        <v>159</v>
      </c>
      <c r="K9892" s="3">
        <v>713</v>
      </c>
      <c r="L9892" s="3">
        <v>36</v>
      </c>
      <c r="M9892" s="3">
        <v>209</v>
      </c>
    </row>
    <row r="9893" spans="1:13" x14ac:dyDescent="0.25">
      <c r="A9893" s="1" t="str">
        <f>HYPERLINK("http://www.rosaceae.org/Prunus/Prunus_persica/p.persica_gdr_reftransV1_0004485","p.persica_gdr_reftransV1_0004485")</f>
        <v>p.persica_gdr_reftransV1_0004485</v>
      </c>
      <c r="B9893" s="3">
        <v>1962</v>
      </c>
      <c r="C9893" s="1" t="str">
        <f>HYPERLINK("http://www.uniprot.org/uniprot/HA22A_ARATH","HA22A_ARATH")</f>
        <v>HA22A_ARATH</v>
      </c>
      <c r="D9893" t="s">
        <v>1633</v>
      </c>
      <c r="E9893" s="3" t="s">
        <v>3</v>
      </c>
      <c r="F9893" s="4">
        <v>9.9999999999999992E-25</v>
      </c>
      <c r="G9893" s="3">
        <v>265</v>
      </c>
      <c r="H9893" s="3">
        <v>42</v>
      </c>
      <c r="I9893" s="3">
        <v>144</v>
      </c>
      <c r="J9893" s="3">
        <v>1320</v>
      </c>
      <c r="K9893" s="3">
        <v>1748</v>
      </c>
      <c r="L9893" s="3">
        <v>16</v>
      </c>
      <c r="M9893" s="3">
        <v>157</v>
      </c>
    </row>
    <row r="9894" spans="1:13" x14ac:dyDescent="0.25">
      <c r="A9894" s="1" t="str">
        <f>HYPERLINK("http://www.rosaceae.org/Prunus/Prunus_persica/p.persica_gdr_reftransV1_0004635","p.persica_gdr_reftransV1_0004635")</f>
        <v>p.persica_gdr_reftransV1_0004635</v>
      </c>
      <c r="B9894" s="3">
        <v>1387</v>
      </c>
      <c r="C9894" s="1" t="str">
        <f>HYPERLINK("http://www.uniprot.org/uniprot/MET13_BOVIN","MET13_BOVIN")</f>
        <v>MET13_BOVIN</v>
      </c>
      <c r="D9894" t="s">
        <v>2320</v>
      </c>
      <c r="E9894" s="3" t="s">
        <v>184</v>
      </c>
      <c r="F9894" s="4">
        <v>8.6999999999999995E-26</v>
      </c>
      <c r="G9894" s="3">
        <v>285</v>
      </c>
      <c r="H9894" s="3">
        <v>38</v>
      </c>
      <c r="I9894" s="3">
        <v>161</v>
      </c>
      <c r="J9894" s="3">
        <v>784</v>
      </c>
      <c r="K9894" s="3">
        <v>1254</v>
      </c>
      <c r="L9894" s="3">
        <v>7</v>
      </c>
      <c r="M9894" s="3">
        <v>166</v>
      </c>
    </row>
    <row r="9895" spans="1:13" x14ac:dyDescent="0.25">
      <c r="A9895" s="1" t="str">
        <f>HYPERLINK("http://www.rosaceae.org/Prunus/Prunus_persica/p.persica_gdr_reftransV1_0004685","p.persica_gdr_reftransV1_0004685")</f>
        <v>p.persica_gdr_reftransV1_0004685</v>
      </c>
      <c r="B9895" s="3">
        <v>355</v>
      </c>
      <c r="C9895" s="1" t="str">
        <f>HYPERLINK("http://www.uniprot.org/uniprot/PLDA1_CARPA","PLDA1_CARPA")</f>
        <v>PLDA1_CARPA</v>
      </c>
      <c r="D9895" t="s">
        <v>7288</v>
      </c>
      <c r="E9895" s="3" t="s">
        <v>2630</v>
      </c>
      <c r="F9895" s="4">
        <v>5.0300000000000003E-62</v>
      </c>
      <c r="G9895" s="3">
        <v>527</v>
      </c>
      <c r="H9895" s="3">
        <v>80</v>
      </c>
      <c r="I9895" s="3">
        <v>117</v>
      </c>
      <c r="J9895" s="3">
        <v>5</v>
      </c>
      <c r="K9895" s="3">
        <v>355</v>
      </c>
      <c r="L9895" s="3">
        <v>307</v>
      </c>
      <c r="M9895" s="3">
        <v>423</v>
      </c>
    </row>
    <row r="9896" spans="1:13" x14ac:dyDescent="0.25">
      <c r="A9896" s="1" t="str">
        <f>HYPERLINK("http://www.rosaceae.org/Prunus/Prunus_persica/p.persica_gdr_reftransV1_0004835","p.persica_gdr_reftransV1_0004835")</f>
        <v>p.persica_gdr_reftransV1_0004835</v>
      </c>
      <c r="B9896" s="3">
        <v>4297</v>
      </c>
      <c r="C9896" s="1" t="str">
        <f>HYPERLINK("http://www.uniprot.org/uniprot/TMVRN_NICGU","TMVRN_NICGU")</f>
        <v>TMVRN_NICGU</v>
      </c>
      <c r="D9896" t="s">
        <v>151</v>
      </c>
      <c r="E9896" s="3" t="s">
        <v>152</v>
      </c>
      <c r="F9896" s="4">
        <v>1.41E-61</v>
      </c>
      <c r="G9896" s="3">
        <v>598</v>
      </c>
      <c r="H9896" s="3">
        <v>36</v>
      </c>
      <c r="I9896" s="3">
        <v>461</v>
      </c>
      <c r="J9896" s="3">
        <v>2</v>
      </c>
      <c r="K9896" s="3">
        <v>1282</v>
      </c>
      <c r="L9896" s="3">
        <v>460</v>
      </c>
      <c r="M9896" s="3">
        <v>911</v>
      </c>
    </row>
    <row r="9897" spans="1:13" x14ac:dyDescent="0.25">
      <c r="A9897" s="1" t="str">
        <f>HYPERLINK("http://www.rosaceae.org/Prunus/Prunus_persica/p.persica_gdr_reftransV1_0004885","p.persica_gdr_reftransV1_0004885")</f>
        <v>p.persica_gdr_reftransV1_0004885</v>
      </c>
      <c r="B9897" s="3">
        <v>345</v>
      </c>
      <c r="C9897" s="1" t="str">
        <f>HYPERLINK("http://www.uniprot.org/uniprot/ATK4_ARATH","ATK4_ARATH")</f>
        <v>ATK4_ARATH</v>
      </c>
      <c r="D9897" t="s">
        <v>3593</v>
      </c>
      <c r="E9897" s="3" t="s">
        <v>3</v>
      </c>
      <c r="F9897" s="4">
        <v>4.3199999999999999E-60</v>
      </c>
      <c r="G9897" s="3">
        <v>515</v>
      </c>
      <c r="H9897" s="3">
        <v>86</v>
      </c>
      <c r="I9897" s="3">
        <v>114</v>
      </c>
      <c r="J9897" s="3">
        <v>2</v>
      </c>
      <c r="K9897" s="3">
        <v>343</v>
      </c>
      <c r="L9897" s="3">
        <v>562</v>
      </c>
      <c r="M9897" s="3">
        <v>675</v>
      </c>
    </row>
    <row r="9898" spans="1:13" x14ac:dyDescent="0.25">
      <c r="A9898" s="1" t="str">
        <f>HYPERLINK("http://www.rosaceae.org/Prunus/Prunus_persica/p.persica_gdr_reftransV1_0004985","p.persica_gdr_reftransV1_0004985")</f>
        <v>p.persica_gdr_reftransV1_0004985</v>
      </c>
      <c r="B9898" s="3">
        <v>1601</v>
      </c>
      <c r="C9898" s="1" t="str">
        <f>HYPERLINK("http://www.uniprot.org/uniprot/Y1601_CHLCH","Y1601_CHLCH")</f>
        <v>Y1601_CHLCH</v>
      </c>
      <c r="D9898" t="s">
        <v>6130</v>
      </c>
      <c r="E9898" s="3" t="s">
        <v>6131</v>
      </c>
      <c r="F9898" s="4">
        <v>4.2899999999999998E-17</v>
      </c>
      <c r="G9898" s="3">
        <v>206</v>
      </c>
      <c r="H9898" s="3">
        <v>34</v>
      </c>
      <c r="I9898" s="3">
        <v>143</v>
      </c>
      <c r="J9898" s="3">
        <v>808</v>
      </c>
      <c r="K9898" s="3">
        <v>1233</v>
      </c>
      <c r="L9898" s="3">
        <v>26</v>
      </c>
      <c r="M9898" s="3">
        <v>156</v>
      </c>
    </row>
    <row r="9899" spans="1:13" x14ac:dyDescent="0.25">
      <c r="A9899" s="1" t="str">
        <f>HYPERLINK("http://www.rosaceae.org/Prunus/Prunus_persica/p.persica_gdr_reftransV1_0005085","p.persica_gdr_reftransV1_0005085")</f>
        <v>p.persica_gdr_reftransV1_0005085</v>
      </c>
      <c r="B9899" s="3">
        <v>2496</v>
      </c>
      <c r="C9899" s="1" t="str">
        <f>HYPERLINK("http://www.uniprot.org/uniprot/MYBB_XENLA","MYBB_XENLA")</f>
        <v>MYBB_XENLA</v>
      </c>
      <c r="D9899" t="s">
        <v>3216</v>
      </c>
      <c r="E9899" s="3" t="s">
        <v>475</v>
      </c>
      <c r="F9899" s="4">
        <v>1.8799999999999998E-24</v>
      </c>
      <c r="G9899" s="3">
        <v>282</v>
      </c>
      <c r="H9899" s="3">
        <v>41</v>
      </c>
      <c r="I9899" s="3">
        <v>110</v>
      </c>
      <c r="J9899" s="3">
        <v>636</v>
      </c>
      <c r="K9899" s="3">
        <v>965</v>
      </c>
      <c r="L9899" s="3">
        <v>86</v>
      </c>
      <c r="M9899" s="3">
        <v>195</v>
      </c>
    </row>
    <row r="9900" spans="1:13" x14ac:dyDescent="0.25">
      <c r="A9900" s="1" t="str">
        <f>HYPERLINK("http://www.rosaceae.org/Prunus/Prunus_persica/p.persica_gdr_reftransV1_0005185","p.persica_gdr_reftransV1_0005185")</f>
        <v>p.persica_gdr_reftransV1_0005185</v>
      </c>
      <c r="B9900" s="3">
        <v>433</v>
      </c>
      <c r="C9900" s="1" t="str">
        <f>HYPERLINK("http://www.uniprot.org/uniprot/PP407_ARATH","PP407_ARATH")</f>
        <v>PP407_ARATH</v>
      </c>
      <c r="D9900" t="s">
        <v>724</v>
      </c>
      <c r="E9900" s="3" t="s">
        <v>3</v>
      </c>
      <c r="F9900" s="4">
        <v>3.87E-29</v>
      </c>
      <c r="G9900" s="3">
        <v>291</v>
      </c>
      <c r="H9900" s="3">
        <v>64</v>
      </c>
      <c r="I9900" s="3">
        <v>90</v>
      </c>
      <c r="J9900" s="3">
        <v>3</v>
      </c>
      <c r="K9900" s="3">
        <v>272</v>
      </c>
      <c r="L9900" s="3">
        <v>655</v>
      </c>
      <c r="M9900" s="3">
        <v>744</v>
      </c>
    </row>
    <row r="9901" spans="1:13" x14ac:dyDescent="0.25">
      <c r="A9901" s="1" t="str">
        <f>HYPERLINK("http://www.rosaceae.org/Prunus/Prunus_persica/p.persica_gdr_reftransV1_0005335","p.persica_gdr_reftransV1_0005335")</f>
        <v>p.persica_gdr_reftransV1_0005335</v>
      </c>
      <c r="B9901" s="3">
        <v>1586</v>
      </c>
      <c r="C9901" s="1" t="str">
        <f>HYPERLINK("http://www.uniprot.org/uniprot/HPR1_ARATH","HPR1_ARATH")</f>
        <v>HPR1_ARATH</v>
      </c>
      <c r="D9901" t="s">
        <v>7289</v>
      </c>
      <c r="E9901" s="3" t="s">
        <v>3</v>
      </c>
      <c r="F9901" s="4">
        <v>0</v>
      </c>
      <c r="G9901" s="3">
        <v>1745</v>
      </c>
      <c r="H9901" s="3">
        <v>81</v>
      </c>
      <c r="I9901" s="3">
        <v>424</v>
      </c>
      <c r="J9901" s="3">
        <v>241</v>
      </c>
      <c r="K9901" s="3">
        <v>1512</v>
      </c>
      <c r="L9901" s="3">
        <v>1</v>
      </c>
      <c r="M9901" s="3">
        <v>386</v>
      </c>
    </row>
    <row r="9902" spans="1:13" x14ac:dyDescent="0.25">
      <c r="A9902" s="1" t="str">
        <f>HYPERLINK("http://www.rosaceae.org/Prunus/Prunus_persica/p.persica_gdr_reftransV1_0005435","p.persica_gdr_reftransV1_0005435")</f>
        <v>p.persica_gdr_reftransV1_0005435</v>
      </c>
      <c r="B9902" s="3">
        <v>1142</v>
      </c>
      <c r="C9902" s="1" t="str">
        <f>HYPERLINK("http://www.uniprot.org/uniprot/ECA1_ARATH","ECA1_ARATH")</f>
        <v>ECA1_ARATH</v>
      </c>
      <c r="D9902" t="s">
        <v>6357</v>
      </c>
      <c r="E9902" s="3" t="s">
        <v>3</v>
      </c>
      <c r="F9902" s="4">
        <v>4.8000000000000001E-176</v>
      </c>
      <c r="G9902" s="3">
        <v>1353</v>
      </c>
      <c r="H9902" s="3">
        <v>78</v>
      </c>
      <c r="I9902" s="3">
        <v>330</v>
      </c>
      <c r="J9902" s="3">
        <v>125</v>
      </c>
      <c r="K9902" s="3">
        <v>1114</v>
      </c>
      <c r="L9902" s="3">
        <v>1</v>
      </c>
      <c r="M9902" s="3">
        <v>329</v>
      </c>
    </row>
    <row r="9903" spans="1:13" x14ac:dyDescent="0.25">
      <c r="A9903" s="1" t="str">
        <f>HYPERLINK("http://www.rosaceae.org/Prunus/Prunus_persica/p.persica_gdr_reftransV1_0005485","p.persica_gdr_reftransV1_0005485")</f>
        <v>p.persica_gdr_reftransV1_0005485</v>
      </c>
      <c r="B9903" s="3">
        <v>2279</v>
      </c>
      <c r="C9903" s="1" t="str">
        <f>HYPERLINK("http://www.uniprot.org/uniprot/GAUTF_ARATH","GAUTF_ARATH")</f>
        <v>GAUTF_ARATH</v>
      </c>
      <c r="D9903" t="s">
        <v>7290</v>
      </c>
      <c r="E9903" s="3" t="s">
        <v>3</v>
      </c>
      <c r="F9903" s="4">
        <v>2.3499999999999998E-177</v>
      </c>
      <c r="G9903" s="3">
        <v>878</v>
      </c>
      <c r="H9903" s="3">
        <v>69</v>
      </c>
      <c r="I9903" s="3">
        <v>235</v>
      </c>
      <c r="J9903" s="3">
        <v>573</v>
      </c>
      <c r="K9903" s="3">
        <v>1262</v>
      </c>
      <c r="L9903" s="3">
        <v>113</v>
      </c>
      <c r="M9903" s="3">
        <v>347</v>
      </c>
    </row>
    <row r="9904" spans="1:13" x14ac:dyDescent="0.25">
      <c r="A9904" s="1" t="str">
        <f>HYPERLINK("http://www.rosaceae.org/Prunus/Prunus_persica/p.persica_gdr_reftransV1_0005535","p.persica_gdr_reftransV1_0005535")</f>
        <v>p.persica_gdr_reftransV1_0005535</v>
      </c>
      <c r="B9904" s="3">
        <v>1734</v>
      </c>
      <c r="C9904" s="1" t="str">
        <f>HYPERLINK("http://www.uniprot.org/uniprot/POLX_TOBAC","POLX_TOBAC")</f>
        <v>POLX_TOBAC</v>
      </c>
      <c r="D9904" t="s">
        <v>1253</v>
      </c>
      <c r="E9904" s="3" t="s">
        <v>200</v>
      </c>
      <c r="F9904" s="4">
        <v>2.04E-15</v>
      </c>
      <c r="G9904" s="3">
        <v>206</v>
      </c>
      <c r="H9904" s="3">
        <v>29</v>
      </c>
      <c r="I9904" s="3">
        <v>230</v>
      </c>
      <c r="J9904" s="3">
        <v>22</v>
      </c>
      <c r="K9904" s="3">
        <v>654</v>
      </c>
      <c r="L9904" s="3">
        <v>226</v>
      </c>
      <c r="M9904" s="3">
        <v>447</v>
      </c>
    </row>
    <row r="9905" spans="1:13" x14ac:dyDescent="0.25">
      <c r="A9905" s="1" t="str">
        <f>HYPERLINK("http://www.rosaceae.org/Prunus/Prunus_persica/p.persica_gdr_reftransV1_0005585","p.persica_gdr_reftransV1_0005585")</f>
        <v>p.persica_gdr_reftransV1_0005585</v>
      </c>
      <c r="B9905" s="3">
        <v>537</v>
      </c>
      <c r="C9905" s="1" t="str">
        <f>HYPERLINK("http://www.uniprot.org/uniprot/SNAK2_SOLTU","SNAK2_SOLTU")</f>
        <v>SNAK2_SOLTU</v>
      </c>
      <c r="D9905" t="s">
        <v>788</v>
      </c>
      <c r="E9905" s="3" t="s">
        <v>11</v>
      </c>
      <c r="F9905" s="4">
        <v>1.5300000000000001E-24</v>
      </c>
      <c r="G9905" s="3">
        <v>241</v>
      </c>
      <c r="H9905" s="3">
        <v>54</v>
      </c>
      <c r="I9905" s="3">
        <v>83</v>
      </c>
      <c r="J9905" s="3">
        <v>139</v>
      </c>
      <c r="K9905" s="3">
        <v>387</v>
      </c>
      <c r="L9905" s="3">
        <v>22</v>
      </c>
      <c r="M9905" s="3">
        <v>104</v>
      </c>
    </row>
    <row r="9906" spans="1:13" x14ac:dyDescent="0.25">
      <c r="A9906" s="1" t="str">
        <f>HYPERLINK("http://www.rosaceae.org/Prunus/Prunus_persica/p.persica_gdr_reftransV1_0005785","p.persica_gdr_reftransV1_0005785")</f>
        <v>p.persica_gdr_reftransV1_0005785</v>
      </c>
      <c r="B9906" s="3">
        <v>309</v>
      </c>
      <c r="C9906" s="1" t="str">
        <f>HYPERLINK("http://www.uniprot.org/uniprot/RLP2_ARATH","RLP2_ARATH")</f>
        <v>RLP2_ARATH</v>
      </c>
      <c r="D9906" t="s">
        <v>7291</v>
      </c>
      <c r="E9906" s="3" t="s">
        <v>3</v>
      </c>
      <c r="F9906" s="4">
        <v>7.1200000000000002E-10</v>
      </c>
      <c r="G9906" s="3">
        <v>142</v>
      </c>
      <c r="H9906" s="3">
        <v>46</v>
      </c>
      <c r="I9906" s="3">
        <v>71</v>
      </c>
      <c r="J9906" s="3">
        <v>104</v>
      </c>
      <c r="K9906" s="3">
        <v>307</v>
      </c>
      <c r="L9906" s="3">
        <v>44</v>
      </c>
      <c r="M9906" s="3">
        <v>112</v>
      </c>
    </row>
    <row r="9907" spans="1:13" x14ac:dyDescent="0.25">
      <c r="A9907" s="1" t="str">
        <f>HYPERLINK("http://www.rosaceae.org/Prunus/Prunus_persica/p.persica_gdr_reftransV1_0005885","p.persica_gdr_reftransV1_0005885")</f>
        <v>p.persica_gdr_reftransV1_0005885</v>
      </c>
      <c r="B9907" s="3">
        <v>832</v>
      </c>
      <c r="C9907" s="1" t="str">
        <f>HYPERLINK("http://www.uniprot.org/uniprot/DRL4_ARATH","DRL4_ARATH")</f>
        <v>DRL4_ARATH</v>
      </c>
      <c r="D9907" t="s">
        <v>2765</v>
      </c>
      <c r="E9907" s="3" t="s">
        <v>3</v>
      </c>
      <c r="F9907" s="4">
        <v>1.85E-40</v>
      </c>
      <c r="G9907" s="3">
        <v>388</v>
      </c>
      <c r="H9907" s="3">
        <v>41</v>
      </c>
      <c r="I9907" s="3">
        <v>282</v>
      </c>
      <c r="J9907" s="3">
        <v>7</v>
      </c>
      <c r="K9907" s="3">
        <v>816</v>
      </c>
      <c r="L9907" s="3">
        <v>139</v>
      </c>
      <c r="M9907" s="3">
        <v>418</v>
      </c>
    </row>
    <row r="9908" spans="1:13" x14ac:dyDescent="0.25">
      <c r="A9908" s="1" t="str">
        <f>HYPERLINK("http://www.rosaceae.org/Prunus/Prunus_persica/p.persica_gdr_reftransV1_0006085","p.persica_gdr_reftransV1_0006085")</f>
        <v>p.persica_gdr_reftransV1_0006085</v>
      </c>
      <c r="B9908" s="3">
        <v>578</v>
      </c>
      <c r="C9908" s="1" t="str">
        <f>HYPERLINK("http://www.uniprot.org/uniprot/ATP9_PODAS","ATP9_PODAS")</f>
        <v>ATP9_PODAS</v>
      </c>
      <c r="D9908" t="s">
        <v>7292</v>
      </c>
      <c r="E9908" s="3" t="s">
        <v>3657</v>
      </c>
      <c r="F9908" s="4">
        <v>2.1299999999999999E-34</v>
      </c>
      <c r="G9908" s="3">
        <v>312</v>
      </c>
      <c r="H9908" s="3">
        <v>66</v>
      </c>
      <c r="I9908" s="3">
        <v>149</v>
      </c>
      <c r="J9908" s="3">
        <v>76</v>
      </c>
      <c r="K9908" s="3">
        <v>519</v>
      </c>
      <c r="L9908" s="3">
        <v>7</v>
      </c>
      <c r="M9908" s="3">
        <v>143</v>
      </c>
    </row>
    <row r="9909" spans="1:13" x14ac:dyDescent="0.25">
      <c r="A9909" s="1" t="str">
        <f>HYPERLINK("http://www.rosaceae.org/Prunus/Prunus_persica/p.persica_gdr_reftransV1_0006185","p.persica_gdr_reftransV1_0006185")</f>
        <v>p.persica_gdr_reftransV1_0006185</v>
      </c>
      <c r="B9909" s="3">
        <v>2131</v>
      </c>
      <c r="C9909" s="1" t="str">
        <f>HYPERLINK("http://www.uniprot.org/uniprot/NRT25_ARATH","NRT25_ARATH")</f>
        <v>NRT25_ARATH</v>
      </c>
      <c r="D9909" t="s">
        <v>7293</v>
      </c>
      <c r="E9909" s="3" t="s">
        <v>3</v>
      </c>
      <c r="F9909" s="4">
        <v>0</v>
      </c>
      <c r="G9909" s="3">
        <v>1793</v>
      </c>
      <c r="H9909" s="3">
        <v>76</v>
      </c>
      <c r="I9909" s="3">
        <v>475</v>
      </c>
      <c r="J9909" s="3">
        <v>326</v>
      </c>
      <c r="K9909" s="3">
        <v>1750</v>
      </c>
      <c r="L9909" s="3">
        <v>20</v>
      </c>
      <c r="M9909" s="3">
        <v>494</v>
      </c>
    </row>
    <row r="9910" spans="1:13" x14ac:dyDescent="0.25">
      <c r="A9910" s="1" t="str">
        <f>HYPERLINK("http://www.rosaceae.org/Prunus/Prunus_persica/p.persica_gdr_reftransV1_0006285","p.persica_gdr_reftransV1_0006285")</f>
        <v>p.persica_gdr_reftransV1_0006285</v>
      </c>
      <c r="B9910" s="3">
        <v>821</v>
      </c>
      <c r="C9910" s="1" t="str">
        <f>HYPERLINK("http://www.uniprot.org/uniprot/PDR3_TOBAC","PDR3_TOBAC")</f>
        <v>PDR3_TOBAC</v>
      </c>
      <c r="D9910" t="s">
        <v>7294</v>
      </c>
      <c r="E9910" s="3" t="s">
        <v>200</v>
      </c>
      <c r="F9910" s="4">
        <v>3.7500000000000001E-55</v>
      </c>
      <c r="G9910" s="3">
        <v>502</v>
      </c>
      <c r="H9910" s="3">
        <v>69</v>
      </c>
      <c r="I9910" s="3">
        <v>229</v>
      </c>
      <c r="J9910" s="3">
        <v>109</v>
      </c>
      <c r="K9910" s="3">
        <v>789</v>
      </c>
      <c r="L9910" s="3">
        <v>1</v>
      </c>
      <c r="M9910" s="3">
        <v>228</v>
      </c>
    </row>
    <row r="9911" spans="1:13" x14ac:dyDescent="0.25">
      <c r="A9911" s="1" t="str">
        <f>HYPERLINK("http://www.rosaceae.org/Prunus/Prunus_persica/p.persica_gdr_reftransV1_0006585","p.persica_gdr_reftransV1_0006585")</f>
        <v>p.persica_gdr_reftransV1_0006585</v>
      </c>
      <c r="B9911" s="3">
        <v>645</v>
      </c>
      <c r="C9911" s="1" t="str">
        <f>HYPERLINK("http://www.uniprot.org/uniprot/VQ1_ARATH","VQ1_ARATH")</f>
        <v>VQ1_ARATH</v>
      </c>
      <c r="D9911" t="s">
        <v>7295</v>
      </c>
      <c r="E9911" s="3" t="s">
        <v>3</v>
      </c>
      <c r="F9911" s="4">
        <v>7.7400000000000002E-10</v>
      </c>
      <c r="G9911" s="3">
        <v>138</v>
      </c>
      <c r="H9911" s="3">
        <v>37</v>
      </c>
      <c r="I9911" s="3">
        <v>124</v>
      </c>
      <c r="J9911" s="3">
        <v>161</v>
      </c>
      <c r="K9911" s="3">
        <v>526</v>
      </c>
      <c r="L9911" s="3">
        <v>1</v>
      </c>
      <c r="M9911" s="3">
        <v>92</v>
      </c>
    </row>
    <row r="9912" spans="1:13" x14ac:dyDescent="0.25">
      <c r="A9912" s="1" t="str">
        <f>HYPERLINK("http://www.rosaceae.org/Prunus/Prunus_persica/p.persica_gdr_reftransV1_0006785","p.persica_gdr_reftransV1_0006785")</f>
        <v>p.persica_gdr_reftransV1_0006785</v>
      </c>
      <c r="B9912" s="3">
        <v>957</v>
      </c>
      <c r="C9912" s="1" t="str">
        <f>HYPERLINK("http://www.uniprot.org/uniprot/WTR2_ARATH","WTR2_ARATH")</f>
        <v>WTR2_ARATH</v>
      </c>
      <c r="D9912" t="s">
        <v>7296</v>
      </c>
      <c r="E9912" s="3" t="s">
        <v>3</v>
      </c>
      <c r="F9912" s="4">
        <v>5.7099999999999998E-119</v>
      </c>
      <c r="G9912" s="3">
        <v>908</v>
      </c>
      <c r="H9912" s="3">
        <v>60</v>
      </c>
      <c r="I9912" s="3">
        <v>294</v>
      </c>
      <c r="J9912" s="3">
        <v>74</v>
      </c>
      <c r="K9912" s="3">
        <v>955</v>
      </c>
      <c r="L9912" s="3">
        <v>73</v>
      </c>
      <c r="M9912" s="3">
        <v>366</v>
      </c>
    </row>
    <row r="9913" spans="1:13" x14ac:dyDescent="0.25">
      <c r="A9913" s="1" t="str">
        <f>HYPERLINK("http://www.rosaceae.org/Prunus/Prunus_persica/p.persica_gdr_reftransV1_0006885","p.persica_gdr_reftransV1_0006885")</f>
        <v>p.persica_gdr_reftransV1_0006885</v>
      </c>
      <c r="B9913" s="3">
        <v>375</v>
      </c>
      <c r="C9913" s="1" t="str">
        <f>HYPERLINK("http://www.uniprot.org/uniprot/C7A22_PANGI","C7A22_PANGI")</f>
        <v>C7A22_PANGI</v>
      </c>
      <c r="D9913" t="s">
        <v>3096</v>
      </c>
      <c r="E9913" s="3" t="s">
        <v>1477</v>
      </c>
      <c r="F9913" s="4">
        <v>1.4499999999999999E-16</v>
      </c>
      <c r="G9913" s="3">
        <v>194</v>
      </c>
      <c r="H9913" s="3">
        <v>52</v>
      </c>
      <c r="I9913" s="3">
        <v>69</v>
      </c>
      <c r="J9913" s="3">
        <v>3</v>
      </c>
      <c r="K9913" s="3">
        <v>209</v>
      </c>
      <c r="L9913" s="3">
        <v>41</v>
      </c>
      <c r="M9913" s="3">
        <v>108</v>
      </c>
    </row>
    <row r="9914" spans="1:13" x14ac:dyDescent="0.25">
      <c r="A9914" s="1" t="str">
        <f>HYPERLINK("http://www.rosaceae.org/Prunus/Prunus_persica/p.persica_gdr_reftransV1_0006935","p.persica_gdr_reftransV1_0006935")</f>
        <v>p.persica_gdr_reftransV1_0006935</v>
      </c>
      <c r="B9914" s="3">
        <v>756</v>
      </c>
      <c r="C9914" s="1" t="str">
        <f>HYPERLINK("http://www.uniprot.org/uniprot/VQ11_ARATH","VQ11_ARATH")</f>
        <v>VQ11_ARATH</v>
      </c>
      <c r="D9914" t="s">
        <v>7297</v>
      </c>
      <c r="E9914" s="3" t="s">
        <v>3</v>
      </c>
      <c r="F9914" s="4">
        <v>4.9500000000000001E-13</v>
      </c>
      <c r="G9914" s="3">
        <v>166</v>
      </c>
      <c r="H9914" s="3">
        <v>39</v>
      </c>
      <c r="I9914" s="3">
        <v>176</v>
      </c>
      <c r="J9914" s="3">
        <v>95</v>
      </c>
      <c r="K9914" s="3">
        <v>598</v>
      </c>
      <c r="L9914" s="3">
        <v>15</v>
      </c>
      <c r="M9914" s="3">
        <v>173</v>
      </c>
    </row>
    <row r="9915" spans="1:13" x14ac:dyDescent="0.25">
      <c r="A9915" s="1" t="str">
        <f>HYPERLINK("http://www.rosaceae.org/Prunus/Prunus_persica/p.persica_gdr_reftransV1_0007035","p.persica_gdr_reftransV1_0007035")</f>
        <v>p.persica_gdr_reftransV1_0007035</v>
      </c>
      <c r="B9915" s="3">
        <v>4112</v>
      </c>
      <c r="C9915" s="1" t="str">
        <f>HYPERLINK("http://www.uniprot.org/uniprot/ART2_YEAST","ART2_YEAST")</f>
        <v>ART2_YEAST</v>
      </c>
      <c r="D9915" t="s">
        <v>3344</v>
      </c>
      <c r="E9915" s="3" t="s">
        <v>34</v>
      </c>
      <c r="F9915" s="4">
        <v>4.0199999999999999E-17</v>
      </c>
      <c r="G9915" s="3">
        <v>204</v>
      </c>
      <c r="H9915" s="3">
        <v>75</v>
      </c>
      <c r="I9915" s="3">
        <v>59</v>
      </c>
      <c r="J9915" s="3">
        <v>576</v>
      </c>
      <c r="K9915" s="3">
        <v>752</v>
      </c>
      <c r="L9915" s="3">
        <v>2</v>
      </c>
      <c r="M9915" s="3">
        <v>60</v>
      </c>
    </row>
    <row r="9916" spans="1:13" x14ac:dyDescent="0.25">
      <c r="A9916" s="1" t="str">
        <f>HYPERLINK("http://www.rosaceae.org/Prunus/Prunus_persica/p.persica_gdr_reftransV1_0007135","p.persica_gdr_reftransV1_0007135")</f>
        <v>p.persica_gdr_reftransV1_0007135</v>
      </c>
      <c r="B9916" s="3">
        <v>1023</v>
      </c>
      <c r="C9916" s="1" t="str">
        <f>HYPERLINK("http://www.uniprot.org/uniprot/MIRA_SYNDU","MIRA_SYNDU")</f>
        <v>MIRA_SYNDU</v>
      </c>
      <c r="D9916" t="s">
        <v>6666</v>
      </c>
      <c r="E9916" s="3" t="s">
        <v>6667</v>
      </c>
      <c r="F9916" s="4">
        <v>5.1000000000000002E-20</v>
      </c>
      <c r="G9916" s="3">
        <v>224</v>
      </c>
      <c r="H9916" s="3">
        <v>35</v>
      </c>
      <c r="I9916" s="3">
        <v>189</v>
      </c>
      <c r="J9916" s="3">
        <v>327</v>
      </c>
      <c r="K9916" s="3">
        <v>869</v>
      </c>
      <c r="L9916" s="3">
        <v>30</v>
      </c>
      <c r="M9916" s="3">
        <v>213</v>
      </c>
    </row>
    <row r="9917" spans="1:13" x14ac:dyDescent="0.25">
      <c r="A9917" s="1" t="str">
        <f>HYPERLINK("http://www.rosaceae.org/Prunus/Prunus_persica/p.persica_gdr_reftransV1_0007185","p.persica_gdr_reftransV1_0007185")</f>
        <v>p.persica_gdr_reftransV1_0007185</v>
      </c>
      <c r="B9917" s="3">
        <v>650</v>
      </c>
      <c r="C9917" s="1" t="str">
        <f>HYPERLINK("http://www.uniprot.org/uniprot/ACCH3_SOLLC","ACCH3_SOLLC")</f>
        <v>ACCH3_SOLLC</v>
      </c>
      <c r="D9917" t="s">
        <v>3752</v>
      </c>
      <c r="E9917" s="3" t="s">
        <v>64</v>
      </c>
      <c r="F9917" s="4">
        <v>4.4999999999999999E-26</v>
      </c>
      <c r="G9917" s="3">
        <v>268</v>
      </c>
      <c r="H9917" s="3">
        <v>57</v>
      </c>
      <c r="I9917" s="3">
        <v>99</v>
      </c>
      <c r="J9917" s="3">
        <v>347</v>
      </c>
      <c r="K9917" s="3">
        <v>643</v>
      </c>
      <c r="L9917" s="3">
        <v>9</v>
      </c>
      <c r="M9917" s="3">
        <v>98</v>
      </c>
    </row>
    <row r="9918" spans="1:13" x14ac:dyDescent="0.25">
      <c r="A9918" s="1" t="str">
        <f>HYPERLINK("http://www.rosaceae.org/Prunus/Prunus_persica/p.persica_gdr_reftransV1_0007285","p.persica_gdr_reftransV1_0007285")</f>
        <v>p.persica_gdr_reftransV1_0007285</v>
      </c>
      <c r="B9918" s="3">
        <v>2107</v>
      </c>
      <c r="C9918" s="1" t="str">
        <f>HYPERLINK("http://www.uniprot.org/uniprot/PP393_ARATH","PP393_ARATH")</f>
        <v>PP393_ARATH</v>
      </c>
      <c r="D9918" t="s">
        <v>7298</v>
      </c>
      <c r="E9918" s="3" t="s">
        <v>3</v>
      </c>
      <c r="F9918" s="4">
        <v>2.2699999999999999E-140</v>
      </c>
      <c r="G9918" s="3">
        <v>1098</v>
      </c>
      <c r="H9918" s="3">
        <v>47</v>
      </c>
      <c r="I9918" s="3">
        <v>486</v>
      </c>
      <c r="J9918" s="3">
        <v>455</v>
      </c>
      <c r="K9918" s="3">
        <v>1879</v>
      </c>
      <c r="L9918" s="3">
        <v>1</v>
      </c>
      <c r="M9918" s="3">
        <v>480</v>
      </c>
    </row>
    <row r="9919" spans="1:13" x14ac:dyDescent="0.25">
      <c r="A9919" s="1" t="str">
        <f>HYPERLINK("http://www.rosaceae.org/Prunus/Prunus_persica/p.persica_gdr_reftransV1_0007335","p.persica_gdr_reftransV1_0007335")</f>
        <v>p.persica_gdr_reftransV1_0007335</v>
      </c>
      <c r="B9919" s="3">
        <v>1896</v>
      </c>
      <c r="C9919" s="1" t="str">
        <f>HYPERLINK("http://www.uniprot.org/uniprot/TAF8_ARATH","TAF8_ARATH")</f>
        <v>TAF8_ARATH</v>
      </c>
      <c r="D9919" t="s">
        <v>1216</v>
      </c>
      <c r="E9919" s="3" t="s">
        <v>3</v>
      </c>
      <c r="F9919" s="4">
        <v>3.7299999999999999E-62</v>
      </c>
      <c r="G9919" s="3">
        <v>549</v>
      </c>
      <c r="H9919" s="3">
        <v>40</v>
      </c>
      <c r="I9919" s="3">
        <v>359</v>
      </c>
      <c r="J9919" s="3">
        <v>498</v>
      </c>
      <c r="K9919" s="3">
        <v>1556</v>
      </c>
      <c r="L9919" s="3">
        <v>25</v>
      </c>
      <c r="M9919" s="3">
        <v>353</v>
      </c>
    </row>
    <row r="9920" spans="1:13" x14ac:dyDescent="0.25">
      <c r="A9920" s="1" t="str">
        <f>HYPERLINK("http://www.rosaceae.org/Prunus/Prunus_persica/p.persica_gdr_reftransV1_0007385","p.persica_gdr_reftransV1_0007385")</f>
        <v>p.persica_gdr_reftransV1_0007385</v>
      </c>
      <c r="B9920" s="3">
        <v>2301</v>
      </c>
      <c r="C9920" s="1" t="str">
        <f>HYPERLINK("http://www.uniprot.org/uniprot/SCL1_ARATH","SCL1_ARATH")</f>
        <v>SCL1_ARATH</v>
      </c>
      <c r="D9920" t="s">
        <v>7299</v>
      </c>
      <c r="E9920" s="3" t="s">
        <v>3</v>
      </c>
      <c r="F9920" s="4">
        <v>0</v>
      </c>
      <c r="G9920" s="3">
        <v>1719</v>
      </c>
      <c r="H9920" s="3">
        <v>62</v>
      </c>
      <c r="I9920" s="3">
        <v>591</v>
      </c>
      <c r="J9920" s="3">
        <v>326</v>
      </c>
      <c r="K9920" s="3">
        <v>1969</v>
      </c>
      <c r="L9920" s="3">
        <v>14</v>
      </c>
      <c r="M9920" s="3">
        <v>593</v>
      </c>
    </row>
    <row r="9921" spans="1:13" x14ac:dyDescent="0.25">
      <c r="A9921" s="1" t="str">
        <f>HYPERLINK("http://www.rosaceae.org/Prunus/Prunus_persica/p.persica_gdr_reftransV1_0007485","p.persica_gdr_reftransV1_0007485")</f>
        <v>p.persica_gdr_reftransV1_0007485</v>
      </c>
      <c r="B9921" s="3">
        <v>1725</v>
      </c>
      <c r="C9921" s="1" t="str">
        <f>HYPERLINK("http://www.uniprot.org/uniprot/PDRP1_ORYSJ","PDRP1_ORYSJ")</f>
        <v>PDRP1_ORYSJ</v>
      </c>
      <c r="D9921" t="s">
        <v>7300</v>
      </c>
      <c r="E9921" s="3" t="s">
        <v>38</v>
      </c>
      <c r="F9921" s="4">
        <v>1.9599999999999999E-170</v>
      </c>
      <c r="G9921" s="3">
        <v>1285</v>
      </c>
      <c r="H9921" s="3">
        <v>66</v>
      </c>
      <c r="I9921" s="3">
        <v>377</v>
      </c>
      <c r="J9921" s="3">
        <v>509</v>
      </c>
      <c r="K9921" s="3">
        <v>1615</v>
      </c>
      <c r="L9921" s="3">
        <v>68</v>
      </c>
      <c r="M9921" s="3">
        <v>443</v>
      </c>
    </row>
    <row r="9922" spans="1:13" x14ac:dyDescent="0.25">
      <c r="A9922" s="1" t="str">
        <f>HYPERLINK("http://www.rosaceae.org/Prunus/Prunus_persica/p.persica_gdr_reftransV1_0007885","p.persica_gdr_reftransV1_0007885")</f>
        <v>p.persica_gdr_reftransV1_0007885</v>
      </c>
      <c r="B9922" s="3">
        <v>2120</v>
      </c>
      <c r="C9922" s="1" t="str">
        <f>HYPERLINK("http://www.uniprot.org/uniprot/PP129_ARATH","PP129_ARATH")</f>
        <v>PP129_ARATH</v>
      </c>
      <c r="D9922" t="s">
        <v>121</v>
      </c>
      <c r="E9922" s="3" t="s">
        <v>3</v>
      </c>
      <c r="F9922" s="4">
        <v>0</v>
      </c>
      <c r="G9922" s="3">
        <v>1927</v>
      </c>
      <c r="H9922" s="3">
        <v>72</v>
      </c>
      <c r="I9922" s="3">
        <v>486</v>
      </c>
      <c r="J9922" s="3">
        <v>578</v>
      </c>
      <c r="K9922" s="3">
        <v>2035</v>
      </c>
      <c r="L9922" s="3">
        <v>32</v>
      </c>
      <c r="M9922" s="3">
        <v>517</v>
      </c>
    </row>
    <row r="9923" spans="1:13" x14ac:dyDescent="0.25">
      <c r="A9923" s="1" t="str">
        <f>HYPERLINK("http://www.rosaceae.org/Prunus/Prunus_persica/p.persica_gdr_reftransV1_0007935","p.persica_gdr_reftransV1_0007935")</f>
        <v>p.persica_gdr_reftransV1_0007935</v>
      </c>
      <c r="B9923" s="3">
        <v>1601</v>
      </c>
      <c r="C9923" s="1" t="str">
        <f>HYPERLINK("http://www.uniprot.org/uniprot/P2SAF_ARATH","P2SAF_ARATH")</f>
        <v>P2SAF_ARATH</v>
      </c>
      <c r="D9923" t="s">
        <v>7301</v>
      </c>
      <c r="E9923" s="3" t="s">
        <v>3</v>
      </c>
      <c r="F9923" s="4">
        <v>0</v>
      </c>
      <c r="G9923" s="3">
        <v>1461</v>
      </c>
      <c r="H9923" s="3">
        <v>86</v>
      </c>
      <c r="I9923" s="3">
        <v>332</v>
      </c>
      <c r="J9923" s="3">
        <v>273</v>
      </c>
      <c r="K9923" s="3">
        <v>1268</v>
      </c>
      <c r="L9923" s="3">
        <v>73</v>
      </c>
      <c r="M9923" s="3">
        <v>403</v>
      </c>
    </row>
    <row r="9924" spans="1:13" x14ac:dyDescent="0.25">
      <c r="A9924" s="1" t="str">
        <f>HYPERLINK("http://www.rosaceae.org/Prunus/Prunus_persica/p.persica_gdr_reftransV1_0007985","p.persica_gdr_reftransV1_0007985")</f>
        <v>p.persica_gdr_reftransV1_0007985</v>
      </c>
      <c r="B9924" s="3">
        <v>1033</v>
      </c>
      <c r="C9924" s="1" t="str">
        <f>HYPERLINK("http://www.uniprot.org/uniprot/FLOT1_MEDTR","FLOT1_MEDTR")</f>
        <v>FLOT1_MEDTR</v>
      </c>
      <c r="D9924" t="s">
        <v>7302</v>
      </c>
      <c r="E9924" s="3" t="s">
        <v>91</v>
      </c>
      <c r="F9924" s="4">
        <v>3.7799999999999998E-102</v>
      </c>
      <c r="G9924" s="3">
        <v>808</v>
      </c>
      <c r="H9924" s="3">
        <v>74</v>
      </c>
      <c r="I9924" s="3">
        <v>278</v>
      </c>
      <c r="J9924" s="3">
        <v>1</v>
      </c>
      <c r="K9924" s="3">
        <v>828</v>
      </c>
      <c r="L9924" s="3">
        <v>201</v>
      </c>
      <c r="M9924" s="3">
        <v>478</v>
      </c>
    </row>
    <row r="9925" spans="1:13" x14ac:dyDescent="0.25">
      <c r="A9925" s="1" t="str">
        <f>HYPERLINK("http://www.rosaceae.org/Prunus/Prunus_persica/p.persica_gdr_reftransV1_0008035","p.persica_gdr_reftransV1_0008035")</f>
        <v>p.persica_gdr_reftransV1_0008035</v>
      </c>
      <c r="B9925" s="3">
        <v>680</v>
      </c>
      <c r="C9925" s="1" t="str">
        <f>HYPERLINK("http://www.uniprot.org/uniprot/Y3475_ARATH","Y3475_ARATH")</f>
        <v>Y3475_ARATH</v>
      </c>
      <c r="D9925" t="s">
        <v>827</v>
      </c>
      <c r="E9925" s="3" t="s">
        <v>3</v>
      </c>
      <c r="F9925" s="4">
        <v>1.59E-31</v>
      </c>
      <c r="G9925" s="3">
        <v>318</v>
      </c>
      <c r="H9925" s="3">
        <v>42</v>
      </c>
      <c r="I9925" s="3">
        <v>165</v>
      </c>
      <c r="J9925" s="3">
        <v>186</v>
      </c>
      <c r="K9925" s="3">
        <v>680</v>
      </c>
      <c r="L9925" s="3">
        <v>851</v>
      </c>
      <c r="M9925" s="3">
        <v>999</v>
      </c>
    </row>
    <row r="9926" spans="1:13" x14ac:dyDescent="0.25">
      <c r="A9926" s="1" t="str">
        <f>HYPERLINK("http://www.rosaceae.org/Prunus/Prunus_persica/p.persica_gdr_reftransV1_0008085","p.persica_gdr_reftransV1_0008085")</f>
        <v>p.persica_gdr_reftransV1_0008085</v>
      </c>
      <c r="B9926" s="3">
        <v>531</v>
      </c>
      <c r="C9926" s="1" t="str">
        <f>HYPERLINK("http://www.uniprot.org/uniprot/HY6H_HYONI","HY6H_HYONI")</f>
        <v>HY6H_HYONI</v>
      </c>
      <c r="D9926" t="s">
        <v>2546</v>
      </c>
      <c r="E9926" s="3" t="s">
        <v>2547</v>
      </c>
      <c r="F9926" s="4">
        <v>1.8E-39</v>
      </c>
      <c r="G9926" s="3">
        <v>359</v>
      </c>
      <c r="H9926" s="3">
        <v>46</v>
      </c>
      <c r="I9926" s="3">
        <v>179</v>
      </c>
      <c r="J9926" s="3">
        <v>3</v>
      </c>
      <c r="K9926" s="3">
        <v>524</v>
      </c>
      <c r="L9926" s="3">
        <v>154</v>
      </c>
      <c r="M9926" s="3">
        <v>332</v>
      </c>
    </row>
    <row r="9927" spans="1:13" x14ac:dyDescent="0.25">
      <c r="A9927" s="1" t="str">
        <f>HYPERLINK("http://www.rosaceae.org/Prunus/Prunus_persica/p.persica_gdr_reftransV1_0008135","p.persica_gdr_reftransV1_0008135")</f>
        <v>p.persica_gdr_reftransV1_0008135</v>
      </c>
      <c r="B9927" s="3">
        <v>735</v>
      </c>
      <c r="C9927" s="1" t="str">
        <f>HYPERLINK("http://www.uniprot.org/uniprot/TAF10_ARATH","TAF10_ARATH")</f>
        <v>TAF10_ARATH</v>
      </c>
      <c r="D9927" t="s">
        <v>7303</v>
      </c>
      <c r="E9927" s="3" t="s">
        <v>3</v>
      </c>
      <c r="F9927" s="4">
        <v>3.0400000000000001E-63</v>
      </c>
      <c r="G9927" s="3">
        <v>509</v>
      </c>
      <c r="H9927" s="3">
        <v>84</v>
      </c>
      <c r="I9927" s="3">
        <v>127</v>
      </c>
      <c r="J9927" s="3">
        <v>263</v>
      </c>
      <c r="K9927" s="3">
        <v>643</v>
      </c>
      <c r="L9927" s="3">
        <v>10</v>
      </c>
      <c r="M9927" s="3">
        <v>134</v>
      </c>
    </row>
    <row r="9928" spans="1:13" x14ac:dyDescent="0.25">
      <c r="A9928" s="1" t="str">
        <f>HYPERLINK("http://www.rosaceae.org/Prunus/Prunus_persica/p.persica_gdr_reftransV1_0008285","p.persica_gdr_reftransV1_0008285")</f>
        <v>p.persica_gdr_reftransV1_0008285</v>
      </c>
      <c r="B9928" s="3">
        <v>4860</v>
      </c>
      <c r="C9928" s="1" t="str">
        <f>HYPERLINK("http://www.uniprot.org/uniprot/RENT1_ARATH","RENT1_ARATH")</f>
        <v>RENT1_ARATH</v>
      </c>
      <c r="D9928" t="s">
        <v>7304</v>
      </c>
      <c r="E9928" s="3" t="s">
        <v>3</v>
      </c>
      <c r="F9928" s="4">
        <v>0</v>
      </c>
      <c r="G9928" s="3">
        <v>5265</v>
      </c>
      <c r="H9928" s="3">
        <v>81</v>
      </c>
      <c r="I9928" s="3">
        <v>1250</v>
      </c>
      <c r="J9928" s="3">
        <v>896</v>
      </c>
      <c r="K9928" s="3">
        <v>4627</v>
      </c>
      <c r="L9928" s="3">
        <v>1</v>
      </c>
      <c r="M9928" s="3">
        <v>1228</v>
      </c>
    </row>
    <row r="9929" spans="1:13" x14ac:dyDescent="0.25">
      <c r="A9929" s="1" t="str">
        <f>HYPERLINK("http://www.rosaceae.org/Prunus/Prunus_persica/p.persica_gdr_reftransV1_0008435","p.persica_gdr_reftransV1_0008435")</f>
        <v>p.persica_gdr_reftransV1_0008435</v>
      </c>
      <c r="B9929" s="3">
        <v>1628</v>
      </c>
      <c r="C9929" s="1" t="str">
        <f>HYPERLINK("http://www.uniprot.org/uniprot/PUB25_ARATH","PUB25_ARATH")</f>
        <v>PUB25_ARATH</v>
      </c>
      <c r="D9929" t="s">
        <v>7305</v>
      </c>
      <c r="E9929" s="3" t="s">
        <v>3</v>
      </c>
      <c r="F9929" s="4">
        <v>3.7400000000000001E-165</v>
      </c>
      <c r="G9929" s="3">
        <v>1242</v>
      </c>
      <c r="H9929" s="3">
        <v>64</v>
      </c>
      <c r="I9929" s="3">
        <v>422</v>
      </c>
      <c r="J9929" s="3">
        <v>99</v>
      </c>
      <c r="K9929" s="3">
        <v>1343</v>
      </c>
      <c r="L9929" s="3">
        <v>1</v>
      </c>
      <c r="M9929" s="3">
        <v>420</v>
      </c>
    </row>
    <row r="9930" spans="1:13" x14ac:dyDescent="0.25">
      <c r="A9930" s="1" t="str">
        <f>HYPERLINK("http://www.rosaceae.org/Prunus/Prunus_persica/p.persica_gdr_reftransV1_0008485","p.persica_gdr_reftransV1_0008485")</f>
        <v>p.persica_gdr_reftransV1_0008485</v>
      </c>
      <c r="B9930" s="3">
        <v>4706</v>
      </c>
      <c r="C9930" s="1" t="str">
        <f>HYPERLINK("http://www.uniprot.org/uniprot/EDM2_ARATH","EDM2_ARATH")</f>
        <v>EDM2_ARATH</v>
      </c>
      <c r="D9930" t="s">
        <v>7306</v>
      </c>
      <c r="E9930" s="3" t="s">
        <v>3</v>
      </c>
      <c r="F9930" s="4">
        <v>0</v>
      </c>
      <c r="G9930" s="3">
        <v>2468</v>
      </c>
      <c r="H9930" s="3">
        <v>53</v>
      </c>
      <c r="I9930" s="3">
        <v>948</v>
      </c>
      <c r="J9930" s="3">
        <v>743</v>
      </c>
      <c r="K9930" s="3">
        <v>3484</v>
      </c>
      <c r="L9930" s="3">
        <v>1</v>
      </c>
      <c r="M9930" s="3">
        <v>925</v>
      </c>
    </row>
    <row r="9931" spans="1:13" x14ac:dyDescent="0.25">
      <c r="A9931" s="1" t="str">
        <f>HYPERLINK("http://www.rosaceae.org/Prunus/Prunus_persica/p.persica_gdr_reftransV1_0008535","p.persica_gdr_reftransV1_0008535")</f>
        <v>p.persica_gdr_reftransV1_0008535</v>
      </c>
      <c r="B9931" s="3">
        <v>1241</v>
      </c>
      <c r="C9931" s="1" t="str">
        <f>HYPERLINK("http://www.uniprot.org/uniprot/SLK2_ARATH","SLK2_ARATH")</f>
        <v>SLK2_ARATH</v>
      </c>
      <c r="D9931" t="s">
        <v>795</v>
      </c>
      <c r="E9931" s="3" t="s">
        <v>3</v>
      </c>
      <c r="F9931" s="4">
        <v>2.1700000000000001E-20</v>
      </c>
      <c r="G9931" s="3">
        <v>241</v>
      </c>
      <c r="H9931" s="3">
        <v>39</v>
      </c>
      <c r="I9931" s="3">
        <v>189</v>
      </c>
      <c r="J9931" s="3">
        <v>4</v>
      </c>
      <c r="K9931" s="3">
        <v>549</v>
      </c>
      <c r="L9931" s="3">
        <v>504</v>
      </c>
      <c r="M9931" s="3">
        <v>686</v>
      </c>
    </row>
    <row r="9932" spans="1:13" x14ac:dyDescent="0.25">
      <c r="A9932" s="1" t="str">
        <f>HYPERLINK("http://www.rosaceae.org/Prunus/Prunus_persica/p.persica_gdr_reftransV1_0008635","p.persica_gdr_reftransV1_0008635")</f>
        <v>p.persica_gdr_reftransV1_0008635</v>
      </c>
      <c r="B9932" s="3">
        <v>2347</v>
      </c>
      <c r="C9932" s="1" t="str">
        <f>HYPERLINK("http://www.uniprot.org/uniprot/PEX5_ARATH","PEX5_ARATH")</f>
        <v>PEX5_ARATH</v>
      </c>
      <c r="D9932" t="s">
        <v>6067</v>
      </c>
      <c r="E9932" s="3" t="s">
        <v>3</v>
      </c>
      <c r="F9932" s="4">
        <v>0</v>
      </c>
      <c r="G9932" s="3">
        <v>2275</v>
      </c>
      <c r="H9932" s="3">
        <v>75</v>
      </c>
      <c r="I9932" s="3">
        <v>575</v>
      </c>
      <c r="J9932" s="3">
        <v>623</v>
      </c>
      <c r="K9932" s="3">
        <v>2347</v>
      </c>
      <c r="L9932" s="3">
        <v>165</v>
      </c>
      <c r="M9932" s="3">
        <v>728</v>
      </c>
    </row>
    <row r="9933" spans="1:13" x14ac:dyDescent="0.25">
      <c r="A9933" s="1" t="str">
        <f>HYPERLINK("http://www.rosaceae.org/Prunus/Prunus_persica/p.persica_gdr_reftransV1_0008685","p.persica_gdr_reftransV1_0008685")</f>
        <v>p.persica_gdr_reftransV1_0008685</v>
      </c>
      <c r="B9933" s="3">
        <v>1200</v>
      </c>
      <c r="C9933" s="1" t="str">
        <f>HYPERLINK("http://www.uniprot.org/uniprot/TL19_ARATH","TL19_ARATH")</f>
        <v>TL19_ARATH</v>
      </c>
      <c r="D9933" t="s">
        <v>7307</v>
      </c>
      <c r="E9933" s="3" t="s">
        <v>3</v>
      </c>
      <c r="F9933" s="4">
        <v>4.5999999999999999E-86</v>
      </c>
      <c r="G9933" s="3">
        <v>684</v>
      </c>
      <c r="H9933" s="3">
        <v>81</v>
      </c>
      <c r="I9933" s="3">
        <v>149</v>
      </c>
      <c r="J9933" s="3">
        <v>320</v>
      </c>
      <c r="K9933" s="3">
        <v>766</v>
      </c>
      <c r="L9933" s="3">
        <v>80</v>
      </c>
      <c r="M9933" s="3">
        <v>228</v>
      </c>
    </row>
    <row r="9934" spans="1:13" x14ac:dyDescent="0.25">
      <c r="A9934" s="1" t="str">
        <f>HYPERLINK("http://www.rosaceae.org/Prunus/Prunus_persica/p.persica_gdr_reftransV1_0008835","p.persica_gdr_reftransV1_0008835")</f>
        <v>p.persica_gdr_reftransV1_0008835</v>
      </c>
      <c r="B9934" s="3">
        <v>2341</v>
      </c>
      <c r="C9934" s="1" t="str">
        <f>HYPERLINK("http://www.uniprot.org/uniprot/ASIL1_ARATH","ASIL1_ARATH")</f>
        <v>ASIL1_ARATH</v>
      </c>
      <c r="D9934" t="s">
        <v>7308</v>
      </c>
      <c r="E9934" s="3" t="s">
        <v>3</v>
      </c>
      <c r="F9934" s="4">
        <v>2.8900000000000001E-23</v>
      </c>
      <c r="G9934" s="3">
        <v>265</v>
      </c>
      <c r="H9934" s="3">
        <v>32</v>
      </c>
      <c r="I9934" s="3">
        <v>265</v>
      </c>
      <c r="J9934" s="3">
        <v>1318</v>
      </c>
      <c r="K9934" s="3">
        <v>1989</v>
      </c>
      <c r="L9934" s="3">
        <v>94</v>
      </c>
      <c r="M9934" s="3">
        <v>356</v>
      </c>
    </row>
    <row r="9935" spans="1:13" x14ac:dyDescent="0.25">
      <c r="A9935" s="1" t="str">
        <f>HYPERLINK("http://www.rosaceae.org/Prunus/Prunus_persica/p.persica_gdr_reftransV1_0008885","p.persica_gdr_reftransV1_0008885")</f>
        <v>p.persica_gdr_reftransV1_0008885</v>
      </c>
      <c r="B9935" s="3">
        <v>566</v>
      </c>
      <c r="C9935" s="1" t="str">
        <f>HYPERLINK("http://www.uniprot.org/uniprot/CLP41_ARATH","CLP41_ARATH")</f>
        <v>CLP41_ARATH</v>
      </c>
      <c r="D9935" t="s">
        <v>3537</v>
      </c>
      <c r="E9935" s="3" t="s">
        <v>3</v>
      </c>
      <c r="F9935" s="4">
        <v>3.5000000000000001E-38</v>
      </c>
      <c r="G9935" s="3">
        <v>345</v>
      </c>
      <c r="H9935" s="3">
        <v>60</v>
      </c>
      <c r="I9935" s="3">
        <v>131</v>
      </c>
      <c r="J9935" s="3">
        <v>3</v>
      </c>
      <c r="K9935" s="3">
        <v>395</v>
      </c>
      <c r="L9935" s="3">
        <v>28</v>
      </c>
      <c r="M9935" s="3">
        <v>158</v>
      </c>
    </row>
    <row r="9936" spans="1:13" x14ac:dyDescent="0.25">
      <c r="A9936" s="1" t="str">
        <f>HYPERLINK("http://www.rosaceae.org/Prunus/Prunus_persica/p.persica_gdr_reftransV1_0008935","p.persica_gdr_reftransV1_0008935")</f>
        <v>p.persica_gdr_reftransV1_0008935</v>
      </c>
      <c r="B9936" s="3">
        <v>1087</v>
      </c>
      <c r="C9936" s="1" t="str">
        <f>HYPERLINK("http://www.uniprot.org/uniprot/idD1_ARATH","idD1_ARATH")</f>
        <v>idD1_ARATH</v>
      </c>
      <c r="D9936" t="s">
        <v>312</v>
      </c>
      <c r="E9936" s="3" t="s">
        <v>3</v>
      </c>
      <c r="F9936" s="4">
        <v>2.3200000000000001E-65</v>
      </c>
      <c r="G9936" s="3">
        <v>563</v>
      </c>
      <c r="H9936" s="3">
        <v>88</v>
      </c>
      <c r="I9936" s="3">
        <v>149</v>
      </c>
      <c r="J9936" s="3">
        <v>641</v>
      </c>
      <c r="K9936" s="3">
        <v>1087</v>
      </c>
      <c r="L9936" s="3">
        <v>1</v>
      </c>
      <c r="M9936" s="3">
        <v>149</v>
      </c>
    </row>
    <row r="9937" spans="1:13" x14ac:dyDescent="0.25">
      <c r="A9937" s="1" t="str">
        <f>HYPERLINK("http://www.rosaceae.org/Prunus/Prunus_persica/p.persica_gdr_reftransV1_0008985","p.persica_gdr_reftransV1_0008985")</f>
        <v>p.persica_gdr_reftransV1_0008985</v>
      </c>
      <c r="B9937" s="3">
        <v>1368</v>
      </c>
      <c r="C9937" s="1" t="str">
        <f>HYPERLINK("http://www.uniprot.org/uniprot/MET10_MOUSE","MET10_MOUSE")</f>
        <v>MET10_MOUSE</v>
      </c>
      <c r="D9937" t="s">
        <v>7309</v>
      </c>
      <c r="E9937" s="3" t="s">
        <v>157</v>
      </c>
      <c r="F9937" s="4">
        <v>1.18E-41</v>
      </c>
      <c r="G9937" s="3">
        <v>387</v>
      </c>
      <c r="H9937" s="3">
        <v>40</v>
      </c>
      <c r="I9937" s="3">
        <v>251</v>
      </c>
      <c r="J9937" s="3">
        <v>332</v>
      </c>
      <c r="K9937" s="3">
        <v>1075</v>
      </c>
      <c r="L9937" s="3">
        <v>28</v>
      </c>
      <c r="M9937" s="3">
        <v>235</v>
      </c>
    </row>
    <row r="9938" spans="1:13" x14ac:dyDescent="0.25">
      <c r="A9938" s="1" t="str">
        <f>HYPERLINK("http://www.rosaceae.org/Prunus/Prunus_persica/p.persica_gdr_reftransV1_0009235","p.persica_gdr_reftransV1_0009235")</f>
        <v>p.persica_gdr_reftransV1_0009235</v>
      </c>
      <c r="B9938" s="3">
        <v>1477</v>
      </c>
      <c r="C9938" s="1" t="str">
        <f>HYPERLINK("http://www.uniprot.org/uniprot/ATL52_ARATH","ATL52_ARATH")</f>
        <v>ATL52_ARATH</v>
      </c>
      <c r="D9938" t="s">
        <v>7310</v>
      </c>
      <c r="E9938" s="3" t="s">
        <v>3</v>
      </c>
      <c r="F9938" s="4">
        <v>1.8099999999999999E-70</v>
      </c>
      <c r="G9938" s="3">
        <v>599</v>
      </c>
      <c r="H9938" s="3">
        <v>44</v>
      </c>
      <c r="I9938" s="3">
        <v>394</v>
      </c>
      <c r="J9938" s="3">
        <v>259</v>
      </c>
      <c r="K9938" s="3">
        <v>1365</v>
      </c>
      <c r="L9938" s="3">
        <v>2</v>
      </c>
      <c r="M9938" s="3">
        <v>361</v>
      </c>
    </row>
    <row r="9939" spans="1:13" x14ac:dyDescent="0.25">
      <c r="A9939" s="1" t="str">
        <f>HYPERLINK("http://www.rosaceae.org/Prunus/Prunus_persica/p.persica_gdr_reftransV1_0009285","p.persica_gdr_reftransV1_0009285")</f>
        <v>p.persica_gdr_reftransV1_0009285</v>
      </c>
      <c r="B9939" s="3">
        <v>1460</v>
      </c>
      <c r="C9939" s="1" t="str">
        <f>HYPERLINK("http://www.uniprot.org/uniprot/BZIP9_ARATH","BZIP9_ARATH")</f>
        <v>BZIP9_ARATH</v>
      </c>
      <c r="D9939" t="s">
        <v>7311</v>
      </c>
      <c r="E9939" s="3" t="s">
        <v>3</v>
      </c>
      <c r="F9939" s="4">
        <v>2.3300000000000001E-36</v>
      </c>
      <c r="G9939" s="3">
        <v>353</v>
      </c>
      <c r="H9939" s="3">
        <v>52</v>
      </c>
      <c r="I9939" s="3">
        <v>148</v>
      </c>
      <c r="J9939" s="3">
        <v>765</v>
      </c>
      <c r="K9939" s="3">
        <v>1208</v>
      </c>
      <c r="L9939" s="3">
        <v>141</v>
      </c>
      <c r="M9939" s="3">
        <v>276</v>
      </c>
    </row>
    <row r="9940" spans="1:13" x14ac:dyDescent="0.25">
      <c r="A9940" s="1" t="str">
        <f>HYPERLINK("http://www.rosaceae.org/Prunus/Prunus_persica/p.persica_gdr_reftransV1_0009385","p.persica_gdr_reftransV1_0009385")</f>
        <v>p.persica_gdr_reftransV1_0009385</v>
      </c>
      <c r="B9940" s="3">
        <v>3081</v>
      </c>
      <c r="C9940" s="1" t="str">
        <f>HYPERLINK("http://www.uniprot.org/uniprot/TI100_ARATH","TI100_ARATH")</f>
        <v>TI100_ARATH</v>
      </c>
      <c r="D9940" t="s">
        <v>5330</v>
      </c>
      <c r="E9940" s="3" t="s">
        <v>3</v>
      </c>
      <c r="F9940" s="4">
        <v>0</v>
      </c>
      <c r="G9940" s="3">
        <v>2092</v>
      </c>
      <c r="H9940" s="3">
        <v>74</v>
      </c>
      <c r="I9940" s="3">
        <v>544</v>
      </c>
      <c r="J9940" s="3">
        <v>261</v>
      </c>
      <c r="K9940" s="3">
        <v>1886</v>
      </c>
      <c r="L9940" s="3">
        <v>58</v>
      </c>
      <c r="M9940" s="3">
        <v>601</v>
      </c>
    </row>
    <row r="9941" spans="1:13" x14ac:dyDescent="0.25">
      <c r="A9941" s="1" t="str">
        <f>HYPERLINK("http://www.rosaceae.org/Prunus/Prunus_persica/p.persica_gdr_reftransV1_0009435","p.persica_gdr_reftransV1_0009435")</f>
        <v>p.persica_gdr_reftransV1_0009435</v>
      </c>
      <c r="B9941" s="3">
        <v>2170</v>
      </c>
      <c r="C9941" s="1" t="str">
        <f>HYPERLINK("http://www.uniprot.org/uniprot/RKF3_ARATH","RKF3_ARATH")</f>
        <v>RKF3_ARATH</v>
      </c>
      <c r="D9941" t="s">
        <v>5016</v>
      </c>
      <c r="E9941" s="3" t="s">
        <v>3</v>
      </c>
      <c r="F9941" s="4">
        <v>0</v>
      </c>
      <c r="G9941" s="3">
        <v>1592</v>
      </c>
      <c r="H9941" s="3">
        <v>55</v>
      </c>
      <c r="I9941" s="3">
        <v>601</v>
      </c>
      <c r="J9941" s="3">
        <v>185</v>
      </c>
      <c r="K9941" s="3">
        <v>1972</v>
      </c>
      <c r="L9941" s="3">
        <v>22</v>
      </c>
      <c r="M9941" s="3">
        <v>610</v>
      </c>
    </row>
    <row r="9942" spans="1:13" x14ac:dyDescent="0.25">
      <c r="A9942" s="1" t="str">
        <f>HYPERLINK("http://www.rosaceae.org/Prunus/Prunus_persica/p.persica_gdr_reftransV1_0009635","p.persica_gdr_reftransV1_0009635")</f>
        <v>p.persica_gdr_reftransV1_0009635</v>
      </c>
      <c r="B9942" s="3">
        <v>3753</v>
      </c>
      <c r="C9942" s="1" t="str">
        <f>HYPERLINK("http://www.uniprot.org/uniprot/SDP1_ARATH","SDP1_ARATH")</f>
        <v>SDP1_ARATH</v>
      </c>
      <c r="D9942" t="s">
        <v>7312</v>
      </c>
      <c r="E9942" s="3" t="s">
        <v>3</v>
      </c>
      <c r="F9942" s="4">
        <v>0</v>
      </c>
      <c r="G9942" s="3">
        <v>2789</v>
      </c>
      <c r="H9942" s="3">
        <v>76</v>
      </c>
      <c r="I9942" s="3">
        <v>735</v>
      </c>
      <c r="J9942" s="3">
        <v>392</v>
      </c>
      <c r="K9942" s="3">
        <v>2578</v>
      </c>
      <c r="L9942" s="3">
        <v>83</v>
      </c>
      <c r="M9942" s="3">
        <v>786</v>
      </c>
    </row>
    <row r="9943" spans="1:13" x14ac:dyDescent="0.25">
      <c r="A9943" s="1" t="str">
        <f>HYPERLINK("http://www.rosaceae.org/Prunus/Prunus_persica/p.persica_gdr_reftransV1_0009685","p.persica_gdr_reftransV1_0009685")</f>
        <v>p.persica_gdr_reftransV1_0009685</v>
      </c>
      <c r="B9943" s="3">
        <v>2218</v>
      </c>
      <c r="C9943" s="1" t="str">
        <f>HYPERLINK("http://www.uniprot.org/uniprot/ACR8_ARATH","ACR8_ARATH")</f>
        <v>ACR8_ARATH</v>
      </c>
      <c r="D9943" t="s">
        <v>1800</v>
      </c>
      <c r="E9943" s="3" t="s">
        <v>3</v>
      </c>
      <c r="F9943" s="4">
        <v>5.4299999999999997E-167</v>
      </c>
      <c r="G9943" s="3">
        <v>1233</v>
      </c>
      <c r="H9943" s="3">
        <v>70</v>
      </c>
      <c r="I9943" s="3">
        <v>323</v>
      </c>
      <c r="J9943" s="3">
        <v>898</v>
      </c>
      <c r="K9943" s="3">
        <v>1860</v>
      </c>
      <c r="L9943" s="3">
        <v>1</v>
      </c>
      <c r="M9943" s="3">
        <v>323</v>
      </c>
    </row>
    <row r="9944" spans="1:13" x14ac:dyDescent="0.25">
      <c r="A9944" s="1" t="str">
        <f>HYPERLINK("http://www.rosaceae.org/Prunus/Prunus_persica/p.persica_gdr_reftransV1_0009735","p.persica_gdr_reftransV1_0009735")</f>
        <v>p.persica_gdr_reftransV1_0009735</v>
      </c>
      <c r="B9944" s="3">
        <v>1676</v>
      </c>
      <c r="C9944" s="1" t="str">
        <f>HYPERLINK("http://www.uniprot.org/uniprot/LST8_DICDI","LST8_DICDI")</f>
        <v>LST8_DICDI</v>
      </c>
      <c r="D9944" t="s">
        <v>7313</v>
      </c>
      <c r="E9944" s="3" t="s">
        <v>9</v>
      </c>
      <c r="F9944" s="4">
        <v>6.69E-129</v>
      </c>
      <c r="G9944" s="3">
        <v>991</v>
      </c>
      <c r="H9944" s="3">
        <v>60</v>
      </c>
      <c r="I9944" s="3">
        <v>306</v>
      </c>
      <c r="J9944" s="3">
        <v>457</v>
      </c>
      <c r="K9944" s="3">
        <v>1374</v>
      </c>
      <c r="L9944" s="3">
        <v>2</v>
      </c>
      <c r="M9944" s="3">
        <v>301</v>
      </c>
    </row>
    <row r="9945" spans="1:13" x14ac:dyDescent="0.25">
      <c r="A9945" s="1" t="str">
        <f>HYPERLINK("http://www.rosaceae.org/Prunus/Prunus_persica/p.persica_gdr_reftransV1_0009785","p.persica_gdr_reftransV1_0009785")</f>
        <v>p.persica_gdr_reftransV1_0009785</v>
      </c>
      <c r="B9945" s="3">
        <v>1439</v>
      </c>
      <c r="C9945" s="1" t="str">
        <f>HYPERLINK("http://www.uniprot.org/uniprot/CYSK4_ARATH","CYSK4_ARATH")</f>
        <v>CYSK4_ARATH</v>
      </c>
      <c r="D9945" t="s">
        <v>7314</v>
      </c>
      <c r="E9945" s="3" t="s">
        <v>3</v>
      </c>
      <c r="F9945" s="4">
        <v>8.86E-155</v>
      </c>
      <c r="G9945" s="3">
        <v>1165</v>
      </c>
      <c r="H9945" s="3">
        <v>81</v>
      </c>
      <c r="I9945" s="3">
        <v>309</v>
      </c>
      <c r="J9945" s="3">
        <v>320</v>
      </c>
      <c r="K9945" s="3">
        <v>1246</v>
      </c>
      <c r="L9945" s="3">
        <v>95</v>
      </c>
      <c r="M9945" s="3">
        <v>403</v>
      </c>
    </row>
    <row r="9946" spans="1:13" x14ac:dyDescent="0.25">
      <c r="A9946" s="1" t="str">
        <f>HYPERLINK("http://www.rosaceae.org/Prunus/Prunus_persica/p.persica_gdr_reftransV1_0009885","p.persica_gdr_reftransV1_0009885")</f>
        <v>p.persica_gdr_reftransV1_0009885</v>
      </c>
      <c r="B9946" s="3">
        <v>9155</v>
      </c>
      <c r="C9946" s="1" t="str">
        <f>HYPERLINK("http://www.uniprot.org/uniprot/RFC3_ORYSJ","RFC3_ORYSJ")</f>
        <v>RFC3_ORYSJ</v>
      </c>
      <c r="D9946" t="s">
        <v>7315</v>
      </c>
      <c r="E9946" s="3" t="s">
        <v>38</v>
      </c>
      <c r="F9946" s="4">
        <v>0</v>
      </c>
      <c r="G9946" s="3">
        <v>1489</v>
      </c>
      <c r="H9946" s="3">
        <v>83</v>
      </c>
      <c r="I9946" s="3">
        <v>330</v>
      </c>
      <c r="J9946" s="3">
        <v>7792</v>
      </c>
      <c r="K9946" s="3">
        <v>8781</v>
      </c>
      <c r="L9946" s="3">
        <v>35</v>
      </c>
      <c r="M9946" s="3">
        <v>360</v>
      </c>
    </row>
    <row r="9947" spans="1:13" x14ac:dyDescent="0.25">
      <c r="A9947" s="1" t="str">
        <f>HYPERLINK("http://www.rosaceae.org/Prunus/Prunus_persica/p.persica_gdr_reftransV1_0010535","p.persica_gdr_reftransV1_0010535")</f>
        <v>p.persica_gdr_reftransV1_0010535</v>
      </c>
      <c r="B9947" s="3">
        <v>3302</v>
      </c>
      <c r="C9947" s="1" t="str">
        <f>HYPERLINK("http://www.uniprot.org/uniprot/PP6R3_CHICK","PP6R3_CHICK")</f>
        <v>PP6R3_CHICK</v>
      </c>
      <c r="D9947" t="s">
        <v>7316</v>
      </c>
      <c r="E9947" s="3" t="s">
        <v>1278</v>
      </c>
      <c r="F9947" s="4">
        <v>4.3999999999999999E-54</v>
      </c>
      <c r="G9947" s="3">
        <v>528</v>
      </c>
      <c r="H9947" s="3">
        <v>29</v>
      </c>
      <c r="I9947" s="3">
        <v>527</v>
      </c>
      <c r="J9947" s="3">
        <v>326</v>
      </c>
      <c r="K9947" s="3">
        <v>1798</v>
      </c>
      <c r="L9947" s="3">
        <v>1</v>
      </c>
      <c r="M9947" s="3">
        <v>513</v>
      </c>
    </row>
    <row r="9948" spans="1:13" x14ac:dyDescent="0.25">
      <c r="A9948" s="1" t="str">
        <f>HYPERLINK("http://www.rosaceae.org/Prunus/Prunus_persica/p.persica_gdr_reftransV1_0010635","p.persica_gdr_reftransV1_0010635")</f>
        <v>p.persica_gdr_reftransV1_0010635</v>
      </c>
      <c r="B9948" s="3">
        <v>1082</v>
      </c>
      <c r="C9948" s="1" t="str">
        <f>HYPERLINK("http://www.uniprot.org/uniprot/idM1_ARATH","idM1_ARATH")</f>
        <v>idM1_ARATH</v>
      </c>
      <c r="D9948" t="s">
        <v>1345</v>
      </c>
      <c r="E9948" s="3" t="s">
        <v>3</v>
      </c>
      <c r="F9948" s="4">
        <v>2.9599999999999998E-23</v>
      </c>
      <c r="G9948" s="3">
        <v>263</v>
      </c>
      <c r="H9948" s="3">
        <v>41</v>
      </c>
      <c r="I9948" s="3">
        <v>142</v>
      </c>
      <c r="J9948" s="3">
        <v>666</v>
      </c>
      <c r="K9948" s="3">
        <v>1082</v>
      </c>
      <c r="L9948" s="3">
        <v>721</v>
      </c>
      <c r="M9948" s="3">
        <v>848</v>
      </c>
    </row>
    <row r="9949" spans="1:13" x14ac:dyDescent="0.25">
      <c r="A9949" s="1" t="str">
        <f>HYPERLINK("http://www.rosaceae.org/Prunus/Prunus_persica/p.persica_gdr_reftransV1_0010785","p.persica_gdr_reftransV1_0010785")</f>
        <v>p.persica_gdr_reftransV1_0010785</v>
      </c>
      <c r="B9949" s="3">
        <v>980</v>
      </c>
      <c r="C9949" s="1" t="str">
        <f>HYPERLINK("http://www.uniprot.org/uniprot/FERON_ARATH","FERON_ARATH")</f>
        <v>FERON_ARATH</v>
      </c>
      <c r="D9949" t="s">
        <v>635</v>
      </c>
      <c r="E9949" s="3" t="s">
        <v>3</v>
      </c>
      <c r="F9949" s="4">
        <v>6.0200000000000003E-21</v>
      </c>
      <c r="G9949" s="3">
        <v>242</v>
      </c>
      <c r="H9949" s="3">
        <v>45</v>
      </c>
      <c r="I9949" s="3">
        <v>127</v>
      </c>
      <c r="J9949" s="3">
        <v>593</v>
      </c>
      <c r="K9949" s="3">
        <v>973</v>
      </c>
      <c r="L9949" s="3">
        <v>30</v>
      </c>
      <c r="M9949" s="3">
        <v>152</v>
      </c>
    </row>
    <row r="9950" spans="1:13" x14ac:dyDescent="0.25">
      <c r="A9950" s="1" t="str">
        <f>HYPERLINK("http://www.rosaceae.org/Prunus/Prunus_persica/p.persica_gdr_reftransV1_0010935","p.persica_gdr_reftransV1_0010935")</f>
        <v>p.persica_gdr_reftransV1_0010935</v>
      </c>
      <c r="B9950" s="3">
        <v>1208</v>
      </c>
      <c r="C9950" s="1" t="str">
        <f>HYPERLINK("http://www.uniprot.org/uniprot/21KD_DAUCA","21KD_DAUCA")</f>
        <v>21KD_DAUCA</v>
      </c>
      <c r="D9950" t="s">
        <v>1280</v>
      </c>
      <c r="E9950" s="3" t="s">
        <v>32</v>
      </c>
      <c r="F9950" s="4">
        <v>9.7500000000000003E-50</v>
      </c>
      <c r="G9950" s="3">
        <v>436</v>
      </c>
      <c r="H9950" s="3">
        <v>48</v>
      </c>
      <c r="I9950" s="3">
        <v>165</v>
      </c>
      <c r="J9950" s="3">
        <v>267</v>
      </c>
      <c r="K9950" s="3">
        <v>752</v>
      </c>
      <c r="L9950" s="3">
        <v>27</v>
      </c>
      <c r="M9950" s="3">
        <v>191</v>
      </c>
    </row>
    <row r="9951" spans="1:13" x14ac:dyDescent="0.25">
      <c r="A9951" s="1" t="str">
        <f>HYPERLINK("http://www.rosaceae.org/Prunus/Prunus_persica/p.persica_gdr_reftransV1_0010985","p.persica_gdr_reftransV1_0010985")</f>
        <v>p.persica_gdr_reftransV1_0010985</v>
      </c>
      <c r="B9951" s="3">
        <v>3152</v>
      </c>
      <c r="C9951" s="1" t="str">
        <f>HYPERLINK("http://www.uniprot.org/uniprot/ERO1_ARATH","ERO1_ARATH")</f>
        <v>ERO1_ARATH</v>
      </c>
      <c r="D9951" t="s">
        <v>4782</v>
      </c>
      <c r="E9951" s="3" t="s">
        <v>3</v>
      </c>
      <c r="F9951" s="4">
        <v>1.6999999999999999E-101</v>
      </c>
      <c r="G9951" s="3">
        <v>855</v>
      </c>
      <c r="H9951" s="3">
        <v>78</v>
      </c>
      <c r="I9951" s="3">
        <v>228</v>
      </c>
      <c r="J9951" s="3">
        <v>2477</v>
      </c>
      <c r="K9951" s="3">
        <v>3151</v>
      </c>
      <c r="L9951" s="3">
        <v>211</v>
      </c>
      <c r="M9951" s="3">
        <v>438</v>
      </c>
    </row>
    <row r="9952" spans="1:13" x14ac:dyDescent="0.25">
      <c r="A9952" s="1" t="str">
        <f>HYPERLINK("http://www.rosaceae.org/Prunus/Prunus_persica/p.persica_gdr_reftransV1_0011585","p.persica_gdr_reftransV1_0011585")</f>
        <v>p.persica_gdr_reftransV1_0011585</v>
      </c>
      <c r="B9952" s="3">
        <v>2251</v>
      </c>
      <c r="C9952" s="1" t="str">
        <f>HYPERLINK("http://www.uniprot.org/uniprot/LHTL8_ARATH","LHTL8_ARATH")</f>
        <v>LHTL8_ARATH</v>
      </c>
      <c r="D9952" t="s">
        <v>1580</v>
      </c>
      <c r="E9952" s="3" t="s">
        <v>3</v>
      </c>
      <c r="F9952" s="4">
        <v>4.2700000000000003E-179</v>
      </c>
      <c r="G9952" s="3">
        <v>1364</v>
      </c>
      <c r="H9952" s="3">
        <v>57</v>
      </c>
      <c r="I9952" s="3">
        <v>476</v>
      </c>
      <c r="J9952" s="3">
        <v>643</v>
      </c>
      <c r="K9952" s="3">
        <v>2034</v>
      </c>
      <c r="L9952" s="3">
        <v>44</v>
      </c>
      <c r="M9952" s="3">
        <v>517</v>
      </c>
    </row>
    <row r="9953" spans="1:13" x14ac:dyDescent="0.25">
      <c r="A9953" s="1" t="str">
        <f>HYPERLINK("http://www.rosaceae.org/Prunus/Prunus_persica/p.persica_gdr_reftransV1_0011835","p.persica_gdr_reftransV1_0011835")</f>
        <v>p.persica_gdr_reftransV1_0011835</v>
      </c>
      <c r="B9953" s="3">
        <v>1423</v>
      </c>
      <c r="C9953" s="1" t="str">
        <f>HYPERLINK("http://www.uniprot.org/uniprot/AP4M_ARATH","AP4M_ARATH")</f>
        <v>AP4M_ARATH</v>
      </c>
      <c r="D9953" t="s">
        <v>7317</v>
      </c>
      <c r="E9953" s="3" t="s">
        <v>3</v>
      </c>
      <c r="F9953" s="4">
        <v>0</v>
      </c>
      <c r="G9953" s="3">
        <v>1887</v>
      </c>
      <c r="H9953" s="3">
        <v>79</v>
      </c>
      <c r="I9953" s="3">
        <v>446</v>
      </c>
      <c r="J9953" s="3">
        <v>101</v>
      </c>
      <c r="K9953" s="3">
        <v>1423</v>
      </c>
      <c r="L9953" s="3">
        <v>7</v>
      </c>
      <c r="M9953" s="3">
        <v>451</v>
      </c>
    </row>
    <row r="9954" spans="1:13" x14ac:dyDescent="0.25">
      <c r="A9954" s="1" t="str">
        <f>HYPERLINK("http://www.rosaceae.org/Prunus/Prunus_persica/p.persica_gdr_reftransV1_0011935","p.persica_gdr_reftransV1_0011935")</f>
        <v>p.persica_gdr_reftransV1_0011935</v>
      </c>
      <c r="B9954" s="3">
        <v>3843</v>
      </c>
      <c r="C9954" s="1" t="str">
        <f>HYPERLINK("http://www.uniprot.org/uniprot/TLP5_ORYSJ","TLP5_ORYSJ")</f>
        <v>TLP5_ORYSJ</v>
      </c>
      <c r="D9954" t="s">
        <v>7318</v>
      </c>
      <c r="E9954" s="3" t="s">
        <v>38</v>
      </c>
      <c r="F9954" s="4">
        <v>8.6900000000000001E-173</v>
      </c>
      <c r="G9954" s="3">
        <v>1354</v>
      </c>
      <c r="H9954" s="3">
        <v>63</v>
      </c>
      <c r="I9954" s="3">
        <v>429</v>
      </c>
      <c r="J9954" s="3">
        <v>538</v>
      </c>
      <c r="K9954" s="3">
        <v>1782</v>
      </c>
      <c r="L9954" s="3">
        <v>1</v>
      </c>
      <c r="M9954" s="3">
        <v>428</v>
      </c>
    </row>
    <row r="9955" spans="1:13" x14ac:dyDescent="0.25">
      <c r="A9955" s="1" t="str">
        <f>HYPERLINK("http://www.rosaceae.org/Prunus/Prunus_persica/p.persica_gdr_reftransV1_0012135","p.persica_gdr_reftransV1_0012135")</f>
        <v>p.persica_gdr_reftransV1_0012135</v>
      </c>
      <c r="B9955" s="3">
        <v>881</v>
      </c>
      <c r="C9955" s="1" t="str">
        <f>HYPERLINK("http://www.uniprot.org/uniprot/NUD15_ARATH","NUD15_ARATH")</f>
        <v>NUD15_ARATH</v>
      </c>
      <c r="D9955" t="s">
        <v>5010</v>
      </c>
      <c r="E9955" s="3" t="s">
        <v>3</v>
      </c>
      <c r="F9955" s="4">
        <v>3.8300000000000002E-67</v>
      </c>
      <c r="G9955" s="3">
        <v>553</v>
      </c>
      <c r="H9955" s="3">
        <v>58</v>
      </c>
      <c r="I9955" s="3">
        <v>172</v>
      </c>
      <c r="J9955" s="3">
        <v>365</v>
      </c>
      <c r="K9955" s="3">
        <v>880</v>
      </c>
      <c r="L9955" s="3">
        <v>110</v>
      </c>
      <c r="M9955" s="3">
        <v>281</v>
      </c>
    </row>
    <row r="9956" spans="1:13" x14ac:dyDescent="0.25">
      <c r="A9956" s="1" t="str">
        <f>HYPERLINK("http://www.rosaceae.org/Prunus/Prunus_persica/p.persica_gdr_reftransV1_0012185","p.persica_gdr_reftransV1_0012185")</f>
        <v>p.persica_gdr_reftransV1_0012185</v>
      </c>
      <c r="B9956" s="3">
        <v>1838</v>
      </c>
      <c r="C9956" s="1" t="str">
        <f>HYPERLINK("http://www.uniprot.org/uniprot/JMJD7_HUMAN","JMJD7_HUMAN")</f>
        <v>JMJD7_HUMAN</v>
      </c>
      <c r="D9956" t="s">
        <v>7319</v>
      </c>
      <c r="E9956" s="3" t="s">
        <v>28</v>
      </c>
      <c r="F9956" s="4">
        <v>2.2800000000000001E-49</v>
      </c>
      <c r="G9956" s="3">
        <v>454</v>
      </c>
      <c r="H9956" s="3">
        <v>40</v>
      </c>
      <c r="I9956" s="3">
        <v>277</v>
      </c>
      <c r="J9956" s="3">
        <v>245</v>
      </c>
      <c r="K9956" s="3">
        <v>1057</v>
      </c>
      <c r="L9956" s="3">
        <v>6</v>
      </c>
      <c r="M9956" s="3">
        <v>267</v>
      </c>
    </row>
    <row r="9957" spans="1:13" x14ac:dyDescent="0.25">
      <c r="A9957" s="1" t="str">
        <f>HYPERLINK("http://www.rosaceae.org/Prunus/Prunus_persica/p.persica_gdr_reftransV1_0012535","p.persica_gdr_reftransV1_0012535")</f>
        <v>p.persica_gdr_reftransV1_0012535</v>
      </c>
      <c r="B9957" s="3">
        <v>2435</v>
      </c>
      <c r="C9957" s="1" t="str">
        <f>HYPERLINK("http://www.uniprot.org/uniprot/GAT26_ARATH","GAT26_ARATH")</f>
        <v>GAT26_ARATH</v>
      </c>
      <c r="D9957" t="s">
        <v>7320</v>
      </c>
      <c r="E9957" s="3" t="s">
        <v>3</v>
      </c>
      <c r="F9957" s="4">
        <v>5.9100000000000002E-142</v>
      </c>
      <c r="G9957" s="3">
        <v>1120</v>
      </c>
      <c r="H9957" s="3">
        <v>54</v>
      </c>
      <c r="I9957" s="3">
        <v>532</v>
      </c>
      <c r="J9957" s="3">
        <v>447</v>
      </c>
      <c r="K9957" s="3">
        <v>2000</v>
      </c>
      <c r="L9957" s="3">
        <v>1</v>
      </c>
      <c r="M9957" s="3">
        <v>508</v>
      </c>
    </row>
    <row r="9958" spans="1:13" x14ac:dyDescent="0.25">
      <c r="A9958" s="1" t="str">
        <f>HYPERLINK("http://www.rosaceae.org/Prunus/Prunus_persica/p.persica_gdr_reftransV1_0012735","p.persica_gdr_reftransV1_0012735")</f>
        <v>p.persica_gdr_reftransV1_0012735</v>
      </c>
      <c r="B9958" s="3">
        <v>879</v>
      </c>
      <c r="C9958" s="1" t="str">
        <f>HYPERLINK("http://www.uniprot.org/uniprot/POLX_TOBAC","POLX_TOBAC")</f>
        <v>POLX_TOBAC</v>
      </c>
      <c r="D9958" t="s">
        <v>1253</v>
      </c>
      <c r="E9958" s="3" t="s">
        <v>200</v>
      </c>
      <c r="F9958" s="4">
        <v>7.6200000000000002E-36</v>
      </c>
      <c r="G9958" s="3">
        <v>358</v>
      </c>
      <c r="H9958" s="3">
        <v>47</v>
      </c>
      <c r="I9958" s="3">
        <v>150</v>
      </c>
      <c r="J9958" s="3">
        <v>147</v>
      </c>
      <c r="K9958" s="3">
        <v>596</v>
      </c>
      <c r="L9958" s="3">
        <v>829</v>
      </c>
      <c r="M9958" s="3">
        <v>978</v>
      </c>
    </row>
    <row r="9959" spans="1:13" x14ac:dyDescent="0.25">
      <c r="A9959" s="1" t="str">
        <f>HYPERLINK("http://www.rosaceae.org/Prunus/Prunus_persica/p.persica_gdr_reftransV1_0012785","p.persica_gdr_reftransV1_0012785")</f>
        <v>p.persica_gdr_reftransV1_0012785</v>
      </c>
      <c r="B9959" s="3">
        <v>2828</v>
      </c>
      <c r="C9959" s="1" t="str">
        <f>HYPERLINK("http://www.uniprot.org/uniprot/OPT7_ARATH","OPT7_ARATH")</f>
        <v>OPT7_ARATH</v>
      </c>
      <c r="D9959" t="s">
        <v>7321</v>
      </c>
      <c r="E9959" s="3" t="s">
        <v>3</v>
      </c>
      <c r="F9959" s="4">
        <v>0</v>
      </c>
      <c r="G9959" s="3">
        <v>3082</v>
      </c>
      <c r="H9959" s="3">
        <v>81</v>
      </c>
      <c r="I9959" s="3">
        <v>712</v>
      </c>
      <c r="J9959" s="3">
        <v>353</v>
      </c>
      <c r="K9959" s="3">
        <v>2485</v>
      </c>
      <c r="L9959" s="3">
        <v>55</v>
      </c>
      <c r="M9959" s="3">
        <v>766</v>
      </c>
    </row>
    <row r="9960" spans="1:13" x14ac:dyDescent="0.25">
      <c r="A9960" s="1" t="str">
        <f>HYPERLINK("http://www.rosaceae.org/Prunus/Prunus_persica/p.persica_gdr_reftransV1_0012835","p.persica_gdr_reftransV1_0012835")</f>
        <v>p.persica_gdr_reftransV1_0012835</v>
      </c>
      <c r="B9960" s="3">
        <v>1493</v>
      </c>
      <c r="C9960" s="1" t="str">
        <f>HYPERLINK("http://www.uniprot.org/uniprot/CDPKK_ARATH","CDPKK_ARATH")</f>
        <v>CDPKK_ARATH</v>
      </c>
      <c r="D9960" t="s">
        <v>5670</v>
      </c>
      <c r="E9960" s="3" t="s">
        <v>3</v>
      </c>
      <c r="F9960" s="4">
        <v>0</v>
      </c>
      <c r="G9960" s="3">
        <v>1723</v>
      </c>
      <c r="H9960" s="3">
        <v>88</v>
      </c>
      <c r="I9960" s="3">
        <v>359</v>
      </c>
      <c r="J9960" s="3">
        <v>1</v>
      </c>
      <c r="K9960" s="3">
        <v>1077</v>
      </c>
      <c r="L9960" s="3">
        <v>219</v>
      </c>
      <c r="M9960" s="3">
        <v>577</v>
      </c>
    </row>
    <row r="9961" spans="1:13" x14ac:dyDescent="0.25">
      <c r="A9961" s="1" t="str">
        <f>HYPERLINK("http://www.rosaceae.org/Prunus/Prunus_persica/p.persica_gdr_reftransV1_0012885","p.persica_gdr_reftransV1_0012885")</f>
        <v>p.persica_gdr_reftransV1_0012885</v>
      </c>
      <c r="B9961" s="3">
        <v>1368</v>
      </c>
      <c r="C9961" s="1" t="str">
        <f>HYPERLINK("http://www.uniprot.org/uniprot/RING1_GOSHI","RING1_GOSHI")</f>
        <v>RING1_GOSHI</v>
      </c>
      <c r="D9961" t="s">
        <v>2201</v>
      </c>
      <c r="E9961" s="3" t="s">
        <v>816</v>
      </c>
      <c r="F9961" s="4">
        <v>1.93E-14</v>
      </c>
      <c r="G9961" s="3">
        <v>190</v>
      </c>
      <c r="H9961" s="3">
        <v>45</v>
      </c>
      <c r="I9961" s="3">
        <v>73</v>
      </c>
      <c r="J9961" s="3">
        <v>530</v>
      </c>
      <c r="K9961" s="3">
        <v>739</v>
      </c>
      <c r="L9961" s="3">
        <v>198</v>
      </c>
      <c r="M9961" s="3">
        <v>270</v>
      </c>
    </row>
    <row r="9962" spans="1:13" x14ac:dyDescent="0.25">
      <c r="A9962" s="1" t="str">
        <f>HYPERLINK("http://www.rosaceae.org/Prunus/Prunus_persica/p.persica_gdr_reftransV1_0012985","p.persica_gdr_reftransV1_0012985")</f>
        <v>p.persica_gdr_reftransV1_0012985</v>
      </c>
      <c r="B9962" s="3">
        <v>3827</v>
      </c>
      <c r="C9962" s="1" t="str">
        <f>HYPERLINK("http://www.uniprot.org/uniprot/PP212_ARATH","PP212_ARATH")</f>
        <v>PP212_ARATH</v>
      </c>
      <c r="D9962" t="s">
        <v>7322</v>
      </c>
      <c r="E9962" s="3" t="s">
        <v>3</v>
      </c>
      <c r="F9962" s="4">
        <v>0</v>
      </c>
      <c r="G9962" s="3">
        <v>1805</v>
      </c>
      <c r="H9962" s="3">
        <v>56</v>
      </c>
      <c r="I9962" s="3">
        <v>643</v>
      </c>
      <c r="J9962" s="3">
        <v>391</v>
      </c>
      <c r="K9962" s="3">
        <v>2298</v>
      </c>
      <c r="L9962" s="3">
        <v>9</v>
      </c>
      <c r="M9962" s="3">
        <v>651</v>
      </c>
    </row>
    <row r="9963" spans="1:13" x14ac:dyDescent="0.25">
      <c r="A9963" s="1" t="str">
        <f>HYPERLINK("http://www.rosaceae.org/Prunus/Prunus_persica/p.persica_gdr_reftransV1_0013285","p.persica_gdr_reftransV1_0013285")</f>
        <v>p.persica_gdr_reftransV1_0013285</v>
      </c>
      <c r="B9963" s="3">
        <v>2577</v>
      </c>
      <c r="C9963" s="1" t="str">
        <f>HYPERLINK("http://www.uniprot.org/uniprot/SCP27_ARATH","SCP27_ARATH")</f>
        <v>SCP27_ARATH</v>
      </c>
      <c r="D9963" t="s">
        <v>7323</v>
      </c>
      <c r="E9963" s="3" t="s">
        <v>3</v>
      </c>
      <c r="F9963" s="4">
        <v>0</v>
      </c>
      <c r="G9963" s="3">
        <v>1707</v>
      </c>
      <c r="H9963" s="3">
        <v>80</v>
      </c>
      <c r="I9963" s="3">
        <v>383</v>
      </c>
      <c r="J9963" s="3">
        <v>1101</v>
      </c>
      <c r="K9963" s="3">
        <v>2249</v>
      </c>
      <c r="L9963" s="3">
        <v>74</v>
      </c>
      <c r="M9963" s="3">
        <v>456</v>
      </c>
    </row>
    <row r="9964" spans="1:13" x14ac:dyDescent="0.25">
      <c r="A9964" s="1" t="str">
        <f>HYPERLINK("http://www.rosaceae.org/Prunus/Prunus_persica/p.persica_gdr_reftransV1_0013335","p.persica_gdr_reftransV1_0013335")</f>
        <v>p.persica_gdr_reftransV1_0013335</v>
      </c>
      <c r="B9964" s="3">
        <v>2008</v>
      </c>
      <c r="C9964" s="1" t="str">
        <f>HYPERLINK("http://www.uniprot.org/uniprot/RA51D_ARATH","RA51D_ARATH")</f>
        <v>RA51D_ARATH</v>
      </c>
      <c r="D9964" t="s">
        <v>7324</v>
      </c>
      <c r="E9964" s="3" t="s">
        <v>3</v>
      </c>
      <c r="F9964" s="4">
        <v>1.9300000000000001E-85</v>
      </c>
      <c r="G9964" s="3">
        <v>710</v>
      </c>
      <c r="H9964" s="3">
        <v>57</v>
      </c>
      <c r="I9964" s="3">
        <v>261</v>
      </c>
      <c r="J9964" s="3">
        <v>163</v>
      </c>
      <c r="K9964" s="3">
        <v>942</v>
      </c>
      <c r="L9964" s="3">
        <v>1</v>
      </c>
      <c r="M9964" s="3">
        <v>254</v>
      </c>
    </row>
    <row r="9965" spans="1:13" x14ac:dyDescent="0.25">
      <c r="A9965" s="1" t="str">
        <f>HYPERLINK("http://www.rosaceae.org/Prunus/Prunus_persica/p.persica_gdr_reftransV1_0013385","p.persica_gdr_reftransV1_0013385")</f>
        <v>p.persica_gdr_reftransV1_0013385</v>
      </c>
      <c r="B9965" s="3">
        <v>1234</v>
      </c>
      <c r="C9965" s="1" t="str">
        <f>HYPERLINK("http://www.uniprot.org/uniprot/ANP1_ARATH","ANP1_ARATH")</f>
        <v>ANP1_ARATH</v>
      </c>
      <c r="D9965" t="s">
        <v>7007</v>
      </c>
      <c r="E9965" s="3" t="s">
        <v>3</v>
      </c>
      <c r="F9965" s="4">
        <v>2.2999999999999999E-33</v>
      </c>
      <c r="G9965" s="3">
        <v>341</v>
      </c>
      <c r="H9965" s="3">
        <v>32</v>
      </c>
      <c r="I9965" s="3">
        <v>282</v>
      </c>
      <c r="J9965" s="3">
        <v>69</v>
      </c>
      <c r="K9965" s="3">
        <v>899</v>
      </c>
      <c r="L9965" s="3">
        <v>69</v>
      </c>
      <c r="M9965" s="3">
        <v>331</v>
      </c>
    </row>
    <row r="9966" spans="1:13" x14ac:dyDescent="0.25">
      <c r="A9966" s="1" t="str">
        <f>HYPERLINK("http://www.rosaceae.org/Prunus/Prunus_persica/p.persica_gdr_reftransV1_0013435","p.persica_gdr_reftransV1_0013435")</f>
        <v>p.persica_gdr_reftransV1_0013435</v>
      </c>
      <c r="B9966" s="3">
        <v>2161</v>
      </c>
      <c r="C9966" s="1" t="str">
        <f>HYPERLINK("http://www.uniprot.org/uniprot/CYP40_ARATH","CYP40_ARATH")</f>
        <v>CYP40_ARATH</v>
      </c>
      <c r="D9966" t="s">
        <v>2202</v>
      </c>
      <c r="E9966" s="3" t="s">
        <v>3</v>
      </c>
      <c r="F9966" s="4">
        <v>0</v>
      </c>
      <c r="G9966" s="3">
        <v>1401</v>
      </c>
      <c r="H9966" s="3">
        <v>73</v>
      </c>
      <c r="I9966" s="3">
        <v>360</v>
      </c>
      <c r="J9966" s="3">
        <v>709</v>
      </c>
      <c r="K9966" s="3">
        <v>1788</v>
      </c>
      <c r="L9966" s="3">
        <v>1</v>
      </c>
      <c r="M9966" s="3">
        <v>360</v>
      </c>
    </row>
    <row r="9967" spans="1:13" x14ac:dyDescent="0.25">
      <c r="A9967" s="1" t="str">
        <f>HYPERLINK("http://www.rosaceae.org/Prunus/Prunus_persica/p.persica_gdr_reftransV1_0013785","p.persica_gdr_reftransV1_0013785")</f>
        <v>p.persica_gdr_reftransV1_0013785</v>
      </c>
      <c r="B9967" s="3">
        <v>1406</v>
      </c>
      <c r="C9967" s="1" t="str">
        <f>HYPERLINK("http://www.uniprot.org/uniprot/PPR36_ARATH","PPR36_ARATH")</f>
        <v>PPR36_ARATH</v>
      </c>
      <c r="D9967" t="s">
        <v>3667</v>
      </c>
      <c r="E9967" s="3" t="s">
        <v>3</v>
      </c>
      <c r="F9967" s="4">
        <v>1.0499999999999999E-46</v>
      </c>
      <c r="G9967" s="3">
        <v>445</v>
      </c>
      <c r="H9967" s="3">
        <v>36</v>
      </c>
      <c r="I9967" s="3">
        <v>271</v>
      </c>
      <c r="J9967" s="3">
        <v>3</v>
      </c>
      <c r="K9967" s="3">
        <v>812</v>
      </c>
      <c r="L9967" s="3">
        <v>257</v>
      </c>
      <c r="M9967" s="3">
        <v>524</v>
      </c>
    </row>
    <row r="9968" spans="1:13" x14ac:dyDescent="0.25">
      <c r="A9968" s="1" t="str">
        <f>HYPERLINK("http://www.rosaceae.org/Prunus/Prunus_persica/p.persica_gdr_reftransV1_0014035","p.persica_gdr_reftransV1_0014035")</f>
        <v>p.persica_gdr_reftransV1_0014035</v>
      </c>
      <c r="B9968" s="3">
        <v>590</v>
      </c>
      <c r="C9968" s="1" t="str">
        <f>HYPERLINK("http://www.uniprot.org/uniprot/ZFR_XENLA","ZFR_XENLA")</f>
        <v>ZFR_XENLA</v>
      </c>
      <c r="D9968" t="s">
        <v>7325</v>
      </c>
      <c r="E9968" s="3" t="s">
        <v>475</v>
      </c>
      <c r="F9968" s="4">
        <v>1.02E-8</v>
      </c>
      <c r="G9968" s="3">
        <v>138</v>
      </c>
      <c r="H9968" s="3">
        <v>36</v>
      </c>
      <c r="I9968" s="3">
        <v>80</v>
      </c>
      <c r="J9968" s="3">
        <v>340</v>
      </c>
      <c r="K9968" s="3">
        <v>549</v>
      </c>
      <c r="L9968" s="3">
        <v>323</v>
      </c>
      <c r="M9968" s="3">
        <v>402</v>
      </c>
    </row>
    <row r="9969" spans="1:13" x14ac:dyDescent="0.25">
      <c r="A9969" s="1" t="str">
        <f>HYPERLINK("http://www.rosaceae.org/Prunus/Prunus_persica/p.persica_gdr_reftransV1_0014235","p.persica_gdr_reftransV1_0014235")</f>
        <v>p.persica_gdr_reftransV1_0014235</v>
      </c>
      <c r="B9969" s="3">
        <v>1389</v>
      </c>
      <c r="C9969" s="1" t="str">
        <f>HYPERLINK("http://www.uniprot.org/uniprot/Y4757_DICDI","Y4757_DICDI")</f>
        <v>Y4757_DICDI</v>
      </c>
      <c r="D9969" t="s">
        <v>6481</v>
      </c>
      <c r="E9969" s="3" t="s">
        <v>9</v>
      </c>
      <c r="F9969" s="4">
        <v>1.2799999999999999E-18</v>
      </c>
      <c r="G9969" s="3">
        <v>228</v>
      </c>
      <c r="H9969" s="3">
        <v>38</v>
      </c>
      <c r="I9969" s="3">
        <v>160</v>
      </c>
      <c r="J9969" s="3">
        <v>566</v>
      </c>
      <c r="K9969" s="3">
        <v>1009</v>
      </c>
      <c r="L9969" s="3">
        <v>608</v>
      </c>
      <c r="M9969" s="3">
        <v>766</v>
      </c>
    </row>
    <row r="9970" spans="1:13" x14ac:dyDescent="0.25">
      <c r="A9970" s="1" t="str">
        <f>HYPERLINK("http://www.rosaceae.org/Prunus/Prunus_persica/p.persica_gdr_reftransV1_0014385","p.persica_gdr_reftransV1_0014385")</f>
        <v>p.persica_gdr_reftransV1_0014385</v>
      </c>
      <c r="B9970" s="3">
        <v>3083</v>
      </c>
      <c r="C9970" s="1" t="str">
        <f>HYPERLINK("http://www.uniprot.org/uniprot/VSR7_ARATH","VSR7_ARATH")</f>
        <v>VSR7_ARATH</v>
      </c>
      <c r="D9970" t="s">
        <v>7326</v>
      </c>
      <c r="E9970" s="3" t="s">
        <v>3</v>
      </c>
      <c r="F9970" s="4">
        <v>0</v>
      </c>
      <c r="G9970" s="3">
        <v>2259</v>
      </c>
      <c r="H9970" s="3">
        <v>73</v>
      </c>
      <c r="I9970" s="3">
        <v>551</v>
      </c>
      <c r="J9970" s="3">
        <v>1130</v>
      </c>
      <c r="K9970" s="3">
        <v>2782</v>
      </c>
      <c r="L9970" s="3">
        <v>10</v>
      </c>
      <c r="M9970" s="3">
        <v>558</v>
      </c>
    </row>
    <row r="9971" spans="1:13" x14ac:dyDescent="0.25">
      <c r="A9971" s="1" t="str">
        <f>HYPERLINK("http://www.rosaceae.org/Prunus/Prunus_persica/p.persica_gdr_reftransV1_0014435","p.persica_gdr_reftransV1_0014435")</f>
        <v>p.persica_gdr_reftransV1_0014435</v>
      </c>
      <c r="B9971" s="3">
        <v>1222</v>
      </c>
      <c r="C9971" s="1" t="str">
        <f>HYPERLINK("http://www.uniprot.org/uniprot/CLPP2_ARATH","CLPP2_ARATH")</f>
        <v>CLPP2_ARATH</v>
      </c>
      <c r="D9971" t="s">
        <v>7327</v>
      </c>
      <c r="E9971" s="3" t="s">
        <v>3</v>
      </c>
      <c r="F9971" s="4">
        <v>3.3700000000000002E-128</v>
      </c>
      <c r="G9971" s="3">
        <v>966</v>
      </c>
      <c r="H9971" s="3">
        <v>83</v>
      </c>
      <c r="I9971" s="3">
        <v>234</v>
      </c>
      <c r="J9971" s="3">
        <v>425</v>
      </c>
      <c r="K9971" s="3">
        <v>1123</v>
      </c>
      <c r="L9971" s="3">
        <v>1</v>
      </c>
      <c r="M9971" s="3">
        <v>234</v>
      </c>
    </row>
    <row r="9972" spans="1:13" x14ac:dyDescent="0.25">
      <c r="A9972" s="1" t="str">
        <f>HYPERLINK("http://www.rosaceae.org/Prunus/Prunus_persica/p.persica_gdr_reftransV1_0014885","p.persica_gdr_reftransV1_0014885")</f>
        <v>p.persica_gdr_reftransV1_0014885</v>
      </c>
      <c r="B9972" s="3">
        <v>2811</v>
      </c>
      <c r="C9972" s="1" t="str">
        <f>HYPERLINK("http://www.uniprot.org/uniprot/AP4M_ARATH","AP4M_ARATH")</f>
        <v>AP4M_ARATH</v>
      </c>
      <c r="D9972" t="s">
        <v>7317</v>
      </c>
      <c r="E9972" s="3" t="s">
        <v>3</v>
      </c>
      <c r="F9972" s="4">
        <v>6.7099999999999999E-144</v>
      </c>
      <c r="G9972" s="3">
        <v>1137</v>
      </c>
      <c r="H9972" s="3">
        <v>80</v>
      </c>
      <c r="I9972" s="3">
        <v>266</v>
      </c>
      <c r="J9972" s="3">
        <v>1710</v>
      </c>
      <c r="K9972" s="3">
        <v>2507</v>
      </c>
      <c r="L9972" s="3">
        <v>192</v>
      </c>
      <c r="M9972" s="3">
        <v>451</v>
      </c>
    </row>
    <row r="9973" spans="1:13" x14ac:dyDescent="0.25">
      <c r="A9973" s="1" t="str">
        <f>HYPERLINK("http://www.rosaceae.org/Prunus/Prunus_persica/p.persica_gdr_reftransV1_0014935","p.persica_gdr_reftransV1_0014935")</f>
        <v>p.persica_gdr_reftransV1_0014935</v>
      </c>
      <c r="B9973" s="3">
        <v>2702</v>
      </c>
      <c r="C9973" s="1" t="str">
        <f>HYPERLINK("http://www.uniprot.org/uniprot/SYS_HELAN","SYS_HELAN")</f>
        <v>SYS_HELAN</v>
      </c>
      <c r="D9973" t="s">
        <v>7328</v>
      </c>
      <c r="E9973" s="3" t="s">
        <v>599</v>
      </c>
      <c r="F9973" s="4">
        <v>0</v>
      </c>
      <c r="G9973" s="3">
        <v>1450</v>
      </c>
      <c r="H9973" s="3">
        <v>83</v>
      </c>
      <c r="I9973" s="3">
        <v>317</v>
      </c>
      <c r="J9973" s="3">
        <v>1635</v>
      </c>
      <c r="K9973" s="3">
        <v>2585</v>
      </c>
      <c r="L9973" s="3">
        <v>1</v>
      </c>
      <c r="M9973" s="3">
        <v>317</v>
      </c>
    </row>
    <row r="9974" spans="1:13" x14ac:dyDescent="0.25">
      <c r="A9974" s="1" t="str">
        <f>HYPERLINK("http://www.rosaceae.org/Prunus/Prunus_persica/p.persica_gdr_reftransV1_0014985","p.persica_gdr_reftransV1_0014985")</f>
        <v>p.persica_gdr_reftransV1_0014985</v>
      </c>
      <c r="B9974" s="3">
        <v>2088</v>
      </c>
      <c r="C9974" s="1" t="str">
        <f>HYPERLINK("http://www.uniprot.org/uniprot/CIPKP_ARATH","CIPKP_ARATH")</f>
        <v>CIPKP_ARATH</v>
      </c>
      <c r="D9974" t="s">
        <v>7329</v>
      </c>
      <c r="E9974" s="3" t="s">
        <v>3</v>
      </c>
      <c r="F9974" s="4">
        <v>0</v>
      </c>
      <c r="G9974" s="3">
        <v>1560</v>
      </c>
      <c r="H9974" s="3">
        <v>72</v>
      </c>
      <c r="I9974" s="3">
        <v>450</v>
      </c>
      <c r="J9974" s="3">
        <v>434</v>
      </c>
      <c r="K9974" s="3">
        <v>1768</v>
      </c>
      <c r="L9974" s="3">
        <v>14</v>
      </c>
      <c r="M9974" s="3">
        <v>463</v>
      </c>
    </row>
    <row r="9975" spans="1:13" x14ac:dyDescent="0.25">
      <c r="A9975" s="1" t="str">
        <f>HYPERLINK("http://www.rosaceae.org/Prunus/Prunus_persica/p.persica_gdr_reftransV1_0015035","p.persica_gdr_reftransV1_0015035")</f>
        <v>p.persica_gdr_reftransV1_0015035</v>
      </c>
      <c r="B9975" s="3">
        <v>5594</v>
      </c>
      <c r="C9975" s="1" t="str">
        <f>HYPERLINK("http://www.uniprot.org/uniprot/AB2C_ARATH","AB2C_ARATH")</f>
        <v>AB2C_ARATH</v>
      </c>
      <c r="D9975" t="s">
        <v>6969</v>
      </c>
      <c r="E9975" s="3" t="s">
        <v>3</v>
      </c>
      <c r="F9975" s="4">
        <v>0</v>
      </c>
      <c r="G9975" s="3">
        <v>4941</v>
      </c>
      <c r="H9975" s="3">
        <v>74</v>
      </c>
      <c r="I9975" s="3">
        <v>1353</v>
      </c>
      <c r="J9975" s="3">
        <v>227</v>
      </c>
      <c r="K9975" s="3">
        <v>4270</v>
      </c>
      <c r="L9975" s="3">
        <v>272</v>
      </c>
      <c r="M9975" s="3">
        <v>1618</v>
      </c>
    </row>
    <row r="9976" spans="1:13" x14ac:dyDescent="0.25">
      <c r="A9976" s="1" t="str">
        <f>HYPERLINK("http://www.rosaceae.org/Prunus/Prunus_persica/p.persica_gdr_reftransV1_0015285","p.persica_gdr_reftransV1_0015285")</f>
        <v>p.persica_gdr_reftransV1_0015285</v>
      </c>
      <c r="B9976" s="3">
        <v>3818</v>
      </c>
      <c r="C9976" s="1" t="str">
        <f>HYPERLINK("http://www.uniprot.org/uniprot/C76B6_CATRO","C76B6_CATRO")</f>
        <v>C76B6_CATRO</v>
      </c>
      <c r="D9976" t="s">
        <v>3655</v>
      </c>
      <c r="E9976" s="3" t="s">
        <v>457</v>
      </c>
      <c r="F9976" s="4">
        <v>3.2799999999999998E-62</v>
      </c>
      <c r="G9976" s="3">
        <v>496</v>
      </c>
      <c r="H9976" s="3">
        <v>35</v>
      </c>
      <c r="I9976" s="3">
        <v>362</v>
      </c>
      <c r="J9976" s="3">
        <v>2603</v>
      </c>
      <c r="K9976" s="3">
        <v>3643</v>
      </c>
      <c r="L9976" s="3">
        <v>132</v>
      </c>
      <c r="M9976" s="3">
        <v>483</v>
      </c>
    </row>
    <row r="9977" spans="1:13" x14ac:dyDescent="0.25">
      <c r="A9977" s="1" t="str">
        <f>HYPERLINK("http://www.rosaceae.org/Prunus/Prunus_persica/p.persica_gdr_reftransV1_0015585","p.persica_gdr_reftransV1_0015585")</f>
        <v>p.persica_gdr_reftransV1_0015585</v>
      </c>
      <c r="B9977" s="3">
        <v>1271</v>
      </c>
      <c r="C9977" s="1" t="str">
        <f>HYPERLINK("http://www.uniprot.org/uniprot/FRS5_ARATH","FRS5_ARATH")</f>
        <v>FRS5_ARATH</v>
      </c>
      <c r="D9977" t="s">
        <v>908</v>
      </c>
      <c r="E9977" s="3" t="s">
        <v>3</v>
      </c>
      <c r="F9977" s="4">
        <v>3.0400000000000002E-13</v>
      </c>
      <c r="G9977" s="3">
        <v>184</v>
      </c>
      <c r="H9977" s="3">
        <v>44</v>
      </c>
      <c r="I9977" s="3">
        <v>114</v>
      </c>
      <c r="J9977" s="3">
        <v>210</v>
      </c>
      <c r="K9977" s="3">
        <v>515</v>
      </c>
      <c r="L9977" s="3">
        <v>72</v>
      </c>
      <c r="M9977" s="3">
        <v>182</v>
      </c>
    </row>
    <row r="9978" spans="1:13" x14ac:dyDescent="0.25">
      <c r="A9978" s="1" t="str">
        <f>HYPERLINK("http://www.rosaceae.org/Prunus/Prunus_persica/p.persica_gdr_reftransV1_0015735","p.persica_gdr_reftransV1_0015735")</f>
        <v>p.persica_gdr_reftransV1_0015735</v>
      </c>
      <c r="B9978" s="3">
        <v>1006</v>
      </c>
      <c r="C9978" s="1" t="str">
        <f>HYPERLINK("http://www.uniprot.org/uniprot/ZNRF4_MACFA","ZNRF4_MACFA")</f>
        <v>ZNRF4_MACFA</v>
      </c>
      <c r="D9978" t="s">
        <v>7330</v>
      </c>
      <c r="E9978" s="3" t="s">
        <v>674</v>
      </c>
      <c r="F9978" s="4">
        <v>4.6299999999999998E-8</v>
      </c>
      <c r="G9978" s="3">
        <v>139</v>
      </c>
      <c r="H9978" s="3">
        <v>41</v>
      </c>
      <c r="I9978" s="3">
        <v>69</v>
      </c>
      <c r="J9978" s="3">
        <v>541</v>
      </c>
      <c r="K9978" s="3">
        <v>747</v>
      </c>
      <c r="L9978" s="3">
        <v>288</v>
      </c>
      <c r="M9978" s="3">
        <v>352</v>
      </c>
    </row>
    <row r="9979" spans="1:13" x14ac:dyDescent="0.25">
      <c r="A9979" s="1" t="str">
        <f>HYPERLINK("http://www.rosaceae.org/Prunus/Prunus_persica/p.persica_gdr_reftransV1_0015785","p.persica_gdr_reftransV1_0015785")</f>
        <v>p.persica_gdr_reftransV1_0015785</v>
      </c>
      <c r="B9979" s="3">
        <v>2437</v>
      </c>
      <c r="C9979" s="1" t="str">
        <f>HYPERLINK("http://www.uniprot.org/uniprot/PIRL7_ORYSJ","PIRL7_ORYSJ")</f>
        <v>PIRL7_ORYSJ</v>
      </c>
      <c r="D9979" t="s">
        <v>7331</v>
      </c>
      <c r="E9979" s="3" t="s">
        <v>38</v>
      </c>
      <c r="F9979" s="4">
        <v>2.7200000000000001E-49</v>
      </c>
      <c r="G9979" s="3">
        <v>417</v>
      </c>
      <c r="H9979" s="3">
        <v>59</v>
      </c>
      <c r="I9979" s="3">
        <v>162</v>
      </c>
      <c r="J9979" s="3">
        <v>505</v>
      </c>
      <c r="K9979" s="3">
        <v>990</v>
      </c>
      <c r="L9979" s="3">
        <v>36</v>
      </c>
      <c r="M9979" s="3">
        <v>197</v>
      </c>
    </row>
    <row r="9980" spans="1:13" x14ac:dyDescent="0.25">
      <c r="A9980" s="1" t="str">
        <f>HYPERLINK("http://www.rosaceae.org/Prunus/Prunus_persica/p.persica_gdr_reftransV1_0015885","p.persica_gdr_reftransV1_0015885")</f>
        <v>p.persica_gdr_reftransV1_0015885</v>
      </c>
      <c r="B9980" s="3">
        <v>3661</v>
      </c>
      <c r="C9980" s="1" t="str">
        <f>HYPERLINK("http://www.uniprot.org/uniprot/DJB12_MOUSE","DJB12_MOUSE")</f>
        <v>DJB12_MOUSE</v>
      </c>
      <c r="D9980" t="s">
        <v>7332</v>
      </c>
      <c r="E9980" s="3" t="s">
        <v>157</v>
      </c>
      <c r="F9980" s="4">
        <v>2.17E-10</v>
      </c>
      <c r="G9980" s="3">
        <v>164</v>
      </c>
      <c r="H9980" s="3">
        <v>32</v>
      </c>
      <c r="I9980" s="3">
        <v>172</v>
      </c>
      <c r="J9980" s="3">
        <v>2955</v>
      </c>
      <c r="K9980" s="3">
        <v>3338</v>
      </c>
      <c r="L9980" s="3">
        <v>1</v>
      </c>
      <c r="M9980" s="3">
        <v>172</v>
      </c>
    </row>
    <row r="9981" spans="1:13" x14ac:dyDescent="0.25">
      <c r="A9981" s="1" t="str">
        <f>HYPERLINK("http://www.rosaceae.org/Prunus/Prunus_persica/p.persica_gdr_reftransV1_0016035","p.persica_gdr_reftransV1_0016035")</f>
        <v>p.persica_gdr_reftransV1_0016035</v>
      </c>
      <c r="B9981" s="3">
        <v>3243</v>
      </c>
      <c r="C9981" s="1" t="str">
        <f>HYPERLINK("http://www.uniprot.org/uniprot/C90C1_ARATH","C90C1_ARATH")</f>
        <v>C90C1_ARATH</v>
      </c>
      <c r="D9981" t="s">
        <v>7333</v>
      </c>
      <c r="E9981" s="3" t="s">
        <v>3</v>
      </c>
      <c r="F9981" s="4">
        <v>0</v>
      </c>
      <c r="G9981" s="3">
        <v>1616</v>
      </c>
      <c r="H9981" s="3">
        <v>72</v>
      </c>
      <c r="I9981" s="3">
        <v>415</v>
      </c>
      <c r="J9981" s="3">
        <v>1671</v>
      </c>
      <c r="K9981" s="3">
        <v>2915</v>
      </c>
      <c r="L9981" s="3">
        <v>105</v>
      </c>
      <c r="M9981" s="3">
        <v>511</v>
      </c>
    </row>
    <row r="9982" spans="1:13" x14ac:dyDescent="0.25">
      <c r="A9982" s="1" t="str">
        <f>HYPERLINK("http://www.rosaceae.org/Prunus/Prunus_persica/p.persica_gdr_reftransV1_0016135","p.persica_gdr_reftransV1_0016135")</f>
        <v>p.persica_gdr_reftransV1_0016135</v>
      </c>
      <c r="B9982" s="3">
        <v>816</v>
      </c>
      <c r="C9982" s="1" t="str">
        <f>HYPERLINK("http://www.uniprot.org/uniprot/HST_ARATH","HST_ARATH")</f>
        <v>HST_ARATH</v>
      </c>
      <c r="D9982" t="s">
        <v>2435</v>
      </c>
      <c r="E9982" s="3" t="s">
        <v>3</v>
      </c>
      <c r="F9982" s="4">
        <v>1.6399999999999999E-9</v>
      </c>
      <c r="G9982" s="3">
        <v>148</v>
      </c>
      <c r="H9982" s="3">
        <v>28</v>
      </c>
      <c r="I9982" s="3">
        <v>167</v>
      </c>
      <c r="J9982" s="3">
        <v>237</v>
      </c>
      <c r="K9982" s="3">
        <v>734</v>
      </c>
      <c r="L9982" s="3">
        <v>277</v>
      </c>
      <c r="M9982" s="3">
        <v>428</v>
      </c>
    </row>
    <row r="9983" spans="1:13" x14ac:dyDescent="0.25">
      <c r="A9983" s="1" t="str">
        <f>HYPERLINK("http://www.rosaceae.org/Prunus/Prunus_persica/p.persica_gdr_reftransV1_0016335","p.persica_gdr_reftransV1_0016335")</f>
        <v>p.persica_gdr_reftransV1_0016335</v>
      </c>
      <c r="B9983" s="3">
        <v>1207</v>
      </c>
      <c r="C9983" s="1" t="str">
        <f>HYPERLINK("http://www.uniprot.org/uniprot/DREB3_ARATH","DREB3_ARATH")</f>
        <v>DREB3_ARATH</v>
      </c>
      <c r="D9983" t="s">
        <v>4853</v>
      </c>
      <c r="E9983" s="3" t="s">
        <v>3</v>
      </c>
      <c r="F9983" s="4">
        <v>1.19E-41</v>
      </c>
      <c r="G9983" s="3">
        <v>384</v>
      </c>
      <c r="H9983" s="3">
        <v>66</v>
      </c>
      <c r="I9983" s="3">
        <v>127</v>
      </c>
      <c r="J9983" s="3">
        <v>607</v>
      </c>
      <c r="K9983" s="3">
        <v>987</v>
      </c>
      <c r="L9983" s="3">
        <v>19</v>
      </c>
      <c r="M9983" s="3">
        <v>134</v>
      </c>
    </row>
    <row r="9984" spans="1:13" x14ac:dyDescent="0.25">
      <c r="A9984" s="1" t="str">
        <f>HYPERLINK("http://www.rosaceae.org/Prunus/Prunus_persica/p.persica_gdr_reftransV1_0016585","p.persica_gdr_reftransV1_0016585")</f>
        <v>p.persica_gdr_reftransV1_0016585</v>
      </c>
      <c r="B9984" s="3">
        <v>840</v>
      </c>
      <c r="C9984" s="1" t="str">
        <f>HYPERLINK("http://www.uniprot.org/uniprot/CCD31_ARATH","CCD31_ARATH")</f>
        <v>CCD31_ARATH</v>
      </c>
      <c r="D9984" t="s">
        <v>2068</v>
      </c>
      <c r="E9984" s="3" t="s">
        <v>3</v>
      </c>
      <c r="F9984" s="4">
        <v>3.8899999999999998E-51</v>
      </c>
      <c r="G9984" s="3">
        <v>450</v>
      </c>
      <c r="H9984" s="3">
        <v>66</v>
      </c>
      <c r="I9984" s="3">
        <v>148</v>
      </c>
      <c r="J9984" s="3">
        <v>7</v>
      </c>
      <c r="K9984" s="3">
        <v>450</v>
      </c>
      <c r="L9984" s="3">
        <v>51</v>
      </c>
      <c r="M9984" s="3">
        <v>187</v>
      </c>
    </row>
    <row r="9985" spans="1:13" x14ac:dyDescent="0.25">
      <c r="A9985" s="1" t="str">
        <f>HYPERLINK("http://www.rosaceae.org/Prunus/Prunus_persica/p.persica_gdr_reftransV1_0016635","p.persica_gdr_reftransV1_0016635")</f>
        <v>p.persica_gdr_reftransV1_0016635</v>
      </c>
      <c r="B9985" s="3">
        <v>2284</v>
      </c>
      <c r="C9985" s="1" t="str">
        <f>HYPERLINK("http://www.uniprot.org/uniprot/APO2_ARATH","APO2_ARATH")</f>
        <v>APO2_ARATH</v>
      </c>
      <c r="D9985" t="s">
        <v>7334</v>
      </c>
      <c r="E9985" s="3" t="s">
        <v>3</v>
      </c>
      <c r="F9985" s="4">
        <v>1.58E-170</v>
      </c>
      <c r="G9985" s="3">
        <v>1300</v>
      </c>
      <c r="H9985" s="3">
        <v>68</v>
      </c>
      <c r="I9985" s="3">
        <v>435</v>
      </c>
      <c r="J9985" s="3">
        <v>120</v>
      </c>
      <c r="K9985" s="3">
        <v>1400</v>
      </c>
      <c r="L9985" s="3">
        <v>13</v>
      </c>
      <c r="M9985" s="3">
        <v>440</v>
      </c>
    </row>
    <row r="9986" spans="1:13" x14ac:dyDescent="0.25">
      <c r="A9986" s="1" t="str">
        <f>HYPERLINK("http://www.rosaceae.org/Prunus/Prunus_persica/p.persica_gdr_reftransV1_0016785","p.persica_gdr_reftransV1_0016785")</f>
        <v>p.persica_gdr_reftransV1_0016785</v>
      </c>
      <c r="B9986" s="3">
        <v>2345</v>
      </c>
      <c r="C9986" s="1" t="str">
        <f>HYPERLINK("http://www.uniprot.org/uniprot/Y5158_ARATH","Y5158_ARATH")</f>
        <v>Y5158_ARATH</v>
      </c>
      <c r="D9986" t="s">
        <v>2423</v>
      </c>
      <c r="E9986" s="3" t="s">
        <v>3</v>
      </c>
      <c r="F9986" s="4">
        <v>4.3899999999999998E-116</v>
      </c>
      <c r="G9986" s="3">
        <v>941</v>
      </c>
      <c r="H9986" s="3">
        <v>57</v>
      </c>
      <c r="I9986" s="3">
        <v>302</v>
      </c>
      <c r="J9986" s="3">
        <v>603</v>
      </c>
      <c r="K9986" s="3">
        <v>1496</v>
      </c>
      <c r="L9986" s="3">
        <v>125</v>
      </c>
      <c r="M9986" s="3">
        <v>422</v>
      </c>
    </row>
    <row r="9987" spans="1:13" x14ac:dyDescent="0.25">
      <c r="A9987" s="1" t="str">
        <f>HYPERLINK("http://www.rosaceae.org/Prunus/Prunus_persica/p.persica_gdr_reftransV1_0016835","p.persica_gdr_reftransV1_0016835")</f>
        <v>p.persica_gdr_reftransV1_0016835</v>
      </c>
      <c r="B9987" s="3">
        <v>1967</v>
      </c>
      <c r="C9987" s="1" t="str">
        <f>HYPERLINK("http://www.uniprot.org/uniprot/NUD20_ARATH","NUD20_ARATH")</f>
        <v>NUD20_ARATH</v>
      </c>
      <c r="D9987" t="s">
        <v>7335</v>
      </c>
      <c r="E9987" s="3" t="s">
        <v>3</v>
      </c>
      <c r="F9987" s="4">
        <v>9.5299999999999996E-57</v>
      </c>
      <c r="G9987" s="3">
        <v>514</v>
      </c>
      <c r="H9987" s="3">
        <v>67</v>
      </c>
      <c r="I9987" s="3">
        <v>154</v>
      </c>
      <c r="J9987" s="3">
        <v>413</v>
      </c>
      <c r="K9987" s="3">
        <v>865</v>
      </c>
      <c r="L9987" s="3">
        <v>93</v>
      </c>
      <c r="M9987" s="3">
        <v>246</v>
      </c>
    </row>
    <row r="9988" spans="1:13" x14ac:dyDescent="0.25">
      <c r="A9988" s="1" t="str">
        <f>HYPERLINK("http://www.rosaceae.org/Prunus/Prunus_persica/p.persica_gdr_reftransV1_0016885","p.persica_gdr_reftransV1_0016885")</f>
        <v>p.persica_gdr_reftransV1_0016885</v>
      </c>
      <c r="B9988" s="3">
        <v>2080</v>
      </c>
      <c r="C9988" s="1" t="str">
        <f>HYPERLINK("http://www.uniprot.org/uniprot/BAHC1_HUMAN","BAHC1_HUMAN")</f>
        <v>BAHC1_HUMAN</v>
      </c>
      <c r="D9988" t="s">
        <v>3379</v>
      </c>
      <c r="E9988" s="3" t="s">
        <v>28</v>
      </c>
      <c r="F9988" s="4">
        <v>2.9600000000000001E-10</v>
      </c>
      <c r="G9988" s="3">
        <v>164</v>
      </c>
      <c r="H9988" s="3">
        <v>31</v>
      </c>
      <c r="I9988" s="3">
        <v>127</v>
      </c>
      <c r="J9988" s="3">
        <v>443</v>
      </c>
      <c r="K9988" s="3">
        <v>805</v>
      </c>
      <c r="L9988" s="3">
        <v>2482</v>
      </c>
      <c r="M9988" s="3">
        <v>2608</v>
      </c>
    </row>
    <row r="9989" spans="1:13" x14ac:dyDescent="0.25">
      <c r="A9989" s="1" t="str">
        <f>HYPERLINK("http://www.rosaceae.org/Prunus/Prunus_persica/p.persica_gdr_reftransV1_0016935","p.persica_gdr_reftransV1_0016935")</f>
        <v>p.persica_gdr_reftransV1_0016935</v>
      </c>
      <c r="B9989" s="3">
        <v>2131</v>
      </c>
      <c r="C9989" s="1" t="str">
        <f>HYPERLINK("http://www.uniprot.org/uniprot/TCP23_ARATH","TCP23_ARATH")</f>
        <v>TCP23_ARATH</v>
      </c>
      <c r="D9989" t="s">
        <v>7336</v>
      </c>
      <c r="E9989" s="3" t="s">
        <v>3</v>
      </c>
      <c r="F9989" s="4">
        <v>2.6599999999999999E-42</v>
      </c>
      <c r="G9989" s="3">
        <v>406</v>
      </c>
      <c r="H9989" s="3">
        <v>42</v>
      </c>
      <c r="I9989" s="3">
        <v>348</v>
      </c>
      <c r="J9989" s="3">
        <v>674</v>
      </c>
      <c r="K9989" s="3">
        <v>1714</v>
      </c>
      <c r="L9989" s="3">
        <v>52</v>
      </c>
      <c r="M9989" s="3">
        <v>296</v>
      </c>
    </row>
    <row r="9990" spans="1:13" x14ac:dyDescent="0.25">
      <c r="A9990" s="1" t="str">
        <f>HYPERLINK("http://www.rosaceae.org/Prunus/Prunus_persica/p.persica_gdr_reftransV1_0017085","p.persica_gdr_reftransV1_0017085")</f>
        <v>p.persica_gdr_reftransV1_0017085</v>
      </c>
      <c r="B9990" s="3">
        <v>2288</v>
      </c>
      <c r="C9990" s="1" t="str">
        <f>HYPERLINK("http://www.uniprot.org/uniprot/TIC32_PEA","TIC32_PEA")</f>
        <v>TIC32_PEA</v>
      </c>
      <c r="D9990" t="s">
        <v>3931</v>
      </c>
      <c r="E9990" s="3" t="s">
        <v>60</v>
      </c>
      <c r="F9990" s="4">
        <v>3.2900000000000002E-56</v>
      </c>
      <c r="G9990" s="3">
        <v>474</v>
      </c>
      <c r="H9990" s="3">
        <v>82</v>
      </c>
      <c r="I9990" s="3">
        <v>114</v>
      </c>
      <c r="J9990" s="3">
        <v>1777</v>
      </c>
      <c r="K9990" s="3">
        <v>2115</v>
      </c>
      <c r="L9990" s="3">
        <v>1</v>
      </c>
      <c r="M9990" s="3">
        <v>114</v>
      </c>
    </row>
    <row r="9991" spans="1:13" x14ac:dyDescent="0.25">
      <c r="A9991" s="1" t="str">
        <f>HYPERLINK("http://www.rosaceae.org/Prunus/Prunus_persica/p.persica_gdr_reftransV1_0017385","p.persica_gdr_reftransV1_0017385")</f>
        <v>p.persica_gdr_reftransV1_0017385</v>
      </c>
      <c r="B9991" s="3">
        <v>1990</v>
      </c>
      <c r="C9991" s="1" t="str">
        <f>HYPERLINK("http://www.uniprot.org/uniprot/PXMP2_BOVIN","PXMP2_BOVIN")</f>
        <v>PXMP2_BOVIN</v>
      </c>
      <c r="D9991" t="s">
        <v>3571</v>
      </c>
      <c r="E9991" s="3" t="s">
        <v>184</v>
      </c>
      <c r="F9991" s="4">
        <v>2.3599999999999999E-16</v>
      </c>
      <c r="G9991" s="3">
        <v>203</v>
      </c>
      <c r="H9991" s="3">
        <v>28</v>
      </c>
      <c r="I9991" s="3">
        <v>177</v>
      </c>
      <c r="J9991" s="3">
        <v>764</v>
      </c>
      <c r="K9991" s="3">
        <v>1279</v>
      </c>
      <c r="L9991" s="3">
        <v>17</v>
      </c>
      <c r="M9991" s="3">
        <v>193</v>
      </c>
    </row>
    <row r="9992" spans="1:13" x14ac:dyDescent="0.25">
      <c r="A9992" s="1" t="str">
        <f>HYPERLINK("http://www.rosaceae.org/Prunus/Prunus_persica/p.persica_gdr_reftransV1_0017685","p.persica_gdr_reftransV1_0017685")</f>
        <v>p.persica_gdr_reftransV1_0017685</v>
      </c>
      <c r="B9992" s="3">
        <v>546</v>
      </c>
      <c r="C9992" s="1" t="str">
        <f>HYPERLINK("http://www.uniprot.org/uniprot/SCL31_ARATH","SCL31_ARATH")</f>
        <v>SCL31_ARATH</v>
      </c>
      <c r="D9992" t="s">
        <v>7337</v>
      </c>
      <c r="E9992" s="3" t="s">
        <v>3</v>
      </c>
      <c r="F9992" s="4">
        <v>4.3500000000000001E-29</v>
      </c>
      <c r="G9992" s="3">
        <v>294</v>
      </c>
      <c r="H9992" s="3">
        <v>61</v>
      </c>
      <c r="I9992" s="3">
        <v>75</v>
      </c>
      <c r="J9992" s="3">
        <v>3</v>
      </c>
      <c r="K9992" s="3">
        <v>224</v>
      </c>
      <c r="L9992" s="3">
        <v>621</v>
      </c>
      <c r="M9992" s="3">
        <v>695</v>
      </c>
    </row>
    <row r="9993" spans="1:13" x14ac:dyDescent="0.25">
      <c r="A9993" s="1" t="str">
        <f>HYPERLINK("http://www.rosaceae.org/Prunus/Prunus_persica/p.persica_gdr_reftransV1_0017785","p.persica_gdr_reftransV1_0017785")</f>
        <v>p.persica_gdr_reftransV1_0017785</v>
      </c>
      <c r="B9993" s="3">
        <v>569</v>
      </c>
      <c r="C9993" s="1" t="str">
        <f>HYPERLINK("http://www.uniprot.org/uniprot/EF4L4_ARATH","EF4L4_ARATH")</f>
        <v>EF4L4_ARATH</v>
      </c>
      <c r="D9993" t="s">
        <v>4310</v>
      </c>
      <c r="E9993" s="3" t="s">
        <v>3</v>
      </c>
      <c r="F9993" s="4">
        <v>9.8800000000000001E-39</v>
      </c>
      <c r="G9993" s="3">
        <v>338</v>
      </c>
      <c r="H9993" s="3">
        <v>75</v>
      </c>
      <c r="I9993" s="3">
        <v>100</v>
      </c>
      <c r="J9993" s="3">
        <v>15</v>
      </c>
      <c r="K9993" s="3">
        <v>314</v>
      </c>
      <c r="L9993" s="3">
        <v>15</v>
      </c>
      <c r="M9993" s="3">
        <v>114</v>
      </c>
    </row>
    <row r="9994" spans="1:13" x14ac:dyDescent="0.25">
      <c r="A9994" s="1" t="str">
        <f>HYPERLINK("http://www.rosaceae.org/Prunus/Prunus_persica/p.persica_gdr_reftransV1_0017985","p.persica_gdr_reftransV1_0017985")</f>
        <v>p.persica_gdr_reftransV1_0017985</v>
      </c>
      <c r="B9994" s="3">
        <v>331</v>
      </c>
      <c r="C9994" s="1" t="str">
        <f>HYPERLINK("http://www.uniprot.org/uniprot/PSD1A_ARATH","PSD1A_ARATH")</f>
        <v>PSD1A_ARATH</v>
      </c>
      <c r="D9994" t="s">
        <v>7338</v>
      </c>
      <c r="E9994" s="3" t="s">
        <v>3</v>
      </c>
      <c r="F9994" s="4">
        <v>7.0800000000000001E-54</v>
      </c>
      <c r="G9994" s="3">
        <v>470</v>
      </c>
      <c r="H9994" s="3">
        <v>95</v>
      </c>
      <c r="I9994" s="3">
        <v>111</v>
      </c>
      <c r="J9994" s="3">
        <v>2</v>
      </c>
      <c r="K9994" s="3">
        <v>331</v>
      </c>
      <c r="L9994" s="3">
        <v>372</v>
      </c>
      <c r="M9994" s="3">
        <v>482</v>
      </c>
    </row>
    <row r="9995" spans="1:13" x14ac:dyDescent="0.25">
      <c r="A9995" s="1" t="str">
        <f>HYPERLINK("http://www.rosaceae.org/Prunus/Prunus_persica/p.persica_gdr_reftransV1_0018135","p.persica_gdr_reftransV1_0018135")</f>
        <v>p.persica_gdr_reftransV1_0018135</v>
      </c>
      <c r="B9995" s="3">
        <v>2553</v>
      </c>
      <c r="C9995" s="1" t="str">
        <f>HYPERLINK("http://www.uniprot.org/uniprot/ALGC_PSEPK","ALGC_PSEPK")</f>
        <v>ALGC_PSEPK</v>
      </c>
      <c r="D9995" t="s">
        <v>7339</v>
      </c>
      <c r="E9995" s="3" t="s">
        <v>1490</v>
      </c>
      <c r="F9995" s="4">
        <v>5.7700000000000001E-34</v>
      </c>
      <c r="G9995" s="3">
        <v>353</v>
      </c>
      <c r="H9995" s="3">
        <v>28</v>
      </c>
      <c r="I9995" s="3">
        <v>492</v>
      </c>
      <c r="J9995" s="3">
        <v>726</v>
      </c>
      <c r="K9995" s="3">
        <v>2168</v>
      </c>
      <c r="L9995" s="3">
        <v>23</v>
      </c>
      <c r="M9995" s="3">
        <v>452</v>
      </c>
    </row>
    <row r="9996" spans="1:13" x14ac:dyDescent="0.25">
      <c r="A9996" s="1" t="str">
        <f>HYPERLINK("http://www.rosaceae.org/Prunus/Prunus_persica/p.persica_gdr_reftransV1_0018435","p.persica_gdr_reftransV1_0018435")</f>
        <v>p.persica_gdr_reftransV1_0018435</v>
      </c>
      <c r="B9996" s="3">
        <v>1969</v>
      </c>
      <c r="C9996" s="1" t="str">
        <f>HYPERLINK("http://www.uniprot.org/uniprot/TMKL1_ARATH","TMKL1_ARATH")</f>
        <v>TMKL1_ARATH</v>
      </c>
      <c r="D9996" t="s">
        <v>3055</v>
      </c>
      <c r="E9996" s="3" t="s">
        <v>3</v>
      </c>
      <c r="F9996" s="4">
        <v>6.1999999999999999E-55</v>
      </c>
      <c r="G9996" s="3">
        <v>518</v>
      </c>
      <c r="H9996" s="3">
        <v>38</v>
      </c>
      <c r="I9996" s="3">
        <v>302</v>
      </c>
      <c r="J9996" s="3">
        <v>651</v>
      </c>
      <c r="K9996" s="3">
        <v>1550</v>
      </c>
      <c r="L9996" s="3">
        <v>357</v>
      </c>
      <c r="M9996" s="3">
        <v>651</v>
      </c>
    </row>
    <row r="9997" spans="1:13" x14ac:dyDescent="0.25">
      <c r="A9997" s="1" t="str">
        <f>HYPERLINK("http://www.rosaceae.org/Prunus/Prunus_persica/p.persica_gdr_reftransV1_0018585","p.persica_gdr_reftransV1_0018585")</f>
        <v>p.persica_gdr_reftransV1_0018585</v>
      </c>
      <c r="B9997" s="3">
        <v>2914</v>
      </c>
      <c r="C9997" s="1" t="str">
        <f>HYPERLINK("http://www.uniprot.org/uniprot/VP53A_ARATH","VP53A_ARATH")</f>
        <v>VP53A_ARATH</v>
      </c>
      <c r="D9997" t="s">
        <v>7340</v>
      </c>
      <c r="E9997" s="3" t="s">
        <v>3</v>
      </c>
      <c r="F9997" s="4">
        <v>0</v>
      </c>
      <c r="G9997" s="3">
        <v>3352</v>
      </c>
      <c r="H9997" s="3">
        <v>83</v>
      </c>
      <c r="I9997" s="3">
        <v>829</v>
      </c>
      <c r="J9997" s="3">
        <v>266</v>
      </c>
      <c r="K9997" s="3">
        <v>2728</v>
      </c>
      <c r="L9997" s="3">
        <v>1</v>
      </c>
      <c r="M9997" s="3">
        <v>828</v>
      </c>
    </row>
    <row r="9998" spans="1:13" x14ac:dyDescent="0.25">
      <c r="A9998" s="1" t="str">
        <f>HYPERLINK("http://www.rosaceae.org/Prunus/Prunus_persica/p.persica_gdr_reftransV1_0018635","p.persica_gdr_reftransV1_0018635")</f>
        <v>p.persica_gdr_reftransV1_0018635</v>
      </c>
      <c r="B9998" s="3">
        <v>715</v>
      </c>
      <c r="C9998" s="1" t="str">
        <f>HYPERLINK("http://www.uniprot.org/uniprot/PP184_ARATH","PP184_ARATH")</f>
        <v>PP184_ARATH</v>
      </c>
      <c r="D9998" t="s">
        <v>2303</v>
      </c>
      <c r="E9998" s="3" t="s">
        <v>3</v>
      </c>
      <c r="F9998" s="4">
        <v>9.67E-49</v>
      </c>
      <c r="G9998" s="3">
        <v>441</v>
      </c>
      <c r="H9998" s="3">
        <v>38</v>
      </c>
      <c r="I9998" s="3">
        <v>230</v>
      </c>
      <c r="J9998" s="3">
        <v>1</v>
      </c>
      <c r="K9998" s="3">
        <v>690</v>
      </c>
      <c r="L9998" s="3">
        <v>151</v>
      </c>
      <c r="M9998" s="3">
        <v>379</v>
      </c>
    </row>
    <row r="9999" spans="1:13" x14ac:dyDescent="0.25">
      <c r="A9999" s="1" t="str">
        <f>HYPERLINK("http://www.rosaceae.org/Prunus/Prunus_persica/p.persica_gdr_reftransV1_0019085","p.persica_gdr_reftransV1_0019085")</f>
        <v>p.persica_gdr_reftransV1_0019085</v>
      </c>
      <c r="B9999" s="3">
        <v>1742</v>
      </c>
      <c r="C9999" s="1" t="str">
        <f>HYPERLINK("http://www.uniprot.org/uniprot/ORC4_ARATH","ORC4_ARATH")</f>
        <v>ORC4_ARATH</v>
      </c>
      <c r="D9999" t="s">
        <v>7341</v>
      </c>
      <c r="E9999" s="3" t="s">
        <v>3</v>
      </c>
      <c r="F9999" s="4">
        <v>1.4599999999999999E-162</v>
      </c>
      <c r="G9999" s="3">
        <v>678</v>
      </c>
      <c r="H9999" s="3">
        <v>62</v>
      </c>
      <c r="I9999" s="3">
        <v>201</v>
      </c>
      <c r="J9999" s="3">
        <v>213</v>
      </c>
      <c r="K9999" s="3">
        <v>815</v>
      </c>
      <c r="L9999" s="3">
        <v>216</v>
      </c>
      <c r="M9999" s="3">
        <v>416</v>
      </c>
    </row>
    <row r="10000" spans="1:13" x14ac:dyDescent="0.25">
      <c r="A10000" s="1" t="str">
        <f>HYPERLINK("http://www.rosaceae.org/Prunus/Prunus_persica/p.persica_gdr_reftransV1_0019185","p.persica_gdr_reftransV1_0019185")</f>
        <v>p.persica_gdr_reftransV1_0019185</v>
      </c>
      <c r="B10000" s="3">
        <v>2774</v>
      </c>
      <c r="C10000" s="1" t="str">
        <f>HYPERLINK("http://www.uniprot.org/uniprot/PP117_ARATH","PP117_ARATH")</f>
        <v>PP117_ARATH</v>
      </c>
      <c r="D10000" t="s">
        <v>7342</v>
      </c>
      <c r="E10000" s="3" t="s">
        <v>3</v>
      </c>
      <c r="F10000" s="4">
        <v>0</v>
      </c>
      <c r="G10000" s="3">
        <v>1760</v>
      </c>
      <c r="H10000" s="3">
        <v>64</v>
      </c>
      <c r="I10000" s="3">
        <v>510</v>
      </c>
      <c r="J10000" s="3">
        <v>712</v>
      </c>
      <c r="K10000" s="3">
        <v>2202</v>
      </c>
      <c r="L10000" s="3">
        <v>50</v>
      </c>
      <c r="M10000" s="3">
        <v>559</v>
      </c>
    </row>
    <row r="10001" spans="1:13" x14ac:dyDescent="0.25">
      <c r="A10001" s="1" t="str">
        <f>HYPERLINK("http://www.rosaceae.org/Prunus/Prunus_persica/p.persica_gdr_reftransV1_0019285","p.persica_gdr_reftransV1_0019285")</f>
        <v>p.persica_gdr_reftransV1_0019285</v>
      </c>
      <c r="B10001" s="3">
        <v>1354</v>
      </c>
      <c r="C10001" s="1" t="str">
        <f>HYPERLINK("http://www.uniprot.org/uniprot/SLD5_RAT","SLD5_RAT")</f>
        <v>SLD5_RAT</v>
      </c>
      <c r="D10001" t="s">
        <v>7343</v>
      </c>
      <c r="E10001" s="3" t="s">
        <v>161</v>
      </c>
      <c r="F10001" s="4">
        <v>3.4700000000000002E-20</v>
      </c>
      <c r="G10001" s="3">
        <v>229</v>
      </c>
      <c r="H10001" s="3">
        <v>29</v>
      </c>
      <c r="I10001" s="3">
        <v>241</v>
      </c>
      <c r="J10001" s="3">
        <v>195</v>
      </c>
      <c r="K10001" s="3">
        <v>887</v>
      </c>
      <c r="L10001" s="3">
        <v>1</v>
      </c>
      <c r="M10001" s="3">
        <v>222</v>
      </c>
    </row>
    <row r="10002" spans="1:13" x14ac:dyDescent="0.25">
      <c r="A10002" s="1" t="str">
        <f>HYPERLINK("http://www.rosaceae.org/Prunus/Prunus_persica/p.persica_gdr_reftransV1_0019385","p.persica_gdr_reftransV1_0019385")</f>
        <v>p.persica_gdr_reftransV1_0019385</v>
      </c>
      <c r="B10002" s="3">
        <v>588</v>
      </c>
      <c r="C10002" s="1" t="str">
        <f>HYPERLINK("http://www.uniprot.org/uniprot/PP169_ARATH","PP169_ARATH")</f>
        <v>PP169_ARATH</v>
      </c>
      <c r="D10002" t="s">
        <v>1957</v>
      </c>
      <c r="E10002" s="3" t="s">
        <v>3</v>
      </c>
      <c r="F10002" s="4">
        <v>6.8099999999999997E-35</v>
      </c>
      <c r="G10002" s="3">
        <v>337</v>
      </c>
      <c r="H10002" s="3">
        <v>42</v>
      </c>
      <c r="I10002" s="3">
        <v>172</v>
      </c>
      <c r="J10002" s="3">
        <v>4</v>
      </c>
      <c r="K10002" s="3">
        <v>519</v>
      </c>
      <c r="L10002" s="3">
        <v>511</v>
      </c>
      <c r="M10002" s="3">
        <v>673</v>
      </c>
    </row>
    <row r="10003" spans="1:13" x14ac:dyDescent="0.25">
      <c r="A10003" s="1" t="str">
        <f>HYPERLINK("http://www.rosaceae.org/Prunus/Prunus_persica/p.persica_gdr_reftransV1_0019435","p.persica_gdr_reftransV1_0019435")</f>
        <v>p.persica_gdr_reftransV1_0019435</v>
      </c>
      <c r="B10003" s="3">
        <v>2090</v>
      </c>
      <c r="C10003" s="1" t="str">
        <f>HYPERLINK("http://www.uniprot.org/uniprot/LPAT2_ARATH","LPAT2_ARATH")</f>
        <v>LPAT2_ARATH</v>
      </c>
      <c r="D10003" t="s">
        <v>7344</v>
      </c>
      <c r="E10003" s="3" t="s">
        <v>3</v>
      </c>
      <c r="F10003" s="4">
        <v>3.0199999999999999E-156</v>
      </c>
      <c r="G10003" s="3">
        <v>1194</v>
      </c>
      <c r="H10003" s="3">
        <v>75</v>
      </c>
      <c r="I10003" s="3">
        <v>325</v>
      </c>
      <c r="J10003" s="3">
        <v>742</v>
      </c>
      <c r="K10003" s="3">
        <v>1716</v>
      </c>
      <c r="L10003" s="3">
        <v>10</v>
      </c>
      <c r="M10003" s="3">
        <v>334</v>
      </c>
    </row>
    <row r="10004" spans="1:13" x14ac:dyDescent="0.25">
      <c r="A10004" s="1" t="str">
        <f>HYPERLINK("http://www.rosaceae.org/Prunus/Prunus_persica/p.persica_gdr_reftransV1_0019835","p.persica_gdr_reftransV1_0019835")</f>
        <v>p.persica_gdr_reftransV1_0019835</v>
      </c>
      <c r="B10004" s="3">
        <v>1802</v>
      </c>
      <c r="C10004" s="1" t="str">
        <f>HYPERLINK("http://www.uniprot.org/uniprot/TGD4_ARATH","TGD4_ARATH")</f>
        <v>TGD4_ARATH</v>
      </c>
      <c r="D10004" t="s">
        <v>6576</v>
      </c>
      <c r="E10004" s="3" t="s">
        <v>3</v>
      </c>
      <c r="F10004" s="4">
        <v>9.6999999999999997E-85</v>
      </c>
      <c r="G10004" s="3">
        <v>713</v>
      </c>
      <c r="H10004" s="3">
        <v>35</v>
      </c>
      <c r="I10004" s="3">
        <v>493</v>
      </c>
      <c r="J10004" s="3">
        <v>93</v>
      </c>
      <c r="K10004" s="3">
        <v>1505</v>
      </c>
      <c r="L10004" s="3">
        <v>1</v>
      </c>
      <c r="M10004" s="3">
        <v>478</v>
      </c>
    </row>
    <row r="10005" spans="1:13" x14ac:dyDescent="0.25">
      <c r="A10005" s="1" t="str">
        <f>HYPERLINK("http://www.rosaceae.org/Prunus/Prunus_persica/p.persica_gdr_reftransV1_0019885","p.persica_gdr_reftransV1_0019885")</f>
        <v>p.persica_gdr_reftransV1_0019885</v>
      </c>
      <c r="B10005" s="3">
        <v>2698</v>
      </c>
      <c r="C10005" s="1" t="str">
        <f>HYPERLINK("http://www.uniprot.org/uniprot/CAAT2_ARATH","CAAT2_ARATH")</f>
        <v>CAAT2_ARATH</v>
      </c>
      <c r="D10005" t="s">
        <v>408</v>
      </c>
      <c r="E10005" s="3" t="s">
        <v>3</v>
      </c>
      <c r="F10005" s="4">
        <v>0</v>
      </c>
      <c r="G10005" s="3">
        <v>2241</v>
      </c>
      <c r="H10005" s="3">
        <v>70</v>
      </c>
      <c r="I10005" s="3">
        <v>637</v>
      </c>
      <c r="J10005" s="3">
        <v>353</v>
      </c>
      <c r="K10005" s="3">
        <v>2257</v>
      </c>
      <c r="L10005" s="3">
        <v>1</v>
      </c>
      <c r="M10005" s="3">
        <v>625</v>
      </c>
    </row>
    <row r="10006" spans="1:13" x14ac:dyDescent="0.25">
      <c r="A10006" s="1" t="str">
        <f>HYPERLINK("http://www.rosaceae.org/Prunus/Prunus_persica/p.persica_gdr_reftransV1_0019935","p.persica_gdr_reftransV1_0019935")</f>
        <v>p.persica_gdr_reftransV1_0019935</v>
      </c>
      <c r="B10006" s="3">
        <v>2455</v>
      </c>
      <c r="C10006" s="1" t="str">
        <f>HYPERLINK("http://www.uniprot.org/uniprot/FRO8_ARATH","FRO8_ARATH")</f>
        <v>FRO8_ARATH</v>
      </c>
      <c r="D10006" t="s">
        <v>7345</v>
      </c>
      <c r="E10006" s="3" t="s">
        <v>3</v>
      </c>
      <c r="F10006" s="4">
        <v>0</v>
      </c>
      <c r="G10006" s="3">
        <v>1755</v>
      </c>
      <c r="H10006" s="3">
        <v>52</v>
      </c>
      <c r="I10006" s="3">
        <v>715</v>
      </c>
      <c r="J10006" s="3">
        <v>203</v>
      </c>
      <c r="K10006" s="3">
        <v>2245</v>
      </c>
      <c r="L10006" s="3">
        <v>21</v>
      </c>
      <c r="M10006" s="3">
        <v>728</v>
      </c>
    </row>
    <row r="10007" spans="1:13" x14ac:dyDescent="0.25">
      <c r="A10007" s="1" t="str">
        <f>HYPERLINK("http://www.rosaceae.org/Prunus/Prunus_persica/p.persica_gdr_reftransV1_0019985","p.persica_gdr_reftransV1_0019985")</f>
        <v>p.persica_gdr_reftransV1_0019985</v>
      </c>
      <c r="B10007" s="3">
        <v>3080</v>
      </c>
      <c r="C10007" s="1" t="str">
        <f>HYPERLINK("http://www.uniprot.org/uniprot/RFS5_ARATH","RFS5_ARATH")</f>
        <v>RFS5_ARATH</v>
      </c>
      <c r="D10007" t="s">
        <v>7346</v>
      </c>
      <c r="E10007" s="3" t="s">
        <v>3</v>
      </c>
      <c r="F10007" s="4">
        <v>0</v>
      </c>
      <c r="G10007" s="3">
        <v>2825</v>
      </c>
      <c r="H10007" s="3">
        <v>65</v>
      </c>
      <c r="I10007" s="3">
        <v>824</v>
      </c>
      <c r="J10007" s="3">
        <v>365</v>
      </c>
      <c r="K10007" s="3">
        <v>2779</v>
      </c>
      <c r="L10007" s="3">
        <v>3</v>
      </c>
      <c r="M10007" s="3">
        <v>783</v>
      </c>
    </row>
    <row r="10008" spans="1:13" x14ac:dyDescent="0.25">
      <c r="A10008" s="1" t="str">
        <f>HYPERLINK("http://www.rosaceae.org/Prunus/Prunus_persica/p.persica_gdr_reftransV1_0020235","p.persica_gdr_reftransV1_0020235")</f>
        <v>p.persica_gdr_reftransV1_0020235</v>
      </c>
      <c r="B10008" s="3">
        <v>1361</v>
      </c>
      <c r="C10008" s="1" t="str">
        <f>HYPERLINK("http://www.uniprot.org/uniprot/MK67I_XENTR","MK67I_XENTR")</f>
        <v>MK67I_XENTR</v>
      </c>
      <c r="D10008" t="s">
        <v>7347</v>
      </c>
      <c r="E10008" s="3" t="s">
        <v>173</v>
      </c>
      <c r="F10008" s="4">
        <v>4.9200000000000003E-15</v>
      </c>
      <c r="G10008" s="3">
        <v>192</v>
      </c>
      <c r="H10008" s="3">
        <v>35</v>
      </c>
      <c r="I10008" s="3">
        <v>116</v>
      </c>
      <c r="J10008" s="3">
        <v>377</v>
      </c>
      <c r="K10008" s="3">
        <v>724</v>
      </c>
      <c r="L10008" s="3">
        <v>84</v>
      </c>
      <c r="M10008" s="3">
        <v>193</v>
      </c>
    </row>
    <row r="10009" spans="1:13" x14ac:dyDescent="0.25">
      <c r="A10009" s="1" t="str">
        <f>HYPERLINK("http://www.rosaceae.org/Prunus/Prunus_persica/p.persica_gdr_reftransV1_0020285","p.persica_gdr_reftransV1_0020285")</f>
        <v>p.persica_gdr_reftransV1_0020285</v>
      </c>
      <c r="B10009" s="3">
        <v>1899</v>
      </c>
      <c r="C10009" s="1" t="str">
        <f>HYPERLINK("http://www.uniprot.org/uniprot/PME22_ARATH","PME22_ARATH")</f>
        <v>PME22_ARATH</v>
      </c>
      <c r="D10009" t="s">
        <v>7348</v>
      </c>
      <c r="E10009" s="3" t="s">
        <v>3</v>
      </c>
      <c r="F10009" s="4">
        <v>0</v>
      </c>
      <c r="G10009" s="3">
        <v>1838</v>
      </c>
      <c r="H10009" s="3">
        <v>63</v>
      </c>
      <c r="I10009" s="3">
        <v>555</v>
      </c>
      <c r="J10009" s="3">
        <v>248</v>
      </c>
      <c r="K10009" s="3">
        <v>1882</v>
      </c>
      <c r="L10009" s="3">
        <v>1</v>
      </c>
      <c r="M10009" s="3">
        <v>543</v>
      </c>
    </row>
    <row r="10010" spans="1:13" x14ac:dyDescent="0.25">
      <c r="A10010" s="1" t="str">
        <f>HYPERLINK("http://www.rosaceae.org/Prunus/Prunus_persica/p.persica_gdr_reftransV1_0020335","p.persica_gdr_reftransV1_0020335")</f>
        <v>p.persica_gdr_reftransV1_0020335</v>
      </c>
      <c r="B10010" s="3">
        <v>2244</v>
      </c>
      <c r="C10010" s="1" t="str">
        <f>HYPERLINK("http://www.uniprot.org/uniprot/METL6_MOUSE","METL6_MOUSE")</f>
        <v>METL6_MOUSE</v>
      </c>
      <c r="D10010" t="s">
        <v>7349</v>
      </c>
      <c r="E10010" s="3" t="s">
        <v>157</v>
      </c>
      <c r="F10010" s="4">
        <v>9.4399999999999997E-58</v>
      </c>
      <c r="G10010" s="3">
        <v>516</v>
      </c>
      <c r="H10010" s="3">
        <v>40</v>
      </c>
      <c r="I10010" s="3">
        <v>316</v>
      </c>
      <c r="J10010" s="3">
        <v>1118</v>
      </c>
      <c r="K10010" s="3">
        <v>2032</v>
      </c>
      <c r="L10010" s="3">
        <v>1</v>
      </c>
      <c r="M10010" s="3">
        <v>282</v>
      </c>
    </row>
    <row r="10011" spans="1:13" x14ac:dyDescent="0.25">
      <c r="A10011" s="1" t="str">
        <f>HYPERLINK("http://www.rosaceae.org/Prunus/Prunus_persica/p.persica_gdr_reftransV1_0020635","p.persica_gdr_reftransV1_0020635")</f>
        <v>p.persica_gdr_reftransV1_0020635</v>
      </c>
      <c r="B10011" s="3">
        <v>955</v>
      </c>
      <c r="C10011" s="1" t="str">
        <f>HYPERLINK("http://www.uniprot.org/uniprot/KIWI_ARATH","KIWI_ARATH")</f>
        <v>KIWI_ARATH</v>
      </c>
      <c r="D10011" t="s">
        <v>7350</v>
      </c>
      <c r="E10011" s="3" t="s">
        <v>3</v>
      </c>
      <c r="F10011" s="4">
        <v>2.25E-40</v>
      </c>
      <c r="G10011" s="3">
        <v>359</v>
      </c>
      <c r="H10011" s="3">
        <v>65</v>
      </c>
      <c r="I10011" s="3">
        <v>107</v>
      </c>
      <c r="J10011" s="3">
        <v>163</v>
      </c>
      <c r="K10011" s="3">
        <v>483</v>
      </c>
      <c r="L10011" s="3">
        <v>1</v>
      </c>
      <c r="M10011" s="3">
        <v>107</v>
      </c>
    </row>
    <row r="10012" spans="1:13" x14ac:dyDescent="0.25">
      <c r="A10012" s="1" t="str">
        <f>HYPERLINK("http://www.rosaceae.org/Prunus/Prunus_persica/p.persica_gdr_reftransV1_0020735","p.persica_gdr_reftransV1_0020735")</f>
        <v>p.persica_gdr_reftransV1_0020735</v>
      </c>
      <c r="B10012" s="3">
        <v>2664</v>
      </c>
      <c r="C10012" s="1" t="str">
        <f>HYPERLINK("http://www.uniprot.org/uniprot/NSF_ARATH","NSF_ARATH")</f>
        <v>NSF_ARATH</v>
      </c>
      <c r="D10012" t="s">
        <v>7351</v>
      </c>
      <c r="E10012" s="3" t="s">
        <v>3</v>
      </c>
      <c r="F10012" s="4">
        <v>0</v>
      </c>
      <c r="G10012" s="3">
        <v>3004</v>
      </c>
      <c r="H10012" s="3">
        <v>81</v>
      </c>
      <c r="I10012" s="3">
        <v>744</v>
      </c>
      <c r="J10012" s="3">
        <v>284</v>
      </c>
      <c r="K10012" s="3">
        <v>2515</v>
      </c>
      <c r="L10012" s="3">
        <v>1</v>
      </c>
      <c r="M10012" s="3">
        <v>740</v>
      </c>
    </row>
    <row r="10013" spans="1:13" x14ac:dyDescent="0.25">
      <c r="A10013" s="1" t="str">
        <f>HYPERLINK("http://www.rosaceae.org/Prunus/Prunus_persica/p.persica_gdr_reftransV1_0020785","p.persica_gdr_reftransV1_0020785")</f>
        <v>p.persica_gdr_reftransV1_0020785</v>
      </c>
      <c r="B10013" s="3">
        <v>1356</v>
      </c>
      <c r="C10013" s="1" t="str">
        <f>HYPERLINK("http://www.uniprot.org/uniprot/RBG3_ARATH","RBG3_ARATH")</f>
        <v>RBG3_ARATH</v>
      </c>
      <c r="D10013" t="s">
        <v>7352</v>
      </c>
      <c r="E10013" s="3" t="s">
        <v>3</v>
      </c>
      <c r="F10013" s="4">
        <v>4.9499999999999999E-51</v>
      </c>
      <c r="G10013" s="3">
        <v>458</v>
      </c>
      <c r="H10013" s="3">
        <v>71</v>
      </c>
      <c r="I10013" s="3">
        <v>122</v>
      </c>
      <c r="J10013" s="3">
        <v>279</v>
      </c>
      <c r="K10013" s="3">
        <v>644</v>
      </c>
      <c r="L10013" s="3">
        <v>1</v>
      </c>
      <c r="M10013" s="3">
        <v>119</v>
      </c>
    </row>
    <row r="10014" spans="1:13" x14ac:dyDescent="0.25">
      <c r="A10014" s="1" t="str">
        <f>HYPERLINK("http://www.rosaceae.org/Prunus/Prunus_persica/p.persica_gdr_reftransV1_0021335","p.persica_gdr_reftransV1_0021335")</f>
        <v>p.persica_gdr_reftransV1_0021335</v>
      </c>
      <c r="B10014" s="3">
        <v>1601</v>
      </c>
      <c r="C10014" s="1" t="str">
        <f>HYPERLINK("http://www.uniprot.org/uniprot/RN185_CHICK","RN185_CHICK")</f>
        <v>RN185_CHICK</v>
      </c>
      <c r="D10014" t="s">
        <v>7353</v>
      </c>
      <c r="E10014" s="3" t="s">
        <v>1278</v>
      </c>
      <c r="F10014" s="4">
        <v>1.13E-28</v>
      </c>
      <c r="G10014" s="3">
        <v>292</v>
      </c>
      <c r="H10014" s="3">
        <v>55</v>
      </c>
      <c r="I10014" s="3">
        <v>96</v>
      </c>
      <c r="J10014" s="3">
        <v>768</v>
      </c>
      <c r="K10014" s="3">
        <v>1052</v>
      </c>
      <c r="L10014" s="3">
        <v>29</v>
      </c>
      <c r="M10014" s="3">
        <v>118</v>
      </c>
    </row>
    <row r="10015" spans="1:13" x14ac:dyDescent="0.25">
      <c r="A10015" s="1" t="str">
        <f>HYPERLINK("http://www.rosaceae.org/Prunus/Prunus_persica/p.persica_gdr_reftransV1_0021585","p.persica_gdr_reftransV1_0021585")</f>
        <v>p.persica_gdr_reftransV1_0021585</v>
      </c>
      <c r="B10015" s="3">
        <v>2189</v>
      </c>
      <c r="C10015" s="1" t="str">
        <f>HYPERLINK("http://www.uniprot.org/uniprot/MA651_ARATH","MA651_ARATH")</f>
        <v>MA651_ARATH</v>
      </c>
      <c r="D10015" t="s">
        <v>7354</v>
      </c>
      <c r="E10015" s="3" t="s">
        <v>3</v>
      </c>
      <c r="F10015" s="4">
        <v>0</v>
      </c>
      <c r="G10015" s="3">
        <v>2324</v>
      </c>
      <c r="H10015" s="3">
        <v>78</v>
      </c>
      <c r="I10015" s="3">
        <v>588</v>
      </c>
      <c r="J10015" s="3">
        <v>249</v>
      </c>
      <c r="K10015" s="3">
        <v>1991</v>
      </c>
      <c r="L10015" s="3">
        <v>1</v>
      </c>
      <c r="M10015" s="3">
        <v>587</v>
      </c>
    </row>
    <row r="10016" spans="1:13" x14ac:dyDescent="0.25">
      <c r="A10016" s="1" t="str">
        <f>HYPERLINK("http://www.rosaceae.org/Prunus/Prunus_persica/p.persica_gdr_reftransV1_0021685","p.persica_gdr_reftransV1_0021685")</f>
        <v>p.persica_gdr_reftransV1_0021685</v>
      </c>
      <c r="B10016" s="3">
        <v>1272</v>
      </c>
      <c r="C10016" s="1" t="str">
        <f>HYPERLINK("http://www.uniprot.org/uniprot/PPA1_SOLLC","PPA1_SOLLC")</f>
        <v>PPA1_SOLLC</v>
      </c>
      <c r="D10016" t="s">
        <v>4322</v>
      </c>
      <c r="E10016" s="3" t="s">
        <v>64</v>
      </c>
      <c r="F10016" s="4">
        <v>1.05E-57</v>
      </c>
      <c r="G10016" s="3">
        <v>498</v>
      </c>
      <c r="H10016" s="3">
        <v>38</v>
      </c>
      <c r="I10016" s="3">
        <v>261</v>
      </c>
      <c r="J10016" s="3">
        <v>168</v>
      </c>
      <c r="K10016" s="3">
        <v>920</v>
      </c>
      <c r="L10016" s="3">
        <v>3</v>
      </c>
      <c r="M10016" s="3">
        <v>254</v>
      </c>
    </row>
    <row r="10017" spans="1:13" x14ac:dyDescent="0.25">
      <c r="A10017" s="1" t="str">
        <f>HYPERLINK("http://www.rosaceae.org/Prunus/Prunus_persica/p.persica_gdr_reftransV1_0021785","p.persica_gdr_reftransV1_0021785")</f>
        <v>p.persica_gdr_reftransV1_0021785</v>
      </c>
      <c r="B10017" s="3">
        <v>1281</v>
      </c>
      <c r="C10017" s="1" t="str">
        <f>HYPERLINK("http://www.uniprot.org/uniprot/DNAJ6_ARATH","DNAJ6_ARATH")</f>
        <v>DNAJ6_ARATH</v>
      </c>
      <c r="D10017" t="s">
        <v>7355</v>
      </c>
      <c r="E10017" s="3" t="s">
        <v>3</v>
      </c>
      <c r="F10017" s="4">
        <v>3.3200000000000002E-112</v>
      </c>
      <c r="G10017" s="3">
        <v>866</v>
      </c>
      <c r="H10017" s="3">
        <v>64</v>
      </c>
      <c r="I10017" s="3">
        <v>264</v>
      </c>
      <c r="J10017" s="3">
        <v>127</v>
      </c>
      <c r="K10017" s="3">
        <v>906</v>
      </c>
      <c r="L10017" s="3">
        <v>1</v>
      </c>
      <c r="M10017" s="3">
        <v>253</v>
      </c>
    </row>
    <row r="10018" spans="1:13" x14ac:dyDescent="0.25">
      <c r="A10018" s="1" t="str">
        <f>HYPERLINK("http://www.rosaceae.org/Prunus/Prunus_persica/p.persica_gdr_reftransV1_0022085","p.persica_gdr_reftransV1_0022085")</f>
        <v>p.persica_gdr_reftransV1_0022085</v>
      </c>
      <c r="B10018" s="3">
        <v>1349</v>
      </c>
      <c r="C10018" s="1" t="str">
        <f>HYPERLINK("http://www.uniprot.org/uniprot/TBL38_ARATH","TBL38_ARATH")</f>
        <v>TBL38_ARATH</v>
      </c>
      <c r="D10018" t="s">
        <v>3149</v>
      </c>
      <c r="E10018" s="3" t="s">
        <v>3</v>
      </c>
      <c r="F10018" s="4">
        <v>3.6100000000000001E-133</v>
      </c>
      <c r="G10018" s="3">
        <v>1017</v>
      </c>
      <c r="H10018" s="3">
        <v>56</v>
      </c>
      <c r="I10018" s="3">
        <v>325</v>
      </c>
      <c r="J10018" s="3">
        <v>211</v>
      </c>
      <c r="K10018" s="3">
        <v>1182</v>
      </c>
      <c r="L10018" s="3">
        <v>58</v>
      </c>
      <c r="M10018" s="3">
        <v>379</v>
      </c>
    </row>
    <row r="10019" spans="1:13" x14ac:dyDescent="0.25">
      <c r="A10019" s="1" t="str">
        <f>HYPERLINK("http://www.rosaceae.org/Prunus/Prunus_persica/p.persica_gdr_reftransV1_0022485","p.persica_gdr_reftransV1_0022485")</f>
        <v>p.persica_gdr_reftransV1_0022485</v>
      </c>
      <c r="B10019" s="3">
        <v>2166</v>
      </c>
      <c r="C10019" s="1" t="str">
        <f>HYPERLINK("http://www.uniprot.org/uniprot/TF3A_MOUSE","TF3A_MOUSE")</f>
        <v>TF3A_MOUSE</v>
      </c>
      <c r="D10019" t="s">
        <v>2731</v>
      </c>
      <c r="E10019" s="3" t="s">
        <v>157</v>
      </c>
      <c r="F10019" s="4">
        <v>1.22E-24</v>
      </c>
      <c r="G10019" s="3">
        <v>275</v>
      </c>
      <c r="H10019" s="3">
        <v>31</v>
      </c>
      <c r="I10019" s="3">
        <v>237</v>
      </c>
      <c r="J10019" s="3">
        <v>1015</v>
      </c>
      <c r="K10019" s="3">
        <v>1638</v>
      </c>
      <c r="L10019" s="3">
        <v>65</v>
      </c>
      <c r="M10019" s="3">
        <v>289</v>
      </c>
    </row>
    <row r="10020" spans="1:13" x14ac:dyDescent="0.25">
      <c r="A10020" s="1" t="str">
        <f>HYPERLINK("http://www.rosaceae.org/Prunus/Prunus_persica/p.persica_gdr_reftransV1_0022535","p.persica_gdr_reftransV1_0022535")</f>
        <v>p.persica_gdr_reftransV1_0022535</v>
      </c>
      <c r="B10020" s="3">
        <v>2271</v>
      </c>
      <c r="C10020" s="1" t="str">
        <f>HYPERLINK("http://www.uniprot.org/uniprot/CPP1_NICBE","CPP1_NICBE")</f>
        <v>CPP1_NICBE</v>
      </c>
      <c r="D10020" t="s">
        <v>7356</v>
      </c>
      <c r="E10020" s="3" t="s">
        <v>1986</v>
      </c>
      <c r="F10020" s="4">
        <v>2.5700000000000001E-30</v>
      </c>
      <c r="G10020" s="3">
        <v>313</v>
      </c>
      <c r="H10020" s="3">
        <v>44</v>
      </c>
      <c r="I10020" s="3">
        <v>147</v>
      </c>
      <c r="J10020" s="3">
        <v>879</v>
      </c>
      <c r="K10020" s="3">
        <v>1313</v>
      </c>
      <c r="L10020" s="3">
        <v>55</v>
      </c>
      <c r="M10020" s="3">
        <v>201</v>
      </c>
    </row>
    <row r="10021" spans="1:13" x14ac:dyDescent="0.25">
      <c r="A10021" s="1" t="str">
        <f>HYPERLINK("http://www.rosaceae.org/Prunus/Prunus_persica/p.persica_gdr_reftransV1_0022685","p.persica_gdr_reftransV1_0022685")</f>
        <v>p.persica_gdr_reftransV1_0022685</v>
      </c>
      <c r="B10021" s="3">
        <v>3555</v>
      </c>
      <c r="C10021" s="1" t="str">
        <f>HYPERLINK("http://www.uniprot.org/uniprot/APY7_ARATH","APY7_ARATH")</f>
        <v>APY7_ARATH</v>
      </c>
      <c r="D10021" t="s">
        <v>7357</v>
      </c>
      <c r="E10021" s="3" t="s">
        <v>3</v>
      </c>
      <c r="F10021" s="4">
        <v>0</v>
      </c>
      <c r="G10021" s="3">
        <v>2245</v>
      </c>
      <c r="H10021" s="3">
        <v>63</v>
      </c>
      <c r="I10021" s="3">
        <v>749</v>
      </c>
      <c r="J10021" s="3">
        <v>668</v>
      </c>
      <c r="K10021" s="3">
        <v>2902</v>
      </c>
      <c r="L10021" s="3">
        <v>26</v>
      </c>
      <c r="M10021" s="3">
        <v>740</v>
      </c>
    </row>
    <row r="10022" spans="1:13" x14ac:dyDescent="0.25">
      <c r="A10022" s="1" t="str">
        <f>HYPERLINK("http://www.rosaceae.org/Prunus/Prunus_persica/p.persica_gdr_reftransV1_0022885","p.persica_gdr_reftransV1_0022885")</f>
        <v>p.persica_gdr_reftransV1_0022885</v>
      </c>
      <c r="B10022" s="3">
        <v>2044</v>
      </c>
      <c r="C10022" s="1" t="str">
        <f>HYPERLINK("http://www.uniprot.org/uniprot/CDC6B_ARATH","CDC6B_ARATH")</f>
        <v>CDC6B_ARATH</v>
      </c>
      <c r="D10022" t="s">
        <v>7358</v>
      </c>
      <c r="E10022" s="3" t="s">
        <v>3</v>
      </c>
      <c r="F10022" s="4">
        <v>0</v>
      </c>
      <c r="G10022" s="3">
        <v>1427</v>
      </c>
      <c r="H10022" s="3">
        <v>65</v>
      </c>
      <c r="I10022" s="3">
        <v>414</v>
      </c>
      <c r="J10022" s="3">
        <v>412</v>
      </c>
      <c r="K10022" s="3">
        <v>1653</v>
      </c>
      <c r="L10022" s="3">
        <v>109</v>
      </c>
      <c r="M10022" s="3">
        <v>504</v>
      </c>
    </row>
    <row r="10023" spans="1:13" x14ac:dyDescent="0.25">
      <c r="A10023" s="1" t="str">
        <f>HYPERLINK("http://www.rosaceae.org/Prunus/Prunus_persica/p.persica_gdr_reftransV1_0023385","p.persica_gdr_reftransV1_0023385")</f>
        <v>p.persica_gdr_reftransV1_0023385</v>
      </c>
      <c r="B10023" s="3">
        <v>1167</v>
      </c>
      <c r="C10023" s="1" t="str">
        <f>HYPERLINK("http://www.uniprot.org/uniprot/idHC_SOLTU","idHC_SOLTU")</f>
        <v>idHC_SOLTU</v>
      </c>
      <c r="D10023" t="s">
        <v>7359</v>
      </c>
      <c r="E10023" s="3" t="s">
        <v>11</v>
      </c>
      <c r="F10023" s="4">
        <v>0</v>
      </c>
      <c r="G10023" s="3">
        <v>1567</v>
      </c>
      <c r="H10023" s="3">
        <v>93</v>
      </c>
      <c r="I10023" s="3">
        <v>307</v>
      </c>
      <c r="J10023" s="3">
        <v>245</v>
      </c>
      <c r="K10023" s="3">
        <v>1165</v>
      </c>
      <c r="L10023" s="3">
        <v>17</v>
      </c>
      <c r="M10023" s="3">
        <v>323</v>
      </c>
    </row>
    <row r="10024" spans="1:13" x14ac:dyDescent="0.25">
      <c r="A10024" s="1" t="str">
        <f>HYPERLINK("http://www.rosaceae.org/Prunus/Prunus_persica/p.persica_gdr_reftransV1_0023535","p.persica_gdr_reftransV1_0023535")</f>
        <v>p.persica_gdr_reftransV1_0023535</v>
      </c>
      <c r="B10024" s="3">
        <v>1333</v>
      </c>
      <c r="C10024" s="1" t="str">
        <f>HYPERLINK("http://www.uniprot.org/uniprot/CLPS_SYNE7","CLPS_SYNE7")</f>
        <v>CLPS_SYNE7</v>
      </c>
      <c r="D10024" t="s">
        <v>6324</v>
      </c>
      <c r="E10024" s="3" t="s">
        <v>6325</v>
      </c>
      <c r="F10024" s="4">
        <v>4.4899999999999998E-21</v>
      </c>
      <c r="G10024" s="3">
        <v>227</v>
      </c>
      <c r="H10024" s="3">
        <v>56</v>
      </c>
      <c r="I10024" s="3">
        <v>79</v>
      </c>
      <c r="J10024" s="3">
        <v>655</v>
      </c>
      <c r="K10024" s="3">
        <v>891</v>
      </c>
      <c r="L10024" s="3">
        <v>15</v>
      </c>
      <c r="M10024" s="3">
        <v>93</v>
      </c>
    </row>
    <row r="10025" spans="1:13" x14ac:dyDescent="0.25">
      <c r="A10025" s="1" t="str">
        <f>HYPERLINK("http://www.rosaceae.org/Prunus/Prunus_persica/p.persica_gdr_reftransV1_0023785","p.persica_gdr_reftransV1_0023785")</f>
        <v>p.persica_gdr_reftransV1_0023785</v>
      </c>
      <c r="B10025" s="3">
        <v>4093</v>
      </c>
      <c r="C10025" s="1" t="str">
        <f>HYPERLINK("http://www.uniprot.org/uniprot/ATM_ARATH","ATM_ARATH")</f>
        <v>ATM_ARATH</v>
      </c>
      <c r="D10025" t="s">
        <v>2500</v>
      </c>
      <c r="E10025" s="3" t="s">
        <v>3</v>
      </c>
      <c r="F10025" s="4">
        <v>3.7800000000000001E-11</v>
      </c>
      <c r="G10025" s="3">
        <v>176</v>
      </c>
      <c r="H10025" s="3">
        <v>27</v>
      </c>
      <c r="I10025" s="3">
        <v>192</v>
      </c>
      <c r="J10025" s="3">
        <v>1480</v>
      </c>
      <c r="K10025" s="3">
        <v>2040</v>
      </c>
      <c r="L10025" s="3">
        <v>106</v>
      </c>
      <c r="M10025" s="3">
        <v>277</v>
      </c>
    </row>
    <row r="10026" spans="1:13" x14ac:dyDescent="0.25">
      <c r="A10026" s="1" t="str">
        <f>HYPERLINK("http://www.rosaceae.org/Prunus/Prunus_persica/p.persica_gdr_reftransV1_0023935","p.persica_gdr_reftransV1_0023935")</f>
        <v>p.persica_gdr_reftransV1_0023935</v>
      </c>
      <c r="B10026" s="3">
        <v>1619</v>
      </c>
      <c r="C10026" s="1" t="str">
        <f>HYPERLINK("http://www.uniprot.org/uniprot/MAF1_XENLA","MAF1_XENLA")</f>
        <v>MAF1_XENLA</v>
      </c>
      <c r="D10026" t="s">
        <v>822</v>
      </c>
      <c r="E10026" s="3" t="s">
        <v>475</v>
      </c>
      <c r="F10026" s="4">
        <v>5.7100000000000001E-15</v>
      </c>
      <c r="G10026" s="3">
        <v>192</v>
      </c>
      <c r="H10026" s="3">
        <v>58</v>
      </c>
      <c r="I10026" s="3">
        <v>64</v>
      </c>
      <c r="J10026" s="3">
        <v>379</v>
      </c>
      <c r="K10026" s="3">
        <v>570</v>
      </c>
      <c r="L10026" s="3">
        <v>143</v>
      </c>
      <c r="M10026" s="3">
        <v>204</v>
      </c>
    </row>
    <row r="10027" spans="1:13" x14ac:dyDescent="0.25">
      <c r="A10027" s="1" t="str">
        <f>HYPERLINK("http://www.rosaceae.org/Prunus/Prunus_persica/p.persica_gdr_reftransV1_0024235","p.persica_gdr_reftransV1_0024235")</f>
        <v>p.persica_gdr_reftransV1_0024235</v>
      </c>
      <c r="B10027" s="3">
        <v>2695</v>
      </c>
      <c r="C10027" s="1" t="str">
        <f>HYPERLINK("http://www.uniprot.org/uniprot/MA656_ARATH","MA656_ARATH")</f>
        <v>MA656_ARATH</v>
      </c>
      <c r="D10027" t="s">
        <v>7360</v>
      </c>
      <c r="E10027" s="3" t="s">
        <v>3</v>
      </c>
      <c r="F10027" s="4">
        <v>0</v>
      </c>
      <c r="G10027" s="3">
        <v>2244</v>
      </c>
      <c r="H10027" s="3">
        <v>72</v>
      </c>
      <c r="I10027" s="3">
        <v>605</v>
      </c>
      <c r="J10027" s="3">
        <v>374</v>
      </c>
      <c r="K10027" s="3">
        <v>2164</v>
      </c>
      <c r="L10027" s="3">
        <v>1</v>
      </c>
      <c r="M10027" s="3">
        <v>605</v>
      </c>
    </row>
    <row r="10028" spans="1:13" x14ac:dyDescent="0.25">
      <c r="A10028" s="1" t="str">
        <f>HYPERLINK("http://www.rosaceae.org/Prunus/Prunus_persica/p.persica_gdr_reftransV1_0024285","p.persica_gdr_reftransV1_0024285")</f>
        <v>p.persica_gdr_reftransV1_0024285</v>
      </c>
      <c r="B10028" s="3">
        <v>880</v>
      </c>
      <c r="C10028" s="1" t="str">
        <f>HYPERLINK("http://www.uniprot.org/uniprot/PP247_ARATH","PP247_ARATH")</f>
        <v>PP247_ARATH</v>
      </c>
      <c r="D10028" t="s">
        <v>2483</v>
      </c>
      <c r="E10028" s="3" t="s">
        <v>3</v>
      </c>
      <c r="F10028" s="4">
        <v>2.83E-65</v>
      </c>
      <c r="G10028" s="3">
        <v>551</v>
      </c>
      <c r="H10028" s="3">
        <v>46</v>
      </c>
      <c r="I10028" s="3">
        <v>239</v>
      </c>
      <c r="J10028" s="3">
        <v>2</v>
      </c>
      <c r="K10028" s="3">
        <v>718</v>
      </c>
      <c r="L10028" s="3">
        <v>311</v>
      </c>
      <c r="M10028" s="3">
        <v>549</v>
      </c>
    </row>
    <row r="10029" spans="1:13" x14ac:dyDescent="0.25">
      <c r="A10029" s="1" t="str">
        <f>HYPERLINK("http://www.rosaceae.org/Prunus/Prunus_persica/p.persica_gdr_reftransV1_0024435","p.persica_gdr_reftransV1_0024435")</f>
        <v>p.persica_gdr_reftransV1_0024435</v>
      </c>
      <c r="B10029" s="3">
        <v>3565</v>
      </c>
      <c r="C10029" s="1" t="str">
        <f>HYPERLINK("http://www.uniprot.org/uniprot/BAME1_ARATH","BAME1_ARATH")</f>
        <v>BAME1_ARATH</v>
      </c>
      <c r="D10029" t="s">
        <v>7361</v>
      </c>
      <c r="E10029" s="3" t="s">
        <v>3</v>
      </c>
      <c r="F10029" s="4">
        <v>0</v>
      </c>
      <c r="G10029" s="3">
        <v>3960</v>
      </c>
      <c r="H10029" s="3">
        <v>82</v>
      </c>
      <c r="I10029" s="3">
        <v>972</v>
      </c>
      <c r="J10029" s="3">
        <v>489</v>
      </c>
      <c r="K10029" s="3">
        <v>3389</v>
      </c>
      <c r="L10029" s="3">
        <v>19</v>
      </c>
      <c r="M10029" s="3">
        <v>986</v>
      </c>
    </row>
    <row r="10030" spans="1:13" x14ac:dyDescent="0.25">
      <c r="A10030" s="1" t="str">
        <f>HYPERLINK("http://www.rosaceae.org/Prunus/Prunus_persica/p.persica_gdr_reftransV1_0024485","p.persica_gdr_reftransV1_0024485")</f>
        <v>p.persica_gdr_reftransV1_0024485</v>
      </c>
      <c r="B10030" s="3">
        <v>3161</v>
      </c>
      <c r="C10030" s="1" t="str">
        <f>HYPERLINK("http://www.uniprot.org/uniprot/GLGB2_PEA","GLGB2_PEA")</f>
        <v>GLGB2_PEA</v>
      </c>
      <c r="D10030" t="s">
        <v>5809</v>
      </c>
      <c r="E10030" s="3" t="s">
        <v>60</v>
      </c>
      <c r="F10030" s="4">
        <v>0</v>
      </c>
      <c r="G10030" s="3">
        <v>3174</v>
      </c>
      <c r="H10030" s="3">
        <v>85</v>
      </c>
      <c r="I10030" s="3">
        <v>713</v>
      </c>
      <c r="J10030" s="3">
        <v>787</v>
      </c>
      <c r="K10030" s="3">
        <v>2919</v>
      </c>
      <c r="L10030" s="3">
        <v>53</v>
      </c>
      <c r="M10030" s="3">
        <v>764</v>
      </c>
    </row>
    <row r="10031" spans="1:13" x14ac:dyDescent="0.25">
      <c r="A10031" s="1" t="str">
        <f>HYPERLINK("http://www.rosaceae.org/Prunus/Prunus_persica/p.persica_gdr_reftransV1_0024585","p.persica_gdr_reftransV1_0024585")</f>
        <v>p.persica_gdr_reftransV1_0024585</v>
      </c>
      <c r="B10031" s="3">
        <v>785</v>
      </c>
      <c r="C10031" s="1" t="str">
        <f>HYPERLINK("http://www.uniprot.org/uniprot/R13L1_ARATH","R13L1_ARATH")</f>
        <v>R13L1_ARATH</v>
      </c>
      <c r="D10031" t="s">
        <v>100</v>
      </c>
      <c r="E10031" s="3" t="s">
        <v>3</v>
      </c>
      <c r="F10031" s="4">
        <v>1.6199999999999999E-42</v>
      </c>
      <c r="G10031" s="3">
        <v>404</v>
      </c>
      <c r="H10031" s="3">
        <v>39</v>
      </c>
      <c r="I10031" s="3">
        <v>220</v>
      </c>
      <c r="J10031" s="3">
        <v>131</v>
      </c>
      <c r="K10031" s="3">
        <v>784</v>
      </c>
      <c r="L10031" s="3">
        <v>20</v>
      </c>
      <c r="M10031" s="3">
        <v>237</v>
      </c>
    </row>
    <row r="10032" spans="1:13" x14ac:dyDescent="0.25">
      <c r="A10032" s="1" t="str">
        <f>HYPERLINK("http://www.rosaceae.org/Prunus/Prunus_persica/p.persica_gdr_reftransV1_0024935","p.persica_gdr_reftransV1_0024935")</f>
        <v>p.persica_gdr_reftransV1_0024935</v>
      </c>
      <c r="B10032" s="3">
        <v>1342</v>
      </c>
      <c r="C10032" s="1" t="str">
        <f>HYPERLINK("http://www.uniprot.org/uniprot/POLX_TOBAC","POLX_TOBAC")</f>
        <v>POLX_TOBAC</v>
      </c>
      <c r="D10032" t="s">
        <v>1253</v>
      </c>
      <c r="E10032" s="3" t="s">
        <v>200</v>
      </c>
      <c r="F10032" s="4">
        <v>2.23E-64</v>
      </c>
      <c r="G10032" s="3">
        <v>586</v>
      </c>
      <c r="H10032" s="3">
        <v>35</v>
      </c>
      <c r="I10032" s="3">
        <v>402</v>
      </c>
      <c r="J10032" s="3">
        <v>184</v>
      </c>
      <c r="K10032" s="3">
        <v>1338</v>
      </c>
      <c r="L10032" s="3">
        <v>291</v>
      </c>
      <c r="M10032" s="3">
        <v>674</v>
      </c>
    </row>
    <row r="10033" spans="1:13" x14ac:dyDescent="0.25">
      <c r="A10033" s="1" t="str">
        <f>HYPERLINK("http://www.rosaceae.org/Prunus/Prunus_persica/p.persica_gdr_reftransV1_0025135","p.persica_gdr_reftransV1_0025135")</f>
        <v>p.persica_gdr_reftransV1_0025135</v>
      </c>
      <c r="B10033" s="3">
        <v>1136</v>
      </c>
      <c r="C10033" s="1" t="str">
        <f>HYPERLINK("http://www.uniprot.org/uniprot/FK172_ARATH","FK172_ARATH")</f>
        <v>FK172_ARATH</v>
      </c>
      <c r="D10033" t="s">
        <v>7362</v>
      </c>
      <c r="E10033" s="3" t="s">
        <v>3</v>
      </c>
      <c r="F10033" s="4">
        <v>1.5999999999999999E-71</v>
      </c>
      <c r="G10033" s="3">
        <v>465</v>
      </c>
      <c r="H10033" s="3">
        <v>75</v>
      </c>
      <c r="I10033" s="3">
        <v>123</v>
      </c>
      <c r="J10033" s="3">
        <v>608</v>
      </c>
      <c r="K10033" s="3">
        <v>964</v>
      </c>
      <c r="L10033" s="3">
        <v>126</v>
      </c>
      <c r="M10033" s="3">
        <v>247</v>
      </c>
    </row>
    <row r="10034" spans="1:13" x14ac:dyDescent="0.25">
      <c r="A10034" s="1" t="str">
        <f>HYPERLINK("http://www.rosaceae.org/Prunus/Prunus_persica/p.persica_gdr_reftransV1_0025235","p.persica_gdr_reftransV1_0025235")</f>
        <v>p.persica_gdr_reftransV1_0025235</v>
      </c>
      <c r="B10034" s="3">
        <v>2897</v>
      </c>
      <c r="C10034" s="1" t="str">
        <f>HYPERLINK("http://www.uniprot.org/uniprot/TLP1_CASSA","TLP1_CASSA")</f>
        <v>TLP1_CASSA</v>
      </c>
      <c r="D10034" t="s">
        <v>7363</v>
      </c>
      <c r="E10034" s="3" t="s">
        <v>5840</v>
      </c>
      <c r="F10034" s="4">
        <v>5.7999999999999998E-64</v>
      </c>
      <c r="G10034" s="3">
        <v>562</v>
      </c>
      <c r="H10034" s="3">
        <v>55</v>
      </c>
      <c r="I10034" s="3">
        <v>218</v>
      </c>
      <c r="J10034" s="3">
        <v>114</v>
      </c>
      <c r="K10034" s="3">
        <v>761</v>
      </c>
      <c r="L10034" s="3">
        <v>29</v>
      </c>
      <c r="M10034" s="3">
        <v>243</v>
      </c>
    </row>
    <row r="10035" spans="1:13" x14ac:dyDescent="0.25">
      <c r="A10035" s="1" t="str">
        <f>HYPERLINK("http://www.rosaceae.org/Prunus/Prunus_persica/p.persica_gdr_reftransV1_0025335","p.persica_gdr_reftransV1_0025335")</f>
        <v>p.persica_gdr_reftransV1_0025335</v>
      </c>
      <c r="B10035" s="3">
        <v>2173</v>
      </c>
      <c r="C10035" s="1" t="str">
        <f>HYPERLINK("http://www.uniprot.org/uniprot/ORML3_MOUSE","ORML3_MOUSE")</f>
        <v>ORML3_MOUSE</v>
      </c>
      <c r="D10035" t="s">
        <v>7364</v>
      </c>
      <c r="E10035" s="3" t="s">
        <v>157</v>
      </c>
      <c r="F10035" s="4">
        <v>1.8300000000000001E-19</v>
      </c>
      <c r="G10035" s="3">
        <v>225</v>
      </c>
      <c r="H10035" s="3">
        <v>49</v>
      </c>
      <c r="I10035" s="3">
        <v>91</v>
      </c>
      <c r="J10035" s="3">
        <v>1596</v>
      </c>
      <c r="K10035" s="3">
        <v>1865</v>
      </c>
      <c r="L10035" s="3">
        <v>61</v>
      </c>
      <c r="M10035" s="3">
        <v>151</v>
      </c>
    </row>
    <row r="10036" spans="1:13" x14ac:dyDescent="0.25">
      <c r="A10036" s="1" t="str">
        <f>HYPERLINK("http://www.rosaceae.org/Prunus/Prunus_persica/p.persica_gdr_reftransV1_0025385","p.persica_gdr_reftransV1_0025385")</f>
        <v>p.persica_gdr_reftransV1_0025385</v>
      </c>
      <c r="B10036" s="3">
        <v>464</v>
      </c>
      <c r="C10036" s="1" t="str">
        <f>HYPERLINK("http://www.uniprot.org/uniprot/U87A2_ARATH","U87A2_ARATH")</f>
        <v>U87A2_ARATH</v>
      </c>
      <c r="D10036" t="s">
        <v>7034</v>
      </c>
      <c r="E10036" s="3" t="s">
        <v>3</v>
      </c>
      <c r="F10036" s="4">
        <v>6.4199999999999996E-50</v>
      </c>
      <c r="G10036" s="3">
        <v>434</v>
      </c>
      <c r="H10036" s="3">
        <v>55</v>
      </c>
      <c r="I10036" s="3">
        <v>135</v>
      </c>
      <c r="J10036" s="3">
        <v>1</v>
      </c>
      <c r="K10036" s="3">
        <v>405</v>
      </c>
      <c r="L10036" s="3">
        <v>323</v>
      </c>
      <c r="M10036" s="3">
        <v>455</v>
      </c>
    </row>
    <row r="10037" spans="1:13" x14ac:dyDescent="0.25">
      <c r="A10037" s="1" t="str">
        <f>HYPERLINK("http://www.rosaceae.org/Prunus/Prunus_persica/p.persica_gdr_reftransV1_0025785","p.persica_gdr_reftransV1_0025785")</f>
        <v>p.persica_gdr_reftransV1_0025785</v>
      </c>
      <c r="B10037" s="3">
        <v>4601</v>
      </c>
      <c r="C10037" s="1" t="str">
        <f>HYPERLINK("http://www.uniprot.org/uniprot/HST_ARATH","HST_ARATH")</f>
        <v>HST_ARATH</v>
      </c>
      <c r="D10037" t="s">
        <v>2435</v>
      </c>
      <c r="E10037" s="3" t="s">
        <v>3</v>
      </c>
      <c r="F10037" s="4">
        <v>6.8300000000000001E-153</v>
      </c>
      <c r="G10037" s="3">
        <v>1232</v>
      </c>
      <c r="H10037" s="3">
        <v>74</v>
      </c>
      <c r="I10037" s="3">
        <v>304</v>
      </c>
      <c r="J10037" s="3">
        <v>1016</v>
      </c>
      <c r="K10037" s="3">
        <v>1921</v>
      </c>
      <c r="L10037" s="3">
        <v>130</v>
      </c>
      <c r="M10037" s="3">
        <v>433</v>
      </c>
    </row>
    <row r="10038" spans="1:13" x14ac:dyDescent="0.25">
      <c r="A10038" s="1" t="str">
        <f>HYPERLINK("http://www.rosaceae.org/Prunus/Prunus_persica/p.persica_gdr_reftransV1_0025985","p.persica_gdr_reftransV1_0025985")</f>
        <v>p.persica_gdr_reftransV1_0025985</v>
      </c>
      <c r="B10038" s="3">
        <v>1534</v>
      </c>
      <c r="C10038" s="1" t="str">
        <f>HYPERLINK("http://www.uniprot.org/uniprot/SYP22_ARATH","SYP22_ARATH")</f>
        <v>SYP22_ARATH</v>
      </c>
      <c r="D10038" t="s">
        <v>7365</v>
      </c>
      <c r="E10038" s="3" t="s">
        <v>3</v>
      </c>
      <c r="F10038" s="4">
        <v>4.7500000000000002E-65</v>
      </c>
      <c r="G10038" s="3">
        <v>555</v>
      </c>
      <c r="H10038" s="3">
        <v>60</v>
      </c>
      <c r="I10038" s="3">
        <v>252</v>
      </c>
      <c r="J10038" s="3">
        <v>301</v>
      </c>
      <c r="K10038" s="3">
        <v>1044</v>
      </c>
      <c r="L10038" s="3">
        <v>1</v>
      </c>
      <c r="M10038" s="3">
        <v>246</v>
      </c>
    </row>
    <row r="10039" spans="1:13" x14ac:dyDescent="0.25">
      <c r="A10039" s="1" t="str">
        <f>HYPERLINK("http://www.rosaceae.org/Prunus/Prunus_persica/p.persica_gdr_reftransV1_0026135","p.persica_gdr_reftransV1_0026135")</f>
        <v>p.persica_gdr_reftransV1_0026135</v>
      </c>
      <c r="B10039" s="3">
        <v>2840</v>
      </c>
      <c r="C10039" s="1" t="str">
        <f>HYPERLINK("http://www.uniprot.org/uniprot/NIPA7_ARATH","NIPA7_ARATH")</f>
        <v>NIPA7_ARATH</v>
      </c>
      <c r="D10039" t="s">
        <v>7366</v>
      </c>
      <c r="E10039" s="3" t="s">
        <v>3</v>
      </c>
      <c r="F10039" s="4">
        <v>1.04E-69</v>
      </c>
      <c r="G10039" s="3">
        <v>481</v>
      </c>
      <c r="H10039" s="3">
        <v>70</v>
      </c>
      <c r="I10039" s="3">
        <v>151</v>
      </c>
      <c r="J10039" s="3">
        <v>575</v>
      </c>
      <c r="K10039" s="3">
        <v>1027</v>
      </c>
      <c r="L10039" s="3">
        <v>82</v>
      </c>
      <c r="M10039" s="3">
        <v>232</v>
      </c>
    </row>
    <row r="10040" spans="1:13" x14ac:dyDescent="0.25">
      <c r="A10040" s="1" t="str">
        <f>HYPERLINK("http://www.rosaceae.org/Prunus/Prunus_persica/p.persica_gdr_reftransV1_0026435","p.persica_gdr_reftransV1_0026435")</f>
        <v>p.persica_gdr_reftransV1_0026435</v>
      </c>
      <c r="B10040" s="3">
        <v>2840</v>
      </c>
      <c r="C10040" s="1" t="str">
        <f>HYPERLINK("http://www.uniprot.org/uniprot/ARR1_ARATH","ARR1_ARATH")</f>
        <v>ARR1_ARATH</v>
      </c>
      <c r="D10040" t="s">
        <v>7367</v>
      </c>
      <c r="E10040" s="3" t="s">
        <v>3</v>
      </c>
      <c r="F10040" s="4">
        <v>1.77E-87</v>
      </c>
      <c r="G10040" s="3">
        <v>769</v>
      </c>
      <c r="H10040" s="3">
        <v>46</v>
      </c>
      <c r="I10040" s="3">
        <v>462</v>
      </c>
      <c r="J10040" s="3">
        <v>676</v>
      </c>
      <c r="K10040" s="3">
        <v>1995</v>
      </c>
      <c r="L10040" s="3">
        <v>261</v>
      </c>
      <c r="M10040" s="3">
        <v>690</v>
      </c>
    </row>
    <row r="10041" spans="1:13" x14ac:dyDescent="0.25">
      <c r="A10041" s="1" t="str">
        <f>HYPERLINK("http://www.rosaceae.org/Prunus/Prunus_persica/p.persica_gdr_reftransV1_0026535","p.persica_gdr_reftransV1_0026535")</f>
        <v>p.persica_gdr_reftransV1_0026535</v>
      </c>
      <c r="B10041" s="3">
        <v>2240</v>
      </c>
      <c r="C10041" s="1" t="str">
        <f>HYPERLINK("http://www.uniprot.org/uniprot/RH27_ORYSJ","RH27_ORYSJ")</f>
        <v>RH27_ORYSJ</v>
      </c>
      <c r="D10041" t="s">
        <v>7368</v>
      </c>
      <c r="E10041" s="3" t="s">
        <v>38</v>
      </c>
      <c r="F10041" s="4">
        <v>0</v>
      </c>
      <c r="G10041" s="3">
        <v>1966</v>
      </c>
      <c r="H10041" s="3">
        <v>71</v>
      </c>
      <c r="I10041" s="3">
        <v>505</v>
      </c>
      <c r="J10041" s="3">
        <v>388</v>
      </c>
      <c r="K10041" s="3">
        <v>1887</v>
      </c>
      <c r="L10041" s="3">
        <v>86</v>
      </c>
      <c r="M10041" s="3">
        <v>589</v>
      </c>
    </row>
    <row r="10042" spans="1:13" x14ac:dyDescent="0.25">
      <c r="A10042" s="1" t="str">
        <f>HYPERLINK("http://www.rosaceae.org/Prunus/Prunus_persica/p.persica_gdr_reftransV1_0026585","p.persica_gdr_reftransV1_0026585")</f>
        <v>p.persica_gdr_reftransV1_0026585</v>
      </c>
      <c r="B10042" s="3">
        <v>3014</v>
      </c>
      <c r="C10042" s="1" t="str">
        <f>HYPERLINK("http://www.uniprot.org/uniprot/SINA2_ARATH","SINA2_ARATH")</f>
        <v>SINA2_ARATH</v>
      </c>
      <c r="D10042" t="s">
        <v>7369</v>
      </c>
      <c r="E10042" s="3" t="s">
        <v>3</v>
      </c>
      <c r="F10042" s="4">
        <v>4.2000000000000001E-161</v>
      </c>
      <c r="G10042" s="3">
        <v>1244</v>
      </c>
      <c r="H10042" s="3">
        <v>73</v>
      </c>
      <c r="I10042" s="3">
        <v>307</v>
      </c>
      <c r="J10042" s="3">
        <v>1805</v>
      </c>
      <c r="K10042" s="3">
        <v>2725</v>
      </c>
      <c r="L10042" s="3">
        <v>1</v>
      </c>
      <c r="M10042" s="3">
        <v>307</v>
      </c>
    </row>
    <row r="10043" spans="1:13" x14ac:dyDescent="0.25">
      <c r="A10043" s="1" t="str">
        <f>HYPERLINK("http://www.rosaceae.org/Prunus/Prunus_persica/p.persica_gdr_reftransV1_0026685","p.persica_gdr_reftransV1_0026685")</f>
        <v>p.persica_gdr_reftransV1_0026685</v>
      </c>
      <c r="B10043" s="3">
        <v>1453</v>
      </c>
      <c r="C10043" s="1" t="str">
        <f>HYPERLINK("http://www.uniprot.org/uniprot/TRML_SYNY3","TRML_SYNY3")</f>
        <v>TRML_SYNY3</v>
      </c>
      <c r="D10043" t="s">
        <v>7370</v>
      </c>
      <c r="E10043" s="3" t="s">
        <v>527</v>
      </c>
      <c r="F10043" s="4">
        <v>5.9200000000000001E-18</v>
      </c>
      <c r="G10043" s="3">
        <v>210</v>
      </c>
      <c r="H10043" s="3">
        <v>70</v>
      </c>
      <c r="I10043" s="3">
        <v>54</v>
      </c>
      <c r="J10043" s="3">
        <v>980</v>
      </c>
      <c r="K10043" s="3">
        <v>1141</v>
      </c>
      <c r="L10043" s="3">
        <v>1</v>
      </c>
      <c r="M10043" s="3">
        <v>54</v>
      </c>
    </row>
    <row r="10044" spans="1:13" x14ac:dyDescent="0.25">
      <c r="A10044" s="1" t="str">
        <f>HYPERLINK("http://www.rosaceae.org/Prunus/Prunus_persica/p.persica_gdr_reftransV1_0027035","p.persica_gdr_reftransV1_0027035")</f>
        <v>p.persica_gdr_reftransV1_0027035</v>
      </c>
      <c r="B10044" s="3">
        <v>3854</v>
      </c>
      <c r="C10044" s="1" t="str">
        <f>HYPERLINK("http://www.uniprot.org/uniprot/AGD7_ARATH","AGD7_ARATH")</f>
        <v>AGD7_ARATH</v>
      </c>
      <c r="D10044" t="s">
        <v>7371</v>
      </c>
      <c r="E10044" s="3" t="s">
        <v>3</v>
      </c>
      <c r="F10044" s="4">
        <v>2.8699999999999999E-111</v>
      </c>
      <c r="G10044" s="3">
        <v>932</v>
      </c>
      <c r="H10044" s="3">
        <v>68</v>
      </c>
      <c r="I10044" s="3">
        <v>281</v>
      </c>
      <c r="J10044" s="3">
        <v>302</v>
      </c>
      <c r="K10044" s="3">
        <v>1135</v>
      </c>
      <c r="L10044" s="3">
        <v>1</v>
      </c>
      <c r="M10044" s="3">
        <v>262</v>
      </c>
    </row>
    <row r="10045" spans="1:13" x14ac:dyDescent="0.25">
      <c r="A10045" s="1" t="str">
        <f>HYPERLINK("http://www.rosaceae.org/Prunus/Prunus_persica/p.persica_gdr_reftransV1_0027135","p.persica_gdr_reftransV1_0027135")</f>
        <v>p.persica_gdr_reftransV1_0027135</v>
      </c>
      <c r="B10045" s="3">
        <v>2156</v>
      </c>
      <c r="C10045" s="1" t="str">
        <f>HYPERLINK("http://www.uniprot.org/uniprot/PP347_ARATH","PP347_ARATH")</f>
        <v>PP347_ARATH</v>
      </c>
      <c r="D10045" t="s">
        <v>6308</v>
      </c>
      <c r="E10045" s="3" t="s">
        <v>3</v>
      </c>
      <c r="F10045" s="4">
        <v>7.5100000000000006E-52</v>
      </c>
      <c r="G10045" s="3">
        <v>503</v>
      </c>
      <c r="H10045" s="3">
        <v>49</v>
      </c>
      <c r="I10045" s="3">
        <v>199</v>
      </c>
      <c r="J10045" s="3">
        <v>1581</v>
      </c>
      <c r="K10045" s="3">
        <v>2156</v>
      </c>
      <c r="L10045" s="3">
        <v>793</v>
      </c>
      <c r="M10045" s="3">
        <v>990</v>
      </c>
    </row>
    <row r="10046" spans="1:13" x14ac:dyDescent="0.25">
      <c r="A10046" s="1" t="str">
        <f>HYPERLINK("http://www.rosaceae.org/Prunus/Prunus_persica/p.persica_gdr_reftransV1_0027235","p.persica_gdr_reftransV1_0027235")</f>
        <v>p.persica_gdr_reftransV1_0027235</v>
      </c>
      <c r="B10046" s="3">
        <v>2489</v>
      </c>
      <c r="C10046" s="1" t="str">
        <f>HYPERLINK("http://www.uniprot.org/uniprot/PRNL1_ARATH","PRNL1_ARATH")</f>
        <v>PRNL1_ARATH</v>
      </c>
      <c r="D10046" t="s">
        <v>7372</v>
      </c>
      <c r="E10046" s="3" t="s">
        <v>3</v>
      </c>
      <c r="F10046" s="4">
        <v>2.0800000000000001E-57</v>
      </c>
      <c r="G10046" s="3">
        <v>518</v>
      </c>
      <c r="H10046" s="3">
        <v>65</v>
      </c>
      <c r="I10046" s="3">
        <v>170</v>
      </c>
      <c r="J10046" s="3">
        <v>197</v>
      </c>
      <c r="K10046" s="3">
        <v>691</v>
      </c>
      <c r="L10046" s="3">
        <v>138</v>
      </c>
      <c r="M10046" s="3">
        <v>307</v>
      </c>
    </row>
    <row r="10047" spans="1:13" x14ac:dyDescent="0.25">
      <c r="A10047" s="1" t="str">
        <f>HYPERLINK("http://www.rosaceae.org/Prunus/Prunus_persica/p.persica_gdr_reftransV1_0027685","p.persica_gdr_reftransV1_0027685")</f>
        <v>p.persica_gdr_reftransV1_0027685</v>
      </c>
      <c r="B10047" s="3">
        <v>445</v>
      </c>
      <c r="C10047" s="1" t="str">
        <f>HYPERLINK("http://www.uniprot.org/uniprot/WRK21_ARATH","WRK21_ARATH")</f>
        <v>WRK21_ARATH</v>
      </c>
      <c r="D10047" t="s">
        <v>419</v>
      </c>
      <c r="E10047" s="3" t="s">
        <v>3</v>
      </c>
      <c r="F10047" s="4">
        <v>2.04E-25</v>
      </c>
      <c r="G10047" s="3">
        <v>257</v>
      </c>
      <c r="H10047" s="3">
        <v>71</v>
      </c>
      <c r="I10047" s="3">
        <v>93</v>
      </c>
      <c r="J10047" s="3">
        <v>69</v>
      </c>
      <c r="K10047" s="3">
        <v>338</v>
      </c>
      <c r="L10047" s="3">
        <v>200</v>
      </c>
      <c r="M10047" s="3">
        <v>291</v>
      </c>
    </row>
    <row r="10048" spans="1:13" x14ac:dyDescent="0.25">
      <c r="A10048" s="1" t="str">
        <f>HYPERLINK("http://www.rosaceae.org/Prunus/Prunus_persica/p.persica_gdr_reftransV1_0027985","p.persica_gdr_reftransV1_0027985")</f>
        <v>p.persica_gdr_reftransV1_0027985</v>
      </c>
      <c r="B10048" s="3">
        <v>3508</v>
      </c>
      <c r="C10048" s="1" t="str">
        <f>HYPERLINK("http://www.uniprot.org/uniprot/INT9_NEMVE","INT9_NEMVE")</f>
        <v>INT9_NEMVE</v>
      </c>
      <c r="D10048" t="s">
        <v>7373</v>
      </c>
      <c r="E10048" s="3" t="s">
        <v>1392</v>
      </c>
      <c r="F10048" s="4">
        <v>4.72E-57</v>
      </c>
      <c r="G10048" s="3">
        <v>546</v>
      </c>
      <c r="H10048" s="3">
        <v>30</v>
      </c>
      <c r="I10048" s="3">
        <v>541</v>
      </c>
      <c r="J10048" s="3">
        <v>1661</v>
      </c>
      <c r="K10048" s="3">
        <v>3274</v>
      </c>
      <c r="L10048" s="3">
        <v>1</v>
      </c>
      <c r="M10048" s="3">
        <v>476</v>
      </c>
    </row>
    <row r="10049" spans="1:13" x14ac:dyDescent="0.25">
      <c r="A10049" s="1" t="str">
        <f>HYPERLINK("http://www.rosaceae.org/Prunus/Prunus_persica/p.persica_gdr_reftransV1_0028335","p.persica_gdr_reftransV1_0028335")</f>
        <v>p.persica_gdr_reftransV1_0028335</v>
      </c>
      <c r="B10049" s="3">
        <v>1296</v>
      </c>
      <c r="C10049" s="1" t="str">
        <f>HYPERLINK("http://www.uniprot.org/uniprot/PDCD5_PONAB","PDCD5_PONAB")</f>
        <v>PDCD5_PONAB</v>
      </c>
      <c r="D10049" t="s">
        <v>7374</v>
      </c>
      <c r="E10049" s="3" t="s">
        <v>176</v>
      </c>
      <c r="F10049" s="4">
        <v>1.21E-19</v>
      </c>
      <c r="G10049" s="3">
        <v>219</v>
      </c>
      <c r="H10049" s="3">
        <v>43</v>
      </c>
      <c r="I10049" s="3">
        <v>131</v>
      </c>
      <c r="J10049" s="3">
        <v>186</v>
      </c>
      <c r="K10049" s="3">
        <v>578</v>
      </c>
      <c r="L10049" s="3">
        <v>2</v>
      </c>
      <c r="M10049" s="3">
        <v>121</v>
      </c>
    </row>
    <row r="10050" spans="1:13" x14ac:dyDescent="0.25">
      <c r="A10050" s="1" t="str">
        <f>HYPERLINK("http://www.rosaceae.org/Prunus/Prunus_persica/p.persica_gdr_reftransV1_0028485","p.persica_gdr_reftransV1_0028485")</f>
        <v>p.persica_gdr_reftransV1_0028485</v>
      </c>
      <c r="B10050" s="3">
        <v>1915</v>
      </c>
      <c r="C10050" s="1" t="str">
        <f>HYPERLINK("http://www.uniprot.org/uniprot/SLU7_ORYSJ","SLU7_ORYSJ")</f>
        <v>SLU7_ORYSJ</v>
      </c>
      <c r="D10050" t="s">
        <v>7375</v>
      </c>
      <c r="E10050" s="3" t="s">
        <v>38</v>
      </c>
      <c r="F10050" s="4">
        <v>0</v>
      </c>
      <c r="G10050" s="3">
        <v>2054</v>
      </c>
      <c r="H10050" s="3">
        <v>81</v>
      </c>
      <c r="I10050" s="3">
        <v>536</v>
      </c>
      <c r="J10050" s="3">
        <v>209</v>
      </c>
      <c r="K10050" s="3">
        <v>1816</v>
      </c>
      <c r="L10050" s="3">
        <v>1</v>
      </c>
      <c r="M10050" s="3">
        <v>536</v>
      </c>
    </row>
    <row r="10051" spans="1:13" x14ac:dyDescent="0.25">
      <c r="A10051" s="1" t="str">
        <f>HYPERLINK("http://www.rosaceae.org/Prunus/Prunus_persica/p.persica_gdr_reftransV1_0028685","p.persica_gdr_reftransV1_0028685")</f>
        <v>p.persica_gdr_reftransV1_0028685</v>
      </c>
      <c r="B10051" s="3">
        <v>2688</v>
      </c>
      <c r="C10051" s="1" t="str">
        <f>HYPERLINK("http://www.uniprot.org/uniprot/Y1174_SYNP6","Y1174_SYNP6")</f>
        <v>Y1174_SYNP6</v>
      </c>
      <c r="D10051" t="s">
        <v>7376</v>
      </c>
      <c r="E10051" s="3" t="s">
        <v>2403</v>
      </c>
      <c r="F10051" s="4">
        <v>2.2099999999999999E-81</v>
      </c>
      <c r="G10051" s="3">
        <v>697</v>
      </c>
      <c r="H10051" s="3">
        <v>59</v>
      </c>
      <c r="I10051" s="3">
        <v>327</v>
      </c>
      <c r="J10051" s="3">
        <v>1432</v>
      </c>
      <c r="K10051" s="3">
        <v>2412</v>
      </c>
      <c r="L10051" s="3">
        <v>2</v>
      </c>
      <c r="M10051" s="3">
        <v>320</v>
      </c>
    </row>
    <row r="10052" spans="1:13" x14ac:dyDescent="0.25">
      <c r="A10052" s="1" t="str">
        <f>HYPERLINK("http://www.rosaceae.org/Prunus/Prunus_persica/p.persica_gdr_reftransV1_0028885","p.persica_gdr_reftransV1_0028885")</f>
        <v>p.persica_gdr_reftransV1_0028885</v>
      </c>
      <c r="B10052" s="3">
        <v>1781</v>
      </c>
      <c r="C10052" s="1" t="str">
        <f>HYPERLINK("http://www.uniprot.org/uniprot/CCME_RHORT","CCME_RHORT")</f>
        <v>CCME_RHORT</v>
      </c>
      <c r="D10052" t="s">
        <v>7377</v>
      </c>
      <c r="E10052" s="3" t="s">
        <v>7378</v>
      </c>
      <c r="F10052" s="4">
        <v>1.69E-27</v>
      </c>
      <c r="G10052" s="3">
        <v>282</v>
      </c>
      <c r="H10052" s="3">
        <v>42</v>
      </c>
      <c r="I10052" s="3">
        <v>161</v>
      </c>
      <c r="J10052" s="3">
        <v>951</v>
      </c>
      <c r="K10052" s="3">
        <v>1433</v>
      </c>
      <c r="L10052" s="3">
        <v>4</v>
      </c>
      <c r="M10052" s="3">
        <v>139</v>
      </c>
    </row>
    <row r="10053" spans="1:13" x14ac:dyDescent="0.25">
      <c r="A10053" s="1" t="str">
        <f>HYPERLINK("http://www.rosaceae.org/Prunus/Prunus_persica/p.persica_gdr_reftransV1_0029085","p.persica_gdr_reftransV1_0029085")</f>
        <v>p.persica_gdr_reftransV1_0029085</v>
      </c>
      <c r="B10053" s="3">
        <v>1887</v>
      </c>
      <c r="C10053" s="1" t="str">
        <f>HYPERLINK("http://www.uniprot.org/uniprot/NEP1_NEPGR","NEP1_NEPGR")</f>
        <v>NEP1_NEPGR</v>
      </c>
      <c r="D10053" t="s">
        <v>6644</v>
      </c>
      <c r="E10053" s="3" t="s">
        <v>6645</v>
      </c>
      <c r="F10053" s="4">
        <v>8.2799999999999996E-29</v>
      </c>
      <c r="G10053" s="3">
        <v>308</v>
      </c>
      <c r="H10053" s="3">
        <v>29</v>
      </c>
      <c r="I10053" s="3">
        <v>418</v>
      </c>
      <c r="J10053" s="3">
        <v>261</v>
      </c>
      <c r="K10053" s="3">
        <v>1472</v>
      </c>
      <c r="L10053" s="3">
        <v>94</v>
      </c>
      <c r="M10053" s="3">
        <v>435</v>
      </c>
    </row>
    <row r="10054" spans="1:13" x14ac:dyDescent="0.25">
      <c r="A10054" s="1" t="str">
        <f>HYPERLINK("http://www.rosaceae.org/Prunus/Prunus_persica/p.persica_gdr_reftransV1_0029635","p.persica_gdr_reftransV1_0029635")</f>
        <v>p.persica_gdr_reftransV1_0029635</v>
      </c>
      <c r="B10054" s="3">
        <v>1860</v>
      </c>
      <c r="C10054" s="1" t="str">
        <f>HYPERLINK("http://www.uniprot.org/uniprot/SYDC2_ARATH","SYDC2_ARATH")</f>
        <v>SYDC2_ARATH</v>
      </c>
      <c r="D10054" t="s">
        <v>3633</v>
      </c>
      <c r="E10054" s="3" t="s">
        <v>3</v>
      </c>
      <c r="F10054" s="4">
        <v>3.17E-147</v>
      </c>
      <c r="G10054" s="3">
        <v>1143</v>
      </c>
      <c r="H10054" s="3">
        <v>62</v>
      </c>
      <c r="I10054" s="3">
        <v>356</v>
      </c>
      <c r="J10054" s="3">
        <v>270</v>
      </c>
      <c r="K10054" s="3">
        <v>1304</v>
      </c>
      <c r="L10054" s="3">
        <v>58</v>
      </c>
      <c r="M10054" s="3">
        <v>413</v>
      </c>
    </row>
    <row r="10055" spans="1:13" x14ac:dyDescent="0.25">
      <c r="A10055" s="1" t="str">
        <f>HYPERLINK("http://www.rosaceae.org/Prunus/Prunus_persica/p.persica_gdr_reftransV1_0030085","p.persica_gdr_reftransV1_0030085")</f>
        <v>p.persica_gdr_reftransV1_0030085</v>
      </c>
      <c r="B10055" s="3">
        <v>1882</v>
      </c>
      <c r="C10055" s="1" t="str">
        <f>HYPERLINK("http://www.uniprot.org/uniprot/PTR7_ARATH","PTR7_ARATH")</f>
        <v>PTR7_ARATH</v>
      </c>
      <c r="D10055" t="s">
        <v>7379</v>
      </c>
      <c r="E10055" s="3" t="s">
        <v>3</v>
      </c>
      <c r="F10055" s="4">
        <v>0</v>
      </c>
      <c r="G10055" s="3">
        <v>1667</v>
      </c>
      <c r="H10055" s="3">
        <v>67</v>
      </c>
      <c r="I10055" s="3">
        <v>566</v>
      </c>
      <c r="J10055" s="3">
        <v>1</v>
      </c>
      <c r="K10055" s="3">
        <v>1689</v>
      </c>
      <c r="L10055" s="3">
        <v>16</v>
      </c>
      <c r="M10055" s="3">
        <v>574</v>
      </c>
    </row>
    <row r="10056" spans="1:13" x14ac:dyDescent="0.25">
      <c r="A10056" s="1" t="str">
        <f>HYPERLINK("http://www.rosaceae.org/Prunus/Prunus_persica/p.persica_gdr_reftransV1_0030185","p.persica_gdr_reftransV1_0030185")</f>
        <v>p.persica_gdr_reftransV1_0030185</v>
      </c>
      <c r="B10056" s="3">
        <v>694</v>
      </c>
      <c r="C10056" s="1" t="str">
        <f>HYPERLINK("http://www.uniprot.org/uniprot/RL31_PERFR","RL31_PERFR")</f>
        <v>RL31_PERFR</v>
      </c>
      <c r="D10056" t="s">
        <v>7380</v>
      </c>
      <c r="E10056" s="3" t="s">
        <v>7381</v>
      </c>
      <c r="F10056" s="4">
        <v>1.47E-51</v>
      </c>
      <c r="G10056" s="3">
        <v>429</v>
      </c>
      <c r="H10056" s="3">
        <v>84</v>
      </c>
      <c r="I10056" s="3">
        <v>121</v>
      </c>
      <c r="J10056" s="3">
        <v>222</v>
      </c>
      <c r="K10056" s="3">
        <v>584</v>
      </c>
      <c r="L10056" s="3">
        <v>1</v>
      </c>
      <c r="M10056" s="3">
        <v>121</v>
      </c>
    </row>
    <row r="10057" spans="1:13" x14ac:dyDescent="0.25">
      <c r="A10057" s="1" t="str">
        <f>HYPERLINK("http://www.rosaceae.org/Prunus/Prunus_persica/p.persica_gdr_reftransV1_0030235","p.persica_gdr_reftransV1_0030235")</f>
        <v>p.persica_gdr_reftransV1_0030235</v>
      </c>
      <c r="B10057" s="3">
        <v>3332</v>
      </c>
      <c r="C10057" s="1" t="str">
        <f>HYPERLINK("http://www.uniprot.org/uniprot/SET10_SCHPO","SET10_SCHPO")</f>
        <v>SET10_SCHPO</v>
      </c>
      <c r="D10057" t="s">
        <v>7382</v>
      </c>
      <c r="E10057" s="3" t="s">
        <v>464</v>
      </c>
      <c r="F10057" s="4">
        <v>4.0100000000000001E-13</v>
      </c>
      <c r="G10057" s="3">
        <v>188</v>
      </c>
      <c r="H10057" s="3">
        <v>31</v>
      </c>
      <c r="I10057" s="3">
        <v>180</v>
      </c>
      <c r="J10057" s="3">
        <v>1702</v>
      </c>
      <c r="K10057" s="3">
        <v>2241</v>
      </c>
      <c r="L10057" s="3">
        <v>96</v>
      </c>
      <c r="M10057" s="3">
        <v>261</v>
      </c>
    </row>
    <row r="10058" spans="1:13" x14ac:dyDescent="0.25">
      <c r="A10058" s="1" t="str">
        <f>HYPERLINK("http://www.rosaceae.org/Prunus/Prunus_persica/p.persica_gdr_reftransV1_0030385","p.persica_gdr_reftransV1_0030385")</f>
        <v>p.persica_gdr_reftransV1_0030385</v>
      </c>
      <c r="B10058" s="3">
        <v>3664</v>
      </c>
      <c r="C10058" s="1" t="str">
        <f>HYPERLINK("http://www.uniprot.org/uniprot/NFD4_ARATH","NFD4_ARATH")</f>
        <v>NFD4_ARATH</v>
      </c>
      <c r="D10058" t="s">
        <v>404</v>
      </c>
      <c r="E10058" s="3" t="s">
        <v>3</v>
      </c>
      <c r="F10058" s="4">
        <v>1.5199999999999999E-35</v>
      </c>
      <c r="G10058" s="3">
        <v>372</v>
      </c>
      <c r="H10058" s="3">
        <v>27</v>
      </c>
      <c r="I10058" s="3">
        <v>576</v>
      </c>
      <c r="J10058" s="3">
        <v>1490</v>
      </c>
      <c r="K10058" s="3">
        <v>3193</v>
      </c>
      <c r="L10058" s="3">
        <v>30</v>
      </c>
      <c r="M10058" s="3">
        <v>565</v>
      </c>
    </row>
    <row r="10059" spans="1:13" x14ac:dyDescent="0.25">
      <c r="A10059" s="1" t="str">
        <f>HYPERLINK("http://www.rosaceae.org/Prunus/Prunus_persica/p.persica_gdr_reftransV1_0030435","p.persica_gdr_reftransV1_0030435")</f>
        <v>p.persica_gdr_reftransV1_0030435</v>
      </c>
      <c r="B10059" s="3">
        <v>1017</v>
      </c>
      <c r="C10059" s="1" t="str">
        <f>HYPERLINK("http://www.uniprot.org/uniprot/YLS9_ARATH","YLS9_ARATH")</f>
        <v>YLS9_ARATH</v>
      </c>
      <c r="D10059" t="s">
        <v>607</v>
      </c>
      <c r="E10059" s="3" t="s">
        <v>3</v>
      </c>
      <c r="F10059" s="4">
        <v>2.0000000000000001E-10</v>
      </c>
      <c r="G10059" s="3">
        <v>153</v>
      </c>
      <c r="H10059" s="3">
        <v>29</v>
      </c>
      <c r="I10059" s="3">
        <v>116</v>
      </c>
      <c r="J10059" s="3">
        <v>278</v>
      </c>
      <c r="K10059" s="3">
        <v>601</v>
      </c>
      <c r="L10059" s="3">
        <v>35</v>
      </c>
      <c r="M10059" s="3">
        <v>149</v>
      </c>
    </row>
    <row r="10060" spans="1:13" x14ac:dyDescent="0.25">
      <c r="A10060" s="1" t="str">
        <f>HYPERLINK("http://www.rosaceae.org/Prunus/Prunus_persica/p.persica_gdr_reftransV1_0030685","p.persica_gdr_reftransV1_0030685")</f>
        <v>p.persica_gdr_reftransV1_0030685</v>
      </c>
      <c r="B10060" s="3">
        <v>2215</v>
      </c>
      <c r="C10060" s="1" t="str">
        <f>HYPERLINK("http://www.uniprot.org/uniprot/PFKA5_ARATH","PFKA5_ARATH")</f>
        <v>PFKA5_ARATH</v>
      </c>
      <c r="D10060" t="s">
        <v>7383</v>
      </c>
      <c r="E10060" s="3" t="s">
        <v>3</v>
      </c>
      <c r="F10060" s="4">
        <v>0</v>
      </c>
      <c r="G10060" s="3">
        <v>2114</v>
      </c>
      <c r="H10060" s="3">
        <v>83</v>
      </c>
      <c r="I10060" s="3">
        <v>481</v>
      </c>
      <c r="J10060" s="3">
        <v>495</v>
      </c>
      <c r="K10060" s="3">
        <v>1937</v>
      </c>
      <c r="L10060" s="3">
        <v>58</v>
      </c>
      <c r="M10060" s="3">
        <v>537</v>
      </c>
    </row>
    <row r="10061" spans="1:13" x14ac:dyDescent="0.25">
      <c r="A10061" s="1" t="str">
        <f>HYPERLINK("http://www.rosaceae.org/Prunus/Prunus_persica/p.persica_gdr_reftransV1_0030885","p.persica_gdr_reftransV1_0030885")</f>
        <v>p.persica_gdr_reftransV1_0030885</v>
      </c>
      <c r="B10061" s="3">
        <v>1137</v>
      </c>
      <c r="C10061" s="1" t="str">
        <f>HYPERLINK("http://www.uniprot.org/uniprot/BGAL3_ARATH","BGAL3_ARATH")</f>
        <v>BGAL3_ARATH</v>
      </c>
      <c r="D10061" t="s">
        <v>1034</v>
      </c>
      <c r="E10061" s="3" t="s">
        <v>3</v>
      </c>
      <c r="F10061" s="4">
        <v>5.1600000000000002E-99</v>
      </c>
      <c r="G10061" s="3">
        <v>817</v>
      </c>
      <c r="H10061" s="3">
        <v>63</v>
      </c>
      <c r="I10061" s="3">
        <v>215</v>
      </c>
      <c r="J10061" s="3">
        <v>347</v>
      </c>
      <c r="K10061" s="3">
        <v>991</v>
      </c>
      <c r="L10061" s="3">
        <v>633</v>
      </c>
      <c r="M10061" s="3">
        <v>847</v>
      </c>
    </row>
    <row r="10062" spans="1:13" x14ac:dyDescent="0.25">
      <c r="A10062" s="1" t="str">
        <f>HYPERLINK("http://www.rosaceae.org/Prunus/Prunus_persica/p.persica_gdr_reftransV1_0031135","p.persica_gdr_reftransV1_0031135")</f>
        <v>p.persica_gdr_reftransV1_0031135</v>
      </c>
      <c r="B10062" s="3">
        <v>2064</v>
      </c>
      <c r="C10062" s="1" t="str">
        <f>HYPERLINK("http://www.uniprot.org/uniprot/SYNC2_ARATH","SYNC2_ARATH")</f>
        <v>SYNC2_ARATH</v>
      </c>
      <c r="D10062" t="s">
        <v>2120</v>
      </c>
      <c r="E10062" s="3" t="s">
        <v>3</v>
      </c>
      <c r="F10062" s="4">
        <v>0</v>
      </c>
      <c r="G10062" s="3">
        <v>1692</v>
      </c>
      <c r="H10062" s="3">
        <v>53</v>
      </c>
      <c r="I10062" s="3">
        <v>614</v>
      </c>
      <c r="J10062" s="3">
        <v>257</v>
      </c>
      <c r="K10062" s="3">
        <v>2062</v>
      </c>
      <c r="L10062" s="3">
        <v>27</v>
      </c>
      <c r="M10062" s="3">
        <v>637</v>
      </c>
    </row>
    <row r="10063" spans="1:13" x14ac:dyDescent="0.25">
      <c r="A10063" s="1" t="str">
        <f>HYPERLINK("http://www.rosaceae.org/Prunus/Prunus_persica/p.persica_gdr_reftransV1_0031485","p.persica_gdr_reftransV1_0031485")</f>
        <v>p.persica_gdr_reftransV1_0031485</v>
      </c>
      <c r="B10063" s="3">
        <v>2677</v>
      </c>
      <c r="C10063" s="1" t="str">
        <f>HYPERLINK("http://www.uniprot.org/uniprot/YTHD2_MOUSE","YTHD2_MOUSE")</f>
        <v>YTHD2_MOUSE</v>
      </c>
      <c r="D10063" t="s">
        <v>2788</v>
      </c>
      <c r="E10063" s="3" t="s">
        <v>157</v>
      </c>
      <c r="F10063" s="4">
        <v>8.4899999999999995E-57</v>
      </c>
      <c r="G10063" s="3">
        <v>533</v>
      </c>
      <c r="H10063" s="3">
        <v>54</v>
      </c>
      <c r="I10063" s="3">
        <v>189</v>
      </c>
      <c r="J10063" s="3">
        <v>533</v>
      </c>
      <c r="K10063" s="3">
        <v>1087</v>
      </c>
      <c r="L10063" s="3">
        <v>396</v>
      </c>
      <c r="M10063" s="3">
        <v>577</v>
      </c>
    </row>
    <row r="10064" spans="1:13" x14ac:dyDescent="0.25">
      <c r="A10064" s="1" t="str">
        <f>HYPERLINK("http://www.rosaceae.org/Prunus/Prunus_persica/p.persica_gdr_reftransV1_0031585","p.persica_gdr_reftransV1_0031585")</f>
        <v>p.persica_gdr_reftransV1_0031585</v>
      </c>
      <c r="B10064" s="3">
        <v>2465</v>
      </c>
      <c r="C10064" s="1" t="str">
        <f>HYPERLINK("http://www.uniprot.org/uniprot/BBD1_ARATH","BBD1_ARATH")</f>
        <v>BBD1_ARATH</v>
      </c>
      <c r="D10064" t="s">
        <v>7384</v>
      </c>
      <c r="E10064" s="3" t="s">
        <v>3</v>
      </c>
      <c r="F10064" s="4">
        <v>1.5E-89</v>
      </c>
      <c r="G10064" s="3">
        <v>747</v>
      </c>
      <c r="H10064" s="3">
        <v>69</v>
      </c>
      <c r="I10064" s="3">
        <v>216</v>
      </c>
      <c r="J10064" s="3">
        <v>1311</v>
      </c>
      <c r="K10064" s="3">
        <v>1955</v>
      </c>
      <c r="L10064" s="3">
        <v>1</v>
      </c>
      <c r="M10064" s="3">
        <v>210</v>
      </c>
    </row>
    <row r="10065" spans="1:13" x14ac:dyDescent="0.25">
      <c r="A10065" s="1" t="str">
        <f>HYPERLINK("http://www.rosaceae.org/Prunus/Prunus_persica/p.persica_gdr_reftransV1_0031835","p.persica_gdr_reftransV1_0031835")</f>
        <v>p.persica_gdr_reftransV1_0031835</v>
      </c>
      <c r="B10065" s="3">
        <v>2466</v>
      </c>
      <c r="C10065" s="1" t="str">
        <f>HYPERLINK("http://www.uniprot.org/uniprot/DEK_RAT","DEK_RAT")</f>
        <v>DEK_RAT</v>
      </c>
      <c r="D10065" t="s">
        <v>6411</v>
      </c>
      <c r="E10065" s="3" t="s">
        <v>161</v>
      </c>
      <c r="F10065" s="4">
        <v>1.4899999999999999E-8</v>
      </c>
      <c r="G10065" s="3">
        <v>147</v>
      </c>
      <c r="H10065" s="3">
        <v>35</v>
      </c>
      <c r="I10065" s="3">
        <v>139</v>
      </c>
      <c r="J10065" s="3">
        <v>742</v>
      </c>
      <c r="K10065" s="3">
        <v>1149</v>
      </c>
      <c r="L10065" s="3">
        <v>60</v>
      </c>
      <c r="M10065" s="3">
        <v>188</v>
      </c>
    </row>
    <row r="10066" spans="1:13" x14ac:dyDescent="0.25">
      <c r="A10066" s="1" t="str">
        <f>HYPERLINK("http://www.rosaceae.org/Prunus/Prunus_persica/p.persica_gdr_reftransV1_0031935","p.persica_gdr_reftransV1_0031935")</f>
        <v>p.persica_gdr_reftransV1_0031935</v>
      </c>
      <c r="B10066" s="3">
        <v>857</v>
      </c>
      <c r="C10066" s="1" t="str">
        <f>HYPERLINK("http://www.uniprot.org/uniprot/BZP43_ARATH","BZP43_ARATH")</f>
        <v>BZP43_ARATH</v>
      </c>
      <c r="D10066" t="s">
        <v>5198</v>
      </c>
      <c r="E10066" s="3" t="s">
        <v>3</v>
      </c>
      <c r="F10066" s="4">
        <v>4.7000000000000003E-37</v>
      </c>
      <c r="G10066" s="3">
        <v>339</v>
      </c>
      <c r="H10066" s="3">
        <v>64</v>
      </c>
      <c r="I10066" s="3">
        <v>107</v>
      </c>
      <c r="J10066" s="3">
        <v>252</v>
      </c>
      <c r="K10066" s="3">
        <v>566</v>
      </c>
      <c r="L10066" s="3">
        <v>59</v>
      </c>
      <c r="M10066" s="3">
        <v>164</v>
      </c>
    </row>
    <row r="10067" spans="1:13" x14ac:dyDescent="0.25">
      <c r="A10067" s="1" t="str">
        <f>HYPERLINK("http://www.rosaceae.org/Prunus/Prunus_persica/p.persica_gdr_reftransV1_0032185","p.persica_gdr_reftransV1_0032185")</f>
        <v>p.persica_gdr_reftransV1_0032185</v>
      </c>
      <c r="B10067" s="3">
        <v>868</v>
      </c>
      <c r="C10067" s="1" t="str">
        <f>HYPERLINK("http://www.uniprot.org/uniprot/TRXF1_ARATH","TRXF1_ARATH")</f>
        <v>TRXF1_ARATH</v>
      </c>
      <c r="D10067" t="s">
        <v>7385</v>
      </c>
      <c r="E10067" s="3" t="s">
        <v>3</v>
      </c>
      <c r="F10067" s="4">
        <v>6.1100000000000001E-68</v>
      </c>
      <c r="G10067" s="3">
        <v>548</v>
      </c>
      <c r="H10067" s="3">
        <v>71</v>
      </c>
      <c r="I10067" s="3">
        <v>154</v>
      </c>
      <c r="J10067" s="3">
        <v>259</v>
      </c>
      <c r="K10067" s="3">
        <v>696</v>
      </c>
      <c r="L10067" s="3">
        <v>24</v>
      </c>
      <c r="M10067" s="3">
        <v>175</v>
      </c>
    </row>
    <row r="10068" spans="1:13" x14ac:dyDescent="0.25">
      <c r="A10068" s="1" t="str">
        <f>HYPERLINK("http://www.rosaceae.org/Prunus/Prunus_persica/p.persica_gdr_reftransV1_0032285","p.persica_gdr_reftransV1_0032285")</f>
        <v>p.persica_gdr_reftransV1_0032285</v>
      </c>
      <c r="B10068" s="3">
        <v>2502</v>
      </c>
      <c r="C10068" s="1" t="str">
        <f>HYPERLINK("http://www.uniprot.org/uniprot/MICU1_CAEEL","MICU1_CAEEL")</f>
        <v>MICU1_CAEEL</v>
      </c>
      <c r="D10068" t="s">
        <v>7386</v>
      </c>
      <c r="E10068" s="3" t="s">
        <v>281</v>
      </c>
      <c r="F10068" s="4">
        <v>1.3199999999999999E-18</v>
      </c>
      <c r="G10068" s="3">
        <v>164</v>
      </c>
      <c r="H10068" s="3">
        <v>32</v>
      </c>
      <c r="I10068" s="3">
        <v>133</v>
      </c>
      <c r="J10068" s="3">
        <v>437</v>
      </c>
      <c r="K10068" s="3">
        <v>811</v>
      </c>
      <c r="L10068" s="3">
        <v>159</v>
      </c>
      <c r="M10068" s="3">
        <v>289</v>
      </c>
    </row>
    <row r="10069" spans="1:13" x14ac:dyDescent="0.25">
      <c r="A10069" s="1" t="str">
        <f>HYPERLINK("http://www.rosaceae.org/Prunus/Prunus_persica/p.persica_gdr_reftransV1_0032385","p.persica_gdr_reftransV1_0032385")</f>
        <v>p.persica_gdr_reftransV1_0032385</v>
      </c>
      <c r="B10069" s="3">
        <v>3205</v>
      </c>
      <c r="C10069" s="1" t="str">
        <f>HYPERLINK("http://www.uniprot.org/uniprot/Y4OU_RHISN","Y4OU_RHISN")</f>
        <v>Y4OU_RHISN</v>
      </c>
      <c r="D10069" t="s">
        <v>7387</v>
      </c>
      <c r="E10069" s="3" t="s">
        <v>7388</v>
      </c>
      <c r="F10069" s="4">
        <v>1.68E-87</v>
      </c>
      <c r="G10069" s="3">
        <v>751</v>
      </c>
      <c r="H10069" s="3">
        <v>42</v>
      </c>
      <c r="I10069" s="3">
        <v>401</v>
      </c>
      <c r="J10069" s="3">
        <v>1650</v>
      </c>
      <c r="K10069" s="3">
        <v>2852</v>
      </c>
      <c r="L10069" s="3">
        <v>4</v>
      </c>
      <c r="M10069" s="3">
        <v>380</v>
      </c>
    </row>
    <row r="10070" spans="1:13" x14ac:dyDescent="0.25">
      <c r="A10070" s="1" t="str">
        <f>HYPERLINK("http://www.rosaceae.org/Prunus/Prunus_persica/p.persica_gdr_reftransV1_0032585","p.persica_gdr_reftransV1_0032585")</f>
        <v>p.persica_gdr_reftransV1_0032585</v>
      </c>
      <c r="B10070" s="3">
        <v>1354</v>
      </c>
      <c r="C10070" s="1" t="str">
        <f>HYPERLINK("http://www.uniprot.org/uniprot/ATXR6_ARATH","ATXR6_ARATH")</f>
        <v>ATXR6_ARATH</v>
      </c>
      <c r="D10070" t="s">
        <v>7389</v>
      </c>
      <c r="E10070" s="3" t="s">
        <v>3</v>
      </c>
      <c r="F10070" s="4">
        <v>4.6099999999999997E-156</v>
      </c>
      <c r="G10070" s="3">
        <v>1165</v>
      </c>
      <c r="H10070" s="3">
        <v>70</v>
      </c>
      <c r="I10070" s="3">
        <v>353</v>
      </c>
      <c r="J10070" s="3">
        <v>33</v>
      </c>
      <c r="K10070" s="3">
        <v>1085</v>
      </c>
      <c r="L10070" s="3">
        <v>2</v>
      </c>
      <c r="M10070" s="3">
        <v>349</v>
      </c>
    </row>
    <row r="10071" spans="1:13" x14ac:dyDescent="0.25">
      <c r="A10071" s="1" t="str">
        <f>HYPERLINK("http://www.rosaceae.org/Prunus/Prunus_persica/p.persica_gdr_reftransV1_0033185","p.persica_gdr_reftransV1_0033185")</f>
        <v>p.persica_gdr_reftransV1_0033185</v>
      </c>
      <c r="B10071" s="3">
        <v>6192</v>
      </c>
      <c r="C10071" s="1" t="str">
        <f>HYPERLINK("http://www.uniprot.org/uniprot/COX1_RAPSA","COX1_RAPSA")</f>
        <v>COX1_RAPSA</v>
      </c>
      <c r="D10071" t="s">
        <v>7390</v>
      </c>
      <c r="E10071" s="3" t="s">
        <v>6259</v>
      </c>
      <c r="F10071" s="4">
        <v>0</v>
      </c>
      <c r="G10071" s="3">
        <v>1686</v>
      </c>
      <c r="H10071" s="3">
        <v>99</v>
      </c>
      <c r="I10071" s="3">
        <v>365</v>
      </c>
      <c r="J10071" s="3">
        <v>2166</v>
      </c>
      <c r="K10071" s="3">
        <v>3260</v>
      </c>
      <c r="L10071" s="3">
        <v>4</v>
      </c>
      <c r="M10071" s="3">
        <v>368</v>
      </c>
    </row>
    <row r="10072" spans="1:13" x14ac:dyDescent="0.25">
      <c r="A10072" s="1" t="str">
        <f>HYPERLINK("http://www.rosaceae.org/Prunus/Prunus_persica/p.persica_gdr_reftransV1_0033235","p.persica_gdr_reftransV1_0033235")</f>
        <v>p.persica_gdr_reftransV1_0033235</v>
      </c>
      <c r="B10072" s="3">
        <v>1117</v>
      </c>
      <c r="C10072" s="1" t="str">
        <f>HYPERLINK("http://www.uniprot.org/uniprot/RAH1B_ARATH","RAH1B_ARATH")</f>
        <v>RAH1B_ARATH</v>
      </c>
      <c r="D10072" t="s">
        <v>7391</v>
      </c>
      <c r="E10072" s="3" t="s">
        <v>3</v>
      </c>
      <c r="F10072" s="4">
        <v>1.6400000000000001E-130</v>
      </c>
      <c r="G10072" s="3">
        <v>974</v>
      </c>
      <c r="H10072" s="3">
        <v>95</v>
      </c>
      <c r="I10072" s="3">
        <v>192</v>
      </c>
      <c r="J10072" s="3">
        <v>199</v>
      </c>
      <c r="K10072" s="3">
        <v>774</v>
      </c>
      <c r="L10072" s="3">
        <v>1</v>
      </c>
      <c r="M10072" s="3">
        <v>192</v>
      </c>
    </row>
    <row r="10073" spans="1:13" x14ac:dyDescent="0.25">
      <c r="A10073" s="1" t="str">
        <f>HYPERLINK("http://www.rosaceae.org/Prunus/Prunus_persica/p.persica_gdr_reftransV1_0033485","p.persica_gdr_reftransV1_0033485")</f>
        <v>p.persica_gdr_reftransV1_0033485</v>
      </c>
      <c r="B10073" s="3">
        <v>3498</v>
      </c>
      <c r="C10073" s="1" t="str">
        <f>HYPERLINK("http://www.uniprot.org/uniprot/MCFB_DICDI","MCFB_DICDI")</f>
        <v>MCFB_DICDI</v>
      </c>
      <c r="D10073" t="s">
        <v>7392</v>
      </c>
      <c r="E10073" s="3" t="s">
        <v>9</v>
      </c>
      <c r="F10073" s="4">
        <v>4.7099999999999997E-38</v>
      </c>
      <c r="G10073" s="3">
        <v>387</v>
      </c>
      <c r="H10073" s="3">
        <v>42</v>
      </c>
      <c r="I10073" s="3">
        <v>219</v>
      </c>
      <c r="J10073" s="3">
        <v>2272</v>
      </c>
      <c r="K10073" s="3">
        <v>2916</v>
      </c>
      <c r="L10073" s="3">
        <v>142</v>
      </c>
      <c r="M10073" s="3">
        <v>351</v>
      </c>
    </row>
    <row r="10074" spans="1:13" x14ac:dyDescent="0.25">
      <c r="A10074" s="1" t="str">
        <f>HYPERLINK("http://www.rosaceae.org/Prunus/Prunus_persica/p.persica_gdr_reftransV1_0033885","p.persica_gdr_reftransV1_0033885")</f>
        <v>p.persica_gdr_reftransV1_0033885</v>
      </c>
      <c r="B10074" s="3">
        <v>1459</v>
      </c>
      <c r="C10074" s="1" t="str">
        <f>HYPERLINK("http://www.uniprot.org/uniprot/PTL_ARATH","PTL_ARATH")</f>
        <v>PTL_ARATH</v>
      </c>
      <c r="D10074" t="s">
        <v>2304</v>
      </c>
      <c r="E10074" s="3" t="s">
        <v>3</v>
      </c>
      <c r="F10074" s="4">
        <v>3.3600000000000002E-69</v>
      </c>
      <c r="G10074" s="3">
        <v>606</v>
      </c>
      <c r="H10074" s="3">
        <v>57</v>
      </c>
      <c r="I10074" s="3">
        <v>272</v>
      </c>
      <c r="J10074" s="3">
        <v>519</v>
      </c>
      <c r="K10074" s="3">
        <v>1334</v>
      </c>
      <c r="L10074" s="3">
        <v>119</v>
      </c>
      <c r="M10074" s="3">
        <v>372</v>
      </c>
    </row>
    <row r="10075" spans="1:13" x14ac:dyDescent="0.25">
      <c r="A10075" s="1" t="str">
        <f>HYPERLINK("http://www.rosaceae.org/Prunus/Prunus_persica/p.persica_gdr_reftransV1_0033935","p.persica_gdr_reftransV1_0033935")</f>
        <v>p.persica_gdr_reftransV1_0033935</v>
      </c>
      <c r="B10075" s="3">
        <v>1831</v>
      </c>
      <c r="C10075" s="1" t="str">
        <f>HYPERLINK("http://www.uniprot.org/uniprot/TRIP4_MOUSE","TRIP4_MOUSE")</f>
        <v>TRIP4_MOUSE</v>
      </c>
      <c r="D10075" t="s">
        <v>7393</v>
      </c>
      <c r="E10075" s="3" t="s">
        <v>157</v>
      </c>
      <c r="F10075" s="4">
        <v>4.5100000000000005E-19</v>
      </c>
      <c r="G10075" s="3">
        <v>234</v>
      </c>
      <c r="H10075" s="3">
        <v>34</v>
      </c>
      <c r="I10075" s="3">
        <v>167</v>
      </c>
      <c r="J10075" s="3">
        <v>930</v>
      </c>
      <c r="K10075" s="3">
        <v>1328</v>
      </c>
      <c r="L10075" s="3">
        <v>134</v>
      </c>
      <c r="M10075" s="3">
        <v>300</v>
      </c>
    </row>
    <row r="10076" spans="1:13" x14ac:dyDescent="0.25">
      <c r="A10076" s="1" t="str">
        <f>HYPERLINK("http://www.rosaceae.org/Prunus/Prunus_persica/p.persica_gdr_reftransV1_0034235","p.persica_gdr_reftransV1_0034235")</f>
        <v>p.persica_gdr_reftransV1_0034235</v>
      </c>
      <c r="B10076" s="3">
        <v>2206</v>
      </c>
      <c r="C10076" s="1" t="str">
        <f>HYPERLINK("http://www.uniprot.org/uniprot/AAPC_CENCI","AAPC_CENCI")</f>
        <v>AAPC_CENCI</v>
      </c>
      <c r="D10076" t="s">
        <v>2585</v>
      </c>
      <c r="E10076" s="3" t="s">
        <v>2586</v>
      </c>
      <c r="F10076" s="4">
        <v>5.3499999999999999E-83</v>
      </c>
      <c r="G10076" s="3">
        <v>698</v>
      </c>
      <c r="H10076" s="3">
        <v>74</v>
      </c>
      <c r="I10076" s="3">
        <v>169</v>
      </c>
      <c r="J10076" s="3">
        <v>1576</v>
      </c>
      <c r="K10076" s="3">
        <v>2082</v>
      </c>
      <c r="L10076" s="3">
        <v>23</v>
      </c>
      <c r="M10076" s="3">
        <v>191</v>
      </c>
    </row>
    <row r="10077" spans="1:13" x14ac:dyDescent="0.25">
      <c r="A10077" s="1" t="str">
        <f>HYPERLINK("http://www.rosaceae.org/Prunus/Prunus_persica/p.persica_gdr_reftransV1_0034635","p.persica_gdr_reftransV1_0034635")</f>
        <v>p.persica_gdr_reftransV1_0034635</v>
      </c>
      <c r="B10077" s="3">
        <v>3645</v>
      </c>
      <c r="C10077" s="1" t="str">
        <f>HYPERLINK("http://www.uniprot.org/uniprot/TBCB_ARATH","TBCB_ARATH")</f>
        <v>TBCB_ARATH</v>
      </c>
      <c r="D10077" t="s">
        <v>3816</v>
      </c>
      <c r="E10077" s="3" t="s">
        <v>3</v>
      </c>
      <c r="F10077" s="4">
        <v>2.36E-120</v>
      </c>
      <c r="G10077" s="3">
        <v>972</v>
      </c>
      <c r="H10077" s="3">
        <v>72</v>
      </c>
      <c r="I10077" s="3">
        <v>243</v>
      </c>
      <c r="J10077" s="3">
        <v>2742</v>
      </c>
      <c r="K10077" s="3">
        <v>3470</v>
      </c>
      <c r="L10077" s="3">
        <v>1</v>
      </c>
      <c r="M10077" s="3">
        <v>243</v>
      </c>
    </row>
    <row r="10078" spans="1:13" x14ac:dyDescent="0.25">
      <c r="A10078" s="1" t="str">
        <f>HYPERLINK("http://www.rosaceae.org/Prunus/Prunus_persica/p.persica_gdr_reftransV1_0034885","p.persica_gdr_reftransV1_0034885")</f>
        <v>p.persica_gdr_reftransV1_0034885</v>
      </c>
      <c r="B10078" s="3">
        <v>1317</v>
      </c>
      <c r="C10078" s="1" t="str">
        <f>HYPERLINK("http://www.uniprot.org/uniprot/MTP8_ORYSJ","MTP8_ORYSJ")</f>
        <v>MTP8_ORYSJ</v>
      </c>
      <c r="D10078" t="s">
        <v>7394</v>
      </c>
      <c r="E10078" s="3" t="s">
        <v>38</v>
      </c>
      <c r="F10078" s="4">
        <v>4.69E-61</v>
      </c>
      <c r="G10078" s="3">
        <v>527</v>
      </c>
      <c r="H10078" s="3">
        <v>64</v>
      </c>
      <c r="I10078" s="3">
        <v>159</v>
      </c>
      <c r="J10078" s="3">
        <v>568</v>
      </c>
      <c r="K10078" s="3">
        <v>1044</v>
      </c>
      <c r="L10078" s="3">
        <v>157</v>
      </c>
      <c r="M10078" s="3">
        <v>314</v>
      </c>
    </row>
    <row r="10079" spans="1:13" x14ac:dyDescent="0.25">
      <c r="A10079" s="1" t="str">
        <f>HYPERLINK("http://www.rosaceae.org/Prunus/Prunus_persica/p.persica_gdr_reftransV1_0034985","p.persica_gdr_reftransV1_0034985")</f>
        <v>p.persica_gdr_reftransV1_0034985</v>
      </c>
      <c r="B10079" s="3">
        <v>1767</v>
      </c>
      <c r="C10079" s="1" t="str">
        <f>HYPERLINK("http://www.uniprot.org/uniprot/HCS1_ARATH","HCS1_ARATH")</f>
        <v>HCS1_ARATH</v>
      </c>
      <c r="D10079" t="s">
        <v>7395</v>
      </c>
      <c r="E10079" s="3" t="s">
        <v>3</v>
      </c>
      <c r="F10079" s="4">
        <v>5.9799999999999998E-108</v>
      </c>
      <c r="G10079" s="3">
        <v>860</v>
      </c>
      <c r="H10079" s="3">
        <v>67</v>
      </c>
      <c r="I10079" s="3">
        <v>234</v>
      </c>
      <c r="J10079" s="3">
        <v>893</v>
      </c>
      <c r="K10079" s="3">
        <v>1588</v>
      </c>
      <c r="L10079" s="3">
        <v>7</v>
      </c>
      <c r="M10079" s="3">
        <v>240</v>
      </c>
    </row>
    <row r="10080" spans="1:13" x14ac:dyDescent="0.25">
      <c r="A10080" s="1" t="str">
        <f>HYPERLINK("http://www.rosaceae.org/Prunus/Prunus_persica/p.persica_gdr_reftransV1_0035435","p.persica_gdr_reftransV1_0035435")</f>
        <v>p.persica_gdr_reftransV1_0035435</v>
      </c>
      <c r="B10080" s="3">
        <v>2681</v>
      </c>
      <c r="C10080" s="1" t="str">
        <f>HYPERLINK("http://www.uniprot.org/uniprot/PUB13_ARATH","PUB13_ARATH")</f>
        <v>PUB13_ARATH</v>
      </c>
      <c r="D10080" t="s">
        <v>7396</v>
      </c>
      <c r="E10080" s="3" t="s">
        <v>3</v>
      </c>
      <c r="F10080" s="4">
        <v>1.03E-122</v>
      </c>
      <c r="G10080" s="3">
        <v>1009</v>
      </c>
      <c r="H10080" s="3">
        <v>40</v>
      </c>
      <c r="I10080" s="3">
        <v>647</v>
      </c>
      <c r="J10080" s="3">
        <v>396</v>
      </c>
      <c r="K10080" s="3">
        <v>2327</v>
      </c>
      <c r="L10080" s="3">
        <v>6</v>
      </c>
      <c r="M10080" s="3">
        <v>614</v>
      </c>
    </row>
    <row r="10081" spans="1:13" x14ac:dyDescent="0.25">
      <c r="A10081" s="1" t="str">
        <f>HYPERLINK("http://www.rosaceae.org/Prunus/Prunus_persica/p.persica_gdr_reftransV1_0035735","p.persica_gdr_reftransV1_0035735")</f>
        <v>p.persica_gdr_reftransV1_0035735</v>
      </c>
      <c r="B10081" s="3">
        <v>2118</v>
      </c>
      <c r="C10081" s="1" t="str">
        <f>HYPERLINK("http://www.uniprot.org/uniprot/PP405_ARATH","PP405_ARATH")</f>
        <v>PP405_ARATH</v>
      </c>
      <c r="D10081" t="s">
        <v>3427</v>
      </c>
      <c r="E10081" s="3" t="s">
        <v>3</v>
      </c>
      <c r="F10081" s="4">
        <v>0</v>
      </c>
      <c r="G10081" s="3">
        <v>1757</v>
      </c>
      <c r="H10081" s="3">
        <v>59</v>
      </c>
      <c r="I10081" s="3">
        <v>544</v>
      </c>
      <c r="J10081" s="3">
        <v>1</v>
      </c>
      <c r="K10081" s="3">
        <v>1626</v>
      </c>
      <c r="L10081" s="3">
        <v>135</v>
      </c>
      <c r="M10081" s="3">
        <v>674</v>
      </c>
    </row>
    <row r="10082" spans="1:13" x14ac:dyDescent="0.25">
      <c r="A10082" s="1" t="str">
        <f>HYPERLINK("http://www.rosaceae.org/Prunus/Prunus_persica/p.persica_gdr_reftransV1_0036085","p.persica_gdr_reftransV1_0036085")</f>
        <v>p.persica_gdr_reftransV1_0036085</v>
      </c>
      <c r="B10082" s="3">
        <v>2593</v>
      </c>
      <c r="C10082" s="1" t="str">
        <f>HYPERLINK("http://www.uniprot.org/uniprot/SCP18_ARATH","SCP18_ARATH")</f>
        <v>SCP18_ARATH</v>
      </c>
      <c r="D10082" t="s">
        <v>2438</v>
      </c>
      <c r="E10082" s="3" t="s">
        <v>3</v>
      </c>
      <c r="F10082" s="4">
        <v>3.2899999999999998E-66</v>
      </c>
      <c r="G10082" s="3">
        <v>596</v>
      </c>
      <c r="H10082" s="3">
        <v>39</v>
      </c>
      <c r="I10082" s="3">
        <v>339</v>
      </c>
      <c r="J10082" s="3">
        <v>1000</v>
      </c>
      <c r="K10082" s="3">
        <v>1959</v>
      </c>
      <c r="L10082" s="3">
        <v>95</v>
      </c>
      <c r="M10082" s="3">
        <v>392</v>
      </c>
    </row>
    <row r="10083" spans="1:13" x14ac:dyDescent="0.25">
      <c r="A10083" s="1" t="str">
        <f>HYPERLINK("http://www.rosaceae.org/Prunus/Prunus_persica/p.persica_gdr_reftransV1_0036135","p.persica_gdr_reftransV1_0036135")</f>
        <v>p.persica_gdr_reftransV1_0036135</v>
      </c>
      <c r="B10083" s="3">
        <v>2569</v>
      </c>
      <c r="C10083" s="1" t="str">
        <f>HYPERLINK("http://www.uniprot.org/uniprot/ASPR_CUCPE","ASPR_CUCPE")</f>
        <v>ASPR_CUCPE</v>
      </c>
      <c r="D10083" t="s">
        <v>4061</v>
      </c>
      <c r="E10083" s="3" t="s">
        <v>2469</v>
      </c>
      <c r="F10083" s="4">
        <v>0</v>
      </c>
      <c r="G10083" s="3">
        <v>1716</v>
      </c>
      <c r="H10083" s="3">
        <v>76</v>
      </c>
      <c r="I10083" s="3">
        <v>442</v>
      </c>
      <c r="J10083" s="3">
        <v>171</v>
      </c>
      <c r="K10083" s="3">
        <v>1484</v>
      </c>
      <c r="L10083" s="3">
        <v>25</v>
      </c>
      <c r="M10083" s="3">
        <v>465</v>
      </c>
    </row>
    <row r="10084" spans="1:13" x14ac:dyDescent="0.25">
      <c r="A10084" s="1" t="str">
        <f>HYPERLINK("http://www.rosaceae.org/Prunus/Prunus_persica/p.persica_gdr_reftransV1_0036285","p.persica_gdr_reftransV1_0036285")</f>
        <v>p.persica_gdr_reftransV1_0036285</v>
      </c>
      <c r="B10084" s="3">
        <v>2261</v>
      </c>
      <c r="C10084" s="1" t="str">
        <f>HYPERLINK("http://www.uniprot.org/uniprot/ABIL3_ARATH","ABIL3_ARATH")</f>
        <v>ABIL3_ARATH</v>
      </c>
      <c r="D10084" t="s">
        <v>7397</v>
      </c>
      <c r="E10084" s="3" t="s">
        <v>3</v>
      </c>
      <c r="F10084" s="4">
        <v>1.05E-93</v>
      </c>
      <c r="G10084" s="3">
        <v>657</v>
      </c>
      <c r="H10084" s="3">
        <v>78</v>
      </c>
      <c r="I10084" s="3">
        <v>174</v>
      </c>
      <c r="J10084" s="3">
        <v>733</v>
      </c>
      <c r="K10084" s="3">
        <v>1254</v>
      </c>
      <c r="L10084" s="3">
        <v>2</v>
      </c>
      <c r="M10084" s="3">
        <v>175</v>
      </c>
    </row>
    <row r="10085" spans="1:13" x14ac:dyDescent="0.25">
      <c r="A10085" s="1" t="str">
        <f>HYPERLINK("http://www.rosaceae.org/Prunus/Prunus_persica/p.persica_gdr_reftransV1_0036335","p.persica_gdr_reftransV1_0036335")</f>
        <v>p.persica_gdr_reftransV1_0036335</v>
      </c>
      <c r="B10085" s="3">
        <v>1280</v>
      </c>
      <c r="C10085" s="1" t="str">
        <f>HYPERLINK("http://www.uniprot.org/uniprot/SALR_PAPBR","SALR_PAPBR")</f>
        <v>SALR_PAPBR</v>
      </c>
      <c r="D10085" t="s">
        <v>7398</v>
      </c>
      <c r="E10085" s="3" t="s">
        <v>7399</v>
      </c>
      <c r="F10085" s="4">
        <v>1.02E-90</v>
      </c>
      <c r="G10085" s="3">
        <v>725</v>
      </c>
      <c r="H10085" s="3">
        <v>46</v>
      </c>
      <c r="I10085" s="3">
        <v>344</v>
      </c>
      <c r="J10085" s="3">
        <v>115</v>
      </c>
      <c r="K10085" s="3">
        <v>1143</v>
      </c>
      <c r="L10085" s="3">
        <v>13</v>
      </c>
      <c r="M10085" s="3">
        <v>311</v>
      </c>
    </row>
    <row r="10086" spans="1:13" x14ac:dyDescent="0.25">
      <c r="A10086" s="1" t="str">
        <f>HYPERLINK("http://www.rosaceae.org/Prunus/Prunus_persica/p.persica_gdr_reftransV1_0036435","p.persica_gdr_reftransV1_0036435")</f>
        <v>p.persica_gdr_reftransV1_0036435</v>
      </c>
      <c r="B10086" s="3">
        <v>3472</v>
      </c>
      <c r="C10086" s="1" t="str">
        <f>HYPERLINK("http://www.uniprot.org/uniprot/LTRA_LACLM","LTRA_LACLM")</f>
        <v>LTRA_LACLM</v>
      </c>
      <c r="D10086" t="s">
        <v>6165</v>
      </c>
      <c r="E10086" s="3" t="s">
        <v>6166</v>
      </c>
      <c r="F10086" s="4">
        <v>2.3699999999999999E-21</v>
      </c>
      <c r="G10086" s="3">
        <v>257</v>
      </c>
      <c r="H10086" s="3">
        <v>26</v>
      </c>
      <c r="I10086" s="3">
        <v>361</v>
      </c>
      <c r="J10086" s="3">
        <v>1155</v>
      </c>
      <c r="K10086" s="3">
        <v>2144</v>
      </c>
      <c r="L10086" s="3">
        <v>26</v>
      </c>
      <c r="M10086" s="3">
        <v>379</v>
      </c>
    </row>
    <row r="10087" spans="1:13" x14ac:dyDescent="0.25">
      <c r="A10087" s="1" t="str">
        <f>HYPERLINK("http://www.rosaceae.org/Prunus/Prunus_persica/p.persica_gdr_reftransV1_0036685","p.persica_gdr_reftransV1_0036685")</f>
        <v>p.persica_gdr_reftransV1_0036685</v>
      </c>
      <c r="B10087" s="3">
        <v>2566</v>
      </c>
      <c r="C10087" s="1" t="str">
        <f>HYPERLINK("http://www.uniprot.org/uniprot/Y4990_ARATH","Y4990_ARATH")</f>
        <v>Y4990_ARATH</v>
      </c>
      <c r="D10087" t="s">
        <v>5415</v>
      </c>
      <c r="E10087" s="3" t="s">
        <v>3</v>
      </c>
      <c r="F10087" s="4">
        <v>0</v>
      </c>
      <c r="G10087" s="3">
        <v>1795</v>
      </c>
      <c r="H10087" s="3">
        <v>59</v>
      </c>
      <c r="I10087" s="3">
        <v>567</v>
      </c>
      <c r="J10087" s="3">
        <v>437</v>
      </c>
      <c r="K10087" s="3">
        <v>2131</v>
      </c>
      <c r="L10087" s="3">
        <v>125</v>
      </c>
      <c r="M10087" s="3">
        <v>644</v>
      </c>
    </row>
    <row r="10088" spans="1:13" x14ac:dyDescent="0.25">
      <c r="A10088" s="1" t="str">
        <f>HYPERLINK("http://www.rosaceae.org/Prunus/Prunus_persica/p.persica_gdr_reftransV1_0036835","p.persica_gdr_reftransV1_0036835")</f>
        <v>p.persica_gdr_reftransV1_0036835</v>
      </c>
      <c r="B10088" s="3">
        <v>3406</v>
      </c>
      <c r="C10088" s="1" t="str">
        <f>HYPERLINK("http://www.uniprot.org/uniprot/Y3903_ARATH","Y3903_ARATH")</f>
        <v>Y3903_ARATH</v>
      </c>
      <c r="D10088" t="s">
        <v>1543</v>
      </c>
      <c r="E10088" s="3" t="s">
        <v>3</v>
      </c>
      <c r="F10088" s="4">
        <v>4.2899999999999996E-171</v>
      </c>
      <c r="G10088" s="3">
        <v>1336</v>
      </c>
      <c r="H10088" s="3">
        <v>61</v>
      </c>
      <c r="I10088" s="3">
        <v>440</v>
      </c>
      <c r="J10088" s="3">
        <v>1966</v>
      </c>
      <c r="K10088" s="3">
        <v>3279</v>
      </c>
      <c r="L10088" s="3">
        <v>9</v>
      </c>
      <c r="M10088" s="3">
        <v>436</v>
      </c>
    </row>
    <row r="10089" spans="1:13" x14ac:dyDescent="0.25">
      <c r="A10089" s="1" t="str">
        <f>HYPERLINK("http://www.rosaceae.org/Prunus/Prunus_persica/p.persica_gdr_reftransV1_0037085","p.persica_gdr_reftransV1_0037085")</f>
        <v>p.persica_gdr_reftransV1_0037085</v>
      </c>
      <c r="B10089" s="3">
        <v>1895</v>
      </c>
      <c r="C10089" s="1" t="str">
        <f>HYPERLINK("http://www.uniprot.org/uniprot/CYP95_ARATH","CYP95_ARATH")</f>
        <v>CYP95_ARATH</v>
      </c>
      <c r="D10089" t="s">
        <v>7400</v>
      </c>
      <c r="E10089" s="3" t="s">
        <v>3</v>
      </c>
      <c r="F10089" s="4">
        <v>3.1199999999999999E-36</v>
      </c>
      <c r="G10089" s="3">
        <v>375</v>
      </c>
      <c r="H10089" s="3">
        <v>65</v>
      </c>
      <c r="I10089" s="3">
        <v>102</v>
      </c>
      <c r="J10089" s="3">
        <v>500</v>
      </c>
      <c r="K10089" s="3">
        <v>805</v>
      </c>
      <c r="L10089" s="3">
        <v>74</v>
      </c>
      <c r="M10089" s="3">
        <v>175</v>
      </c>
    </row>
    <row r="10090" spans="1:13" x14ac:dyDescent="0.25">
      <c r="A10090" s="1" t="str">
        <f>HYPERLINK("http://www.rosaceae.org/Prunus/Prunus_persica/p.persica_gdr_reftransV1_0037385","p.persica_gdr_reftransV1_0037385")</f>
        <v>p.persica_gdr_reftransV1_0037385</v>
      </c>
      <c r="B10090" s="3">
        <v>2211</v>
      </c>
      <c r="C10090" s="1" t="str">
        <f>HYPERLINK("http://www.uniprot.org/uniprot/NRX2_ORYSJ","NRX2_ORYSJ")</f>
        <v>NRX2_ORYSJ</v>
      </c>
      <c r="D10090" t="s">
        <v>7401</v>
      </c>
      <c r="E10090" s="3" t="s">
        <v>38</v>
      </c>
      <c r="F10090" s="4">
        <v>1.69E-121</v>
      </c>
      <c r="G10090" s="3">
        <v>965</v>
      </c>
      <c r="H10090" s="3">
        <v>50</v>
      </c>
      <c r="I10090" s="3">
        <v>366</v>
      </c>
      <c r="J10090" s="3">
        <v>867</v>
      </c>
      <c r="K10090" s="3">
        <v>1961</v>
      </c>
      <c r="L10090" s="3">
        <v>33</v>
      </c>
      <c r="M10090" s="3">
        <v>385</v>
      </c>
    </row>
    <row r="10091" spans="1:13" x14ac:dyDescent="0.25">
      <c r="A10091" s="1" t="str">
        <f>HYPERLINK("http://www.rosaceae.org/Prunus/Prunus_persica/p.persica_gdr_reftransV1_0037735","p.persica_gdr_reftransV1_0037735")</f>
        <v>p.persica_gdr_reftransV1_0037735</v>
      </c>
      <c r="B10091" s="3">
        <v>3274</v>
      </c>
      <c r="C10091" s="1" t="str">
        <f>HYPERLINK("http://www.uniprot.org/uniprot/POLIB_ARATH","POLIB_ARATH")</f>
        <v>POLIB_ARATH</v>
      </c>
      <c r="D10091" t="s">
        <v>7402</v>
      </c>
      <c r="E10091" s="3" t="s">
        <v>3</v>
      </c>
      <c r="F10091" s="4">
        <v>0</v>
      </c>
      <c r="G10091" s="3">
        <v>1954</v>
      </c>
      <c r="H10091" s="3">
        <v>68</v>
      </c>
      <c r="I10091" s="3">
        <v>556</v>
      </c>
      <c r="J10091" s="3">
        <v>1251</v>
      </c>
      <c r="K10091" s="3">
        <v>2894</v>
      </c>
      <c r="L10091" s="3">
        <v>233</v>
      </c>
      <c r="M10091" s="3">
        <v>787</v>
      </c>
    </row>
    <row r="10092" spans="1:13" x14ac:dyDescent="0.25">
      <c r="A10092" s="1" t="str">
        <f>HYPERLINK("http://www.rosaceae.org/Prunus/Prunus_persica/p.persica_gdr_reftransV1_0037935","p.persica_gdr_reftransV1_0037935")</f>
        <v>p.persica_gdr_reftransV1_0037935</v>
      </c>
      <c r="B10092" s="3">
        <v>2256</v>
      </c>
      <c r="C10092" s="1" t="str">
        <f>HYPERLINK("http://www.uniprot.org/uniprot/SERK2_ARATH","SERK2_ARATH")</f>
        <v>SERK2_ARATH</v>
      </c>
      <c r="D10092" t="s">
        <v>7403</v>
      </c>
      <c r="E10092" s="3" t="s">
        <v>3</v>
      </c>
      <c r="F10092" s="4">
        <v>7.0099999999999997E-26</v>
      </c>
      <c r="G10092" s="3">
        <v>292</v>
      </c>
      <c r="H10092" s="3">
        <v>70</v>
      </c>
      <c r="I10092" s="3">
        <v>74</v>
      </c>
      <c r="J10092" s="3">
        <v>277</v>
      </c>
      <c r="K10092" s="3">
        <v>498</v>
      </c>
      <c r="L10092" s="3">
        <v>28</v>
      </c>
      <c r="M10092" s="3">
        <v>101</v>
      </c>
    </row>
    <row r="10093" spans="1:13" x14ac:dyDescent="0.25">
      <c r="A10093" s="1" t="str">
        <f>HYPERLINK("http://www.rosaceae.org/Prunus/Prunus_persica/p.persica_gdr_reftransV1_0038035","p.persica_gdr_reftransV1_0038035")</f>
        <v>p.persica_gdr_reftransV1_0038035</v>
      </c>
      <c r="B10093" s="3">
        <v>2882</v>
      </c>
      <c r="C10093" s="1" t="str">
        <f>HYPERLINK("http://www.uniprot.org/uniprot/Y103_SYNY3","Y103_SYNY3")</f>
        <v>Y103_SYNY3</v>
      </c>
      <c r="D10093" t="s">
        <v>5292</v>
      </c>
      <c r="E10093" s="3" t="s">
        <v>527</v>
      </c>
      <c r="F10093" s="4">
        <v>2.4E-10</v>
      </c>
      <c r="G10093" s="3">
        <v>163</v>
      </c>
      <c r="H10093" s="3">
        <v>28</v>
      </c>
      <c r="I10093" s="3">
        <v>255</v>
      </c>
      <c r="J10093" s="3">
        <v>1106</v>
      </c>
      <c r="K10093" s="3">
        <v>1852</v>
      </c>
      <c r="L10093" s="3">
        <v>37</v>
      </c>
      <c r="M10093" s="3">
        <v>273</v>
      </c>
    </row>
    <row r="10094" spans="1:13" x14ac:dyDescent="0.25">
      <c r="A10094" s="1" t="str">
        <f>HYPERLINK("http://www.rosaceae.org/Prunus/Prunus_persica/p.persica_gdr_reftransV1_0038435","p.persica_gdr_reftransV1_0038435")</f>
        <v>p.persica_gdr_reftransV1_0038435</v>
      </c>
      <c r="B10094" s="3">
        <v>1257</v>
      </c>
      <c r="C10094" s="1" t="str">
        <f>HYPERLINK("http://www.uniprot.org/uniprot/GUN8_ARATH","GUN8_ARATH")</f>
        <v>GUN8_ARATH</v>
      </c>
      <c r="D10094" t="s">
        <v>708</v>
      </c>
      <c r="E10094" s="3" t="s">
        <v>3</v>
      </c>
      <c r="F10094" s="4">
        <v>1.32E-171</v>
      </c>
      <c r="G10094" s="3">
        <v>1279</v>
      </c>
      <c r="H10094" s="3">
        <v>84</v>
      </c>
      <c r="I10094" s="3">
        <v>273</v>
      </c>
      <c r="J10094" s="3">
        <v>1</v>
      </c>
      <c r="K10094" s="3">
        <v>819</v>
      </c>
      <c r="L10094" s="3">
        <v>216</v>
      </c>
      <c r="M10094" s="3">
        <v>488</v>
      </c>
    </row>
    <row r="10095" spans="1:13" x14ac:dyDescent="0.25">
      <c r="A10095" s="1" t="str">
        <f>HYPERLINK("http://www.rosaceae.org/Prunus/Prunus_persica/p.persica_gdr_reftransV1_0038535","p.persica_gdr_reftransV1_0038535")</f>
        <v>p.persica_gdr_reftransV1_0038535</v>
      </c>
      <c r="B10095" s="3">
        <v>2387</v>
      </c>
      <c r="C10095" s="1" t="str">
        <f>HYPERLINK("http://www.uniprot.org/uniprot/BH063_ARATH","BH063_ARATH")</f>
        <v>BH063_ARATH</v>
      </c>
      <c r="D10095" t="s">
        <v>7404</v>
      </c>
      <c r="E10095" s="3" t="s">
        <v>3</v>
      </c>
      <c r="F10095" s="4">
        <v>1.7300000000000001E-62</v>
      </c>
      <c r="G10095" s="3">
        <v>556</v>
      </c>
      <c r="H10095" s="3">
        <v>48</v>
      </c>
      <c r="I10095" s="3">
        <v>285</v>
      </c>
      <c r="J10095" s="3">
        <v>649</v>
      </c>
      <c r="K10095" s="3">
        <v>1425</v>
      </c>
      <c r="L10095" s="3">
        <v>80</v>
      </c>
      <c r="M10095" s="3">
        <v>330</v>
      </c>
    </row>
    <row r="10096" spans="1:13" x14ac:dyDescent="0.25">
      <c r="A10096" s="1" t="str">
        <f>HYPERLINK("http://www.rosaceae.org/Prunus/Prunus_persica/p.persica_gdr_reftransV1_0038635","p.persica_gdr_reftransV1_0038635")</f>
        <v>p.persica_gdr_reftransV1_0038635</v>
      </c>
      <c r="B10096" s="3">
        <v>2239</v>
      </c>
      <c r="C10096" s="1" t="str">
        <f>HYPERLINK("http://www.uniprot.org/uniprot/RH10_ARATH","RH10_ARATH")</f>
        <v>RH10_ARATH</v>
      </c>
      <c r="D10096" t="s">
        <v>7405</v>
      </c>
      <c r="E10096" s="3" t="s">
        <v>3</v>
      </c>
      <c r="F10096" s="4">
        <v>2.05E-177</v>
      </c>
      <c r="G10096" s="3">
        <v>1346</v>
      </c>
      <c r="H10096" s="3">
        <v>73</v>
      </c>
      <c r="I10096" s="3">
        <v>340</v>
      </c>
      <c r="J10096" s="3">
        <v>1134</v>
      </c>
      <c r="K10096" s="3">
        <v>2117</v>
      </c>
      <c r="L10096" s="3">
        <v>3</v>
      </c>
      <c r="M10096" s="3">
        <v>342</v>
      </c>
    </row>
    <row r="10097" spans="1:13" x14ac:dyDescent="0.25">
      <c r="A10097" s="1" t="str">
        <f>HYPERLINK("http://www.rosaceae.org/Prunus/Prunus_persica/p.persica_gdr_reftransV1_0038735","p.persica_gdr_reftransV1_0038735")</f>
        <v>p.persica_gdr_reftransV1_0038735</v>
      </c>
      <c r="B10097" s="3">
        <v>2606</v>
      </c>
      <c r="C10097" s="1" t="str">
        <f>HYPERLINK("http://www.uniprot.org/uniprot/BAME1_ARATH","BAME1_ARATH")</f>
        <v>BAME1_ARATH</v>
      </c>
      <c r="D10097" t="s">
        <v>7361</v>
      </c>
      <c r="E10097" s="3" t="s">
        <v>3</v>
      </c>
      <c r="F10097" s="4">
        <v>0</v>
      </c>
      <c r="G10097" s="3">
        <v>2377</v>
      </c>
      <c r="H10097" s="3">
        <v>61</v>
      </c>
      <c r="I10097" s="3">
        <v>825</v>
      </c>
      <c r="J10097" s="3">
        <v>159</v>
      </c>
      <c r="K10097" s="3">
        <v>2606</v>
      </c>
      <c r="L10097" s="3">
        <v>173</v>
      </c>
      <c r="M10097" s="3">
        <v>992</v>
      </c>
    </row>
    <row r="10098" spans="1:13" x14ac:dyDescent="0.25">
      <c r="A10098" s="1" t="str">
        <f>HYPERLINK("http://www.rosaceae.org/Prunus/Prunus_persica/p.persica_gdr_reftransV1_0038785","p.persica_gdr_reftransV1_0038785")</f>
        <v>p.persica_gdr_reftransV1_0038785</v>
      </c>
      <c r="B10098" s="3">
        <v>1790</v>
      </c>
      <c r="C10098" s="1" t="str">
        <f>HYPERLINK("http://www.uniprot.org/uniprot/CBSX1_ARATH","CBSX1_ARATH")</f>
        <v>CBSX1_ARATH</v>
      </c>
      <c r="D10098" t="s">
        <v>7406</v>
      </c>
      <c r="E10098" s="3" t="s">
        <v>3</v>
      </c>
      <c r="F10098" s="4">
        <v>2.6500000000000002E-91</v>
      </c>
      <c r="G10098" s="3">
        <v>736</v>
      </c>
      <c r="H10098" s="3">
        <v>69</v>
      </c>
      <c r="I10098" s="3">
        <v>202</v>
      </c>
      <c r="J10098" s="3">
        <v>664</v>
      </c>
      <c r="K10098" s="3">
        <v>1242</v>
      </c>
      <c r="L10098" s="3">
        <v>32</v>
      </c>
      <c r="M10098" s="3">
        <v>233</v>
      </c>
    </row>
    <row r="10099" spans="1:13" x14ac:dyDescent="0.25">
      <c r="A10099" s="1" t="str">
        <f>HYPERLINK("http://www.rosaceae.org/Prunus/Prunus_persica/p.persica_gdr_reftransV1_0039385","p.persica_gdr_reftransV1_0039385")</f>
        <v>p.persica_gdr_reftransV1_0039385</v>
      </c>
      <c r="B10099" s="3">
        <v>3770</v>
      </c>
      <c r="C10099" s="1" t="str">
        <f>HYPERLINK("http://www.uniprot.org/uniprot/KC1_TOXGO","KC1_TOXGO")</f>
        <v>KC1_TOXGO</v>
      </c>
      <c r="D10099" t="s">
        <v>7407</v>
      </c>
      <c r="E10099" s="3" t="s">
        <v>7408</v>
      </c>
      <c r="F10099" s="4">
        <v>3.3999999999999997E-55</v>
      </c>
      <c r="G10099" s="3">
        <v>510</v>
      </c>
      <c r="H10099" s="3">
        <v>39</v>
      </c>
      <c r="I10099" s="3">
        <v>285</v>
      </c>
      <c r="J10099" s="3">
        <v>2266</v>
      </c>
      <c r="K10099" s="3">
        <v>3108</v>
      </c>
      <c r="L10099" s="3">
        <v>2</v>
      </c>
      <c r="M10099" s="3">
        <v>276</v>
      </c>
    </row>
    <row r="10100" spans="1:13" x14ac:dyDescent="0.25">
      <c r="A10100" s="1" t="str">
        <f>HYPERLINK("http://www.rosaceae.org/Prunus/Prunus_persica/p.persica_gdr_reftransV1_0039435","p.persica_gdr_reftransV1_0039435")</f>
        <v>p.persica_gdr_reftransV1_0039435</v>
      </c>
      <c r="B10100" s="3">
        <v>1360</v>
      </c>
      <c r="C10100" s="1" t="str">
        <f>HYPERLINK("http://www.uniprot.org/uniprot/CANB1_NAEGR","CANB1_NAEGR")</f>
        <v>CANB1_NAEGR</v>
      </c>
      <c r="D10100" t="s">
        <v>3239</v>
      </c>
      <c r="E10100" s="3" t="s">
        <v>3240</v>
      </c>
      <c r="F10100" s="4">
        <v>2.5400000000000001E-32</v>
      </c>
      <c r="G10100" s="3">
        <v>315</v>
      </c>
      <c r="H10100" s="3">
        <v>39</v>
      </c>
      <c r="I10100" s="3">
        <v>166</v>
      </c>
      <c r="J10100" s="3">
        <v>565</v>
      </c>
      <c r="K10100" s="3">
        <v>1047</v>
      </c>
      <c r="L10100" s="3">
        <v>1</v>
      </c>
      <c r="M10100" s="3">
        <v>164</v>
      </c>
    </row>
    <row r="10101" spans="1:13" x14ac:dyDescent="0.25">
      <c r="A10101" s="1" t="str">
        <f>HYPERLINK("http://www.rosaceae.org/Prunus/Prunus_persica/p.persica_gdr_reftransV1_0039585","p.persica_gdr_reftransV1_0039585")</f>
        <v>p.persica_gdr_reftransV1_0039585</v>
      </c>
      <c r="B10101" s="3">
        <v>1565</v>
      </c>
      <c r="C10101" s="1" t="str">
        <f>HYPERLINK("http://www.uniprot.org/uniprot/AGL1_ARATH","AGL1_ARATH")</f>
        <v>AGL1_ARATH</v>
      </c>
      <c r="D10101" t="s">
        <v>7409</v>
      </c>
      <c r="E10101" s="3" t="s">
        <v>3</v>
      </c>
      <c r="F10101" s="4">
        <v>1.06E-102</v>
      </c>
      <c r="G10101" s="3">
        <v>808</v>
      </c>
      <c r="H10101" s="3">
        <v>71</v>
      </c>
      <c r="I10101" s="3">
        <v>228</v>
      </c>
      <c r="J10101" s="3">
        <v>617</v>
      </c>
      <c r="K10101" s="3">
        <v>1267</v>
      </c>
      <c r="L10101" s="3">
        <v>28</v>
      </c>
      <c r="M10101" s="3">
        <v>248</v>
      </c>
    </row>
    <row r="10102" spans="1:13" x14ac:dyDescent="0.25">
      <c r="A10102" s="1" t="str">
        <f>HYPERLINK("http://www.rosaceae.org/Prunus/Prunus_persica/p.persica_gdr_reftransV1_0039735","p.persica_gdr_reftransV1_0039735")</f>
        <v>p.persica_gdr_reftransV1_0039735</v>
      </c>
      <c r="B10102" s="3">
        <v>1967</v>
      </c>
      <c r="C10102" s="1" t="str">
        <f>HYPERLINK("http://www.uniprot.org/uniprot/B2_DAUCA","B2_DAUCA")</f>
        <v>B2_DAUCA</v>
      </c>
      <c r="D10102" t="s">
        <v>1441</v>
      </c>
      <c r="E10102" s="3" t="s">
        <v>32</v>
      </c>
      <c r="F10102" s="4">
        <v>3.56E-94</v>
      </c>
      <c r="G10102" s="3">
        <v>757</v>
      </c>
      <c r="H10102" s="3">
        <v>91</v>
      </c>
      <c r="I10102" s="3">
        <v>150</v>
      </c>
      <c r="J10102" s="3">
        <v>1045</v>
      </c>
      <c r="K10102" s="3">
        <v>1494</v>
      </c>
      <c r="L10102" s="3">
        <v>55</v>
      </c>
      <c r="M10102" s="3">
        <v>204</v>
      </c>
    </row>
    <row r="10103" spans="1:13" x14ac:dyDescent="0.25">
      <c r="A10103" s="1" t="str">
        <f>HYPERLINK("http://www.rosaceae.org/Prunus/Prunus_persica/p.persica_gdr_reftransV1_0039835","p.persica_gdr_reftransV1_0039835")</f>
        <v>p.persica_gdr_reftransV1_0039835</v>
      </c>
      <c r="B10103" s="3">
        <v>3181</v>
      </c>
      <c r="C10103" s="1" t="str">
        <f>HYPERLINK("http://www.uniprot.org/uniprot/LOX21_SOLTU","LOX21_SOLTU")</f>
        <v>LOX21_SOLTU</v>
      </c>
      <c r="D10103" t="s">
        <v>7410</v>
      </c>
      <c r="E10103" s="3" t="s">
        <v>11</v>
      </c>
      <c r="F10103" s="4">
        <v>0</v>
      </c>
      <c r="G10103" s="3">
        <v>3023</v>
      </c>
      <c r="H10103" s="3">
        <v>68</v>
      </c>
      <c r="I10103" s="3">
        <v>837</v>
      </c>
      <c r="J10103" s="3">
        <v>314</v>
      </c>
      <c r="K10103" s="3">
        <v>2812</v>
      </c>
      <c r="L10103" s="3">
        <v>68</v>
      </c>
      <c r="M10103" s="3">
        <v>899</v>
      </c>
    </row>
    <row r="10104" spans="1:13" x14ac:dyDescent="0.25">
      <c r="A10104" s="1" t="str">
        <f>HYPERLINK("http://www.rosaceae.org/Prunus/Prunus_persica/p.persica_gdr_reftransV1_0039935","p.persica_gdr_reftransV1_0039935")</f>
        <v>p.persica_gdr_reftransV1_0039935</v>
      </c>
      <c r="B10104" s="3">
        <v>1843</v>
      </c>
      <c r="C10104" s="1" t="str">
        <f>HYPERLINK("http://www.uniprot.org/uniprot/GPDL2_ARATH","GPDL2_ARATH")</f>
        <v>GPDL2_ARATH</v>
      </c>
      <c r="D10104" t="s">
        <v>3941</v>
      </c>
      <c r="E10104" s="3" t="s">
        <v>3</v>
      </c>
      <c r="F10104" s="4">
        <v>6.0400000000000003E-123</v>
      </c>
      <c r="G10104" s="3">
        <v>1019</v>
      </c>
      <c r="H10104" s="3">
        <v>55</v>
      </c>
      <c r="I10104" s="3">
        <v>347</v>
      </c>
      <c r="J10104" s="3">
        <v>510</v>
      </c>
      <c r="K10104" s="3">
        <v>1538</v>
      </c>
      <c r="L10104" s="3">
        <v>772</v>
      </c>
      <c r="M10104" s="3">
        <v>1105</v>
      </c>
    </row>
    <row r="10105" spans="1:13" x14ac:dyDescent="0.25">
      <c r="A10105" s="1" t="str">
        <f>HYPERLINK("http://www.rosaceae.org/Prunus/Prunus_persica/p.persica_gdr_reftransV1_0040335","p.persica_gdr_reftransV1_0040335")</f>
        <v>p.persica_gdr_reftransV1_0040335</v>
      </c>
      <c r="B10105" s="3">
        <v>2411</v>
      </c>
      <c r="C10105" s="1" t="str">
        <f>HYPERLINK("http://www.uniprot.org/uniprot/NUDT7_ARATH","NUDT7_ARATH")</f>
        <v>NUDT7_ARATH</v>
      </c>
      <c r="D10105" t="s">
        <v>7411</v>
      </c>
      <c r="E10105" s="3" t="s">
        <v>3</v>
      </c>
      <c r="F10105" s="4">
        <v>2.8300000000000001E-38</v>
      </c>
      <c r="G10105" s="3">
        <v>375</v>
      </c>
      <c r="H10105" s="3">
        <v>62</v>
      </c>
      <c r="I10105" s="3">
        <v>115</v>
      </c>
      <c r="J10105" s="3">
        <v>325</v>
      </c>
      <c r="K10105" s="3">
        <v>669</v>
      </c>
      <c r="L10105" s="3">
        <v>6</v>
      </c>
      <c r="M10105" s="3">
        <v>120</v>
      </c>
    </row>
    <row r="10106" spans="1:13" x14ac:dyDescent="0.25">
      <c r="A10106" s="1" t="str">
        <f>HYPERLINK("http://www.rosaceae.org/Prunus/Prunus_persica/p.persica_gdr_reftransV1_0040385","p.persica_gdr_reftransV1_0040385")</f>
        <v>p.persica_gdr_reftransV1_0040385</v>
      </c>
      <c r="B10106" s="3">
        <v>3168</v>
      </c>
      <c r="C10106" s="1" t="str">
        <f>HYPERLINK("http://www.uniprot.org/uniprot/DSE1_NICBE","DSE1_NICBE")</f>
        <v>DSE1_NICBE</v>
      </c>
      <c r="D10106" t="s">
        <v>7412</v>
      </c>
      <c r="E10106" s="3" t="s">
        <v>1986</v>
      </c>
      <c r="F10106" s="4">
        <v>7.7599999999999998E-96</v>
      </c>
      <c r="G10106" s="3">
        <v>596</v>
      </c>
      <c r="H10106" s="3">
        <v>58</v>
      </c>
      <c r="I10106" s="3">
        <v>204</v>
      </c>
      <c r="J10106" s="3">
        <v>1605</v>
      </c>
      <c r="K10106" s="3">
        <v>2213</v>
      </c>
      <c r="L10106" s="3">
        <v>99</v>
      </c>
      <c r="M10106" s="3">
        <v>286</v>
      </c>
    </row>
    <row r="10107" spans="1:13" x14ac:dyDescent="0.25">
      <c r="A10107" s="1" t="str">
        <f>HYPERLINK("http://www.rosaceae.org/Prunus/Prunus_persica/p.persica_gdr_reftransV1_0040485","p.persica_gdr_reftransV1_0040485")</f>
        <v>p.persica_gdr_reftransV1_0040485</v>
      </c>
      <c r="B10107" s="3">
        <v>539</v>
      </c>
      <c r="C10107" s="1" t="str">
        <f>HYPERLINK("http://www.uniprot.org/uniprot/WRK19_ARATH","WRK19_ARATH")</f>
        <v>WRK19_ARATH</v>
      </c>
      <c r="D10107" t="s">
        <v>1314</v>
      </c>
      <c r="E10107" s="3" t="s">
        <v>3</v>
      </c>
      <c r="F10107" s="4">
        <v>1.41E-30</v>
      </c>
      <c r="G10107" s="3">
        <v>308</v>
      </c>
      <c r="H10107" s="3">
        <v>44</v>
      </c>
      <c r="I10107" s="3">
        <v>162</v>
      </c>
      <c r="J10107" s="3">
        <v>37</v>
      </c>
      <c r="K10107" s="3">
        <v>519</v>
      </c>
      <c r="L10107" s="3">
        <v>1024</v>
      </c>
      <c r="M10107" s="3">
        <v>1184</v>
      </c>
    </row>
    <row r="10108" spans="1:13" x14ac:dyDescent="0.25">
      <c r="A10108" s="1" t="str">
        <f>HYPERLINK("http://www.rosaceae.org/Prunus/Prunus_persica/p.persica_gdr_reftransV1_0040535","p.persica_gdr_reftransV1_0040535")</f>
        <v>p.persica_gdr_reftransV1_0040535</v>
      </c>
      <c r="B10108" s="3">
        <v>1967</v>
      </c>
      <c r="C10108" s="1" t="str">
        <f>HYPERLINK("http://www.uniprot.org/uniprot/RCBT2_RAT","RCBT2_RAT")</f>
        <v>RCBT2_RAT</v>
      </c>
      <c r="D10108" t="s">
        <v>7413</v>
      </c>
      <c r="E10108" s="3" t="s">
        <v>161</v>
      </c>
      <c r="F10108" s="4">
        <v>1.37E-15</v>
      </c>
      <c r="G10108" s="3">
        <v>206</v>
      </c>
      <c r="H10108" s="3">
        <v>32</v>
      </c>
      <c r="I10108" s="3">
        <v>170</v>
      </c>
      <c r="J10108" s="3">
        <v>319</v>
      </c>
      <c r="K10108" s="3">
        <v>804</v>
      </c>
      <c r="L10108" s="3">
        <v>115</v>
      </c>
      <c r="M10108" s="3">
        <v>275</v>
      </c>
    </row>
    <row r="10109" spans="1:13" x14ac:dyDescent="0.25">
      <c r="A10109" s="1" t="str">
        <f>HYPERLINK("http://www.rosaceae.org/Prunus/Prunus_persica/p.persica_gdr_reftransV1_0040585","p.persica_gdr_reftransV1_0040585")</f>
        <v>p.persica_gdr_reftransV1_0040585</v>
      </c>
      <c r="B10109" s="3">
        <v>2777</v>
      </c>
      <c r="C10109" s="1" t="str">
        <f>HYPERLINK("http://www.uniprot.org/uniprot/PMTD_ARATH","PMTD_ARATH")</f>
        <v>PMTD_ARATH</v>
      </c>
      <c r="D10109" t="s">
        <v>7414</v>
      </c>
      <c r="E10109" s="3" t="s">
        <v>3</v>
      </c>
      <c r="F10109" s="4">
        <v>0</v>
      </c>
      <c r="G10109" s="3">
        <v>2667</v>
      </c>
      <c r="H10109" s="3">
        <v>82</v>
      </c>
      <c r="I10109" s="3">
        <v>600</v>
      </c>
      <c r="J10109" s="3">
        <v>382</v>
      </c>
      <c r="K10109" s="3">
        <v>2178</v>
      </c>
      <c r="L10109" s="3">
        <v>1</v>
      </c>
      <c r="M10109" s="3">
        <v>600</v>
      </c>
    </row>
    <row r="10110" spans="1:13" x14ac:dyDescent="0.25">
      <c r="A10110" s="1" t="str">
        <f>HYPERLINK("http://www.rosaceae.org/Prunus/Prunus_persica/p.persica_gdr_reftransV1_0040785","p.persica_gdr_reftransV1_0040785")</f>
        <v>p.persica_gdr_reftransV1_0040785</v>
      </c>
      <c r="B10110" s="3">
        <v>2551</v>
      </c>
      <c r="C10110" s="1" t="str">
        <f>HYPERLINK("http://www.uniprot.org/uniprot/TILS_WOLPP","TILS_WOLPP")</f>
        <v>TILS_WOLPP</v>
      </c>
      <c r="D10110" t="s">
        <v>7415</v>
      </c>
      <c r="E10110" s="3" t="s">
        <v>7416</v>
      </c>
      <c r="F10110" s="4">
        <v>7.3999999999999998E-13</v>
      </c>
      <c r="G10110" s="3">
        <v>184</v>
      </c>
      <c r="H10110" s="3">
        <v>33</v>
      </c>
      <c r="I10110" s="3">
        <v>123</v>
      </c>
      <c r="J10110" s="3">
        <v>254</v>
      </c>
      <c r="K10110" s="3">
        <v>622</v>
      </c>
      <c r="L10110" s="3">
        <v>17</v>
      </c>
      <c r="M10110" s="3">
        <v>128</v>
      </c>
    </row>
    <row r="10111" spans="1:13" x14ac:dyDescent="0.25">
      <c r="A10111" s="1" t="str">
        <f>HYPERLINK("http://www.rosaceae.org/Prunus/Prunus_persica/p.persica_gdr_reftransV1_0040885","p.persica_gdr_reftransV1_0040885")</f>
        <v>p.persica_gdr_reftransV1_0040885</v>
      </c>
      <c r="B10111" s="3">
        <v>2019</v>
      </c>
      <c r="C10111" s="1" t="str">
        <f>HYPERLINK("http://www.uniprot.org/uniprot/CUTA_ARATH","CUTA_ARATH")</f>
        <v>CUTA_ARATH</v>
      </c>
      <c r="D10111" t="s">
        <v>7417</v>
      </c>
      <c r="E10111" s="3" t="s">
        <v>3</v>
      </c>
      <c r="F10111" s="4">
        <v>1.5799999999999999E-21</v>
      </c>
      <c r="G10111" s="3">
        <v>242</v>
      </c>
      <c r="H10111" s="3">
        <v>57</v>
      </c>
      <c r="I10111" s="3">
        <v>125</v>
      </c>
      <c r="J10111" s="3">
        <v>26</v>
      </c>
      <c r="K10111" s="3">
        <v>394</v>
      </c>
      <c r="L10111" s="3">
        <v>1</v>
      </c>
      <c r="M10111" s="3">
        <v>116</v>
      </c>
    </row>
    <row r="10112" spans="1:13" x14ac:dyDescent="0.25">
      <c r="A10112" s="1" t="str">
        <f>HYPERLINK("http://www.rosaceae.org/Prunus/Prunus_persica/p.persica_gdr_reftransV1_0040985","p.persica_gdr_reftransV1_0040985")</f>
        <v>p.persica_gdr_reftransV1_0040985</v>
      </c>
      <c r="B10112" s="3">
        <v>3125</v>
      </c>
      <c r="C10112" s="1" t="str">
        <f>HYPERLINK("http://www.uniprot.org/uniprot/STAR7_MOUSE","STAR7_MOUSE")</f>
        <v>STAR7_MOUSE</v>
      </c>
      <c r="D10112" t="s">
        <v>7418</v>
      </c>
      <c r="E10112" s="3" t="s">
        <v>157</v>
      </c>
      <c r="F10112" s="4">
        <v>5.04E-9</v>
      </c>
      <c r="G10112" s="3">
        <v>152</v>
      </c>
      <c r="H10112" s="3">
        <v>35</v>
      </c>
      <c r="I10112" s="3">
        <v>106</v>
      </c>
      <c r="J10112" s="3">
        <v>1048</v>
      </c>
      <c r="K10112" s="3">
        <v>1359</v>
      </c>
      <c r="L10112" s="3">
        <v>136</v>
      </c>
      <c r="M10112" s="3">
        <v>236</v>
      </c>
    </row>
    <row r="10113" spans="1:13" x14ac:dyDescent="0.25">
      <c r="A10113" s="1" t="str">
        <f>HYPERLINK("http://www.rosaceae.org/Prunus/Prunus_persica/p.persica_gdr_reftransV1_0041185","p.persica_gdr_reftransV1_0041185")</f>
        <v>p.persica_gdr_reftransV1_0041185</v>
      </c>
      <c r="B10113" s="3">
        <v>3175</v>
      </c>
      <c r="C10113" s="1" t="str">
        <f>HYPERLINK("http://www.uniprot.org/uniprot/ISOA2_ARATH","ISOA2_ARATH")</f>
        <v>ISOA2_ARATH</v>
      </c>
      <c r="D10113" t="s">
        <v>7419</v>
      </c>
      <c r="E10113" s="3" t="s">
        <v>3</v>
      </c>
      <c r="F10113" s="4">
        <v>0</v>
      </c>
      <c r="G10113" s="3">
        <v>2586</v>
      </c>
      <c r="H10113" s="3">
        <v>57</v>
      </c>
      <c r="I10113" s="3">
        <v>893</v>
      </c>
      <c r="J10113" s="3">
        <v>231</v>
      </c>
      <c r="K10113" s="3">
        <v>2870</v>
      </c>
      <c r="L10113" s="3">
        <v>1</v>
      </c>
      <c r="M10113" s="3">
        <v>877</v>
      </c>
    </row>
    <row r="10114" spans="1:13" x14ac:dyDescent="0.25">
      <c r="A10114" s="1" t="str">
        <f>HYPERLINK("http://www.rosaceae.org/Prunus/Prunus_persica/p.persica_gdr_reftransV1_0041235","p.persica_gdr_reftransV1_0041235")</f>
        <v>p.persica_gdr_reftransV1_0041235</v>
      </c>
      <c r="B10114" s="3">
        <v>2265</v>
      </c>
      <c r="C10114" s="1" t="str">
        <f>HYPERLINK("http://www.uniprot.org/uniprot/ERG1_PANGI","ERG1_PANGI")</f>
        <v>ERG1_PANGI</v>
      </c>
      <c r="D10114" t="s">
        <v>1476</v>
      </c>
      <c r="E10114" s="3" t="s">
        <v>1477</v>
      </c>
      <c r="F10114" s="4">
        <v>2.2099999999999999E-165</v>
      </c>
      <c r="G10114" s="3">
        <v>1275</v>
      </c>
      <c r="H10114" s="3">
        <v>78</v>
      </c>
      <c r="I10114" s="3">
        <v>355</v>
      </c>
      <c r="J10114" s="3">
        <v>274</v>
      </c>
      <c r="K10114" s="3">
        <v>1335</v>
      </c>
      <c r="L10114" s="3">
        <v>59</v>
      </c>
      <c r="M10114" s="3">
        <v>412</v>
      </c>
    </row>
    <row r="10115" spans="1:13" x14ac:dyDescent="0.25">
      <c r="A10115" s="1" t="str">
        <f>HYPERLINK("http://www.rosaceae.org/Prunus/Prunus_persica/p.persica_gdr_reftransV1_0042135","p.persica_gdr_reftransV1_0042135")</f>
        <v>p.persica_gdr_reftransV1_0042135</v>
      </c>
      <c r="B10115" s="3">
        <v>2164</v>
      </c>
      <c r="C10115" s="1" t="str">
        <f>HYPERLINK("http://www.uniprot.org/uniprot/CAPZB_ARATH","CAPZB_ARATH")</f>
        <v>CAPZB_ARATH</v>
      </c>
      <c r="D10115" t="s">
        <v>7420</v>
      </c>
      <c r="E10115" s="3" t="s">
        <v>3</v>
      </c>
      <c r="F10115" s="4">
        <v>4.2400000000000001E-148</v>
      </c>
      <c r="G10115" s="3">
        <v>1128</v>
      </c>
      <c r="H10115" s="3">
        <v>82</v>
      </c>
      <c r="I10115" s="3">
        <v>256</v>
      </c>
      <c r="J10115" s="3">
        <v>921</v>
      </c>
      <c r="K10115" s="3">
        <v>1685</v>
      </c>
      <c r="L10115" s="3">
        <v>1</v>
      </c>
      <c r="M10115" s="3">
        <v>256</v>
      </c>
    </row>
    <row r="10116" spans="1:13" x14ac:dyDescent="0.25">
      <c r="A10116" s="1" t="str">
        <f>HYPERLINK("http://www.rosaceae.org/Prunus/Prunus_persica/p.persica_gdr_reftransV1_0042635","p.persica_gdr_reftransV1_0042635")</f>
        <v>p.persica_gdr_reftransV1_0042635</v>
      </c>
      <c r="B10116" s="3">
        <v>2932</v>
      </c>
      <c r="C10116" s="1" t="str">
        <f>HYPERLINK("http://www.uniprot.org/uniprot/VSP55_ARATH","VSP55_ARATH")</f>
        <v>VSP55_ARATH</v>
      </c>
      <c r="D10116" t="s">
        <v>2388</v>
      </c>
      <c r="E10116" s="3" t="s">
        <v>3</v>
      </c>
      <c r="F10116" s="4">
        <v>1.01E-22</v>
      </c>
      <c r="G10116" s="3">
        <v>250</v>
      </c>
      <c r="H10116" s="3">
        <v>68</v>
      </c>
      <c r="I10116" s="3">
        <v>92</v>
      </c>
      <c r="J10116" s="3">
        <v>334</v>
      </c>
      <c r="K10116" s="3">
        <v>603</v>
      </c>
      <c r="L10116" s="3">
        <v>45</v>
      </c>
      <c r="M10116" s="3">
        <v>136</v>
      </c>
    </row>
    <row r="10117" spans="1:13" x14ac:dyDescent="0.25">
      <c r="A10117" s="1" t="str">
        <f>HYPERLINK("http://www.rosaceae.org/Prunus/Prunus_persica/p.persica_gdr_reftransV1_0042835","p.persica_gdr_reftransV1_0042835")</f>
        <v>p.persica_gdr_reftransV1_0042835</v>
      </c>
      <c r="B10117" s="3">
        <v>2662</v>
      </c>
      <c r="C10117" s="1" t="str">
        <f>HYPERLINK("http://www.uniprot.org/uniprot/ZAT9_ARATH","ZAT9_ARATH")</f>
        <v>ZAT9_ARATH</v>
      </c>
      <c r="D10117" t="s">
        <v>2011</v>
      </c>
      <c r="E10117" s="3" t="s">
        <v>3</v>
      </c>
      <c r="F10117" s="4">
        <v>1.06E-16</v>
      </c>
      <c r="G10117" s="3">
        <v>210</v>
      </c>
      <c r="H10117" s="3">
        <v>38</v>
      </c>
      <c r="I10117" s="3">
        <v>148</v>
      </c>
      <c r="J10117" s="3">
        <v>1711</v>
      </c>
      <c r="K10117" s="3">
        <v>2154</v>
      </c>
      <c r="L10117" s="3">
        <v>172</v>
      </c>
      <c r="M10117" s="3">
        <v>281</v>
      </c>
    </row>
    <row r="10118" spans="1:13" x14ac:dyDescent="0.25">
      <c r="A10118" s="1" t="str">
        <f>HYPERLINK("http://www.rosaceae.org/Prunus/Prunus_persica/p.persica_gdr_reftransV1_0043035","p.persica_gdr_reftransV1_0043035")</f>
        <v>p.persica_gdr_reftransV1_0043035</v>
      </c>
      <c r="B10118" s="3">
        <v>2124</v>
      </c>
      <c r="C10118" s="1" t="str">
        <f>HYPERLINK("http://www.uniprot.org/uniprot/RL282_ARATH","RL282_ARATH")</f>
        <v>RL282_ARATH</v>
      </c>
      <c r="D10118" t="s">
        <v>7421</v>
      </c>
      <c r="E10118" s="3" t="s">
        <v>3</v>
      </c>
      <c r="F10118" s="4">
        <v>2.3E-68</v>
      </c>
      <c r="G10118" s="3">
        <v>577</v>
      </c>
      <c r="H10118" s="3">
        <v>75</v>
      </c>
      <c r="I10118" s="3">
        <v>143</v>
      </c>
      <c r="J10118" s="3">
        <v>1531</v>
      </c>
      <c r="K10118" s="3">
        <v>1959</v>
      </c>
      <c r="L10118" s="3">
        <v>1</v>
      </c>
      <c r="M10118" s="3">
        <v>143</v>
      </c>
    </row>
    <row r="10119" spans="1:13" x14ac:dyDescent="0.25">
      <c r="A10119" s="1" t="str">
        <f>HYPERLINK("http://www.rosaceae.org/Prunus/Prunus_persica/p.persica_gdr_reftransV1_0043085","p.persica_gdr_reftransV1_0043085")</f>
        <v>p.persica_gdr_reftransV1_0043085</v>
      </c>
      <c r="B10119" s="3">
        <v>1027</v>
      </c>
      <c r="C10119" s="1" t="str">
        <f>HYPERLINK("http://www.uniprot.org/uniprot/GDAP2_DROME","GDAP2_DROME")</f>
        <v>GDAP2_DROME</v>
      </c>
      <c r="D10119" t="s">
        <v>7422</v>
      </c>
      <c r="E10119" s="3" t="s">
        <v>5</v>
      </c>
      <c r="F10119" s="4">
        <v>3.2300000000000001E-11</v>
      </c>
      <c r="G10119" s="3">
        <v>165</v>
      </c>
      <c r="H10119" s="3">
        <v>25</v>
      </c>
      <c r="I10119" s="3">
        <v>161</v>
      </c>
      <c r="J10119" s="3">
        <v>305</v>
      </c>
      <c r="K10119" s="3">
        <v>787</v>
      </c>
      <c r="L10119" s="3">
        <v>387</v>
      </c>
      <c r="M10119" s="3">
        <v>537</v>
      </c>
    </row>
    <row r="10120" spans="1:13" x14ac:dyDescent="0.25">
      <c r="A10120" s="1" t="str">
        <f>HYPERLINK("http://www.rosaceae.org/Prunus/Prunus_persica/p.persica_gdr_reftransV1_0043185","p.persica_gdr_reftransV1_0043185")</f>
        <v>p.persica_gdr_reftransV1_0043185</v>
      </c>
      <c r="B10120" s="3">
        <v>795</v>
      </c>
      <c r="C10120" s="1" t="str">
        <f>HYPERLINK("http://www.uniprot.org/uniprot/CRR60_ARATH","CRR60_ARATH")</f>
        <v>CRR60_ARATH</v>
      </c>
      <c r="D10120" t="s">
        <v>7423</v>
      </c>
      <c r="E10120" s="3" t="s">
        <v>3</v>
      </c>
      <c r="F10120" s="4">
        <v>5.2499999999999998E-93</v>
      </c>
      <c r="G10120" s="3">
        <v>724</v>
      </c>
      <c r="H10120" s="3">
        <v>73</v>
      </c>
      <c r="I10120" s="3">
        <v>207</v>
      </c>
      <c r="J10120" s="3">
        <v>175</v>
      </c>
      <c r="K10120" s="3">
        <v>795</v>
      </c>
      <c r="L10120" s="3">
        <v>53</v>
      </c>
      <c r="M10120" s="3">
        <v>259</v>
      </c>
    </row>
    <row r="10121" spans="1:13" x14ac:dyDescent="0.25">
      <c r="A10121" s="1" t="str">
        <f>HYPERLINK("http://www.rosaceae.org/Prunus/Prunus_persica/p.persica_gdr_reftransV1_0043235","p.persica_gdr_reftransV1_0043235")</f>
        <v>p.persica_gdr_reftransV1_0043235</v>
      </c>
      <c r="B10121" s="3">
        <v>997</v>
      </c>
      <c r="C10121" s="1" t="str">
        <f>HYPERLINK("http://www.uniprot.org/uniprot/NTAQ1_ARATH","NTAQ1_ARATH")</f>
        <v>NTAQ1_ARATH</v>
      </c>
      <c r="D10121" t="s">
        <v>7424</v>
      </c>
      <c r="E10121" s="3" t="s">
        <v>3</v>
      </c>
      <c r="F10121" s="4">
        <v>3.97E-97</v>
      </c>
      <c r="G10121" s="3">
        <v>751</v>
      </c>
      <c r="H10121" s="3">
        <v>61</v>
      </c>
      <c r="I10121" s="3">
        <v>213</v>
      </c>
      <c r="J10121" s="3">
        <v>88</v>
      </c>
      <c r="K10121" s="3">
        <v>726</v>
      </c>
      <c r="L10121" s="3">
        <v>10</v>
      </c>
      <c r="M10121" s="3">
        <v>220</v>
      </c>
    </row>
    <row r="10122" spans="1:13" x14ac:dyDescent="0.25">
      <c r="A10122" s="1" t="str">
        <f>HYPERLINK("http://www.rosaceae.org/Prunus/Prunus_persica/p.persica_gdr_reftransV1_0043385","p.persica_gdr_reftransV1_0043385")</f>
        <v>p.persica_gdr_reftransV1_0043385</v>
      </c>
      <c r="B10122" s="3">
        <v>5025</v>
      </c>
      <c r="C10122" s="1" t="str">
        <f>HYPERLINK("http://www.uniprot.org/uniprot/MED14_ARATH","MED14_ARATH")</f>
        <v>MED14_ARATH</v>
      </c>
      <c r="D10122" t="s">
        <v>7425</v>
      </c>
      <c r="E10122" s="3" t="s">
        <v>3</v>
      </c>
      <c r="F10122" s="4">
        <v>0</v>
      </c>
      <c r="G10122" s="3">
        <v>4372</v>
      </c>
      <c r="H10122" s="3">
        <v>63</v>
      </c>
      <c r="I10122" s="3">
        <v>1593</v>
      </c>
      <c r="J10122" s="3">
        <v>41</v>
      </c>
      <c r="K10122" s="3">
        <v>4777</v>
      </c>
      <c r="L10122" s="3">
        <v>2</v>
      </c>
      <c r="M10122" s="3">
        <v>1462</v>
      </c>
    </row>
    <row r="10123" spans="1:13" x14ac:dyDescent="0.25">
      <c r="A10123" s="1" t="str">
        <f>HYPERLINK("http://www.rosaceae.org/Prunus/Prunus_persica/p.persica_gdr_reftransV1_0043435","p.persica_gdr_reftransV1_0043435")</f>
        <v>p.persica_gdr_reftransV1_0043435</v>
      </c>
      <c r="B10123" s="3">
        <v>2140</v>
      </c>
      <c r="C10123" s="1" t="str">
        <f>HYPERLINK("http://www.uniprot.org/uniprot/AB6G_ARATH","AB6G_ARATH")</f>
        <v>AB6G_ARATH</v>
      </c>
      <c r="D10123" t="s">
        <v>2549</v>
      </c>
      <c r="E10123" s="3" t="s">
        <v>3</v>
      </c>
      <c r="F10123" s="4">
        <v>0</v>
      </c>
      <c r="G10123" s="3">
        <v>2406</v>
      </c>
      <c r="H10123" s="3">
        <v>81</v>
      </c>
      <c r="I10123" s="3">
        <v>604</v>
      </c>
      <c r="J10123" s="3">
        <v>151</v>
      </c>
      <c r="K10123" s="3">
        <v>1944</v>
      </c>
      <c r="L10123" s="3">
        <v>135</v>
      </c>
      <c r="M10123" s="3">
        <v>727</v>
      </c>
    </row>
    <row r="10124" spans="1:13" x14ac:dyDescent="0.25">
      <c r="A10124" s="1" t="str">
        <f>HYPERLINK("http://www.rosaceae.org/Prunus/Prunus_persica/p.persica_gdr_reftransV1_0043485","p.persica_gdr_reftransV1_0043485")</f>
        <v>p.persica_gdr_reftransV1_0043485</v>
      </c>
      <c r="B10124" s="3">
        <v>721</v>
      </c>
      <c r="C10124" s="1" t="str">
        <f>HYPERLINK("http://www.uniprot.org/uniprot/PXL2_ARATH","PXL2_ARATH")</f>
        <v>PXL2_ARATH</v>
      </c>
      <c r="D10124" t="s">
        <v>6532</v>
      </c>
      <c r="E10124" s="3" t="s">
        <v>3</v>
      </c>
      <c r="F10124" s="4">
        <v>1.5600000000000001E-110</v>
      </c>
      <c r="G10124" s="3">
        <v>889</v>
      </c>
      <c r="H10124" s="3">
        <v>70</v>
      </c>
      <c r="I10124" s="3">
        <v>239</v>
      </c>
      <c r="J10124" s="3">
        <v>3</v>
      </c>
      <c r="K10124" s="3">
        <v>719</v>
      </c>
      <c r="L10124" s="3">
        <v>519</v>
      </c>
      <c r="M10124" s="3">
        <v>755</v>
      </c>
    </row>
    <row r="10125" spans="1:13" x14ac:dyDescent="0.25">
      <c r="A10125" s="1" t="str">
        <f>HYPERLINK("http://www.rosaceae.org/Prunus/Prunus_persica/p.persica_gdr_reftransV1_0043535","p.persica_gdr_reftransV1_0043535")</f>
        <v>p.persica_gdr_reftransV1_0043535</v>
      </c>
      <c r="B10125" s="3">
        <v>1282</v>
      </c>
      <c r="C10125" s="1" t="str">
        <f>HYPERLINK("http://www.uniprot.org/uniprot/ANXD4_ARATH","ANXD4_ARATH")</f>
        <v>ANXD4_ARATH</v>
      </c>
      <c r="D10125" t="s">
        <v>7426</v>
      </c>
      <c r="E10125" s="3" t="s">
        <v>3</v>
      </c>
      <c r="F10125" s="4">
        <v>1.3899999999999999E-115</v>
      </c>
      <c r="G10125" s="3">
        <v>892</v>
      </c>
      <c r="H10125" s="3">
        <v>56</v>
      </c>
      <c r="I10125" s="3">
        <v>319</v>
      </c>
      <c r="J10125" s="3">
        <v>303</v>
      </c>
      <c r="K10125" s="3">
        <v>1241</v>
      </c>
      <c r="L10125" s="3">
        <v>1</v>
      </c>
      <c r="M10125" s="3">
        <v>318</v>
      </c>
    </row>
    <row r="10126" spans="1:13" x14ac:dyDescent="0.25">
      <c r="A10126" s="1" t="str">
        <f>HYPERLINK("http://www.rosaceae.org/Prunus/Prunus_persica/p.persica_gdr_reftransV1_0043685","p.persica_gdr_reftransV1_0043685")</f>
        <v>p.persica_gdr_reftransV1_0043685</v>
      </c>
      <c r="B10126" s="3">
        <v>1415</v>
      </c>
      <c r="C10126" s="1" t="str">
        <f>HYPERLINK("http://www.uniprot.org/uniprot/WTR42_ARATH","WTR42_ARATH")</f>
        <v>WTR42_ARATH</v>
      </c>
      <c r="D10126" t="s">
        <v>5789</v>
      </c>
      <c r="E10126" s="3" t="s">
        <v>3</v>
      </c>
      <c r="F10126" s="4">
        <v>1.36E-69</v>
      </c>
      <c r="G10126" s="3">
        <v>591</v>
      </c>
      <c r="H10126" s="3">
        <v>48</v>
      </c>
      <c r="I10126" s="3">
        <v>253</v>
      </c>
      <c r="J10126" s="3">
        <v>253</v>
      </c>
      <c r="K10126" s="3">
        <v>1011</v>
      </c>
      <c r="L10126" s="3">
        <v>104</v>
      </c>
      <c r="M10126" s="3">
        <v>350</v>
      </c>
    </row>
    <row r="10127" spans="1:13" x14ac:dyDescent="0.25">
      <c r="A10127" s="1" t="str">
        <f>HYPERLINK("http://www.rosaceae.org/Prunus/Prunus_persica/p.persica_gdr_reftransV1_0043735","p.persica_gdr_reftransV1_0043735")</f>
        <v>p.persica_gdr_reftransV1_0043735</v>
      </c>
      <c r="B10127" s="3">
        <v>502</v>
      </c>
      <c r="C10127" s="1" t="str">
        <f>HYPERLINK("http://www.uniprot.org/uniprot/PTR51_ARATH","PTR51_ARATH")</f>
        <v>PTR51_ARATH</v>
      </c>
      <c r="D10127" t="s">
        <v>7427</v>
      </c>
      <c r="E10127" s="3" t="s">
        <v>3</v>
      </c>
      <c r="F10127" s="4">
        <v>2.22E-52</v>
      </c>
      <c r="G10127" s="3">
        <v>459</v>
      </c>
      <c r="H10127" s="3">
        <v>76</v>
      </c>
      <c r="I10127" s="3">
        <v>134</v>
      </c>
      <c r="J10127" s="3">
        <v>101</v>
      </c>
      <c r="K10127" s="3">
        <v>502</v>
      </c>
      <c r="L10127" s="3">
        <v>60</v>
      </c>
      <c r="M10127" s="3">
        <v>193</v>
      </c>
    </row>
    <row r="10128" spans="1:13" x14ac:dyDescent="0.25">
      <c r="A10128" s="1" t="str">
        <f>HYPERLINK("http://www.rosaceae.org/Prunus/Prunus_persica/p.persica_gdr_reftransV1_0043835","p.persica_gdr_reftransV1_0043835")</f>
        <v>p.persica_gdr_reftransV1_0043835</v>
      </c>
      <c r="B10128" s="3">
        <v>2256</v>
      </c>
      <c r="C10128" s="1" t="str">
        <f>HYPERLINK("http://www.uniprot.org/uniprot/GBP5_HUMAN","GBP5_HUMAN")</f>
        <v>GBP5_HUMAN</v>
      </c>
      <c r="D10128" t="s">
        <v>7428</v>
      </c>
      <c r="E10128" s="3" t="s">
        <v>28</v>
      </c>
      <c r="F10128" s="4">
        <v>1.15E-26</v>
      </c>
      <c r="G10128" s="3">
        <v>298</v>
      </c>
      <c r="H10128" s="3">
        <v>27</v>
      </c>
      <c r="I10128" s="3">
        <v>400</v>
      </c>
      <c r="J10128" s="3">
        <v>386</v>
      </c>
      <c r="K10128" s="3">
        <v>1498</v>
      </c>
      <c r="L10128" s="3">
        <v>5</v>
      </c>
      <c r="M10128" s="3">
        <v>394</v>
      </c>
    </row>
    <row r="10129" spans="1:13" x14ac:dyDescent="0.25">
      <c r="A10129" s="1" t="str">
        <f>HYPERLINK("http://www.rosaceae.org/Prunus/Prunus_persica/p.persica_gdr_reftransV1_0043885","p.persica_gdr_reftransV1_0043885")</f>
        <v>p.persica_gdr_reftransV1_0043885</v>
      </c>
      <c r="B10129" s="3">
        <v>1579</v>
      </c>
      <c r="C10129" s="1" t="str">
        <f>HYPERLINK("http://www.uniprot.org/uniprot/CI078_MOUSE","CI078_MOUSE")</f>
        <v>CI078_MOUSE</v>
      </c>
      <c r="D10129" t="s">
        <v>892</v>
      </c>
      <c r="E10129" s="3" t="s">
        <v>157</v>
      </c>
      <c r="F10129" s="4">
        <v>4.4800000000000001E-13</v>
      </c>
      <c r="G10129" s="3">
        <v>179</v>
      </c>
      <c r="H10129" s="3">
        <v>37</v>
      </c>
      <c r="I10129" s="3">
        <v>139</v>
      </c>
      <c r="J10129" s="3">
        <v>636</v>
      </c>
      <c r="K10129" s="3">
        <v>1043</v>
      </c>
      <c r="L10129" s="3">
        <v>96</v>
      </c>
      <c r="M10129" s="3">
        <v>232</v>
      </c>
    </row>
    <row r="10130" spans="1:13" x14ac:dyDescent="0.25">
      <c r="A10130" s="1" t="str">
        <f>HYPERLINK("http://www.rosaceae.org/Prunus/Prunus_persica/p.persica_gdr_reftransV1_0043985","p.persica_gdr_reftransV1_0043985")</f>
        <v>p.persica_gdr_reftransV1_0043985</v>
      </c>
      <c r="B10130" s="3">
        <v>429</v>
      </c>
      <c r="C10130" s="1" t="str">
        <f>HYPERLINK("http://www.uniprot.org/uniprot/GEX2_ARATH","GEX2_ARATH")</f>
        <v>GEX2_ARATH</v>
      </c>
      <c r="D10130" t="s">
        <v>5862</v>
      </c>
      <c r="E10130" s="3" t="s">
        <v>3</v>
      </c>
      <c r="F10130" s="4">
        <v>1.76E-56</v>
      </c>
      <c r="G10130" s="3">
        <v>491</v>
      </c>
      <c r="H10130" s="3">
        <v>60</v>
      </c>
      <c r="I10130" s="3">
        <v>142</v>
      </c>
      <c r="J10130" s="3">
        <v>2</v>
      </c>
      <c r="K10130" s="3">
        <v>427</v>
      </c>
      <c r="L10130" s="3">
        <v>725</v>
      </c>
      <c r="M10130" s="3">
        <v>866</v>
      </c>
    </row>
    <row r="10131" spans="1:13" x14ac:dyDescent="0.25">
      <c r="A10131" s="1" t="str">
        <f>HYPERLINK("http://www.rosaceae.org/Prunus/Prunus_persica/p.persica_gdr_reftransV1_0044135","p.persica_gdr_reftransV1_0044135")</f>
        <v>p.persica_gdr_reftransV1_0044135</v>
      </c>
      <c r="B10131" s="3">
        <v>600</v>
      </c>
      <c r="C10131" s="1" t="str">
        <f>HYPERLINK("http://www.uniprot.org/uniprot/EPFL1_ARATH","EPFL1_ARATH")</f>
        <v>EPFL1_ARATH</v>
      </c>
      <c r="D10131" t="s">
        <v>7429</v>
      </c>
      <c r="E10131" s="3" t="s">
        <v>3</v>
      </c>
      <c r="F10131" s="4">
        <v>1.29E-25</v>
      </c>
      <c r="G10131" s="3">
        <v>251</v>
      </c>
      <c r="H10131" s="3">
        <v>57</v>
      </c>
      <c r="I10131" s="3">
        <v>84</v>
      </c>
      <c r="J10131" s="3">
        <v>192</v>
      </c>
      <c r="K10131" s="3">
        <v>437</v>
      </c>
      <c r="L10131" s="3">
        <v>41</v>
      </c>
      <c r="M10131" s="3">
        <v>122</v>
      </c>
    </row>
    <row r="10132" spans="1:13" x14ac:dyDescent="0.25">
      <c r="A10132" s="1" t="str">
        <f>HYPERLINK("http://www.rosaceae.org/Prunus/Prunus_persica/p.persica_gdr_reftransV1_0044235","p.persica_gdr_reftransV1_0044235")</f>
        <v>p.persica_gdr_reftransV1_0044235</v>
      </c>
      <c r="B10132" s="3">
        <v>331</v>
      </c>
      <c r="C10132" s="1" t="str">
        <f>HYPERLINK("http://www.uniprot.org/uniprot/COF_SHIBS","COF_SHIBS")</f>
        <v>COF_SHIBS</v>
      </c>
      <c r="D10132" t="s">
        <v>7430</v>
      </c>
      <c r="E10132" s="3" t="s">
        <v>7431</v>
      </c>
      <c r="F10132" s="4">
        <v>7.2899999999999995E-73</v>
      </c>
      <c r="G10132" s="3">
        <v>570</v>
      </c>
      <c r="H10132" s="3">
        <v>99</v>
      </c>
      <c r="I10132" s="3">
        <v>110</v>
      </c>
      <c r="J10132" s="3">
        <v>2</v>
      </c>
      <c r="K10132" s="3">
        <v>331</v>
      </c>
      <c r="L10132" s="3">
        <v>11</v>
      </c>
      <c r="M10132" s="3">
        <v>120</v>
      </c>
    </row>
    <row r="10133" spans="1:13" x14ac:dyDescent="0.25">
      <c r="A10133" s="1" t="str">
        <f>HYPERLINK("http://www.rosaceae.org/Prunus/Prunus_persica/p.persica_gdr_reftransV1_0044335","p.persica_gdr_reftransV1_0044335")</f>
        <v>p.persica_gdr_reftransV1_0044335</v>
      </c>
      <c r="B10133" s="3">
        <v>2544</v>
      </c>
      <c r="C10133" s="1" t="str">
        <f>HYPERLINK("http://www.uniprot.org/uniprot/SRF8_ARATH","SRF8_ARATH")</f>
        <v>SRF8_ARATH</v>
      </c>
      <c r="D10133" t="s">
        <v>4239</v>
      </c>
      <c r="E10133" s="3" t="s">
        <v>3</v>
      </c>
      <c r="F10133" s="4">
        <v>2.9900000000000001E-66</v>
      </c>
      <c r="G10133" s="3">
        <v>611</v>
      </c>
      <c r="H10133" s="3">
        <v>30</v>
      </c>
      <c r="I10133" s="3">
        <v>678</v>
      </c>
      <c r="J10133" s="3">
        <v>295</v>
      </c>
      <c r="K10133" s="3">
        <v>2256</v>
      </c>
      <c r="L10133" s="3">
        <v>28</v>
      </c>
      <c r="M10133" s="3">
        <v>669</v>
      </c>
    </row>
    <row r="10134" spans="1:13" x14ac:dyDescent="0.25">
      <c r="A10134" s="1" t="str">
        <f>HYPERLINK("http://www.rosaceae.org/Prunus/Prunus_persica/p.persica_gdr_reftransV1_0044385","p.persica_gdr_reftransV1_0044385")</f>
        <v>p.persica_gdr_reftransV1_0044385</v>
      </c>
      <c r="B10134" s="3">
        <v>1855</v>
      </c>
      <c r="C10134" s="1" t="str">
        <f>HYPERLINK("http://www.uniprot.org/uniprot/FMDA_METME","FMDA_METME")</f>
        <v>FMDA_METME</v>
      </c>
      <c r="D10134" t="s">
        <v>7432</v>
      </c>
      <c r="E10134" s="3" t="s">
        <v>7433</v>
      </c>
      <c r="F10134" s="4">
        <v>3.2E-131</v>
      </c>
      <c r="G10134" s="3">
        <v>1022</v>
      </c>
      <c r="H10134" s="3">
        <v>50</v>
      </c>
      <c r="I10134" s="3">
        <v>427</v>
      </c>
      <c r="J10134" s="3">
        <v>427</v>
      </c>
      <c r="K10134" s="3">
        <v>1707</v>
      </c>
      <c r="L10134" s="3">
        <v>2</v>
      </c>
      <c r="M10134" s="3">
        <v>401</v>
      </c>
    </row>
    <row r="10135" spans="1:13" x14ac:dyDescent="0.25">
      <c r="A10135" s="1" t="str">
        <f>HYPERLINK("http://www.rosaceae.org/Prunus/Prunus_persica/p.persica_gdr_reftransV1_0044435","p.persica_gdr_reftransV1_0044435")</f>
        <v>p.persica_gdr_reftransV1_0044435</v>
      </c>
      <c r="B10135" s="3">
        <v>2425</v>
      </c>
      <c r="C10135" s="1" t="str">
        <f>HYPERLINK("http://www.uniprot.org/uniprot/AGD14_ARATH","AGD14_ARATH")</f>
        <v>AGD14_ARATH</v>
      </c>
      <c r="D10135" t="s">
        <v>5551</v>
      </c>
      <c r="E10135" s="3" t="s">
        <v>3</v>
      </c>
      <c r="F10135" s="4">
        <v>3.4899999999999997E-139</v>
      </c>
      <c r="G10135" s="3">
        <v>1114</v>
      </c>
      <c r="H10135" s="3">
        <v>44</v>
      </c>
      <c r="I10135" s="3">
        <v>662</v>
      </c>
      <c r="J10135" s="3">
        <v>348</v>
      </c>
      <c r="K10135" s="3">
        <v>2303</v>
      </c>
      <c r="L10135" s="3">
        <v>17</v>
      </c>
      <c r="M10135" s="3">
        <v>630</v>
      </c>
    </row>
    <row r="10136" spans="1:13" x14ac:dyDescent="0.25">
      <c r="A10136" s="1" t="str">
        <f>HYPERLINK("http://www.rosaceae.org/Prunus/Prunus_persica/p.persica_gdr_reftransV1_0044485","p.persica_gdr_reftransV1_0044485")</f>
        <v>p.persica_gdr_reftransV1_0044485</v>
      </c>
      <c r="B10136" s="3">
        <v>1873</v>
      </c>
      <c r="C10136" s="1" t="str">
        <f>HYPERLINK("http://www.uniprot.org/uniprot/Y4523_ARATH","Y4523_ARATH")</f>
        <v>Y4523_ARATH</v>
      </c>
      <c r="D10136" t="s">
        <v>140</v>
      </c>
      <c r="E10136" s="3" t="s">
        <v>3</v>
      </c>
      <c r="F10136" s="4">
        <v>0</v>
      </c>
      <c r="G10136" s="3">
        <v>1577</v>
      </c>
      <c r="H10136" s="3">
        <v>63</v>
      </c>
      <c r="I10136" s="3">
        <v>456</v>
      </c>
      <c r="J10136" s="3">
        <v>309</v>
      </c>
      <c r="K10136" s="3">
        <v>1667</v>
      </c>
      <c r="L10136" s="3">
        <v>56</v>
      </c>
      <c r="M10136" s="3">
        <v>510</v>
      </c>
    </row>
    <row r="10137" spans="1:13" x14ac:dyDescent="0.25">
      <c r="A10137" s="1" t="str">
        <f>HYPERLINK("http://www.rosaceae.org/Prunus/Prunus_persica/p.persica_gdr_reftransV1_0044535","p.persica_gdr_reftransV1_0044535")</f>
        <v>p.persica_gdr_reftransV1_0044535</v>
      </c>
      <c r="B10137" s="3">
        <v>506</v>
      </c>
      <c r="C10137" s="1" t="str">
        <f>HYPERLINK("http://www.uniprot.org/uniprot/14KD_DAUCA","14KD_DAUCA")</f>
        <v>14KD_DAUCA</v>
      </c>
      <c r="D10137" t="s">
        <v>777</v>
      </c>
      <c r="E10137" s="3" t="s">
        <v>32</v>
      </c>
      <c r="F10137" s="4">
        <v>3.5700000000000001E-31</v>
      </c>
      <c r="G10137" s="3">
        <v>288</v>
      </c>
      <c r="H10137" s="3">
        <v>67</v>
      </c>
      <c r="I10137" s="3">
        <v>83</v>
      </c>
      <c r="J10137" s="3">
        <v>192</v>
      </c>
      <c r="K10137" s="3">
        <v>440</v>
      </c>
      <c r="L10137" s="3">
        <v>54</v>
      </c>
      <c r="M10137" s="3">
        <v>136</v>
      </c>
    </row>
    <row r="10138" spans="1:13" x14ac:dyDescent="0.25">
      <c r="A10138" s="1" t="str">
        <f>HYPERLINK("http://www.rosaceae.org/Prunus/Prunus_persica/p.persica_gdr_reftransV1_0044585","p.persica_gdr_reftransV1_0044585")</f>
        <v>p.persica_gdr_reftransV1_0044585</v>
      </c>
      <c r="B10138" s="3">
        <v>694</v>
      </c>
      <c r="C10138" s="1" t="str">
        <f>HYPERLINK("http://www.uniprot.org/uniprot/WRI1_ARATH","WRI1_ARATH")</f>
        <v>WRI1_ARATH</v>
      </c>
      <c r="D10138" t="s">
        <v>5703</v>
      </c>
      <c r="E10138" s="3" t="s">
        <v>3</v>
      </c>
      <c r="F10138" s="4">
        <v>6.15E-19</v>
      </c>
      <c r="G10138" s="3">
        <v>218</v>
      </c>
      <c r="H10138" s="3">
        <v>93</v>
      </c>
      <c r="I10138" s="3">
        <v>55</v>
      </c>
      <c r="J10138" s="3">
        <v>1</v>
      </c>
      <c r="K10138" s="3">
        <v>165</v>
      </c>
      <c r="L10138" s="3">
        <v>182</v>
      </c>
      <c r="M10138" s="3">
        <v>236</v>
      </c>
    </row>
    <row r="10139" spans="1:13" x14ac:dyDescent="0.25">
      <c r="A10139" s="1" t="str">
        <f>HYPERLINK("http://www.rosaceae.org/Prunus/Prunus_persica/p.persica_gdr_reftransV1_0044635","p.persica_gdr_reftransV1_0044635")</f>
        <v>p.persica_gdr_reftransV1_0044635</v>
      </c>
      <c r="B10139" s="3">
        <v>1451</v>
      </c>
      <c r="C10139" s="1" t="str">
        <f>HYPERLINK("http://www.uniprot.org/uniprot/Y1491_ARATH","Y1491_ARATH")</f>
        <v>Y1491_ARATH</v>
      </c>
      <c r="D10139" t="s">
        <v>310</v>
      </c>
      <c r="E10139" s="3" t="s">
        <v>3</v>
      </c>
      <c r="F10139" s="4">
        <v>9.7099999999999995E-79</v>
      </c>
      <c r="G10139" s="3">
        <v>666</v>
      </c>
      <c r="H10139" s="3">
        <v>40</v>
      </c>
      <c r="I10139" s="3">
        <v>362</v>
      </c>
      <c r="J10139" s="3">
        <v>2</v>
      </c>
      <c r="K10139" s="3">
        <v>1063</v>
      </c>
      <c r="L10139" s="3">
        <v>62</v>
      </c>
      <c r="M10139" s="3">
        <v>414</v>
      </c>
    </row>
    <row r="10140" spans="1:13" x14ac:dyDescent="0.25">
      <c r="A10140" s="1" t="str">
        <f>HYPERLINK("http://www.rosaceae.org/Prunus/Prunus_persica/p.persica_gdr_reftransV1_0044735","p.persica_gdr_reftransV1_0044735")</f>
        <v>p.persica_gdr_reftransV1_0044735</v>
      </c>
      <c r="B10140" s="3">
        <v>842</v>
      </c>
      <c r="C10140" s="1" t="str">
        <f>HYPERLINK("http://www.uniprot.org/uniprot/DIR19_ARATH","DIR19_ARATH")</f>
        <v>DIR19_ARATH</v>
      </c>
      <c r="D10140" t="s">
        <v>7434</v>
      </c>
      <c r="E10140" s="3" t="s">
        <v>3</v>
      </c>
      <c r="F10140" s="4">
        <v>1.0400000000000001E-68</v>
      </c>
      <c r="G10140" s="3">
        <v>553</v>
      </c>
      <c r="H10140" s="3">
        <v>63</v>
      </c>
      <c r="I10140" s="3">
        <v>160</v>
      </c>
      <c r="J10140" s="3">
        <v>216</v>
      </c>
      <c r="K10140" s="3">
        <v>689</v>
      </c>
      <c r="L10140" s="3">
        <v>26</v>
      </c>
      <c r="M10140" s="3">
        <v>185</v>
      </c>
    </row>
    <row r="10141" spans="1:13" x14ac:dyDescent="0.25">
      <c r="A10141" s="1" t="str">
        <f>HYPERLINK("http://www.rosaceae.org/Prunus/Prunus_persica/p.persica_gdr_reftransV1_0044785","p.persica_gdr_reftransV1_0044785")</f>
        <v>p.persica_gdr_reftransV1_0044785</v>
      </c>
      <c r="B10141" s="3">
        <v>704</v>
      </c>
      <c r="C10141" s="1" t="str">
        <f>HYPERLINK("http://www.uniprot.org/uniprot/CIGR2_ORYSJ","CIGR2_ORYSJ")</f>
        <v>CIGR2_ORYSJ</v>
      </c>
      <c r="D10141" t="s">
        <v>7435</v>
      </c>
      <c r="E10141" s="3" t="s">
        <v>38</v>
      </c>
      <c r="F10141" s="4">
        <v>6.3400000000000002E-13</v>
      </c>
      <c r="G10141" s="3">
        <v>173</v>
      </c>
      <c r="H10141" s="3">
        <v>42</v>
      </c>
      <c r="I10141" s="3">
        <v>108</v>
      </c>
      <c r="J10141" s="3">
        <v>7</v>
      </c>
      <c r="K10141" s="3">
        <v>324</v>
      </c>
      <c r="L10141" s="3">
        <v>71</v>
      </c>
      <c r="M10141" s="3">
        <v>163</v>
      </c>
    </row>
    <row r="10142" spans="1:13" x14ac:dyDescent="0.25">
      <c r="A10142" s="1" t="str">
        <f>HYPERLINK("http://www.rosaceae.org/Prunus/Prunus_persica/p.persica_gdr_reftransV1_0044835","p.persica_gdr_reftransV1_0044835")</f>
        <v>p.persica_gdr_reftransV1_0044835</v>
      </c>
      <c r="B10142" s="3">
        <v>1642</v>
      </c>
      <c r="C10142" s="1" t="str">
        <f>HYPERLINK("http://www.uniprot.org/uniprot/Y5986_ARATH","Y5986_ARATH")</f>
        <v>Y5986_ARATH</v>
      </c>
      <c r="D10142" t="s">
        <v>4689</v>
      </c>
      <c r="E10142" s="3" t="s">
        <v>3</v>
      </c>
      <c r="F10142" s="4">
        <v>1.6000000000000001E-30</v>
      </c>
      <c r="G10142" s="3">
        <v>317</v>
      </c>
      <c r="H10142" s="3">
        <v>42</v>
      </c>
      <c r="I10142" s="3">
        <v>167</v>
      </c>
      <c r="J10142" s="3">
        <v>338</v>
      </c>
      <c r="K10142" s="3">
        <v>778</v>
      </c>
      <c r="L10142" s="3">
        <v>223</v>
      </c>
      <c r="M10142" s="3">
        <v>389</v>
      </c>
    </row>
    <row r="10143" spans="1:13" x14ac:dyDescent="0.25">
      <c r="A10143" s="1" t="str">
        <f>HYPERLINK("http://www.rosaceae.org/Prunus/Prunus_persica/p.persica_gdr_reftransV1_0044885","p.persica_gdr_reftransV1_0044885")</f>
        <v>p.persica_gdr_reftransV1_0044885</v>
      </c>
      <c r="B10143" s="3">
        <v>669</v>
      </c>
      <c r="C10143" s="1" t="str">
        <f>HYPERLINK("http://www.uniprot.org/uniprot/PYRD_ARATH","PYRD_ARATH")</f>
        <v>PYRD_ARATH</v>
      </c>
      <c r="D10143" t="s">
        <v>7436</v>
      </c>
      <c r="E10143" s="3" t="s">
        <v>3</v>
      </c>
      <c r="F10143" s="4">
        <v>2.98E-55</v>
      </c>
      <c r="G10143" s="3">
        <v>478</v>
      </c>
      <c r="H10143" s="3">
        <v>81</v>
      </c>
      <c r="I10143" s="3">
        <v>108</v>
      </c>
      <c r="J10143" s="3">
        <v>2</v>
      </c>
      <c r="K10143" s="3">
        <v>325</v>
      </c>
      <c r="L10143" s="3">
        <v>353</v>
      </c>
      <c r="M10143" s="3">
        <v>460</v>
      </c>
    </row>
    <row r="10144" spans="1:13" x14ac:dyDescent="0.25">
      <c r="A10144" s="1" t="str">
        <f>HYPERLINK("http://www.rosaceae.org/Prunus/Prunus_persica/p.persica_gdr_reftransV1_0044985","p.persica_gdr_reftransV1_0044985")</f>
        <v>p.persica_gdr_reftransV1_0044985</v>
      </c>
      <c r="B10144" s="3">
        <v>1195</v>
      </c>
      <c r="C10144" s="1" t="str">
        <f>HYPERLINK("http://www.uniprot.org/uniprot/SURE_DESHY","SURE_DESHY")</f>
        <v>SURE_DESHY</v>
      </c>
      <c r="D10144" t="s">
        <v>7437</v>
      </c>
      <c r="E10144" s="3" t="s">
        <v>7438</v>
      </c>
      <c r="F10144" s="4">
        <v>6.9400000000000002E-19</v>
      </c>
      <c r="G10144" s="3">
        <v>219</v>
      </c>
      <c r="H10144" s="3">
        <v>39</v>
      </c>
      <c r="I10144" s="3">
        <v>150</v>
      </c>
      <c r="J10144" s="3">
        <v>501</v>
      </c>
      <c r="K10144" s="3">
        <v>950</v>
      </c>
      <c r="L10144" s="3">
        <v>3</v>
      </c>
      <c r="M10144" s="3">
        <v>148</v>
      </c>
    </row>
    <row r="10145" spans="1:13" x14ac:dyDescent="0.25">
      <c r="A10145" s="1" t="str">
        <f>HYPERLINK("http://www.rosaceae.org/Prunus/Prunus_persica/p.persica_gdr_reftransV1_0045335","p.persica_gdr_reftransV1_0045335")</f>
        <v>p.persica_gdr_reftransV1_0045335</v>
      </c>
      <c r="B10145" s="3">
        <v>1599</v>
      </c>
      <c r="C10145" s="1" t="str">
        <f>HYPERLINK("http://www.uniprot.org/uniprot/FIP37_ARATH","FIP37_ARATH")</f>
        <v>FIP37_ARATH</v>
      </c>
      <c r="D10145" t="s">
        <v>7439</v>
      </c>
      <c r="E10145" s="3" t="s">
        <v>3</v>
      </c>
      <c r="F10145" s="4">
        <v>1.28E-82</v>
      </c>
      <c r="G10145" s="3">
        <v>681</v>
      </c>
      <c r="H10145" s="3">
        <v>75</v>
      </c>
      <c r="I10145" s="3">
        <v>217</v>
      </c>
      <c r="J10145" s="3">
        <v>645</v>
      </c>
      <c r="K10145" s="3">
        <v>1295</v>
      </c>
      <c r="L10145" s="3">
        <v>45</v>
      </c>
      <c r="M10145" s="3">
        <v>261</v>
      </c>
    </row>
    <row r="10146" spans="1:13" x14ac:dyDescent="0.25">
      <c r="A10146" s="1" t="str">
        <f>HYPERLINK("http://www.rosaceae.org/Prunus/Prunus_persica/p.persica_gdr_reftransV1_0045385","p.persica_gdr_reftransV1_0045385")</f>
        <v>p.persica_gdr_reftransV1_0045385</v>
      </c>
      <c r="B10146" s="3">
        <v>1562</v>
      </c>
      <c r="C10146" s="1" t="str">
        <f>HYPERLINK("http://www.uniprot.org/uniprot/MAOX_VITVI","MAOX_VITVI")</f>
        <v>MAOX_VITVI</v>
      </c>
      <c r="D10146" t="s">
        <v>5046</v>
      </c>
      <c r="E10146" s="3" t="s">
        <v>362</v>
      </c>
      <c r="F10146" s="4">
        <v>1.5899999999999999E-138</v>
      </c>
      <c r="G10146" s="3">
        <v>1079</v>
      </c>
      <c r="H10146" s="3">
        <v>81</v>
      </c>
      <c r="I10146" s="3">
        <v>242</v>
      </c>
      <c r="J10146" s="3">
        <v>290</v>
      </c>
      <c r="K10146" s="3">
        <v>1015</v>
      </c>
      <c r="L10146" s="3">
        <v>341</v>
      </c>
      <c r="M10146" s="3">
        <v>582</v>
      </c>
    </row>
    <row r="10147" spans="1:13" x14ac:dyDescent="0.25">
      <c r="A10147" s="1" t="str">
        <f>HYPERLINK("http://www.rosaceae.org/Prunus/Prunus_persica/p.persica_gdr_reftransV1_0045435","p.persica_gdr_reftransV1_0045435")</f>
        <v>p.persica_gdr_reftransV1_0045435</v>
      </c>
      <c r="B10147" s="3">
        <v>349</v>
      </c>
      <c r="C10147" s="1" t="str">
        <f>HYPERLINK("http://www.uniprot.org/uniprot/ALDOA_RABIT","ALDOA_RABIT")</f>
        <v>ALDOA_RABIT</v>
      </c>
      <c r="D10147" t="s">
        <v>7440</v>
      </c>
      <c r="E10147" s="3" t="s">
        <v>6501</v>
      </c>
      <c r="F10147" s="4">
        <v>1.96E-78</v>
      </c>
      <c r="G10147" s="3">
        <v>616</v>
      </c>
      <c r="H10147" s="3">
        <v>98</v>
      </c>
      <c r="I10147" s="3">
        <v>116</v>
      </c>
      <c r="J10147" s="3">
        <v>1</v>
      </c>
      <c r="K10147" s="3">
        <v>348</v>
      </c>
      <c r="L10147" s="3">
        <v>181</v>
      </c>
      <c r="M10147" s="3">
        <v>296</v>
      </c>
    </row>
    <row r="10148" spans="1:13" x14ac:dyDescent="0.25">
      <c r="A10148" s="1" t="str">
        <f>HYPERLINK("http://www.rosaceae.org/Prunus/Prunus_persica/p.persica_gdr_reftransV1_0045485","p.persica_gdr_reftransV1_0045485")</f>
        <v>p.persica_gdr_reftransV1_0045485</v>
      </c>
      <c r="B10148" s="3">
        <v>1260</v>
      </c>
      <c r="C10148" s="1" t="str">
        <f>HYPERLINK("http://www.uniprot.org/uniprot/FBW2_ARATH","FBW2_ARATH")</f>
        <v>FBW2_ARATH</v>
      </c>
      <c r="D10148" t="s">
        <v>7441</v>
      </c>
      <c r="E10148" s="3" t="s">
        <v>3</v>
      </c>
      <c r="F10148" s="4">
        <v>1.2999999999999999E-71</v>
      </c>
      <c r="G10148" s="3">
        <v>575</v>
      </c>
      <c r="H10148" s="3">
        <v>62</v>
      </c>
      <c r="I10148" s="3">
        <v>181</v>
      </c>
      <c r="J10148" s="3">
        <v>600</v>
      </c>
      <c r="K10148" s="3">
        <v>1139</v>
      </c>
      <c r="L10148" s="3">
        <v>1</v>
      </c>
      <c r="M10148" s="3">
        <v>181</v>
      </c>
    </row>
    <row r="10149" spans="1:13" x14ac:dyDescent="0.25">
      <c r="A10149" s="1" t="str">
        <f>HYPERLINK("http://www.rosaceae.org/Prunus/Prunus_persica/p.persica_gdr_reftransV1_0045585","p.persica_gdr_reftransV1_0045585")</f>
        <v>p.persica_gdr_reftransV1_0045585</v>
      </c>
      <c r="B10149" s="3">
        <v>1377</v>
      </c>
      <c r="C10149" s="1" t="str">
        <f>HYPERLINK("http://www.uniprot.org/uniprot/VDAC1_SOLTU","VDAC1_SOLTU")</f>
        <v>VDAC1_SOLTU</v>
      </c>
      <c r="D10149" t="s">
        <v>7442</v>
      </c>
      <c r="E10149" s="3" t="s">
        <v>11</v>
      </c>
      <c r="F10149" s="4">
        <v>1.41E-161</v>
      </c>
      <c r="G10149" s="3">
        <v>1195</v>
      </c>
      <c r="H10149" s="3">
        <v>79</v>
      </c>
      <c r="I10149" s="3">
        <v>278</v>
      </c>
      <c r="J10149" s="3">
        <v>139</v>
      </c>
      <c r="K10149" s="3">
        <v>972</v>
      </c>
      <c r="L10149" s="3">
        <v>1</v>
      </c>
      <c r="M10149" s="3">
        <v>276</v>
      </c>
    </row>
    <row r="10150" spans="1:13" x14ac:dyDescent="0.25">
      <c r="A10150" s="1" t="str">
        <f>HYPERLINK("http://www.rosaceae.org/Prunus/Prunus_persica/p.persica_gdr_reftransV1_0045635","p.persica_gdr_reftransV1_0045635")</f>
        <v>p.persica_gdr_reftransV1_0045635</v>
      </c>
      <c r="B10150" s="3">
        <v>1819</v>
      </c>
      <c r="C10150" s="1" t="str">
        <f>HYPERLINK("http://www.uniprot.org/uniprot/TIF8_ARATH","TIF8_ARATH")</f>
        <v>TIF8_ARATH</v>
      </c>
      <c r="D10150" t="s">
        <v>7443</v>
      </c>
      <c r="E10150" s="3" t="s">
        <v>3</v>
      </c>
      <c r="F10150" s="4">
        <v>1.8300000000000002E-46</v>
      </c>
      <c r="G10150" s="3">
        <v>436</v>
      </c>
      <c r="H10150" s="3">
        <v>38</v>
      </c>
      <c r="I10150" s="3">
        <v>411</v>
      </c>
      <c r="J10150" s="3">
        <v>293</v>
      </c>
      <c r="K10150" s="3">
        <v>1483</v>
      </c>
      <c r="L10150" s="3">
        <v>27</v>
      </c>
      <c r="M10150" s="3">
        <v>356</v>
      </c>
    </row>
    <row r="10151" spans="1:13" x14ac:dyDescent="0.25">
      <c r="A10151" s="1" t="str">
        <f>HYPERLINK("http://www.rosaceae.org/Prunus/Prunus_persica/p.persica_gdr_reftransV1_0045785","p.persica_gdr_reftransV1_0045785")</f>
        <v>p.persica_gdr_reftransV1_0045785</v>
      </c>
      <c r="B10151" s="3">
        <v>2674</v>
      </c>
      <c r="C10151" s="1" t="str">
        <f>HYPERLINK("http://www.uniprot.org/uniprot/TMKL1_ARATH","TMKL1_ARATH")</f>
        <v>TMKL1_ARATH</v>
      </c>
      <c r="D10151" t="s">
        <v>3055</v>
      </c>
      <c r="E10151" s="3" t="s">
        <v>3</v>
      </c>
      <c r="F10151" s="4">
        <v>0</v>
      </c>
      <c r="G10151" s="3">
        <v>1903</v>
      </c>
      <c r="H10151" s="3">
        <v>76</v>
      </c>
      <c r="I10151" s="3">
        <v>488</v>
      </c>
      <c r="J10151" s="3">
        <v>1</v>
      </c>
      <c r="K10151" s="3">
        <v>1461</v>
      </c>
      <c r="L10151" s="3">
        <v>189</v>
      </c>
      <c r="M10151" s="3">
        <v>674</v>
      </c>
    </row>
    <row r="10152" spans="1:13" x14ac:dyDescent="0.25">
      <c r="A10152" s="1" t="str">
        <f>HYPERLINK("http://www.rosaceae.org/Prunus/Prunus_persica/p.persica_gdr_reftransV1_0045885","p.persica_gdr_reftransV1_0045885")</f>
        <v>p.persica_gdr_reftransV1_0045885</v>
      </c>
      <c r="B10152" s="3">
        <v>1426</v>
      </c>
      <c r="C10152" s="1" t="str">
        <f>HYPERLINK("http://www.uniprot.org/uniprot/LBD38_ARATH","LBD38_ARATH")</f>
        <v>LBD38_ARATH</v>
      </c>
      <c r="D10152" t="s">
        <v>7444</v>
      </c>
      <c r="E10152" s="3" t="s">
        <v>3</v>
      </c>
      <c r="F10152" s="4">
        <v>7.5099999999999999E-78</v>
      </c>
      <c r="G10152" s="3">
        <v>637</v>
      </c>
      <c r="H10152" s="3">
        <v>58</v>
      </c>
      <c r="I10152" s="3">
        <v>259</v>
      </c>
      <c r="J10152" s="3">
        <v>389</v>
      </c>
      <c r="K10152" s="3">
        <v>1144</v>
      </c>
      <c r="L10152" s="3">
        <v>1</v>
      </c>
      <c r="M10152" s="3">
        <v>246</v>
      </c>
    </row>
    <row r="10153" spans="1:13" x14ac:dyDescent="0.25">
      <c r="A10153" s="1" t="str">
        <f>HYPERLINK("http://www.rosaceae.org/Prunus/Prunus_persica/p.persica_gdr_reftransV1_0046185","p.persica_gdr_reftransV1_0046185")</f>
        <v>p.persica_gdr_reftransV1_0046185</v>
      </c>
      <c r="B10153" s="3">
        <v>1313</v>
      </c>
      <c r="C10153" s="1" t="str">
        <f>HYPERLINK("http://www.uniprot.org/uniprot/JOIN_SOLLC","JOIN_SOLLC")</f>
        <v>JOIN_SOLLC</v>
      </c>
      <c r="D10153" t="s">
        <v>2718</v>
      </c>
      <c r="E10153" s="3" t="s">
        <v>64</v>
      </c>
      <c r="F10153" s="4">
        <v>1.02E-54</v>
      </c>
      <c r="G10153" s="3">
        <v>479</v>
      </c>
      <c r="H10153" s="3">
        <v>49</v>
      </c>
      <c r="I10153" s="3">
        <v>236</v>
      </c>
      <c r="J10153" s="3">
        <v>275</v>
      </c>
      <c r="K10153" s="3">
        <v>973</v>
      </c>
      <c r="L10153" s="3">
        <v>12</v>
      </c>
      <c r="M10153" s="3">
        <v>245</v>
      </c>
    </row>
    <row r="10154" spans="1:13" x14ac:dyDescent="0.25">
      <c r="A10154" s="1" t="str">
        <f>HYPERLINK("http://www.rosaceae.org/Prunus/Prunus_persica/p.persica_gdr_reftransV1_0046335","p.persica_gdr_reftransV1_0046335")</f>
        <v>p.persica_gdr_reftransV1_0046335</v>
      </c>
      <c r="B10154" s="3">
        <v>723</v>
      </c>
      <c r="C10154" s="1" t="str">
        <f>HYPERLINK("http://www.uniprot.org/uniprot/EPFL4_ARATH","EPFL4_ARATH")</f>
        <v>EPFL4_ARATH</v>
      </c>
      <c r="D10154" t="s">
        <v>7445</v>
      </c>
      <c r="E10154" s="3" t="s">
        <v>3</v>
      </c>
      <c r="F10154" s="4">
        <v>2.1900000000000002E-25</v>
      </c>
      <c r="G10154" s="3">
        <v>252</v>
      </c>
      <c r="H10154" s="3">
        <v>88</v>
      </c>
      <c r="I10154" s="3">
        <v>50</v>
      </c>
      <c r="J10154" s="3">
        <v>277</v>
      </c>
      <c r="K10154" s="3">
        <v>426</v>
      </c>
      <c r="L10154" s="3">
        <v>60</v>
      </c>
      <c r="M10154" s="3">
        <v>109</v>
      </c>
    </row>
    <row r="10155" spans="1:13" x14ac:dyDescent="0.25">
      <c r="A10155" s="1" t="str">
        <f>HYPERLINK("http://www.rosaceae.org/Prunus/Prunus_persica/p.persica_gdr_reftransV1_0046385","p.persica_gdr_reftransV1_0046385")</f>
        <v>p.persica_gdr_reftransV1_0046385</v>
      </c>
      <c r="B10155" s="3">
        <v>1164</v>
      </c>
      <c r="C10155" s="1" t="str">
        <f>HYPERLINK("http://www.uniprot.org/uniprot/IAA16_ARATH","IAA16_ARATH")</f>
        <v>IAA16_ARATH</v>
      </c>
      <c r="D10155" t="s">
        <v>7446</v>
      </c>
      <c r="E10155" s="3" t="s">
        <v>3</v>
      </c>
      <c r="F10155" s="4">
        <v>6.8999999999999998E-101</v>
      </c>
      <c r="G10155" s="3">
        <v>782</v>
      </c>
      <c r="H10155" s="3">
        <v>65</v>
      </c>
      <c r="I10155" s="3">
        <v>255</v>
      </c>
      <c r="J10155" s="3">
        <v>153</v>
      </c>
      <c r="K10155" s="3">
        <v>872</v>
      </c>
      <c r="L10155" s="3">
        <v>1</v>
      </c>
      <c r="M10155" s="3">
        <v>235</v>
      </c>
    </row>
    <row r="10156" spans="1:13" x14ac:dyDescent="0.25">
      <c r="A10156" s="1" t="str">
        <f>HYPERLINK("http://www.rosaceae.org/Prunus/Prunus_persica/p.persica_gdr_reftransV1_0046435","p.persica_gdr_reftransV1_0046435")</f>
        <v>p.persica_gdr_reftransV1_0046435</v>
      </c>
      <c r="B10156" s="3">
        <v>2185</v>
      </c>
      <c r="C10156" s="1" t="str">
        <f>HYPERLINK("http://www.uniprot.org/uniprot/BCS1B_DICDI","BCS1B_DICDI")</f>
        <v>BCS1B_DICDI</v>
      </c>
      <c r="D10156" t="s">
        <v>2777</v>
      </c>
      <c r="E10156" s="3" t="s">
        <v>9</v>
      </c>
      <c r="F10156" s="4">
        <v>8.5900000000000004E-30</v>
      </c>
      <c r="G10156" s="3">
        <v>318</v>
      </c>
      <c r="H10156" s="3">
        <v>32</v>
      </c>
      <c r="I10156" s="3">
        <v>308</v>
      </c>
      <c r="J10156" s="3">
        <v>794</v>
      </c>
      <c r="K10156" s="3">
        <v>1708</v>
      </c>
      <c r="L10156" s="3">
        <v>168</v>
      </c>
      <c r="M10156" s="3">
        <v>457</v>
      </c>
    </row>
    <row r="10157" spans="1:13" x14ac:dyDescent="0.25">
      <c r="A10157" s="1" t="str">
        <f>HYPERLINK("http://www.rosaceae.org/Prunus/Prunus_persica/p.persica_gdr_reftransV1_0046485","p.persica_gdr_reftransV1_0046485")</f>
        <v>p.persica_gdr_reftransV1_0046485</v>
      </c>
      <c r="B10157" s="3">
        <v>899</v>
      </c>
      <c r="C10157" s="1" t="str">
        <f>HYPERLINK("http://www.uniprot.org/uniprot/B3GT2_ARATH","B3GT2_ARATH")</f>
        <v>B3GT2_ARATH</v>
      </c>
      <c r="D10157" t="s">
        <v>3163</v>
      </c>
      <c r="E10157" s="3" t="s">
        <v>3</v>
      </c>
      <c r="F10157" s="4">
        <v>1.6900000000000001E-97</v>
      </c>
      <c r="G10157" s="3">
        <v>767</v>
      </c>
      <c r="H10157" s="3">
        <v>80</v>
      </c>
      <c r="I10157" s="3">
        <v>168</v>
      </c>
      <c r="J10157" s="3">
        <v>2</v>
      </c>
      <c r="K10157" s="3">
        <v>505</v>
      </c>
      <c r="L10157" s="3">
        <v>240</v>
      </c>
      <c r="M10157" s="3">
        <v>407</v>
      </c>
    </row>
    <row r="10158" spans="1:13" x14ac:dyDescent="0.25">
      <c r="A10158" s="1" t="str">
        <f>HYPERLINK("http://www.rosaceae.org/Prunus/Prunus_persica/p.persica_gdr_reftransV1_0046585","p.persica_gdr_reftransV1_0046585")</f>
        <v>p.persica_gdr_reftransV1_0046585</v>
      </c>
      <c r="B10158" s="3">
        <v>551</v>
      </c>
      <c r="C10158" s="1" t="str">
        <f>HYPERLINK("http://www.uniprot.org/uniprot/UFOG6_FRAAN","UFOG6_FRAAN")</f>
        <v>UFOG6_FRAAN</v>
      </c>
      <c r="D10158" t="s">
        <v>757</v>
      </c>
      <c r="E10158" s="3" t="s">
        <v>15</v>
      </c>
      <c r="F10158" s="4">
        <v>8.5200000000000002E-51</v>
      </c>
      <c r="G10158" s="3">
        <v>445</v>
      </c>
      <c r="H10158" s="3">
        <v>49</v>
      </c>
      <c r="I10158" s="3">
        <v>189</v>
      </c>
      <c r="J10158" s="3">
        <v>1</v>
      </c>
      <c r="K10158" s="3">
        <v>549</v>
      </c>
      <c r="L10158" s="3">
        <v>120</v>
      </c>
      <c r="M10158" s="3">
        <v>308</v>
      </c>
    </row>
    <row r="10159" spans="1:13" x14ac:dyDescent="0.25">
      <c r="A10159" s="1" t="str">
        <f>HYPERLINK("http://www.rosaceae.org/Prunus/Prunus_persica/p.persica_gdr_reftransV1_0046685","p.persica_gdr_reftransV1_0046685")</f>
        <v>p.persica_gdr_reftransV1_0046685</v>
      </c>
      <c r="B10159" s="3">
        <v>1259</v>
      </c>
      <c r="C10159" s="1" t="str">
        <f>HYPERLINK("http://www.uniprot.org/uniprot/RETOL_ARATH","RETOL_ARATH")</f>
        <v>RETOL_ARATH</v>
      </c>
      <c r="D10159" t="s">
        <v>4918</v>
      </c>
      <c r="E10159" s="3" t="s">
        <v>3</v>
      </c>
      <c r="F10159" s="4">
        <v>1.0700000000000001E-130</v>
      </c>
      <c r="G10159" s="3">
        <v>1014</v>
      </c>
      <c r="H10159" s="3">
        <v>55</v>
      </c>
      <c r="I10159" s="3">
        <v>392</v>
      </c>
      <c r="J10159" s="3">
        <v>3</v>
      </c>
      <c r="K10159" s="3">
        <v>1172</v>
      </c>
      <c r="L10159" s="3">
        <v>159</v>
      </c>
      <c r="M10159" s="3">
        <v>540</v>
      </c>
    </row>
    <row r="10160" spans="1:13" x14ac:dyDescent="0.25">
      <c r="A10160" s="1" t="str">
        <f>HYPERLINK("http://www.rosaceae.org/Prunus/Prunus_persica/p.persica_gdr_reftransV1_0046735","p.persica_gdr_reftransV1_0046735")</f>
        <v>p.persica_gdr_reftransV1_0046735</v>
      </c>
      <c r="B10160" s="3">
        <v>427</v>
      </c>
      <c r="C10160" s="1" t="str">
        <f>HYPERLINK("http://www.uniprot.org/uniprot/3AT_PERFR","3AT_PERFR")</f>
        <v>3AT_PERFR</v>
      </c>
      <c r="D10160" t="s">
        <v>7447</v>
      </c>
      <c r="E10160" s="3" t="s">
        <v>7381</v>
      </c>
      <c r="F10160" s="4">
        <v>3.39E-17</v>
      </c>
      <c r="G10160" s="3">
        <v>199</v>
      </c>
      <c r="H10160" s="3">
        <v>34</v>
      </c>
      <c r="I10160" s="3">
        <v>119</v>
      </c>
      <c r="J10160" s="3">
        <v>79</v>
      </c>
      <c r="K10160" s="3">
        <v>426</v>
      </c>
      <c r="L10160" s="3">
        <v>229</v>
      </c>
      <c r="M10160" s="3">
        <v>338</v>
      </c>
    </row>
    <row r="10161" spans="1:13" x14ac:dyDescent="0.25">
      <c r="A10161" s="1" t="str">
        <f>HYPERLINK("http://www.rosaceae.org/Prunus/Prunus_persica/p.persica_gdr_reftransV1_0046785","p.persica_gdr_reftransV1_0046785")</f>
        <v>p.persica_gdr_reftransV1_0046785</v>
      </c>
      <c r="B10161" s="3">
        <v>952</v>
      </c>
      <c r="C10161" s="1" t="str">
        <f>HYPERLINK("http://www.uniprot.org/uniprot/PME51_ARATH","PME51_ARATH")</f>
        <v>PME51_ARATH</v>
      </c>
      <c r="D10161" t="s">
        <v>7448</v>
      </c>
      <c r="E10161" s="3" t="s">
        <v>3</v>
      </c>
      <c r="F10161" s="4">
        <v>4.96E-141</v>
      </c>
      <c r="G10161" s="3">
        <v>1071</v>
      </c>
      <c r="H10161" s="3">
        <v>79</v>
      </c>
      <c r="I10161" s="3">
        <v>243</v>
      </c>
      <c r="J10161" s="3">
        <v>1</v>
      </c>
      <c r="K10161" s="3">
        <v>729</v>
      </c>
      <c r="L10161" s="3">
        <v>306</v>
      </c>
      <c r="M10161" s="3">
        <v>548</v>
      </c>
    </row>
    <row r="10162" spans="1:13" x14ac:dyDescent="0.25">
      <c r="A10162" s="1" t="str">
        <f>HYPERLINK("http://www.rosaceae.org/Prunus/Prunus_persica/p.persica_gdr_reftransV1_0046885","p.persica_gdr_reftransV1_0046885")</f>
        <v>p.persica_gdr_reftransV1_0046885</v>
      </c>
      <c r="B10162" s="3">
        <v>491</v>
      </c>
      <c r="C10162" s="1" t="str">
        <f>HYPERLINK("http://www.uniprot.org/uniprot/PTI6_SOLLC","PTI6_SOLLC")</f>
        <v>PTI6_SOLLC</v>
      </c>
      <c r="D10162" t="s">
        <v>2038</v>
      </c>
      <c r="E10162" s="3" t="s">
        <v>64</v>
      </c>
      <c r="F10162" s="4">
        <v>1.6899999999999999E-21</v>
      </c>
      <c r="G10162" s="3">
        <v>227</v>
      </c>
      <c r="H10162" s="3">
        <v>48</v>
      </c>
      <c r="I10162" s="3">
        <v>118</v>
      </c>
      <c r="J10162" s="3">
        <v>1</v>
      </c>
      <c r="K10162" s="3">
        <v>354</v>
      </c>
      <c r="L10162" s="3">
        <v>131</v>
      </c>
      <c r="M10162" s="3">
        <v>244</v>
      </c>
    </row>
    <row r="10163" spans="1:13" x14ac:dyDescent="0.25">
      <c r="A10163" s="1" t="str">
        <f>HYPERLINK("http://www.rosaceae.org/Prunus/Prunus_persica/p.persica_gdr_reftransV1_0046935","p.persica_gdr_reftransV1_0046935")</f>
        <v>p.persica_gdr_reftransV1_0046935</v>
      </c>
      <c r="B10163" s="3">
        <v>1047</v>
      </c>
      <c r="C10163" s="1" t="str">
        <f>HYPERLINK("http://www.uniprot.org/uniprot/idND_VITVI","idND_VITVI")</f>
        <v>idND_VITVI</v>
      </c>
      <c r="D10163" t="s">
        <v>1977</v>
      </c>
      <c r="E10163" s="3" t="s">
        <v>362</v>
      </c>
      <c r="F10163" s="4">
        <v>3.3000000000000001E-126</v>
      </c>
      <c r="G10163" s="3">
        <v>959</v>
      </c>
      <c r="H10163" s="3">
        <v>69</v>
      </c>
      <c r="I10163" s="3">
        <v>263</v>
      </c>
      <c r="J10163" s="3">
        <v>136</v>
      </c>
      <c r="K10163" s="3">
        <v>924</v>
      </c>
      <c r="L10163" s="3">
        <v>143</v>
      </c>
      <c r="M10163" s="3">
        <v>366</v>
      </c>
    </row>
    <row r="10164" spans="1:13" x14ac:dyDescent="0.25">
      <c r="A10164" s="1" t="str">
        <f>HYPERLINK("http://www.rosaceae.org/Prunus/Prunus_persica/p.persica_gdr_reftransV1_0046985","p.persica_gdr_reftransV1_0046985")</f>
        <v>p.persica_gdr_reftransV1_0046985</v>
      </c>
      <c r="B10164" s="3">
        <v>3759</v>
      </c>
      <c r="C10164" s="1" t="str">
        <f>HYPERLINK("http://www.uniprot.org/uniprot/ART3_YEAST","ART3_YEAST")</f>
        <v>ART3_YEAST</v>
      </c>
      <c r="D10164" t="s">
        <v>7449</v>
      </c>
      <c r="E10164" s="3" t="s">
        <v>34</v>
      </c>
      <c r="F10164" s="4">
        <v>3.4699999999999999E-10</v>
      </c>
      <c r="G10164" s="3">
        <v>152</v>
      </c>
      <c r="H10164" s="3">
        <v>77</v>
      </c>
      <c r="I10164" s="3">
        <v>39</v>
      </c>
      <c r="J10164" s="3">
        <v>757</v>
      </c>
      <c r="K10164" s="3">
        <v>873</v>
      </c>
      <c r="L10164" s="3">
        <v>8</v>
      </c>
      <c r="M10164" s="3">
        <v>46</v>
      </c>
    </row>
    <row r="10165" spans="1:13" x14ac:dyDescent="0.25">
      <c r="A10165" s="1" t="str">
        <f>HYPERLINK("http://www.rosaceae.org/Prunus/Prunus_persica/p.persica_gdr_reftransV1_0047035","p.persica_gdr_reftransV1_0047035")</f>
        <v>p.persica_gdr_reftransV1_0047035</v>
      </c>
      <c r="B10165" s="3">
        <v>1926</v>
      </c>
      <c r="C10165" s="1" t="str">
        <f>HYPERLINK("http://www.uniprot.org/uniprot/NAT1_ARATH","NAT1_ARATH")</f>
        <v>NAT1_ARATH</v>
      </c>
      <c r="D10165" t="s">
        <v>6065</v>
      </c>
      <c r="E10165" s="3" t="s">
        <v>3</v>
      </c>
      <c r="F10165" s="4">
        <v>0</v>
      </c>
      <c r="G10165" s="3">
        <v>2338</v>
      </c>
      <c r="H10165" s="3">
        <v>86</v>
      </c>
      <c r="I10165" s="3">
        <v>520</v>
      </c>
      <c r="J10165" s="3">
        <v>279</v>
      </c>
      <c r="K10165" s="3">
        <v>1838</v>
      </c>
      <c r="L10165" s="3">
        <v>1</v>
      </c>
      <c r="M10165" s="3">
        <v>520</v>
      </c>
    </row>
    <row r="10166" spans="1:13" x14ac:dyDescent="0.25">
      <c r="A10166" s="1" t="str">
        <f>HYPERLINK("http://www.rosaceae.org/Prunus/Prunus_persica/p.persica_gdr_reftransV1_0047085","p.persica_gdr_reftransV1_0047085")</f>
        <v>p.persica_gdr_reftransV1_0047085</v>
      </c>
      <c r="B10166" s="3">
        <v>1303</v>
      </c>
      <c r="C10166" s="1" t="str">
        <f>HYPERLINK("http://www.uniprot.org/uniprot/U603_ARATH","U603_ARATH")</f>
        <v>U603_ARATH</v>
      </c>
      <c r="D10166" t="s">
        <v>7450</v>
      </c>
      <c r="E10166" s="3" t="s">
        <v>3</v>
      </c>
      <c r="F10166" s="4">
        <v>2.2300000000000001E-132</v>
      </c>
      <c r="G10166" s="3">
        <v>1001</v>
      </c>
      <c r="H10166" s="3">
        <v>76</v>
      </c>
      <c r="I10166" s="3">
        <v>266</v>
      </c>
      <c r="J10166" s="3">
        <v>304</v>
      </c>
      <c r="K10166" s="3">
        <v>1101</v>
      </c>
      <c r="L10166" s="3">
        <v>25</v>
      </c>
      <c r="M10166" s="3">
        <v>285</v>
      </c>
    </row>
    <row r="10167" spans="1:13" x14ac:dyDescent="0.25">
      <c r="A10167" s="1" t="str">
        <f>HYPERLINK("http://www.rosaceae.org/Prunus/Prunus_persica/p.persica_gdr_reftransV1_0047135","p.persica_gdr_reftransV1_0047135")</f>
        <v>p.persica_gdr_reftransV1_0047135</v>
      </c>
      <c r="B10167" s="3">
        <v>782</v>
      </c>
      <c r="C10167" s="1" t="str">
        <f>HYPERLINK("http://www.uniprot.org/uniprot/ORAV1_MOUSE","ORAV1_MOUSE")</f>
        <v>ORAV1_MOUSE</v>
      </c>
      <c r="D10167" t="s">
        <v>178</v>
      </c>
      <c r="E10167" s="3" t="s">
        <v>157</v>
      </c>
      <c r="F10167" s="4">
        <v>1.1100000000000001E-15</v>
      </c>
      <c r="G10167" s="3">
        <v>184</v>
      </c>
      <c r="H10167" s="3">
        <v>30</v>
      </c>
      <c r="I10167" s="3">
        <v>132</v>
      </c>
      <c r="J10167" s="3">
        <v>282</v>
      </c>
      <c r="K10167" s="3">
        <v>677</v>
      </c>
      <c r="L10167" s="3">
        <v>5</v>
      </c>
      <c r="M10167" s="3">
        <v>136</v>
      </c>
    </row>
    <row r="10168" spans="1:13" x14ac:dyDescent="0.25">
      <c r="A10168" s="1" t="str">
        <f>HYPERLINK("http://www.rosaceae.org/Prunus/Prunus_persica/p.persica_gdr_reftransV1_0047435","p.persica_gdr_reftransV1_0047435")</f>
        <v>p.persica_gdr_reftransV1_0047435</v>
      </c>
      <c r="B10168" s="3">
        <v>592</v>
      </c>
      <c r="C10168" s="1" t="str">
        <f>HYPERLINK("http://www.uniprot.org/uniprot/OHP1_ORYSJ","OHP1_ORYSJ")</f>
        <v>OHP1_ORYSJ</v>
      </c>
      <c r="D10168" t="s">
        <v>7105</v>
      </c>
      <c r="E10168" s="3" t="s">
        <v>38</v>
      </c>
      <c r="F10168" s="4">
        <v>9.6199999999999993E-15</v>
      </c>
      <c r="G10168" s="3">
        <v>176</v>
      </c>
      <c r="H10168" s="3">
        <v>28</v>
      </c>
      <c r="I10168" s="3">
        <v>119</v>
      </c>
      <c r="J10168" s="3">
        <v>3</v>
      </c>
      <c r="K10168" s="3">
        <v>359</v>
      </c>
      <c r="L10168" s="3">
        <v>22</v>
      </c>
      <c r="M10168" s="3">
        <v>140</v>
      </c>
    </row>
    <row r="10169" spans="1:13" x14ac:dyDescent="0.25">
      <c r="A10169" s="1" t="str">
        <f>HYPERLINK("http://www.rosaceae.org/Prunus/Prunus_persica/p.persica_gdr_reftransV1_0047485","p.persica_gdr_reftransV1_0047485")</f>
        <v>p.persica_gdr_reftransV1_0047485</v>
      </c>
      <c r="B10169" s="3">
        <v>438</v>
      </c>
      <c r="C10169" s="1" t="str">
        <f>HYPERLINK("http://www.uniprot.org/uniprot/OPF17_ARATH","OPF17_ARATH")</f>
        <v>OPF17_ARATH</v>
      </c>
      <c r="D10169" t="s">
        <v>7451</v>
      </c>
      <c r="E10169" s="3" t="s">
        <v>3</v>
      </c>
      <c r="F10169" s="4">
        <v>2.32E-31</v>
      </c>
      <c r="G10169" s="3">
        <v>291</v>
      </c>
      <c r="H10169" s="3">
        <v>50</v>
      </c>
      <c r="I10169" s="3">
        <v>110</v>
      </c>
      <c r="J10169" s="3">
        <v>64</v>
      </c>
      <c r="K10169" s="3">
        <v>342</v>
      </c>
      <c r="L10169" s="3">
        <v>82</v>
      </c>
      <c r="M10169" s="3">
        <v>191</v>
      </c>
    </row>
    <row r="10170" spans="1:13" x14ac:dyDescent="0.25">
      <c r="A10170" s="1" t="str">
        <f>HYPERLINK("http://www.rosaceae.org/Prunus/Prunus_persica/p.persica_gdr_reftransV1_0047535","p.persica_gdr_reftransV1_0047535")</f>
        <v>p.persica_gdr_reftransV1_0047535</v>
      </c>
      <c r="B10170" s="3">
        <v>544</v>
      </c>
      <c r="C10170" s="1" t="str">
        <f>HYPERLINK("http://www.uniprot.org/uniprot/DEF_SOYBN","DEF_SOYBN")</f>
        <v>DEF_SOYBN</v>
      </c>
      <c r="D10170" t="s">
        <v>7452</v>
      </c>
      <c r="E10170" s="3" t="s">
        <v>307</v>
      </c>
      <c r="F10170" s="4">
        <v>4.6299999999999998E-11</v>
      </c>
      <c r="G10170" s="3">
        <v>144</v>
      </c>
      <c r="H10170" s="3">
        <v>66</v>
      </c>
      <c r="I10170" s="3">
        <v>53</v>
      </c>
      <c r="J10170" s="3">
        <v>77</v>
      </c>
      <c r="K10170" s="3">
        <v>235</v>
      </c>
      <c r="L10170" s="3">
        <v>4</v>
      </c>
      <c r="M10170" s="3">
        <v>55</v>
      </c>
    </row>
    <row r="10171" spans="1:13" x14ac:dyDescent="0.25">
      <c r="A10171" s="1" t="str">
        <f>HYPERLINK("http://www.rosaceae.org/Prunus/Prunus_persica/p.persica_gdr_reftransV1_0047585","p.persica_gdr_reftransV1_0047585")</f>
        <v>p.persica_gdr_reftransV1_0047585</v>
      </c>
      <c r="B10171" s="3">
        <v>2084</v>
      </c>
      <c r="C10171" s="1" t="str">
        <f>HYPERLINK("http://www.uniprot.org/uniprot/Y1154_ARATH","Y1154_ARATH")</f>
        <v>Y1154_ARATH</v>
      </c>
      <c r="D10171" t="s">
        <v>2604</v>
      </c>
      <c r="E10171" s="3" t="s">
        <v>3</v>
      </c>
      <c r="F10171" s="4">
        <v>0</v>
      </c>
      <c r="G10171" s="3">
        <v>1531</v>
      </c>
      <c r="H10171" s="3">
        <v>61</v>
      </c>
      <c r="I10171" s="3">
        <v>520</v>
      </c>
      <c r="J10171" s="3">
        <v>227</v>
      </c>
      <c r="K10171" s="3">
        <v>1765</v>
      </c>
      <c r="L10171" s="3">
        <v>1</v>
      </c>
      <c r="M10171" s="3">
        <v>472</v>
      </c>
    </row>
    <row r="10172" spans="1:13" x14ac:dyDescent="0.25">
      <c r="A10172" s="1" t="str">
        <f>HYPERLINK("http://www.rosaceae.org/Prunus/Prunus_persica/p.persica_gdr_reftransV1_0047635","p.persica_gdr_reftransV1_0047635")</f>
        <v>p.persica_gdr_reftransV1_0047635</v>
      </c>
      <c r="B10172" s="3">
        <v>1061</v>
      </c>
      <c r="C10172" s="1" t="str">
        <f>HYPERLINK("http://www.uniprot.org/uniprot/PMP22_ARATH","PMP22_ARATH")</f>
        <v>PMP22_ARATH</v>
      </c>
      <c r="D10172" t="s">
        <v>578</v>
      </c>
      <c r="E10172" s="3" t="s">
        <v>3</v>
      </c>
      <c r="F10172" s="4">
        <v>2.2E-71</v>
      </c>
      <c r="G10172" s="3">
        <v>578</v>
      </c>
      <c r="H10172" s="3">
        <v>69</v>
      </c>
      <c r="I10172" s="3">
        <v>169</v>
      </c>
      <c r="J10172" s="3">
        <v>401</v>
      </c>
      <c r="K10172" s="3">
        <v>907</v>
      </c>
      <c r="L10172" s="3">
        <v>20</v>
      </c>
      <c r="M10172" s="3">
        <v>188</v>
      </c>
    </row>
    <row r="10173" spans="1:13" x14ac:dyDescent="0.25">
      <c r="A10173" s="1" t="str">
        <f>HYPERLINK("http://www.rosaceae.org/Prunus/Prunus_persica/p.persica_gdr_reftransV1_0047685","p.persica_gdr_reftransV1_0047685")</f>
        <v>p.persica_gdr_reftransV1_0047685</v>
      </c>
      <c r="B10173" s="3">
        <v>1845</v>
      </c>
      <c r="C10173" s="1" t="str">
        <f>HYPERLINK("http://www.uniprot.org/uniprot/ATL54_ARATH","ATL54_ARATH")</f>
        <v>ATL54_ARATH</v>
      </c>
      <c r="D10173" t="s">
        <v>432</v>
      </c>
      <c r="E10173" s="3" t="s">
        <v>3</v>
      </c>
      <c r="F10173" s="4">
        <v>1.31E-35</v>
      </c>
      <c r="G10173" s="3">
        <v>358</v>
      </c>
      <c r="H10173" s="3">
        <v>67</v>
      </c>
      <c r="I10173" s="3">
        <v>96</v>
      </c>
      <c r="J10173" s="3">
        <v>988</v>
      </c>
      <c r="K10173" s="3">
        <v>1275</v>
      </c>
      <c r="L10173" s="3">
        <v>131</v>
      </c>
      <c r="M10173" s="3">
        <v>223</v>
      </c>
    </row>
    <row r="10174" spans="1:13" x14ac:dyDescent="0.25">
      <c r="A10174" s="1" t="str">
        <f>HYPERLINK("http://www.rosaceae.org/Prunus/Prunus_persica/p.persica_gdr_reftransV1_0047735","p.persica_gdr_reftransV1_0047735")</f>
        <v>p.persica_gdr_reftransV1_0047735</v>
      </c>
      <c r="B10174" s="3">
        <v>2185</v>
      </c>
      <c r="C10174" s="1" t="str">
        <f>HYPERLINK("http://www.uniprot.org/uniprot/PAD4_ARATH","PAD4_ARATH")</f>
        <v>PAD4_ARATH</v>
      </c>
      <c r="D10174" t="s">
        <v>7453</v>
      </c>
      <c r="E10174" s="3" t="s">
        <v>3</v>
      </c>
      <c r="F10174" s="4">
        <v>1.3E-118</v>
      </c>
      <c r="G10174" s="3">
        <v>959</v>
      </c>
      <c r="H10174" s="3">
        <v>39</v>
      </c>
      <c r="I10174" s="3">
        <v>608</v>
      </c>
      <c r="J10174" s="3">
        <v>125</v>
      </c>
      <c r="K10174" s="3">
        <v>1945</v>
      </c>
      <c r="L10174" s="3">
        <v>6</v>
      </c>
      <c r="M10174" s="3">
        <v>520</v>
      </c>
    </row>
    <row r="10175" spans="1:13" x14ac:dyDescent="0.25">
      <c r="A10175" s="1" t="str">
        <f>HYPERLINK("http://www.rosaceae.org/Prunus/Prunus_persica/p.persica_gdr_reftransV1_0047785","p.persica_gdr_reftransV1_0047785")</f>
        <v>p.persica_gdr_reftransV1_0047785</v>
      </c>
      <c r="B10175" s="3">
        <v>1297</v>
      </c>
      <c r="C10175" s="1" t="str">
        <f>HYPERLINK("http://www.uniprot.org/uniprot/ILR3_ARATH","ILR3_ARATH")</f>
        <v>ILR3_ARATH</v>
      </c>
      <c r="D10175" t="s">
        <v>5287</v>
      </c>
      <c r="E10175" s="3" t="s">
        <v>3</v>
      </c>
      <c r="F10175" s="4">
        <v>5.8600000000000001E-84</v>
      </c>
      <c r="G10175" s="3">
        <v>673</v>
      </c>
      <c r="H10175" s="3">
        <v>71</v>
      </c>
      <c r="I10175" s="3">
        <v>239</v>
      </c>
      <c r="J10175" s="3">
        <v>384</v>
      </c>
      <c r="K10175" s="3">
        <v>1091</v>
      </c>
      <c r="L10175" s="3">
        <v>1</v>
      </c>
      <c r="M10175" s="3">
        <v>234</v>
      </c>
    </row>
    <row r="10176" spans="1:13" x14ac:dyDescent="0.25">
      <c r="A10176" s="1" t="str">
        <f>HYPERLINK("http://www.rosaceae.org/Prunus/Prunus_persica/p.persica_gdr_reftransV1_0047935","p.persica_gdr_reftransV1_0047935")</f>
        <v>p.persica_gdr_reftransV1_0047935</v>
      </c>
      <c r="B10176" s="3">
        <v>5984</v>
      </c>
      <c r="C10176" s="1" t="str">
        <f>HYPERLINK("http://www.uniprot.org/uniprot/BIG2_ARATH","BIG2_ARATH")</f>
        <v>BIG2_ARATH</v>
      </c>
      <c r="D10176" t="s">
        <v>7454</v>
      </c>
      <c r="E10176" s="3" t="s">
        <v>3</v>
      </c>
      <c r="F10176" s="4">
        <v>0</v>
      </c>
      <c r="G10176" s="3">
        <v>7016</v>
      </c>
      <c r="H10176" s="3">
        <v>78</v>
      </c>
      <c r="I10176" s="3">
        <v>1795</v>
      </c>
      <c r="J10176" s="3">
        <v>316</v>
      </c>
      <c r="K10176" s="3">
        <v>5640</v>
      </c>
      <c r="L10176" s="3">
        <v>1</v>
      </c>
      <c r="M10176" s="3">
        <v>1793</v>
      </c>
    </row>
    <row r="10177" spans="1:13" x14ac:dyDescent="0.25">
      <c r="A10177" s="1" t="str">
        <f>HYPERLINK("http://www.rosaceae.org/Prunus/Prunus_persica/p.persica_gdr_reftransV1_0048035","p.persica_gdr_reftransV1_0048035")</f>
        <v>p.persica_gdr_reftransV1_0048035</v>
      </c>
      <c r="B10177" s="3">
        <v>477</v>
      </c>
      <c r="C10177" s="1" t="str">
        <f>HYPERLINK("http://www.uniprot.org/uniprot/WLI2B_ARATH","WLI2B_ARATH")</f>
        <v>WLI2B_ARATH</v>
      </c>
      <c r="D10177" t="s">
        <v>983</v>
      </c>
      <c r="E10177" s="3" t="s">
        <v>3</v>
      </c>
      <c r="F10177" s="4">
        <v>1.37E-24</v>
      </c>
      <c r="G10177" s="3">
        <v>246</v>
      </c>
      <c r="H10177" s="3">
        <v>77</v>
      </c>
      <c r="I10177" s="3">
        <v>57</v>
      </c>
      <c r="J10177" s="3">
        <v>1</v>
      </c>
      <c r="K10177" s="3">
        <v>171</v>
      </c>
      <c r="L10177" s="3">
        <v>126</v>
      </c>
      <c r="M10177" s="3">
        <v>182</v>
      </c>
    </row>
    <row r="10178" spans="1:13" x14ac:dyDescent="0.25">
      <c r="A10178" s="1" t="str">
        <f>HYPERLINK("http://www.rosaceae.org/Prunus/Prunus_persica/p.persica_gdr_reftransV1_0048085","p.persica_gdr_reftransV1_0048085")</f>
        <v>p.persica_gdr_reftransV1_0048085</v>
      </c>
      <c r="B10178" s="3">
        <v>3446</v>
      </c>
      <c r="C10178" s="1" t="str">
        <f>HYPERLINK("http://www.uniprot.org/uniprot/TDR_ARATH","TDR_ARATH")</f>
        <v>TDR_ARATH</v>
      </c>
      <c r="D10178" t="s">
        <v>735</v>
      </c>
      <c r="E10178" s="3" t="s">
        <v>3</v>
      </c>
      <c r="F10178" s="4">
        <v>0</v>
      </c>
      <c r="G10178" s="3">
        <v>3222</v>
      </c>
      <c r="H10178" s="3">
        <v>66</v>
      </c>
      <c r="I10178" s="3">
        <v>964</v>
      </c>
      <c r="J10178" s="3">
        <v>386</v>
      </c>
      <c r="K10178" s="3">
        <v>3256</v>
      </c>
      <c r="L10178" s="3">
        <v>49</v>
      </c>
      <c r="M10178" s="3">
        <v>1008</v>
      </c>
    </row>
    <row r="10179" spans="1:13" x14ac:dyDescent="0.25">
      <c r="A10179" s="1" t="str">
        <f>HYPERLINK("http://www.rosaceae.org/Prunus/Prunus_persica/p.persica_gdr_reftransV1_0048135","p.persica_gdr_reftransV1_0048135")</f>
        <v>p.persica_gdr_reftransV1_0048135</v>
      </c>
      <c r="B10179" s="3">
        <v>2092</v>
      </c>
      <c r="C10179" s="1" t="str">
        <f>HYPERLINK("http://www.uniprot.org/uniprot/NMT1_ARATH","NMT1_ARATH")</f>
        <v>NMT1_ARATH</v>
      </c>
      <c r="D10179" t="s">
        <v>936</v>
      </c>
      <c r="E10179" s="3" t="s">
        <v>3</v>
      </c>
      <c r="F10179" s="4">
        <v>0</v>
      </c>
      <c r="G10179" s="3">
        <v>1991</v>
      </c>
      <c r="H10179" s="3">
        <v>86</v>
      </c>
      <c r="I10179" s="3">
        <v>423</v>
      </c>
      <c r="J10179" s="3">
        <v>257</v>
      </c>
      <c r="K10179" s="3">
        <v>1522</v>
      </c>
      <c r="L10179" s="3">
        <v>6</v>
      </c>
      <c r="M10179" s="3">
        <v>428</v>
      </c>
    </row>
    <row r="10180" spans="1:13" x14ac:dyDescent="0.25">
      <c r="A10180" s="1" t="str">
        <f>HYPERLINK("http://www.rosaceae.org/Prunus/Prunus_persica/p.persica_gdr_reftransV1_0048185","p.persica_gdr_reftransV1_0048185")</f>
        <v>p.persica_gdr_reftransV1_0048185</v>
      </c>
      <c r="B10180" s="3">
        <v>1728</v>
      </c>
      <c r="C10180" s="1" t="str">
        <f>HYPERLINK("http://www.uniprot.org/uniprot/GLYT5_ARATH","GLYT5_ARATH")</f>
        <v>GLYT5_ARATH</v>
      </c>
      <c r="D10180" t="s">
        <v>3397</v>
      </c>
      <c r="E10180" s="3" t="s">
        <v>3</v>
      </c>
      <c r="F10180" s="4">
        <v>5.3900000000000004E-172</v>
      </c>
      <c r="G10180" s="3">
        <v>1295</v>
      </c>
      <c r="H10180" s="3">
        <v>56</v>
      </c>
      <c r="I10180" s="3">
        <v>424</v>
      </c>
      <c r="J10180" s="3">
        <v>192</v>
      </c>
      <c r="K10180" s="3">
        <v>1460</v>
      </c>
      <c r="L10180" s="3">
        <v>49</v>
      </c>
      <c r="M10180" s="3">
        <v>466</v>
      </c>
    </row>
    <row r="10181" spans="1:13" x14ac:dyDescent="0.25">
      <c r="A10181" s="1" t="str">
        <f>HYPERLINK("http://www.rosaceae.org/Prunus/Prunus_persica/p.persica_gdr_reftransV1_0048285","p.persica_gdr_reftransV1_0048285")</f>
        <v>p.persica_gdr_reftransV1_0048285</v>
      </c>
      <c r="B10181" s="3">
        <v>1311</v>
      </c>
      <c r="C10181" s="1" t="str">
        <f>HYPERLINK("http://www.uniprot.org/uniprot/WRK70_ARATH","WRK70_ARATH")</f>
        <v>WRK70_ARATH</v>
      </c>
      <c r="D10181" t="s">
        <v>6284</v>
      </c>
      <c r="E10181" s="3" t="s">
        <v>3</v>
      </c>
      <c r="F10181" s="4">
        <v>1.72E-27</v>
      </c>
      <c r="G10181" s="3">
        <v>286</v>
      </c>
      <c r="H10181" s="3">
        <v>38</v>
      </c>
      <c r="I10181" s="3">
        <v>199</v>
      </c>
      <c r="J10181" s="3">
        <v>154</v>
      </c>
      <c r="K10181" s="3">
        <v>750</v>
      </c>
      <c r="L10181" s="3">
        <v>6</v>
      </c>
      <c r="M10181" s="3">
        <v>179</v>
      </c>
    </row>
    <row r="10182" spans="1:13" x14ac:dyDescent="0.25">
      <c r="A10182" s="1" t="str">
        <f>HYPERLINK("http://www.rosaceae.org/Prunus/Prunus_persica/p.persica_gdr_reftransV1_0048335","p.persica_gdr_reftransV1_0048335")</f>
        <v>p.persica_gdr_reftransV1_0048335</v>
      </c>
      <c r="B10182" s="3">
        <v>1948</v>
      </c>
      <c r="C10182" s="1" t="str">
        <f>HYPERLINK("http://www.uniprot.org/uniprot/AROG_ARATH","AROG_ARATH")</f>
        <v>AROG_ARATH</v>
      </c>
      <c r="D10182" t="s">
        <v>7455</v>
      </c>
      <c r="E10182" s="3" t="s">
        <v>3</v>
      </c>
      <c r="F10182" s="4">
        <v>0</v>
      </c>
      <c r="G10182" s="3">
        <v>2297</v>
      </c>
      <c r="H10182" s="3">
        <v>83</v>
      </c>
      <c r="I10182" s="3">
        <v>512</v>
      </c>
      <c r="J10182" s="3">
        <v>137</v>
      </c>
      <c r="K10182" s="3">
        <v>1672</v>
      </c>
      <c r="L10182" s="3">
        <v>2</v>
      </c>
      <c r="M10182" s="3">
        <v>504</v>
      </c>
    </row>
    <row r="10183" spans="1:13" x14ac:dyDescent="0.25">
      <c r="A10183" s="1" t="str">
        <f>HYPERLINK("http://www.rosaceae.org/Prunus/Prunus_persica/p.persica_gdr_reftransV1_0048385","p.persica_gdr_reftransV1_0048385")</f>
        <v>p.persica_gdr_reftransV1_0048385</v>
      </c>
      <c r="B10183" s="3">
        <v>564</v>
      </c>
      <c r="C10183" s="1" t="str">
        <f>HYPERLINK("http://www.uniprot.org/uniprot/NET2D_ARATH","NET2D_ARATH")</f>
        <v>NET2D_ARATH</v>
      </c>
      <c r="D10183" t="s">
        <v>6815</v>
      </c>
      <c r="E10183" s="3" t="s">
        <v>3</v>
      </c>
      <c r="F10183" s="4">
        <v>1.0799999999999999E-34</v>
      </c>
      <c r="G10183" s="3">
        <v>338</v>
      </c>
      <c r="H10183" s="3">
        <v>46</v>
      </c>
      <c r="I10183" s="3">
        <v>162</v>
      </c>
      <c r="J10183" s="3">
        <v>2</v>
      </c>
      <c r="K10183" s="3">
        <v>487</v>
      </c>
      <c r="L10183" s="3">
        <v>247</v>
      </c>
      <c r="M10183" s="3">
        <v>404</v>
      </c>
    </row>
    <row r="10184" spans="1:13" x14ac:dyDescent="0.25">
      <c r="A10184" s="1" t="str">
        <f>HYPERLINK("http://www.rosaceae.org/Prunus/Prunus_persica/p.persica_gdr_reftransV1_0048435","p.persica_gdr_reftransV1_0048435")</f>
        <v>p.persica_gdr_reftransV1_0048435</v>
      </c>
      <c r="B10184" s="3">
        <v>1956</v>
      </c>
      <c r="C10184" s="1" t="str">
        <f>HYPERLINK("http://www.uniprot.org/uniprot/YTCJ_BACSU","YTCJ_BACSU")</f>
        <v>YTCJ_BACSU</v>
      </c>
      <c r="D10184" t="s">
        <v>3803</v>
      </c>
      <c r="E10184" s="3" t="s">
        <v>1630</v>
      </c>
      <c r="F10184" s="4">
        <v>1.26E-67</v>
      </c>
      <c r="G10184" s="3">
        <v>602</v>
      </c>
      <c r="H10184" s="3">
        <v>33</v>
      </c>
      <c r="I10184" s="3">
        <v>516</v>
      </c>
      <c r="J10184" s="3">
        <v>328</v>
      </c>
      <c r="K10184" s="3">
        <v>1836</v>
      </c>
      <c r="L10184" s="3">
        <v>10</v>
      </c>
      <c r="M10184" s="3">
        <v>503</v>
      </c>
    </row>
    <row r="10185" spans="1:13" x14ac:dyDescent="0.25">
      <c r="A10185" s="1" t="str">
        <f>HYPERLINK("http://www.rosaceae.org/Prunus/Prunus_persica/p.persica_gdr_reftransV1_0048485","p.persica_gdr_reftransV1_0048485")</f>
        <v>p.persica_gdr_reftransV1_0048485</v>
      </c>
      <c r="B10185" s="3">
        <v>1560</v>
      </c>
      <c r="C10185" s="1" t="str">
        <f>HYPERLINK("http://www.uniprot.org/uniprot/Y1689_ARATH","Y1689_ARATH")</f>
        <v>Y1689_ARATH</v>
      </c>
      <c r="D10185" t="s">
        <v>7456</v>
      </c>
      <c r="E10185" s="3" t="s">
        <v>3</v>
      </c>
      <c r="F10185" s="4">
        <v>2.1300000000000001E-127</v>
      </c>
      <c r="G10185" s="3">
        <v>983</v>
      </c>
      <c r="H10185" s="3">
        <v>70</v>
      </c>
      <c r="I10185" s="3">
        <v>328</v>
      </c>
      <c r="J10185" s="3">
        <v>303</v>
      </c>
      <c r="K10185" s="3">
        <v>1286</v>
      </c>
      <c r="L10185" s="3">
        <v>1</v>
      </c>
      <c r="M10185" s="3">
        <v>328</v>
      </c>
    </row>
    <row r="10186" spans="1:13" x14ac:dyDescent="0.25">
      <c r="A10186" s="1" t="str">
        <f>HYPERLINK("http://www.rosaceae.org/Prunus/Prunus_persica/p.persica_gdr_reftransV1_0048535","p.persica_gdr_reftransV1_0048535")</f>
        <v>p.persica_gdr_reftransV1_0048535</v>
      </c>
      <c r="B10186" s="3">
        <v>524</v>
      </c>
      <c r="C10186" s="1" t="str">
        <f>HYPERLINK("http://www.uniprot.org/uniprot/P2C28_ORYSJ","P2C28_ORYSJ")</f>
        <v>P2C28_ORYSJ</v>
      </c>
      <c r="D10186" t="s">
        <v>7457</v>
      </c>
      <c r="E10186" s="3" t="s">
        <v>38</v>
      </c>
      <c r="F10186" s="4">
        <v>1.1900000000000001E-11</v>
      </c>
      <c r="G10186" s="3">
        <v>159</v>
      </c>
      <c r="H10186" s="3">
        <v>65</v>
      </c>
      <c r="I10186" s="3">
        <v>46</v>
      </c>
      <c r="J10186" s="3">
        <v>1</v>
      </c>
      <c r="K10186" s="3">
        <v>138</v>
      </c>
      <c r="L10186" s="3">
        <v>348</v>
      </c>
      <c r="M10186" s="3">
        <v>393</v>
      </c>
    </row>
    <row r="10187" spans="1:13" x14ac:dyDescent="0.25">
      <c r="A10187" s="1" t="str">
        <f>HYPERLINK("http://www.rosaceae.org/Prunus/Prunus_persica/p.persica_gdr_reftransV1_0048585","p.persica_gdr_reftransV1_0048585")</f>
        <v>p.persica_gdr_reftransV1_0048585</v>
      </c>
      <c r="B10187" s="3">
        <v>784</v>
      </c>
      <c r="C10187" s="1" t="str">
        <f>HYPERLINK("http://www.uniprot.org/uniprot/WRK40_ARATH","WRK40_ARATH")</f>
        <v>WRK40_ARATH</v>
      </c>
      <c r="D10187" t="s">
        <v>4394</v>
      </c>
      <c r="E10187" s="3" t="s">
        <v>3</v>
      </c>
      <c r="F10187" s="4">
        <v>9.0200000000000002E-29</v>
      </c>
      <c r="G10187" s="3">
        <v>289</v>
      </c>
      <c r="H10187" s="3">
        <v>47</v>
      </c>
      <c r="I10187" s="3">
        <v>143</v>
      </c>
      <c r="J10187" s="3">
        <v>364</v>
      </c>
      <c r="K10187" s="3">
        <v>783</v>
      </c>
      <c r="L10187" s="3">
        <v>25</v>
      </c>
      <c r="M10187" s="3">
        <v>161</v>
      </c>
    </row>
    <row r="10188" spans="1:13" x14ac:dyDescent="0.25">
      <c r="A10188" s="1" t="str">
        <f>HYPERLINK("http://www.rosaceae.org/Prunus/Prunus_persica/p.persica_gdr_reftransV1_0048635","p.persica_gdr_reftransV1_0048635")</f>
        <v>p.persica_gdr_reftransV1_0048635</v>
      </c>
      <c r="B10188" s="3">
        <v>346</v>
      </c>
      <c r="C10188" s="1" t="str">
        <f>HYPERLINK("http://www.uniprot.org/uniprot/G2OX2_PEA","G2OX2_PEA")</f>
        <v>G2OX2_PEA</v>
      </c>
      <c r="D10188" t="s">
        <v>7458</v>
      </c>
      <c r="E10188" s="3" t="s">
        <v>60</v>
      </c>
      <c r="F10188" s="4">
        <v>4.6300000000000002E-50</v>
      </c>
      <c r="G10188" s="3">
        <v>424</v>
      </c>
      <c r="H10188" s="3">
        <v>75</v>
      </c>
      <c r="I10188" s="3">
        <v>106</v>
      </c>
      <c r="J10188" s="3">
        <v>27</v>
      </c>
      <c r="K10188" s="3">
        <v>344</v>
      </c>
      <c r="L10188" s="3">
        <v>199</v>
      </c>
      <c r="M10188" s="3">
        <v>303</v>
      </c>
    </row>
    <row r="10189" spans="1:13" x14ac:dyDescent="0.25">
      <c r="A10189" s="1" t="str">
        <f>HYPERLINK("http://www.rosaceae.org/Prunus/Prunus_persica/p.persica_gdr_reftransV1_0048735","p.persica_gdr_reftransV1_0048735")</f>
        <v>p.persica_gdr_reftransV1_0048735</v>
      </c>
      <c r="B10189" s="3">
        <v>377</v>
      </c>
      <c r="C10189" s="1" t="str">
        <f>HYPERLINK("http://www.uniprot.org/uniprot/DDPS2_ARATH","DDPS2_ARATH")</f>
        <v>DDPS2_ARATH</v>
      </c>
      <c r="D10189" t="s">
        <v>7459</v>
      </c>
      <c r="E10189" s="3" t="s">
        <v>3</v>
      </c>
      <c r="F10189" s="4">
        <v>2.8E-51</v>
      </c>
      <c r="G10189" s="3">
        <v>431</v>
      </c>
      <c r="H10189" s="3">
        <v>70</v>
      </c>
      <c r="I10189" s="3">
        <v>112</v>
      </c>
      <c r="J10189" s="3">
        <v>3</v>
      </c>
      <c r="K10189" s="3">
        <v>338</v>
      </c>
      <c r="L10189" s="3">
        <v>163</v>
      </c>
      <c r="M10189" s="3">
        <v>274</v>
      </c>
    </row>
    <row r="10190" spans="1:13" x14ac:dyDescent="0.25">
      <c r="A10190" s="1" t="str">
        <f>HYPERLINK("http://www.rosaceae.org/Prunus/Prunus_persica/p.persica_gdr_reftransV1_0048785","p.persica_gdr_reftransV1_0048785")</f>
        <v>p.persica_gdr_reftransV1_0048785</v>
      </c>
      <c r="B10190" s="3">
        <v>2890</v>
      </c>
      <c r="C10190" s="1" t="str">
        <f>HYPERLINK("http://www.uniprot.org/uniprot/NUDT3_ARATH","NUDT3_ARATH")</f>
        <v>NUDT3_ARATH</v>
      </c>
      <c r="D10190" t="s">
        <v>1939</v>
      </c>
      <c r="E10190" s="3" t="s">
        <v>3</v>
      </c>
      <c r="F10190" s="4">
        <v>0</v>
      </c>
      <c r="G10190" s="3">
        <v>3111</v>
      </c>
      <c r="H10190" s="3">
        <v>74</v>
      </c>
      <c r="I10190" s="3">
        <v>771</v>
      </c>
      <c r="J10190" s="3">
        <v>391</v>
      </c>
      <c r="K10190" s="3">
        <v>2703</v>
      </c>
      <c r="L10190" s="3">
        <v>3</v>
      </c>
      <c r="M10190" s="3">
        <v>771</v>
      </c>
    </row>
    <row r="10191" spans="1:13" x14ac:dyDescent="0.25">
      <c r="A10191" s="1" t="str">
        <f>HYPERLINK("http://www.rosaceae.org/Prunus/Prunus_persica/p.persica_gdr_reftransV1_0048985","p.persica_gdr_reftransV1_0048985")</f>
        <v>p.persica_gdr_reftransV1_0048985</v>
      </c>
      <c r="B10191" s="3">
        <v>899</v>
      </c>
      <c r="C10191" s="1" t="str">
        <f>HYPERLINK("http://www.uniprot.org/uniprot/USPAL_ARATH","USPAL_ARATH")</f>
        <v>USPAL_ARATH</v>
      </c>
      <c r="D10191" t="s">
        <v>430</v>
      </c>
      <c r="E10191" s="3" t="s">
        <v>3</v>
      </c>
      <c r="F10191" s="4">
        <v>2.8300000000000001E-16</v>
      </c>
      <c r="G10191" s="3">
        <v>192</v>
      </c>
      <c r="H10191" s="3">
        <v>36</v>
      </c>
      <c r="I10191" s="3">
        <v>97</v>
      </c>
      <c r="J10191" s="3">
        <v>278</v>
      </c>
      <c r="K10191" s="3">
        <v>568</v>
      </c>
      <c r="L10191" s="3">
        <v>66</v>
      </c>
      <c r="M10191" s="3">
        <v>162</v>
      </c>
    </row>
    <row r="10192" spans="1:13" x14ac:dyDescent="0.25">
      <c r="A10192" s="1" t="str">
        <f>HYPERLINK("http://www.rosaceae.org/Prunus/Prunus_persica/p.persica_gdr_reftransV1_0049035","p.persica_gdr_reftransV1_0049035")</f>
        <v>p.persica_gdr_reftransV1_0049035</v>
      </c>
      <c r="B10192" s="3">
        <v>929</v>
      </c>
      <c r="C10192" s="1" t="str">
        <f>HYPERLINK("http://www.uniprot.org/uniprot/RLP24_ARATH","RLP24_ARATH")</f>
        <v>RLP24_ARATH</v>
      </c>
      <c r="D10192" t="s">
        <v>7460</v>
      </c>
      <c r="E10192" s="3" t="s">
        <v>3</v>
      </c>
      <c r="F10192" s="4">
        <v>2.9800000000000002E-69</v>
      </c>
      <c r="G10192" s="3">
        <v>557</v>
      </c>
      <c r="H10192" s="3">
        <v>68</v>
      </c>
      <c r="I10192" s="3">
        <v>167</v>
      </c>
      <c r="J10192" s="3">
        <v>251</v>
      </c>
      <c r="K10192" s="3">
        <v>751</v>
      </c>
      <c r="L10192" s="3">
        <v>1</v>
      </c>
      <c r="M10192" s="3">
        <v>159</v>
      </c>
    </row>
    <row r="10193" spans="1:13" x14ac:dyDescent="0.25">
      <c r="A10193" s="1" t="str">
        <f>HYPERLINK("http://www.rosaceae.org/Prunus/Prunus_persica/p.persica_gdr_reftransV1_0049085","p.persica_gdr_reftransV1_0049085")</f>
        <v>p.persica_gdr_reftransV1_0049085</v>
      </c>
      <c r="B10193" s="3">
        <v>3073</v>
      </c>
      <c r="C10193" s="1" t="str">
        <f>HYPERLINK("http://www.uniprot.org/uniprot/TMVRN_NICGU","TMVRN_NICGU")</f>
        <v>TMVRN_NICGU</v>
      </c>
      <c r="D10193" t="s">
        <v>151</v>
      </c>
      <c r="E10193" s="3" t="s">
        <v>152</v>
      </c>
      <c r="F10193" s="4">
        <v>5.5400000000000002E-44</v>
      </c>
      <c r="G10193" s="3">
        <v>449</v>
      </c>
      <c r="H10193" s="3">
        <v>40</v>
      </c>
      <c r="I10193" s="3">
        <v>289</v>
      </c>
      <c r="J10193" s="3">
        <v>2211</v>
      </c>
      <c r="K10193" s="3">
        <v>3071</v>
      </c>
      <c r="L10193" s="3">
        <v>625</v>
      </c>
      <c r="M10193" s="3">
        <v>892</v>
      </c>
    </row>
    <row r="10194" spans="1:13" x14ac:dyDescent="0.25">
      <c r="A10194" s="1" t="str">
        <f>HYPERLINK("http://www.rosaceae.org/Prunus/Prunus_persica/p.persica_gdr_reftransV1_0049135","p.persica_gdr_reftransV1_0049135")</f>
        <v>p.persica_gdr_reftransV1_0049135</v>
      </c>
      <c r="B10194" s="3">
        <v>395</v>
      </c>
      <c r="C10194" s="1" t="str">
        <f>HYPERLINK("http://www.uniprot.org/uniprot/PTR8_ARATH","PTR8_ARATH")</f>
        <v>PTR8_ARATH</v>
      </c>
      <c r="D10194" t="s">
        <v>7461</v>
      </c>
      <c r="E10194" s="3" t="s">
        <v>3</v>
      </c>
      <c r="F10194" s="4">
        <v>2.1E-35</v>
      </c>
      <c r="G10194" s="3">
        <v>332</v>
      </c>
      <c r="H10194" s="3">
        <v>59</v>
      </c>
      <c r="I10194" s="3">
        <v>102</v>
      </c>
      <c r="J10194" s="3">
        <v>5</v>
      </c>
      <c r="K10194" s="3">
        <v>310</v>
      </c>
      <c r="L10194" s="3">
        <v>3</v>
      </c>
      <c r="M10194" s="3">
        <v>104</v>
      </c>
    </row>
    <row r="10195" spans="1:13" x14ac:dyDescent="0.25">
      <c r="A10195" s="1" t="str">
        <f>HYPERLINK("http://www.rosaceae.org/Prunus/Prunus_persica/p.persica_gdr_reftransV1_0049185","p.persica_gdr_reftransV1_0049185")</f>
        <v>p.persica_gdr_reftransV1_0049185</v>
      </c>
      <c r="B10195" s="3">
        <v>1618</v>
      </c>
      <c r="C10195" s="1" t="str">
        <f>HYPERLINK("http://www.uniprot.org/uniprot/PGLR_PRUPE","PGLR_PRUPE")</f>
        <v>PGLR_PRUPE</v>
      </c>
      <c r="D10195" t="s">
        <v>783</v>
      </c>
      <c r="E10195" s="3" t="s">
        <v>784</v>
      </c>
      <c r="F10195" s="4">
        <v>0</v>
      </c>
      <c r="G10195" s="3">
        <v>2054</v>
      </c>
      <c r="H10195" s="3">
        <v>98</v>
      </c>
      <c r="I10195" s="3">
        <v>393</v>
      </c>
      <c r="J10195" s="3">
        <v>104</v>
      </c>
      <c r="K10195" s="3">
        <v>1282</v>
      </c>
      <c r="L10195" s="3">
        <v>1</v>
      </c>
      <c r="M10195" s="3">
        <v>393</v>
      </c>
    </row>
    <row r="10196" spans="1:13" x14ac:dyDescent="0.25">
      <c r="A10196" s="1" t="str">
        <f>HYPERLINK("http://www.rosaceae.org/Prunus/Prunus_persica/p.persica_gdr_reftransV1_0000036","p.persica_gdr_reftransV1_0000036")</f>
        <v>p.persica_gdr_reftransV1_0000036</v>
      </c>
      <c r="B10196" s="3">
        <v>3048</v>
      </c>
      <c r="C10196" s="1" t="str">
        <f>HYPERLINK("http://www.uniprot.org/uniprot/TRP5_ARATH","TRP5_ARATH")</f>
        <v>TRP5_ARATH</v>
      </c>
      <c r="D10196" t="s">
        <v>7044</v>
      </c>
      <c r="E10196" s="3" t="s">
        <v>3</v>
      </c>
      <c r="F10196" s="4">
        <v>1.17E-84</v>
      </c>
      <c r="G10196" s="3">
        <v>747</v>
      </c>
      <c r="H10196" s="3">
        <v>65</v>
      </c>
      <c r="I10196" s="3">
        <v>291</v>
      </c>
      <c r="J10196" s="3">
        <v>1656</v>
      </c>
      <c r="K10196" s="3">
        <v>2522</v>
      </c>
      <c r="L10196" s="3">
        <v>330</v>
      </c>
      <c r="M10196" s="3">
        <v>609</v>
      </c>
    </row>
    <row r="10197" spans="1:13" x14ac:dyDescent="0.25">
      <c r="A10197" s="1" t="str">
        <f>HYPERLINK("http://www.rosaceae.org/Prunus/Prunus_persica/p.persica_gdr_reftransV1_0000186","p.persica_gdr_reftransV1_0000186")</f>
        <v>p.persica_gdr_reftransV1_0000186</v>
      </c>
      <c r="B10197" s="3">
        <v>6162</v>
      </c>
      <c r="C10197" s="1" t="str">
        <f>HYPERLINK("http://www.uniprot.org/uniprot/PDR2_NICPL","PDR2_NICPL")</f>
        <v>PDR2_NICPL</v>
      </c>
      <c r="D10197" t="s">
        <v>2532</v>
      </c>
      <c r="E10197" s="3" t="s">
        <v>1450</v>
      </c>
      <c r="F10197" s="4">
        <v>0</v>
      </c>
      <c r="G10197" s="3">
        <v>5698</v>
      </c>
      <c r="H10197" s="3">
        <v>80</v>
      </c>
      <c r="I10197" s="3">
        <v>1356</v>
      </c>
      <c r="J10197" s="3">
        <v>460</v>
      </c>
      <c r="K10197" s="3">
        <v>4509</v>
      </c>
      <c r="L10197" s="3">
        <v>58</v>
      </c>
      <c r="M10197" s="3">
        <v>1413</v>
      </c>
    </row>
    <row r="10198" spans="1:13" x14ac:dyDescent="0.25">
      <c r="A10198" s="1" t="str">
        <f>HYPERLINK("http://www.rosaceae.org/Prunus/Prunus_persica/p.persica_gdr_reftransV1_0000236","p.persica_gdr_reftransV1_0000236")</f>
        <v>p.persica_gdr_reftransV1_0000236</v>
      </c>
      <c r="B10198" s="3">
        <v>1370</v>
      </c>
      <c r="C10198" s="1" t="str">
        <f>HYPERLINK("http://www.uniprot.org/uniprot/PHO11_ARATH","PHO11_ARATH")</f>
        <v>PHO11_ARATH</v>
      </c>
      <c r="D10198" t="s">
        <v>7201</v>
      </c>
      <c r="E10198" s="3" t="s">
        <v>3</v>
      </c>
      <c r="F10198" s="4">
        <v>1.5200000000000001E-170</v>
      </c>
      <c r="G10198" s="3">
        <v>1302</v>
      </c>
      <c r="H10198" s="3">
        <v>66</v>
      </c>
      <c r="I10198" s="3">
        <v>434</v>
      </c>
      <c r="J10198" s="3">
        <v>1</v>
      </c>
      <c r="K10198" s="3">
        <v>1284</v>
      </c>
      <c r="L10198" s="3">
        <v>1</v>
      </c>
      <c r="M10198" s="3">
        <v>416</v>
      </c>
    </row>
    <row r="10199" spans="1:13" x14ac:dyDescent="0.25">
      <c r="A10199" s="1" t="str">
        <f>HYPERLINK("http://www.rosaceae.org/Prunus/Prunus_persica/p.persica_gdr_reftransV1_0000286","p.persica_gdr_reftransV1_0000286")</f>
        <v>p.persica_gdr_reftransV1_0000286</v>
      </c>
      <c r="B10199" s="3">
        <v>1678</v>
      </c>
      <c r="C10199" s="1" t="str">
        <f>HYPERLINK("http://www.uniprot.org/uniprot/KN12B_ARATH","KN12B_ARATH")</f>
        <v>KN12B_ARATH</v>
      </c>
      <c r="D10199" t="s">
        <v>2999</v>
      </c>
      <c r="E10199" s="3" t="s">
        <v>3</v>
      </c>
      <c r="F10199" s="4">
        <v>0</v>
      </c>
      <c r="G10199" s="3">
        <v>1745</v>
      </c>
      <c r="H10199" s="3">
        <v>70</v>
      </c>
      <c r="I10199" s="3">
        <v>506</v>
      </c>
      <c r="J10199" s="3">
        <v>84</v>
      </c>
      <c r="K10199" s="3">
        <v>1592</v>
      </c>
      <c r="L10199" s="3">
        <v>91</v>
      </c>
      <c r="M10199" s="3">
        <v>584</v>
      </c>
    </row>
    <row r="10200" spans="1:13" x14ac:dyDescent="0.25">
      <c r="A10200" s="1" t="str">
        <f>HYPERLINK("http://www.rosaceae.org/Prunus/Prunus_persica/p.persica_gdr_reftransV1_0000336","p.persica_gdr_reftransV1_0000336")</f>
        <v>p.persica_gdr_reftransV1_0000336</v>
      </c>
      <c r="B10200" s="3">
        <v>2070</v>
      </c>
      <c r="C10200" s="1" t="str">
        <f>HYPERLINK("http://www.uniprot.org/uniprot/HMDH1_SOLTU","HMDH1_SOLTU")</f>
        <v>HMDH1_SOLTU</v>
      </c>
      <c r="D10200" t="s">
        <v>7462</v>
      </c>
      <c r="E10200" s="3" t="s">
        <v>11</v>
      </c>
      <c r="F10200" s="4">
        <v>0</v>
      </c>
      <c r="G10200" s="3">
        <v>2181</v>
      </c>
      <c r="H10200" s="3">
        <v>73</v>
      </c>
      <c r="I10200" s="3">
        <v>598</v>
      </c>
      <c r="J10200" s="3">
        <v>407</v>
      </c>
      <c r="K10200" s="3">
        <v>2065</v>
      </c>
      <c r="L10200" s="3">
        <v>3</v>
      </c>
      <c r="M10200" s="3">
        <v>596</v>
      </c>
    </row>
    <row r="10201" spans="1:13" x14ac:dyDescent="0.25">
      <c r="A10201" s="1" t="str">
        <f>HYPERLINK("http://www.rosaceae.org/Prunus/Prunus_persica/p.persica_gdr_reftransV1_0000386","p.persica_gdr_reftransV1_0000386")</f>
        <v>p.persica_gdr_reftransV1_0000386</v>
      </c>
      <c r="B10201" s="3">
        <v>761</v>
      </c>
      <c r="C10201" s="1" t="str">
        <f>HYPERLINK("http://www.uniprot.org/uniprot/ACCO_PRUMU","ACCO_PRUMU")</f>
        <v>ACCO_PRUMU</v>
      </c>
      <c r="D10201" t="s">
        <v>7463</v>
      </c>
      <c r="E10201" s="3" t="s">
        <v>7464</v>
      </c>
      <c r="F10201" s="4">
        <v>1.2200000000000001E-74</v>
      </c>
      <c r="G10201" s="3">
        <v>602</v>
      </c>
      <c r="H10201" s="3">
        <v>94</v>
      </c>
      <c r="I10201" s="3">
        <v>125</v>
      </c>
      <c r="J10201" s="3">
        <v>147</v>
      </c>
      <c r="K10201" s="3">
        <v>515</v>
      </c>
      <c r="L10201" s="3">
        <v>195</v>
      </c>
      <c r="M10201" s="3">
        <v>319</v>
      </c>
    </row>
    <row r="10202" spans="1:13" x14ac:dyDescent="0.25">
      <c r="A10202" s="1" t="str">
        <f>HYPERLINK("http://www.rosaceae.org/Prunus/Prunus_persica/p.persica_gdr_reftransV1_0000436","p.persica_gdr_reftransV1_0000436")</f>
        <v>p.persica_gdr_reftransV1_0000436</v>
      </c>
      <c r="B10202" s="3">
        <v>996</v>
      </c>
      <c r="C10202" s="1" t="str">
        <f>HYPERLINK("http://www.uniprot.org/uniprot/ATOX1_ARATH","ATOX1_ARATH")</f>
        <v>ATOX1_ARATH</v>
      </c>
      <c r="D10202" t="s">
        <v>1423</v>
      </c>
      <c r="E10202" s="3" t="s">
        <v>3</v>
      </c>
      <c r="F10202" s="4">
        <v>1.2E-10</v>
      </c>
      <c r="G10202" s="3">
        <v>149</v>
      </c>
      <c r="H10202" s="3">
        <v>42</v>
      </c>
      <c r="I10202" s="3">
        <v>67</v>
      </c>
      <c r="J10202" s="3">
        <v>318</v>
      </c>
      <c r="K10202" s="3">
        <v>518</v>
      </c>
      <c r="L10202" s="3">
        <v>33</v>
      </c>
      <c r="M10202" s="3">
        <v>99</v>
      </c>
    </row>
    <row r="10203" spans="1:13" x14ac:dyDescent="0.25">
      <c r="A10203" s="1" t="str">
        <f>HYPERLINK("http://www.rosaceae.org/Prunus/Prunus_persica/p.persica_gdr_reftransV1_0000536","p.persica_gdr_reftransV1_0000536")</f>
        <v>p.persica_gdr_reftransV1_0000536</v>
      </c>
      <c r="B10203" s="3">
        <v>718</v>
      </c>
      <c r="C10203" s="1" t="str">
        <f>HYPERLINK("http://www.uniprot.org/uniprot/FKB12_VICFA","FKB12_VICFA")</f>
        <v>FKB12_VICFA</v>
      </c>
      <c r="D10203" t="s">
        <v>2623</v>
      </c>
      <c r="E10203" s="3" t="s">
        <v>2253</v>
      </c>
      <c r="F10203" s="4">
        <v>4.6699999999999997E-62</v>
      </c>
      <c r="G10203" s="3">
        <v>498</v>
      </c>
      <c r="H10203" s="3">
        <v>81</v>
      </c>
      <c r="I10203" s="3">
        <v>112</v>
      </c>
      <c r="J10203" s="3">
        <v>158</v>
      </c>
      <c r="K10203" s="3">
        <v>493</v>
      </c>
      <c r="L10203" s="3">
        <v>1</v>
      </c>
      <c r="M10203" s="3">
        <v>112</v>
      </c>
    </row>
    <row r="10204" spans="1:13" x14ac:dyDescent="0.25">
      <c r="A10204" s="1" t="str">
        <f>HYPERLINK("http://www.rosaceae.org/Prunus/Prunus_persica/p.persica_gdr_reftransV1_0000586","p.persica_gdr_reftransV1_0000586")</f>
        <v>p.persica_gdr_reftransV1_0000586</v>
      </c>
      <c r="B10204" s="3">
        <v>3169</v>
      </c>
      <c r="C10204" s="1" t="str">
        <f>HYPERLINK("http://www.uniprot.org/uniprot/KEA3_ARATH","KEA3_ARATH")</f>
        <v>KEA3_ARATH</v>
      </c>
      <c r="D10204" t="s">
        <v>7465</v>
      </c>
      <c r="E10204" s="3" t="s">
        <v>3</v>
      </c>
      <c r="F10204" s="4">
        <v>0</v>
      </c>
      <c r="G10204" s="3">
        <v>2063</v>
      </c>
      <c r="H10204" s="3">
        <v>70</v>
      </c>
      <c r="I10204" s="3">
        <v>763</v>
      </c>
      <c r="J10204" s="3">
        <v>325</v>
      </c>
      <c r="K10204" s="3">
        <v>2604</v>
      </c>
      <c r="L10204" s="3">
        <v>1</v>
      </c>
      <c r="M10204" s="3">
        <v>711</v>
      </c>
    </row>
    <row r="10205" spans="1:13" x14ac:dyDescent="0.25">
      <c r="A10205" s="1" t="str">
        <f>HYPERLINK("http://www.rosaceae.org/Prunus/Prunus_persica/p.persica_gdr_reftransV1_0000686","p.persica_gdr_reftransV1_0000686")</f>
        <v>p.persica_gdr_reftransV1_0000686</v>
      </c>
      <c r="B10205" s="3">
        <v>881</v>
      </c>
      <c r="C10205" s="1" t="str">
        <f>HYPERLINK("http://www.uniprot.org/uniprot/PROF_PYRCO","PROF_PYRCO")</f>
        <v>PROF_PYRCO</v>
      </c>
      <c r="D10205" t="s">
        <v>3257</v>
      </c>
      <c r="E10205" s="3" t="s">
        <v>3258</v>
      </c>
      <c r="F10205" s="4">
        <v>4.86E-84</v>
      </c>
      <c r="G10205" s="3">
        <v>651</v>
      </c>
      <c r="H10205" s="3">
        <v>92</v>
      </c>
      <c r="I10205" s="3">
        <v>131</v>
      </c>
      <c r="J10205" s="3">
        <v>131</v>
      </c>
      <c r="K10205" s="3">
        <v>523</v>
      </c>
      <c r="L10205" s="3">
        <v>1</v>
      </c>
      <c r="M10205" s="3">
        <v>131</v>
      </c>
    </row>
    <row r="10206" spans="1:13" x14ac:dyDescent="0.25">
      <c r="A10206" s="1" t="str">
        <f>HYPERLINK("http://www.rosaceae.org/Prunus/Prunus_persica/p.persica_gdr_reftransV1_0000786","p.persica_gdr_reftransV1_0000786")</f>
        <v>p.persica_gdr_reftransV1_0000786</v>
      </c>
      <c r="B10206" s="3">
        <v>554</v>
      </c>
      <c r="C10206" s="1" t="str">
        <f>HYPERLINK("http://www.uniprot.org/uniprot/PSKR2_ARATH","PSKR2_ARATH")</f>
        <v>PSKR2_ARATH</v>
      </c>
      <c r="D10206" t="s">
        <v>127</v>
      </c>
      <c r="E10206" s="3" t="s">
        <v>3</v>
      </c>
      <c r="F10206" s="4">
        <v>1.81E-18</v>
      </c>
      <c r="G10206" s="3">
        <v>216</v>
      </c>
      <c r="H10206" s="3">
        <v>48</v>
      </c>
      <c r="I10206" s="3">
        <v>118</v>
      </c>
      <c r="J10206" s="3">
        <v>200</v>
      </c>
      <c r="K10206" s="3">
        <v>553</v>
      </c>
      <c r="L10206" s="3">
        <v>5</v>
      </c>
      <c r="M10206" s="3">
        <v>114</v>
      </c>
    </row>
    <row r="10207" spans="1:13" x14ac:dyDescent="0.25">
      <c r="A10207" s="1" t="str">
        <f>HYPERLINK("http://www.rosaceae.org/Prunus/Prunus_persica/p.persica_gdr_reftransV1_0000886","p.persica_gdr_reftransV1_0000886")</f>
        <v>p.persica_gdr_reftransV1_0000886</v>
      </c>
      <c r="B10207" s="3">
        <v>760</v>
      </c>
      <c r="C10207" s="1" t="str">
        <f>HYPERLINK("http://www.uniprot.org/uniprot/PP301_ARATH","PP301_ARATH")</f>
        <v>PP301_ARATH</v>
      </c>
      <c r="D10207" t="s">
        <v>1571</v>
      </c>
      <c r="E10207" s="3" t="s">
        <v>3</v>
      </c>
      <c r="F10207" s="4">
        <v>3.2999999999999998E-60</v>
      </c>
      <c r="G10207" s="3">
        <v>528</v>
      </c>
      <c r="H10207" s="3">
        <v>40</v>
      </c>
      <c r="I10207" s="3">
        <v>252</v>
      </c>
      <c r="J10207" s="3">
        <v>3</v>
      </c>
      <c r="K10207" s="3">
        <v>758</v>
      </c>
      <c r="L10207" s="3">
        <v>322</v>
      </c>
      <c r="M10207" s="3">
        <v>572</v>
      </c>
    </row>
    <row r="10208" spans="1:13" x14ac:dyDescent="0.25">
      <c r="A10208" s="1" t="str">
        <f>HYPERLINK("http://www.rosaceae.org/Prunus/Prunus_persica/p.persica_gdr_reftransV1_0000936","p.persica_gdr_reftransV1_0000936")</f>
        <v>p.persica_gdr_reftransV1_0000936</v>
      </c>
      <c r="B10208" s="3">
        <v>1420</v>
      </c>
      <c r="C10208" s="1" t="str">
        <f>HYPERLINK("http://www.uniprot.org/uniprot/RF1_CUPPJ","RF1_CUPPJ")</f>
        <v>RF1_CUPPJ</v>
      </c>
      <c r="D10208" t="s">
        <v>7466</v>
      </c>
      <c r="E10208" s="3" t="s">
        <v>7467</v>
      </c>
      <c r="F10208" s="4">
        <v>9.6500000000000003E-11</v>
      </c>
      <c r="G10208" s="3">
        <v>162</v>
      </c>
      <c r="H10208" s="3">
        <v>62</v>
      </c>
      <c r="I10208" s="3">
        <v>47</v>
      </c>
      <c r="J10208" s="3">
        <v>724</v>
      </c>
      <c r="K10208" s="3">
        <v>864</v>
      </c>
      <c r="L10208" s="3">
        <v>220</v>
      </c>
      <c r="M10208" s="3">
        <v>266</v>
      </c>
    </row>
    <row r="10209" spans="1:13" x14ac:dyDescent="0.25">
      <c r="A10209" s="1" t="str">
        <f>HYPERLINK("http://www.rosaceae.org/Prunus/Prunus_persica/p.persica_gdr_reftransV1_0000986","p.persica_gdr_reftransV1_0000986")</f>
        <v>p.persica_gdr_reftransV1_0000986</v>
      </c>
      <c r="B10209" s="3">
        <v>1252</v>
      </c>
      <c r="C10209" s="1" t="str">
        <f>HYPERLINK("http://www.uniprot.org/uniprot/MKS1_ARATH","MKS1_ARATH")</f>
        <v>MKS1_ARATH</v>
      </c>
      <c r="D10209" t="s">
        <v>7468</v>
      </c>
      <c r="E10209" s="3" t="s">
        <v>3</v>
      </c>
      <c r="F10209" s="4">
        <v>2.9899999999999999E-13</v>
      </c>
      <c r="G10209" s="3">
        <v>176</v>
      </c>
      <c r="H10209" s="3">
        <v>46</v>
      </c>
      <c r="I10209" s="3">
        <v>181</v>
      </c>
      <c r="J10209" s="3">
        <v>464</v>
      </c>
      <c r="K10209" s="3">
        <v>985</v>
      </c>
      <c r="L10209" s="3">
        <v>19</v>
      </c>
      <c r="M10209" s="3">
        <v>180</v>
      </c>
    </row>
    <row r="10210" spans="1:13" x14ac:dyDescent="0.25">
      <c r="A10210" s="1" t="str">
        <f>HYPERLINK("http://www.rosaceae.org/Prunus/Prunus_persica/p.persica_gdr_reftransV1_0001036","p.persica_gdr_reftransV1_0001036")</f>
        <v>p.persica_gdr_reftransV1_0001036</v>
      </c>
      <c r="B10210" s="3">
        <v>306</v>
      </c>
      <c r="C10210" s="1" t="str">
        <f>HYPERLINK("http://www.uniprot.org/uniprot/PTR21_ARATH","PTR21_ARATH")</f>
        <v>PTR21_ARATH</v>
      </c>
      <c r="D10210" t="s">
        <v>415</v>
      </c>
      <c r="E10210" s="3" t="s">
        <v>3</v>
      </c>
      <c r="F10210" s="4">
        <v>3.8299999999999998E-30</v>
      </c>
      <c r="G10210" s="3">
        <v>292</v>
      </c>
      <c r="H10210" s="3">
        <v>53</v>
      </c>
      <c r="I10210" s="3">
        <v>96</v>
      </c>
      <c r="J10210" s="3">
        <v>16</v>
      </c>
      <c r="K10210" s="3">
        <v>303</v>
      </c>
      <c r="L10210" s="3">
        <v>360</v>
      </c>
      <c r="M10210" s="3">
        <v>455</v>
      </c>
    </row>
    <row r="10211" spans="1:13" x14ac:dyDescent="0.25">
      <c r="A10211" s="1" t="str">
        <f>HYPERLINK("http://www.rosaceae.org/Prunus/Prunus_persica/p.persica_gdr_reftransV1_0001286","p.persica_gdr_reftransV1_0001286")</f>
        <v>p.persica_gdr_reftransV1_0001286</v>
      </c>
      <c r="B10211" s="3">
        <v>464</v>
      </c>
      <c r="C10211" s="1" t="str">
        <f>HYPERLINK("http://www.uniprot.org/uniprot/RFS1_ARATH","RFS1_ARATH")</f>
        <v>RFS1_ARATH</v>
      </c>
      <c r="D10211" t="s">
        <v>7469</v>
      </c>
      <c r="E10211" s="3" t="s">
        <v>3</v>
      </c>
      <c r="F10211" s="4">
        <v>5.6399999999999999E-39</v>
      </c>
      <c r="G10211" s="3">
        <v>364</v>
      </c>
      <c r="H10211" s="3">
        <v>69</v>
      </c>
      <c r="I10211" s="3">
        <v>95</v>
      </c>
      <c r="J10211" s="3">
        <v>135</v>
      </c>
      <c r="K10211" s="3">
        <v>419</v>
      </c>
      <c r="L10211" s="3">
        <v>1</v>
      </c>
      <c r="M10211" s="3">
        <v>95</v>
      </c>
    </row>
    <row r="10212" spans="1:13" x14ac:dyDescent="0.25">
      <c r="A10212" s="1" t="str">
        <f>HYPERLINK("http://www.rosaceae.org/Prunus/Prunus_persica/p.persica_gdr_reftransV1_0001386","p.persica_gdr_reftransV1_0001386")</f>
        <v>p.persica_gdr_reftransV1_0001386</v>
      </c>
      <c r="B10212" s="3">
        <v>2114</v>
      </c>
      <c r="C10212" s="1" t="str">
        <f>HYPERLINK("http://www.uniprot.org/uniprot/NRX1_ARATH","NRX1_ARATH")</f>
        <v>NRX1_ARATH</v>
      </c>
      <c r="D10212" t="s">
        <v>6089</v>
      </c>
      <c r="E10212" s="3" t="s">
        <v>3</v>
      </c>
      <c r="F10212" s="4">
        <v>0</v>
      </c>
      <c r="G10212" s="3">
        <v>1954</v>
      </c>
      <c r="H10212" s="3">
        <v>65</v>
      </c>
      <c r="I10212" s="3">
        <v>568</v>
      </c>
      <c r="J10212" s="3">
        <v>236</v>
      </c>
      <c r="K10212" s="3">
        <v>1933</v>
      </c>
      <c r="L10212" s="3">
        <v>12</v>
      </c>
      <c r="M10212" s="3">
        <v>578</v>
      </c>
    </row>
    <row r="10213" spans="1:13" x14ac:dyDescent="0.25">
      <c r="A10213" s="1" t="str">
        <f>HYPERLINK("http://www.rosaceae.org/Prunus/Prunus_persica/p.persica_gdr_reftransV1_0001436","p.persica_gdr_reftransV1_0001436")</f>
        <v>p.persica_gdr_reftransV1_0001436</v>
      </c>
      <c r="B10213" s="3">
        <v>312</v>
      </c>
      <c r="C10213" s="1" t="str">
        <f>HYPERLINK("http://www.uniprot.org/uniprot/SERK1_ARATH","SERK1_ARATH")</f>
        <v>SERK1_ARATH</v>
      </c>
      <c r="D10213" t="s">
        <v>1676</v>
      </c>
      <c r="E10213" s="3" t="s">
        <v>3</v>
      </c>
      <c r="F10213" s="4">
        <v>3.8399999999999998E-16</v>
      </c>
      <c r="G10213" s="3">
        <v>189</v>
      </c>
      <c r="H10213" s="3">
        <v>47</v>
      </c>
      <c r="I10213" s="3">
        <v>91</v>
      </c>
      <c r="J10213" s="3">
        <v>38</v>
      </c>
      <c r="K10213" s="3">
        <v>310</v>
      </c>
      <c r="L10213" s="3">
        <v>92</v>
      </c>
      <c r="M10213" s="3">
        <v>182</v>
      </c>
    </row>
    <row r="10214" spans="1:13" x14ac:dyDescent="0.25">
      <c r="A10214" s="1" t="str">
        <f>HYPERLINK("http://www.rosaceae.org/Prunus/Prunus_persica/p.persica_gdr_reftransV1_0001536","p.persica_gdr_reftransV1_0001536")</f>
        <v>p.persica_gdr_reftransV1_0001536</v>
      </c>
      <c r="B10214" s="3">
        <v>1222</v>
      </c>
      <c r="C10214" s="1" t="str">
        <f>HYPERLINK("http://www.uniprot.org/uniprot/GLK2_ORYSJ","GLK2_ORYSJ")</f>
        <v>GLK2_ORYSJ</v>
      </c>
      <c r="D10214" t="s">
        <v>7470</v>
      </c>
      <c r="E10214" s="3" t="s">
        <v>38</v>
      </c>
      <c r="F10214" s="4">
        <v>8.4700000000000005E-48</v>
      </c>
      <c r="G10214" s="3">
        <v>446</v>
      </c>
      <c r="H10214" s="3">
        <v>95</v>
      </c>
      <c r="I10214" s="3">
        <v>83</v>
      </c>
      <c r="J10214" s="3">
        <v>329</v>
      </c>
      <c r="K10214" s="3">
        <v>577</v>
      </c>
      <c r="L10214" s="3">
        <v>208</v>
      </c>
      <c r="M10214" s="3">
        <v>290</v>
      </c>
    </row>
    <row r="10215" spans="1:13" x14ac:dyDescent="0.25">
      <c r="A10215" s="1" t="str">
        <f>HYPERLINK("http://www.rosaceae.org/Prunus/Prunus_persica/p.persica_gdr_reftransV1_0001636","p.persica_gdr_reftransV1_0001636")</f>
        <v>p.persica_gdr_reftransV1_0001636</v>
      </c>
      <c r="B10215" s="3">
        <v>1041</v>
      </c>
      <c r="C10215" s="1" t="str">
        <f>HYPERLINK("http://www.uniprot.org/uniprot/IF4E2_WHEAT","IF4E2_WHEAT")</f>
        <v>IF4E2_WHEAT</v>
      </c>
      <c r="D10215" t="s">
        <v>5667</v>
      </c>
      <c r="E10215" s="3" t="s">
        <v>710</v>
      </c>
      <c r="F10215" s="4">
        <v>7.4500000000000004E-97</v>
      </c>
      <c r="G10215" s="3">
        <v>749</v>
      </c>
      <c r="H10215" s="3">
        <v>73</v>
      </c>
      <c r="I10215" s="3">
        <v>179</v>
      </c>
      <c r="J10215" s="3">
        <v>225</v>
      </c>
      <c r="K10215" s="3">
        <v>758</v>
      </c>
      <c r="L10215" s="3">
        <v>31</v>
      </c>
      <c r="M10215" s="3">
        <v>209</v>
      </c>
    </row>
    <row r="10216" spans="1:13" x14ac:dyDescent="0.25">
      <c r="A10216" s="1" t="str">
        <f>HYPERLINK("http://www.rosaceae.org/Prunus/Prunus_persica/p.persica_gdr_reftransV1_0001836","p.persica_gdr_reftransV1_0001836")</f>
        <v>p.persica_gdr_reftransV1_0001836</v>
      </c>
      <c r="B10216" s="3">
        <v>2272</v>
      </c>
      <c r="C10216" s="1" t="str">
        <f>HYPERLINK("http://www.uniprot.org/uniprot/PTR14_ARATH","PTR14_ARATH")</f>
        <v>PTR14_ARATH</v>
      </c>
      <c r="D10216" t="s">
        <v>1623</v>
      </c>
      <c r="E10216" s="3" t="s">
        <v>3</v>
      </c>
      <c r="F10216" s="4">
        <v>0</v>
      </c>
      <c r="G10216" s="3">
        <v>2361</v>
      </c>
      <c r="H10216" s="3">
        <v>74</v>
      </c>
      <c r="I10216" s="3">
        <v>600</v>
      </c>
      <c r="J10216" s="3">
        <v>94</v>
      </c>
      <c r="K10216" s="3">
        <v>1878</v>
      </c>
      <c r="L10216" s="3">
        <v>1</v>
      </c>
      <c r="M10216" s="3">
        <v>600</v>
      </c>
    </row>
    <row r="10217" spans="1:13" x14ac:dyDescent="0.25">
      <c r="A10217" s="1" t="str">
        <f>HYPERLINK("http://www.rosaceae.org/Prunus/Prunus_persica/p.persica_gdr_reftransV1_0001886","p.persica_gdr_reftransV1_0001886")</f>
        <v>p.persica_gdr_reftransV1_0001886</v>
      </c>
      <c r="B10217" s="3">
        <v>399</v>
      </c>
      <c r="C10217" s="1" t="str">
        <f>HYPERLINK("http://www.uniprot.org/uniprot/Y4885_ARATH","Y4885_ARATH")</f>
        <v>Y4885_ARATH</v>
      </c>
      <c r="D10217" t="s">
        <v>468</v>
      </c>
      <c r="E10217" s="3" t="s">
        <v>3</v>
      </c>
      <c r="F10217" s="4">
        <v>5.9100000000000004E-32</v>
      </c>
      <c r="G10217" s="3">
        <v>312</v>
      </c>
      <c r="H10217" s="3">
        <v>50</v>
      </c>
      <c r="I10217" s="3">
        <v>131</v>
      </c>
      <c r="J10217" s="3">
        <v>5</v>
      </c>
      <c r="K10217" s="3">
        <v>397</v>
      </c>
      <c r="L10217" s="3">
        <v>488</v>
      </c>
      <c r="M10217" s="3">
        <v>618</v>
      </c>
    </row>
    <row r="10218" spans="1:13" x14ac:dyDescent="0.25">
      <c r="A10218" s="1" t="str">
        <f>HYPERLINK("http://www.rosaceae.org/Prunus/Prunus_persica/p.persica_gdr_reftransV1_0001986","p.persica_gdr_reftransV1_0001986")</f>
        <v>p.persica_gdr_reftransV1_0001986</v>
      </c>
      <c r="B10218" s="3">
        <v>1992</v>
      </c>
      <c r="C10218" s="1" t="str">
        <f>HYPERLINK("http://www.uniprot.org/uniprot/UAP2_SCHPO","UAP2_SCHPO")</f>
        <v>UAP2_SCHPO</v>
      </c>
      <c r="D10218" t="s">
        <v>7471</v>
      </c>
      <c r="E10218" s="3" t="s">
        <v>464</v>
      </c>
      <c r="F10218" s="4">
        <v>7.5800000000000002E-31</v>
      </c>
      <c r="G10218" s="3">
        <v>322</v>
      </c>
      <c r="H10218" s="3">
        <v>32</v>
      </c>
      <c r="I10218" s="3">
        <v>372</v>
      </c>
      <c r="J10218" s="3">
        <v>281</v>
      </c>
      <c r="K10218" s="3">
        <v>1300</v>
      </c>
      <c r="L10218" s="3">
        <v>7</v>
      </c>
      <c r="M10218" s="3">
        <v>364</v>
      </c>
    </row>
    <row r="10219" spans="1:13" x14ac:dyDescent="0.25">
      <c r="A10219" s="1" t="str">
        <f>HYPERLINK("http://www.rosaceae.org/Prunus/Prunus_persica/p.persica_gdr_reftransV1_0002036","p.persica_gdr_reftransV1_0002036")</f>
        <v>p.persica_gdr_reftransV1_0002036</v>
      </c>
      <c r="B10219" s="3">
        <v>653</v>
      </c>
      <c r="C10219" s="1" t="str">
        <f>HYPERLINK("http://www.uniprot.org/uniprot/CAPSD_GFKVM","CAPSD_GFKVM")</f>
        <v>CAPSD_GFKVM</v>
      </c>
      <c r="D10219" t="s">
        <v>7472</v>
      </c>
      <c r="E10219" s="3" t="s">
        <v>7473</v>
      </c>
      <c r="F10219" s="4">
        <v>2.1500000000000001E-49</v>
      </c>
      <c r="G10219" s="3">
        <v>422</v>
      </c>
      <c r="H10219" s="3">
        <v>50</v>
      </c>
      <c r="I10219" s="3">
        <v>167</v>
      </c>
      <c r="J10219" s="3">
        <v>62</v>
      </c>
      <c r="K10219" s="3">
        <v>556</v>
      </c>
      <c r="L10219" s="3">
        <v>65</v>
      </c>
      <c r="M10219" s="3">
        <v>229</v>
      </c>
    </row>
    <row r="10220" spans="1:13" x14ac:dyDescent="0.25">
      <c r="A10220" s="1" t="str">
        <f>HYPERLINK("http://www.rosaceae.org/Prunus/Prunus_persica/p.persica_gdr_reftransV1_0002086","p.persica_gdr_reftransV1_0002086")</f>
        <v>p.persica_gdr_reftransV1_0002086</v>
      </c>
      <c r="B10220" s="3">
        <v>5952</v>
      </c>
      <c r="C10220" s="1" t="str">
        <f>HYPERLINK("http://www.uniprot.org/uniprot/MYO15_ARATH","MYO15_ARATH")</f>
        <v>MYO15_ARATH</v>
      </c>
      <c r="D10220" t="s">
        <v>3520</v>
      </c>
      <c r="E10220" s="3" t="s">
        <v>3</v>
      </c>
      <c r="F10220" s="4">
        <v>0</v>
      </c>
      <c r="G10220" s="3">
        <v>5457</v>
      </c>
      <c r="H10220" s="3">
        <v>71</v>
      </c>
      <c r="I10220" s="3">
        <v>1505</v>
      </c>
      <c r="J10220" s="3">
        <v>1045</v>
      </c>
      <c r="K10220" s="3">
        <v>5535</v>
      </c>
      <c r="L10220" s="3">
        <v>17</v>
      </c>
      <c r="M10220" s="3">
        <v>1510</v>
      </c>
    </row>
    <row r="10221" spans="1:13" x14ac:dyDescent="0.25">
      <c r="A10221" s="1" t="str">
        <f>HYPERLINK("http://www.rosaceae.org/Prunus/Prunus_persica/p.persica_gdr_reftransV1_0002186","p.persica_gdr_reftransV1_0002186")</f>
        <v>p.persica_gdr_reftransV1_0002186</v>
      </c>
      <c r="B10221" s="3">
        <v>437</v>
      </c>
      <c r="C10221" s="1" t="str">
        <f>HYPERLINK("http://www.uniprot.org/uniprot/PROF1_BETPN","PROF1_BETPN")</f>
        <v>PROF1_BETPN</v>
      </c>
      <c r="D10221" t="s">
        <v>7474</v>
      </c>
      <c r="E10221" s="3" t="s">
        <v>5635</v>
      </c>
      <c r="F10221" s="4">
        <v>3.5300000000000001E-53</v>
      </c>
      <c r="G10221" s="3">
        <v>432</v>
      </c>
      <c r="H10221" s="3">
        <v>91</v>
      </c>
      <c r="I10221" s="3">
        <v>107</v>
      </c>
      <c r="J10221" s="3">
        <v>117</v>
      </c>
      <c r="K10221" s="3">
        <v>437</v>
      </c>
      <c r="L10221" s="3">
        <v>27</v>
      </c>
      <c r="M10221" s="3">
        <v>133</v>
      </c>
    </row>
    <row r="10222" spans="1:13" x14ac:dyDescent="0.25">
      <c r="A10222" s="1" t="str">
        <f>HYPERLINK("http://www.rosaceae.org/Prunus/Prunus_persica/p.persica_gdr_reftransV1_0002236","p.persica_gdr_reftransV1_0002236")</f>
        <v>p.persica_gdr_reftransV1_0002236</v>
      </c>
      <c r="B10222" s="3">
        <v>375</v>
      </c>
      <c r="C10222" s="1" t="str">
        <f>HYPERLINK("http://www.uniprot.org/uniprot/Y1024_SYNY3","Y1024_SYNY3")</f>
        <v>Y1024_SYNY3</v>
      </c>
      <c r="D10222" t="s">
        <v>7475</v>
      </c>
      <c r="E10222" s="3" t="s">
        <v>527</v>
      </c>
      <c r="F10222" s="4">
        <v>1.36E-23</v>
      </c>
      <c r="G10222" s="3">
        <v>240</v>
      </c>
      <c r="H10222" s="3">
        <v>47</v>
      </c>
      <c r="I10222" s="3">
        <v>90</v>
      </c>
      <c r="J10222" s="3">
        <v>1</v>
      </c>
      <c r="K10222" s="3">
        <v>270</v>
      </c>
      <c r="L10222" s="3">
        <v>200</v>
      </c>
      <c r="M10222" s="3">
        <v>289</v>
      </c>
    </row>
    <row r="10223" spans="1:13" x14ac:dyDescent="0.25">
      <c r="A10223" s="1" t="str">
        <f>HYPERLINK("http://www.rosaceae.org/Prunus/Prunus_persica/p.persica_gdr_reftransV1_0002286","p.persica_gdr_reftransV1_0002286")</f>
        <v>p.persica_gdr_reftransV1_0002286</v>
      </c>
      <c r="B10223" s="3">
        <v>1669</v>
      </c>
      <c r="C10223" s="1" t="str">
        <f>HYPERLINK("http://www.uniprot.org/uniprot/PAE8_ARATH","PAE8_ARATH")</f>
        <v>PAE8_ARATH</v>
      </c>
      <c r="D10223" t="s">
        <v>258</v>
      </c>
      <c r="E10223" s="3" t="s">
        <v>3</v>
      </c>
      <c r="F10223" s="4">
        <v>0</v>
      </c>
      <c r="G10223" s="3">
        <v>1414</v>
      </c>
      <c r="H10223" s="3">
        <v>65</v>
      </c>
      <c r="I10223" s="3">
        <v>387</v>
      </c>
      <c r="J10223" s="3">
        <v>214</v>
      </c>
      <c r="K10223" s="3">
        <v>1374</v>
      </c>
      <c r="L10223" s="3">
        <v>3</v>
      </c>
      <c r="M10223" s="3">
        <v>389</v>
      </c>
    </row>
    <row r="10224" spans="1:13" x14ac:dyDescent="0.25">
      <c r="A10224" s="1" t="str">
        <f>HYPERLINK("http://www.rosaceae.org/Prunus/Prunus_persica/p.persica_gdr_reftransV1_0002336","p.persica_gdr_reftransV1_0002336")</f>
        <v>p.persica_gdr_reftransV1_0002336</v>
      </c>
      <c r="B10224" s="3">
        <v>344</v>
      </c>
      <c r="C10224" s="1" t="str">
        <f>HYPERLINK("http://www.uniprot.org/uniprot/DRL21_ARATH","DRL21_ARATH")</f>
        <v>DRL21_ARATH</v>
      </c>
      <c r="D10224" t="s">
        <v>3610</v>
      </c>
      <c r="E10224" s="3" t="s">
        <v>3</v>
      </c>
      <c r="F10224" s="4">
        <v>2.2999999999999999E-12</v>
      </c>
      <c r="G10224" s="3">
        <v>163</v>
      </c>
      <c r="H10224" s="3">
        <v>45</v>
      </c>
      <c r="I10224" s="3">
        <v>100</v>
      </c>
      <c r="J10224" s="3">
        <v>7</v>
      </c>
      <c r="K10224" s="3">
        <v>303</v>
      </c>
      <c r="L10224" s="3">
        <v>547</v>
      </c>
      <c r="M10224" s="3">
        <v>646</v>
      </c>
    </row>
    <row r="10225" spans="1:13" x14ac:dyDescent="0.25">
      <c r="A10225" s="1" t="str">
        <f>HYPERLINK("http://www.rosaceae.org/Prunus/Prunus_persica/p.persica_gdr_reftransV1_0002436","p.persica_gdr_reftransV1_0002436")</f>
        <v>p.persica_gdr_reftransV1_0002436</v>
      </c>
      <c r="B10225" s="3">
        <v>1867</v>
      </c>
      <c r="C10225" s="1" t="str">
        <f>HYPERLINK("http://www.uniprot.org/uniprot/TBL7_ARATH","TBL7_ARATH")</f>
        <v>TBL7_ARATH</v>
      </c>
      <c r="D10225" t="s">
        <v>6023</v>
      </c>
      <c r="E10225" s="3" t="s">
        <v>3</v>
      </c>
      <c r="F10225" s="4">
        <v>5.0900000000000004E-165</v>
      </c>
      <c r="G10225" s="3">
        <v>1251</v>
      </c>
      <c r="H10225" s="3">
        <v>60</v>
      </c>
      <c r="I10225" s="3">
        <v>375</v>
      </c>
      <c r="J10225" s="3">
        <v>402</v>
      </c>
      <c r="K10225" s="3">
        <v>1514</v>
      </c>
      <c r="L10225" s="3">
        <v>68</v>
      </c>
      <c r="M10225" s="3">
        <v>440</v>
      </c>
    </row>
    <row r="10226" spans="1:13" x14ac:dyDescent="0.25">
      <c r="A10226" s="1" t="str">
        <f>HYPERLINK("http://www.rosaceae.org/Prunus/Prunus_persica/p.persica_gdr_reftransV1_0002586","p.persica_gdr_reftransV1_0002586")</f>
        <v>p.persica_gdr_reftransV1_0002586</v>
      </c>
      <c r="B10226" s="3">
        <v>967</v>
      </c>
      <c r="C10226" s="1" t="str">
        <f>HYPERLINK("http://www.uniprot.org/uniprot/LAC9_ORYSJ","LAC9_ORYSJ")</f>
        <v>LAC9_ORYSJ</v>
      </c>
      <c r="D10226" t="s">
        <v>7476</v>
      </c>
      <c r="E10226" s="3" t="s">
        <v>38</v>
      </c>
      <c r="F10226" s="4">
        <v>8.89E-112</v>
      </c>
      <c r="G10226" s="3">
        <v>879</v>
      </c>
      <c r="H10226" s="3">
        <v>53</v>
      </c>
      <c r="I10226" s="3">
        <v>313</v>
      </c>
      <c r="J10226" s="3">
        <v>43</v>
      </c>
      <c r="K10226" s="3">
        <v>960</v>
      </c>
      <c r="L10226" s="3">
        <v>5</v>
      </c>
      <c r="M10226" s="3">
        <v>316</v>
      </c>
    </row>
    <row r="10227" spans="1:13" x14ac:dyDescent="0.25">
      <c r="A10227" s="1" t="str">
        <f>HYPERLINK("http://www.rosaceae.org/Prunus/Prunus_persica/p.persica_gdr_reftransV1_0002636","p.persica_gdr_reftransV1_0002636")</f>
        <v>p.persica_gdr_reftransV1_0002636</v>
      </c>
      <c r="B10227" s="3">
        <v>2808</v>
      </c>
      <c r="C10227" s="1" t="str">
        <f>HYPERLINK("http://www.uniprot.org/uniprot/Y1634_ARATH","Y1634_ARATH")</f>
        <v>Y1634_ARATH</v>
      </c>
      <c r="D10227" t="s">
        <v>5270</v>
      </c>
      <c r="E10227" s="3" t="s">
        <v>3</v>
      </c>
      <c r="F10227" s="4">
        <v>0</v>
      </c>
      <c r="G10227" s="3">
        <v>2256</v>
      </c>
      <c r="H10227" s="3">
        <v>68</v>
      </c>
      <c r="I10227" s="3">
        <v>649</v>
      </c>
      <c r="J10227" s="3">
        <v>275</v>
      </c>
      <c r="K10227" s="3">
        <v>2191</v>
      </c>
      <c r="L10227" s="3">
        <v>6</v>
      </c>
      <c r="M10227" s="3">
        <v>649</v>
      </c>
    </row>
    <row r="10228" spans="1:13" x14ac:dyDescent="0.25">
      <c r="A10228" s="1" t="str">
        <f>HYPERLINK("http://www.rosaceae.org/Prunus/Prunus_persica/p.persica_gdr_reftransV1_0002686","p.persica_gdr_reftransV1_0002686")</f>
        <v>p.persica_gdr_reftransV1_0002686</v>
      </c>
      <c r="B10228" s="3">
        <v>445</v>
      </c>
      <c r="C10228" s="1" t="str">
        <f>HYPERLINK("http://www.uniprot.org/uniprot/GSXL5_ARATH","GSXL5_ARATH")</f>
        <v>GSXL5_ARATH</v>
      </c>
      <c r="D10228" t="s">
        <v>3387</v>
      </c>
      <c r="E10228" s="3" t="s">
        <v>3</v>
      </c>
      <c r="F10228" s="4">
        <v>2.0599999999999999E-22</v>
      </c>
      <c r="G10228" s="3">
        <v>197</v>
      </c>
      <c r="H10228" s="3">
        <v>56</v>
      </c>
      <c r="I10228" s="3">
        <v>68</v>
      </c>
      <c r="J10228" s="3">
        <v>41</v>
      </c>
      <c r="K10228" s="3">
        <v>244</v>
      </c>
      <c r="L10228" s="3">
        <v>27</v>
      </c>
      <c r="M10228" s="3">
        <v>94</v>
      </c>
    </row>
    <row r="10229" spans="1:13" x14ac:dyDescent="0.25">
      <c r="A10229" s="1" t="str">
        <f>HYPERLINK("http://www.rosaceae.org/Prunus/Prunus_persica/p.persica_gdr_reftransV1_0002786","p.persica_gdr_reftransV1_0002786")</f>
        <v>p.persica_gdr_reftransV1_0002786</v>
      </c>
      <c r="B10229" s="3">
        <v>841</v>
      </c>
      <c r="C10229" s="1" t="str">
        <f>HYPERLINK("http://www.uniprot.org/uniprot/STR15_ARATH","STR15_ARATH")</f>
        <v>STR15_ARATH</v>
      </c>
      <c r="D10229" t="s">
        <v>7477</v>
      </c>
      <c r="E10229" s="3" t="s">
        <v>3</v>
      </c>
      <c r="F10229" s="4">
        <v>5.5099999999999996E-59</v>
      </c>
      <c r="G10229" s="3">
        <v>488</v>
      </c>
      <c r="H10229" s="3">
        <v>64</v>
      </c>
      <c r="I10229" s="3">
        <v>138</v>
      </c>
      <c r="J10229" s="3">
        <v>72</v>
      </c>
      <c r="K10229" s="3">
        <v>470</v>
      </c>
      <c r="L10229" s="3">
        <v>45</v>
      </c>
      <c r="M10229" s="3">
        <v>182</v>
      </c>
    </row>
    <row r="10230" spans="1:13" x14ac:dyDescent="0.25">
      <c r="A10230" s="1" t="str">
        <f>HYPERLINK("http://www.rosaceae.org/Prunus/Prunus_persica/p.persica_gdr_reftransV1_0002836","p.persica_gdr_reftransV1_0002836")</f>
        <v>p.persica_gdr_reftransV1_0002836</v>
      </c>
      <c r="B10230" s="3">
        <v>3315</v>
      </c>
      <c r="C10230" s="1" t="str">
        <f>HYPERLINK("http://www.uniprot.org/uniprot/CTR1_ARATH","CTR1_ARATH")</f>
        <v>CTR1_ARATH</v>
      </c>
      <c r="D10230" t="s">
        <v>3566</v>
      </c>
      <c r="E10230" s="3" t="s">
        <v>3</v>
      </c>
      <c r="F10230" s="4">
        <v>0</v>
      </c>
      <c r="G10230" s="3">
        <v>2077</v>
      </c>
      <c r="H10230" s="3">
        <v>65</v>
      </c>
      <c r="I10230" s="3">
        <v>762</v>
      </c>
      <c r="J10230" s="3">
        <v>184</v>
      </c>
      <c r="K10230" s="3">
        <v>2379</v>
      </c>
      <c r="L10230" s="3">
        <v>1</v>
      </c>
      <c r="M10230" s="3">
        <v>714</v>
      </c>
    </row>
    <row r="10231" spans="1:13" x14ac:dyDescent="0.25">
      <c r="A10231" s="1" t="str">
        <f>HYPERLINK("http://www.rosaceae.org/Prunus/Prunus_persica/p.persica_gdr_reftransV1_0002886","p.persica_gdr_reftransV1_0002886")</f>
        <v>p.persica_gdr_reftransV1_0002886</v>
      </c>
      <c r="B10231" s="3">
        <v>875</v>
      </c>
      <c r="C10231" s="1" t="str">
        <f>HYPERLINK("http://www.uniprot.org/uniprot/PROSC_BOVIN","PROSC_BOVIN")</f>
        <v>PROSC_BOVIN</v>
      </c>
      <c r="D10231" t="s">
        <v>7478</v>
      </c>
      <c r="E10231" s="3" t="s">
        <v>184</v>
      </c>
      <c r="F10231" s="4">
        <v>1.91E-26</v>
      </c>
      <c r="G10231" s="3">
        <v>273</v>
      </c>
      <c r="H10231" s="3">
        <v>50</v>
      </c>
      <c r="I10231" s="3">
        <v>137</v>
      </c>
      <c r="J10231" s="3">
        <v>140</v>
      </c>
      <c r="K10231" s="3">
        <v>523</v>
      </c>
      <c r="L10231" s="3">
        <v>17</v>
      </c>
      <c r="M10231" s="3">
        <v>151</v>
      </c>
    </row>
    <row r="10232" spans="1:13" x14ac:dyDescent="0.25">
      <c r="A10232" s="1" t="str">
        <f>HYPERLINK("http://www.rosaceae.org/Prunus/Prunus_persica/p.persica_gdr_reftransV1_0002986","p.persica_gdr_reftransV1_0002986")</f>
        <v>p.persica_gdr_reftransV1_0002986</v>
      </c>
      <c r="B10232" s="3">
        <v>2783</v>
      </c>
      <c r="C10232" s="1" t="str">
        <f>HYPERLINK("http://www.uniprot.org/uniprot/DYRK2_DICDI","DYRK2_DICDI")</f>
        <v>DYRK2_DICDI</v>
      </c>
      <c r="D10232" t="s">
        <v>2919</v>
      </c>
      <c r="E10232" s="3" t="s">
        <v>9</v>
      </c>
      <c r="F10232" s="4">
        <v>2.5600000000000001E-57</v>
      </c>
      <c r="G10232" s="3">
        <v>550</v>
      </c>
      <c r="H10232" s="3">
        <v>37</v>
      </c>
      <c r="I10232" s="3">
        <v>316</v>
      </c>
      <c r="J10232" s="3">
        <v>394</v>
      </c>
      <c r="K10232" s="3">
        <v>1341</v>
      </c>
      <c r="L10232" s="3">
        <v>592</v>
      </c>
      <c r="M10232" s="3">
        <v>902</v>
      </c>
    </row>
    <row r="10233" spans="1:13" x14ac:dyDescent="0.25">
      <c r="A10233" s="1" t="str">
        <f>HYPERLINK("http://www.rosaceae.org/Prunus/Prunus_persica/p.persica_gdr_reftransV1_0003036","p.persica_gdr_reftransV1_0003036")</f>
        <v>p.persica_gdr_reftransV1_0003036</v>
      </c>
      <c r="B10233" s="3">
        <v>773</v>
      </c>
      <c r="C10233" s="1" t="str">
        <f>HYPERLINK("http://www.uniprot.org/uniprot/SCP35_ARATH","SCP35_ARATH")</f>
        <v>SCP35_ARATH</v>
      </c>
      <c r="D10233" t="s">
        <v>7479</v>
      </c>
      <c r="E10233" s="3" t="s">
        <v>3</v>
      </c>
      <c r="F10233" s="4">
        <v>2.73E-86</v>
      </c>
      <c r="G10233" s="3">
        <v>693</v>
      </c>
      <c r="H10233" s="3">
        <v>71</v>
      </c>
      <c r="I10233" s="3">
        <v>177</v>
      </c>
      <c r="J10233" s="3">
        <v>151</v>
      </c>
      <c r="K10233" s="3">
        <v>681</v>
      </c>
      <c r="L10233" s="3">
        <v>307</v>
      </c>
      <c r="M10233" s="3">
        <v>480</v>
      </c>
    </row>
    <row r="10234" spans="1:13" x14ac:dyDescent="0.25">
      <c r="A10234" s="1" t="str">
        <f>HYPERLINK("http://www.rosaceae.org/Prunus/Prunus_persica/p.persica_gdr_reftransV1_0003086","p.persica_gdr_reftransV1_0003086")</f>
        <v>p.persica_gdr_reftransV1_0003086</v>
      </c>
      <c r="B10234" s="3">
        <v>1222</v>
      </c>
      <c r="C10234" s="1" t="str">
        <f>HYPERLINK("http://www.uniprot.org/uniprot/VIP3_ARATH","VIP3_ARATH")</f>
        <v>VIP3_ARATH</v>
      </c>
      <c r="D10234" t="s">
        <v>7480</v>
      </c>
      <c r="E10234" s="3" t="s">
        <v>3</v>
      </c>
      <c r="F10234" s="4">
        <v>1.6799999999999999E-175</v>
      </c>
      <c r="G10234" s="3">
        <v>1286</v>
      </c>
      <c r="H10234" s="3">
        <v>76</v>
      </c>
      <c r="I10234" s="3">
        <v>321</v>
      </c>
      <c r="J10234" s="3">
        <v>233</v>
      </c>
      <c r="K10234" s="3">
        <v>1183</v>
      </c>
      <c r="L10234" s="3">
        <v>1</v>
      </c>
      <c r="M10234" s="3">
        <v>321</v>
      </c>
    </row>
    <row r="10235" spans="1:13" x14ac:dyDescent="0.25">
      <c r="A10235" s="1" t="str">
        <f>HYPERLINK("http://www.rosaceae.org/Prunus/Prunus_persica/p.persica_gdr_reftransV1_0003136","p.persica_gdr_reftransV1_0003136")</f>
        <v>p.persica_gdr_reftransV1_0003136</v>
      </c>
      <c r="B10235" s="3">
        <v>1768</v>
      </c>
      <c r="C10235" s="1" t="str">
        <f>HYPERLINK("http://www.uniprot.org/uniprot/GPA1_PEA","GPA1_PEA")</f>
        <v>GPA1_PEA</v>
      </c>
      <c r="D10235" t="s">
        <v>7481</v>
      </c>
      <c r="E10235" s="3" t="s">
        <v>60</v>
      </c>
      <c r="F10235" s="4">
        <v>0</v>
      </c>
      <c r="G10235" s="3">
        <v>1001</v>
      </c>
      <c r="H10235" s="3">
        <v>86</v>
      </c>
      <c r="I10235" s="3">
        <v>213</v>
      </c>
      <c r="J10235" s="3">
        <v>521</v>
      </c>
      <c r="K10235" s="3">
        <v>1153</v>
      </c>
      <c r="L10235" s="3">
        <v>88</v>
      </c>
      <c r="M10235" s="3">
        <v>300</v>
      </c>
    </row>
    <row r="10236" spans="1:13" x14ac:dyDescent="0.25">
      <c r="A10236" s="1" t="str">
        <f>HYPERLINK("http://www.rosaceae.org/Prunus/Prunus_persica/p.persica_gdr_reftransV1_0003236","p.persica_gdr_reftransV1_0003236")</f>
        <v>p.persica_gdr_reftransV1_0003236</v>
      </c>
      <c r="B10236" s="3">
        <v>778</v>
      </c>
      <c r="C10236" s="1" t="str">
        <f>HYPERLINK("http://www.uniprot.org/uniprot/PPA8_ARATH","PPA8_ARATH")</f>
        <v>PPA8_ARATH</v>
      </c>
      <c r="D10236" t="s">
        <v>7482</v>
      </c>
      <c r="E10236" s="3" t="s">
        <v>3</v>
      </c>
      <c r="F10236" s="4">
        <v>5.8900000000000003E-10</v>
      </c>
      <c r="G10236" s="3">
        <v>150</v>
      </c>
      <c r="H10236" s="3">
        <v>73</v>
      </c>
      <c r="I10236" s="3">
        <v>37</v>
      </c>
      <c r="J10236" s="3">
        <v>466</v>
      </c>
      <c r="K10236" s="3">
        <v>576</v>
      </c>
      <c r="L10236" s="3">
        <v>32</v>
      </c>
      <c r="M10236" s="3">
        <v>68</v>
      </c>
    </row>
    <row r="10237" spans="1:13" x14ac:dyDescent="0.25">
      <c r="A10237" s="1" t="str">
        <f>HYPERLINK("http://www.rosaceae.org/Prunus/Prunus_persica/p.persica_gdr_reftransV1_0003386","p.persica_gdr_reftransV1_0003386")</f>
        <v>p.persica_gdr_reftransV1_0003386</v>
      </c>
      <c r="B10237" s="3">
        <v>478</v>
      </c>
      <c r="C10237" s="1" t="str">
        <f>HYPERLINK("http://www.uniprot.org/uniprot/ATN2_YEAST","ATN2_YEAST")</f>
        <v>ATN2_YEAST</v>
      </c>
      <c r="D10237" t="s">
        <v>7483</v>
      </c>
      <c r="E10237" s="3" t="s">
        <v>34</v>
      </c>
      <c r="F10237" s="4">
        <v>1.2699999999999999E-72</v>
      </c>
      <c r="G10237" s="3">
        <v>612</v>
      </c>
      <c r="H10237" s="3">
        <v>72</v>
      </c>
      <c r="I10237" s="3">
        <v>157</v>
      </c>
      <c r="J10237" s="3">
        <v>1</v>
      </c>
      <c r="K10237" s="3">
        <v>471</v>
      </c>
      <c r="L10237" s="3">
        <v>740</v>
      </c>
      <c r="M10237" s="3">
        <v>896</v>
      </c>
    </row>
    <row r="10238" spans="1:13" x14ac:dyDescent="0.25">
      <c r="A10238" s="1" t="str">
        <f>HYPERLINK("http://www.rosaceae.org/Prunus/Prunus_persica/p.persica_gdr_reftransV1_0003436","p.persica_gdr_reftransV1_0003436")</f>
        <v>p.persica_gdr_reftransV1_0003436</v>
      </c>
      <c r="B10238" s="3">
        <v>1573</v>
      </c>
      <c r="C10238" s="1" t="str">
        <f>HYPERLINK("http://www.uniprot.org/uniprot/CND1_SCHPO","CND1_SCHPO")</f>
        <v>CND1_SCHPO</v>
      </c>
      <c r="D10238" t="s">
        <v>7484</v>
      </c>
      <c r="E10238" s="3" t="s">
        <v>464</v>
      </c>
      <c r="F10238" s="4">
        <v>2.1199999999999999E-29</v>
      </c>
      <c r="G10238" s="3">
        <v>318</v>
      </c>
      <c r="H10238" s="3">
        <v>25</v>
      </c>
      <c r="I10238" s="3">
        <v>454</v>
      </c>
      <c r="J10238" s="3">
        <v>7</v>
      </c>
      <c r="K10238" s="3">
        <v>1311</v>
      </c>
      <c r="L10238" s="3">
        <v>290</v>
      </c>
      <c r="M10238" s="3">
        <v>729</v>
      </c>
    </row>
    <row r="10239" spans="1:13" x14ac:dyDescent="0.25">
      <c r="A10239" s="1" t="str">
        <f>HYPERLINK("http://www.rosaceae.org/Prunus/Prunus_persica/p.persica_gdr_reftransV1_0003586","p.persica_gdr_reftransV1_0003586")</f>
        <v>p.persica_gdr_reftransV1_0003586</v>
      </c>
      <c r="B10239" s="3">
        <v>1906</v>
      </c>
      <c r="C10239" s="1" t="str">
        <f>HYPERLINK("http://www.uniprot.org/uniprot/SR45A_ARATH","SR45A_ARATH")</f>
        <v>SR45A_ARATH</v>
      </c>
      <c r="D10239" t="s">
        <v>6013</v>
      </c>
      <c r="E10239" s="3" t="s">
        <v>3</v>
      </c>
      <c r="F10239" s="4">
        <v>4.2199999999999998E-33</v>
      </c>
      <c r="G10239" s="3">
        <v>339</v>
      </c>
      <c r="H10239" s="3">
        <v>72</v>
      </c>
      <c r="I10239" s="3">
        <v>82</v>
      </c>
      <c r="J10239" s="3">
        <v>207</v>
      </c>
      <c r="K10239" s="3">
        <v>452</v>
      </c>
      <c r="L10239" s="3">
        <v>70</v>
      </c>
      <c r="M10239" s="3">
        <v>151</v>
      </c>
    </row>
    <row r="10240" spans="1:13" x14ac:dyDescent="0.25">
      <c r="A10240" s="1" t="str">
        <f>HYPERLINK("http://www.rosaceae.org/Prunus/Prunus_persica/p.persica_gdr_reftransV1_0003636","p.persica_gdr_reftransV1_0003636")</f>
        <v>p.persica_gdr_reftransV1_0003636</v>
      </c>
      <c r="B10240" s="3">
        <v>559</v>
      </c>
      <c r="C10240" s="1" t="str">
        <f>HYPERLINK("http://www.uniprot.org/uniprot/TIP23_ARATH","TIP23_ARATH")</f>
        <v>TIP23_ARATH</v>
      </c>
      <c r="D10240" t="s">
        <v>7485</v>
      </c>
      <c r="E10240" s="3" t="s">
        <v>3</v>
      </c>
      <c r="F10240" s="4">
        <v>3.67E-100</v>
      </c>
      <c r="G10240" s="3">
        <v>758</v>
      </c>
      <c r="H10240" s="3">
        <v>83</v>
      </c>
      <c r="I10240" s="3">
        <v>188</v>
      </c>
      <c r="J10240" s="3">
        <v>2</v>
      </c>
      <c r="K10240" s="3">
        <v>559</v>
      </c>
      <c r="L10240" s="3">
        <v>33</v>
      </c>
      <c r="M10240" s="3">
        <v>220</v>
      </c>
    </row>
    <row r="10241" spans="1:13" x14ac:dyDescent="0.25">
      <c r="A10241" s="1" t="str">
        <f>HYPERLINK("http://www.rosaceae.org/Prunus/Prunus_persica/p.persica_gdr_reftransV1_0003736","p.persica_gdr_reftransV1_0003736")</f>
        <v>p.persica_gdr_reftransV1_0003736</v>
      </c>
      <c r="B10241" s="3">
        <v>438</v>
      </c>
      <c r="C10241" s="1" t="str">
        <f>HYPERLINK("http://www.uniprot.org/uniprot/FD123_TRAVE","FD123_TRAVE")</f>
        <v>FD123_TRAVE</v>
      </c>
      <c r="D10241" t="s">
        <v>7486</v>
      </c>
      <c r="E10241" s="3" t="s">
        <v>7487</v>
      </c>
      <c r="F10241" s="4">
        <v>2.5699999999999999E-8</v>
      </c>
      <c r="G10241" s="3">
        <v>130</v>
      </c>
      <c r="H10241" s="3">
        <v>37</v>
      </c>
      <c r="I10241" s="3">
        <v>93</v>
      </c>
      <c r="J10241" s="3">
        <v>167</v>
      </c>
      <c r="K10241" s="3">
        <v>436</v>
      </c>
      <c r="L10241" s="3">
        <v>192</v>
      </c>
      <c r="M10241" s="3">
        <v>279</v>
      </c>
    </row>
    <row r="10242" spans="1:13" x14ac:dyDescent="0.25">
      <c r="A10242" s="1" t="str">
        <f>HYPERLINK("http://www.rosaceae.org/Prunus/Prunus_persica/p.persica_gdr_reftransV1_0003786","p.persica_gdr_reftransV1_0003786")</f>
        <v>p.persica_gdr_reftransV1_0003786</v>
      </c>
      <c r="B10242" s="3">
        <v>855</v>
      </c>
      <c r="C10242" s="1" t="str">
        <f>HYPERLINK("http://www.uniprot.org/uniprot/SLE3_SOYBN","SLE3_SOYBN")</f>
        <v>SLE3_SOYBN</v>
      </c>
      <c r="D10242" t="s">
        <v>7488</v>
      </c>
      <c r="E10242" s="3" t="s">
        <v>307</v>
      </c>
      <c r="F10242" s="4">
        <v>4.8399999999999998E-37</v>
      </c>
      <c r="G10242" s="3">
        <v>334</v>
      </c>
      <c r="H10242" s="3">
        <v>71</v>
      </c>
      <c r="I10242" s="3">
        <v>94</v>
      </c>
      <c r="J10242" s="3">
        <v>94</v>
      </c>
      <c r="K10242" s="3">
        <v>375</v>
      </c>
      <c r="L10242" s="3">
        <v>1</v>
      </c>
      <c r="M10242" s="3">
        <v>91</v>
      </c>
    </row>
    <row r="10243" spans="1:13" x14ac:dyDescent="0.25">
      <c r="A10243" s="1" t="str">
        <f>HYPERLINK("http://www.rosaceae.org/Prunus/Prunus_persica/p.persica_gdr_reftransV1_0003886","p.persica_gdr_reftransV1_0003886")</f>
        <v>p.persica_gdr_reftransV1_0003886</v>
      </c>
      <c r="B10243" s="3">
        <v>740</v>
      </c>
      <c r="C10243" s="1" t="str">
        <f>HYPERLINK("http://www.uniprot.org/uniprot/PPP7_ARATH","PPP7_ARATH")</f>
        <v>PPP7_ARATH</v>
      </c>
      <c r="D10243" t="s">
        <v>3108</v>
      </c>
      <c r="E10243" s="3" t="s">
        <v>3</v>
      </c>
      <c r="F10243" s="4">
        <v>1.7900000000000001E-21</v>
      </c>
      <c r="G10243" s="3">
        <v>237</v>
      </c>
      <c r="H10243" s="3">
        <v>61</v>
      </c>
      <c r="I10243" s="3">
        <v>75</v>
      </c>
      <c r="J10243" s="3">
        <v>460</v>
      </c>
      <c r="K10243" s="3">
        <v>684</v>
      </c>
      <c r="L10243" s="3">
        <v>8</v>
      </c>
      <c r="M10243" s="3">
        <v>82</v>
      </c>
    </row>
    <row r="10244" spans="1:13" x14ac:dyDescent="0.25">
      <c r="A10244" s="1" t="str">
        <f>HYPERLINK("http://www.rosaceae.org/Prunus/Prunus_persica/p.persica_gdr_reftransV1_0003936","p.persica_gdr_reftransV1_0003936")</f>
        <v>p.persica_gdr_reftransV1_0003936</v>
      </c>
      <c r="B10244" s="3">
        <v>1165</v>
      </c>
      <c r="C10244" s="1" t="str">
        <f>HYPERLINK("http://www.uniprot.org/uniprot/PHYK1_SOYBN","PHYK1_SOYBN")</f>
        <v>PHYK1_SOYBN</v>
      </c>
      <c r="D10244" t="s">
        <v>6207</v>
      </c>
      <c r="E10244" s="3" t="s">
        <v>307</v>
      </c>
      <c r="F10244" s="4">
        <v>2.7499999999999998E-93</v>
      </c>
      <c r="G10244" s="3">
        <v>711</v>
      </c>
      <c r="H10244" s="3">
        <v>71</v>
      </c>
      <c r="I10244" s="3">
        <v>181</v>
      </c>
      <c r="J10244" s="3">
        <v>379</v>
      </c>
      <c r="K10244" s="3">
        <v>921</v>
      </c>
      <c r="L10244" s="3">
        <v>120</v>
      </c>
      <c r="M10244" s="3">
        <v>300</v>
      </c>
    </row>
    <row r="10245" spans="1:13" x14ac:dyDescent="0.25">
      <c r="A10245" s="1" t="str">
        <f>HYPERLINK("http://www.rosaceae.org/Prunus/Prunus_persica/p.persica_gdr_reftransV1_0004186","p.persica_gdr_reftransV1_0004186")</f>
        <v>p.persica_gdr_reftransV1_0004186</v>
      </c>
      <c r="B10245" s="3">
        <v>699</v>
      </c>
      <c r="C10245" s="1" t="str">
        <f>HYPERLINK("http://www.uniprot.org/uniprot/BCA5_ARATH","BCA5_ARATH")</f>
        <v>BCA5_ARATH</v>
      </c>
      <c r="D10245" t="s">
        <v>3759</v>
      </c>
      <c r="E10245" s="3" t="s">
        <v>3</v>
      </c>
      <c r="F10245" s="4">
        <v>3.8700000000000002E-35</v>
      </c>
      <c r="G10245" s="3">
        <v>332</v>
      </c>
      <c r="H10245" s="3">
        <v>60</v>
      </c>
      <c r="I10245" s="3">
        <v>103</v>
      </c>
      <c r="J10245" s="3">
        <v>166</v>
      </c>
      <c r="K10245" s="3">
        <v>474</v>
      </c>
      <c r="L10245" s="3">
        <v>51</v>
      </c>
      <c r="M10245" s="3">
        <v>149</v>
      </c>
    </row>
    <row r="10246" spans="1:13" x14ac:dyDescent="0.25">
      <c r="A10246" s="1" t="str">
        <f>HYPERLINK("http://www.rosaceae.org/Prunus/Prunus_persica/p.persica_gdr_reftransV1_0004236","p.persica_gdr_reftransV1_0004236")</f>
        <v>p.persica_gdr_reftransV1_0004236</v>
      </c>
      <c r="B10246" s="3">
        <v>2098</v>
      </c>
      <c r="C10246" s="1" t="str">
        <f>HYPERLINK("http://www.uniprot.org/uniprot/DHE3_VITVI","DHE3_VITVI")</f>
        <v>DHE3_VITVI</v>
      </c>
      <c r="D10246" t="s">
        <v>7489</v>
      </c>
      <c r="E10246" s="3" t="s">
        <v>362</v>
      </c>
      <c r="F10246" s="4">
        <v>0</v>
      </c>
      <c r="G10246" s="3">
        <v>1518</v>
      </c>
      <c r="H10246" s="3">
        <v>87</v>
      </c>
      <c r="I10246" s="3">
        <v>317</v>
      </c>
      <c r="J10246" s="3">
        <v>797</v>
      </c>
      <c r="K10246" s="3">
        <v>1747</v>
      </c>
      <c r="L10246" s="3">
        <v>7</v>
      </c>
      <c r="M10246" s="3">
        <v>323</v>
      </c>
    </row>
    <row r="10247" spans="1:13" x14ac:dyDescent="0.25">
      <c r="A10247" s="1" t="str">
        <f>HYPERLINK("http://www.rosaceae.org/Prunus/Prunus_persica/p.persica_gdr_reftransV1_0004336","p.persica_gdr_reftransV1_0004336")</f>
        <v>p.persica_gdr_reftransV1_0004336</v>
      </c>
      <c r="B10247" s="3">
        <v>2283</v>
      </c>
      <c r="C10247" s="1" t="str">
        <f>HYPERLINK("http://www.uniprot.org/uniprot/MA658_ARATH","MA658_ARATH")</f>
        <v>MA658_ARATH</v>
      </c>
      <c r="D10247" t="s">
        <v>3544</v>
      </c>
      <c r="E10247" s="3" t="s">
        <v>3</v>
      </c>
      <c r="F10247" s="4">
        <v>0</v>
      </c>
      <c r="G10247" s="3">
        <v>1821</v>
      </c>
      <c r="H10247" s="3">
        <v>65</v>
      </c>
      <c r="I10247" s="3">
        <v>566</v>
      </c>
      <c r="J10247" s="3">
        <v>412</v>
      </c>
      <c r="K10247" s="3">
        <v>2106</v>
      </c>
      <c r="L10247" s="3">
        <v>1</v>
      </c>
      <c r="M10247" s="3">
        <v>560</v>
      </c>
    </row>
    <row r="10248" spans="1:13" x14ac:dyDescent="0.25">
      <c r="A10248" s="1" t="str">
        <f>HYPERLINK("http://www.rosaceae.org/Prunus/Prunus_persica/p.persica_gdr_reftransV1_0004386","p.persica_gdr_reftransV1_0004386")</f>
        <v>p.persica_gdr_reftransV1_0004386</v>
      </c>
      <c r="B10248" s="3">
        <v>2159</v>
      </c>
      <c r="C10248" s="1" t="str">
        <f>HYPERLINK("http://www.uniprot.org/uniprot/MOS2_ARATH","MOS2_ARATH")</f>
        <v>MOS2_ARATH</v>
      </c>
      <c r="D10248" t="s">
        <v>6148</v>
      </c>
      <c r="E10248" s="3" t="s">
        <v>3</v>
      </c>
      <c r="F10248" s="4">
        <v>1.0899999999999999E-109</v>
      </c>
      <c r="G10248" s="3">
        <v>891</v>
      </c>
      <c r="H10248" s="3">
        <v>50</v>
      </c>
      <c r="I10248" s="3">
        <v>459</v>
      </c>
      <c r="J10248" s="3">
        <v>789</v>
      </c>
      <c r="K10248" s="3">
        <v>2036</v>
      </c>
      <c r="L10248" s="3">
        <v>15</v>
      </c>
      <c r="M10248" s="3">
        <v>462</v>
      </c>
    </row>
    <row r="10249" spans="1:13" x14ac:dyDescent="0.25">
      <c r="A10249" s="1" t="str">
        <f>HYPERLINK("http://www.rosaceae.org/Prunus/Prunus_persica/p.persica_gdr_reftransV1_0004436","p.persica_gdr_reftransV1_0004436")</f>
        <v>p.persica_gdr_reftransV1_0004436</v>
      </c>
      <c r="B10249" s="3">
        <v>1742</v>
      </c>
      <c r="C10249" s="1" t="str">
        <f>HYPERLINK("http://www.uniprot.org/uniprot/C3H2_ARATH","C3H2_ARATH")</f>
        <v>C3H2_ARATH</v>
      </c>
      <c r="D10249" t="s">
        <v>7490</v>
      </c>
      <c r="E10249" s="3" t="s">
        <v>3</v>
      </c>
      <c r="F10249" s="4">
        <v>9.7899999999999992E-78</v>
      </c>
      <c r="G10249" s="3">
        <v>657</v>
      </c>
      <c r="H10249" s="3">
        <v>47</v>
      </c>
      <c r="I10249" s="3">
        <v>360</v>
      </c>
      <c r="J10249" s="3">
        <v>311</v>
      </c>
      <c r="K10249" s="3">
        <v>1327</v>
      </c>
      <c r="L10249" s="3">
        <v>77</v>
      </c>
      <c r="M10249" s="3">
        <v>392</v>
      </c>
    </row>
    <row r="10250" spans="1:13" x14ac:dyDescent="0.25">
      <c r="A10250" s="1" t="str">
        <f>HYPERLINK("http://www.rosaceae.org/Prunus/Prunus_persica/p.persica_gdr_reftransV1_0004586","p.persica_gdr_reftransV1_0004586")</f>
        <v>p.persica_gdr_reftransV1_0004586</v>
      </c>
      <c r="B10250" s="3">
        <v>1821</v>
      </c>
      <c r="C10250" s="1" t="str">
        <f>HYPERLINK("http://www.uniprot.org/uniprot/AB2A_ARATH","AB2A_ARATH")</f>
        <v>AB2A_ARATH</v>
      </c>
      <c r="D10250" t="s">
        <v>2678</v>
      </c>
      <c r="E10250" s="3" t="s">
        <v>3</v>
      </c>
      <c r="F10250" s="4">
        <v>5.83E-39</v>
      </c>
      <c r="G10250" s="3">
        <v>397</v>
      </c>
      <c r="H10250" s="3">
        <v>53</v>
      </c>
      <c r="I10250" s="3">
        <v>161</v>
      </c>
      <c r="J10250" s="3">
        <v>1266</v>
      </c>
      <c r="K10250" s="3">
        <v>1730</v>
      </c>
      <c r="L10250" s="3">
        <v>817</v>
      </c>
      <c r="M10250" s="3">
        <v>948</v>
      </c>
    </row>
    <row r="10251" spans="1:13" x14ac:dyDescent="0.25">
      <c r="A10251" s="1" t="str">
        <f>HYPERLINK("http://www.rosaceae.org/Prunus/Prunus_persica/p.persica_gdr_reftransV1_0004636","p.persica_gdr_reftransV1_0004636")</f>
        <v>p.persica_gdr_reftransV1_0004636</v>
      </c>
      <c r="B10251" s="3">
        <v>2323</v>
      </c>
      <c r="C10251" s="1" t="str">
        <f>HYPERLINK("http://www.uniprot.org/uniprot/CDC21_ARATH","CDC21_ARATH")</f>
        <v>CDC21_ARATH</v>
      </c>
      <c r="D10251" t="s">
        <v>6361</v>
      </c>
      <c r="E10251" s="3" t="s">
        <v>3</v>
      </c>
      <c r="F10251" s="4">
        <v>0</v>
      </c>
      <c r="G10251" s="3">
        <v>1652</v>
      </c>
      <c r="H10251" s="3">
        <v>73</v>
      </c>
      <c r="I10251" s="3">
        <v>446</v>
      </c>
      <c r="J10251" s="3">
        <v>132</v>
      </c>
      <c r="K10251" s="3">
        <v>1433</v>
      </c>
      <c r="L10251" s="3">
        <v>14</v>
      </c>
      <c r="M10251" s="3">
        <v>456</v>
      </c>
    </row>
    <row r="10252" spans="1:13" x14ac:dyDescent="0.25">
      <c r="A10252" s="1" t="str">
        <f>HYPERLINK("http://www.rosaceae.org/Prunus/Prunus_persica/p.persica_gdr_reftransV1_0004686","p.persica_gdr_reftransV1_0004686")</f>
        <v>p.persica_gdr_reftransV1_0004686</v>
      </c>
      <c r="B10252" s="3">
        <v>1502</v>
      </c>
      <c r="C10252" s="1" t="str">
        <f>HYPERLINK("http://www.uniprot.org/uniprot/PERK3_ARATH","PERK3_ARATH")</f>
        <v>PERK3_ARATH</v>
      </c>
      <c r="D10252" t="s">
        <v>7491</v>
      </c>
      <c r="E10252" s="3" t="s">
        <v>3</v>
      </c>
      <c r="F10252" s="4">
        <v>8.1100000000000004E-56</v>
      </c>
      <c r="G10252" s="3">
        <v>508</v>
      </c>
      <c r="H10252" s="3">
        <v>39</v>
      </c>
      <c r="I10252" s="3">
        <v>290</v>
      </c>
      <c r="J10252" s="3">
        <v>425</v>
      </c>
      <c r="K10252" s="3">
        <v>1261</v>
      </c>
      <c r="L10252" s="3">
        <v>171</v>
      </c>
      <c r="M10252" s="3">
        <v>457</v>
      </c>
    </row>
    <row r="10253" spans="1:13" x14ac:dyDescent="0.25">
      <c r="A10253" s="1" t="str">
        <f>HYPERLINK("http://www.rosaceae.org/Prunus/Prunus_persica/p.persica_gdr_reftransV1_0004736","p.persica_gdr_reftransV1_0004736")</f>
        <v>p.persica_gdr_reftransV1_0004736</v>
      </c>
      <c r="B10253" s="3">
        <v>1764</v>
      </c>
      <c r="C10253" s="1" t="str">
        <f>HYPERLINK("http://www.uniprot.org/uniprot/SDR1_ARATH","SDR1_ARATH")</f>
        <v>SDR1_ARATH</v>
      </c>
      <c r="D10253" t="s">
        <v>763</v>
      </c>
      <c r="E10253" s="3" t="s">
        <v>3</v>
      </c>
      <c r="F10253" s="4">
        <v>4.6799999999999997E-64</v>
      </c>
      <c r="G10253" s="3">
        <v>555</v>
      </c>
      <c r="H10253" s="3">
        <v>60</v>
      </c>
      <c r="I10253" s="3">
        <v>179</v>
      </c>
      <c r="J10253" s="3">
        <v>417</v>
      </c>
      <c r="K10253" s="3">
        <v>950</v>
      </c>
      <c r="L10253" s="3">
        <v>118</v>
      </c>
      <c r="M10253" s="3">
        <v>296</v>
      </c>
    </row>
    <row r="10254" spans="1:13" x14ac:dyDescent="0.25">
      <c r="A10254" s="1" t="str">
        <f>HYPERLINK("http://www.rosaceae.org/Prunus/Prunus_persica/p.persica_gdr_reftransV1_0004836","p.persica_gdr_reftransV1_0004836")</f>
        <v>p.persica_gdr_reftransV1_0004836</v>
      </c>
      <c r="B10254" s="3">
        <v>1185</v>
      </c>
      <c r="C10254" s="1" t="str">
        <f>HYPERLINK("http://www.uniprot.org/uniprot/CHI4_PHAVU","CHI4_PHAVU")</f>
        <v>CHI4_PHAVU</v>
      </c>
      <c r="D10254" t="s">
        <v>6682</v>
      </c>
      <c r="E10254" s="3" t="s">
        <v>2044</v>
      </c>
      <c r="F10254" s="4">
        <v>1.15E-81</v>
      </c>
      <c r="G10254" s="3">
        <v>658</v>
      </c>
      <c r="H10254" s="3">
        <v>57</v>
      </c>
      <c r="I10254" s="3">
        <v>251</v>
      </c>
      <c r="J10254" s="3">
        <v>1</v>
      </c>
      <c r="K10254" s="3">
        <v>747</v>
      </c>
      <c r="L10254" s="3">
        <v>29</v>
      </c>
      <c r="M10254" s="3">
        <v>270</v>
      </c>
    </row>
    <row r="10255" spans="1:13" x14ac:dyDescent="0.25">
      <c r="A10255" s="1" t="str">
        <f>HYPERLINK("http://www.rosaceae.org/Prunus/Prunus_persica/p.persica_gdr_reftransV1_0005086","p.persica_gdr_reftransV1_0005086")</f>
        <v>p.persica_gdr_reftransV1_0005086</v>
      </c>
      <c r="B10255" s="3">
        <v>657</v>
      </c>
      <c r="C10255" s="1" t="str">
        <f>HYPERLINK("http://www.uniprot.org/uniprot/RPP1_ARATH","RPP1_ARATH")</f>
        <v>RPP1_ARATH</v>
      </c>
      <c r="D10255" t="s">
        <v>1513</v>
      </c>
      <c r="E10255" s="3" t="s">
        <v>3</v>
      </c>
      <c r="F10255" s="4">
        <v>1.0300000000000001E-12</v>
      </c>
      <c r="G10255" s="3">
        <v>172</v>
      </c>
      <c r="H10255" s="3">
        <v>33</v>
      </c>
      <c r="I10255" s="3">
        <v>184</v>
      </c>
      <c r="J10255" s="3">
        <v>75</v>
      </c>
      <c r="K10255" s="3">
        <v>626</v>
      </c>
      <c r="L10255" s="3">
        <v>739</v>
      </c>
      <c r="M10255" s="3">
        <v>909</v>
      </c>
    </row>
    <row r="10256" spans="1:13" x14ac:dyDescent="0.25">
      <c r="A10256" s="1" t="str">
        <f>HYPERLINK("http://www.rosaceae.org/Prunus/Prunus_persica/p.persica_gdr_reftransV1_0005186","p.persica_gdr_reftransV1_0005186")</f>
        <v>p.persica_gdr_reftransV1_0005186</v>
      </c>
      <c r="B10256" s="3">
        <v>897</v>
      </c>
      <c r="C10256" s="1" t="str">
        <f>HYPERLINK("http://www.uniprot.org/uniprot/MIA40_CRYNJ","MIA40_CRYNJ")</f>
        <v>MIA40_CRYNJ</v>
      </c>
      <c r="D10256" t="s">
        <v>7492</v>
      </c>
      <c r="E10256" s="3" t="s">
        <v>1720</v>
      </c>
      <c r="F10256" s="4">
        <v>7.9499999999999997E-11</v>
      </c>
      <c r="G10256" s="3">
        <v>155</v>
      </c>
      <c r="H10256" s="3">
        <v>44</v>
      </c>
      <c r="I10256" s="3">
        <v>54</v>
      </c>
      <c r="J10256" s="3">
        <v>509</v>
      </c>
      <c r="K10256" s="3">
        <v>670</v>
      </c>
      <c r="L10256" s="3">
        <v>143</v>
      </c>
      <c r="M10256" s="3">
        <v>196</v>
      </c>
    </row>
    <row r="10257" spans="1:13" x14ac:dyDescent="0.25">
      <c r="A10257" s="1" t="str">
        <f>HYPERLINK("http://www.rosaceae.org/Prunus/Prunus_persica/p.persica_gdr_reftransV1_0005236","p.persica_gdr_reftransV1_0005236")</f>
        <v>p.persica_gdr_reftransV1_0005236</v>
      </c>
      <c r="B10257" s="3">
        <v>3789</v>
      </c>
      <c r="C10257" s="1" t="str">
        <f>HYPERLINK("http://www.uniprot.org/uniprot/MOS1_ARATH","MOS1_ARATH")</f>
        <v>MOS1_ARATH</v>
      </c>
      <c r="D10257" t="s">
        <v>6729</v>
      </c>
      <c r="E10257" s="3" t="s">
        <v>3</v>
      </c>
      <c r="F10257" s="4">
        <v>3.0800000000000001E-66</v>
      </c>
      <c r="G10257" s="3">
        <v>638</v>
      </c>
      <c r="H10257" s="3">
        <v>34</v>
      </c>
      <c r="I10257" s="3">
        <v>843</v>
      </c>
      <c r="J10257" s="3">
        <v>20</v>
      </c>
      <c r="K10257" s="3">
        <v>2506</v>
      </c>
      <c r="L10257" s="3">
        <v>499</v>
      </c>
      <c r="M10257" s="3">
        <v>1229</v>
      </c>
    </row>
    <row r="10258" spans="1:13" x14ac:dyDescent="0.25">
      <c r="A10258" s="1" t="str">
        <f>HYPERLINK("http://www.rosaceae.org/Prunus/Prunus_persica/p.persica_gdr_reftransV1_0005386","p.persica_gdr_reftransV1_0005386")</f>
        <v>p.persica_gdr_reftransV1_0005386</v>
      </c>
      <c r="B10258" s="3">
        <v>1645</v>
      </c>
      <c r="C10258" s="1" t="str">
        <f>HYPERLINK("http://www.uniprot.org/uniprot/POLX_TOBAC","POLX_TOBAC")</f>
        <v>POLX_TOBAC</v>
      </c>
      <c r="D10258" t="s">
        <v>1253</v>
      </c>
      <c r="E10258" s="3" t="s">
        <v>200</v>
      </c>
      <c r="F10258" s="4">
        <v>2.3100000000000001E-73</v>
      </c>
      <c r="G10258" s="3">
        <v>661</v>
      </c>
      <c r="H10258" s="3">
        <v>31</v>
      </c>
      <c r="I10258" s="3">
        <v>567</v>
      </c>
      <c r="J10258" s="3">
        <v>2</v>
      </c>
      <c r="K10258" s="3">
        <v>1636</v>
      </c>
      <c r="L10258" s="3">
        <v>128</v>
      </c>
      <c r="M10258" s="3">
        <v>647</v>
      </c>
    </row>
    <row r="10259" spans="1:13" x14ac:dyDescent="0.25">
      <c r="A10259" s="1" t="str">
        <f>HYPERLINK("http://www.rosaceae.org/Prunus/Prunus_persica/p.persica_gdr_reftransV1_0005436","p.persica_gdr_reftransV1_0005436")</f>
        <v>p.persica_gdr_reftransV1_0005436</v>
      </c>
      <c r="B10259" s="3">
        <v>777</v>
      </c>
      <c r="C10259" s="1" t="str">
        <f>HYPERLINK("http://www.uniprot.org/uniprot/RS242_ARATH","RS242_ARATH")</f>
        <v>RS242_ARATH</v>
      </c>
      <c r="D10259" t="s">
        <v>5099</v>
      </c>
      <c r="E10259" s="3" t="s">
        <v>3</v>
      </c>
      <c r="F10259" s="4">
        <v>1.07E-72</v>
      </c>
      <c r="G10259" s="3">
        <v>573</v>
      </c>
      <c r="H10259" s="3">
        <v>88</v>
      </c>
      <c r="I10259" s="3">
        <v>123</v>
      </c>
      <c r="J10259" s="3">
        <v>62</v>
      </c>
      <c r="K10259" s="3">
        <v>430</v>
      </c>
      <c r="L10259" s="3">
        <v>1</v>
      </c>
      <c r="M10259" s="3">
        <v>122</v>
      </c>
    </row>
    <row r="10260" spans="1:13" x14ac:dyDescent="0.25">
      <c r="A10260" s="1" t="str">
        <f>HYPERLINK("http://www.rosaceae.org/Prunus/Prunus_persica/p.persica_gdr_reftransV1_0005486","p.persica_gdr_reftransV1_0005486")</f>
        <v>p.persica_gdr_reftransV1_0005486</v>
      </c>
      <c r="B10260" s="3">
        <v>3134</v>
      </c>
      <c r="C10260" s="1" t="str">
        <f>HYPERLINK("http://www.uniprot.org/uniprot/ALA9_ARATH","ALA9_ARATH")</f>
        <v>ALA9_ARATH</v>
      </c>
      <c r="D10260" t="s">
        <v>5176</v>
      </c>
      <c r="E10260" s="3" t="s">
        <v>3</v>
      </c>
      <c r="F10260" s="4">
        <v>0</v>
      </c>
      <c r="G10260" s="3">
        <v>3650</v>
      </c>
      <c r="H10260" s="3">
        <v>78</v>
      </c>
      <c r="I10260" s="3">
        <v>885</v>
      </c>
      <c r="J10260" s="3">
        <v>2</v>
      </c>
      <c r="K10260" s="3">
        <v>2647</v>
      </c>
      <c r="L10260" s="3">
        <v>13</v>
      </c>
      <c r="M10260" s="3">
        <v>895</v>
      </c>
    </row>
    <row r="10261" spans="1:13" x14ac:dyDescent="0.25">
      <c r="A10261" s="1" t="str">
        <f>HYPERLINK("http://www.rosaceae.org/Prunus/Prunus_persica/p.persica_gdr_reftransV1_0006086","p.persica_gdr_reftransV1_0006086")</f>
        <v>p.persica_gdr_reftransV1_0006086</v>
      </c>
      <c r="B10261" s="3">
        <v>441</v>
      </c>
      <c r="C10261" s="1" t="str">
        <f>HYPERLINK("http://www.uniprot.org/uniprot/POLX_TOBAC","POLX_TOBAC")</f>
        <v>POLX_TOBAC</v>
      </c>
      <c r="D10261" t="s">
        <v>1253</v>
      </c>
      <c r="E10261" s="3" t="s">
        <v>200</v>
      </c>
      <c r="F10261" s="4">
        <v>1.86E-7</v>
      </c>
      <c r="G10261" s="3">
        <v>126</v>
      </c>
      <c r="H10261" s="3">
        <v>29</v>
      </c>
      <c r="I10261" s="3">
        <v>170</v>
      </c>
      <c r="J10261" s="3">
        <v>13</v>
      </c>
      <c r="K10261" s="3">
        <v>441</v>
      </c>
      <c r="L10261" s="3">
        <v>674</v>
      </c>
      <c r="M10261" s="3">
        <v>837</v>
      </c>
    </row>
    <row r="10262" spans="1:13" x14ac:dyDescent="0.25">
      <c r="A10262" s="1" t="str">
        <f>HYPERLINK("http://www.rosaceae.org/Prunus/Prunus_persica/p.persica_gdr_reftransV1_0006136","p.persica_gdr_reftransV1_0006136")</f>
        <v>p.persica_gdr_reftransV1_0006136</v>
      </c>
      <c r="B10262" s="3">
        <v>1931</v>
      </c>
      <c r="C10262" s="1" t="str">
        <f>HYPERLINK("http://www.uniprot.org/uniprot/SCP18_ARATH","SCP18_ARATH")</f>
        <v>SCP18_ARATH</v>
      </c>
      <c r="D10262" t="s">
        <v>2438</v>
      </c>
      <c r="E10262" s="3" t="s">
        <v>3</v>
      </c>
      <c r="F10262" s="4">
        <v>3.7999999999999996E-74</v>
      </c>
      <c r="G10262" s="3">
        <v>642</v>
      </c>
      <c r="H10262" s="3">
        <v>46</v>
      </c>
      <c r="I10262" s="3">
        <v>289</v>
      </c>
      <c r="J10262" s="3">
        <v>294</v>
      </c>
      <c r="K10262" s="3">
        <v>1160</v>
      </c>
      <c r="L10262" s="3">
        <v>92</v>
      </c>
      <c r="M10262" s="3">
        <v>372</v>
      </c>
    </row>
    <row r="10263" spans="1:13" x14ac:dyDescent="0.25">
      <c r="A10263" s="1" t="str">
        <f>HYPERLINK("http://www.rosaceae.org/Prunus/Prunus_persica/p.persica_gdr_reftransV1_0006186","p.persica_gdr_reftransV1_0006186")</f>
        <v>p.persica_gdr_reftransV1_0006186</v>
      </c>
      <c r="B10263" s="3">
        <v>1079</v>
      </c>
      <c r="C10263" s="1" t="str">
        <f>HYPERLINK("http://www.uniprot.org/uniprot/HHP1_ARATH","HHP1_ARATH")</f>
        <v>HHP1_ARATH</v>
      </c>
      <c r="D10263" t="s">
        <v>7239</v>
      </c>
      <c r="E10263" s="3" t="s">
        <v>3</v>
      </c>
      <c r="F10263" s="4">
        <v>1.1799999999999999E-105</v>
      </c>
      <c r="G10263" s="3">
        <v>820</v>
      </c>
      <c r="H10263" s="3">
        <v>75</v>
      </c>
      <c r="I10263" s="3">
        <v>201</v>
      </c>
      <c r="J10263" s="3">
        <v>147</v>
      </c>
      <c r="K10263" s="3">
        <v>749</v>
      </c>
      <c r="L10263" s="3">
        <v>132</v>
      </c>
      <c r="M10263" s="3">
        <v>332</v>
      </c>
    </row>
    <row r="10264" spans="1:13" x14ac:dyDescent="0.25">
      <c r="A10264" s="1" t="str">
        <f>HYPERLINK("http://www.rosaceae.org/Prunus/Prunus_persica/p.persica_gdr_reftransV1_0006236","p.persica_gdr_reftransV1_0006236")</f>
        <v>p.persica_gdr_reftransV1_0006236</v>
      </c>
      <c r="B10264" s="3">
        <v>607</v>
      </c>
      <c r="C10264" s="1" t="str">
        <f>HYPERLINK("http://www.uniprot.org/uniprot/Y3471_ARATH","Y3471_ARATH")</f>
        <v>Y3471_ARATH</v>
      </c>
      <c r="D10264" t="s">
        <v>5668</v>
      </c>
      <c r="E10264" s="3" t="s">
        <v>3</v>
      </c>
      <c r="F10264" s="4">
        <v>1.37E-23</v>
      </c>
      <c r="G10264" s="3">
        <v>256</v>
      </c>
      <c r="H10264" s="3">
        <v>38</v>
      </c>
      <c r="I10264" s="3">
        <v>140</v>
      </c>
      <c r="J10264" s="3">
        <v>21</v>
      </c>
      <c r="K10264" s="3">
        <v>437</v>
      </c>
      <c r="L10264" s="3">
        <v>894</v>
      </c>
      <c r="M10264" s="3">
        <v>1017</v>
      </c>
    </row>
    <row r="10265" spans="1:13" x14ac:dyDescent="0.25">
      <c r="A10265" s="1" t="str">
        <f>HYPERLINK("http://www.rosaceae.org/Prunus/Prunus_persica/p.persica_gdr_reftransV1_0006286","p.persica_gdr_reftransV1_0006286")</f>
        <v>p.persica_gdr_reftransV1_0006286</v>
      </c>
      <c r="B10265" s="3">
        <v>1020</v>
      </c>
      <c r="C10265" s="1" t="str">
        <f>HYPERLINK("http://www.uniprot.org/uniprot/TPS1_ARATH","TPS1_ARATH")</f>
        <v>TPS1_ARATH</v>
      </c>
      <c r="D10265" t="s">
        <v>250</v>
      </c>
      <c r="E10265" s="3" t="s">
        <v>3</v>
      </c>
      <c r="F10265" s="4">
        <v>2.5199999999999999E-107</v>
      </c>
      <c r="G10265" s="3">
        <v>875</v>
      </c>
      <c r="H10265" s="3">
        <v>64</v>
      </c>
      <c r="I10265" s="3">
        <v>272</v>
      </c>
      <c r="J10265" s="3">
        <v>3</v>
      </c>
      <c r="K10265" s="3">
        <v>767</v>
      </c>
      <c r="L10265" s="3">
        <v>672</v>
      </c>
      <c r="M10265" s="3">
        <v>937</v>
      </c>
    </row>
    <row r="10266" spans="1:13" x14ac:dyDescent="0.25">
      <c r="A10266" s="1" t="str">
        <f>HYPERLINK("http://www.rosaceae.org/Prunus/Prunus_persica/p.persica_gdr_reftransV1_0006386","p.persica_gdr_reftransV1_0006386")</f>
        <v>p.persica_gdr_reftransV1_0006386</v>
      </c>
      <c r="B10266" s="3">
        <v>1166</v>
      </c>
      <c r="C10266" s="1" t="str">
        <f>HYPERLINK("http://www.uniprot.org/uniprot/EHD2_ARATH","EHD2_ARATH")</f>
        <v>EHD2_ARATH</v>
      </c>
      <c r="D10266" t="s">
        <v>2400</v>
      </c>
      <c r="E10266" s="3" t="s">
        <v>3</v>
      </c>
      <c r="F10266" s="4">
        <v>3.0999999999999999E-37</v>
      </c>
      <c r="G10266" s="3">
        <v>367</v>
      </c>
      <c r="H10266" s="3">
        <v>61</v>
      </c>
      <c r="I10266" s="3">
        <v>109</v>
      </c>
      <c r="J10266" s="3">
        <v>687</v>
      </c>
      <c r="K10266" s="3">
        <v>1001</v>
      </c>
      <c r="L10266" s="3">
        <v>9</v>
      </c>
      <c r="M10266" s="3">
        <v>117</v>
      </c>
    </row>
    <row r="10267" spans="1:13" x14ac:dyDescent="0.25">
      <c r="A10267" s="1" t="str">
        <f>HYPERLINK("http://www.rosaceae.org/Prunus/Prunus_persica/p.persica_gdr_reftransV1_0006436","p.persica_gdr_reftransV1_0006436")</f>
        <v>p.persica_gdr_reftransV1_0006436</v>
      </c>
      <c r="B10267" s="3">
        <v>947</v>
      </c>
      <c r="C10267" s="1" t="str">
        <f>HYPERLINK("http://www.uniprot.org/uniprot/GUN4C_ARATH","GUN4C_ARATH")</f>
        <v>GUN4C_ARATH</v>
      </c>
      <c r="D10267" t="s">
        <v>7493</v>
      </c>
      <c r="E10267" s="3" t="s">
        <v>3</v>
      </c>
      <c r="F10267" s="4">
        <v>3.45E-75</v>
      </c>
      <c r="G10267" s="3">
        <v>607</v>
      </c>
      <c r="H10267" s="3">
        <v>61</v>
      </c>
      <c r="I10267" s="3">
        <v>188</v>
      </c>
      <c r="J10267" s="3">
        <v>123</v>
      </c>
      <c r="K10267" s="3">
        <v>686</v>
      </c>
      <c r="L10267" s="3">
        <v>81</v>
      </c>
      <c r="M10267" s="3">
        <v>265</v>
      </c>
    </row>
    <row r="10268" spans="1:13" x14ac:dyDescent="0.25">
      <c r="A10268" s="1" t="str">
        <f>HYPERLINK("http://www.rosaceae.org/Prunus/Prunus_persica/p.persica_gdr_reftransV1_0006536","p.persica_gdr_reftransV1_0006536")</f>
        <v>p.persica_gdr_reftransV1_0006536</v>
      </c>
      <c r="B10268" s="3">
        <v>676</v>
      </c>
      <c r="C10268" s="1" t="str">
        <f>HYPERLINK("http://www.uniprot.org/uniprot/WSD1_ARATH","WSD1_ARATH")</f>
        <v>WSD1_ARATH</v>
      </c>
      <c r="D10268" t="s">
        <v>84</v>
      </c>
      <c r="E10268" s="3" t="s">
        <v>3</v>
      </c>
      <c r="F10268" s="4">
        <v>1.7700000000000001E-62</v>
      </c>
      <c r="G10268" s="3">
        <v>529</v>
      </c>
      <c r="H10268" s="3">
        <v>50</v>
      </c>
      <c r="I10268" s="3">
        <v>210</v>
      </c>
      <c r="J10268" s="3">
        <v>46</v>
      </c>
      <c r="K10268" s="3">
        <v>675</v>
      </c>
      <c r="L10268" s="3">
        <v>267</v>
      </c>
      <c r="M10268" s="3">
        <v>470</v>
      </c>
    </row>
    <row r="10269" spans="1:13" x14ac:dyDescent="0.25">
      <c r="A10269" s="1" t="str">
        <f>HYPERLINK("http://www.rosaceae.org/Prunus/Prunus_persica/p.persica_gdr_reftransV1_0006686","p.persica_gdr_reftransV1_0006686")</f>
        <v>p.persica_gdr_reftransV1_0006686</v>
      </c>
      <c r="B10269" s="3">
        <v>2050</v>
      </c>
      <c r="C10269" s="1" t="str">
        <f>HYPERLINK("http://www.uniprot.org/uniprot/NACK1_TOBAC","NACK1_TOBAC")</f>
        <v>NACK1_TOBAC</v>
      </c>
      <c r="D10269" t="s">
        <v>4146</v>
      </c>
      <c r="E10269" s="3" t="s">
        <v>200</v>
      </c>
      <c r="F10269" s="4">
        <v>9.0199999999999996E-139</v>
      </c>
      <c r="G10269" s="3">
        <v>1124</v>
      </c>
      <c r="H10269" s="3">
        <v>62</v>
      </c>
      <c r="I10269" s="3">
        <v>359</v>
      </c>
      <c r="J10269" s="3">
        <v>549</v>
      </c>
      <c r="K10269" s="3">
        <v>1619</v>
      </c>
      <c r="L10269" s="3">
        <v>80</v>
      </c>
      <c r="M10269" s="3">
        <v>434</v>
      </c>
    </row>
    <row r="10270" spans="1:13" x14ac:dyDescent="0.25">
      <c r="A10270" s="1" t="str">
        <f>HYPERLINK("http://www.rosaceae.org/Prunus/Prunus_persica/p.persica_gdr_reftransV1_0006786","p.persica_gdr_reftransV1_0006786")</f>
        <v>p.persica_gdr_reftransV1_0006786</v>
      </c>
      <c r="B10270" s="3">
        <v>708</v>
      </c>
      <c r="C10270" s="1" t="str">
        <f>HYPERLINK("http://www.uniprot.org/uniprot/NIP2_ARATH","NIP2_ARATH")</f>
        <v>NIP2_ARATH</v>
      </c>
      <c r="D10270" t="s">
        <v>7494</v>
      </c>
      <c r="E10270" s="3" t="s">
        <v>3</v>
      </c>
      <c r="F10270" s="4">
        <v>8.8399999999999998E-31</v>
      </c>
      <c r="G10270" s="3">
        <v>298</v>
      </c>
      <c r="H10270" s="3">
        <v>34</v>
      </c>
      <c r="I10270" s="3">
        <v>191</v>
      </c>
      <c r="J10270" s="3">
        <v>2</v>
      </c>
      <c r="K10270" s="3">
        <v>544</v>
      </c>
      <c r="L10270" s="3">
        <v>51</v>
      </c>
      <c r="M10270" s="3">
        <v>241</v>
      </c>
    </row>
    <row r="10271" spans="1:13" x14ac:dyDescent="0.25">
      <c r="A10271" s="1" t="str">
        <f>HYPERLINK("http://www.rosaceae.org/Prunus/Prunus_persica/p.persica_gdr_reftransV1_0006886","p.persica_gdr_reftransV1_0006886")</f>
        <v>p.persica_gdr_reftransV1_0006886</v>
      </c>
      <c r="B10271" s="3">
        <v>1172</v>
      </c>
      <c r="C10271" s="1" t="str">
        <f>HYPERLINK("http://www.uniprot.org/uniprot/TET11_ARATH","TET11_ARATH")</f>
        <v>TET11_ARATH</v>
      </c>
      <c r="D10271" t="s">
        <v>7495</v>
      </c>
      <c r="E10271" s="3" t="s">
        <v>3</v>
      </c>
      <c r="F10271" s="4">
        <v>2.7200000000000001E-58</v>
      </c>
      <c r="G10271" s="3">
        <v>500</v>
      </c>
      <c r="H10271" s="3">
        <v>54</v>
      </c>
      <c r="I10271" s="3">
        <v>236</v>
      </c>
      <c r="J10271" s="3">
        <v>235</v>
      </c>
      <c r="K10271" s="3">
        <v>930</v>
      </c>
      <c r="L10271" s="3">
        <v>29</v>
      </c>
      <c r="M10271" s="3">
        <v>263</v>
      </c>
    </row>
    <row r="10272" spans="1:13" x14ac:dyDescent="0.25">
      <c r="A10272" s="1" t="str">
        <f>HYPERLINK("http://www.rosaceae.org/Prunus/Prunus_persica/p.persica_gdr_reftransV1_0006936","p.persica_gdr_reftransV1_0006936")</f>
        <v>p.persica_gdr_reftransV1_0006936</v>
      </c>
      <c r="B10272" s="3">
        <v>912</v>
      </c>
      <c r="C10272" s="1" t="str">
        <f>HYPERLINK("http://www.uniprot.org/uniprot/GST23_MAIZE","GST23_MAIZE")</f>
        <v>GST23_MAIZE</v>
      </c>
      <c r="D10272" t="s">
        <v>3729</v>
      </c>
      <c r="E10272" s="3" t="s">
        <v>72</v>
      </c>
      <c r="F10272" s="4">
        <v>9.0600000000000004E-71</v>
      </c>
      <c r="G10272" s="3">
        <v>573</v>
      </c>
      <c r="H10272" s="3">
        <v>53</v>
      </c>
      <c r="I10272" s="3">
        <v>224</v>
      </c>
      <c r="J10272" s="3">
        <v>161</v>
      </c>
      <c r="K10272" s="3">
        <v>820</v>
      </c>
      <c r="L10272" s="3">
        <v>1</v>
      </c>
      <c r="M10272" s="3">
        <v>222</v>
      </c>
    </row>
    <row r="10273" spans="1:13" x14ac:dyDescent="0.25">
      <c r="A10273" s="1" t="str">
        <f>HYPERLINK("http://www.rosaceae.org/Prunus/Prunus_persica/p.persica_gdr_reftransV1_0007086","p.persica_gdr_reftransV1_0007086")</f>
        <v>p.persica_gdr_reftransV1_0007086</v>
      </c>
      <c r="B10273" s="3">
        <v>1553</v>
      </c>
      <c r="C10273" s="1" t="str">
        <f>HYPERLINK("http://www.uniprot.org/uniprot/GALUR_FRAAN","GALUR_FRAAN")</f>
        <v>GALUR_FRAAN</v>
      </c>
      <c r="D10273" t="s">
        <v>7496</v>
      </c>
      <c r="E10273" s="3" t="s">
        <v>15</v>
      </c>
      <c r="F10273" s="4">
        <v>1.48E-171</v>
      </c>
      <c r="G10273" s="3">
        <v>1272</v>
      </c>
      <c r="H10273" s="3">
        <v>73</v>
      </c>
      <c r="I10273" s="3">
        <v>320</v>
      </c>
      <c r="J10273" s="3">
        <v>210</v>
      </c>
      <c r="K10273" s="3">
        <v>1163</v>
      </c>
      <c r="L10273" s="3">
        <v>1</v>
      </c>
      <c r="M10273" s="3">
        <v>319</v>
      </c>
    </row>
    <row r="10274" spans="1:13" x14ac:dyDescent="0.25">
      <c r="A10274" s="1" t="str">
        <f>HYPERLINK("http://www.rosaceae.org/Prunus/Prunus_persica/p.persica_gdr_reftransV1_0007186","p.persica_gdr_reftransV1_0007186")</f>
        <v>p.persica_gdr_reftransV1_0007186</v>
      </c>
      <c r="B10274" s="3">
        <v>2612</v>
      </c>
      <c r="C10274" s="1" t="str">
        <f>HYPERLINK("http://www.uniprot.org/uniprot/COAE_ARATH","COAE_ARATH")</f>
        <v>COAE_ARATH</v>
      </c>
      <c r="D10274" t="s">
        <v>7497</v>
      </c>
      <c r="E10274" s="3" t="s">
        <v>3</v>
      </c>
      <c r="F10274" s="4">
        <v>2.07E-53</v>
      </c>
      <c r="G10274" s="3">
        <v>482</v>
      </c>
      <c r="H10274" s="3">
        <v>68</v>
      </c>
      <c r="I10274" s="3">
        <v>127</v>
      </c>
      <c r="J10274" s="3">
        <v>811</v>
      </c>
      <c r="K10274" s="3">
        <v>1191</v>
      </c>
      <c r="L10274" s="3">
        <v>85</v>
      </c>
      <c r="M10274" s="3">
        <v>211</v>
      </c>
    </row>
    <row r="10275" spans="1:13" x14ac:dyDescent="0.25">
      <c r="A10275" s="1" t="str">
        <f>HYPERLINK("http://www.rosaceae.org/Prunus/Prunus_persica/p.persica_gdr_reftransV1_0007236","p.persica_gdr_reftransV1_0007236")</f>
        <v>p.persica_gdr_reftransV1_0007236</v>
      </c>
      <c r="B10275" s="3">
        <v>1791</v>
      </c>
      <c r="C10275" s="1" t="str">
        <f>HYPERLINK("http://www.uniprot.org/uniprot/UTR5B_ARATH","UTR5B_ARATH")</f>
        <v>UTR5B_ARATH</v>
      </c>
      <c r="D10275" t="s">
        <v>7498</v>
      </c>
      <c r="E10275" s="3" t="s">
        <v>3</v>
      </c>
      <c r="F10275" s="4">
        <v>2.2300000000000002E-174</v>
      </c>
      <c r="G10275" s="3">
        <v>1301</v>
      </c>
      <c r="H10275" s="3">
        <v>77</v>
      </c>
      <c r="I10275" s="3">
        <v>341</v>
      </c>
      <c r="J10275" s="3">
        <v>655</v>
      </c>
      <c r="K10275" s="3">
        <v>1665</v>
      </c>
      <c r="L10275" s="3">
        <v>1</v>
      </c>
      <c r="M10275" s="3">
        <v>337</v>
      </c>
    </row>
    <row r="10276" spans="1:13" x14ac:dyDescent="0.25">
      <c r="A10276" s="1" t="str">
        <f>HYPERLINK("http://www.rosaceae.org/Prunus/Prunus_persica/p.persica_gdr_reftransV1_0007336","p.persica_gdr_reftransV1_0007336")</f>
        <v>p.persica_gdr_reftransV1_0007336</v>
      </c>
      <c r="B10276" s="3">
        <v>534</v>
      </c>
      <c r="C10276" s="1" t="str">
        <f>HYPERLINK("http://www.uniprot.org/uniprot/PP259_ARATH","PP259_ARATH")</f>
        <v>PP259_ARATH</v>
      </c>
      <c r="D10276" t="s">
        <v>2726</v>
      </c>
      <c r="E10276" s="3" t="s">
        <v>3</v>
      </c>
      <c r="F10276" s="4">
        <v>8.1299999999999997E-80</v>
      </c>
      <c r="G10276" s="3">
        <v>643</v>
      </c>
      <c r="H10276" s="3">
        <v>64</v>
      </c>
      <c r="I10276" s="3">
        <v>177</v>
      </c>
      <c r="J10276" s="3">
        <v>2</v>
      </c>
      <c r="K10276" s="3">
        <v>532</v>
      </c>
      <c r="L10276" s="3">
        <v>190</v>
      </c>
      <c r="M10276" s="3">
        <v>366</v>
      </c>
    </row>
    <row r="10277" spans="1:13" x14ac:dyDescent="0.25">
      <c r="A10277" s="1" t="str">
        <f>HYPERLINK("http://www.rosaceae.org/Prunus/Prunus_persica/p.persica_gdr_reftransV1_0007386","p.persica_gdr_reftransV1_0007386")</f>
        <v>p.persica_gdr_reftransV1_0007386</v>
      </c>
      <c r="B10277" s="3">
        <v>7627</v>
      </c>
      <c r="C10277" s="1" t="str">
        <f>HYPERLINK("http://www.uniprot.org/uniprot/CNOT1_MOUSE","CNOT1_MOUSE")</f>
        <v>CNOT1_MOUSE</v>
      </c>
      <c r="D10277" t="s">
        <v>7499</v>
      </c>
      <c r="E10277" s="3" t="s">
        <v>157</v>
      </c>
      <c r="F10277" s="4">
        <v>2.3299999999999998E-174</v>
      </c>
      <c r="G10277" s="3">
        <v>1549</v>
      </c>
      <c r="H10277" s="3">
        <v>44</v>
      </c>
      <c r="I10277" s="3">
        <v>787</v>
      </c>
      <c r="J10277" s="3">
        <v>316</v>
      </c>
      <c r="K10277" s="3">
        <v>2571</v>
      </c>
      <c r="L10277" s="3">
        <v>1620</v>
      </c>
      <c r="M10277" s="3">
        <v>2369</v>
      </c>
    </row>
    <row r="10278" spans="1:13" x14ac:dyDescent="0.25">
      <c r="A10278" s="1" t="str">
        <f>HYPERLINK("http://www.rosaceae.org/Prunus/Prunus_persica/p.persica_gdr_reftransV1_0007486","p.persica_gdr_reftransV1_0007486")</f>
        <v>p.persica_gdr_reftransV1_0007486</v>
      </c>
      <c r="B10278" s="3">
        <v>1915</v>
      </c>
      <c r="C10278" s="1" t="str">
        <f>HYPERLINK("http://www.uniprot.org/uniprot/Y4424_ARATH","Y4424_ARATH")</f>
        <v>Y4424_ARATH</v>
      </c>
      <c r="D10278" t="s">
        <v>7500</v>
      </c>
      <c r="E10278" s="3" t="s">
        <v>3</v>
      </c>
      <c r="F10278" s="4">
        <v>0</v>
      </c>
      <c r="G10278" s="3">
        <v>1551</v>
      </c>
      <c r="H10278" s="3">
        <v>78</v>
      </c>
      <c r="I10278" s="3">
        <v>447</v>
      </c>
      <c r="J10278" s="3">
        <v>485</v>
      </c>
      <c r="K10278" s="3">
        <v>1810</v>
      </c>
      <c r="L10278" s="3">
        <v>1</v>
      </c>
      <c r="M10278" s="3">
        <v>436</v>
      </c>
    </row>
    <row r="10279" spans="1:13" x14ac:dyDescent="0.25">
      <c r="A10279" s="1" t="str">
        <f>HYPERLINK("http://www.rosaceae.org/Prunus/Prunus_persica/p.persica_gdr_reftransV1_0007586","p.persica_gdr_reftransV1_0007586")</f>
        <v>p.persica_gdr_reftransV1_0007586</v>
      </c>
      <c r="B10279" s="3">
        <v>1696</v>
      </c>
      <c r="C10279" s="1" t="str">
        <f>HYPERLINK("http://www.uniprot.org/uniprot/CAP16_ARATH","CAP16_ARATH")</f>
        <v>CAP16_ARATH</v>
      </c>
      <c r="D10279" t="s">
        <v>7501</v>
      </c>
      <c r="E10279" s="3" t="s">
        <v>3</v>
      </c>
      <c r="F10279" s="4">
        <v>4.6200000000000003E-64</v>
      </c>
      <c r="G10279" s="3">
        <v>560</v>
      </c>
      <c r="H10279" s="3">
        <v>40</v>
      </c>
      <c r="I10279" s="3">
        <v>333</v>
      </c>
      <c r="J10279" s="3">
        <v>451</v>
      </c>
      <c r="K10279" s="3">
        <v>1398</v>
      </c>
      <c r="L10279" s="3">
        <v>1</v>
      </c>
      <c r="M10279" s="3">
        <v>330</v>
      </c>
    </row>
    <row r="10280" spans="1:13" x14ac:dyDescent="0.25">
      <c r="A10280" s="1" t="str">
        <f>HYPERLINK("http://www.rosaceae.org/Prunus/Prunus_persica/p.persica_gdr_reftransV1_0007786","p.persica_gdr_reftransV1_0007786")</f>
        <v>p.persica_gdr_reftransV1_0007786</v>
      </c>
      <c r="B10280" s="3">
        <v>4435</v>
      </c>
      <c r="C10280" s="1" t="str">
        <f>HYPERLINK("http://www.uniprot.org/uniprot/DI3L2_ARATH","DI3L2_ARATH")</f>
        <v>DI3L2_ARATH</v>
      </c>
      <c r="D10280" t="s">
        <v>7502</v>
      </c>
      <c r="E10280" s="3" t="s">
        <v>3</v>
      </c>
      <c r="F10280" s="4">
        <v>0</v>
      </c>
      <c r="G10280" s="3">
        <v>2703</v>
      </c>
      <c r="H10280" s="3">
        <v>55</v>
      </c>
      <c r="I10280" s="3">
        <v>1041</v>
      </c>
      <c r="J10280" s="3">
        <v>640</v>
      </c>
      <c r="K10280" s="3">
        <v>3729</v>
      </c>
      <c r="L10280" s="3">
        <v>77</v>
      </c>
      <c r="M10280" s="3">
        <v>1054</v>
      </c>
    </row>
    <row r="10281" spans="1:13" x14ac:dyDescent="0.25">
      <c r="A10281" s="1" t="str">
        <f>HYPERLINK("http://www.rosaceae.org/Prunus/Prunus_persica/p.persica_gdr_reftransV1_0007836","p.persica_gdr_reftransV1_0007836")</f>
        <v>p.persica_gdr_reftransV1_0007836</v>
      </c>
      <c r="B10281" s="3">
        <v>1196</v>
      </c>
      <c r="C10281" s="1" t="str">
        <f>HYPERLINK("http://www.uniprot.org/uniprot/HIP26_ARATH","HIP26_ARATH")</f>
        <v>HIP26_ARATH</v>
      </c>
      <c r="D10281" t="s">
        <v>413</v>
      </c>
      <c r="E10281" s="3" t="s">
        <v>3</v>
      </c>
      <c r="F10281" s="4">
        <v>8.7799999999999999E-15</v>
      </c>
      <c r="G10281" s="3">
        <v>184</v>
      </c>
      <c r="H10281" s="3">
        <v>45</v>
      </c>
      <c r="I10281" s="3">
        <v>86</v>
      </c>
      <c r="J10281" s="3">
        <v>384</v>
      </c>
      <c r="K10281" s="3">
        <v>638</v>
      </c>
      <c r="L10281" s="3">
        <v>14</v>
      </c>
      <c r="M10281" s="3">
        <v>93</v>
      </c>
    </row>
    <row r="10282" spans="1:13" x14ac:dyDescent="0.25">
      <c r="A10282" s="1" t="str">
        <f>HYPERLINK("http://www.rosaceae.org/Prunus/Prunus_persica/p.persica_gdr_reftransV1_0007936","p.persica_gdr_reftransV1_0007936")</f>
        <v>p.persica_gdr_reftransV1_0007936</v>
      </c>
      <c r="B10282" s="3">
        <v>1984</v>
      </c>
      <c r="C10282" s="1" t="str">
        <f>HYPERLINK("http://www.uniprot.org/uniprot/PATL4_ARATH","PATL4_ARATH")</f>
        <v>PATL4_ARATH</v>
      </c>
      <c r="D10282" t="s">
        <v>7503</v>
      </c>
      <c r="E10282" s="3" t="s">
        <v>3</v>
      </c>
      <c r="F10282" s="4">
        <v>8.7699999999999991E-168</v>
      </c>
      <c r="G10282" s="3">
        <v>1282</v>
      </c>
      <c r="H10282" s="3">
        <v>68</v>
      </c>
      <c r="I10282" s="3">
        <v>348</v>
      </c>
      <c r="J10282" s="3">
        <v>268</v>
      </c>
      <c r="K10282" s="3">
        <v>1311</v>
      </c>
      <c r="L10282" s="3">
        <v>200</v>
      </c>
      <c r="M10282" s="3">
        <v>539</v>
      </c>
    </row>
    <row r="10283" spans="1:13" x14ac:dyDescent="0.25">
      <c r="A10283" s="1" t="str">
        <f>HYPERLINK("http://www.rosaceae.org/Prunus/Prunus_persica/p.persica_gdr_reftransV1_0007986","p.persica_gdr_reftransV1_0007986")</f>
        <v>p.persica_gdr_reftransV1_0007986</v>
      </c>
      <c r="B10283" s="3">
        <v>2677</v>
      </c>
      <c r="C10283" s="1" t="str">
        <f>HYPERLINK("http://www.uniprot.org/uniprot/RIBA1_ARATH","RIBA1_ARATH")</f>
        <v>RIBA1_ARATH</v>
      </c>
      <c r="D10283" t="s">
        <v>7504</v>
      </c>
      <c r="E10283" s="3" t="s">
        <v>3</v>
      </c>
      <c r="F10283" s="4">
        <v>1.95E-130</v>
      </c>
      <c r="G10283" s="3">
        <v>1051</v>
      </c>
      <c r="H10283" s="3">
        <v>69</v>
      </c>
      <c r="I10283" s="3">
        <v>299</v>
      </c>
      <c r="J10283" s="3">
        <v>1387</v>
      </c>
      <c r="K10283" s="3">
        <v>2265</v>
      </c>
      <c r="L10283" s="3">
        <v>31</v>
      </c>
      <c r="M10283" s="3">
        <v>325</v>
      </c>
    </row>
    <row r="10284" spans="1:13" x14ac:dyDescent="0.25">
      <c r="A10284" s="1" t="str">
        <f>HYPERLINK("http://www.rosaceae.org/Prunus/Prunus_persica/p.persica_gdr_reftransV1_0008036","p.persica_gdr_reftransV1_0008036")</f>
        <v>p.persica_gdr_reftransV1_0008036</v>
      </c>
      <c r="B10284" s="3">
        <v>1147</v>
      </c>
      <c r="C10284" s="1" t="str">
        <f>HYPERLINK("http://www.uniprot.org/uniprot/PP251_ARATH","PP251_ARATH")</f>
        <v>PP251_ARATH</v>
      </c>
      <c r="D10284" t="s">
        <v>1144</v>
      </c>
      <c r="E10284" s="3" t="s">
        <v>3</v>
      </c>
      <c r="F10284" s="4">
        <v>1.0500000000000001E-71</v>
      </c>
      <c r="G10284" s="3">
        <v>621</v>
      </c>
      <c r="H10284" s="3">
        <v>34</v>
      </c>
      <c r="I10284" s="3">
        <v>414</v>
      </c>
      <c r="J10284" s="3">
        <v>9</v>
      </c>
      <c r="K10284" s="3">
        <v>1139</v>
      </c>
      <c r="L10284" s="3">
        <v>80</v>
      </c>
      <c r="M10284" s="3">
        <v>481</v>
      </c>
    </row>
    <row r="10285" spans="1:13" x14ac:dyDescent="0.25">
      <c r="A10285" s="1" t="str">
        <f>HYPERLINK("http://www.rosaceae.org/Prunus/Prunus_persica/p.persica_gdr_reftransV1_0008286","p.persica_gdr_reftransV1_0008286")</f>
        <v>p.persica_gdr_reftransV1_0008286</v>
      </c>
      <c r="B10285" s="3">
        <v>3037</v>
      </c>
      <c r="C10285" s="1" t="str">
        <f>HYPERLINK("http://www.uniprot.org/uniprot/POT4_ARATH","POT4_ARATH")</f>
        <v>POT4_ARATH</v>
      </c>
      <c r="D10285" t="s">
        <v>5982</v>
      </c>
      <c r="E10285" s="3" t="s">
        <v>3</v>
      </c>
      <c r="F10285" s="4">
        <v>0</v>
      </c>
      <c r="G10285" s="3">
        <v>3121</v>
      </c>
      <c r="H10285" s="3">
        <v>81</v>
      </c>
      <c r="I10285" s="3">
        <v>791</v>
      </c>
      <c r="J10285" s="3">
        <v>244</v>
      </c>
      <c r="K10285" s="3">
        <v>2601</v>
      </c>
      <c r="L10285" s="3">
        <v>1</v>
      </c>
      <c r="M10285" s="3">
        <v>789</v>
      </c>
    </row>
    <row r="10286" spans="1:13" x14ac:dyDescent="0.25">
      <c r="A10286" s="1" t="str">
        <f>HYPERLINK("http://www.rosaceae.org/Prunus/Prunus_persica/p.persica_gdr_reftransV1_0008636","p.persica_gdr_reftransV1_0008636")</f>
        <v>p.persica_gdr_reftransV1_0008636</v>
      </c>
      <c r="B10286" s="3">
        <v>2026</v>
      </c>
      <c r="C10286" s="1" t="str">
        <f>HYPERLINK("http://www.uniprot.org/uniprot/IQD1_ARATH","IQD1_ARATH")</f>
        <v>IQD1_ARATH</v>
      </c>
      <c r="D10286" t="s">
        <v>4422</v>
      </c>
      <c r="E10286" s="3" t="s">
        <v>3</v>
      </c>
      <c r="F10286" s="4">
        <v>3.2999999999999998E-79</v>
      </c>
      <c r="G10286" s="3">
        <v>679</v>
      </c>
      <c r="H10286" s="3">
        <v>55</v>
      </c>
      <c r="I10286" s="3">
        <v>367</v>
      </c>
      <c r="J10286" s="3">
        <v>377</v>
      </c>
      <c r="K10286" s="3">
        <v>1444</v>
      </c>
      <c r="L10286" s="3">
        <v>100</v>
      </c>
      <c r="M10286" s="3">
        <v>448</v>
      </c>
    </row>
    <row r="10287" spans="1:13" x14ac:dyDescent="0.25">
      <c r="A10287" s="1" t="str">
        <f>HYPERLINK("http://www.rosaceae.org/Prunus/Prunus_persica/p.persica_gdr_reftransV1_0008686","p.persica_gdr_reftransV1_0008686")</f>
        <v>p.persica_gdr_reftransV1_0008686</v>
      </c>
      <c r="B10287" s="3">
        <v>900</v>
      </c>
      <c r="C10287" s="1" t="str">
        <f>HYPERLINK("http://www.uniprot.org/uniprot/TLPH_ORYSJ","TLPH_ORYSJ")</f>
        <v>TLPH_ORYSJ</v>
      </c>
      <c r="D10287" t="s">
        <v>7505</v>
      </c>
      <c r="E10287" s="3" t="s">
        <v>38</v>
      </c>
      <c r="F10287" s="4">
        <v>1.4400000000000001E-105</v>
      </c>
      <c r="G10287" s="3">
        <v>806</v>
      </c>
      <c r="H10287" s="3">
        <v>69</v>
      </c>
      <c r="I10287" s="3">
        <v>222</v>
      </c>
      <c r="J10287" s="3">
        <v>75</v>
      </c>
      <c r="K10287" s="3">
        <v>737</v>
      </c>
      <c r="L10287" s="3">
        <v>30</v>
      </c>
      <c r="M10287" s="3">
        <v>251</v>
      </c>
    </row>
    <row r="10288" spans="1:13" x14ac:dyDescent="0.25">
      <c r="A10288" s="1" t="str">
        <f>HYPERLINK("http://www.rosaceae.org/Prunus/Prunus_persica/p.persica_gdr_reftransV1_0008886","p.persica_gdr_reftransV1_0008886")</f>
        <v>p.persica_gdr_reftransV1_0008886</v>
      </c>
      <c r="B10288" s="3">
        <v>538</v>
      </c>
      <c r="C10288" s="1" t="str">
        <f>HYPERLINK("http://www.uniprot.org/uniprot/FB322_ARATH","FB322_ARATH")</f>
        <v>FB322_ARATH</v>
      </c>
      <c r="D10288" t="s">
        <v>7506</v>
      </c>
      <c r="E10288" s="3" t="s">
        <v>3</v>
      </c>
      <c r="F10288" s="4">
        <v>4.7699999999999996E-16</v>
      </c>
      <c r="G10288" s="3">
        <v>190</v>
      </c>
      <c r="H10288" s="3">
        <v>54</v>
      </c>
      <c r="I10288" s="3">
        <v>79</v>
      </c>
      <c r="J10288" s="3">
        <v>303</v>
      </c>
      <c r="K10288" s="3">
        <v>536</v>
      </c>
      <c r="L10288" s="3">
        <v>183</v>
      </c>
      <c r="M10288" s="3">
        <v>250</v>
      </c>
    </row>
    <row r="10289" spans="1:13" x14ac:dyDescent="0.25">
      <c r="A10289" s="1" t="str">
        <f>HYPERLINK("http://www.rosaceae.org/Prunus/Prunus_persica/p.persica_gdr_reftransV1_0008936","p.persica_gdr_reftransV1_0008936")</f>
        <v>p.persica_gdr_reftransV1_0008936</v>
      </c>
      <c r="B10289" s="3">
        <v>2220</v>
      </c>
      <c r="C10289" s="1" t="str">
        <f>HYPERLINK("http://www.uniprot.org/uniprot/CDPKA_ARATH","CDPKA_ARATH")</f>
        <v>CDPKA_ARATH</v>
      </c>
      <c r="D10289" t="s">
        <v>1573</v>
      </c>
      <c r="E10289" s="3" t="s">
        <v>3</v>
      </c>
      <c r="F10289" s="4">
        <v>8.6199999999999998E-90</v>
      </c>
      <c r="G10289" s="3">
        <v>763</v>
      </c>
      <c r="H10289" s="3">
        <v>49</v>
      </c>
      <c r="I10289" s="3">
        <v>294</v>
      </c>
      <c r="J10289" s="3">
        <v>372</v>
      </c>
      <c r="K10289" s="3">
        <v>1253</v>
      </c>
      <c r="L10289" s="3">
        <v>34</v>
      </c>
      <c r="M10289" s="3">
        <v>327</v>
      </c>
    </row>
    <row r="10290" spans="1:13" x14ac:dyDescent="0.25">
      <c r="A10290" s="1" t="str">
        <f>HYPERLINK("http://www.rosaceae.org/Prunus/Prunus_persica/p.persica_gdr_reftransV1_0009036","p.persica_gdr_reftransV1_0009036")</f>
        <v>p.persica_gdr_reftransV1_0009036</v>
      </c>
      <c r="B10290" s="3">
        <v>1188</v>
      </c>
      <c r="C10290" s="1" t="str">
        <f>HYPERLINK("http://www.uniprot.org/uniprot/PGK_PROM4","PGK_PROM4")</f>
        <v>PGK_PROM4</v>
      </c>
      <c r="D10290" t="s">
        <v>7507</v>
      </c>
      <c r="E10290" s="3" t="s">
        <v>3990</v>
      </c>
      <c r="F10290" s="4">
        <v>8.9599999999999993E-49</v>
      </c>
      <c r="G10290" s="3">
        <v>445</v>
      </c>
      <c r="H10290" s="3">
        <v>34</v>
      </c>
      <c r="I10290" s="3">
        <v>322</v>
      </c>
      <c r="J10290" s="3">
        <v>32</v>
      </c>
      <c r="K10290" s="3">
        <v>985</v>
      </c>
      <c r="L10290" s="3">
        <v>80</v>
      </c>
      <c r="M10290" s="3">
        <v>400</v>
      </c>
    </row>
    <row r="10291" spans="1:13" x14ac:dyDescent="0.25">
      <c r="A10291" s="1" t="str">
        <f>HYPERLINK("http://www.rosaceae.org/Prunus/Prunus_persica/p.persica_gdr_reftransV1_0009086","p.persica_gdr_reftransV1_0009086")</f>
        <v>p.persica_gdr_reftransV1_0009086</v>
      </c>
      <c r="B10291" s="3">
        <v>957</v>
      </c>
      <c r="C10291" s="1" t="str">
        <f>HYPERLINK("http://www.uniprot.org/uniprot/DPOE3_PONAB","DPOE3_PONAB")</f>
        <v>DPOE3_PONAB</v>
      </c>
      <c r="D10291" t="s">
        <v>7508</v>
      </c>
      <c r="E10291" s="3" t="s">
        <v>176</v>
      </c>
      <c r="F10291" s="4">
        <v>1.9E-13</v>
      </c>
      <c r="G10291" s="3">
        <v>171</v>
      </c>
      <c r="H10291" s="3">
        <v>37</v>
      </c>
      <c r="I10291" s="3">
        <v>106</v>
      </c>
      <c r="J10291" s="3">
        <v>240</v>
      </c>
      <c r="K10291" s="3">
        <v>557</v>
      </c>
      <c r="L10291" s="3">
        <v>10</v>
      </c>
      <c r="M10291" s="3">
        <v>105</v>
      </c>
    </row>
    <row r="10292" spans="1:13" x14ac:dyDescent="0.25">
      <c r="A10292" s="1" t="str">
        <f>HYPERLINK("http://www.rosaceae.org/Prunus/Prunus_persica/p.persica_gdr_reftransV1_0009236","p.persica_gdr_reftransV1_0009236")</f>
        <v>p.persica_gdr_reftransV1_0009236</v>
      </c>
      <c r="B10292" s="3">
        <v>1266</v>
      </c>
      <c r="C10292" s="1" t="str">
        <f>HYPERLINK("http://www.uniprot.org/uniprot/BBX32_ARATH","BBX32_ARATH")</f>
        <v>BBX32_ARATH</v>
      </c>
      <c r="D10292" t="s">
        <v>3982</v>
      </c>
      <c r="E10292" s="3" t="s">
        <v>3</v>
      </c>
      <c r="F10292" s="4">
        <v>1.2E-15</v>
      </c>
      <c r="G10292" s="3">
        <v>195</v>
      </c>
      <c r="H10292" s="3">
        <v>46</v>
      </c>
      <c r="I10292" s="3">
        <v>110</v>
      </c>
      <c r="J10292" s="3">
        <v>642</v>
      </c>
      <c r="K10292" s="3">
        <v>968</v>
      </c>
      <c r="L10292" s="3">
        <v>119</v>
      </c>
      <c r="M10292" s="3">
        <v>221</v>
      </c>
    </row>
    <row r="10293" spans="1:13" x14ac:dyDescent="0.25">
      <c r="A10293" s="1" t="str">
        <f>HYPERLINK("http://www.rosaceae.org/Prunus/Prunus_persica/p.persica_gdr_reftransV1_0009336","p.persica_gdr_reftransV1_0009336")</f>
        <v>p.persica_gdr_reftransV1_0009336</v>
      </c>
      <c r="B10293" s="3">
        <v>1242</v>
      </c>
      <c r="C10293" s="1" t="str">
        <f>HYPERLINK("http://www.uniprot.org/uniprot/BRTL3_ARATH","BRTL3_ARATH")</f>
        <v>BRTL3_ARATH</v>
      </c>
      <c r="D10293" t="s">
        <v>4337</v>
      </c>
      <c r="E10293" s="3" t="s">
        <v>3</v>
      </c>
      <c r="F10293" s="4">
        <v>1.12E-69</v>
      </c>
      <c r="G10293" s="3">
        <v>592</v>
      </c>
      <c r="H10293" s="3">
        <v>82</v>
      </c>
      <c r="I10293" s="3">
        <v>154</v>
      </c>
      <c r="J10293" s="3">
        <v>780</v>
      </c>
      <c r="K10293" s="3">
        <v>1241</v>
      </c>
      <c r="L10293" s="3">
        <v>272</v>
      </c>
      <c r="M10293" s="3">
        <v>425</v>
      </c>
    </row>
    <row r="10294" spans="1:13" x14ac:dyDescent="0.25">
      <c r="A10294" s="1" t="str">
        <f>HYPERLINK("http://www.rosaceae.org/Prunus/Prunus_persica/p.persica_gdr_reftransV1_0009386","p.persica_gdr_reftransV1_0009386")</f>
        <v>p.persica_gdr_reftransV1_0009386</v>
      </c>
      <c r="B10294" s="3">
        <v>1883</v>
      </c>
      <c r="C10294" s="1" t="str">
        <f>HYPERLINK("http://www.uniprot.org/uniprot/TRM32_ARATH","TRM32_ARATH")</f>
        <v>TRM32_ARATH</v>
      </c>
      <c r="D10294" t="s">
        <v>4198</v>
      </c>
      <c r="E10294" s="3" t="s">
        <v>3</v>
      </c>
      <c r="F10294" s="4">
        <v>3.9699999999999999E-16</v>
      </c>
      <c r="G10294" s="3">
        <v>210</v>
      </c>
      <c r="H10294" s="3">
        <v>41</v>
      </c>
      <c r="I10294" s="3">
        <v>149</v>
      </c>
      <c r="J10294" s="3">
        <v>1190</v>
      </c>
      <c r="K10294" s="3">
        <v>1624</v>
      </c>
      <c r="L10294" s="3">
        <v>401</v>
      </c>
      <c r="M10294" s="3">
        <v>530</v>
      </c>
    </row>
    <row r="10295" spans="1:13" x14ac:dyDescent="0.25">
      <c r="A10295" s="1" t="str">
        <f>HYPERLINK("http://www.rosaceae.org/Prunus/Prunus_persica/p.persica_gdr_reftransV1_0009436","p.persica_gdr_reftransV1_0009436")</f>
        <v>p.persica_gdr_reftransV1_0009436</v>
      </c>
      <c r="B10295" s="3">
        <v>2071</v>
      </c>
      <c r="C10295" s="1" t="str">
        <f>HYPERLINK("http://www.uniprot.org/uniprot/APK1A_ARATH","APK1A_ARATH")</f>
        <v>APK1A_ARATH</v>
      </c>
      <c r="D10295" t="s">
        <v>5259</v>
      </c>
      <c r="E10295" s="3" t="s">
        <v>3</v>
      </c>
      <c r="F10295" s="4">
        <v>0</v>
      </c>
      <c r="G10295" s="3">
        <v>1536</v>
      </c>
      <c r="H10295" s="3">
        <v>73</v>
      </c>
      <c r="I10295" s="3">
        <v>414</v>
      </c>
      <c r="J10295" s="3">
        <v>391</v>
      </c>
      <c r="K10295" s="3">
        <v>1632</v>
      </c>
      <c r="L10295" s="3">
        <v>1</v>
      </c>
      <c r="M10295" s="3">
        <v>410</v>
      </c>
    </row>
    <row r="10296" spans="1:13" x14ac:dyDescent="0.25">
      <c r="A10296" s="1" t="str">
        <f>HYPERLINK("http://www.rosaceae.org/Prunus/Prunus_persica/p.persica_gdr_reftransV1_0009536","p.persica_gdr_reftransV1_0009536")</f>
        <v>p.persica_gdr_reftransV1_0009536</v>
      </c>
      <c r="B10296" s="3">
        <v>3970</v>
      </c>
      <c r="C10296" s="1" t="str">
        <f>HYPERLINK("http://www.uniprot.org/uniprot/PAT_ARATH","PAT_ARATH")</f>
        <v>PAT_ARATH</v>
      </c>
      <c r="D10296" t="s">
        <v>7509</v>
      </c>
      <c r="E10296" s="3" t="s">
        <v>3</v>
      </c>
      <c r="F10296" s="4">
        <v>4.3100000000000001E-14</v>
      </c>
      <c r="G10296" s="3">
        <v>197</v>
      </c>
      <c r="H10296" s="3">
        <v>30</v>
      </c>
      <c r="I10296" s="3">
        <v>187</v>
      </c>
      <c r="J10296" s="3">
        <v>861</v>
      </c>
      <c r="K10296" s="3">
        <v>1412</v>
      </c>
      <c r="L10296" s="3">
        <v>94</v>
      </c>
      <c r="M10296" s="3">
        <v>276</v>
      </c>
    </row>
    <row r="10297" spans="1:13" x14ac:dyDescent="0.25">
      <c r="A10297" s="1" t="str">
        <f>HYPERLINK("http://www.rosaceae.org/Prunus/Prunus_persica/p.persica_gdr_reftransV1_0009586","p.persica_gdr_reftransV1_0009586")</f>
        <v>p.persica_gdr_reftransV1_0009586</v>
      </c>
      <c r="B10297" s="3">
        <v>1257</v>
      </c>
      <c r="C10297" s="1" t="str">
        <f>HYPERLINK("http://www.uniprot.org/uniprot/H1_SOLPN","H1_SOLPN")</f>
        <v>H1_SOLPN</v>
      </c>
      <c r="D10297" t="s">
        <v>7510</v>
      </c>
      <c r="E10297" s="3" t="s">
        <v>7511</v>
      </c>
      <c r="F10297" s="4">
        <v>2.6499999999999999E-28</v>
      </c>
      <c r="G10297" s="3">
        <v>286</v>
      </c>
      <c r="H10297" s="3">
        <v>82</v>
      </c>
      <c r="I10297" s="3">
        <v>67</v>
      </c>
      <c r="J10297" s="3">
        <v>305</v>
      </c>
      <c r="K10297" s="3">
        <v>505</v>
      </c>
      <c r="L10297" s="3">
        <v>54</v>
      </c>
      <c r="M10297" s="3">
        <v>120</v>
      </c>
    </row>
    <row r="10298" spans="1:13" x14ac:dyDescent="0.25">
      <c r="A10298" s="1" t="str">
        <f>HYPERLINK("http://www.rosaceae.org/Prunus/Prunus_persica/p.persica_gdr_reftransV1_0009636","p.persica_gdr_reftransV1_0009636")</f>
        <v>p.persica_gdr_reftransV1_0009636</v>
      </c>
      <c r="B10298" s="3">
        <v>1186</v>
      </c>
      <c r="C10298" s="1" t="str">
        <f>HYPERLINK("http://www.uniprot.org/uniprot/RUMI_DROME","RUMI_DROME")</f>
        <v>RUMI_DROME</v>
      </c>
      <c r="D10298" t="s">
        <v>7512</v>
      </c>
      <c r="E10298" s="3" t="s">
        <v>5</v>
      </c>
      <c r="F10298" s="4">
        <v>3.39E-7</v>
      </c>
      <c r="G10298" s="3">
        <v>133</v>
      </c>
      <c r="H10298" s="3">
        <v>30</v>
      </c>
      <c r="I10298" s="3">
        <v>134</v>
      </c>
      <c r="J10298" s="3">
        <v>131</v>
      </c>
      <c r="K10298" s="3">
        <v>526</v>
      </c>
      <c r="L10298" s="3">
        <v>66</v>
      </c>
      <c r="M10298" s="3">
        <v>188</v>
      </c>
    </row>
    <row r="10299" spans="1:13" x14ac:dyDescent="0.25">
      <c r="A10299" s="1" t="str">
        <f>HYPERLINK("http://www.rosaceae.org/Prunus/Prunus_persica/p.persica_gdr_reftransV1_0009936","p.persica_gdr_reftransV1_0009936")</f>
        <v>p.persica_gdr_reftransV1_0009936</v>
      </c>
      <c r="B10299" s="3">
        <v>1960</v>
      </c>
      <c r="C10299" s="1" t="str">
        <f>HYPERLINK("http://www.uniprot.org/uniprot/BSDC1_DANRE","BSDC1_DANRE")</f>
        <v>BSDC1_DANRE</v>
      </c>
      <c r="D10299" t="s">
        <v>7513</v>
      </c>
      <c r="E10299" s="3" t="s">
        <v>704</v>
      </c>
      <c r="F10299" s="4">
        <v>5.6100000000000002E-18</v>
      </c>
      <c r="G10299" s="3">
        <v>223</v>
      </c>
      <c r="H10299" s="3">
        <v>31</v>
      </c>
      <c r="I10299" s="3">
        <v>201</v>
      </c>
      <c r="J10299" s="3">
        <v>291</v>
      </c>
      <c r="K10299" s="3">
        <v>866</v>
      </c>
      <c r="L10299" s="3">
        <v>23</v>
      </c>
      <c r="M10299" s="3">
        <v>219</v>
      </c>
    </row>
    <row r="10300" spans="1:13" x14ac:dyDescent="0.25">
      <c r="A10300" s="1" t="str">
        <f>HYPERLINK("http://www.rosaceae.org/Prunus/Prunus_persica/p.persica_gdr_reftransV1_0010336","p.persica_gdr_reftransV1_0010336")</f>
        <v>p.persica_gdr_reftransV1_0010336</v>
      </c>
      <c r="B10300" s="3">
        <v>1780</v>
      </c>
      <c r="C10300" s="1" t="str">
        <f>HYPERLINK("http://www.uniprot.org/uniprot/GTE1_ARATH","GTE1_ARATH")</f>
        <v>GTE1_ARATH</v>
      </c>
      <c r="D10300" t="s">
        <v>4838</v>
      </c>
      <c r="E10300" s="3" t="s">
        <v>3</v>
      </c>
      <c r="F10300" s="4">
        <v>1.3699999999999999E-86</v>
      </c>
      <c r="G10300" s="3">
        <v>536</v>
      </c>
      <c r="H10300" s="3">
        <v>52</v>
      </c>
      <c r="I10300" s="3">
        <v>252</v>
      </c>
      <c r="J10300" s="3">
        <v>939</v>
      </c>
      <c r="K10300" s="3">
        <v>1658</v>
      </c>
      <c r="L10300" s="3">
        <v>7</v>
      </c>
      <c r="M10300" s="3">
        <v>253</v>
      </c>
    </row>
    <row r="10301" spans="1:13" x14ac:dyDescent="0.25">
      <c r="A10301" s="1" t="str">
        <f>HYPERLINK("http://www.rosaceae.org/Prunus/Prunus_persica/p.persica_gdr_reftransV1_0010486","p.persica_gdr_reftransV1_0010486")</f>
        <v>p.persica_gdr_reftransV1_0010486</v>
      </c>
      <c r="B10301" s="3">
        <v>1749</v>
      </c>
      <c r="C10301" s="1" t="str">
        <f>HYPERLINK("http://www.uniprot.org/uniprot/ALKB8_MOUSE","ALKB8_MOUSE")</f>
        <v>ALKB8_MOUSE</v>
      </c>
      <c r="D10301" t="s">
        <v>4684</v>
      </c>
      <c r="E10301" s="3" t="s">
        <v>157</v>
      </c>
      <c r="F10301" s="4">
        <v>1.22E-59</v>
      </c>
      <c r="G10301" s="3">
        <v>548</v>
      </c>
      <c r="H10301" s="3">
        <v>41</v>
      </c>
      <c r="I10301" s="3">
        <v>306</v>
      </c>
      <c r="J10301" s="3">
        <v>372</v>
      </c>
      <c r="K10301" s="3">
        <v>1283</v>
      </c>
      <c r="L10301" s="3">
        <v>369</v>
      </c>
      <c r="M10301" s="3">
        <v>662</v>
      </c>
    </row>
    <row r="10302" spans="1:13" x14ac:dyDescent="0.25">
      <c r="A10302" s="1" t="str">
        <f>HYPERLINK("http://www.rosaceae.org/Prunus/Prunus_persica/p.persica_gdr_reftransV1_0010536","p.persica_gdr_reftransV1_0010536")</f>
        <v>p.persica_gdr_reftransV1_0010536</v>
      </c>
      <c r="B10302" s="3">
        <v>3292</v>
      </c>
      <c r="C10302" s="1" t="str">
        <f>HYPERLINK("http://www.uniprot.org/uniprot/PGTA_PONAB","PGTA_PONAB")</f>
        <v>PGTA_PONAB</v>
      </c>
      <c r="D10302" t="s">
        <v>7514</v>
      </c>
      <c r="E10302" s="3" t="s">
        <v>176</v>
      </c>
      <c r="F10302" s="4">
        <v>9.0099999999999997E-42</v>
      </c>
      <c r="G10302" s="3">
        <v>421</v>
      </c>
      <c r="H10302" s="3">
        <v>45</v>
      </c>
      <c r="I10302" s="3">
        <v>198</v>
      </c>
      <c r="J10302" s="3">
        <v>2116</v>
      </c>
      <c r="K10302" s="3">
        <v>2697</v>
      </c>
      <c r="L10302" s="3">
        <v>50</v>
      </c>
      <c r="M10302" s="3">
        <v>244</v>
      </c>
    </row>
    <row r="10303" spans="1:13" x14ac:dyDescent="0.25">
      <c r="A10303" s="1" t="str">
        <f>HYPERLINK("http://www.rosaceae.org/Prunus/Prunus_persica/p.persica_gdr_reftransV1_0010686","p.persica_gdr_reftransV1_0010686")</f>
        <v>p.persica_gdr_reftransV1_0010686</v>
      </c>
      <c r="B10303" s="3">
        <v>562</v>
      </c>
      <c r="C10303" s="1" t="str">
        <f>HYPERLINK("http://www.uniprot.org/uniprot/CHIT1_TULBA","CHIT1_TULBA")</f>
        <v>CHIT1_TULBA</v>
      </c>
      <c r="D10303" t="s">
        <v>7515</v>
      </c>
      <c r="E10303" s="3" t="s">
        <v>2590</v>
      </c>
      <c r="F10303" s="4">
        <v>3.4799999999999998E-76</v>
      </c>
      <c r="G10303" s="3">
        <v>605</v>
      </c>
      <c r="H10303" s="3">
        <v>67</v>
      </c>
      <c r="I10303" s="3">
        <v>164</v>
      </c>
      <c r="J10303" s="3">
        <v>1</v>
      </c>
      <c r="K10303" s="3">
        <v>486</v>
      </c>
      <c r="L10303" s="3">
        <v>139</v>
      </c>
      <c r="M10303" s="3">
        <v>302</v>
      </c>
    </row>
    <row r="10304" spans="1:13" x14ac:dyDescent="0.25">
      <c r="A10304" s="1" t="str">
        <f>HYPERLINK("http://www.rosaceae.org/Prunus/Prunus_persica/p.persica_gdr_reftransV1_0010736","p.persica_gdr_reftransV1_0010736")</f>
        <v>p.persica_gdr_reftransV1_0010736</v>
      </c>
      <c r="B10304" s="3">
        <v>2980</v>
      </c>
      <c r="C10304" s="1" t="str">
        <f>HYPERLINK("http://www.uniprot.org/uniprot/GWD2_ARATH","GWD2_ARATH")</f>
        <v>GWD2_ARATH</v>
      </c>
      <c r="D10304" t="s">
        <v>326</v>
      </c>
      <c r="E10304" s="3" t="s">
        <v>3</v>
      </c>
      <c r="F10304" s="4">
        <v>0</v>
      </c>
      <c r="G10304" s="3">
        <v>3226</v>
      </c>
      <c r="H10304" s="3">
        <v>67</v>
      </c>
      <c r="I10304" s="3">
        <v>930</v>
      </c>
      <c r="J10304" s="3">
        <v>192</v>
      </c>
      <c r="K10304" s="3">
        <v>2978</v>
      </c>
      <c r="L10304" s="3">
        <v>356</v>
      </c>
      <c r="M10304" s="3">
        <v>1278</v>
      </c>
    </row>
    <row r="10305" spans="1:13" x14ac:dyDescent="0.25">
      <c r="A10305" s="1" t="str">
        <f>HYPERLINK("http://www.rosaceae.org/Prunus/Prunus_persica/p.persica_gdr_reftransV1_0010786","p.persica_gdr_reftransV1_0010786")</f>
        <v>p.persica_gdr_reftransV1_0010786</v>
      </c>
      <c r="B10305" s="3">
        <v>756</v>
      </c>
      <c r="C10305" s="1" t="str">
        <f>HYPERLINK("http://www.uniprot.org/uniprot/C14A1_ARATH","C14A1_ARATH")</f>
        <v>C14A1_ARATH</v>
      </c>
      <c r="D10305" t="s">
        <v>3975</v>
      </c>
      <c r="E10305" s="3" t="s">
        <v>3</v>
      </c>
      <c r="F10305" s="4">
        <v>5.5200000000000003E-71</v>
      </c>
      <c r="G10305" s="3">
        <v>593</v>
      </c>
      <c r="H10305" s="3">
        <v>54</v>
      </c>
      <c r="I10305" s="3">
        <v>189</v>
      </c>
      <c r="J10305" s="3">
        <v>189</v>
      </c>
      <c r="K10305" s="3">
        <v>755</v>
      </c>
      <c r="L10305" s="3">
        <v>341</v>
      </c>
      <c r="M10305" s="3">
        <v>529</v>
      </c>
    </row>
    <row r="10306" spans="1:13" x14ac:dyDescent="0.25">
      <c r="A10306" s="1" t="str">
        <f>HYPERLINK("http://www.rosaceae.org/Prunus/Prunus_persica/p.persica_gdr_reftransV1_0010886","p.persica_gdr_reftransV1_0010886")</f>
        <v>p.persica_gdr_reftransV1_0010886</v>
      </c>
      <c r="B10306" s="3">
        <v>2695</v>
      </c>
      <c r="C10306" s="1" t="str">
        <f>HYPERLINK("http://www.uniprot.org/uniprot/CAR11_ARATH","CAR11_ARATH")</f>
        <v>CAR11_ARATH</v>
      </c>
      <c r="D10306" t="s">
        <v>1163</v>
      </c>
      <c r="E10306" s="3" t="s">
        <v>3</v>
      </c>
      <c r="F10306" s="4">
        <v>3.7900000000000002E-57</v>
      </c>
      <c r="G10306" s="3">
        <v>503</v>
      </c>
      <c r="H10306" s="3">
        <v>76</v>
      </c>
      <c r="I10306" s="3">
        <v>124</v>
      </c>
      <c r="J10306" s="3">
        <v>2002</v>
      </c>
      <c r="K10306" s="3">
        <v>2373</v>
      </c>
      <c r="L10306" s="3">
        <v>39</v>
      </c>
      <c r="M10306" s="3">
        <v>162</v>
      </c>
    </row>
    <row r="10307" spans="1:13" x14ac:dyDescent="0.25">
      <c r="A10307" s="1" t="str">
        <f>HYPERLINK("http://www.rosaceae.org/Prunus/Prunus_persica/p.persica_gdr_reftransV1_0010936","p.persica_gdr_reftransV1_0010936")</f>
        <v>p.persica_gdr_reftransV1_0010936</v>
      </c>
      <c r="B10307" s="3">
        <v>378</v>
      </c>
      <c r="C10307" s="1" t="str">
        <f>HYPERLINK("http://www.uniprot.org/uniprot/PP360_ARATH","PP360_ARATH")</f>
        <v>PP360_ARATH</v>
      </c>
      <c r="D10307" t="s">
        <v>7516</v>
      </c>
      <c r="E10307" s="3" t="s">
        <v>3</v>
      </c>
      <c r="F10307" s="4">
        <v>2.97E-49</v>
      </c>
      <c r="G10307" s="3">
        <v>433</v>
      </c>
      <c r="H10307" s="3">
        <v>63</v>
      </c>
      <c r="I10307" s="3">
        <v>124</v>
      </c>
      <c r="J10307" s="3">
        <v>6</v>
      </c>
      <c r="K10307" s="3">
        <v>377</v>
      </c>
      <c r="L10307" s="3">
        <v>409</v>
      </c>
      <c r="M10307" s="3">
        <v>532</v>
      </c>
    </row>
    <row r="10308" spans="1:13" x14ac:dyDescent="0.25">
      <c r="A10308" s="1" t="str">
        <f>HYPERLINK("http://www.rosaceae.org/Prunus/Prunus_persica/p.persica_gdr_reftransV1_0011036","p.persica_gdr_reftransV1_0011036")</f>
        <v>p.persica_gdr_reftransV1_0011036</v>
      </c>
      <c r="B10308" s="3">
        <v>532</v>
      </c>
      <c r="C10308" s="1" t="str">
        <f>HYPERLINK("http://www.uniprot.org/uniprot/CYP40_ARATH","CYP40_ARATH")</f>
        <v>CYP40_ARATH</v>
      </c>
      <c r="D10308" t="s">
        <v>2202</v>
      </c>
      <c r="E10308" s="3" t="s">
        <v>3</v>
      </c>
      <c r="F10308" s="4">
        <v>4.7800000000000002E-75</v>
      </c>
      <c r="G10308" s="3">
        <v>600</v>
      </c>
      <c r="H10308" s="3">
        <v>88</v>
      </c>
      <c r="I10308" s="3">
        <v>139</v>
      </c>
      <c r="J10308" s="3">
        <v>114</v>
      </c>
      <c r="K10308" s="3">
        <v>530</v>
      </c>
      <c r="L10308" s="3">
        <v>1</v>
      </c>
      <c r="M10308" s="3">
        <v>139</v>
      </c>
    </row>
    <row r="10309" spans="1:13" x14ac:dyDescent="0.25">
      <c r="A10309" s="1" t="str">
        <f>HYPERLINK("http://www.rosaceae.org/Prunus/Prunus_persica/p.persica_gdr_reftransV1_0011086","p.persica_gdr_reftransV1_0011086")</f>
        <v>p.persica_gdr_reftransV1_0011086</v>
      </c>
      <c r="B10309" s="3">
        <v>3655</v>
      </c>
      <c r="C10309" s="1" t="str">
        <f>HYPERLINK("http://www.uniprot.org/uniprot/1A11_PRUMU","1A11_PRUMU")</f>
        <v>1A11_PRUMU</v>
      </c>
      <c r="D10309" t="s">
        <v>7517</v>
      </c>
      <c r="E10309" s="3" t="s">
        <v>7464</v>
      </c>
      <c r="F10309" s="4">
        <v>0</v>
      </c>
      <c r="G10309" s="3">
        <v>1635</v>
      </c>
      <c r="H10309" s="3">
        <v>97</v>
      </c>
      <c r="I10309" s="3">
        <v>336</v>
      </c>
      <c r="J10309" s="3">
        <v>1273</v>
      </c>
      <c r="K10309" s="3">
        <v>2280</v>
      </c>
      <c r="L10309" s="3">
        <v>157</v>
      </c>
      <c r="M10309" s="3">
        <v>492</v>
      </c>
    </row>
    <row r="10310" spans="1:13" x14ac:dyDescent="0.25">
      <c r="A10310" s="1" t="str">
        <f>HYPERLINK("http://www.rosaceae.org/Prunus/Prunus_persica/p.persica_gdr_reftransV1_0011136","p.persica_gdr_reftransV1_0011136")</f>
        <v>p.persica_gdr_reftransV1_0011136</v>
      </c>
      <c r="B10310" s="3">
        <v>2732</v>
      </c>
      <c r="C10310" s="1" t="str">
        <f>HYPERLINK("http://www.uniprot.org/uniprot/HIS8_ARATH","HIS8_ARATH")</f>
        <v>HIS8_ARATH</v>
      </c>
      <c r="D10310" t="s">
        <v>7518</v>
      </c>
      <c r="E10310" s="3" t="s">
        <v>3</v>
      </c>
      <c r="F10310" s="4">
        <v>0</v>
      </c>
      <c r="G10310" s="3">
        <v>1948</v>
      </c>
      <c r="H10310" s="3">
        <v>85</v>
      </c>
      <c r="I10310" s="3">
        <v>444</v>
      </c>
      <c r="J10310" s="3">
        <v>1070</v>
      </c>
      <c r="K10310" s="3">
        <v>2401</v>
      </c>
      <c r="L10310" s="3">
        <v>26</v>
      </c>
      <c r="M10310" s="3">
        <v>465</v>
      </c>
    </row>
    <row r="10311" spans="1:13" x14ac:dyDescent="0.25">
      <c r="A10311" s="1" t="str">
        <f>HYPERLINK("http://www.rosaceae.org/Prunus/Prunus_persica/p.persica_gdr_reftransV1_0011186","p.persica_gdr_reftransV1_0011186")</f>
        <v>p.persica_gdr_reftransV1_0011186</v>
      </c>
      <c r="B10311" s="3">
        <v>926</v>
      </c>
      <c r="C10311" s="1" t="str">
        <f>HYPERLINK("http://www.uniprot.org/uniprot/EXO5_ARATH","EXO5_ARATH")</f>
        <v>EXO5_ARATH</v>
      </c>
      <c r="D10311" t="s">
        <v>6542</v>
      </c>
      <c r="E10311" s="3" t="s">
        <v>3</v>
      </c>
      <c r="F10311" s="4">
        <v>1.75E-72</v>
      </c>
      <c r="G10311" s="3">
        <v>601</v>
      </c>
      <c r="H10311" s="3">
        <v>54</v>
      </c>
      <c r="I10311" s="3">
        <v>190</v>
      </c>
      <c r="J10311" s="3">
        <v>71</v>
      </c>
      <c r="K10311" s="3">
        <v>634</v>
      </c>
      <c r="L10311" s="3">
        <v>203</v>
      </c>
      <c r="M10311" s="3">
        <v>392</v>
      </c>
    </row>
    <row r="10312" spans="1:13" x14ac:dyDescent="0.25">
      <c r="A10312" s="1" t="str">
        <f>HYPERLINK("http://www.rosaceae.org/Prunus/Prunus_persica/p.persica_gdr_reftransV1_0011236","p.persica_gdr_reftransV1_0011236")</f>
        <v>p.persica_gdr_reftransV1_0011236</v>
      </c>
      <c r="B10312" s="3">
        <v>1631</v>
      </c>
      <c r="C10312" s="1" t="str">
        <f>HYPERLINK("http://www.uniprot.org/uniprot/BYST_BOVIN","BYST_BOVIN")</f>
        <v>BYST_BOVIN</v>
      </c>
      <c r="D10312" t="s">
        <v>7519</v>
      </c>
      <c r="E10312" s="3" t="s">
        <v>184</v>
      </c>
      <c r="F10312" s="4">
        <v>6.6000000000000004E-113</v>
      </c>
      <c r="G10312" s="3">
        <v>895</v>
      </c>
      <c r="H10312" s="3">
        <v>57</v>
      </c>
      <c r="I10312" s="3">
        <v>292</v>
      </c>
      <c r="J10312" s="3">
        <v>505</v>
      </c>
      <c r="K10312" s="3">
        <v>1365</v>
      </c>
      <c r="L10312" s="3">
        <v>134</v>
      </c>
      <c r="M10312" s="3">
        <v>425</v>
      </c>
    </row>
    <row r="10313" spans="1:13" x14ac:dyDescent="0.25">
      <c r="A10313" s="1" t="str">
        <f>HYPERLINK("http://www.rosaceae.org/Prunus/Prunus_persica/p.persica_gdr_reftransV1_0011436","p.persica_gdr_reftransV1_0011436")</f>
        <v>p.persica_gdr_reftransV1_0011436</v>
      </c>
      <c r="B10313" s="3">
        <v>1832</v>
      </c>
      <c r="C10313" s="1" t="str">
        <f>HYPERLINK("http://www.uniprot.org/uniprot/YMB8_YEAST","YMB8_YEAST")</f>
        <v>YMB8_YEAST</v>
      </c>
      <c r="D10313" t="s">
        <v>7520</v>
      </c>
      <c r="E10313" s="3" t="s">
        <v>34</v>
      </c>
      <c r="F10313" s="4">
        <v>1.09E-29</v>
      </c>
      <c r="G10313" s="3">
        <v>313</v>
      </c>
      <c r="H10313" s="3">
        <v>28</v>
      </c>
      <c r="I10313" s="3">
        <v>422</v>
      </c>
      <c r="J10313" s="3">
        <v>234</v>
      </c>
      <c r="K10313" s="3">
        <v>1442</v>
      </c>
      <c r="L10313" s="3">
        <v>4</v>
      </c>
      <c r="M10313" s="3">
        <v>373</v>
      </c>
    </row>
    <row r="10314" spans="1:13" x14ac:dyDescent="0.25">
      <c r="A10314" s="1" t="str">
        <f>HYPERLINK("http://www.rosaceae.org/Prunus/Prunus_persica/p.persica_gdr_reftransV1_0011486","p.persica_gdr_reftransV1_0011486")</f>
        <v>p.persica_gdr_reftransV1_0011486</v>
      </c>
      <c r="B10314" s="3">
        <v>466</v>
      </c>
      <c r="C10314" s="1" t="str">
        <f>HYPERLINK("http://www.uniprot.org/uniprot/BH091_ARATH","BH091_ARATH")</f>
        <v>BH091_ARATH</v>
      </c>
      <c r="D10314" t="s">
        <v>7521</v>
      </c>
      <c r="E10314" s="3" t="s">
        <v>3</v>
      </c>
      <c r="F10314" s="4">
        <v>2.4700000000000002E-47</v>
      </c>
      <c r="G10314" s="3">
        <v>415</v>
      </c>
      <c r="H10314" s="3">
        <v>73</v>
      </c>
      <c r="I10314" s="3">
        <v>106</v>
      </c>
      <c r="J10314" s="3">
        <v>11</v>
      </c>
      <c r="K10314" s="3">
        <v>328</v>
      </c>
      <c r="L10314" s="3">
        <v>323</v>
      </c>
      <c r="M10314" s="3">
        <v>428</v>
      </c>
    </row>
    <row r="10315" spans="1:13" x14ac:dyDescent="0.25">
      <c r="A10315" s="1" t="str">
        <f>HYPERLINK("http://www.rosaceae.org/Prunus/Prunus_persica/p.persica_gdr_reftransV1_0011586","p.persica_gdr_reftransV1_0011586")</f>
        <v>p.persica_gdr_reftransV1_0011586</v>
      </c>
      <c r="B10315" s="3">
        <v>817</v>
      </c>
      <c r="C10315" s="1" t="str">
        <f>HYPERLINK("http://www.uniprot.org/uniprot/CML1_ARATH","CML1_ARATH")</f>
        <v>CML1_ARATH</v>
      </c>
      <c r="D10315" t="s">
        <v>5967</v>
      </c>
      <c r="E10315" s="3" t="s">
        <v>3</v>
      </c>
      <c r="F10315" s="4">
        <v>3.0700000000000001E-39</v>
      </c>
      <c r="G10315" s="3">
        <v>355</v>
      </c>
      <c r="H10315" s="3">
        <v>47</v>
      </c>
      <c r="I10315" s="3">
        <v>179</v>
      </c>
      <c r="J10315" s="3">
        <v>248</v>
      </c>
      <c r="K10315" s="3">
        <v>775</v>
      </c>
      <c r="L10315" s="3">
        <v>5</v>
      </c>
      <c r="M10315" s="3">
        <v>182</v>
      </c>
    </row>
    <row r="10316" spans="1:13" x14ac:dyDescent="0.25">
      <c r="A10316" s="1" t="str">
        <f>HYPERLINK("http://www.rosaceae.org/Prunus/Prunus_persica/p.persica_gdr_reftransV1_0011636","p.persica_gdr_reftransV1_0011636")</f>
        <v>p.persica_gdr_reftransV1_0011636</v>
      </c>
      <c r="B10316" s="3">
        <v>2030</v>
      </c>
      <c r="C10316" s="1" t="str">
        <f>HYPERLINK("http://www.uniprot.org/uniprot/FLXL1_ARATH","FLXL1_ARATH")</f>
        <v>FLXL1_ARATH</v>
      </c>
      <c r="D10316" t="s">
        <v>7522</v>
      </c>
      <c r="E10316" s="3" t="s">
        <v>3</v>
      </c>
      <c r="F10316" s="4">
        <v>2.6500000000000001E-101</v>
      </c>
      <c r="G10316" s="3">
        <v>819</v>
      </c>
      <c r="H10316" s="3">
        <v>60</v>
      </c>
      <c r="I10316" s="3">
        <v>314</v>
      </c>
      <c r="J10316" s="3">
        <v>873</v>
      </c>
      <c r="K10316" s="3">
        <v>1763</v>
      </c>
      <c r="L10316" s="3">
        <v>1</v>
      </c>
      <c r="M10316" s="3">
        <v>314</v>
      </c>
    </row>
    <row r="10317" spans="1:13" x14ac:dyDescent="0.25">
      <c r="A10317" s="1" t="str">
        <f>HYPERLINK("http://www.rosaceae.org/Prunus/Prunus_persica/p.persica_gdr_reftransV1_0011686","p.persica_gdr_reftransV1_0011686")</f>
        <v>p.persica_gdr_reftransV1_0011686</v>
      </c>
      <c r="B10317" s="3">
        <v>3921</v>
      </c>
      <c r="C10317" s="1" t="str">
        <f>HYPERLINK("http://www.uniprot.org/uniprot/NFXL1_ARATH","NFXL1_ARATH")</f>
        <v>NFXL1_ARATH</v>
      </c>
      <c r="D10317" t="s">
        <v>7523</v>
      </c>
      <c r="E10317" s="3" t="s">
        <v>3</v>
      </c>
      <c r="F10317" s="4">
        <v>0</v>
      </c>
      <c r="G10317" s="3">
        <v>3522</v>
      </c>
      <c r="H10317" s="3">
        <v>67</v>
      </c>
      <c r="I10317" s="3">
        <v>1037</v>
      </c>
      <c r="J10317" s="3">
        <v>587</v>
      </c>
      <c r="K10317" s="3">
        <v>3649</v>
      </c>
      <c r="L10317" s="3">
        <v>184</v>
      </c>
      <c r="M10317" s="3">
        <v>1188</v>
      </c>
    </row>
    <row r="10318" spans="1:13" x14ac:dyDescent="0.25">
      <c r="A10318" s="1" t="str">
        <f>HYPERLINK("http://www.rosaceae.org/Prunus/Prunus_persica/p.persica_gdr_reftransV1_0011836","p.persica_gdr_reftransV1_0011836")</f>
        <v>p.persica_gdr_reftransV1_0011836</v>
      </c>
      <c r="B10318" s="3">
        <v>1719</v>
      </c>
      <c r="C10318" s="1" t="str">
        <f>HYPERLINK("http://www.uniprot.org/uniprot/ILL5_ORYSJ","ILL5_ORYSJ")</f>
        <v>ILL5_ORYSJ</v>
      </c>
      <c r="D10318" t="s">
        <v>3919</v>
      </c>
      <c r="E10318" s="3" t="s">
        <v>38</v>
      </c>
      <c r="F10318" s="4">
        <v>0</v>
      </c>
      <c r="G10318" s="3">
        <v>1376</v>
      </c>
      <c r="H10318" s="3">
        <v>65</v>
      </c>
      <c r="I10318" s="3">
        <v>398</v>
      </c>
      <c r="J10318" s="3">
        <v>333</v>
      </c>
      <c r="K10318" s="3">
        <v>1523</v>
      </c>
      <c r="L10318" s="3">
        <v>18</v>
      </c>
      <c r="M10318" s="3">
        <v>414</v>
      </c>
    </row>
    <row r="10319" spans="1:13" x14ac:dyDescent="0.25">
      <c r="A10319" s="1" t="str">
        <f>HYPERLINK("http://www.rosaceae.org/Prunus/Prunus_persica/p.persica_gdr_reftransV1_0011986","p.persica_gdr_reftransV1_0011986")</f>
        <v>p.persica_gdr_reftransV1_0011986</v>
      </c>
      <c r="B10319" s="3">
        <v>2549</v>
      </c>
      <c r="C10319" s="1" t="str">
        <f>HYPERLINK("http://www.uniprot.org/uniprot/AGAL3_ARATH","AGAL3_ARATH")</f>
        <v>AGAL3_ARATH</v>
      </c>
      <c r="D10319" t="s">
        <v>7524</v>
      </c>
      <c r="E10319" s="3" t="s">
        <v>3</v>
      </c>
      <c r="F10319" s="4">
        <v>1.1600000000000001E-74</v>
      </c>
      <c r="G10319" s="3">
        <v>654</v>
      </c>
      <c r="H10319" s="3">
        <v>72</v>
      </c>
      <c r="I10319" s="3">
        <v>155</v>
      </c>
      <c r="J10319" s="3">
        <v>66</v>
      </c>
      <c r="K10319" s="3">
        <v>530</v>
      </c>
      <c r="L10319" s="3">
        <v>277</v>
      </c>
      <c r="M10319" s="3">
        <v>431</v>
      </c>
    </row>
    <row r="10320" spans="1:13" x14ac:dyDescent="0.25">
      <c r="A10320" s="1" t="str">
        <f>HYPERLINK("http://www.rosaceae.org/Prunus/Prunus_persica/p.persica_gdr_reftransV1_0012136","p.persica_gdr_reftransV1_0012136")</f>
        <v>p.persica_gdr_reftransV1_0012136</v>
      </c>
      <c r="B10320" s="3">
        <v>3140</v>
      </c>
      <c r="C10320" s="1" t="str">
        <f>HYPERLINK("http://www.uniprot.org/uniprot/FAS1_ARATH","FAS1_ARATH")</f>
        <v>FAS1_ARATH</v>
      </c>
      <c r="D10320" t="s">
        <v>7525</v>
      </c>
      <c r="E10320" s="3" t="s">
        <v>3</v>
      </c>
      <c r="F10320" s="4">
        <v>0</v>
      </c>
      <c r="G10320" s="3">
        <v>1562</v>
      </c>
      <c r="H10320" s="3">
        <v>51</v>
      </c>
      <c r="I10320" s="3">
        <v>806</v>
      </c>
      <c r="J10320" s="3">
        <v>419</v>
      </c>
      <c r="K10320" s="3">
        <v>2812</v>
      </c>
      <c r="L10320" s="3">
        <v>20</v>
      </c>
      <c r="M10320" s="3">
        <v>803</v>
      </c>
    </row>
    <row r="10321" spans="1:13" x14ac:dyDescent="0.25">
      <c r="A10321" s="1" t="str">
        <f>HYPERLINK("http://www.rosaceae.org/Prunus/Prunus_persica/p.persica_gdr_reftransV1_0012186","p.persica_gdr_reftransV1_0012186")</f>
        <v>p.persica_gdr_reftransV1_0012186</v>
      </c>
      <c r="B10321" s="3">
        <v>1679</v>
      </c>
      <c r="C10321" s="1" t="str">
        <f>HYPERLINK("http://www.uniprot.org/uniprot/LIP_RHIMI","LIP_RHIMI")</f>
        <v>LIP_RHIMI</v>
      </c>
      <c r="D10321" t="s">
        <v>7526</v>
      </c>
      <c r="E10321" s="3" t="s">
        <v>7527</v>
      </c>
      <c r="F10321" s="4">
        <v>2.1800000000000001E-28</v>
      </c>
      <c r="G10321" s="3">
        <v>300</v>
      </c>
      <c r="H10321" s="3">
        <v>33</v>
      </c>
      <c r="I10321" s="3">
        <v>244</v>
      </c>
      <c r="J10321" s="3">
        <v>587</v>
      </c>
      <c r="K10321" s="3">
        <v>1306</v>
      </c>
      <c r="L10321" s="3">
        <v>131</v>
      </c>
      <c r="M10321" s="3">
        <v>357</v>
      </c>
    </row>
    <row r="10322" spans="1:13" x14ac:dyDescent="0.25">
      <c r="A10322" s="1" t="str">
        <f>HYPERLINK("http://www.rosaceae.org/Prunus/Prunus_persica/p.persica_gdr_reftransV1_0012236","p.persica_gdr_reftransV1_0012236")</f>
        <v>p.persica_gdr_reftransV1_0012236</v>
      </c>
      <c r="B10322" s="3">
        <v>1891</v>
      </c>
      <c r="C10322" s="1" t="str">
        <f>HYPERLINK("http://www.uniprot.org/uniprot/NOT4_YEAST","NOT4_YEAST")</f>
        <v>NOT4_YEAST</v>
      </c>
      <c r="D10322" t="s">
        <v>7528</v>
      </c>
      <c r="E10322" s="3" t="s">
        <v>34</v>
      </c>
      <c r="F10322" s="4">
        <v>3.2899999999999998E-11</v>
      </c>
      <c r="G10322" s="3">
        <v>170</v>
      </c>
      <c r="H10322" s="3">
        <v>39</v>
      </c>
      <c r="I10322" s="3">
        <v>77</v>
      </c>
      <c r="J10322" s="3">
        <v>781</v>
      </c>
      <c r="K10322" s="3">
        <v>996</v>
      </c>
      <c r="L10322" s="3">
        <v>6</v>
      </c>
      <c r="M10322" s="3">
        <v>82</v>
      </c>
    </row>
    <row r="10323" spans="1:13" x14ac:dyDescent="0.25">
      <c r="A10323" s="1" t="str">
        <f>HYPERLINK("http://www.rosaceae.org/Prunus/Prunus_persica/p.persica_gdr_reftransV1_0012686","p.persica_gdr_reftransV1_0012686")</f>
        <v>p.persica_gdr_reftransV1_0012686</v>
      </c>
      <c r="B10323" s="3">
        <v>1641</v>
      </c>
      <c r="C10323" s="1" t="str">
        <f>HYPERLINK("http://www.uniprot.org/uniprot/CSPLJ_ARALL","CSPLJ_ARALL")</f>
        <v>CSPLJ_ARALL</v>
      </c>
      <c r="D10323" t="s">
        <v>7529</v>
      </c>
      <c r="E10323" s="3" t="s">
        <v>7530</v>
      </c>
      <c r="F10323" s="4">
        <v>1.3100000000000001E-47</v>
      </c>
      <c r="G10323" s="3">
        <v>438</v>
      </c>
      <c r="H10323" s="3">
        <v>46</v>
      </c>
      <c r="I10323" s="3">
        <v>237</v>
      </c>
      <c r="J10323" s="3">
        <v>841</v>
      </c>
      <c r="K10323" s="3">
        <v>1482</v>
      </c>
      <c r="L10323" s="3">
        <v>14</v>
      </c>
      <c r="M10323" s="3">
        <v>233</v>
      </c>
    </row>
    <row r="10324" spans="1:13" x14ac:dyDescent="0.25">
      <c r="A10324" s="1" t="str">
        <f>HYPERLINK("http://www.rosaceae.org/Prunus/Prunus_persica/p.persica_gdr_reftransV1_0012786","p.persica_gdr_reftransV1_0012786")</f>
        <v>p.persica_gdr_reftransV1_0012786</v>
      </c>
      <c r="B10324" s="3">
        <v>1501</v>
      </c>
      <c r="C10324" s="1" t="str">
        <f>HYPERLINK("http://www.uniprot.org/uniprot/LYK5_ARATH","LYK5_ARATH")</f>
        <v>LYK5_ARATH</v>
      </c>
      <c r="D10324" t="s">
        <v>7531</v>
      </c>
      <c r="E10324" s="3" t="s">
        <v>3</v>
      </c>
      <c r="F10324" s="4">
        <v>7.5099999999999996E-113</v>
      </c>
      <c r="G10324" s="3">
        <v>910</v>
      </c>
      <c r="H10324" s="3">
        <v>57</v>
      </c>
      <c r="I10324" s="3">
        <v>328</v>
      </c>
      <c r="J10324" s="3">
        <v>212</v>
      </c>
      <c r="K10324" s="3">
        <v>1189</v>
      </c>
      <c r="L10324" s="3">
        <v>342</v>
      </c>
      <c r="M10324" s="3">
        <v>654</v>
      </c>
    </row>
    <row r="10325" spans="1:13" x14ac:dyDescent="0.25">
      <c r="A10325" s="1" t="str">
        <f>HYPERLINK("http://www.rosaceae.org/Prunus/Prunus_persica/p.persica_gdr_reftransV1_0012986","p.persica_gdr_reftransV1_0012986")</f>
        <v>p.persica_gdr_reftransV1_0012986</v>
      </c>
      <c r="B10325" s="3">
        <v>1245</v>
      </c>
      <c r="C10325" s="1" t="str">
        <f>HYPERLINK("http://www.uniprot.org/uniprot/HT1_ARATH","HT1_ARATH")</f>
        <v>HT1_ARATH</v>
      </c>
      <c r="D10325" t="s">
        <v>1169</v>
      </c>
      <c r="E10325" s="3" t="s">
        <v>3</v>
      </c>
      <c r="F10325" s="4">
        <v>0</v>
      </c>
      <c r="G10325" s="3">
        <v>1566</v>
      </c>
      <c r="H10325" s="3">
        <v>87</v>
      </c>
      <c r="I10325" s="3">
        <v>346</v>
      </c>
      <c r="J10325" s="3">
        <v>225</v>
      </c>
      <c r="K10325" s="3">
        <v>1244</v>
      </c>
      <c r="L10325" s="3">
        <v>45</v>
      </c>
      <c r="M10325" s="3">
        <v>390</v>
      </c>
    </row>
    <row r="10326" spans="1:13" x14ac:dyDescent="0.25">
      <c r="A10326" s="1" t="str">
        <f>HYPERLINK("http://www.rosaceae.org/Prunus/Prunus_persica/p.persica_gdr_reftransV1_0013136","p.persica_gdr_reftransV1_0013136")</f>
        <v>p.persica_gdr_reftransV1_0013136</v>
      </c>
      <c r="B10326" s="3">
        <v>2201</v>
      </c>
      <c r="C10326" s="1" t="str">
        <f>HYPERLINK("http://www.uniprot.org/uniprot/SETD6_CHICK","SETD6_CHICK")</f>
        <v>SETD6_CHICK</v>
      </c>
      <c r="D10326" t="s">
        <v>7532</v>
      </c>
      <c r="E10326" s="3" t="s">
        <v>1278</v>
      </c>
      <c r="F10326" s="4">
        <v>2.26E-14</v>
      </c>
      <c r="G10326" s="3">
        <v>195</v>
      </c>
      <c r="H10326" s="3">
        <v>25</v>
      </c>
      <c r="I10326" s="3">
        <v>270</v>
      </c>
      <c r="J10326" s="3">
        <v>517</v>
      </c>
      <c r="K10326" s="3">
        <v>1272</v>
      </c>
      <c r="L10326" s="3">
        <v>12</v>
      </c>
      <c r="M10326" s="3">
        <v>273</v>
      </c>
    </row>
    <row r="10327" spans="1:13" x14ac:dyDescent="0.25">
      <c r="A10327" s="1" t="str">
        <f>HYPERLINK("http://www.rosaceae.org/Prunus/Prunus_persica/p.persica_gdr_reftransV1_0013186","p.persica_gdr_reftransV1_0013186")</f>
        <v>p.persica_gdr_reftransV1_0013186</v>
      </c>
      <c r="B10327" s="3">
        <v>2505</v>
      </c>
      <c r="C10327" s="1" t="str">
        <f>HYPERLINK("http://www.uniprot.org/uniprot/TBA1_HORVU","TBA1_HORVU")</f>
        <v>TBA1_HORVU</v>
      </c>
      <c r="D10327" t="s">
        <v>7533</v>
      </c>
      <c r="E10327" s="3" t="s">
        <v>769</v>
      </c>
      <c r="F10327" s="4">
        <v>2.9299999999999998E-168</v>
      </c>
      <c r="G10327" s="3">
        <v>1292</v>
      </c>
      <c r="H10327" s="3">
        <v>98</v>
      </c>
      <c r="I10327" s="3">
        <v>257</v>
      </c>
      <c r="J10327" s="3">
        <v>1445</v>
      </c>
      <c r="K10327" s="3">
        <v>2215</v>
      </c>
      <c r="L10327" s="3">
        <v>176</v>
      </c>
      <c r="M10327" s="3">
        <v>432</v>
      </c>
    </row>
    <row r="10328" spans="1:13" x14ac:dyDescent="0.25">
      <c r="A10328" s="1" t="str">
        <f>HYPERLINK("http://www.rosaceae.org/Prunus/Prunus_persica/p.persica_gdr_reftransV1_0013336","p.persica_gdr_reftransV1_0013336")</f>
        <v>p.persica_gdr_reftransV1_0013336</v>
      </c>
      <c r="B10328" s="3">
        <v>2498</v>
      </c>
      <c r="C10328" s="1" t="str">
        <f>HYPERLINK("http://www.uniprot.org/uniprot/TIC21_ARATH","TIC21_ARATH")</f>
        <v>TIC21_ARATH</v>
      </c>
      <c r="D10328" t="s">
        <v>7534</v>
      </c>
      <c r="E10328" s="3" t="s">
        <v>3</v>
      </c>
      <c r="F10328" s="4">
        <v>3.79E-103</v>
      </c>
      <c r="G10328" s="3">
        <v>838</v>
      </c>
      <c r="H10328" s="3">
        <v>72</v>
      </c>
      <c r="I10328" s="3">
        <v>226</v>
      </c>
      <c r="J10328" s="3">
        <v>1568</v>
      </c>
      <c r="K10328" s="3">
        <v>2242</v>
      </c>
      <c r="L10328" s="3">
        <v>71</v>
      </c>
      <c r="M10328" s="3">
        <v>296</v>
      </c>
    </row>
    <row r="10329" spans="1:13" x14ac:dyDescent="0.25">
      <c r="A10329" s="1" t="str">
        <f>HYPERLINK("http://www.rosaceae.org/Prunus/Prunus_persica/p.persica_gdr_reftransV1_0013486","p.persica_gdr_reftransV1_0013486")</f>
        <v>p.persica_gdr_reftransV1_0013486</v>
      </c>
      <c r="B10329" s="3">
        <v>2637</v>
      </c>
      <c r="C10329" s="1" t="str">
        <f>HYPERLINK("http://www.uniprot.org/uniprot/P2A12_ARATH","P2A12_ARATH")</f>
        <v>P2A12_ARATH</v>
      </c>
      <c r="D10329" t="s">
        <v>7535</v>
      </c>
      <c r="E10329" s="3" t="s">
        <v>3</v>
      </c>
      <c r="F10329" s="4">
        <v>1.46E-64</v>
      </c>
      <c r="G10329" s="3">
        <v>569</v>
      </c>
      <c r="H10329" s="3">
        <v>74</v>
      </c>
      <c r="I10329" s="3">
        <v>144</v>
      </c>
      <c r="J10329" s="3">
        <v>272</v>
      </c>
      <c r="K10329" s="3">
        <v>700</v>
      </c>
      <c r="L10329" s="3">
        <v>149</v>
      </c>
      <c r="M10329" s="3">
        <v>291</v>
      </c>
    </row>
    <row r="10330" spans="1:13" x14ac:dyDescent="0.25">
      <c r="A10330" s="1" t="str">
        <f>HYPERLINK("http://www.rosaceae.org/Prunus/Prunus_persica/p.persica_gdr_reftransV1_0013536","p.persica_gdr_reftransV1_0013536")</f>
        <v>p.persica_gdr_reftransV1_0013536</v>
      </c>
      <c r="B10330" s="3">
        <v>1542</v>
      </c>
      <c r="C10330" s="1" t="str">
        <f>HYPERLINK("http://www.uniprot.org/uniprot/GDC_BOVIN","GDC_BOVIN")</f>
        <v>GDC_BOVIN</v>
      </c>
      <c r="D10330" t="s">
        <v>7536</v>
      </c>
      <c r="E10330" s="3" t="s">
        <v>184</v>
      </c>
      <c r="F10330" s="4">
        <v>1.9600000000000001E-48</v>
      </c>
      <c r="G10330" s="3">
        <v>445</v>
      </c>
      <c r="H10330" s="3">
        <v>34</v>
      </c>
      <c r="I10330" s="3">
        <v>316</v>
      </c>
      <c r="J10330" s="3">
        <v>448</v>
      </c>
      <c r="K10330" s="3">
        <v>1347</v>
      </c>
      <c r="L10330" s="3">
        <v>54</v>
      </c>
      <c r="M10330" s="3">
        <v>329</v>
      </c>
    </row>
    <row r="10331" spans="1:13" x14ac:dyDescent="0.25">
      <c r="A10331" s="1" t="str">
        <f>HYPERLINK("http://www.rosaceae.org/Prunus/Prunus_persica/p.persica_gdr_reftransV1_0013586","p.persica_gdr_reftransV1_0013586")</f>
        <v>p.persica_gdr_reftransV1_0013586</v>
      </c>
      <c r="B10331" s="3">
        <v>1244</v>
      </c>
      <c r="C10331" s="1" t="str">
        <f>HYPERLINK("http://www.uniprot.org/uniprot/Y1491_ARATH","Y1491_ARATH")</f>
        <v>Y1491_ARATH</v>
      </c>
      <c r="D10331" t="s">
        <v>310</v>
      </c>
      <c r="E10331" s="3" t="s">
        <v>3</v>
      </c>
      <c r="F10331" s="4">
        <v>3.2400000000000002E-19</v>
      </c>
      <c r="G10331" s="3">
        <v>230</v>
      </c>
      <c r="H10331" s="3">
        <v>56</v>
      </c>
      <c r="I10331" s="3">
        <v>78</v>
      </c>
      <c r="J10331" s="3">
        <v>1011</v>
      </c>
      <c r="K10331" s="3">
        <v>1241</v>
      </c>
      <c r="L10331" s="3">
        <v>83</v>
      </c>
      <c r="M10331" s="3">
        <v>158</v>
      </c>
    </row>
    <row r="10332" spans="1:13" x14ac:dyDescent="0.25">
      <c r="A10332" s="1" t="str">
        <f>HYPERLINK("http://www.rosaceae.org/Prunus/Prunus_persica/p.persica_gdr_reftransV1_0013986","p.persica_gdr_reftransV1_0013986")</f>
        <v>p.persica_gdr_reftransV1_0013986</v>
      </c>
      <c r="B10332" s="3">
        <v>2092</v>
      </c>
      <c r="C10332" s="1" t="str">
        <f>HYPERLINK("http://www.uniprot.org/uniprot/AAP3_ARATH","AAP3_ARATH")</f>
        <v>AAP3_ARATH</v>
      </c>
      <c r="D10332" t="s">
        <v>1759</v>
      </c>
      <c r="E10332" s="3" t="s">
        <v>3</v>
      </c>
      <c r="F10332" s="4">
        <v>0</v>
      </c>
      <c r="G10332" s="3">
        <v>1993</v>
      </c>
      <c r="H10332" s="3">
        <v>78</v>
      </c>
      <c r="I10332" s="3">
        <v>476</v>
      </c>
      <c r="J10332" s="3">
        <v>371</v>
      </c>
      <c r="K10332" s="3">
        <v>1798</v>
      </c>
      <c r="L10332" s="3">
        <v>2</v>
      </c>
      <c r="M10332" s="3">
        <v>476</v>
      </c>
    </row>
    <row r="10333" spans="1:13" x14ac:dyDescent="0.25">
      <c r="A10333" s="1" t="str">
        <f>HYPERLINK("http://www.rosaceae.org/Prunus/Prunus_persica/p.persica_gdr_reftransV1_0014336","p.persica_gdr_reftransV1_0014336")</f>
        <v>p.persica_gdr_reftransV1_0014336</v>
      </c>
      <c r="B10333" s="3">
        <v>2197</v>
      </c>
      <c r="C10333" s="1" t="str">
        <f>HYPERLINK("http://www.uniprot.org/uniprot/MDC1_PANTR","MDC1_PANTR")</f>
        <v>MDC1_PANTR</v>
      </c>
      <c r="D10333" t="s">
        <v>7537</v>
      </c>
      <c r="E10333" s="3" t="s">
        <v>986</v>
      </c>
      <c r="F10333" s="4">
        <v>4.6200000000000003E-19</v>
      </c>
      <c r="G10333" s="3">
        <v>239</v>
      </c>
      <c r="H10333" s="3">
        <v>24</v>
      </c>
      <c r="I10333" s="3">
        <v>222</v>
      </c>
      <c r="J10333" s="3">
        <v>330</v>
      </c>
      <c r="K10333" s="3">
        <v>995</v>
      </c>
      <c r="L10333" s="3">
        <v>1946</v>
      </c>
      <c r="M10333" s="3">
        <v>2160</v>
      </c>
    </row>
    <row r="10334" spans="1:13" x14ac:dyDescent="0.25">
      <c r="A10334" s="1" t="str">
        <f>HYPERLINK("http://www.rosaceae.org/Prunus/Prunus_persica/p.persica_gdr_reftransV1_0014636","p.persica_gdr_reftransV1_0014636")</f>
        <v>p.persica_gdr_reftransV1_0014636</v>
      </c>
      <c r="B10334" s="3">
        <v>1600</v>
      </c>
      <c r="C10334" s="1" t="str">
        <f>HYPERLINK("http://www.uniprot.org/uniprot/Y4873_MYCA1","Y4873_MYCA1")</f>
        <v>Y4873_MYCA1</v>
      </c>
      <c r="D10334" t="s">
        <v>7538</v>
      </c>
      <c r="E10334" s="3" t="s">
        <v>7539</v>
      </c>
      <c r="F10334" s="4">
        <v>4.1800000000000001E-15</v>
      </c>
      <c r="G10334" s="3">
        <v>195</v>
      </c>
      <c r="H10334" s="3">
        <v>32</v>
      </c>
      <c r="I10334" s="3">
        <v>164</v>
      </c>
      <c r="J10334" s="3">
        <v>383</v>
      </c>
      <c r="K10334" s="3">
        <v>820</v>
      </c>
      <c r="L10334" s="3">
        <v>17</v>
      </c>
      <c r="M10334" s="3">
        <v>177</v>
      </c>
    </row>
    <row r="10335" spans="1:13" x14ac:dyDescent="0.25">
      <c r="A10335" s="1" t="str">
        <f>HYPERLINK("http://www.rosaceae.org/Prunus/Prunus_persica/p.persica_gdr_reftransV1_0014686","p.persica_gdr_reftransV1_0014686")</f>
        <v>p.persica_gdr_reftransV1_0014686</v>
      </c>
      <c r="B10335" s="3">
        <v>1612</v>
      </c>
      <c r="C10335" s="1" t="str">
        <f>HYPERLINK("http://www.uniprot.org/uniprot/PPH_ARATH","PPH_ARATH")</f>
        <v>PPH_ARATH</v>
      </c>
      <c r="D10335" t="s">
        <v>4504</v>
      </c>
      <c r="E10335" s="3" t="s">
        <v>3</v>
      </c>
      <c r="F10335" s="4">
        <v>1.6999999999999999E-11</v>
      </c>
      <c r="G10335" s="3">
        <v>170</v>
      </c>
      <c r="H10335" s="3">
        <v>23</v>
      </c>
      <c r="I10335" s="3">
        <v>304</v>
      </c>
      <c r="J10335" s="3">
        <v>137</v>
      </c>
      <c r="K10335" s="3">
        <v>943</v>
      </c>
      <c r="L10335" s="3">
        <v>130</v>
      </c>
      <c r="M10335" s="3">
        <v>416</v>
      </c>
    </row>
    <row r="10336" spans="1:13" x14ac:dyDescent="0.25">
      <c r="A10336" s="1" t="str">
        <f>HYPERLINK("http://www.rosaceae.org/Prunus/Prunus_persica/p.persica_gdr_reftransV1_0014986","p.persica_gdr_reftransV1_0014986")</f>
        <v>p.persica_gdr_reftransV1_0014986</v>
      </c>
      <c r="B10336" s="3">
        <v>3454</v>
      </c>
      <c r="C10336" s="1" t="str">
        <f>HYPERLINK("http://www.uniprot.org/uniprot/ITIH4_MOUSE","ITIH4_MOUSE")</f>
        <v>ITIH4_MOUSE</v>
      </c>
      <c r="D10336" t="s">
        <v>4672</v>
      </c>
      <c r="E10336" s="3" t="s">
        <v>157</v>
      </c>
      <c r="F10336" s="4">
        <v>1.59E-14</v>
      </c>
      <c r="G10336" s="3">
        <v>202</v>
      </c>
      <c r="H10336" s="3">
        <v>26</v>
      </c>
      <c r="I10336" s="3">
        <v>290</v>
      </c>
      <c r="J10336" s="3">
        <v>1423</v>
      </c>
      <c r="K10336" s="3">
        <v>2268</v>
      </c>
      <c r="L10336" s="3">
        <v>234</v>
      </c>
      <c r="M10336" s="3">
        <v>508</v>
      </c>
    </row>
    <row r="10337" spans="1:13" x14ac:dyDescent="0.25">
      <c r="A10337" s="1" t="str">
        <f>HYPERLINK("http://www.rosaceae.org/Prunus/Prunus_persica/p.persica_gdr_reftransV1_0015136","p.persica_gdr_reftransV1_0015136")</f>
        <v>p.persica_gdr_reftransV1_0015136</v>
      </c>
      <c r="B10337" s="3">
        <v>1356</v>
      </c>
      <c r="C10337" s="1" t="str">
        <f>HYPERLINK("http://www.uniprot.org/uniprot/SEUSS_ARATH","SEUSS_ARATH")</f>
        <v>SEUSS_ARATH</v>
      </c>
      <c r="D10337" t="s">
        <v>389</v>
      </c>
      <c r="E10337" s="3" t="s">
        <v>3</v>
      </c>
      <c r="F10337" s="4">
        <v>1.2400000000000001E-21</v>
      </c>
      <c r="G10337" s="3">
        <v>252</v>
      </c>
      <c r="H10337" s="3">
        <v>46</v>
      </c>
      <c r="I10337" s="3">
        <v>241</v>
      </c>
      <c r="J10337" s="3">
        <v>644</v>
      </c>
      <c r="K10337" s="3">
        <v>1348</v>
      </c>
      <c r="L10337" s="3">
        <v>1</v>
      </c>
      <c r="M10337" s="3">
        <v>212</v>
      </c>
    </row>
    <row r="10338" spans="1:13" x14ac:dyDescent="0.25">
      <c r="A10338" s="1" t="str">
        <f>HYPERLINK("http://www.rosaceae.org/Prunus/Prunus_persica/p.persica_gdr_reftransV1_0015686","p.persica_gdr_reftransV1_0015686")</f>
        <v>p.persica_gdr_reftransV1_0015686</v>
      </c>
      <c r="B10338" s="3">
        <v>1827</v>
      </c>
      <c r="C10338" s="1" t="str">
        <f>HYPERLINK("http://www.uniprot.org/uniprot/YIPF1_DICDI","YIPF1_DICDI")</f>
        <v>YIPF1_DICDI</v>
      </c>
      <c r="D10338" t="s">
        <v>5256</v>
      </c>
      <c r="E10338" s="3" t="s">
        <v>9</v>
      </c>
      <c r="F10338" s="4">
        <v>1.2799999999999999E-19</v>
      </c>
      <c r="G10338" s="3">
        <v>233</v>
      </c>
      <c r="H10338" s="3">
        <v>37</v>
      </c>
      <c r="I10338" s="3">
        <v>134</v>
      </c>
      <c r="J10338" s="3">
        <v>1017</v>
      </c>
      <c r="K10338" s="3">
        <v>1418</v>
      </c>
      <c r="L10338" s="3">
        <v>126</v>
      </c>
      <c r="M10338" s="3">
        <v>256</v>
      </c>
    </row>
    <row r="10339" spans="1:13" x14ac:dyDescent="0.25">
      <c r="A10339" s="1" t="str">
        <f>HYPERLINK("http://www.rosaceae.org/Prunus/Prunus_persica/p.persica_gdr_reftransV1_0015736","p.persica_gdr_reftransV1_0015736")</f>
        <v>p.persica_gdr_reftransV1_0015736</v>
      </c>
      <c r="B10339" s="3">
        <v>1425</v>
      </c>
      <c r="C10339" s="1" t="str">
        <f>HYPERLINK("http://www.uniprot.org/uniprot/RN181_MOUSE","RN181_MOUSE")</f>
        <v>RN181_MOUSE</v>
      </c>
      <c r="D10339" t="s">
        <v>7540</v>
      </c>
      <c r="E10339" s="3" t="s">
        <v>157</v>
      </c>
      <c r="F10339" s="4">
        <v>1.9399999999999999E-11</v>
      </c>
      <c r="G10339" s="3">
        <v>161</v>
      </c>
      <c r="H10339" s="3">
        <v>40</v>
      </c>
      <c r="I10339" s="3">
        <v>78</v>
      </c>
      <c r="J10339" s="3">
        <v>169</v>
      </c>
      <c r="K10339" s="3">
        <v>402</v>
      </c>
      <c r="L10339" s="3">
        <v>63</v>
      </c>
      <c r="M10339" s="3">
        <v>135</v>
      </c>
    </row>
    <row r="10340" spans="1:13" x14ac:dyDescent="0.25">
      <c r="A10340" s="1" t="str">
        <f>HYPERLINK("http://www.rosaceae.org/Prunus/Prunus_persica/p.persica_gdr_reftransV1_0016136","p.persica_gdr_reftransV1_0016136")</f>
        <v>p.persica_gdr_reftransV1_0016136</v>
      </c>
      <c r="B10340" s="3">
        <v>2656</v>
      </c>
      <c r="C10340" s="1" t="str">
        <f>HYPERLINK("http://www.uniprot.org/uniprot/TRC_DROME","TRC_DROME")</f>
        <v>TRC_DROME</v>
      </c>
      <c r="D10340" t="s">
        <v>7541</v>
      </c>
      <c r="E10340" s="3" t="s">
        <v>5</v>
      </c>
      <c r="F10340" s="4">
        <v>1.15E-141</v>
      </c>
      <c r="G10340" s="3">
        <v>1119</v>
      </c>
      <c r="H10340" s="3">
        <v>50</v>
      </c>
      <c r="I10340" s="3">
        <v>448</v>
      </c>
      <c r="J10340" s="3">
        <v>580</v>
      </c>
      <c r="K10340" s="3">
        <v>1914</v>
      </c>
      <c r="L10340" s="3">
        <v>20</v>
      </c>
      <c r="M10340" s="3">
        <v>459</v>
      </c>
    </row>
    <row r="10341" spans="1:13" x14ac:dyDescent="0.25">
      <c r="A10341" s="1" t="str">
        <f>HYPERLINK("http://www.rosaceae.org/Prunus/Prunus_persica/p.persica_gdr_reftransV1_0016286","p.persica_gdr_reftransV1_0016286")</f>
        <v>p.persica_gdr_reftransV1_0016286</v>
      </c>
      <c r="B10341" s="3">
        <v>2509</v>
      </c>
      <c r="C10341" s="1" t="str">
        <f>HYPERLINK("http://www.uniprot.org/uniprot/GH31_ARATH","GH31_ARATH")</f>
        <v>GH31_ARATH</v>
      </c>
      <c r="D10341" t="s">
        <v>2806</v>
      </c>
      <c r="E10341" s="3" t="s">
        <v>3</v>
      </c>
      <c r="F10341" s="4">
        <v>0</v>
      </c>
      <c r="G10341" s="3">
        <v>2494</v>
      </c>
      <c r="H10341" s="3">
        <v>80</v>
      </c>
      <c r="I10341" s="3">
        <v>584</v>
      </c>
      <c r="J10341" s="3">
        <v>621</v>
      </c>
      <c r="K10341" s="3">
        <v>2369</v>
      </c>
      <c r="L10341" s="3">
        <v>17</v>
      </c>
      <c r="M10341" s="3">
        <v>589</v>
      </c>
    </row>
    <row r="10342" spans="1:13" x14ac:dyDescent="0.25">
      <c r="A10342" s="1" t="str">
        <f>HYPERLINK("http://www.rosaceae.org/Prunus/Prunus_persica/p.persica_gdr_reftransV1_0016336","p.persica_gdr_reftransV1_0016336")</f>
        <v>p.persica_gdr_reftransV1_0016336</v>
      </c>
      <c r="B10342" s="3">
        <v>1222</v>
      </c>
      <c r="C10342" s="1" t="str">
        <f>HYPERLINK("http://www.uniprot.org/uniprot/C74A2_PARAR","C74A2_PARAR")</f>
        <v>C74A2_PARAR</v>
      </c>
      <c r="D10342" t="s">
        <v>7542</v>
      </c>
      <c r="E10342" s="3" t="s">
        <v>3361</v>
      </c>
      <c r="F10342" s="4">
        <v>2.17E-133</v>
      </c>
      <c r="G10342" s="3">
        <v>1022</v>
      </c>
      <c r="H10342" s="3">
        <v>52</v>
      </c>
      <c r="I10342" s="3">
        <v>374</v>
      </c>
      <c r="J10342" s="3">
        <v>99</v>
      </c>
      <c r="K10342" s="3">
        <v>1217</v>
      </c>
      <c r="L10342" s="3">
        <v>104</v>
      </c>
      <c r="M10342" s="3">
        <v>472</v>
      </c>
    </row>
    <row r="10343" spans="1:13" x14ac:dyDescent="0.25">
      <c r="A10343" s="1" t="str">
        <f>HYPERLINK("http://www.rosaceae.org/Prunus/Prunus_persica/p.persica_gdr_reftransV1_0016436","p.persica_gdr_reftransV1_0016436")</f>
        <v>p.persica_gdr_reftransV1_0016436</v>
      </c>
      <c r="B10343" s="3">
        <v>625</v>
      </c>
      <c r="C10343" s="1" t="str">
        <f>HYPERLINK("http://www.uniprot.org/uniprot/GLT2_ARATH","GLT2_ARATH")</f>
        <v>GLT2_ARATH</v>
      </c>
      <c r="D10343" t="s">
        <v>7543</v>
      </c>
      <c r="E10343" s="3" t="s">
        <v>3</v>
      </c>
      <c r="F10343" s="4">
        <v>1.8199999999999999E-84</v>
      </c>
      <c r="G10343" s="3">
        <v>654</v>
      </c>
      <c r="H10343" s="3">
        <v>64</v>
      </c>
      <c r="I10343" s="3">
        <v>194</v>
      </c>
      <c r="J10343" s="3">
        <v>27</v>
      </c>
      <c r="K10343" s="3">
        <v>608</v>
      </c>
      <c r="L10343" s="3">
        <v>28</v>
      </c>
      <c r="M10343" s="3">
        <v>219</v>
      </c>
    </row>
    <row r="10344" spans="1:13" x14ac:dyDescent="0.25">
      <c r="A10344" s="1" t="str">
        <f>HYPERLINK("http://www.rosaceae.org/Prunus/Prunus_persica/p.persica_gdr_reftransV1_0016486","p.persica_gdr_reftransV1_0016486")</f>
        <v>p.persica_gdr_reftransV1_0016486</v>
      </c>
      <c r="B10344" s="3">
        <v>792</v>
      </c>
      <c r="C10344" s="1" t="str">
        <f>HYPERLINK("http://www.uniprot.org/uniprot/PP285_ARATH","PP285_ARATH")</f>
        <v>PP285_ARATH</v>
      </c>
      <c r="D10344" t="s">
        <v>6714</v>
      </c>
      <c r="E10344" s="3" t="s">
        <v>3</v>
      </c>
      <c r="F10344" s="4">
        <v>1.34E-83</v>
      </c>
      <c r="G10344" s="3">
        <v>700</v>
      </c>
      <c r="H10344" s="3">
        <v>83</v>
      </c>
      <c r="I10344" s="3">
        <v>149</v>
      </c>
      <c r="J10344" s="3">
        <v>4</v>
      </c>
      <c r="K10344" s="3">
        <v>450</v>
      </c>
      <c r="L10344" s="3">
        <v>742</v>
      </c>
      <c r="M10344" s="3">
        <v>890</v>
      </c>
    </row>
    <row r="10345" spans="1:13" x14ac:dyDescent="0.25">
      <c r="A10345" s="1" t="str">
        <f>HYPERLINK("http://www.rosaceae.org/Prunus/Prunus_persica/p.persica_gdr_reftransV1_0016586","p.persica_gdr_reftransV1_0016586")</f>
        <v>p.persica_gdr_reftransV1_0016586</v>
      </c>
      <c r="B10345" s="3">
        <v>1088</v>
      </c>
      <c r="C10345" s="1" t="str">
        <f>HYPERLINK("http://www.uniprot.org/uniprot/ATX2_ARATH","ATX2_ARATH")</f>
        <v>ATX2_ARATH</v>
      </c>
      <c r="D10345" t="s">
        <v>6041</v>
      </c>
      <c r="E10345" s="3" t="s">
        <v>3</v>
      </c>
      <c r="F10345" s="4">
        <v>4E-35</v>
      </c>
      <c r="G10345" s="3">
        <v>357</v>
      </c>
      <c r="H10345" s="3">
        <v>73</v>
      </c>
      <c r="I10345" s="3">
        <v>93</v>
      </c>
      <c r="J10345" s="3">
        <v>391</v>
      </c>
      <c r="K10345" s="3">
        <v>669</v>
      </c>
      <c r="L10345" s="3">
        <v>990</v>
      </c>
      <c r="M10345" s="3">
        <v>1081</v>
      </c>
    </row>
    <row r="10346" spans="1:13" x14ac:dyDescent="0.25">
      <c r="A10346" s="1" t="str">
        <f>HYPERLINK("http://www.rosaceae.org/Prunus/Prunus_persica/p.persica_gdr_reftransV1_0016686","p.persica_gdr_reftransV1_0016686")</f>
        <v>p.persica_gdr_reftransV1_0016686</v>
      </c>
      <c r="B10346" s="3">
        <v>2071</v>
      </c>
      <c r="C10346" s="1" t="str">
        <f>HYPERLINK("http://www.uniprot.org/uniprot/THCAS_CANSA","THCAS_CANSA")</f>
        <v>THCAS_CANSA</v>
      </c>
      <c r="D10346" t="s">
        <v>3290</v>
      </c>
      <c r="E10346" s="3" t="s">
        <v>3291</v>
      </c>
      <c r="F10346" s="4">
        <v>7.8300000000000008E-121</v>
      </c>
      <c r="G10346" s="3">
        <v>665</v>
      </c>
      <c r="H10346" s="3">
        <v>46</v>
      </c>
      <c r="I10346" s="3">
        <v>312</v>
      </c>
      <c r="J10346" s="3">
        <v>248</v>
      </c>
      <c r="K10346" s="3">
        <v>1171</v>
      </c>
      <c r="L10346" s="3">
        <v>31</v>
      </c>
      <c r="M10346" s="3">
        <v>339</v>
      </c>
    </row>
    <row r="10347" spans="1:13" x14ac:dyDescent="0.25">
      <c r="A10347" s="1" t="str">
        <f>HYPERLINK("http://www.rosaceae.org/Prunus/Prunus_persica/p.persica_gdr_reftransV1_0016736","p.persica_gdr_reftransV1_0016736")</f>
        <v>p.persica_gdr_reftransV1_0016736</v>
      </c>
      <c r="B10347" s="3">
        <v>840</v>
      </c>
      <c r="C10347" s="1" t="str">
        <f>HYPERLINK("http://www.uniprot.org/uniprot/WRI1_ARATH","WRI1_ARATH")</f>
        <v>WRI1_ARATH</v>
      </c>
      <c r="D10347" t="s">
        <v>5703</v>
      </c>
      <c r="E10347" s="3" t="s">
        <v>3</v>
      </c>
      <c r="F10347" s="4">
        <v>3.0900000000000001E-69</v>
      </c>
      <c r="G10347" s="3">
        <v>577</v>
      </c>
      <c r="H10347" s="3">
        <v>92</v>
      </c>
      <c r="I10347" s="3">
        <v>128</v>
      </c>
      <c r="J10347" s="3">
        <v>2</v>
      </c>
      <c r="K10347" s="3">
        <v>385</v>
      </c>
      <c r="L10347" s="3">
        <v>61</v>
      </c>
      <c r="M10347" s="3">
        <v>188</v>
      </c>
    </row>
    <row r="10348" spans="1:13" x14ac:dyDescent="0.25">
      <c r="A10348" s="1" t="str">
        <f>HYPERLINK("http://www.rosaceae.org/Prunus/Prunus_persica/p.persica_gdr_reftransV1_0016786","p.persica_gdr_reftransV1_0016786")</f>
        <v>p.persica_gdr_reftransV1_0016786</v>
      </c>
      <c r="B10348" s="3">
        <v>724</v>
      </c>
      <c r="C10348" s="1" t="str">
        <f>HYPERLINK("http://www.uniprot.org/uniprot/MD33A_ARATH","MD33A_ARATH")</f>
        <v>MD33A_ARATH</v>
      </c>
      <c r="D10348" t="s">
        <v>4179</v>
      </c>
      <c r="E10348" s="3" t="s">
        <v>3</v>
      </c>
      <c r="F10348" s="4">
        <v>1.29E-55</v>
      </c>
      <c r="G10348" s="3">
        <v>501</v>
      </c>
      <c r="H10348" s="3">
        <v>58</v>
      </c>
      <c r="I10348" s="3">
        <v>195</v>
      </c>
      <c r="J10348" s="3">
        <v>2</v>
      </c>
      <c r="K10348" s="3">
        <v>586</v>
      </c>
      <c r="L10348" s="3">
        <v>938</v>
      </c>
      <c r="M10348" s="3">
        <v>1132</v>
      </c>
    </row>
    <row r="10349" spans="1:13" x14ac:dyDescent="0.25">
      <c r="A10349" s="1" t="str">
        <f>HYPERLINK("http://www.rosaceae.org/Prunus/Prunus_persica/p.persica_gdr_reftransV1_0016986","p.persica_gdr_reftransV1_0016986")</f>
        <v>p.persica_gdr_reftransV1_0016986</v>
      </c>
      <c r="B10349" s="3">
        <v>3466</v>
      </c>
      <c r="C10349" s="1" t="str">
        <f>HYPERLINK("http://www.uniprot.org/uniprot/SYVM2_ARATH","SYVM2_ARATH")</f>
        <v>SYVM2_ARATH</v>
      </c>
      <c r="D10349" t="s">
        <v>7544</v>
      </c>
      <c r="E10349" s="3" t="s">
        <v>3</v>
      </c>
      <c r="F10349" s="4">
        <v>0</v>
      </c>
      <c r="G10349" s="3">
        <v>4164</v>
      </c>
      <c r="H10349" s="3">
        <v>83</v>
      </c>
      <c r="I10349" s="3">
        <v>917</v>
      </c>
      <c r="J10349" s="3">
        <v>214</v>
      </c>
      <c r="K10349" s="3">
        <v>2964</v>
      </c>
      <c r="L10349" s="3">
        <v>54</v>
      </c>
      <c r="M10349" s="3">
        <v>968</v>
      </c>
    </row>
    <row r="10350" spans="1:13" x14ac:dyDescent="0.25">
      <c r="A10350" s="1" t="str">
        <f>HYPERLINK("http://www.rosaceae.org/Prunus/Prunus_persica/p.persica_gdr_reftransV1_0017286","p.persica_gdr_reftransV1_0017286")</f>
        <v>p.persica_gdr_reftransV1_0017286</v>
      </c>
      <c r="B10350" s="3">
        <v>1459</v>
      </c>
      <c r="C10350" s="1" t="str">
        <f>HYPERLINK("http://www.uniprot.org/uniprot/Y1105_ARATH","Y1105_ARATH")</f>
        <v>Y1105_ARATH</v>
      </c>
      <c r="D10350" t="s">
        <v>2829</v>
      </c>
      <c r="E10350" s="3" t="s">
        <v>3</v>
      </c>
      <c r="F10350" s="4">
        <v>5.4199999999999997E-75</v>
      </c>
      <c r="G10350" s="3">
        <v>648</v>
      </c>
      <c r="H10350" s="3">
        <v>80</v>
      </c>
      <c r="I10350" s="3">
        <v>157</v>
      </c>
      <c r="J10350" s="3">
        <v>989</v>
      </c>
      <c r="K10350" s="3">
        <v>1459</v>
      </c>
      <c r="L10350" s="3">
        <v>471</v>
      </c>
      <c r="M10350" s="3">
        <v>625</v>
      </c>
    </row>
    <row r="10351" spans="1:13" x14ac:dyDescent="0.25">
      <c r="A10351" s="1" t="str">
        <f>HYPERLINK("http://www.rosaceae.org/Prunus/Prunus_persica/p.persica_gdr_reftransV1_0017336","p.persica_gdr_reftransV1_0017336")</f>
        <v>p.persica_gdr_reftransV1_0017336</v>
      </c>
      <c r="B10351" s="3">
        <v>1922</v>
      </c>
      <c r="C10351" s="1" t="str">
        <f>HYPERLINK("http://www.uniprot.org/uniprot/SINA5_ARATH","SINA5_ARATH")</f>
        <v>SINA5_ARATH</v>
      </c>
      <c r="D10351" t="s">
        <v>7545</v>
      </c>
      <c r="E10351" s="3" t="s">
        <v>3</v>
      </c>
      <c r="F10351" s="4">
        <v>1.8199999999999999E-160</v>
      </c>
      <c r="G10351" s="3">
        <v>1209</v>
      </c>
      <c r="H10351" s="3">
        <v>81</v>
      </c>
      <c r="I10351" s="3">
        <v>261</v>
      </c>
      <c r="J10351" s="3">
        <v>439</v>
      </c>
      <c r="K10351" s="3">
        <v>1221</v>
      </c>
      <c r="L10351" s="3">
        <v>34</v>
      </c>
      <c r="M10351" s="3">
        <v>294</v>
      </c>
    </row>
    <row r="10352" spans="1:13" x14ac:dyDescent="0.25">
      <c r="A10352" s="1" t="str">
        <f>HYPERLINK("http://www.rosaceae.org/Prunus/Prunus_persica/p.persica_gdr_reftransV1_0017536","p.persica_gdr_reftransV1_0017536")</f>
        <v>p.persica_gdr_reftransV1_0017536</v>
      </c>
      <c r="B10352" s="3">
        <v>2110</v>
      </c>
      <c r="C10352" s="1" t="str">
        <f>HYPERLINK("http://www.uniprot.org/uniprot/BRXL4_ARATH","BRXL4_ARATH")</f>
        <v>BRXL4_ARATH</v>
      </c>
      <c r="D10352" t="s">
        <v>3031</v>
      </c>
      <c r="E10352" s="3" t="s">
        <v>3</v>
      </c>
      <c r="F10352" s="4">
        <v>3.6900000000000003E-82</v>
      </c>
      <c r="G10352" s="3">
        <v>695</v>
      </c>
      <c r="H10352" s="3">
        <v>64</v>
      </c>
      <c r="I10352" s="3">
        <v>237</v>
      </c>
      <c r="J10352" s="3">
        <v>310</v>
      </c>
      <c r="K10352" s="3">
        <v>957</v>
      </c>
      <c r="L10352" s="3">
        <v>1</v>
      </c>
      <c r="M10352" s="3">
        <v>225</v>
      </c>
    </row>
    <row r="10353" spans="1:13" x14ac:dyDescent="0.25">
      <c r="A10353" s="1" t="str">
        <f>HYPERLINK("http://www.rosaceae.org/Prunus/Prunus_persica/p.persica_gdr_reftransV1_0017986","p.persica_gdr_reftransV1_0017986")</f>
        <v>p.persica_gdr_reftransV1_0017986</v>
      </c>
      <c r="B10353" s="3">
        <v>3548</v>
      </c>
      <c r="C10353" s="1" t="str">
        <f>HYPERLINK("http://www.uniprot.org/uniprot/CNRB_DICDI","CNRB_DICDI")</f>
        <v>CNRB_DICDI</v>
      </c>
      <c r="D10353" t="s">
        <v>7546</v>
      </c>
      <c r="E10353" s="3" t="s">
        <v>9</v>
      </c>
      <c r="F10353" s="4">
        <v>6.8999999999999998E-116</v>
      </c>
      <c r="G10353" s="3">
        <v>976</v>
      </c>
      <c r="H10353" s="3">
        <v>54</v>
      </c>
      <c r="I10353" s="3">
        <v>338</v>
      </c>
      <c r="J10353" s="3">
        <v>693</v>
      </c>
      <c r="K10353" s="3">
        <v>1679</v>
      </c>
      <c r="L10353" s="3">
        <v>237</v>
      </c>
      <c r="M10353" s="3">
        <v>572</v>
      </c>
    </row>
    <row r="10354" spans="1:13" x14ac:dyDescent="0.25">
      <c r="A10354" s="1" t="str">
        <f>HYPERLINK("http://www.rosaceae.org/Prunus/Prunus_persica/p.persica_gdr_reftransV1_0018186","p.persica_gdr_reftransV1_0018186")</f>
        <v>p.persica_gdr_reftransV1_0018186</v>
      </c>
      <c r="B10354" s="3">
        <v>1536</v>
      </c>
      <c r="C10354" s="1" t="str">
        <f>HYPERLINK("http://www.uniprot.org/uniprot/SPT_ARATH","SPT_ARATH")</f>
        <v>SPT_ARATH</v>
      </c>
      <c r="D10354" t="s">
        <v>55</v>
      </c>
      <c r="E10354" s="3" t="s">
        <v>3</v>
      </c>
      <c r="F10354" s="4">
        <v>3.5499999999999998E-33</v>
      </c>
      <c r="G10354" s="3">
        <v>335</v>
      </c>
      <c r="H10354" s="3">
        <v>49</v>
      </c>
      <c r="I10354" s="3">
        <v>160</v>
      </c>
      <c r="J10354" s="3">
        <v>741</v>
      </c>
      <c r="K10354" s="3">
        <v>1217</v>
      </c>
      <c r="L10354" s="3">
        <v>207</v>
      </c>
      <c r="M10354" s="3">
        <v>339</v>
      </c>
    </row>
    <row r="10355" spans="1:13" x14ac:dyDescent="0.25">
      <c r="A10355" s="1" t="str">
        <f>HYPERLINK("http://www.rosaceae.org/Prunus/Prunus_persica/p.persica_gdr_reftransV1_0018236","p.persica_gdr_reftransV1_0018236")</f>
        <v>p.persica_gdr_reftransV1_0018236</v>
      </c>
      <c r="B10355" s="3">
        <v>1110</v>
      </c>
      <c r="C10355" s="1" t="str">
        <f>HYPERLINK("http://www.uniprot.org/uniprot/YCF54_PORPU","YCF54_PORPU")</f>
        <v>YCF54_PORPU</v>
      </c>
      <c r="D10355" t="s">
        <v>7547</v>
      </c>
      <c r="E10355" s="3" t="s">
        <v>694</v>
      </c>
      <c r="F10355" s="4">
        <v>1.9799999999999999E-11</v>
      </c>
      <c r="G10355" s="3">
        <v>156</v>
      </c>
      <c r="H10355" s="3">
        <v>41</v>
      </c>
      <c r="I10355" s="3">
        <v>87</v>
      </c>
      <c r="J10355" s="3">
        <v>367</v>
      </c>
      <c r="K10355" s="3">
        <v>618</v>
      </c>
      <c r="L10355" s="3">
        <v>2</v>
      </c>
      <c r="M10355" s="3">
        <v>86</v>
      </c>
    </row>
    <row r="10356" spans="1:13" x14ac:dyDescent="0.25">
      <c r="A10356" s="1" t="str">
        <f>HYPERLINK("http://www.rosaceae.org/Prunus/Prunus_persica/p.persica_gdr_reftransV1_0018286","p.persica_gdr_reftransV1_0018286")</f>
        <v>p.persica_gdr_reftransV1_0018286</v>
      </c>
      <c r="B10356" s="3">
        <v>643</v>
      </c>
      <c r="C10356" s="1" t="str">
        <f>HYPERLINK("http://www.uniprot.org/uniprot/TBL39_ARATH","TBL39_ARATH")</f>
        <v>TBL39_ARATH</v>
      </c>
      <c r="D10356" t="s">
        <v>3033</v>
      </c>
      <c r="E10356" s="3" t="s">
        <v>3</v>
      </c>
      <c r="F10356" s="4">
        <v>7.2499999999999998E-57</v>
      </c>
      <c r="G10356" s="3">
        <v>482</v>
      </c>
      <c r="H10356" s="3">
        <v>70</v>
      </c>
      <c r="I10356" s="3">
        <v>118</v>
      </c>
      <c r="J10356" s="3">
        <v>2</v>
      </c>
      <c r="K10356" s="3">
        <v>355</v>
      </c>
      <c r="L10356" s="3">
        <v>248</v>
      </c>
      <c r="M10356" s="3">
        <v>365</v>
      </c>
    </row>
    <row r="10357" spans="1:13" x14ac:dyDescent="0.25">
      <c r="A10357" s="1" t="str">
        <f>HYPERLINK("http://www.rosaceae.org/Prunus/Prunus_persica/p.persica_gdr_reftransV1_0018386","p.persica_gdr_reftransV1_0018386")</f>
        <v>p.persica_gdr_reftransV1_0018386</v>
      </c>
      <c r="B10357" s="3">
        <v>2442</v>
      </c>
      <c r="C10357" s="1" t="str">
        <f>HYPERLINK("http://www.uniprot.org/uniprot/Y5158_ARATH","Y5158_ARATH")</f>
        <v>Y5158_ARATH</v>
      </c>
      <c r="D10357" t="s">
        <v>2423</v>
      </c>
      <c r="E10357" s="3" t="s">
        <v>3</v>
      </c>
      <c r="F10357" s="4">
        <v>2.5899999999999999E-39</v>
      </c>
      <c r="G10357" s="3">
        <v>395</v>
      </c>
      <c r="H10357" s="3">
        <v>55</v>
      </c>
      <c r="I10357" s="3">
        <v>130</v>
      </c>
      <c r="J10357" s="3">
        <v>281</v>
      </c>
      <c r="K10357" s="3">
        <v>670</v>
      </c>
      <c r="L10357" s="3">
        <v>308</v>
      </c>
      <c r="M10357" s="3">
        <v>436</v>
      </c>
    </row>
    <row r="10358" spans="1:13" x14ac:dyDescent="0.25">
      <c r="A10358" s="1" t="str">
        <f>HYPERLINK("http://www.rosaceae.org/Prunus/Prunus_persica/p.persica_gdr_reftransV1_0018486","p.persica_gdr_reftransV1_0018486")</f>
        <v>p.persica_gdr_reftransV1_0018486</v>
      </c>
      <c r="B10358" s="3">
        <v>1876</v>
      </c>
      <c r="C10358" s="1" t="str">
        <f>HYPERLINK("http://www.uniprot.org/uniprot/PMD2_ARATH","PMD2_ARATH")</f>
        <v>PMD2_ARATH</v>
      </c>
      <c r="D10358" t="s">
        <v>7548</v>
      </c>
      <c r="E10358" s="3" t="s">
        <v>3</v>
      </c>
      <c r="F10358" s="4">
        <v>4.3100000000000001E-29</v>
      </c>
      <c r="G10358" s="3">
        <v>306</v>
      </c>
      <c r="H10358" s="3">
        <v>47</v>
      </c>
      <c r="I10358" s="3">
        <v>268</v>
      </c>
      <c r="J10358" s="3">
        <v>462</v>
      </c>
      <c r="K10358" s="3">
        <v>1247</v>
      </c>
      <c r="L10358" s="3">
        <v>15</v>
      </c>
      <c r="M10358" s="3">
        <v>282</v>
      </c>
    </row>
    <row r="10359" spans="1:13" x14ac:dyDescent="0.25">
      <c r="A10359" s="1" t="str">
        <f>HYPERLINK("http://www.rosaceae.org/Prunus/Prunus_persica/p.persica_gdr_reftransV1_0018636","p.persica_gdr_reftransV1_0018636")</f>
        <v>p.persica_gdr_reftransV1_0018636</v>
      </c>
      <c r="B10359" s="3">
        <v>1894</v>
      </c>
      <c r="C10359" s="1" t="str">
        <f>HYPERLINK("http://www.uniprot.org/uniprot/YI01_SCHPO","YI01_SCHPO")</f>
        <v>YI01_SCHPO</v>
      </c>
      <c r="D10359" t="s">
        <v>1561</v>
      </c>
      <c r="E10359" s="3" t="s">
        <v>464</v>
      </c>
      <c r="F10359" s="4">
        <v>1.9099999999999999E-85</v>
      </c>
      <c r="G10359" s="3">
        <v>728</v>
      </c>
      <c r="H10359" s="3">
        <v>37</v>
      </c>
      <c r="I10359" s="3">
        <v>517</v>
      </c>
      <c r="J10359" s="3">
        <v>174</v>
      </c>
      <c r="K10359" s="3">
        <v>1634</v>
      </c>
      <c r="L10359" s="3">
        <v>62</v>
      </c>
      <c r="M10359" s="3">
        <v>575</v>
      </c>
    </row>
    <row r="10360" spans="1:13" x14ac:dyDescent="0.25">
      <c r="A10360" s="1" t="str">
        <f>HYPERLINK("http://www.rosaceae.org/Prunus/Prunus_persica/p.persica_gdr_reftransV1_0018986","p.persica_gdr_reftransV1_0018986")</f>
        <v>p.persica_gdr_reftransV1_0018986</v>
      </c>
      <c r="B10360" s="3">
        <v>926</v>
      </c>
      <c r="C10360" s="1" t="str">
        <f>HYPERLINK("http://www.uniprot.org/uniprot/Y5566_ARATH","Y5566_ARATH")</f>
        <v>Y5566_ARATH</v>
      </c>
      <c r="D10360" t="s">
        <v>7549</v>
      </c>
      <c r="E10360" s="3" t="s">
        <v>3</v>
      </c>
      <c r="F10360" s="4">
        <v>2.7799999999999998E-16</v>
      </c>
      <c r="G10360" s="3">
        <v>190</v>
      </c>
      <c r="H10360" s="3">
        <v>50</v>
      </c>
      <c r="I10360" s="3">
        <v>109</v>
      </c>
      <c r="J10360" s="3">
        <v>201</v>
      </c>
      <c r="K10360" s="3">
        <v>524</v>
      </c>
      <c r="L10360" s="3">
        <v>14</v>
      </c>
      <c r="M10360" s="3">
        <v>120</v>
      </c>
    </row>
    <row r="10361" spans="1:13" x14ac:dyDescent="0.25">
      <c r="A10361" s="1" t="str">
        <f>HYPERLINK("http://www.rosaceae.org/Prunus/Prunus_persica/p.persica_gdr_reftransV1_0019036","p.persica_gdr_reftransV1_0019036")</f>
        <v>p.persica_gdr_reftransV1_0019036</v>
      </c>
      <c r="B10361" s="3">
        <v>2301</v>
      </c>
      <c r="C10361" s="1" t="str">
        <f>HYPERLINK("http://www.uniprot.org/uniprot/IRKI_ARATH","IRKI_ARATH")</f>
        <v>IRKI_ARATH</v>
      </c>
      <c r="D10361" t="s">
        <v>6</v>
      </c>
      <c r="E10361" s="3" t="s">
        <v>3</v>
      </c>
      <c r="F10361" s="4">
        <v>2.35E-7</v>
      </c>
      <c r="G10361" s="3">
        <v>139</v>
      </c>
      <c r="H10361" s="3">
        <v>26</v>
      </c>
      <c r="I10361" s="3">
        <v>313</v>
      </c>
      <c r="J10361" s="3">
        <v>748</v>
      </c>
      <c r="K10361" s="3">
        <v>1647</v>
      </c>
      <c r="L10361" s="3">
        <v>268</v>
      </c>
      <c r="M10361" s="3">
        <v>554</v>
      </c>
    </row>
    <row r="10362" spans="1:13" x14ac:dyDescent="0.25">
      <c r="A10362" s="1" t="str">
        <f>HYPERLINK("http://www.rosaceae.org/Prunus/Prunus_persica/p.persica_gdr_reftransV1_0019236","p.persica_gdr_reftransV1_0019236")</f>
        <v>p.persica_gdr_reftransV1_0019236</v>
      </c>
      <c r="B10362" s="3">
        <v>738</v>
      </c>
      <c r="C10362" s="1" t="str">
        <f>HYPERLINK("http://www.uniprot.org/uniprot/TPPC4_DICDI","TPPC4_DICDI")</f>
        <v>TPPC4_DICDI</v>
      </c>
      <c r="D10362" t="s">
        <v>7550</v>
      </c>
      <c r="E10362" s="3" t="s">
        <v>9</v>
      </c>
      <c r="F10362" s="4">
        <v>2.13E-42</v>
      </c>
      <c r="G10362" s="3">
        <v>370</v>
      </c>
      <c r="H10362" s="3">
        <v>52</v>
      </c>
      <c r="I10362" s="3">
        <v>128</v>
      </c>
      <c r="J10362" s="3">
        <v>266</v>
      </c>
      <c r="K10362" s="3">
        <v>646</v>
      </c>
      <c r="L10362" s="3">
        <v>2</v>
      </c>
      <c r="M10362" s="3">
        <v>129</v>
      </c>
    </row>
    <row r="10363" spans="1:13" x14ac:dyDescent="0.25">
      <c r="A10363" s="1" t="str">
        <f>HYPERLINK("http://www.rosaceae.org/Prunus/Prunus_persica/p.persica_gdr_reftransV1_0019536","p.persica_gdr_reftransV1_0019536")</f>
        <v>p.persica_gdr_reftransV1_0019536</v>
      </c>
      <c r="B10363" s="3">
        <v>1719</v>
      </c>
      <c r="C10363" s="1" t="str">
        <f>HYPERLINK("http://www.uniprot.org/uniprot/ANM10_ARATH","ANM10_ARATH")</f>
        <v>ANM10_ARATH</v>
      </c>
      <c r="D10363" t="s">
        <v>7551</v>
      </c>
      <c r="E10363" s="3" t="s">
        <v>3</v>
      </c>
      <c r="F10363" s="4">
        <v>4.7500000000000003E-154</v>
      </c>
      <c r="G10363" s="3">
        <v>808</v>
      </c>
      <c r="H10363" s="3">
        <v>79</v>
      </c>
      <c r="I10363" s="3">
        <v>180</v>
      </c>
      <c r="J10363" s="3">
        <v>261</v>
      </c>
      <c r="K10363" s="3">
        <v>800</v>
      </c>
      <c r="L10363" s="3">
        <v>32</v>
      </c>
      <c r="M10363" s="3">
        <v>211</v>
      </c>
    </row>
    <row r="10364" spans="1:13" x14ac:dyDescent="0.25">
      <c r="A10364" s="1" t="str">
        <f>HYPERLINK("http://www.rosaceae.org/Prunus/Prunus_persica/p.persica_gdr_reftransV1_0019636","p.persica_gdr_reftransV1_0019636")</f>
        <v>p.persica_gdr_reftransV1_0019636</v>
      </c>
      <c r="B10364" s="3">
        <v>5751</v>
      </c>
      <c r="C10364" s="1" t="str">
        <f>HYPERLINK("http://www.uniprot.org/uniprot/HUA2_ARATH","HUA2_ARATH")</f>
        <v>HUA2_ARATH</v>
      </c>
      <c r="D10364" t="s">
        <v>7552</v>
      </c>
      <c r="E10364" s="3" t="s">
        <v>3</v>
      </c>
      <c r="F10364" s="4">
        <v>1.28E-159</v>
      </c>
      <c r="G10364" s="3">
        <v>1376</v>
      </c>
      <c r="H10364" s="3">
        <v>40</v>
      </c>
      <c r="I10364" s="3">
        <v>1144</v>
      </c>
      <c r="J10364" s="3">
        <v>603</v>
      </c>
      <c r="K10364" s="3">
        <v>3965</v>
      </c>
      <c r="L10364" s="3">
        <v>44</v>
      </c>
      <c r="M10364" s="3">
        <v>1053</v>
      </c>
    </row>
    <row r="10365" spans="1:13" x14ac:dyDescent="0.25">
      <c r="A10365" s="1" t="str">
        <f>HYPERLINK("http://www.rosaceae.org/Prunus/Prunus_persica/p.persica_gdr_reftransV1_0019936","p.persica_gdr_reftransV1_0019936")</f>
        <v>p.persica_gdr_reftransV1_0019936</v>
      </c>
      <c r="B10365" s="3">
        <v>2274</v>
      </c>
      <c r="C10365" s="1" t="str">
        <f>HYPERLINK("http://www.uniprot.org/uniprot/SIGC_ARATH","SIGC_ARATH")</f>
        <v>SIGC_ARATH</v>
      </c>
      <c r="D10365" t="s">
        <v>7553</v>
      </c>
      <c r="E10365" s="3" t="s">
        <v>3</v>
      </c>
      <c r="F10365" s="4">
        <v>7.2E-142</v>
      </c>
      <c r="G10365" s="3">
        <v>1121</v>
      </c>
      <c r="H10365" s="3">
        <v>49</v>
      </c>
      <c r="I10365" s="3">
        <v>521</v>
      </c>
      <c r="J10365" s="3">
        <v>470</v>
      </c>
      <c r="K10365" s="3">
        <v>2014</v>
      </c>
      <c r="L10365" s="3">
        <v>79</v>
      </c>
      <c r="M10365" s="3">
        <v>571</v>
      </c>
    </row>
    <row r="10366" spans="1:13" x14ac:dyDescent="0.25">
      <c r="A10366" s="1" t="str">
        <f>HYPERLINK("http://www.rosaceae.org/Prunus/Prunus_persica/p.persica_gdr_reftransV1_0020036","p.persica_gdr_reftransV1_0020036")</f>
        <v>p.persica_gdr_reftransV1_0020036</v>
      </c>
      <c r="B10366" s="3">
        <v>2726</v>
      </c>
      <c r="C10366" s="1" t="str">
        <f>HYPERLINK("http://www.uniprot.org/uniprot/DHX8_DICDI","DHX8_DICDI")</f>
        <v>DHX8_DICDI</v>
      </c>
      <c r="D10366" t="s">
        <v>7554</v>
      </c>
      <c r="E10366" s="3" t="s">
        <v>9</v>
      </c>
      <c r="F10366" s="4">
        <v>1.1000000000000001E-148</v>
      </c>
      <c r="G10366" s="3">
        <v>1101</v>
      </c>
      <c r="H10366" s="3">
        <v>52</v>
      </c>
      <c r="I10366" s="3">
        <v>422</v>
      </c>
      <c r="J10366" s="3">
        <v>1396</v>
      </c>
      <c r="K10366" s="3">
        <v>2658</v>
      </c>
      <c r="L10366" s="3">
        <v>508</v>
      </c>
      <c r="M10366" s="3">
        <v>924</v>
      </c>
    </row>
    <row r="10367" spans="1:13" x14ac:dyDescent="0.25">
      <c r="A10367" s="1" t="str">
        <f>HYPERLINK("http://www.rosaceae.org/Prunus/Prunus_persica/p.persica_gdr_reftransV1_0020186","p.persica_gdr_reftransV1_0020186")</f>
        <v>p.persica_gdr_reftransV1_0020186</v>
      </c>
      <c r="B10367" s="3">
        <v>4828</v>
      </c>
      <c r="C10367" s="1" t="str">
        <f>HYPERLINK("http://www.uniprot.org/uniprot/ORP1C_ARATH","ORP1C_ARATH")</f>
        <v>ORP1C_ARATH</v>
      </c>
      <c r="D10367" t="s">
        <v>1846</v>
      </c>
      <c r="E10367" s="3" t="s">
        <v>3</v>
      </c>
      <c r="F10367" s="4">
        <v>0</v>
      </c>
      <c r="G10367" s="3">
        <v>1825</v>
      </c>
      <c r="H10367" s="3">
        <v>83</v>
      </c>
      <c r="I10367" s="3">
        <v>454</v>
      </c>
      <c r="J10367" s="3">
        <v>532</v>
      </c>
      <c r="K10367" s="3">
        <v>1893</v>
      </c>
      <c r="L10367" s="3">
        <v>310</v>
      </c>
      <c r="M10367" s="3">
        <v>759</v>
      </c>
    </row>
    <row r="10368" spans="1:13" x14ac:dyDescent="0.25">
      <c r="A10368" s="1" t="str">
        <f>HYPERLINK("http://www.rosaceae.org/Prunus/Prunus_persica/p.persica_gdr_reftransV1_0020236","p.persica_gdr_reftransV1_0020236")</f>
        <v>p.persica_gdr_reftransV1_0020236</v>
      </c>
      <c r="B10368" s="3">
        <v>3225</v>
      </c>
      <c r="C10368" s="1" t="str">
        <f>HYPERLINK("http://www.uniprot.org/uniprot/WDHD1_XENLA","WDHD1_XENLA")</f>
        <v>WDHD1_XENLA</v>
      </c>
      <c r="D10368" t="s">
        <v>7555</v>
      </c>
      <c r="E10368" s="3" t="s">
        <v>475</v>
      </c>
      <c r="F10368" s="4">
        <v>1.51E-75</v>
      </c>
      <c r="G10368" s="3">
        <v>703</v>
      </c>
      <c r="H10368" s="3">
        <v>28</v>
      </c>
      <c r="I10368" s="3">
        <v>782</v>
      </c>
      <c r="J10368" s="3">
        <v>717</v>
      </c>
      <c r="K10368" s="3">
        <v>2981</v>
      </c>
      <c r="L10368" s="3">
        <v>54</v>
      </c>
      <c r="M10368" s="3">
        <v>810</v>
      </c>
    </row>
    <row r="10369" spans="1:13" x14ac:dyDescent="0.25">
      <c r="A10369" s="1" t="str">
        <f>HYPERLINK("http://www.rosaceae.org/Prunus/Prunus_persica/p.persica_gdr_reftransV1_0020286","p.persica_gdr_reftransV1_0020286")</f>
        <v>p.persica_gdr_reftransV1_0020286</v>
      </c>
      <c r="B10369" s="3">
        <v>3494</v>
      </c>
      <c r="C10369" s="1" t="str">
        <f>HYPERLINK("http://www.uniprot.org/uniprot/FANCM_MOUSE","FANCM_MOUSE")</f>
        <v>FANCM_MOUSE</v>
      </c>
      <c r="D10369" t="s">
        <v>7556</v>
      </c>
      <c r="E10369" s="3" t="s">
        <v>157</v>
      </c>
      <c r="F10369" s="4">
        <v>8.0700000000000004E-53</v>
      </c>
      <c r="G10369" s="3">
        <v>527</v>
      </c>
      <c r="H10369" s="3">
        <v>41</v>
      </c>
      <c r="I10369" s="3">
        <v>299</v>
      </c>
      <c r="J10369" s="3">
        <v>2570</v>
      </c>
      <c r="K10369" s="3">
        <v>3370</v>
      </c>
      <c r="L10369" s="3">
        <v>325</v>
      </c>
      <c r="M10369" s="3">
        <v>622</v>
      </c>
    </row>
    <row r="10370" spans="1:13" x14ac:dyDescent="0.25">
      <c r="A10370" s="1" t="str">
        <f>HYPERLINK("http://www.rosaceae.org/Prunus/Prunus_persica/p.persica_gdr_reftransV1_0020386","p.persica_gdr_reftransV1_0020386")</f>
        <v>p.persica_gdr_reftransV1_0020386</v>
      </c>
      <c r="B10370" s="3">
        <v>3956</v>
      </c>
      <c r="C10370" s="1" t="str">
        <f>HYPERLINK("http://www.uniprot.org/uniprot/DDB2_HUMAN","DDB2_HUMAN")</f>
        <v>DDB2_HUMAN</v>
      </c>
      <c r="D10370" t="s">
        <v>5081</v>
      </c>
      <c r="E10370" s="3" t="s">
        <v>28</v>
      </c>
      <c r="F10370" s="4">
        <v>2.1400000000000001E-9</v>
      </c>
      <c r="G10370" s="3">
        <v>157</v>
      </c>
      <c r="H10370" s="3">
        <v>24</v>
      </c>
      <c r="I10370" s="3">
        <v>252</v>
      </c>
      <c r="J10370" s="3">
        <v>1671</v>
      </c>
      <c r="K10370" s="3">
        <v>2393</v>
      </c>
      <c r="L10370" s="3">
        <v>71</v>
      </c>
      <c r="M10370" s="3">
        <v>313</v>
      </c>
    </row>
    <row r="10371" spans="1:13" x14ac:dyDescent="0.25">
      <c r="A10371" s="1" t="str">
        <f>HYPERLINK("http://www.rosaceae.org/Prunus/Prunus_persica/p.persica_gdr_reftransV1_0020536","p.persica_gdr_reftransV1_0020536")</f>
        <v>p.persica_gdr_reftransV1_0020536</v>
      </c>
      <c r="B10371" s="3">
        <v>2257</v>
      </c>
      <c r="C10371" s="1" t="str">
        <f>HYPERLINK("http://www.uniprot.org/uniprot/WOX13_ARATH","WOX13_ARATH")</f>
        <v>WOX13_ARATH</v>
      </c>
      <c r="D10371" t="s">
        <v>7557</v>
      </c>
      <c r="E10371" s="3" t="s">
        <v>3</v>
      </c>
      <c r="F10371" s="4">
        <v>5.94E-62</v>
      </c>
      <c r="G10371" s="3">
        <v>545</v>
      </c>
      <c r="H10371" s="3">
        <v>50</v>
      </c>
      <c r="I10371" s="3">
        <v>249</v>
      </c>
      <c r="J10371" s="3">
        <v>1253</v>
      </c>
      <c r="K10371" s="3">
        <v>1936</v>
      </c>
      <c r="L10371" s="3">
        <v>50</v>
      </c>
      <c r="M10371" s="3">
        <v>268</v>
      </c>
    </row>
    <row r="10372" spans="1:13" x14ac:dyDescent="0.25">
      <c r="A10372" s="1" t="str">
        <f>HYPERLINK("http://www.rosaceae.org/Prunus/Prunus_persica/p.persica_gdr_reftransV1_0020586","p.persica_gdr_reftransV1_0020586")</f>
        <v>p.persica_gdr_reftransV1_0020586</v>
      </c>
      <c r="B10372" s="3">
        <v>1623</v>
      </c>
      <c r="C10372" s="1" t="str">
        <f>HYPERLINK("http://www.uniprot.org/uniprot/Y4554_ARATH","Y4554_ARATH")</f>
        <v>Y4554_ARATH</v>
      </c>
      <c r="D10372" t="s">
        <v>7558</v>
      </c>
      <c r="E10372" s="3" t="s">
        <v>3</v>
      </c>
      <c r="F10372" s="4">
        <v>1.83E-66</v>
      </c>
      <c r="G10372" s="3">
        <v>572</v>
      </c>
      <c r="H10372" s="3">
        <v>66</v>
      </c>
      <c r="I10372" s="3">
        <v>172</v>
      </c>
      <c r="J10372" s="3">
        <v>203</v>
      </c>
      <c r="K10372" s="3">
        <v>712</v>
      </c>
      <c r="L10372" s="3">
        <v>166</v>
      </c>
      <c r="M10372" s="3">
        <v>337</v>
      </c>
    </row>
    <row r="10373" spans="1:13" x14ac:dyDescent="0.25">
      <c r="A10373" s="1" t="str">
        <f>HYPERLINK("http://www.rosaceae.org/Prunus/Prunus_persica/p.persica_gdr_reftransV1_0020636","p.persica_gdr_reftransV1_0020636")</f>
        <v>p.persica_gdr_reftransV1_0020636</v>
      </c>
      <c r="B10373" s="3">
        <v>3368</v>
      </c>
      <c r="C10373" s="1" t="str">
        <f>HYPERLINK("http://www.uniprot.org/uniprot/TPST_ARATH","TPST_ARATH")</f>
        <v>TPST_ARATH</v>
      </c>
      <c r="D10373" t="s">
        <v>7559</v>
      </c>
      <c r="E10373" s="3" t="s">
        <v>3</v>
      </c>
      <c r="F10373" s="4">
        <v>0</v>
      </c>
      <c r="G10373" s="3">
        <v>1429</v>
      </c>
      <c r="H10373" s="3">
        <v>64</v>
      </c>
      <c r="I10373" s="3">
        <v>417</v>
      </c>
      <c r="J10373" s="3">
        <v>1693</v>
      </c>
      <c r="K10373" s="3">
        <v>2937</v>
      </c>
      <c r="L10373" s="3">
        <v>27</v>
      </c>
      <c r="M10373" s="3">
        <v>435</v>
      </c>
    </row>
    <row r="10374" spans="1:13" x14ac:dyDescent="0.25">
      <c r="A10374" s="1" t="str">
        <f>HYPERLINK("http://www.rosaceae.org/Prunus/Prunus_persica/p.persica_gdr_reftransV1_0020736","p.persica_gdr_reftransV1_0020736")</f>
        <v>p.persica_gdr_reftransV1_0020736</v>
      </c>
      <c r="B10374" s="3">
        <v>1683</v>
      </c>
      <c r="C10374" s="1" t="str">
        <f>HYPERLINK("http://www.uniprot.org/uniprot/RER1A_ARATH","RER1A_ARATH")</f>
        <v>RER1A_ARATH</v>
      </c>
      <c r="D10374" t="s">
        <v>7560</v>
      </c>
      <c r="E10374" s="3" t="s">
        <v>3</v>
      </c>
      <c r="F10374" s="4">
        <v>8.0600000000000001E-75</v>
      </c>
      <c r="G10374" s="3">
        <v>618</v>
      </c>
      <c r="H10374" s="3">
        <v>75</v>
      </c>
      <c r="I10374" s="3">
        <v>169</v>
      </c>
      <c r="J10374" s="3">
        <v>742</v>
      </c>
      <c r="K10374" s="3">
        <v>1248</v>
      </c>
      <c r="L10374" s="3">
        <v>24</v>
      </c>
      <c r="M10374" s="3">
        <v>191</v>
      </c>
    </row>
    <row r="10375" spans="1:13" x14ac:dyDescent="0.25">
      <c r="A10375" s="1" t="str">
        <f>HYPERLINK("http://www.rosaceae.org/Prunus/Prunus_persica/p.persica_gdr_reftransV1_0020786","p.persica_gdr_reftransV1_0020786")</f>
        <v>p.persica_gdr_reftransV1_0020786</v>
      </c>
      <c r="B10375" s="3">
        <v>1333</v>
      </c>
      <c r="C10375" s="1" t="str">
        <f>HYPERLINK("http://www.uniprot.org/uniprot/CSTR4_ARATH","CSTR4_ARATH")</f>
        <v>CSTR4_ARATH</v>
      </c>
      <c r="D10375" t="s">
        <v>7561</v>
      </c>
      <c r="E10375" s="3" t="s">
        <v>3</v>
      </c>
      <c r="F10375" s="4">
        <v>0</v>
      </c>
      <c r="G10375" s="3">
        <v>1450</v>
      </c>
      <c r="H10375" s="3">
        <v>82</v>
      </c>
      <c r="I10375" s="3">
        <v>354</v>
      </c>
      <c r="J10375" s="3">
        <v>88</v>
      </c>
      <c r="K10375" s="3">
        <v>1116</v>
      </c>
      <c r="L10375" s="3">
        <v>1</v>
      </c>
      <c r="M10375" s="3">
        <v>352</v>
      </c>
    </row>
    <row r="10376" spans="1:13" x14ac:dyDescent="0.25">
      <c r="A10376" s="1" t="str">
        <f>HYPERLINK("http://www.rosaceae.org/Prunus/Prunus_persica/p.persica_gdr_reftransV1_0021036","p.persica_gdr_reftransV1_0021036")</f>
        <v>p.persica_gdr_reftransV1_0021036</v>
      </c>
      <c r="B10376" s="3">
        <v>2260</v>
      </c>
      <c r="C10376" s="1" t="str">
        <f>HYPERLINK("http://www.uniprot.org/uniprot/ACR3_ARATH","ACR3_ARATH")</f>
        <v>ACR3_ARATH</v>
      </c>
      <c r="D10376" t="s">
        <v>7562</v>
      </c>
      <c r="E10376" s="3" t="s">
        <v>3</v>
      </c>
      <c r="F10376" s="4">
        <v>0</v>
      </c>
      <c r="G10376" s="3">
        <v>1375</v>
      </c>
      <c r="H10376" s="3">
        <v>73</v>
      </c>
      <c r="I10376" s="3">
        <v>354</v>
      </c>
      <c r="J10376" s="3">
        <v>972</v>
      </c>
      <c r="K10376" s="3">
        <v>2009</v>
      </c>
      <c r="L10376" s="3">
        <v>102</v>
      </c>
      <c r="M10376" s="3">
        <v>452</v>
      </c>
    </row>
    <row r="10377" spans="1:13" x14ac:dyDescent="0.25">
      <c r="A10377" s="1" t="str">
        <f>HYPERLINK("http://www.rosaceae.org/Prunus/Prunus_persica/p.persica_gdr_reftransV1_0021236","p.persica_gdr_reftransV1_0021236")</f>
        <v>p.persica_gdr_reftransV1_0021236</v>
      </c>
      <c r="B10377" s="3">
        <v>1942</v>
      </c>
      <c r="C10377" s="1" t="str">
        <f>HYPERLINK("http://www.uniprot.org/uniprot/ALIS2_ARATH","ALIS2_ARATH")</f>
        <v>ALIS2_ARATH</v>
      </c>
      <c r="D10377" t="s">
        <v>7563</v>
      </c>
      <c r="E10377" s="3" t="s">
        <v>3</v>
      </c>
      <c r="F10377" s="4">
        <v>1.4799999999999999E-156</v>
      </c>
      <c r="G10377" s="3">
        <v>1187</v>
      </c>
      <c r="H10377" s="3">
        <v>72</v>
      </c>
      <c r="I10377" s="3">
        <v>331</v>
      </c>
      <c r="J10377" s="3">
        <v>447</v>
      </c>
      <c r="K10377" s="3">
        <v>1439</v>
      </c>
      <c r="L10377" s="3">
        <v>1</v>
      </c>
      <c r="M10377" s="3">
        <v>329</v>
      </c>
    </row>
    <row r="10378" spans="1:13" x14ac:dyDescent="0.25">
      <c r="A10378" s="1" t="str">
        <f>HYPERLINK("http://www.rosaceae.org/Prunus/Prunus_persica/p.persica_gdr_reftransV1_0021386","p.persica_gdr_reftransV1_0021386")</f>
        <v>p.persica_gdr_reftransV1_0021386</v>
      </c>
      <c r="B10378" s="3">
        <v>1975</v>
      </c>
      <c r="C10378" s="1" t="str">
        <f>HYPERLINK("http://www.uniprot.org/uniprot/D6KL2_ARATH","D6KL2_ARATH")</f>
        <v>D6KL2_ARATH</v>
      </c>
      <c r="D10378" t="s">
        <v>1171</v>
      </c>
      <c r="E10378" s="3" t="s">
        <v>3</v>
      </c>
      <c r="F10378" s="4">
        <v>2.3699999999999999E-112</v>
      </c>
      <c r="G10378" s="3">
        <v>915</v>
      </c>
      <c r="H10378" s="3">
        <v>76</v>
      </c>
      <c r="I10378" s="3">
        <v>246</v>
      </c>
      <c r="J10378" s="3">
        <v>1238</v>
      </c>
      <c r="K10378" s="3">
        <v>1975</v>
      </c>
      <c r="L10378" s="3">
        <v>103</v>
      </c>
      <c r="M10378" s="3">
        <v>348</v>
      </c>
    </row>
    <row r="10379" spans="1:13" x14ac:dyDescent="0.25">
      <c r="A10379" s="1" t="str">
        <f>HYPERLINK("http://www.rosaceae.org/Prunus/Prunus_persica/p.persica_gdr_reftransV1_0021586","p.persica_gdr_reftransV1_0021586")</f>
        <v>p.persica_gdr_reftransV1_0021586</v>
      </c>
      <c r="B10379" s="3">
        <v>1685</v>
      </c>
      <c r="C10379" s="1" t="str">
        <f>HYPERLINK("http://www.uniprot.org/uniprot/XTH30_ARATH","XTH30_ARATH")</f>
        <v>XTH30_ARATH</v>
      </c>
      <c r="D10379" t="s">
        <v>7564</v>
      </c>
      <c r="E10379" s="3" t="s">
        <v>3</v>
      </c>
      <c r="F10379" s="4">
        <v>2.5700000000000002E-150</v>
      </c>
      <c r="G10379" s="3">
        <v>1138</v>
      </c>
      <c r="H10379" s="3">
        <v>70</v>
      </c>
      <c r="I10379" s="3">
        <v>313</v>
      </c>
      <c r="J10379" s="3">
        <v>432</v>
      </c>
      <c r="K10379" s="3">
        <v>1370</v>
      </c>
      <c r="L10379" s="3">
        <v>9</v>
      </c>
      <c r="M10379" s="3">
        <v>315</v>
      </c>
    </row>
    <row r="10380" spans="1:13" x14ac:dyDescent="0.25">
      <c r="A10380" s="1" t="str">
        <f>HYPERLINK("http://www.rosaceae.org/Prunus/Prunus_persica/p.persica_gdr_reftransV1_0021686","p.persica_gdr_reftransV1_0021686")</f>
        <v>p.persica_gdr_reftransV1_0021686</v>
      </c>
      <c r="B10380" s="3">
        <v>1798</v>
      </c>
      <c r="C10380" s="1" t="str">
        <f>HYPERLINK("http://www.uniprot.org/uniprot/DSP4_CASSA","DSP4_CASSA")</f>
        <v>DSP4_CASSA</v>
      </c>
      <c r="D10380" t="s">
        <v>7565</v>
      </c>
      <c r="E10380" s="3" t="s">
        <v>5840</v>
      </c>
      <c r="F10380" s="4">
        <v>6.9300000000000003E-120</v>
      </c>
      <c r="G10380" s="3">
        <v>942</v>
      </c>
      <c r="H10380" s="3">
        <v>75</v>
      </c>
      <c r="I10380" s="3">
        <v>245</v>
      </c>
      <c r="J10380" s="3">
        <v>293</v>
      </c>
      <c r="K10380" s="3">
        <v>1027</v>
      </c>
      <c r="L10380" s="3">
        <v>130</v>
      </c>
      <c r="M10380" s="3">
        <v>374</v>
      </c>
    </row>
    <row r="10381" spans="1:13" x14ac:dyDescent="0.25">
      <c r="A10381" s="1" t="str">
        <f>HYPERLINK("http://www.rosaceae.org/Prunus/Prunus_persica/p.persica_gdr_reftransV1_0021786","p.persica_gdr_reftransV1_0021786")</f>
        <v>p.persica_gdr_reftransV1_0021786</v>
      </c>
      <c r="B10381" s="3">
        <v>2947</v>
      </c>
      <c r="C10381" s="1" t="str">
        <f>HYPERLINK("http://www.uniprot.org/uniprot/FH13_ARATH","FH13_ARATH")</f>
        <v>FH13_ARATH</v>
      </c>
      <c r="D10381" t="s">
        <v>6168</v>
      </c>
      <c r="E10381" s="3" t="s">
        <v>3</v>
      </c>
      <c r="F10381" s="4">
        <v>1.49E-169</v>
      </c>
      <c r="G10381" s="3">
        <v>1116</v>
      </c>
      <c r="H10381" s="3">
        <v>73</v>
      </c>
      <c r="I10381" s="3">
        <v>287</v>
      </c>
      <c r="J10381" s="3">
        <v>939</v>
      </c>
      <c r="K10381" s="3">
        <v>1799</v>
      </c>
      <c r="L10381" s="3">
        <v>822</v>
      </c>
      <c r="M10381" s="3">
        <v>1105</v>
      </c>
    </row>
    <row r="10382" spans="1:13" x14ac:dyDescent="0.25">
      <c r="A10382" s="1" t="str">
        <f>HYPERLINK("http://www.rosaceae.org/Prunus/Prunus_persica/p.persica_gdr_reftransV1_0021836","p.persica_gdr_reftransV1_0021836")</f>
        <v>p.persica_gdr_reftransV1_0021836</v>
      </c>
      <c r="B10382" s="3">
        <v>850</v>
      </c>
      <c r="C10382" s="1" t="str">
        <f>HYPERLINK("http://www.uniprot.org/uniprot/WRK65_ARATH","WRK65_ARATH")</f>
        <v>WRK65_ARATH</v>
      </c>
      <c r="D10382" t="s">
        <v>5340</v>
      </c>
      <c r="E10382" s="3" t="s">
        <v>3</v>
      </c>
      <c r="F10382" s="4">
        <v>3.0600000000000002E-32</v>
      </c>
      <c r="G10382" s="3">
        <v>313</v>
      </c>
      <c r="H10382" s="3">
        <v>46</v>
      </c>
      <c r="I10382" s="3">
        <v>142</v>
      </c>
      <c r="J10382" s="3">
        <v>388</v>
      </c>
      <c r="K10382" s="3">
        <v>798</v>
      </c>
      <c r="L10382" s="3">
        <v>45</v>
      </c>
      <c r="M10382" s="3">
        <v>134</v>
      </c>
    </row>
    <row r="10383" spans="1:13" x14ac:dyDescent="0.25">
      <c r="A10383" s="1" t="str">
        <f>HYPERLINK("http://www.rosaceae.org/Prunus/Prunus_persica/p.persica_gdr_reftransV1_0022136","p.persica_gdr_reftransV1_0022136")</f>
        <v>p.persica_gdr_reftransV1_0022136</v>
      </c>
      <c r="B10383" s="3">
        <v>765</v>
      </c>
      <c r="C10383" s="1" t="str">
        <f>HYPERLINK("http://www.uniprot.org/uniprot/APK1_ARATH","APK1_ARATH")</f>
        <v>APK1_ARATH</v>
      </c>
      <c r="D10383" t="s">
        <v>7566</v>
      </c>
      <c r="E10383" s="3" t="s">
        <v>3</v>
      </c>
      <c r="F10383" s="4">
        <v>8.8299999999999995E-65</v>
      </c>
      <c r="G10383" s="3">
        <v>533</v>
      </c>
      <c r="H10383" s="3">
        <v>68</v>
      </c>
      <c r="I10383" s="3">
        <v>157</v>
      </c>
      <c r="J10383" s="3">
        <v>2</v>
      </c>
      <c r="K10383" s="3">
        <v>427</v>
      </c>
      <c r="L10383" s="3">
        <v>29</v>
      </c>
      <c r="M10383" s="3">
        <v>182</v>
      </c>
    </row>
    <row r="10384" spans="1:13" x14ac:dyDescent="0.25">
      <c r="A10384" s="1" t="str">
        <f>HYPERLINK("http://www.rosaceae.org/Prunus/Prunus_persica/p.persica_gdr_reftransV1_0022186","p.persica_gdr_reftransV1_0022186")</f>
        <v>p.persica_gdr_reftransV1_0022186</v>
      </c>
      <c r="B10384" s="3">
        <v>1410</v>
      </c>
      <c r="C10384" s="1" t="str">
        <f>HYPERLINK("http://www.uniprot.org/uniprot/OFP14_ARATH","OFP14_ARATH")</f>
        <v>OFP14_ARATH</v>
      </c>
      <c r="D10384" t="s">
        <v>7567</v>
      </c>
      <c r="E10384" s="3" t="s">
        <v>3</v>
      </c>
      <c r="F10384" s="4">
        <v>2.6400000000000002E-37</v>
      </c>
      <c r="G10384" s="3">
        <v>361</v>
      </c>
      <c r="H10384" s="3">
        <v>37</v>
      </c>
      <c r="I10384" s="3">
        <v>295</v>
      </c>
      <c r="J10384" s="3">
        <v>163</v>
      </c>
      <c r="K10384" s="3">
        <v>990</v>
      </c>
      <c r="L10384" s="3">
        <v>1</v>
      </c>
      <c r="M10384" s="3">
        <v>262</v>
      </c>
    </row>
    <row r="10385" spans="1:13" x14ac:dyDescent="0.25">
      <c r="A10385" s="1" t="str">
        <f>HYPERLINK("http://www.rosaceae.org/Prunus/Prunus_persica/p.persica_gdr_reftransV1_0022436","p.persica_gdr_reftransV1_0022436")</f>
        <v>p.persica_gdr_reftransV1_0022436</v>
      </c>
      <c r="B10385" s="3">
        <v>821</v>
      </c>
      <c r="C10385" s="1" t="str">
        <f>HYPERLINK("http://www.uniprot.org/uniprot/IF1C_SOLLC","IF1C_SOLLC")</f>
        <v>IF1C_SOLLC</v>
      </c>
      <c r="D10385" t="s">
        <v>7568</v>
      </c>
      <c r="E10385" s="3" t="s">
        <v>64</v>
      </c>
      <c r="F10385" s="4">
        <v>4.4500000000000003E-28</v>
      </c>
      <c r="G10385" s="3">
        <v>276</v>
      </c>
      <c r="H10385" s="3">
        <v>70</v>
      </c>
      <c r="I10385" s="3">
        <v>69</v>
      </c>
      <c r="J10385" s="3">
        <v>269</v>
      </c>
      <c r="K10385" s="3">
        <v>475</v>
      </c>
      <c r="L10385" s="3">
        <v>82</v>
      </c>
      <c r="M10385" s="3">
        <v>150</v>
      </c>
    </row>
    <row r="10386" spans="1:13" x14ac:dyDescent="0.25">
      <c r="A10386" s="1" t="str">
        <f>HYPERLINK("http://www.rosaceae.org/Prunus/Prunus_persica/p.persica_gdr_reftransV1_0022736","p.persica_gdr_reftransV1_0022736")</f>
        <v>p.persica_gdr_reftransV1_0022736</v>
      </c>
      <c r="B10386" s="3">
        <v>3303</v>
      </c>
      <c r="C10386" s="1" t="str">
        <f>HYPERLINK("http://www.uniprot.org/uniprot/COP1_ARATH","COP1_ARATH")</f>
        <v>COP1_ARATH</v>
      </c>
      <c r="D10386" t="s">
        <v>4428</v>
      </c>
      <c r="E10386" s="3" t="s">
        <v>3</v>
      </c>
      <c r="F10386" s="4">
        <v>0</v>
      </c>
      <c r="G10386" s="3">
        <v>1774</v>
      </c>
      <c r="H10386" s="3">
        <v>86</v>
      </c>
      <c r="I10386" s="3">
        <v>374</v>
      </c>
      <c r="J10386" s="3">
        <v>1697</v>
      </c>
      <c r="K10386" s="3">
        <v>2818</v>
      </c>
      <c r="L10386" s="3">
        <v>302</v>
      </c>
      <c r="M10386" s="3">
        <v>675</v>
      </c>
    </row>
    <row r="10387" spans="1:13" x14ac:dyDescent="0.25">
      <c r="A10387" s="1" t="str">
        <f>HYPERLINK("http://www.rosaceae.org/Prunus/Prunus_persica/p.persica_gdr_reftransV1_0022986","p.persica_gdr_reftransV1_0022986")</f>
        <v>p.persica_gdr_reftransV1_0022986</v>
      </c>
      <c r="B10387" s="3">
        <v>5489</v>
      </c>
      <c r="C10387" s="1" t="str">
        <f>HYPERLINK("http://www.uniprot.org/uniprot/Y5738_ARATH","Y5738_ARATH")</f>
        <v>Y5738_ARATH</v>
      </c>
      <c r="D10387" t="s">
        <v>5833</v>
      </c>
      <c r="E10387" s="3" t="s">
        <v>3</v>
      </c>
      <c r="F10387" s="4">
        <v>0</v>
      </c>
      <c r="G10387" s="3">
        <v>2078</v>
      </c>
      <c r="H10387" s="3">
        <v>69</v>
      </c>
      <c r="I10387" s="3">
        <v>596</v>
      </c>
      <c r="J10387" s="3">
        <v>3104</v>
      </c>
      <c r="K10387" s="3">
        <v>4858</v>
      </c>
      <c r="L10387" s="3">
        <v>20</v>
      </c>
      <c r="M10387" s="3">
        <v>601</v>
      </c>
    </row>
    <row r="10388" spans="1:13" x14ac:dyDescent="0.25">
      <c r="A10388" s="1" t="str">
        <f>HYPERLINK("http://www.rosaceae.org/Prunus/Prunus_persica/p.persica_gdr_reftransV1_0023286","p.persica_gdr_reftransV1_0023286")</f>
        <v>p.persica_gdr_reftransV1_0023286</v>
      </c>
      <c r="B10388" s="3">
        <v>1744</v>
      </c>
      <c r="C10388" s="1" t="str">
        <f>HYPERLINK("http://www.uniprot.org/uniprot/SBT4E_ARATH","SBT4E_ARATH")</f>
        <v>SBT4E_ARATH</v>
      </c>
      <c r="D10388" t="s">
        <v>4212</v>
      </c>
      <c r="E10388" s="3" t="s">
        <v>3</v>
      </c>
      <c r="F10388" s="4">
        <v>9.6899999999999996E-14</v>
      </c>
      <c r="G10388" s="3">
        <v>191</v>
      </c>
      <c r="H10388" s="3">
        <v>39</v>
      </c>
      <c r="I10388" s="3">
        <v>101</v>
      </c>
      <c r="J10388" s="3">
        <v>1444</v>
      </c>
      <c r="K10388" s="3">
        <v>1743</v>
      </c>
      <c r="L10388" s="3">
        <v>645</v>
      </c>
      <c r="M10388" s="3">
        <v>745</v>
      </c>
    </row>
    <row r="10389" spans="1:13" x14ac:dyDescent="0.25">
      <c r="A10389" s="1" t="str">
        <f>HYPERLINK("http://www.rosaceae.org/Prunus/Prunus_persica/p.persica_gdr_reftransV1_0023336","p.persica_gdr_reftransV1_0023336")</f>
        <v>p.persica_gdr_reftransV1_0023336</v>
      </c>
      <c r="B10389" s="3">
        <v>1325</v>
      </c>
      <c r="C10389" s="1" t="str">
        <f>HYPERLINK("http://www.uniprot.org/uniprot/SC11A_RAT","SC11A_RAT")</f>
        <v>SC11A_RAT</v>
      </c>
      <c r="D10389" t="s">
        <v>7569</v>
      </c>
      <c r="E10389" s="3" t="s">
        <v>161</v>
      </c>
      <c r="F10389" s="4">
        <v>2.6099999999999999E-33</v>
      </c>
      <c r="G10389" s="3">
        <v>322</v>
      </c>
      <c r="H10389" s="3">
        <v>59</v>
      </c>
      <c r="I10389" s="3">
        <v>100</v>
      </c>
      <c r="J10389" s="3">
        <v>922</v>
      </c>
      <c r="K10389" s="3">
        <v>1218</v>
      </c>
      <c r="L10389" s="3">
        <v>5</v>
      </c>
      <c r="M10389" s="3">
        <v>104</v>
      </c>
    </row>
    <row r="10390" spans="1:13" x14ac:dyDescent="0.25">
      <c r="A10390" s="1" t="str">
        <f>HYPERLINK("http://www.rosaceae.org/Prunus/Prunus_persica/p.persica_gdr_reftransV1_0023386","p.persica_gdr_reftransV1_0023386")</f>
        <v>p.persica_gdr_reftransV1_0023386</v>
      </c>
      <c r="B10390" s="3">
        <v>2232</v>
      </c>
      <c r="C10390" s="1" t="str">
        <f>HYPERLINK("http://www.uniprot.org/uniprot/C81E8_MEDTR","C81E8_MEDTR")</f>
        <v>C81E8_MEDTR</v>
      </c>
      <c r="D10390" t="s">
        <v>7570</v>
      </c>
      <c r="E10390" s="3" t="s">
        <v>91</v>
      </c>
      <c r="F10390" s="4">
        <v>0</v>
      </c>
      <c r="G10390" s="3">
        <v>1548</v>
      </c>
      <c r="H10390" s="3">
        <v>62</v>
      </c>
      <c r="I10390" s="3">
        <v>466</v>
      </c>
      <c r="J10390" s="3">
        <v>566</v>
      </c>
      <c r="K10390" s="3">
        <v>1954</v>
      </c>
      <c r="L10390" s="3">
        <v>27</v>
      </c>
      <c r="M10390" s="3">
        <v>490</v>
      </c>
    </row>
    <row r="10391" spans="1:13" x14ac:dyDescent="0.25">
      <c r="A10391" s="1" t="str">
        <f>HYPERLINK("http://www.rosaceae.org/Prunus/Prunus_persica/p.persica_gdr_reftransV1_0023486","p.persica_gdr_reftransV1_0023486")</f>
        <v>p.persica_gdr_reftransV1_0023486</v>
      </c>
      <c r="B10391" s="3">
        <v>3792</v>
      </c>
      <c r="C10391" s="1" t="str">
        <f>HYPERLINK("http://www.uniprot.org/uniprot/YJCL_BACSU","YJCL_BACSU")</f>
        <v>YJCL_BACSU</v>
      </c>
      <c r="D10391" t="s">
        <v>7571</v>
      </c>
      <c r="E10391" s="3" t="s">
        <v>1630</v>
      </c>
      <c r="F10391" s="4">
        <v>1.59E-16</v>
      </c>
      <c r="G10391" s="3">
        <v>214</v>
      </c>
      <c r="H10391" s="3">
        <v>31</v>
      </c>
      <c r="I10391" s="3">
        <v>372</v>
      </c>
      <c r="J10391" s="3">
        <v>2376</v>
      </c>
      <c r="K10391" s="3">
        <v>3422</v>
      </c>
      <c r="L10391" s="3">
        <v>4</v>
      </c>
      <c r="M10391" s="3">
        <v>369</v>
      </c>
    </row>
    <row r="10392" spans="1:13" x14ac:dyDescent="0.25">
      <c r="A10392" s="1" t="str">
        <f>HYPERLINK("http://www.rosaceae.org/Prunus/Prunus_persica/p.persica_gdr_reftransV1_0023586","p.persica_gdr_reftransV1_0023586")</f>
        <v>p.persica_gdr_reftransV1_0023586</v>
      </c>
      <c r="B10392" s="3">
        <v>1754</v>
      </c>
      <c r="C10392" s="1" t="str">
        <f>HYPERLINK("http://www.uniprot.org/uniprot/ELC_ARATH","ELC_ARATH")</f>
        <v>ELC_ARATH</v>
      </c>
      <c r="D10392" t="s">
        <v>2885</v>
      </c>
      <c r="E10392" s="3" t="s">
        <v>3</v>
      </c>
      <c r="F10392" s="4">
        <v>2.1599999999999999E-82</v>
      </c>
      <c r="G10392" s="3">
        <v>690</v>
      </c>
      <c r="H10392" s="3">
        <v>75</v>
      </c>
      <c r="I10392" s="3">
        <v>163</v>
      </c>
      <c r="J10392" s="3">
        <v>156</v>
      </c>
      <c r="K10392" s="3">
        <v>644</v>
      </c>
      <c r="L10392" s="3">
        <v>1</v>
      </c>
      <c r="M10392" s="3">
        <v>159</v>
      </c>
    </row>
    <row r="10393" spans="1:13" x14ac:dyDescent="0.25">
      <c r="A10393" s="1" t="str">
        <f>HYPERLINK("http://www.rosaceae.org/Prunus/Prunus_persica/p.persica_gdr_reftransV1_0024086","p.persica_gdr_reftransV1_0024086")</f>
        <v>p.persica_gdr_reftransV1_0024086</v>
      </c>
      <c r="B10393" s="3">
        <v>5267</v>
      </c>
      <c r="C10393" s="1" t="str">
        <f>HYPERLINK("http://www.uniprot.org/uniprot/SPXM3_ARATH","SPXM3_ARATH")</f>
        <v>SPXM3_ARATH</v>
      </c>
      <c r="D10393" t="s">
        <v>3779</v>
      </c>
      <c r="E10393" s="3" t="s">
        <v>3</v>
      </c>
      <c r="F10393" s="4">
        <v>1.9799999999999999E-157</v>
      </c>
      <c r="G10393" s="3">
        <v>1300</v>
      </c>
      <c r="H10393" s="3">
        <v>77</v>
      </c>
      <c r="I10393" s="3">
        <v>354</v>
      </c>
      <c r="J10393" s="3">
        <v>547</v>
      </c>
      <c r="K10393" s="3">
        <v>1599</v>
      </c>
      <c r="L10393" s="3">
        <v>348</v>
      </c>
      <c r="M10393" s="3">
        <v>699</v>
      </c>
    </row>
    <row r="10394" spans="1:13" x14ac:dyDescent="0.25">
      <c r="A10394" s="1" t="str">
        <f>HYPERLINK("http://www.rosaceae.org/Prunus/Prunus_persica/p.persica_gdr_reftransV1_0024186","p.persica_gdr_reftransV1_0024186")</f>
        <v>p.persica_gdr_reftransV1_0024186</v>
      </c>
      <c r="B10394" s="3">
        <v>3282</v>
      </c>
      <c r="C10394" s="1" t="str">
        <f>HYPERLINK("http://www.uniprot.org/uniprot/TKI1_ARATH","TKI1_ARATH")</f>
        <v>TKI1_ARATH</v>
      </c>
      <c r="D10394" t="s">
        <v>7572</v>
      </c>
      <c r="E10394" s="3" t="s">
        <v>3</v>
      </c>
      <c r="F10394" s="4">
        <v>0</v>
      </c>
      <c r="G10394" s="3">
        <v>1711</v>
      </c>
      <c r="H10394" s="3">
        <v>49</v>
      </c>
      <c r="I10394" s="3">
        <v>788</v>
      </c>
      <c r="J10394" s="3">
        <v>551</v>
      </c>
      <c r="K10394" s="3">
        <v>2893</v>
      </c>
      <c r="L10394" s="3">
        <v>23</v>
      </c>
      <c r="M10394" s="3">
        <v>737</v>
      </c>
    </row>
    <row r="10395" spans="1:13" x14ac:dyDescent="0.25">
      <c r="A10395" s="1" t="str">
        <f>HYPERLINK("http://www.rosaceae.org/Prunus/Prunus_persica/p.persica_gdr_reftransV1_0024236","p.persica_gdr_reftransV1_0024236")</f>
        <v>p.persica_gdr_reftransV1_0024236</v>
      </c>
      <c r="B10395" s="3">
        <v>1280</v>
      </c>
      <c r="C10395" s="1" t="str">
        <f>HYPERLINK("http://www.uniprot.org/uniprot/CMT3_ARATH","CMT3_ARATH")</f>
        <v>CMT3_ARATH</v>
      </c>
      <c r="D10395" t="s">
        <v>7573</v>
      </c>
      <c r="E10395" s="3" t="s">
        <v>3</v>
      </c>
      <c r="F10395" s="4">
        <v>9.4999999999999993E-96</v>
      </c>
      <c r="G10395" s="3">
        <v>798</v>
      </c>
      <c r="H10395" s="3">
        <v>44</v>
      </c>
      <c r="I10395" s="3">
        <v>389</v>
      </c>
      <c r="J10395" s="3">
        <v>169</v>
      </c>
      <c r="K10395" s="3">
        <v>1272</v>
      </c>
      <c r="L10395" s="3">
        <v>4</v>
      </c>
      <c r="M10395" s="3">
        <v>376</v>
      </c>
    </row>
    <row r="10396" spans="1:13" x14ac:dyDescent="0.25">
      <c r="A10396" s="1" t="str">
        <f>HYPERLINK("http://www.rosaceae.org/Prunus/Prunus_persica/p.persica_gdr_reftransV1_0024286","p.persica_gdr_reftransV1_0024286")</f>
        <v>p.persica_gdr_reftransV1_0024286</v>
      </c>
      <c r="B10396" s="3">
        <v>824</v>
      </c>
      <c r="C10396" s="1" t="str">
        <f>HYPERLINK("http://www.uniprot.org/uniprot/SAU72_ARATH","SAU72_ARATH")</f>
        <v>SAU72_ARATH</v>
      </c>
      <c r="D10396" t="s">
        <v>7574</v>
      </c>
      <c r="E10396" s="3" t="s">
        <v>3</v>
      </c>
      <c r="F10396" s="4">
        <v>6.8700000000000006E-11</v>
      </c>
      <c r="G10396" s="3">
        <v>150</v>
      </c>
      <c r="H10396" s="3">
        <v>43</v>
      </c>
      <c r="I10396" s="3">
        <v>70</v>
      </c>
      <c r="J10396" s="3">
        <v>431</v>
      </c>
      <c r="K10396" s="3">
        <v>640</v>
      </c>
      <c r="L10396" s="3">
        <v>49</v>
      </c>
      <c r="M10396" s="3">
        <v>116</v>
      </c>
    </row>
    <row r="10397" spans="1:13" x14ac:dyDescent="0.25">
      <c r="A10397" s="1" t="str">
        <f>HYPERLINK("http://www.rosaceae.org/Prunus/Prunus_persica/p.persica_gdr_reftransV1_0024336","p.persica_gdr_reftransV1_0024336")</f>
        <v>p.persica_gdr_reftransV1_0024336</v>
      </c>
      <c r="B10397" s="3">
        <v>1344</v>
      </c>
      <c r="C10397" s="1" t="str">
        <f>HYPERLINK("http://www.uniprot.org/uniprot/IRX9_ARATH","IRX9_ARATH")</f>
        <v>IRX9_ARATH</v>
      </c>
      <c r="D10397" t="s">
        <v>7575</v>
      </c>
      <c r="E10397" s="3" t="s">
        <v>3</v>
      </c>
      <c r="F10397" s="4">
        <v>5.0400000000000001E-144</v>
      </c>
      <c r="G10397" s="3">
        <v>1086</v>
      </c>
      <c r="H10397" s="3">
        <v>61</v>
      </c>
      <c r="I10397" s="3">
        <v>351</v>
      </c>
      <c r="J10397" s="3">
        <v>137</v>
      </c>
      <c r="K10397" s="3">
        <v>1174</v>
      </c>
      <c r="L10397" s="3">
        <v>1</v>
      </c>
      <c r="M10397" s="3">
        <v>343</v>
      </c>
    </row>
    <row r="10398" spans="1:13" x14ac:dyDescent="0.25">
      <c r="A10398" s="1" t="str">
        <f>HYPERLINK("http://www.rosaceae.org/Prunus/Prunus_persica/p.persica_gdr_reftransV1_0024536","p.persica_gdr_reftransV1_0024536")</f>
        <v>p.persica_gdr_reftransV1_0024536</v>
      </c>
      <c r="B10398" s="3">
        <v>2722</v>
      </c>
      <c r="C10398" s="1" t="str">
        <f>HYPERLINK("http://www.uniprot.org/uniprot/PGP1B_ARATH","PGP1B_ARATH")</f>
        <v>PGP1B_ARATH</v>
      </c>
      <c r="D10398" t="s">
        <v>5072</v>
      </c>
      <c r="E10398" s="3" t="s">
        <v>3</v>
      </c>
      <c r="F10398" s="4">
        <v>3.3000000000000002E-72</v>
      </c>
      <c r="G10398" s="3">
        <v>632</v>
      </c>
      <c r="H10398" s="3">
        <v>84</v>
      </c>
      <c r="I10398" s="3">
        <v>170</v>
      </c>
      <c r="J10398" s="3">
        <v>1451</v>
      </c>
      <c r="K10398" s="3">
        <v>1960</v>
      </c>
      <c r="L10398" s="3">
        <v>91</v>
      </c>
      <c r="M10398" s="3">
        <v>260</v>
      </c>
    </row>
    <row r="10399" spans="1:13" x14ac:dyDescent="0.25">
      <c r="A10399" s="1" t="str">
        <f>HYPERLINK("http://www.rosaceae.org/Prunus/Prunus_persica/p.persica_gdr_reftransV1_0024636","p.persica_gdr_reftransV1_0024636")</f>
        <v>p.persica_gdr_reftransV1_0024636</v>
      </c>
      <c r="B10399" s="3">
        <v>2028</v>
      </c>
      <c r="C10399" s="1" t="str">
        <f>HYPERLINK("http://www.uniprot.org/uniprot/HFLX_CLOSW","HFLX_CLOSW")</f>
        <v>HFLX_CLOSW</v>
      </c>
      <c r="D10399" t="s">
        <v>7576</v>
      </c>
      <c r="E10399" s="3" t="s">
        <v>7577</v>
      </c>
      <c r="F10399" s="4">
        <v>2.8500000000000002E-58</v>
      </c>
      <c r="G10399" s="3">
        <v>529</v>
      </c>
      <c r="H10399" s="3">
        <v>42</v>
      </c>
      <c r="I10399" s="3">
        <v>282</v>
      </c>
      <c r="J10399" s="3">
        <v>160</v>
      </c>
      <c r="K10399" s="3">
        <v>1002</v>
      </c>
      <c r="L10399" s="3">
        <v>128</v>
      </c>
      <c r="M10399" s="3">
        <v>407</v>
      </c>
    </row>
    <row r="10400" spans="1:13" x14ac:dyDescent="0.25">
      <c r="A10400" s="1" t="str">
        <f>HYPERLINK("http://www.rosaceae.org/Prunus/Prunus_persica/p.persica_gdr_reftransV1_0024686","p.persica_gdr_reftransV1_0024686")</f>
        <v>p.persica_gdr_reftransV1_0024686</v>
      </c>
      <c r="B10400" s="3">
        <v>4153</v>
      </c>
      <c r="C10400" s="1" t="str">
        <f>HYPERLINK("http://www.uniprot.org/uniprot/RUS3_ARATH","RUS3_ARATH")</f>
        <v>RUS3_ARATH</v>
      </c>
      <c r="D10400" t="s">
        <v>7578</v>
      </c>
      <c r="E10400" s="3" t="s">
        <v>3</v>
      </c>
      <c r="F10400" s="4">
        <v>6.2400000000000005E-153</v>
      </c>
      <c r="G10400" s="3">
        <v>1226</v>
      </c>
      <c r="H10400" s="3">
        <v>82</v>
      </c>
      <c r="I10400" s="3">
        <v>298</v>
      </c>
      <c r="J10400" s="3">
        <v>3158</v>
      </c>
      <c r="K10400" s="3">
        <v>4051</v>
      </c>
      <c r="L10400" s="3">
        <v>17</v>
      </c>
      <c r="M10400" s="3">
        <v>314</v>
      </c>
    </row>
    <row r="10401" spans="1:13" x14ac:dyDescent="0.25">
      <c r="A10401" s="1" t="str">
        <f>HYPERLINK("http://www.rosaceae.org/Prunus/Prunus_persica/p.persica_gdr_reftransV1_0024736","p.persica_gdr_reftransV1_0024736")</f>
        <v>p.persica_gdr_reftransV1_0024736</v>
      </c>
      <c r="B10401" s="3">
        <v>1644</v>
      </c>
      <c r="C10401" s="1" t="str">
        <f>HYPERLINK("http://www.uniprot.org/uniprot/NOD3_MEDTR","NOD3_MEDTR")</f>
        <v>NOD3_MEDTR</v>
      </c>
      <c r="D10401" t="s">
        <v>7579</v>
      </c>
      <c r="E10401" s="3" t="s">
        <v>91</v>
      </c>
      <c r="F10401" s="4">
        <v>3.8000000000000002E-82</v>
      </c>
      <c r="G10401" s="3">
        <v>674</v>
      </c>
      <c r="H10401" s="3">
        <v>72</v>
      </c>
      <c r="I10401" s="3">
        <v>191</v>
      </c>
      <c r="J10401" s="3">
        <v>390</v>
      </c>
      <c r="K10401" s="3">
        <v>962</v>
      </c>
      <c r="L10401" s="3">
        <v>1</v>
      </c>
      <c r="M10401" s="3">
        <v>191</v>
      </c>
    </row>
    <row r="10402" spans="1:13" x14ac:dyDescent="0.25">
      <c r="A10402" s="1" t="str">
        <f>HYPERLINK("http://www.rosaceae.org/Prunus/Prunus_persica/p.persica_gdr_reftransV1_0024936","p.persica_gdr_reftransV1_0024936")</f>
        <v>p.persica_gdr_reftransV1_0024936</v>
      </c>
      <c r="B10402" s="3">
        <v>765</v>
      </c>
      <c r="C10402" s="1" t="str">
        <f>HYPERLINK("http://www.uniprot.org/uniprot/SNAK2_SOLTU","SNAK2_SOLTU")</f>
        <v>SNAK2_SOLTU</v>
      </c>
      <c r="D10402" t="s">
        <v>788</v>
      </c>
      <c r="E10402" s="3" t="s">
        <v>11</v>
      </c>
      <c r="F10402" s="4">
        <v>6.5400000000000004E-32</v>
      </c>
      <c r="G10402" s="3">
        <v>297</v>
      </c>
      <c r="H10402" s="3">
        <v>68</v>
      </c>
      <c r="I10402" s="3">
        <v>81</v>
      </c>
      <c r="J10402" s="3">
        <v>315</v>
      </c>
      <c r="K10402" s="3">
        <v>557</v>
      </c>
      <c r="L10402" s="3">
        <v>24</v>
      </c>
      <c r="M10402" s="3">
        <v>104</v>
      </c>
    </row>
    <row r="10403" spans="1:13" x14ac:dyDescent="0.25">
      <c r="A10403" s="1" t="str">
        <f>HYPERLINK("http://www.rosaceae.org/Prunus/Prunus_persica/p.persica_gdr_reftransV1_0025036","p.persica_gdr_reftransV1_0025036")</f>
        <v>p.persica_gdr_reftransV1_0025036</v>
      </c>
      <c r="B10403" s="3">
        <v>3121</v>
      </c>
      <c r="C10403" s="1" t="str">
        <f>HYPERLINK("http://www.uniprot.org/uniprot/STIL3_ARATH","STIL3_ARATH")</f>
        <v>STIL3_ARATH</v>
      </c>
      <c r="D10403" t="s">
        <v>3663</v>
      </c>
      <c r="E10403" s="3" t="s">
        <v>3</v>
      </c>
      <c r="F10403" s="4">
        <v>0</v>
      </c>
      <c r="G10403" s="3">
        <v>2406</v>
      </c>
      <c r="H10403" s="3">
        <v>60</v>
      </c>
      <c r="I10403" s="3">
        <v>928</v>
      </c>
      <c r="J10403" s="3">
        <v>192</v>
      </c>
      <c r="K10403" s="3">
        <v>2903</v>
      </c>
      <c r="L10403" s="3">
        <v>266</v>
      </c>
      <c r="M10403" s="3">
        <v>1095</v>
      </c>
    </row>
    <row r="10404" spans="1:13" x14ac:dyDescent="0.25">
      <c r="A10404" s="1" t="str">
        <f>HYPERLINK("http://www.rosaceae.org/Prunus/Prunus_persica/p.persica_gdr_reftransV1_0025236","p.persica_gdr_reftransV1_0025236")</f>
        <v>p.persica_gdr_reftransV1_0025236</v>
      </c>
      <c r="B10404" s="3">
        <v>3436</v>
      </c>
      <c r="C10404" s="1" t="str">
        <f>HYPERLINK("http://www.uniprot.org/uniprot/SK2L2_HUMAN","SK2L2_HUMAN")</f>
        <v>SK2L2_HUMAN</v>
      </c>
      <c r="D10404" t="s">
        <v>7580</v>
      </c>
      <c r="E10404" s="3" t="s">
        <v>28</v>
      </c>
      <c r="F10404" s="4">
        <v>0</v>
      </c>
      <c r="G10404" s="3">
        <v>2741</v>
      </c>
      <c r="H10404" s="3">
        <v>55</v>
      </c>
      <c r="I10404" s="3">
        <v>959</v>
      </c>
      <c r="J10404" s="3">
        <v>296</v>
      </c>
      <c r="K10404" s="3">
        <v>3169</v>
      </c>
      <c r="L10404" s="3">
        <v>109</v>
      </c>
      <c r="M10404" s="3">
        <v>1042</v>
      </c>
    </row>
    <row r="10405" spans="1:13" x14ac:dyDescent="0.25">
      <c r="A10405" s="1" t="str">
        <f>HYPERLINK("http://www.rosaceae.org/Prunus/Prunus_persica/p.persica_gdr_reftransV1_0025386","p.persica_gdr_reftransV1_0025386")</f>
        <v>p.persica_gdr_reftransV1_0025386</v>
      </c>
      <c r="B10405" s="3">
        <v>3026</v>
      </c>
      <c r="C10405" s="1" t="str">
        <f>HYPERLINK("http://www.uniprot.org/uniprot/SYT5_ARATH","SYT5_ARATH")</f>
        <v>SYT5_ARATH</v>
      </c>
      <c r="D10405" t="s">
        <v>2118</v>
      </c>
      <c r="E10405" s="3" t="s">
        <v>3</v>
      </c>
      <c r="F10405" s="4">
        <v>1.87E-160</v>
      </c>
      <c r="G10405" s="3">
        <v>1265</v>
      </c>
      <c r="H10405" s="3">
        <v>75</v>
      </c>
      <c r="I10405" s="3">
        <v>313</v>
      </c>
      <c r="J10405" s="3">
        <v>748</v>
      </c>
      <c r="K10405" s="3">
        <v>1686</v>
      </c>
      <c r="L10405" s="3">
        <v>254</v>
      </c>
      <c r="M10405" s="3">
        <v>560</v>
      </c>
    </row>
    <row r="10406" spans="1:13" x14ac:dyDescent="0.25">
      <c r="A10406" s="1" t="str">
        <f>HYPERLINK("http://www.rosaceae.org/Prunus/Prunus_persica/p.persica_gdr_reftransV1_0025586","p.persica_gdr_reftransV1_0025586")</f>
        <v>p.persica_gdr_reftransV1_0025586</v>
      </c>
      <c r="B10406" s="3">
        <v>2271</v>
      </c>
      <c r="C10406" s="1" t="str">
        <f>HYPERLINK("http://www.uniprot.org/uniprot/RBPS2_MOUSE","RBPS2_MOUSE")</f>
        <v>RBPS2_MOUSE</v>
      </c>
      <c r="D10406" t="s">
        <v>4902</v>
      </c>
      <c r="E10406" s="3" t="s">
        <v>157</v>
      </c>
      <c r="F10406" s="4">
        <v>5.4800000000000001E-18</v>
      </c>
      <c r="G10406" s="3">
        <v>217</v>
      </c>
      <c r="H10406" s="3">
        <v>47</v>
      </c>
      <c r="I10406" s="3">
        <v>94</v>
      </c>
      <c r="J10406" s="3">
        <v>246</v>
      </c>
      <c r="K10406" s="3">
        <v>527</v>
      </c>
      <c r="L10406" s="3">
        <v>19</v>
      </c>
      <c r="M10406" s="3">
        <v>110</v>
      </c>
    </row>
    <row r="10407" spans="1:13" x14ac:dyDescent="0.25">
      <c r="A10407" s="1" t="str">
        <f>HYPERLINK("http://www.rosaceae.org/Prunus/Prunus_persica/p.persica_gdr_reftransV1_0026036","p.persica_gdr_reftransV1_0026036")</f>
        <v>p.persica_gdr_reftransV1_0026036</v>
      </c>
      <c r="B10407" s="3">
        <v>4154</v>
      </c>
      <c r="C10407" s="1" t="str">
        <f>HYPERLINK("http://www.uniprot.org/uniprot/CSE_ARATH","CSE_ARATH")</f>
        <v>CSE_ARATH</v>
      </c>
      <c r="D10407" t="s">
        <v>584</v>
      </c>
      <c r="E10407" s="3" t="s">
        <v>3</v>
      </c>
      <c r="F10407" s="4">
        <v>1.03E-25</v>
      </c>
      <c r="G10407" s="3">
        <v>287</v>
      </c>
      <c r="H10407" s="3">
        <v>31</v>
      </c>
      <c r="I10407" s="3">
        <v>234</v>
      </c>
      <c r="J10407" s="3">
        <v>681</v>
      </c>
      <c r="K10407" s="3">
        <v>1331</v>
      </c>
      <c r="L10407" s="3">
        <v>101</v>
      </c>
      <c r="M10407" s="3">
        <v>324</v>
      </c>
    </row>
    <row r="10408" spans="1:13" x14ac:dyDescent="0.25">
      <c r="A10408" s="1" t="str">
        <f>HYPERLINK("http://www.rosaceae.org/Prunus/Prunus_persica/p.persica_gdr_reftransV1_0026236","p.persica_gdr_reftransV1_0026236")</f>
        <v>p.persica_gdr_reftransV1_0026236</v>
      </c>
      <c r="B10408" s="3">
        <v>3110</v>
      </c>
      <c r="C10408" s="1" t="str">
        <f>HYPERLINK("http://www.uniprot.org/uniprot/THF1_SOLTU","THF1_SOLTU")</f>
        <v>THF1_SOLTU</v>
      </c>
      <c r="D10408" t="s">
        <v>5828</v>
      </c>
      <c r="E10408" s="3" t="s">
        <v>11</v>
      </c>
      <c r="F10408" s="4">
        <v>1.8700000000000001E-44</v>
      </c>
      <c r="G10408" s="3">
        <v>425</v>
      </c>
      <c r="H10408" s="3">
        <v>86</v>
      </c>
      <c r="I10408" s="3">
        <v>91</v>
      </c>
      <c r="J10408" s="3">
        <v>2000</v>
      </c>
      <c r="K10408" s="3">
        <v>2272</v>
      </c>
      <c r="L10408" s="3">
        <v>63</v>
      </c>
      <c r="M10408" s="3">
        <v>153</v>
      </c>
    </row>
    <row r="10409" spans="1:13" x14ac:dyDescent="0.25">
      <c r="A10409" s="1" t="str">
        <f>HYPERLINK("http://www.rosaceae.org/Prunus/Prunus_persica/p.persica_gdr_reftransV1_0026286","p.persica_gdr_reftransV1_0026286")</f>
        <v>p.persica_gdr_reftransV1_0026286</v>
      </c>
      <c r="B10409" s="3">
        <v>1473</v>
      </c>
      <c r="C10409" s="1" t="str">
        <f>HYPERLINK("http://www.uniprot.org/uniprot/PPR8_ARATH","PPR8_ARATH")</f>
        <v>PPR8_ARATH</v>
      </c>
      <c r="D10409" t="s">
        <v>6859</v>
      </c>
      <c r="E10409" s="3" t="s">
        <v>3</v>
      </c>
      <c r="F10409" s="4">
        <v>6.9000000000000006E-157</v>
      </c>
      <c r="G10409" s="3">
        <v>1200</v>
      </c>
      <c r="H10409" s="3">
        <v>65</v>
      </c>
      <c r="I10409" s="3">
        <v>364</v>
      </c>
      <c r="J10409" s="3">
        <v>383</v>
      </c>
      <c r="K10409" s="3">
        <v>1471</v>
      </c>
      <c r="L10409" s="3">
        <v>246</v>
      </c>
      <c r="M10409" s="3">
        <v>609</v>
      </c>
    </row>
    <row r="10410" spans="1:13" x14ac:dyDescent="0.25">
      <c r="A10410" s="1" t="str">
        <f>HYPERLINK("http://www.rosaceae.org/Prunus/Prunus_persica/p.persica_gdr_reftransV1_0026336","p.persica_gdr_reftransV1_0026336")</f>
        <v>p.persica_gdr_reftransV1_0026336</v>
      </c>
      <c r="B10410" s="3">
        <v>2485</v>
      </c>
      <c r="C10410" s="1" t="str">
        <f>HYPERLINK("http://www.uniprot.org/uniprot/G3BP_SCHPO","G3BP_SCHPO")</f>
        <v>G3BP_SCHPO</v>
      </c>
      <c r="D10410" t="s">
        <v>2656</v>
      </c>
      <c r="E10410" s="3" t="s">
        <v>464</v>
      </c>
      <c r="F10410" s="4">
        <v>4.5000000000000001E-20</v>
      </c>
      <c r="G10410" s="3">
        <v>241</v>
      </c>
      <c r="H10410" s="3">
        <v>39</v>
      </c>
      <c r="I10410" s="3">
        <v>120</v>
      </c>
      <c r="J10410" s="3">
        <v>983</v>
      </c>
      <c r="K10410" s="3">
        <v>1342</v>
      </c>
      <c r="L10410" s="3">
        <v>18</v>
      </c>
      <c r="M10410" s="3">
        <v>137</v>
      </c>
    </row>
    <row r="10411" spans="1:13" x14ac:dyDescent="0.25">
      <c r="A10411" s="1" t="str">
        <f>HYPERLINK("http://www.rosaceae.org/Prunus/Prunus_persica/p.persica_gdr_reftransV1_0026386","p.persica_gdr_reftransV1_0026386")</f>
        <v>p.persica_gdr_reftransV1_0026386</v>
      </c>
      <c r="B10411" s="3">
        <v>2592</v>
      </c>
      <c r="C10411" s="1" t="str">
        <f>HYPERLINK("http://www.uniprot.org/uniprot/SPPA1_ARATH","SPPA1_ARATH")</f>
        <v>SPPA1_ARATH</v>
      </c>
      <c r="D10411" t="s">
        <v>4887</v>
      </c>
      <c r="E10411" s="3" t="s">
        <v>3</v>
      </c>
      <c r="F10411" s="4">
        <v>0</v>
      </c>
      <c r="G10411" s="3">
        <v>1964</v>
      </c>
      <c r="H10411" s="3">
        <v>75</v>
      </c>
      <c r="I10411" s="3">
        <v>520</v>
      </c>
      <c r="J10411" s="3">
        <v>380</v>
      </c>
      <c r="K10411" s="3">
        <v>1939</v>
      </c>
      <c r="L10411" s="3">
        <v>84</v>
      </c>
      <c r="M10411" s="3">
        <v>603</v>
      </c>
    </row>
    <row r="10412" spans="1:13" x14ac:dyDescent="0.25">
      <c r="A10412" s="1" t="str">
        <f>HYPERLINK("http://www.rosaceae.org/Prunus/Prunus_persica/p.persica_gdr_reftransV1_0026586","p.persica_gdr_reftransV1_0026586")</f>
        <v>p.persica_gdr_reftransV1_0026586</v>
      </c>
      <c r="B10412" s="3">
        <v>629</v>
      </c>
      <c r="C10412" s="1" t="str">
        <f>HYPERLINK("http://www.uniprot.org/uniprot/CHD1L_HUMAN","CHD1L_HUMAN")</f>
        <v>CHD1L_HUMAN</v>
      </c>
      <c r="D10412" t="s">
        <v>7581</v>
      </c>
      <c r="E10412" s="3" t="s">
        <v>28</v>
      </c>
      <c r="F10412" s="4">
        <v>2.7500000000000001E-32</v>
      </c>
      <c r="G10412" s="3">
        <v>322</v>
      </c>
      <c r="H10412" s="3">
        <v>45</v>
      </c>
      <c r="I10412" s="3">
        <v>158</v>
      </c>
      <c r="J10412" s="3">
        <v>3</v>
      </c>
      <c r="K10412" s="3">
        <v>473</v>
      </c>
      <c r="L10412" s="3">
        <v>53</v>
      </c>
      <c r="M10412" s="3">
        <v>197</v>
      </c>
    </row>
    <row r="10413" spans="1:13" x14ac:dyDescent="0.25">
      <c r="A10413" s="1" t="str">
        <f>HYPERLINK("http://www.rosaceae.org/Prunus/Prunus_persica/p.persica_gdr_reftransV1_0026636","p.persica_gdr_reftransV1_0026636")</f>
        <v>p.persica_gdr_reftransV1_0026636</v>
      </c>
      <c r="B10413" s="3">
        <v>491</v>
      </c>
      <c r="C10413" s="1" t="str">
        <f>HYPERLINK("http://www.uniprot.org/uniprot/LRKS1_ARATH","LRKS1_ARATH")</f>
        <v>LRKS1_ARATH</v>
      </c>
      <c r="D10413" t="s">
        <v>2295</v>
      </c>
      <c r="E10413" s="3" t="s">
        <v>3</v>
      </c>
      <c r="F10413" s="4">
        <v>3.6099999999999997E-11</v>
      </c>
      <c r="G10413" s="3">
        <v>156</v>
      </c>
      <c r="H10413" s="3">
        <v>61</v>
      </c>
      <c r="I10413" s="3">
        <v>51</v>
      </c>
      <c r="J10413" s="3">
        <v>12</v>
      </c>
      <c r="K10413" s="3">
        <v>164</v>
      </c>
      <c r="L10413" s="3">
        <v>125</v>
      </c>
      <c r="M10413" s="3">
        <v>175</v>
      </c>
    </row>
    <row r="10414" spans="1:13" x14ac:dyDescent="0.25">
      <c r="A10414" s="1" t="str">
        <f>HYPERLINK("http://www.rosaceae.org/Prunus/Prunus_persica/p.persica_gdr_reftransV1_0027336","p.persica_gdr_reftransV1_0027336")</f>
        <v>p.persica_gdr_reftransV1_0027336</v>
      </c>
      <c r="B10414" s="3">
        <v>1356</v>
      </c>
      <c r="C10414" s="1" t="str">
        <f>HYPERLINK("http://www.uniprot.org/uniprot/ROC1_SPIOL","ROC1_SPIOL")</f>
        <v>ROC1_SPIOL</v>
      </c>
      <c r="D10414" t="s">
        <v>7582</v>
      </c>
      <c r="E10414" s="3" t="s">
        <v>131</v>
      </c>
      <c r="F10414" s="4">
        <v>7.5300000000000005E-46</v>
      </c>
      <c r="G10414" s="3">
        <v>416</v>
      </c>
      <c r="H10414" s="3">
        <v>50</v>
      </c>
      <c r="I10414" s="3">
        <v>172</v>
      </c>
      <c r="J10414" s="3">
        <v>577</v>
      </c>
      <c r="K10414" s="3">
        <v>1080</v>
      </c>
      <c r="L10414" s="3">
        <v>56</v>
      </c>
      <c r="M10414" s="3">
        <v>226</v>
      </c>
    </row>
    <row r="10415" spans="1:13" x14ac:dyDescent="0.25">
      <c r="A10415" s="1" t="str">
        <f>HYPERLINK("http://www.rosaceae.org/Prunus/Prunus_persica/p.persica_gdr_reftransV1_0027386","p.persica_gdr_reftransV1_0027386")</f>
        <v>p.persica_gdr_reftransV1_0027386</v>
      </c>
      <c r="B10415" s="3">
        <v>1515</v>
      </c>
      <c r="C10415" s="1" t="str">
        <f>HYPERLINK("http://www.uniprot.org/uniprot/EXOS3_DICDI","EXOS3_DICDI")</f>
        <v>EXOS3_DICDI</v>
      </c>
      <c r="D10415" t="s">
        <v>7583</v>
      </c>
      <c r="E10415" s="3" t="s">
        <v>9</v>
      </c>
      <c r="F10415" s="4">
        <v>9.8499999999999997E-38</v>
      </c>
      <c r="G10415" s="3">
        <v>360</v>
      </c>
      <c r="H10415" s="3">
        <v>35</v>
      </c>
      <c r="I10415" s="3">
        <v>237</v>
      </c>
      <c r="J10415" s="3">
        <v>292</v>
      </c>
      <c r="K10415" s="3">
        <v>999</v>
      </c>
      <c r="L10415" s="3">
        <v>30</v>
      </c>
      <c r="M10415" s="3">
        <v>216</v>
      </c>
    </row>
    <row r="10416" spans="1:13" x14ac:dyDescent="0.25">
      <c r="A10416" s="1" t="str">
        <f>HYPERLINK("http://www.rosaceae.org/Prunus/Prunus_persica/p.persica_gdr_reftransV1_0027486","p.persica_gdr_reftransV1_0027486")</f>
        <v>p.persica_gdr_reftransV1_0027486</v>
      </c>
      <c r="B10416" s="3">
        <v>2392</v>
      </c>
      <c r="C10416" s="1" t="str">
        <f>HYPERLINK("http://www.uniprot.org/uniprot/RFA1A_ARATH","RFA1A_ARATH")</f>
        <v>RFA1A_ARATH</v>
      </c>
      <c r="D10416" t="s">
        <v>7584</v>
      </c>
      <c r="E10416" s="3" t="s">
        <v>3</v>
      </c>
      <c r="F10416" s="4">
        <v>0</v>
      </c>
      <c r="G10416" s="3">
        <v>2244</v>
      </c>
      <c r="H10416" s="3">
        <v>67</v>
      </c>
      <c r="I10416" s="3">
        <v>658</v>
      </c>
      <c r="J10416" s="3">
        <v>236</v>
      </c>
      <c r="K10416" s="3">
        <v>2182</v>
      </c>
      <c r="L10416" s="3">
        <v>1</v>
      </c>
      <c r="M10416" s="3">
        <v>640</v>
      </c>
    </row>
    <row r="10417" spans="1:13" x14ac:dyDescent="0.25">
      <c r="A10417" s="1" t="str">
        <f>HYPERLINK("http://www.rosaceae.org/Prunus/Prunus_persica/p.persica_gdr_reftransV1_0027586","p.persica_gdr_reftransV1_0027586")</f>
        <v>p.persica_gdr_reftransV1_0027586</v>
      </c>
      <c r="B10417" s="3">
        <v>3005</v>
      </c>
      <c r="C10417" s="1" t="str">
        <f>HYPERLINK("http://www.uniprot.org/uniprot/IAA7_ARATH","IAA7_ARATH")</f>
        <v>IAA7_ARATH</v>
      </c>
      <c r="D10417" t="s">
        <v>7585</v>
      </c>
      <c r="E10417" s="3" t="s">
        <v>3</v>
      </c>
      <c r="F10417" s="4">
        <v>1.28E-44</v>
      </c>
      <c r="G10417" s="3">
        <v>422</v>
      </c>
      <c r="H10417" s="3">
        <v>43</v>
      </c>
      <c r="I10417" s="3">
        <v>258</v>
      </c>
      <c r="J10417" s="3">
        <v>1862</v>
      </c>
      <c r="K10417" s="3">
        <v>2572</v>
      </c>
      <c r="L10417" s="3">
        <v>2</v>
      </c>
      <c r="M10417" s="3">
        <v>234</v>
      </c>
    </row>
    <row r="10418" spans="1:13" x14ac:dyDescent="0.25">
      <c r="A10418" s="1" t="str">
        <f>HYPERLINK("http://www.rosaceae.org/Prunus/Prunus_persica/p.persica_gdr_reftransV1_0027736","p.persica_gdr_reftransV1_0027736")</f>
        <v>p.persica_gdr_reftransV1_0027736</v>
      </c>
      <c r="B10418" s="3">
        <v>2712</v>
      </c>
      <c r="C10418" s="1" t="str">
        <f>HYPERLINK("http://www.uniprot.org/uniprot/PLSB_CUCSA","PLSB_CUCSA")</f>
        <v>PLSB_CUCSA</v>
      </c>
      <c r="D10418" t="s">
        <v>7586</v>
      </c>
      <c r="E10418" s="3" t="s">
        <v>1149</v>
      </c>
      <c r="F10418" s="4">
        <v>1.63E-100</v>
      </c>
      <c r="G10418" s="3">
        <v>832</v>
      </c>
      <c r="H10418" s="3">
        <v>81</v>
      </c>
      <c r="I10418" s="3">
        <v>178</v>
      </c>
      <c r="J10418" s="3">
        <v>515</v>
      </c>
      <c r="K10418" s="3">
        <v>1048</v>
      </c>
      <c r="L10418" s="3">
        <v>212</v>
      </c>
      <c r="M10418" s="3">
        <v>389</v>
      </c>
    </row>
    <row r="10419" spans="1:13" x14ac:dyDescent="0.25">
      <c r="A10419" s="1" t="str">
        <f>HYPERLINK("http://www.rosaceae.org/Prunus/Prunus_persica/p.persica_gdr_reftransV1_0027836","p.persica_gdr_reftransV1_0027836")</f>
        <v>p.persica_gdr_reftransV1_0027836</v>
      </c>
      <c r="B10419" s="3">
        <v>9301</v>
      </c>
      <c r="C10419" s="1" t="str">
        <f>HYPERLINK("http://www.uniprot.org/uniprot/GLSN_MEDSA","GLSN_MEDSA")</f>
        <v>GLSN_MEDSA</v>
      </c>
      <c r="D10419" t="s">
        <v>7587</v>
      </c>
      <c r="E10419" s="3" t="s">
        <v>515</v>
      </c>
      <c r="F10419" s="4">
        <v>0</v>
      </c>
      <c r="G10419" s="3">
        <v>8317</v>
      </c>
      <c r="H10419" s="3">
        <v>86</v>
      </c>
      <c r="I10419" s="3">
        <v>1906</v>
      </c>
      <c r="J10419" s="3">
        <v>1709</v>
      </c>
      <c r="K10419" s="3">
        <v>7405</v>
      </c>
      <c r="L10419" s="3">
        <v>303</v>
      </c>
      <c r="M10419" s="3">
        <v>2194</v>
      </c>
    </row>
    <row r="10420" spans="1:13" x14ac:dyDescent="0.25">
      <c r="A10420" s="1" t="str">
        <f>HYPERLINK("http://www.rosaceae.org/Prunus/Prunus_persica/p.persica_gdr_reftransV1_0027886","p.persica_gdr_reftransV1_0027886")</f>
        <v>p.persica_gdr_reftransV1_0027886</v>
      </c>
      <c r="B10420" s="3">
        <v>2397</v>
      </c>
      <c r="C10420" s="1" t="str">
        <f>HYPERLINK("http://www.uniprot.org/uniprot/CRCK2_ARATH","CRCK2_ARATH")</f>
        <v>CRCK2_ARATH</v>
      </c>
      <c r="D10420" t="s">
        <v>7588</v>
      </c>
      <c r="E10420" s="3" t="s">
        <v>3</v>
      </c>
      <c r="F10420" s="4">
        <v>8.8800000000000006E-152</v>
      </c>
      <c r="G10420" s="3">
        <v>1175</v>
      </c>
      <c r="H10420" s="3">
        <v>72</v>
      </c>
      <c r="I10420" s="3">
        <v>317</v>
      </c>
      <c r="J10420" s="3">
        <v>949</v>
      </c>
      <c r="K10420" s="3">
        <v>1893</v>
      </c>
      <c r="L10420" s="3">
        <v>96</v>
      </c>
      <c r="M10420" s="3">
        <v>406</v>
      </c>
    </row>
    <row r="10421" spans="1:13" x14ac:dyDescent="0.25">
      <c r="A10421" s="1" t="str">
        <f>HYPERLINK("http://www.rosaceae.org/Prunus/Prunus_persica/p.persica_gdr_reftransV1_0028086","p.persica_gdr_reftransV1_0028086")</f>
        <v>p.persica_gdr_reftransV1_0028086</v>
      </c>
      <c r="B10421" s="3">
        <v>3338</v>
      </c>
      <c r="C10421" s="1" t="str">
        <f>HYPERLINK("http://www.uniprot.org/uniprot/RBBP6_MOUSE","RBBP6_MOUSE")</f>
        <v>RBBP6_MOUSE</v>
      </c>
      <c r="D10421" t="s">
        <v>7589</v>
      </c>
      <c r="E10421" s="3" t="s">
        <v>157</v>
      </c>
      <c r="F10421" s="4">
        <v>2.8299999999999999E-11</v>
      </c>
      <c r="G10421" s="3">
        <v>175</v>
      </c>
      <c r="H10421" s="3">
        <v>44</v>
      </c>
      <c r="I10421" s="3">
        <v>81</v>
      </c>
      <c r="J10421" s="3">
        <v>2928</v>
      </c>
      <c r="K10421" s="3">
        <v>3170</v>
      </c>
      <c r="L10421" s="3">
        <v>4</v>
      </c>
      <c r="M10421" s="3">
        <v>82</v>
      </c>
    </row>
    <row r="10422" spans="1:13" x14ac:dyDescent="0.25">
      <c r="A10422" s="1" t="str">
        <f>HYPERLINK("http://www.rosaceae.org/Prunus/Prunus_persica/p.persica_gdr_reftransV1_0028186","p.persica_gdr_reftransV1_0028186")</f>
        <v>p.persica_gdr_reftransV1_0028186</v>
      </c>
      <c r="B10422" s="3">
        <v>1885</v>
      </c>
      <c r="C10422" s="1" t="str">
        <f>HYPERLINK("http://www.uniprot.org/uniprot/OMT3_DICDI","OMT3_DICDI")</f>
        <v>OMT3_DICDI</v>
      </c>
      <c r="D10422" t="s">
        <v>7590</v>
      </c>
      <c r="E10422" s="3" t="s">
        <v>9</v>
      </c>
      <c r="F10422" s="4">
        <v>1.1499999999999999E-22</v>
      </c>
      <c r="G10422" s="3">
        <v>260</v>
      </c>
      <c r="H10422" s="3">
        <v>46</v>
      </c>
      <c r="I10422" s="3">
        <v>119</v>
      </c>
      <c r="J10422" s="3">
        <v>1262</v>
      </c>
      <c r="K10422" s="3">
        <v>1612</v>
      </c>
      <c r="L10422" s="3">
        <v>276</v>
      </c>
      <c r="M10422" s="3">
        <v>394</v>
      </c>
    </row>
    <row r="10423" spans="1:13" x14ac:dyDescent="0.25">
      <c r="A10423" s="1" t="str">
        <f>HYPERLINK("http://www.rosaceae.org/Prunus/Prunus_persica/p.persica_gdr_reftransV1_0028236","p.persica_gdr_reftransV1_0028236")</f>
        <v>p.persica_gdr_reftransV1_0028236</v>
      </c>
      <c r="B10423" s="3">
        <v>1418</v>
      </c>
      <c r="C10423" s="1" t="str">
        <f>HYPERLINK("http://www.uniprot.org/uniprot/P2C09_ARATH","P2C09_ARATH")</f>
        <v>P2C09_ARATH</v>
      </c>
      <c r="D10423" t="s">
        <v>7591</v>
      </c>
      <c r="E10423" s="3" t="s">
        <v>3</v>
      </c>
      <c r="F10423" s="4">
        <v>1.3099999999999999E-146</v>
      </c>
      <c r="G10423" s="3">
        <v>1098</v>
      </c>
      <c r="H10423" s="3">
        <v>76</v>
      </c>
      <c r="I10423" s="3">
        <v>282</v>
      </c>
      <c r="J10423" s="3">
        <v>407</v>
      </c>
      <c r="K10423" s="3">
        <v>1252</v>
      </c>
      <c r="L10423" s="3">
        <v>1</v>
      </c>
      <c r="M10423" s="3">
        <v>281</v>
      </c>
    </row>
    <row r="10424" spans="1:13" x14ac:dyDescent="0.25">
      <c r="A10424" s="1" t="str">
        <f>HYPERLINK("http://www.rosaceae.org/Prunus/Prunus_persica/p.persica_gdr_reftransV1_0028436","p.persica_gdr_reftransV1_0028436")</f>
        <v>p.persica_gdr_reftransV1_0028436</v>
      </c>
      <c r="B10424" s="3">
        <v>3256</v>
      </c>
      <c r="C10424" s="1" t="str">
        <f>HYPERLINK("http://www.uniprot.org/uniprot/SUT13_ARATH","SUT13_ARATH")</f>
        <v>SUT13_ARATH</v>
      </c>
      <c r="D10424" t="s">
        <v>5339</v>
      </c>
      <c r="E10424" s="3" t="s">
        <v>3</v>
      </c>
      <c r="F10424" s="4">
        <v>0</v>
      </c>
      <c r="G10424" s="3">
        <v>1510</v>
      </c>
      <c r="H10424" s="3">
        <v>79</v>
      </c>
      <c r="I10424" s="3">
        <v>379</v>
      </c>
      <c r="J10424" s="3">
        <v>315</v>
      </c>
      <c r="K10424" s="3">
        <v>1451</v>
      </c>
      <c r="L10424" s="3">
        <v>277</v>
      </c>
      <c r="M10424" s="3">
        <v>655</v>
      </c>
    </row>
    <row r="10425" spans="1:13" x14ac:dyDescent="0.25">
      <c r="A10425" s="1" t="str">
        <f>HYPERLINK("http://www.rosaceae.org/Prunus/Prunus_persica/p.persica_gdr_reftransV1_0028886","p.persica_gdr_reftransV1_0028886")</f>
        <v>p.persica_gdr_reftransV1_0028886</v>
      </c>
      <c r="B10425" s="3">
        <v>1351</v>
      </c>
      <c r="C10425" s="1" t="str">
        <f>HYPERLINK("http://www.uniprot.org/uniprot/PPR59_ARATH","PPR59_ARATH")</f>
        <v>PPR59_ARATH</v>
      </c>
      <c r="D10425" t="s">
        <v>7592</v>
      </c>
      <c r="E10425" s="3" t="s">
        <v>3</v>
      </c>
      <c r="F10425" s="4">
        <v>0</v>
      </c>
      <c r="G10425" s="3">
        <v>1501</v>
      </c>
      <c r="H10425" s="3">
        <v>63</v>
      </c>
      <c r="I10425" s="3">
        <v>435</v>
      </c>
      <c r="J10425" s="3">
        <v>48</v>
      </c>
      <c r="K10425" s="3">
        <v>1349</v>
      </c>
      <c r="L10425" s="3">
        <v>15</v>
      </c>
      <c r="M10425" s="3">
        <v>446</v>
      </c>
    </row>
    <row r="10426" spans="1:13" x14ac:dyDescent="0.25">
      <c r="A10426" s="1" t="str">
        <f>HYPERLINK("http://www.rosaceae.org/Prunus/Prunus_persica/p.persica_gdr_reftransV1_0029436","p.persica_gdr_reftransV1_0029436")</f>
        <v>p.persica_gdr_reftransV1_0029436</v>
      </c>
      <c r="B10426" s="3">
        <v>2215</v>
      </c>
      <c r="C10426" s="1" t="str">
        <f>HYPERLINK("http://www.uniprot.org/uniprot/DPYS_ARATH","DPYS_ARATH")</f>
        <v>DPYS_ARATH</v>
      </c>
      <c r="D10426" t="s">
        <v>1175</v>
      </c>
      <c r="E10426" s="3" t="s">
        <v>3</v>
      </c>
      <c r="F10426" s="4">
        <v>0</v>
      </c>
      <c r="G10426" s="3">
        <v>1987</v>
      </c>
      <c r="H10426" s="3">
        <v>83</v>
      </c>
      <c r="I10426" s="3">
        <v>428</v>
      </c>
      <c r="J10426" s="3">
        <v>374</v>
      </c>
      <c r="K10426" s="3">
        <v>1657</v>
      </c>
      <c r="L10426" s="3">
        <v>100</v>
      </c>
      <c r="M10426" s="3">
        <v>527</v>
      </c>
    </row>
    <row r="10427" spans="1:13" x14ac:dyDescent="0.25">
      <c r="A10427" s="1" t="str">
        <f>HYPERLINK("http://www.rosaceae.org/Prunus/Prunus_persica/p.persica_gdr_reftransV1_0029986","p.persica_gdr_reftransV1_0029986")</f>
        <v>p.persica_gdr_reftransV1_0029986</v>
      </c>
      <c r="B10427" s="3">
        <v>2350</v>
      </c>
      <c r="C10427" s="1" t="str">
        <f>HYPERLINK("http://www.uniprot.org/uniprot/PUB16_ARATH","PUB16_ARATH")</f>
        <v>PUB16_ARATH</v>
      </c>
      <c r="D10427" t="s">
        <v>2551</v>
      </c>
      <c r="E10427" s="3" t="s">
        <v>3</v>
      </c>
      <c r="F10427" s="4">
        <v>0</v>
      </c>
      <c r="G10427" s="3">
        <v>1911</v>
      </c>
      <c r="H10427" s="3">
        <v>60</v>
      </c>
      <c r="I10427" s="3">
        <v>655</v>
      </c>
      <c r="J10427" s="3">
        <v>227</v>
      </c>
      <c r="K10427" s="3">
        <v>2179</v>
      </c>
      <c r="L10427" s="3">
        <v>10</v>
      </c>
      <c r="M10427" s="3">
        <v>649</v>
      </c>
    </row>
    <row r="10428" spans="1:13" x14ac:dyDescent="0.25">
      <c r="A10428" s="1" t="str">
        <f>HYPERLINK("http://www.rosaceae.org/Prunus/Prunus_persica/p.persica_gdr_reftransV1_0030086","p.persica_gdr_reftransV1_0030086")</f>
        <v>p.persica_gdr_reftransV1_0030086</v>
      </c>
      <c r="B10428" s="3">
        <v>4343</v>
      </c>
      <c r="C10428" s="1" t="str">
        <f>HYPERLINK("http://www.uniprot.org/uniprot/TYRA1_ARATH","TYRA1_ARATH")</f>
        <v>TYRA1_ARATH</v>
      </c>
      <c r="D10428" t="s">
        <v>6034</v>
      </c>
      <c r="E10428" s="3" t="s">
        <v>3</v>
      </c>
      <c r="F10428" s="4">
        <v>0</v>
      </c>
      <c r="G10428" s="3">
        <v>2238</v>
      </c>
      <c r="H10428" s="3">
        <v>73</v>
      </c>
      <c r="I10428" s="3">
        <v>575</v>
      </c>
      <c r="J10428" s="3">
        <v>1086</v>
      </c>
      <c r="K10428" s="3">
        <v>2792</v>
      </c>
      <c r="L10428" s="3">
        <v>53</v>
      </c>
      <c r="M10428" s="3">
        <v>619</v>
      </c>
    </row>
    <row r="10429" spans="1:13" x14ac:dyDescent="0.25">
      <c r="A10429" s="1" t="str">
        <f>HYPERLINK("http://www.rosaceae.org/Prunus/Prunus_persica/p.persica_gdr_reftransV1_0030436","p.persica_gdr_reftransV1_0030436")</f>
        <v>p.persica_gdr_reftransV1_0030436</v>
      </c>
      <c r="B10429" s="3">
        <v>2008</v>
      </c>
      <c r="C10429" s="1" t="str">
        <f>HYPERLINK("http://www.uniprot.org/uniprot/HGNAT_HUMAN","HGNAT_HUMAN")</f>
        <v>HGNAT_HUMAN</v>
      </c>
      <c r="D10429" t="s">
        <v>7593</v>
      </c>
      <c r="E10429" s="3" t="s">
        <v>28</v>
      </c>
      <c r="F10429" s="4">
        <v>1.12E-30</v>
      </c>
      <c r="G10429" s="3">
        <v>330</v>
      </c>
      <c r="H10429" s="3">
        <v>29</v>
      </c>
      <c r="I10429" s="3">
        <v>402</v>
      </c>
      <c r="J10429" s="3">
        <v>678</v>
      </c>
      <c r="K10429" s="3">
        <v>1814</v>
      </c>
      <c r="L10429" s="3">
        <v>247</v>
      </c>
      <c r="M10429" s="3">
        <v>612</v>
      </c>
    </row>
    <row r="10430" spans="1:13" x14ac:dyDescent="0.25">
      <c r="A10430" s="1" t="str">
        <f>HYPERLINK("http://www.rosaceae.org/Prunus/Prunus_persica/p.persica_gdr_reftransV1_0030586","p.persica_gdr_reftransV1_0030586")</f>
        <v>p.persica_gdr_reftransV1_0030586</v>
      </c>
      <c r="B10430" s="3">
        <v>1474</v>
      </c>
      <c r="C10430" s="1" t="str">
        <f>HYPERLINK("http://www.uniprot.org/uniprot/PFBS_ARATH","PFBS_ARATH")</f>
        <v>PFBS_ARATH</v>
      </c>
      <c r="D10430" t="s">
        <v>7594</v>
      </c>
      <c r="E10430" s="3" t="s">
        <v>3</v>
      </c>
      <c r="F10430" s="4">
        <v>1.91E-56</v>
      </c>
      <c r="G10430" s="3">
        <v>435</v>
      </c>
      <c r="H10430" s="3">
        <v>59</v>
      </c>
      <c r="I10430" s="3">
        <v>131</v>
      </c>
      <c r="J10430" s="3">
        <v>827</v>
      </c>
      <c r="K10430" s="3">
        <v>1219</v>
      </c>
      <c r="L10430" s="3">
        <v>46</v>
      </c>
      <c r="M10430" s="3">
        <v>176</v>
      </c>
    </row>
    <row r="10431" spans="1:13" x14ac:dyDescent="0.25">
      <c r="A10431" s="1" t="str">
        <f>HYPERLINK("http://www.rosaceae.org/Prunus/Prunus_persica/p.persica_gdr_reftransV1_0030636","p.persica_gdr_reftransV1_0030636")</f>
        <v>p.persica_gdr_reftransV1_0030636</v>
      </c>
      <c r="B10431" s="3">
        <v>3060</v>
      </c>
      <c r="C10431" s="1" t="str">
        <f>HYPERLINK("http://www.uniprot.org/uniprot/PHT14_ARATH","PHT14_ARATH")</f>
        <v>PHT14_ARATH</v>
      </c>
      <c r="D10431" t="s">
        <v>6897</v>
      </c>
      <c r="E10431" s="3" t="s">
        <v>3</v>
      </c>
      <c r="F10431" s="4">
        <v>0</v>
      </c>
      <c r="G10431" s="3">
        <v>2304</v>
      </c>
      <c r="H10431" s="3">
        <v>87</v>
      </c>
      <c r="I10431" s="3">
        <v>511</v>
      </c>
      <c r="J10431" s="3">
        <v>448</v>
      </c>
      <c r="K10431" s="3">
        <v>1968</v>
      </c>
      <c r="L10431" s="3">
        <v>1</v>
      </c>
      <c r="M10431" s="3">
        <v>511</v>
      </c>
    </row>
    <row r="10432" spans="1:13" x14ac:dyDescent="0.25">
      <c r="A10432" s="1" t="str">
        <f>HYPERLINK("http://www.rosaceae.org/Prunus/Prunus_persica/p.persica_gdr_reftransV1_0030686","p.persica_gdr_reftransV1_0030686")</f>
        <v>p.persica_gdr_reftransV1_0030686</v>
      </c>
      <c r="B10432" s="3">
        <v>2877</v>
      </c>
      <c r="C10432" s="1" t="str">
        <f>HYPERLINK("http://www.uniprot.org/uniprot/BZP17_ARATH","BZP17_ARATH")</f>
        <v>BZP17_ARATH</v>
      </c>
      <c r="D10432" t="s">
        <v>7595</v>
      </c>
      <c r="E10432" s="3" t="s">
        <v>3</v>
      </c>
      <c r="F10432" s="4">
        <v>3.5800000000000002E-128</v>
      </c>
      <c r="G10432" s="3">
        <v>1056</v>
      </c>
      <c r="H10432" s="3">
        <v>54</v>
      </c>
      <c r="I10432" s="3">
        <v>622</v>
      </c>
      <c r="J10432" s="3">
        <v>375</v>
      </c>
      <c r="K10432" s="3">
        <v>2204</v>
      </c>
      <c r="L10432" s="3">
        <v>147</v>
      </c>
      <c r="M10432" s="3">
        <v>721</v>
      </c>
    </row>
    <row r="10433" spans="1:13" x14ac:dyDescent="0.25">
      <c r="A10433" s="1" t="str">
        <f>HYPERLINK("http://www.rosaceae.org/Prunus/Prunus_persica/p.persica_gdr_reftransV1_0030786","p.persica_gdr_reftransV1_0030786")</f>
        <v>p.persica_gdr_reftransV1_0030786</v>
      </c>
      <c r="B10433" s="3">
        <v>2940</v>
      </c>
      <c r="C10433" s="1" t="str">
        <f>HYPERLINK("http://www.uniprot.org/uniprot/OTUD5_RAT","OTUD5_RAT")</f>
        <v>OTUD5_RAT</v>
      </c>
      <c r="D10433" t="s">
        <v>7596</v>
      </c>
      <c r="E10433" s="3" t="s">
        <v>161</v>
      </c>
      <c r="F10433" s="4">
        <v>3.1899999999999999E-53</v>
      </c>
      <c r="G10433" s="3">
        <v>508</v>
      </c>
      <c r="H10433" s="3">
        <v>49</v>
      </c>
      <c r="I10433" s="3">
        <v>180</v>
      </c>
      <c r="J10433" s="3">
        <v>1524</v>
      </c>
      <c r="K10433" s="3">
        <v>2048</v>
      </c>
      <c r="L10433" s="3">
        <v>172</v>
      </c>
      <c r="M10433" s="3">
        <v>351</v>
      </c>
    </row>
    <row r="10434" spans="1:13" x14ac:dyDescent="0.25">
      <c r="A10434" s="1" t="str">
        <f>HYPERLINK("http://www.rosaceae.org/Prunus/Prunus_persica/p.persica_gdr_reftransV1_0030886","p.persica_gdr_reftransV1_0030886")</f>
        <v>p.persica_gdr_reftransV1_0030886</v>
      </c>
      <c r="B10434" s="3">
        <v>2328</v>
      </c>
      <c r="C10434" s="1" t="str">
        <f>HYPERLINK("http://www.uniprot.org/uniprot/T214B_XENLA","T214B_XENLA")</f>
        <v>T214B_XENLA</v>
      </c>
      <c r="D10434" t="s">
        <v>7597</v>
      </c>
      <c r="E10434" s="3" t="s">
        <v>475</v>
      </c>
      <c r="F10434" s="4">
        <v>4.8199999999999997E-13</v>
      </c>
      <c r="G10434" s="3">
        <v>187</v>
      </c>
      <c r="H10434" s="3">
        <v>25</v>
      </c>
      <c r="I10434" s="3">
        <v>273</v>
      </c>
      <c r="J10434" s="3">
        <v>562</v>
      </c>
      <c r="K10434" s="3">
        <v>1371</v>
      </c>
      <c r="L10434" s="3">
        <v>212</v>
      </c>
      <c r="M10434" s="3">
        <v>462</v>
      </c>
    </row>
    <row r="10435" spans="1:13" x14ac:dyDescent="0.25">
      <c r="A10435" s="1" t="str">
        <f>HYPERLINK("http://www.rosaceae.org/Prunus/Prunus_persica/p.persica_gdr_reftransV1_0030986","p.persica_gdr_reftransV1_0030986")</f>
        <v>p.persica_gdr_reftransV1_0030986</v>
      </c>
      <c r="B10435" s="3">
        <v>927</v>
      </c>
      <c r="C10435" s="1" t="str">
        <f>HYPERLINK("http://www.uniprot.org/uniprot/TMVRN_NICGU","TMVRN_NICGU")</f>
        <v>TMVRN_NICGU</v>
      </c>
      <c r="D10435" t="s">
        <v>151</v>
      </c>
      <c r="E10435" s="3" t="s">
        <v>152</v>
      </c>
      <c r="F10435" s="4">
        <v>6.37E-36</v>
      </c>
      <c r="G10435" s="3">
        <v>359</v>
      </c>
      <c r="H10435" s="3">
        <v>41</v>
      </c>
      <c r="I10435" s="3">
        <v>305</v>
      </c>
      <c r="J10435" s="3">
        <v>13</v>
      </c>
      <c r="K10435" s="3">
        <v>906</v>
      </c>
      <c r="L10435" s="3">
        <v>207</v>
      </c>
      <c r="M10435" s="3">
        <v>499</v>
      </c>
    </row>
    <row r="10436" spans="1:13" x14ac:dyDescent="0.25">
      <c r="A10436" s="1" t="str">
        <f>HYPERLINK("http://www.rosaceae.org/Prunus/Prunus_persica/p.persica_gdr_reftransV1_0031036","p.persica_gdr_reftransV1_0031036")</f>
        <v>p.persica_gdr_reftransV1_0031036</v>
      </c>
      <c r="B10436" s="3">
        <v>2666</v>
      </c>
      <c r="C10436" s="1" t="str">
        <f>HYPERLINK("http://www.uniprot.org/uniprot/B3GT7_ARATH","B3GT7_ARATH")</f>
        <v>B3GT7_ARATH</v>
      </c>
      <c r="D10436" t="s">
        <v>7598</v>
      </c>
      <c r="E10436" s="3" t="s">
        <v>3</v>
      </c>
      <c r="F10436" s="4">
        <v>3.9600000000000001E-146</v>
      </c>
      <c r="G10436" s="3">
        <v>1143</v>
      </c>
      <c r="H10436" s="3">
        <v>70</v>
      </c>
      <c r="I10436" s="3">
        <v>322</v>
      </c>
      <c r="J10436" s="3">
        <v>1566</v>
      </c>
      <c r="K10436" s="3">
        <v>2498</v>
      </c>
      <c r="L10436" s="3">
        <v>1</v>
      </c>
      <c r="M10436" s="3">
        <v>308</v>
      </c>
    </row>
    <row r="10437" spans="1:13" x14ac:dyDescent="0.25">
      <c r="A10437" s="1" t="str">
        <f>HYPERLINK("http://www.rosaceae.org/Prunus/Prunus_persica/p.persica_gdr_reftransV1_0031136","p.persica_gdr_reftransV1_0031136")</f>
        <v>p.persica_gdr_reftransV1_0031136</v>
      </c>
      <c r="B10437" s="3">
        <v>1550</v>
      </c>
      <c r="C10437" s="1" t="str">
        <f>HYPERLINK("http://www.uniprot.org/uniprot/HBD_BRADU","HBD_BRADU")</f>
        <v>HBD_BRADU</v>
      </c>
      <c r="D10437" t="s">
        <v>66</v>
      </c>
      <c r="E10437" s="3" t="s">
        <v>67</v>
      </c>
      <c r="F10437" s="4">
        <v>2.4699999999999999E-105</v>
      </c>
      <c r="G10437" s="3">
        <v>829</v>
      </c>
      <c r="H10437" s="3">
        <v>54</v>
      </c>
      <c r="I10437" s="3">
        <v>282</v>
      </c>
      <c r="J10437" s="3">
        <v>225</v>
      </c>
      <c r="K10437" s="3">
        <v>1070</v>
      </c>
      <c r="L10437" s="3">
        <v>4</v>
      </c>
      <c r="M10437" s="3">
        <v>285</v>
      </c>
    </row>
    <row r="10438" spans="1:13" x14ac:dyDescent="0.25">
      <c r="A10438" s="1" t="str">
        <f>HYPERLINK("http://www.rosaceae.org/Prunus/Prunus_persica/p.persica_gdr_reftransV1_0031636","p.persica_gdr_reftransV1_0031636")</f>
        <v>p.persica_gdr_reftransV1_0031636</v>
      </c>
      <c r="B10438" s="3">
        <v>950</v>
      </c>
      <c r="C10438" s="1" t="str">
        <f>HYPERLINK("http://www.uniprot.org/uniprot/NFD6_ARATH","NFD6_ARATH")</f>
        <v>NFD6_ARATH</v>
      </c>
      <c r="D10438" t="s">
        <v>7599</v>
      </c>
      <c r="E10438" s="3" t="s">
        <v>3</v>
      </c>
      <c r="F10438" s="4">
        <v>1.1599999999999999E-15</v>
      </c>
      <c r="G10438" s="3">
        <v>184</v>
      </c>
      <c r="H10438" s="3">
        <v>67</v>
      </c>
      <c r="I10438" s="3">
        <v>48</v>
      </c>
      <c r="J10438" s="3">
        <v>599</v>
      </c>
      <c r="K10438" s="3">
        <v>742</v>
      </c>
      <c r="L10438" s="3">
        <v>53</v>
      </c>
      <c r="M10438" s="3">
        <v>100</v>
      </c>
    </row>
    <row r="10439" spans="1:13" x14ac:dyDescent="0.25">
      <c r="A10439" s="1" t="str">
        <f>HYPERLINK("http://www.rosaceae.org/Prunus/Prunus_persica/p.persica_gdr_reftransV1_0031736","p.persica_gdr_reftransV1_0031736")</f>
        <v>p.persica_gdr_reftransV1_0031736</v>
      </c>
      <c r="B10439" s="3">
        <v>1434</v>
      </c>
      <c r="C10439" s="1" t="str">
        <f>HYPERLINK("http://www.uniprot.org/uniprot/PP285_ARATH","PP285_ARATH")</f>
        <v>PP285_ARATH</v>
      </c>
      <c r="D10439" t="s">
        <v>6714</v>
      </c>
      <c r="E10439" s="3" t="s">
        <v>3</v>
      </c>
      <c r="F10439" s="4">
        <v>0</v>
      </c>
      <c r="G10439" s="3">
        <v>1734</v>
      </c>
      <c r="H10439" s="3">
        <v>68</v>
      </c>
      <c r="I10439" s="3">
        <v>476</v>
      </c>
      <c r="J10439" s="3">
        <v>5</v>
      </c>
      <c r="K10439" s="3">
        <v>1432</v>
      </c>
      <c r="L10439" s="3">
        <v>304</v>
      </c>
      <c r="M10439" s="3">
        <v>768</v>
      </c>
    </row>
    <row r="10440" spans="1:13" x14ac:dyDescent="0.25">
      <c r="A10440" s="1" t="str">
        <f>HYPERLINK("http://www.rosaceae.org/Prunus/Prunus_persica/p.persica_gdr_reftransV1_0031786","p.persica_gdr_reftransV1_0031786")</f>
        <v>p.persica_gdr_reftransV1_0031786</v>
      </c>
      <c r="B10440" s="3">
        <v>1965</v>
      </c>
      <c r="C10440" s="1" t="str">
        <f>HYPERLINK("http://www.uniprot.org/uniprot/FAX1_ARATH","FAX1_ARATH")</f>
        <v>FAX1_ARATH</v>
      </c>
      <c r="D10440" t="s">
        <v>6267</v>
      </c>
      <c r="E10440" s="3" t="s">
        <v>3</v>
      </c>
      <c r="F10440" s="4">
        <v>6.3999999999999996E-66</v>
      </c>
      <c r="G10440" s="3">
        <v>565</v>
      </c>
      <c r="H10440" s="3">
        <v>55</v>
      </c>
      <c r="I10440" s="3">
        <v>213</v>
      </c>
      <c r="J10440" s="3">
        <v>359</v>
      </c>
      <c r="K10440" s="3">
        <v>934</v>
      </c>
      <c r="L10440" s="3">
        <v>2</v>
      </c>
      <c r="M10440" s="3">
        <v>211</v>
      </c>
    </row>
    <row r="10441" spans="1:13" x14ac:dyDescent="0.25">
      <c r="A10441" s="1" t="str">
        <f>HYPERLINK("http://www.rosaceae.org/Prunus/Prunus_persica/p.persica_gdr_reftransV1_0031936","p.persica_gdr_reftransV1_0031936")</f>
        <v>p.persica_gdr_reftransV1_0031936</v>
      </c>
      <c r="B10441" s="3">
        <v>2939</v>
      </c>
      <c r="C10441" s="1" t="str">
        <f>HYPERLINK("http://www.uniprot.org/uniprot/TGT2_ARATH","TGT2_ARATH")</f>
        <v>TGT2_ARATH</v>
      </c>
      <c r="D10441" t="s">
        <v>5090</v>
      </c>
      <c r="E10441" s="3" t="s">
        <v>3</v>
      </c>
      <c r="F10441" s="4">
        <v>1.5200000000000001E-41</v>
      </c>
      <c r="G10441" s="3">
        <v>419</v>
      </c>
      <c r="H10441" s="3">
        <v>79</v>
      </c>
      <c r="I10441" s="3">
        <v>94</v>
      </c>
      <c r="J10441" s="3">
        <v>893</v>
      </c>
      <c r="K10441" s="3">
        <v>1174</v>
      </c>
      <c r="L10441" s="3">
        <v>394</v>
      </c>
      <c r="M10441" s="3">
        <v>487</v>
      </c>
    </row>
    <row r="10442" spans="1:13" x14ac:dyDescent="0.25">
      <c r="A10442" s="1" t="str">
        <f>HYPERLINK("http://www.rosaceae.org/Prunus/Prunus_persica/p.persica_gdr_reftransV1_0032086","p.persica_gdr_reftransV1_0032086")</f>
        <v>p.persica_gdr_reftransV1_0032086</v>
      </c>
      <c r="B10442" s="3">
        <v>3028</v>
      </c>
      <c r="C10442" s="1" t="str">
        <f>HYPERLINK("http://www.uniprot.org/uniprot/IRE1B_ARATH","IRE1B_ARATH")</f>
        <v>IRE1B_ARATH</v>
      </c>
      <c r="D10442" t="s">
        <v>7600</v>
      </c>
      <c r="E10442" s="3" t="s">
        <v>3</v>
      </c>
      <c r="F10442" s="4">
        <v>0</v>
      </c>
      <c r="G10442" s="3">
        <v>1681</v>
      </c>
      <c r="H10442" s="3">
        <v>45</v>
      </c>
      <c r="I10442" s="3">
        <v>871</v>
      </c>
      <c r="J10442" s="3">
        <v>306</v>
      </c>
      <c r="K10442" s="3">
        <v>2834</v>
      </c>
      <c r="L10442" s="3">
        <v>50</v>
      </c>
      <c r="M10442" s="3">
        <v>881</v>
      </c>
    </row>
    <row r="10443" spans="1:13" x14ac:dyDescent="0.25">
      <c r="A10443" s="1" t="str">
        <f>HYPERLINK("http://www.rosaceae.org/Prunus/Prunus_persica/p.persica_gdr_reftransV1_0032136","p.persica_gdr_reftransV1_0032136")</f>
        <v>p.persica_gdr_reftransV1_0032136</v>
      </c>
      <c r="B10443" s="3">
        <v>2665</v>
      </c>
      <c r="C10443" s="1" t="str">
        <f>HYPERLINK("http://www.uniprot.org/uniprot/PRP17_MOUSE","PRP17_MOUSE")</f>
        <v>PRP17_MOUSE</v>
      </c>
      <c r="D10443" t="s">
        <v>7601</v>
      </c>
      <c r="E10443" s="3" t="s">
        <v>157</v>
      </c>
      <c r="F10443" s="4">
        <v>6.6900000000000001E-176</v>
      </c>
      <c r="G10443" s="3">
        <v>1361</v>
      </c>
      <c r="H10443" s="3">
        <v>51</v>
      </c>
      <c r="I10443" s="3">
        <v>531</v>
      </c>
      <c r="J10443" s="3">
        <v>574</v>
      </c>
      <c r="K10443" s="3">
        <v>2139</v>
      </c>
      <c r="L10443" s="3">
        <v>72</v>
      </c>
      <c r="M10443" s="3">
        <v>579</v>
      </c>
    </row>
    <row r="10444" spans="1:13" x14ac:dyDescent="0.25">
      <c r="A10444" s="1" t="str">
        <f>HYPERLINK("http://www.rosaceae.org/Prunus/Prunus_persica/p.persica_gdr_reftransV1_0032486","p.persica_gdr_reftransV1_0032486")</f>
        <v>p.persica_gdr_reftransV1_0032486</v>
      </c>
      <c r="B10444" s="3">
        <v>2016</v>
      </c>
      <c r="C10444" s="1" t="str">
        <f>HYPERLINK("http://www.uniprot.org/uniprot/C3H41_ORYSJ","C3H41_ORYSJ")</f>
        <v>C3H41_ORYSJ</v>
      </c>
      <c r="D10444" t="s">
        <v>7602</v>
      </c>
      <c r="E10444" s="3" t="s">
        <v>38</v>
      </c>
      <c r="F10444" s="4">
        <v>6.0800000000000002E-123</v>
      </c>
      <c r="G10444" s="3">
        <v>967</v>
      </c>
      <c r="H10444" s="3">
        <v>78</v>
      </c>
      <c r="I10444" s="3">
        <v>222</v>
      </c>
      <c r="J10444" s="3">
        <v>615</v>
      </c>
      <c r="K10444" s="3">
        <v>1280</v>
      </c>
      <c r="L10444" s="3">
        <v>147</v>
      </c>
      <c r="M10444" s="3">
        <v>368</v>
      </c>
    </row>
    <row r="10445" spans="1:13" x14ac:dyDescent="0.25">
      <c r="A10445" s="1" t="str">
        <f>HYPERLINK("http://www.rosaceae.org/Prunus/Prunus_persica/p.persica_gdr_reftransV1_0032936","p.persica_gdr_reftransV1_0032936")</f>
        <v>p.persica_gdr_reftransV1_0032936</v>
      </c>
      <c r="B10445" s="3">
        <v>2087</v>
      </c>
      <c r="C10445" s="1" t="str">
        <f>HYPERLINK("http://www.uniprot.org/uniprot/A494_ARATH","A494_ARATH")</f>
        <v>A494_ARATH</v>
      </c>
      <c r="D10445" t="s">
        <v>1453</v>
      </c>
      <c r="E10445" s="3" t="s">
        <v>3</v>
      </c>
      <c r="F10445" s="4">
        <v>4.74E-87</v>
      </c>
      <c r="G10445" s="3">
        <v>726</v>
      </c>
      <c r="H10445" s="3">
        <v>77</v>
      </c>
      <c r="I10445" s="3">
        <v>169</v>
      </c>
      <c r="J10445" s="3">
        <v>231</v>
      </c>
      <c r="K10445" s="3">
        <v>734</v>
      </c>
      <c r="L10445" s="3">
        <v>190</v>
      </c>
      <c r="M10445" s="3">
        <v>358</v>
      </c>
    </row>
    <row r="10446" spans="1:13" x14ac:dyDescent="0.25">
      <c r="A10446" s="1" t="str">
        <f>HYPERLINK("http://www.rosaceae.org/Prunus/Prunus_persica/p.persica_gdr_reftransV1_0033436","p.persica_gdr_reftransV1_0033436")</f>
        <v>p.persica_gdr_reftransV1_0033436</v>
      </c>
      <c r="B10446" s="3">
        <v>2295</v>
      </c>
      <c r="C10446" s="1" t="str">
        <f>HYPERLINK("http://www.uniprot.org/uniprot/GONS2_ARATH","GONS2_ARATH")</f>
        <v>GONS2_ARATH</v>
      </c>
      <c r="D10446" t="s">
        <v>7603</v>
      </c>
      <c r="E10446" s="3" t="s">
        <v>3</v>
      </c>
      <c r="F10446" s="4">
        <v>7.4199999999999995E-157</v>
      </c>
      <c r="G10446" s="3">
        <v>1203</v>
      </c>
      <c r="H10446" s="3">
        <v>63</v>
      </c>
      <c r="I10446" s="3">
        <v>408</v>
      </c>
      <c r="J10446" s="3">
        <v>522</v>
      </c>
      <c r="K10446" s="3">
        <v>1703</v>
      </c>
      <c r="L10446" s="3">
        <v>2</v>
      </c>
      <c r="M10446" s="3">
        <v>375</v>
      </c>
    </row>
    <row r="10447" spans="1:13" x14ac:dyDescent="0.25">
      <c r="A10447" s="1" t="str">
        <f>HYPERLINK("http://www.rosaceae.org/Prunus/Prunus_persica/p.persica_gdr_reftransV1_0033536","p.persica_gdr_reftransV1_0033536")</f>
        <v>p.persica_gdr_reftransV1_0033536</v>
      </c>
      <c r="B10447" s="3">
        <v>1150</v>
      </c>
      <c r="C10447" s="1" t="str">
        <f>HYPERLINK("http://www.uniprot.org/uniprot/EF109_ARATH","EF109_ARATH")</f>
        <v>EF109_ARATH</v>
      </c>
      <c r="D10447" t="s">
        <v>4843</v>
      </c>
      <c r="E10447" s="3" t="s">
        <v>3</v>
      </c>
      <c r="F10447" s="4">
        <v>2.7700000000000001E-30</v>
      </c>
      <c r="G10447" s="3">
        <v>304</v>
      </c>
      <c r="H10447" s="3">
        <v>46</v>
      </c>
      <c r="I10447" s="3">
        <v>192</v>
      </c>
      <c r="J10447" s="3">
        <v>158</v>
      </c>
      <c r="K10447" s="3">
        <v>655</v>
      </c>
      <c r="L10447" s="3">
        <v>22</v>
      </c>
      <c r="M10447" s="3">
        <v>197</v>
      </c>
    </row>
    <row r="10448" spans="1:13" x14ac:dyDescent="0.25">
      <c r="A10448" s="1" t="str">
        <f>HYPERLINK("http://www.rosaceae.org/Prunus/Prunus_persica/p.persica_gdr_reftransV1_0033786","p.persica_gdr_reftransV1_0033786")</f>
        <v>p.persica_gdr_reftransV1_0033786</v>
      </c>
      <c r="B10448" s="3">
        <v>3718</v>
      </c>
      <c r="C10448" s="1" t="str">
        <f>HYPERLINK("http://www.uniprot.org/uniprot/DNJA1_RAT","DNJA1_RAT")</f>
        <v>DNJA1_RAT</v>
      </c>
      <c r="D10448" t="s">
        <v>3836</v>
      </c>
      <c r="E10448" s="3" t="s">
        <v>161</v>
      </c>
      <c r="F10448" s="4">
        <v>1.4300000000000001E-8</v>
      </c>
      <c r="G10448" s="3">
        <v>150</v>
      </c>
      <c r="H10448" s="3">
        <v>41</v>
      </c>
      <c r="I10448" s="3">
        <v>63</v>
      </c>
      <c r="J10448" s="3">
        <v>3178</v>
      </c>
      <c r="K10448" s="3">
        <v>3366</v>
      </c>
      <c r="L10448" s="3">
        <v>6</v>
      </c>
      <c r="M10448" s="3">
        <v>65</v>
      </c>
    </row>
    <row r="10449" spans="1:13" x14ac:dyDescent="0.25">
      <c r="A10449" s="1" t="str">
        <f>HYPERLINK("http://www.rosaceae.org/Prunus/Prunus_persica/p.persica_gdr_reftransV1_0033886","p.persica_gdr_reftransV1_0033886")</f>
        <v>p.persica_gdr_reftransV1_0033886</v>
      </c>
      <c r="B10449" s="3">
        <v>3180</v>
      </c>
      <c r="C10449" s="1" t="str">
        <f>HYPERLINK("http://www.uniprot.org/uniprot/RD23D_ARATH","RD23D_ARATH")</f>
        <v>RD23D_ARATH</v>
      </c>
      <c r="D10449" t="s">
        <v>7604</v>
      </c>
      <c r="E10449" s="3" t="s">
        <v>3</v>
      </c>
      <c r="F10449" s="4">
        <v>1.1099999999999999E-84</v>
      </c>
      <c r="G10449" s="3">
        <v>728</v>
      </c>
      <c r="H10449" s="3">
        <v>63</v>
      </c>
      <c r="I10449" s="3">
        <v>260</v>
      </c>
      <c r="J10449" s="3">
        <v>1562</v>
      </c>
      <c r="K10449" s="3">
        <v>2281</v>
      </c>
      <c r="L10449" s="3">
        <v>88</v>
      </c>
      <c r="M10449" s="3">
        <v>345</v>
      </c>
    </row>
    <row r="10450" spans="1:13" x14ac:dyDescent="0.25">
      <c r="A10450" s="1" t="str">
        <f>HYPERLINK("http://www.rosaceae.org/Prunus/Prunus_persica/p.persica_gdr_reftransV1_0034136","p.persica_gdr_reftransV1_0034136")</f>
        <v>p.persica_gdr_reftransV1_0034136</v>
      </c>
      <c r="B10450" s="3">
        <v>4574</v>
      </c>
      <c r="C10450" s="1" t="str">
        <f>HYPERLINK("http://www.uniprot.org/uniprot/POK1_ARATH","POK1_ARATH")</f>
        <v>POK1_ARATH</v>
      </c>
      <c r="D10450" t="s">
        <v>2570</v>
      </c>
      <c r="E10450" s="3" t="s">
        <v>3</v>
      </c>
      <c r="F10450" s="4">
        <v>0</v>
      </c>
      <c r="G10450" s="3">
        <v>1726</v>
      </c>
      <c r="H10450" s="3">
        <v>47</v>
      </c>
      <c r="I10450" s="3">
        <v>868</v>
      </c>
      <c r="J10450" s="3">
        <v>1671</v>
      </c>
      <c r="K10450" s="3">
        <v>4241</v>
      </c>
      <c r="L10450" s="3">
        <v>1218</v>
      </c>
      <c r="M10450" s="3">
        <v>2052</v>
      </c>
    </row>
    <row r="10451" spans="1:13" x14ac:dyDescent="0.25">
      <c r="A10451" s="1" t="str">
        <f>HYPERLINK("http://www.rosaceae.org/Prunus/Prunus_persica/p.persica_gdr_reftransV1_0034286","p.persica_gdr_reftransV1_0034286")</f>
        <v>p.persica_gdr_reftransV1_0034286</v>
      </c>
      <c r="B10451" s="3">
        <v>1987</v>
      </c>
      <c r="C10451" s="1" t="str">
        <f>HYPERLINK("http://www.uniprot.org/uniprot/TAS_SHIFL","TAS_SHIFL")</f>
        <v>TAS_SHIFL</v>
      </c>
      <c r="D10451" t="s">
        <v>1702</v>
      </c>
      <c r="E10451" s="3" t="s">
        <v>1703</v>
      </c>
      <c r="F10451" s="4">
        <v>2.6600000000000002E-66</v>
      </c>
      <c r="G10451" s="3">
        <v>390</v>
      </c>
      <c r="H10451" s="3">
        <v>40</v>
      </c>
      <c r="I10451" s="3">
        <v>216</v>
      </c>
      <c r="J10451" s="3">
        <v>691</v>
      </c>
      <c r="K10451" s="3">
        <v>1335</v>
      </c>
      <c r="L10451" s="3">
        <v>141</v>
      </c>
      <c r="M10451" s="3">
        <v>346</v>
      </c>
    </row>
    <row r="10452" spans="1:13" x14ac:dyDescent="0.25">
      <c r="A10452" s="1" t="str">
        <f>HYPERLINK("http://www.rosaceae.org/Prunus/Prunus_persica/p.persica_gdr_reftransV1_0034336","p.persica_gdr_reftransV1_0034336")</f>
        <v>p.persica_gdr_reftransV1_0034336</v>
      </c>
      <c r="B10452" s="3">
        <v>1931</v>
      </c>
      <c r="C10452" s="1" t="str">
        <f>HYPERLINK("http://www.uniprot.org/uniprot/RPD1_ARATH","RPD1_ARATH")</f>
        <v>RPD1_ARATH</v>
      </c>
      <c r="D10452" t="s">
        <v>1883</v>
      </c>
      <c r="E10452" s="3" t="s">
        <v>3</v>
      </c>
      <c r="F10452" s="4">
        <v>4.2499999999999998E-23</v>
      </c>
      <c r="G10452" s="3">
        <v>263</v>
      </c>
      <c r="H10452" s="3">
        <v>27</v>
      </c>
      <c r="I10452" s="3">
        <v>367</v>
      </c>
      <c r="J10452" s="3">
        <v>408</v>
      </c>
      <c r="K10452" s="3">
        <v>1451</v>
      </c>
      <c r="L10452" s="3">
        <v>47</v>
      </c>
      <c r="M10452" s="3">
        <v>401</v>
      </c>
    </row>
    <row r="10453" spans="1:13" x14ac:dyDescent="0.25">
      <c r="A10453" s="1" t="str">
        <f>HYPERLINK("http://www.rosaceae.org/Prunus/Prunus_persica/p.persica_gdr_reftransV1_0034436","p.persica_gdr_reftransV1_0034436")</f>
        <v>p.persica_gdr_reftransV1_0034436</v>
      </c>
      <c r="B10453" s="3">
        <v>2112</v>
      </c>
      <c r="C10453" s="1" t="str">
        <f>HYPERLINK("http://www.uniprot.org/uniprot/SKI31_ARATH","SKI31_ARATH")</f>
        <v>SKI31_ARATH</v>
      </c>
      <c r="D10453" t="s">
        <v>7605</v>
      </c>
      <c r="E10453" s="3" t="s">
        <v>3</v>
      </c>
      <c r="F10453" s="4">
        <v>4.5200000000000001E-64</v>
      </c>
      <c r="G10453" s="3">
        <v>563</v>
      </c>
      <c r="H10453" s="3">
        <v>60</v>
      </c>
      <c r="I10453" s="3">
        <v>182</v>
      </c>
      <c r="J10453" s="3">
        <v>1257</v>
      </c>
      <c r="K10453" s="3">
        <v>1802</v>
      </c>
      <c r="L10453" s="3">
        <v>1</v>
      </c>
      <c r="M10453" s="3">
        <v>177</v>
      </c>
    </row>
    <row r="10454" spans="1:13" x14ac:dyDescent="0.25">
      <c r="A10454" s="1" t="str">
        <f>HYPERLINK("http://www.rosaceae.org/Prunus/Prunus_persica/p.persica_gdr_reftransV1_0034686","p.persica_gdr_reftransV1_0034686")</f>
        <v>p.persica_gdr_reftransV1_0034686</v>
      </c>
      <c r="B10454" s="3">
        <v>2947</v>
      </c>
      <c r="C10454" s="1" t="str">
        <f>HYPERLINK("http://www.uniprot.org/uniprot/SRRT_ARATH","SRRT_ARATH")</f>
        <v>SRRT_ARATH</v>
      </c>
      <c r="D10454" t="s">
        <v>7606</v>
      </c>
      <c r="E10454" s="3" t="s">
        <v>3</v>
      </c>
      <c r="F10454" s="4">
        <v>0</v>
      </c>
      <c r="G10454" s="3">
        <v>1917</v>
      </c>
      <c r="H10454" s="3">
        <v>72</v>
      </c>
      <c r="I10454" s="3">
        <v>605</v>
      </c>
      <c r="J10454" s="3">
        <v>552</v>
      </c>
      <c r="K10454" s="3">
        <v>2357</v>
      </c>
      <c r="L10454" s="3">
        <v>142</v>
      </c>
      <c r="M10454" s="3">
        <v>720</v>
      </c>
    </row>
    <row r="10455" spans="1:13" x14ac:dyDescent="0.25">
      <c r="A10455" s="1" t="str">
        <f>HYPERLINK("http://www.rosaceae.org/Prunus/Prunus_persica/p.persica_gdr_reftransV1_0034736","p.persica_gdr_reftransV1_0034736")</f>
        <v>p.persica_gdr_reftransV1_0034736</v>
      </c>
      <c r="B10455" s="3">
        <v>1898</v>
      </c>
      <c r="C10455" s="1" t="str">
        <f>HYPERLINK("http://www.uniprot.org/uniprot/NUD16_ARATH","NUD16_ARATH")</f>
        <v>NUD16_ARATH</v>
      </c>
      <c r="D10455" t="s">
        <v>7607</v>
      </c>
      <c r="E10455" s="3" t="s">
        <v>3</v>
      </c>
      <c r="F10455" s="4">
        <v>1.8899999999999999E-30</v>
      </c>
      <c r="G10455" s="3">
        <v>306</v>
      </c>
      <c r="H10455" s="3">
        <v>69</v>
      </c>
      <c r="I10455" s="3">
        <v>109</v>
      </c>
      <c r="J10455" s="3">
        <v>722</v>
      </c>
      <c r="K10455" s="3">
        <v>1045</v>
      </c>
      <c r="L10455" s="3">
        <v>63</v>
      </c>
      <c r="M10455" s="3">
        <v>171</v>
      </c>
    </row>
    <row r="10456" spans="1:13" x14ac:dyDescent="0.25">
      <c r="A10456" s="1" t="str">
        <f>HYPERLINK("http://www.rosaceae.org/Prunus/Prunus_persica/p.persica_gdr_reftransV1_0034886","p.persica_gdr_reftransV1_0034886")</f>
        <v>p.persica_gdr_reftransV1_0034886</v>
      </c>
      <c r="B10456" s="3">
        <v>761</v>
      </c>
      <c r="C10456" s="1" t="str">
        <f>HYPERLINK("http://www.uniprot.org/uniprot/RK17_TOBAC","RK17_TOBAC")</f>
        <v>RK17_TOBAC</v>
      </c>
      <c r="D10456" t="s">
        <v>7608</v>
      </c>
      <c r="E10456" s="3" t="s">
        <v>200</v>
      </c>
      <c r="F10456" s="4">
        <v>2.6300000000000001E-66</v>
      </c>
      <c r="G10456" s="3">
        <v>537</v>
      </c>
      <c r="H10456" s="3">
        <v>60</v>
      </c>
      <c r="I10456" s="3">
        <v>207</v>
      </c>
      <c r="J10456" s="3">
        <v>28</v>
      </c>
      <c r="K10456" s="3">
        <v>603</v>
      </c>
      <c r="L10456" s="3">
        <v>1</v>
      </c>
      <c r="M10456" s="3">
        <v>205</v>
      </c>
    </row>
    <row r="10457" spans="1:13" x14ac:dyDescent="0.25">
      <c r="A10457" s="1" t="str">
        <f>HYPERLINK("http://www.rosaceae.org/Prunus/Prunus_persica/p.persica_gdr_reftransV1_0035286","p.persica_gdr_reftransV1_0035286")</f>
        <v>p.persica_gdr_reftransV1_0035286</v>
      </c>
      <c r="B10457" s="3">
        <v>1985</v>
      </c>
      <c r="C10457" s="1" t="str">
        <f>HYPERLINK("http://www.uniprot.org/uniprot/EIF3B_TOBAC","EIF3B_TOBAC")</f>
        <v>EIF3B_TOBAC</v>
      </c>
      <c r="D10457" t="s">
        <v>1516</v>
      </c>
      <c r="E10457" s="3" t="s">
        <v>200</v>
      </c>
      <c r="F10457" s="4">
        <v>1.3E-23</v>
      </c>
      <c r="G10457" s="3">
        <v>273</v>
      </c>
      <c r="H10457" s="3">
        <v>45</v>
      </c>
      <c r="I10457" s="3">
        <v>105</v>
      </c>
      <c r="J10457" s="3">
        <v>1674</v>
      </c>
      <c r="K10457" s="3">
        <v>1985</v>
      </c>
      <c r="L10457" s="3">
        <v>61</v>
      </c>
      <c r="M10457" s="3">
        <v>165</v>
      </c>
    </row>
    <row r="10458" spans="1:13" x14ac:dyDescent="0.25">
      <c r="A10458" s="1" t="str">
        <f>HYPERLINK("http://www.rosaceae.org/Prunus/Prunus_persica/p.persica_gdr_reftransV1_0035436","p.persica_gdr_reftransV1_0035436")</f>
        <v>p.persica_gdr_reftransV1_0035436</v>
      </c>
      <c r="B10458" s="3">
        <v>1637</v>
      </c>
      <c r="C10458" s="1" t="str">
        <f>HYPERLINK("http://www.uniprot.org/uniprot/PP2A_TOBAC","PP2A_TOBAC")</f>
        <v>PP2A_TOBAC</v>
      </c>
      <c r="D10458" t="s">
        <v>7609</v>
      </c>
      <c r="E10458" s="3" t="s">
        <v>200</v>
      </c>
      <c r="F10458" s="4">
        <v>0</v>
      </c>
      <c r="G10458" s="3">
        <v>1609</v>
      </c>
      <c r="H10458" s="3">
        <v>96</v>
      </c>
      <c r="I10458" s="3">
        <v>312</v>
      </c>
      <c r="J10458" s="3">
        <v>230</v>
      </c>
      <c r="K10458" s="3">
        <v>1162</v>
      </c>
      <c r="L10458" s="3">
        <v>1</v>
      </c>
      <c r="M10458" s="3">
        <v>312</v>
      </c>
    </row>
    <row r="10459" spans="1:13" x14ac:dyDescent="0.25">
      <c r="A10459" s="1" t="str">
        <f>HYPERLINK("http://www.rosaceae.org/Prunus/Prunus_persica/p.persica_gdr_reftransV1_0035536","p.persica_gdr_reftransV1_0035536")</f>
        <v>p.persica_gdr_reftransV1_0035536</v>
      </c>
      <c r="B10459" s="3">
        <v>3567</v>
      </c>
      <c r="C10459" s="1" t="str">
        <f>HYPERLINK("http://www.uniprot.org/uniprot/DEGP2_ARATH","DEGP2_ARATH")</f>
        <v>DEGP2_ARATH</v>
      </c>
      <c r="D10459" t="s">
        <v>7610</v>
      </c>
      <c r="E10459" s="3" t="s">
        <v>3</v>
      </c>
      <c r="F10459" s="4">
        <v>0</v>
      </c>
      <c r="G10459" s="3">
        <v>2463</v>
      </c>
      <c r="H10459" s="3">
        <v>74</v>
      </c>
      <c r="I10459" s="3">
        <v>635</v>
      </c>
      <c r="J10459" s="3">
        <v>1659</v>
      </c>
      <c r="K10459" s="3">
        <v>3542</v>
      </c>
      <c r="L10459" s="3">
        <v>1</v>
      </c>
      <c r="M10459" s="3">
        <v>607</v>
      </c>
    </row>
    <row r="10460" spans="1:13" x14ac:dyDescent="0.25">
      <c r="A10460" s="1" t="str">
        <f>HYPERLINK("http://www.rosaceae.org/Prunus/Prunus_persica/p.persica_gdr_reftransV1_0035736","p.persica_gdr_reftransV1_0035736")</f>
        <v>p.persica_gdr_reftransV1_0035736</v>
      </c>
      <c r="B10460" s="3">
        <v>3494</v>
      </c>
      <c r="C10460" s="1" t="str">
        <f>HYPERLINK("http://www.uniprot.org/uniprot/RSH1L_ARATH","RSH1L_ARATH")</f>
        <v>RSH1L_ARATH</v>
      </c>
      <c r="D10460" t="s">
        <v>7611</v>
      </c>
      <c r="E10460" s="3" t="s">
        <v>3</v>
      </c>
      <c r="F10460" s="4">
        <v>0</v>
      </c>
      <c r="G10460" s="3">
        <v>2098</v>
      </c>
      <c r="H10460" s="3">
        <v>69</v>
      </c>
      <c r="I10460" s="3">
        <v>570</v>
      </c>
      <c r="J10460" s="3">
        <v>493</v>
      </c>
      <c r="K10460" s="3">
        <v>2190</v>
      </c>
      <c r="L10460" s="3">
        <v>318</v>
      </c>
      <c r="M10460" s="3">
        <v>883</v>
      </c>
    </row>
    <row r="10461" spans="1:13" x14ac:dyDescent="0.25">
      <c r="A10461" s="1" t="str">
        <f>HYPERLINK("http://www.rosaceae.org/Prunus/Prunus_persica/p.persica_gdr_reftransV1_0035836","p.persica_gdr_reftransV1_0035836")</f>
        <v>p.persica_gdr_reftransV1_0035836</v>
      </c>
      <c r="B10461" s="3">
        <v>1637</v>
      </c>
      <c r="C10461" s="1" t="str">
        <f>HYPERLINK("http://www.uniprot.org/uniprot/RP25L_MOUSE","RP25L_MOUSE")</f>
        <v>RP25L_MOUSE</v>
      </c>
      <c r="D10461" t="s">
        <v>3045</v>
      </c>
      <c r="E10461" s="3" t="s">
        <v>157</v>
      </c>
      <c r="F10461" s="4">
        <v>1.1900000000000001E-16</v>
      </c>
      <c r="G10461" s="3">
        <v>202</v>
      </c>
      <c r="H10461" s="3">
        <v>32</v>
      </c>
      <c r="I10461" s="3">
        <v>136</v>
      </c>
      <c r="J10461" s="3">
        <v>369</v>
      </c>
      <c r="K10461" s="3">
        <v>749</v>
      </c>
      <c r="L10461" s="3">
        <v>1</v>
      </c>
      <c r="M10461" s="3">
        <v>136</v>
      </c>
    </row>
    <row r="10462" spans="1:13" x14ac:dyDescent="0.25">
      <c r="A10462" s="1" t="str">
        <f>HYPERLINK("http://www.rosaceae.org/Prunus/Prunus_persica/p.persica_gdr_reftransV1_0036336","p.persica_gdr_reftransV1_0036336")</f>
        <v>p.persica_gdr_reftransV1_0036336</v>
      </c>
      <c r="B10462" s="3">
        <v>482</v>
      </c>
      <c r="C10462" s="1" t="str">
        <f>HYPERLINK("http://www.uniprot.org/uniprot/TIR_ARATH","TIR_ARATH")</f>
        <v>TIR_ARATH</v>
      </c>
      <c r="D10462" t="s">
        <v>7612</v>
      </c>
      <c r="E10462" s="3" t="s">
        <v>3</v>
      </c>
      <c r="F10462" s="4">
        <v>1.8599999999999999E-22</v>
      </c>
      <c r="G10462" s="3">
        <v>230</v>
      </c>
      <c r="H10462" s="3">
        <v>61</v>
      </c>
      <c r="I10462" s="3">
        <v>77</v>
      </c>
      <c r="J10462" s="3">
        <v>2</v>
      </c>
      <c r="K10462" s="3">
        <v>229</v>
      </c>
      <c r="L10462" s="3">
        <v>9</v>
      </c>
      <c r="M10462" s="3">
        <v>85</v>
      </c>
    </row>
    <row r="10463" spans="1:13" x14ac:dyDescent="0.25">
      <c r="A10463" s="1" t="str">
        <f>HYPERLINK("http://www.rosaceae.org/Prunus/Prunus_persica/p.persica_gdr_reftransV1_0036686","p.persica_gdr_reftransV1_0036686")</f>
        <v>p.persica_gdr_reftransV1_0036686</v>
      </c>
      <c r="B10463" s="3">
        <v>1787</v>
      </c>
      <c r="C10463" s="1" t="str">
        <f>HYPERLINK("http://www.uniprot.org/uniprot/BPC4_ARATH","BPC4_ARATH")</f>
        <v>BPC4_ARATH</v>
      </c>
      <c r="D10463" t="s">
        <v>7613</v>
      </c>
      <c r="E10463" s="3" t="s">
        <v>3</v>
      </c>
      <c r="F10463" s="4">
        <v>8.7299999999999997E-126</v>
      </c>
      <c r="G10463" s="3">
        <v>973</v>
      </c>
      <c r="H10463" s="3">
        <v>59</v>
      </c>
      <c r="I10463" s="3">
        <v>313</v>
      </c>
      <c r="J10463" s="3">
        <v>95</v>
      </c>
      <c r="K10463" s="3">
        <v>1027</v>
      </c>
      <c r="L10463" s="3">
        <v>1</v>
      </c>
      <c r="M10463" s="3">
        <v>296</v>
      </c>
    </row>
    <row r="10464" spans="1:13" x14ac:dyDescent="0.25">
      <c r="A10464" s="1" t="str">
        <f>HYPERLINK("http://www.rosaceae.org/Prunus/Prunus_persica/p.persica_gdr_reftransV1_0036886","p.persica_gdr_reftransV1_0036886")</f>
        <v>p.persica_gdr_reftransV1_0036886</v>
      </c>
      <c r="B10464" s="3">
        <v>3838</v>
      </c>
      <c r="C10464" s="1" t="str">
        <f>HYPERLINK("http://www.uniprot.org/uniprot/RSP5_CHLRE","RSP5_CHLRE")</f>
        <v>RSP5_CHLRE</v>
      </c>
      <c r="D10464" t="s">
        <v>7614</v>
      </c>
      <c r="E10464" s="3" t="s">
        <v>2091</v>
      </c>
      <c r="F10464" s="4">
        <v>9.7999999999999999E-15</v>
      </c>
      <c r="G10464" s="3">
        <v>202</v>
      </c>
      <c r="H10464" s="3">
        <v>34</v>
      </c>
      <c r="I10464" s="3">
        <v>132</v>
      </c>
      <c r="J10464" s="3">
        <v>2234</v>
      </c>
      <c r="K10464" s="3">
        <v>2629</v>
      </c>
      <c r="L10464" s="3">
        <v>330</v>
      </c>
      <c r="M10464" s="3">
        <v>459</v>
      </c>
    </row>
    <row r="10465" spans="1:13" x14ac:dyDescent="0.25">
      <c r="A10465" s="1" t="str">
        <f>HYPERLINK("http://www.rosaceae.org/Prunus/Prunus_persica/p.persica_gdr_reftransV1_0036936","p.persica_gdr_reftransV1_0036936")</f>
        <v>p.persica_gdr_reftransV1_0036936</v>
      </c>
      <c r="B10465" s="3">
        <v>2834</v>
      </c>
      <c r="C10465" s="1" t="str">
        <f>HYPERLINK("http://www.uniprot.org/uniprot/PROD2_ARATH","PROD2_ARATH")</f>
        <v>PROD2_ARATH</v>
      </c>
      <c r="D10465" t="s">
        <v>53</v>
      </c>
      <c r="E10465" s="3" t="s">
        <v>3</v>
      </c>
      <c r="F10465" s="4">
        <v>3.0599999999999998E-132</v>
      </c>
      <c r="G10465" s="3">
        <v>1061</v>
      </c>
      <c r="H10465" s="3">
        <v>64</v>
      </c>
      <c r="I10465" s="3">
        <v>296</v>
      </c>
      <c r="J10465" s="3">
        <v>1521</v>
      </c>
      <c r="K10465" s="3">
        <v>2402</v>
      </c>
      <c r="L10465" s="3">
        <v>168</v>
      </c>
      <c r="M10465" s="3">
        <v>463</v>
      </c>
    </row>
    <row r="10466" spans="1:13" x14ac:dyDescent="0.25">
      <c r="A10466" s="1" t="str">
        <f>HYPERLINK("http://www.rosaceae.org/Prunus/Prunus_persica/p.persica_gdr_reftransV1_0038036","p.persica_gdr_reftransV1_0038036")</f>
        <v>p.persica_gdr_reftransV1_0038036</v>
      </c>
      <c r="B10466" s="3">
        <v>843</v>
      </c>
      <c r="C10466" s="1" t="str">
        <f>HYPERLINK("http://www.uniprot.org/uniprot/TAF12_ARATH","TAF12_ARATH")</f>
        <v>TAF12_ARATH</v>
      </c>
      <c r="D10466" t="s">
        <v>7615</v>
      </c>
      <c r="E10466" s="3" t="s">
        <v>3</v>
      </c>
      <c r="F10466" s="4">
        <v>2.8699999999999998E-16</v>
      </c>
      <c r="G10466" s="3">
        <v>201</v>
      </c>
      <c r="H10466" s="3">
        <v>56</v>
      </c>
      <c r="I10466" s="3">
        <v>141</v>
      </c>
      <c r="J10466" s="3">
        <v>317</v>
      </c>
      <c r="K10466" s="3">
        <v>733</v>
      </c>
      <c r="L10466" s="3">
        <v>167</v>
      </c>
      <c r="M10466" s="3">
        <v>305</v>
      </c>
    </row>
    <row r="10467" spans="1:13" x14ac:dyDescent="0.25">
      <c r="A10467" s="1" t="str">
        <f>HYPERLINK("http://www.rosaceae.org/Prunus/Prunus_persica/p.persica_gdr_reftransV1_0038386","p.persica_gdr_reftransV1_0038386")</f>
        <v>p.persica_gdr_reftransV1_0038386</v>
      </c>
      <c r="B10467" s="3">
        <v>1514</v>
      </c>
      <c r="C10467" s="1" t="str">
        <f>HYPERLINK("http://www.uniprot.org/uniprot/TCLOT_ARATH","TCLOT_ARATH")</f>
        <v>TCLOT_ARATH</v>
      </c>
      <c r="D10467" t="s">
        <v>7616</v>
      </c>
      <c r="E10467" s="3" t="s">
        <v>3</v>
      </c>
      <c r="F10467" s="4">
        <v>2.1499999999999999E-32</v>
      </c>
      <c r="G10467" s="3">
        <v>313</v>
      </c>
      <c r="H10467" s="3">
        <v>75</v>
      </c>
      <c r="I10467" s="3">
        <v>73</v>
      </c>
      <c r="J10467" s="3">
        <v>938</v>
      </c>
      <c r="K10467" s="3">
        <v>1156</v>
      </c>
      <c r="L10467" s="3">
        <v>48</v>
      </c>
      <c r="M10467" s="3">
        <v>120</v>
      </c>
    </row>
    <row r="10468" spans="1:13" x14ac:dyDescent="0.25">
      <c r="A10468" s="1" t="str">
        <f>HYPERLINK("http://www.rosaceae.org/Prunus/Prunus_persica/p.persica_gdr_reftransV1_0038486","p.persica_gdr_reftransV1_0038486")</f>
        <v>p.persica_gdr_reftransV1_0038486</v>
      </c>
      <c r="B10468" s="3">
        <v>965</v>
      </c>
      <c r="C10468" s="1" t="str">
        <f>HYPERLINK("http://www.uniprot.org/uniprot/PPR38_ARATH","PPR38_ARATH")</f>
        <v>PPR38_ARATH</v>
      </c>
      <c r="D10468" t="s">
        <v>749</v>
      </c>
      <c r="E10468" s="3" t="s">
        <v>3</v>
      </c>
      <c r="F10468" s="4">
        <v>1E-51</v>
      </c>
      <c r="G10468" s="3">
        <v>470</v>
      </c>
      <c r="H10468" s="3">
        <v>43</v>
      </c>
      <c r="I10468" s="3">
        <v>198</v>
      </c>
      <c r="J10468" s="3">
        <v>5</v>
      </c>
      <c r="K10468" s="3">
        <v>598</v>
      </c>
      <c r="L10468" s="3">
        <v>70</v>
      </c>
      <c r="M10468" s="3">
        <v>266</v>
      </c>
    </row>
    <row r="10469" spans="1:13" x14ac:dyDescent="0.25">
      <c r="A10469" s="1" t="str">
        <f>HYPERLINK("http://www.rosaceae.org/Prunus/Prunus_persica/p.persica_gdr_reftransV1_0038936","p.persica_gdr_reftransV1_0038936")</f>
        <v>p.persica_gdr_reftransV1_0038936</v>
      </c>
      <c r="B10469" s="3">
        <v>1767</v>
      </c>
      <c r="C10469" s="1" t="str">
        <f>HYPERLINK("http://www.uniprot.org/uniprot/VAP42_ARATH","VAP42_ARATH")</f>
        <v>VAP42_ARATH</v>
      </c>
      <c r="D10469" t="s">
        <v>7617</v>
      </c>
      <c r="E10469" s="3" t="s">
        <v>3</v>
      </c>
      <c r="F10469" s="4">
        <v>3.02E-122</v>
      </c>
      <c r="G10469" s="3">
        <v>949</v>
      </c>
      <c r="H10469" s="3">
        <v>68</v>
      </c>
      <c r="I10469" s="3">
        <v>294</v>
      </c>
      <c r="J10469" s="3">
        <v>573</v>
      </c>
      <c r="K10469" s="3">
        <v>1355</v>
      </c>
      <c r="L10469" s="3">
        <v>1</v>
      </c>
      <c r="M10469" s="3">
        <v>294</v>
      </c>
    </row>
    <row r="10470" spans="1:13" x14ac:dyDescent="0.25">
      <c r="A10470" s="1" t="str">
        <f>HYPERLINK("http://www.rosaceae.org/Prunus/Prunus_persica/p.persica_gdr_reftransV1_0039036","p.persica_gdr_reftransV1_0039036")</f>
        <v>p.persica_gdr_reftransV1_0039036</v>
      </c>
      <c r="B10470" s="3">
        <v>1874</v>
      </c>
      <c r="C10470" s="1" t="str">
        <f>HYPERLINK("http://www.uniprot.org/uniprot/NU1M_CITLA","NU1M_CITLA")</f>
        <v>NU1M_CITLA</v>
      </c>
      <c r="D10470" t="s">
        <v>7618</v>
      </c>
      <c r="E10470" s="3" t="s">
        <v>1259</v>
      </c>
      <c r="F10470" s="4">
        <v>9.8299999999999992E-68</v>
      </c>
      <c r="G10470" s="3">
        <v>585</v>
      </c>
      <c r="H10470" s="3">
        <v>70</v>
      </c>
      <c r="I10470" s="3">
        <v>187</v>
      </c>
      <c r="J10470" s="3">
        <v>557</v>
      </c>
      <c r="K10470" s="3">
        <v>1114</v>
      </c>
      <c r="L10470" s="3">
        <v>50</v>
      </c>
      <c r="M10470" s="3">
        <v>217</v>
      </c>
    </row>
    <row r="10471" spans="1:13" x14ac:dyDescent="0.25">
      <c r="A10471" s="1" t="str">
        <f>HYPERLINK("http://www.rosaceae.org/Prunus/Prunus_persica/p.persica_gdr_reftransV1_0040036","p.persica_gdr_reftransV1_0040036")</f>
        <v>p.persica_gdr_reftransV1_0040036</v>
      </c>
      <c r="B10471" s="3">
        <v>2163</v>
      </c>
      <c r="C10471" s="1" t="str">
        <f>HYPERLINK("http://www.uniprot.org/uniprot/AGD5_ARATH","AGD5_ARATH")</f>
        <v>AGD5_ARATH</v>
      </c>
      <c r="D10471" t="s">
        <v>7619</v>
      </c>
      <c r="E10471" s="3" t="s">
        <v>3</v>
      </c>
      <c r="F10471" s="4">
        <v>1.01E-68</v>
      </c>
      <c r="G10471" s="3">
        <v>455</v>
      </c>
      <c r="H10471" s="3">
        <v>92</v>
      </c>
      <c r="I10471" s="3">
        <v>89</v>
      </c>
      <c r="J10471" s="3">
        <v>1746</v>
      </c>
      <c r="K10471" s="3">
        <v>2012</v>
      </c>
      <c r="L10471" s="3">
        <v>1</v>
      </c>
      <c r="M10471" s="3">
        <v>89</v>
      </c>
    </row>
    <row r="10472" spans="1:13" x14ac:dyDescent="0.25">
      <c r="A10472" s="1" t="str">
        <f>HYPERLINK("http://www.rosaceae.org/Prunus/Prunus_persica/p.persica_gdr_reftransV1_0040486","p.persica_gdr_reftransV1_0040486")</f>
        <v>p.persica_gdr_reftransV1_0040486</v>
      </c>
      <c r="B10472" s="3">
        <v>4837</v>
      </c>
      <c r="C10472" s="1" t="str">
        <f>HYPERLINK("http://www.uniprot.org/uniprot/OPT4_ARATH","OPT4_ARATH")</f>
        <v>OPT4_ARATH</v>
      </c>
      <c r="D10472" t="s">
        <v>7620</v>
      </c>
      <c r="E10472" s="3" t="s">
        <v>3</v>
      </c>
      <c r="F10472" s="4">
        <v>0</v>
      </c>
      <c r="G10472" s="3">
        <v>1830</v>
      </c>
      <c r="H10472" s="3">
        <v>81</v>
      </c>
      <c r="I10472" s="3">
        <v>457</v>
      </c>
      <c r="J10472" s="3">
        <v>3357</v>
      </c>
      <c r="K10472" s="3">
        <v>4727</v>
      </c>
      <c r="L10472" s="3">
        <v>8</v>
      </c>
      <c r="M10472" s="3">
        <v>464</v>
      </c>
    </row>
    <row r="10473" spans="1:13" x14ac:dyDescent="0.25">
      <c r="A10473" s="1" t="str">
        <f>HYPERLINK("http://www.rosaceae.org/Prunus/Prunus_persica/p.persica_gdr_reftransV1_0040686","p.persica_gdr_reftransV1_0040686")</f>
        <v>p.persica_gdr_reftransV1_0040686</v>
      </c>
      <c r="B10473" s="3">
        <v>933</v>
      </c>
      <c r="C10473" s="1" t="str">
        <f>HYPERLINK("http://www.uniprot.org/uniprot/ASK4_ARATH","ASK4_ARATH")</f>
        <v>ASK4_ARATH</v>
      </c>
      <c r="D10473" t="s">
        <v>7621</v>
      </c>
      <c r="E10473" s="3" t="s">
        <v>3</v>
      </c>
      <c r="F10473" s="4">
        <v>2.94E-65</v>
      </c>
      <c r="G10473" s="3">
        <v>531</v>
      </c>
      <c r="H10473" s="3">
        <v>63</v>
      </c>
      <c r="I10473" s="3">
        <v>166</v>
      </c>
      <c r="J10473" s="3">
        <v>270</v>
      </c>
      <c r="K10473" s="3">
        <v>740</v>
      </c>
      <c r="L10473" s="3">
        <v>1</v>
      </c>
      <c r="M10473" s="3">
        <v>163</v>
      </c>
    </row>
    <row r="10474" spans="1:13" x14ac:dyDescent="0.25">
      <c r="A10474" s="1" t="str">
        <f>HYPERLINK("http://www.rosaceae.org/Prunus/Prunus_persica/p.persica_gdr_reftransV1_0041086","p.persica_gdr_reftransV1_0041086")</f>
        <v>p.persica_gdr_reftransV1_0041086</v>
      </c>
      <c r="B10474" s="3">
        <v>1790</v>
      </c>
      <c r="C10474" s="1" t="str">
        <f>HYPERLINK("http://www.uniprot.org/uniprot/FAH2_ARATH","FAH2_ARATH")</f>
        <v>FAH2_ARATH</v>
      </c>
      <c r="D10474" t="s">
        <v>7622</v>
      </c>
      <c r="E10474" s="3" t="s">
        <v>3</v>
      </c>
      <c r="F10474" s="4">
        <v>9.17E-76</v>
      </c>
      <c r="G10474" s="3">
        <v>631</v>
      </c>
      <c r="H10474" s="3">
        <v>72</v>
      </c>
      <c r="I10474" s="3">
        <v>162</v>
      </c>
      <c r="J10474" s="3">
        <v>925</v>
      </c>
      <c r="K10474" s="3">
        <v>1410</v>
      </c>
      <c r="L10474" s="3">
        <v>1</v>
      </c>
      <c r="M10474" s="3">
        <v>162</v>
      </c>
    </row>
    <row r="10475" spans="1:13" x14ac:dyDescent="0.25">
      <c r="A10475" s="1" t="str">
        <f>HYPERLINK("http://www.rosaceae.org/Prunus/Prunus_persica/p.persica_gdr_reftransV1_0041186","p.persica_gdr_reftransV1_0041186")</f>
        <v>p.persica_gdr_reftransV1_0041186</v>
      </c>
      <c r="B10475" s="3">
        <v>1681</v>
      </c>
      <c r="C10475" s="1" t="str">
        <f>HYPERLINK("http://www.uniprot.org/uniprot/idD5_ARATH","idD5_ARATH")</f>
        <v>idD5_ARATH</v>
      </c>
      <c r="D10475" t="s">
        <v>874</v>
      </c>
      <c r="E10475" s="3" t="s">
        <v>3</v>
      </c>
      <c r="F10475" s="4">
        <v>4.9999999999999995E-22</v>
      </c>
      <c r="G10475" s="3">
        <v>258</v>
      </c>
      <c r="H10475" s="3">
        <v>98</v>
      </c>
      <c r="I10475" s="3">
        <v>45</v>
      </c>
      <c r="J10475" s="3">
        <v>1546</v>
      </c>
      <c r="K10475" s="3">
        <v>1680</v>
      </c>
      <c r="L10475" s="3">
        <v>172</v>
      </c>
      <c r="M10475" s="3">
        <v>216</v>
      </c>
    </row>
    <row r="10476" spans="1:13" x14ac:dyDescent="0.25">
      <c r="A10476" s="1" t="str">
        <f>HYPERLINK("http://www.rosaceae.org/Prunus/Prunus_persica/p.persica_gdr_reftransV1_0041486","p.persica_gdr_reftransV1_0041486")</f>
        <v>p.persica_gdr_reftransV1_0041486</v>
      </c>
      <c r="B10476" s="3">
        <v>1710</v>
      </c>
      <c r="C10476" s="1" t="str">
        <f>HYPERLINK("http://www.uniprot.org/uniprot/P2C24_ARATH","P2C24_ARATH")</f>
        <v>P2C24_ARATH</v>
      </c>
      <c r="D10476" t="s">
        <v>7623</v>
      </c>
      <c r="E10476" s="3" t="s">
        <v>3</v>
      </c>
      <c r="F10476" s="4">
        <v>1.77E-100</v>
      </c>
      <c r="G10476" s="3">
        <v>697</v>
      </c>
      <c r="H10476" s="3">
        <v>72</v>
      </c>
      <c r="I10476" s="3">
        <v>192</v>
      </c>
      <c r="J10476" s="3">
        <v>735</v>
      </c>
      <c r="K10476" s="3">
        <v>1298</v>
      </c>
      <c r="L10476" s="3">
        <v>76</v>
      </c>
      <c r="M10476" s="3">
        <v>265</v>
      </c>
    </row>
    <row r="10477" spans="1:13" x14ac:dyDescent="0.25">
      <c r="A10477" s="1" t="str">
        <f>HYPERLINK("http://www.rosaceae.org/Prunus/Prunus_persica/p.persica_gdr_reftransV1_0041536","p.persica_gdr_reftransV1_0041536")</f>
        <v>p.persica_gdr_reftransV1_0041536</v>
      </c>
      <c r="B10477" s="3">
        <v>4498</v>
      </c>
      <c r="C10477" s="1" t="str">
        <f>HYPERLINK("http://www.uniprot.org/uniprot/EDR1_ARATH","EDR1_ARATH")</f>
        <v>EDR1_ARATH</v>
      </c>
      <c r="D10477" t="s">
        <v>1864</v>
      </c>
      <c r="E10477" s="3" t="s">
        <v>3</v>
      </c>
      <c r="F10477" s="4">
        <v>1.04E-100</v>
      </c>
      <c r="G10477" s="3">
        <v>680</v>
      </c>
      <c r="H10477" s="3">
        <v>78</v>
      </c>
      <c r="I10477" s="3">
        <v>178</v>
      </c>
      <c r="J10477" s="3">
        <v>763</v>
      </c>
      <c r="K10477" s="3">
        <v>1287</v>
      </c>
      <c r="L10477" s="3">
        <v>678</v>
      </c>
      <c r="M10477" s="3">
        <v>855</v>
      </c>
    </row>
    <row r="10478" spans="1:13" x14ac:dyDescent="0.25">
      <c r="A10478" s="1" t="str">
        <f>HYPERLINK("http://www.rosaceae.org/Prunus/Prunus_persica/p.persica_gdr_reftransV1_0041986","p.persica_gdr_reftransV1_0041986")</f>
        <v>p.persica_gdr_reftransV1_0041986</v>
      </c>
      <c r="B10478" s="3">
        <v>2698</v>
      </c>
      <c r="C10478" s="1" t="str">
        <f>HYPERLINK("http://www.uniprot.org/uniprot/LACE1_HUMAN","LACE1_HUMAN")</f>
        <v>LACE1_HUMAN</v>
      </c>
      <c r="D10478" t="s">
        <v>7624</v>
      </c>
      <c r="E10478" s="3" t="s">
        <v>28</v>
      </c>
      <c r="F10478" s="4">
        <v>9.5799999999999993E-68</v>
      </c>
      <c r="G10478" s="3">
        <v>609</v>
      </c>
      <c r="H10478" s="3">
        <v>42</v>
      </c>
      <c r="I10478" s="3">
        <v>343</v>
      </c>
      <c r="J10478" s="3">
        <v>665</v>
      </c>
      <c r="K10478" s="3">
        <v>1645</v>
      </c>
      <c r="L10478" s="3">
        <v>74</v>
      </c>
      <c r="M10478" s="3">
        <v>398</v>
      </c>
    </row>
    <row r="10479" spans="1:13" x14ac:dyDescent="0.25">
      <c r="A10479" s="1" t="str">
        <f>HYPERLINK("http://www.rosaceae.org/Prunus/Prunus_persica/p.persica_gdr_reftransV1_0042086","p.persica_gdr_reftransV1_0042086")</f>
        <v>p.persica_gdr_reftransV1_0042086</v>
      </c>
      <c r="B10479" s="3">
        <v>4231</v>
      </c>
      <c r="C10479" s="1" t="str">
        <f>HYPERLINK("http://www.uniprot.org/uniprot/CSLE6_ORYSJ","CSLE6_ORYSJ")</f>
        <v>CSLE6_ORYSJ</v>
      </c>
      <c r="D10479" t="s">
        <v>40</v>
      </c>
      <c r="E10479" s="3" t="s">
        <v>38</v>
      </c>
      <c r="F10479" s="4">
        <v>2.93E-107</v>
      </c>
      <c r="G10479" s="3">
        <v>931</v>
      </c>
      <c r="H10479" s="3">
        <v>53</v>
      </c>
      <c r="I10479" s="3">
        <v>319</v>
      </c>
      <c r="J10479" s="3">
        <v>3045</v>
      </c>
      <c r="K10479" s="3">
        <v>4001</v>
      </c>
      <c r="L10479" s="3">
        <v>413</v>
      </c>
      <c r="M10479" s="3">
        <v>727</v>
      </c>
    </row>
    <row r="10480" spans="1:13" x14ac:dyDescent="0.25">
      <c r="A10480" s="1" t="str">
        <f>HYPERLINK("http://www.rosaceae.org/Prunus/Prunus_persica/p.persica_gdr_reftransV1_0042386","p.persica_gdr_reftransV1_0042386")</f>
        <v>p.persica_gdr_reftransV1_0042386</v>
      </c>
      <c r="B10480" s="3">
        <v>2668</v>
      </c>
      <c r="C10480" s="1" t="str">
        <f>HYPERLINK("http://www.uniprot.org/uniprot/F188A_BOVIN","F188A_BOVIN")</f>
        <v>F188A_BOVIN</v>
      </c>
      <c r="D10480" t="s">
        <v>7625</v>
      </c>
      <c r="E10480" s="3" t="s">
        <v>184</v>
      </c>
      <c r="F10480" s="4">
        <v>1.5800000000000001E-44</v>
      </c>
      <c r="G10480" s="3">
        <v>434</v>
      </c>
      <c r="H10480" s="3">
        <v>30</v>
      </c>
      <c r="I10480" s="3">
        <v>478</v>
      </c>
      <c r="J10480" s="3">
        <v>781</v>
      </c>
      <c r="K10480" s="3">
        <v>2136</v>
      </c>
      <c r="L10480" s="3">
        <v>3</v>
      </c>
      <c r="M10480" s="3">
        <v>429</v>
      </c>
    </row>
    <row r="10481" spans="1:13" x14ac:dyDescent="0.25">
      <c r="A10481" s="1" t="str">
        <f>HYPERLINK("http://www.rosaceae.org/Prunus/Prunus_persica/p.persica_gdr_reftransV1_0042886","p.persica_gdr_reftransV1_0042886")</f>
        <v>p.persica_gdr_reftransV1_0042886</v>
      </c>
      <c r="B10481" s="3">
        <v>1262</v>
      </c>
      <c r="C10481" s="1" t="str">
        <f>HYPERLINK("http://www.uniprot.org/uniprot/GCN2_ARATH","GCN2_ARATH")</f>
        <v>GCN2_ARATH</v>
      </c>
      <c r="D10481" t="s">
        <v>7626</v>
      </c>
      <c r="E10481" s="3" t="s">
        <v>3</v>
      </c>
      <c r="F10481" s="4">
        <v>1.05E-43</v>
      </c>
      <c r="G10481" s="3">
        <v>427</v>
      </c>
      <c r="H10481" s="3">
        <v>37</v>
      </c>
      <c r="I10481" s="3">
        <v>310</v>
      </c>
      <c r="J10481" s="3">
        <v>137</v>
      </c>
      <c r="K10481" s="3">
        <v>952</v>
      </c>
      <c r="L10481" s="3">
        <v>419</v>
      </c>
      <c r="M10481" s="3">
        <v>725</v>
      </c>
    </row>
    <row r="10482" spans="1:13" x14ac:dyDescent="0.25">
      <c r="A10482" s="1" t="str">
        <f>HYPERLINK("http://www.rosaceae.org/Prunus/Prunus_persica/p.persica_gdr_reftransV1_0043036","p.persica_gdr_reftransV1_0043036")</f>
        <v>p.persica_gdr_reftransV1_0043036</v>
      </c>
      <c r="B10482" s="3">
        <v>380</v>
      </c>
      <c r="C10482" s="1" t="str">
        <f>HYPERLINK("http://www.uniprot.org/uniprot/QKY_ARATH","QKY_ARATH")</f>
        <v>QKY_ARATH</v>
      </c>
      <c r="D10482" t="s">
        <v>707</v>
      </c>
      <c r="E10482" s="3" t="s">
        <v>3</v>
      </c>
      <c r="F10482" s="4">
        <v>2.7500000000000001E-22</v>
      </c>
      <c r="G10482" s="3">
        <v>239</v>
      </c>
      <c r="H10482" s="3">
        <v>41</v>
      </c>
      <c r="I10482" s="3">
        <v>141</v>
      </c>
      <c r="J10482" s="3">
        <v>4</v>
      </c>
      <c r="K10482" s="3">
        <v>375</v>
      </c>
      <c r="L10482" s="3">
        <v>351</v>
      </c>
      <c r="M10482" s="3">
        <v>480</v>
      </c>
    </row>
    <row r="10483" spans="1:13" x14ac:dyDescent="0.25">
      <c r="A10483" s="1" t="str">
        <f>HYPERLINK("http://www.rosaceae.org/Prunus/Prunus_persica/p.persica_gdr_reftransV1_0043086","p.persica_gdr_reftransV1_0043086")</f>
        <v>p.persica_gdr_reftransV1_0043086</v>
      </c>
      <c r="B10483" s="3">
        <v>864</v>
      </c>
      <c r="C10483" s="1" t="str">
        <f>HYPERLINK("http://www.uniprot.org/uniprot/YNW5_SCHPO","YNW5_SCHPO")</f>
        <v>YNW5_SCHPO</v>
      </c>
      <c r="D10483" t="s">
        <v>7627</v>
      </c>
      <c r="E10483" s="3" t="s">
        <v>464</v>
      </c>
      <c r="F10483" s="4">
        <v>7.0800000000000001E-19</v>
      </c>
      <c r="G10483" s="3">
        <v>209</v>
      </c>
      <c r="H10483" s="3">
        <v>45</v>
      </c>
      <c r="I10483" s="3">
        <v>95</v>
      </c>
      <c r="J10483" s="3">
        <v>355</v>
      </c>
      <c r="K10483" s="3">
        <v>630</v>
      </c>
      <c r="L10483" s="3">
        <v>28</v>
      </c>
      <c r="M10483" s="3">
        <v>121</v>
      </c>
    </row>
    <row r="10484" spans="1:13" x14ac:dyDescent="0.25">
      <c r="A10484" s="1" t="str">
        <f>HYPERLINK("http://www.rosaceae.org/Prunus/Prunus_persica/p.persica_gdr_reftransV1_0043236","p.persica_gdr_reftransV1_0043236")</f>
        <v>p.persica_gdr_reftransV1_0043236</v>
      </c>
      <c r="B10484" s="3">
        <v>1046</v>
      </c>
      <c r="C10484" s="1" t="str">
        <f>HYPERLINK("http://www.uniprot.org/uniprot/JMJ25_ARATH","JMJ25_ARATH")</f>
        <v>JMJ25_ARATH</v>
      </c>
      <c r="D10484" t="s">
        <v>1512</v>
      </c>
      <c r="E10484" s="3" t="s">
        <v>3</v>
      </c>
      <c r="F10484" s="4">
        <v>2.17E-73</v>
      </c>
      <c r="G10484" s="3">
        <v>638</v>
      </c>
      <c r="H10484" s="3">
        <v>57</v>
      </c>
      <c r="I10484" s="3">
        <v>221</v>
      </c>
      <c r="J10484" s="3">
        <v>1</v>
      </c>
      <c r="K10484" s="3">
        <v>663</v>
      </c>
      <c r="L10484" s="3">
        <v>502</v>
      </c>
      <c r="M10484" s="3">
        <v>717</v>
      </c>
    </row>
    <row r="10485" spans="1:13" x14ac:dyDescent="0.25">
      <c r="A10485" s="1" t="str">
        <f>HYPERLINK("http://www.rosaceae.org/Prunus/Prunus_persica/p.persica_gdr_reftransV1_0043336","p.persica_gdr_reftransV1_0043336")</f>
        <v>p.persica_gdr_reftransV1_0043336</v>
      </c>
      <c r="B10485" s="3">
        <v>1680</v>
      </c>
      <c r="C10485" s="1" t="str">
        <f>HYPERLINK("http://www.uniprot.org/uniprot/UGT6_CATRO","UGT6_CATRO")</f>
        <v>UGT6_CATRO</v>
      </c>
      <c r="D10485" t="s">
        <v>3893</v>
      </c>
      <c r="E10485" s="3" t="s">
        <v>457</v>
      </c>
      <c r="F10485" s="4">
        <v>0</v>
      </c>
      <c r="G10485" s="3">
        <v>1455</v>
      </c>
      <c r="H10485" s="3">
        <v>60</v>
      </c>
      <c r="I10485" s="3">
        <v>481</v>
      </c>
      <c r="J10485" s="3">
        <v>17</v>
      </c>
      <c r="K10485" s="3">
        <v>1453</v>
      </c>
      <c r="L10485" s="3">
        <v>2</v>
      </c>
      <c r="M10485" s="3">
        <v>478</v>
      </c>
    </row>
    <row r="10486" spans="1:13" x14ac:dyDescent="0.25">
      <c r="A10486" s="1" t="str">
        <f>HYPERLINK("http://www.rosaceae.org/Prunus/Prunus_persica/p.persica_gdr_reftransV1_0043386","p.persica_gdr_reftransV1_0043386")</f>
        <v>p.persica_gdr_reftransV1_0043386</v>
      </c>
      <c r="B10486" s="3">
        <v>1529</v>
      </c>
      <c r="C10486" s="1" t="str">
        <f>HYPERLINK("http://www.uniprot.org/uniprot/DIM1A_ARATH","DIM1A_ARATH")</f>
        <v>DIM1A_ARATH</v>
      </c>
      <c r="D10486" t="s">
        <v>5188</v>
      </c>
      <c r="E10486" s="3" t="s">
        <v>3</v>
      </c>
      <c r="F10486" s="4">
        <v>4.9499999999999999E-171</v>
      </c>
      <c r="G10486" s="3">
        <v>1271</v>
      </c>
      <c r="H10486" s="3">
        <v>72</v>
      </c>
      <c r="I10486" s="3">
        <v>353</v>
      </c>
      <c r="J10486" s="3">
        <v>242</v>
      </c>
      <c r="K10486" s="3">
        <v>1279</v>
      </c>
      <c r="L10486" s="3">
        <v>1</v>
      </c>
      <c r="M10486" s="3">
        <v>353</v>
      </c>
    </row>
    <row r="10487" spans="1:13" x14ac:dyDescent="0.25">
      <c r="A10487" s="1" t="str">
        <f>HYPERLINK("http://www.rosaceae.org/Prunus/Prunus_persica/p.persica_gdr_reftransV1_0043436","p.persica_gdr_reftransV1_0043436")</f>
        <v>p.persica_gdr_reftransV1_0043436</v>
      </c>
      <c r="B10487" s="3">
        <v>1463</v>
      </c>
      <c r="C10487" s="1" t="str">
        <f>HYPERLINK("http://www.uniprot.org/uniprot/G3PC_ANTMA","G3PC_ANTMA")</f>
        <v>G3PC_ANTMA</v>
      </c>
      <c r="D10487" t="s">
        <v>7628</v>
      </c>
      <c r="E10487" s="3" t="s">
        <v>1408</v>
      </c>
      <c r="F10487" s="4">
        <v>0</v>
      </c>
      <c r="G10487" s="3">
        <v>1484</v>
      </c>
      <c r="H10487" s="3">
        <v>87</v>
      </c>
      <c r="I10487" s="3">
        <v>337</v>
      </c>
      <c r="J10487" s="3">
        <v>76</v>
      </c>
      <c r="K10487" s="3">
        <v>1086</v>
      </c>
      <c r="L10487" s="3">
        <v>1</v>
      </c>
      <c r="M10487" s="3">
        <v>337</v>
      </c>
    </row>
    <row r="10488" spans="1:13" x14ac:dyDescent="0.25">
      <c r="A10488" s="1" t="str">
        <f>HYPERLINK("http://www.rosaceae.org/Prunus/Prunus_persica/p.persica_gdr_reftransV1_0043486","p.persica_gdr_reftransV1_0043486")</f>
        <v>p.persica_gdr_reftransV1_0043486</v>
      </c>
      <c r="B10488" s="3">
        <v>380</v>
      </c>
      <c r="C10488" s="1" t="str">
        <f>HYPERLINK("http://www.uniprot.org/uniprot/TBL19_ARATH","TBL19_ARATH")</f>
        <v>TBL19_ARATH</v>
      </c>
      <c r="D10488" t="s">
        <v>7246</v>
      </c>
      <c r="E10488" s="3" t="s">
        <v>3</v>
      </c>
      <c r="F10488" s="4">
        <v>6.1799999999999997E-43</v>
      </c>
      <c r="G10488" s="3">
        <v>381</v>
      </c>
      <c r="H10488" s="3">
        <v>54</v>
      </c>
      <c r="I10488" s="3">
        <v>127</v>
      </c>
      <c r="J10488" s="3">
        <v>2</v>
      </c>
      <c r="K10488" s="3">
        <v>379</v>
      </c>
      <c r="L10488" s="3">
        <v>271</v>
      </c>
      <c r="M10488" s="3">
        <v>396</v>
      </c>
    </row>
    <row r="10489" spans="1:13" x14ac:dyDescent="0.25">
      <c r="A10489" s="1" t="str">
        <f>HYPERLINK("http://www.rosaceae.org/Prunus/Prunus_persica/p.persica_gdr_reftransV1_0043536","p.persica_gdr_reftransV1_0043536")</f>
        <v>p.persica_gdr_reftransV1_0043536</v>
      </c>
      <c r="B10489" s="3">
        <v>608</v>
      </c>
      <c r="C10489" s="1" t="str">
        <f>HYPERLINK("http://www.uniprot.org/uniprot/MIRA_SYNDU","MIRA_SYNDU")</f>
        <v>MIRA_SYNDU</v>
      </c>
      <c r="D10489" t="s">
        <v>6666</v>
      </c>
      <c r="E10489" s="3" t="s">
        <v>6667</v>
      </c>
      <c r="F10489" s="4">
        <v>1.3700000000000001E-66</v>
      </c>
      <c r="G10489" s="3">
        <v>535</v>
      </c>
      <c r="H10489" s="3">
        <v>60</v>
      </c>
      <c r="I10489" s="3">
        <v>187</v>
      </c>
      <c r="J10489" s="3">
        <v>14</v>
      </c>
      <c r="K10489" s="3">
        <v>553</v>
      </c>
      <c r="L10489" s="3">
        <v>30</v>
      </c>
      <c r="M10489" s="3">
        <v>216</v>
      </c>
    </row>
    <row r="10490" spans="1:13" x14ac:dyDescent="0.25">
      <c r="A10490" s="1" t="str">
        <f>HYPERLINK("http://www.rosaceae.org/Prunus/Prunus_persica/p.persica_gdr_reftransV1_0043686","p.persica_gdr_reftransV1_0043686")</f>
        <v>p.persica_gdr_reftransV1_0043686</v>
      </c>
      <c r="B10490" s="3">
        <v>1195</v>
      </c>
      <c r="C10490" s="1" t="str">
        <f>HYPERLINK("http://www.uniprot.org/uniprot/SNAG_ARATH","SNAG_ARATH")</f>
        <v>SNAG_ARATH</v>
      </c>
      <c r="D10490" t="s">
        <v>4516</v>
      </c>
      <c r="E10490" s="3" t="s">
        <v>3</v>
      </c>
      <c r="F10490" s="4">
        <v>7.62E-149</v>
      </c>
      <c r="G10490" s="3">
        <v>1106</v>
      </c>
      <c r="H10490" s="3">
        <v>74</v>
      </c>
      <c r="I10490" s="3">
        <v>292</v>
      </c>
      <c r="J10490" s="3">
        <v>88</v>
      </c>
      <c r="K10490" s="3">
        <v>963</v>
      </c>
      <c r="L10490" s="3">
        <v>3</v>
      </c>
      <c r="M10490" s="3">
        <v>291</v>
      </c>
    </row>
    <row r="10491" spans="1:13" x14ac:dyDescent="0.25">
      <c r="A10491" s="1" t="str">
        <f>HYPERLINK("http://www.rosaceae.org/Prunus/Prunus_persica/p.persica_gdr_reftransV1_0043736","p.persica_gdr_reftransV1_0043736")</f>
        <v>p.persica_gdr_reftransV1_0043736</v>
      </c>
      <c r="B10491" s="3">
        <v>1044</v>
      </c>
      <c r="C10491" s="1" t="str">
        <f>HYPERLINK("http://www.uniprot.org/uniprot/PPD6_ARATH","PPD6_ARATH")</f>
        <v>PPD6_ARATH</v>
      </c>
      <c r="D10491" t="s">
        <v>7629</v>
      </c>
      <c r="E10491" s="3" t="s">
        <v>3</v>
      </c>
      <c r="F10491" s="4">
        <v>2.36E-120</v>
      </c>
      <c r="G10491" s="3">
        <v>910</v>
      </c>
      <c r="H10491" s="3">
        <v>82</v>
      </c>
      <c r="I10491" s="3">
        <v>200</v>
      </c>
      <c r="J10491" s="3">
        <v>188</v>
      </c>
      <c r="K10491" s="3">
        <v>787</v>
      </c>
      <c r="L10491" s="3">
        <v>63</v>
      </c>
      <c r="M10491" s="3">
        <v>262</v>
      </c>
    </row>
    <row r="10492" spans="1:13" x14ac:dyDescent="0.25">
      <c r="A10492" s="1" t="str">
        <f>HYPERLINK("http://www.rosaceae.org/Prunus/Prunus_persica/p.persica_gdr_reftransV1_0043786","p.persica_gdr_reftransV1_0043786")</f>
        <v>p.persica_gdr_reftransV1_0043786</v>
      </c>
      <c r="B10492" s="3">
        <v>1593</v>
      </c>
      <c r="C10492" s="1" t="str">
        <f>HYPERLINK("http://www.uniprot.org/uniprot/ARP2_ARATH","ARP2_ARATH")</f>
        <v>ARP2_ARATH</v>
      </c>
      <c r="D10492" t="s">
        <v>5735</v>
      </c>
      <c r="E10492" s="3" t="s">
        <v>3</v>
      </c>
      <c r="F10492" s="4">
        <v>0</v>
      </c>
      <c r="G10492" s="3">
        <v>1968</v>
      </c>
      <c r="H10492" s="3">
        <v>92</v>
      </c>
      <c r="I10492" s="3">
        <v>389</v>
      </c>
      <c r="J10492" s="3">
        <v>321</v>
      </c>
      <c r="K10492" s="3">
        <v>1487</v>
      </c>
      <c r="L10492" s="3">
        <v>1</v>
      </c>
      <c r="M10492" s="3">
        <v>389</v>
      </c>
    </row>
    <row r="10493" spans="1:13" x14ac:dyDescent="0.25">
      <c r="A10493" s="1" t="str">
        <f>HYPERLINK("http://www.rosaceae.org/Prunus/Prunus_persica/p.persica_gdr_reftransV1_0043836","p.persica_gdr_reftransV1_0043836")</f>
        <v>p.persica_gdr_reftransV1_0043836</v>
      </c>
      <c r="B10493" s="3">
        <v>1422</v>
      </c>
      <c r="C10493" s="1" t="str">
        <f>HYPERLINK("http://www.uniprot.org/uniprot/ACR12_ARATH","ACR12_ARATH")</f>
        <v>ACR12_ARATH</v>
      </c>
      <c r="D10493" t="s">
        <v>3517</v>
      </c>
      <c r="E10493" s="3" t="s">
        <v>3</v>
      </c>
      <c r="F10493" s="4">
        <v>1.3700000000000001E-128</v>
      </c>
      <c r="G10493" s="3">
        <v>981</v>
      </c>
      <c r="H10493" s="3">
        <v>79</v>
      </c>
      <c r="I10493" s="3">
        <v>237</v>
      </c>
      <c r="J10493" s="3">
        <v>457</v>
      </c>
      <c r="K10493" s="3">
        <v>1164</v>
      </c>
      <c r="L10493" s="3">
        <v>65</v>
      </c>
      <c r="M10493" s="3">
        <v>301</v>
      </c>
    </row>
    <row r="10494" spans="1:13" x14ac:dyDescent="0.25">
      <c r="A10494" s="1" t="str">
        <f>HYPERLINK("http://www.rosaceae.org/Prunus/Prunus_persica/p.persica_gdr_reftransV1_0043886","p.persica_gdr_reftransV1_0043886")</f>
        <v>p.persica_gdr_reftransV1_0043886</v>
      </c>
      <c r="B10494" s="3">
        <v>603</v>
      </c>
      <c r="C10494" s="1" t="str">
        <f>HYPERLINK("http://www.uniprot.org/uniprot/NLTP2_PRUAR","NLTP2_PRUAR")</f>
        <v>NLTP2_PRUAR</v>
      </c>
      <c r="D10494" t="s">
        <v>5023</v>
      </c>
      <c r="E10494" s="3" t="s">
        <v>62</v>
      </c>
      <c r="F10494" s="4">
        <v>1.9400000000000001E-34</v>
      </c>
      <c r="G10494" s="3">
        <v>307</v>
      </c>
      <c r="H10494" s="3">
        <v>95</v>
      </c>
      <c r="I10494" s="3">
        <v>64</v>
      </c>
      <c r="J10494" s="3">
        <v>22</v>
      </c>
      <c r="K10494" s="3">
        <v>213</v>
      </c>
      <c r="L10494" s="3">
        <v>1</v>
      </c>
      <c r="M10494" s="3">
        <v>64</v>
      </c>
    </row>
    <row r="10495" spans="1:13" x14ac:dyDescent="0.25">
      <c r="A10495" s="1" t="str">
        <f>HYPERLINK("http://www.rosaceae.org/Prunus/Prunus_persica/p.persica_gdr_reftransV1_0044036","p.persica_gdr_reftransV1_0044036")</f>
        <v>p.persica_gdr_reftransV1_0044036</v>
      </c>
      <c r="B10495" s="3">
        <v>1430</v>
      </c>
      <c r="C10495" s="1" t="str">
        <f>HYPERLINK("http://www.uniprot.org/uniprot/SLX1_MOUSE","SLX1_MOUSE")</f>
        <v>SLX1_MOUSE</v>
      </c>
      <c r="D10495" t="s">
        <v>5410</v>
      </c>
      <c r="E10495" s="3" t="s">
        <v>157</v>
      </c>
      <c r="F10495" s="4">
        <v>2.64E-34</v>
      </c>
      <c r="G10495" s="3">
        <v>337</v>
      </c>
      <c r="H10495" s="3">
        <v>42</v>
      </c>
      <c r="I10495" s="3">
        <v>149</v>
      </c>
      <c r="J10495" s="3">
        <v>93</v>
      </c>
      <c r="K10495" s="3">
        <v>536</v>
      </c>
      <c r="L10495" s="3">
        <v>2</v>
      </c>
      <c r="M10495" s="3">
        <v>148</v>
      </c>
    </row>
    <row r="10496" spans="1:13" x14ac:dyDescent="0.25">
      <c r="A10496" s="1" t="str">
        <f>HYPERLINK("http://www.rosaceae.org/Prunus/Prunus_persica/p.persica_gdr_reftransV1_0044086","p.persica_gdr_reftransV1_0044086")</f>
        <v>p.persica_gdr_reftransV1_0044086</v>
      </c>
      <c r="B10496" s="3">
        <v>1246</v>
      </c>
      <c r="C10496" s="1" t="str">
        <f>HYPERLINK("http://www.uniprot.org/uniprot/THUM1_DROME","THUM1_DROME")</f>
        <v>THUM1_DROME</v>
      </c>
      <c r="D10496" t="s">
        <v>948</v>
      </c>
      <c r="E10496" s="3" t="s">
        <v>5</v>
      </c>
      <c r="F10496" s="4">
        <v>2.4000000000000001E-25</v>
      </c>
      <c r="G10496" s="3">
        <v>271</v>
      </c>
      <c r="H10496" s="3">
        <v>35</v>
      </c>
      <c r="I10496" s="3">
        <v>170</v>
      </c>
      <c r="J10496" s="3">
        <v>424</v>
      </c>
      <c r="K10496" s="3">
        <v>924</v>
      </c>
      <c r="L10496" s="3">
        <v>114</v>
      </c>
      <c r="M10496" s="3">
        <v>276</v>
      </c>
    </row>
    <row r="10497" spans="1:13" x14ac:dyDescent="0.25">
      <c r="A10497" s="1" t="str">
        <f>HYPERLINK("http://www.rosaceae.org/Prunus/Prunus_persica/p.persica_gdr_reftransV1_0044136","p.persica_gdr_reftransV1_0044136")</f>
        <v>p.persica_gdr_reftransV1_0044136</v>
      </c>
      <c r="B10497" s="3">
        <v>1290</v>
      </c>
      <c r="C10497" s="1" t="str">
        <f>HYPERLINK("http://www.uniprot.org/uniprot/KCY4_ORYSJ","KCY4_ORYSJ")</f>
        <v>KCY4_ORYSJ</v>
      </c>
      <c r="D10497" t="s">
        <v>5102</v>
      </c>
      <c r="E10497" s="3" t="s">
        <v>38</v>
      </c>
      <c r="F10497" s="4">
        <v>2.2999999999999999E-114</v>
      </c>
      <c r="G10497" s="3">
        <v>874</v>
      </c>
      <c r="H10497" s="3">
        <v>81</v>
      </c>
      <c r="I10497" s="3">
        <v>208</v>
      </c>
      <c r="J10497" s="3">
        <v>202</v>
      </c>
      <c r="K10497" s="3">
        <v>810</v>
      </c>
      <c r="L10497" s="3">
        <v>1</v>
      </c>
      <c r="M10497" s="3">
        <v>208</v>
      </c>
    </row>
    <row r="10498" spans="1:13" x14ac:dyDescent="0.25">
      <c r="A10498" s="1" t="str">
        <f>HYPERLINK("http://www.rosaceae.org/Prunus/Prunus_persica/p.persica_gdr_reftransV1_0044186","p.persica_gdr_reftransV1_0044186")</f>
        <v>p.persica_gdr_reftransV1_0044186</v>
      </c>
      <c r="B10498" s="3">
        <v>307</v>
      </c>
      <c r="C10498" s="1" t="str">
        <f>HYPERLINK("http://www.uniprot.org/uniprot/PP386_ARATH","PP386_ARATH")</f>
        <v>PP386_ARATH</v>
      </c>
      <c r="D10498" t="s">
        <v>3727</v>
      </c>
      <c r="E10498" s="3" t="s">
        <v>3</v>
      </c>
      <c r="F10498" s="4">
        <v>1.1199999999999999E-42</v>
      </c>
      <c r="G10498" s="3">
        <v>381</v>
      </c>
      <c r="H10498" s="3">
        <v>64</v>
      </c>
      <c r="I10498" s="3">
        <v>107</v>
      </c>
      <c r="J10498" s="3">
        <v>3</v>
      </c>
      <c r="K10498" s="3">
        <v>305</v>
      </c>
      <c r="L10498" s="3">
        <v>261</v>
      </c>
      <c r="M10498" s="3">
        <v>367</v>
      </c>
    </row>
    <row r="10499" spans="1:13" x14ac:dyDescent="0.25">
      <c r="A10499" s="1" t="str">
        <f>HYPERLINK("http://www.rosaceae.org/Prunus/Prunus_persica/p.persica_gdr_reftransV1_0044236","p.persica_gdr_reftransV1_0044236")</f>
        <v>p.persica_gdr_reftransV1_0044236</v>
      </c>
      <c r="B10499" s="3">
        <v>888</v>
      </c>
      <c r="C10499" s="1" t="str">
        <f>HYPERLINK("http://www.uniprot.org/uniprot/CSPLA_VITVI","CSPLA_VITVI")</f>
        <v>CSPLA_VITVI</v>
      </c>
      <c r="D10499" t="s">
        <v>7630</v>
      </c>
      <c r="E10499" s="3" t="s">
        <v>362</v>
      </c>
      <c r="F10499" s="4">
        <v>7.8199999999999994E-83</v>
      </c>
      <c r="G10499" s="3">
        <v>651</v>
      </c>
      <c r="H10499" s="3">
        <v>66</v>
      </c>
      <c r="I10499" s="3">
        <v>197</v>
      </c>
      <c r="J10499" s="3">
        <v>190</v>
      </c>
      <c r="K10499" s="3">
        <v>780</v>
      </c>
      <c r="L10499" s="3">
        <v>19</v>
      </c>
      <c r="M10499" s="3">
        <v>205</v>
      </c>
    </row>
    <row r="10500" spans="1:13" x14ac:dyDescent="0.25">
      <c r="A10500" s="1" t="str">
        <f>HYPERLINK("http://www.rosaceae.org/Prunus/Prunus_persica/p.persica_gdr_reftransV1_0044286","p.persica_gdr_reftransV1_0044286")</f>
        <v>p.persica_gdr_reftransV1_0044286</v>
      </c>
      <c r="B10500" s="3">
        <v>688</v>
      </c>
      <c r="C10500" s="1" t="str">
        <f>HYPERLINK("http://www.uniprot.org/uniprot/BABL_CUCSA","BABL_CUCSA")</f>
        <v>BABL_CUCSA</v>
      </c>
      <c r="D10500" t="s">
        <v>7631</v>
      </c>
      <c r="E10500" s="3" t="s">
        <v>1149</v>
      </c>
      <c r="F10500" s="4">
        <v>1.8199999999999999E-47</v>
      </c>
      <c r="G10500" s="3">
        <v>399</v>
      </c>
      <c r="H10500" s="3">
        <v>72</v>
      </c>
      <c r="I10500" s="3">
        <v>96</v>
      </c>
      <c r="J10500" s="3">
        <v>258</v>
      </c>
      <c r="K10500" s="3">
        <v>545</v>
      </c>
      <c r="L10500" s="3">
        <v>1</v>
      </c>
      <c r="M10500" s="3">
        <v>96</v>
      </c>
    </row>
    <row r="10501" spans="1:13" x14ac:dyDescent="0.25">
      <c r="A10501" s="1" t="str">
        <f>HYPERLINK("http://www.rosaceae.org/Prunus/Prunus_persica/p.persica_gdr_reftransV1_0044336","p.persica_gdr_reftransV1_0044336")</f>
        <v>p.persica_gdr_reftransV1_0044336</v>
      </c>
      <c r="B10501" s="3">
        <v>1825</v>
      </c>
      <c r="C10501" s="1" t="str">
        <f>HYPERLINK("http://www.uniprot.org/uniprot/TAF6_ARATH","TAF6_ARATH")</f>
        <v>TAF6_ARATH</v>
      </c>
      <c r="D10501" t="s">
        <v>282</v>
      </c>
      <c r="E10501" s="3" t="s">
        <v>3</v>
      </c>
      <c r="F10501" s="4">
        <v>0</v>
      </c>
      <c r="G10501" s="3">
        <v>1689</v>
      </c>
      <c r="H10501" s="3">
        <v>64</v>
      </c>
      <c r="I10501" s="3">
        <v>546</v>
      </c>
      <c r="J10501" s="3">
        <v>69</v>
      </c>
      <c r="K10501" s="3">
        <v>1685</v>
      </c>
      <c r="L10501" s="3">
        <v>1</v>
      </c>
      <c r="M10501" s="3">
        <v>545</v>
      </c>
    </row>
    <row r="10502" spans="1:13" x14ac:dyDescent="0.25">
      <c r="A10502" s="1" t="str">
        <f>HYPERLINK("http://www.rosaceae.org/Prunus/Prunus_persica/p.persica_gdr_reftransV1_0044486","p.persica_gdr_reftransV1_0044486")</f>
        <v>p.persica_gdr_reftransV1_0044486</v>
      </c>
      <c r="B10502" s="3">
        <v>907</v>
      </c>
      <c r="C10502" s="1" t="str">
        <f>HYPERLINK("http://www.uniprot.org/uniprot/RH47A_ORYSJ","RH47A_ORYSJ")</f>
        <v>RH47A_ORYSJ</v>
      </c>
      <c r="D10502" t="s">
        <v>7632</v>
      </c>
      <c r="E10502" s="3" t="s">
        <v>38</v>
      </c>
      <c r="F10502" s="4">
        <v>6.5700000000000006E-54</v>
      </c>
      <c r="G10502" s="3">
        <v>482</v>
      </c>
      <c r="H10502" s="3">
        <v>51</v>
      </c>
      <c r="I10502" s="3">
        <v>231</v>
      </c>
      <c r="J10502" s="3">
        <v>15</v>
      </c>
      <c r="K10502" s="3">
        <v>650</v>
      </c>
      <c r="L10502" s="3">
        <v>18</v>
      </c>
      <c r="M10502" s="3">
        <v>244</v>
      </c>
    </row>
    <row r="10503" spans="1:13" x14ac:dyDescent="0.25">
      <c r="A10503" s="1" t="str">
        <f>HYPERLINK("http://www.rosaceae.org/Prunus/Prunus_persica/p.persica_gdr_reftransV1_0044536","p.persica_gdr_reftransV1_0044536")</f>
        <v>p.persica_gdr_reftransV1_0044536</v>
      </c>
      <c r="B10503" s="3">
        <v>330</v>
      </c>
      <c r="C10503" s="1" t="str">
        <f>HYPERLINK("http://www.uniprot.org/uniprot/E70B1_ARATH","E70B1_ARATH")</f>
        <v>E70B1_ARATH</v>
      </c>
      <c r="D10503" t="s">
        <v>7633</v>
      </c>
      <c r="E10503" s="3" t="s">
        <v>3</v>
      </c>
      <c r="F10503" s="4">
        <v>3.6499999999999998E-19</v>
      </c>
      <c r="G10503" s="3">
        <v>212</v>
      </c>
      <c r="H10503" s="3">
        <v>40</v>
      </c>
      <c r="I10503" s="3">
        <v>106</v>
      </c>
      <c r="J10503" s="3">
        <v>12</v>
      </c>
      <c r="K10503" s="3">
        <v>329</v>
      </c>
      <c r="L10503" s="3">
        <v>289</v>
      </c>
      <c r="M10503" s="3">
        <v>394</v>
      </c>
    </row>
    <row r="10504" spans="1:13" x14ac:dyDescent="0.25">
      <c r="A10504" s="1" t="str">
        <f>HYPERLINK("http://www.rosaceae.org/Prunus/Prunus_persica/p.persica_gdr_reftransV1_0044586","p.persica_gdr_reftransV1_0044586")</f>
        <v>p.persica_gdr_reftransV1_0044586</v>
      </c>
      <c r="B10504" s="3">
        <v>1090</v>
      </c>
      <c r="C10504" s="1" t="str">
        <f>HYPERLINK("http://www.uniprot.org/uniprot/FAX2_ARATH","FAX2_ARATH")</f>
        <v>FAX2_ARATH</v>
      </c>
      <c r="D10504" t="s">
        <v>7634</v>
      </c>
      <c r="E10504" s="3" t="s">
        <v>3</v>
      </c>
      <c r="F10504" s="4">
        <v>1.0300000000000001E-12</v>
      </c>
      <c r="G10504" s="3">
        <v>171</v>
      </c>
      <c r="H10504" s="3">
        <v>54</v>
      </c>
      <c r="I10504" s="3">
        <v>65</v>
      </c>
      <c r="J10504" s="3">
        <v>312</v>
      </c>
      <c r="K10504" s="3">
        <v>506</v>
      </c>
      <c r="L10504" s="3">
        <v>176</v>
      </c>
      <c r="M10504" s="3">
        <v>240</v>
      </c>
    </row>
    <row r="10505" spans="1:13" x14ac:dyDescent="0.25">
      <c r="A10505" s="1" t="str">
        <f>HYPERLINK("http://www.rosaceae.org/Prunus/Prunus_persica/p.persica_gdr_reftransV1_0044836","p.persica_gdr_reftransV1_0044836")</f>
        <v>p.persica_gdr_reftransV1_0044836</v>
      </c>
      <c r="B10505" s="3">
        <v>1114</v>
      </c>
      <c r="C10505" s="1" t="str">
        <f>HYPERLINK("http://www.uniprot.org/uniprot/WRK28_ARATH","WRK28_ARATH")</f>
        <v>WRK28_ARATH</v>
      </c>
      <c r="D10505" t="s">
        <v>3386</v>
      </c>
      <c r="E10505" s="3" t="s">
        <v>3</v>
      </c>
      <c r="F10505" s="4">
        <v>1.38E-45</v>
      </c>
      <c r="G10505" s="3">
        <v>416</v>
      </c>
      <c r="H10505" s="3">
        <v>89</v>
      </c>
      <c r="I10505" s="3">
        <v>82</v>
      </c>
      <c r="J10505" s="3">
        <v>869</v>
      </c>
      <c r="K10505" s="3">
        <v>1114</v>
      </c>
      <c r="L10505" s="3">
        <v>155</v>
      </c>
      <c r="M10505" s="3">
        <v>236</v>
      </c>
    </row>
    <row r="10506" spans="1:13" x14ac:dyDescent="0.25">
      <c r="A10506" s="1" t="str">
        <f>HYPERLINK("http://www.rosaceae.org/Prunus/Prunus_persica/p.persica_gdr_reftransV1_0044886","p.persica_gdr_reftransV1_0044886")</f>
        <v>p.persica_gdr_reftransV1_0044886</v>
      </c>
      <c r="B10506" s="3">
        <v>533</v>
      </c>
      <c r="C10506" s="1" t="str">
        <f>HYPERLINK("http://www.uniprot.org/uniprot/AAH_ARATH","AAH_ARATH")</f>
        <v>AAH_ARATH</v>
      </c>
      <c r="D10506" t="s">
        <v>1704</v>
      </c>
      <c r="E10506" s="3" t="s">
        <v>3</v>
      </c>
      <c r="F10506" s="4">
        <v>1.7400000000000001E-63</v>
      </c>
      <c r="G10506" s="3">
        <v>534</v>
      </c>
      <c r="H10506" s="3">
        <v>57</v>
      </c>
      <c r="I10506" s="3">
        <v>195</v>
      </c>
      <c r="J10506" s="3">
        <v>74</v>
      </c>
      <c r="K10506" s="3">
        <v>532</v>
      </c>
      <c r="L10506" s="3">
        <v>332</v>
      </c>
      <c r="M10506" s="3">
        <v>525</v>
      </c>
    </row>
    <row r="10507" spans="1:13" x14ac:dyDescent="0.25">
      <c r="A10507" s="1" t="str">
        <f>HYPERLINK("http://www.rosaceae.org/Prunus/Prunus_persica/p.persica_gdr_reftransV1_0045036","p.persica_gdr_reftransV1_0045036")</f>
        <v>p.persica_gdr_reftransV1_0045036</v>
      </c>
      <c r="B10507" s="3">
        <v>694</v>
      </c>
      <c r="C10507" s="1" t="str">
        <f>HYPERLINK("http://www.uniprot.org/uniprot/GONS5_ARATH","GONS5_ARATH")</f>
        <v>GONS5_ARATH</v>
      </c>
      <c r="D10507" t="s">
        <v>7635</v>
      </c>
      <c r="E10507" s="3" t="s">
        <v>3</v>
      </c>
      <c r="F10507" s="4">
        <v>8.8300000000000002E-69</v>
      </c>
      <c r="G10507" s="3">
        <v>562</v>
      </c>
      <c r="H10507" s="3">
        <v>78</v>
      </c>
      <c r="I10507" s="3">
        <v>151</v>
      </c>
      <c r="J10507" s="3">
        <v>148</v>
      </c>
      <c r="K10507" s="3">
        <v>600</v>
      </c>
      <c r="L10507" s="3">
        <v>191</v>
      </c>
      <c r="M10507" s="3">
        <v>341</v>
      </c>
    </row>
    <row r="10508" spans="1:13" x14ac:dyDescent="0.25">
      <c r="A10508" s="1" t="str">
        <f>HYPERLINK("http://www.rosaceae.org/Prunus/Prunus_persica/p.persica_gdr_reftransV1_0045086","p.persica_gdr_reftransV1_0045086")</f>
        <v>p.persica_gdr_reftransV1_0045086</v>
      </c>
      <c r="B10508" s="3">
        <v>777</v>
      </c>
      <c r="C10508" s="1" t="str">
        <f>HYPERLINK("http://www.uniprot.org/uniprot/FK151_ARATH","FK151_ARATH")</f>
        <v>FK151_ARATH</v>
      </c>
      <c r="D10508" t="s">
        <v>7636</v>
      </c>
      <c r="E10508" s="3" t="s">
        <v>3</v>
      </c>
      <c r="F10508" s="4">
        <v>4.7500000000000002E-65</v>
      </c>
      <c r="G10508" s="3">
        <v>524</v>
      </c>
      <c r="H10508" s="3">
        <v>73</v>
      </c>
      <c r="I10508" s="3">
        <v>143</v>
      </c>
      <c r="J10508" s="3">
        <v>309</v>
      </c>
      <c r="K10508" s="3">
        <v>737</v>
      </c>
      <c r="L10508" s="3">
        <v>2</v>
      </c>
      <c r="M10508" s="3">
        <v>144</v>
      </c>
    </row>
    <row r="10509" spans="1:13" x14ac:dyDescent="0.25">
      <c r="A10509" s="1" t="str">
        <f>HYPERLINK("http://www.rosaceae.org/Prunus/Prunus_persica/p.persica_gdr_reftransV1_0045136","p.persica_gdr_reftransV1_0045136")</f>
        <v>p.persica_gdr_reftransV1_0045136</v>
      </c>
      <c r="B10509" s="3">
        <v>1774</v>
      </c>
      <c r="C10509" s="1" t="str">
        <f>HYPERLINK("http://www.uniprot.org/uniprot/Y1049_ARATH","Y1049_ARATH")</f>
        <v>Y1049_ARATH</v>
      </c>
      <c r="D10509" t="s">
        <v>5282</v>
      </c>
      <c r="E10509" s="3" t="s">
        <v>3</v>
      </c>
      <c r="F10509" s="4">
        <v>3.66E-170</v>
      </c>
      <c r="G10509" s="3">
        <v>1286</v>
      </c>
      <c r="H10509" s="3">
        <v>53</v>
      </c>
      <c r="I10509" s="3">
        <v>457</v>
      </c>
      <c r="J10509" s="3">
        <v>201</v>
      </c>
      <c r="K10509" s="3">
        <v>1565</v>
      </c>
      <c r="L10509" s="3">
        <v>26</v>
      </c>
      <c r="M10509" s="3">
        <v>482</v>
      </c>
    </row>
    <row r="10510" spans="1:13" x14ac:dyDescent="0.25">
      <c r="A10510" s="1" t="str">
        <f>HYPERLINK("http://www.rosaceae.org/Prunus/Prunus_persica/p.persica_gdr_reftransV1_0045236","p.persica_gdr_reftransV1_0045236")</f>
        <v>p.persica_gdr_reftransV1_0045236</v>
      </c>
      <c r="B10510" s="3">
        <v>1220</v>
      </c>
      <c r="C10510" s="1" t="str">
        <f>HYPERLINK("http://www.uniprot.org/uniprot/EF1B1_ARATH","EF1B1_ARATH")</f>
        <v>EF1B1_ARATH</v>
      </c>
      <c r="D10510" t="s">
        <v>7637</v>
      </c>
      <c r="E10510" s="3" t="s">
        <v>3</v>
      </c>
      <c r="F10510" s="4">
        <v>4.3800000000000002E-70</v>
      </c>
      <c r="G10510" s="3">
        <v>578</v>
      </c>
      <c r="H10510" s="3">
        <v>71</v>
      </c>
      <c r="I10510" s="3">
        <v>228</v>
      </c>
      <c r="J10510" s="3">
        <v>112</v>
      </c>
      <c r="K10510" s="3">
        <v>771</v>
      </c>
      <c r="L10510" s="3">
        <v>1</v>
      </c>
      <c r="M10510" s="3">
        <v>228</v>
      </c>
    </row>
    <row r="10511" spans="1:13" x14ac:dyDescent="0.25">
      <c r="A10511" s="1" t="str">
        <f>HYPERLINK("http://www.rosaceae.org/Prunus/Prunus_persica/p.persica_gdr_reftransV1_0045286","p.persica_gdr_reftransV1_0045286")</f>
        <v>p.persica_gdr_reftransV1_0045286</v>
      </c>
      <c r="B10511" s="3">
        <v>2783</v>
      </c>
      <c r="C10511" s="1" t="str">
        <f>HYPERLINK("http://www.uniprot.org/uniprot/AVP_VIGRR","AVP_VIGRR")</f>
        <v>AVP_VIGRR</v>
      </c>
      <c r="D10511" t="s">
        <v>7638</v>
      </c>
      <c r="E10511" s="3" t="s">
        <v>2261</v>
      </c>
      <c r="F10511" s="4">
        <v>0</v>
      </c>
      <c r="G10511" s="3">
        <v>3526</v>
      </c>
      <c r="H10511" s="3">
        <v>89</v>
      </c>
      <c r="I10511" s="3">
        <v>758</v>
      </c>
      <c r="J10511" s="3">
        <v>377</v>
      </c>
      <c r="K10511" s="3">
        <v>2650</v>
      </c>
      <c r="L10511" s="3">
        <v>3</v>
      </c>
      <c r="M10511" s="3">
        <v>758</v>
      </c>
    </row>
    <row r="10512" spans="1:13" x14ac:dyDescent="0.25">
      <c r="A10512" s="1" t="str">
        <f>HYPERLINK("http://www.rosaceae.org/Prunus/Prunus_persica/p.persica_gdr_reftransV1_0045536","p.persica_gdr_reftransV1_0045536")</f>
        <v>p.persica_gdr_reftransV1_0045536</v>
      </c>
      <c r="B10512" s="3">
        <v>3536</v>
      </c>
      <c r="C10512" s="1" t="str">
        <f>HYPERLINK("http://www.uniprot.org/uniprot/SEUSS_ARATH","SEUSS_ARATH")</f>
        <v>SEUSS_ARATH</v>
      </c>
      <c r="D10512" t="s">
        <v>389</v>
      </c>
      <c r="E10512" s="3" t="s">
        <v>3</v>
      </c>
      <c r="F10512" s="4">
        <v>0</v>
      </c>
      <c r="G10512" s="3">
        <v>1531</v>
      </c>
      <c r="H10512" s="3">
        <v>65</v>
      </c>
      <c r="I10512" s="3">
        <v>614</v>
      </c>
      <c r="J10512" s="3">
        <v>490</v>
      </c>
      <c r="K10512" s="3">
        <v>2256</v>
      </c>
      <c r="L10512" s="3">
        <v>294</v>
      </c>
      <c r="M10512" s="3">
        <v>875</v>
      </c>
    </row>
    <row r="10513" spans="1:13" x14ac:dyDescent="0.25">
      <c r="A10513" s="1" t="str">
        <f>HYPERLINK("http://www.rosaceae.org/Prunus/Prunus_persica/p.persica_gdr_reftransV1_0045636","p.persica_gdr_reftransV1_0045636")</f>
        <v>p.persica_gdr_reftransV1_0045636</v>
      </c>
      <c r="B10513" s="3">
        <v>2846</v>
      </c>
      <c r="C10513" s="1" t="str">
        <f>HYPERLINK("http://www.uniprot.org/uniprot/PAE10_ARATH","PAE10_ARATH")</f>
        <v>PAE10_ARATH</v>
      </c>
      <c r="D10513" t="s">
        <v>3038</v>
      </c>
      <c r="E10513" s="3" t="s">
        <v>3</v>
      </c>
      <c r="F10513" s="4">
        <v>0</v>
      </c>
      <c r="G10513" s="3">
        <v>1551</v>
      </c>
      <c r="H10513" s="3">
        <v>68</v>
      </c>
      <c r="I10513" s="3">
        <v>424</v>
      </c>
      <c r="J10513" s="3">
        <v>1231</v>
      </c>
      <c r="K10513" s="3">
        <v>2487</v>
      </c>
      <c r="L10513" s="3">
        <v>1</v>
      </c>
      <c r="M10513" s="3">
        <v>416</v>
      </c>
    </row>
    <row r="10514" spans="1:13" x14ac:dyDescent="0.25">
      <c r="A10514" s="1" t="str">
        <f>HYPERLINK("http://www.rosaceae.org/Prunus/Prunus_persica/p.persica_gdr_reftransV1_0045736","p.persica_gdr_reftransV1_0045736")</f>
        <v>p.persica_gdr_reftransV1_0045736</v>
      </c>
      <c r="B10514" s="3">
        <v>1769</v>
      </c>
      <c r="C10514" s="1" t="str">
        <f>HYPERLINK("http://www.uniprot.org/uniprot/NOP14_MOUSE","NOP14_MOUSE")</f>
        <v>NOP14_MOUSE</v>
      </c>
      <c r="D10514" t="s">
        <v>7639</v>
      </c>
      <c r="E10514" s="3" t="s">
        <v>157</v>
      </c>
      <c r="F10514" s="4">
        <v>2.2999999999999999E-35</v>
      </c>
      <c r="G10514" s="3">
        <v>367</v>
      </c>
      <c r="H10514" s="3">
        <v>29</v>
      </c>
      <c r="I10514" s="3">
        <v>454</v>
      </c>
      <c r="J10514" s="3">
        <v>80</v>
      </c>
      <c r="K10514" s="3">
        <v>1405</v>
      </c>
      <c r="L10514" s="3">
        <v>399</v>
      </c>
      <c r="M10514" s="3">
        <v>837</v>
      </c>
    </row>
    <row r="10515" spans="1:13" x14ac:dyDescent="0.25">
      <c r="A10515" s="1" t="str">
        <f>HYPERLINK("http://www.rosaceae.org/Prunus/Prunus_persica/p.persica_gdr_reftransV1_0045786","p.persica_gdr_reftransV1_0045786")</f>
        <v>p.persica_gdr_reftransV1_0045786</v>
      </c>
      <c r="B10515" s="3">
        <v>1521</v>
      </c>
      <c r="C10515" s="1" t="str">
        <f>HYPERLINK("http://www.uniprot.org/uniprot/SF3B4_HUMAN","SF3B4_HUMAN")</f>
        <v>SF3B4_HUMAN</v>
      </c>
      <c r="D10515" t="s">
        <v>2925</v>
      </c>
      <c r="E10515" s="3" t="s">
        <v>28</v>
      </c>
      <c r="F10515" s="4">
        <v>7.3699999999999995E-109</v>
      </c>
      <c r="G10515" s="3">
        <v>864</v>
      </c>
      <c r="H10515" s="3">
        <v>77</v>
      </c>
      <c r="I10515" s="3">
        <v>205</v>
      </c>
      <c r="J10515" s="3">
        <v>669</v>
      </c>
      <c r="K10515" s="3">
        <v>1280</v>
      </c>
      <c r="L10515" s="3">
        <v>7</v>
      </c>
      <c r="M10515" s="3">
        <v>211</v>
      </c>
    </row>
    <row r="10516" spans="1:13" x14ac:dyDescent="0.25">
      <c r="A10516" s="1" t="str">
        <f>HYPERLINK("http://www.rosaceae.org/Prunus/Prunus_persica/p.persica_gdr_reftransV1_0045836","p.persica_gdr_reftransV1_0045836")</f>
        <v>p.persica_gdr_reftransV1_0045836</v>
      </c>
      <c r="B10516" s="3">
        <v>2329</v>
      </c>
      <c r="C10516" s="1" t="str">
        <f>HYPERLINK("http://www.uniprot.org/uniprot/Y5185_ARATH","Y5185_ARATH")</f>
        <v>Y5185_ARATH</v>
      </c>
      <c r="D10516" t="s">
        <v>7640</v>
      </c>
      <c r="E10516" s="3" t="s">
        <v>3</v>
      </c>
      <c r="F10516" s="4">
        <v>0</v>
      </c>
      <c r="G10516" s="3">
        <v>1552</v>
      </c>
      <c r="H10516" s="3">
        <v>67</v>
      </c>
      <c r="I10516" s="3">
        <v>500</v>
      </c>
      <c r="J10516" s="3">
        <v>467</v>
      </c>
      <c r="K10516" s="3">
        <v>1957</v>
      </c>
      <c r="L10516" s="3">
        <v>1</v>
      </c>
      <c r="M10516" s="3">
        <v>476</v>
      </c>
    </row>
    <row r="10517" spans="1:13" x14ac:dyDescent="0.25">
      <c r="A10517" s="1" t="str">
        <f>HYPERLINK("http://www.rosaceae.org/Prunus/Prunus_persica/p.persica_gdr_reftransV1_0045936","p.persica_gdr_reftransV1_0045936")</f>
        <v>p.persica_gdr_reftransV1_0045936</v>
      </c>
      <c r="B10517" s="3">
        <v>1005</v>
      </c>
      <c r="C10517" s="1" t="str">
        <f>HYPERLINK("http://www.uniprot.org/uniprot/TPPC1_DICDI","TPPC1_DICDI")</f>
        <v>TPPC1_DICDI</v>
      </c>
      <c r="D10517" t="s">
        <v>7641</v>
      </c>
      <c r="E10517" s="3" t="s">
        <v>9</v>
      </c>
      <c r="F10517" s="4">
        <v>1.3899999999999999E-28</v>
      </c>
      <c r="G10517" s="3">
        <v>281</v>
      </c>
      <c r="H10517" s="3">
        <v>39</v>
      </c>
      <c r="I10517" s="3">
        <v>131</v>
      </c>
      <c r="J10517" s="3">
        <v>443</v>
      </c>
      <c r="K10517" s="3">
        <v>832</v>
      </c>
      <c r="L10517" s="3">
        <v>5</v>
      </c>
      <c r="M10517" s="3">
        <v>124</v>
      </c>
    </row>
    <row r="10518" spans="1:13" x14ac:dyDescent="0.25">
      <c r="A10518" s="1" t="str">
        <f>HYPERLINK("http://www.rosaceae.org/Prunus/Prunus_persica/p.persica_gdr_reftransV1_0045986","p.persica_gdr_reftransV1_0045986")</f>
        <v>p.persica_gdr_reftransV1_0045986</v>
      </c>
      <c r="B10518" s="3">
        <v>1199</v>
      </c>
      <c r="C10518" s="1" t="str">
        <f>HYPERLINK("http://www.uniprot.org/uniprot/NAA40_DANRE","NAA40_DANRE")</f>
        <v>NAA40_DANRE</v>
      </c>
      <c r="D10518" t="s">
        <v>7642</v>
      </c>
      <c r="E10518" s="3" t="s">
        <v>704</v>
      </c>
      <c r="F10518" s="4">
        <v>3.8000000000000002E-14</v>
      </c>
      <c r="G10518" s="3">
        <v>183</v>
      </c>
      <c r="H10518" s="3">
        <v>34</v>
      </c>
      <c r="I10518" s="3">
        <v>199</v>
      </c>
      <c r="J10518" s="3">
        <v>388</v>
      </c>
      <c r="K10518" s="3">
        <v>969</v>
      </c>
      <c r="L10518" s="3">
        <v>43</v>
      </c>
      <c r="M10518" s="3">
        <v>216</v>
      </c>
    </row>
    <row r="10519" spans="1:13" x14ac:dyDescent="0.25">
      <c r="A10519" s="1" t="str">
        <f>HYPERLINK("http://www.rosaceae.org/Prunus/Prunus_persica/p.persica_gdr_reftransV1_0046036","p.persica_gdr_reftransV1_0046036")</f>
        <v>p.persica_gdr_reftransV1_0046036</v>
      </c>
      <c r="B10519" s="3">
        <v>950</v>
      </c>
      <c r="C10519" s="1" t="str">
        <f>HYPERLINK("http://www.uniprot.org/uniprot/C3H67_ARATH","C3H67_ARATH")</f>
        <v>C3H67_ARATH</v>
      </c>
      <c r="D10519" t="s">
        <v>7643</v>
      </c>
      <c r="E10519" s="3" t="s">
        <v>3</v>
      </c>
      <c r="F10519" s="4">
        <v>3.9699999999999998E-38</v>
      </c>
      <c r="G10519" s="3">
        <v>366</v>
      </c>
      <c r="H10519" s="3">
        <v>51</v>
      </c>
      <c r="I10519" s="3">
        <v>139</v>
      </c>
      <c r="J10519" s="3">
        <v>3</v>
      </c>
      <c r="K10519" s="3">
        <v>416</v>
      </c>
      <c r="L10519" s="3">
        <v>273</v>
      </c>
      <c r="M10519" s="3">
        <v>411</v>
      </c>
    </row>
    <row r="10520" spans="1:13" x14ac:dyDescent="0.25">
      <c r="A10520" s="1" t="str">
        <f>HYPERLINK("http://www.rosaceae.org/Prunus/Prunus_persica/p.persica_gdr_reftransV1_0046086","p.persica_gdr_reftransV1_0046086")</f>
        <v>p.persica_gdr_reftransV1_0046086</v>
      </c>
      <c r="B10520" s="3">
        <v>528</v>
      </c>
      <c r="C10520" s="1" t="str">
        <f>HYPERLINK("http://www.uniprot.org/uniprot/EPFL9_ARATH","EPFL9_ARATH")</f>
        <v>EPFL9_ARATH</v>
      </c>
      <c r="D10520" t="s">
        <v>7644</v>
      </c>
      <c r="E10520" s="3" t="s">
        <v>3</v>
      </c>
      <c r="F10520" s="4">
        <v>2.9399999999999999E-28</v>
      </c>
      <c r="G10520" s="3">
        <v>266</v>
      </c>
      <c r="H10520" s="3">
        <v>87</v>
      </c>
      <c r="I10520" s="3">
        <v>53</v>
      </c>
      <c r="J10520" s="3">
        <v>24</v>
      </c>
      <c r="K10520" s="3">
        <v>182</v>
      </c>
      <c r="L10520" s="3">
        <v>50</v>
      </c>
      <c r="M10520" s="3">
        <v>102</v>
      </c>
    </row>
    <row r="10521" spans="1:13" x14ac:dyDescent="0.25">
      <c r="A10521" s="1" t="str">
        <f>HYPERLINK("http://www.rosaceae.org/Prunus/Prunus_persica/p.persica_gdr_reftransV1_0046136","p.persica_gdr_reftransV1_0046136")</f>
        <v>p.persica_gdr_reftransV1_0046136</v>
      </c>
      <c r="B10521" s="3">
        <v>1581</v>
      </c>
      <c r="C10521" s="1" t="str">
        <f>HYPERLINK("http://www.uniprot.org/uniprot/KATL2_XENTR","KATL2_XENTR")</f>
        <v>KATL2_XENTR</v>
      </c>
      <c r="D10521" t="s">
        <v>7645</v>
      </c>
      <c r="E10521" s="3" t="s">
        <v>173</v>
      </c>
      <c r="F10521" s="4">
        <v>1.9199999999999999E-115</v>
      </c>
      <c r="G10521" s="3">
        <v>920</v>
      </c>
      <c r="H10521" s="3">
        <v>58</v>
      </c>
      <c r="I10521" s="3">
        <v>308</v>
      </c>
      <c r="J10521" s="3">
        <v>261</v>
      </c>
      <c r="K10521" s="3">
        <v>1163</v>
      </c>
      <c r="L10521" s="3">
        <v>234</v>
      </c>
      <c r="M10521" s="3">
        <v>541</v>
      </c>
    </row>
    <row r="10522" spans="1:13" x14ac:dyDescent="0.25">
      <c r="A10522" s="1" t="str">
        <f>HYPERLINK("http://www.rosaceae.org/Prunus/Prunus_persica/p.persica_gdr_reftransV1_0046336","p.persica_gdr_reftransV1_0046336")</f>
        <v>p.persica_gdr_reftransV1_0046336</v>
      </c>
      <c r="B10522" s="3">
        <v>1540</v>
      </c>
      <c r="C10522" s="1" t="str">
        <f>HYPERLINK("http://www.uniprot.org/uniprot/BGL13_ORYSJ","BGL13_ORYSJ")</f>
        <v>BGL13_ORYSJ</v>
      </c>
      <c r="D10522" t="s">
        <v>1113</v>
      </c>
      <c r="E10522" s="3" t="s">
        <v>38</v>
      </c>
      <c r="F10522" s="4">
        <v>0</v>
      </c>
      <c r="G10522" s="3">
        <v>1516</v>
      </c>
      <c r="H10522" s="3">
        <v>64</v>
      </c>
      <c r="I10522" s="3">
        <v>426</v>
      </c>
      <c r="J10522" s="3">
        <v>1</v>
      </c>
      <c r="K10522" s="3">
        <v>1275</v>
      </c>
      <c r="L10522" s="3">
        <v>81</v>
      </c>
      <c r="M10522" s="3">
        <v>505</v>
      </c>
    </row>
    <row r="10523" spans="1:13" x14ac:dyDescent="0.25">
      <c r="A10523" s="1" t="str">
        <f>HYPERLINK("http://www.rosaceae.org/Prunus/Prunus_persica/p.persica_gdr_reftransV1_0046436","p.persica_gdr_reftransV1_0046436")</f>
        <v>p.persica_gdr_reftransV1_0046436</v>
      </c>
      <c r="B10523" s="3">
        <v>1519</v>
      </c>
      <c r="C10523" s="1" t="str">
        <f>HYPERLINK("http://www.uniprot.org/uniprot/C3H11_ORYSJ","C3H11_ORYSJ")</f>
        <v>C3H11_ORYSJ</v>
      </c>
      <c r="D10523" t="s">
        <v>7132</v>
      </c>
      <c r="E10523" s="3" t="s">
        <v>38</v>
      </c>
      <c r="F10523" s="4">
        <v>1.4200000000000001E-180</v>
      </c>
      <c r="G10523" s="3">
        <v>1335</v>
      </c>
      <c r="H10523" s="3">
        <v>78</v>
      </c>
      <c r="I10523" s="3">
        <v>362</v>
      </c>
      <c r="J10523" s="3">
        <v>226</v>
      </c>
      <c r="K10523" s="3">
        <v>1296</v>
      </c>
      <c r="L10523" s="3">
        <v>1</v>
      </c>
      <c r="M10523" s="3">
        <v>361</v>
      </c>
    </row>
    <row r="10524" spans="1:13" x14ac:dyDescent="0.25">
      <c r="A10524" s="1" t="str">
        <f>HYPERLINK("http://www.rosaceae.org/Prunus/Prunus_persica/p.persica_gdr_reftransV1_0046486","p.persica_gdr_reftransV1_0046486")</f>
        <v>p.persica_gdr_reftransV1_0046486</v>
      </c>
      <c r="B10524" s="3">
        <v>314</v>
      </c>
      <c r="C10524" s="1" t="str">
        <f>HYPERLINK("http://www.uniprot.org/uniprot/TPLAT_ARATH","TPLAT_ARATH")</f>
        <v>TPLAT_ARATH</v>
      </c>
      <c r="D10524" t="s">
        <v>7646</v>
      </c>
      <c r="E10524" s="3" t="s">
        <v>3</v>
      </c>
      <c r="F10524" s="4">
        <v>4.5799999999999998E-30</v>
      </c>
      <c r="G10524" s="3">
        <v>295</v>
      </c>
      <c r="H10524" s="3">
        <v>82</v>
      </c>
      <c r="I10524" s="3">
        <v>74</v>
      </c>
      <c r="J10524" s="3">
        <v>3</v>
      </c>
      <c r="K10524" s="3">
        <v>224</v>
      </c>
      <c r="L10524" s="3">
        <v>1</v>
      </c>
      <c r="M10524" s="3">
        <v>74</v>
      </c>
    </row>
    <row r="10525" spans="1:13" x14ac:dyDescent="0.25">
      <c r="A10525" s="1" t="str">
        <f>HYPERLINK("http://www.rosaceae.org/Prunus/Prunus_persica/p.persica_gdr_reftransV1_0046536","p.persica_gdr_reftransV1_0046536")</f>
        <v>p.persica_gdr_reftransV1_0046536</v>
      </c>
      <c r="B10525" s="3">
        <v>1931</v>
      </c>
      <c r="C10525" s="1" t="str">
        <f>HYPERLINK("http://www.uniprot.org/uniprot/HT1_ARATH","HT1_ARATH")</f>
        <v>HT1_ARATH</v>
      </c>
      <c r="D10525" t="s">
        <v>1169</v>
      </c>
      <c r="E10525" s="3" t="s">
        <v>3</v>
      </c>
      <c r="F10525" s="4">
        <v>2.0500000000000001E-131</v>
      </c>
      <c r="G10525" s="3">
        <v>1024</v>
      </c>
      <c r="H10525" s="3">
        <v>64</v>
      </c>
      <c r="I10525" s="3">
        <v>295</v>
      </c>
      <c r="J10525" s="3">
        <v>264</v>
      </c>
      <c r="K10525" s="3">
        <v>1136</v>
      </c>
      <c r="L10525" s="3">
        <v>56</v>
      </c>
      <c r="M10525" s="3">
        <v>349</v>
      </c>
    </row>
    <row r="10526" spans="1:13" x14ac:dyDescent="0.25">
      <c r="A10526" s="1" t="str">
        <f>HYPERLINK("http://www.rosaceae.org/Prunus/Prunus_persica/p.persica_gdr_reftransV1_0046586","p.persica_gdr_reftransV1_0046586")</f>
        <v>p.persica_gdr_reftransV1_0046586</v>
      </c>
      <c r="B10526" s="3">
        <v>522</v>
      </c>
      <c r="C10526" s="1" t="str">
        <f>HYPERLINK("http://www.uniprot.org/uniprot/REM5_ARATH","REM5_ARATH")</f>
        <v>REM5_ARATH</v>
      </c>
      <c r="D10526" t="s">
        <v>7647</v>
      </c>
      <c r="E10526" s="3" t="s">
        <v>3</v>
      </c>
      <c r="F10526" s="4">
        <v>6.8900000000000003E-15</v>
      </c>
      <c r="G10526" s="3">
        <v>182</v>
      </c>
      <c r="H10526" s="3">
        <v>28</v>
      </c>
      <c r="I10526" s="3">
        <v>176</v>
      </c>
      <c r="J10526" s="3">
        <v>1</v>
      </c>
      <c r="K10526" s="3">
        <v>492</v>
      </c>
      <c r="L10526" s="3">
        <v>69</v>
      </c>
      <c r="M10526" s="3">
        <v>240</v>
      </c>
    </row>
    <row r="10527" spans="1:13" x14ac:dyDescent="0.25">
      <c r="A10527" s="1" t="str">
        <f>HYPERLINK("http://www.rosaceae.org/Prunus/Prunus_persica/p.persica_gdr_reftransV1_0046636","p.persica_gdr_reftransV1_0046636")</f>
        <v>p.persica_gdr_reftransV1_0046636</v>
      </c>
      <c r="B10527" s="3">
        <v>1150</v>
      </c>
      <c r="C10527" s="1" t="str">
        <f>HYPERLINK("http://www.uniprot.org/uniprot/FD6E2_SOYBN","FD6E2_SOYBN")</f>
        <v>FD6E2_SOYBN</v>
      </c>
      <c r="D10527" t="s">
        <v>3986</v>
      </c>
      <c r="E10527" s="3" t="s">
        <v>307</v>
      </c>
      <c r="F10527" s="4">
        <v>0</v>
      </c>
      <c r="G10527" s="3">
        <v>1513</v>
      </c>
      <c r="H10527" s="3">
        <v>83</v>
      </c>
      <c r="I10527" s="3">
        <v>340</v>
      </c>
      <c r="J10527" s="3">
        <v>18</v>
      </c>
      <c r="K10527" s="3">
        <v>1037</v>
      </c>
      <c r="L10527" s="3">
        <v>1</v>
      </c>
      <c r="M10527" s="3">
        <v>340</v>
      </c>
    </row>
    <row r="10528" spans="1:13" x14ac:dyDescent="0.25">
      <c r="A10528" s="1" t="str">
        <f>HYPERLINK("http://www.rosaceae.org/Prunus/Prunus_persica/p.persica_gdr_reftransV1_0046686","p.persica_gdr_reftransV1_0046686")</f>
        <v>p.persica_gdr_reftransV1_0046686</v>
      </c>
      <c r="B10528" s="3">
        <v>2012</v>
      </c>
      <c r="C10528" s="1" t="str">
        <f>HYPERLINK("http://www.uniprot.org/uniprot/RH57_ARATH","RH57_ARATH")</f>
        <v>RH57_ARATH</v>
      </c>
      <c r="D10528" t="s">
        <v>7648</v>
      </c>
      <c r="E10528" s="3" t="s">
        <v>3</v>
      </c>
      <c r="F10528" s="4">
        <v>0</v>
      </c>
      <c r="G10528" s="3">
        <v>1945</v>
      </c>
      <c r="H10528" s="3">
        <v>70</v>
      </c>
      <c r="I10528" s="3">
        <v>545</v>
      </c>
      <c r="J10528" s="3">
        <v>98</v>
      </c>
      <c r="K10528" s="3">
        <v>1720</v>
      </c>
      <c r="L10528" s="3">
        <v>1</v>
      </c>
      <c r="M10528" s="3">
        <v>541</v>
      </c>
    </row>
    <row r="10529" spans="1:13" x14ac:dyDescent="0.25">
      <c r="A10529" s="1" t="str">
        <f>HYPERLINK("http://www.rosaceae.org/Prunus/Prunus_persica/p.persica_gdr_reftransV1_0046736","p.persica_gdr_reftransV1_0046736")</f>
        <v>p.persica_gdr_reftransV1_0046736</v>
      </c>
      <c r="B10529" s="3">
        <v>330</v>
      </c>
      <c r="C10529" s="1" t="str">
        <f>HYPERLINK("http://www.uniprot.org/uniprot/PMAT1_ARATH","PMAT1_ARATH")</f>
        <v>PMAT1_ARATH</v>
      </c>
      <c r="D10529" t="s">
        <v>1221</v>
      </c>
      <c r="E10529" s="3" t="s">
        <v>3</v>
      </c>
      <c r="F10529" s="4">
        <v>7.72E-26</v>
      </c>
      <c r="G10529" s="3">
        <v>258</v>
      </c>
      <c r="H10529" s="3">
        <v>50</v>
      </c>
      <c r="I10529" s="3">
        <v>105</v>
      </c>
      <c r="J10529" s="3">
        <v>1</v>
      </c>
      <c r="K10529" s="3">
        <v>315</v>
      </c>
      <c r="L10529" s="3">
        <v>88</v>
      </c>
      <c r="M10529" s="3">
        <v>190</v>
      </c>
    </row>
    <row r="10530" spans="1:13" x14ac:dyDescent="0.25">
      <c r="A10530" s="1" t="str">
        <f>HYPERLINK("http://www.rosaceae.org/Prunus/Prunus_persica/p.persica_gdr_reftransV1_0046836","p.persica_gdr_reftransV1_0046836")</f>
        <v>p.persica_gdr_reftransV1_0046836</v>
      </c>
      <c r="B10530" s="3">
        <v>1213</v>
      </c>
      <c r="C10530" s="1" t="str">
        <f>HYPERLINK("http://www.uniprot.org/uniprot/NRPD4_ARATH","NRPD4_ARATH")</f>
        <v>NRPD4_ARATH</v>
      </c>
      <c r="D10530" t="s">
        <v>7649</v>
      </c>
      <c r="E10530" s="3" t="s">
        <v>3</v>
      </c>
      <c r="F10530" s="4">
        <v>6.2500000000000005E-45</v>
      </c>
      <c r="G10530" s="3">
        <v>404</v>
      </c>
      <c r="H10530" s="3">
        <v>59</v>
      </c>
      <c r="I10530" s="3">
        <v>122</v>
      </c>
      <c r="J10530" s="3">
        <v>394</v>
      </c>
      <c r="K10530" s="3">
        <v>759</v>
      </c>
      <c r="L10530" s="3">
        <v>83</v>
      </c>
      <c r="M10530" s="3">
        <v>204</v>
      </c>
    </row>
    <row r="10531" spans="1:13" x14ac:dyDescent="0.25">
      <c r="A10531" s="1" t="str">
        <f>HYPERLINK("http://www.rosaceae.org/Prunus/Prunus_persica/p.persica_gdr_reftransV1_0046886","p.persica_gdr_reftransV1_0046886")</f>
        <v>p.persica_gdr_reftransV1_0046886</v>
      </c>
      <c r="B10531" s="3">
        <v>2203</v>
      </c>
      <c r="C10531" s="1" t="str">
        <f>HYPERLINK("http://www.uniprot.org/uniprot/MATE3_ARATH","MATE3_ARATH")</f>
        <v>MATE3_ARATH</v>
      </c>
      <c r="D10531" t="s">
        <v>5107</v>
      </c>
      <c r="E10531" s="3" t="s">
        <v>3</v>
      </c>
      <c r="F10531" s="4">
        <v>1.0299999999999999E-161</v>
      </c>
      <c r="G10531" s="3">
        <v>1087</v>
      </c>
      <c r="H10531" s="3">
        <v>69</v>
      </c>
      <c r="I10531" s="3">
        <v>318</v>
      </c>
      <c r="J10531" s="3">
        <v>1105</v>
      </c>
      <c r="K10531" s="3">
        <v>2058</v>
      </c>
      <c r="L10531" s="3">
        <v>241</v>
      </c>
      <c r="M10531" s="3">
        <v>558</v>
      </c>
    </row>
    <row r="10532" spans="1:13" x14ac:dyDescent="0.25">
      <c r="A10532" s="1" t="str">
        <f>HYPERLINK("http://www.rosaceae.org/Prunus/Prunus_persica/p.persica_gdr_reftransV1_0046986","p.persica_gdr_reftransV1_0046986")</f>
        <v>p.persica_gdr_reftransV1_0046986</v>
      </c>
      <c r="B10532" s="3">
        <v>334</v>
      </c>
      <c r="C10532" s="1" t="str">
        <f>HYPERLINK("http://www.uniprot.org/uniprot/TAR1_YEAST","TAR1_YEAST")</f>
        <v>TAR1_YEAST</v>
      </c>
      <c r="D10532" t="s">
        <v>7650</v>
      </c>
      <c r="E10532" s="3" t="s">
        <v>34</v>
      </c>
      <c r="F10532" s="4">
        <v>1.1099999999999999E-17</v>
      </c>
      <c r="G10532" s="3">
        <v>190</v>
      </c>
      <c r="H10532" s="3">
        <v>78</v>
      </c>
      <c r="I10532" s="3">
        <v>50</v>
      </c>
      <c r="J10532" s="3">
        <v>103</v>
      </c>
      <c r="K10532" s="3">
        <v>252</v>
      </c>
      <c r="L10532" s="3">
        <v>22</v>
      </c>
      <c r="M10532" s="3">
        <v>71</v>
      </c>
    </row>
    <row r="10533" spans="1:13" x14ac:dyDescent="0.25">
      <c r="A10533" s="1" t="str">
        <f>HYPERLINK("http://www.rosaceae.org/Prunus/Prunus_persica/p.persica_gdr_reftransV1_0047036","p.persica_gdr_reftransV1_0047036")</f>
        <v>p.persica_gdr_reftransV1_0047036</v>
      </c>
      <c r="B10533" s="3">
        <v>318</v>
      </c>
      <c r="C10533" s="1" t="str">
        <f>HYPERLINK("http://www.uniprot.org/uniprot/Y5487_ARATH","Y5487_ARATH")</f>
        <v>Y5487_ARATH</v>
      </c>
      <c r="D10533" t="s">
        <v>292</v>
      </c>
      <c r="E10533" s="3" t="s">
        <v>3</v>
      </c>
      <c r="F10533" s="4">
        <v>1.6599999999999999E-27</v>
      </c>
      <c r="G10533" s="3">
        <v>275</v>
      </c>
      <c r="H10533" s="3">
        <v>53</v>
      </c>
      <c r="I10533" s="3">
        <v>104</v>
      </c>
      <c r="J10533" s="3">
        <v>1</v>
      </c>
      <c r="K10533" s="3">
        <v>312</v>
      </c>
      <c r="L10533" s="3">
        <v>6</v>
      </c>
      <c r="M10533" s="3">
        <v>108</v>
      </c>
    </row>
    <row r="10534" spans="1:13" x14ac:dyDescent="0.25">
      <c r="A10534" s="1" t="str">
        <f>HYPERLINK("http://www.rosaceae.org/Prunus/Prunus_persica/p.persica_gdr_reftransV1_0047086","p.persica_gdr_reftransV1_0047086")</f>
        <v>p.persica_gdr_reftransV1_0047086</v>
      </c>
      <c r="B10534" s="3">
        <v>1502</v>
      </c>
      <c r="C10534" s="1" t="str">
        <f>HYPERLINK("http://www.uniprot.org/uniprot/SC13B_ARATH","SC13B_ARATH")</f>
        <v>SC13B_ARATH</v>
      </c>
      <c r="D10534" t="s">
        <v>3223</v>
      </c>
      <c r="E10534" s="3" t="s">
        <v>3</v>
      </c>
      <c r="F10534" s="4">
        <v>0</v>
      </c>
      <c r="G10534" s="3">
        <v>1373</v>
      </c>
      <c r="H10534" s="3">
        <v>85</v>
      </c>
      <c r="I10534" s="3">
        <v>302</v>
      </c>
      <c r="J10534" s="3">
        <v>222</v>
      </c>
      <c r="K10534" s="3">
        <v>1121</v>
      </c>
      <c r="L10534" s="3">
        <v>1</v>
      </c>
      <c r="M10534" s="3">
        <v>302</v>
      </c>
    </row>
    <row r="10535" spans="1:13" x14ac:dyDescent="0.25">
      <c r="A10535" s="1" t="str">
        <f>HYPERLINK("http://www.rosaceae.org/Prunus/Prunus_persica/p.persica_gdr_reftransV1_0047136","p.persica_gdr_reftransV1_0047136")</f>
        <v>p.persica_gdr_reftransV1_0047136</v>
      </c>
      <c r="B10535" s="3">
        <v>1884</v>
      </c>
      <c r="C10535" s="1" t="str">
        <f>HYPERLINK("http://www.uniprot.org/uniprot/TRM6_DICDI","TRM6_DICDI")</f>
        <v>TRM6_DICDI</v>
      </c>
      <c r="D10535" t="s">
        <v>933</v>
      </c>
      <c r="E10535" s="3" t="s">
        <v>9</v>
      </c>
      <c r="F10535" s="4">
        <v>6.53E-56</v>
      </c>
      <c r="G10535" s="3">
        <v>516</v>
      </c>
      <c r="H10535" s="3">
        <v>35</v>
      </c>
      <c r="I10535" s="3">
        <v>426</v>
      </c>
      <c r="J10535" s="3">
        <v>328</v>
      </c>
      <c r="K10535" s="3">
        <v>1569</v>
      </c>
      <c r="L10535" s="3">
        <v>37</v>
      </c>
      <c r="M10535" s="3">
        <v>448</v>
      </c>
    </row>
    <row r="10536" spans="1:13" x14ac:dyDescent="0.25">
      <c r="A10536" s="1" t="str">
        <f>HYPERLINK("http://www.rosaceae.org/Prunus/Prunus_persica/p.persica_gdr_reftransV1_0047186","p.persica_gdr_reftransV1_0047186")</f>
        <v>p.persica_gdr_reftransV1_0047186</v>
      </c>
      <c r="B10536" s="3">
        <v>962</v>
      </c>
      <c r="C10536" s="1" t="str">
        <f>HYPERLINK("http://www.uniprot.org/uniprot/RL35_EUPES","RL35_EUPES")</f>
        <v>RL35_EUPES</v>
      </c>
      <c r="D10536" t="s">
        <v>3981</v>
      </c>
      <c r="E10536" s="3" t="s">
        <v>1191</v>
      </c>
      <c r="F10536" s="4">
        <v>3.7999999999999997E-57</v>
      </c>
      <c r="G10536" s="3">
        <v>474</v>
      </c>
      <c r="H10536" s="3">
        <v>98</v>
      </c>
      <c r="I10536" s="3">
        <v>99</v>
      </c>
      <c r="J10536" s="3">
        <v>592</v>
      </c>
      <c r="K10536" s="3">
        <v>888</v>
      </c>
      <c r="L10536" s="3">
        <v>1</v>
      </c>
      <c r="M10536" s="3">
        <v>99</v>
      </c>
    </row>
    <row r="10537" spans="1:13" x14ac:dyDescent="0.25">
      <c r="A10537" s="1" t="str">
        <f>HYPERLINK("http://www.rosaceae.org/Prunus/Prunus_persica/p.persica_gdr_reftransV1_0047336","p.persica_gdr_reftransV1_0047336")</f>
        <v>p.persica_gdr_reftransV1_0047336</v>
      </c>
      <c r="B10537" s="3">
        <v>1327</v>
      </c>
      <c r="C10537" s="1" t="str">
        <f>HYPERLINK("http://www.uniprot.org/uniprot/ALL12_OLEEU","ALL12_OLEEU")</f>
        <v>ALL12_OLEEU</v>
      </c>
      <c r="D10537" t="s">
        <v>2244</v>
      </c>
      <c r="E10537" s="3" t="s">
        <v>2245</v>
      </c>
      <c r="F10537" s="4">
        <v>1.68E-180</v>
      </c>
      <c r="G10537" s="3">
        <v>1322</v>
      </c>
      <c r="H10537" s="3">
        <v>81</v>
      </c>
      <c r="I10537" s="3">
        <v>308</v>
      </c>
      <c r="J10537" s="3">
        <v>213</v>
      </c>
      <c r="K10537" s="3">
        <v>1136</v>
      </c>
      <c r="L10537" s="3">
        <v>1</v>
      </c>
      <c r="M10537" s="3">
        <v>308</v>
      </c>
    </row>
    <row r="10538" spans="1:13" x14ac:dyDescent="0.25">
      <c r="A10538" s="1" t="str">
        <f>HYPERLINK("http://www.rosaceae.org/Prunus/Prunus_persica/p.persica_gdr_reftransV1_0047486","p.persica_gdr_reftransV1_0047486")</f>
        <v>p.persica_gdr_reftransV1_0047486</v>
      </c>
      <c r="B10538" s="3">
        <v>904</v>
      </c>
      <c r="C10538" s="1" t="str">
        <f>HYPERLINK("http://www.uniprot.org/uniprot/MYB44_ARATH","MYB44_ARATH")</f>
        <v>MYB44_ARATH</v>
      </c>
      <c r="D10538" t="s">
        <v>1249</v>
      </c>
      <c r="E10538" s="3" t="s">
        <v>3</v>
      </c>
      <c r="F10538" s="4">
        <v>1.9600000000000001E-72</v>
      </c>
      <c r="G10538" s="3">
        <v>591</v>
      </c>
      <c r="H10538" s="3">
        <v>63</v>
      </c>
      <c r="I10538" s="3">
        <v>233</v>
      </c>
      <c r="J10538" s="3">
        <v>137</v>
      </c>
      <c r="K10538" s="3">
        <v>832</v>
      </c>
      <c r="L10538" s="3">
        <v>3</v>
      </c>
      <c r="M10538" s="3">
        <v>209</v>
      </c>
    </row>
    <row r="10539" spans="1:13" x14ac:dyDescent="0.25">
      <c r="A10539" s="1" t="str">
        <f>HYPERLINK("http://www.rosaceae.org/Prunus/Prunus_persica/p.persica_gdr_reftransV1_0047536","p.persica_gdr_reftransV1_0047536")</f>
        <v>p.persica_gdr_reftransV1_0047536</v>
      </c>
      <c r="B10539" s="3">
        <v>1419</v>
      </c>
      <c r="C10539" s="1" t="str">
        <f>HYPERLINK("http://www.uniprot.org/uniprot/PP173_ARATH","PP173_ARATH")</f>
        <v>PP173_ARATH</v>
      </c>
      <c r="D10539" t="s">
        <v>6192</v>
      </c>
      <c r="E10539" s="3" t="s">
        <v>3</v>
      </c>
      <c r="F10539" s="4">
        <v>2.5600000000000001E-125</v>
      </c>
      <c r="G10539" s="3">
        <v>972</v>
      </c>
      <c r="H10539" s="3">
        <v>67</v>
      </c>
      <c r="I10539" s="3">
        <v>255</v>
      </c>
      <c r="J10539" s="3">
        <v>414</v>
      </c>
      <c r="K10539" s="3">
        <v>1178</v>
      </c>
      <c r="L10539" s="3">
        <v>187</v>
      </c>
      <c r="M10539" s="3">
        <v>441</v>
      </c>
    </row>
    <row r="10540" spans="1:13" x14ac:dyDescent="0.25">
      <c r="A10540" s="1" t="str">
        <f>HYPERLINK("http://www.rosaceae.org/Prunus/Prunus_persica/p.persica_gdr_reftransV1_0047586","p.persica_gdr_reftransV1_0047586")</f>
        <v>p.persica_gdr_reftransV1_0047586</v>
      </c>
      <c r="B10540" s="3">
        <v>2359</v>
      </c>
      <c r="C10540" s="1" t="str">
        <f>HYPERLINK("http://www.uniprot.org/uniprot/AVP1_ARATH","AVP1_ARATH")</f>
        <v>AVP1_ARATH</v>
      </c>
      <c r="D10540" t="s">
        <v>3244</v>
      </c>
      <c r="E10540" s="3" t="s">
        <v>3</v>
      </c>
      <c r="F10540" s="4">
        <v>0</v>
      </c>
      <c r="G10540" s="3">
        <v>3471</v>
      </c>
      <c r="H10540" s="3">
        <v>90</v>
      </c>
      <c r="I10540" s="3">
        <v>744</v>
      </c>
      <c r="J10540" s="3">
        <v>12</v>
      </c>
      <c r="K10540" s="3">
        <v>2240</v>
      </c>
      <c r="L10540" s="3">
        <v>6</v>
      </c>
      <c r="M10540" s="3">
        <v>749</v>
      </c>
    </row>
    <row r="10541" spans="1:13" x14ac:dyDescent="0.25">
      <c r="A10541" s="1" t="str">
        <f>HYPERLINK("http://www.rosaceae.org/Prunus/Prunus_persica/p.persica_gdr_reftransV1_0047636","p.persica_gdr_reftransV1_0047636")</f>
        <v>p.persica_gdr_reftransV1_0047636</v>
      </c>
      <c r="B10541" s="3">
        <v>932</v>
      </c>
      <c r="C10541" s="1" t="str">
        <f>HYPERLINK("http://www.uniprot.org/uniprot/TSR2_HUMAN","TSR2_HUMAN")</f>
        <v>TSR2_HUMAN</v>
      </c>
      <c r="D10541" t="s">
        <v>7651</v>
      </c>
      <c r="E10541" s="3" t="s">
        <v>28</v>
      </c>
      <c r="F10541" s="4">
        <v>1.8199999999999999E-12</v>
      </c>
      <c r="G10541" s="3">
        <v>166</v>
      </c>
      <c r="H10541" s="3">
        <v>35</v>
      </c>
      <c r="I10541" s="3">
        <v>113</v>
      </c>
      <c r="J10541" s="3">
        <v>129</v>
      </c>
      <c r="K10541" s="3">
        <v>464</v>
      </c>
      <c r="L10541" s="3">
        <v>7</v>
      </c>
      <c r="M10541" s="3">
        <v>118</v>
      </c>
    </row>
    <row r="10542" spans="1:13" x14ac:dyDescent="0.25">
      <c r="A10542" s="1" t="str">
        <f>HYPERLINK("http://www.rosaceae.org/Prunus/Prunus_persica/p.persica_gdr_reftransV1_0047686","p.persica_gdr_reftransV1_0047686")</f>
        <v>p.persica_gdr_reftransV1_0047686</v>
      </c>
      <c r="B10542" s="3">
        <v>633</v>
      </c>
      <c r="C10542" s="1" t="str">
        <f>HYPERLINK("http://www.uniprot.org/uniprot/NLTP1_PRUDU","NLTP1_PRUDU")</f>
        <v>NLTP1_PRUDU</v>
      </c>
      <c r="D10542" t="s">
        <v>3307</v>
      </c>
      <c r="E10542" s="3" t="s">
        <v>418</v>
      </c>
      <c r="F10542" s="4">
        <v>1.27E-20</v>
      </c>
      <c r="G10542" s="3">
        <v>217</v>
      </c>
      <c r="H10542" s="3">
        <v>41</v>
      </c>
      <c r="I10542" s="3">
        <v>121</v>
      </c>
      <c r="J10542" s="3">
        <v>54</v>
      </c>
      <c r="K10542" s="3">
        <v>416</v>
      </c>
      <c r="L10542" s="3">
        <v>4</v>
      </c>
      <c r="M10542" s="3">
        <v>116</v>
      </c>
    </row>
    <row r="10543" spans="1:13" x14ac:dyDescent="0.25">
      <c r="A10543" s="1" t="str">
        <f>HYPERLINK("http://www.rosaceae.org/Prunus/Prunus_persica/p.persica_gdr_reftransV1_0047736","p.persica_gdr_reftransV1_0047736")</f>
        <v>p.persica_gdr_reftransV1_0047736</v>
      </c>
      <c r="B10543" s="3">
        <v>1074</v>
      </c>
      <c r="C10543" s="1" t="str">
        <f>HYPERLINK("http://www.uniprot.org/uniprot/SDR1_PICAB","SDR1_PICAB")</f>
        <v>SDR1_PICAB</v>
      </c>
      <c r="D10543" t="s">
        <v>7652</v>
      </c>
      <c r="E10543" s="3" t="s">
        <v>2854</v>
      </c>
      <c r="F10543" s="4">
        <v>2.3700000000000001E-73</v>
      </c>
      <c r="G10543" s="3">
        <v>599</v>
      </c>
      <c r="H10543" s="3">
        <v>59</v>
      </c>
      <c r="I10543" s="3">
        <v>257</v>
      </c>
      <c r="J10543" s="3">
        <v>168</v>
      </c>
      <c r="K10543" s="3">
        <v>929</v>
      </c>
      <c r="L10543" s="3">
        <v>17</v>
      </c>
      <c r="M10543" s="3">
        <v>271</v>
      </c>
    </row>
    <row r="10544" spans="1:13" x14ac:dyDescent="0.25">
      <c r="A10544" s="1" t="str">
        <f>HYPERLINK("http://www.rosaceae.org/Prunus/Prunus_persica/p.persica_gdr_reftransV1_0047836","p.persica_gdr_reftransV1_0047836")</f>
        <v>p.persica_gdr_reftransV1_0047836</v>
      </c>
      <c r="B10544" s="3">
        <v>2205</v>
      </c>
      <c r="C10544" s="1" t="str">
        <f>HYPERLINK("http://www.uniprot.org/uniprot/Y3236_ARATH","Y3236_ARATH")</f>
        <v>Y3236_ARATH</v>
      </c>
      <c r="D10544" t="s">
        <v>1074</v>
      </c>
      <c r="E10544" s="3" t="s">
        <v>3</v>
      </c>
      <c r="F10544" s="4">
        <v>3.1899999999999998E-10</v>
      </c>
      <c r="G10544" s="3">
        <v>162</v>
      </c>
      <c r="H10544" s="3">
        <v>25</v>
      </c>
      <c r="I10544" s="3">
        <v>289</v>
      </c>
      <c r="J10544" s="3">
        <v>316</v>
      </c>
      <c r="K10544" s="3">
        <v>1047</v>
      </c>
      <c r="L10544" s="3">
        <v>238</v>
      </c>
      <c r="M10544" s="3">
        <v>518</v>
      </c>
    </row>
    <row r="10545" spans="1:13" x14ac:dyDescent="0.25">
      <c r="A10545" s="1" t="str">
        <f>HYPERLINK("http://www.rosaceae.org/Prunus/Prunus_persica/p.persica_gdr_reftransV1_0047886","p.persica_gdr_reftransV1_0047886")</f>
        <v>p.persica_gdr_reftransV1_0047886</v>
      </c>
      <c r="B10545" s="3">
        <v>1594</v>
      </c>
      <c r="C10545" s="1" t="str">
        <f>HYPERLINK("http://www.uniprot.org/uniprot/SDH5_ARATH","SDH5_ARATH")</f>
        <v>SDH5_ARATH</v>
      </c>
      <c r="D10545" t="s">
        <v>5452</v>
      </c>
      <c r="E10545" s="3" t="s">
        <v>3</v>
      </c>
      <c r="F10545" s="4">
        <v>2.9100000000000001E-86</v>
      </c>
      <c r="G10545" s="3">
        <v>699</v>
      </c>
      <c r="H10545" s="3">
        <v>66</v>
      </c>
      <c r="I10545" s="3">
        <v>187</v>
      </c>
      <c r="J10545" s="3">
        <v>249</v>
      </c>
      <c r="K10545" s="3">
        <v>809</v>
      </c>
      <c r="L10545" s="3">
        <v>71</v>
      </c>
      <c r="M10545" s="3">
        <v>257</v>
      </c>
    </row>
    <row r="10546" spans="1:13" x14ac:dyDescent="0.25">
      <c r="A10546" s="1" t="str">
        <f>HYPERLINK("http://www.rosaceae.org/Prunus/Prunus_persica/p.persica_gdr_reftransV1_0047986","p.persica_gdr_reftransV1_0047986")</f>
        <v>p.persica_gdr_reftransV1_0047986</v>
      </c>
      <c r="B10546" s="3">
        <v>1248</v>
      </c>
      <c r="C10546" s="1" t="str">
        <f>HYPERLINK("http://www.uniprot.org/uniprot/UBC34_ARATH","UBC34_ARATH")</f>
        <v>UBC34_ARATH</v>
      </c>
      <c r="D10546" t="s">
        <v>5237</v>
      </c>
      <c r="E10546" s="3" t="s">
        <v>3</v>
      </c>
      <c r="F10546" s="4">
        <v>1.29E-135</v>
      </c>
      <c r="G10546" s="3">
        <v>1015</v>
      </c>
      <c r="H10546" s="3">
        <v>80</v>
      </c>
      <c r="I10546" s="3">
        <v>238</v>
      </c>
      <c r="J10546" s="3">
        <v>295</v>
      </c>
      <c r="K10546" s="3">
        <v>1005</v>
      </c>
      <c r="L10546" s="3">
        <v>1</v>
      </c>
      <c r="M10546" s="3">
        <v>237</v>
      </c>
    </row>
    <row r="10547" spans="1:13" x14ac:dyDescent="0.25">
      <c r="A10547" s="1" t="str">
        <f>HYPERLINK("http://www.rosaceae.org/Prunus/Prunus_persica/p.persica_gdr_reftransV1_0048036","p.persica_gdr_reftransV1_0048036")</f>
        <v>p.persica_gdr_reftransV1_0048036</v>
      </c>
      <c r="B10547" s="3">
        <v>1590</v>
      </c>
      <c r="C10547" s="1" t="str">
        <f>HYPERLINK("http://www.uniprot.org/uniprot/FB135_ARATH","FB135_ARATH")</f>
        <v>FB135_ARATH</v>
      </c>
      <c r="D10547" t="s">
        <v>6152</v>
      </c>
      <c r="E10547" s="3" t="s">
        <v>3</v>
      </c>
      <c r="F10547" s="4">
        <v>5.0000000000000004E-19</v>
      </c>
      <c r="G10547" s="3">
        <v>230</v>
      </c>
      <c r="H10547" s="3">
        <v>27</v>
      </c>
      <c r="I10547" s="3">
        <v>408</v>
      </c>
      <c r="J10547" s="3">
        <v>64</v>
      </c>
      <c r="K10547" s="3">
        <v>1149</v>
      </c>
      <c r="L10547" s="3">
        <v>28</v>
      </c>
      <c r="M10547" s="3">
        <v>403</v>
      </c>
    </row>
    <row r="10548" spans="1:13" x14ac:dyDescent="0.25">
      <c r="A10548" s="1" t="str">
        <f>HYPERLINK("http://www.rosaceae.org/Prunus/Prunus_persica/p.persica_gdr_reftransV1_0048136","p.persica_gdr_reftransV1_0048136")</f>
        <v>p.persica_gdr_reftransV1_0048136</v>
      </c>
      <c r="B10548" s="3">
        <v>1311</v>
      </c>
      <c r="C10548" s="1" t="str">
        <f>HYPERLINK("http://www.uniprot.org/uniprot/EF118_ARATH","EF118_ARATH")</f>
        <v>EF118_ARATH</v>
      </c>
      <c r="D10548" t="s">
        <v>4072</v>
      </c>
      <c r="E10548" s="3" t="s">
        <v>3</v>
      </c>
      <c r="F10548" s="4">
        <v>6.7700000000000004E-13</v>
      </c>
      <c r="G10548" s="3">
        <v>177</v>
      </c>
      <c r="H10548" s="3">
        <v>56</v>
      </c>
      <c r="I10548" s="3">
        <v>61</v>
      </c>
      <c r="J10548" s="3">
        <v>873</v>
      </c>
      <c r="K10548" s="3">
        <v>1049</v>
      </c>
      <c r="L10548" s="3">
        <v>120</v>
      </c>
      <c r="M10548" s="3">
        <v>180</v>
      </c>
    </row>
    <row r="10549" spans="1:13" x14ac:dyDescent="0.25">
      <c r="A10549" s="1" t="str">
        <f>HYPERLINK("http://www.rosaceae.org/Prunus/Prunus_persica/p.persica_gdr_reftransV1_0048236","p.persica_gdr_reftransV1_0048236")</f>
        <v>p.persica_gdr_reftransV1_0048236</v>
      </c>
      <c r="B10549" s="3">
        <v>488</v>
      </c>
      <c r="C10549" s="1" t="str">
        <f>HYPERLINK("http://www.uniprot.org/uniprot/PLP8_ARATH","PLP8_ARATH")</f>
        <v>PLP8_ARATH</v>
      </c>
      <c r="D10549" t="s">
        <v>7653</v>
      </c>
      <c r="E10549" s="3" t="s">
        <v>3</v>
      </c>
      <c r="F10549" s="4">
        <v>5.4300000000000001E-13</v>
      </c>
      <c r="G10549" s="3">
        <v>170</v>
      </c>
      <c r="H10549" s="3">
        <v>40</v>
      </c>
      <c r="I10549" s="3">
        <v>173</v>
      </c>
      <c r="J10549" s="3">
        <v>4</v>
      </c>
      <c r="K10549" s="3">
        <v>486</v>
      </c>
      <c r="L10549" s="3">
        <v>39</v>
      </c>
      <c r="M10549" s="3">
        <v>201</v>
      </c>
    </row>
    <row r="10550" spans="1:13" x14ac:dyDescent="0.25">
      <c r="A10550" s="1" t="str">
        <f>HYPERLINK("http://www.rosaceae.org/Prunus/Prunus_persica/p.persica_gdr_reftransV1_0048336","p.persica_gdr_reftransV1_0048336")</f>
        <v>p.persica_gdr_reftransV1_0048336</v>
      </c>
      <c r="B10550" s="3">
        <v>2176</v>
      </c>
      <c r="C10550" s="1" t="str">
        <f>HYPERLINK("http://www.uniprot.org/uniprot/RFT1_DICDI","RFT1_DICDI")</f>
        <v>RFT1_DICDI</v>
      </c>
      <c r="D10550" t="s">
        <v>685</v>
      </c>
      <c r="E10550" s="3" t="s">
        <v>9</v>
      </c>
      <c r="F10550" s="4">
        <v>7.0299999999999997E-48</v>
      </c>
      <c r="G10550" s="3">
        <v>460</v>
      </c>
      <c r="H10550" s="3">
        <v>31</v>
      </c>
      <c r="I10550" s="3">
        <v>539</v>
      </c>
      <c r="J10550" s="3">
        <v>322</v>
      </c>
      <c r="K10550" s="3">
        <v>1788</v>
      </c>
      <c r="L10550" s="3">
        <v>20</v>
      </c>
      <c r="M10550" s="3">
        <v>524</v>
      </c>
    </row>
    <row r="10551" spans="1:13" x14ac:dyDescent="0.25">
      <c r="A10551" s="1" t="str">
        <f>HYPERLINK("http://www.rosaceae.org/Prunus/Prunus_persica/p.persica_gdr_reftransV1_0048536","p.persica_gdr_reftransV1_0048536")</f>
        <v>p.persica_gdr_reftransV1_0048536</v>
      </c>
      <c r="B10551" s="3">
        <v>654</v>
      </c>
      <c r="C10551" s="1" t="str">
        <f>HYPERLINK("http://www.uniprot.org/uniprot/BCB1_ARATH","BCB1_ARATH")</f>
        <v>BCB1_ARATH</v>
      </c>
      <c r="D10551" t="s">
        <v>2046</v>
      </c>
      <c r="E10551" s="3" t="s">
        <v>3</v>
      </c>
      <c r="F10551" s="4">
        <v>6.0100000000000002E-19</v>
      </c>
      <c r="G10551" s="3">
        <v>210</v>
      </c>
      <c r="H10551" s="3">
        <v>44</v>
      </c>
      <c r="I10551" s="3">
        <v>103</v>
      </c>
      <c r="J10551" s="3">
        <v>48</v>
      </c>
      <c r="K10551" s="3">
        <v>353</v>
      </c>
      <c r="L10551" s="3">
        <v>23</v>
      </c>
      <c r="M10551" s="3">
        <v>123</v>
      </c>
    </row>
    <row r="10552" spans="1:13" x14ac:dyDescent="0.25">
      <c r="A10552" s="1" t="str">
        <f>HYPERLINK("http://www.rosaceae.org/Prunus/Prunus_persica/p.persica_gdr_reftransV1_0048586","p.persica_gdr_reftransV1_0048586")</f>
        <v>p.persica_gdr_reftransV1_0048586</v>
      </c>
      <c r="B10552" s="3">
        <v>1915</v>
      </c>
      <c r="C10552" s="1" t="str">
        <f>HYPERLINK("http://www.uniprot.org/uniprot/DCAM_CATRO","DCAM_CATRO")</f>
        <v>DCAM_CATRO</v>
      </c>
      <c r="D10552" t="s">
        <v>5243</v>
      </c>
      <c r="E10552" s="3" t="s">
        <v>457</v>
      </c>
      <c r="F10552" s="4">
        <v>0</v>
      </c>
      <c r="G10552" s="3">
        <v>1361</v>
      </c>
      <c r="H10552" s="3">
        <v>74</v>
      </c>
      <c r="I10552" s="3">
        <v>350</v>
      </c>
      <c r="J10552" s="3">
        <v>542</v>
      </c>
      <c r="K10552" s="3">
        <v>1591</v>
      </c>
      <c r="L10552" s="3">
        <v>1</v>
      </c>
      <c r="M10552" s="3">
        <v>350</v>
      </c>
    </row>
    <row r="10553" spans="1:13" x14ac:dyDescent="0.25">
      <c r="A10553" s="1" t="str">
        <f>HYPERLINK("http://www.rosaceae.org/Prunus/Prunus_persica/p.persica_gdr_reftransV1_0048686","p.persica_gdr_reftransV1_0048686")</f>
        <v>p.persica_gdr_reftransV1_0048686</v>
      </c>
      <c r="B10553" s="3">
        <v>972</v>
      </c>
      <c r="C10553" s="1" t="str">
        <f>HYPERLINK("http://www.uniprot.org/uniprot/UBC18_ARATH","UBC18_ARATH")</f>
        <v>UBC18_ARATH</v>
      </c>
      <c r="D10553" t="s">
        <v>7654</v>
      </c>
      <c r="E10553" s="3" t="s">
        <v>3</v>
      </c>
      <c r="F10553" s="4">
        <v>1.4300000000000001E-91</v>
      </c>
      <c r="G10553" s="3">
        <v>707</v>
      </c>
      <c r="H10553" s="3">
        <v>88</v>
      </c>
      <c r="I10553" s="3">
        <v>161</v>
      </c>
      <c r="J10553" s="3">
        <v>129</v>
      </c>
      <c r="K10553" s="3">
        <v>611</v>
      </c>
      <c r="L10553" s="3">
        <v>1</v>
      </c>
      <c r="M10553" s="3">
        <v>161</v>
      </c>
    </row>
    <row r="10554" spans="1:13" x14ac:dyDescent="0.25">
      <c r="A10554" s="1" t="str">
        <f>HYPERLINK("http://www.rosaceae.org/Prunus/Prunus_persica/p.persica_gdr_reftransV1_0048786","p.persica_gdr_reftransV1_0048786")</f>
        <v>p.persica_gdr_reftransV1_0048786</v>
      </c>
      <c r="B10554" s="3">
        <v>1468</v>
      </c>
      <c r="C10554" s="1" t="str">
        <f>HYPERLINK("http://www.uniprot.org/uniprot/CP41A_ARATH","CP41A_ARATH")</f>
        <v>CP41A_ARATH</v>
      </c>
      <c r="D10554" t="s">
        <v>7655</v>
      </c>
      <c r="E10554" s="3" t="s">
        <v>3</v>
      </c>
      <c r="F10554" s="4">
        <v>0</v>
      </c>
      <c r="G10554" s="3">
        <v>1515</v>
      </c>
      <c r="H10554" s="3">
        <v>81</v>
      </c>
      <c r="I10554" s="3">
        <v>345</v>
      </c>
      <c r="J10554" s="3">
        <v>164</v>
      </c>
      <c r="K10554" s="3">
        <v>1195</v>
      </c>
      <c r="L10554" s="3">
        <v>61</v>
      </c>
      <c r="M10554" s="3">
        <v>405</v>
      </c>
    </row>
    <row r="10555" spans="1:13" x14ac:dyDescent="0.25">
      <c r="A10555" s="1" t="str">
        <f>HYPERLINK("http://www.rosaceae.org/Prunus/Prunus_persica/p.persica_gdr_reftransV1_0048836","p.persica_gdr_reftransV1_0048836")</f>
        <v>p.persica_gdr_reftransV1_0048836</v>
      </c>
      <c r="B10555" s="3">
        <v>1518</v>
      </c>
      <c r="C10555" s="1" t="str">
        <f>HYPERLINK("http://www.uniprot.org/uniprot/YTFP_BACSU","YTFP_BACSU")</f>
        <v>YTFP_BACSU</v>
      </c>
      <c r="D10555" t="s">
        <v>7656</v>
      </c>
      <c r="E10555" s="3" t="s">
        <v>1630</v>
      </c>
      <c r="F10555" s="4">
        <v>1.06E-38</v>
      </c>
      <c r="G10555" s="3">
        <v>379</v>
      </c>
      <c r="H10555" s="3">
        <v>28</v>
      </c>
      <c r="I10555" s="3">
        <v>405</v>
      </c>
      <c r="J10555" s="3">
        <v>116</v>
      </c>
      <c r="K10555" s="3">
        <v>1288</v>
      </c>
      <c r="L10555" s="3">
        <v>29</v>
      </c>
      <c r="M10555" s="3">
        <v>416</v>
      </c>
    </row>
    <row r="10556" spans="1:13" x14ac:dyDescent="0.25">
      <c r="A10556" s="1" t="str">
        <f>HYPERLINK("http://www.rosaceae.org/Prunus/Prunus_persica/p.persica_gdr_reftransV1_0049136","p.persica_gdr_reftransV1_0049136")</f>
        <v>p.persica_gdr_reftransV1_0049136</v>
      </c>
      <c r="B10556" s="3">
        <v>1590</v>
      </c>
      <c r="C10556" s="1" t="str">
        <f>HYPERLINK("http://www.uniprot.org/uniprot/FB253_ARATH","FB253_ARATH")</f>
        <v>FB253_ARATH</v>
      </c>
      <c r="D10556" t="s">
        <v>6337</v>
      </c>
      <c r="E10556" s="3" t="s">
        <v>3</v>
      </c>
      <c r="F10556" s="4">
        <v>1.8300000000000001E-7</v>
      </c>
      <c r="G10556" s="3">
        <v>137</v>
      </c>
      <c r="H10556" s="3">
        <v>28</v>
      </c>
      <c r="I10556" s="3">
        <v>254</v>
      </c>
      <c r="J10556" s="3">
        <v>666</v>
      </c>
      <c r="K10556" s="3">
        <v>1379</v>
      </c>
      <c r="L10556" s="3">
        <v>31</v>
      </c>
      <c r="M10556" s="3">
        <v>246</v>
      </c>
    </row>
    <row r="10557" spans="1:13" x14ac:dyDescent="0.25">
      <c r="A10557" s="1" t="str">
        <f>HYPERLINK("http://www.rosaceae.org/Prunus/Prunus_persica/p.persica_gdr_reftransV1_0000087","p.persica_gdr_reftransV1_0000087")</f>
        <v>p.persica_gdr_reftransV1_0000087</v>
      </c>
      <c r="B10557" s="3">
        <v>1087</v>
      </c>
      <c r="C10557" s="1" t="str">
        <f>HYPERLINK("http://www.uniprot.org/uniprot/CD48C_ARATH","CD48C_ARATH")</f>
        <v>CD48C_ARATH</v>
      </c>
      <c r="D10557" t="s">
        <v>6591</v>
      </c>
      <c r="E10557" s="3" t="s">
        <v>3</v>
      </c>
      <c r="F10557" s="4">
        <v>1.8300000000000001E-82</v>
      </c>
      <c r="G10557" s="3">
        <v>699</v>
      </c>
      <c r="H10557" s="3">
        <v>66</v>
      </c>
      <c r="I10557" s="3">
        <v>236</v>
      </c>
      <c r="J10557" s="3">
        <v>1</v>
      </c>
      <c r="K10557" s="3">
        <v>699</v>
      </c>
      <c r="L10557" s="3">
        <v>568</v>
      </c>
      <c r="M10557" s="3">
        <v>801</v>
      </c>
    </row>
    <row r="10558" spans="1:13" x14ac:dyDescent="0.25">
      <c r="A10558" s="1" t="str">
        <f>HYPERLINK("http://www.rosaceae.org/Prunus/Prunus_persica/p.persica_gdr_reftransV1_0000237","p.persica_gdr_reftransV1_0000237")</f>
        <v>p.persica_gdr_reftransV1_0000237</v>
      </c>
      <c r="B10558" s="3">
        <v>424</v>
      </c>
      <c r="C10558" s="1" t="str">
        <f>HYPERLINK("http://www.uniprot.org/uniprot/CINV1_ORYSJ","CINV1_ORYSJ")</f>
        <v>CINV1_ORYSJ</v>
      </c>
      <c r="D10558" t="s">
        <v>7657</v>
      </c>
      <c r="E10558" s="3" t="s">
        <v>38</v>
      </c>
      <c r="F10558" s="4">
        <v>4.3400000000000001E-50</v>
      </c>
      <c r="G10558" s="3">
        <v>438</v>
      </c>
      <c r="H10558" s="3">
        <v>75</v>
      </c>
      <c r="I10558" s="3">
        <v>106</v>
      </c>
      <c r="J10558" s="3">
        <v>93</v>
      </c>
      <c r="K10558" s="3">
        <v>410</v>
      </c>
      <c r="L10558" s="3">
        <v>455</v>
      </c>
      <c r="M10558" s="3">
        <v>559</v>
      </c>
    </row>
    <row r="10559" spans="1:13" x14ac:dyDescent="0.25">
      <c r="A10559" s="1" t="str">
        <f>HYPERLINK("http://www.rosaceae.org/Prunus/Prunus_persica/p.persica_gdr_reftransV1_0000287","p.persica_gdr_reftransV1_0000287")</f>
        <v>p.persica_gdr_reftransV1_0000287</v>
      </c>
      <c r="B10559" s="3">
        <v>2951</v>
      </c>
      <c r="C10559" s="1" t="str">
        <f>HYPERLINK("http://www.uniprot.org/uniprot/CIR1A_HUMAN","CIR1A_HUMAN")</f>
        <v>CIR1A_HUMAN</v>
      </c>
      <c r="D10559" t="s">
        <v>7658</v>
      </c>
      <c r="E10559" s="3" t="s">
        <v>28</v>
      </c>
      <c r="F10559" s="4">
        <v>8.0800000000000003E-50</v>
      </c>
      <c r="G10559" s="3">
        <v>487</v>
      </c>
      <c r="H10559" s="3">
        <v>24</v>
      </c>
      <c r="I10559" s="3">
        <v>840</v>
      </c>
      <c r="J10559" s="3">
        <v>129</v>
      </c>
      <c r="K10559" s="3">
        <v>2570</v>
      </c>
      <c r="L10559" s="3">
        <v>4</v>
      </c>
      <c r="M10559" s="3">
        <v>686</v>
      </c>
    </row>
    <row r="10560" spans="1:13" x14ac:dyDescent="0.25">
      <c r="A10560" s="1" t="str">
        <f>HYPERLINK("http://www.rosaceae.org/Prunus/Prunus_persica/p.persica_gdr_reftransV1_0000337","p.persica_gdr_reftransV1_0000337")</f>
        <v>p.persica_gdr_reftransV1_0000337</v>
      </c>
      <c r="B10560" s="3">
        <v>1291</v>
      </c>
      <c r="C10560" s="1" t="str">
        <f>HYPERLINK("http://www.uniprot.org/uniprot/UGT7_CATRO","UGT7_CATRO")</f>
        <v>UGT7_CATRO</v>
      </c>
      <c r="D10560" t="s">
        <v>2697</v>
      </c>
      <c r="E10560" s="3" t="s">
        <v>457</v>
      </c>
      <c r="F10560" s="4">
        <v>3.4600000000000001E-142</v>
      </c>
      <c r="G10560" s="3">
        <v>1081</v>
      </c>
      <c r="H10560" s="3">
        <v>51</v>
      </c>
      <c r="I10560" s="3">
        <v>410</v>
      </c>
      <c r="J10560" s="3">
        <v>66</v>
      </c>
      <c r="K10560" s="3">
        <v>1289</v>
      </c>
      <c r="L10560" s="3">
        <v>5</v>
      </c>
      <c r="M10560" s="3">
        <v>412</v>
      </c>
    </row>
    <row r="10561" spans="1:13" x14ac:dyDescent="0.25">
      <c r="A10561" s="1" t="str">
        <f>HYPERLINK("http://www.rosaceae.org/Prunus/Prunus_persica/p.persica_gdr_reftransV1_0000387","p.persica_gdr_reftransV1_0000387")</f>
        <v>p.persica_gdr_reftransV1_0000387</v>
      </c>
      <c r="B10561" s="3">
        <v>2253</v>
      </c>
      <c r="C10561" s="1" t="str">
        <f>HYPERLINK("http://www.uniprot.org/uniprot/GLR34_ARATH","GLR34_ARATH")</f>
        <v>GLR34_ARATH</v>
      </c>
      <c r="D10561" t="s">
        <v>7659</v>
      </c>
      <c r="E10561" s="3" t="s">
        <v>3</v>
      </c>
      <c r="F10561" s="4">
        <v>0</v>
      </c>
      <c r="G10561" s="3">
        <v>2298</v>
      </c>
      <c r="H10561" s="3">
        <v>68</v>
      </c>
      <c r="I10561" s="3">
        <v>605</v>
      </c>
      <c r="J10561" s="3">
        <v>40</v>
      </c>
      <c r="K10561" s="3">
        <v>1851</v>
      </c>
      <c r="L10561" s="3">
        <v>54</v>
      </c>
      <c r="M10561" s="3">
        <v>656</v>
      </c>
    </row>
    <row r="10562" spans="1:13" x14ac:dyDescent="0.25">
      <c r="A10562" s="1" t="str">
        <f>HYPERLINK("http://www.rosaceae.org/Prunus/Prunus_persica/p.persica_gdr_reftransV1_0000437","p.persica_gdr_reftransV1_0000437")</f>
        <v>p.persica_gdr_reftransV1_0000437</v>
      </c>
      <c r="B10562" s="3">
        <v>2753</v>
      </c>
      <c r="C10562" s="1" t="str">
        <f>HYPERLINK("http://www.uniprot.org/uniprot/AAP3_ARATH","AAP3_ARATH")</f>
        <v>AAP3_ARATH</v>
      </c>
      <c r="D10562" t="s">
        <v>1759</v>
      </c>
      <c r="E10562" s="3" t="s">
        <v>3</v>
      </c>
      <c r="F10562" s="4">
        <v>7.0100000000000004E-49</v>
      </c>
      <c r="G10562" s="3">
        <v>469</v>
      </c>
      <c r="H10562" s="3">
        <v>66</v>
      </c>
      <c r="I10562" s="3">
        <v>142</v>
      </c>
      <c r="J10562" s="3">
        <v>2058</v>
      </c>
      <c r="K10562" s="3">
        <v>2483</v>
      </c>
      <c r="L10562" s="3">
        <v>335</v>
      </c>
      <c r="M10562" s="3">
        <v>476</v>
      </c>
    </row>
    <row r="10563" spans="1:13" x14ac:dyDescent="0.25">
      <c r="A10563" s="1" t="str">
        <f>HYPERLINK("http://www.rosaceae.org/Prunus/Prunus_persica/p.persica_gdr_reftransV1_0000537","p.persica_gdr_reftransV1_0000537")</f>
        <v>p.persica_gdr_reftransV1_0000537</v>
      </c>
      <c r="B10563" s="3">
        <v>2989</v>
      </c>
      <c r="C10563" s="1" t="str">
        <f>HYPERLINK("http://www.uniprot.org/uniprot/FH8_ARATH","FH8_ARATH")</f>
        <v>FH8_ARATH</v>
      </c>
      <c r="D10563" t="s">
        <v>6390</v>
      </c>
      <c r="E10563" s="3" t="s">
        <v>3</v>
      </c>
      <c r="F10563" s="4">
        <v>6.2299999999999998E-176</v>
      </c>
      <c r="G10563" s="3">
        <v>1387</v>
      </c>
      <c r="H10563" s="3">
        <v>58</v>
      </c>
      <c r="I10563" s="3">
        <v>465</v>
      </c>
      <c r="J10563" s="3">
        <v>209</v>
      </c>
      <c r="K10563" s="3">
        <v>1597</v>
      </c>
      <c r="L10563" s="3">
        <v>295</v>
      </c>
      <c r="M10563" s="3">
        <v>745</v>
      </c>
    </row>
    <row r="10564" spans="1:13" x14ac:dyDescent="0.25">
      <c r="A10564" s="1" t="str">
        <f>HYPERLINK("http://www.rosaceae.org/Prunus/Prunus_persica/p.persica_gdr_reftransV1_0000637","p.persica_gdr_reftransV1_0000637")</f>
        <v>p.persica_gdr_reftransV1_0000637</v>
      </c>
      <c r="B10564" s="3">
        <v>310</v>
      </c>
      <c r="C10564" s="1" t="str">
        <f>HYPERLINK("http://www.uniprot.org/uniprot/Y4361_ARATH","Y4361_ARATH")</f>
        <v>Y4361_ARATH</v>
      </c>
      <c r="D10564" t="s">
        <v>2715</v>
      </c>
      <c r="E10564" s="3" t="s">
        <v>3</v>
      </c>
      <c r="F10564" s="4">
        <v>2.8299999999999999E-42</v>
      </c>
      <c r="G10564" s="3">
        <v>385</v>
      </c>
      <c r="H10564" s="3">
        <v>81</v>
      </c>
      <c r="I10564" s="3">
        <v>103</v>
      </c>
      <c r="J10564" s="3">
        <v>1</v>
      </c>
      <c r="K10564" s="3">
        <v>309</v>
      </c>
      <c r="L10564" s="3">
        <v>1008</v>
      </c>
      <c r="M10564" s="3">
        <v>1109</v>
      </c>
    </row>
    <row r="10565" spans="1:13" x14ac:dyDescent="0.25">
      <c r="A10565" s="1" t="str">
        <f>HYPERLINK("http://www.rosaceae.org/Prunus/Prunus_persica/p.persica_gdr_reftransV1_0000787","p.persica_gdr_reftransV1_0000787")</f>
        <v>p.persica_gdr_reftransV1_0000787</v>
      </c>
      <c r="B10565" s="3">
        <v>774</v>
      </c>
      <c r="C10565" s="1" t="str">
        <f>HYPERLINK("http://www.uniprot.org/uniprot/CNR10_MAIZE","CNR10_MAIZE")</f>
        <v>CNR10_MAIZE</v>
      </c>
      <c r="D10565" t="s">
        <v>4487</v>
      </c>
      <c r="E10565" s="3" t="s">
        <v>72</v>
      </c>
      <c r="F10565" s="4">
        <v>2.0899999999999999E-27</v>
      </c>
      <c r="G10565" s="3">
        <v>270</v>
      </c>
      <c r="H10565" s="3">
        <v>56</v>
      </c>
      <c r="I10565" s="3">
        <v>126</v>
      </c>
      <c r="J10565" s="3">
        <v>234</v>
      </c>
      <c r="K10565" s="3">
        <v>608</v>
      </c>
      <c r="L10565" s="3">
        <v>29</v>
      </c>
      <c r="M10565" s="3">
        <v>151</v>
      </c>
    </row>
    <row r="10566" spans="1:13" x14ac:dyDescent="0.25">
      <c r="A10566" s="1" t="str">
        <f>HYPERLINK("http://www.rosaceae.org/Prunus/Prunus_persica/p.persica_gdr_reftransV1_0000837","p.persica_gdr_reftransV1_0000837")</f>
        <v>p.persica_gdr_reftransV1_0000837</v>
      </c>
      <c r="B10566" s="3">
        <v>321</v>
      </c>
      <c r="C10566" s="1" t="str">
        <f>HYPERLINK("http://www.uniprot.org/uniprot/PME8_ARATH","PME8_ARATH")</f>
        <v>PME8_ARATH</v>
      </c>
      <c r="D10566" t="s">
        <v>6077</v>
      </c>
      <c r="E10566" s="3" t="s">
        <v>3</v>
      </c>
      <c r="F10566" s="4">
        <v>3.2999999999999998E-8</v>
      </c>
      <c r="G10566" s="3">
        <v>128</v>
      </c>
      <c r="H10566" s="3">
        <v>75</v>
      </c>
      <c r="I10566" s="3">
        <v>28</v>
      </c>
      <c r="J10566" s="3">
        <v>236</v>
      </c>
      <c r="K10566" s="3">
        <v>319</v>
      </c>
      <c r="L10566" s="3">
        <v>71</v>
      </c>
      <c r="M10566" s="3">
        <v>98</v>
      </c>
    </row>
    <row r="10567" spans="1:13" x14ac:dyDescent="0.25">
      <c r="A10567" s="1" t="str">
        <f>HYPERLINK("http://www.rosaceae.org/Prunus/Prunus_persica/p.persica_gdr_reftransV1_0000887","p.persica_gdr_reftransV1_0000887")</f>
        <v>p.persica_gdr_reftransV1_0000887</v>
      </c>
      <c r="B10567" s="3">
        <v>655</v>
      </c>
      <c r="C10567" s="1" t="str">
        <f>HYPERLINK("http://www.uniprot.org/uniprot/VQ1_ARATH","VQ1_ARATH")</f>
        <v>VQ1_ARATH</v>
      </c>
      <c r="D10567" t="s">
        <v>7295</v>
      </c>
      <c r="E10567" s="3" t="s">
        <v>3</v>
      </c>
      <c r="F10567" s="4">
        <v>8.7499999999999998E-10</v>
      </c>
      <c r="G10567" s="3">
        <v>138</v>
      </c>
      <c r="H10567" s="3">
        <v>37</v>
      </c>
      <c r="I10567" s="3">
        <v>124</v>
      </c>
      <c r="J10567" s="3">
        <v>223</v>
      </c>
      <c r="K10567" s="3">
        <v>588</v>
      </c>
      <c r="L10567" s="3">
        <v>1</v>
      </c>
      <c r="M10567" s="3">
        <v>92</v>
      </c>
    </row>
    <row r="10568" spans="1:13" x14ac:dyDescent="0.25">
      <c r="A10568" s="1" t="str">
        <f>HYPERLINK("http://www.rosaceae.org/Prunus/Prunus_persica/p.persica_gdr_reftransV1_0000937","p.persica_gdr_reftransV1_0000937")</f>
        <v>p.persica_gdr_reftransV1_0000937</v>
      </c>
      <c r="B10568" s="3">
        <v>1790</v>
      </c>
      <c r="C10568" s="1" t="str">
        <f>HYPERLINK("http://www.uniprot.org/uniprot/GLYC4_ARATH","GLYC4_ARATH")</f>
        <v>GLYC4_ARATH</v>
      </c>
      <c r="D10568" t="s">
        <v>6573</v>
      </c>
      <c r="E10568" s="3" t="s">
        <v>3</v>
      </c>
      <c r="F10568" s="4">
        <v>0</v>
      </c>
      <c r="G10568" s="3">
        <v>2261</v>
      </c>
      <c r="H10568" s="3">
        <v>91</v>
      </c>
      <c r="I10568" s="3">
        <v>471</v>
      </c>
      <c r="J10568" s="3">
        <v>81</v>
      </c>
      <c r="K10568" s="3">
        <v>1493</v>
      </c>
      <c r="L10568" s="3">
        <v>1</v>
      </c>
      <c r="M10568" s="3">
        <v>471</v>
      </c>
    </row>
    <row r="10569" spans="1:13" x14ac:dyDescent="0.25">
      <c r="A10569" s="1" t="str">
        <f>HYPERLINK("http://www.rosaceae.org/Prunus/Prunus_persica/p.persica_gdr_reftransV1_0000987","p.persica_gdr_reftransV1_0000987")</f>
        <v>p.persica_gdr_reftransV1_0000987</v>
      </c>
      <c r="B10569" s="3">
        <v>781</v>
      </c>
      <c r="C10569" s="1" t="str">
        <f>HYPERLINK("http://www.uniprot.org/uniprot/SAP12_ARATH","SAP12_ARATH")</f>
        <v>SAP12_ARATH</v>
      </c>
      <c r="D10569" t="s">
        <v>7660</v>
      </c>
      <c r="E10569" s="3" t="s">
        <v>3</v>
      </c>
      <c r="F10569" s="4">
        <v>7.01E-51</v>
      </c>
      <c r="G10569" s="3">
        <v>432</v>
      </c>
      <c r="H10569" s="3">
        <v>62</v>
      </c>
      <c r="I10569" s="3">
        <v>138</v>
      </c>
      <c r="J10569" s="3">
        <v>97</v>
      </c>
      <c r="K10569" s="3">
        <v>510</v>
      </c>
      <c r="L10569" s="3">
        <v>37</v>
      </c>
      <c r="M10569" s="3">
        <v>169</v>
      </c>
    </row>
    <row r="10570" spans="1:13" x14ac:dyDescent="0.25">
      <c r="A10570" s="1" t="str">
        <f>HYPERLINK("http://www.rosaceae.org/Prunus/Prunus_persica/p.persica_gdr_reftransV1_0001137","p.persica_gdr_reftransV1_0001137")</f>
        <v>p.persica_gdr_reftransV1_0001137</v>
      </c>
      <c r="B10570" s="3">
        <v>301</v>
      </c>
      <c r="C10570" s="1" t="str">
        <f>HYPERLINK("http://www.uniprot.org/uniprot/HSFA9_ARATH","HSFA9_ARATH")</f>
        <v>HSFA9_ARATH</v>
      </c>
      <c r="D10570" t="s">
        <v>7661</v>
      </c>
      <c r="E10570" s="3" t="s">
        <v>3</v>
      </c>
      <c r="F10570" s="4">
        <v>9.4899999999999999E-23</v>
      </c>
      <c r="G10570" s="3">
        <v>232</v>
      </c>
      <c r="H10570" s="3">
        <v>51</v>
      </c>
      <c r="I10570" s="3">
        <v>98</v>
      </c>
      <c r="J10570" s="3">
        <v>4</v>
      </c>
      <c r="K10570" s="3">
        <v>297</v>
      </c>
      <c r="L10570" s="3">
        <v>138</v>
      </c>
      <c r="M10570" s="3">
        <v>232</v>
      </c>
    </row>
    <row r="10571" spans="1:13" x14ac:dyDescent="0.25">
      <c r="A10571" s="1" t="str">
        <f>HYPERLINK("http://www.rosaceae.org/Prunus/Prunus_persica/p.persica_gdr_reftransV1_0001287","p.persica_gdr_reftransV1_0001287")</f>
        <v>p.persica_gdr_reftransV1_0001287</v>
      </c>
      <c r="B10571" s="3">
        <v>932</v>
      </c>
      <c r="C10571" s="1" t="str">
        <f>HYPERLINK("http://www.uniprot.org/uniprot/CHIA_CICAR","CHIA_CICAR")</f>
        <v>CHIA_CICAR</v>
      </c>
      <c r="D10571" t="s">
        <v>4768</v>
      </c>
      <c r="E10571" s="3" t="s">
        <v>944</v>
      </c>
      <c r="F10571" s="4">
        <v>3.5700000000000001E-98</v>
      </c>
      <c r="G10571" s="3">
        <v>762</v>
      </c>
      <c r="H10571" s="3">
        <v>75</v>
      </c>
      <c r="I10571" s="3">
        <v>195</v>
      </c>
      <c r="J10571" s="3">
        <v>9</v>
      </c>
      <c r="K10571" s="3">
        <v>590</v>
      </c>
      <c r="L10571" s="3">
        <v>23</v>
      </c>
      <c r="M10571" s="3">
        <v>214</v>
      </c>
    </row>
    <row r="10572" spans="1:13" x14ac:dyDescent="0.25">
      <c r="A10572" s="1" t="str">
        <f>HYPERLINK("http://www.rosaceae.org/Prunus/Prunus_persica/p.persica_gdr_reftransV1_0001487","p.persica_gdr_reftransV1_0001487")</f>
        <v>p.persica_gdr_reftransV1_0001487</v>
      </c>
      <c r="B10572" s="3">
        <v>358</v>
      </c>
      <c r="C10572" s="1" t="str">
        <f>HYPERLINK("http://www.uniprot.org/uniprot/NTL9_ARATH","NTL9_ARATH")</f>
        <v>NTL9_ARATH</v>
      </c>
      <c r="D10572" t="s">
        <v>3428</v>
      </c>
      <c r="E10572" s="3" t="s">
        <v>3</v>
      </c>
      <c r="F10572" s="4">
        <v>6.2600000000000006E-14</v>
      </c>
      <c r="G10572" s="3">
        <v>173</v>
      </c>
      <c r="H10572" s="3">
        <v>42</v>
      </c>
      <c r="I10572" s="3">
        <v>99</v>
      </c>
      <c r="J10572" s="3">
        <v>3</v>
      </c>
      <c r="K10572" s="3">
        <v>263</v>
      </c>
      <c r="L10572" s="3">
        <v>9</v>
      </c>
      <c r="M10572" s="3">
        <v>106</v>
      </c>
    </row>
    <row r="10573" spans="1:13" x14ac:dyDescent="0.25">
      <c r="A10573" s="1" t="str">
        <f>HYPERLINK("http://www.rosaceae.org/Prunus/Prunus_persica/p.persica_gdr_reftransV1_0001537","p.persica_gdr_reftransV1_0001537")</f>
        <v>p.persica_gdr_reftransV1_0001537</v>
      </c>
      <c r="B10573" s="3">
        <v>884</v>
      </c>
      <c r="C10573" s="1" t="str">
        <f>HYPERLINK("http://www.uniprot.org/uniprot/H33_VITVI","H33_VITVI")</f>
        <v>H33_VITVI</v>
      </c>
      <c r="D10573" t="s">
        <v>1951</v>
      </c>
      <c r="E10573" s="3" t="s">
        <v>362</v>
      </c>
      <c r="F10573" s="4">
        <v>2.6099999999999998E-91</v>
      </c>
      <c r="G10573" s="3">
        <v>700</v>
      </c>
      <c r="H10573" s="3">
        <v>100</v>
      </c>
      <c r="I10573" s="3">
        <v>136</v>
      </c>
      <c r="J10573" s="3">
        <v>151</v>
      </c>
      <c r="K10573" s="3">
        <v>558</v>
      </c>
      <c r="L10573" s="3">
        <v>1</v>
      </c>
      <c r="M10573" s="3">
        <v>136</v>
      </c>
    </row>
    <row r="10574" spans="1:13" x14ac:dyDescent="0.25">
      <c r="A10574" s="1" t="str">
        <f>HYPERLINK("http://www.rosaceae.org/Prunus/Prunus_persica/p.persica_gdr_reftransV1_0001587","p.persica_gdr_reftransV1_0001587")</f>
        <v>p.persica_gdr_reftransV1_0001587</v>
      </c>
      <c r="B10574" s="3">
        <v>2558</v>
      </c>
      <c r="C10574" s="1" t="str">
        <f>HYPERLINK("http://www.uniprot.org/uniprot/NU5M_OENBE","NU5M_OENBE")</f>
        <v>NU5M_OENBE</v>
      </c>
      <c r="D10574" t="s">
        <v>5058</v>
      </c>
      <c r="E10574" s="3" t="s">
        <v>2775</v>
      </c>
      <c r="F10574" s="4">
        <v>3.0700000000000001E-110</v>
      </c>
      <c r="G10574" s="3">
        <v>921</v>
      </c>
      <c r="H10574" s="3">
        <v>96</v>
      </c>
      <c r="I10574" s="3">
        <v>181</v>
      </c>
      <c r="J10574" s="3">
        <v>1651</v>
      </c>
      <c r="K10574" s="3">
        <v>2193</v>
      </c>
      <c r="L10574" s="3">
        <v>490</v>
      </c>
      <c r="M10574" s="3">
        <v>670</v>
      </c>
    </row>
    <row r="10575" spans="1:13" x14ac:dyDescent="0.25">
      <c r="A10575" s="1" t="str">
        <f>HYPERLINK("http://www.rosaceae.org/Prunus/Prunus_persica/p.persica_gdr_reftransV1_0001737","p.persica_gdr_reftransV1_0001737")</f>
        <v>p.persica_gdr_reftransV1_0001737</v>
      </c>
      <c r="B10575" s="3">
        <v>2501</v>
      </c>
      <c r="C10575" s="1" t="str">
        <f>HYPERLINK("http://www.uniprot.org/uniprot/Y5185_ARATH","Y5185_ARATH")</f>
        <v>Y5185_ARATH</v>
      </c>
      <c r="D10575" t="s">
        <v>7640</v>
      </c>
      <c r="E10575" s="3" t="s">
        <v>3</v>
      </c>
      <c r="F10575" s="4">
        <v>0</v>
      </c>
      <c r="G10575" s="3">
        <v>1539</v>
      </c>
      <c r="H10575" s="3">
        <v>66</v>
      </c>
      <c r="I10575" s="3">
        <v>500</v>
      </c>
      <c r="J10575" s="3">
        <v>370</v>
      </c>
      <c r="K10575" s="3">
        <v>1860</v>
      </c>
      <c r="L10575" s="3">
        <v>1</v>
      </c>
      <c r="M10575" s="3">
        <v>476</v>
      </c>
    </row>
    <row r="10576" spans="1:13" x14ac:dyDescent="0.25">
      <c r="A10576" s="1" t="str">
        <f>HYPERLINK("http://www.rosaceae.org/Prunus/Prunus_persica/p.persica_gdr_reftransV1_0001787","p.persica_gdr_reftransV1_0001787")</f>
        <v>p.persica_gdr_reftransV1_0001787</v>
      </c>
      <c r="B10576" s="3">
        <v>781</v>
      </c>
      <c r="C10576" s="1" t="str">
        <f>HYPERLINK("http://www.uniprot.org/uniprot/CLPP_COFAR","CLPP_COFAR")</f>
        <v>CLPP_COFAR</v>
      </c>
      <c r="D10576" t="s">
        <v>7662</v>
      </c>
      <c r="E10576" s="3" t="s">
        <v>5450</v>
      </c>
      <c r="F10576" s="4">
        <v>4.14E-121</v>
      </c>
      <c r="G10576" s="3">
        <v>899</v>
      </c>
      <c r="H10576" s="3">
        <v>94</v>
      </c>
      <c r="I10576" s="3">
        <v>196</v>
      </c>
      <c r="J10576" s="3">
        <v>127</v>
      </c>
      <c r="K10576" s="3">
        <v>714</v>
      </c>
      <c r="L10576" s="3">
        <v>1</v>
      </c>
      <c r="M10576" s="3">
        <v>196</v>
      </c>
    </row>
    <row r="10577" spans="1:13" x14ac:dyDescent="0.25">
      <c r="A10577" s="1" t="str">
        <f>HYPERLINK("http://www.rosaceae.org/Prunus/Prunus_persica/p.persica_gdr_reftransV1_0001837","p.persica_gdr_reftransV1_0001837")</f>
        <v>p.persica_gdr_reftransV1_0001837</v>
      </c>
      <c r="B10577" s="3">
        <v>597</v>
      </c>
      <c r="C10577" s="1" t="str">
        <f>HYPERLINK("http://www.uniprot.org/uniprot/Y1534_ARATH","Y1534_ARATH")</f>
        <v>Y1534_ARATH</v>
      </c>
      <c r="D10577" t="s">
        <v>5111</v>
      </c>
      <c r="E10577" s="3" t="s">
        <v>3</v>
      </c>
      <c r="F10577" s="4">
        <v>2.0499999999999999E-26</v>
      </c>
      <c r="G10577" s="3">
        <v>277</v>
      </c>
      <c r="H10577" s="3">
        <v>39</v>
      </c>
      <c r="I10577" s="3">
        <v>212</v>
      </c>
      <c r="J10577" s="3">
        <v>1</v>
      </c>
      <c r="K10577" s="3">
        <v>597</v>
      </c>
      <c r="L10577" s="3">
        <v>461</v>
      </c>
      <c r="M10577" s="3">
        <v>664</v>
      </c>
    </row>
    <row r="10578" spans="1:13" x14ac:dyDescent="0.25">
      <c r="A10578" s="1" t="str">
        <f>HYPERLINK("http://www.rosaceae.org/Prunus/Prunus_persica/p.persica_gdr_reftransV1_0001887","p.persica_gdr_reftransV1_0001887")</f>
        <v>p.persica_gdr_reftransV1_0001887</v>
      </c>
      <c r="B10578" s="3">
        <v>1773</v>
      </c>
      <c r="C10578" s="1" t="str">
        <f>HYPERLINK("http://www.uniprot.org/uniprot/B2_DAUCA","B2_DAUCA")</f>
        <v>B2_DAUCA</v>
      </c>
      <c r="D10578" t="s">
        <v>1441</v>
      </c>
      <c r="E10578" s="3" t="s">
        <v>32</v>
      </c>
      <c r="F10578" s="4">
        <v>3.45E-10</v>
      </c>
      <c r="G10578" s="3">
        <v>154</v>
      </c>
      <c r="H10578" s="3">
        <v>31</v>
      </c>
      <c r="I10578" s="3">
        <v>156</v>
      </c>
      <c r="J10578" s="3">
        <v>819</v>
      </c>
      <c r="K10578" s="3">
        <v>1265</v>
      </c>
      <c r="L10578" s="3">
        <v>50</v>
      </c>
      <c r="M10578" s="3">
        <v>202</v>
      </c>
    </row>
    <row r="10579" spans="1:13" x14ac:dyDescent="0.25">
      <c r="A10579" s="1" t="str">
        <f>HYPERLINK("http://www.rosaceae.org/Prunus/Prunus_persica/p.persica_gdr_reftransV1_0001987","p.persica_gdr_reftransV1_0001987")</f>
        <v>p.persica_gdr_reftransV1_0001987</v>
      </c>
      <c r="B10579" s="3">
        <v>2540</v>
      </c>
      <c r="C10579" s="1" t="str">
        <f>HYPERLINK("http://www.uniprot.org/uniprot/DEK_RAT","DEK_RAT")</f>
        <v>DEK_RAT</v>
      </c>
      <c r="D10579" t="s">
        <v>6411</v>
      </c>
      <c r="E10579" s="3" t="s">
        <v>161</v>
      </c>
      <c r="F10579" s="4">
        <v>1.66E-11</v>
      </c>
      <c r="G10579" s="3">
        <v>172</v>
      </c>
      <c r="H10579" s="3">
        <v>30</v>
      </c>
      <c r="I10579" s="3">
        <v>141</v>
      </c>
      <c r="J10579" s="3">
        <v>1161</v>
      </c>
      <c r="K10579" s="3">
        <v>1583</v>
      </c>
      <c r="L10579" s="3">
        <v>60</v>
      </c>
      <c r="M10579" s="3">
        <v>195</v>
      </c>
    </row>
    <row r="10580" spans="1:13" x14ac:dyDescent="0.25">
      <c r="A10580" s="1" t="str">
        <f>HYPERLINK("http://www.rosaceae.org/Prunus/Prunus_persica/p.persica_gdr_reftransV1_0002037","p.persica_gdr_reftransV1_0002037")</f>
        <v>p.persica_gdr_reftransV1_0002037</v>
      </c>
      <c r="B10580" s="3">
        <v>1490</v>
      </c>
      <c r="C10580" s="1" t="str">
        <f>HYPERLINK("http://www.uniprot.org/uniprot/PGLR4_ARATH","PGLR4_ARATH")</f>
        <v>PGLR4_ARATH</v>
      </c>
      <c r="D10580" t="s">
        <v>4096</v>
      </c>
      <c r="E10580" s="3" t="s">
        <v>3</v>
      </c>
      <c r="F10580" s="4">
        <v>8.0099999999999998E-117</v>
      </c>
      <c r="G10580" s="3">
        <v>921</v>
      </c>
      <c r="H10580" s="3">
        <v>48</v>
      </c>
      <c r="I10580" s="3">
        <v>408</v>
      </c>
      <c r="J10580" s="3">
        <v>160</v>
      </c>
      <c r="K10580" s="3">
        <v>1371</v>
      </c>
      <c r="L10580" s="3">
        <v>80</v>
      </c>
      <c r="M10580" s="3">
        <v>463</v>
      </c>
    </row>
    <row r="10581" spans="1:13" x14ac:dyDescent="0.25">
      <c r="A10581" s="1" t="str">
        <f>HYPERLINK("http://www.rosaceae.org/Prunus/Prunus_persica/p.persica_gdr_reftransV1_0002137","p.persica_gdr_reftransV1_0002137")</f>
        <v>p.persica_gdr_reftransV1_0002137</v>
      </c>
      <c r="B10581" s="3">
        <v>393</v>
      </c>
      <c r="C10581" s="1" t="str">
        <f>HYPERLINK("http://www.uniprot.org/uniprot/PER6_ARATH","PER6_ARATH")</f>
        <v>PER6_ARATH</v>
      </c>
      <c r="D10581" t="s">
        <v>7663</v>
      </c>
      <c r="E10581" s="3" t="s">
        <v>3</v>
      </c>
      <c r="F10581" s="4">
        <v>5.8899999999999999E-46</v>
      </c>
      <c r="G10581" s="3">
        <v>397</v>
      </c>
      <c r="H10581" s="3">
        <v>58</v>
      </c>
      <c r="I10581" s="3">
        <v>132</v>
      </c>
      <c r="J10581" s="3">
        <v>1</v>
      </c>
      <c r="K10581" s="3">
        <v>393</v>
      </c>
      <c r="L10581" s="3">
        <v>155</v>
      </c>
      <c r="M10581" s="3">
        <v>284</v>
      </c>
    </row>
    <row r="10582" spans="1:13" x14ac:dyDescent="0.25">
      <c r="A10582" s="1" t="str">
        <f>HYPERLINK("http://www.rosaceae.org/Prunus/Prunus_persica/p.persica_gdr_reftransV1_0002187","p.persica_gdr_reftransV1_0002187")</f>
        <v>p.persica_gdr_reftransV1_0002187</v>
      </c>
      <c r="B10582" s="3">
        <v>1747</v>
      </c>
      <c r="C10582" s="1" t="str">
        <f>HYPERLINK("http://www.uniprot.org/uniprot/MT799_ARATH","MT799_ARATH")</f>
        <v>MT799_ARATH</v>
      </c>
      <c r="D10582" t="s">
        <v>7664</v>
      </c>
      <c r="E10582" s="3" t="s">
        <v>3</v>
      </c>
      <c r="F10582" s="4">
        <v>2.04E-72</v>
      </c>
      <c r="G10582" s="3">
        <v>618</v>
      </c>
      <c r="H10582" s="3">
        <v>40</v>
      </c>
      <c r="I10582" s="3">
        <v>365</v>
      </c>
      <c r="J10582" s="3">
        <v>246</v>
      </c>
      <c r="K10582" s="3">
        <v>1298</v>
      </c>
      <c r="L10582" s="3">
        <v>6</v>
      </c>
      <c r="M10582" s="3">
        <v>362</v>
      </c>
    </row>
    <row r="10583" spans="1:13" x14ac:dyDescent="0.25">
      <c r="A10583" s="1" t="str">
        <f>HYPERLINK("http://www.rosaceae.org/Prunus/Prunus_persica/p.persica_gdr_reftransV1_0002237","p.persica_gdr_reftransV1_0002237")</f>
        <v>p.persica_gdr_reftransV1_0002237</v>
      </c>
      <c r="B10583" s="3">
        <v>1177</v>
      </c>
      <c r="C10583" s="1" t="str">
        <f>HYPERLINK("http://www.uniprot.org/uniprot/VAP22_ARATH","VAP22_ARATH")</f>
        <v>VAP22_ARATH</v>
      </c>
      <c r="D10583" t="s">
        <v>1104</v>
      </c>
      <c r="E10583" s="3" t="s">
        <v>3</v>
      </c>
      <c r="F10583" s="4">
        <v>1.7700000000000001E-57</v>
      </c>
      <c r="G10583" s="3">
        <v>504</v>
      </c>
      <c r="H10583" s="3">
        <v>58</v>
      </c>
      <c r="I10583" s="3">
        <v>193</v>
      </c>
      <c r="J10583" s="3">
        <v>516</v>
      </c>
      <c r="K10583" s="3">
        <v>1073</v>
      </c>
      <c r="L10583" s="3">
        <v>1</v>
      </c>
      <c r="M10583" s="3">
        <v>192</v>
      </c>
    </row>
    <row r="10584" spans="1:13" x14ac:dyDescent="0.25">
      <c r="A10584" s="1" t="str">
        <f>HYPERLINK("http://www.rosaceae.org/Prunus/Prunus_persica/p.persica_gdr_reftransV1_0002287","p.persica_gdr_reftransV1_0002287")</f>
        <v>p.persica_gdr_reftransV1_0002287</v>
      </c>
      <c r="B10584" s="3">
        <v>4190</v>
      </c>
      <c r="C10584" s="1" t="str">
        <f>HYPERLINK("http://www.uniprot.org/uniprot/LOX6_ARATH","LOX6_ARATH")</f>
        <v>LOX6_ARATH</v>
      </c>
      <c r="D10584" t="s">
        <v>4244</v>
      </c>
      <c r="E10584" s="3" t="s">
        <v>3</v>
      </c>
      <c r="F10584" s="4">
        <v>0</v>
      </c>
      <c r="G10584" s="3">
        <v>2849</v>
      </c>
      <c r="H10584" s="3">
        <v>65</v>
      </c>
      <c r="I10584" s="3">
        <v>894</v>
      </c>
      <c r="J10584" s="3">
        <v>360</v>
      </c>
      <c r="K10584" s="3">
        <v>2996</v>
      </c>
      <c r="L10584" s="3">
        <v>32</v>
      </c>
      <c r="M10584" s="3">
        <v>917</v>
      </c>
    </row>
    <row r="10585" spans="1:13" x14ac:dyDescent="0.25">
      <c r="A10585" s="1" t="str">
        <f>HYPERLINK("http://www.rosaceae.org/Prunus/Prunus_persica/p.persica_gdr_reftransV1_0002387","p.persica_gdr_reftransV1_0002387")</f>
        <v>p.persica_gdr_reftransV1_0002387</v>
      </c>
      <c r="B10585" s="3">
        <v>1506</v>
      </c>
      <c r="C10585" s="1" t="str">
        <f>HYPERLINK("http://www.uniprot.org/uniprot/PLA4_ORYSJ","PLA4_ORYSJ")</f>
        <v>PLA4_ORYSJ</v>
      </c>
      <c r="D10585" t="s">
        <v>7665</v>
      </c>
      <c r="E10585" s="3" t="s">
        <v>38</v>
      </c>
      <c r="F10585" s="4">
        <v>2.6499999999999999E-106</v>
      </c>
      <c r="G10585" s="3">
        <v>844</v>
      </c>
      <c r="H10585" s="3">
        <v>45</v>
      </c>
      <c r="I10585" s="3">
        <v>388</v>
      </c>
      <c r="J10585" s="3">
        <v>308</v>
      </c>
      <c r="K10585" s="3">
        <v>1426</v>
      </c>
      <c r="L10585" s="3">
        <v>9</v>
      </c>
      <c r="M10585" s="3">
        <v>388</v>
      </c>
    </row>
    <row r="10586" spans="1:13" x14ac:dyDescent="0.25">
      <c r="A10586" s="1" t="str">
        <f>HYPERLINK("http://www.rosaceae.org/Prunus/Prunus_persica/p.persica_gdr_reftransV1_0002437","p.persica_gdr_reftransV1_0002437")</f>
        <v>p.persica_gdr_reftransV1_0002437</v>
      </c>
      <c r="B10586" s="3">
        <v>1184</v>
      </c>
      <c r="C10586" s="1" t="str">
        <f>HYPERLINK("http://www.uniprot.org/uniprot/COMT1_PRUDU","COMT1_PRUDU")</f>
        <v>COMT1_PRUDU</v>
      </c>
      <c r="D10586" t="s">
        <v>1504</v>
      </c>
      <c r="E10586" s="3" t="s">
        <v>418</v>
      </c>
      <c r="F10586" s="4">
        <v>3.7800000000000002E-139</v>
      </c>
      <c r="G10586" s="3">
        <v>1049</v>
      </c>
      <c r="H10586" s="3">
        <v>60</v>
      </c>
      <c r="I10586" s="3">
        <v>345</v>
      </c>
      <c r="J10586" s="3">
        <v>107</v>
      </c>
      <c r="K10586" s="3">
        <v>1141</v>
      </c>
      <c r="L10586" s="3">
        <v>22</v>
      </c>
      <c r="M10586" s="3">
        <v>363</v>
      </c>
    </row>
    <row r="10587" spans="1:13" x14ac:dyDescent="0.25">
      <c r="A10587" s="1" t="str">
        <f>HYPERLINK("http://www.rosaceae.org/Prunus/Prunus_persica/p.persica_gdr_reftransV1_0002487","p.persica_gdr_reftransV1_0002487")</f>
        <v>p.persica_gdr_reftransV1_0002487</v>
      </c>
      <c r="B10587" s="3">
        <v>2481</v>
      </c>
      <c r="C10587" s="1" t="str">
        <f>HYPERLINK("http://www.uniprot.org/uniprot/FUBP1_MOUSE","FUBP1_MOUSE")</f>
        <v>FUBP1_MOUSE</v>
      </c>
      <c r="D10587" t="s">
        <v>3974</v>
      </c>
      <c r="E10587" s="3" t="s">
        <v>157</v>
      </c>
      <c r="F10587" s="4">
        <v>9.9799999999999997E-21</v>
      </c>
      <c r="G10587" s="3">
        <v>251</v>
      </c>
      <c r="H10587" s="3">
        <v>34</v>
      </c>
      <c r="I10587" s="3">
        <v>256</v>
      </c>
      <c r="J10587" s="3">
        <v>1453</v>
      </c>
      <c r="K10587" s="3">
        <v>2193</v>
      </c>
      <c r="L10587" s="3">
        <v>25</v>
      </c>
      <c r="M10587" s="3">
        <v>262</v>
      </c>
    </row>
    <row r="10588" spans="1:13" x14ac:dyDescent="0.25">
      <c r="A10588" s="1" t="str">
        <f>HYPERLINK("http://www.rosaceae.org/Prunus/Prunus_persica/p.persica_gdr_reftransV1_0002587","p.persica_gdr_reftransV1_0002587")</f>
        <v>p.persica_gdr_reftransV1_0002587</v>
      </c>
      <c r="B10588" s="3">
        <v>2803</v>
      </c>
      <c r="C10588" s="1" t="str">
        <f>HYPERLINK("http://www.uniprot.org/uniprot/CLCF_ARATH","CLCF_ARATH")</f>
        <v>CLCF_ARATH</v>
      </c>
      <c r="D10588" t="s">
        <v>7666</v>
      </c>
      <c r="E10588" s="3" t="s">
        <v>3</v>
      </c>
      <c r="F10588" s="4">
        <v>0</v>
      </c>
      <c r="G10588" s="3">
        <v>2336</v>
      </c>
      <c r="H10588" s="3">
        <v>70</v>
      </c>
      <c r="I10588" s="3">
        <v>778</v>
      </c>
      <c r="J10588" s="3">
        <v>352</v>
      </c>
      <c r="K10588" s="3">
        <v>2643</v>
      </c>
      <c r="L10588" s="3">
        <v>15</v>
      </c>
      <c r="M10588" s="3">
        <v>764</v>
      </c>
    </row>
    <row r="10589" spans="1:13" x14ac:dyDescent="0.25">
      <c r="A10589" s="1" t="str">
        <f>HYPERLINK("http://www.rosaceae.org/Prunus/Prunus_persica/p.persica_gdr_reftransV1_0002637","p.persica_gdr_reftransV1_0002637")</f>
        <v>p.persica_gdr_reftransV1_0002637</v>
      </c>
      <c r="B10589" s="3">
        <v>2017</v>
      </c>
      <c r="C10589" s="1" t="str">
        <f>HYPERLINK("http://www.uniprot.org/uniprot/KC1D_ARATH","KC1D_ARATH")</f>
        <v>KC1D_ARATH</v>
      </c>
      <c r="D10589" t="s">
        <v>109</v>
      </c>
      <c r="E10589" s="3" t="s">
        <v>3</v>
      </c>
      <c r="F10589" s="4">
        <v>0</v>
      </c>
      <c r="G10589" s="3">
        <v>1689</v>
      </c>
      <c r="H10589" s="3">
        <v>73</v>
      </c>
      <c r="I10589" s="3">
        <v>470</v>
      </c>
      <c r="J10589" s="3">
        <v>361</v>
      </c>
      <c r="K10589" s="3">
        <v>1767</v>
      </c>
      <c r="L10589" s="3">
        <v>1</v>
      </c>
      <c r="M10589" s="3">
        <v>450</v>
      </c>
    </row>
    <row r="10590" spans="1:13" x14ac:dyDescent="0.25">
      <c r="A10590" s="1" t="str">
        <f>HYPERLINK("http://www.rosaceae.org/Prunus/Prunus_persica/p.persica_gdr_reftransV1_0002687","p.persica_gdr_reftransV1_0002687")</f>
        <v>p.persica_gdr_reftransV1_0002687</v>
      </c>
      <c r="B10590" s="3">
        <v>738</v>
      </c>
      <c r="C10590" s="1" t="str">
        <f>HYPERLINK("http://www.uniprot.org/uniprot/AAP2_ARATH","AAP2_ARATH")</f>
        <v>AAP2_ARATH</v>
      </c>
      <c r="D10590" t="s">
        <v>1419</v>
      </c>
      <c r="E10590" s="3" t="s">
        <v>3</v>
      </c>
      <c r="F10590" s="4">
        <v>1.0000000000000001E-123</v>
      </c>
      <c r="G10590" s="3">
        <v>943</v>
      </c>
      <c r="H10590" s="3">
        <v>81</v>
      </c>
      <c r="I10590" s="3">
        <v>216</v>
      </c>
      <c r="J10590" s="3">
        <v>93</v>
      </c>
      <c r="K10590" s="3">
        <v>737</v>
      </c>
      <c r="L10590" s="3">
        <v>19</v>
      </c>
      <c r="M10590" s="3">
        <v>234</v>
      </c>
    </row>
    <row r="10591" spans="1:13" x14ac:dyDescent="0.25">
      <c r="A10591" s="1" t="str">
        <f>HYPERLINK("http://www.rosaceae.org/Prunus/Prunus_persica/p.persica_gdr_reftransV1_0002737","p.persica_gdr_reftransV1_0002737")</f>
        <v>p.persica_gdr_reftransV1_0002737</v>
      </c>
      <c r="B10591" s="3">
        <v>1611</v>
      </c>
      <c r="C10591" s="1" t="str">
        <f>HYPERLINK("http://www.uniprot.org/uniprot/BTR1_ARATH","BTR1_ARATH")</f>
        <v>BTR1_ARATH</v>
      </c>
      <c r="D10591" t="s">
        <v>4120</v>
      </c>
      <c r="E10591" s="3" t="s">
        <v>3</v>
      </c>
      <c r="F10591" s="4">
        <v>3.0899999999999999E-120</v>
      </c>
      <c r="G10591" s="3">
        <v>932</v>
      </c>
      <c r="H10591" s="3">
        <v>64</v>
      </c>
      <c r="I10591" s="3">
        <v>332</v>
      </c>
      <c r="J10591" s="3">
        <v>261</v>
      </c>
      <c r="K10591" s="3">
        <v>1256</v>
      </c>
      <c r="L10591" s="3">
        <v>1</v>
      </c>
      <c r="M10591" s="3">
        <v>310</v>
      </c>
    </row>
    <row r="10592" spans="1:13" x14ac:dyDescent="0.25">
      <c r="A10592" s="1" t="str">
        <f>HYPERLINK("http://www.rosaceae.org/Prunus/Prunus_persica/p.persica_gdr_reftransV1_0002787","p.persica_gdr_reftransV1_0002787")</f>
        <v>p.persica_gdr_reftransV1_0002787</v>
      </c>
      <c r="B10592" s="3">
        <v>977</v>
      </c>
      <c r="C10592" s="1" t="str">
        <f>HYPERLINK("http://www.uniprot.org/uniprot/USB1_MOUSE","USB1_MOUSE")</f>
        <v>USB1_MOUSE</v>
      </c>
      <c r="D10592" t="s">
        <v>7667</v>
      </c>
      <c r="E10592" s="3" t="s">
        <v>157</v>
      </c>
      <c r="F10592" s="4">
        <v>1.4600000000000001E-21</v>
      </c>
      <c r="G10592" s="3">
        <v>237</v>
      </c>
      <c r="H10592" s="3">
        <v>29</v>
      </c>
      <c r="I10592" s="3">
        <v>213</v>
      </c>
      <c r="J10592" s="3">
        <v>214</v>
      </c>
      <c r="K10592" s="3">
        <v>849</v>
      </c>
      <c r="L10592" s="3">
        <v>71</v>
      </c>
      <c r="M10592" s="3">
        <v>260</v>
      </c>
    </row>
    <row r="10593" spans="1:13" x14ac:dyDescent="0.25">
      <c r="A10593" s="1" t="str">
        <f>HYPERLINK("http://www.rosaceae.org/Prunus/Prunus_persica/p.persica_gdr_reftransV1_0002837","p.persica_gdr_reftransV1_0002837")</f>
        <v>p.persica_gdr_reftransV1_0002837</v>
      </c>
      <c r="B10593" s="3">
        <v>1082</v>
      </c>
      <c r="C10593" s="1" t="str">
        <f>HYPERLINK("http://www.uniprot.org/uniprot/Y2241_ARATH","Y2241_ARATH")</f>
        <v>Y2241_ARATH</v>
      </c>
      <c r="D10593" t="s">
        <v>3958</v>
      </c>
      <c r="E10593" s="3" t="s">
        <v>3</v>
      </c>
      <c r="F10593" s="4">
        <v>5.9400000000000003E-158</v>
      </c>
      <c r="G10593" s="3">
        <v>1223</v>
      </c>
      <c r="H10593" s="3">
        <v>72</v>
      </c>
      <c r="I10593" s="3">
        <v>314</v>
      </c>
      <c r="J10593" s="3">
        <v>141</v>
      </c>
      <c r="K10593" s="3">
        <v>1082</v>
      </c>
      <c r="L10593" s="3">
        <v>654</v>
      </c>
      <c r="M10593" s="3">
        <v>967</v>
      </c>
    </row>
    <row r="10594" spans="1:13" x14ac:dyDescent="0.25">
      <c r="A10594" s="1" t="str">
        <f>HYPERLINK("http://www.rosaceae.org/Prunus/Prunus_persica/p.persica_gdr_reftransV1_0002987","p.persica_gdr_reftransV1_0002987")</f>
        <v>p.persica_gdr_reftransV1_0002987</v>
      </c>
      <c r="B10594" s="3">
        <v>647</v>
      </c>
      <c r="C10594" s="1" t="str">
        <f>HYPERLINK("http://www.uniprot.org/uniprot/CCT1_ARATH","CCT1_ARATH")</f>
        <v>CCT1_ARATH</v>
      </c>
      <c r="D10594" t="s">
        <v>7668</v>
      </c>
      <c r="E10594" s="3" t="s">
        <v>3</v>
      </c>
      <c r="F10594" s="4">
        <v>1.95E-58</v>
      </c>
      <c r="G10594" s="3">
        <v>491</v>
      </c>
      <c r="H10594" s="3">
        <v>88</v>
      </c>
      <c r="I10594" s="3">
        <v>100</v>
      </c>
      <c r="J10594" s="3">
        <v>133</v>
      </c>
      <c r="K10594" s="3">
        <v>429</v>
      </c>
      <c r="L10594" s="3">
        <v>32</v>
      </c>
      <c r="M10594" s="3">
        <v>131</v>
      </c>
    </row>
    <row r="10595" spans="1:13" x14ac:dyDescent="0.25">
      <c r="A10595" s="1" t="str">
        <f>HYPERLINK("http://www.rosaceae.org/Prunus/Prunus_persica/p.persica_gdr_reftransV1_0003087","p.persica_gdr_reftransV1_0003087")</f>
        <v>p.persica_gdr_reftransV1_0003087</v>
      </c>
      <c r="B10595" s="3">
        <v>351</v>
      </c>
      <c r="C10595" s="1" t="str">
        <f>HYPERLINK("http://www.uniprot.org/uniprot/TKPR1_ARATH","TKPR1_ARATH")</f>
        <v>TKPR1_ARATH</v>
      </c>
      <c r="D10595" t="s">
        <v>221</v>
      </c>
      <c r="E10595" s="3" t="s">
        <v>3</v>
      </c>
      <c r="F10595" s="4">
        <v>2.9799999999999998E-57</v>
      </c>
      <c r="G10595" s="3">
        <v>472</v>
      </c>
      <c r="H10595" s="3">
        <v>74</v>
      </c>
      <c r="I10595" s="3">
        <v>116</v>
      </c>
      <c r="J10595" s="3">
        <v>1</v>
      </c>
      <c r="K10595" s="3">
        <v>348</v>
      </c>
      <c r="L10595" s="3">
        <v>176</v>
      </c>
      <c r="M10595" s="3">
        <v>291</v>
      </c>
    </row>
    <row r="10596" spans="1:13" x14ac:dyDescent="0.25">
      <c r="A10596" s="1" t="str">
        <f>HYPERLINK("http://www.rosaceae.org/Prunus/Prunus_persica/p.persica_gdr_reftransV1_0003287","p.persica_gdr_reftransV1_0003287")</f>
        <v>p.persica_gdr_reftransV1_0003287</v>
      </c>
      <c r="B10596" s="3">
        <v>554</v>
      </c>
      <c r="C10596" s="1" t="str">
        <f>HYPERLINK("http://www.uniprot.org/uniprot/NRPD1_ARATH","NRPD1_ARATH")</f>
        <v>NRPD1_ARATH</v>
      </c>
      <c r="D10596" t="s">
        <v>1546</v>
      </c>
      <c r="E10596" s="3" t="s">
        <v>3</v>
      </c>
      <c r="F10596" s="4">
        <v>2.9099999999999999E-50</v>
      </c>
      <c r="G10596" s="3">
        <v>455</v>
      </c>
      <c r="H10596" s="3">
        <v>61</v>
      </c>
      <c r="I10596" s="3">
        <v>187</v>
      </c>
      <c r="J10596" s="3">
        <v>2</v>
      </c>
      <c r="K10596" s="3">
        <v>553</v>
      </c>
      <c r="L10596" s="3">
        <v>455</v>
      </c>
      <c r="M10596" s="3">
        <v>641</v>
      </c>
    </row>
    <row r="10597" spans="1:13" x14ac:dyDescent="0.25">
      <c r="A10597" s="1" t="str">
        <f>HYPERLINK("http://www.rosaceae.org/Prunus/Prunus_persica/p.persica_gdr_reftransV1_0003487","p.persica_gdr_reftransV1_0003487")</f>
        <v>p.persica_gdr_reftransV1_0003487</v>
      </c>
      <c r="B10597" s="3">
        <v>4673</v>
      </c>
      <c r="C10597" s="1" t="str">
        <f>HYPERLINK("http://www.uniprot.org/uniprot/HNRPQ_RAT","HNRPQ_RAT")</f>
        <v>HNRPQ_RAT</v>
      </c>
      <c r="D10597" t="s">
        <v>5951</v>
      </c>
      <c r="E10597" s="3" t="s">
        <v>161</v>
      </c>
      <c r="F10597" s="4">
        <v>7.26E-32</v>
      </c>
      <c r="G10597" s="3">
        <v>343</v>
      </c>
      <c r="H10597" s="3">
        <v>33</v>
      </c>
      <c r="I10597" s="3">
        <v>257</v>
      </c>
      <c r="J10597" s="3">
        <v>999</v>
      </c>
      <c r="K10597" s="3">
        <v>1763</v>
      </c>
      <c r="L10597" s="3">
        <v>73</v>
      </c>
      <c r="M10597" s="3">
        <v>317</v>
      </c>
    </row>
    <row r="10598" spans="1:13" x14ac:dyDescent="0.25">
      <c r="A10598" s="1" t="str">
        <f>HYPERLINK("http://www.rosaceae.org/Prunus/Prunus_persica/p.persica_gdr_reftransV1_0003537","p.persica_gdr_reftransV1_0003537")</f>
        <v>p.persica_gdr_reftransV1_0003537</v>
      </c>
      <c r="B10598" s="3">
        <v>1627</v>
      </c>
      <c r="C10598" s="1" t="str">
        <f>HYPERLINK("http://www.uniprot.org/uniprot/HIBC8_ARATH","HIBC8_ARATH")</f>
        <v>HIBC8_ARATH</v>
      </c>
      <c r="D10598" t="s">
        <v>4369</v>
      </c>
      <c r="E10598" s="3" t="s">
        <v>3</v>
      </c>
      <c r="F10598" s="4">
        <v>0</v>
      </c>
      <c r="G10598" s="3">
        <v>1522</v>
      </c>
      <c r="H10598" s="3">
        <v>74</v>
      </c>
      <c r="I10598" s="3">
        <v>386</v>
      </c>
      <c r="J10598" s="3">
        <v>206</v>
      </c>
      <c r="K10598" s="3">
        <v>1357</v>
      </c>
      <c r="L10598" s="3">
        <v>1</v>
      </c>
      <c r="M10598" s="3">
        <v>386</v>
      </c>
    </row>
    <row r="10599" spans="1:13" x14ac:dyDescent="0.25">
      <c r="A10599" s="1" t="str">
        <f>HYPERLINK("http://www.rosaceae.org/Prunus/Prunus_persica/p.persica_gdr_reftransV1_0003687","p.persica_gdr_reftransV1_0003687")</f>
        <v>p.persica_gdr_reftransV1_0003687</v>
      </c>
      <c r="B10599" s="3">
        <v>775</v>
      </c>
      <c r="C10599" s="1" t="str">
        <f>HYPERLINK("http://www.uniprot.org/uniprot/Y3475_ARATH","Y3475_ARATH")</f>
        <v>Y3475_ARATH</v>
      </c>
      <c r="D10599" t="s">
        <v>827</v>
      </c>
      <c r="E10599" s="3" t="s">
        <v>3</v>
      </c>
      <c r="F10599" s="4">
        <v>1.27E-63</v>
      </c>
      <c r="G10599" s="3">
        <v>557</v>
      </c>
      <c r="H10599" s="3">
        <v>46</v>
      </c>
      <c r="I10599" s="3">
        <v>256</v>
      </c>
      <c r="J10599" s="3">
        <v>2</v>
      </c>
      <c r="K10599" s="3">
        <v>757</v>
      </c>
      <c r="L10599" s="3">
        <v>766</v>
      </c>
      <c r="M10599" s="3">
        <v>999</v>
      </c>
    </row>
    <row r="10600" spans="1:13" x14ac:dyDescent="0.25">
      <c r="A10600" s="1" t="str">
        <f>HYPERLINK("http://www.rosaceae.org/Prunus/Prunus_persica/p.persica_gdr_reftransV1_0003737","p.persica_gdr_reftransV1_0003737")</f>
        <v>p.persica_gdr_reftransV1_0003737</v>
      </c>
      <c r="B10600" s="3">
        <v>380</v>
      </c>
      <c r="C10600" s="1" t="str">
        <f>HYPERLINK("http://www.uniprot.org/uniprot/TI214_VITVI","TI214_VITVI")</f>
        <v>TI214_VITVI</v>
      </c>
      <c r="D10600" t="s">
        <v>7669</v>
      </c>
      <c r="E10600" s="3" t="s">
        <v>362</v>
      </c>
      <c r="F10600" s="4">
        <v>6.2000000000000002E-45</v>
      </c>
      <c r="G10600" s="3">
        <v>410</v>
      </c>
      <c r="H10600" s="3">
        <v>81</v>
      </c>
      <c r="I10600" s="3">
        <v>132</v>
      </c>
      <c r="J10600" s="3">
        <v>5</v>
      </c>
      <c r="K10600" s="3">
        <v>379</v>
      </c>
      <c r="L10600" s="3">
        <v>225</v>
      </c>
      <c r="M10600" s="3">
        <v>354</v>
      </c>
    </row>
    <row r="10601" spans="1:13" x14ac:dyDescent="0.25">
      <c r="A10601" s="1" t="str">
        <f>HYPERLINK("http://www.rosaceae.org/Prunus/Prunus_persica/p.persica_gdr_reftransV1_0003787","p.persica_gdr_reftransV1_0003787")</f>
        <v>p.persica_gdr_reftransV1_0003787</v>
      </c>
      <c r="B10601" s="3">
        <v>983</v>
      </c>
      <c r="C10601" s="1" t="str">
        <f>HYPERLINK("http://www.uniprot.org/uniprot/RHIE_DICD3","RHIE_DICD3")</f>
        <v>RHIE_DICD3</v>
      </c>
      <c r="D10601" t="s">
        <v>5676</v>
      </c>
      <c r="E10601" s="3" t="s">
        <v>5677</v>
      </c>
      <c r="F10601" s="4">
        <v>2.96E-11</v>
      </c>
      <c r="G10601" s="3">
        <v>164</v>
      </c>
      <c r="H10601" s="3">
        <v>27</v>
      </c>
      <c r="I10601" s="3">
        <v>279</v>
      </c>
      <c r="J10601" s="3">
        <v>148</v>
      </c>
      <c r="K10601" s="3">
        <v>954</v>
      </c>
      <c r="L10601" s="3">
        <v>343</v>
      </c>
      <c r="M10601" s="3">
        <v>578</v>
      </c>
    </row>
    <row r="10602" spans="1:13" x14ac:dyDescent="0.25">
      <c r="A10602" s="1" t="str">
        <f>HYPERLINK("http://www.rosaceae.org/Prunus/Prunus_persica/p.persica_gdr_reftransV1_0003887","p.persica_gdr_reftransV1_0003887")</f>
        <v>p.persica_gdr_reftransV1_0003887</v>
      </c>
      <c r="B10602" s="3">
        <v>332</v>
      </c>
      <c r="C10602" s="1" t="str">
        <f>HYPERLINK("http://www.uniprot.org/uniprot/ATR_ARATH","ATR_ARATH")</f>
        <v>ATR_ARATH</v>
      </c>
      <c r="D10602" t="s">
        <v>761</v>
      </c>
      <c r="E10602" s="3" t="s">
        <v>3</v>
      </c>
      <c r="F10602" s="4">
        <v>2.0100000000000001E-34</v>
      </c>
      <c r="G10602" s="3">
        <v>330</v>
      </c>
      <c r="H10602" s="3">
        <v>63</v>
      </c>
      <c r="I10602" s="3">
        <v>111</v>
      </c>
      <c r="J10602" s="3">
        <v>2</v>
      </c>
      <c r="K10602" s="3">
        <v>331</v>
      </c>
      <c r="L10602" s="3">
        <v>1194</v>
      </c>
      <c r="M10602" s="3">
        <v>1304</v>
      </c>
    </row>
    <row r="10603" spans="1:13" x14ac:dyDescent="0.25">
      <c r="A10603" s="1" t="str">
        <f>HYPERLINK("http://www.rosaceae.org/Prunus/Prunus_persica/p.persica_gdr_reftransV1_0003987","p.persica_gdr_reftransV1_0003987")</f>
        <v>p.persica_gdr_reftransV1_0003987</v>
      </c>
      <c r="B10603" s="3">
        <v>2013</v>
      </c>
      <c r="C10603" s="1" t="str">
        <f>HYPERLINK("http://www.uniprot.org/uniprot/NUD13_ARATH","NUD13_ARATH")</f>
        <v>NUD13_ARATH</v>
      </c>
      <c r="D10603" t="s">
        <v>630</v>
      </c>
      <c r="E10603" s="3" t="s">
        <v>3</v>
      </c>
      <c r="F10603" s="4">
        <v>2.9800000000000001E-22</v>
      </c>
      <c r="G10603" s="3">
        <v>248</v>
      </c>
      <c r="H10603" s="3">
        <v>50</v>
      </c>
      <c r="I10603" s="3">
        <v>120</v>
      </c>
      <c r="J10603" s="3">
        <v>370</v>
      </c>
      <c r="K10603" s="3">
        <v>723</v>
      </c>
      <c r="L10603" s="3">
        <v>1</v>
      </c>
      <c r="M10603" s="3">
        <v>91</v>
      </c>
    </row>
    <row r="10604" spans="1:13" x14ac:dyDescent="0.25">
      <c r="A10604" s="1" t="str">
        <f>HYPERLINK("http://www.rosaceae.org/Prunus/Prunus_persica/p.persica_gdr_reftransV1_0004037","p.persica_gdr_reftransV1_0004037")</f>
        <v>p.persica_gdr_reftransV1_0004037</v>
      </c>
      <c r="B10604" s="3">
        <v>1803</v>
      </c>
      <c r="C10604" s="1" t="str">
        <f>HYPERLINK("http://www.uniprot.org/uniprot/SINA2_ARATH","SINA2_ARATH")</f>
        <v>SINA2_ARATH</v>
      </c>
      <c r="D10604" t="s">
        <v>7369</v>
      </c>
      <c r="E10604" s="3" t="s">
        <v>3</v>
      </c>
      <c r="F10604" s="4">
        <v>1.83E-167</v>
      </c>
      <c r="G10604" s="3">
        <v>1252</v>
      </c>
      <c r="H10604" s="3">
        <v>74</v>
      </c>
      <c r="I10604" s="3">
        <v>307</v>
      </c>
      <c r="J10604" s="3">
        <v>598</v>
      </c>
      <c r="K10604" s="3">
        <v>1518</v>
      </c>
      <c r="L10604" s="3">
        <v>1</v>
      </c>
      <c r="M10604" s="3">
        <v>307</v>
      </c>
    </row>
    <row r="10605" spans="1:13" x14ac:dyDescent="0.25">
      <c r="A10605" s="1" t="str">
        <f>HYPERLINK("http://www.rosaceae.org/Prunus/Prunus_persica/p.persica_gdr_reftransV1_0004087","p.persica_gdr_reftransV1_0004087")</f>
        <v>p.persica_gdr_reftransV1_0004087</v>
      </c>
      <c r="B10605" s="3">
        <v>981</v>
      </c>
      <c r="C10605" s="1" t="str">
        <f>HYPERLINK("http://www.uniprot.org/uniprot/TADA_ARATH","TADA_ARATH")</f>
        <v>TADA_ARATH</v>
      </c>
      <c r="D10605" t="s">
        <v>1488</v>
      </c>
      <c r="E10605" s="3" t="s">
        <v>3</v>
      </c>
      <c r="F10605" s="4">
        <v>6.5299999999999998E-47</v>
      </c>
      <c r="G10605" s="3">
        <v>444</v>
      </c>
      <c r="H10605" s="3">
        <v>60</v>
      </c>
      <c r="I10605" s="3">
        <v>159</v>
      </c>
      <c r="J10605" s="3">
        <v>103</v>
      </c>
      <c r="K10605" s="3">
        <v>561</v>
      </c>
      <c r="L10605" s="3">
        <v>1020</v>
      </c>
      <c r="M10605" s="3">
        <v>1178</v>
      </c>
    </row>
    <row r="10606" spans="1:13" x14ac:dyDescent="0.25">
      <c r="A10606" s="1" t="str">
        <f>HYPERLINK("http://www.rosaceae.org/Prunus/Prunus_persica/p.persica_gdr_reftransV1_0004187","p.persica_gdr_reftransV1_0004187")</f>
        <v>p.persica_gdr_reftransV1_0004187</v>
      </c>
      <c r="B10606" s="3">
        <v>1467</v>
      </c>
      <c r="C10606" s="1" t="str">
        <f>HYPERLINK("http://www.uniprot.org/uniprot/BASS1_ARATH","BASS1_ARATH")</f>
        <v>BASS1_ARATH</v>
      </c>
      <c r="D10606" t="s">
        <v>1309</v>
      </c>
      <c r="E10606" s="3" t="s">
        <v>3</v>
      </c>
      <c r="F10606" s="4">
        <v>9.1000000000000006E-132</v>
      </c>
      <c r="G10606" s="3">
        <v>755</v>
      </c>
      <c r="H10606" s="3">
        <v>82</v>
      </c>
      <c r="I10606" s="3">
        <v>180</v>
      </c>
      <c r="J10606" s="3">
        <v>728</v>
      </c>
      <c r="K10606" s="3">
        <v>1267</v>
      </c>
      <c r="L10606" s="3">
        <v>222</v>
      </c>
      <c r="M10606" s="3">
        <v>401</v>
      </c>
    </row>
    <row r="10607" spans="1:13" x14ac:dyDescent="0.25">
      <c r="A10607" s="1" t="str">
        <f>HYPERLINK("http://www.rosaceae.org/Prunus/Prunus_persica/p.persica_gdr_reftransV1_0004237","p.persica_gdr_reftransV1_0004237")</f>
        <v>p.persica_gdr_reftransV1_0004237</v>
      </c>
      <c r="B10607" s="3">
        <v>1165</v>
      </c>
      <c r="C10607" s="1" t="str">
        <f>HYPERLINK("http://www.uniprot.org/uniprot/DRPE_CRAPL","DRPE_CRAPL")</f>
        <v>DRPE_CRAPL</v>
      </c>
      <c r="D10607" t="s">
        <v>3835</v>
      </c>
      <c r="E10607" s="3" t="s">
        <v>894</v>
      </c>
      <c r="F10607" s="4">
        <v>1.18E-88</v>
      </c>
      <c r="G10607" s="3">
        <v>708</v>
      </c>
      <c r="H10607" s="3">
        <v>52</v>
      </c>
      <c r="I10607" s="3">
        <v>304</v>
      </c>
      <c r="J10607" s="3">
        <v>22</v>
      </c>
      <c r="K10607" s="3">
        <v>933</v>
      </c>
      <c r="L10607" s="3">
        <v>1</v>
      </c>
      <c r="M10607" s="3">
        <v>299</v>
      </c>
    </row>
    <row r="10608" spans="1:13" x14ac:dyDescent="0.25">
      <c r="A10608" s="1" t="str">
        <f>HYPERLINK("http://www.rosaceae.org/Prunus/Prunus_persica/p.persica_gdr_reftransV1_0004287","p.persica_gdr_reftransV1_0004287")</f>
        <v>p.persica_gdr_reftransV1_0004287</v>
      </c>
      <c r="B10608" s="3">
        <v>2484</v>
      </c>
      <c r="C10608" s="1" t="str">
        <f>HYPERLINK("http://www.uniprot.org/uniprot/SUT13_ARATH","SUT13_ARATH")</f>
        <v>SUT13_ARATH</v>
      </c>
      <c r="D10608" t="s">
        <v>5339</v>
      </c>
      <c r="E10608" s="3" t="s">
        <v>3</v>
      </c>
      <c r="F10608" s="4">
        <v>0</v>
      </c>
      <c r="G10608" s="3">
        <v>2377</v>
      </c>
      <c r="H10608" s="3">
        <v>75</v>
      </c>
      <c r="I10608" s="3">
        <v>613</v>
      </c>
      <c r="J10608" s="3">
        <v>541</v>
      </c>
      <c r="K10608" s="3">
        <v>2379</v>
      </c>
      <c r="L10608" s="3">
        <v>3</v>
      </c>
      <c r="M10608" s="3">
        <v>610</v>
      </c>
    </row>
    <row r="10609" spans="1:13" x14ac:dyDescent="0.25">
      <c r="A10609" s="1" t="str">
        <f>HYPERLINK("http://www.rosaceae.org/Prunus/Prunus_persica/p.persica_gdr_reftransV1_0004337","p.persica_gdr_reftransV1_0004337")</f>
        <v>p.persica_gdr_reftransV1_0004337</v>
      </c>
      <c r="B10609" s="3">
        <v>1063</v>
      </c>
      <c r="C10609" s="1" t="str">
        <f>HYPERLINK("http://www.uniprot.org/uniprot/YODA_ARATH","YODA_ARATH")</f>
        <v>YODA_ARATH</v>
      </c>
      <c r="D10609" t="s">
        <v>2168</v>
      </c>
      <c r="E10609" s="3" t="s">
        <v>3</v>
      </c>
      <c r="F10609" s="4">
        <v>4.3300000000000002E-34</v>
      </c>
      <c r="G10609" s="3">
        <v>347</v>
      </c>
      <c r="H10609" s="3">
        <v>43</v>
      </c>
      <c r="I10609" s="3">
        <v>167</v>
      </c>
      <c r="J10609" s="3">
        <v>540</v>
      </c>
      <c r="K10609" s="3">
        <v>1034</v>
      </c>
      <c r="L10609" s="3">
        <v>495</v>
      </c>
      <c r="M10609" s="3">
        <v>658</v>
      </c>
    </row>
    <row r="10610" spans="1:13" x14ac:dyDescent="0.25">
      <c r="A10610" s="1" t="str">
        <f>HYPERLINK("http://www.rosaceae.org/Prunus/Prunus_persica/p.persica_gdr_reftransV1_0004537","p.persica_gdr_reftransV1_0004537")</f>
        <v>p.persica_gdr_reftransV1_0004537</v>
      </c>
      <c r="B10610" s="3">
        <v>2109</v>
      </c>
      <c r="C10610" s="1" t="str">
        <f>HYPERLINK("http://www.uniprot.org/uniprot/PPP7L_ARATH","PPP7L_ARATH")</f>
        <v>PPP7L_ARATH</v>
      </c>
      <c r="D10610" t="s">
        <v>4715</v>
      </c>
      <c r="E10610" s="3" t="s">
        <v>3</v>
      </c>
      <c r="F10610" s="4">
        <v>1.6499999999999999E-59</v>
      </c>
      <c r="G10610" s="3">
        <v>567</v>
      </c>
      <c r="H10610" s="3">
        <v>35</v>
      </c>
      <c r="I10610" s="3">
        <v>527</v>
      </c>
      <c r="J10610" s="3">
        <v>362</v>
      </c>
      <c r="K10610" s="3">
        <v>1837</v>
      </c>
      <c r="L10610" s="3">
        <v>1</v>
      </c>
      <c r="M10610" s="3">
        <v>519</v>
      </c>
    </row>
    <row r="10611" spans="1:13" x14ac:dyDescent="0.25">
      <c r="A10611" s="1" t="str">
        <f>HYPERLINK("http://www.rosaceae.org/Prunus/Prunus_persica/p.persica_gdr_reftransV1_0004587","p.persica_gdr_reftransV1_0004587")</f>
        <v>p.persica_gdr_reftransV1_0004587</v>
      </c>
      <c r="B10611" s="3">
        <v>602</v>
      </c>
      <c r="C10611" s="1" t="str">
        <f>HYPERLINK("http://www.uniprot.org/uniprot/TMVRN_NICGU","TMVRN_NICGU")</f>
        <v>TMVRN_NICGU</v>
      </c>
      <c r="D10611" t="s">
        <v>151</v>
      </c>
      <c r="E10611" s="3" t="s">
        <v>152</v>
      </c>
      <c r="F10611" s="4">
        <v>1.2200000000000001E-22</v>
      </c>
      <c r="G10611" s="3">
        <v>249</v>
      </c>
      <c r="H10611" s="3">
        <v>38</v>
      </c>
      <c r="I10611" s="3">
        <v>189</v>
      </c>
      <c r="J10611" s="3">
        <v>104</v>
      </c>
      <c r="K10611" s="3">
        <v>601</v>
      </c>
      <c r="L10611" s="3">
        <v>621</v>
      </c>
      <c r="M10611" s="3">
        <v>809</v>
      </c>
    </row>
    <row r="10612" spans="1:13" x14ac:dyDescent="0.25">
      <c r="A10612" s="1" t="str">
        <f>HYPERLINK("http://www.rosaceae.org/Prunus/Prunus_persica/p.persica_gdr_reftransV1_0004637","p.persica_gdr_reftransV1_0004637")</f>
        <v>p.persica_gdr_reftransV1_0004637</v>
      </c>
      <c r="B10612" s="3">
        <v>1700</v>
      </c>
      <c r="C10612" s="1" t="str">
        <f>HYPERLINK("http://www.uniprot.org/uniprot/SCP18_ARATH","SCP18_ARATH")</f>
        <v>SCP18_ARATH</v>
      </c>
      <c r="D10612" t="s">
        <v>2438</v>
      </c>
      <c r="E10612" s="3" t="s">
        <v>3</v>
      </c>
      <c r="F10612" s="4">
        <v>3.7499999999999998E-145</v>
      </c>
      <c r="G10612" s="3">
        <v>1116</v>
      </c>
      <c r="H10612" s="3">
        <v>50</v>
      </c>
      <c r="I10612" s="3">
        <v>448</v>
      </c>
      <c r="J10612" s="3">
        <v>123</v>
      </c>
      <c r="K10612" s="3">
        <v>1460</v>
      </c>
      <c r="L10612" s="3">
        <v>32</v>
      </c>
      <c r="M10612" s="3">
        <v>464</v>
      </c>
    </row>
    <row r="10613" spans="1:13" x14ac:dyDescent="0.25">
      <c r="A10613" s="1" t="str">
        <f>HYPERLINK("http://www.rosaceae.org/Prunus/Prunus_persica/p.persica_gdr_reftransV1_0004887","p.persica_gdr_reftransV1_0004887")</f>
        <v>p.persica_gdr_reftransV1_0004887</v>
      </c>
      <c r="B10613" s="3">
        <v>340</v>
      </c>
      <c r="C10613" s="1" t="str">
        <f>HYPERLINK("http://www.uniprot.org/uniprot/PP354_ARATH","PP354_ARATH")</f>
        <v>PP354_ARATH</v>
      </c>
      <c r="D10613" t="s">
        <v>7670</v>
      </c>
      <c r="E10613" s="3" t="s">
        <v>3</v>
      </c>
      <c r="F10613" s="4">
        <v>2.65E-31</v>
      </c>
      <c r="G10613" s="3">
        <v>302</v>
      </c>
      <c r="H10613" s="3">
        <v>48</v>
      </c>
      <c r="I10613" s="3">
        <v>112</v>
      </c>
      <c r="J10613" s="3">
        <v>2</v>
      </c>
      <c r="K10613" s="3">
        <v>337</v>
      </c>
      <c r="L10613" s="3">
        <v>284</v>
      </c>
      <c r="M10613" s="3">
        <v>395</v>
      </c>
    </row>
    <row r="10614" spans="1:13" x14ac:dyDescent="0.25">
      <c r="A10614" s="1" t="str">
        <f>HYPERLINK("http://www.rosaceae.org/Prunus/Prunus_persica/p.persica_gdr_reftransV1_0004987","p.persica_gdr_reftransV1_0004987")</f>
        <v>p.persica_gdr_reftransV1_0004987</v>
      </c>
      <c r="B10614" s="3">
        <v>432</v>
      </c>
      <c r="C10614" s="1" t="str">
        <f>HYPERLINK("http://www.uniprot.org/uniprot/SNC1_ARATH","SNC1_ARATH")</f>
        <v>SNC1_ARATH</v>
      </c>
      <c r="D10614" t="s">
        <v>3922</v>
      </c>
      <c r="E10614" s="3" t="s">
        <v>3</v>
      </c>
      <c r="F10614" s="4">
        <v>2.1999999999999999E-12</v>
      </c>
      <c r="G10614" s="3">
        <v>166</v>
      </c>
      <c r="H10614" s="3">
        <v>34</v>
      </c>
      <c r="I10614" s="3">
        <v>170</v>
      </c>
      <c r="J10614" s="3">
        <v>4</v>
      </c>
      <c r="K10614" s="3">
        <v>411</v>
      </c>
      <c r="L10614" s="3">
        <v>853</v>
      </c>
      <c r="M10614" s="3">
        <v>1017</v>
      </c>
    </row>
    <row r="10615" spans="1:13" x14ac:dyDescent="0.25">
      <c r="A10615" s="1" t="str">
        <f>HYPERLINK("http://www.rosaceae.org/Prunus/Prunus_persica/p.persica_gdr_reftransV1_0005037","p.persica_gdr_reftransV1_0005037")</f>
        <v>p.persica_gdr_reftransV1_0005037</v>
      </c>
      <c r="B10615" s="3">
        <v>1189</v>
      </c>
      <c r="C10615" s="1" t="str">
        <f>HYPERLINK("http://www.uniprot.org/uniprot/MCD4_ASPFU","MCD4_ASPFU")</f>
        <v>MCD4_ASPFU</v>
      </c>
      <c r="D10615" t="s">
        <v>7671</v>
      </c>
      <c r="E10615" s="3" t="s">
        <v>4665</v>
      </c>
      <c r="F10615" s="4">
        <v>1.86E-27</v>
      </c>
      <c r="G10615" s="3">
        <v>298</v>
      </c>
      <c r="H10615" s="3">
        <v>28</v>
      </c>
      <c r="I10615" s="3">
        <v>366</v>
      </c>
      <c r="J10615" s="3">
        <v>60</v>
      </c>
      <c r="K10615" s="3">
        <v>1046</v>
      </c>
      <c r="L10615" s="3">
        <v>528</v>
      </c>
      <c r="M10615" s="3">
        <v>879</v>
      </c>
    </row>
    <row r="10616" spans="1:13" x14ac:dyDescent="0.25">
      <c r="A10616" s="1" t="str">
        <f>HYPERLINK("http://www.rosaceae.org/Prunus/Prunus_persica/p.persica_gdr_reftransV1_0005137","p.persica_gdr_reftransV1_0005137")</f>
        <v>p.persica_gdr_reftransV1_0005137</v>
      </c>
      <c r="B10616" s="3">
        <v>648</v>
      </c>
      <c r="C10616" s="1" t="str">
        <f>HYPERLINK("http://www.uniprot.org/uniprot/RDM4_ARATH","RDM4_ARATH")</f>
        <v>RDM4_ARATH</v>
      </c>
      <c r="D10616" t="s">
        <v>603</v>
      </c>
      <c r="E10616" s="3" t="s">
        <v>3</v>
      </c>
      <c r="F10616" s="4">
        <v>1.47E-46</v>
      </c>
      <c r="G10616" s="3">
        <v>309</v>
      </c>
      <c r="H10616" s="3">
        <v>52</v>
      </c>
      <c r="I10616" s="3">
        <v>123</v>
      </c>
      <c r="J10616" s="3">
        <v>6</v>
      </c>
      <c r="K10616" s="3">
        <v>374</v>
      </c>
      <c r="L10616" s="3">
        <v>107</v>
      </c>
      <c r="M10616" s="3">
        <v>222</v>
      </c>
    </row>
    <row r="10617" spans="1:13" x14ac:dyDescent="0.25">
      <c r="A10617" s="1" t="str">
        <f>HYPERLINK("http://www.rosaceae.org/Prunus/Prunus_persica/p.persica_gdr_reftransV1_0005287","p.persica_gdr_reftransV1_0005287")</f>
        <v>p.persica_gdr_reftransV1_0005287</v>
      </c>
      <c r="B10617" s="3">
        <v>1775</v>
      </c>
      <c r="C10617" s="1" t="str">
        <f>HYPERLINK("http://www.uniprot.org/uniprot/F3PH_ARATH","F3PH_ARATH")</f>
        <v>F3PH_ARATH</v>
      </c>
      <c r="D10617" t="s">
        <v>12</v>
      </c>
      <c r="E10617" s="3" t="s">
        <v>3</v>
      </c>
      <c r="F10617" s="4">
        <v>6.9700000000000002E-112</v>
      </c>
      <c r="G10617" s="3">
        <v>900</v>
      </c>
      <c r="H10617" s="3">
        <v>41</v>
      </c>
      <c r="I10617" s="3">
        <v>460</v>
      </c>
      <c r="J10617" s="3">
        <v>269</v>
      </c>
      <c r="K10617" s="3">
        <v>1621</v>
      </c>
      <c r="L10617" s="3">
        <v>57</v>
      </c>
      <c r="M10617" s="3">
        <v>508</v>
      </c>
    </row>
    <row r="10618" spans="1:13" x14ac:dyDescent="0.25">
      <c r="A10618" s="1" t="str">
        <f>HYPERLINK("http://www.rosaceae.org/Prunus/Prunus_persica/p.persica_gdr_reftransV1_0005387","p.persica_gdr_reftransV1_0005387")</f>
        <v>p.persica_gdr_reftransV1_0005387</v>
      </c>
      <c r="B10618" s="3">
        <v>1908</v>
      </c>
      <c r="C10618" s="1" t="str">
        <f>HYPERLINK("http://www.uniprot.org/uniprot/STP13_ARATH","STP13_ARATH")</f>
        <v>STP13_ARATH</v>
      </c>
      <c r="D10618" t="s">
        <v>2273</v>
      </c>
      <c r="E10618" s="3" t="s">
        <v>3</v>
      </c>
      <c r="F10618" s="4">
        <v>0</v>
      </c>
      <c r="G10618" s="3">
        <v>2008</v>
      </c>
      <c r="H10618" s="3">
        <v>74</v>
      </c>
      <c r="I10618" s="3">
        <v>487</v>
      </c>
      <c r="J10618" s="3">
        <v>274</v>
      </c>
      <c r="K10618" s="3">
        <v>1731</v>
      </c>
      <c r="L10618" s="3">
        <v>16</v>
      </c>
      <c r="M10618" s="3">
        <v>502</v>
      </c>
    </row>
    <row r="10619" spans="1:13" x14ac:dyDescent="0.25">
      <c r="A10619" s="1" t="str">
        <f>HYPERLINK("http://www.rosaceae.org/Prunus/Prunus_persica/p.persica_gdr_reftransV1_0005437","p.persica_gdr_reftransV1_0005437")</f>
        <v>p.persica_gdr_reftransV1_0005437</v>
      </c>
      <c r="B10619" s="3">
        <v>1873</v>
      </c>
      <c r="C10619" s="1" t="str">
        <f>HYPERLINK("http://www.uniprot.org/uniprot/LAC4_ARATH","LAC4_ARATH")</f>
        <v>LAC4_ARATH</v>
      </c>
      <c r="D10619" t="s">
        <v>2961</v>
      </c>
      <c r="E10619" s="3" t="s">
        <v>3</v>
      </c>
      <c r="F10619" s="4">
        <v>0</v>
      </c>
      <c r="G10619" s="3">
        <v>2264</v>
      </c>
      <c r="H10619" s="3">
        <v>77</v>
      </c>
      <c r="I10619" s="3">
        <v>556</v>
      </c>
      <c r="J10619" s="3">
        <v>74</v>
      </c>
      <c r="K10619" s="3">
        <v>1741</v>
      </c>
      <c r="L10619" s="3">
        <v>7</v>
      </c>
      <c r="M10619" s="3">
        <v>558</v>
      </c>
    </row>
    <row r="10620" spans="1:13" x14ac:dyDescent="0.25">
      <c r="A10620" s="1" t="str">
        <f>HYPERLINK("http://www.rosaceae.org/Prunus/Prunus_persica/p.persica_gdr_reftransV1_0005537","p.persica_gdr_reftransV1_0005537")</f>
        <v>p.persica_gdr_reftransV1_0005537</v>
      </c>
      <c r="B10620" s="3">
        <v>1119</v>
      </c>
      <c r="C10620" s="1" t="str">
        <f>HYPERLINK("http://www.uniprot.org/uniprot/TRNH1_ARATH","TRNH1_ARATH")</f>
        <v>TRNH1_ARATH</v>
      </c>
      <c r="D10620" t="s">
        <v>7005</v>
      </c>
      <c r="E10620" s="3" t="s">
        <v>3</v>
      </c>
      <c r="F10620" s="4">
        <v>4.2900000000000001E-97</v>
      </c>
      <c r="G10620" s="3">
        <v>380</v>
      </c>
      <c r="H10620" s="3">
        <v>71</v>
      </c>
      <c r="I10620" s="3">
        <v>102</v>
      </c>
      <c r="J10620" s="3">
        <v>182</v>
      </c>
      <c r="K10620" s="3">
        <v>487</v>
      </c>
      <c r="L10620" s="3">
        <v>163</v>
      </c>
      <c r="M10620" s="3">
        <v>263</v>
      </c>
    </row>
    <row r="10621" spans="1:13" x14ac:dyDescent="0.25">
      <c r="A10621" s="1" t="str">
        <f>HYPERLINK("http://www.rosaceae.org/Prunus/Prunus_persica/p.persica_gdr_reftransV1_0005587","p.persica_gdr_reftransV1_0005587")</f>
        <v>p.persica_gdr_reftransV1_0005587</v>
      </c>
      <c r="B10621" s="3">
        <v>1339</v>
      </c>
      <c r="C10621" s="1" t="str">
        <f>HYPERLINK("http://www.uniprot.org/uniprot/GDL15_ARATH","GDL15_ARATH")</f>
        <v>GDL15_ARATH</v>
      </c>
      <c r="D10621" t="s">
        <v>6233</v>
      </c>
      <c r="E10621" s="3" t="s">
        <v>3</v>
      </c>
      <c r="F10621" s="4">
        <v>8.2199999999999991E-118</v>
      </c>
      <c r="G10621" s="3">
        <v>913</v>
      </c>
      <c r="H10621" s="3">
        <v>52</v>
      </c>
      <c r="I10621" s="3">
        <v>366</v>
      </c>
      <c r="J10621" s="3">
        <v>91</v>
      </c>
      <c r="K10621" s="3">
        <v>1170</v>
      </c>
      <c r="L10621" s="3">
        <v>1</v>
      </c>
      <c r="M10621" s="3">
        <v>363</v>
      </c>
    </row>
    <row r="10622" spans="1:13" x14ac:dyDescent="0.25">
      <c r="A10622" s="1" t="str">
        <f>HYPERLINK("http://www.rosaceae.org/Prunus/Prunus_persica/p.persica_gdr_reftransV1_0005787","p.persica_gdr_reftransV1_0005787")</f>
        <v>p.persica_gdr_reftransV1_0005787</v>
      </c>
      <c r="B10622" s="3">
        <v>1022</v>
      </c>
      <c r="C10622" s="1" t="str">
        <f>HYPERLINK("http://www.uniprot.org/uniprot/TMVRN_NICGU","TMVRN_NICGU")</f>
        <v>TMVRN_NICGU</v>
      </c>
      <c r="D10622" t="s">
        <v>151</v>
      </c>
      <c r="E10622" s="3" t="s">
        <v>152</v>
      </c>
      <c r="F10622" s="4">
        <v>1.62E-38</v>
      </c>
      <c r="G10622" s="3">
        <v>381</v>
      </c>
      <c r="H10622" s="3">
        <v>35</v>
      </c>
      <c r="I10622" s="3">
        <v>338</v>
      </c>
      <c r="J10622" s="3">
        <v>8</v>
      </c>
      <c r="K10622" s="3">
        <v>1018</v>
      </c>
      <c r="L10622" s="3">
        <v>542</v>
      </c>
      <c r="M10622" s="3">
        <v>857</v>
      </c>
    </row>
    <row r="10623" spans="1:13" x14ac:dyDescent="0.25">
      <c r="A10623" s="1" t="str">
        <f>HYPERLINK("http://www.rosaceae.org/Prunus/Prunus_persica/p.persica_gdr_reftransV1_0005937","p.persica_gdr_reftransV1_0005937")</f>
        <v>p.persica_gdr_reftransV1_0005937</v>
      </c>
      <c r="B10623" s="3">
        <v>606</v>
      </c>
      <c r="C10623" s="1" t="str">
        <f>HYPERLINK("http://www.uniprot.org/uniprot/AB34G_ARATH","AB34G_ARATH")</f>
        <v>AB34G_ARATH</v>
      </c>
      <c r="D10623" t="s">
        <v>3128</v>
      </c>
      <c r="E10623" s="3" t="s">
        <v>3</v>
      </c>
      <c r="F10623" s="4">
        <v>9.669999999999999E-94</v>
      </c>
      <c r="G10623" s="3">
        <v>776</v>
      </c>
      <c r="H10623" s="3">
        <v>86</v>
      </c>
      <c r="I10623" s="3">
        <v>181</v>
      </c>
      <c r="J10623" s="3">
        <v>3</v>
      </c>
      <c r="K10623" s="3">
        <v>545</v>
      </c>
      <c r="L10623" s="3">
        <v>866</v>
      </c>
      <c r="M10623" s="3">
        <v>1046</v>
      </c>
    </row>
    <row r="10624" spans="1:13" x14ac:dyDescent="0.25">
      <c r="A10624" s="1" t="str">
        <f>HYPERLINK("http://www.rosaceae.org/Prunus/Prunus_persica/p.persica_gdr_reftransV1_0006187","p.persica_gdr_reftransV1_0006187")</f>
        <v>p.persica_gdr_reftransV1_0006187</v>
      </c>
      <c r="B10624" s="3">
        <v>1546</v>
      </c>
      <c r="C10624" s="1" t="str">
        <f>HYPERLINK("http://www.uniprot.org/uniprot/TAT2_ARATH","TAT2_ARATH")</f>
        <v>TAT2_ARATH</v>
      </c>
      <c r="D10624" t="s">
        <v>6574</v>
      </c>
      <c r="E10624" s="3" t="s">
        <v>3</v>
      </c>
      <c r="F10624" s="4">
        <v>3.38E-178</v>
      </c>
      <c r="G10624" s="3">
        <v>1325</v>
      </c>
      <c r="H10624" s="3">
        <v>59</v>
      </c>
      <c r="I10624" s="3">
        <v>411</v>
      </c>
      <c r="J10624" s="3">
        <v>228</v>
      </c>
      <c r="K10624" s="3">
        <v>1460</v>
      </c>
      <c r="L10624" s="3">
        <v>3</v>
      </c>
      <c r="M10624" s="3">
        <v>410</v>
      </c>
    </row>
    <row r="10625" spans="1:13" x14ac:dyDescent="0.25">
      <c r="A10625" s="1" t="str">
        <f>HYPERLINK("http://www.rosaceae.org/Prunus/Prunus_persica/p.persica_gdr_reftransV1_0006237","p.persica_gdr_reftransV1_0006237")</f>
        <v>p.persica_gdr_reftransV1_0006237</v>
      </c>
      <c r="B10625" s="3">
        <v>1127</v>
      </c>
      <c r="C10625" s="1" t="str">
        <f>HYPERLINK("http://www.uniprot.org/uniprot/GLIP1_ARATH","GLIP1_ARATH")</f>
        <v>GLIP1_ARATH</v>
      </c>
      <c r="D10625" t="s">
        <v>7672</v>
      </c>
      <c r="E10625" s="3" t="s">
        <v>3</v>
      </c>
      <c r="F10625" s="4">
        <v>4.9900000000000004E-106</v>
      </c>
      <c r="G10625" s="3">
        <v>828</v>
      </c>
      <c r="H10625" s="3">
        <v>54</v>
      </c>
      <c r="I10625" s="3">
        <v>303</v>
      </c>
      <c r="J10625" s="3">
        <v>223</v>
      </c>
      <c r="K10625" s="3">
        <v>1122</v>
      </c>
      <c r="L10625" s="3">
        <v>72</v>
      </c>
      <c r="M10625" s="3">
        <v>372</v>
      </c>
    </row>
    <row r="10626" spans="1:13" x14ac:dyDescent="0.25">
      <c r="A10626" s="1" t="str">
        <f>HYPERLINK("http://www.rosaceae.org/Prunus/Prunus_persica/p.persica_gdr_reftransV1_0006337","p.persica_gdr_reftransV1_0006337")</f>
        <v>p.persica_gdr_reftransV1_0006337</v>
      </c>
      <c r="B10626" s="3">
        <v>1830</v>
      </c>
      <c r="C10626" s="1" t="str">
        <f>HYPERLINK("http://www.uniprot.org/uniprot/BCAT3_ARATH","BCAT3_ARATH")</f>
        <v>BCAT3_ARATH</v>
      </c>
      <c r="D10626" t="s">
        <v>4483</v>
      </c>
      <c r="E10626" s="3" t="s">
        <v>3</v>
      </c>
      <c r="F10626" s="4">
        <v>1.1400000000000001E-70</v>
      </c>
      <c r="G10626" s="3">
        <v>612</v>
      </c>
      <c r="H10626" s="3">
        <v>59</v>
      </c>
      <c r="I10626" s="3">
        <v>201</v>
      </c>
      <c r="J10626" s="3">
        <v>15</v>
      </c>
      <c r="K10626" s="3">
        <v>614</v>
      </c>
      <c r="L10626" s="3">
        <v>60</v>
      </c>
      <c r="M10626" s="3">
        <v>259</v>
      </c>
    </row>
    <row r="10627" spans="1:13" x14ac:dyDescent="0.25">
      <c r="A10627" s="1" t="str">
        <f>HYPERLINK("http://www.rosaceae.org/Prunus/Prunus_persica/p.persica_gdr_reftransV1_0006437","p.persica_gdr_reftransV1_0006437")</f>
        <v>p.persica_gdr_reftransV1_0006437</v>
      </c>
      <c r="B10627" s="3">
        <v>844</v>
      </c>
      <c r="C10627" s="1" t="str">
        <f>HYPERLINK("http://www.uniprot.org/uniprot/VQ8_ARATH","VQ8_ARATH")</f>
        <v>VQ8_ARATH</v>
      </c>
      <c r="D10627" t="s">
        <v>7673</v>
      </c>
      <c r="E10627" s="3" t="s">
        <v>3</v>
      </c>
      <c r="F10627" s="4">
        <v>3.9000000000000002E-9</v>
      </c>
      <c r="G10627" s="3">
        <v>139</v>
      </c>
      <c r="H10627" s="3">
        <v>77</v>
      </c>
      <c r="I10627" s="3">
        <v>31</v>
      </c>
      <c r="J10627" s="3">
        <v>640</v>
      </c>
      <c r="K10627" s="3">
        <v>732</v>
      </c>
      <c r="L10627" s="3">
        <v>44</v>
      </c>
      <c r="M10627" s="3">
        <v>74</v>
      </c>
    </row>
    <row r="10628" spans="1:13" x14ac:dyDescent="0.25">
      <c r="A10628" s="1" t="str">
        <f>HYPERLINK("http://www.rosaceae.org/Prunus/Prunus_persica/p.persica_gdr_reftransV1_0006537","p.persica_gdr_reftransV1_0006537")</f>
        <v>p.persica_gdr_reftransV1_0006537</v>
      </c>
      <c r="B10628" s="3">
        <v>738</v>
      </c>
      <c r="C10628" s="1" t="str">
        <f>HYPERLINK("http://www.uniprot.org/uniprot/AT21A_ARATH","AT21A_ARATH")</f>
        <v>AT21A_ARATH</v>
      </c>
      <c r="D10628" t="s">
        <v>7674</v>
      </c>
      <c r="E10628" s="3" t="s">
        <v>3</v>
      </c>
      <c r="F10628" s="4">
        <v>2.2199999999999998E-12</v>
      </c>
      <c r="G10628" s="3">
        <v>168</v>
      </c>
      <c r="H10628" s="3">
        <v>34</v>
      </c>
      <c r="I10628" s="3">
        <v>114</v>
      </c>
      <c r="J10628" s="3">
        <v>187</v>
      </c>
      <c r="K10628" s="3">
        <v>528</v>
      </c>
      <c r="L10628" s="3">
        <v>24</v>
      </c>
      <c r="M10628" s="3">
        <v>133</v>
      </c>
    </row>
    <row r="10629" spans="1:13" x14ac:dyDescent="0.25">
      <c r="A10629" s="1" t="str">
        <f>HYPERLINK("http://www.rosaceae.org/Prunus/Prunus_persica/p.persica_gdr_reftransV1_0006587","p.persica_gdr_reftransV1_0006587")</f>
        <v>p.persica_gdr_reftransV1_0006587</v>
      </c>
      <c r="B10629" s="3">
        <v>1901</v>
      </c>
      <c r="C10629" s="1" t="str">
        <f>HYPERLINK("http://www.uniprot.org/uniprot/LRK61_ARATH","LRK61_ARATH")</f>
        <v>LRK61_ARATH</v>
      </c>
      <c r="D10629" t="s">
        <v>7675</v>
      </c>
      <c r="E10629" s="3" t="s">
        <v>3</v>
      </c>
      <c r="F10629" s="4">
        <v>0</v>
      </c>
      <c r="G10629" s="3">
        <v>1545</v>
      </c>
      <c r="H10629" s="3">
        <v>57</v>
      </c>
      <c r="I10629" s="3">
        <v>562</v>
      </c>
      <c r="J10629" s="3">
        <v>230</v>
      </c>
      <c r="K10629" s="3">
        <v>1888</v>
      </c>
      <c r="L10629" s="3">
        <v>97</v>
      </c>
      <c r="M10629" s="3">
        <v>656</v>
      </c>
    </row>
    <row r="10630" spans="1:13" x14ac:dyDescent="0.25">
      <c r="A10630" s="1" t="str">
        <f>HYPERLINK("http://www.rosaceae.org/Prunus/Prunus_persica/p.persica_gdr_reftransV1_0006687","p.persica_gdr_reftransV1_0006687")</f>
        <v>p.persica_gdr_reftransV1_0006687</v>
      </c>
      <c r="B10630" s="3">
        <v>863</v>
      </c>
      <c r="C10630" s="1" t="str">
        <f>HYPERLINK("http://www.uniprot.org/uniprot/TIP13_ARATH","TIP13_ARATH")</f>
        <v>TIP13_ARATH</v>
      </c>
      <c r="D10630" t="s">
        <v>3491</v>
      </c>
      <c r="E10630" s="3" t="s">
        <v>3</v>
      </c>
      <c r="F10630" s="4">
        <v>2.51E-68</v>
      </c>
      <c r="G10630" s="3">
        <v>442</v>
      </c>
      <c r="H10630" s="3">
        <v>79</v>
      </c>
      <c r="I10630" s="3">
        <v>125</v>
      </c>
      <c r="J10630" s="3">
        <v>475</v>
      </c>
      <c r="K10630" s="3">
        <v>849</v>
      </c>
      <c r="L10630" s="3">
        <v>128</v>
      </c>
      <c r="M10630" s="3">
        <v>252</v>
      </c>
    </row>
    <row r="10631" spans="1:13" x14ac:dyDescent="0.25">
      <c r="A10631" s="1" t="str">
        <f>HYPERLINK("http://www.rosaceae.org/Prunus/Prunus_persica/p.persica_gdr_reftransV1_0007037","p.persica_gdr_reftransV1_0007037")</f>
        <v>p.persica_gdr_reftransV1_0007037</v>
      </c>
      <c r="B10631" s="3">
        <v>1863</v>
      </c>
      <c r="C10631" s="1" t="str">
        <f>HYPERLINK("http://www.uniprot.org/uniprot/EXGA_ASPOR","EXGA_ASPOR")</f>
        <v>EXGA_ASPOR</v>
      </c>
      <c r="D10631" t="s">
        <v>7676</v>
      </c>
      <c r="E10631" s="3" t="s">
        <v>262</v>
      </c>
      <c r="F10631" s="4">
        <v>1.1100000000000001E-42</v>
      </c>
      <c r="G10631" s="3">
        <v>411</v>
      </c>
      <c r="H10631" s="3">
        <v>33</v>
      </c>
      <c r="I10631" s="3">
        <v>338</v>
      </c>
      <c r="J10631" s="3">
        <v>237</v>
      </c>
      <c r="K10631" s="3">
        <v>1133</v>
      </c>
      <c r="L10631" s="3">
        <v>48</v>
      </c>
      <c r="M10631" s="3">
        <v>374</v>
      </c>
    </row>
    <row r="10632" spans="1:13" x14ac:dyDescent="0.25">
      <c r="A10632" s="1" t="str">
        <f>HYPERLINK("http://www.rosaceae.org/Prunus/Prunus_persica/p.persica_gdr_reftransV1_0007087","p.persica_gdr_reftransV1_0007087")</f>
        <v>p.persica_gdr_reftransV1_0007087</v>
      </c>
      <c r="B10632" s="3">
        <v>740</v>
      </c>
      <c r="C10632" s="1" t="str">
        <f>HYPERLINK("http://www.uniprot.org/uniprot/ATL31_ARATH","ATL31_ARATH")</f>
        <v>ATL31_ARATH</v>
      </c>
      <c r="D10632" t="s">
        <v>7677</v>
      </c>
      <c r="E10632" s="3" t="s">
        <v>3</v>
      </c>
      <c r="F10632" s="4">
        <v>3.0100000000000002E-45</v>
      </c>
      <c r="G10632" s="3">
        <v>406</v>
      </c>
      <c r="H10632" s="3">
        <v>53</v>
      </c>
      <c r="I10632" s="3">
        <v>155</v>
      </c>
      <c r="J10632" s="3">
        <v>245</v>
      </c>
      <c r="K10632" s="3">
        <v>685</v>
      </c>
      <c r="L10632" s="3">
        <v>30</v>
      </c>
      <c r="M10632" s="3">
        <v>176</v>
      </c>
    </row>
    <row r="10633" spans="1:13" x14ac:dyDescent="0.25">
      <c r="A10633" s="1" t="str">
        <f>HYPERLINK("http://www.rosaceae.org/Prunus/Prunus_persica/p.persica_gdr_reftransV1_0007137","p.persica_gdr_reftransV1_0007137")</f>
        <v>p.persica_gdr_reftransV1_0007137</v>
      </c>
      <c r="B10633" s="3">
        <v>890</v>
      </c>
      <c r="C10633" s="1" t="str">
        <f>HYPERLINK("http://www.uniprot.org/uniprot/KIWEL_ACTDE","KIWEL_ACTDE")</f>
        <v>KIWEL_ACTDE</v>
      </c>
      <c r="D10633" t="s">
        <v>7678</v>
      </c>
      <c r="E10633" s="3" t="s">
        <v>2188</v>
      </c>
      <c r="F10633" s="4">
        <v>2.57E-91</v>
      </c>
      <c r="G10633" s="3">
        <v>705</v>
      </c>
      <c r="H10633" s="3">
        <v>72</v>
      </c>
      <c r="I10633" s="3">
        <v>193</v>
      </c>
      <c r="J10633" s="3">
        <v>212</v>
      </c>
      <c r="K10633" s="3">
        <v>790</v>
      </c>
      <c r="L10633" s="3">
        <v>1</v>
      </c>
      <c r="M10633" s="3">
        <v>189</v>
      </c>
    </row>
    <row r="10634" spans="1:13" x14ac:dyDescent="0.25">
      <c r="A10634" s="1" t="str">
        <f>HYPERLINK("http://www.rosaceae.org/Prunus/Prunus_persica/p.persica_gdr_reftransV1_0007187","p.persica_gdr_reftransV1_0007187")</f>
        <v>p.persica_gdr_reftransV1_0007187</v>
      </c>
      <c r="B10634" s="3">
        <v>1006</v>
      </c>
      <c r="C10634" s="1" t="str">
        <f>HYPERLINK("http://www.uniprot.org/uniprot/ERH_ARATH","ERH_ARATH")</f>
        <v>ERH_ARATH</v>
      </c>
      <c r="D10634" t="s">
        <v>7679</v>
      </c>
      <c r="E10634" s="3" t="s">
        <v>3</v>
      </c>
      <c r="F10634" s="4">
        <v>1.1300000000000001E-52</v>
      </c>
      <c r="G10634" s="3">
        <v>444</v>
      </c>
      <c r="H10634" s="3">
        <v>73</v>
      </c>
      <c r="I10634" s="3">
        <v>106</v>
      </c>
      <c r="J10634" s="3">
        <v>354</v>
      </c>
      <c r="K10634" s="3">
        <v>671</v>
      </c>
      <c r="L10634" s="3">
        <v>1</v>
      </c>
      <c r="M10634" s="3">
        <v>106</v>
      </c>
    </row>
    <row r="10635" spans="1:13" x14ac:dyDescent="0.25">
      <c r="A10635" s="1" t="str">
        <f>HYPERLINK("http://www.rosaceae.org/Prunus/Prunus_persica/p.persica_gdr_reftransV1_0007237","p.persica_gdr_reftransV1_0007237")</f>
        <v>p.persica_gdr_reftransV1_0007237</v>
      </c>
      <c r="B10635" s="3">
        <v>2070</v>
      </c>
      <c r="C10635" s="1" t="str">
        <f>HYPERLINK("http://www.uniprot.org/uniprot/FABD_MOUSE","FABD_MOUSE")</f>
        <v>FABD_MOUSE</v>
      </c>
      <c r="D10635" t="s">
        <v>7680</v>
      </c>
      <c r="E10635" s="3" t="s">
        <v>157</v>
      </c>
      <c r="F10635" s="4">
        <v>3.6900000000000001E-66</v>
      </c>
      <c r="G10635" s="3">
        <v>583</v>
      </c>
      <c r="H10635" s="3">
        <v>41</v>
      </c>
      <c r="I10635" s="3">
        <v>303</v>
      </c>
      <c r="J10635" s="3">
        <v>391</v>
      </c>
      <c r="K10635" s="3">
        <v>1275</v>
      </c>
      <c r="L10635" s="3">
        <v>63</v>
      </c>
      <c r="M10635" s="3">
        <v>363</v>
      </c>
    </row>
    <row r="10636" spans="1:13" x14ac:dyDescent="0.25">
      <c r="A10636" s="1" t="str">
        <f>HYPERLINK("http://www.rosaceae.org/Prunus/Prunus_persica/p.persica_gdr_reftransV1_0007337","p.persica_gdr_reftransV1_0007337")</f>
        <v>p.persica_gdr_reftransV1_0007337</v>
      </c>
      <c r="B10636" s="3">
        <v>1006</v>
      </c>
      <c r="C10636" s="1" t="str">
        <f>HYPERLINK("http://www.uniprot.org/uniprot/Y575_SYNY3","Y575_SYNY3")</f>
        <v>Y575_SYNY3</v>
      </c>
      <c r="D10636" t="s">
        <v>6843</v>
      </c>
      <c r="E10636" s="3" t="s">
        <v>527</v>
      </c>
      <c r="F10636" s="4">
        <v>3.3500000000000002E-25</v>
      </c>
      <c r="G10636" s="3">
        <v>260</v>
      </c>
      <c r="H10636" s="3">
        <v>41</v>
      </c>
      <c r="I10636" s="3">
        <v>147</v>
      </c>
      <c r="J10636" s="3">
        <v>198</v>
      </c>
      <c r="K10636" s="3">
        <v>632</v>
      </c>
      <c r="L10636" s="3">
        <v>40</v>
      </c>
      <c r="M10636" s="3">
        <v>180</v>
      </c>
    </row>
    <row r="10637" spans="1:13" x14ac:dyDescent="0.25">
      <c r="A10637" s="1" t="str">
        <f>HYPERLINK("http://www.rosaceae.org/Prunus/Prunus_persica/p.persica_gdr_reftransV1_0007387","p.persica_gdr_reftransV1_0007387")</f>
        <v>p.persica_gdr_reftransV1_0007387</v>
      </c>
      <c r="B10637" s="3">
        <v>2010</v>
      </c>
      <c r="C10637" s="1" t="str">
        <f>HYPERLINK("http://www.uniprot.org/uniprot/TM87A_XENTR","TM87A_XENTR")</f>
        <v>TM87A_XENTR</v>
      </c>
      <c r="D10637" t="s">
        <v>7681</v>
      </c>
      <c r="E10637" s="3" t="s">
        <v>173</v>
      </c>
      <c r="F10637" s="4">
        <v>5.5700000000000001E-45</v>
      </c>
      <c r="G10637" s="3">
        <v>437</v>
      </c>
      <c r="H10637" s="3">
        <v>34</v>
      </c>
      <c r="I10637" s="3">
        <v>278</v>
      </c>
      <c r="J10637" s="3">
        <v>752</v>
      </c>
      <c r="K10637" s="3">
        <v>1570</v>
      </c>
      <c r="L10637" s="3">
        <v>197</v>
      </c>
      <c r="M10637" s="3">
        <v>469</v>
      </c>
    </row>
    <row r="10638" spans="1:13" x14ac:dyDescent="0.25">
      <c r="A10638" s="1" t="str">
        <f>HYPERLINK("http://www.rosaceae.org/Prunus/Prunus_persica/p.persica_gdr_reftransV1_0007437","p.persica_gdr_reftransV1_0007437")</f>
        <v>p.persica_gdr_reftransV1_0007437</v>
      </c>
      <c r="B10638" s="3">
        <v>1392</v>
      </c>
      <c r="C10638" s="1" t="str">
        <f>HYPERLINK("http://www.uniprot.org/uniprot/FBK46_ARATH","FBK46_ARATH")</f>
        <v>FBK46_ARATH</v>
      </c>
      <c r="D10638" t="s">
        <v>7682</v>
      </c>
      <c r="E10638" s="3" t="s">
        <v>3</v>
      </c>
      <c r="F10638" s="4">
        <v>2.1700000000000001E-54</v>
      </c>
      <c r="G10638" s="3">
        <v>489</v>
      </c>
      <c r="H10638" s="3">
        <v>41</v>
      </c>
      <c r="I10638" s="3">
        <v>261</v>
      </c>
      <c r="J10638" s="3">
        <v>499</v>
      </c>
      <c r="K10638" s="3">
        <v>1215</v>
      </c>
      <c r="L10638" s="3">
        <v>31</v>
      </c>
      <c r="M10638" s="3">
        <v>287</v>
      </c>
    </row>
    <row r="10639" spans="1:13" x14ac:dyDescent="0.25">
      <c r="A10639" s="1" t="str">
        <f>HYPERLINK("http://www.rosaceae.org/Prunus/Prunus_persica/p.persica_gdr_reftransV1_0007487","p.persica_gdr_reftransV1_0007487")</f>
        <v>p.persica_gdr_reftransV1_0007487</v>
      </c>
      <c r="B10639" s="3">
        <v>722</v>
      </c>
      <c r="C10639" s="1" t="str">
        <f>HYPERLINK("http://www.uniprot.org/uniprot/Y5957_ARATH","Y5957_ARATH")</f>
        <v>Y5957_ARATH</v>
      </c>
      <c r="D10639" t="s">
        <v>6031</v>
      </c>
      <c r="E10639" s="3" t="s">
        <v>3</v>
      </c>
      <c r="F10639" s="4">
        <v>4.0100000000000001E-25</v>
      </c>
      <c r="G10639" s="3">
        <v>263</v>
      </c>
      <c r="H10639" s="3">
        <v>48</v>
      </c>
      <c r="I10639" s="3">
        <v>223</v>
      </c>
      <c r="J10639" s="3">
        <v>15</v>
      </c>
      <c r="K10639" s="3">
        <v>656</v>
      </c>
      <c r="L10639" s="3">
        <v>1</v>
      </c>
      <c r="M10639" s="3">
        <v>189</v>
      </c>
    </row>
    <row r="10640" spans="1:13" x14ac:dyDescent="0.25">
      <c r="A10640" s="1" t="str">
        <f>HYPERLINK("http://www.rosaceae.org/Prunus/Prunus_persica/p.persica_gdr_reftransV1_0007537","p.persica_gdr_reftransV1_0007537")</f>
        <v>p.persica_gdr_reftransV1_0007537</v>
      </c>
      <c r="B10640" s="3">
        <v>2273</v>
      </c>
      <c r="C10640" s="1" t="str">
        <f>HYPERLINK("http://www.uniprot.org/uniprot/CNG14_ARATH","CNG14_ARATH")</f>
        <v>CNG14_ARATH</v>
      </c>
      <c r="D10640" t="s">
        <v>6847</v>
      </c>
      <c r="E10640" s="3" t="s">
        <v>3</v>
      </c>
      <c r="F10640" s="4">
        <v>0</v>
      </c>
      <c r="G10640" s="3">
        <v>2660</v>
      </c>
      <c r="H10640" s="3">
        <v>71</v>
      </c>
      <c r="I10640" s="3">
        <v>719</v>
      </c>
      <c r="J10640" s="3">
        <v>2</v>
      </c>
      <c r="K10640" s="3">
        <v>2137</v>
      </c>
      <c r="L10640" s="3">
        <v>1</v>
      </c>
      <c r="M10640" s="3">
        <v>710</v>
      </c>
    </row>
    <row r="10641" spans="1:13" x14ac:dyDescent="0.25">
      <c r="A10641" s="1" t="str">
        <f>HYPERLINK("http://www.rosaceae.org/Prunus/Prunus_persica/p.persica_gdr_reftransV1_0007587","p.persica_gdr_reftransV1_0007587")</f>
        <v>p.persica_gdr_reftransV1_0007587</v>
      </c>
      <c r="B10641" s="3">
        <v>1347</v>
      </c>
      <c r="C10641" s="1" t="str">
        <f>HYPERLINK("http://www.uniprot.org/uniprot/PSDE_ARATH","PSDE_ARATH")</f>
        <v>PSDE_ARATH</v>
      </c>
      <c r="D10641" t="s">
        <v>5443</v>
      </c>
      <c r="E10641" s="3" t="s">
        <v>3</v>
      </c>
      <c r="F10641" s="4">
        <v>0</v>
      </c>
      <c r="G10641" s="3">
        <v>1429</v>
      </c>
      <c r="H10641" s="3">
        <v>94</v>
      </c>
      <c r="I10641" s="3">
        <v>309</v>
      </c>
      <c r="J10641" s="3">
        <v>317</v>
      </c>
      <c r="K10641" s="3">
        <v>1243</v>
      </c>
      <c r="L10641" s="3">
        <v>1</v>
      </c>
      <c r="M10641" s="3">
        <v>308</v>
      </c>
    </row>
    <row r="10642" spans="1:13" x14ac:dyDescent="0.25">
      <c r="A10642" s="1" t="str">
        <f>HYPERLINK("http://www.rosaceae.org/Prunus/Prunus_persica/p.persica_gdr_reftransV1_0007637","p.persica_gdr_reftransV1_0007637")</f>
        <v>p.persica_gdr_reftransV1_0007637</v>
      </c>
      <c r="B10642" s="3">
        <v>541</v>
      </c>
      <c r="C10642" s="1" t="str">
        <f>HYPERLINK("http://www.uniprot.org/uniprot/FB145_ARATH","FB145_ARATH")</f>
        <v>FB145_ARATH</v>
      </c>
      <c r="D10642" t="s">
        <v>7683</v>
      </c>
      <c r="E10642" s="3" t="s">
        <v>3</v>
      </c>
      <c r="F10642" s="4">
        <v>5.4899999999999995E-7</v>
      </c>
      <c r="G10642" s="3">
        <v>123</v>
      </c>
      <c r="H10642" s="3">
        <v>47</v>
      </c>
      <c r="I10642" s="3">
        <v>55</v>
      </c>
      <c r="J10642" s="3">
        <v>199</v>
      </c>
      <c r="K10642" s="3">
        <v>363</v>
      </c>
      <c r="L10642" s="3">
        <v>2</v>
      </c>
      <c r="M10642" s="3">
        <v>54</v>
      </c>
    </row>
    <row r="10643" spans="1:13" x14ac:dyDescent="0.25">
      <c r="A10643" s="1" t="str">
        <f>HYPERLINK("http://www.rosaceae.org/Prunus/Prunus_persica/p.persica_gdr_reftransV1_0007837","p.persica_gdr_reftransV1_0007837")</f>
        <v>p.persica_gdr_reftransV1_0007837</v>
      </c>
      <c r="B10643" s="3">
        <v>459</v>
      </c>
      <c r="C10643" s="1" t="str">
        <f>HYPERLINK("http://www.uniprot.org/uniprot/PP210_ARATH","PP210_ARATH")</f>
        <v>PP210_ARATH</v>
      </c>
      <c r="D10643" t="s">
        <v>1547</v>
      </c>
      <c r="E10643" s="3" t="s">
        <v>3</v>
      </c>
      <c r="F10643" s="4">
        <v>3.2300000000000001E-49</v>
      </c>
      <c r="G10643" s="3">
        <v>440</v>
      </c>
      <c r="H10643" s="3">
        <v>55</v>
      </c>
      <c r="I10643" s="3">
        <v>152</v>
      </c>
      <c r="J10643" s="3">
        <v>2</v>
      </c>
      <c r="K10643" s="3">
        <v>457</v>
      </c>
      <c r="L10643" s="3">
        <v>466</v>
      </c>
      <c r="M10643" s="3">
        <v>617</v>
      </c>
    </row>
    <row r="10644" spans="1:13" x14ac:dyDescent="0.25">
      <c r="A10644" s="1" t="str">
        <f>HYPERLINK("http://www.rosaceae.org/Prunus/Prunus_persica/p.persica_gdr_reftransV1_0007887","p.persica_gdr_reftransV1_0007887")</f>
        <v>p.persica_gdr_reftransV1_0007887</v>
      </c>
      <c r="B10644" s="3">
        <v>1315</v>
      </c>
      <c r="C10644" s="1" t="str">
        <f>HYPERLINK("http://www.uniprot.org/uniprot/PSB2A_ARATH","PSB2A_ARATH")</f>
        <v>PSB2A_ARATH</v>
      </c>
      <c r="D10644" t="s">
        <v>7684</v>
      </c>
      <c r="E10644" s="3" t="s">
        <v>3</v>
      </c>
      <c r="F10644" s="4">
        <v>7.4E-128</v>
      </c>
      <c r="G10644" s="3">
        <v>963</v>
      </c>
      <c r="H10644" s="3">
        <v>86</v>
      </c>
      <c r="I10644" s="3">
        <v>202</v>
      </c>
      <c r="J10644" s="3">
        <v>202</v>
      </c>
      <c r="K10644" s="3">
        <v>807</v>
      </c>
      <c r="L10644" s="3">
        <v>1</v>
      </c>
      <c r="M10644" s="3">
        <v>202</v>
      </c>
    </row>
    <row r="10645" spans="1:13" x14ac:dyDescent="0.25">
      <c r="A10645" s="1" t="str">
        <f>HYPERLINK("http://www.rosaceae.org/Prunus/Prunus_persica/p.persica_gdr_reftransV1_0007937","p.persica_gdr_reftransV1_0007937")</f>
        <v>p.persica_gdr_reftransV1_0007937</v>
      </c>
      <c r="B10645" s="3">
        <v>2984</v>
      </c>
      <c r="C10645" s="1" t="str">
        <f>HYPERLINK("http://www.uniprot.org/uniprot/SRF6_ARATH","SRF6_ARATH")</f>
        <v>SRF6_ARATH</v>
      </c>
      <c r="D10645" t="s">
        <v>7685</v>
      </c>
      <c r="E10645" s="3" t="s">
        <v>3</v>
      </c>
      <c r="F10645" s="4">
        <v>0</v>
      </c>
      <c r="G10645" s="3">
        <v>2097</v>
      </c>
      <c r="H10645" s="3">
        <v>64</v>
      </c>
      <c r="I10645" s="3">
        <v>721</v>
      </c>
      <c r="J10645" s="3">
        <v>413</v>
      </c>
      <c r="K10645" s="3">
        <v>2557</v>
      </c>
      <c r="L10645" s="3">
        <v>1</v>
      </c>
      <c r="M10645" s="3">
        <v>717</v>
      </c>
    </row>
    <row r="10646" spans="1:13" x14ac:dyDescent="0.25">
      <c r="A10646" s="1" t="str">
        <f>HYPERLINK("http://www.rosaceae.org/Prunus/Prunus_persica/p.persica_gdr_reftransV1_0008037","p.persica_gdr_reftransV1_0008037")</f>
        <v>p.persica_gdr_reftransV1_0008037</v>
      </c>
      <c r="B10646" s="3">
        <v>928</v>
      </c>
      <c r="C10646" s="1" t="str">
        <f>HYPERLINK("http://www.uniprot.org/uniprot/RNP1_ARATH","RNP1_ARATH")</f>
        <v>RNP1_ARATH</v>
      </c>
      <c r="D10646" t="s">
        <v>2083</v>
      </c>
      <c r="E10646" s="3" t="s">
        <v>3</v>
      </c>
      <c r="F10646" s="4">
        <v>3.8799999999999997E-48</v>
      </c>
      <c r="G10646" s="3">
        <v>434</v>
      </c>
      <c r="H10646" s="3">
        <v>46</v>
      </c>
      <c r="I10646" s="3">
        <v>186</v>
      </c>
      <c r="J10646" s="3">
        <v>350</v>
      </c>
      <c r="K10646" s="3">
        <v>883</v>
      </c>
      <c r="L10646" s="3">
        <v>6</v>
      </c>
      <c r="M10646" s="3">
        <v>191</v>
      </c>
    </row>
    <row r="10647" spans="1:13" x14ac:dyDescent="0.25">
      <c r="A10647" s="1" t="str">
        <f>HYPERLINK("http://www.rosaceae.org/Prunus/Prunus_persica/p.persica_gdr_reftransV1_0008087","p.persica_gdr_reftransV1_0008087")</f>
        <v>p.persica_gdr_reftransV1_0008087</v>
      </c>
      <c r="B10647" s="3">
        <v>1044</v>
      </c>
      <c r="C10647" s="1" t="str">
        <f>HYPERLINK("http://www.uniprot.org/uniprot/PP377_ARATH","PP377_ARATH")</f>
        <v>PP377_ARATH</v>
      </c>
      <c r="D10647" t="s">
        <v>1225</v>
      </c>
      <c r="E10647" s="3" t="s">
        <v>3</v>
      </c>
      <c r="F10647" s="4">
        <v>3.2599999999999999E-38</v>
      </c>
      <c r="G10647" s="3">
        <v>377</v>
      </c>
      <c r="H10647" s="3">
        <v>63</v>
      </c>
      <c r="I10647" s="3">
        <v>105</v>
      </c>
      <c r="J10647" s="3">
        <v>733</v>
      </c>
      <c r="K10647" s="3">
        <v>1044</v>
      </c>
      <c r="L10647" s="3">
        <v>718</v>
      </c>
      <c r="M10647" s="3">
        <v>822</v>
      </c>
    </row>
    <row r="10648" spans="1:13" x14ac:dyDescent="0.25">
      <c r="A10648" s="1" t="str">
        <f>HYPERLINK("http://www.rosaceae.org/Prunus/Prunus_persica/p.persica_gdr_reftransV1_0008187","p.persica_gdr_reftransV1_0008187")</f>
        <v>p.persica_gdr_reftransV1_0008187</v>
      </c>
      <c r="B10648" s="3">
        <v>1828</v>
      </c>
      <c r="C10648" s="1" t="str">
        <f>HYPERLINK("http://www.uniprot.org/uniprot/E131_ARATH","E131_ARATH")</f>
        <v>E131_ARATH</v>
      </c>
      <c r="D10648" t="s">
        <v>4122</v>
      </c>
      <c r="E10648" s="3" t="s">
        <v>3</v>
      </c>
      <c r="F10648" s="4">
        <v>2.6100000000000001E-21</v>
      </c>
      <c r="G10648" s="3">
        <v>251</v>
      </c>
      <c r="H10648" s="3">
        <v>44</v>
      </c>
      <c r="I10648" s="3">
        <v>102</v>
      </c>
      <c r="J10648" s="3">
        <v>1257</v>
      </c>
      <c r="K10648" s="3">
        <v>1562</v>
      </c>
      <c r="L10648" s="3">
        <v>364</v>
      </c>
      <c r="M10648" s="3">
        <v>465</v>
      </c>
    </row>
    <row r="10649" spans="1:13" x14ac:dyDescent="0.25">
      <c r="A10649" s="1" t="str">
        <f>HYPERLINK("http://www.rosaceae.org/Prunus/Prunus_persica/p.persica_gdr_reftransV1_0008237","p.persica_gdr_reftransV1_0008237")</f>
        <v>p.persica_gdr_reftransV1_0008237</v>
      </c>
      <c r="B10649" s="3">
        <v>2918</v>
      </c>
      <c r="C10649" s="1" t="str">
        <f>HYPERLINK("http://www.uniprot.org/uniprot/Y103_SYNY3","Y103_SYNY3")</f>
        <v>Y103_SYNY3</v>
      </c>
      <c r="D10649" t="s">
        <v>5292</v>
      </c>
      <c r="E10649" s="3" t="s">
        <v>527</v>
      </c>
      <c r="F10649" s="4">
        <v>2.0199999999999999E-12</v>
      </c>
      <c r="G10649" s="3">
        <v>181</v>
      </c>
      <c r="H10649" s="3">
        <v>26</v>
      </c>
      <c r="I10649" s="3">
        <v>263</v>
      </c>
      <c r="J10649" s="3">
        <v>1084</v>
      </c>
      <c r="K10649" s="3">
        <v>1824</v>
      </c>
      <c r="L10649" s="3">
        <v>39</v>
      </c>
      <c r="M10649" s="3">
        <v>273</v>
      </c>
    </row>
    <row r="10650" spans="1:13" x14ac:dyDescent="0.25">
      <c r="A10650" s="1" t="str">
        <f>HYPERLINK("http://www.rosaceae.org/Prunus/Prunus_persica/p.persica_gdr_reftransV1_0008337","p.persica_gdr_reftransV1_0008337")</f>
        <v>p.persica_gdr_reftransV1_0008337</v>
      </c>
      <c r="B10650" s="3">
        <v>1850</v>
      </c>
      <c r="C10650" s="1" t="str">
        <f>HYPERLINK("http://www.uniprot.org/uniprot/BAG6_MOUSE","BAG6_MOUSE")</f>
        <v>BAG6_MOUSE</v>
      </c>
      <c r="D10650" t="s">
        <v>7686</v>
      </c>
      <c r="E10650" s="3" t="s">
        <v>157</v>
      </c>
      <c r="F10650" s="4">
        <v>6.1799999999999999E-12</v>
      </c>
      <c r="G10650" s="3">
        <v>177</v>
      </c>
      <c r="H10650" s="3">
        <v>47</v>
      </c>
      <c r="I10650" s="3">
        <v>88</v>
      </c>
      <c r="J10650" s="3">
        <v>1262</v>
      </c>
      <c r="K10650" s="3">
        <v>1525</v>
      </c>
      <c r="L10650" s="3">
        <v>2</v>
      </c>
      <c r="M10650" s="3">
        <v>87</v>
      </c>
    </row>
    <row r="10651" spans="1:13" x14ac:dyDescent="0.25">
      <c r="A10651" s="1" t="str">
        <f>HYPERLINK("http://www.rosaceae.org/Prunus/Prunus_persica/p.persica_gdr_reftransV1_0008437","p.persica_gdr_reftransV1_0008437")</f>
        <v>p.persica_gdr_reftransV1_0008437</v>
      </c>
      <c r="B10651" s="3">
        <v>474</v>
      </c>
      <c r="C10651" s="1" t="str">
        <f>HYPERLINK("http://www.uniprot.org/uniprot/Y5005_ARATH","Y5005_ARATH")</f>
        <v>Y5005_ARATH</v>
      </c>
      <c r="D10651" t="s">
        <v>7687</v>
      </c>
      <c r="E10651" s="3" t="s">
        <v>3</v>
      </c>
      <c r="F10651" s="4">
        <v>3.9600000000000003E-65</v>
      </c>
      <c r="G10651" s="3">
        <v>538</v>
      </c>
      <c r="H10651" s="3">
        <v>67</v>
      </c>
      <c r="I10651" s="3">
        <v>159</v>
      </c>
      <c r="J10651" s="3">
        <v>1</v>
      </c>
      <c r="K10651" s="3">
        <v>468</v>
      </c>
      <c r="L10651" s="3">
        <v>111</v>
      </c>
      <c r="M10651" s="3">
        <v>269</v>
      </c>
    </row>
    <row r="10652" spans="1:13" x14ac:dyDescent="0.25">
      <c r="A10652" s="1" t="str">
        <f>HYPERLINK("http://www.rosaceae.org/Prunus/Prunus_persica/p.persica_gdr_reftransV1_0008637","p.persica_gdr_reftransV1_0008637")</f>
        <v>p.persica_gdr_reftransV1_0008637</v>
      </c>
      <c r="B10652" s="3">
        <v>610</v>
      </c>
      <c r="C10652" s="1" t="str">
        <f>HYPERLINK("http://www.uniprot.org/uniprot/FHA1_ARATH","FHA1_ARATH")</f>
        <v>FHA1_ARATH</v>
      </c>
      <c r="D10652" t="s">
        <v>7688</v>
      </c>
      <c r="E10652" s="3" t="s">
        <v>3</v>
      </c>
      <c r="F10652" s="4">
        <v>5.6100000000000002E-79</v>
      </c>
      <c r="G10652" s="3">
        <v>620</v>
      </c>
      <c r="H10652" s="3">
        <v>79</v>
      </c>
      <c r="I10652" s="3">
        <v>154</v>
      </c>
      <c r="J10652" s="3">
        <v>87</v>
      </c>
      <c r="K10652" s="3">
        <v>545</v>
      </c>
      <c r="L10652" s="3">
        <v>1</v>
      </c>
      <c r="M10652" s="3">
        <v>150</v>
      </c>
    </row>
    <row r="10653" spans="1:13" x14ac:dyDescent="0.25">
      <c r="A10653" s="1" t="str">
        <f>HYPERLINK("http://www.rosaceae.org/Prunus/Prunus_persica/p.persica_gdr_reftransV1_0008887","p.persica_gdr_reftransV1_0008887")</f>
        <v>p.persica_gdr_reftransV1_0008887</v>
      </c>
      <c r="B10653" s="3">
        <v>605</v>
      </c>
      <c r="C10653" s="1" t="str">
        <f>HYPERLINK("http://www.uniprot.org/uniprot/E1310_ARATH","E1310_ARATH")</f>
        <v>E1310_ARATH</v>
      </c>
      <c r="D10653" t="s">
        <v>7689</v>
      </c>
      <c r="E10653" s="3" t="s">
        <v>3</v>
      </c>
      <c r="F10653" s="4">
        <v>2.6100000000000002E-53</v>
      </c>
      <c r="G10653" s="3">
        <v>461</v>
      </c>
      <c r="H10653" s="3">
        <v>48</v>
      </c>
      <c r="I10653" s="3">
        <v>200</v>
      </c>
      <c r="J10653" s="3">
        <v>1</v>
      </c>
      <c r="K10653" s="3">
        <v>600</v>
      </c>
      <c r="L10653" s="3">
        <v>14</v>
      </c>
      <c r="M10653" s="3">
        <v>212</v>
      </c>
    </row>
    <row r="10654" spans="1:13" x14ac:dyDescent="0.25">
      <c r="A10654" s="1" t="str">
        <f>HYPERLINK("http://www.rosaceae.org/Prunus/Prunus_persica/p.persica_gdr_reftransV1_0008937","p.persica_gdr_reftransV1_0008937")</f>
        <v>p.persica_gdr_reftransV1_0008937</v>
      </c>
      <c r="B10654" s="3">
        <v>1024</v>
      </c>
      <c r="C10654" s="1" t="str">
        <f>HYPERLINK("http://www.uniprot.org/uniprot/FZR3_ARATH","FZR3_ARATH")</f>
        <v>FZR3_ARATH</v>
      </c>
      <c r="D10654" t="s">
        <v>7690</v>
      </c>
      <c r="E10654" s="3" t="s">
        <v>3</v>
      </c>
      <c r="F10654" s="4">
        <v>1.22E-168</v>
      </c>
      <c r="G10654" s="3">
        <v>1250</v>
      </c>
      <c r="H10654" s="3">
        <v>91</v>
      </c>
      <c r="I10654" s="3">
        <v>256</v>
      </c>
      <c r="J10654" s="3">
        <v>2</v>
      </c>
      <c r="K10654" s="3">
        <v>769</v>
      </c>
      <c r="L10654" s="3">
        <v>226</v>
      </c>
      <c r="M10654" s="3">
        <v>481</v>
      </c>
    </row>
    <row r="10655" spans="1:13" x14ac:dyDescent="0.25">
      <c r="A10655" s="1" t="str">
        <f>HYPERLINK("http://www.rosaceae.org/Prunus/Prunus_persica/p.persica_gdr_reftransV1_0009037","p.persica_gdr_reftransV1_0009037")</f>
        <v>p.persica_gdr_reftransV1_0009037</v>
      </c>
      <c r="B10655" s="3">
        <v>2519</v>
      </c>
      <c r="C10655" s="1" t="str">
        <f>HYPERLINK("http://www.uniprot.org/uniprot/WNK3_ARATH","WNK3_ARATH")</f>
        <v>WNK3_ARATH</v>
      </c>
      <c r="D10655" t="s">
        <v>7691</v>
      </c>
      <c r="E10655" s="3" t="s">
        <v>3</v>
      </c>
      <c r="F10655" s="4">
        <v>1.1300000000000001E-135</v>
      </c>
      <c r="G10655" s="3">
        <v>1080</v>
      </c>
      <c r="H10655" s="3">
        <v>86</v>
      </c>
      <c r="I10655" s="3">
        <v>229</v>
      </c>
      <c r="J10655" s="3">
        <v>238</v>
      </c>
      <c r="K10655" s="3">
        <v>924</v>
      </c>
      <c r="L10655" s="3">
        <v>11</v>
      </c>
      <c r="M10655" s="3">
        <v>239</v>
      </c>
    </row>
    <row r="10656" spans="1:13" x14ac:dyDescent="0.25">
      <c r="A10656" s="1" t="str">
        <f>HYPERLINK("http://www.rosaceae.org/Prunus/Prunus_persica/p.persica_gdr_reftransV1_0009137","p.persica_gdr_reftransV1_0009137")</f>
        <v>p.persica_gdr_reftransV1_0009137</v>
      </c>
      <c r="B10656" s="3">
        <v>997</v>
      </c>
      <c r="C10656" s="1" t="str">
        <f>HYPERLINK("http://www.uniprot.org/uniprot/PSKR2_ARATH","PSKR2_ARATH")</f>
        <v>PSKR2_ARATH</v>
      </c>
      <c r="D10656" t="s">
        <v>127</v>
      </c>
      <c r="E10656" s="3" t="s">
        <v>3</v>
      </c>
      <c r="F10656" s="4">
        <v>2.0199999999999999E-79</v>
      </c>
      <c r="G10656" s="3">
        <v>681</v>
      </c>
      <c r="H10656" s="3">
        <v>55</v>
      </c>
      <c r="I10656" s="3">
        <v>314</v>
      </c>
      <c r="J10656" s="3">
        <v>1</v>
      </c>
      <c r="K10656" s="3">
        <v>942</v>
      </c>
      <c r="L10656" s="3">
        <v>5</v>
      </c>
      <c r="M10656" s="3">
        <v>310</v>
      </c>
    </row>
    <row r="10657" spans="1:13" x14ac:dyDescent="0.25">
      <c r="A10657" s="1" t="str">
        <f>HYPERLINK("http://www.rosaceae.org/Prunus/Prunus_persica/p.persica_gdr_reftransV1_0009237","p.persica_gdr_reftransV1_0009237")</f>
        <v>p.persica_gdr_reftransV1_0009237</v>
      </c>
      <c r="B10657" s="3">
        <v>4072</v>
      </c>
      <c r="C10657" s="1" t="str">
        <f>HYPERLINK("http://www.uniprot.org/uniprot/SAD2_ARATH","SAD2_ARATH")</f>
        <v>SAD2_ARATH</v>
      </c>
      <c r="D10657" t="s">
        <v>7692</v>
      </c>
      <c r="E10657" s="3" t="s">
        <v>3</v>
      </c>
      <c r="F10657" s="4">
        <v>0</v>
      </c>
      <c r="G10657" s="3">
        <v>4051</v>
      </c>
      <c r="H10657" s="3">
        <v>78</v>
      </c>
      <c r="I10657" s="3">
        <v>1036</v>
      </c>
      <c r="J10657" s="3">
        <v>178</v>
      </c>
      <c r="K10657" s="3">
        <v>3273</v>
      </c>
      <c r="L10657" s="3">
        <v>1</v>
      </c>
      <c r="M10657" s="3">
        <v>1035</v>
      </c>
    </row>
    <row r="10658" spans="1:13" x14ac:dyDescent="0.25">
      <c r="A10658" s="1" t="str">
        <f>HYPERLINK("http://www.rosaceae.org/Prunus/Prunus_persica/p.persica_gdr_reftransV1_0009387","p.persica_gdr_reftransV1_0009387")</f>
        <v>p.persica_gdr_reftransV1_0009387</v>
      </c>
      <c r="B10658" s="3">
        <v>1934</v>
      </c>
      <c r="C10658" s="1" t="str">
        <f>HYPERLINK("http://www.uniprot.org/uniprot/CAF1M_ARATH","CAF1M_ARATH")</f>
        <v>CAF1M_ARATH</v>
      </c>
      <c r="D10658" t="s">
        <v>7693</v>
      </c>
      <c r="E10658" s="3" t="s">
        <v>3</v>
      </c>
      <c r="F10658" s="4">
        <v>5.1900000000000001E-130</v>
      </c>
      <c r="G10658" s="3">
        <v>931</v>
      </c>
      <c r="H10658" s="3">
        <v>65</v>
      </c>
      <c r="I10658" s="3">
        <v>308</v>
      </c>
      <c r="J10658" s="3">
        <v>950</v>
      </c>
      <c r="K10658" s="3">
        <v>1861</v>
      </c>
      <c r="L10658" s="3">
        <v>1</v>
      </c>
      <c r="M10658" s="3">
        <v>306</v>
      </c>
    </row>
    <row r="10659" spans="1:13" x14ac:dyDescent="0.25">
      <c r="A10659" s="1" t="str">
        <f>HYPERLINK("http://www.rosaceae.org/Prunus/Prunus_persica/p.persica_gdr_reftransV1_0009437","p.persica_gdr_reftransV1_0009437")</f>
        <v>p.persica_gdr_reftransV1_0009437</v>
      </c>
      <c r="B10659" s="3">
        <v>1663</v>
      </c>
      <c r="C10659" s="1" t="str">
        <f>HYPERLINK("http://www.uniprot.org/uniprot/CCR4E_ARATH","CCR4E_ARATH")</f>
        <v>CCR4E_ARATH</v>
      </c>
      <c r="D10659" t="s">
        <v>5381</v>
      </c>
      <c r="E10659" s="3" t="s">
        <v>3</v>
      </c>
      <c r="F10659" s="4">
        <v>4.6699999999999999E-98</v>
      </c>
      <c r="G10659" s="3">
        <v>611</v>
      </c>
      <c r="H10659" s="3">
        <v>49</v>
      </c>
      <c r="I10659" s="3">
        <v>222</v>
      </c>
      <c r="J10659" s="3">
        <v>311</v>
      </c>
      <c r="K10659" s="3">
        <v>976</v>
      </c>
      <c r="L10659" s="3">
        <v>231</v>
      </c>
      <c r="M10659" s="3">
        <v>452</v>
      </c>
    </row>
    <row r="10660" spans="1:13" x14ac:dyDescent="0.25">
      <c r="A10660" s="1" t="str">
        <f>HYPERLINK("http://www.rosaceae.org/Prunus/Prunus_persica/p.persica_gdr_reftransV1_0009487","p.persica_gdr_reftransV1_0009487")</f>
        <v>p.persica_gdr_reftransV1_0009487</v>
      </c>
      <c r="B10660" s="3">
        <v>2426</v>
      </c>
      <c r="C10660" s="1" t="str">
        <f>HYPERLINK("http://www.uniprot.org/uniprot/BCCIP_ARATH","BCCIP_ARATH")</f>
        <v>BCCIP_ARATH</v>
      </c>
      <c r="D10660" t="s">
        <v>1461</v>
      </c>
      <c r="E10660" s="3" t="s">
        <v>3</v>
      </c>
      <c r="F10660" s="4">
        <v>4.0800000000000002E-93</v>
      </c>
      <c r="G10660" s="3">
        <v>771</v>
      </c>
      <c r="H10660" s="3">
        <v>54</v>
      </c>
      <c r="I10660" s="3">
        <v>341</v>
      </c>
      <c r="J10660" s="3">
        <v>898</v>
      </c>
      <c r="K10660" s="3">
        <v>1866</v>
      </c>
      <c r="L10660" s="3">
        <v>1</v>
      </c>
      <c r="M10660" s="3">
        <v>326</v>
      </c>
    </row>
    <row r="10661" spans="1:13" x14ac:dyDescent="0.25">
      <c r="A10661" s="1" t="str">
        <f>HYPERLINK("http://www.rosaceae.org/Prunus/Prunus_persica/p.persica_gdr_reftransV1_0009587","p.persica_gdr_reftransV1_0009587")</f>
        <v>p.persica_gdr_reftransV1_0009587</v>
      </c>
      <c r="B10661" s="3">
        <v>3085</v>
      </c>
      <c r="C10661" s="1" t="str">
        <f>HYPERLINK("http://www.uniprot.org/uniprot/APBLA_ARATH","APBLA_ARATH")</f>
        <v>APBLA_ARATH</v>
      </c>
      <c r="D10661" t="s">
        <v>6160</v>
      </c>
      <c r="E10661" s="3" t="s">
        <v>3</v>
      </c>
      <c r="F10661" s="4">
        <v>0</v>
      </c>
      <c r="G10661" s="3">
        <v>3393</v>
      </c>
      <c r="H10661" s="3">
        <v>81</v>
      </c>
      <c r="I10661" s="3">
        <v>826</v>
      </c>
      <c r="J10661" s="3">
        <v>272</v>
      </c>
      <c r="K10661" s="3">
        <v>2749</v>
      </c>
      <c r="L10661" s="3">
        <v>18</v>
      </c>
      <c r="M10661" s="3">
        <v>841</v>
      </c>
    </row>
    <row r="10662" spans="1:13" x14ac:dyDescent="0.25">
      <c r="A10662" s="1" t="str">
        <f>HYPERLINK("http://www.rosaceae.org/Prunus/Prunus_persica/p.persica_gdr_reftransV1_0009637","p.persica_gdr_reftransV1_0009637")</f>
        <v>p.persica_gdr_reftransV1_0009637</v>
      </c>
      <c r="B10662" s="3">
        <v>5819</v>
      </c>
      <c r="C10662" s="1" t="str">
        <f>HYPERLINK("http://www.uniprot.org/uniprot/RDRP_BYDVR","RDRP_BYDVR")</f>
        <v>RDRP_BYDVR</v>
      </c>
      <c r="D10662" t="s">
        <v>7694</v>
      </c>
      <c r="E10662" s="3" t="s">
        <v>4314</v>
      </c>
      <c r="F10662" s="4">
        <v>0</v>
      </c>
      <c r="G10662" s="3">
        <v>1847</v>
      </c>
      <c r="H10662" s="3">
        <v>66</v>
      </c>
      <c r="I10662" s="3">
        <v>523</v>
      </c>
      <c r="J10662" s="3">
        <v>1196</v>
      </c>
      <c r="K10662" s="3">
        <v>2761</v>
      </c>
      <c r="L10662" s="3">
        <v>338</v>
      </c>
      <c r="M10662" s="3">
        <v>860</v>
      </c>
    </row>
    <row r="10663" spans="1:13" x14ac:dyDescent="0.25">
      <c r="A10663" s="1" t="str">
        <f>HYPERLINK("http://www.rosaceae.org/Prunus/Prunus_persica/p.persica_gdr_reftransV1_0009687","p.persica_gdr_reftransV1_0009687")</f>
        <v>p.persica_gdr_reftransV1_0009687</v>
      </c>
      <c r="B10663" s="3">
        <v>2130</v>
      </c>
      <c r="C10663" s="1" t="str">
        <f>HYPERLINK("http://www.uniprot.org/uniprot/XYLT1_CANFA","XYLT1_CANFA")</f>
        <v>XYLT1_CANFA</v>
      </c>
      <c r="D10663" t="s">
        <v>6494</v>
      </c>
      <c r="E10663" s="3" t="s">
        <v>2940</v>
      </c>
      <c r="F10663" s="4">
        <v>1.23E-14</v>
      </c>
      <c r="G10663" s="3">
        <v>200</v>
      </c>
      <c r="H10663" s="3">
        <v>29</v>
      </c>
      <c r="I10663" s="3">
        <v>238</v>
      </c>
      <c r="J10663" s="3">
        <v>709</v>
      </c>
      <c r="K10663" s="3">
        <v>1419</v>
      </c>
      <c r="L10663" s="3">
        <v>337</v>
      </c>
      <c r="M10663" s="3">
        <v>560</v>
      </c>
    </row>
    <row r="10664" spans="1:13" x14ac:dyDescent="0.25">
      <c r="A10664" s="1" t="str">
        <f>HYPERLINK("http://www.rosaceae.org/Prunus/Prunus_persica/p.persica_gdr_reftransV1_0009737","p.persica_gdr_reftransV1_0009737")</f>
        <v>p.persica_gdr_reftransV1_0009737</v>
      </c>
      <c r="B10664" s="3">
        <v>2004</v>
      </c>
      <c r="C10664" s="1" t="str">
        <f>HYPERLINK("http://www.uniprot.org/uniprot/C78A3_SOYBN","C78A3_SOYBN")</f>
        <v>C78A3_SOYBN</v>
      </c>
      <c r="D10664" t="s">
        <v>7695</v>
      </c>
      <c r="E10664" s="3" t="s">
        <v>307</v>
      </c>
      <c r="F10664" s="4">
        <v>0</v>
      </c>
      <c r="G10664" s="3">
        <v>1890</v>
      </c>
      <c r="H10664" s="3">
        <v>68</v>
      </c>
      <c r="I10664" s="3">
        <v>535</v>
      </c>
      <c r="J10664" s="3">
        <v>315</v>
      </c>
      <c r="K10664" s="3">
        <v>1916</v>
      </c>
      <c r="L10664" s="3">
        <v>7</v>
      </c>
      <c r="M10664" s="3">
        <v>522</v>
      </c>
    </row>
    <row r="10665" spans="1:13" x14ac:dyDescent="0.25">
      <c r="A10665" s="1" t="str">
        <f>HYPERLINK("http://www.rosaceae.org/Prunus/Prunus_persica/p.persica_gdr_reftransV1_0009787","p.persica_gdr_reftransV1_0009787")</f>
        <v>p.persica_gdr_reftransV1_0009787</v>
      </c>
      <c r="B10665" s="3">
        <v>817</v>
      </c>
      <c r="C10665" s="1" t="str">
        <f>HYPERLINK("http://www.uniprot.org/uniprot/TMVRN_NICGU","TMVRN_NICGU")</f>
        <v>TMVRN_NICGU</v>
      </c>
      <c r="D10665" t="s">
        <v>151</v>
      </c>
      <c r="E10665" s="3" t="s">
        <v>152</v>
      </c>
      <c r="F10665" s="4">
        <v>1.7E-16</v>
      </c>
      <c r="G10665" s="3">
        <v>205</v>
      </c>
      <c r="H10665" s="3">
        <v>37</v>
      </c>
      <c r="I10665" s="3">
        <v>166</v>
      </c>
      <c r="J10665" s="3">
        <v>347</v>
      </c>
      <c r="K10665" s="3">
        <v>817</v>
      </c>
      <c r="L10665" s="3">
        <v>162</v>
      </c>
      <c r="M10665" s="3">
        <v>320</v>
      </c>
    </row>
    <row r="10666" spans="1:13" x14ac:dyDescent="0.25">
      <c r="A10666" s="1" t="str">
        <f>HYPERLINK("http://www.rosaceae.org/Prunus/Prunus_persica/p.persica_gdr_reftransV1_0009887","p.persica_gdr_reftransV1_0009887")</f>
        <v>p.persica_gdr_reftransV1_0009887</v>
      </c>
      <c r="B10666" s="3">
        <v>2164</v>
      </c>
      <c r="C10666" s="1" t="str">
        <f>HYPERLINK("http://www.uniprot.org/uniprot/TBL6_ARATH","TBL6_ARATH")</f>
        <v>TBL6_ARATH</v>
      </c>
      <c r="D10666" t="s">
        <v>4861</v>
      </c>
      <c r="E10666" s="3" t="s">
        <v>3</v>
      </c>
      <c r="F10666" s="4">
        <v>5.1000000000000002E-63</v>
      </c>
      <c r="G10666" s="3">
        <v>569</v>
      </c>
      <c r="H10666" s="3">
        <v>47</v>
      </c>
      <c r="I10666" s="3">
        <v>247</v>
      </c>
      <c r="J10666" s="3">
        <v>1138</v>
      </c>
      <c r="K10666" s="3">
        <v>1857</v>
      </c>
      <c r="L10666" s="3">
        <v>126</v>
      </c>
      <c r="M10666" s="3">
        <v>326</v>
      </c>
    </row>
    <row r="10667" spans="1:13" x14ac:dyDescent="0.25">
      <c r="A10667" s="1" t="str">
        <f>HYPERLINK("http://www.rosaceae.org/Prunus/Prunus_persica/p.persica_gdr_reftransV1_0010037","p.persica_gdr_reftransV1_0010037")</f>
        <v>p.persica_gdr_reftransV1_0010037</v>
      </c>
      <c r="B10667" s="3">
        <v>2148</v>
      </c>
      <c r="C10667" s="1" t="str">
        <f>HYPERLINK("http://www.uniprot.org/uniprot/UFC_ARATH","UFC_ARATH")</f>
        <v>UFC_ARATH</v>
      </c>
      <c r="D10667" t="s">
        <v>7696</v>
      </c>
      <c r="E10667" s="3" t="s">
        <v>3</v>
      </c>
      <c r="F10667" s="4">
        <v>2.5000000000000002E-32</v>
      </c>
      <c r="G10667" s="3">
        <v>337</v>
      </c>
      <c r="H10667" s="3">
        <v>66</v>
      </c>
      <c r="I10667" s="3">
        <v>94</v>
      </c>
      <c r="J10667" s="3">
        <v>1527</v>
      </c>
      <c r="K10667" s="3">
        <v>1802</v>
      </c>
      <c r="L10667" s="3">
        <v>44</v>
      </c>
      <c r="M10667" s="3">
        <v>135</v>
      </c>
    </row>
    <row r="10668" spans="1:13" x14ac:dyDescent="0.25">
      <c r="A10668" s="1" t="str">
        <f>HYPERLINK("http://www.rosaceae.org/Prunus/Prunus_persica/p.persica_gdr_reftransV1_0010087","p.persica_gdr_reftransV1_0010087")</f>
        <v>p.persica_gdr_reftransV1_0010087</v>
      </c>
      <c r="B10668" s="3">
        <v>5597</v>
      </c>
      <c r="C10668" s="1" t="str">
        <f>HYPERLINK("http://www.uniprot.org/uniprot/ARFE_ORYSJ","ARFE_ORYSJ")</f>
        <v>ARFE_ORYSJ</v>
      </c>
      <c r="D10668" t="s">
        <v>7697</v>
      </c>
      <c r="E10668" s="3" t="s">
        <v>38</v>
      </c>
      <c r="F10668" s="4">
        <v>0</v>
      </c>
      <c r="G10668" s="3">
        <v>1662</v>
      </c>
      <c r="H10668" s="3">
        <v>72</v>
      </c>
      <c r="I10668" s="3">
        <v>477</v>
      </c>
      <c r="J10668" s="3">
        <v>1444</v>
      </c>
      <c r="K10668" s="3">
        <v>2850</v>
      </c>
      <c r="L10668" s="3">
        <v>73</v>
      </c>
      <c r="M10668" s="3">
        <v>544</v>
      </c>
    </row>
    <row r="10669" spans="1:13" x14ac:dyDescent="0.25">
      <c r="A10669" s="1" t="str">
        <f>HYPERLINK("http://www.rosaceae.org/Prunus/Prunus_persica/p.persica_gdr_reftransV1_0010137","p.persica_gdr_reftransV1_0010137")</f>
        <v>p.persica_gdr_reftransV1_0010137</v>
      </c>
      <c r="B10669" s="3">
        <v>866</v>
      </c>
      <c r="C10669" s="1" t="str">
        <f>HYPERLINK("http://www.uniprot.org/uniprot/HFA7B_ARATH","HFA7B_ARATH")</f>
        <v>HFA7B_ARATH</v>
      </c>
      <c r="D10669" t="s">
        <v>7698</v>
      </c>
      <c r="E10669" s="3" t="s">
        <v>3</v>
      </c>
      <c r="F10669" s="4">
        <v>1.7899999999999998E-33</v>
      </c>
      <c r="G10669" s="3">
        <v>323</v>
      </c>
      <c r="H10669" s="3">
        <v>76</v>
      </c>
      <c r="I10669" s="3">
        <v>76</v>
      </c>
      <c r="J10669" s="3">
        <v>169</v>
      </c>
      <c r="K10669" s="3">
        <v>396</v>
      </c>
      <c r="L10669" s="3">
        <v>12</v>
      </c>
      <c r="M10669" s="3">
        <v>87</v>
      </c>
    </row>
    <row r="10670" spans="1:13" x14ac:dyDescent="0.25">
      <c r="A10670" s="1" t="str">
        <f>HYPERLINK("http://www.rosaceae.org/Prunus/Prunus_persica/p.persica_gdr_reftransV1_0010187","p.persica_gdr_reftransV1_0010187")</f>
        <v>p.persica_gdr_reftransV1_0010187</v>
      </c>
      <c r="B10670" s="3">
        <v>2183</v>
      </c>
      <c r="C10670" s="1" t="str">
        <f>HYPERLINK("http://www.uniprot.org/uniprot/VOZ1_ARATH","VOZ1_ARATH")</f>
        <v>VOZ1_ARATH</v>
      </c>
      <c r="D10670" t="s">
        <v>7237</v>
      </c>
      <c r="E10670" s="3" t="s">
        <v>3</v>
      </c>
      <c r="F10670" s="4">
        <v>1.8E-110</v>
      </c>
      <c r="G10670" s="3">
        <v>637</v>
      </c>
      <c r="H10670" s="3">
        <v>49</v>
      </c>
      <c r="I10670" s="3">
        <v>322</v>
      </c>
      <c r="J10670" s="3">
        <v>245</v>
      </c>
      <c r="K10670" s="3">
        <v>1186</v>
      </c>
      <c r="L10670" s="3">
        <v>4</v>
      </c>
      <c r="M10670" s="3">
        <v>318</v>
      </c>
    </row>
    <row r="10671" spans="1:13" x14ac:dyDescent="0.25">
      <c r="A10671" s="1" t="str">
        <f>HYPERLINK("http://www.rosaceae.org/Prunus/Prunus_persica/p.persica_gdr_reftransV1_0010287","p.persica_gdr_reftransV1_0010287")</f>
        <v>p.persica_gdr_reftransV1_0010287</v>
      </c>
      <c r="B10671" s="3">
        <v>5245</v>
      </c>
      <c r="C10671" s="1" t="str">
        <f>HYPERLINK("http://www.uniprot.org/uniprot/NU155_ARATH","NU155_ARATH")</f>
        <v>NU155_ARATH</v>
      </c>
      <c r="D10671" t="s">
        <v>7699</v>
      </c>
      <c r="E10671" s="3" t="s">
        <v>3</v>
      </c>
      <c r="F10671" s="4">
        <v>0</v>
      </c>
      <c r="G10671" s="3">
        <v>5206</v>
      </c>
      <c r="H10671" s="3">
        <v>74</v>
      </c>
      <c r="I10671" s="3">
        <v>1493</v>
      </c>
      <c r="J10671" s="3">
        <v>181</v>
      </c>
      <c r="K10671" s="3">
        <v>4641</v>
      </c>
      <c r="L10671" s="3">
        <v>1</v>
      </c>
      <c r="M10671" s="3">
        <v>1464</v>
      </c>
    </row>
    <row r="10672" spans="1:13" x14ac:dyDescent="0.25">
      <c r="A10672" s="1" t="str">
        <f>HYPERLINK("http://www.rosaceae.org/Prunus/Prunus_persica/p.persica_gdr_reftransV1_0010337","p.persica_gdr_reftransV1_0010337")</f>
        <v>p.persica_gdr_reftransV1_0010337</v>
      </c>
      <c r="B10672" s="3">
        <v>813</v>
      </c>
      <c r="C10672" s="1" t="str">
        <f>HYPERLINK("http://www.uniprot.org/uniprot/PPR24_ARATH","PPR24_ARATH")</f>
        <v>PPR24_ARATH</v>
      </c>
      <c r="D10672" t="s">
        <v>7196</v>
      </c>
      <c r="E10672" s="3" t="s">
        <v>3</v>
      </c>
      <c r="F10672" s="4">
        <v>2.9699999999999999E-21</v>
      </c>
      <c r="G10672" s="3">
        <v>239</v>
      </c>
      <c r="H10672" s="3">
        <v>46</v>
      </c>
      <c r="I10672" s="3">
        <v>166</v>
      </c>
      <c r="J10672" s="3">
        <v>354</v>
      </c>
      <c r="K10672" s="3">
        <v>812</v>
      </c>
      <c r="L10672" s="3">
        <v>37</v>
      </c>
      <c r="M10672" s="3">
        <v>201</v>
      </c>
    </row>
    <row r="10673" spans="1:13" x14ac:dyDescent="0.25">
      <c r="A10673" s="1" t="str">
        <f>HYPERLINK("http://www.rosaceae.org/Prunus/Prunus_persica/p.persica_gdr_reftransV1_0010387","p.persica_gdr_reftransV1_0010387")</f>
        <v>p.persica_gdr_reftransV1_0010387</v>
      </c>
      <c r="B10673" s="3">
        <v>1987</v>
      </c>
      <c r="C10673" s="1" t="str">
        <f>HYPERLINK("http://www.uniprot.org/uniprot/ZDHC9_ARATH","ZDHC9_ARATH")</f>
        <v>ZDHC9_ARATH</v>
      </c>
      <c r="D10673" t="s">
        <v>3591</v>
      </c>
      <c r="E10673" s="3" t="s">
        <v>3</v>
      </c>
      <c r="F10673" s="4">
        <v>0</v>
      </c>
      <c r="G10673" s="3">
        <v>1783</v>
      </c>
      <c r="H10673" s="3">
        <v>78</v>
      </c>
      <c r="I10673" s="3">
        <v>448</v>
      </c>
      <c r="J10673" s="3">
        <v>277</v>
      </c>
      <c r="K10673" s="3">
        <v>1611</v>
      </c>
      <c r="L10673" s="3">
        <v>1</v>
      </c>
      <c r="M10673" s="3">
        <v>443</v>
      </c>
    </row>
    <row r="10674" spans="1:13" x14ac:dyDescent="0.25">
      <c r="A10674" s="1" t="str">
        <f>HYPERLINK("http://www.rosaceae.org/Prunus/Prunus_persica/p.persica_gdr_reftransV1_0010487","p.persica_gdr_reftransV1_0010487")</f>
        <v>p.persica_gdr_reftransV1_0010487</v>
      </c>
      <c r="B10674" s="3">
        <v>1476</v>
      </c>
      <c r="C10674" s="1" t="str">
        <f>HYPERLINK("http://www.uniprot.org/uniprot/PUR7_ARATH","PUR7_ARATH")</f>
        <v>PUR7_ARATH</v>
      </c>
      <c r="D10674" t="s">
        <v>7700</v>
      </c>
      <c r="E10674" s="3" t="s">
        <v>3</v>
      </c>
      <c r="F10674" s="4">
        <v>0</v>
      </c>
      <c r="G10674" s="3">
        <v>1506</v>
      </c>
      <c r="H10674" s="3">
        <v>70</v>
      </c>
      <c r="I10674" s="3">
        <v>413</v>
      </c>
      <c r="J10674" s="3">
        <v>204</v>
      </c>
      <c r="K10674" s="3">
        <v>1406</v>
      </c>
      <c r="L10674" s="3">
        <v>1</v>
      </c>
      <c r="M10674" s="3">
        <v>408</v>
      </c>
    </row>
    <row r="10675" spans="1:13" x14ac:dyDescent="0.25">
      <c r="A10675" s="1" t="str">
        <f>HYPERLINK("http://www.rosaceae.org/Prunus/Prunus_persica/p.persica_gdr_reftransV1_0010637","p.persica_gdr_reftransV1_0010637")</f>
        <v>p.persica_gdr_reftransV1_0010637</v>
      </c>
      <c r="B10675" s="3">
        <v>2165</v>
      </c>
      <c r="C10675" s="1" t="str">
        <f>HYPERLINK("http://www.uniprot.org/uniprot/UREH_BACSB","UREH_BACSB")</f>
        <v>UREH_BACSB</v>
      </c>
      <c r="D10675" t="s">
        <v>5872</v>
      </c>
      <c r="E10675" s="3" t="s">
        <v>5873</v>
      </c>
      <c r="F10675" s="4">
        <v>6.0099999999999997E-9</v>
      </c>
      <c r="G10675" s="3">
        <v>146</v>
      </c>
      <c r="H10675" s="3">
        <v>26</v>
      </c>
      <c r="I10675" s="3">
        <v>220</v>
      </c>
      <c r="J10675" s="3">
        <v>1161</v>
      </c>
      <c r="K10675" s="3">
        <v>1808</v>
      </c>
      <c r="L10675" s="3">
        <v>3</v>
      </c>
      <c r="M10675" s="3">
        <v>209</v>
      </c>
    </row>
    <row r="10676" spans="1:13" x14ac:dyDescent="0.25">
      <c r="A10676" s="1" t="str">
        <f>HYPERLINK("http://www.rosaceae.org/Prunus/Prunus_persica/p.persica_gdr_reftransV1_0010937","p.persica_gdr_reftransV1_0010937")</f>
        <v>p.persica_gdr_reftransV1_0010937</v>
      </c>
      <c r="B10676" s="3">
        <v>891</v>
      </c>
      <c r="C10676" s="1" t="str">
        <f>HYPERLINK("http://www.uniprot.org/uniprot/CBPR_HEVBR","CBPR_HEVBR")</f>
        <v>CBPR_HEVBR</v>
      </c>
      <c r="D10676" t="s">
        <v>7701</v>
      </c>
      <c r="E10676" s="3" t="s">
        <v>24</v>
      </c>
      <c r="F10676" s="4">
        <v>5.8799999999999999E-95</v>
      </c>
      <c r="G10676" s="3">
        <v>734</v>
      </c>
      <c r="H10676" s="3">
        <v>66</v>
      </c>
      <c r="I10676" s="3">
        <v>197</v>
      </c>
      <c r="J10676" s="3">
        <v>177</v>
      </c>
      <c r="K10676" s="3">
        <v>767</v>
      </c>
      <c r="L10676" s="3">
        <v>24</v>
      </c>
      <c r="M10676" s="3">
        <v>220</v>
      </c>
    </row>
    <row r="10677" spans="1:13" x14ac:dyDescent="0.25">
      <c r="A10677" s="1" t="str">
        <f>HYPERLINK("http://www.rosaceae.org/Prunus/Prunus_persica/p.persica_gdr_reftransV1_0011037","p.persica_gdr_reftransV1_0011037")</f>
        <v>p.persica_gdr_reftransV1_0011037</v>
      </c>
      <c r="B10677" s="3">
        <v>1162</v>
      </c>
      <c r="C10677" s="1" t="str">
        <f>HYPERLINK("http://www.uniprot.org/uniprot/PP311_ARATH","PP311_ARATH")</f>
        <v>PP311_ARATH</v>
      </c>
      <c r="D10677" t="s">
        <v>4246</v>
      </c>
      <c r="E10677" s="3" t="s">
        <v>3</v>
      </c>
      <c r="F10677" s="4">
        <v>5.82E-168</v>
      </c>
      <c r="G10677" s="3">
        <v>1272</v>
      </c>
      <c r="H10677" s="3">
        <v>67</v>
      </c>
      <c r="I10677" s="3">
        <v>344</v>
      </c>
      <c r="J10677" s="3">
        <v>13</v>
      </c>
      <c r="K10677" s="3">
        <v>1026</v>
      </c>
      <c r="L10677" s="3">
        <v>379</v>
      </c>
      <c r="M10677" s="3">
        <v>722</v>
      </c>
    </row>
    <row r="10678" spans="1:13" x14ac:dyDescent="0.25">
      <c r="A10678" s="1" t="str">
        <f>HYPERLINK("http://www.rosaceae.org/Prunus/Prunus_persica/p.persica_gdr_reftransV1_0011087","p.persica_gdr_reftransV1_0011087")</f>
        <v>p.persica_gdr_reftransV1_0011087</v>
      </c>
      <c r="B10678" s="3">
        <v>2218</v>
      </c>
      <c r="C10678" s="1" t="str">
        <f>HYPERLINK("http://www.uniprot.org/uniprot/PR1F2_ARATH","PR1F2_ARATH")</f>
        <v>PR1F2_ARATH</v>
      </c>
      <c r="D10678" t="s">
        <v>7702</v>
      </c>
      <c r="E10678" s="3" t="s">
        <v>3</v>
      </c>
      <c r="F10678" s="4">
        <v>6.0399999999999998E-28</v>
      </c>
      <c r="G10678" s="3">
        <v>291</v>
      </c>
      <c r="H10678" s="3">
        <v>50</v>
      </c>
      <c r="I10678" s="3">
        <v>163</v>
      </c>
      <c r="J10678" s="3">
        <v>1518</v>
      </c>
      <c r="K10678" s="3">
        <v>1997</v>
      </c>
      <c r="L10678" s="3">
        <v>24</v>
      </c>
      <c r="M10678" s="3">
        <v>185</v>
      </c>
    </row>
    <row r="10679" spans="1:13" x14ac:dyDescent="0.25">
      <c r="A10679" s="1" t="str">
        <f>HYPERLINK("http://www.rosaceae.org/Prunus/Prunus_persica/p.persica_gdr_reftransV1_0011237","p.persica_gdr_reftransV1_0011237")</f>
        <v>p.persica_gdr_reftransV1_0011237</v>
      </c>
      <c r="B10679" s="3">
        <v>2027</v>
      </c>
      <c r="C10679" s="1" t="str">
        <f>HYPERLINK("http://www.uniprot.org/uniprot/SPXS1_DICDI","SPXS1_DICDI")</f>
        <v>SPXS1_DICDI</v>
      </c>
      <c r="D10679" t="s">
        <v>3087</v>
      </c>
      <c r="E10679" s="3" t="s">
        <v>9</v>
      </c>
      <c r="F10679" s="4">
        <v>1.4000000000000001E-39</v>
      </c>
      <c r="G10679" s="3">
        <v>404</v>
      </c>
      <c r="H10679" s="3">
        <v>36</v>
      </c>
      <c r="I10679" s="3">
        <v>342</v>
      </c>
      <c r="J10679" s="3">
        <v>387</v>
      </c>
      <c r="K10679" s="3">
        <v>1358</v>
      </c>
      <c r="L10679" s="3">
        <v>431</v>
      </c>
      <c r="M10679" s="3">
        <v>757</v>
      </c>
    </row>
    <row r="10680" spans="1:13" x14ac:dyDescent="0.25">
      <c r="A10680" s="1" t="str">
        <f>HYPERLINK("http://www.rosaceae.org/Prunus/Prunus_persica/p.persica_gdr_reftransV1_0011287","p.persica_gdr_reftransV1_0011287")</f>
        <v>p.persica_gdr_reftransV1_0011287</v>
      </c>
      <c r="B10680" s="3">
        <v>1944</v>
      </c>
      <c r="C10680" s="1" t="str">
        <f>HYPERLINK("http://www.uniprot.org/uniprot/C3H16_ARATH","C3H16_ARATH")</f>
        <v>C3H16_ARATH</v>
      </c>
      <c r="D10680" t="s">
        <v>7703</v>
      </c>
      <c r="E10680" s="3" t="s">
        <v>3</v>
      </c>
      <c r="F10680" s="4">
        <v>4.4299999999999998E-49</v>
      </c>
      <c r="G10680" s="3">
        <v>411</v>
      </c>
      <c r="H10680" s="3">
        <v>35</v>
      </c>
      <c r="I10680" s="3">
        <v>367</v>
      </c>
      <c r="J10680" s="3">
        <v>534</v>
      </c>
      <c r="K10680" s="3">
        <v>1469</v>
      </c>
      <c r="L10680" s="3">
        <v>71</v>
      </c>
      <c r="M10680" s="3">
        <v>433</v>
      </c>
    </row>
    <row r="10681" spans="1:13" x14ac:dyDescent="0.25">
      <c r="A10681" s="1" t="str">
        <f>HYPERLINK("http://www.rosaceae.org/Prunus/Prunus_persica/p.persica_gdr_reftransV1_0011337","p.persica_gdr_reftransV1_0011337")</f>
        <v>p.persica_gdr_reftransV1_0011337</v>
      </c>
      <c r="B10681" s="3">
        <v>4596</v>
      </c>
      <c r="C10681" s="1" t="str">
        <f>HYPERLINK("http://www.uniprot.org/uniprot/SFSWA_MOUSE","SFSWA_MOUSE")</f>
        <v>SFSWA_MOUSE</v>
      </c>
      <c r="D10681" t="s">
        <v>6044</v>
      </c>
      <c r="E10681" s="3" t="s">
        <v>157</v>
      </c>
      <c r="F10681" s="4">
        <v>1.35E-10</v>
      </c>
      <c r="G10681" s="3">
        <v>170</v>
      </c>
      <c r="H10681" s="3">
        <v>45</v>
      </c>
      <c r="I10681" s="3">
        <v>76</v>
      </c>
      <c r="J10681" s="3">
        <v>2320</v>
      </c>
      <c r="K10681" s="3">
        <v>2547</v>
      </c>
      <c r="L10681" s="3">
        <v>205</v>
      </c>
      <c r="M10681" s="3">
        <v>280</v>
      </c>
    </row>
    <row r="10682" spans="1:13" x14ac:dyDescent="0.25">
      <c r="A10682" s="1" t="str">
        <f>HYPERLINK("http://www.rosaceae.org/Prunus/Prunus_persica/p.persica_gdr_reftransV1_0011387","p.persica_gdr_reftransV1_0011387")</f>
        <v>p.persica_gdr_reftransV1_0011387</v>
      </c>
      <c r="B10682" s="3">
        <v>2208</v>
      </c>
      <c r="C10682" s="1" t="str">
        <f>HYPERLINK("http://www.uniprot.org/uniprot/KPYG_TOBAC","KPYG_TOBAC")</f>
        <v>KPYG_TOBAC</v>
      </c>
      <c r="D10682" t="s">
        <v>7704</v>
      </c>
      <c r="E10682" s="3" t="s">
        <v>200</v>
      </c>
      <c r="F10682" s="4">
        <v>0</v>
      </c>
      <c r="G10682" s="3">
        <v>2108</v>
      </c>
      <c r="H10682" s="3">
        <v>74</v>
      </c>
      <c r="I10682" s="3">
        <v>574</v>
      </c>
      <c r="J10682" s="3">
        <v>171</v>
      </c>
      <c r="K10682" s="3">
        <v>1892</v>
      </c>
      <c r="L10682" s="3">
        <v>1</v>
      </c>
      <c r="M10682" s="3">
        <v>560</v>
      </c>
    </row>
    <row r="10683" spans="1:13" x14ac:dyDescent="0.25">
      <c r="A10683" s="1" t="str">
        <f>HYPERLINK("http://www.rosaceae.org/Prunus/Prunus_persica/p.persica_gdr_reftransV1_0011487","p.persica_gdr_reftransV1_0011487")</f>
        <v>p.persica_gdr_reftransV1_0011487</v>
      </c>
      <c r="B10683" s="3">
        <v>411</v>
      </c>
      <c r="C10683" s="1" t="str">
        <f>HYPERLINK("http://www.uniprot.org/uniprot/SPL1_ARATH","SPL1_ARATH")</f>
        <v>SPL1_ARATH</v>
      </c>
      <c r="D10683" t="s">
        <v>1484</v>
      </c>
      <c r="E10683" s="3" t="s">
        <v>3</v>
      </c>
      <c r="F10683" s="4">
        <v>5.83E-50</v>
      </c>
      <c r="G10683" s="3">
        <v>443</v>
      </c>
      <c r="H10683" s="3">
        <v>60</v>
      </c>
      <c r="I10683" s="3">
        <v>132</v>
      </c>
      <c r="J10683" s="3">
        <v>16</v>
      </c>
      <c r="K10683" s="3">
        <v>411</v>
      </c>
      <c r="L10683" s="3">
        <v>392</v>
      </c>
      <c r="M10683" s="3">
        <v>523</v>
      </c>
    </row>
    <row r="10684" spans="1:13" x14ac:dyDescent="0.25">
      <c r="A10684" s="1" t="str">
        <f>HYPERLINK("http://www.rosaceae.org/Prunus/Prunus_persica/p.persica_gdr_reftransV1_0011587","p.persica_gdr_reftransV1_0011587")</f>
        <v>p.persica_gdr_reftransV1_0011587</v>
      </c>
      <c r="B10684" s="3">
        <v>902</v>
      </c>
      <c r="C10684" s="1" t="str">
        <f>HYPERLINK("http://www.uniprot.org/uniprot/BCK1_YEAST","BCK1_YEAST")</f>
        <v>BCK1_YEAST</v>
      </c>
      <c r="D10684" t="s">
        <v>7705</v>
      </c>
      <c r="E10684" s="3" t="s">
        <v>34</v>
      </c>
      <c r="F10684" s="4">
        <v>1.0599999999999999E-18</v>
      </c>
      <c r="G10684" s="3">
        <v>224</v>
      </c>
      <c r="H10684" s="3">
        <v>32</v>
      </c>
      <c r="I10684" s="3">
        <v>189</v>
      </c>
      <c r="J10684" s="3">
        <v>334</v>
      </c>
      <c r="K10684" s="3">
        <v>876</v>
      </c>
      <c r="L10684" s="3">
        <v>1169</v>
      </c>
      <c r="M10684" s="3">
        <v>1352</v>
      </c>
    </row>
    <row r="10685" spans="1:13" x14ac:dyDescent="0.25">
      <c r="A10685" s="1" t="str">
        <f>HYPERLINK("http://www.rosaceae.org/Prunus/Prunus_persica/p.persica_gdr_reftransV1_0011837","p.persica_gdr_reftransV1_0011837")</f>
        <v>p.persica_gdr_reftransV1_0011837</v>
      </c>
      <c r="B10685" s="3">
        <v>586</v>
      </c>
      <c r="C10685" s="1" t="str">
        <f>HYPERLINK("http://www.uniprot.org/uniprot/NFD4_ARATH","NFD4_ARATH")</f>
        <v>NFD4_ARATH</v>
      </c>
      <c r="D10685" t="s">
        <v>404</v>
      </c>
      <c r="E10685" s="3" t="s">
        <v>3</v>
      </c>
      <c r="F10685" s="4">
        <v>1.04E-16</v>
      </c>
      <c r="G10685" s="3">
        <v>201</v>
      </c>
      <c r="H10685" s="3">
        <v>39</v>
      </c>
      <c r="I10685" s="3">
        <v>119</v>
      </c>
      <c r="J10685" s="3">
        <v>203</v>
      </c>
      <c r="K10685" s="3">
        <v>559</v>
      </c>
      <c r="L10685" s="3">
        <v>23</v>
      </c>
      <c r="M10685" s="3">
        <v>140</v>
      </c>
    </row>
    <row r="10686" spans="1:13" x14ac:dyDescent="0.25">
      <c r="A10686" s="1" t="str">
        <f>HYPERLINK("http://www.rosaceae.org/Prunus/Prunus_persica/p.persica_gdr_reftransV1_0011937","p.persica_gdr_reftransV1_0011937")</f>
        <v>p.persica_gdr_reftransV1_0011937</v>
      </c>
      <c r="B10686" s="3">
        <v>3296</v>
      </c>
      <c r="C10686" s="1" t="str">
        <f>HYPERLINK("http://www.uniprot.org/uniprot/Y3037_ARATH","Y3037_ARATH")</f>
        <v>Y3037_ARATH</v>
      </c>
      <c r="D10686" t="s">
        <v>566</v>
      </c>
      <c r="E10686" s="3" t="s">
        <v>3</v>
      </c>
      <c r="F10686" s="4">
        <v>2.48E-149</v>
      </c>
      <c r="G10686" s="3">
        <v>1217</v>
      </c>
      <c r="H10686" s="3">
        <v>41</v>
      </c>
      <c r="I10686" s="3">
        <v>748</v>
      </c>
      <c r="J10686" s="3">
        <v>748</v>
      </c>
      <c r="K10686" s="3">
        <v>2961</v>
      </c>
      <c r="L10686" s="3">
        <v>43</v>
      </c>
      <c r="M10686" s="3">
        <v>748</v>
      </c>
    </row>
    <row r="10687" spans="1:13" x14ac:dyDescent="0.25">
      <c r="A10687" s="1" t="str">
        <f>HYPERLINK("http://www.rosaceae.org/Prunus/Prunus_persica/p.persica_gdr_reftransV1_0011987","p.persica_gdr_reftransV1_0011987")</f>
        <v>p.persica_gdr_reftransV1_0011987</v>
      </c>
      <c r="B10687" s="3">
        <v>2696</v>
      </c>
      <c r="C10687" s="1" t="str">
        <f>HYPERLINK("http://www.uniprot.org/uniprot/BARD1_ARATH","BARD1_ARATH")</f>
        <v>BARD1_ARATH</v>
      </c>
      <c r="D10687" t="s">
        <v>7706</v>
      </c>
      <c r="E10687" s="3" t="s">
        <v>3</v>
      </c>
      <c r="F10687" s="4">
        <v>7.98E-140</v>
      </c>
      <c r="G10687" s="3">
        <v>1131</v>
      </c>
      <c r="H10687" s="3">
        <v>50</v>
      </c>
      <c r="I10687" s="3">
        <v>454</v>
      </c>
      <c r="J10687" s="3">
        <v>799</v>
      </c>
      <c r="K10687" s="3">
        <v>2085</v>
      </c>
      <c r="L10687" s="3">
        <v>263</v>
      </c>
      <c r="M10687" s="3">
        <v>713</v>
      </c>
    </row>
    <row r="10688" spans="1:13" x14ac:dyDescent="0.25">
      <c r="A10688" s="1" t="str">
        <f>HYPERLINK("http://www.rosaceae.org/Prunus/Prunus_persica/p.persica_gdr_reftransV1_0012187","p.persica_gdr_reftransV1_0012187")</f>
        <v>p.persica_gdr_reftransV1_0012187</v>
      </c>
      <c r="B10688" s="3">
        <v>1057</v>
      </c>
      <c r="C10688" s="1" t="str">
        <f>HYPERLINK("http://www.uniprot.org/uniprot/Y5620_ARATH","Y5620_ARATH")</f>
        <v>Y5620_ARATH</v>
      </c>
      <c r="D10688" t="s">
        <v>7707</v>
      </c>
      <c r="E10688" s="3" t="s">
        <v>3</v>
      </c>
      <c r="F10688" s="4">
        <v>4.4799999999999996E-87</v>
      </c>
      <c r="G10688" s="3">
        <v>683</v>
      </c>
      <c r="H10688" s="3">
        <v>74</v>
      </c>
      <c r="I10688" s="3">
        <v>167</v>
      </c>
      <c r="J10688" s="3">
        <v>204</v>
      </c>
      <c r="K10688" s="3">
        <v>704</v>
      </c>
      <c r="L10688" s="3">
        <v>26</v>
      </c>
      <c r="M10688" s="3">
        <v>192</v>
      </c>
    </row>
    <row r="10689" spans="1:13" x14ac:dyDescent="0.25">
      <c r="A10689" s="1" t="str">
        <f>HYPERLINK("http://www.rosaceae.org/Prunus/Prunus_persica/p.persica_gdr_reftransV1_0012237","p.persica_gdr_reftransV1_0012237")</f>
        <v>p.persica_gdr_reftransV1_0012237</v>
      </c>
      <c r="B10689" s="3">
        <v>1865</v>
      </c>
      <c r="C10689" s="1" t="str">
        <f>HYPERLINK("http://www.uniprot.org/uniprot/FB118_ARATH","FB118_ARATH")</f>
        <v>FB118_ARATH</v>
      </c>
      <c r="D10689" t="s">
        <v>7708</v>
      </c>
      <c r="E10689" s="3" t="s">
        <v>3</v>
      </c>
      <c r="F10689" s="4">
        <v>1.08E-145</v>
      </c>
      <c r="G10689" s="3">
        <v>1115</v>
      </c>
      <c r="H10689" s="3">
        <v>66</v>
      </c>
      <c r="I10689" s="3">
        <v>315</v>
      </c>
      <c r="J10689" s="3">
        <v>539</v>
      </c>
      <c r="K10689" s="3">
        <v>1474</v>
      </c>
      <c r="L10689" s="3">
        <v>59</v>
      </c>
      <c r="M10689" s="3">
        <v>371</v>
      </c>
    </row>
    <row r="10690" spans="1:13" x14ac:dyDescent="0.25">
      <c r="A10690" s="1" t="str">
        <f>HYPERLINK("http://www.rosaceae.org/Prunus/Prunus_persica/p.persica_gdr_reftransV1_0012287","p.persica_gdr_reftransV1_0012287")</f>
        <v>p.persica_gdr_reftransV1_0012287</v>
      </c>
      <c r="B10690" s="3">
        <v>2323</v>
      </c>
      <c r="C10690" s="1" t="str">
        <f>HYPERLINK("http://www.uniprot.org/uniprot/FBT3_ARATH","FBT3_ARATH")</f>
        <v>FBT3_ARATH</v>
      </c>
      <c r="D10690" t="s">
        <v>7709</v>
      </c>
      <c r="E10690" s="3" t="s">
        <v>3</v>
      </c>
      <c r="F10690" s="4">
        <v>0</v>
      </c>
      <c r="G10690" s="3">
        <v>1577</v>
      </c>
      <c r="H10690" s="3">
        <v>63</v>
      </c>
      <c r="I10690" s="3">
        <v>485</v>
      </c>
      <c r="J10690" s="3">
        <v>198</v>
      </c>
      <c r="K10690" s="3">
        <v>1643</v>
      </c>
      <c r="L10690" s="3">
        <v>13</v>
      </c>
      <c r="M10690" s="3">
        <v>494</v>
      </c>
    </row>
    <row r="10691" spans="1:13" x14ac:dyDescent="0.25">
      <c r="A10691" s="1" t="str">
        <f>HYPERLINK("http://www.rosaceae.org/Prunus/Prunus_persica/p.persica_gdr_reftransV1_0012337","p.persica_gdr_reftransV1_0012337")</f>
        <v>p.persica_gdr_reftransV1_0012337</v>
      </c>
      <c r="B10691" s="3">
        <v>952</v>
      </c>
      <c r="C10691" s="1" t="str">
        <f>HYPERLINK("http://www.uniprot.org/uniprot/SAP18_ARATH","SAP18_ARATH")</f>
        <v>SAP18_ARATH</v>
      </c>
      <c r="D10691" t="s">
        <v>4227</v>
      </c>
      <c r="E10691" s="3" t="s">
        <v>3</v>
      </c>
      <c r="F10691" s="4">
        <v>3.4000000000000002E-57</v>
      </c>
      <c r="G10691" s="3">
        <v>477</v>
      </c>
      <c r="H10691" s="3">
        <v>71</v>
      </c>
      <c r="I10691" s="3">
        <v>121</v>
      </c>
      <c r="J10691" s="3">
        <v>191</v>
      </c>
      <c r="K10691" s="3">
        <v>553</v>
      </c>
      <c r="L10691" s="3">
        <v>31</v>
      </c>
      <c r="M10691" s="3">
        <v>151</v>
      </c>
    </row>
    <row r="10692" spans="1:13" x14ac:dyDescent="0.25">
      <c r="A10692" s="1" t="str">
        <f>HYPERLINK("http://www.rosaceae.org/Prunus/Prunus_persica/p.persica_gdr_reftransV1_0012587","p.persica_gdr_reftransV1_0012587")</f>
        <v>p.persica_gdr_reftransV1_0012587</v>
      </c>
      <c r="B10692" s="3">
        <v>3719</v>
      </c>
      <c r="C10692" s="1" t="str">
        <f>HYPERLINK("http://www.uniprot.org/uniprot/FLD_ARATH","FLD_ARATH")</f>
        <v>FLD_ARATH</v>
      </c>
      <c r="D10692" t="s">
        <v>7710</v>
      </c>
      <c r="E10692" s="3" t="s">
        <v>3</v>
      </c>
      <c r="F10692" s="4">
        <v>0</v>
      </c>
      <c r="G10692" s="3">
        <v>2953</v>
      </c>
      <c r="H10692" s="3">
        <v>78</v>
      </c>
      <c r="I10692" s="3">
        <v>784</v>
      </c>
      <c r="J10692" s="3">
        <v>256</v>
      </c>
      <c r="K10692" s="3">
        <v>2595</v>
      </c>
      <c r="L10692" s="3">
        <v>1</v>
      </c>
      <c r="M10692" s="3">
        <v>777</v>
      </c>
    </row>
    <row r="10693" spans="1:13" x14ac:dyDescent="0.25">
      <c r="A10693" s="1" t="str">
        <f>HYPERLINK("http://www.rosaceae.org/Prunus/Prunus_persica/p.persica_gdr_reftransV1_0012637","p.persica_gdr_reftransV1_0012637")</f>
        <v>p.persica_gdr_reftransV1_0012637</v>
      </c>
      <c r="B10693" s="3">
        <v>2742</v>
      </c>
      <c r="C10693" s="1" t="str">
        <f>HYPERLINK("http://www.uniprot.org/uniprot/GPPL2_ARATH","GPPL2_ARATH")</f>
        <v>GPPL2_ARATH</v>
      </c>
      <c r="D10693" t="s">
        <v>4267</v>
      </c>
      <c r="E10693" s="3" t="s">
        <v>3</v>
      </c>
      <c r="F10693" s="4">
        <v>2.2399999999999999E-56</v>
      </c>
      <c r="G10693" s="3">
        <v>512</v>
      </c>
      <c r="H10693" s="3">
        <v>89</v>
      </c>
      <c r="I10693" s="3">
        <v>104</v>
      </c>
      <c r="J10693" s="3">
        <v>302</v>
      </c>
      <c r="K10693" s="3">
        <v>613</v>
      </c>
      <c r="L10693" s="3">
        <v>81</v>
      </c>
      <c r="M10693" s="3">
        <v>184</v>
      </c>
    </row>
    <row r="10694" spans="1:13" x14ac:dyDescent="0.25">
      <c r="A10694" s="1" t="str">
        <f>HYPERLINK("http://www.rosaceae.org/Prunus/Prunus_persica/p.persica_gdr_reftransV1_0012687","p.persica_gdr_reftransV1_0012687")</f>
        <v>p.persica_gdr_reftransV1_0012687</v>
      </c>
      <c r="B10694" s="3">
        <v>3031</v>
      </c>
      <c r="C10694" s="1" t="str">
        <f>HYPERLINK("http://www.uniprot.org/uniprot/APEH_MOUSE","APEH_MOUSE")</f>
        <v>APEH_MOUSE</v>
      </c>
      <c r="D10694" t="s">
        <v>7711</v>
      </c>
      <c r="E10694" s="3" t="s">
        <v>157</v>
      </c>
      <c r="F10694" s="4">
        <v>1.6E-98</v>
      </c>
      <c r="G10694" s="3">
        <v>854</v>
      </c>
      <c r="H10694" s="3">
        <v>34</v>
      </c>
      <c r="I10694" s="3">
        <v>692</v>
      </c>
      <c r="J10694" s="3">
        <v>469</v>
      </c>
      <c r="K10694" s="3">
        <v>2499</v>
      </c>
      <c r="L10694" s="3">
        <v>86</v>
      </c>
      <c r="M10694" s="3">
        <v>730</v>
      </c>
    </row>
    <row r="10695" spans="1:13" x14ac:dyDescent="0.25">
      <c r="A10695" s="1" t="str">
        <f>HYPERLINK("http://www.rosaceae.org/Prunus/Prunus_persica/p.persica_gdr_reftransV1_0012887","p.persica_gdr_reftransV1_0012887")</f>
        <v>p.persica_gdr_reftransV1_0012887</v>
      </c>
      <c r="B10695" s="3">
        <v>3219</v>
      </c>
      <c r="C10695" s="1" t="str">
        <f>HYPERLINK("http://www.uniprot.org/uniprot/TET8_ARATH","TET8_ARATH")</f>
        <v>TET8_ARATH</v>
      </c>
      <c r="D10695" t="s">
        <v>1161</v>
      </c>
      <c r="E10695" s="3" t="s">
        <v>3</v>
      </c>
      <c r="F10695" s="4">
        <v>3.1800000000000002E-61</v>
      </c>
      <c r="G10695" s="3">
        <v>547</v>
      </c>
      <c r="H10695" s="3">
        <v>69</v>
      </c>
      <c r="I10695" s="3">
        <v>167</v>
      </c>
      <c r="J10695" s="3">
        <v>271</v>
      </c>
      <c r="K10695" s="3">
        <v>771</v>
      </c>
      <c r="L10695" s="3">
        <v>3</v>
      </c>
      <c r="M10695" s="3">
        <v>169</v>
      </c>
    </row>
    <row r="10696" spans="1:13" x14ac:dyDescent="0.25">
      <c r="A10696" s="1" t="str">
        <f>HYPERLINK("http://www.rosaceae.org/Prunus/Prunus_persica/p.persica_gdr_reftransV1_0012987","p.persica_gdr_reftransV1_0012987")</f>
        <v>p.persica_gdr_reftransV1_0012987</v>
      </c>
      <c r="B10696" s="3">
        <v>460</v>
      </c>
      <c r="C10696" s="1" t="str">
        <f>HYPERLINK("http://www.uniprot.org/uniprot/H32_WHEAT","H32_WHEAT")</f>
        <v>H32_WHEAT</v>
      </c>
      <c r="D10696" t="s">
        <v>5568</v>
      </c>
      <c r="E10696" s="3" t="s">
        <v>710</v>
      </c>
      <c r="F10696" s="4">
        <v>3.7799999999999999E-49</v>
      </c>
      <c r="G10696" s="3">
        <v>406</v>
      </c>
      <c r="H10696" s="3">
        <v>99</v>
      </c>
      <c r="I10696" s="3">
        <v>97</v>
      </c>
      <c r="J10696" s="3">
        <v>170</v>
      </c>
      <c r="K10696" s="3">
        <v>460</v>
      </c>
      <c r="L10696" s="3">
        <v>40</v>
      </c>
      <c r="M10696" s="3">
        <v>136</v>
      </c>
    </row>
    <row r="10697" spans="1:13" x14ac:dyDescent="0.25">
      <c r="A10697" s="1" t="str">
        <f>HYPERLINK("http://www.rosaceae.org/Prunus/Prunus_persica/p.persica_gdr_reftransV1_0013137","p.persica_gdr_reftransV1_0013137")</f>
        <v>p.persica_gdr_reftransV1_0013137</v>
      </c>
      <c r="B10697" s="3">
        <v>3210</v>
      </c>
      <c r="C10697" s="1" t="str">
        <f>HYPERLINK("http://www.uniprot.org/uniprot/RNG1L_ARATH","RNG1L_ARATH")</f>
        <v>RNG1L_ARATH</v>
      </c>
      <c r="D10697" t="s">
        <v>189</v>
      </c>
      <c r="E10697" s="3" t="s">
        <v>3</v>
      </c>
      <c r="F10697" s="4">
        <v>2.15E-78</v>
      </c>
      <c r="G10697" s="3">
        <v>678</v>
      </c>
      <c r="H10697" s="3">
        <v>56</v>
      </c>
      <c r="I10697" s="3">
        <v>259</v>
      </c>
      <c r="J10697" s="3">
        <v>2231</v>
      </c>
      <c r="K10697" s="3">
        <v>2989</v>
      </c>
      <c r="L10697" s="3">
        <v>19</v>
      </c>
      <c r="M10697" s="3">
        <v>270</v>
      </c>
    </row>
    <row r="10698" spans="1:13" x14ac:dyDescent="0.25">
      <c r="A10698" s="1" t="str">
        <f>HYPERLINK("http://www.rosaceae.org/Prunus/Prunus_persica/p.persica_gdr_reftransV1_0013237","p.persica_gdr_reftransV1_0013237")</f>
        <v>p.persica_gdr_reftransV1_0013237</v>
      </c>
      <c r="B10698" s="3">
        <v>1932</v>
      </c>
      <c r="C10698" s="1" t="str">
        <f>HYPERLINK("http://www.uniprot.org/uniprot/RL15_METRJ","RL15_METRJ")</f>
        <v>RL15_METRJ</v>
      </c>
      <c r="D10698" t="s">
        <v>6479</v>
      </c>
      <c r="E10698" s="3" t="s">
        <v>6480</v>
      </c>
      <c r="F10698" s="4">
        <v>3.47E-22</v>
      </c>
      <c r="G10698" s="3">
        <v>245</v>
      </c>
      <c r="H10698" s="3">
        <v>48</v>
      </c>
      <c r="I10698" s="3">
        <v>120</v>
      </c>
      <c r="J10698" s="3">
        <v>973</v>
      </c>
      <c r="K10698" s="3">
        <v>1329</v>
      </c>
      <c r="L10698" s="3">
        <v>36</v>
      </c>
      <c r="M10698" s="3">
        <v>152</v>
      </c>
    </row>
    <row r="10699" spans="1:13" x14ac:dyDescent="0.25">
      <c r="A10699" s="1" t="str">
        <f>HYPERLINK("http://www.rosaceae.org/Prunus/Prunus_persica/p.persica_gdr_reftransV1_0013437","p.persica_gdr_reftransV1_0013437")</f>
        <v>p.persica_gdr_reftransV1_0013437</v>
      </c>
      <c r="B10699" s="3">
        <v>1658</v>
      </c>
      <c r="C10699" s="1" t="str">
        <f>HYPERLINK("http://www.uniprot.org/uniprot/YEPC_SCHPO","YEPC_SCHPO")</f>
        <v>YEPC_SCHPO</v>
      </c>
      <c r="D10699" t="s">
        <v>7712</v>
      </c>
      <c r="E10699" s="3" t="s">
        <v>464</v>
      </c>
      <c r="F10699" s="4">
        <v>1.5900000000000001E-7</v>
      </c>
      <c r="G10699" s="3">
        <v>133</v>
      </c>
      <c r="H10699" s="3">
        <v>46</v>
      </c>
      <c r="I10699" s="3">
        <v>54</v>
      </c>
      <c r="J10699" s="3">
        <v>461</v>
      </c>
      <c r="K10699" s="3">
        <v>619</v>
      </c>
      <c r="L10699" s="3">
        <v>118</v>
      </c>
      <c r="M10699" s="3">
        <v>171</v>
      </c>
    </row>
    <row r="10700" spans="1:13" x14ac:dyDescent="0.25">
      <c r="A10700" s="1" t="str">
        <f>HYPERLINK("http://www.rosaceae.org/Prunus/Prunus_persica/p.persica_gdr_reftransV1_0013687","p.persica_gdr_reftransV1_0013687")</f>
        <v>p.persica_gdr_reftransV1_0013687</v>
      </c>
      <c r="B10700" s="3">
        <v>1939</v>
      </c>
      <c r="C10700" s="1" t="str">
        <f>HYPERLINK("http://www.uniprot.org/uniprot/DNAJ_PROMA","DNAJ_PROMA")</f>
        <v>DNAJ_PROMA</v>
      </c>
      <c r="D10700" t="s">
        <v>7713</v>
      </c>
      <c r="E10700" s="3" t="s">
        <v>3990</v>
      </c>
      <c r="F10700" s="4">
        <v>1.9099999999999998E-95</v>
      </c>
      <c r="G10700" s="3">
        <v>781</v>
      </c>
      <c r="H10700" s="3">
        <v>44</v>
      </c>
      <c r="I10700" s="3">
        <v>358</v>
      </c>
      <c r="J10700" s="3">
        <v>321</v>
      </c>
      <c r="K10700" s="3">
        <v>1388</v>
      </c>
      <c r="L10700" s="3">
        <v>3</v>
      </c>
      <c r="M10700" s="3">
        <v>351</v>
      </c>
    </row>
    <row r="10701" spans="1:13" x14ac:dyDescent="0.25">
      <c r="A10701" s="1" t="str">
        <f>HYPERLINK("http://www.rosaceae.org/Prunus/Prunus_persica/p.persica_gdr_reftransV1_0013887","p.persica_gdr_reftransV1_0013887")</f>
        <v>p.persica_gdr_reftransV1_0013887</v>
      </c>
      <c r="B10701" s="3">
        <v>555</v>
      </c>
      <c r="C10701" s="1" t="str">
        <f>HYPERLINK("http://www.uniprot.org/uniprot/UPTG_PEA","UPTG_PEA")</f>
        <v>UPTG_PEA</v>
      </c>
      <c r="D10701" t="s">
        <v>6725</v>
      </c>
      <c r="E10701" s="3" t="s">
        <v>60</v>
      </c>
      <c r="F10701" s="4">
        <v>4.7199999999999999E-45</v>
      </c>
      <c r="G10701" s="3">
        <v>399</v>
      </c>
      <c r="H10701" s="3">
        <v>69</v>
      </c>
      <c r="I10701" s="3">
        <v>107</v>
      </c>
      <c r="J10701" s="3">
        <v>233</v>
      </c>
      <c r="K10701" s="3">
        <v>553</v>
      </c>
      <c r="L10701" s="3">
        <v>258</v>
      </c>
      <c r="M10701" s="3">
        <v>364</v>
      </c>
    </row>
    <row r="10702" spans="1:13" x14ac:dyDescent="0.25">
      <c r="A10702" s="1" t="str">
        <f>HYPERLINK("http://www.rosaceae.org/Prunus/Prunus_persica/p.persica_gdr_reftransV1_0014287","p.persica_gdr_reftransV1_0014287")</f>
        <v>p.persica_gdr_reftransV1_0014287</v>
      </c>
      <c r="B10702" s="3">
        <v>1050</v>
      </c>
      <c r="C10702" s="1" t="str">
        <f>HYPERLINK("http://www.uniprot.org/uniprot/POLX_TOBAC","POLX_TOBAC")</f>
        <v>POLX_TOBAC</v>
      </c>
      <c r="D10702" t="s">
        <v>1253</v>
      </c>
      <c r="E10702" s="3" t="s">
        <v>200</v>
      </c>
      <c r="F10702" s="4">
        <v>4.3600000000000002E-33</v>
      </c>
      <c r="G10702" s="3">
        <v>341</v>
      </c>
      <c r="H10702" s="3">
        <v>39</v>
      </c>
      <c r="I10702" s="3">
        <v>188</v>
      </c>
      <c r="J10702" s="3">
        <v>36</v>
      </c>
      <c r="K10702" s="3">
        <v>587</v>
      </c>
      <c r="L10702" s="3">
        <v>1</v>
      </c>
      <c r="M10702" s="3">
        <v>188</v>
      </c>
    </row>
    <row r="10703" spans="1:13" x14ac:dyDescent="0.25">
      <c r="A10703" s="1" t="str">
        <f>HYPERLINK("http://www.rosaceae.org/Prunus/Prunus_persica/p.persica_gdr_reftransV1_0014437","p.persica_gdr_reftransV1_0014437")</f>
        <v>p.persica_gdr_reftransV1_0014437</v>
      </c>
      <c r="B10703" s="3">
        <v>2699</v>
      </c>
      <c r="C10703" s="1" t="str">
        <f>HYPERLINK("http://www.uniprot.org/uniprot/PGIP_PYRCO","PGIP_PYRCO")</f>
        <v>PGIP_PYRCO</v>
      </c>
      <c r="D10703" t="s">
        <v>4432</v>
      </c>
      <c r="E10703" s="3" t="s">
        <v>3258</v>
      </c>
      <c r="F10703" s="4">
        <v>0</v>
      </c>
      <c r="G10703" s="3">
        <v>1412</v>
      </c>
      <c r="H10703" s="3">
        <v>84</v>
      </c>
      <c r="I10703" s="3">
        <v>330</v>
      </c>
      <c r="J10703" s="3">
        <v>766</v>
      </c>
      <c r="K10703" s="3">
        <v>1755</v>
      </c>
      <c r="L10703" s="3">
        <v>1</v>
      </c>
      <c r="M10703" s="3">
        <v>330</v>
      </c>
    </row>
    <row r="10704" spans="1:13" x14ac:dyDescent="0.25">
      <c r="A10704" s="1" t="str">
        <f>HYPERLINK("http://www.rosaceae.org/Prunus/Prunus_persica/p.persica_gdr_reftransV1_0014937","p.persica_gdr_reftransV1_0014937")</f>
        <v>p.persica_gdr_reftransV1_0014937</v>
      </c>
      <c r="B10704" s="3">
        <v>719</v>
      </c>
      <c r="C10704" s="1" t="str">
        <f>HYPERLINK("http://www.uniprot.org/uniprot/AOX2_SOYBN","AOX2_SOYBN")</f>
        <v>AOX2_SOYBN</v>
      </c>
      <c r="D10704" t="s">
        <v>6472</v>
      </c>
      <c r="E10704" s="3" t="s">
        <v>307</v>
      </c>
      <c r="F10704" s="4">
        <v>1.6799999999999999E-48</v>
      </c>
      <c r="G10704" s="3">
        <v>426</v>
      </c>
      <c r="H10704" s="3">
        <v>90</v>
      </c>
      <c r="I10704" s="3">
        <v>88</v>
      </c>
      <c r="J10704" s="3">
        <v>2</v>
      </c>
      <c r="K10704" s="3">
        <v>265</v>
      </c>
      <c r="L10704" s="3">
        <v>227</v>
      </c>
      <c r="M10704" s="3">
        <v>314</v>
      </c>
    </row>
    <row r="10705" spans="1:13" x14ac:dyDescent="0.25">
      <c r="A10705" s="1" t="str">
        <f>HYPERLINK("http://www.rosaceae.org/Prunus/Prunus_persica/p.persica_gdr_reftransV1_0015087","p.persica_gdr_reftransV1_0015087")</f>
        <v>p.persica_gdr_reftransV1_0015087</v>
      </c>
      <c r="B10705" s="3">
        <v>1678</v>
      </c>
      <c r="C10705" s="1" t="str">
        <f>HYPERLINK("http://www.uniprot.org/uniprot/YKM6_SCHPO","YKM6_SCHPO")</f>
        <v>YKM6_SCHPO</v>
      </c>
      <c r="D10705" t="s">
        <v>7714</v>
      </c>
      <c r="E10705" s="3" t="s">
        <v>464</v>
      </c>
      <c r="F10705" s="4">
        <v>1.08E-15</v>
      </c>
      <c r="G10705" s="3">
        <v>200</v>
      </c>
      <c r="H10705" s="3">
        <v>32</v>
      </c>
      <c r="I10705" s="3">
        <v>282</v>
      </c>
      <c r="J10705" s="3">
        <v>363</v>
      </c>
      <c r="K10705" s="3">
        <v>1151</v>
      </c>
      <c r="L10705" s="3">
        <v>26</v>
      </c>
      <c r="M10705" s="3">
        <v>293</v>
      </c>
    </row>
    <row r="10706" spans="1:13" x14ac:dyDescent="0.25">
      <c r="A10706" s="1" t="str">
        <f>HYPERLINK("http://www.rosaceae.org/Prunus/Prunus_persica/p.persica_gdr_reftransV1_0015237","p.persica_gdr_reftransV1_0015237")</f>
        <v>p.persica_gdr_reftransV1_0015237</v>
      </c>
      <c r="B10706" s="3">
        <v>849</v>
      </c>
      <c r="C10706" s="1" t="str">
        <f>HYPERLINK("http://www.uniprot.org/uniprot/CTSL2_DICDI","CTSL2_DICDI")</f>
        <v>CTSL2_DICDI</v>
      </c>
      <c r="D10706" t="s">
        <v>4332</v>
      </c>
      <c r="E10706" s="3" t="s">
        <v>9</v>
      </c>
      <c r="F10706" s="4">
        <v>2.1399999999999998E-11</v>
      </c>
      <c r="G10706" s="3">
        <v>163</v>
      </c>
      <c r="H10706" s="3">
        <v>42</v>
      </c>
      <c r="I10706" s="3">
        <v>96</v>
      </c>
      <c r="J10706" s="3">
        <v>4</v>
      </c>
      <c r="K10706" s="3">
        <v>291</v>
      </c>
      <c r="L10706" s="3">
        <v>447</v>
      </c>
      <c r="M10706" s="3">
        <v>540</v>
      </c>
    </row>
    <row r="10707" spans="1:13" x14ac:dyDescent="0.25">
      <c r="A10707" s="1" t="str">
        <f>HYPERLINK("http://www.rosaceae.org/Prunus/Prunus_persica/p.persica_gdr_reftransV1_0015687","p.persica_gdr_reftransV1_0015687")</f>
        <v>p.persica_gdr_reftransV1_0015687</v>
      </c>
      <c r="B10707" s="3">
        <v>2517</v>
      </c>
      <c r="C10707" s="1" t="str">
        <f>HYPERLINK("http://www.uniprot.org/uniprot/C3H64_ARATH","C3H64_ARATH")</f>
        <v>C3H64_ARATH</v>
      </c>
      <c r="D10707" t="s">
        <v>4914</v>
      </c>
      <c r="E10707" s="3" t="s">
        <v>3</v>
      </c>
      <c r="F10707" s="4">
        <v>0</v>
      </c>
      <c r="G10707" s="3">
        <v>1677</v>
      </c>
      <c r="H10707" s="3">
        <v>66</v>
      </c>
      <c r="I10707" s="3">
        <v>486</v>
      </c>
      <c r="J10707" s="3">
        <v>1</v>
      </c>
      <c r="K10707" s="3">
        <v>1458</v>
      </c>
      <c r="L10707" s="3">
        <v>30</v>
      </c>
      <c r="M10707" s="3">
        <v>505</v>
      </c>
    </row>
    <row r="10708" spans="1:13" x14ac:dyDescent="0.25">
      <c r="A10708" s="1" t="str">
        <f>HYPERLINK("http://www.rosaceae.org/Prunus/Prunus_persica/p.persica_gdr_reftransV1_0015837","p.persica_gdr_reftransV1_0015837")</f>
        <v>p.persica_gdr_reftransV1_0015837</v>
      </c>
      <c r="B10708" s="3">
        <v>6121</v>
      </c>
      <c r="C10708" s="1" t="str">
        <f>HYPERLINK("http://www.uniprot.org/uniprot/NPA1P_HUMAN","NPA1P_HUMAN")</f>
        <v>NPA1P_HUMAN</v>
      </c>
      <c r="D10708" t="s">
        <v>7715</v>
      </c>
      <c r="E10708" s="3" t="s">
        <v>28</v>
      </c>
      <c r="F10708" s="4">
        <v>6.5200000000000002E-15</v>
      </c>
      <c r="G10708" s="3">
        <v>209</v>
      </c>
      <c r="H10708" s="3">
        <v>25</v>
      </c>
      <c r="I10708" s="3">
        <v>349</v>
      </c>
      <c r="J10708" s="3">
        <v>1459</v>
      </c>
      <c r="K10708" s="3">
        <v>2496</v>
      </c>
      <c r="L10708" s="3">
        <v>1540</v>
      </c>
      <c r="M10708" s="3">
        <v>1862</v>
      </c>
    </row>
    <row r="10709" spans="1:13" x14ac:dyDescent="0.25">
      <c r="A10709" s="1" t="str">
        <f>HYPERLINK("http://www.rosaceae.org/Prunus/Prunus_persica/p.persica_gdr_reftransV1_0016237","p.persica_gdr_reftransV1_0016237")</f>
        <v>p.persica_gdr_reftransV1_0016237</v>
      </c>
      <c r="B10709" s="3">
        <v>1519</v>
      </c>
      <c r="C10709" s="1" t="str">
        <f>HYPERLINK("http://www.uniprot.org/uniprot/CCB4_ARATH","CCB4_ARATH")</f>
        <v>CCB4_ARATH</v>
      </c>
      <c r="D10709" t="s">
        <v>7716</v>
      </c>
      <c r="E10709" s="3" t="s">
        <v>3</v>
      </c>
      <c r="F10709" s="4">
        <v>2.0600000000000001E-107</v>
      </c>
      <c r="G10709" s="3">
        <v>843</v>
      </c>
      <c r="H10709" s="3">
        <v>69</v>
      </c>
      <c r="I10709" s="3">
        <v>283</v>
      </c>
      <c r="J10709" s="3">
        <v>636</v>
      </c>
      <c r="K10709" s="3">
        <v>1463</v>
      </c>
      <c r="L10709" s="3">
        <v>7</v>
      </c>
      <c r="M10709" s="3">
        <v>285</v>
      </c>
    </row>
    <row r="10710" spans="1:13" x14ac:dyDescent="0.25">
      <c r="A10710" s="1" t="str">
        <f>HYPERLINK("http://www.rosaceae.org/Prunus/Prunus_persica/p.persica_gdr_reftransV1_0016437","p.persica_gdr_reftransV1_0016437")</f>
        <v>p.persica_gdr_reftransV1_0016437</v>
      </c>
      <c r="B10710" s="3">
        <v>4052</v>
      </c>
      <c r="C10710" s="1" t="str">
        <f>HYPERLINK("http://www.uniprot.org/uniprot/CP26B_ARATH","CP26B_ARATH")</f>
        <v>CP26B_ARATH</v>
      </c>
      <c r="D10710" t="s">
        <v>7717</v>
      </c>
      <c r="E10710" s="3" t="s">
        <v>3</v>
      </c>
      <c r="F10710" s="4">
        <v>5.6400000000000001E-86</v>
      </c>
      <c r="G10710" s="3">
        <v>736</v>
      </c>
      <c r="H10710" s="3">
        <v>53</v>
      </c>
      <c r="I10710" s="3">
        <v>333</v>
      </c>
      <c r="J10710" s="3">
        <v>2665</v>
      </c>
      <c r="K10710" s="3">
        <v>3663</v>
      </c>
      <c r="L10710" s="3">
        <v>35</v>
      </c>
      <c r="M10710" s="3">
        <v>316</v>
      </c>
    </row>
    <row r="10711" spans="1:13" x14ac:dyDescent="0.25">
      <c r="A10711" s="1" t="str">
        <f>HYPERLINK("http://www.rosaceae.org/Prunus/Prunus_persica/p.persica_gdr_reftransV1_0016537","p.persica_gdr_reftransV1_0016537")</f>
        <v>p.persica_gdr_reftransV1_0016537</v>
      </c>
      <c r="B10711" s="3">
        <v>2212</v>
      </c>
      <c r="C10711" s="1" t="str">
        <f>HYPERLINK("http://www.uniprot.org/uniprot/SRP68_CANFA","SRP68_CANFA")</f>
        <v>SRP68_CANFA</v>
      </c>
      <c r="D10711" t="s">
        <v>7718</v>
      </c>
      <c r="E10711" s="3" t="s">
        <v>2940</v>
      </c>
      <c r="F10711" s="4">
        <v>9.9999999999999996E-82</v>
      </c>
      <c r="G10711" s="3">
        <v>712</v>
      </c>
      <c r="H10711" s="3">
        <v>33</v>
      </c>
      <c r="I10711" s="3">
        <v>599</v>
      </c>
      <c r="J10711" s="3">
        <v>238</v>
      </c>
      <c r="K10711" s="3">
        <v>1992</v>
      </c>
      <c r="L10711" s="3">
        <v>45</v>
      </c>
      <c r="M10711" s="3">
        <v>616</v>
      </c>
    </row>
    <row r="10712" spans="1:13" x14ac:dyDescent="0.25">
      <c r="A10712" s="1" t="str">
        <f>HYPERLINK("http://www.rosaceae.org/Prunus/Prunus_persica/p.persica_gdr_reftransV1_0016637","p.persica_gdr_reftransV1_0016637")</f>
        <v>p.persica_gdr_reftransV1_0016637</v>
      </c>
      <c r="B10712" s="3">
        <v>968</v>
      </c>
      <c r="C10712" s="1" t="str">
        <f>HYPERLINK("http://www.uniprot.org/uniprot/GEX1_ARATH","GEX1_ARATH")</f>
        <v>GEX1_ARATH</v>
      </c>
      <c r="D10712" t="s">
        <v>7719</v>
      </c>
      <c r="E10712" s="3" t="s">
        <v>3</v>
      </c>
      <c r="F10712" s="4">
        <v>7.7599999999999996E-60</v>
      </c>
      <c r="G10712" s="3">
        <v>527</v>
      </c>
      <c r="H10712" s="3">
        <v>53</v>
      </c>
      <c r="I10712" s="3">
        <v>220</v>
      </c>
      <c r="J10712" s="3">
        <v>307</v>
      </c>
      <c r="K10712" s="3">
        <v>966</v>
      </c>
      <c r="L10712" s="3">
        <v>317</v>
      </c>
      <c r="M10712" s="3">
        <v>535</v>
      </c>
    </row>
    <row r="10713" spans="1:13" x14ac:dyDescent="0.25">
      <c r="A10713" s="1" t="str">
        <f>HYPERLINK("http://www.rosaceae.org/Prunus/Prunus_persica/p.persica_gdr_reftransV1_0016787","p.persica_gdr_reftransV1_0016787")</f>
        <v>p.persica_gdr_reftransV1_0016787</v>
      </c>
      <c r="B10713" s="3">
        <v>4932</v>
      </c>
      <c r="C10713" s="1" t="str">
        <f>HYPERLINK("http://www.uniprot.org/uniprot/CMIP_HUMAN","CMIP_HUMAN")</f>
        <v>CMIP_HUMAN</v>
      </c>
      <c r="D10713" t="s">
        <v>7720</v>
      </c>
      <c r="E10713" s="3" t="s">
        <v>28</v>
      </c>
      <c r="F10713" s="4">
        <v>1.7700000000000001E-7</v>
      </c>
      <c r="G10713" s="3">
        <v>144</v>
      </c>
      <c r="H10713" s="3">
        <v>46</v>
      </c>
      <c r="I10713" s="3">
        <v>85</v>
      </c>
      <c r="J10713" s="3">
        <v>1609</v>
      </c>
      <c r="K10713" s="3">
        <v>1860</v>
      </c>
      <c r="L10713" s="3">
        <v>661</v>
      </c>
      <c r="M10713" s="3">
        <v>745</v>
      </c>
    </row>
    <row r="10714" spans="1:13" x14ac:dyDescent="0.25">
      <c r="A10714" s="1" t="str">
        <f>HYPERLINK("http://www.rosaceae.org/Prunus/Prunus_persica/p.persica_gdr_reftransV1_0016937","p.persica_gdr_reftransV1_0016937")</f>
        <v>p.persica_gdr_reftransV1_0016937</v>
      </c>
      <c r="B10714" s="3">
        <v>1808</v>
      </c>
      <c r="C10714" s="1" t="str">
        <f>HYPERLINK("http://www.uniprot.org/uniprot/TAR4_ARATH","TAR4_ARATH")</f>
        <v>TAR4_ARATH</v>
      </c>
      <c r="D10714" t="s">
        <v>2545</v>
      </c>
      <c r="E10714" s="3" t="s">
        <v>3</v>
      </c>
      <c r="F10714" s="4">
        <v>1.1E-173</v>
      </c>
      <c r="G10714" s="3">
        <v>1309</v>
      </c>
      <c r="H10714" s="3">
        <v>56</v>
      </c>
      <c r="I10714" s="3">
        <v>451</v>
      </c>
      <c r="J10714" s="3">
        <v>67</v>
      </c>
      <c r="K10714" s="3">
        <v>1392</v>
      </c>
      <c r="L10714" s="3">
        <v>6</v>
      </c>
      <c r="M10714" s="3">
        <v>452</v>
      </c>
    </row>
    <row r="10715" spans="1:13" x14ac:dyDescent="0.25">
      <c r="A10715" s="1" t="str">
        <f>HYPERLINK("http://www.rosaceae.org/Prunus/Prunus_persica/p.persica_gdr_reftransV1_0017087","p.persica_gdr_reftransV1_0017087")</f>
        <v>p.persica_gdr_reftransV1_0017087</v>
      </c>
      <c r="B10715" s="3">
        <v>2914</v>
      </c>
      <c r="C10715" s="1" t="str">
        <f>HYPERLINK("http://www.uniprot.org/uniprot/PUM2_ARATH","PUM2_ARATH")</f>
        <v>PUM2_ARATH</v>
      </c>
      <c r="D10715" t="s">
        <v>2258</v>
      </c>
      <c r="E10715" s="3" t="s">
        <v>3</v>
      </c>
      <c r="F10715" s="4">
        <v>0</v>
      </c>
      <c r="G10715" s="3">
        <v>1543</v>
      </c>
      <c r="H10715" s="3">
        <v>53</v>
      </c>
      <c r="I10715" s="3">
        <v>801</v>
      </c>
      <c r="J10715" s="3">
        <v>1</v>
      </c>
      <c r="K10715" s="3">
        <v>2367</v>
      </c>
      <c r="L10715" s="3">
        <v>1</v>
      </c>
      <c r="M10715" s="3">
        <v>696</v>
      </c>
    </row>
    <row r="10716" spans="1:13" x14ac:dyDescent="0.25">
      <c r="A10716" s="1" t="str">
        <f>HYPERLINK("http://www.rosaceae.org/Prunus/Prunus_persica/p.persica_gdr_reftransV1_0017237","p.persica_gdr_reftransV1_0017237")</f>
        <v>p.persica_gdr_reftransV1_0017237</v>
      </c>
      <c r="B10716" s="3">
        <v>1633</v>
      </c>
      <c r="C10716" s="1" t="str">
        <f>HYPERLINK("http://www.uniprot.org/uniprot/Y319_MYXXA","Y319_MYXXA")</f>
        <v>Y319_MYXXA</v>
      </c>
      <c r="D10716" t="s">
        <v>7721</v>
      </c>
      <c r="E10716" s="3" t="s">
        <v>6961</v>
      </c>
      <c r="F10716" s="4">
        <v>5.9800000000000004E-47</v>
      </c>
      <c r="G10716" s="3">
        <v>294</v>
      </c>
      <c r="H10716" s="3">
        <v>38</v>
      </c>
      <c r="I10716" s="3">
        <v>153</v>
      </c>
      <c r="J10716" s="3">
        <v>435</v>
      </c>
      <c r="K10716" s="3">
        <v>893</v>
      </c>
      <c r="L10716" s="3">
        <v>48</v>
      </c>
      <c r="M10716" s="3">
        <v>200</v>
      </c>
    </row>
    <row r="10717" spans="1:13" x14ac:dyDescent="0.25">
      <c r="A10717" s="1" t="str">
        <f>HYPERLINK("http://www.rosaceae.org/Prunus/Prunus_persica/p.persica_gdr_reftransV1_0017387","p.persica_gdr_reftransV1_0017387")</f>
        <v>p.persica_gdr_reftransV1_0017387</v>
      </c>
      <c r="B10717" s="3">
        <v>1620</v>
      </c>
      <c r="C10717" s="1" t="str">
        <f>HYPERLINK("http://www.uniprot.org/uniprot/APAG_AGRFC","APAG_AGRFC")</f>
        <v>APAG_AGRFC</v>
      </c>
      <c r="D10717" t="s">
        <v>7722</v>
      </c>
      <c r="E10717" s="3" t="s">
        <v>7723</v>
      </c>
      <c r="F10717" s="4">
        <v>4.1799999999999998E-30</v>
      </c>
      <c r="G10717" s="3">
        <v>297</v>
      </c>
      <c r="H10717" s="3">
        <v>47</v>
      </c>
      <c r="I10717" s="3">
        <v>125</v>
      </c>
      <c r="J10717" s="3">
        <v>705</v>
      </c>
      <c r="K10717" s="3">
        <v>1079</v>
      </c>
      <c r="L10717" s="3">
        <v>4</v>
      </c>
      <c r="M10717" s="3">
        <v>124</v>
      </c>
    </row>
    <row r="10718" spans="1:13" x14ac:dyDescent="0.25">
      <c r="A10718" s="1" t="str">
        <f>HYPERLINK("http://www.rosaceae.org/Prunus/Prunus_persica/p.persica_gdr_reftransV1_0017487","p.persica_gdr_reftransV1_0017487")</f>
        <v>p.persica_gdr_reftransV1_0017487</v>
      </c>
      <c r="B10718" s="3">
        <v>3536</v>
      </c>
      <c r="C10718" s="1" t="str">
        <f>HYPERLINK("http://www.uniprot.org/uniprot/PP340_ARATH","PP340_ARATH")</f>
        <v>PP340_ARATH</v>
      </c>
      <c r="D10718" t="s">
        <v>7724</v>
      </c>
      <c r="E10718" s="3" t="s">
        <v>3</v>
      </c>
      <c r="F10718" s="4">
        <v>0</v>
      </c>
      <c r="G10718" s="3">
        <v>1584</v>
      </c>
      <c r="H10718" s="3">
        <v>48</v>
      </c>
      <c r="I10718" s="3">
        <v>690</v>
      </c>
      <c r="J10718" s="3">
        <v>1238</v>
      </c>
      <c r="K10718" s="3">
        <v>3304</v>
      </c>
      <c r="L10718" s="3">
        <v>11</v>
      </c>
      <c r="M10718" s="3">
        <v>692</v>
      </c>
    </row>
    <row r="10719" spans="1:13" x14ac:dyDescent="0.25">
      <c r="A10719" s="1" t="str">
        <f>HYPERLINK("http://www.rosaceae.org/Prunus/Prunus_persica/p.persica_gdr_reftransV1_0017587","p.persica_gdr_reftransV1_0017587")</f>
        <v>p.persica_gdr_reftransV1_0017587</v>
      </c>
      <c r="B10719" s="3">
        <v>941</v>
      </c>
      <c r="C10719" s="1" t="str">
        <f>HYPERLINK("http://www.uniprot.org/uniprot/PUM3_ARATH","PUM3_ARATH")</f>
        <v>PUM3_ARATH</v>
      </c>
      <c r="D10719" t="s">
        <v>3238</v>
      </c>
      <c r="E10719" s="3" t="s">
        <v>3</v>
      </c>
      <c r="F10719" s="4">
        <v>6.8200000000000002E-14</v>
      </c>
      <c r="G10719" s="3">
        <v>185</v>
      </c>
      <c r="H10719" s="3">
        <v>58</v>
      </c>
      <c r="I10719" s="3">
        <v>107</v>
      </c>
      <c r="J10719" s="3">
        <v>571</v>
      </c>
      <c r="K10719" s="3">
        <v>876</v>
      </c>
      <c r="L10719" s="3">
        <v>31</v>
      </c>
      <c r="M10719" s="3">
        <v>136</v>
      </c>
    </row>
    <row r="10720" spans="1:13" x14ac:dyDescent="0.25">
      <c r="A10720" s="1" t="str">
        <f>HYPERLINK("http://www.rosaceae.org/Prunus/Prunus_persica/p.persica_gdr_reftransV1_0017687","p.persica_gdr_reftransV1_0017687")</f>
        <v>p.persica_gdr_reftransV1_0017687</v>
      </c>
      <c r="B10720" s="3">
        <v>2409</v>
      </c>
      <c r="C10720" s="1" t="str">
        <f>HYPERLINK("http://www.uniprot.org/uniprot/P2A13_ARATH","P2A13_ARATH")</f>
        <v>P2A13_ARATH</v>
      </c>
      <c r="D10720" t="s">
        <v>7725</v>
      </c>
      <c r="E10720" s="3" t="s">
        <v>3</v>
      </c>
      <c r="F10720" s="4">
        <v>1.0699999999999999E-59</v>
      </c>
      <c r="G10720" s="3">
        <v>532</v>
      </c>
      <c r="H10720" s="3">
        <v>69</v>
      </c>
      <c r="I10720" s="3">
        <v>137</v>
      </c>
      <c r="J10720" s="3">
        <v>871</v>
      </c>
      <c r="K10720" s="3">
        <v>1278</v>
      </c>
      <c r="L10720" s="3">
        <v>149</v>
      </c>
      <c r="M10720" s="3">
        <v>285</v>
      </c>
    </row>
    <row r="10721" spans="1:13" x14ac:dyDescent="0.25">
      <c r="A10721" s="1" t="str">
        <f>HYPERLINK("http://www.rosaceae.org/Prunus/Prunus_persica/p.persica_gdr_reftransV1_0017787","p.persica_gdr_reftransV1_0017787")</f>
        <v>p.persica_gdr_reftransV1_0017787</v>
      </c>
      <c r="B10721" s="3">
        <v>1606</v>
      </c>
      <c r="C10721" s="1" t="str">
        <f>HYPERLINK("http://www.uniprot.org/uniprot/HIS8_TOBAC","HIS8_TOBAC")</f>
        <v>HIS8_TOBAC</v>
      </c>
      <c r="D10721" t="s">
        <v>7726</v>
      </c>
      <c r="E10721" s="3" t="s">
        <v>200</v>
      </c>
      <c r="F10721" s="4">
        <v>0</v>
      </c>
      <c r="G10721" s="3">
        <v>1628</v>
      </c>
      <c r="H10721" s="3">
        <v>78</v>
      </c>
      <c r="I10721" s="3">
        <v>418</v>
      </c>
      <c r="J10721" s="3">
        <v>214</v>
      </c>
      <c r="K10721" s="3">
        <v>1458</v>
      </c>
      <c r="L10721" s="3">
        <v>1</v>
      </c>
      <c r="M10721" s="3">
        <v>412</v>
      </c>
    </row>
    <row r="10722" spans="1:13" x14ac:dyDescent="0.25">
      <c r="A10722" s="1" t="str">
        <f>HYPERLINK("http://www.rosaceae.org/Prunus/Prunus_persica/p.persica_gdr_reftransV1_0017837","p.persica_gdr_reftransV1_0017837")</f>
        <v>p.persica_gdr_reftransV1_0017837</v>
      </c>
      <c r="B10722" s="3">
        <v>1573</v>
      </c>
      <c r="C10722" s="1" t="str">
        <f>HYPERLINK("http://www.uniprot.org/uniprot/WIBG_BOMMO","WIBG_BOMMO")</f>
        <v>WIBG_BOMMO</v>
      </c>
      <c r="D10722" t="s">
        <v>7727</v>
      </c>
      <c r="E10722" s="3" t="s">
        <v>7728</v>
      </c>
      <c r="F10722" s="4">
        <v>2.3499999999999999E-8</v>
      </c>
      <c r="G10722" s="3">
        <v>138</v>
      </c>
      <c r="H10722" s="3">
        <v>64</v>
      </c>
      <c r="I10722" s="3">
        <v>39</v>
      </c>
      <c r="J10722" s="3">
        <v>218</v>
      </c>
      <c r="K10722" s="3">
        <v>334</v>
      </c>
      <c r="L10722" s="3">
        <v>12</v>
      </c>
      <c r="M10722" s="3">
        <v>50</v>
      </c>
    </row>
    <row r="10723" spans="1:13" x14ac:dyDescent="0.25">
      <c r="A10723" s="1" t="str">
        <f>HYPERLINK("http://www.rosaceae.org/Prunus/Prunus_persica/p.persica_gdr_reftransV1_0017887","p.persica_gdr_reftransV1_0017887")</f>
        <v>p.persica_gdr_reftransV1_0017887</v>
      </c>
      <c r="B10723" s="3">
        <v>2759</v>
      </c>
      <c r="C10723" s="1" t="str">
        <f>HYPERLINK("http://www.uniprot.org/uniprot/YIE2_SCHPO","YIE2_SCHPO")</f>
        <v>YIE2_SCHPO</v>
      </c>
      <c r="D10723" t="s">
        <v>7729</v>
      </c>
      <c r="E10723" s="3" t="s">
        <v>464</v>
      </c>
      <c r="F10723" s="4">
        <v>7.4800000000000003E-18</v>
      </c>
      <c r="G10723" s="3">
        <v>224</v>
      </c>
      <c r="H10723" s="3">
        <v>51</v>
      </c>
      <c r="I10723" s="3">
        <v>87</v>
      </c>
      <c r="J10723" s="3">
        <v>869</v>
      </c>
      <c r="K10723" s="3">
        <v>1129</v>
      </c>
      <c r="L10723" s="3">
        <v>31</v>
      </c>
      <c r="M10723" s="3">
        <v>117</v>
      </c>
    </row>
    <row r="10724" spans="1:13" x14ac:dyDescent="0.25">
      <c r="A10724" s="1" t="str">
        <f>HYPERLINK("http://www.rosaceae.org/Prunus/Prunus_persica/p.persica_gdr_reftransV1_0018037","p.persica_gdr_reftransV1_0018037")</f>
        <v>p.persica_gdr_reftransV1_0018037</v>
      </c>
      <c r="B10724" s="3">
        <v>1886</v>
      </c>
      <c r="C10724" s="1" t="str">
        <f>HYPERLINK("http://www.uniprot.org/uniprot/QORX_HUMAN","QORX_HUMAN")</f>
        <v>QORX_HUMAN</v>
      </c>
      <c r="D10724" t="s">
        <v>1520</v>
      </c>
      <c r="E10724" s="3" t="s">
        <v>28</v>
      </c>
      <c r="F10724" s="4">
        <v>5.1199999999999998E-62</v>
      </c>
      <c r="G10724" s="3">
        <v>546</v>
      </c>
      <c r="H10724" s="3">
        <v>41</v>
      </c>
      <c r="I10724" s="3">
        <v>328</v>
      </c>
      <c r="J10724" s="3">
        <v>722</v>
      </c>
      <c r="K10724" s="3">
        <v>1690</v>
      </c>
      <c r="L10724" s="3">
        <v>1</v>
      </c>
      <c r="M10724" s="3">
        <v>328</v>
      </c>
    </row>
    <row r="10725" spans="1:13" x14ac:dyDescent="0.25">
      <c r="A10725" s="1" t="str">
        <f>HYPERLINK("http://www.rosaceae.org/Prunus/Prunus_persica/p.persica_gdr_reftransV1_0018137","p.persica_gdr_reftransV1_0018137")</f>
        <v>p.persica_gdr_reftransV1_0018137</v>
      </c>
      <c r="B10725" s="3">
        <v>866</v>
      </c>
      <c r="C10725" s="1" t="str">
        <f>HYPERLINK("http://www.uniprot.org/uniprot/BBR_ARATH","BBR_ARATH")</f>
        <v>BBR_ARATH</v>
      </c>
      <c r="D10725" t="s">
        <v>1236</v>
      </c>
      <c r="E10725" s="3" t="s">
        <v>3</v>
      </c>
      <c r="F10725" s="4">
        <v>1.5199999999999999E-19</v>
      </c>
      <c r="G10725" s="3">
        <v>222</v>
      </c>
      <c r="H10725" s="3">
        <v>43</v>
      </c>
      <c r="I10725" s="3">
        <v>93</v>
      </c>
      <c r="J10725" s="3">
        <v>208</v>
      </c>
      <c r="K10725" s="3">
        <v>486</v>
      </c>
      <c r="L10725" s="3">
        <v>243</v>
      </c>
      <c r="M10725" s="3">
        <v>332</v>
      </c>
    </row>
    <row r="10726" spans="1:13" x14ac:dyDescent="0.25">
      <c r="A10726" s="1" t="str">
        <f>HYPERLINK("http://www.rosaceae.org/Prunus/Prunus_persica/p.persica_gdr_reftransV1_0018237","p.persica_gdr_reftransV1_0018237")</f>
        <v>p.persica_gdr_reftransV1_0018237</v>
      </c>
      <c r="B10726" s="3">
        <v>485</v>
      </c>
      <c r="C10726" s="1" t="str">
        <f>HYPERLINK("http://www.uniprot.org/uniprot/RFS_PEA","RFS_PEA")</f>
        <v>RFS_PEA</v>
      </c>
      <c r="D10726" t="s">
        <v>7730</v>
      </c>
      <c r="E10726" s="3" t="s">
        <v>60</v>
      </c>
      <c r="F10726" s="4">
        <v>2.1800000000000001E-55</v>
      </c>
      <c r="G10726" s="3">
        <v>483</v>
      </c>
      <c r="H10726" s="3">
        <v>62</v>
      </c>
      <c r="I10726" s="3">
        <v>150</v>
      </c>
      <c r="J10726" s="3">
        <v>2</v>
      </c>
      <c r="K10726" s="3">
        <v>451</v>
      </c>
      <c r="L10726" s="3">
        <v>652</v>
      </c>
      <c r="M10726" s="3">
        <v>798</v>
      </c>
    </row>
    <row r="10727" spans="1:13" x14ac:dyDescent="0.25">
      <c r="A10727" s="1" t="str">
        <f>HYPERLINK("http://www.rosaceae.org/Prunus/Prunus_persica/p.persica_gdr_reftransV1_0018287","p.persica_gdr_reftransV1_0018287")</f>
        <v>p.persica_gdr_reftransV1_0018287</v>
      </c>
      <c r="B10727" s="3">
        <v>668</v>
      </c>
      <c r="C10727" s="1" t="str">
        <f>HYPERLINK("http://www.uniprot.org/uniprot/GXM1_ARATH","GXM1_ARATH")</f>
        <v>GXM1_ARATH</v>
      </c>
      <c r="D10727" t="s">
        <v>5147</v>
      </c>
      <c r="E10727" s="3" t="s">
        <v>3</v>
      </c>
      <c r="F10727" s="4">
        <v>2.6800000000000002E-7</v>
      </c>
      <c r="G10727" s="3">
        <v>127</v>
      </c>
      <c r="H10727" s="3">
        <v>38</v>
      </c>
      <c r="I10727" s="3">
        <v>66</v>
      </c>
      <c r="J10727" s="3">
        <v>455</v>
      </c>
      <c r="K10727" s="3">
        <v>652</v>
      </c>
      <c r="L10727" s="3">
        <v>79</v>
      </c>
      <c r="M10727" s="3">
        <v>144</v>
      </c>
    </row>
    <row r="10728" spans="1:13" x14ac:dyDescent="0.25">
      <c r="A10728" s="1" t="str">
        <f>HYPERLINK("http://www.rosaceae.org/Prunus/Prunus_persica/p.persica_gdr_reftransV1_0018687","p.persica_gdr_reftransV1_0018687")</f>
        <v>p.persica_gdr_reftransV1_0018687</v>
      </c>
      <c r="B10728" s="3">
        <v>688</v>
      </c>
      <c r="C10728" s="1" t="str">
        <f>HYPERLINK("http://www.uniprot.org/uniprot/RNHX1_ARATH","RNHX1_ARATH")</f>
        <v>RNHX1_ARATH</v>
      </c>
      <c r="D10728" t="s">
        <v>124</v>
      </c>
      <c r="E10728" s="3" t="s">
        <v>3</v>
      </c>
      <c r="F10728" s="4">
        <v>5.9199999999999997E-23</v>
      </c>
      <c r="G10728" s="3">
        <v>251</v>
      </c>
      <c r="H10728" s="3">
        <v>35</v>
      </c>
      <c r="I10728" s="3">
        <v>188</v>
      </c>
      <c r="J10728" s="3">
        <v>3</v>
      </c>
      <c r="K10728" s="3">
        <v>551</v>
      </c>
      <c r="L10728" s="3">
        <v>19</v>
      </c>
      <c r="M10728" s="3">
        <v>197</v>
      </c>
    </row>
    <row r="10729" spans="1:13" x14ac:dyDescent="0.25">
      <c r="A10729" s="1" t="str">
        <f>HYPERLINK("http://www.rosaceae.org/Prunus/Prunus_persica/p.persica_gdr_reftransV1_0018937","p.persica_gdr_reftransV1_0018937")</f>
        <v>p.persica_gdr_reftransV1_0018937</v>
      </c>
      <c r="B10729" s="3">
        <v>1724</v>
      </c>
      <c r="C10729" s="1" t="str">
        <f>HYPERLINK("http://www.uniprot.org/uniprot/AB39G_ARATH","AB39G_ARATH")</f>
        <v>AB39G_ARATH</v>
      </c>
      <c r="D10729" t="s">
        <v>6489</v>
      </c>
      <c r="E10729" s="3" t="s">
        <v>3</v>
      </c>
      <c r="F10729" s="4">
        <v>0</v>
      </c>
      <c r="G10729" s="3">
        <v>2262</v>
      </c>
      <c r="H10729" s="3">
        <v>74</v>
      </c>
      <c r="I10729" s="3">
        <v>577</v>
      </c>
      <c r="J10729" s="3">
        <v>2</v>
      </c>
      <c r="K10729" s="3">
        <v>1723</v>
      </c>
      <c r="L10729" s="3">
        <v>309</v>
      </c>
      <c r="M10729" s="3">
        <v>877</v>
      </c>
    </row>
    <row r="10730" spans="1:13" x14ac:dyDescent="0.25">
      <c r="A10730" s="1" t="str">
        <f>HYPERLINK("http://www.rosaceae.org/Prunus/Prunus_persica/p.persica_gdr_reftransV1_0019037","p.persica_gdr_reftransV1_0019037")</f>
        <v>p.persica_gdr_reftransV1_0019037</v>
      </c>
      <c r="B10730" s="3">
        <v>2588</v>
      </c>
      <c r="C10730" s="1" t="str">
        <f>HYPERLINK("http://www.uniprot.org/uniprot/MED17_ARATH","MED17_ARATH")</f>
        <v>MED17_ARATH</v>
      </c>
      <c r="D10730" t="s">
        <v>7731</v>
      </c>
      <c r="E10730" s="3" t="s">
        <v>3</v>
      </c>
      <c r="F10730" s="4">
        <v>0</v>
      </c>
      <c r="G10730" s="3">
        <v>1971</v>
      </c>
      <c r="H10730" s="3">
        <v>60</v>
      </c>
      <c r="I10730" s="3">
        <v>657</v>
      </c>
      <c r="J10730" s="3">
        <v>159</v>
      </c>
      <c r="K10730" s="3">
        <v>2105</v>
      </c>
      <c r="L10730" s="3">
        <v>1</v>
      </c>
      <c r="M10730" s="3">
        <v>643</v>
      </c>
    </row>
    <row r="10731" spans="1:13" x14ac:dyDescent="0.25">
      <c r="A10731" s="1" t="str">
        <f>HYPERLINK("http://www.rosaceae.org/Prunus/Prunus_persica/p.persica_gdr_reftransV1_0019137","p.persica_gdr_reftransV1_0019137")</f>
        <v>p.persica_gdr_reftransV1_0019137</v>
      </c>
      <c r="B10731" s="3">
        <v>1340</v>
      </c>
      <c r="C10731" s="1" t="str">
        <f>HYPERLINK("http://www.uniprot.org/uniprot/DIOX2_ARATH","DIOX2_ARATH")</f>
        <v>DIOX2_ARATH</v>
      </c>
      <c r="D10731" t="s">
        <v>7732</v>
      </c>
      <c r="E10731" s="3" t="s">
        <v>3</v>
      </c>
      <c r="F10731" s="4">
        <v>1.4099999999999999E-180</v>
      </c>
      <c r="G10731" s="3">
        <v>1325</v>
      </c>
      <c r="H10731" s="3">
        <v>73</v>
      </c>
      <c r="I10731" s="3">
        <v>332</v>
      </c>
      <c r="J10731" s="3">
        <v>224</v>
      </c>
      <c r="K10731" s="3">
        <v>1207</v>
      </c>
      <c r="L10731" s="3">
        <v>1</v>
      </c>
      <c r="M10731" s="3">
        <v>330</v>
      </c>
    </row>
    <row r="10732" spans="1:13" x14ac:dyDescent="0.25">
      <c r="A10732" s="1" t="str">
        <f>HYPERLINK("http://www.rosaceae.org/Prunus/Prunus_persica/p.persica_gdr_reftransV1_0019237","p.persica_gdr_reftransV1_0019237")</f>
        <v>p.persica_gdr_reftransV1_0019237</v>
      </c>
      <c r="B10732" s="3">
        <v>462</v>
      </c>
      <c r="C10732" s="1" t="str">
        <f>HYPERLINK("http://www.uniprot.org/uniprot/ERF21_ARATH","ERF21_ARATH")</f>
        <v>ERF21_ARATH</v>
      </c>
      <c r="D10732" t="s">
        <v>7733</v>
      </c>
      <c r="E10732" s="3" t="s">
        <v>3</v>
      </c>
      <c r="F10732" s="4">
        <v>2.8400000000000001E-52</v>
      </c>
      <c r="G10732" s="3">
        <v>431</v>
      </c>
      <c r="H10732" s="3">
        <v>73</v>
      </c>
      <c r="I10732" s="3">
        <v>119</v>
      </c>
      <c r="J10732" s="3">
        <v>108</v>
      </c>
      <c r="K10732" s="3">
        <v>461</v>
      </c>
      <c r="L10732" s="3">
        <v>22</v>
      </c>
      <c r="M10732" s="3">
        <v>140</v>
      </c>
    </row>
    <row r="10733" spans="1:13" x14ac:dyDescent="0.25">
      <c r="A10733" s="1" t="str">
        <f>HYPERLINK("http://www.rosaceae.org/Prunus/Prunus_persica/p.persica_gdr_reftransV1_0019287","p.persica_gdr_reftransV1_0019287")</f>
        <v>p.persica_gdr_reftransV1_0019287</v>
      </c>
      <c r="B10733" s="3">
        <v>2174</v>
      </c>
      <c r="C10733" s="1" t="str">
        <f>HYPERLINK("http://www.uniprot.org/uniprot/RBM42_BOVIN","RBM42_BOVIN")</f>
        <v>RBM42_BOVIN</v>
      </c>
      <c r="D10733" t="s">
        <v>7734</v>
      </c>
      <c r="E10733" s="3" t="s">
        <v>184</v>
      </c>
      <c r="F10733" s="4">
        <v>2.23E-17</v>
      </c>
      <c r="G10733" s="3">
        <v>220</v>
      </c>
      <c r="H10733" s="3">
        <v>71</v>
      </c>
      <c r="I10733" s="3">
        <v>52</v>
      </c>
      <c r="J10733" s="3">
        <v>1568</v>
      </c>
      <c r="K10733" s="3">
        <v>1723</v>
      </c>
      <c r="L10733" s="3">
        <v>329</v>
      </c>
      <c r="M10733" s="3">
        <v>380</v>
      </c>
    </row>
    <row r="10734" spans="1:13" x14ac:dyDescent="0.25">
      <c r="A10734" s="1" t="str">
        <f>HYPERLINK("http://www.rosaceae.org/Prunus/Prunus_persica/p.persica_gdr_reftransV1_0019437","p.persica_gdr_reftransV1_0019437")</f>
        <v>p.persica_gdr_reftransV1_0019437</v>
      </c>
      <c r="B10734" s="3">
        <v>1509</v>
      </c>
      <c r="C10734" s="1" t="str">
        <f>HYPERLINK("http://www.uniprot.org/uniprot/RPS4R_ARATH","RPS4R_ARATH")</f>
        <v>RPS4R_ARATH</v>
      </c>
      <c r="D10734" t="s">
        <v>7735</v>
      </c>
      <c r="E10734" s="3" t="s">
        <v>3</v>
      </c>
      <c r="F10734" s="4">
        <v>7.7600000000000006E-21</v>
      </c>
      <c r="G10734" s="3">
        <v>248</v>
      </c>
      <c r="H10734" s="3">
        <v>28</v>
      </c>
      <c r="I10734" s="3">
        <v>396</v>
      </c>
      <c r="J10734" s="3">
        <v>393</v>
      </c>
      <c r="K10734" s="3">
        <v>1505</v>
      </c>
      <c r="L10734" s="3">
        <v>673</v>
      </c>
      <c r="M10734" s="3">
        <v>1035</v>
      </c>
    </row>
    <row r="10735" spans="1:13" x14ac:dyDescent="0.25">
      <c r="A10735" s="1" t="str">
        <f>HYPERLINK("http://www.rosaceae.org/Prunus/Prunus_persica/p.persica_gdr_reftransV1_0019537","p.persica_gdr_reftransV1_0019537")</f>
        <v>p.persica_gdr_reftransV1_0019537</v>
      </c>
      <c r="B10735" s="3">
        <v>2158</v>
      </c>
      <c r="C10735" s="1" t="str">
        <f>HYPERLINK("http://www.uniprot.org/uniprot/DPOD3_MOUSE","DPOD3_MOUSE")</f>
        <v>DPOD3_MOUSE</v>
      </c>
      <c r="D10735" t="s">
        <v>7736</v>
      </c>
      <c r="E10735" s="3" t="s">
        <v>157</v>
      </c>
      <c r="F10735" s="4">
        <v>1.95E-12</v>
      </c>
      <c r="G10735" s="3">
        <v>180</v>
      </c>
      <c r="H10735" s="3">
        <v>33</v>
      </c>
      <c r="I10735" s="3">
        <v>138</v>
      </c>
      <c r="J10735" s="3">
        <v>1612</v>
      </c>
      <c r="K10735" s="3">
        <v>2007</v>
      </c>
      <c r="L10735" s="3">
        <v>7</v>
      </c>
      <c r="M10735" s="3">
        <v>135</v>
      </c>
    </row>
    <row r="10736" spans="1:13" x14ac:dyDescent="0.25">
      <c r="A10736" s="1" t="str">
        <f>HYPERLINK("http://www.rosaceae.org/Prunus/Prunus_persica/p.persica_gdr_reftransV1_0019687","p.persica_gdr_reftransV1_0019687")</f>
        <v>p.persica_gdr_reftransV1_0019687</v>
      </c>
      <c r="B10736" s="3">
        <v>2874</v>
      </c>
      <c r="C10736" s="1" t="str">
        <f>HYPERLINK("http://www.uniprot.org/uniprot/PEPD_HUMAN","PEPD_HUMAN")</f>
        <v>PEPD_HUMAN</v>
      </c>
      <c r="D10736" t="s">
        <v>7737</v>
      </c>
      <c r="E10736" s="3" t="s">
        <v>28</v>
      </c>
      <c r="F10736" s="4">
        <v>0</v>
      </c>
      <c r="G10736" s="3">
        <v>1401</v>
      </c>
      <c r="H10736" s="3">
        <v>57</v>
      </c>
      <c r="I10736" s="3">
        <v>482</v>
      </c>
      <c r="J10736" s="3">
        <v>1377</v>
      </c>
      <c r="K10736" s="3">
        <v>2819</v>
      </c>
      <c r="L10736" s="3">
        <v>18</v>
      </c>
      <c r="M10736" s="3">
        <v>487</v>
      </c>
    </row>
    <row r="10737" spans="1:13" x14ac:dyDescent="0.25">
      <c r="A10737" s="1" t="str">
        <f>HYPERLINK("http://www.rosaceae.org/Prunus/Prunus_persica/p.persica_gdr_reftransV1_0019737","p.persica_gdr_reftransV1_0019737")</f>
        <v>p.persica_gdr_reftransV1_0019737</v>
      </c>
      <c r="B10737" s="3">
        <v>1356</v>
      </c>
      <c r="C10737" s="1" t="str">
        <f>HYPERLINK("http://www.uniprot.org/uniprot/WAXS1_SIMCH","WAXS1_SIMCH")</f>
        <v>WAXS1_SIMCH</v>
      </c>
      <c r="D10737" t="s">
        <v>5397</v>
      </c>
      <c r="E10737" s="3" t="s">
        <v>5398</v>
      </c>
      <c r="F10737" s="4">
        <v>1.6100000000000002E-95</v>
      </c>
      <c r="G10737" s="3">
        <v>763</v>
      </c>
      <c r="H10737" s="3">
        <v>48</v>
      </c>
      <c r="I10737" s="3">
        <v>374</v>
      </c>
      <c r="J10737" s="3">
        <v>100</v>
      </c>
      <c r="K10737" s="3">
        <v>1218</v>
      </c>
      <c r="L10737" s="3">
        <v>2</v>
      </c>
      <c r="M10737" s="3">
        <v>346</v>
      </c>
    </row>
    <row r="10738" spans="1:13" x14ac:dyDescent="0.25">
      <c r="A10738" s="1" t="str">
        <f>HYPERLINK("http://www.rosaceae.org/Prunus/Prunus_persica/p.persica_gdr_reftransV1_0019787","p.persica_gdr_reftransV1_0019787")</f>
        <v>p.persica_gdr_reftransV1_0019787</v>
      </c>
      <c r="B10738" s="3">
        <v>2951</v>
      </c>
      <c r="C10738" s="1" t="str">
        <f>HYPERLINK("http://www.uniprot.org/uniprot/SNF4_ARATH","SNF4_ARATH")</f>
        <v>SNF4_ARATH</v>
      </c>
      <c r="D10738" t="s">
        <v>2717</v>
      </c>
      <c r="E10738" s="3" t="s">
        <v>3</v>
      </c>
      <c r="F10738" s="4">
        <v>3.0300000000000002E-134</v>
      </c>
      <c r="G10738" s="3">
        <v>1079</v>
      </c>
      <c r="H10738" s="3">
        <v>75</v>
      </c>
      <c r="I10738" s="3">
        <v>271</v>
      </c>
      <c r="J10738" s="3">
        <v>1479</v>
      </c>
      <c r="K10738" s="3">
        <v>2291</v>
      </c>
      <c r="L10738" s="3">
        <v>216</v>
      </c>
      <c r="M10738" s="3">
        <v>486</v>
      </c>
    </row>
    <row r="10739" spans="1:13" x14ac:dyDescent="0.25">
      <c r="A10739" s="1" t="str">
        <f>HYPERLINK("http://www.rosaceae.org/Prunus/Prunus_persica/p.persica_gdr_reftransV1_0019887","p.persica_gdr_reftransV1_0019887")</f>
        <v>p.persica_gdr_reftransV1_0019887</v>
      </c>
      <c r="B10739" s="3">
        <v>1660</v>
      </c>
      <c r="C10739" s="1" t="str">
        <f>HYPERLINK("http://www.uniprot.org/uniprot/RU1C2_SORBI","RU1C2_SORBI")</f>
        <v>RU1C2_SORBI</v>
      </c>
      <c r="D10739" t="s">
        <v>7738</v>
      </c>
      <c r="E10739" s="3" t="s">
        <v>506</v>
      </c>
      <c r="F10739" s="4">
        <v>6.3800000000000001E-42</v>
      </c>
      <c r="G10739" s="3">
        <v>392</v>
      </c>
      <c r="H10739" s="3">
        <v>71</v>
      </c>
      <c r="I10739" s="3">
        <v>118</v>
      </c>
      <c r="J10739" s="3">
        <v>1117</v>
      </c>
      <c r="K10739" s="3">
        <v>1455</v>
      </c>
      <c r="L10739" s="3">
        <v>1</v>
      </c>
      <c r="M10739" s="3">
        <v>113</v>
      </c>
    </row>
    <row r="10740" spans="1:13" x14ac:dyDescent="0.25">
      <c r="A10740" s="1" t="str">
        <f>HYPERLINK("http://www.rosaceae.org/Prunus/Prunus_persica/p.persica_gdr_reftransV1_0019937","p.persica_gdr_reftransV1_0019937")</f>
        <v>p.persica_gdr_reftransV1_0019937</v>
      </c>
      <c r="B10740" s="3">
        <v>1807</v>
      </c>
      <c r="C10740" s="1" t="str">
        <f>HYPERLINK("http://www.uniprot.org/uniprot/FRS5_ARATH","FRS5_ARATH")</f>
        <v>FRS5_ARATH</v>
      </c>
      <c r="D10740" t="s">
        <v>908</v>
      </c>
      <c r="E10740" s="3" t="s">
        <v>3</v>
      </c>
      <c r="F10740" s="4">
        <v>8.8599999999999995E-19</v>
      </c>
      <c r="G10740" s="3">
        <v>233</v>
      </c>
      <c r="H10740" s="3">
        <v>45</v>
      </c>
      <c r="I10740" s="3">
        <v>113</v>
      </c>
      <c r="J10740" s="3">
        <v>431</v>
      </c>
      <c r="K10740" s="3">
        <v>766</v>
      </c>
      <c r="L10740" s="3">
        <v>71</v>
      </c>
      <c r="M10740" s="3">
        <v>183</v>
      </c>
    </row>
    <row r="10741" spans="1:13" x14ac:dyDescent="0.25">
      <c r="A10741" s="1" t="str">
        <f>HYPERLINK("http://www.rosaceae.org/Prunus/Prunus_persica/p.persica_gdr_reftransV1_0020287","p.persica_gdr_reftransV1_0020287")</f>
        <v>p.persica_gdr_reftransV1_0020287</v>
      </c>
      <c r="B10741" s="3">
        <v>1133</v>
      </c>
      <c r="C10741" s="1" t="str">
        <f>HYPERLINK("http://www.uniprot.org/uniprot/RPC9_DICDI","RPC9_DICDI")</f>
        <v>RPC9_DICDI</v>
      </c>
      <c r="D10741" t="s">
        <v>7739</v>
      </c>
      <c r="E10741" s="3" t="s">
        <v>9</v>
      </c>
      <c r="F10741" s="4">
        <v>4.5299999999999999E-7</v>
      </c>
      <c r="G10741" s="3">
        <v>124</v>
      </c>
      <c r="H10741" s="3">
        <v>33</v>
      </c>
      <c r="I10741" s="3">
        <v>106</v>
      </c>
      <c r="J10741" s="3">
        <v>427</v>
      </c>
      <c r="K10741" s="3">
        <v>723</v>
      </c>
      <c r="L10741" s="3">
        <v>1</v>
      </c>
      <c r="M10741" s="3">
        <v>102</v>
      </c>
    </row>
    <row r="10742" spans="1:13" x14ac:dyDescent="0.25">
      <c r="A10742" s="1" t="str">
        <f>HYPERLINK("http://www.rosaceae.org/Prunus/Prunus_persica/p.persica_gdr_reftransV1_0020437","p.persica_gdr_reftransV1_0020437")</f>
        <v>p.persica_gdr_reftransV1_0020437</v>
      </c>
      <c r="B10742" s="3">
        <v>3254</v>
      </c>
      <c r="C10742" s="1" t="str">
        <f>HYPERLINK("http://www.uniprot.org/uniprot/CRS1_ORYSJ","CRS1_ORYSJ")</f>
        <v>CRS1_ORYSJ</v>
      </c>
      <c r="D10742" t="s">
        <v>4257</v>
      </c>
      <c r="E10742" s="3" t="s">
        <v>38</v>
      </c>
      <c r="F10742" s="4">
        <v>7.9200000000000005E-130</v>
      </c>
      <c r="G10742" s="3">
        <v>1076</v>
      </c>
      <c r="H10742" s="3">
        <v>41</v>
      </c>
      <c r="I10742" s="3">
        <v>588</v>
      </c>
      <c r="J10742" s="3">
        <v>722</v>
      </c>
      <c r="K10742" s="3">
        <v>2467</v>
      </c>
      <c r="L10742" s="3">
        <v>124</v>
      </c>
      <c r="M10742" s="3">
        <v>705</v>
      </c>
    </row>
    <row r="10743" spans="1:13" x14ac:dyDescent="0.25">
      <c r="A10743" s="1" t="str">
        <f>HYPERLINK("http://www.rosaceae.org/Prunus/Prunus_persica/p.persica_gdr_reftransV1_0020487","p.persica_gdr_reftransV1_0020487")</f>
        <v>p.persica_gdr_reftransV1_0020487</v>
      </c>
      <c r="B10743" s="3">
        <v>2203</v>
      </c>
      <c r="C10743" s="1" t="str">
        <f>HYPERLINK("http://www.uniprot.org/uniprot/OPT5_ARATH","OPT5_ARATH")</f>
        <v>OPT5_ARATH</v>
      </c>
      <c r="D10743" t="s">
        <v>7740</v>
      </c>
      <c r="E10743" s="3" t="s">
        <v>3</v>
      </c>
      <c r="F10743" s="4">
        <v>0</v>
      </c>
      <c r="G10743" s="3">
        <v>1604</v>
      </c>
      <c r="H10743" s="3">
        <v>68</v>
      </c>
      <c r="I10743" s="3">
        <v>427</v>
      </c>
      <c r="J10743" s="3">
        <v>2</v>
      </c>
      <c r="K10743" s="3">
        <v>1282</v>
      </c>
      <c r="L10743" s="3">
        <v>30</v>
      </c>
      <c r="M10743" s="3">
        <v>456</v>
      </c>
    </row>
    <row r="10744" spans="1:13" x14ac:dyDescent="0.25">
      <c r="A10744" s="1" t="str">
        <f>HYPERLINK("http://www.rosaceae.org/Prunus/Prunus_persica/p.persica_gdr_reftransV1_0020737","p.persica_gdr_reftransV1_0020737")</f>
        <v>p.persica_gdr_reftransV1_0020737</v>
      </c>
      <c r="B10744" s="3">
        <v>1924</v>
      </c>
      <c r="C10744" s="1" t="str">
        <f>HYPERLINK("http://www.uniprot.org/uniprot/YidE_SCHPO","YidE_SCHPO")</f>
        <v>YidE_SCHPO</v>
      </c>
      <c r="D10744" t="s">
        <v>7741</v>
      </c>
      <c r="E10744" s="3" t="s">
        <v>464</v>
      </c>
      <c r="F10744" s="4">
        <v>2.2899999999999999E-36</v>
      </c>
      <c r="G10744" s="3">
        <v>353</v>
      </c>
      <c r="H10744" s="3">
        <v>34</v>
      </c>
      <c r="I10744" s="3">
        <v>229</v>
      </c>
      <c r="J10744" s="3">
        <v>676</v>
      </c>
      <c r="K10744" s="3">
        <v>1350</v>
      </c>
      <c r="L10744" s="3">
        <v>13</v>
      </c>
      <c r="M10744" s="3">
        <v>225</v>
      </c>
    </row>
    <row r="10745" spans="1:13" x14ac:dyDescent="0.25">
      <c r="A10745" s="1" t="str">
        <f>HYPERLINK("http://www.rosaceae.org/Prunus/Prunus_persica/p.persica_gdr_reftransV1_0021137","p.persica_gdr_reftransV1_0021137")</f>
        <v>p.persica_gdr_reftransV1_0021137</v>
      </c>
      <c r="B10745" s="3">
        <v>1459</v>
      </c>
      <c r="C10745" s="1" t="str">
        <f>HYPERLINK("http://www.uniprot.org/uniprot/PP424_ARATH","PP424_ARATH")</f>
        <v>PP424_ARATH</v>
      </c>
      <c r="D10745" t="s">
        <v>1681</v>
      </c>
      <c r="E10745" s="3" t="s">
        <v>3</v>
      </c>
      <c r="F10745" s="4">
        <v>1.1600000000000001E-13</v>
      </c>
      <c r="G10745" s="3">
        <v>188</v>
      </c>
      <c r="H10745" s="3">
        <v>38</v>
      </c>
      <c r="I10745" s="3">
        <v>99</v>
      </c>
      <c r="J10745" s="3">
        <v>559</v>
      </c>
      <c r="K10745" s="3">
        <v>852</v>
      </c>
      <c r="L10745" s="3">
        <v>136</v>
      </c>
      <c r="M10745" s="3">
        <v>234</v>
      </c>
    </row>
    <row r="10746" spans="1:13" x14ac:dyDescent="0.25">
      <c r="A10746" s="1" t="str">
        <f>HYPERLINK("http://www.rosaceae.org/Prunus/Prunus_persica/p.persica_gdr_reftransV1_0021237","p.persica_gdr_reftransV1_0021237")</f>
        <v>p.persica_gdr_reftransV1_0021237</v>
      </c>
      <c r="B10746" s="3">
        <v>1082</v>
      </c>
      <c r="C10746" s="1" t="str">
        <f>HYPERLINK("http://www.uniprot.org/uniprot/SPA_SOLLC","SPA_SOLLC")</f>
        <v>SPA_SOLLC</v>
      </c>
      <c r="D10746" t="s">
        <v>7742</v>
      </c>
      <c r="E10746" s="3" t="s">
        <v>64</v>
      </c>
      <c r="F10746" s="4">
        <v>1.2899999999999999E-68</v>
      </c>
      <c r="G10746" s="3">
        <v>558</v>
      </c>
      <c r="H10746" s="3">
        <v>73</v>
      </c>
      <c r="I10746" s="3">
        <v>160</v>
      </c>
      <c r="J10746" s="3">
        <v>275</v>
      </c>
      <c r="K10746" s="3">
        <v>754</v>
      </c>
      <c r="L10746" s="3">
        <v>1</v>
      </c>
      <c r="M10746" s="3">
        <v>159</v>
      </c>
    </row>
    <row r="10747" spans="1:13" x14ac:dyDescent="0.25">
      <c r="A10747" s="1" t="str">
        <f>HYPERLINK("http://www.rosaceae.org/Prunus/Prunus_persica/p.persica_gdr_reftransV1_0021537","p.persica_gdr_reftransV1_0021537")</f>
        <v>p.persica_gdr_reftransV1_0021537</v>
      </c>
      <c r="B10747" s="3">
        <v>2358</v>
      </c>
      <c r="C10747" s="1" t="str">
        <f>HYPERLINK("http://www.uniprot.org/uniprot/YHM3_SCHPO","YHM3_SCHPO")</f>
        <v>YHM3_SCHPO</v>
      </c>
      <c r="D10747" t="s">
        <v>7743</v>
      </c>
      <c r="E10747" s="3" t="s">
        <v>464</v>
      </c>
      <c r="F10747" s="4">
        <v>1.4399999999999999E-7</v>
      </c>
      <c r="G10747" s="3">
        <v>136</v>
      </c>
      <c r="H10747" s="3">
        <v>28</v>
      </c>
      <c r="I10747" s="3">
        <v>170</v>
      </c>
      <c r="J10747" s="3">
        <v>1130</v>
      </c>
      <c r="K10747" s="3">
        <v>1633</v>
      </c>
      <c r="L10747" s="3">
        <v>10</v>
      </c>
      <c r="M10747" s="3">
        <v>165</v>
      </c>
    </row>
    <row r="10748" spans="1:13" x14ac:dyDescent="0.25">
      <c r="A10748" s="1" t="str">
        <f>HYPERLINK("http://www.rosaceae.org/Prunus/Prunus_persica/p.persica_gdr_reftransV1_0021587","p.persica_gdr_reftransV1_0021587")</f>
        <v>p.persica_gdr_reftransV1_0021587</v>
      </c>
      <c r="B10748" s="3">
        <v>759</v>
      </c>
      <c r="C10748" s="1" t="str">
        <f>HYPERLINK("http://www.uniprot.org/uniprot/B3GTH_ARATH","B3GTH_ARATH")</f>
        <v>B3GTH_ARATH</v>
      </c>
      <c r="D10748" t="s">
        <v>7744</v>
      </c>
      <c r="E10748" s="3" t="s">
        <v>3</v>
      </c>
      <c r="F10748" s="4">
        <v>2.1900000000000001E-26</v>
      </c>
      <c r="G10748" s="3">
        <v>279</v>
      </c>
      <c r="H10748" s="3">
        <v>84</v>
      </c>
      <c r="I10748" s="3">
        <v>56</v>
      </c>
      <c r="J10748" s="3">
        <v>1</v>
      </c>
      <c r="K10748" s="3">
        <v>168</v>
      </c>
      <c r="L10748" s="3">
        <v>618</v>
      </c>
      <c r="M10748" s="3">
        <v>673</v>
      </c>
    </row>
    <row r="10749" spans="1:13" x14ac:dyDescent="0.25">
      <c r="A10749" s="1" t="str">
        <f>HYPERLINK("http://www.rosaceae.org/Prunus/Prunus_persica/p.persica_gdr_reftransV1_0021737","p.persica_gdr_reftransV1_0021737")</f>
        <v>p.persica_gdr_reftransV1_0021737</v>
      </c>
      <c r="B10749" s="3">
        <v>2807</v>
      </c>
      <c r="C10749" s="1" t="str">
        <f>HYPERLINK("http://www.uniprot.org/uniprot/BH080_ARATH","BH080_ARATH")</f>
        <v>BH080_ARATH</v>
      </c>
      <c r="D10749" t="s">
        <v>7745</v>
      </c>
      <c r="E10749" s="3" t="s">
        <v>3</v>
      </c>
      <c r="F10749" s="4">
        <v>2.9599999999999998E-51</v>
      </c>
      <c r="G10749" s="3">
        <v>471</v>
      </c>
      <c r="H10749" s="3">
        <v>56</v>
      </c>
      <c r="I10749" s="3">
        <v>234</v>
      </c>
      <c r="J10749" s="3">
        <v>1729</v>
      </c>
      <c r="K10749" s="3">
        <v>2343</v>
      </c>
      <c r="L10749" s="3">
        <v>28</v>
      </c>
      <c r="M10749" s="3">
        <v>257</v>
      </c>
    </row>
    <row r="10750" spans="1:13" x14ac:dyDescent="0.25">
      <c r="A10750" s="1" t="str">
        <f>HYPERLINK("http://www.rosaceae.org/Prunus/Prunus_persica/p.persica_gdr_reftransV1_0021887","p.persica_gdr_reftransV1_0021887")</f>
        <v>p.persica_gdr_reftransV1_0021887</v>
      </c>
      <c r="B10750" s="3">
        <v>3164</v>
      </c>
      <c r="C10750" s="1" t="str">
        <f>HYPERLINK("http://www.uniprot.org/uniprot/VHAA3_ARATH","VHAA3_ARATH")</f>
        <v>VHAA3_ARATH</v>
      </c>
      <c r="D10750" t="s">
        <v>7746</v>
      </c>
      <c r="E10750" s="3" t="s">
        <v>3</v>
      </c>
      <c r="F10750" s="4">
        <v>0</v>
      </c>
      <c r="G10750" s="3">
        <v>2338</v>
      </c>
      <c r="H10750" s="3">
        <v>79</v>
      </c>
      <c r="I10750" s="3">
        <v>585</v>
      </c>
      <c r="J10750" s="3">
        <v>1181</v>
      </c>
      <c r="K10750" s="3">
        <v>2932</v>
      </c>
      <c r="L10750" s="3">
        <v>237</v>
      </c>
      <c r="M10750" s="3">
        <v>821</v>
      </c>
    </row>
    <row r="10751" spans="1:13" x14ac:dyDescent="0.25">
      <c r="A10751" s="1" t="str">
        <f>HYPERLINK("http://www.rosaceae.org/Prunus/Prunus_persica/p.persica_gdr_reftransV1_0022087","p.persica_gdr_reftransV1_0022087")</f>
        <v>p.persica_gdr_reftransV1_0022087</v>
      </c>
      <c r="B10751" s="3">
        <v>4070</v>
      </c>
      <c r="C10751" s="1" t="str">
        <f>HYPERLINK("http://www.uniprot.org/uniprot/SSG1_ANTMA","SSG1_ANTMA")</f>
        <v>SSG1_ANTMA</v>
      </c>
      <c r="D10751" t="s">
        <v>6138</v>
      </c>
      <c r="E10751" s="3" t="s">
        <v>1408</v>
      </c>
      <c r="F10751" s="4">
        <v>0</v>
      </c>
      <c r="G10751" s="3">
        <v>2365</v>
      </c>
      <c r="H10751" s="3">
        <v>77</v>
      </c>
      <c r="I10751" s="3">
        <v>615</v>
      </c>
      <c r="J10751" s="3">
        <v>2097</v>
      </c>
      <c r="K10751" s="3">
        <v>3935</v>
      </c>
      <c r="L10751" s="3">
        <v>1</v>
      </c>
      <c r="M10751" s="3">
        <v>608</v>
      </c>
    </row>
    <row r="10752" spans="1:13" x14ac:dyDescent="0.25">
      <c r="A10752" s="1" t="str">
        <f>HYPERLINK("http://www.rosaceae.org/Prunus/Prunus_persica/p.persica_gdr_reftransV1_0022187","p.persica_gdr_reftransV1_0022187")</f>
        <v>p.persica_gdr_reftransV1_0022187</v>
      </c>
      <c r="B10752" s="3">
        <v>3150</v>
      </c>
      <c r="C10752" s="1" t="str">
        <f>HYPERLINK("http://www.uniprot.org/uniprot/TMK3_ARATH","TMK3_ARATH")</f>
        <v>TMK3_ARATH</v>
      </c>
      <c r="D10752" t="s">
        <v>7747</v>
      </c>
      <c r="E10752" s="3" t="s">
        <v>3</v>
      </c>
      <c r="F10752" s="4">
        <v>0</v>
      </c>
      <c r="G10752" s="3">
        <v>2628</v>
      </c>
      <c r="H10752" s="3">
        <v>60</v>
      </c>
      <c r="I10752" s="3">
        <v>961</v>
      </c>
      <c r="J10752" s="3">
        <v>85</v>
      </c>
      <c r="K10752" s="3">
        <v>2934</v>
      </c>
      <c r="L10752" s="3">
        <v>4</v>
      </c>
      <c r="M10752" s="3">
        <v>943</v>
      </c>
    </row>
    <row r="10753" spans="1:13" x14ac:dyDescent="0.25">
      <c r="A10753" s="1" t="str">
        <f>HYPERLINK("http://www.rosaceae.org/Prunus/Prunus_persica/p.persica_gdr_reftransV1_0022237","p.persica_gdr_reftransV1_0022237")</f>
        <v>p.persica_gdr_reftransV1_0022237</v>
      </c>
      <c r="B10753" s="3">
        <v>850</v>
      </c>
      <c r="C10753" s="1" t="str">
        <f>HYPERLINK("http://www.uniprot.org/uniprot/AP2S_ARATH","AP2S_ARATH")</f>
        <v>AP2S_ARATH</v>
      </c>
      <c r="D10753" t="s">
        <v>7748</v>
      </c>
      <c r="E10753" s="3" t="s">
        <v>3</v>
      </c>
      <c r="F10753" s="4">
        <v>8.3699999999999999E-93</v>
      </c>
      <c r="G10753" s="3">
        <v>709</v>
      </c>
      <c r="H10753" s="3">
        <v>95</v>
      </c>
      <c r="I10753" s="3">
        <v>142</v>
      </c>
      <c r="J10753" s="3">
        <v>173</v>
      </c>
      <c r="K10753" s="3">
        <v>598</v>
      </c>
      <c r="L10753" s="3">
        <v>1</v>
      </c>
      <c r="M10753" s="3">
        <v>142</v>
      </c>
    </row>
    <row r="10754" spans="1:13" x14ac:dyDescent="0.25">
      <c r="A10754" s="1" t="str">
        <f>HYPERLINK("http://www.rosaceae.org/Prunus/Prunus_persica/p.persica_gdr_reftransV1_0022387","p.persica_gdr_reftransV1_0022387")</f>
        <v>p.persica_gdr_reftransV1_0022387</v>
      </c>
      <c r="B10754" s="3">
        <v>3399</v>
      </c>
      <c r="C10754" s="1" t="str">
        <f>HYPERLINK("http://www.uniprot.org/uniprot/Y5392_ARATH","Y5392_ARATH")</f>
        <v>Y5392_ARATH</v>
      </c>
      <c r="D10754" t="s">
        <v>6491</v>
      </c>
      <c r="E10754" s="3" t="s">
        <v>3</v>
      </c>
      <c r="F10754" s="4">
        <v>1.7300000000000001E-87</v>
      </c>
      <c r="G10754" s="3">
        <v>784</v>
      </c>
      <c r="H10754" s="3">
        <v>51</v>
      </c>
      <c r="I10754" s="3">
        <v>299</v>
      </c>
      <c r="J10754" s="3">
        <v>1013</v>
      </c>
      <c r="K10754" s="3">
        <v>1882</v>
      </c>
      <c r="L10754" s="3">
        <v>485</v>
      </c>
      <c r="M10754" s="3">
        <v>780</v>
      </c>
    </row>
    <row r="10755" spans="1:13" x14ac:dyDescent="0.25">
      <c r="A10755" s="1" t="str">
        <f>HYPERLINK("http://www.rosaceae.org/Prunus/Prunus_persica/p.persica_gdr_reftransV1_0022437","p.persica_gdr_reftransV1_0022437")</f>
        <v>p.persica_gdr_reftransV1_0022437</v>
      </c>
      <c r="B10755" s="3">
        <v>2105</v>
      </c>
      <c r="C10755" s="1" t="str">
        <f>HYPERLINK("http://www.uniprot.org/uniprot/GEML5_ARATH","GEML5_ARATH")</f>
        <v>GEML5_ARATH</v>
      </c>
      <c r="D10755" t="s">
        <v>6402</v>
      </c>
      <c r="E10755" s="3" t="s">
        <v>3</v>
      </c>
      <c r="F10755" s="4">
        <v>1.39E-101</v>
      </c>
      <c r="G10755" s="3">
        <v>817</v>
      </c>
      <c r="H10755" s="3">
        <v>62</v>
      </c>
      <c r="I10755" s="3">
        <v>229</v>
      </c>
      <c r="J10755" s="3">
        <v>799</v>
      </c>
      <c r="K10755" s="3">
        <v>1482</v>
      </c>
      <c r="L10755" s="3">
        <v>37</v>
      </c>
      <c r="M10755" s="3">
        <v>263</v>
      </c>
    </row>
    <row r="10756" spans="1:13" x14ac:dyDescent="0.25">
      <c r="A10756" s="1" t="str">
        <f>HYPERLINK("http://www.rosaceae.org/Prunus/Prunus_persica/p.persica_gdr_reftransV1_0022737","p.persica_gdr_reftransV1_0022737")</f>
        <v>p.persica_gdr_reftransV1_0022737</v>
      </c>
      <c r="B10756" s="3">
        <v>1120</v>
      </c>
      <c r="C10756" s="1" t="str">
        <f>HYPERLINK("http://www.uniprot.org/uniprot/CYB5_TOBAC","CYB5_TOBAC")</f>
        <v>CYB5_TOBAC</v>
      </c>
      <c r="D10756" t="s">
        <v>7749</v>
      </c>
      <c r="E10756" s="3" t="s">
        <v>200</v>
      </c>
      <c r="F10756" s="4">
        <v>2.4400000000000002E-74</v>
      </c>
      <c r="G10756" s="3">
        <v>595</v>
      </c>
      <c r="H10756" s="3">
        <v>76</v>
      </c>
      <c r="I10756" s="3">
        <v>136</v>
      </c>
      <c r="J10756" s="3">
        <v>206</v>
      </c>
      <c r="K10756" s="3">
        <v>613</v>
      </c>
      <c r="L10756" s="3">
        <v>1</v>
      </c>
      <c r="M10756" s="3">
        <v>136</v>
      </c>
    </row>
    <row r="10757" spans="1:13" x14ac:dyDescent="0.25">
      <c r="A10757" s="1" t="str">
        <f>HYPERLINK("http://www.rosaceae.org/Prunus/Prunus_persica/p.persica_gdr_reftransV1_0022937","p.persica_gdr_reftransV1_0022937")</f>
        <v>p.persica_gdr_reftransV1_0022937</v>
      </c>
      <c r="B10757" s="3">
        <v>3229</v>
      </c>
      <c r="C10757" s="1" t="str">
        <f>HYPERLINK("http://www.uniprot.org/uniprot/GMK2_ORYSJ","GMK2_ORYSJ")</f>
        <v>GMK2_ORYSJ</v>
      </c>
      <c r="D10757" t="s">
        <v>7750</v>
      </c>
      <c r="E10757" s="3" t="s">
        <v>38</v>
      </c>
      <c r="F10757" s="4">
        <v>1.1099999999999999E-107</v>
      </c>
      <c r="G10757" s="3">
        <v>882</v>
      </c>
      <c r="H10757" s="3">
        <v>75</v>
      </c>
      <c r="I10757" s="3">
        <v>219</v>
      </c>
      <c r="J10757" s="3">
        <v>1997</v>
      </c>
      <c r="K10757" s="3">
        <v>2653</v>
      </c>
      <c r="L10757" s="3">
        <v>63</v>
      </c>
      <c r="M10757" s="3">
        <v>281</v>
      </c>
    </row>
    <row r="10758" spans="1:13" x14ac:dyDescent="0.25">
      <c r="A10758" s="1" t="str">
        <f>HYPERLINK("http://www.rosaceae.org/Prunus/Prunus_persica/p.persica_gdr_reftransV1_0023237","p.persica_gdr_reftransV1_0023237")</f>
        <v>p.persica_gdr_reftransV1_0023237</v>
      </c>
      <c r="B10758" s="3">
        <v>2812</v>
      </c>
      <c r="C10758" s="1" t="str">
        <f>HYPERLINK("http://www.uniprot.org/uniprot/UGT6_CATRO","UGT6_CATRO")</f>
        <v>UGT6_CATRO</v>
      </c>
      <c r="D10758" t="s">
        <v>3893</v>
      </c>
      <c r="E10758" s="3" t="s">
        <v>457</v>
      </c>
      <c r="F10758" s="4">
        <v>3.64E-158</v>
      </c>
      <c r="G10758" s="3">
        <v>1054</v>
      </c>
      <c r="H10758" s="3">
        <v>63</v>
      </c>
      <c r="I10758" s="3">
        <v>304</v>
      </c>
      <c r="J10758" s="3">
        <v>921</v>
      </c>
      <c r="K10758" s="3">
        <v>1829</v>
      </c>
      <c r="L10758" s="3">
        <v>175</v>
      </c>
      <c r="M10758" s="3">
        <v>478</v>
      </c>
    </row>
    <row r="10759" spans="1:13" x14ac:dyDescent="0.25">
      <c r="A10759" s="1" t="str">
        <f>HYPERLINK("http://www.rosaceae.org/Prunus/Prunus_persica/p.persica_gdr_reftransV1_0023287","p.persica_gdr_reftransV1_0023287")</f>
        <v>p.persica_gdr_reftransV1_0023287</v>
      </c>
      <c r="B10759" s="3">
        <v>1061</v>
      </c>
      <c r="C10759" s="1" t="str">
        <f>HYPERLINK("http://www.uniprot.org/uniprot/PP377_ARATH","PP377_ARATH")</f>
        <v>PP377_ARATH</v>
      </c>
      <c r="D10759" t="s">
        <v>1225</v>
      </c>
      <c r="E10759" s="3" t="s">
        <v>3</v>
      </c>
      <c r="F10759" s="4">
        <v>9.6900000000000001E-126</v>
      </c>
      <c r="G10759" s="3">
        <v>994</v>
      </c>
      <c r="H10759" s="3">
        <v>55</v>
      </c>
      <c r="I10759" s="3">
        <v>353</v>
      </c>
      <c r="J10759" s="3">
        <v>1</v>
      </c>
      <c r="K10759" s="3">
        <v>1059</v>
      </c>
      <c r="L10759" s="3">
        <v>193</v>
      </c>
      <c r="M10759" s="3">
        <v>545</v>
      </c>
    </row>
    <row r="10760" spans="1:13" x14ac:dyDescent="0.25">
      <c r="A10760" s="1" t="str">
        <f>HYPERLINK("http://www.rosaceae.org/Prunus/Prunus_persica/p.persica_gdr_reftransV1_0023587","p.persica_gdr_reftransV1_0023587")</f>
        <v>p.persica_gdr_reftransV1_0023587</v>
      </c>
      <c r="B10760" s="3">
        <v>3973</v>
      </c>
      <c r="C10760" s="1" t="str">
        <f>HYPERLINK("http://www.uniprot.org/uniprot/FK132_ARATH","FK132_ARATH")</f>
        <v>FK132_ARATH</v>
      </c>
      <c r="D10760" t="s">
        <v>7751</v>
      </c>
      <c r="E10760" s="3" t="s">
        <v>3</v>
      </c>
      <c r="F10760" s="4">
        <v>5.5899999999999998E-180</v>
      </c>
      <c r="G10760" s="3">
        <v>1402</v>
      </c>
      <c r="H10760" s="3">
        <v>75</v>
      </c>
      <c r="I10760" s="3">
        <v>358</v>
      </c>
      <c r="J10760" s="3">
        <v>1851</v>
      </c>
      <c r="K10760" s="3">
        <v>2921</v>
      </c>
      <c r="L10760" s="3">
        <v>36</v>
      </c>
      <c r="M10760" s="3">
        <v>393</v>
      </c>
    </row>
    <row r="10761" spans="1:13" x14ac:dyDescent="0.25">
      <c r="A10761" s="1" t="str">
        <f>HYPERLINK("http://www.rosaceae.org/Prunus/Prunus_persica/p.persica_gdr_reftransV1_0023637","p.persica_gdr_reftransV1_0023637")</f>
        <v>p.persica_gdr_reftransV1_0023637</v>
      </c>
      <c r="B10761" s="3">
        <v>2200</v>
      </c>
      <c r="C10761" s="1" t="str">
        <f>HYPERLINK("http://www.uniprot.org/uniprot/SIN2_ARATH","SIN2_ARATH")</f>
        <v>SIN2_ARATH</v>
      </c>
      <c r="D10761" t="s">
        <v>7752</v>
      </c>
      <c r="E10761" s="3" t="s">
        <v>3</v>
      </c>
      <c r="F10761" s="4">
        <v>9.9899999999999996E-51</v>
      </c>
      <c r="G10761" s="3">
        <v>473</v>
      </c>
      <c r="H10761" s="3">
        <v>43</v>
      </c>
      <c r="I10761" s="3">
        <v>279</v>
      </c>
      <c r="J10761" s="3">
        <v>264</v>
      </c>
      <c r="K10761" s="3">
        <v>1061</v>
      </c>
      <c r="L10761" s="3">
        <v>57</v>
      </c>
      <c r="M10761" s="3">
        <v>306</v>
      </c>
    </row>
    <row r="10762" spans="1:13" x14ac:dyDescent="0.25">
      <c r="A10762" s="1" t="str">
        <f>HYPERLINK("http://www.rosaceae.org/Prunus/Prunus_persica/p.persica_gdr_reftransV1_0024037","p.persica_gdr_reftransV1_0024037")</f>
        <v>p.persica_gdr_reftransV1_0024037</v>
      </c>
      <c r="B10762" s="3">
        <v>2478</v>
      </c>
      <c r="C10762" s="1" t="str">
        <f>HYPERLINK("http://www.uniprot.org/uniprot/NHAD_VIBC3","NHAD_VIBC3")</f>
        <v>NHAD_VIBC3</v>
      </c>
      <c r="D10762" t="s">
        <v>7753</v>
      </c>
      <c r="E10762" s="3" t="s">
        <v>1003</v>
      </c>
      <c r="F10762" s="4">
        <v>1.68E-17</v>
      </c>
      <c r="G10762" s="3">
        <v>222</v>
      </c>
      <c r="H10762" s="3">
        <v>36</v>
      </c>
      <c r="I10762" s="3">
        <v>203</v>
      </c>
      <c r="J10762" s="3">
        <v>1147</v>
      </c>
      <c r="K10762" s="3">
        <v>1731</v>
      </c>
      <c r="L10762" s="3">
        <v>37</v>
      </c>
      <c r="M10762" s="3">
        <v>236</v>
      </c>
    </row>
    <row r="10763" spans="1:13" x14ac:dyDescent="0.25">
      <c r="A10763" s="1" t="str">
        <f>HYPERLINK("http://www.rosaceae.org/Prunus/Prunus_persica/p.persica_gdr_reftransV1_0024287","p.persica_gdr_reftransV1_0024287")</f>
        <v>p.persica_gdr_reftransV1_0024287</v>
      </c>
      <c r="B10763" s="3">
        <v>535</v>
      </c>
      <c r="C10763" s="1" t="str">
        <f>HYPERLINK("http://www.uniprot.org/uniprot/YL728_MIMIV","YL728_MIMIV")</f>
        <v>YL728_MIMIV</v>
      </c>
      <c r="D10763" t="s">
        <v>2032</v>
      </c>
      <c r="E10763" s="3" t="s">
        <v>2033</v>
      </c>
      <c r="F10763" s="4">
        <v>1.71E-17</v>
      </c>
      <c r="G10763" s="3">
        <v>206</v>
      </c>
      <c r="H10763" s="3">
        <v>41</v>
      </c>
      <c r="I10763" s="3">
        <v>128</v>
      </c>
      <c r="J10763" s="3">
        <v>150</v>
      </c>
      <c r="K10763" s="3">
        <v>530</v>
      </c>
      <c r="L10763" s="3">
        <v>238</v>
      </c>
      <c r="M10763" s="3">
        <v>362</v>
      </c>
    </row>
    <row r="10764" spans="1:13" x14ac:dyDescent="0.25">
      <c r="A10764" s="1" t="str">
        <f>HYPERLINK("http://www.rosaceae.org/Prunus/Prunus_persica/p.persica_gdr_reftransV1_0024337","p.persica_gdr_reftransV1_0024337")</f>
        <v>p.persica_gdr_reftransV1_0024337</v>
      </c>
      <c r="B10764" s="3">
        <v>1481</v>
      </c>
      <c r="C10764" s="1" t="str">
        <f>HYPERLINK("http://www.uniprot.org/uniprot/DIOX2_PAPSO","DIOX2_PAPSO")</f>
        <v>DIOX2_PAPSO</v>
      </c>
      <c r="D10764" t="s">
        <v>2249</v>
      </c>
      <c r="E10764" s="3" t="s">
        <v>2250</v>
      </c>
      <c r="F10764" s="4">
        <v>8.0500000000000001E-66</v>
      </c>
      <c r="G10764" s="3">
        <v>567</v>
      </c>
      <c r="H10764" s="3">
        <v>37</v>
      </c>
      <c r="I10764" s="3">
        <v>350</v>
      </c>
      <c r="J10764" s="3">
        <v>305</v>
      </c>
      <c r="K10764" s="3">
        <v>1312</v>
      </c>
      <c r="L10764" s="3">
        <v>18</v>
      </c>
      <c r="M10764" s="3">
        <v>362</v>
      </c>
    </row>
    <row r="10765" spans="1:13" x14ac:dyDescent="0.25">
      <c r="A10765" s="1" t="str">
        <f>HYPERLINK("http://www.rosaceae.org/Prunus/Prunus_persica/p.persica_gdr_reftransV1_0024387","p.persica_gdr_reftransV1_0024387")</f>
        <v>p.persica_gdr_reftransV1_0024387</v>
      </c>
      <c r="B10765" s="3">
        <v>2104</v>
      </c>
      <c r="C10765" s="1" t="str">
        <f>HYPERLINK("http://www.uniprot.org/uniprot/NIP7_XENTR","NIP7_XENTR")</f>
        <v>NIP7_XENTR</v>
      </c>
      <c r="D10765" t="s">
        <v>7754</v>
      </c>
      <c r="E10765" s="3" t="s">
        <v>173</v>
      </c>
      <c r="F10765" s="4">
        <v>1.45E-72</v>
      </c>
      <c r="G10765" s="3">
        <v>610</v>
      </c>
      <c r="H10765" s="3">
        <v>61</v>
      </c>
      <c r="I10765" s="3">
        <v>187</v>
      </c>
      <c r="J10765" s="3">
        <v>1225</v>
      </c>
      <c r="K10765" s="3">
        <v>1785</v>
      </c>
      <c r="L10765" s="3">
        <v>1</v>
      </c>
      <c r="M10765" s="3">
        <v>179</v>
      </c>
    </row>
    <row r="10766" spans="1:13" x14ac:dyDescent="0.25">
      <c r="A10766" s="1" t="str">
        <f>HYPERLINK("http://www.rosaceae.org/Prunus/Prunus_persica/p.persica_gdr_reftransV1_0024587","p.persica_gdr_reftransV1_0024587")</f>
        <v>p.persica_gdr_reftransV1_0024587</v>
      </c>
      <c r="B10766" s="3">
        <v>2952</v>
      </c>
      <c r="C10766" s="1" t="str">
        <f>HYPERLINK("http://www.uniprot.org/uniprot/FRS5_ARATH","FRS5_ARATH")</f>
        <v>FRS5_ARATH</v>
      </c>
      <c r="D10766" t="s">
        <v>908</v>
      </c>
      <c r="E10766" s="3" t="s">
        <v>3</v>
      </c>
      <c r="F10766" s="4">
        <v>1.94E-108</v>
      </c>
      <c r="G10766" s="3">
        <v>926</v>
      </c>
      <c r="H10766" s="3">
        <v>33</v>
      </c>
      <c r="I10766" s="3">
        <v>648</v>
      </c>
      <c r="J10766" s="3">
        <v>815</v>
      </c>
      <c r="K10766" s="3">
        <v>2719</v>
      </c>
      <c r="L10766" s="3">
        <v>62</v>
      </c>
      <c r="M10766" s="3">
        <v>705</v>
      </c>
    </row>
    <row r="10767" spans="1:13" x14ac:dyDescent="0.25">
      <c r="A10767" s="1" t="str">
        <f>HYPERLINK("http://www.rosaceae.org/Prunus/Prunus_persica/p.persica_gdr_reftransV1_0024837","p.persica_gdr_reftransV1_0024837")</f>
        <v>p.persica_gdr_reftransV1_0024837</v>
      </c>
      <c r="B10767" s="3">
        <v>1824</v>
      </c>
      <c r="C10767" s="1" t="str">
        <f>HYPERLINK("http://www.uniprot.org/uniprot/LA1_ARATH","LA1_ARATH")</f>
        <v>LA1_ARATH</v>
      </c>
      <c r="D10767" t="s">
        <v>7755</v>
      </c>
      <c r="E10767" s="3" t="s">
        <v>3</v>
      </c>
      <c r="F10767" s="4">
        <v>7.8700000000000005E-122</v>
      </c>
      <c r="G10767" s="3">
        <v>961</v>
      </c>
      <c r="H10767" s="3">
        <v>49</v>
      </c>
      <c r="I10767" s="3">
        <v>480</v>
      </c>
      <c r="J10767" s="3">
        <v>50</v>
      </c>
      <c r="K10767" s="3">
        <v>1462</v>
      </c>
      <c r="L10767" s="3">
        <v>1</v>
      </c>
      <c r="M10767" s="3">
        <v>391</v>
      </c>
    </row>
    <row r="10768" spans="1:13" x14ac:dyDescent="0.25">
      <c r="A10768" s="1" t="str">
        <f>HYPERLINK("http://www.rosaceae.org/Prunus/Prunus_persica/p.persica_gdr_reftransV1_0024987","p.persica_gdr_reftransV1_0024987")</f>
        <v>p.persica_gdr_reftransV1_0024987</v>
      </c>
      <c r="B10768" s="3">
        <v>1856</v>
      </c>
      <c r="C10768" s="1" t="str">
        <f>HYPERLINK("http://www.uniprot.org/uniprot/PPR21_ARATH","PPR21_ARATH")</f>
        <v>PPR21_ARATH</v>
      </c>
      <c r="D10768" t="s">
        <v>3398</v>
      </c>
      <c r="E10768" s="3" t="s">
        <v>3</v>
      </c>
      <c r="F10768" s="4">
        <v>1.6000000000000001E-110</v>
      </c>
      <c r="G10768" s="3">
        <v>911</v>
      </c>
      <c r="H10768" s="3">
        <v>39</v>
      </c>
      <c r="I10768" s="3">
        <v>505</v>
      </c>
      <c r="J10768" s="3">
        <v>134</v>
      </c>
      <c r="K10768" s="3">
        <v>1543</v>
      </c>
      <c r="L10768" s="3">
        <v>112</v>
      </c>
      <c r="M10768" s="3">
        <v>615</v>
      </c>
    </row>
    <row r="10769" spans="1:13" x14ac:dyDescent="0.25">
      <c r="A10769" s="1" t="str">
        <f>HYPERLINK("http://www.rosaceae.org/Prunus/Prunus_persica/p.persica_gdr_reftransV1_0025137","p.persica_gdr_reftransV1_0025137")</f>
        <v>p.persica_gdr_reftransV1_0025137</v>
      </c>
      <c r="B10769" s="3">
        <v>2221</v>
      </c>
      <c r="C10769" s="1" t="str">
        <f>HYPERLINK("http://www.uniprot.org/uniprot/NFD4_ARATH","NFD4_ARATH")</f>
        <v>NFD4_ARATH</v>
      </c>
      <c r="D10769" t="s">
        <v>404</v>
      </c>
      <c r="E10769" s="3" t="s">
        <v>3</v>
      </c>
      <c r="F10769" s="4">
        <v>2.1300000000000002E-179</v>
      </c>
      <c r="G10769" s="3">
        <v>1371</v>
      </c>
      <c r="H10769" s="3">
        <v>58</v>
      </c>
      <c r="I10769" s="3">
        <v>595</v>
      </c>
      <c r="J10769" s="3">
        <v>380</v>
      </c>
      <c r="K10769" s="3">
        <v>2158</v>
      </c>
      <c r="L10769" s="3">
        <v>14</v>
      </c>
      <c r="M10769" s="3">
        <v>569</v>
      </c>
    </row>
    <row r="10770" spans="1:13" x14ac:dyDescent="0.25">
      <c r="A10770" s="1" t="str">
        <f>HYPERLINK("http://www.rosaceae.org/Prunus/Prunus_persica/p.persica_gdr_reftransV1_0025187","p.persica_gdr_reftransV1_0025187")</f>
        <v>p.persica_gdr_reftransV1_0025187</v>
      </c>
      <c r="B10770" s="3">
        <v>3663</v>
      </c>
      <c r="C10770" s="1" t="str">
        <f>HYPERLINK("http://www.uniprot.org/uniprot/K125_TOBAC","K125_TOBAC")</f>
        <v>K125_TOBAC</v>
      </c>
      <c r="D10770" t="s">
        <v>7756</v>
      </c>
      <c r="E10770" s="3" t="s">
        <v>200</v>
      </c>
      <c r="F10770" s="4">
        <v>0</v>
      </c>
      <c r="G10770" s="3">
        <v>1884</v>
      </c>
      <c r="H10770" s="3">
        <v>58</v>
      </c>
      <c r="I10770" s="3">
        <v>706</v>
      </c>
      <c r="J10770" s="3">
        <v>1220</v>
      </c>
      <c r="K10770" s="3">
        <v>3304</v>
      </c>
      <c r="L10770" s="3">
        <v>4</v>
      </c>
      <c r="M10770" s="3">
        <v>709</v>
      </c>
    </row>
    <row r="10771" spans="1:13" x14ac:dyDescent="0.25">
      <c r="A10771" s="1" t="str">
        <f>HYPERLINK("http://www.rosaceae.org/Prunus/Prunus_persica/p.persica_gdr_reftransV1_0025287","p.persica_gdr_reftransV1_0025287")</f>
        <v>p.persica_gdr_reftransV1_0025287</v>
      </c>
      <c r="B10771" s="3">
        <v>3504</v>
      </c>
      <c r="C10771" s="1" t="str">
        <f>HYPERLINK("http://www.uniprot.org/uniprot/TOP2_ARATH","TOP2_ARATH")</f>
        <v>TOP2_ARATH</v>
      </c>
      <c r="D10771" t="s">
        <v>7041</v>
      </c>
      <c r="E10771" s="3" t="s">
        <v>3</v>
      </c>
      <c r="F10771" s="4">
        <v>1.01E-98</v>
      </c>
      <c r="G10771" s="3">
        <v>479</v>
      </c>
      <c r="H10771" s="3">
        <v>75</v>
      </c>
      <c r="I10771" s="3">
        <v>110</v>
      </c>
      <c r="J10771" s="3">
        <v>1181</v>
      </c>
      <c r="K10771" s="3">
        <v>1507</v>
      </c>
      <c r="L10771" s="3">
        <v>830</v>
      </c>
      <c r="M10771" s="3">
        <v>939</v>
      </c>
    </row>
    <row r="10772" spans="1:13" x14ac:dyDescent="0.25">
      <c r="A10772" s="1" t="str">
        <f>HYPERLINK("http://www.rosaceae.org/Prunus/Prunus_persica/p.persica_gdr_reftransV1_0025437","p.persica_gdr_reftransV1_0025437")</f>
        <v>p.persica_gdr_reftransV1_0025437</v>
      </c>
      <c r="B10772" s="3">
        <v>3132</v>
      </c>
      <c r="C10772" s="1" t="str">
        <f>HYPERLINK("http://www.uniprot.org/uniprot/PP346_ARATH","PP346_ARATH")</f>
        <v>PP346_ARATH</v>
      </c>
      <c r="D10772" t="s">
        <v>7757</v>
      </c>
      <c r="E10772" s="3" t="s">
        <v>3</v>
      </c>
      <c r="F10772" s="4">
        <v>8.05E-152</v>
      </c>
      <c r="G10772" s="3">
        <v>1207</v>
      </c>
      <c r="H10772" s="3">
        <v>52</v>
      </c>
      <c r="I10772" s="3">
        <v>497</v>
      </c>
      <c r="J10772" s="3">
        <v>1070</v>
      </c>
      <c r="K10772" s="3">
        <v>2542</v>
      </c>
      <c r="L10772" s="3">
        <v>63</v>
      </c>
      <c r="M10772" s="3">
        <v>537</v>
      </c>
    </row>
    <row r="10773" spans="1:13" x14ac:dyDescent="0.25">
      <c r="A10773" s="1" t="str">
        <f>HYPERLINK("http://www.rosaceae.org/Prunus/Prunus_persica/p.persica_gdr_reftransV1_0025687","p.persica_gdr_reftransV1_0025687")</f>
        <v>p.persica_gdr_reftransV1_0025687</v>
      </c>
      <c r="B10773" s="3">
        <v>3126</v>
      </c>
      <c r="C10773" s="1" t="str">
        <f>HYPERLINK("http://www.uniprot.org/uniprot/IMPL1_ARATH","IMPL1_ARATH")</f>
        <v>IMPL1_ARATH</v>
      </c>
      <c r="D10773" t="s">
        <v>7758</v>
      </c>
      <c r="E10773" s="3" t="s">
        <v>3</v>
      </c>
      <c r="F10773" s="4">
        <v>7.3299999999999996E-81</v>
      </c>
      <c r="G10773" s="3">
        <v>699</v>
      </c>
      <c r="H10773" s="3">
        <v>87</v>
      </c>
      <c r="I10773" s="3">
        <v>141</v>
      </c>
      <c r="J10773" s="3">
        <v>1164</v>
      </c>
      <c r="K10773" s="3">
        <v>1586</v>
      </c>
      <c r="L10773" s="3">
        <v>167</v>
      </c>
      <c r="M10773" s="3">
        <v>307</v>
      </c>
    </row>
    <row r="10774" spans="1:13" x14ac:dyDescent="0.25">
      <c r="A10774" s="1" t="str">
        <f>HYPERLINK("http://www.rosaceae.org/Prunus/Prunus_persica/p.persica_gdr_reftransV1_0025987","p.persica_gdr_reftransV1_0025987")</f>
        <v>p.persica_gdr_reftransV1_0025987</v>
      </c>
      <c r="B10774" s="3">
        <v>3555</v>
      </c>
      <c r="C10774" s="1" t="str">
        <f>HYPERLINK("http://www.uniprot.org/uniprot/RRAA2_ARATH","RRAA2_ARATH")</f>
        <v>RRAA2_ARATH</v>
      </c>
      <c r="D10774" t="s">
        <v>7759</v>
      </c>
      <c r="E10774" s="3" t="s">
        <v>3</v>
      </c>
      <c r="F10774" s="4">
        <v>6.9599999999999994E-77</v>
      </c>
      <c r="G10774" s="3">
        <v>652</v>
      </c>
      <c r="H10774" s="3">
        <v>86</v>
      </c>
      <c r="I10774" s="3">
        <v>141</v>
      </c>
      <c r="J10774" s="3">
        <v>2656</v>
      </c>
      <c r="K10774" s="3">
        <v>3078</v>
      </c>
      <c r="L10774" s="3">
        <v>26</v>
      </c>
      <c r="M10774" s="3">
        <v>166</v>
      </c>
    </row>
    <row r="10775" spans="1:13" x14ac:dyDescent="0.25">
      <c r="A10775" s="1" t="str">
        <f>HYPERLINK("http://www.rosaceae.org/Prunus/Prunus_persica/p.persica_gdr_reftransV1_0026637","p.persica_gdr_reftransV1_0026637")</f>
        <v>p.persica_gdr_reftransV1_0026637</v>
      </c>
      <c r="B10775" s="3">
        <v>1813</v>
      </c>
      <c r="C10775" s="1" t="str">
        <f>HYPERLINK("http://www.uniprot.org/uniprot/MYO6_ARATH","MYO6_ARATH")</f>
        <v>MYO6_ARATH</v>
      </c>
      <c r="D10775" t="s">
        <v>2872</v>
      </c>
      <c r="E10775" s="3" t="s">
        <v>3</v>
      </c>
      <c r="F10775" s="4">
        <v>0</v>
      </c>
      <c r="G10775" s="3">
        <v>2266</v>
      </c>
      <c r="H10775" s="3">
        <v>85</v>
      </c>
      <c r="I10775" s="3">
        <v>479</v>
      </c>
      <c r="J10775" s="3">
        <v>2</v>
      </c>
      <c r="K10775" s="3">
        <v>1438</v>
      </c>
      <c r="L10775" s="3">
        <v>10</v>
      </c>
      <c r="M10775" s="3">
        <v>488</v>
      </c>
    </row>
    <row r="10776" spans="1:13" x14ac:dyDescent="0.25">
      <c r="A10776" s="1" t="str">
        <f>HYPERLINK("http://www.rosaceae.org/Prunus/Prunus_persica/p.persica_gdr_reftransV1_0026687","p.persica_gdr_reftransV1_0026687")</f>
        <v>p.persica_gdr_reftransV1_0026687</v>
      </c>
      <c r="B10776" s="3">
        <v>886</v>
      </c>
      <c r="C10776" s="1" t="str">
        <f>HYPERLINK("http://www.uniprot.org/uniprot/RTL1_ARATH","RTL1_ARATH")</f>
        <v>RTL1_ARATH</v>
      </c>
      <c r="D10776" t="s">
        <v>7760</v>
      </c>
      <c r="E10776" s="3" t="s">
        <v>3</v>
      </c>
      <c r="F10776" s="4">
        <v>1.6999999999999999E-11</v>
      </c>
      <c r="G10776" s="3">
        <v>158</v>
      </c>
      <c r="H10776" s="3">
        <v>51</v>
      </c>
      <c r="I10776" s="3">
        <v>104</v>
      </c>
      <c r="J10776" s="3">
        <v>292</v>
      </c>
      <c r="K10776" s="3">
        <v>600</v>
      </c>
      <c r="L10776" s="3">
        <v>94</v>
      </c>
      <c r="M10776" s="3">
        <v>192</v>
      </c>
    </row>
    <row r="10777" spans="1:13" x14ac:dyDescent="0.25">
      <c r="A10777" s="1" t="str">
        <f>HYPERLINK("http://www.rosaceae.org/Prunus/Prunus_persica/p.persica_gdr_reftransV1_0026837","p.persica_gdr_reftransV1_0026837")</f>
        <v>p.persica_gdr_reftransV1_0026837</v>
      </c>
      <c r="B10777" s="3">
        <v>2284</v>
      </c>
      <c r="C10777" s="1" t="str">
        <f>HYPERLINK("http://www.uniprot.org/uniprot/STK19_HUMAN","STK19_HUMAN")</f>
        <v>STK19_HUMAN</v>
      </c>
      <c r="D10777" t="s">
        <v>7761</v>
      </c>
      <c r="E10777" s="3" t="s">
        <v>28</v>
      </c>
      <c r="F10777" s="4">
        <v>9.0599999999999999E-7</v>
      </c>
      <c r="G10777" s="3">
        <v>132</v>
      </c>
      <c r="H10777" s="3">
        <v>29</v>
      </c>
      <c r="I10777" s="3">
        <v>124</v>
      </c>
      <c r="J10777" s="3">
        <v>1626</v>
      </c>
      <c r="K10777" s="3">
        <v>1994</v>
      </c>
      <c r="L10777" s="3">
        <v>165</v>
      </c>
      <c r="M10777" s="3">
        <v>281</v>
      </c>
    </row>
    <row r="10778" spans="1:13" x14ac:dyDescent="0.25">
      <c r="A10778" s="1" t="str">
        <f>HYPERLINK("http://www.rosaceae.org/Prunus/Prunus_persica/p.persica_gdr_reftransV1_0026987","p.persica_gdr_reftransV1_0026987")</f>
        <v>p.persica_gdr_reftransV1_0026987</v>
      </c>
      <c r="B10778" s="3">
        <v>2706</v>
      </c>
      <c r="C10778" s="1" t="str">
        <f>HYPERLINK("http://www.uniprot.org/uniprot/LAG12_ARATH","LAG12_ARATH")</f>
        <v>LAG12_ARATH</v>
      </c>
      <c r="D10778" t="s">
        <v>7762</v>
      </c>
      <c r="E10778" s="3" t="s">
        <v>3</v>
      </c>
      <c r="F10778" s="4">
        <v>1.57E-117</v>
      </c>
      <c r="G10778" s="3">
        <v>941</v>
      </c>
      <c r="H10778" s="3">
        <v>69</v>
      </c>
      <c r="I10778" s="3">
        <v>251</v>
      </c>
      <c r="J10778" s="3">
        <v>922</v>
      </c>
      <c r="K10778" s="3">
        <v>1671</v>
      </c>
      <c r="L10778" s="3">
        <v>39</v>
      </c>
      <c r="M10778" s="3">
        <v>289</v>
      </c>
    </row>
    <row r="10779" spans="1:13" x14ac:dyDescent="0.25">
      <c r="A10779" s="1" t="str">
        <f>HYPERLINK("http://www.rosaceae.org/Prunus/Prunus_persica/p.persica_gdr_reftransV1_0027487","p.persica_gdr_reftransV1_0027487")</f>
        <v>p.persica_gdr_reftransV1_0027487</v>
      </c>
      <c r="B10779" s="3">
        <v>2249</v>
      </c>
      <c r="C10779" s="1" t="str">
        <f>HYPERLINK("http://www.uniprot.org/uniprot/LOG3_ARATH","LOG3_ARATH")</f>
        <v>LOG3_ARATH</v>
      </c>
      <c r="D10779" t="s">
        <v>7763</v>
      </c>
      <c r="E10779" s="3" t="s">
        <v>3</v>
      </c>
      <c r="F10779" s="4">
        <v>1.36E-61</v>
      </c>
      <c r="G10779" s="3">
        <v>538</v>
      </c>
      <c r="H10779" s="3">
        <v>81</v>
      </c>
      <c r="I10779" s="3">
        <v>122</v>
      </c>
      <c r="J10779" s="3">
        <v>1876</v>
      </c>
      <c r="K10779" s="3">
        <v>2241</v>
      </c>
      <c r="L10779" s="3">
        <v>6</v>
      </c>
      <c r="M10779" s="3">
        <v>127</v>
      </c>
    </row>
    <row r="10780" spans="1:13" x14ac:dyDescent="0.25">
      <c r="A10780" s="1" t="str">
        <f>HYPERLINK("http://www.rosaceae.org/Prunus/Prunus_persica/p.persica_gdr_reftransV1_0027987","p.persica_gdr_reftransV1_0027987")</f>
        <v>p.persica_gdr_reftransV1_0027987</v>
      </c>
      <c r="B10780" s="3">
        <v>1727</v>
      </c>
      <c r="C10780" s="1" t="str">
        <f>HYPERLINK("http://www.uniprot.org/uniprot/RNZN_ARATH","RNZN_ARATH")</f>
        <v>RNZN_ARATH</v>
      </c>
      <c r="D10780" t="s">
        <v>7764</v>
      </c>
      <c r="E10780" s="3" t="s">
        <v>3</v>
      </c>
      <c r="F10780" s="4">
        <v>3.5600000000000001E-130</v>
      </c>
      <c r="G10780" s="3">
        <v>999</v>
      </c>
      <c r="H10780" s="3">
        <v>70</v>
      </c>
      <c r="I10780" s="3">
        <v>261</v>
      </c>
      <c r="J10780" s="3">
        <v>715</v>
      </c>
      <c r="K10780" s="3">
        <v>1497</v>
      </c>
      <c r="L10780" s="3">
        <v>2</v>
      </c>
      <c r="M10780" s="3">
        <v>255</v>
      </c>
    </row>
    <row r="10781" spans="1:13" x14ac:dyDescent="0.25">
      <c r="A10781" s="1" t="str">
        <f>HYPERLINK("http://www.rosaceae.org/Prunus/Prunus_persica/p.persica_gdr_reftransV1_0028137","p.persica_gdr_reftransV1_0028137")</f>
        <v>p.persica_gdr_reftransV1_0028137</v>
      </c>
      <c r="B10781" s="3">
        <v>3563</v>
      </c>
      <c r="C10781" s="1" t="str">
        <f>HYPERLINK("http://www.uniprot.org/uniprot/XLG3_ARATH","XLG3_ARATH")</f>
        <v>XLG3_ARATH</v>
      </c>
      <c r="D10781" t="s">
        <v>7765</v>
      </c>
      <c r="E10781" s="3" t="s">
        <v>3</v>
      </c>
      <c r="F10781" s="4">
        <v>0</v>
      </c>
      <c r="G10781" s="3">
        <v>2971</v>
      </c>
      <c r="H10781" s="3">
        <v>71</v>
      </c>
      <c r="I10781" s="3">
        <v>882</v>
      </c>
      <c r="J10781" s="3">
        <v>714</v>
      </c>
      <c r="K10781" s="3">
        <v>3296</v>
      </c>
      <c r="L10781" s="3">
        <v>1</v>
      </c>
      <c r="M10781" s="3">
        <v>848</v>
      </c>
    </row>
    <row r="10782" spans="1:13" x14ac:dyDescent="0.25">
      <c r="A10782" s="1" t="str">
        <f>HYPERLINK("http://www.rosaceae.org/Prunus/Prunus_persica/p.persica_gdr_reftransV1_0028287","p.persica_gdr_reftransV1_0028287")</f>
        <v>p.persica_gdr_reftransV1_0028287</v>
      </c>
      <c r="B10782" s="3">
        <v>2914</v>
      </c>
      <c r="C10782" s="1" t="str">
        <f>HYPERLINK("http://www.uniprot.org/uniprot/COB21_ORYSJ","COB21_ORYSJ")</f>
        <v>COB21_ORYSJ</v>
      </c>
      <c r="D10782" t="s">
        <v>7766</v>
      </c>
      <c r="E10782" s="3" t="s">
        <v>38</v>
      </c>
      <c r="F10782" s="4">
        <v>0</v>
      </c>
      <c r="G10782" s="3">
        <v>1713</v>
      </c>
      <c r="H10782" s="3">
        <v>82</v>
      </c>
      <c r="I10782" s="3">
        <v>395</v>
      </c>
      <c r="J10782" s="3">
        <v>3</v>
      </c>
      <c r="K10782" s="3">
        <v>1187</v>
      </c>
      <c r="L10782" s="3">
        <v>387</v>
      </c>
      <c r="M10782" s="3">
        <v>781</v>
      </c>
    </row>
    <row r="10783" spans="1:13" x14ac:dyDescent="0.25">
      <c r="A10783" s="1" t="str">
        <f>HYPERLINK("http://www.rosaceae.org/Prunus/Prunus_persica/p.persica_gdr_reftransV1_0028587","p.persica_gdr_reftransV1_0028587")</f>
        <v>p.persica_gdr_reftransV1_0028587</v>
      </c>
      <c r="B10783" s="3">
        <v>2859</v>
      </c>
      <c r="C10783" s="1" t="str">
        <f>HYPERLINK("http://www.uniprot.org/uniprot/THE1_ARATH","THE1_ARATH")</f>
        <v>THE1_ARATH</v>
      </c>
      <c r="D10783" t="s">
        <v>5600</v>
      </c>
      <c r="E10783" s="3" t="s">
        <v>3</v>
      </c>
      <c r="F10783" s="4">
        <v>0</v>
      </c>
      <c r="G10783" s="3">
        <v>2198</v>
      </c>
      <c r="H10783" s="3">
        <v>69</v>
      </c>
      <c r="I10783" s="3">
        <v>674</v>
      </c>
      <c r="J10783" s="3">
        <v>880</v>
      </c>
      <c r="K10783" s="3">
        <v>2859</v>
      </c>
      <c r="L10783" s="3">
        <v>22</v>
      </c>
      <c r="M10783" s="3">
        <v>694</v>
      </c>
    </row>
    <row r="10784" spans="1:13" x14ac:dyDescent="0.25">
      <c r="A10784" s="1" t="str">
        <f>HYPERLINK("http://www.rosaceae.org/Prunus/Prunus_persica/p.persica_gdr_reftransV1_0028887","p.persica_gdr_reftransV1_0028887")</f>
        <v>p.persica_gdr_reftransV1_0028887</v>
      </c>
      <c r="B10784" s="3">
        <v>2008</v>
      </c>
      <c r="C10784" s="1" t="str">
        <f>HYPERLINK("http://www.uniprot.org/uniprot/AKRP_ARATH","AKRP_ARATH")</f>
        <v>AKRP_ARATH</v>
      </c>
      <c r="D10784" t="s">
        <v>2787</v>
      </c>
      <c r="E10784" s="3" t="s">
        <v>3</v>
      </c>
      <c r="F10784" s="4">
        <v>1.2899999999999999E-156</v>
      </c>
      <c r="G10784" s="3">
        <v>1199</v>
      </c>
      <c r="H10784" s="3">
        <v>58</v>
      </c>
      <c r="I10784" s="3">
        <v>401</v>
      </c>
      <c r="J10784" s="3">
        <v>700</v>
      </c>
      <c r="K10784" s="3">
        <v>1884</v>
      </c>
      <c r="L10784" s="3">
        <v>17</v>
      </c>
      <c r="M10784" s="3">
        <v>410</v>
      </c>
    </row>
    <row r="10785" spans="1:13" x14ac:dyDescent="0.25">
      <c r="A10785" s="1" t="str">
        <f>HYPERLINK("http://www.rosaceae.org/Prunus/Prunus_persica/p.persica_gdr_reftransV1_0028987","p.persica_gdr_reftransV1_0028987")</f>
        <v>p.persica_gdr_reftransV1_0028987</v>
      </c>
      <c r="B10785" s="3">
        <v>2970</v>
      </c>
      <c r="C10785" s="1" t="str">
        <f>HYPERLINK("http://www.uniprot.org/uniprot/SLK2_ARATH","SLK2_ARATH")</f>
        <v>SLK2_ARATH</v>
      </c>
      <c r="D10785" t="s">
        <v>795</v>
      </c>
      <c r="E10785" s="3" t="s">
        <v>3</v>
      </c>
      <c r="F10785" s="4">
        <v>1.9000000000000001E-56</v>
      </c>
      <c r="G10785" s="3">
        <v>543</v>
      </c>
      <c r="H10785" s="3">
        <v>61</v>
      </c>
      <c r="I10785" s="3">
        <v>215</v>
      </c>
      <c r="J10785" s="3">
        <v>1485</v>
      </c>
      <c r="K10785" s="3">
        <v>2120</v>
      </c>
      <c r="L10785" s="3">
        <v>463</v>
      </c>
      <c r="M10785" s="3">
        <v>667</v>
      </c>
    </row>
    <row r="10786" spans="1:13" x14ac:dyDescent="0.25">
      <c r="A10786" s="1" t="str">
        <f>HYPERLINK("http://www.rosaceae.org/Prunus/Prunus_persica/p.persica_gdr_reftransV1_0029287","p.persica_gdr_reftransV1_0029287")</f>
        <v>p.persica_gdr_reftransV1_0029287</v>
      </c>
      <c r="B10786" s="3">
        <v>3823</v>
      </c>
      <c r="C10786" s="1" t="str">
        <f>HYPERLINK("http://www.uniprot.org/uniprot/LRP1A_ARATH","LRP1A_ARATH")</f>
        <v>LRP1A_ARATH</v>
      </c>
      <c r="D10786" t="s">
        <v>2101</v>
      </c>
      <c r="E10786" s="3" t="s">
        <v>3</v>
      </c>
      <c r="F10786" s="4">
        <v>1.4999999999999999E-63</v>
      </c>
      <c r="G10786" s="3">
        <v>605</v>
      </c>
      <c r="H10786" s="3">
        <v>73</v>
      </c>
      <c r="I10786" s="3">
        <v>151</v>
      </c>
      <c r="J10786" s="3">
        <v>2835</v>
      </c>
      <c r="K10786" s="3">
        <v>3287</v>
      </c>
      <c r="L10786" s="3">
        <v>674</v>
      </c>
      <c r="M10786" s="3">
        <v>821</v>
      </c>
    </row>
    <row r="10787" spans="1:13" x14ac:dyDescent="0.25">
      <c r="A10787" s="1" t="str">
        <f>HYPERLINK("http://www.rosaceae.org/Prunus/Prunus_persica/p.persica_gdr_reftransV1_0029337","p.persica_gdr_reftransV1_0029337")</f>
        <v>p.persica_gdr_reftransV1_0029337</v>
      </c>
      <c r="B10787" s="3">
        <v>1234</v>
      </c>
      <c r="C10787" s="1" t="str">
        <f>HYPERLINK("http://www.uniprot.org/uniprot/ATPD_ARATH","ATPD_ARATH")</f>
        <v>ATPD_ARATH</v>
      </c>
      <c r="D10787" t="s">
        <v>7767</v>
      </c>
      <c r="E10787" s="3" t="s">
        <v>3</v>
      </c>
      <c r="F10787" s="4">
        <v>2.5499999999999999E-11</v>
      </c>
      <c r="G10787" s="3">
        <v>161</v>
      </c>
      <c r="H10787" s="3">
        <v>31</v>
      </c>
      <c r="I10787" s="3">
        <v>101</v>
      </c>
      <c r="J10787" s="3">
        <v>543</v>
      </c>
      <c r="K10787" s="3">
        <v>845</v>
      </c>
      <c r="L10787" s="3">
        <v>52</v>
      </c>
      <c r="M10787" s="3">
        <v>152</v>
      </c>
    </row>
    <row r="10788" spans="1:13" x14ac:dyDescent="0.25">
      <c r="A10788" s="1" t="str">
        <f>HYPERLINK("http://www.rosaceae.org/Prunus/Prunus_persica/p.persica_gdr_reftransV1_0029487","p.persica_gdr_reftransV1_0029487")</f>
        <v>p.persica_gdr_reftransV1_0029487</v>
      </c>
      <c r="B10788" s="3">
        <v>605</v>
      </c>
      <c r="C10788" s="1" t="str">
        <f>HYPERLINK("http://www.uniprot.org/uniprot/SMH4_MAIZE","SMH4_MAIZE")</f>
        <v>SMH4_MAIZE</v>
      </c>
      <c r="D10788" t="s">
        <v>7768</v>
      </c>
      <c r="E10788" s="3" t="s">
        <v>72</v>
      </c>
      <c r="F10788" s="4">
        <v>2.7899999999999998E-8</v>
      </c>
      <c r="G10788" s="3">
        <v>133</v>
      </c>
      <c r="H10788" s="3">
        <v>49</v>
      </c>
      <c r="I10788" s="3">
        <v>51</v>
      </c>
      <c r="J10788" s="3">
        <v>275</v>
      </c>
      <c r="K10788" s="3">
        <v>421</v>
      </c>
      <c r="L10788" s="3">
        <v>6</v>
      </c>
      <c r="M10788" s="3">
        <v>56</v>
      </c>
    </row>
    <row r="10789" spans="1:13" x14ac:dyDescent="0.25">
      <c r="A10789" s="1" t="str">
        <f>HYPERLINK("http://www.rosaceae.org/Prunus/Prunus_persica/p.persica_gdr_reftransV1_0029537","p.persica_gdr_reftransV1_0029537")</f>
        <v>p.persica_gdr_reftransV1_0029537</v>
      </c>
      <c r="B10789" s="3">
        <v>1878</v>
      </c>
      <c r="C10789" s="1" t="str">
        <f>HYPERLINK("http://www.uniprot.org/uniprot/SPF27_ARATH","SPF27_ARATH")</f>
        <v>SPF27_ARATH</v>
      </c>
      <c r="D10789" t="s">
        <v>7769</v>
      </c>
      <c r="E10789" s="3" t="s">
        <v>3</v>
      </c>
      <c r="F10789" s="4">
        <v>4.29E-85</v>
      </c>
      <c r="G10789" s="3">
        <v>698</v>
      </c>
      <c r="H10789" s="3">
        <v>63</v>
      </c>
      <c r="I10789" s="3">
        <v>248</v>
      </c>
      <c r="J10789" s="3">
        <v>160</v>
      </c>
      <c r="K10789" s="3">
        <v>900</v>
      </c>
      <c r="L10789" s="3">
        <v>1</v>
      </c>
      <c r="M10789" s="3">
        <v>246</v>
      </c>
    </row>
    <row r="10790" spans="1:13" x14ac:dyDescent="0.25">
      <c r="A10790" s="1" t="str">
        <f>HYPERLINK("http://www.rosaceae.org/Prunus/Prunus_persica/p.persica_gdr_reftransV1_0030187","p.persica_gdr_reftransV1_0030187")</f>
        <v>p.persica_gdr_reftransV1_0030187</v>
      </c>
      <c r="B10790" s="3">
        <v>3670</v>
      </c>
      <c r="C10790" s="1" t="str">
        <f>HYPERLINK("http://www.uniprot.org/uniprot/NEK5_ARATH","NEK5_ARATH")</f>
        <v>NEK5_ARATH</v>
      </c>
      <c r="D10790" t="s">
        <v>4567</v>
      </c>
      <c r="E10790" s="3" t="s">
        <v>3</v>
      </c>
      <c r="F10790" s="4">
        <v>0</v>
      </c>
      <c r="G10790" s="3">
        <v>2321</v>
      </c>
      <c r="H10790" s="3">
        <v>56</v>
      </c>
      <c r="I10790" s="3">
        <v>1011</v>
      </c>
      <c r="J10790" s="3">
        <v>375</v>
      </c>
      <c r="K10790" s="3">
        <v>3269</v>
      </c>
      <c r="L10790" s="3">
        <v>1</v>
      </c>
      <c r="M10790" s="3">
        <v>942</v>
      </c>
    </row>
    <row r="10791" spans="1:13" x14ac:dyDescent="0.25">
      <c r="A10791" s="1" t="str">
        <f>HYPERLINK("http://www.rosaceae.org/Prunus/Prunus_persica/p.persica_gdr_reftransV1_0030237","p.persica_gdr_reftransV1_0030237")</f>
        <v>p.persica_gdr_reftransV1_0030237</v>
      </c>
      <c r="B10791" s="3">
        <v>3007</v>
      </c>
      <c r="C10791" s="1" t="str">
        <f>HYPERLINK("http://www.uniprot.org/uniprot/IBR3_ARATH","IBR3_ARATH")</f>
        <v>IBR3_ARATH</v>
      </c>
      <c r="D10791" t="s">
        <v>7770</v>
      </c>
      <c r="E10791" s="3" t="s">
        <v>3</v>
      </c>
      <c r="F10791" s="4">
        <v>0</v>
      </c>
      <c r="G10791" s="3">
        <v>1647</v>
      </c>
      <c r="H10791" s="3">
        <v>68</v>
      </c>
      <c r="I10791" s="3">
        <v>460</v>
      </c>
      <c r="J10791" s="3">
        <v>95</v>
      </c>
      <c r="K10791" s="3">
        <v>1465</v>
      </c>
      <c r="L10791" s="3">
        <v>13</v>
      </c>
      <c r="M10791" s="3">
        <v>463</v>
      </c>
    </row>
    <row r="10792" spans="1:13" x14ac:dyDescent="0.25">
      <c r="A10792" s="1" t="str">
        <f>HYPERLINK("http://www.rosaceae.org/Prunus/Prunus_persica/p.persica_gdr_reftransV1_0030287","p.persica_gdr_reftransV1_0030287")</f>
        <v>p.persica_gdr_reftransV1_0030287</v>
      </c>
      <c r="B10792" s="3">
        <v>1794</v>
      </c>
      <c r="C10792" s="1" t="str">
        <f>HYPERLINK("http://www.uniprot.org/uniprot/GLYM2_ARATH","GLYM2_ARATH")</f>
        <v>GLYM2_ARATH</v>
      </c>
      <c r="D10792" t="s">
        <v>4851</v>
      </c>
      <c r="E10792" s="3" t="s">
        <v>3</v>
      </c>
      <c r="F10792" s="4">
        <v>0</v>
      </c>
      <c r="G10792" s="3">
        <v>1482</v>
      </c>
      <c r="H10792" s="3">
        <v>87</v>
      </c>
      <c r="I10792" s="3">
        <v>329</v>
      </c>
      <c r="J10792" s="3">
        <v>808</v>
      </c>
      <c r="K10792" s="3">
        <v>1794</v>
      </c>
      <c r="L10792" s="3">
        <v>189</v>
      </c>
      <c r="M10792" s="3">
        <v>517</v>
      </c>
    </row>
    <row r="10793" spans="1:13" x14ac:dyDescent="0.25">
      <c r="A10793" s="1" t="str">
        <f>HYPERLINK("http://www.rosaceae.org/Prunus/Prunus_persica/p.persica_gdr_reftransV1_0030387","p.persica_gdr_reftransV1_0030387")</f>
        <v>p.persica_gdr_reftransV1_0030387</v>
      </c>
      <c r="B10793" s="3">
        <v>486</v>
      </c>
      <c r="C10793" s="1" t="str">
        <f>HYPERLINK("http://www.uniprot.org/uniprot/MSK3_MEDSA","MSK3_MEDSA")</f>
        <v>MSK3_MEDSA</v>
      </c>
      <c r="D10793" t="s">
        <v>5100</v>
      </c>
      <c r="E10793" s="3" t="s">
        <v>515</v>
      </c>
      <c r="F10793" s="4">
        <v>2.2299999999999999E-24</v>
      </c>
      <c r="G10793" s="3">
        <v>251</v>
      </c>
      <c r="H10793" s="3">
        <v>96</v>
      </c>
      <c r="I10793" s="3">
        <v>47</v>
      </c>
      <c r="J10793" s="3">
        <v>346</v>
      </c>
      <c r="K10793" s="3">
        <v>486</v>
      </c>
      <c r="L10793" s="3">
        <v>305</v>
      </c>
      <c r="M10793" s="3">
        <v>351</v>
      </c>
    </row>
    <row r="10794" spans="1:13" x14ac:dyDescent="0.25">
      <c r="A10794" s="1" t="str">
        <f>HYPERLINK("http://www.rosaceae.org/Prunus/Prunus_persica/p.persica_gdr_reftransV1_0030437","p.persica_gdr_reftransV1_0030437")</f>
        <v>p.persica_gdr_reftransV1_0030437</v>
      </c>
      <c r="B10794" s="3">
        <v>2446</v>
      </c>
      <c r="C10794" s="1" t="str">
        <f>HYPERLINK("http://www.uniprot.org/uniprot/PP1R8_MOUSE","PP1R8_MOUSE")</f>
        <v>PP1R8_MOUSE</v>
      </c>
      <c r="D10794" t="s">
        <v>7771</v>
      </c>
      <c r="E10794" s="3" t="s">
        <v>157</v>
      </c>
      <c r="F10794" s="4">
        <v>1.4100000000000001E-21</v>
      </c>
      <c r="G10794" s="3">
        <v>251</v>
      </c>
      <c r="H10794" s="3">
        <v>27</v>
      </c>
      <c r="I10794" s="3">
        <v>305</v>
      </c>
      <c r="J10794" s="3">
        <v>915</v>
      </c>
      <c r="K10794" s="3">
        <v>1778</v>
      </c>
      <c r="L10794" s="3">
        <v>8</v>
      </c>
      <c r="M10794" s="3">
        <v>267</v>
      </c>
    </row>
    <row r="10795" spans="1:13" x14ac:dyDescent="0.25">
      <c r="A10795" s="1" t="str">
        <f>HYPERLINK("http://www.rosaceae.org/Prunus/Prunus_persica/p.persica_gdr_reftransV1_0030737","p.persica_gdr_reftransV1_0030737")</f>
        <v>p.persica_gdr_reftransV1_0030737</v>
      </c>
      <c r="B10795" s="3">
        <v>1266</v>
      </c>
      <c r="C10795" s="1" t="str">
        <f>HYPERLINK("http://www.uniprot.org/uniprot/RPC6_DICDI","RPC6_DICDI")</f>
        <v>RPC6_DICDI</v>
      </c>
      <c r="D10795" t="s">
        <v>7772</v>
      </c>
      <c r="E10795" s="3" t="s">
        <v>9</v>
      </c>
      <c r="F10795" s="4">
        <v>9.0799999999999995E-27</v>
      </c>
      <c r="G10795" s="3">
        <v>280</v>
      </c>
      <c r="H10795" s="3">
        <v>27</v>
      </c>
      <c r="I10795" s="3">
        <v>260</v>
      </c>
      <c r="J10795" s="3">
        <v>234</v>
      </c>
      <c r="K10795" s="3">
        <v>1007</v>
      </c>
      <c r="L10795" s="3">
        <v>32</v>
      </c>
      <c r="M10795" s="3">
        <v>285</v>
      </c>
    </row>
    <row r="10796" spans="1:13" x14ac:dyDescent="0.25">
      <c r="A10796" s="1" t="str">
        <f>HYPERLINK("http://www.rosaceae.org/Prunus/Prunus_persica/p.persica_gdr_reftransV1_0030987","p.persica_gdr_reftransV1_0030987")</f>
        <v>p.persica_gdr_reftransV1_0030987</v>
      </c>
      <c r="B10796" s="3">
        <v>2183</v>
      </c>
      <c r="C10796" s="1" t="str">
        <f>HYPERLINK("http://www.uniprot.org/uniprot/COG8_MOUSE","COG8_MOUSE")</f>
        <v>COG8_MOUSE</v>
      </c>
      <c r="D10796" t="s">
        <v>7773</v>
      </c>
      <c r="E10796" s="3" t="s">
        <v>157</v>
      </c>
      <c r="F10796" s="4">
        <v>1.42E-88</v>
      </c>
      <c r="G10796" s="3">
        <v>761</v>
      </c>
      <c r="H10796" s="3">
        <v>37</v>
      </c>
      <c r="I10796" s="3">
        <v>474</v>
      </c>
      <c r="J10796" s="3">
        <v>557</v>
      </c>
      <c r="K10796" s="3">
        <v>1939</v>
      </c>
      <c r="L10796" s="3">
        <v>55</v>
      </c>
      <c r="M10796" s="3">
        <v>525</v>
      </c>
    </row>
    <row r="10797" spans="1:13" x14ac:dyDescent="0.25">
      <c r="A10797" s="1" t="str">
        <f>HYPERLINK("http://www.rosaceae.org/Prunus/Prunus_persica/p.persica_gdr_reftransV1_0031287","p.persica_gdr_reftransV1_0031287")</f>
        <v>p.persica_gdr_reftransV1_0031287</v>
      </c>
      <c r="B10797" s="3">
        <v>4263</v>
      </c>
      <c r="C10797" s="1" t="str">
        <f>HYPERLINK("http://www.uniprot.org/uniprot/POD1_ARATH","POD1_ARATH")</f>
        <v>POD1_ARATH</v>
      </c>
      <c r="D10797" t="s">
        <v>4167</v>
      </c>
      <c r="E10797" s="3" t="s">
        <v>3</v>
      </c>
      <c r="F10797" s="4">
        <v>5.1399999999999997E-78</v>
      </c>
      <c r="G10797" s="3">
        <v>706</v>
      </c>
      <c r="H10797" s="3">
        <v>46</v>
      </c>
      <c r="I10797" s="3">
        <v>357</v>
      </c>
      <c r="J10797" s="3">
        <v>274</v>
      </c>
      <c r="K10797" s="3">
        <v>1287</v>
      </c>
      <c r="L10797" s="3">
        <v>1</v>
      </c>
      <c r="M10797" s="3">
        <v>353</v>
      </c>
    </row>
    <row r="10798" spans="1:13" x14ac:dyDescent="0.25">
      <c r="A10798" s="1" t="str">
        <f>HYPERLINK("http://www.rosaceae.org/Prunus/Prunus_persica/p.persica_gdr_reftransV1_0031437","p.persica_gdr_reftransV1_0031437")</f>
        <v>p.persica_gdr_reftransV1_0031437</v>
      </c>
      <c r="B10798" s="3">
        <v>1862</v>
      </c>
      <c r="C10798" s="1" t="str">
        <f>HYPERLINK("http://www.uniprot.org/uniprot/POLX_TOBAC","POLX_TOBAC")</f>
        <v>POLX_TOBAC</v>
      </c>
      <c r="D10798" t="s">
        <v>1253</v>
      </c>
      <c r="E10798" s="3" t="s">
        <v>200</v>
      </c>
      <c r="F10798" s="4">
        <v>1.2699999999999999E-56</v>
      </c>
      <c r="G10798" s="3">
        <v>275</v>
      </c>
      <c r="H10798" s="3">
        <v>38</v>
      </c>
      <c r="I10798" s="3">
        <v>200</v>
      </c>
      <c r="J10798" s="3">
        <v>244</v>
      </c>
      <c r="K10798" s="3">
        <v>810</v>
      </c>
      <c r="L10798" s="3">
        <v>937</v>
      </c>
      <c r="M10798" s="3">
        <v>1135</v>
      </c>
    </row>
    <row r="10799" spans="1:13" x14ac:dyDescent="0.25">
      <c r="A10799" s="1" t="str">
        <f>HYPERLINK("http://www.rosaceae.org/Prunus/Prunus_persica/p.persica_gdr_reftransV1_0031537","p.persica_gdr_reftransV1_0031537")</f>
        <v>p.persica_gdr_reftransV1_0031537</v>
      </c>
      <c r="B10799" s="3">
        <v>1134</v>
      </c>
      <c r="C10799" s="1" t="str">
        <f>HYPERLINK("http://www.uniprot.org/uniprot/HACD2_BOVIN","HACD2_BOVIN")</f>
        <v>HACD2_BOVIN</v>
      </c>
      <c r="D10799" t="s">
        <v>7774</v>
      </c>
      <c r="E10799" s="3" t="s">
        <v>184</v>
      </c>
      <c r="F10799" s="4">
        <v>4.77E-18</v>
      </c>
      <c r="G10799" s="3">
        <v>163</v>
      </c>
      <c r="H10799" s="3">
        <v>40</v>
      </c>
      <c r="I10799" s="3">
        <v>95</v>
      </c>
      <c r="J10799" s="3">
        <v>427</v>
      </c>
      <c r="K10799" s="3">
        <v>696</v>
      </c>
      <c r="L10799" s="3">
        <v>145</v>
      </c>
      <c r="M10799" s="3">
        <v>239</v>
      </c>
    </row>
    <row r="10800" spans="1:13" x14ac:dyDescent="0.25">
      <c r="A10800" s="1" t="str">
        <f>HYPERLINK("http://www.rosaceae.org/Prunus/Prunus_persica/p.persica_gdr_reftransV1_0032087","p.persica_gdr_reftransV1_0032087")</f>
        <v>p.persica_gdr_reftransV1_0032087</v>
      </c>
      <c r="B10800" s="3">
        <v>2078</v>
      </c>
      <c r="C10800" s="1" t="str">
        <f>HYPERLINK("http://www.uniprot.org/uniprot/RP8L2_ARATH","RP8L2_ARATH")</f>
        <v>RP8L2_ARATH</v>
      </c>
      <c r="D10800" t="s">
        <v>1701</v>
      </c>
      <c r="E10800" s="3" t="s">
        <v>3</v>
      </c>
      <c r="F10800" s="4">
        <v>4.46E-73</v>
      </c>
      <c r="G10800" s="3">
        <v>662</v>
      </c>
      <c r="H10800" s="3">
        <v>35</v>
      </c>
      <c r="I10800" s="3">
        <v>586</v>
      </c>
      <c r="J10800" s="3">
        <v>9</v>
      </c>
      <c r="K10800" s="3">
        <v>1721</v>
      </c>
      <c r="L10800" s="3">
        <v>347</v>
      </c>
      <c r="M10800" s="3">
        <v>903</v>
      </c>
    </row>
    <row r="10801" spans="1:13" x14ac:dyDescent="0.25">
      <c r="A10801" s="1" t="str">
        <f>HYPERLINK("http://www.rosaceae.org/Prunus/Prunus_persica/p.persica_gdr_reftransV1_0032137","p.persica_gdr_reftransV1_0032137")</f>
        <v>p.persica_gdr_reftransV1_0032137</v>
      </c>
      <c r="B10801" s="3">
        <v>5700</v>
      </c>
      <c r="C10801" s="1" t="str">
        <f>HYPERLINK("http://www.uniprot.org/uniprot/FAB1D_ARATH","FAB1D_ARATH")</f>
        <v>FAB1D_ARATH</v>
      </c>
      <c r="D10801" t="s">
        <v>7775</v>
      </c>
      <c r="E10801" s="3" t="s">
        <v>3</v>
      </c>
      <c r="F10801" s="4">
        <v>0</v>
      </c>
      <c r="G10801" s="3">
        <v>3136</v>
      </c>
      <c r="H10801" s="3">
        <v>49</v>
      </c>
      <c r="I10801" s="3">
        <v>1442</v>
      </c>
      <c r="J10801" s="3">
        <v>541</v>
      </c>
      <c r="K10801" s="3">
        <v>4803</v>
      </c>
      <c r="L10801" s="3">
        <v>122</v>
      </c>
      <c r="M10801" s="3">
        <v>1451</v>
      </c>
    </row>
    <row r="10802" spans="1:13" x14ac:dyDescent="0.25">
      <c r="A10802" s="1" t="str">
        <f>HYPERLINK("http://www.rosaceae.org/Prunus/Prunus_persica/p.persica_gdr_reftransV1_0032187","p.persica_gdr_reftransV1_0032187")</f>
        <v>p.persica_gdr_reftransV1_0032187</v>
      </c>
      <c r="B10802" s="3">
        <v>2085</v>
      </c>
      <c r="C10802" s="1" t="str">
        <f>HYPERLINK("http://www.uniprot.org/uniprot/PPR71_ARATH","PPR71_ARATH")</f>
        <v>PPR71_ARATH</v>
      </c>
      <c r="D10802" t="s">
        <v>7776</v>
      </c>
      <c r="E10802" s="3" t="s">
        <v>3</v>
      </c>
      <c r="F10802" s="4">
        <v>0</v>
      </c>
      <c r="G10802" s="3">
        <v>1747</v>
      </c>
      <c r="H10802" s="3">
        <v>60</v>
      </c>
      <c r="I10802" s="3">
        <v>583</v>
      </c>
      <c r="J10802" s="3">
        <v>60</v>
      </c>
      <c r="K10802" s="3">
        <v>1778</v>
      </c>
      <c r="L10802" s="3">
        <v>6</v>
      </c>
      <c r="M10802" s="3">
        <v>581</v>
      </c>
    </row>
    <row r="10803" spans="1:13" x14ac:dyDescent="0.25">
      <c r="A10803" s="1" t="str">
        <f>HYPERLINK("http://www.rosaceae.org/Prunus/Prunus_persica/p.persica_gdr_reftransV1_0032387","p.persica_gdr_reftransV1_0032387")</f>
        <v>p.persica_gdr_reftransV1_0032387</v>
      </c>
      <c r="B10803" s="3">
        <v>1583</v>
      </c>
      <c r="C10803" s="1" t="str">
        <f>HYPERLINK("http://www.uniprot.org/uniprot/TRXB2_ARATH","TRXB2_ARATH")</f>
        <v>TRXB2_ARATH</v>
      </c>
      <c r="D10803" t="s">
        <v>7777</v>
      </c>
      <c r="E10803" s="3" t="s">
        <v>3</v>
      </c>
      <c r="F10803" s="4">
        <v>0</v>
      </c>
      <c r="G10803" s="3">
        <v>1342</v>
      </c>
      <c r="H10803" s="3">
        <v>84</v>
      </c>
      <c r="I10803" s="3">
        <v>331</v>
      </c>
      <c r="J10803" s="3">
        <v>318</v>
      </c>
      <c r="K10803" s="3">
        <v>1307</v>
      </c>
      <c r="L10803" s="3">
        <v>53</v>
      </c>
      <c r="M10803" s="3">
        <v>383</v>
      </c>
    </row>
    <row r="10804" spans="1:13" x14ac:dyDescent="0.25">
      <c r="A10804" s="1" t="str">
        <f>HYPERLINK("http://www.rosaceae.org/Prunus/Prunus_persica/p.persica_gdr_reftransV1_0032587","p.persica_gdr_reftransV1_0032587")</f>
        <v>p.persica_gdr_reftransV1_0032587</v>
      </c>
      <c r="B10804" s="3">
        <v>2369</v>
      </c>
      <c r="C10804" s="1" t="str">
        <f>HYPERLINK("http://www.uniprot.org/uniprot/UGPA_MUSAC","UGPA_MUSAC")</f>
        <v>UGPA_MUSAC</v>
      </c>
      <c r="D10804" t="s">
        <v>7778</v>
      </c>
      <c r="E10804" s="3" t="s">
        <v>7779</v>
      </c>
      <c r="F10804" s="4">
        <v>3.0000000000000001E-95</v>
      </c>
      <c r="G10804" s="3">
        <v>561</v>
      </c>
      <c r="H10804" s="3">
        <v>42</v>
      </c>
      <c r="I10804" s="3">
        <v>347</v>
      </c>
      <c r="J10804" s="3">
        <v>668</v>
      </c>
      <c r="K10804" s="3">
        <v>1624</v>
      </c>
      <c r="L10804" s="3">
        <v>38</v>
      </c>
      <c r="M10804" s="3">
        <v>341</v>
      </c>
    </row>
    <row r="10805" spans="1:13" x14ac:dyDescent="0.25">
      <c r="A10805" s="1" t="str">
        <f>HYPERLINK("http://www.rosaceae.org/Prunus/Prunus_persica/p.persica_gdr_reftransV1_0032937","p.persica_gdr_reftransV1_0032937")</f>
        <v>p.persica_gdr_reftransV1_0032937</v>
      </c>
      <c r="B10805" s="3">
        <v>1666</v>
      </c>
      <c r="C10805" s="1" t="str">
        <f>HYPERLINK("http://www.uniprot.org/uniprot/PPR21_ARATH","PPR21_ARATH")</f>
        <v>PPR21_ARATH</v>
      </c>
      <c r="D10805" t="s">
        <v>3398</v>
      </c>
      <c r="E10805" s="3" t="s">
        <v>3</v>
      </c>
      <c r="F10805" s="4">
        <v>4.3999999999999998E-138</v>
      </c>
      <c r="G10805" s="3">
        <v>1091</v>
      </c>
      <c r="H10805" s="3">
        <v>46</v>
      </c>
      <c r="I10805" s="3">
        <v>436</v>
      </c>
      <c r="J10805" s="3">
        <v>363</v>
      </c>
      <c r="K10805" s="3">
        <v>1664</v>
      </c>
      <c r="L10805" s="3">
        <v>206</v>
      </c>
      <c r="M10805" s="3">
        <v>641</v>
      </c>
    </row>
    <row r="10806" spans="1:13" x14ac:dyDescent="0.25">
      <c r="A10806" s="1" t="str">
        <f>HYPERLINK("http://www.rosaceae.org/Prunus/Prunus_persica/p.persica_gdr_reftransV1_0032987","p.persica_gdr_reftransV1_0032987")</f>
        <v>p.persica_gdr_reftransV1_0032987</v>
      </c>
      <c r="B10806" s="3">
        <v>2033</v>
      </c>
      <c r="C10806" s="1" t="str">
        <f>HYPERLINK("http://www.uniprot.org/uniprot/Y2433_ARATH","Y2433_ARATH")</f>
        <v>Y2433_ARATH</v>
      </c>
      <c r="D10806" t="s">
        <v>4639</v>
      </c>
      <c r="E10806" s="3" t="s">
        <v>3</v>
      </c>
      <c r="F10806" s="4">
        <v>1.05E-139</v>
      </c>
      <c r="G10806" s="3">
        <v>1084</v>
      </c>
      <c r="H10806" s="3">
        <v>62</v>
      </c>
      <c r="I10806" s="3">
        <v>345</v>
      </c>
      <c r="J10806" s="3">
        <v>398</v>
      </c>
      <c r="K10806" s="3">
        <v>1414</v>
      </c>
      <c r="L10806" s="3">
        <v>7</v>
      </c>
      <c r="M10806" s="3">
        <v>348</v>
      </c>
    </row>
    <row r="10807" spans="1:13" x14ac:dyDescent="0.25">
      <c r="A10807" s="1" t="str">
        <f>HYPERLINK("http://www.rosaceae.org/Prunus/Prunus_persica/p.persica_gdr_reftransV1_0033087","p.persica_gdr_reftransV1_0033087")</f>
        <v>p.persica_gdr_reftransV1_0033087</v>
      </c>
      <c r="B10807" s="3">
        <v>3232</v>
      </c>
      <c r="C10807" s="1" t="str">
        <f>HYPERLINK("http://www.uniprot.org/uniprot/PP252_ARATH","PP252_ARATH")</f>
        <v>PP252_ARATH</v>
      </c>
      <c r="D10807" t="s">
        <v>7780</v>
      </c>
      <c r="E10807" s="3" t="s">
        <v>3</v>
      </c>
      <c r="F10807" s="4">
        <v>0</v>
      </c>
      <c r="G10807" s="3">
        <v>2158</v>
      </c>
      <c r="H10807" s="3">
        <v>69</v>
      </c>
      <c r="I10807" s="3">
        <v>580</v>
      </c>
      <c r="J10807" s="3">
        <v>1423</v>
      </c>
      <c r="K10807" s="3">
        <v>3162</v>
      </c>
      <c r="L10807" s="3">
        <v>56</v>
      </c>
      <c r="M10807" s="3">
        <v>633</v>
      </c>
    </row>
    <row r="10808" spans="1:13" x14ac:dyDescent="0.25">
      <c r="A10808" s="1" t="str">
        <f>HYPERLINK("http://www.rosaceae.org/Prunus/Prunus_persica/p.persica_gdr_reftransV1_0033187","p.persica_gdr_reftransV1_0033187")</f>
        <v>p.persica_gdr_reftransV1_0033187</v>
      </c>
      <c r="B10808" s="3">
        <v>3923</v>
      </c>
      <c r="C10808" s="1" t="str">
        <f>HYPERLINK("http://www.uniprot.org/uniprot/PP442_ARATH","PP442_ARATH")</f>
        <v>PP442_ARATH</v>
      </c>
      <c r="D10808" t="s">
        <v>7781</v>
      </c>
      <c r="E10808" s="3" t="s">
        <v>3</v>
      </c>
      <c r="F10808" s="4">
        <v>0</v>
      </c>
      <c r="G10808" s="3">
        <v>2049</v>
      </c>
      <c r="H10808" s="3">
        <v>42</v>
      </c>
      <c r="I10808" s="3">
        <v>972</v>
      </c>
      <c r="J10808" s="3">
        <v>333</v>
      </c>
      <c r="K10808" s="3">
        <v>3230</v>
      </c>
      <c r="L10808" s="3">
        <v>33</v>
      </c>
      <c r="M10808" s="3">
        <v>959</v>
      </c>
    </row>
    <row r="10809" spans="1:13" x14ac:dyDescent="0.25">
      <c r="A10809" s="1" t="str">
        <f>HYPERLINK("http://www.rosaceae.org/Prunus/Prunus_persica/p.persica_gdr_reftransV1_0033237","p.persica_gdr_reftransV1_0033237")</f>
        <v>p.persica_gdr_reftransV1_0033237</v>
      </c>
      <c r="B10809" s="3">
        <v>1845</v>
      </c>
      <c r="C10809" s="1" t="str">
        <f>HYPERLINK("http://www.uniprot.org/uniprot/VA0D1_ARATH","VA0D1_ARATH")</f>
        <v>VA0D1_ARATH</v>
      </c>
      <c r="D10809" t="s">
        <v>7782</v>
      </c>
      <c r="E10809" s="3" t="s">
        <v>3</v>
      </c>
      <c r="F10809" s="4">
        <v>8.1000000000000005E-175</v>
      </c>
      <c r="G10809" s="3">
        <v>1306</v>
      </c>
      <c r="H10809" s="3">
        <v>94</v>
      </c>
      <c r="I10809" s="3">
        <v>251</v>
      </c>
      <c r="J10809" s="3">
        <v>291</v>
      </c>
      <c r="K10809" s="3">
        <v>1043</v>
      </c>
      <c r="L10809" s="3">
        <v>101</v>
      </c>
      <c r="M10809" s="3">
        <v>351</v>
      </c>
    </row>
    <row r="10810" spans="1:13" x14ac:dyDescent="0.25">
      <c r="A10810" s="1" t="str">
        <f>HYPERLINK("http://www.rosaceae.org/Prunus/Prunus_persica/p.persica_gdr_reftransV1_0034487","p.persica_gdr_reftransV1_0034487")</f>
        <v>p.persica_gdr_reftransV1_0034487</v>
      </c>
      <c r="B10810" s="3">
        <v>1373</v>
      </c>
      <c r="C10810" s="1" t="str">
        <f>HYPERLINK("http://www.uniprot.org/uniprot/E1314_ARATH","E1314_ARATH")</f>
        <v>E1314_ARATH</v>
      </c>
      <c r="D10810" t="s">
        <v>7783</v>
      </c>
      <c r="E10810" s="3" t="s">
        <v>3</v>
      </c>
      <c r="F10810" s="4">
        <v>1.13E-113</v>
      </c>
      <c r="G10810" s="3">
        <v>889</v>
      </c>
      <c r="H10810" s="3">
        <v>51</v>
      </c>
      <c r="I10810" s="3">
        <v>321</v>
      </c>
      <c r="J10810" s="3">
        <v>317</v>
      </c>
      <c r="K10810" s="3">
        <v>1279</v>
      </c>
      <c r="L10810" s="3">
        <v>30</v>
      </c>
      <c r="M10810" s="3">
        <v>350</v>
      </c>
    </row>
    <row r="10811" spans="1:13" x14ac:dyDescent="0.25">
      <c r="A10811" s="1" t="str">
        <f>HYPERLINK("http://www.rosaceae.org/Prunus/Prunus_persica/p.persica_gdr_reftransV1_0034537","p.persica_gdr_reftransV1_0034537")</f>
        <v>p.persica_gdr_reftransV1_0034537</v>
      </c>
      <c r="B10811" s="3">
        <v>4095</v>
      </c>
      <c r="C10811" s="1" t="str">
        <f>HYPERLINK("http://www.uniprot.org/uniprot/EML3_ARATH","EML3_ARATH")</f>
        <v>EML3_ARATH</v>
      </c>
      <c r="D10811" t="s">
        <v>6358</v>
      </c>
      <c r="E10811" s="3" t="s">
        <v>3</v>
      </c>
      <c r="F10811" s="4">
        <v>6.4699999999999998E-112</v>
      </c>
      <c r="G10811" s="3">
        <v>934</v>
      </c>
      <c r="H10811" s="3">
        <v>55</v>
      </c>
      <c r="I10811" s="3">
        <v>392</v>
      </c>
      <c r="J10811" s="3">
        <v>2568</v>
      </c>
      <c r="K10811" s="3">
        <v>3656</v>
      </c>
      <c r="L10811" s="3">
        <v>22</v>
      </c>
      <c r="M10811" s="3">
        <v>396</v>
      </c>
    </row>
    <row r="10812" spans="1:13" x14ac:dyDescent="0.25">
      <c r="A10812" s="1" t="str">
        <f>HYPERLINK("http://www.rosaceae.org/Prunus/Prunus_persica/p.persica_gdr_reftransV1_0034637","p.persica_gdr_reftransV1_0034637")</f>
        <v>p.persica_gdr_reftransV1_0034637</v>
      </c>
      <c r="B10812" s="3">
        <v>5734</v>
      </c>
      <c r="C10812" s="1" t="str">
        <f>HYPERLINK("http://www.uniprot.org/uniprot/XPO1A_ARATH","XPO1A_ARATH")</f>
        <v>XPO1A_ARATH</v>
      </c>
      <c r="D10812" t="s">
        <v>7784</v>
      </c>
      <c r="E10812" s="3" t="s">
        <v>3</v>
      </c>
      <c r="F10812" s="4">
        <v>0</v>
      </c>
      <c r="G10812" s="3">
        <v>5046</v>
      </c>
      <c r="H10812" s="3">
        <v>88</v>
      </c>
      <c r="I10812" s="3">
        <v>1076</v>
      </c>
      <c r="J10812" s="3">
        <v>2321</v>
      </c>
      <c r="K10812" s="3">
        <v>5548</v>
      </c>
      <c r="L10812" s="3">
        <v>1</v>
      </c>
      <c r="M10812" s="3">
        <v>1075</v>
      </c>
    </row>
    <row r="10813" spans="1:13" x14ac:dyDescent="0.25">
      <c r="A10813" s="1" t="str">
        <f>HYPERLINK("http://www.rosaceae.org/Prunus/Prunus_persica/p.persica_gdr_reftransV1_0034937","p.persica_gdr_reftransV1_0034937")</f>
        <v>p.persica_gdr_reftransV1_0034937</v>
      </c>
      <c r="B10813" s="3">
        <v>1063</v>
      </c>
      <c r="C10813" s="1" t="str">
        <f>HYPERLINK("http://www.uniprot.org/uniprot/DYAD_ARATH","DYAD_ARATH")</f>
        <v>DYAD_ARATH</v>
      </c>
      <c r="D10813" t="s">
        <v>6934</v>
      </c>
      <c r="E10813" s="3" t="s">
        <v>3</v>
      </c>
      <c r="F10813" s="4">
        <v>4.4500000000000002E-37</v>
      </c>
      <c r="G10813" s="3">
        <v>365</v>
      </c>
      <c r="H10813" s="3">
        <v>69</v>
      </c>
      <c r="I10813" s="3">
        <v>102</v>
      </c>
      <c r="J10813" s="3">
        <v>612</v>
      </c>
      <c r="K10813" s="3">
        <v>917</v>
      </c>
      <c r="L10813" s="3">
        <v>279</v>
      </c>
      <c r="M10813" s="3">
        <v>376</v>
      </c>
    </row>
    <row r="10814" spans="1:13" x14ac:dyDescent="0.25">
      <c r="A10814" s="1" t="str">
        <f>HYPERLINK("http://www.rosaceae.org/Prunus/Prunus_persica/p.persica_gdr_reftransV1_0035087","p.persica_gdr_reftransV1_0035087")</f>
        <v>p.persica_gdr_reftransV1_0035087</v>
      </c>
      <c r="B10814" s="3">
        <v>1541</v>
      </c>
      <c r="C10814" s="1" t="str">
        <f>HYPERLINK("http://www.uniprot.org/uniprot/MED11_ARATH","MED11_ARATH")</f>
        <v>MED11_ARATH</v>
      </c>
      <c r="D10814" t="s">
        <v>7785</v>
      </c>
      <c r="E10814" s="3" t="s">
        <v>3</v>
      </c>
      <c r="F10814" s="4">
        <v>2.8700000000000001E-56</v>
      </c>
      <c r="G10814" s="3">
        <v>481</v>
      </c>
      <c r="H10814" s="3">
        <v>75</v>
      </c>
      <c r="I10814" s="3">
        <v>114</v>
      </c>
      <c r="J10814" s="3">
        <v>465</v>
      </c>
      <c r="K10814" s="3">
        <v>806</v>
      </c>
      <c r="L10814" s="3">
        <v>1</v>
      </c>
      <c r="M10814" s="3">
        <v>114</v>
      </c>
    </row>
    <row r="10815" spans="1:13" x14ac:dyDescent="0.25">
      <c r="A10815" s="1" t="str">
        <f>HYPERLINK("http://www.rosaceae.org/Prunus/Prunus_persica/p.persica_gdr_reftransV1_0035387","p.persica_gdr_reftransV1_0035387")</f>
        <v>p.persica_gdr_reftransV1_0035387</v>
      </c>
      <c r="B10815" s="3">
        <v>3293</v>
      </c>
      <c r="C10815" s="1" t="str">
        <f>HYPERLINK("http://www.uniprot.org/uniprot/WEB1_ARATH","WEB1_ARATH")</f>
        <v>WEB1_ARATH</v>
      </c>
      <c r="D10815" t="s">
        <v>7786</v>
      </c>
      <c r="E10815" s="3" t="s">
        <v>3</v>
      </c>
      <c r="F10815" s="4">
        <v>0</v>
      </c>
      <c r="G10815" s="3">
        <v>1679</v>
      </c>
      <c r="H10815" s="3">
        <v>65</v>
      </c>
      <c r="I10815" s="3">
        <v>757</v>
      </c>
      <c r="J10815" s="3">
        <v>720</v>
      </c>
      <c r="K10815" s="3">
        <v>2966</v>
      </c>
      <c r="L10815" s="3">
        <v>86</v>
      </c>
      <c r="M10815" s="3">
        <v>807</v>
      </c>
    </row>
    <row r="10816" spans="1:13" x14ac:dyDescent="0.25">
      <c r="A10816" s="1" t="str">
        <f>HYPERLINK("http://www.rosaceae.org/Prunus/Prunus_persica/p.persica_gdr_reftransV1_0035487","p.persica_gdr_reftransV1_0035487")</f>
        <v>p.persica_gdr_reftransV1_0035487</v>
      </c>
      <c r="B10816" s="3">
        <v>4567</v>
      </c>
      <c r="C10816" s="1" t="str">
        <f>HYPERLINK("http://www.uniprot.org/uniprot/PCKA_ARATH","PCKA_ARATH")</f>
        <v>PCKA_ARATH</v>
      </c>
      <c r="D10816" t="s">
        <v>4882</v>
      </c>
      <c r="E10816" s="3" t="s">
        <v>3</v>
      </c>
      <c r="F10816" s="4">
        <v>0</v>
      </c>
      <c r="G10816" s="3">
        <v>1902</v>
      </c>
      <c r="H10816" s="3">
        <v>90</v>
      </c>
      <c r="I10816" s="3">
        <v>399</v>
      </c>
      <c r="J10816" s="3">
        <v>3098</v>
      </c>
      <c r="K10816" s="3">
        <v>4294</v>
      </c>
      <c r="L10816" s="3">
        <v>273</v>
      </c>
      <c r="M10816" s="3">
        <v>671</v>
      </c>
    </row>
    <row r="10817" spans="1:13" x14ac:dyDescent="0.25">
      <c r="A10817" s="1" t="str">
        <f>HYPERLINK("http://www.rosaceae.org/Prunus/Prunus_persica/p.persica_gdr_reftransV1_0036337","p.persica_gdr_reftransV1_0036337")</f>
        <v>p.persica_gdr_reftransV1_0036337</v>
      </c>
      <c r="B10817" s="3">
        <v>1660</v>
      </c>
      <c r="C10817" s="1" t="str">
        <f>HYPERLINK("http://www.uniprot.org/uniprot/SIEL_ARATH","SIEL_ARATH")</f>
        <v>SIEL_ARATH</v>
      </c>
      <c r="D10817" t="s">
        <v>2495</v>
      </c>
      <c r="E10817" s="3" t="s">
        <v>3</v>
      </c>
      <c r="F10817" s="4">
        <v>4.1100000000000002E-109</v>
      </c>
      <c r="G10817" s="3">
        <v>570</v>
      </c>
      <c r="H10817" s="3">
        <v>49</v>
      </c>
      <c r="I10817" s="3">
        <v>275</v>
      </c>
      <c r="J10817" s="3">
        <v>2</v>
      </c>
      <c r="K10817" s="3">
        <v>823</v>
      </c>
      <c r="L10817" s="3">
        <v>252</v>
      </c>
      <c r="M10817" s="3">
        <v>524</v>
      </c>
    </row>
    <row r="10818" spans="1:13" x14ac:dyDescent="0.25">
      <c r="A10818" s="1" t="str">
        <f>HYPERLINK("http://www.rosaceae.org/Prunus/Prunus_persica/p.persica_gdr_reftransV1_0036587","p.persica_gdr_reftransV1_0036587")</f>
        <v>p.persica_gdr_reftransV1_0036587</v>
      </c>
      <c r="B10818" s="3">
        <v>519</v>
      </c>
      <c r="C10818" s="1" t="str">
        <f>HYPERLINK("http://www.uniprot.org/uniprot/PP145_ARATH","PP145_ARATH")</f>
        <v>PP145_ARATH</v>
      </c>
      <c r="D10818" t="s">
        <v>5029</v>
      </c>
      <c r="E10818" s="3" t="s">
        <v>3</v>
      </c>
      <c r="F10818" s="4">
        <v>1.62E-14</v>
      </c>
      <c r="G10818" s="3">
        <v>183</v>
      </c>
      <c r="H10818" s="3">
        <v>35</v>
      </c>
      <c r="I10818" s="3">
        <v>144</v>
      </c>
      <c r="J10818" s="3">
        <v>5</v>
      </c>
      <c r="K10818" s="3">
        <v>427</v>
      </c>
      <c r="L10818" s="3">
        <v>38</v>
      </c>
      <c r="M10818" s="3">
        <v>171</v>
      </c>
    </row>
    <row r="10819" spans="1:13" x14ac:dyDescent="0.25">
      <c r="A10819" s="1" t="str">
        <f>HYPERLINK("http://www.rosaceae.org/Prunus/Prunus_persica/p.persica_gdr_reftransV1_0036687","p.persica_gdr_reftransV1_0036687")</f>
        <v>p.persica_gdr_reftransV1_0036687</v>
      </c>
      <c r="B10819" s="3">
        <v>1379</v>
      </c>
      <c r="C10819" s="1" t="str">
        <f>HYPERLINK("http://www.uniprot.org/uniprot/DRL13_ARATH","DRL13_ARATH")</f>
        <v>DRL13_ARATH</v>
      </c>
      <c r="D10819" t="s">
        <v>3371</v>
      </c>
      <c r="E10819" s="3" t="s">
        <v>3</v>
      </c>
      <c r="F10819" s="4">
        <v>7.89E-22</v>
      </c>
      <c r="G10819" s="3">
        <v>254</v>
      </c>
      <c r="H10819" s="3">
        <v>33</v>
      </c>
      <c r="I10819" s="3">
        <v>293</v>
      </c>
      <c r="J10819" s="3">
        <v>486</v>
      </c>
      <c r="K10819" s="3">
        <v>1358</v>
      </c>
      <c r="L10819" s="3">
        <v>589</v>
      </c>
      <c r="M10819" s="3">
        <v>864</v>
      </c>
    </row>
    <row r="10820" spans="1:13" x14ac:dyDescent="0.25">
      <c r="A10820" s="1" t="str">
        <f>HYPERLINK("http://www.rosaceae.org/Prunus/Prunus_persica/p.persica_gdr_reftransV1_0036937","p.persica_gdr_reftransV1_0036937")</f>
        <v>p.persica_gdr_reftransV1_0036937</v>
      </c>
      <c r="B10820" s="3">
        <v>5063</v>
      </c>
      <c r="C10820" s="1" t="str">
        <f>HYPERLINK("http://www.uniprot.org/uniprot/E135_ARATH","E135_ARATH")</f>
        <v>E135_ARATH</v>
      </c>
      <c r="D10820" t="s">
        <v>6888</v>
      </c>
      <c r="E10820" s="3" t="s">
        <v>3</v>
      </c>
      <c r="F10820" s="4">
        <v>0</v>
      </c>
      <c r="G10820" s="3">
        <v>1736</v>
      </c>
      <c r="H10820" s="3">
        <v>69</v>
      </c>
      <c r="I10820" s="3">
        <v>455</v>
      </c>
      <c r="J10820" s="3">
        <v>902</v>
      </c>
      <c r="K10820" s="3">
        <v>2263</v>
      </c>
      <c r="L10820" s="3">
        <v>2</v>
      </c>
      <c r="M10820" s="3">
        <v>453</v>
      </c>
    </row>
    <row r="10821" spans="1:13" x14ac:dyDescent="0.25">
      <c r="A10821" s="1" t="str">
        <f>HYPERLINK("http://www.rosaceae.org/Prunus/Prunus_persica/p.persica_gdr_reftransV1_0037287","p.persica_gdr_reftransV1_0037287")</f>
        <v>p.persica_gdr_reftransV1_0037287</v>
      </c>
      <c r="B10821" s="3">
        <v>1428</v>
      </c>
      <c r="C10821" s="1" t="str">
        <f>HYPERLINK("http://www.uniprot.org/uniprot/U73D1_ARATH","U73D1_ARATH")</f>
        <v>U73D1_ARATH</v>
      </c>
      <c r="D10821" t="s">
        <v>3915</v>
      </c>
      <c r="E10821" s="3" t="s">
        <v>3</v>
      </c>
      <c r="F10821" s="4">
        <v>2.5299999999999999E-136</v>
      </c>
      <c r="G10821" s="3">
        <v>1052</v>
      </c>
      <c r="H10821" s="3">
        <v>64</v>
      </c>
      <c r="I10821" s="3">
        <v>321</v>
      </c>
      <c r="J10821" s="3">
        <v>474</v>
      </c>
      <c r="K10821" s="3">
        <v>1427</v>
      </c>
      <c r="L10821" s="3">
        <v>130</v>
      </c>
      <c r="M10821" s="3">
        <v>450</v>
      </c>
    </row>
    <row r="10822" spans="1:13" x14ac:dyDescent="0.25">
      <c r="A10822" s="1" t="str">
        <f>HYPERLINK("http://www.rosaceae.org/Prunus/Prunus_persica/p.persica_gdr_reftransV1_0037937","p.persica_gdr_reftransV1_0037937")</f>
        <v>p.persica_gdr_reftransV1_0037937</v>
      </c>
      <c r="B10822" s="3">
        <v>1716</v>
      </c>
      <c r="C10822" s="1" t="str">
        <f>HYPERLINK("http://www.uniprot.org/uniprot/RBL1_ARATH","RBL1_ARATH")</f>
        <v>RBL1_ARATH</v>
      </c>
      <c r="D10822" t="s">
        <v>5163</v>
      </c>
      <c r="E10822" s="3" t="s">
        <v>3</v>
      </c>
      <c r="F10822" s="4">
        <v>8.3400000000000008E-112</v>
      </c>
      <c r="G10822" s="3">
        <v>886</v>
      </c>
      <c r="H10822" s="3">
        <v>71</v>
      </c>
      <c r="I10822" s="3">
        <v>338</v>
      </c>
      <c r="J10822" s="3">
        <v>325</v>
      </c>
      <c r="K10822" s="3">
        <v>1338</v>
      </c>
      <c r="L10822" s="3">
        <v>51</v>
      </c>
      <c r="M10822" s="3">
        <v>388</v>
      </c>
    </row>
    <row r="10823" spans="1:13" x14ac:dyDescent="0.25">
      <c r="A10823" s="1" t="str">
        <f>HYPERLINK("http://www.rosaceae.org/Prunus/Prunus_persica/p.persica_gdr_reftransV1_0038037","p.persica_gdr_reftransV1_0038037")</f>
        <v>p.persica_gdr_reftransV1_0038037</v>
      </c>
      <c r="B10823" s="3">
        <v>2012</v>
      </c>
      <c r="C10823" s="1" t="str">
        <f>HYPERLINK("http://www.uniprot.org/uniprot/YBEG_SCHPO","YBEG_SCHPO")</f>
        <v>YBEG_SCHPO</v>
      </c>
      <c r="D10823" t="s">
        <v>7787</v>
      </c>
      <c r="E10823" s="3" t="s">
        <v>464</v>
      </c>
      <c r="F10823" s="4">
        <v>1.6E-78</v>
      </c>
      <c r="G10823" s="3">
        <v>678</v>
      </c>
      <c r="H10823" s="3">
        <v>40</v>
      </c>
      <c r="I10823" s="3">
        <v>387</v>
      </c>
      <c r="J10823" s="3">
        <v>386</v>
      </c>
      <c r="K10823" s="3">
        <v>1534</v>
      </c>
      <c r="L10823" s="3">
        <v>106</v>
      </c>
      <c r="M10823" s="3">
        <v>479</v>
      </c>
    </row>
    <row r="10824" spans="1:13" x14ac:dyDescent="0.25">
      <c r="A10824" s="1" t="str">
        <f>HYPERLINK("http://www.rosaceae.org/Prunus/Prunus_persica/p.persica_gdr_reftransV1_0038087","p.persica_gdr_reftransV1_0038087")</f>
        <v>p.persica_gdr_reftransV1_0038087</v>
      </c>
      <c r="B10824" s="3">
        <v>2833</v>
      </c>
      <c r="C10824" s="1" t="str">
        <f>HYPERLINK("http://www.uniprot.org/uniprot/Y3148_ARATH","Y3148_ARATH")</f>
        <v>Y3148_ARATH</v>
      </c>
      <c r="D10824" t="s">
        <v>953</v>
      </c>
      <c r="E10824" s="3" t="s">
        <v>3</v>
      </c>
      <c r="F10824" s="4">
        <v>7.9399999999999998E-150</v>
      </c>
      <c r="G10824" s="3">
        <v>1226</v>
      </c>
      <c r="H10824" s="3">
        <v>47</v>
      </c>
      <c r="I10824" s="3">
        <v>577</v>
      </c>
      <c r="J10824" s="3">
        <v>284</v>
      </c>
      <c r="K10824" s="3">
        <v>1981</v>
      </c>
      <c r="L10824" s="3">
        <v>26</v>
      </c>
      <c r="M10824" s="3">
        <v>593</v>
      </c>
    </row>
    <row r="10825" spans="1:13" x14ac:dyDescent="0.25">
      <c r="A10825" s="1" t="str">
        <f>HYPERLINK("http://www.rosaceae.org/Prunus/Prunus_persica/p.persica_gdr_reftransV1_0038237","p.persica_gdr_reftransV1_0038237")</f>
        <v>p.persica_gdr_reftransV1_0038237</v>
      </c>
      <c r="B10825" s="3">
        <v>1666</v>
      </c>
      <c r="C10825" s="1" t="str">
        <f>HYPERLINK("http://www.uniprot.org/uniprot/MAP1A_ARATH","MAP1A_ARATH")</f>
        <v>MAP1A_ARATH</v>
      </c>
      <c r="D10825" t="s">
        <v>7788</v>
      </c>
      <c r="E10825" s="3" t="s">
        <v>3</v>
      </c>
      <c r="F10825" s="4">
        <v>0</v>
      </c>
      <c r="G10825" s="3">
        <v>1785</v>
      </c>
      <c r="H10825" s="3">
        <v>82</v>
      </c>
      <c r="I10825" s="3">
        <v>397</v>
      </c>
      <c r="J10825" s="3">
        <v>156</v>
      </c>
      <c r="K10825" s="3">
        <v>1340</v>
      </c>
      <c r="L10825" s="3">
        <v>1</v>
      </c>
      <c r="M10825" s="3">
        <v>397</v>
      </c>
    </row>
    <row r="10826" spans="1:13" x14ac:dyDescent="0.25">
      <c r="A10826" s="1" t="str">
        <f>HYPERLINK("http://www.rosaceae.org/Prunus/Prunus_persica/p.persica_gdr_reftransV1_0038337","p.persica_gdr_reftransV1_0038337")</f>
        <v>p.persica_gdr_reftransV1_0038337</v>
      </c>
      <c r="B10826" s="3">
        <v>4115</v>
      </c>
      <c r="C10826" s="1" t="str">
        <f>HYPERLINK("http://www.uniprot.org/uniprot/SC24B_ARATH","SC24B_ARATH")</f>
        <v>SC24B_ARATH</v>
      </c>
      <c r="D10826" t="s">
        <v>1073</v>
      </c>
      <c r="E10826" s="3" t="s">
        <v>3</v>
      </c>
      <c r="F10826" s="4">
        <v>0</v>
      </c>
      <c r="G10826" s="3">
        <v>3110</v>
      </c>
      <c r="H10826" s="3">
        <v>80</v>
      </c>
      <c r="I10826" s="3">
        <v>788</v>
      </c>
      <c r="J10826" s="3">
        <v>528</v>
      </c>
      <c r="K10826" s="3">
        <v>2891</v>
      </c>
      <c r="L10826" s="3">
        <v>305</v>
      </c>
      <c r="M10826" s="3">
        <v>1079</v>
      </c>
    </row>
    <row r="10827" spans="1:13" x14ac:dyDescent="0.25">
      <c r="A10827" s="1" t="str">
        <f>HYPERLINK("http://www.rosaceae.org/Prunus/Prunus_persica/p.persica_gdr_reftransV1_0038387","p.persica_gdr_reftransV1_0038387")</f>
        <v>p.persica_gdr_reftransV1_0038387</v>
      </c>
      <c r="B10827" s="3">
        <v>1380</v>
      </c>
      <c r="C10827" s="1" t="str">
        <f>HYPERLINK("http://www.uniprot.org/uniprot/G6PD6_ARATH","G6PD6_ARATH")</f>
        <v>G6PD6_ARATH</v>
      </c>
      <c r="D10827" t="s">
        <v>6861</v>
      </c>
      <c r="E10827" s="3" t="s">
        <v>3</v>
      </c>
      <c r="F10827" s="4">
        <v>1.2300000000000001E-158</v>
      </c>
      <c r="G10827" s="3">
        <v>1199</v>
      </c>
      <c r="H10827" s="3">
        <v>81</v>
      </c>
      <c r="I10827" s="3">
        <v>280</v>
      </c>
      <c r="J10827" s="3">
        <v>345</v>
      </c>
      <c r="K10827" s="3">
        <v>1181</v>
      </c>
      <c r="L10827" s="3">
        <v>1</v>
      </c>
      <c r="M10827" s="3">
        <v>278</v>
      </c>
    </row>
    <row r="10828" spans="1:13" x14ac:dyDescent="0.25">
      <c r="A10828" s="1" t="str">
        <f>HYPERLINK("http://www.rosaceae.org/Prunus/Prunus_persica/p.persica_gdr_reftransV1_0038537","p.persica_gdr_reftransV1_0038537")</f>
        <v>p.persica_gdr_reftransV1_0038537</v>
      </c>
      <c r="B10828" s="3">
        <v>1809</v>
      </c>
      <c r="C10828" s="1" t="str">
        <f>HYPERLINK("http://www.uniprot.org/uniprot/RNE_ARATH","RNE_ARATH")</f>
        <v>RNE_ARATH</v>
      </c>
      <c r="D10828" t="s">
        <v>6114</v>
      </c>
      <c r="E10828" s="3" t="s">
        <v>3</v>
      </c>
      <c r="F10828" s="4">
        <v>1.94E-44</v>
      </c>
      <c r="G10828" s="3">
        <v>441</v>
      </c>
      <c r="H10828" s="3">
        <v>48</v>
      </c>
      <c r="I10828" s="3">
        <v>188</v>
      </c>
      <c r="J10828" s="3">
        <v>1023</v>
      </c>
      <c r="K10828" s="3">
        <v>1562</v>
      </c>
      <c r="L10828" s="3">
        <v>20</v>
      </c>
      <c r="M10828" s="3">
        <v>207</v>
      </c>
    </row>
    <row r="10829" spans="1:13" x14ac:dyDescent="0.25">
      <c r="A10829" s="1" t="str">
        <f>HYPERLINK("http://www.rosaceae.org/Prunus/Prunus_persica/p.persica_gdr_reftransV1_0038587","p.persica_gdr_reftransV1_0038587")</f>
        <v>p.persica_gdr_reftransV1_0038587</v>
      </c>
      <c r="B10829" s="3">
        <v>1243</v>
      </c>
      <c r="C10829" s="1" t="str">
        <f>HYPERLINK("http://www.uniprot.org/uniprot/YJBQ_ECOLI","YJBQ_ECOLI")</f>
        <v>YJBQ_ECOLI</v>
      </c>
      <c r="D10829" t="s">
        <v>7789</v>
      </c>
      <c r="E10829" s="3" t="s">
        <v>2372</v>
      </c>
      <c r="F10829" s="4">
        <v>3.6500000000000001E-16</v>
      </c>
      <c r="G10829" s="3">
        <v>194</v>
      </c>
      <c r="H10829" s="3">
        <v>48</v>
      </c>
      <c r="I10829" s="3">
        <v>85</v>
      </c>
      <c r="J10829" s="3">
        <v>311</v>
      </c>
      <c r="K10829" s="3">
        <v>565</v>
      </c>
      <c r="L10829" s="3">
        <v>2</v>
      </c>
      <c r="M10829" s="3">
        <v>83</v>
      </c>
    </row>
    <row r="10830" spans="1:13" x14ac:dyDescent="0.25">
      <c r="A10830" s="1" t="str">
        <f>HYPERLINK("http://www.rosaceae.org/Prunus/Prunus_persica/p.persica_gdr_reftransV1_0038637","p.persica_gdr_reftransV1_0038637")</f>
        <v>p.persica_gdr_reftransV1_0038637</v>
      </c>
      <c r="B10830" s="3">
        <v>4236</v>
      </c>
      <c r="C10830" s="1" t="str">
        <f>HYPERLINK("http://www.uniprot.org/uniprot/ANL2_ARATH","ANL2_ARATH")</f>
        <v>ANL2_ARATH</v>
      </c>
      <c r="D10830" t="s">
        <v>5870</v>
      </c>
      <c r="E10830" s="3" t="s">
        <v>3</v>
      </c>
      <c r="F10830" s="4">
        <v>0</v>
      </c>
      <c r="G10830" s="3">
        <v>2110</v>
      </c>
      <c r="H10830" s="3">
        <v>71</v>
      </c>
      <c r="I10830" s="3">
        <v>586</v>
      </c>
      <c r="J10830" s="3">
        <v>1458</v>
      </c>
      <c r="K10830" s="3">
        <v>3212</v>
      </c>
      <c r="L10830" s="3">
        <v>132</v>
      </c>
      <c r="M10830" s="3">
        <v>691</v>
      </c>
    </row>
    <row r="10831" spans="1:13" x14ac:dyDescent="0.25">
      <c r="A10831" s="1" t="str">
        <f>HYPERLINK("http://www.rosaceae.org/Prunus/Prunus_persica/p.persica_gdr_reftransV1_0038687","p.persica_gdr_reftransV1_0038687")</f>
        <v>p.persica_gdr_reftransV1_0038687</v>
      </c>
      <c r="B10831" s="3">
        <v>2542</v>
      </c>
      <c r="C10831" s="1" t="str">
        <f>HYPERLINK("http://www.uniprot.org/uniprot/UKL1_ARATH","UKL1_ARATH")</f>
        <v>UKL1_ARATH</v>
      </c>
      <c r="D10831" t="s">
        <v>7790</v>
      </c>
      <c r="E10831" s="3" t="s">
        <v>3</v>
      </c>
      <c r="F10831" s="4">
        <v>0</v>
      </c>
      <c r="G10831" s="3">
        <v>1684</v>
      </c>
      <c r="H10831" s="3">
        <v>78</v>
      </c>
      <c r="I10831" s="3">
        <v>445</v>
      </c>
      <c r="J10831" s="3">
        <v>225</v>
      </c>
      <c r="K10831" s="3">
        <v>1541</v>
      </c>
      <c r="L10831" s="3">
        <v>1</v>
      </c>
      <c r="M10831" s="3">
        <v>409</v>
      </c>
    </row>
    <row r="10832" spans="1:13" x14ac:dyDescent="0.25">
      <c r="A10832" s="1" t="str">
        <f>HYPERLINK("http://www.rosaceae.org/Prunus/Prunus_persica/p.persica_gdr_reftransV1_0039337","p.persica_gdr_reftransV1_0039337")</f>
        <v>p.persica_gdr_reftransV1_0039337</v>
      </c>
      <c r="B10832" s="3">
        <v>3418</v>
      </c>
      <c r="C10832" s="1" t="str">
        <f>HYPERLINK("http://www.uniprot.org/uniprot/PHYE_IPONI","PHYE_IPONI")</f>
        <v>PHYE_IPONI</v>
      </c>
      <c r="D10832" t="s">
        <v>5079</v>
      </c>
      <c r="E10832" s="3" t="s">
        <v>3743</v>
      </c>
      <c r="F10832" s="4">
        <v>0</v>
      </c>
      <c r="G10832" s="3">
        <v>3847</v>
      </c>
      <c r="H10832" s="3">
        <v>73</v>
      </c>
      <c r="I10832" s="3">
        <v>976</v>
      </c>
      <c r="J10832" s="3">
        <v>500</v>
      </c>
      <c r="K10832" s="3">
        <v>3418</v>
      </c>
      <c r="L10832" s="3">
        <v>168</v>
      </c>
      <c r="M10832" s="3">
        <v>1108</v>
      </c>
    </row>
    <row r="10833" spans="1:13" x14ac:dyDescent="0.25">
      <c r="A10833" s="1" t="str">
        <f>HYPERLINK("http://www.rosaceae.org/Prunus/Prunus_persica/p.persica_gdr_reftransV1_0039587","p.persica_gdr_reftransV1_0039587")</f>
        <v>p.persica_gdr_reftransV1_0039587</v>
      </c>
      <c r="B10833" s="3">
        <v>3794</v>
      </c>
      <c r="C10833" s="1" t="str">
        <f>HYPERLINK("http://www.uniprot.org/uniprot/TSR1_XENLA","TSR1_XENLA")</f>
        <v>TSR1_XENLA</v>
      </c>
      <c r="D10833" t="s">
        <v>7791</v>
      </c>
      <c r="E10833" s="3" t="s">
        <v>475</v>
      </c>
      <c r="F10833" s="4">
        <v>5.2999999999999998E-122</v>
      </c>
      <c r="G10833" s="3">
        <v>1013</v>
      </c>
      <c r="H10833" s="3">
        <v>43</v>
      </c>
      <c r="I10833" s="3">
        <v>554</v>
      </c>
      <c r="J10833" s="3">
        <v>1032</v>
      </c>
      <c r="K10833" s="3">
        <v>2645</v>
      </c>
      <c r="L10833" s="3">
        <v>255</v>
      </c>
      <c r="M10833" s="3">
        <v>788</v>
      </c>
    </row>
    <row r="10834" spans="1:13" x14ac:dyDescent="0.25">
      <c r="A10834" s="1" t="str">
        <f>HYPERLINK("http://www.rosaceae.org/Prunus/Prunus_persica/p.persica_gdr_reftransV1_0039687","p.persica_gdr_reftransV1_0039687")</f>
        <v>p.persica_gdr_reftransV1_0039687</v>
      </c>
      <c r="B10834" s="3">
        <v>1998</v>
      </c>
      <c r="C10834" s="1" t="str">
        <f>HYPERLINK("http://www.uniprot.org/uniprot/WDR13_MOUSE","WDR13_MOUSE")</f>
        <v>WDR13_MOUSE</v>
      </c>
      <c r="D10834" t="s">
        <v>7792</v>
      </c>
      <c r="E10834" s="3" t="s">
        <v>157</v>
      </c>
      <c r="F10834" s="4">
        <v>5.2000000000000003E-40</v>
      </c>
      <c r="G10834" s="3">
        <v>368</v>
      </c>
      <c r="H10834" s="3">
        <v>33</v>
      </c>
      <c r="I10834" s="3">
        <v>313</v>
      </c>
      <c r="J10834" s="3">
        <v>769</v>
      </c>
      <c r="K10834" s="3">
        <v>1692</v>
      </c>
      <c r="L10834" s="3">
        <v>219</v>
      </c>
      <c r="M10834" s="3">
        <v>484</v>
      </c>
    </row>
    <row r="10835" spans="1:13" x14ac:dyDescent="0.25">
      <c r="A10835" s="1" t="str">
        <f>HYPERLINK("http://www.rosaceae.org/Prunus/Prunus_persica/p.persica_gdr_reftransV1_0039787","p.persica_gdr_reftransV1_0039787")</f>
        <v>p.persica_gdr_reftransV1_0039787</v>
      </c>
      <c r="B10835" s="3">
        <v>2120</v>
      </c>
      <c r="C10835" s="1" t="str">
        <f>HYPERLINK("http://www.uniprot.org/uniprot/MIOX1_ARATH","MIOX1_ARATH")</f>
        <v>MIOX1_ARATH</v>
      </c>
      <c r="D10835" t="s">
        <v>1435</v>
      </c>
      <c r="E10835" s="3" t="s">
        <v>3</v>
      </c>
      <c r="F10835" s="4">
        <v>2.32E-110</v>
      </c>
      <c r="G10835" s="3">
        <v>880</v>
      </c>
      <c r="H10835" s="3">
        <v>64</v>
      </c>
      <c r="I10835" s="3">
        <v>269</v>
      </c>
      <c r="J10835" s="3">
        <v>227</v>
      </c>
      <c r="K10835" s="3">
        <v>1021</v>
      </c>
      <c r="L10835" s="3">
        <v>1</v>
      </c>
      <c r="M10835" s="3">
        <v>227</v>
      </c>
    </row>
    <row r="10836" spans="1:13" x14ac:dyDescent="0.25">
      <c r="A10836" s="1" t="str">
        <f>HYPERLINK("http://www.rosaceae.org/Prunus/Prunus_persica/p.persica_gdr_reftransV1_0039837","p.persica_gdr_reftransV1_0039837")</f>
        <v>p.persica_gdr_reftransV1_0039837</v>
      </c>
      <c r="B10836" s="3">
        <v>1198</v>
      </c>
      <c r="C10836" s="1" t="str">
        <f>HYPERLINK("http://www.uniprot.org/uniprot/XTH2_ARATH","XTH2_ARATH")</f>
        <v>XTH2_ARATH</v>
      </c>
      <c r="D10836" t="s">
        <v>7793</v>
      </c>
      <c r="E10836" s="3" t="s">
        <v>3</v>
      </c>
      <c r="F10836" s="4">
        <v>3.9200000000000002E-103</v>
      </c>
      <c r="G10836" s="3">
        <v>804</v>
      </c>
      <c r="H10836" s="3">
        <v>58</v>
      </c>
      <c r="I10836" s="3">
        <v>259</v>
      </c>
      <c r="J10836" s="3">
        <v>330</v>
      </c>
      <c r="K10836" s="3">
        <v>1088</v>
      </c>
      <c r="L10836" s="3">
        <v>32</v>
      </c>
      <c r="M10836" s="3">
        <v>288</v>
      </c>
    </row>
    <row r="10837" spans="1:13" x14ac:dyDescent="0.25">
      <c r="A10837" s="1" t="str">
        <f>HYPERLINK("http://www.rosaceae.org/Prunus/Prunus_persica/p.persica_gdr_reftransV1_0040187","p.persica_gdr_reftransV1_0040187")</f>
        <v>p.persica_gdr_reftransV1_0040187</v>
      </c>
      <c r="B10837" s="3">
        <v>2839</v>
      </c>
      <c r="C10837" s="1" t="str">
        <f>HYPERLINK("http://www.uniprot.org/uniprot/U2AFA_ORYSJ","U2AFA_ORYSJ")</f>
        <v>U2AFA_ORYSJ</v>
      </c>
      <c r="D10837" t="s">
        <v>7794</v>
      </c>
      <c r="E10837" s="3" t="s">
        <v>38</v>
      </c>
      <c r="F10837" s="4">
        <v>1.24E-60</v>
      </c>
      <c r="G10837" s="3">
        <v>541</v>
      </c>
      <c r="H10837" s="3">
        <v>81</v>
      </c>
      <c r="I10837" s="3">
        <v>137</v>
      </c>
      <c r="J10837" s="3">
        <v>96</v>
      </c>
      <c r="K10837" s="3">
        <v>506</v>
      </c>
      <c r="L10837" s="3">
        <v>1</v>
      </c>
      <c r="M10837" s="3">
        <v>136</v>
      </c>
    </row>
    <row r="10838" spans="1:13" x14ac:dyDescent="0.25">
      <c r="A10838" s="1" t="str">
        <f>HYPERLINK("http://www.rosaceae.org/Prunus/Prunus_persica/p.persica_gdr_reftransV1_0040587","p.persica_gdr_reftransV1_0040587")</f>
        <v>p.persica_gdr_reftransV1_0040587</v>
      </c>
      <c r="B10838" s="3">
        <v>2304</v>
      </c>
      <c r="C10838" s="1" t="str">
        <f>HYPERLINK("http://www.uniprot.org/uniprot/TET3_ARATH","TET3_ARATH")</f>
        <v>TET3_ARATH</v>
      </c>
      <c r="D10838" t="s">
        <v>7795</v>
      </c>
      <c r="E10838" s="3" t="s">
        <v>3</v>
      </c>
      <c r="F10838" s="4">
        <v>8.93E-122</v>
      </c>
      <c r="G10838" s="3">
        <v>959</v>
      </c>
      <c r="H10838" s="3">
        <v>77</v>
      </c>
      <c r="I10838" s="3">
        <v>285</v>
      </c>
      <c r="J10838" s="3">
        <v>113</v>
      </c>
      <c r="K10838" s="3">
        <v>967</v>
      </c>
      <c r="L10838" s="3">
        <v>1</v>
      </c>
      <c r="M10838" s="3">
        <v>285</v>
      </c>
    </row>
    <row r="10839" spans="1:13" x14ac:dyDescent="0.25">
      <c r="A10839" s="1" t="str">
        <f>HYPERLINK("http://www.rosaceae.org/Prunus/Prunus_persica/p.persica_gdr_reftransV1_0041087","p.persica_gdr_reftransV1_0041087")</f>
        <v>p.persica_gdr_reftransV1_0041087</v>
      </c>
      <c r="B10839" s="3">
        <v>3006</v>
      </c>
      <c r="C10839" s="1" t="str">
        <f>HYPERLINK("http://www.uniprot.org/uniprot/NADE_ARATH","NADE_ARATH")</f>
        <v>NADE_ARATH</v>
      </c>
      <c r="D10839" t="s">
        <v>7242</v>
      </c>
      <c r="E10839" s="3" t="s">
        <v>3</v>
      </c>
      <c r="F10839" s="4">
        <v>0</v>
      </c>
      <c r="G10839" s="3">
        <v>2831</v>
      </c>
      <c r="H10839" s="3">
        <v>85</v>
      </c>
      <c r="I10839" s="3">
        <v>602</v>
      </c>
      <c r="J10839" s="3">
        <v>831</v>
      </c>
      <c r="K10839" s="3">
        <v>2636</v>
      </c>
      <c r="L10839" s="3">
        <v>101</v>
      </c>
      <c r="M10839" s="3">
        <v>702</v>
      </c>
    </row>
    <row r="10840" spans="1:13" x14ac:dyDescent="0.25">
      <c r="A10840" s="1" t="str">
        <f>HYPERLINK("http://www.rosaceae.org/Prunus/Prunus_persica/p.persica_gdr_reftransV1_0041687","p.persica_gdr_reftransV1_0041687")</f>
        <v>p.persica_gdr_reftransV1_0041687</v>
      </c>
      <c r="B10840" s="3">
        <v>2615</v>
      </c>
      <c r="C10840" s="1" t="str">
        <f>HYPERLINK("http://www.uniprot.org/uniprot/APT3_ARATH","APT3_ARATH")</f>
        <v>APT3_ARATH</v>
      </c>
      <c r="D10840" t="s">
        <v>7796</v>
      </c>
      <c r="E10840" s="3" t="s">
        <v>3</v>
      </c>
      <c r="F10840" s="4">
        <v>8.3399999999999998E-48</v>
      </c>
      <c r="G10840" s="3">
        <v>438</v>
      </c>
      <c r="H10840" s="3">
        <v>89</v>
      </c>
      <c r="I10840" s="3">
        <v>93</v>
      </c>
      <c r="J10840" s="3">
        <v>2133</v>
      </c>
      <c r="K10840" s="3">
        <v>2411</v>
      </c>
      <c r="L10840" s="3">
        <v>6</v>
      </c>
      <c r="M10840" s="3">
        <v>98</v>
      </c>
    </row>
    <row r="10841" spans="1:13" x14ac:dyDescent="0.25">
      <c r="A10841" s="1" t="str">
        <f>HYPERLINK("http://www.rosaceae.org/Prunus/Prunus_persica/p.persica_gdr_reftransV1_0042337","p.persica_gdr_reftransV1_0042337")</f>
        <v>p.persica_gdr_reftransV1_0042337</v>
      </c>
      <c r="B10841" s="3">
        <v>2948</v>
      </c>
      <c r="C10841" s="1" t="str">
        <f>HYPERLINK("http://www.uniprot.org/uniprot/PNG1_ARATH","PNG1_ARATH")</f>
        <v>PNG1_ARATH</v>
      </c>
      <c r="D10841" t="s">
        <v>7797</v>
      </c>
      <c r="E10841" s="3" t="s">
        <v>3</v>
      </c>
      <c r="F10841" s="4">
        <v>0</v>
      </c>
      <c r="G10841" s="3">
        <v>1957</v>
      </c>
      <c r="H10841" s="3">
        <v>64</v>
      </c>
      <c r="I10841" s="3">
        <v>618</v>
      </c>
      <c r="J10841" s="3">
        <v>995</v>
      </c>
      <c r="K10841" s="3">
        <v>2836</v>
      </c>
      <c r="L10841" s="3">
        <v>1</v>
      </c>
      <c r="M10841" s="3">
        <v>615</v>
      </c>
    </row>
    <row r="10842" spans="1:13" x14ac:dyDescent="0.25">
      <c r="A10842" s="1" t="str">
        <f>HYPERLINK("http://www.rosaceae.org/Prunus/Prunus_persica/p.persica_gdr_reftransV1_0042437","p.persica_gdr_reftransV1_0042437")</f>
        <v>p.persica_gdr_reftransV1_0042437</v>
      </c>
      <c r="B10842" s="3">
        <v>1762</v>
      </c>
      <c r="C10842" s="1" t="str">
        <f>HYPERLINK("http://www.uniprot.org/uniprot/P2C57_ARATH","P2C57_ARATH")</f>
        <v>P2C57_ARATH</v>
      </c>
      <c r="D10842" t="s">
        <v>7798</v>
      </c>
      <c r="E10842" s="3" t="s">
        <v>3</v>
      </c>
      <c r="F10842" s="4">
        <v>4.9800000000000002E-160</v>
      </c>
      <c r="G10842" s="3">
        <v>1209</v>
      </c>
      <c r="H10842" s="3">
        <v>59</v>
      </c>
      <c r="I10842" s="3">
        <v>434</v>
      </c>
      <c r="J10842" s="3">
        <v>360</v>
      </c>
      <c r="K10842" s="3">
        <v>1640</v>
      </c>
      <c r="L10842" s="3">
        <v>1</v>
      </c>
      <c r="M10842" s="3">
        <v>387</v>
      </c>
    </row>
    <row r="10843" spans="1:13" x14ac:dyDescent="0.25">
      <c r="A10843" s="1" t="str">
        <f>HYPERLINK("http://www.rosaceae.org/Prunus/Prunus_persica/p.persica_gdr_reftransV1_0042937","p.persica_gdr_reftransV1_0042937")</f>
        <v>p.persica_gdr_reftransV1_0042937</v>
      </c>
      <c r="B10843" s="3">
        <v>2678</v>
      </c>
      <c r="C10843" s="1" t="str">
        <f>HYPERLINK("http://www.uniprot.org/uniprot/NOC2L_ARATH","NOC2L_ARATH")</f>
        <v>NOC2L_ARATH</v>
      </c>
      <c r="D10843" t="s">
        <v>3124</v>
      </c>
      <c r="E10843" s="3" t="s">
        <v>3</v>
      </c>
      <c r="F10843" s="4">
        <v>5.2600000000000001E-117</v>
      </c>
      <c r="G10843" s="3">
        <v>978</v>
      </c>
      <c r="H10843" s="3">
        <v>37</v>
      </c>
      <c r="I10843" s="3">
        <v>558</v>
      </c>
      <c r="J10843" s="3">
        <v>612</v>
      </c>
      <c r="K10843" s="3">
        <v>2219</v>
      </c>
      <c r="L10843" s="3">
        <v>71</v>
      </c>
      <c r="M10843" s="3">
        <v>617</v>
      </c>
    </row>
    <row r="10844" spans="1:13" x14ac:dyDescent="0.25">
      <c r="A10844" s="1" t="str">
        <f>HYPERLINK("http://www.rosaceae.org/Prunus/Prunus_persica/p.persica_gdr_reftransV1_0042987","p.persica_gdr_reftransV1_0042987")</f>
        <v>p.persica_gdr_reftransV1_0042987</v>
      </c>
      <c r="B10844" s="3">
        <v>5332</v>
      </c>
      <c r="C10844" s="1" t="str">
        <f>HYPERLINK("http://www.uniprot.org/uniprot/TOP3A_ARATH","TOP3A_ARATH")</f>
        <v>TOP3A_ARATH</v>
      </c>
      <c r="D10844" t="s">
        <v>2690</v>
      </c>
      <c r="E10844" s="3" t="s">
        <v>3</v>
      </c>
      <c r="F10844" s="4">
        <v>0</v>
      </c>
      <c r="G10844" s="3">
        <v>2375</v>
      </c>
      <c r="H10844" s="3">
        <v>77</v>
      </c>
      <c r="I10844" s="3">
        <v>561</v>
      </c>
      <c r="J10844" s="3">
        <v>2524</v>
      </c>
      <c r="K10844" s="3">
        <v>4203</v>
      </c>
      <c r="L10844" s="3">
        <v>106</v>
      </c>
      <c r="M10844" s="3">
        <v>666</v>
      </c>
    </row>
    <row r="10845" spans="1:13" x14ac:dyDescent="0.25">
      <c r="A10845" s="1" t="str">
        <f>HYPERLINK("http://www.rosaceae.org/Prunus/Prunus_persica/p.persica_gdr_reftransV1_0043037","p.persica_gdr_reftransV1_0043037")</f>
        <v>p.persica_gdr_reftransV1_0043037</v>
      </c>
      <c r="B10845" s="3">
        <v>1214</v>
      </c>
      <c r="C10845" s="1" t="str">
        <f>HYPERLINK("http://www.uniprot.org/uniprot/AB17B_CHICK","AB17B_CHICK")</f>
        <v>AB17B_CHICK</v>
      </c>
      <c r="D10845" t="s">
        <v>7799</v>
      </c>
      <c r="E10845" s="3" t="s">
        <v>1278</v>
      </c>
      <c r="F10845" s="4">
        <v>1.41E-67</v>
      </c>
      <c r="G10845" s="3">
        <v>566</v>
      </c>
      <c r="H10845" s="3">
        <v>48</v>
      </c>
      <c r="I10845" s="3">
        <v>218</v>
      </c>
      <c r="J10845" s="3">
        <v>436</v>
      </c>
      <c r="K10845" s="3">
        <v>1083</v>
      </c>
      <c r="L10845" s="3">
        <v>66</v>
      </c>
      <c r="M10845" s="3">
        <v>282</v>
      </c>
    </row>
    <row r="10846" spans="1:13" x14ac:dyDescent="0.25">
      <c r="A10846" s="1" t="str">
        <f>HYPERLINK("http://www.rosaceae.org/Prunus/Prunus_persica/p.persica_gdr_reftransV1_0043087","p.persica_gdr_reftransV1_0043087")</f>
        <v>p.persica_gdr_reftransV1_0043087</v>
      </c>
      <c r="B10846" s="3">
        <v>1001</v>
      </c>
      <c r="C10846" s="1" t="str">
        <f>HYPERLINK("http://www.uniprot.org/uniprot/OFP7_ARATH","OFP7_ARATH")</f>
        <v>OFP7_ARATH</v>
      </c>
      <c r="D10846" t="s">
        <v>4697</v>
      </c>
      <c r="E10846" s="3" t="s">
        <v>3</v>
      </c>
      <c r="F10846" s="4">
        <v>3.5999999999999999E-28</v>
      </c>
      <c r="G10846" s="3">
        <v>289</v>
      </c>
      <c r="H10846" s="3">
        <v>70</v>
      </c>
      <c r="I10846" s="3">
        <v>86</v>
      </c>
      <c r="J10846" s="3">
        <v>177</v>
      </c>
      <c r="K10846" s="3">
        <v>428</v>
      </c>
      <c r="L10846" s="3">
        <v>205</v>
      </c>
      <c r="M10846" s="3">
        <v>290</v>
      </c>
    </row>
    <row r="10847" spans="1:13" x14ac:dyDescent="0.25">
      <c r="A10847" s="1" t="str">
        <f>HYPERLINK("http://www.rosaceae.org/Prunus/Prunus_persica/p.persica_gdr_reftransV1_0043137","p.persica_gdr_reftransV1_0043137")</f>
        <v>p.persica_gdr_reftransV1_0043137</v>
      </c>
      <c r="B10847" s="3">
        <v>1864</v>
      </c>
      <c r="C10847" s="1" t="str">
        <f>HYPERLINK("http://www.uniprot.org/uniprot/AFC2_ARATH","AFC2_ARATH")</f>
        <v>AFC2_ARATH</v>
      </c>
      <c r="D10847" t="s">
        <v>2742</v>
      </c>
      <c r="E10847" s="3" t="s">
        <v>3</v>
      </c>
      <c r="F10847" s="4">
        <v>1.8099999999999999E-146</v>
      </c>
      <c r="G10847" s="3">
        <v>1126</v>
      </c>
      <c r="H10847" s="3">
        <v>77</v>
      </c>
      <c r="I10847" s="3">
        <v>273</v>
      </c>
      <c r="J10847" s="3">
        <v>363</v>
      </c>
      <c r="K10847" s="3">
        <v>1163</v>
      </c>
      <c r="L10847" s="3">
        <v>156</v>
      </c>
      <c r="M10847" s="3">
        <v>425</v>
      </c>
    </row>
    <row r="10848" spans="1:13" x14ac:dyDescent="0.25">
      <c r="A10848" s="1" t="str">
        <f>HYPERLINK("http://www.rosaceae.org/Prunus/Prunus_persica/p.persica_gdr_reftransV1_0043237","p.persica_gdr_reftransV1_0043237")</f>
        <v>p.persica_gdr_reftransV1_0043237</v>
      </c>
      <c r="B10848" s="3">
        <v>2833</v>
      </c>
      <c r="C10848" s="1" t="str">
        <f>HYPERLINK("http://www.uniprot.org/uniprot/GCS1_ARATH","GCS1_ARATH")</f>
        <v>GCS1_ARATH</v>
      </c>
      <c r="D10848" t="s">
        <v>4043</v>
      </c>
      <c r="E10848" s="3" t="s">
        <v>3</v>
      </c>
      <c r="F10848" s="4">
        <v>0</v>
      </c>
      <c r="G10848" s="3">
        <v>2921</v>
      </c>
      <c r="H10848" s="3">
        <v>67</v>
      </c>
      <c r="I10848" s="3">
        <v>812</v>
      </c>
      <c r="J10848" s="3">
        <v>166</v>
      </c>
      <c r="K10848" s="3">
        <v>2586</v>
      </c>
      <c r="L10848" s="3">
        <v>41</v>
      </c>
      <c r="M10848" s="3">
        <v>849</v>
      </c>
    </row>
    <row r="10849" spans="1:13" x14ac:dyDescent="0.25">
      <c r="A10849" s="1" t="str">
        <f>HYPERLINK("http://www.rosaceae.org/Prunus/Prunus_persica/p.persica_gdr_reftransV1_0043287","p.persica_gdr_reftransV1_0043287")</f>
        <v>p.persica_gdr_reftransV1_0043287</v>
      </c>
      <c r="B10849" s="3">
        <v>1171</v>
      </c>
      <c r="C10849" s="1" t="str">
        <f>HYPERLINK("http://www.uniprot.org/uniprot/TBL12_ARATH","TBL12_ARATH")</f>
        <v>TBL12_ARATH</v>
      </c>
      <c r="D10849" t="s">
        <v>6246</v>
      </c>
      <c r="E10849" s="3" t="s">
        <v>3</v>
      </c>
      <c r="F10849" s="4">
        <v>2.65E-107</v>
      </c>
      <c r="G10849" s="3">
        <v>841</v>
      </c>
      <c r="H10849" s="3">
        <v>72</v>
      </c>
      <c r="I10849" s="3">
        <v>225</v>
      </c>
      <c r="J10849" s="3">
        <v>482</v>
      </c>
      <c r="K10849" s="3">
        <v>1156</v>
      </c>
      <c r="L10849" s="3">
        <v>181</v>
      </c>
      <c r="M10849" s="3">
        <v>405</v>
      </c>
    </row>
    <row r="10850" spans="1:13" x14ac:dyDescent="0.25">
      <c r="A10850" s="1" t="str">
        <f>HYPERLINK("http://www.rosaceae.org/Prunus/Prunus_persica/p.persica_gdr_reftransV1_0043337","p.persica_gdr_reftransV1_0043337")</f>
        <v>p.persica_gdr_reftransV1_0043337</v>
      </c>
      <c r="B10850" s="3">
        <v>806</v>
      </c>
      <c r="C10850" s="1" t="str">
        <f>HYPERLINK("http://www.uniprot.org/uniprot/TATD1_XENLA","TATD1_XENLA")</f>
        <v>TATD1_XENLA</v>
      </c>
      <c r="D10850" t="s">
        <v>1265</v>
      </c>
      <c r="E10850" s="3" t="s">
        <v>475</v>
      </c>
      <c r="F10850" s="4">
        <v>8.5999999999999996E-79</v>
      </c>
      <c r="G10850" s="3">
        <v>629</v>
      </c>
      <c r="H10850" s="3">
        <v>56</v>
      </c>
      <c r="I10850" s="3">
        <v>215</v>
      </c>
      <c r="J10850" s="3">
        <v>15</v>
      </c>
      <c r="K10850" s="3">
        <v>659</v>
      </c>
      <c r="L10850" s="3">
        <v>87</v>
      </c>
      <c r="M10850" s="3">
        <v>295</v>
      </c>
    </row>
    <row r="10851" spans="1:13" x14ac:dyDescent="0.25">
      <c r="A10851" s="1" t="str">
        <f>HYPERLINK("http://www.rosaceae.org/Prunus/Prunus_persica/p.persica_gdr_reftransV1_0043387","p.persica_gdr_reftransV1_0043387")</f>
        <v>p.persica_gdr_reftransV1_0043387</v>
      </c>
      <c r="B10851" s="3">
        <v>1574</v>
      </c>
      <c r="C10851" s="1" t="str">
        <f>HYPERLINK("http://www.uniprot.org/uniprot/PCH2_ARATH","PCH2_ARATH")</f>
        <v>PCH2_ARATH</v>
      </c>
      <c r="D10851" t="s">
        <v>7800</v>
      </c>
      <c r="E10851" s="3" t="s">
        <v>3</v>
      </c>
      <c r="F10851" s="4">
        <v>0</v>
      </c>
      <c r="G10851" s="3">
        <v>1833</v>
      </c>
      <c r="H10851" s="3">
        <v>77</v>
      </c>
      <c r="I10851" s="3">
        <v>458</v>
      </c>
      <c r="J10851" s="3">
        <v>135</v>
      </c>
      <c r="K10851" s="3">
        <v>1487</v>
      </c>
      <c r="L10851" s="3">
        <v>13</v>
      </c>
      <c r="M10851" s="3">
        <v>467</v>
      </c>
    </row>
    <row r="10852" spans="1:13" x14ac:dyDescent="0.25">
      <c r="A10852" s="1" t="str">
        <f>HYPERLINK("http://www.rosaceae.org/Prunus/Prunus_persica/p.persica_gdr_reftransV1_0043437","p.persica_gdr_reftransV1_0043437")</f>
        <v>p.persica_gdr_reftransV1_0043437</v>
      </c>
      <c r="B10852" s="3">
        <v>769</v>
      </c>
      <c r="C10852" s="1" t="str">
        <f>HYPERLINK("http://www.uniprot.org/uniprot/PSAK_ARATH","PSAK_ARATH")</f>
        <v>PSAK_ARATH</v>
      </c>
      <c r="D10852" t="s">
        <v>7801</v>
      </c>
      <c r="E10852" s="3" t="s">
        <v>3</v>
      </c>
      <c r="F10852" s="4">
        <v>1.3E-58</v>
      </c>
      <c r="G10852" s="3">
        <v>479</v>
      </c>
      <c r="H10852" s="3">
        <v>84</v>
      </c>
      <c r="I10852" s="3">
        <v>129</v>
      </c>
      <c r="J10852" s="3">
        <v>76</v>
      </c>
      <c r="K10852" s="3">
        <v>459</v>
      </c>
      <c r="L10852" s="3">
        <v>2</v>
      </c>
      <c r="M10852" s="3">
        <v>130</v>
      </c>
    </row>
    <row r="10853" spans="1:13" x14ac:dyDescent="0.25">
      <c r="A10853" s="1" t="str">
        <f>HYPERLINK("http://www.rosaceae.org/Prunus/Prunus_persica/p.persica_gdr_reftransV1_0043487","p.persica_gdr_reftransV1_0043487")</f>
        <v>p.persica_gdr_reftransV1_0043487</v>
      </c>
      <c r="B10853" s="3">
        <v>799</v>
      </c>
      <c r="C10853" s="1" t="str">
        <f>HYPERLINK("http://www.uniprot.org/uniprot/YIPL_ORYSJ","YIPL_ORYSJ")</f>
        <v>YIPL_ORYSJ</v>
      </c>
      <c r="D10853" t="s">
        <v>7802</v>
      </c>
      <c r="E10853" s="3" t="s">
        <v>38</v>
      </c>
      <c r="F10853" s="4">
        <v>9.7100000000000008E-44</v>
      </c>
      <c r="G10853" s="3">
        <v>379</v>
      </c>
      <c r="H10853" s="3">
        <v>61</v>
      </c>
      <c r="I10853" s="3">
        <v>118</v>
      </c>
      <c r="J10853" s="3">
        <v>112</v>
      </c>
      <c r="K10853" s="3">
        <v>441</v>
      </c>
      <c r="L10853" s="3">
        <v>1</v>
      </c>
      <c r="M10853" s="3">
        <v>118</v>
      </c>
    </row>
    <row r="10854" spans="1:13" x14ac:dyDescent="0.25">
      <c r="A10854" s="1" t="str">
        <f>HYPERLINK("http://www.rosaceae.org/Prunus/Prunus_persica/p.persica_gdr_reftransV1_0043537","p.persica_gdr_reftransV1_0043537")</f>
        <v>p.persica_gdr_reftransV1_0043537</v>
      </c>
      <c r="B10854" s="3">
        <v>404</v>
      </c>
      <c r="C10854" s="1" t="str">
        <f>HYPERLINK("http://www.uniprot.org/uniprot/Y3037_ARATH","Y3037_ARATH")</f>
        <v>Y3037_ARATH</v>
      </c>
      <c r="D10854" t="s">
        <v>566</v>
      </c>
      <c r="E10854" s="3" t="s">
        <v>3</v>
      </c>
      <c r="F10854" s="4">
        <v>1.4E-21</v>
      </c>
      <c r="G10854" s="3">
        <v>234</v>
      </c>
      <c r="H10854" s="3">
        <v>44</v>
      </c>
      <c r="I10854" s="3">
        <v>131</v>
      </c>
      <c r="J10854" s="3">
        <v>1</v>
      </c>
      <c r="K10854" s="3">
        <v>393</v>
      </c>
      <c r="L10854" s="3">
        <v>55</v>
      </c>
      <c r="M10854" s="3">
        <v>173</v>
      </c>
    </row>
    <row r="10855" spans="1:13" x14ac:dyDescent="0.25">
      <c r="A10855" s="1" t="str">
        <f>HYPERLINK("http://www.rosaceae.org/Prunus/Prunus_persica/p.persica_gdr_reftransV1_0043587","p.persica_gdr_reftransV1_0043587")</f>
        <v>p.persica_gdr_reftransV1_0043587</v>
      </c>
      <c r="B10855" s="3">
        <v>2063</v>
      </c>
      <c r="C10855" s="1" t="str">
        <f>HYPERLINK("http://www.uniprot.org/uniprot/PAT1_ARATH","PAT1_ARATH")</f>
        <v>PAT1_ARATH</v>
      </c>
      <c r="D10855" t="s">
        <v>7803</v>
      </c>
      <c r="E10855" s="3" t="s">
        <v>3</v>
      </c>
      <c r="F10855" s="4">
        <v>0</v>
      </c>
      <c r="G10855" s="3">
        <v>1561</v>
      </c>
      <c r="H10855" s="3">
        <v>61</v>
      </c>
      <c r="I10855" s="3">
        <v>522</v>
      </c>
      <c r="J10855" s="3">
        <v>136</v>
      </c>
      <c r="K10855" s="3">
        <v>1698</v>
      </c>
      <c r="L10855" s="3">
        <v>3</v>
      </c>
      <c r="M10855" s="3">
        <v>490</v>
      </c>
    </row>
    <row r="10856" spans="1:13" x14ac:dyDescent="0.25">
      <c r="A10856" s="1" t="str">
        <f>HYPERLINK("http://www.rosaceae.org/Prunus/Prunus_persica/p.persica_gdr_reftransV1_0043637","p.persica_gdr_reftransV1_0043637")</f>
        <v>p.persica_gdr_reftransV1_0043637</v>
      </c>
      <c r="B10856" s="3">
        <v>555</v>
      </c>
      <c r="C10856" s="1" t="str">
        <f>HYPERLINK("http://www.uniprot.org/uniprot/R13L1_ARATH","R13L1_ARATH")</f>
        <v>R13L1_ARATH</v>
      </c>
      <c r="D10856" t="s">
        <v>100</v>
      </c>
      <c r="E10856" s="3" t="s">
        <v>3</v>
      </c>
      <c r="F10856" s="4">
        <v>7.0699999999999994E-51</v>
      </c>
      <c r="G10856" s="3">
        <v>458</v>
      </c>
      <c r="H10856" s="3">
        <v>49</v>
      </c>
      <c r="I10856" s="3">
        <v>177</v>
      </c>
      <c r="J10856" s="3">
        <v>24</v>
      </c>
      <c r="K10856" s="3">
        <v>554</v>
      </c>
      <c r="L10856" s="3">
        <v>339</v>
      </c>
      <c r="M10856" s="3">
        <v>514</v>
      </c>
    </row>
    <row r="10857" spans="1:13" x14ac:dyDescent="0.25">
      <c r="A10857" s="1" t="str">
        <f>HYPERLINK("http://www.rosaceae.org/Prunus/Prunus_persica/p.persica_gdr_reftransV1_0043687","p.persica_gdr_reftransV1_0043687")</f>
        <v>p.persica_gdr_reftransV1_0043687</v>
      </c>
      <c r="B10857" s="3">
        <v>1153</v>
      </c>
      <c r="C10857" s="1" t="str">
        <f>HYPERLINK("http://www.uniprot.org/uniprot/LTPG1_ARATH","LTPG1_ARATH")</f>
        <v>LTPG1_ARATH</v>
      </c>
      <c r="D10857" t="s">
        <v>7804</v>
      </c>
      <c r="E10857" s="3" t="s">
        <v>3</v>
      </c>
      <c r="F10857" s="4">
        <v>9.0900000000000003E-43</v>
      </c>
      <c r="G10857" s="3">
        <v>387</v>
      </c>
      <c r="H10857" s="3">
        <v>50</v>
      </c>
      <c r="I10857" s="3">
        <v>151</v>
      </c>
      <c r="J10857" s="3">
        <v>340</v>
      </c>
      <c r="K10857" s="3">
        <v>786</v>
      </c>
      <c r="L10857" s="3">
        <v>33</v>
      </c>
      <c r="M10857" s="3">
        <v>181</v>
      </c>
    </row>
    <row r="10858" spans="1:13" x14ac:dyDescent="0.25">
      <c r="A10858" s="1" t="str">
        <f>HYPERLINK("http://www.rosaceae.org/Prunus/Prunus_persica/p.persica_gdr_reftransV1_0043737","p.persica_gdr_reftransV1_0043737")</f>
        <v>p.persica_gdr_reftransV1_0043737</v>
      </c>
      <c r="B10858" s="3">
        <v>961</v>
      </c>
      <c r="C10858" s="1" t="str">
        <f>HYPERLINK("http://www.uniprot.org/uniprot/PLY_LILLO","PLY_LILLO")</f>
        <v>PLY_LILLO</v>
      </c>
      <c r="D10858" t="s">
        <v>6254</v>
      </c>
      <c r="E10858" s="3" t="s">
        <v>3887</v>
      </c>
      <c r="F10858" s="4">
        <v>1.22E-109</v>
      </c>
      <c r="G10858" s="3">
        <v>852</v>
      </c>
      <c r="H10858" s="3">
        <v>67</v>
      </c>
      <c r="I10858" s="3">
        <v>256</v>
      </c>
      <c r="J10858" s="3">
        <v>194</v>
      </c>
      <c r="K10858" s="3">
        <v>961</v>
      </c>
      <c r="L10858" s="3">
        <v>179</v>
      </c>
      <c r="M10858" s="3">
        <v>434</v>
      </c>
    </row>
    <row r="10859" spans="1:13" x14ac:dyDescent="0.25">
      <c r="A10859" s="1" t="str">
        <f>HYPERLINK("http://www.rosaceae.org/Prunus/Prunus_persica/p.persica_gdr_reftransV1_0043937","p.persica_gdr_reftransV1_0043937")</f>
        <v>p.persica_gdr_reftransV1_0043937</v>
      </c>
      <c r="B10859" s="3">
        <v>2423</v>
      </c>
      <c r="C10859" s="1" t="str">
        <f>HYPERLINK("http://www.uniprot.org/uniprot/LACS2_ARATH","LACS2_ARATH")</f>
        <v>LACS2_ARATH</v>
      </c>
      <c r="D10859" t="s">
        <v>5558</v>
      </c>
      <c r="E10859" s="3" t="s">
        <v>3</v>
      </c>
      <c r="F10859" s="4">
        <v>0</v>
      </c>
      <c r="G10859" s="3">
        <v>1842</v>
      </c>
      <c r="H10859" s="3">
        <v>67</v>
      </c>
      <c r="I10859" s="3">
        <v>492</v>
      </c>
      <c r="J10859" s="3">
        <v>56</v>
      </c>
      <c r="K10859" s="3">
        <v>1525</v>
      </c>
      <c r="L10859" s="3">
        <v>6</v>
      </c>
      <c r="M10859" s="3">
        <v>497</v>
      </c>
    </row>
    <row r="10860" spans="1:13" x14ac:dyDescent="0.25">
      <c r="A10860" s="1" t="str">
        <f>HYPERLINK("http://www.rosaceae.org/Prunus/Prunus_persica/p.persica_gdr_reftransV1_0043987","p.persica_gdr_reftransV1_0043987")</f>
        <v>p.persica_gdr_reftransV1_0043987</v>
      </c>
      <c r="B10860" s="3">
        <v>999</v>
      </c>
      <c r="C10860" s="1" t="str">
        <f>HYPERLINK("http://www.uniprot.org/uniprot/Y4320_ARATH","Y4320_ARATH")</f>
        <v>Y4320_ARATH</v>
      </c>
      <c r="D10860" t="s">
        <v>7805</v>
      </c>
      <c r="E10860" s="3" t="s">
        <v>3</v>
      </c>
      <c r="F10860" s="4">
        <v>8.5100000000000004E-19</v>
      </c>
      <c r="G10860" s="3">
        <v>212</v>
      </c>
      <c r="H10860" s="3">
        <v>77</v>
      </c>
      <c r="I10860" s="3">
        <v>75</v>
      </c>
      <c r="J10860" s="3">
        <v>438</v>
      </c>
      <c r="K10860" s="3">
        <v>659</v>
      </c>
      <c r="L10860" s="3">
        <v>73</v>
      </c>
      <c r="M10860" s="3">
        <v>147</v>
      </c>
    </row>
    <row r="10861" spans="1:13" x14ac:dyDescent="0.25">
      <c r="A10861" s="1" t="str">
        <f>HYPERLINK("http://www.rosaceae.org/Prunus/Prunus_persica/p.persica_gdr_reftransV1_0044137","p.persica_gdr_reftransV1_0044137")</f>
        <v>p.persica_gdr_reftransV1_0044137</v>
      </c>
      <c r="B10861" s="3">
        <v>454</v>
      </c>
      <c r="C10861" s="1" t="str">
        <f>HYPERLINK("http://www.uniprot.org/uniprot/DCOR_SOLLC","DCOR_SOLLC")</f>
        <v>DCOR_SOLLC</v>
      </c>
      <c r="D10861" t="s">
        <v>7806</v>
      </c>
      <c r="E10861" s="3" t="s">
        <v>64</v>
      </c>
      <c r="F10861" s="4">
        <v>9.2300000000000003E-36</v>
      </c>
      <c r="G10861" s="3">
        <v>334</v>
      </c>
      <c r="H10861" s="3">
        <v>51</v>
      </c>
      <c r="I10861" s="3">
        <v>126</v>
      </c>
      <c r="J10861" s="3">
        <v>71</v>
      </c>
      <c r="K10861" s="3">
        <v>442</v>
      </c>
      <c r="L10861" s="3">
        <v>19</v>
      </c>
      <c r="M10861" s="3">
        <v>142</v>
      </c>
    </row>
    <row r="10862" spans="1:13" x14ac:dyDescent="0.25">
      <c r="A10862" s="1" t="str">
        <f>HYPERLINK("http://www.rosaceae.org/Prunus/Prunus_persica/p.persica_gdr_reftransV1_0044237","p.persica_gdr_reftransV1_0044237")</f>
        <v>p.persica_gdr_reftransV1_0044237</v>
      </c>
      <c r="B10862" s="3">
        <v>2492</v>
      </c>
      <c r="C10862" s="1" t="str">
        <f>HYPERLINK("http://www.uniprot.org/uniprot/ARIA_ARATH","ARIA_ARATH")</f>
        <v>ARIA_ARATH</v>
      </c>
      <c r="D10862" t="s">
        <v>2658</v>
      </c>
      <c r="E10862" s="3" t="s">
        <v>3</v>
      </c>
      <c r="F10862" s="4">
        <v>0</v>
      </c>
      <c r="G10862" s="3">
        <v>1552</v>
      </c>
      <c r="H10862" s="3">
        <v>83</v>
      </c>
      <c r="I10862" s="3">
        <v>391</v>
      </c>
      <c r="J10862" s="3">
        <v>1251</v>
      </c>
      <c r="K10862" s="3">
        <v>2417</v>
      </c>
      <c r="L10862" s="3">
        <v>6</v>
      </c>
      <c r="M10862" s="3">
        <v>396</v>
      </c>
    </row>
    <row r="10863" spans="1:13" x14ac:dyDescent="0.25">
      <c r="A10863" s="1" t="str">
        <f>HYPERLINK("http://www.rosaceae.org/Prunus/Prunus_persica/p.persica_gdr_reftransV1_0044287","p.persica_gdr_reftransV1_0044287")</f>
        <v>p.persica_gdr_reftransV1_0044287</v>
      </c>
      <c r="B10863" s="3">
        <v>402</v>
      </c>
      <c r="C10863" s="1" t="str">
        <f>HYPERLINK("http://www.uniprot.org/uniprot/RAP27_ARATH","RAP27_ARATH")</f>
        <v>RAP27_ARATH</v>
      </c>
      <c r="D10863" t="s">
        <v>7807</v>
      </c>
      <c r="E10863" s="3" t="s">
        <v>3</v>
      </c>
      <c r="F10863" s="4">
        <v>4.2999999999999997E-71</v>
      </c>
      <c r="G10863" s="3">
        <v>575</v>
      </c>
      <c r="H10863" s="3">
        <v>89</v>
      </c>
      <c r="I10863" s="3">
        <v>133</v>
      </c>
      <c r="J10863" s="3">
        <v>3</v>
      </c>
      <c r="K10863" s="3">
        <v>401</v>
      </c>
      <c r="L10863" s="3">
        <v>159</v>
      </c>
      <c r="M10863" s="3">
        <v>291</v>
      </c>
    </row>
    <row r="10864" spans="1:13" x14ac:dyDescent="0.25">
      <c r="A10864" s="1" t="str">
        <f>HYPERLINK("http://www.rosaceae.org/Prunus/Prunus_persica/p.persica_gdr_reftransV1_0044337","p.persica_gdr_reftransV1_0044337")</f>
        <v>p.persica_gdr_reftransV1_0044337</v>
      </c>
      <c r="B10864" s="3">
        <v>860</v>
      </c>
      <c r="C10864" s="1" t="str">
        <f>HYPERLINK("http://www.uniprot.org/uniprot/H2A4_ORYSJ","H2A4_ORYSJ")</f>
        <v>H2A4_ORYSJ</v>
      </c>
      <c r="D10864" t="s">
        <v>425</v>
      </c>
      <c r="E10864" s="3" t="s">
        <v>38</v>
      </c>
      <c r="F10864" s="4">
        <v>1.08E-51</v>
      </c>
      <c r="G10864" s="3">
        <v>438</v>
      </c>
      <c r="H10864" s="3">
        <v>87</v>
      </c>
      <c r="I10864" s="3">
        <v>126</v>
      </c>
      <c r="J10864" s="3">
        <v>154</v>
      </c>
      <c r="K10864" s="3">
        <v>513</v>
      </c>
      <c r="L10864" s="3">
        <v>28</v>
      </c>
      <c r="M10864" s="3">
        <v>153</v>
      </c>
    </row>
    <row r="10865" spans="1:13" x14ac:dyDescent="0.25">
      <c r="A10865" s="1" t="str">
        <f>HYPERLINK("http://www.rosaceae.org/Prunus/Prunus_persica/p.persica_gdr_reftransV1_0044387","p.persica_gdr_reftransV1_0044387")</f>
        <v>p.persica_gdr_reftransV1_0044387</v>
      </c>
      <c r="B10865" s="3">
        <v>1205</v>
      </c>
      <c r="C10865" s="1" t="str">
        <f>HYPERLINK("http://www.uniprot.org/uniprot/AN13B_HUMAN","AN13B_HUMAN")</f>
        <v>AN13B_HUMAN</v>
      </c>
      <c r="D10865" t="s">
        <v>3288</v>
      </c>
      <c r="E10865" s="3" t="s">
        <v>28</v>
      </c>
      <c r="F10865" s="4">
        <v>5.8699999999999999E-33</v>
      </c>
      <c r="G10865" s="3">
        <v>337</v>
      </c>
      <c r="H10865" s="3">
        <v>35</v>
      </c>
      <c r="I10865" s="3">
        <v>251</v>
      </c>
      <c r="J10865" s="3">
        <v>215</v>
      </c>
      <c r="K10865" s="3">
        <v>928</v>
      </c>
      <c r="L10865" s="3">
        <v>46</v>
      </c>
      <c r="M10865" s="3">
        <v>288</v>
      </c>
    </row>
    <row r="10866" spans="1:13" x14ac:dyDescent="0.25">
      <c r="A10866" s="1" t="str">
        <f>HYPERLINK("http://www.rosaceae.org/Prunus/Prunus_persica/p.persica_gdr_reftransV1_0044437","p.persica_gdr_reftransV1_0044437")</f>
        <v>p.persica_gdr_reftransV1_0044437</v>
      </c>
      <c r="B10866" s="3">
        <v>1958</v>
      </c>
      <c r="C10866" s="1" t="str">
        <f>HYPERLINK("http://www.uniprot.org/uniprot/CDA7L_HUMAN","CDA7L_HUMAN")</f>
        <v>CDA7L_HUMAN</v>
      </c>
      <c r="D10866" t="s">
        <v>2614</v>
      </c>
      <c r="E10866" s="3" t="s">
        <v>28</v>
      </c>
      <c r="F10866" s="4">
        <v>1.1600000000000001E-27</v>
      </c>
      <c r="G10866" s="3">
        <v>300</v>
      </c>
      <c r="H10866" s="3">
        <v>51</v>
      </c>
      <c r="I10866" s="3">
        <v>106</v>
      </c>
      <c r="J10866" s="3">
        <v>611</v>
      </c>
      <c r="K10866" s="3">
        <v>922</v>
      </c>
      <c r="L10866" s="3">
        <v>343</v>
      </c>
      <c r="M10866" s="3">
        <v>448</v>
      </c>
    </row>
    <row r="10867" spans="1:13" x14ac:dyDescent="0.25">
      <c r="A10867" s="1" t="str">
        <f>HYPERLINK("http://www.rosaceae.org/Prunus/Prunus_persica/p.persica_gdr_reftransV1_0044487","p.persica_gdr_reftransV1_0044487")</f>
        <v>p.persica_gdr_reftransV1_0044487</v>
      </c>
      <c r="B10867" s="3">
        <v>1805</v>
      </c>
      <c r="C10867" s="1" t="str">
        <f>HYPERLINK("http://www.uniprot.org/uniprot/NOLC1_RAT","NOLC1_RAT")</f>
        <v>NOLC1_RAT</v>
      </c>
      <c r="D10867" t="s">
        <v>7808</v>
      </c>
      <c r="E10867" s="3" t="s">
        <v>161</v>
      </c>
      <c r="F10867" s="4">
        <v>2.77E-15</v>
      </c>
      <c r="G10867" s="3">
        <v>204</v>
      </c>
      <c r="H10867" s="3">
        <v>54</v>
      </c>
      <c r="I10867" s="3">
        <v>76</v>
      </c>
      <c r="J10867" s="3">
        <v>411</v>
      </c>
      <c r="K10867" s="3">
        <v>638</v>
      </c>
      <c r="L10867" s="3">
        <v>630</v>
      </c>
      <c r="M10867" s="3">
        <v>704</v>
      </c>
    </row>
    <row r="10868" spans="1:13" x14ac:dyDescent="0.25">
      <c r="A10868" s="1" t="str">
        <f>HYPERLINK("http://www.rosaceae.org/Prunus/Prunus_persica/p.persica_gdr_reftransV1_0044537","p.persica_gdr_reftransV1_0044537")</f>
        <v>p.persica_gdr_reftransV1_0044537</v>
      </c>
      <c r="B10868" s="3">
        <v>657</v>
      </c>
      <c r="C10868" s="1" t="str">
        <f>HYPERLINK("http://www.uniprot.org/uniprot/RPB8A_ARATH","RPB8A_ARATH")</f>
        <v>RPB8A_ARATH</v>
      </c>
      <c r="D10868" t="s">
        <v>7809</v>
      </c>
      <c r="E10868" s="3" t="s">
        <v>3</v>
      </c>
      <c r="F10868" s="4">
        <v>3.2400000000000002E-46</v>
      </c>
      <c r="G10868" s="3">
        <v>394</v>
      </c>
      <c r="H10868" s="3">
        <v>52</v>
      </c>
      <c r="I10868" s="3">
        <v>146</v>
      </c>
      <c r="J10868" s="3">
        <v>94</v>
      </c>
      <c r="K10868" s="3">
        <v>531</v>
      </c>
      <c r="L10868" s="3">
        <v>7</v>
      </c>
      <c r="M10868" s="3">
        <v>146</v>
      </c>
    </row>
    <row r="10869" spans="1:13" x14ac:dyDescent="0.25">
      <c r="A10869" s="1" t="str">
        <f>HYPERLINK("http://www.rosaceae.org/Prunus/Prunus_persica/p.persica_gdr_reftransV1_0044637","p.persica_gdr_reftransV1_0044637")</f>
        <v>p.persica_gdr_reftransV1_0044637</v>
      </c>
      <c r="B10869" s="3">
        <v>1591</v>
      </c>
      <c r="C10869" s="1" t="str">
        <f>HYPERLINK("http://www.uniprot.org/uniprot/Y1491_ARATH","Y1491_ARATH")</f>
        <v>Y1491_ARATH</v>
      </c>
      <c r="D10869" t="s">
        <v>310</v>
      </c>
      <c r="E10869" s="3" t="s">
        <v>3</v>
      </c>
      <c r="F10869" s="4">
        <v>4.8600000000000002E-71</v>
      </c>
      <c r="G10869" s="3">
        <v>617</v>
      </c>
      <c r="H10869" s="3">
        <v>41</v>
      </c>
      <c r="I10869" s="3">
        <v>344</v>
      </c>
      <c r="J10869" s="3">
        <v>297</v>
      </c>
      <c r="K10869" s="3">
        <v>1316</v>
      </c>
      <c r="L10869" s="3">
        <v>78</v>
      </c>
      <c r="M10869" s="3">
        <v>416</v>
      </c>
    </row>
    <row r="10870" spans="1:13" x14ac:dyDescent="0.25">
      <c r="A10870" s="1" t="str">
        <f>HYPERLINK("http://www.rosaceae.org/Prunus/Prunus_persica/p.persica_gdr_reftransV1_0044687","p.persica_gdr_reftransV1_0044687")</f>
        <v>p.persica_gdr_reftransV1_0044687</v>
      </c>
      <c r="B10870" s="3">
        <v>324</v>
      </c>
      <c r="C10870" s="1" t="str">
        <f>HYPERLINK("http://www.uniprot.org/uniprot/PPD2_ARATH","PPD2_ARATH")</f>
        <v>PPD2_ARATH</v>
      </c>
      <c r="D10870" t="s">
        <v>7810</v>
      </c>
      <c r="E10870" s="3" t="s">
        <v>3</v>
      </c>
      <c r="F10870" s="4">
        <v>1.5900000000000001E-9</v>
      </c>
      <c r="G10870" s="3">
        <v>135</v>
      </c>
      <c r="H10870" s="3">
        <v>50</v>
      </c>
      <c r="I10870" s="3">
        <v>66</v>
      </c>
      <c r="J10870" s="3">
        <v>115</v>
      </c>
      <c r="K10870" s="3">
        <v>303</v>
      </c>
      <c r="L10870" s="3">
        <v>36</v>
      </c>
      <c r="M10870" s="3">
        <v>98</v>
      </c>
    </row>
    <row r="10871" spans="1:13" x14ac:dyDescent="0.25">
      <c r="A10871" s="1" t="str">
        <f>HYPERLINK("http://www.rosaceae.org/Prunus/Prunus_persica/p.persica_gdr_reftransV1_0044737","p.persica_gdr_reftransV1_0044737")</f>
        <v>p.persica_gdr_reftransV1_0044737</v>
      </c>
      <c r="B10871" s="3">
        <v>2424</v>
      </c>
      <c r="C10871" s="1" t="str">
        <f>HYPERLINK("http://www.uniprot.org/uniprot/ICR2_ARATH","ICR2_ARATH")</f>
        <v>ICR2_ARATH</v>
      </c>
      <c r="D10871" t="s">
        <v>7811</v>
      </c>
      <c r="E10871" s="3" t="s">
        <v>3</v>
      </c>
      <c r="F10871" s="4">
        <v>5.0799999999999998E-164</v>
      </c>
      <c r="G10871" s="3">
        <v>1275</v>
      </c>
      <c r="H10871" s="3">
        <v>52</v>
      </c>
      <c r="I10871" s="3">
        <v>633</v>
      </c>
      <c r="J10871" s="3">
        <v>305</v>
      </c>
      <c r="K10871" s="3">
        <v>2134</v>
      </c>
      <c r="L10871" s="3">
        <v>1</v>
      </c>
      <c r="M10871" s="3">
        <v>583</v>
      </c>
    </row>
    <row r="10872" spans="1:13" x14ac:dyDescent="0.25">
      <c r="A10872" s="1" t="str">
        <f>HYPERLINK("http://www.rosaceae.org/Prunus/Prunus_persica/p.persica_gdr_reftransV1_0044787","p.persica_gdr_reftransV1_0044787")</f>
        <v>p.persica_gdr_reftransV1_0044787</v>
      </c>
      <c r="B10872" s="3">
        <v>2062</v>
      </c>
      <c r="C10872" s="1" t="str">
        <f>HYPERLINK("http://www.uniprot.org/uniprot/RKS1_ARATH","RKS1_ARATH")</f>
        <v>RKS1_ARATH</v>
      </c>
      <c r="D10872" t="s">
        <v>3709</v>
      </c>
      <c r="E10872" s="3" t="s">
        <v>3</v>
      </c>
      <c r="F10872" s="4">
        <v>0</v>
      </c>
      <c r="G10872" s="3">
        <v>1897</v>
      </c>
      <c r="H10872" s="3">
        <v>55</v>
      </c>
      <c r="I10872" s="3">
        <v>677</v>
      </c>
      <c r="J10872" s="3">
        <v>4</v>
      </c>
      <c r="K10872" s="3">
        <v>2007</v>
      </c>
      <c r="L10872" s="3">
        <v>169</v>
      </c>
      <c r="M10872" s="3">
        <v>833</v>
      </c>
    </row>
    <row r="10873" spans="1:13" x14ac:dyDescent="0.25">
      <c r="A10873" s="1" t="str">
        <f>HYPERLINK("http://www.rosaceae.org/Prunus/Prunus_persica/p.persica_gdr_reftransV1_0044937","p.persica_gdr_reftransV1_0044937")</f>
        <v>p.persica_gdr_reftransV1_0044937</v>
      </c>
      <c r="B10873" s="3">
        <v>719</v>
      </c>
      <c r="C10873" s="1" t="str">
        <f>HYPERLINK("http://www.uniprot.org/uniprot/RL30_LUPLU","RL30_LUPLU")</f>
        <v>RL30_LUPLU</v>
      </c>
      <c r="D10873" t="s">
        <v>7812</v>
      </c>
      <c r="E10873" s="3" t="s">
        <v>2358</v>
      </c>
      <c r="F10873" s="4">
        <v>4.1199999999999997E-67</v>
      </c>
      <c r="G10873" s="3">
        <v>532</v>
      </c>
      <c r="H10873" s="3">
        <v>90</v>
      </c>
      <c r="I10873" s="3">
        <v>112</v>
      </c>
      <c r="J10873" s="3">
        <v>88</v>
      </c>
      <c r="K10873" s="3">
        <v>423</v>
      </c>
      <c r="L10873" s="3">
        <v>1</v>
      </c>
      <c r="M10873" s="3">
        <v>112</v>
      </c>
    </row>
    <row r="10874" spans="1:13" x14ac:dyDescent="0.25">
      <c r="A10874" s="1" t="str">
        <f>HYPERLINK("http://www.rosaceae.org/Prunus/Prunus_persica/p.persica_gdr_reftransV1_0044987","p.persica_gdr_reftransV1_0044987")</f>
        <v>p.persica_gdr_reftransV1_0044987</v>
      </c>
      <c r="B10874" s="3">
        <v>1695</v>
      </c>
      <c r="C10874" s="1" t="str">
        <f>HYPERLINK("http://www.uniprot.org/uniprot/BUBR1_ARATH","BUBR1_ARATH")</f>
        <v>BUBR1_ARATH</v>
      </c>
      <c r="D10874" t="s">
        <v>7813</v>
      </c>
      <c r="E10874" s="3" t="s">
        <v>3</v>
      </c>
      <c r="F10874" s="4">
        <v>4.7100000000000002E-146</v>
      </c>
      <c r="G10874" s="3">
        <v>1115</v>
      </c>
      <c r="H10874" s="3">
        <v>60</v>
      </c>
      <c r="I10874" s="3">
        <v>395</v>
      </c>
      <c r="J10874" s="3">
        <v>295</v>
      </c>
      <c r="K10874" s="3">
        <v>1452</v>
      </c>
      <c r="L10874" s="3">
        <v>6</v>
      </c>
      <c r="M10874" s="3">
        <v>395</v>
      </c>
    </row>
    <row r="10875" spans="1:13" x14ac:dyDescent="0.25">
      <c r="A10875" s="1" t="str">
        <f>HYPERLINK("http://www.rosaceae.org/Prunus/Prunus_persica/p.persica_gdr_reftransV1_0045087","p.persica_gdr_reftransV1_0045087")</f>
        <v>p.persica_gdr_reftransV1_0045087</v>
      </c>
      <c r="B10875" s="3">
        <v>3080</v>
      </c>
      <c r="C10875" s="1" t="str">
        <f>HYPERLINK("http://www.uniprot.org/uniprot/GDIR_ARATH","GDIR_ARATH")</f>
        <v>GDIR_ARATH</v>
      </c>
      <c r="D10875" t="s">
        <v>838</v>
      </c>
      <c r="E10875" s="3" t="s">
        <v>3</v>
      </c>
      <c r="F10875" s="4">
        <v>6.2899999999999998E-52</v>
      </c>
      <c r="G10875" s="3">
        <v>476</v>
      </c>
      <c r="H10875" s="3">
        <v>53</v>
      </c>
      <c r="I10875" s="3">
        <v>172</v>
      </c>
      <c r="J10875" s="3">
        <v>273</v>
      </c>
      <c r="K10875" s="3">
        <v>785</v>
      </c>
      <c r="L10875" s="3">
        <v>65</v>
      </c>
      <c r="M10875" s="3">
        <v>235</v>
      </c>
    </row>
    <row r="10876" spans="1:13" x14ac:dyDescent="0.25">
      <c r="A10876" s="1" t="str">
        <f>HYPERLINK("http://www.rosaceae.org/Prunus/Prunus_persica/p.persica_gdr_reftransV1_0045187","p.persica_gdr_reftransV1_0045187")</f>
        <v>p.persica_gdr_reftransV1_0045187</v>
      </c>
      <c r="B10876" s="3">
        <v>3029</v>
      </c>
      <c r="C10876" s="1" t="str">
        <f>HYPERLINK("http://www.uniprot.org/uniprot/ARFC_ARATH","ARFC_ARATH")</f>
        <v>ARFC_ARATH</v>
      </c>
      <c r="D10876" t="s">
        <v>7814</v>
      </c>
      <c r="E10876" s="3" t="s">
        <v>3</v>
      </c>
      <c r="F10876" s="4">
        <v>0</v>
      </c>
      <c r="G10876" s="3">
        <v>1580</v>
      </c>
      <c r="H10876" s="3">
        <v>62</v>
      </c>
      <c r="I10876" s="3">
        <v>520</v>
      </c>
      <c r="J10876" s="3">
        <v>1008</v>
      </c>
      <c r="K10876" s="3">
        <v>2516</v>
      </c>
      <c r="L10876" s="3">
        <v>1</v>
      </c>
      <c r="M10876" s="3">
        <v>487</v>
      </c>
    </row>
    <row r="10877" spans="1:13" x14ac:dyDescent="0.25">
      <c r="A10877" s="1" t="str">
        <f>HYPERLINK("http://www.rosaceae.org/Prunus/Prunus_persica/p.persica_gdr_reftransV1_0045237","p.persica_gdr_reftransV1_0045237")</f>
        <v>p.persica_gdr_reftransV1_0045237</v>
      </c>
      <c r="B10877" s="3">
        <v>2355</v>
      </c>
      <c r="C10877" s="1" t="str">
        <f>HYPERLINK("http://www.uniprot.org/uniprot/CHUP1_ARATH","CHUP1_ARATH")</f>
        <v>CHUP1_ARATH</v>
      </c>
      <c r="D10877" t="s">
        <v>3256</v>
      </c>
      <c r="E10877" s="3" t="s">
        <v>3</v>
      </c>
      <c r="F10877" s="4">
        <v>2.34E-88</v>
      </c>
      <c r="G10877" s="3">
        <v>783</v>
      </c>
      <c r="H10877" s="3">
        <v>59</v>
      </c>
      <c r="I10877" s="3">
        <v>262</v>
      </c>
      <c r="J10877" s="3">
        <v>1183</v>
      </c>
      <c r="K10877" s="3">
        <v>1950</v>
      </c>
      <c r="L10877" s="3">
        <v>723</v>
      </c>
      <c r="M10877" s="3">
        <v>984</v>
      </c>
    </row>
    <row r="10878" spans="1:13" x14ac:dyDescent="0.25">
      <c r="A10878" s="1" t="str">
        <f>HYPERLINK("http://www.rosaceae.org/Prunus/Prunus_persica/p.persica_gdr_reftransV1_0045387","p.persica_gdr_reftransV1_0045387")</f>
        <v>p.persica_gdr_reftransV1_0045387</v>
      </c>
      <c r="B10878" s="3">
        <v>430</v>
      </c>
      <c r="C10878" s="1" t="str">
        <f>HYPERLINK("http://www.uniprot.org/uniprot/MAOX_POPTR","MAOX_POPTR")</f>
        <v>MAOX_POPTR</v>
      </c>
      <c r="D10878" t="s">
        <v>7815</v>
      </c>
      <c r="E10878" s="3" t="s">
        <v>340</v>
      </c>
      <c r="F10878" s="4">
        <v>2.7800000000000001E-38</v>
      </c>
      <c r="G10878" s="3">
        <v>354</v>
      </c>
      <c r="H10878" s="3">
        <v>74</v>
      </c>
      <c r="I10878" s="3">
        <v>90</v>
      </c>
      <c r="J10878" s="3">
        <v>161</v>
      </c>
      <c r="K10878" s="3">
        <v>430</v>
      </c>
      <c r="L10878" s="3">
        <v>1</v>
      </c>
      <c r="M10878" s="3">
        <v>89</v>
      </c>
    </row>
    <row r="10879" spans="1:13" x14ac:dyDescent="0.25">
      <c r="A10879" s="1" t="str">
        <f>HYPERLINK("http://www.rosaceae.org/Prunus/Prunus_persica/p.persica_gdr_reftransV1_0045437","p.persica_gdr_reftransV1_0045437")</f>
        <v>p.persica_gdr_reftransV1_0045437</v>
      </c>
      <c r="B10879" s="3">
        <v>1672</v>
      </c>
      <c r="C10879" s="1" t="str">
        <f>HYPERLINK("http://www.uniprot.org/uniprot/DXS2_ORYSJ","DXS2_ORYSJ")</f>
        <v>DXS2_ORYSJ</v>
      </c>
      <c r="D10879" t="s">
        <v>4016</v>
      </c>
      <c r="E10879" s="3" t="s">
        <v>38</v>
      </c>
      <c r="F10879" s="4">
        <v>0</v>
      </c>
      <c r="G10879" s="3">
        <v>1621</v>
      </c>
      <c r="H10879" s="3">
        <v>69</v>
      </c>
      <c r="I10879" s="3">
        <v>439</v>
      </c>
      <c r="J10879" s="3">
        <v>65</v>
      </c>
      <c r="K10879" s="3">
        <v>1366</v>
      </c>
      <c r="L10879" s="3">
        <v>277</v>
      </c>
      <c r="M10879" s="3">
        <v>712</v>
      </c>
    </row>
    <row r="10880" spans="1:13" x14ac:dyDescent="0.25">
      <c r="A10880" s="1" t="str">
        <f>HYPERLINK("http://www.rosaceae.org/Prunus/Prunus_persica/p.persica_gdr_reftransV1_0045537","p.persica_gdr_reftransV1_0045537")</f>
        <v>p.persica_gdr_reftransV1_0045537</v>
      </c>
      <c r="B10880" s="3">
        <v>2242</v>
      </c>
      <c r="C10880" s="1" t="str">
        <f>HYPERLINK("http://www.uniprot.org/uniprot/SCL6_ARATH","SCL6_ARATH")</f>
        <v>SCL6_ARATH</v>
      </c>
      <c r="D10880" t="s">
        <v>7816</v>
      </c>
      <c r="E10880" s="3" t="s">
        <v>3</v>
      </c>
      <c r="F10880" s="4">
        <v>5.04E-104</v>
      </c>
      <c r="G10880" s="3">
        <v>862</v>
      </c>
      <c r="H10880" s="3">
        <v>52</v>
      </c>
      <c r="I10880" s="3">
        <v>353</v>
      </c>
      <c r="J10880" s="3">
        <v>1088</v>
      </c>
      <c r="K10880" s="3">
        <v>1999</v>
      </c>
      <c r="L10880" s="3">
        <v>211</v>
      </c>
      <c r="M10880" s="3">
        <v>555</v>
      </c>
    </row>
    <row r="10881" spans="1:13" x14ac:dyDescent="0.25">
      <c r="A10881" s="1" t="str">
        <f>HYPERLINK("http://www.rosaceae.org/Prunus/Prunus_persica/p.persica_gdr_reftransV1_0045687","p.persica_gdr_reftransV1_0045687")</f>
        <v>p.persica_gdr_reftransV1_0045687</v>
      </c>
      <c r="B10881" s="3">
        <v>1525</v>
      </c>
      <c r="C10881" s="1" t="str">
        <f>HYPERLINK("http://www.uniprot.org/uniprot/SERK1_ARATH","SERK1_ARATH")</f>
        <v>SERK1_ARATH</v>
      </c>
      <c r="D10881" t="s">
        <v>1676</v>
      </c>
      <c r="E10881" s="3" t="s">
        <v>3</v>
      </c>
      <c r="F10881" s="4">
        <v>1.7700000000000001E-62</v>
      </c>
      <c r="G10881" s="3">
        <v>562</v>
      </c>
      <c r="H10881" s="3">
        <v>63</v>
      </c>
      <c r="I10881" s="3">
        <v>180</v>
      </c>
      <c r="J10881" s="3">
        <v>589</v>
      </c>
      <c r="K10881" s="3">
        <v>1125</v>
      </c>
      <c r="L10881" s="3">
        <v>25</v>
      </c>
      <c r="M10881" s="3">
        <v>204</v>
      </c>
    </row>
    <row r="10882" spans="1:13" x14ac:dyDescent="0.25">
      <c r="A10882" s="1" t="str">
        <f>HYPERLINK("http://www.rosaceae.org/Prunus/Prunus_persica/p.persica_gdr_reftransV1_0045837","p.persica_gdr_reftransV1_0045837")</f>
        <v>p.persica_gdr_reftransV1_0045837</v>
      </c>
      <c r="B10882" s="3">
        <v>1704</v>
      </c>
      <c r="C10882" s="1" t="str">
        <f>HYPERLINK("http://www.uniprot.org/uniprot/RBR_RICCO","RBR_RICCO")</f>
        <v>RBR_RICCO</v>
      </c>
      <c r="D10882" t="s">
        <v>433</v>
      </c>
      <c r="E10882" s="3" t="s">
        <v>421</v>
      </c>
      <c r="F10882" s="4">
        <v>0</v>
      </c>
      <c r="G10882" s="3">
        <v>1836</v>
      </c>
      <c r="H10882" s="3">
        <v>75</v>
      </c>
      <c r="I10882" s="3">
        <v>496</v>
      </c>
      <c r="J10882" s="3">
        <v>236</v>
      </c>
      <c r="K10882" s="3">
        <v>1702</v>
      </c>
      <c r="L10882" s="3">
        <v>28</v>
      </c>
      <c r="M10882" s="3">
        <v>519</v>
      </c>
    </row>
    <row r="10883" spans="1:13" x14ac:dyDescent="0.25">
      <c r="A10883" s="1" t="str">
        <f>HYPERLINK("http://www.rosaceae.org/Prunus/Prunus_persica/p.persica_gdr_reftransV1_0046087","p.persica_gdr_reftransV1_0046087")</f>
        <v>p.persica_gdr_reftransV1_0046087</v>
      </c>
      <c r="B10883" s="3">
        <v>2499</v>
      </c>
      <c r="C10883" s="1" t="str">
        <f>HYPERLINK("http://www.uniprot.org/uniprot/idD10_ARATH","idD10_ARATH")</f>
        <v>idD10_ARATH</v>
      </c>
      <c r="D10883" t="s">
        <v>6280</v>
      </c>
      <c r="E10883" s="3" t="s">
        <v>3</v>
      </c>
      <c r="F10883" s="4">
        <v>9.7200000000000005E-97</v>
      </c>
      <c r="G10883" s="3">
        <v>813</v>
      </c>
      <c r="H10883" s="3">
        <v>68</v>
      </c>
      <c r="I10883" s="3">
        <v>272</v>
      </c>
      <c r="J10883" s="3">
        <v>366</v>
      </c>
      <c r="K10883" s="3">
        <v>1112</v>
      </c>
      <c r="L10883" s="3">
        <v>1</v>
      </c>
      <c r="M10883" s="3">
        <v>271</v>
      </c>
    </row>
    <row r="10884" spans="1:13" x14ac:dyDescent="0.25">
      <c r="A10884" s="1" t="str">
        <f>HYPERLINK("http://www.rosaceae.org/Prunus/Prunus_persica/p.persica_gdr_reftransV1_0046237","p.persica_gdr_reftransV1_0046237")</f>
        <v>p.persica_gdr_reftransV1_0046237</v>
      </c>
      <c r="B10884" s="3">
        <v>530</v>
      </c>
      <c r="C10884" s="1" t="str">
        <f>HYPERLINK("http://www.uniprot.org/uniprot/AB19A_PRUPE","AB19A_PRUPE")</f>
        <v>AB19A_PRUPE</v>
      </c>
      <c r="D10884" t="s">
        <v>2504</v>
      </c>
      <c r="E10884" s="3" t="s">
        <v>784</v>
      </c>
      <c r="F10884" s="4">
        <v>2.9099999999999999E-73</v>
      </c>
      <c r="G10884" s="3">
        <v>575</v>
      </c>
      <c r="H10884" s="3">
        <v>80</v>
      </c>
      <c r="I10884" s="3">
        <v>135</v>
      </c>
      <c r="J10884" s="3">
        <v>44</v>
      </c>
      <c r="K10884" s="3">
        <v>448</v>
      </c>
      <c r="L10884" s="3">
        <v>17</v>
      </c>
      <c r="M10884" s="3">
        <v>151</v>
      </c>
    </row>
    <row r="10885" spans="1:13" x14ac:dyDescent="0.25">
      <c r="A10885" s="1" t="str">
        <f>HYPERLINK("http://www.rosaceae.org/Prunus/Prunus_persica/p.persica_gdr_reftransV1_0046387","p.persica_gdr_reftransV1_0046387")</f>
        <v>p.persica_gdr_reftransV1_0046387</v>
      </c>
      <c r="B10885" s="3">
        <v>1142</v>
      </c>
      <c r="C10885" s="1" t="str">
        <f>HYPERLINK("http://www.uniprot.org/uniprot/SRS5_ARATH","SRS5_ARATH")</f>
        <v>SRS5_ARATH</v>
      </c>
      <c r="D10885" t="s">
        <v>7817</v>
      </c>
      <c r="E10885" s="3" t="s">
        <v>3</v>
      </c>
      <c r="F10885" s="4">
        <v>3.3300000000000001E-56</v>
      </c>
      <c r="G10885" s="3">
        <v>491</v>
      </c>
      <c r="H10885" s="3">
        <v>49</v>
      </c>
      <c r="I10885" s="3">
        <v>248</v>
      </c>
      <c r="J10885" s="3">
        <v>299</v>
      </c>
      <c r="K10885" s="3">
        <v>985</v>
      </c>
      <c r="L10885" s="3">
        <v>122</v>
      </c>
      <c r="M10885" s="3">
        <v>338</v>
      </c>
    </row>
    <row r="10886" spans="1:13" x14ac:dyDescent="0.25">
      <c r="A10886" s="1" t="str">
        <f>HYPERLINK("http://www.rosaceae.org/Prunus/Prunus_persica/p.persica_gdr_reftransV1_0046537","p.persica_gdr_reftransV1_0046537")</f>
        <v>p.persica_gdr_reftransV1_0046537</v>
      </c>
      <c r="B10886" s="3">
        <v>947</v>
      </c>
      <c r="C10886" s="1" t="str">
        <f>HYPERLINK("http://www.uniprot.org/uniprot/MDHM_FRAAN","MDHM_FRAAN")</f>
        <v>MDHM_FRAAN</v>
      </c>
      <c r="D10886" t="s">
        <v>7818</v>
      </c>
      <c r="E10886" s="3" t="s">
        <v>15</v>
      </c>
      <c r="F10886" s="4">
        <v>7.3699999999999997E-176</v>
      </c>
      <c r="G10886" s="3">
        <v>1281</v>
      </c>
      <c r="H10886" s="3">
        <v>84</v>
      </c>
      <c r="I10886" s="3">
        <v>290</v>
      </c>
      <c r="J10886" s="3">
        <v>78</v>
      </c>
      <c r="K10886" s="3">
        <v>947</v>
      </c>
      <c r="L10886" s="3">
        <v>51</v>
      </c>
      <c r="M10886" s="3">
        <v>339</v>
      </c>
    </row>
    <row r="10887" spans="1:13" x14ac:dyDescent="0.25">
      <c r="A10887" s="1" t="str">
        <f>HYPERLINK("http://www.rosaceae.org/Prunus/Prunus_persica/p.persica_gdr_reftransV1_0046587","p.persica_gdr_reftransV1_0046587")</f>
        <v>p.persica_gdr_reftransV1_0046587</v>
      </c>
      <c r="B10887" s="3">
        <v>1305</v>
      </c>
      <c r="C10887" s="1" t="str">
        <f>HYPERLINK("http://www.uniprot.org/uniprot/Y4757_DICDI","Y4757_DICDI")</f>
        <v>Y4757_DICDI</v>
      </c>
      <c r="D10887" t="s">
        <v>6481</v>
      </c>
      <c r="E10887" s="3" t="s">
        <v>9</v>
      </c>
      <c r="F10887" s="4">
        <v>3.8000000000000002E-14</v>
      </c>
      <c r="G10887" s="3">
        <v>192</v>
      </c>
      <c r="H10887" s="3">
        <v>35</v>
      </c>
      <c r="I10887" s="3">
        <v>140</v>
      </c>
      <c r="J10887" s="3">
        <v>414</v>
      </c>
      <c r="K10887" s="3">
        <v>800</v>
      </c>
      <c r="L10887" s="3">
        <v>608</v>
      </c>
      <c r="M10887" s="3">
        <v>741</v>
      </c>
    </row>
    <row r="10888" spans="1:13" x14ac:dyDescent="0.25">
      <c r="A10888" s="1" t="str">
        <f>HYPERLINK("http://www.rosaceae.org/Prunus/Prunus_persica/p.persica_gdr_reftransV1_0046637","p.persica_gdr_reftransV1_0046637")</f>
        <v>p.persica_gdr_reftransV1_0046637</v>
      </c>
      <c r="B10888" s="3">
        <v>383</v>
      </c>
      <c r="C10888" s="1" t="str">
        <f>HYPERLINK("http://www.uniprot.org/uniprot/GLR29_ARATH","GLR29_ARATH")</f>
        <v>GLR29_ARATH</v>
      </c>
      <c r="D10888" t="s">
        <v>4453</v>
      </c>
      <c r="E10888" s="3" t="s">
        <v>3</v>
      </c>
      <c r="F10888" s="4">
        <v>2.3999999999999999E-29</v>
      </c>
      <c r="G10888" s="3">
        <v>292</v>
      </c>
      <c r="H10888" s="3">
        <v>55</v>
      </c>
      <c r="I10888" s="3">
        <v>106</v>
      </c>
      <c r="J10888" s="3">
        <v>1</v>
      </c>
      <c r="K10888" s="3">
        <v>318</v>
      </c>
      <c r="L10888" s="3">
        <v>21</v>
      </c>
      <c r="M10888" s="3">
        <v>125</v>
      </c>
    </row>
    <row r="10889" spans="1:13" x14ac:dyDescent="0.25">
      <c r="A10889" s="1" t="str">
        <f>HYPERLINK("http://www.rosaceae.org/Prunus/Prunus_persica/p.persica_gdr_reftransV1_0046687","p.persica_gdr_reftransV1_0046687")</f>
        <v>p.persica_gdr_reftransV1_0046687</v>
      </c>
      <c r="B10889" s="3">
        <v>1519</v>
      </c>
      <c r="C10889" s="1" t="str">
        <f>HYPERLINK("http://www.uniprot.org/uniprot/F26_ARATH","F26_ARATH")</f>
        <v>F26_ARATH</v>
      </c>
      <c r="D10889" t="s">
        <v>240</v>
      </c>
      <c r="E10889" s="3" t="s">
        <v>3</v>
      </c>
      <c r="F10889" s="4">
        <v>0</v>
      </c>
      <c r="G10889" s="3">
        <v>2003</v>
      </c>
      <c r="H10889" s="3">
        <v>88</v>
      </c>
      <c r="I10889" s="3">
        <v>421</v>
      </c>
      <c r="J10889" s="3">
        <v>19</v>
      </c>
      <c r="K10889" s="3">
        <v>1281</v>
      </c>
      <c r="L10889" s="3">
        <v>332</v>
      </c>
      <c r="M10889" s="3">
        <v>744</v>
      </c>
    </row>
    <row r="10890" spans="1:13" x14ac:dyDescent="0.25">
      <c r="A10890" s="1" t="str">
        <f>HYPERLINK("http://www.rosaceae.org/Prunus/Prunus_persica/p.persica_gdr_reftransV1_0046737","p.persica_gdr_reftransV1_0046737")</f>
        <v>p.persica_gdr_reftransV1_0046737</v>
      </c>
      <c r="B10890" s="3">
        <v>568</v>
      </c>
      <c r="C10890" s="1" t="str">
        <f>HYPERLINK("http://www.uniprot.org/uniprot/BAHD2_ARATH","BAHD2_ARATH")</f>
        <v>BAHD2_ARATH</v>
      </c>
      <c r="D10890" t="s">
        <v>7819</v>
      </c>
      <c r="E10890" s="3" t="s">
        <v>3</v>
      </c>
      <c r="F10890" s="4">
        <v>1.7999999999999999E-22</v>
      </c>
      <c r="G10890" s="3">
        <v>241</v>
      </c>
      <c r="H10890" s="3">
        <v>48</v>
      </c>
      <c r="I10890" s="3">
        <v>111</v>
      </c>
      <c r="J10890" s="3">
        <v>3</v>
      </c>
      <c r="K10890" s="3">
        <v>335</v>
      </c>
      <c r="L10890" s="3">
        <v>25</v>
      </c>
      <c r="M10890" s="3">
        <v>133</v>
      </c>
    </row>
    <row r="10891" spans="1:13" x14ac:dyDescent="0.25">
      <c r="A10891" s="1" t="str">
        <f>HYPERLINK("http://www.rosaceae.org/Prunus/Prunus_persica/p.persica_gdr_reftransV1_0046837","p.persica_gdr_reftransV1_0046837")</f>
        <v>p.persica_gdr_reftransV1_0046837</v>
      </c>
      <c r="B10891" s="3">
        <v>1757</v>
      </c>
      <c r="C10891" s="1" t="str">
        <f>HYPERLINK("http://www.uniprot.org/uniprot/NU4C_CARPA","NU4C_CARPA")</f>
        <v>NU4C_CARPA</v>
      </c>
      <c r="D10891" t="s">
        <v>7820</v>
      </c>
      <c r="E10891" s="3" t="s">
        <v>2630</v>
      </c>
      <c r="F10891" s="4">
        <v>5.2200000000000001E-64</v>
      </c>
      <c r="G10891" s="3">
        <v>570</v>
      </c>
      <c r="H10891" s="3">
        <v>91</v>
      </c>
      <c r="I10891" s="3">
        <v>132</v>
      </c>
      <c r="J10891" s="3">
        <v>1362</v>
      </c>
      <c r="K10891" s="3">
        <v>1757</v>
      </c>
      <c r="L10891" s="3">
        <v>1</v>
      </c>
      <c r="M10891" s="3">
        <v>132</v>
      </c>
    </row>
    <row r="10892" spans="1:13" x14ac:dyDescent="0.25">
      <c r="A10892" s="1" t="str">
        <f>HYPERLINK("http://www.rosaceae.org/Prunus/Prunus_persica/p.persica_gdr_reftransV1_0046887","p.persica_gdr_reftransV1_0046887")</f>
        <v>p.persica_gdr_reftransV1_0046887</v>
      </c>
      <c r="B10892" s="3">
        <v>597</v>
      </c>
      <c r="C10892" s="1" t="str">
        <f>HYPERLINK("http://www.uniprot.org/uniprot/FDL1_ARATH","FDL1_ARATH")</f>
        <v>FDL1_ARATH</v>
      </c>
      <c r="D10892" t="s">
        <v>275</v>
      </c>
      <c r="E10892" s="3" t="s">
        <v>3</v>
      </c>
      <c r="F10892" s="4">
        <v>3.5499999999999997E-21</v>
      </c>
      <c r="G10892" s="3">
        <v>231</v>
      </c>
      <c r="H10892" s="3">
        <v>55</v>
      </c>
      <c r="I10892" s="3">
        <v>85</v>
      </c>
      <c r="J10892" s="3">
        <v>12</v>
      </c>
      <c r="K10892" s="3">
        <v>251</v>
      </c>
      <c r="L10892" s="3">
        <v>6</v>
      </c>
      <c r="M10892" s="3">
        <v>90</v>
      </c>
    </row>
    <row r="10893" spans="1:13" x14ac:dyDescent="0.25">
      <c r="A10893" s="1" t="str">
        <f>HYPERLINK("http://www.rosaceae.org/Prunus/Prunus_persica/p.persica_gdr_reftransV1_0046987","p.persica_gdr_reftransV1_0046987")</f>
        <v>p.persica_gdr_reftransV1_0046987</v>
      </c>
      <c r="B10893" s="3">
        <v>1059</v>
      </c>
      <c r="C10893" s="1" t="str">
        <f>HYPERLINK("http://www.uniprot.org/uniprot/KITH_ORYSJ","KITH_ORYSJ")</f>
        <v>KITH_ORYSJ</v>
      </c>
      <c r="D10893" t="s">
        <v>7821</v>
      </c>
      <c r="E10893" s="3" t="s">
        <v>38</v>
      </c>
      <c r="F10893" s="4">
        <v>1.33E-96</v>
      </c>
      <c r="G10893" s="3">
        <v>754</v>
      </c>
      <c r="H10893" s="3">
        <v>72</v>
      </c>
      <c r="I10893" s="3">
        <v>204</v>
      </c>
      <c r="J10893" s="3">
        <v>190</v>
      </c>
      <c r="K10893" s="3">
        <v>798</v>
      </c>
      <c r="L10893" s="3">
        <v>62</v>
      </c>
      <c r="M10893" s="3">
        <v>265</v>
      </c>
    </row>
    <row r="10894" spans="1:13" x14ac:dyDescent="0.25">
      <c r="A10894" s="1" t="str">
        <f>HYPERLINK("http://www.rosaceae.org/Prunus/Prunus_persica/p.persica_gdr_reftransV1_0047137","p.persica_gdr_reftransV1_0047137")</f>
        <v>p.persica_gdr_reftransV1_0047137</v>
      </c>
      <c r="B10894" s="3">
        <v>1574</v>
      </c>
      <c r="C10894" s="1" t="str">
        <f>HYPERLINK("http://www.uniprot.org/uniprot/PTR51_ARATH","PTR51_ARATH")</f>
        <v>PTR51_ARATH</v>
      </c>
      <c r="D10894" t="s">
        <v>7427</v>
      </c>
      <c r="E10894" s="3" t="s">
        <v>3</v>
      </c>
      <c r="F10894" s="4">
        <v>0</v>
      </c>
      <c r="G10894" s="3">
        <v>1516</v>
      </c>
      <c r="H10894" s="3">
        <v>70</v>
      </c>
      <c r="I10894" s="3">
        <v>409</v>
      </c>
      <c r="J10894" s="3">
        <v>357</v>
      </c>
      <c r="K10894" s="3">
        <v>1574</v>
      </c>
      <c r="L10894" s="3">
        <v>189</v>
      </c>
      <c r="M10894" s="3">
        <v>585</v>
      </c>
    </row>
    <row r="10895" spans="1:13" x14ac:dyDescent="0.25">
      <c r="A10895" s="1" t="str">
        <f>HYPERLINK("http://www.rosaceae.org/Prunus/Prunus_persica/p.persica_gdr_reftransV1_0047187","p.persica_gdr_reftransV1_0047187")</f>
        <v>p.persica_gdr_reftransV1_0047187</v>
      </c>
      <c r="B10895" s="3">
        <v>850</v>
      </c>
      <c r="C10895" s="1" t="str">
        <f>HYPERLINK("http://www.uniprot.org/uniprot/KRR1_SCHPO","KRR1_SCHPO")</f>
        <v>KRR1_SCHPO</v>
      </c>
      <c r="D10895" t="s">
        <v>7822</v>
      </c>
      <c r="E10895" s="3" t="s">
        <v>464</v>
      </c>
      <c r="F10895" s="4">
        <v>4.3600000000000004E-22</v>
      </c>
      <c r="G10895" s="3">
        <v>241</v>
      </c>
      <c r="H10895" s="3">
        <v>37</v>
      </c>
      <c r="I10895" s="3">
        <v>185</v>
      </c>
      <c r="J10895" s="3">
        <v>93</v>
      </c>
      <c r="K10895" s="3">
        <v>632</v>
      </c>
      <c r="L10895" s="3">
        <v>43</v>
      </c>
      <c r="M10895" s="3">
        <v>216</v>
      </c>
    </row>
    <row r="10896" spans="1:13" x14ac:dyDescent="0.25">
      <c r="A10896" s="1" t="str">
        <f>HYPERLINK("http://www.rosaceae.org/Prunus/Prunus_persica/p.persica_gdr_reftransV1_0047287","p.persica_gdr_reftransV1_0047287")</f>
        <v>p.persica_gdr_reftransV1_0047287</v>
      </c>
      <c r="B10896" s="3">
        <v>2070</v>
      </c>
      <c r="C10896" s="1" t="str">
        <f>HYPERLINK("http://www.uniprot.org/uniprot/SYPM_ARATH","SYPM_ARATH")</f>
        <v>SYPM_ARATH</v>
      </c>
      <c r="D10896" t="s">
        <v>6035</v>
      </c>
      <c r="E10896" s="3" t="s">
        <v>3</v>
      </c>
      <c r="F10896" s="4">
        <v>0</v>
      </c>
      <c r="G10896" s="3">
        <v>2099</v>
      </c>
      <c r="H10896" s="3">
        <v>79</v>
      </c>
      <c r="I10896" s="3">
        <v>526</v>
      </c>
      <c r="J10896" s="3">
        <v>153</v>
      </c>
      <c r="K10896" s="3">
        <v>1730</v>
      </c>
      <c r="L10896" s="3">
        <v>40</v>
      </c>
      <c r="M10896" s="3">
        <v>528</v>
      </c>
    </row>
    <row r="10897" spans="1:13" x14ac:dyDescent="0.25">
      <c r="A10897" s="1" t="str">
        <f>HYPERLINK("http://www.rosaceae.org/Prunus/Prunus_persica/p.persica_gdr_reftransV1_0047337","p.persica_gdr_reftransV1_0047337")</f>
        <v>p.persica_gdr_reftransV1_0047337</v>
      </c>
      <c r="B10897" s="3">
        <v>1303</v>
      </c>
      <c r="C10897" s="1" t="str">
        <f>HYPERLINK("http://www.uniprot.org/uniprot/IFRH_SOLTU","IFRH_SOLTU")</f>
        <v>IFRH_SOLTU</v>
      </c>
      <c r="D10897" t="s">
        <v>7823</v>
      </c>
      <c r="E10897" s="3" t="s">
        <v>11</v>
      </c>
      <c r="F10897" s="4">
        <v>9.8300000000000001E-174</v>
      </c>
      <c r="G10897" s="3">
        <v>1276</v>
      </c>
      <c r="H10897" s="3">
        <v>79</v>
      </c>
      <c r="I10897" s="3">
        <v>307</v>
      </c>
      <c r="J10897" s="3">
        <v>98</v>
      </c>
      <c r="K10897" s="3">
        <v>1018</v>
      </c>
      <c r="L10897" s="3">
        <v>2</v>
      </c>
      <c r="M10897" s="3">
        <v>308</v>
      </c>
    </row>
    <row r="10898" spans="1:13" x14ac:dyDescent="0.25">
      <c r="A10898" s="1" t="str">
        <f>HYPERLINK("http://www.rosaceae.org/Prunus/Prunus_persica/p.persica_gdr_reftransV1_0047387","p.persica_gdr_reftransV1_0047387")</f>
        <v>p.persica_gdr_reftransV1_0047387</v>
      </c>
      <c r="B10898" s="3">
        <v>1257</v>
      </c>
      <c r="C10898" s="1" t="str">
        <f>HYPERLINK("http://www.uniprot.org/uniprot/RL22_SINMW","RL22_SINMW")</f>
        <v>RL22_SINMW</v>
      </c>
      <c r="D10898" t="s">
        <v>7824</v>
      </c>
      <c r="E10898" s="3" t="s">
        <v>7825</v>
      </c>
      <c r="F10898" s="4">
        <v>1.03E-24</v>
      </c>
      <c r="G10898" s="3">
        <v>254</v>
      </c>
      <c r="H10898" s="3">
        <v>46</v>
      </c>
      <c r="I10898" s="3">
        <v>118</v>
      </c>
      <c r="J10898" s="3">
        <v>473</v>
      </c>
      <c r="K10898" s="3">
        <v>826</v>
      </c>
      <c r="L10898" s="3">
        <v>11</v>
      </c>
      <c r="M10898" s="3">
        <v>128</v>
      </c>
    </row>
    <row r="10899" spans="1:13" x14ac:dyDescent="0.25">
      <c r="A10899" s="1" t="str">
        <f>HYPERLINK("http://www.rosaceae.org/Prunus/Prunus_persica/p.persica_gdr_reftransV1_0047487","p.persica_gdr_reftransV1_0047487")</f>
        <v>p.persica_gdr_reftransV1_0047487</v>
      </c>
      <c r="B10899" s="3">
        <v>1795</v>
      </c>
      <c r="C10899" s="1" t="str">
        <f>HYPERLINK("http://www.uniprot.org/uniprot/IQD14_ARATH","IQD14_ARATH")</f>
        <v>IQD14_ARATH</v>
      </c>
      <c r="D10899" t="s">
        <v>4118</v>
      </c>
      <c r="E10899" s="3" t="s">
        <v>3</v>
      </c>
      <c r="F10899" s="4">
        <v>4.94E-23</v>
      </c>
      <c r="G10899" s="3">
        <v>267</v>
      </c>
      <c r="H10899" s="3">
        <v>35</v>
      </c>
      <c r="I10899" s="3">
        <v>159</v>
      </c>
      <c r="J10899" s="3">
        <v>651</v>
      </c>
      <c r="K10899" s="3">
        <v>1112</v>
      </c>
      <c r="L10899" s="3">
        <v>320</v>
      </c>
      <c r="M10899" s="3">
        <v>470</v>
      </c>
    </row>
    <row r="10900" spans="1:13" x14ac:dyDescent="0.25">
      <c r="A10900" s="1" t="str">
        <f>HYPERLINK("http://www.rosaceae.org/Prunus/Prunus_persica/p.persica_gdr_reftransV1_0047537","p.persica_gdr_reftransV1_0047537")</f>
        <v>p.persica_gdr_reftransV1_0047537</v>
      </c>
      <c r="B10900" s="3">
        <v>2554</v>
      </c>
      <c r="C10900" s="1" t="str">
        <f>HYPERLINK("http://www.uniprot.org/uniprot/Y1491_ARATH","Y1491_ARATH")</f>
        <v>Y1491_ARATH</v>
      </c>
      <c r="D10900" t="s">
        <v>310</v>
      </c>
      <c r="E10900" s="3" t="s">
        <v>3</v>
      </c>
      <c r="F10900" s="4">
        <v>8.3599999999999999E-81</v>
      </c>
      <c r="G10900" s="3">
        <v>705</v>
      </c>
      <c r="H10900" s="3">
        <v>38</v>
      </c>
      <c r="I10900" s="3">
        <v>461</v>
      </c>
      <c r="J10900" s="3">
        <v>623</v>
      </c>
      <c r="K10900" s="3">
        <v>1948</v>
      </c>
      <c r="L10900" s="3">
        <v>38</v>
      </c>
      <c r="M10900" s="3">
        <v>491</v>
      </c>
    </row>
    <row r="10901" spans="1:13" x14ac:dyDescent="0.25">
      <c r="A10901" s="1" t="str">
        <f>HYPERLINK("http://www.rosaceae.org/Prunus/Prunus_persica/p.persica_gdr_reftransV1_0047587","p.persica_gdr_reftransV1_0047587")</f>
        <v>p.persica_gdr_reftransV1_0047587</v>
      </c>
      <c r="B10901" s="3">
        <v>415</v>
      </c>
      <c r="C10901" s="1" t="str">
        <f>HYPERLINK("http://www.uniprot.org/uniprot/RST1_ARATH","RST1_ARATH")</f>
        <v>RST1_ARATH</v>
      </c>
      <c r="D10901" t="s">
        <v>5002</v>
      </c>
      <c r="E10901" s="3" t="s">
        <v>3</v>
      </c>
      <c r="F10901" s="4">
        <v>3.2899999999999998E-18</v>
      </c>
      <c r="G10901" s="3">
        <v>210</v>
      </c>
      <c r="H10901" s="3">
        <v>39</v>
      </c>
      <c r="I10901" s="3">
        <v>119</v>
      </c>
      <c r="J10901" s="3">
        <v>54</v>
      </c>
      <c r="K10901" s="3">
        <v>410</v>
      </c>
      <c r="L10901" s="3">
        <v>211</v>
      </c>
      <c r="M10901" s="3">
        <v>323</v>
      </c>
    </row>
    <row r="10902" spans="1:13" x14ac:dyDescent="0.25">
      <c r="A10902" s="1" t="str">
        <f>HYPERLINK("http://www.rosaceae.org/Prunus/Prunus_persica/p.persica_gdr_reftransV1_0047637","p.persica_gdr_reftransV1_0047637")</f>
        <v>p.persica_gdr_reftransV1_0047637</v>
      </c>
      <c r="B10902" s="3">
        <v>2271</v>
      </c>
      <c r="C10902" s="1" t="str">
        <f>HYPERLINK("http://www.uniprot.org/uniprot/MLO1_ARATH","MLO1_ARATH")</f>
        <v>MLO1_ARATH</v>
      </c>
      <c r="D10902" t="s">
        <v>7826</v>
      </c>
      <c r="E10902" s="3" t="s">
        <v>3</v>
      </c>
      <c r="F10902" s="4">
        <v>0</v>
      </c>
      <c r="G10902" s="3">
        <v>1696</v>
      </c>
      <c r="H10902" s="3">
        <v>75</v>
      </c>
      <c r="I10902" s="3">
        <v>443</v>
      </c>
      <c r="J10902" s="3">
        <v>184</v>
      </c>
      <c r="K10902" s="3">
        <v>1467</v>
      </c>
      <c r="L10902" s="3">
        <v>29</v>
      </c>
      <c r="M10902" s="3">
        <v>469</v>
      </c>
    </row>
    <row r="10903" spans="1:13" x14ac:dyDescent="0.25">
      <c r="A10903" s="1" t="str">
        <f>HYPERLINK("http://www.rosaceae.org/Prunus/Prunus_persica/p.persica_gdr_reftransV1_0047687","p.persica_gdr_reftransV1_0047687")</f>
        <v>p.persica_gdr_reftransV1_0047687</v>
      </c>
      <c r="B10903" s="3">
        <v>4178</v>
      </c>
      <c r="C10903" s="1" t="str">
        <f>HYPERLINK("http://www.uniprot.org/uniprot/P4KB1_ARATH","P4KB1_ARATH")</f>
        <v>P4KB1_ARATH</v>
      </c>
      <c r="D10903" t="s">
        <v>5248</v>
      </c>
      <c r="E10903" s="3" t="s">
        <v>3</v>
      </c>
      <c r="F10903" s="4">
        <v>0</v>
      </c>
      <c r="G10903" s="3">
        <v>3694</v>
      </c>
      <c r="H10903" s="3">
        <v>71</v>
      </c>
      <c r="I10903" s="3">
        <v>1125</v>
      </c>
      <c r="J10903" s="3">
        <v>722</v>
      </c>
      <c r="K10903" s="3">
        <v>3943</v>
      </c>
      <c r="L10903" s="3">
        <v>15</v>
      </c>
      <c r="M10903" s="3">
        <v>1121</v>
      </c>
    </row>
    <row r="10904" spans="1:13" x14ac:dyDescent="0.25">
      <c r="A10904" s="1" t="str">
        <f>HYPERLINK("http://www.rosaceae.org/Prunus/Prunus_persica/p.persica_gdr_reftransV1_0047737","p.persica_gdr_reftransV1_0047737")</f>
        <v>p.persica_gdr_reftransV1_0047737</v>
      </c>
      <c r="B10904" s="3">
        <v>686</v>
      </c>
      <c r="C10904" s="1" t="str">
        <f>HYPERLINK("http://www.uniprot.org/uniprot/FHA2_ARATH","FHA2_ARATH")</f>
        <v>FHA2_ARATH</v>
      </c>
      <c r="D10904" t="s">
        <v>7827</v>
      </c>
      <c r="E10904" s="3" t="s">
        <v>3</v>
      </c>
      <c r="F10904" s="4">
        <v>2.8599999999999997E-60</v>
      </c>
      <c r="G10904" s="3">
        <v>503</v>
      </c>
      <c r="H10904" s="3">
        <v>80</v>
      </c>
      <c r="I10904" s="3">
        <v>110</v>
      </c>
      <c r="J10904" s="3">
        <v>138</v>
      </c>
      <c r="K10904" s="3">
        <v>467</v>
      </c>
      <c r="L10904" s="3">
        <v>203</v>
      </c>
      <c r="M10904" s="3">
        <v>312</v>
      </c>
    </row>
    <row r="10905" spans="1:13" x14ac:dyDescent="0.25">
      <c r="A10905" s="1" t="str">
        <f>HYPERLINK("http://www.rosaceae.org/Prunus/Prunus_persica/p.persica_gdr_reftransV1_0047787","p.persica_gdr_reftransV1_0047787")</f>
        <v>p.persica_gdr_reftransV1_0047787</v>
      </c>
      <c r="B10905" s="3">
        <v>1429</v>
      </c>
      <c r="C10905" s="1" t="str">
        <f>HYPERLINK("http://www.uniprot.org/uniprot/COMT1_PRUDU","COMT1_PRUDU")</f>
        <v>COMT1_PRUDU</v>
      </c>
      <c r="D10905" t="s">
        <v>1504</v>
      </c>
      <c r="E10905" s="3" t="s">
        <v>418</v>
      </c>
      <c r="F10905" s="4">
        <v>0</v>
      </c>
      <c r="G10905" s="3">
        <v>1951</v>
      </c>
      <c r="H10905" s="3">
        <v>100</v>
      </c>
      <c r="I10905" s="3">
        <v>365</v>
      </c>
      <c r="J10905" s="3">
        <v>281</v>
      </c>
      <c r="K10905" s="3">
        <v>1375</v>
      </c>
      <c r="L10905" s="3">
        <v>1</v>
      </c>
      <c r="M10905" s="3">
        <v>365</v>
      </c>
    </row>
    <row r="10906" spans="1:13" x14ac:dyDescent="0.25">
      <c r="A10906" s="1" t="str">
        <f>HYPERLINK("http://www.rosaceae.org/Prunus/Prunus_persica/p.persica_gdr_reftransV1_0047987","p.persica_gdr_reftransV1_0047987")</f>
        <v>p.persica_gdr_reftransV1_0047987</v>
      </c>
      <c r="B10906" s="3">
        <v>1001</v>
      </c>
      <c r="C10906" s="1" t="str">
        <f>HYPERLINK("http://www.uniprot.org/uniprot/MSH1_ARATH","MSH1_ARATH")</f>
        <v>MSH1_ARATH</v>
      </c>
      <c r="D10906" t="s">
        <v>6715</v>
      </c>
      <c r="E10906" s="3" t="s">
        <v>3</v>
      </c>
      <c r="F10906" s="4">
        <v>1.12E-153</v>
      </c>
      <c r="G10906" s="3">
        <v>1201</v>
      </c>
      <c r="H10906" s="3">
        <v>73</v>
      </c>
      <c r="I10906" s="3">
        <v>326</v>
      </c>
      <c r="J10906" s="3">
        <v>33</v>
      </c>
      <c r="K10906" s="3">
        <v>1001</v>
      </c>
      <c r="L10906" s="3">
        <v>23</v>
      </c>
      <c r="M10906" s="3">
        <v>348</v>
      </c>
    </row>
    <row r="10907" spans="1:13" x14ac:dyDescent="0.25">
      <c r="A10907" s="1" t="str">
        <f>HYPERLINK("http://www.rosaceae.org/Prunus/Prunus_persica/p.persica_gdr_reftransV1_0048037","p.persica_gdr_reftransV1_0048037")</f>
        <v>p.persica_gdr_reftransV1_0048037</v>
      </c>
      <c r="B10907" s="3">
        <v>1792</v>
      </c>
      <c r="C10907" s="1" t="str">
        <f>HYPERLINK("http://www.uniprot.org/uniprot/Y5694_ARATH","Y5694_ARATH")</f>
        <v>Y5694_ARATH</v>
      </c>
      <c r="D10907" t="s">
        <v>4132</v>
      </c>
      <c r="E10907" s="3" t="s">
        <v>3</v>
      </c>
      <c r="F10907" s="4">
        <v>0</v>
      </c>
      <c r="G10907" s="3">
        <v>1598</v>
      </c>
      <c r="H10907" s="3">
        <v>66</v>
      </c>
      <c r="I10907" s="3">
        <v>523</v>
      </c>
      <c r="J10907" s="3">
        <v>5</v>
      </c>
      <c r="K10907" s="3">
        <v>1570</v>
      </c>
      <c r="L10907" s="3">
        <v>59</v>
      </c>
      <c r="M10907" s="3">
        <v>576</v>
      </c>
    </row>
    <row r="10908" spans="1:13" x14ac:dyDescent="0.25">
      <c r="A10908" s="1" t="str">
        <f>HYPERLINK("http://www.rosaceae.org/Prunus/Prunus_persica/p.persica_gdr_reftransV1_0048137","p.persica_gdr_reftransV1_0048137")</f>
        <v>p.persica_gdr_reftransV1_0048137</v>
      </c>
      <c r="B10908" s="3">
        <v>825</v>
      </c>
      <c r="C10908" s="1" t="str">
        <f>HYPERLINK("http://www.uniprot.org/uniprot/UEV1A_ARATH","UEV1A_ARATH")</f>
        <v>UEV1A_ARATH</v>
      </c>
      <c r="D10908" t="s">
        <v>4956</v>
      </c>
      <c r="E10908" s="3" t="s">
        <v>3</v>
      </c>
      <c r="F10908" s="4">
        <v>1.6600000000000001E-86</v>
      </c>
      <c r="G10908" s="3">
        <v>668</v>
      </c>
      <c r="H10908" s="3">
        <v>81</v>
      </c>
      <c r="I10908" s="3">
        <v>159</v>
      </c>
      <c r="J10908" s="3">
        <v>225</v>
      </c>
      <c r="K10908" s="3">
        <v>701</v>
      </c>
      <c r="L10908" s="3">
        <v>1</v>
      </c>
      <c r="M10908" s="3">
        <v>158</v>
      </c>
    </row>
    <row r="10909" spans="1:13" x14ac:dyDescent="0.25">
      <c r="A10909" s="1" t="str">
        <f>HYPERLINK("http://www.rosaceae.org/Prunus/Prunus_persica/p.persica_gdr_reftransV1_0048187","p.persica_gdr_reftransV1_0048187")</f>
        <v>p.persica_gdr_reftransV1_0048187</v>
      </c>
      <c r="B10909" s="3">
        <v>2305</v>
      </c>
      <c r="C10909" s="1" t="str">
        <f>HYPERLINK("http://www.uniprot.org/uniprot/PXG1_ARATH","PXG1_ARATH")</f>
        <v>PXG1_ARATH</v>
      </c>
      <c r="D10909" t="s">
        <v>7828</v>
      </c>
      <c r="E10909" s="3" t="s">
        <v>3</v>
      </c>
      <c r="F10909" s="4">
        <v>1.8399999999999999E-119</v>
      </c>
      <c r="G10909" s="3">
        <v>939</v>
      </c>
      <c r="H10909" s="3">
        <v>72</v>
      </c>
      <c r="I10909" s="3">
        <v>230</v>
      </c>
      <c r="J10909" s="3">
        <v>176</v>
      </c>
      <c r="K10909" s="3">
        <v>865</v>
      </c>
      <c r="L10909" s="3">
        <v>7</v>
      </c>
      <c r="M10909" s="3">
        <v>236</v>
      </c>
    </row>
    <row r="10910" spans="1:13" x14ac:dyDescent="0.25">
      <c r="A10910" s="1" t="str">
        <f>HYPERLINK("http://www.rosaceae.org/Prunus/Prunus_persica/p.persica_gdr_reftransV1_0048237","p.persica_gdr_reftransV1_0048237")</f>
        <v>p.persica_gdr_reftransV1_0048237</v>
      </c>
      <c r="B10910" s="3">
        <v>1049</v>
      </c>
      <c r="C10910" s="1" t="str">
        <f>HYPERLINK("http://www.uniprot.org/uniprot/TSJT1_TOBAC","TSJT1_TOBAC")</f>
        <v>TSJT1_TOBAC</v>
      </c>
      <c r="D10910" t="s">
        <v>1570</v>
      </c>
      <c r="E10910" s="3" t="s">
        <v>200</v>
      </c>
      <c r="F10910" s="4">
        <v>2.3099999999999999E-53</v>
      </c>
      <c r="G10910" s="3">
        <v>453</v>
      </c>
      <c r="H10910" s="3">
        <v>69</v>
      </c>
      <c r="I10910" s="3">
        <v>150</v>
      </c>
      <c r="J10910" s="3">
        <v>530</v>
      </c>
      <c r="K10910" s="3">
        <v>973</v>
      </c>
      <c r="L10910" s="3">
        <v>1</v>
      </c>
      <c r="M10910" s="3">
        <v>149</v>
      </c>
    </row>
    <row r="10911" spans="1:13" x14ac:dyDescent="0.25">
      <c r="A10911" s="1" t="str">
        <f>HYPERLINK("http://www.rosaceae.org/Prunus/Prunus_persica/p.persica_gdr_reftransV1_0048337","p.persica_gdr_reftransV1_0048337")</f>
        <v>p.persica_gdr_reftransV1_0048337</v>
      </c>
      <c r="B10911" s="3">
        <v>1991</v>
      </c>
      <c r="C10911" s="1" t="str">
        <f>HYPERLINK("http://www.uniprot.org/uniprot/WRK21_ARATH","WRK21_ARATH")</f>
        <v>WRK21_ARATH</v>
      </c>
      <c r="D10911" t="s">
        <v>419</v>
      </c>
      <c r="E10911" s="3" t="s">
        <v>3</v>
      </c>
      <c r="F10911" s="4">
        <v>2.4900000000000001E-85</v>
      </c>
      <c r="G10911" s="3">
        <v>714</v>
      </c>
      <c r="H10911" s="3">
        <v>79</v>
      </c>
      <c r="I10911" s="3">
        <v>182</v>
      </c>
      <c r="J10911" s="3">
        <v>1121</v>
      </c>
      <c r="K10911" s="3">
        <v>1657</v>
      </c>
      <c r="L10911" s="3">
        <v>200</v>
      </c>
      <c r="M10911" s="3">
        <v>380</v>
      </c>
    </row>
    <row r="10912" spans="1:13" x14ac:dyDescent="0.25">
      <c r="A10912" s="1" t="str">
        <f>HYPERLINK("http://www.rosaceae.org/Prunus/Prunus_persica/p.persica_gdr_reftransV1_0048487","p.persica_gdr_reftransV1_0048487")</f>
        <v>p.persica_gdr_reftransV1_0048487</v>
      </c>
      <c r="B10912" s="3">
        <v>741</v>
      </c>
      <c r="C10912" s="1" t="str">
        <f>HYPERLINK("http://www.uniprot.org/uniprot/BGLT_TRIRP","BGLT_TRIRP")</f>
        <v>BGLT_TRIRP</v>
      </c>
      <c r="D10912" t="s">
        <v>2494</v>
      </c>
      <c r="E10912" s="3" t="s">
        <v>733</v>
      </c>
      <c r="F10912" s="4">
        <v>3.8000000000000002E-111</v>
      </c>
      <c r="G10912" s="3">
        <v>853</v>
      </c>
      <c r="H10912" s="3">
        <v>71</v>
      </c>
      <c r="I10912" s="3">
        <v>214</v>
      </c>
      <c r="J10912" s="3">
        <v>98</v>
      </c>
      <c r="K10912" s="3">
        <v>739</v>
      </c>
      <c r="L10912" s="3">
        <v>13</v>
      </c>
      <c r="M10912" s="3">
        <v>226</v>
      </c>
    </row>
    <row r="10913" spans="1:13" x14ac:dyDescent="0.25">
      <c r="A10913" s="1" t="str">
        <f>HYPERLINK("http://www.rosaceae.org/Prunus/Prunus_persica/p.persica_gdr_reftransV1_0048687","p.persica_gdr_reftransV1_0048687")</f>
        <v>p.persica_gdr_reftransV1_0048687</v>
      </c>
      <c r="B10913" s="3">
        <v>2225</v>
      </c>
      <c r="C10913" s="1" t="str">
        <f>HYPERLINK("http://www.uniprot.org/uniprot/PP425_ARATH","PP425_ARATH")</f>
        <v>PP425_ARATH</v>
      </c>
      <c r="D10913" t="s">
        <v>2006</v>
      </c>
      <c r="E10913" s="3" t="s">
        <v>3</v>
      </c>
      <c r="F10913" s="4">
        <v>2.6799999999999999E-171</v>
      </c>
      <c r="G10913" s="3">
        <v>1323</v>
      </c>
      <c r="H10913" s="3">
        <v>42</v>
      </c>
      <c r="I10913" s="3">
        <v>635</v>
      </c>
      <c r="J10913" s="3">
        <v>237</v>
      </c>
      <c r="K10913" s="3">
        <v>2117</v>
      </c>
      <c r="L10913" s="3">
        <v>35</v>
      </c>
      <c r="M10913" s="3">
        <v>646</v>
      </c>
    </row>
    <row r="10914" spans="1:13" x14ac:dyDescent="0.25">
      <c r="A10914" s="1" t="str">
        <f>HYPERLINK("http://www.rosaceae.org/Prunus/Prunus_persica/p.persica_gdr_reftransV1_0048737","p.persica_gdr_reftransV1_0048737")</f>
        <v>p.persica_gdr_reftransV1_0048737</v>
      </c>
      <c r="B10914" s="3">
        <v>5037</v>
      </c>
      <c r="C10914" s="1" t="str">
        <f>HYPERLINK("http://www.uniprot.org/uniprot/RTOR1_ARATH","RTOR1_ARATH")</f>
        <v>RTOR1_ARATH</v>
      </c>
      <c r="D10914" t="s">
        <v>7147</v>
      </c>
      <c r="E10914" s="3" t="s">
        <v>3</v>
      </c>
      <c r="F10914" s="4">
        <v>0</v>
      </c>
      <c r="G10914" s="3">
        <v>5233</v>
      </c>
      <c r="H10914" s="3">
        <v>79</v>
      </c>
      <c r="I10914" s="3">
        <v>1362</v>
      </c>
      <c r="J10914" s="3">
        <v>577</v>
      </c>
      <c r="K10914" s="3">
        <v>4614</v>
      </c>
      <c r="L10914" s="3">
        <v>1</v>
      </c>
      <c r="M10914" s="3">
        <v>1344</v>
      </c>
    </row>
    <row r="10915" spans="1:13" x14ac:dyDescent="0.25">
      <c r="A10915" s="1" t="str">
        <f>HYPERLINK("http://www.rosaceae.org/Prunus/Prunus_persica/p.persica_gdr_reftransV1_0048787","p.persica_gdr_reftransV1_0048787")</f>
        <v>p.persica_gdr_reftransV1_0048787</v>
      </c>
      <c r="B10915" s="3">
        <v>1756</v>
      </c>
      <c r="C10915" s="1" t="str">
        <f>HYPERLINK("http://www.uniprot.org/uniprot/PPR85_ARATH","PPR85_ARATH")</f>
        <v>PPR85_ARATH</v>
      </c>
      <c r="D10915" t="s">
        <v>1505</v>
      </c>
      <c r="E10915" s="3" t="s">
        <v>3</v>
      </c>
      <c r="F10915" s="4">
        <v>0</v>
      </c>
      <c r="G10915" s="3">
        <v>1656</v>
      </c>
      <c r="H10915" s="3">
        <v>64</v>
      </c>
      <c r="I10915" s="3">
        <v>483</v>
      </c>
      <c r="J10915" s="3">
        <v>104</v>
      </c>
      <c r="K10915" s="3">
        <v>1537</v>
      </c>
      <c r="L10915" s="3">
        <v>58</v>
      </c>
      <c r="M10915" s="3">
        <v>540</v>
      </c>
    </row>
    <row r="10916" spans="1:13" x14ac:dyDescent="0.25">
      <c r="A10916" s="1" t="str">
        <f>HYPERLINK("http://www.rosaceae.org/Prunus/Prunus_persica/p.persica_gdr_reftransV1_0048837","p.persica_gdr_reftransV1_0048837")</f>
        <v>p.persica_gdr_reftransV1_0048837</v>
      </c>
      <c r="B10916" s="3">
        <v>2425</v>
      </c>
      <c r="C10916" s="1" t="str">
        <f>HYPERLINK("http://www.uniprot.org/uniprot/B561J_ARATH","B561J_ARATH")</f>
        <v>B561J_ARATH</v>
      </c>
      <c r="D10916" t="s">
        <v>4355</v>
      </c>
      <c r="E10916" s="3" t="s">
        <v>3</v>
      </c>
      <c r="F10916" s="4">
        <v>1.13E-143</v>
      </c>
      <c r="G10916" s="3">
        <v>1120</v>
      </c>
      <c r="H10916" s="3">
        <v>57</v>
      </c>
      <c r="I10916" s="3">
        <v>372</v>
      </c>
      <c r="J10916" s="3">
        <v>231</v>
      </c>
      <c r="K10916" s="3">
        <v>1331</v>
      </c>
      <c r="L10916" s="3">
        <v>22</v>
      </c>
      <c r="M10916" s="3">
        <v>386</v>
      </c>
    </row>
    <row r="10917" spans="1:13" x14ac:dyDescent="0.25">
      <c r="A10917" s="1" t="str">
        <f>HYPERLINK("http://www.rosaceae.org/Prunus/Prunus_persica/p.persica_gdr_reftransV1_0048887","p.persica_gdr_reftransV1_0048887")</f>
        <v>p.persica_gdr_reftransV1_0048887</v>
      </c>
      <c r="B10917" s="3">
        <v>2719</v>
      </c>
      <c r="C10917" s="1" t="str">
        <f>HYPERLINK("http://www.uniprot.org/uniprot/RPKL_ARATH","RPKL_ARATH")</f>
        <v>RPKL_ARATH</v>
      </c>
      <c r="D10917" t="s">
        <v>7829</v>
      </c>
      <c r="E10917" s="3" t="s">
        <v>3</v>
      </c>
      <c r="F10917" s="4">
        <v>0</v>
      </c>
      <c r="G10917" s="3">
        <v>1620</v>
      </c>
      <c r="H10917" s="3">
        <v>51</v>
      </c>
      <c r="I10917" s="3">
        <v>767</v>
      </c>
      <c r="J10917" s="3">
        <v>241</v>
      </c>
      <c r="K10917" s="3">
        <v>2469</v>
      </c>
      <c r="L10917" s="3">
        <v>28</v>
      </c>
      <c r="M10917" s="3">
        <v>752</v>
      </c>
    </row>
    <row r="10918" spans="1:13" x14ac:dyDescent="0.25">
      <c r="A10918" s="1" t="str">
        <f>HYPERLINK("http://www.rosaceae.org/Prunus/Prunus_persica/p.persica_gdr_reftransV1_0048937","p.persica_gdr_reftransV1_0048937")</f>
        <v>p.persica_gdr_reftransV1_0048937</v>
      </c>
      <c r="B10918" s="3">
        <v>478</v>
      </c>
      <c r="C10918" s="1" t="str">
        <f>HYPERLINK("http://www.uniprot.org/uniprot/SP1L2_ARATH","SP1L2_ARATH")</f>
        <v>SP1L2_ARATH</v>
      </c>
      <c r="D10918" t="s">
        <v>7830</v>
      </c>
      <c r="E10918" s="3" t="s">
        <v>3</v>
      </c>
      <c r="F10918" s="4">
        <v>1.73E-16</v>
      </c>
      <c r="G10918" s="3">
        <v>184</v>
      </c>
      <c r="H10918" s="3">
        <v>48</v>
      </c>
      <c r="I10918" s="3">
        <v>97</v>
      </c>
      <c r="J10918" s="3">
        <v>105</v>
      </c>
      <c r="K10918" s="3">
        <v>383</v>
      </c>
      <c r="L10918" s="3">
        <v>14</v>
      </c>
      <c r="M10918" s="3">
        <v>95</v>
      </c>
    </row>
    <row r="10919" spans="1:13" x14ac:dyDescent="0.25">
      <c r="A10919" s="1" t="str">
        <f>HYPERLINK("http://www.rosaceae.org/Prunus/Prunus_persica/p.persica_gdr_reftransV1_0048987","p.persica_gdr_reftransV1_0048987")</f>
        <v>p.persica_gdr_reftransV1_0048987</v>
      </c>
      <c r="B10919" s="3">
        <v>393</v>
      </c>
      <c r="C10919" s="1" t="str">
        <f>HYPERLINK("http://www.uniprot.org/uniprot/BH096_ARATH","BH096_ARATH")</f>
        <v>BH096_ARATH</v>
      </c>
      <c r="D10919" t="s">
        <v>1202</v>
      </c>
      <c r="E10919" s="3" t="s">
        <v>3</v>
      </c>
      <c r="F10919" s="4">
        <v>9.6700000000000005E-27</v>
      </c>
      <c r="G10919" s="3">
        <v>264</v>
      </c>
      <c r="H10919" s="3">
        <v>59</v>
      </c>
      <c r="I10919" s="3">
        <v>88</v>
      </c>
      <c r="J10919" s="3">
        <v>79</v>
      </c>
      <c r="K10919" s="3">
        <v>342</v>
      </c>
      <c r="L10919" s="3">
        <v>232</v>
      </c>
      <c r="M10919" s="3">
        <v>319</v>
      </c>
    </row>
    <row r="10920" spans="1:13" x14ac:dyDescent="0.25">
      <c r="A10920" s="1" t="str">
        <f>HYPERLINK("http://www.rosaceae.org/Prunus/Prunus_persica/p.persica_gdr_reftransV1_0049087","p.persica_gdr_reftransV1_0049087")</f>
        <v>p.persica_gdr_reftransV1_0049087</v>
      </c>
      <c r="B10920" s="3">
        <v>682</v>
      </c>
      <c r="C10920" s="1" t="str">
        <f>HYPERLINK("http://www.uniprot.org/uniprot/MAOP2_ARATH","MAOP2_ARATH")</f>
        <v>MAOP2_ARATH</v>
      </c>
      <c r="D10920" t="s">
        <v>7831</v>
      </c>
      <c r="E10920" s="3" t="s">
        <v>3</v>
      </c>
      <c r="F10920" s="4">
        <v>2.0399999999999999E-144</v>
      </c>
      <c r="G10920" s="3">
        <v>1087</v>
      </c>
      <c r="H10920" s="3">
        <v>89</v>
      </c>
      <c r="I10920" s="3">
        <v>227</v>
      </c>
      <c r="J10920" s="3">
        <v>1</v>
      </c>
      <c r="K10920" s="3">
        <v>681</v>
      </c>
      <c r="L10920" s="3">
        <v>66</v>
      </c>
      <c r="M10920" s="3">
        <v>292</v>
      </c>
    </row>
    <row r="10921" spans="1:13" x14ac:dyDescent="0.25">
      <c r="A10921" s="1" t="str">
        <f>HYPERLINK("http://www.rosaceae.org/Prunus/Prunus_persica/p.persica_gdr_reftransV1_0049187","p.persica_gdr_reftransV1_0049187")</f>
        <v>p.persica_gdr_reftransV1_0049187</v>
      </c>
      <c r="B10921" s="3">
        <v>2448</v>
      </c>
      <c r="C10921" s="1" t="str">
        <f>HYPERLINK("http://www.uniprot.org/uniprot/CRK_DAUCA","CRK_DAUCA")</f>
        <v>CRK_DAUCA</v>
      </c>
      <c r="D10921" t="s">
        <v>5309</v>
      </c>
      <c r="E10921" s="3" t="s">
        <v>32</v>
      </c>
      <c r="F10921" s="4">
        <v>0</v>
      </c>
      <c r="G10921" s="3">
        <v>2452</v>
      </c>
      <c r="H10921" s="3">
        <v>80</v>
      </c>
      <c r="I10921" s="3">
        <v>611</v>
      </c>
      <c r="J10921" s="3">
        <v>386</v>
      </c>
      <c r="K10921" s="3">
        <v>2191</v>
      </c>
      <c r="L10921" s="3">
        <v>1</v>
      </c>
      <c r="M10921" s="3">
        <v>602</v>
      </c>
    </row>
    <row r="10922" spans="1:13" x14ac:dyDescent="0.25">
      <c r="A10922" s="1" t="str">
        <f>HYPERLINK("http://www.rosaceae.org/Prunus/Prunus_persica/p.persica_gdr_reftransV1_0000038","p.persica_gdr_reftransV1_0000038")</f>
        <v>p.persica_gdr_reftransV1_0000038</v>
      </c>
      <c r="B10922" s="3">
        <v>1773</v>
      </c>
      <c r="C10922" s="1" t="str">
        <f>HYPERLINK("http://www.uniprot.org/uniprot/NAC56_ARATH","NAC56_ARATH")</f>
        <v>NAC56_ARATH</v>
      </c>
      <c r="D10922" t="s">
        <v>2622</v>
      </c>
      <c r="E10922" s="3" t="s">
        <v>3</v>
      </c>
      <c r="F10922" s="4">
        <v>3.99E-115</v>
      </c>
      <c r="G10922" s="3">
        <v>908</v>
      </c>
      <c r="H10922" s="3">
        <v>54</v>
      </c>
      <c r="I10922" s="3">
        <v>388</v>
      </c>
      <c r="J10922" s="3">
        <v>90</v>
      </c>
      <c r="K10922" s="3">
        <v>1163</v>
      </c>
      <c r="L10922" s="3">
        <v>1</v>
      </c>
      <c r="M10922" s="3">
        <v>363</v>
      </c>
    </row>
    <row r="10923" spans="1:13" x14ac:dyDescent="0.25">
      <c r="A10923" s="1" t="str">
        <f>HYPERLINK("http://www.rosaceae.org/Prunus/Prunus_persica/p.persica_gdr_reftransV1_0000088","p.persica_gdr_reftransV1_0000088")</f>
        <v>p.persica_gdr_reftransV1_0000088</v>
      </c>
      <c r="B10923" s="3">
        <v>760</v>
      </c>
      <c r="C10923" s="1" t="str">
        <f>HYPERLINK("http://www.uniprot.org/uniprot/TBA1_PEA","TBA1_PEA")</f>
        <v>TBA1_PEA</v>
      </c>
      <c r="D10923" t="s">
        <v>59</v>
      </c>
      <c r="E10923" s="3" t="s">
        <v>60</v>
      </c>
      <c r="F10923" s="4">
        <v>2.25E-127</v>
      </c>
      <c r="G10923" s="3">
        <v>964</v>
      </c>
      <c r="H10923" s="3">
        <v>100</v>
      </c>
      <c r="I10923" s="3">
        <v>176</v>
      </c>
      <c r="J10923" s="3">
        <v>232</v>
      </c>
      <c r="K10923" s="3">
        <v>759</v>
      </c>
      <c r="L10923" s="3">
        <v>255</v>
      </c>
      <c r="M10923" s="3">
        <v>430</v>
      </c>
    </row>
    <row r="10924" spans="1:13" x14ac:dyDescent="0.25">
      <c r="A10924" s="1" t="str">
        <f>HYPERLINK("http://www.rosaceae.org/Prunus/Prunus_persica/p.persica_gdr_reftransV1_0000138","p.persica_gdr_reftransV1_0000138")</f>
        <v>p.persica_gdr_reftransV1_0000138</v>
      </c>
      <c r="B10924" s="3">
        <v>1230</v>
      </c>
      <c r="C10924" s="1" t="str">
        <f>HYPERLINK("http://www.uniprot.org/uniprot/RLK1_ARATH","RLK1_ARATH")</f>
        <v>RLK1_ARATH</v>
      </c>
      <c r="D10924" t="s">
        <v>806</v>
      </c>
      <c r="E10924" s="3" t="s">
        <v>3</v>
      </c>
      <c r="F10924" s="4">
        <v>4.1799999999999998E-27</v>
      </c>
      <c r="G10924" s="3">
        <v>294</v>
      </c>
      <c r="H10924" s="3">
        <v>29</v>
      </c>
      <c r="I10924" s="3">
        <v>409</v>
      </c>
      <c r="J10924" s="3">
        <v>122</v>
      </c>
      <c r="K10924" s="3">
        <v>1228</v>
      </c>
      <c r="L10924" s="3">
        <v>55</v>
      </c>
      <c r="M10924" s="3">
        <v>444</v>
      </c>
    </row>
    <row r="10925" spans="1:13" x14ac:dyDescent="0.25">
      <c r="A10925" s="1" t="str">
        <f>HYPERLINK("http://www.rosaceae.org/Prunus/Prunus_persica/p.persica_gdr_reftransV1_0000188","p.persica_gdr_reftransV1_0000188")</f>
        <v>p.persica_gdr_reftransV1_0000188</v>
      </c>
      <c r="B10925" s="3">
        <v>4482</v>
      </c>
      <c r="C10925" s="1" t="str">
        <f>HYPERLINK("http://www.uniprot.org/uniprot/AB32G_ARATH","AB32G_ARATH")</f>
        <v>AB32G_ARATH</v>
      </c>
      <c r="D10925" t="s">
        <v>7832</v>
      </c>
      <c r="E10925" s="3" t="s">
        <v>3</v>
      </c>
      <c r="F10925" s="4">
        <v>0</v>
      </c>
      <c r="G10925" s="3">
        <v>5961</v>
      </c>
      <c r="H10925" s="3">
        <v>79</v>
      </c>
      <c r="I10925" s="3">
        <v>1420</v>
      </c>
      <c r="J10925" s="3">
        <v>69</v>
      </c>
      <c r="K10925" s="3">
        <v>4328</v>
      </c>
      <c r="L10925" s="3">
        <v>1</v>
      </c>
      <c r="M10925" s="3">
        <v>1420</v>
      </c>
    </row>
    <row r="10926" spans="1:13" x14ac:dyDescent="0.25">
      <c r="A10926" s="1" t="str">
        <f>HYPERLINK("http://www.rosaceae.org/Prunus/Prunus_persica/p.persica_gdr_reftransV1_0000388","p.persica_gdr_reftransV1_0000388")</f>
        <v>p.persica_gdr_reftransV1_0000388</v>
      </c>
      <c r="B10926" s="3">
        <v>2266</v>
      </c>
      <c r="C10926" s="1" t="str">
        <f>HYPERLINK("http://www.uniprot.org/uniprot/PPR58_ARATH","PPR58_ARATH")</f>
        <v>PPR58_ARATH</v>
      </c>
      <c r="D10926" t="s">
        <v>7833</v>
      </c>
      <c r="E10926" s="3" t="s">
        <v>3</v>
      </c>
      <c r="F10926" s="4">
        <v>0</v>
      </c>
      <c r="G10926" s="3">
        <v>2185</v>
      </c>
      <c r="H10926" s="3">
        <v>65</v>
      </c>
      <c r="I10926" s="3">
        <v>623</v>
      </c>
      <c r="J10926" s="3">
        <v>324</v>
      </c>
      <c r="K10926" s="3">
        <v>2144</v>
      </c>
      <c r="L10926" s="3">
        <v>5</v>
      </c>
      <c r="M10926" s="3">
        <v>627</v>
      </c>
    </row>
    <row r="10927" spans="1:13" x14ac:dyDescent="0.25">
      <c r="A10927" s="1" t="str">
        <f>HYPERLINK("http://www.rosaceae.org/Prunus/Prunus_persica/p.persica_gdr_reftransV1_0000438","p.persica_gdr_reftransV1_0000438")</f>
        <v>p.persica_gdr_reftransV1_0000438</v>
      </c>
      <c r="B10927" s="3">
        <v>3506</v>
      </c>
      <c r="C10927" s="1" t="str">
        <f>HYPERLINK("http://www.uniprot.org/uniprot/MANA_CANEN","MANA_CANEN")</f>
        <v>MANA_CANEN</v>
      </c>
      <c r="D10927" t="s">
        <v>614</v>
      </c>
      <c r="E10927" s="3" t="s">
        <v>615</v>
      </c>
      <c r="F10927" s="4">
        <v>0</v>
      </c>
      <c r="G10927" s="3">
        <v>3124</v>
      </c>
      <c r="H10927" s="3">
        <v>58</v>
      </c>
      <c r="I10927" s="3">
        <v>991</v>
      </c>
      <c r="J10927" s="3">
        <v>173</v>
      </c>
      <c r="K10927" s="3">
        <v>3133</v>
      </c>
      <c r="L10927" s="3">
        <v>1</v>
      </c>
      <c r="M10927" s="3">
        <v>981</v>
      </c>
    </row>
    <row r="10928" spans="1:13" x14ac:dyDescent="0.25">
      <c r="A10928" s="1" t="str">
        <f>HYPERLINK("http://www.rosaceae.org/Prunus/Prunus_persica/p.persica_gdr_reftransV1_0000488","p.persica_gdr_reftransV1_0000488")</f>
        <v>p.persica_gdr_reftransV1_0000488</v>
      </c>
      <c r="B10928" s="3">
        <v>2251</v>
      </c>
      <c r="C10928" s="1" t="str">
        <f>HYPERLINK("http://www.uniprot.org/uniprot/PIF4_ARATH","PIF4_ARATH")</f>
        <v>PIF4_ARATH</v>
      </c>
      <c r="D10928" t="s">
        <v>7834</v>
      </c>
      <c r="E10928" s="3" t="s">
        <v>3</v>
      </c>
      <c r="F10928" s="4">
        <v>1.23E-48</v>
      </c>
      <c r="G10928" s="3">
        <v>460</v>
      </c>
      <c r="H10928" s="3">
        <v>37</v>
      </c>
      <c r="I10928" s="3">
        <v>541</v>
      </c>
      <c r="J10928" s="3">
        <v>494</v>
      </c>
      <c r="K10928" s="3">
        <v>2071</v>
      </c>
      <c r="L10928" s="3">
        <v>6</v>
      </c>
      <c r="M10928" s="3">
        <v>425</v>
      </c>
    </row>
    <row r="10929" spans="1:13" x14ac:dyDescent="0.25">
      <c r="A10929" s="1" t="str">
        <f>HYPERLINK("http://www.rosaceae.org/Prunus/Prunus_persica/p.persica_gdr_reftransV1_0000538","p.persica_gdr_reftransV1_0000538")</f>
        <v>p.persica_gdr_reftransV1_0000538</v>
      </c>
      <c r="B10929" s="3">
        <v>2594</v>
      </c>
      <c r="C10929" s="1" t="str">
        <f>HYPERLINK("http://www.uniprot.org/uniprot/PHYLO_ARATH","PHYLO_ARATH")</f>
        <v>PHYLO_ARATH</v>
      </c>
      <c r="D10929" t="s">
        <v>6655</v>
      </c>
      <c r="E10929" s="3" t="s">
        <v>3</v>
      </c>
      <c r="F10929" s="4">
        <v>0</v>
      </c>
      <c r="G10929" s="3">
        <v>2375</v>
      </c>
      <c r="H10929" s="3">
        <v>56</v>
      </c>
      <c r="I10929" s="3">
        <v>839</v>
      </c>
      <c r="J10929" s="3">
        <v>3</v>
      </c>
      <c r="K10929" s="3">
        <v>2519</v>
      </c>
      <c r="L10929" s="3">
        <v>871</v>
      </c>
      <c r="M10929" s="3">
        <v>1701</v>
      </c>
    </row>
    <row r="10930" spans="1:13" x14ac:dyDescent="0.25">
      <c r="A10930" s="1" t="str">
        <f>HYPERLINK("http://www.rosaceae.org/Prunus/Prunus_persica/p.persica_gdr_reftransV1_0000588","p.persica_gdr_reftransV1_0000588")</f>
        <v>p.persica_gdr_reftransV1_0000588</v>
      </c>
      <c r="B10930" s="3">
        <v>460</v>
      </c>
      <c r="C10930" s="1" t="str">
        <f>HYPERLINK("http://www.uniprot.org/uniprot/TI214_MORIN","TI214_MORIN")</f>
        <v>TI214_MORIN</v>
      </c>
      <c r="D10930" t="s">
        <v>7835</v>
      </c>
      <c r="E10930" s="3" t="s">
        <v>69</v>
      </c>
      <c r="F10930" s="4">
        <v>1.75E-36</v>
      </c>
      <c r="G10930" s="3">
        <v>350</v>
      </c>
      <c r="H10930" s="3">
        <v>74</v>
      </c>
      <c r="I10930" s="3">
        <v>104</v>
      </c>
      <c r="J10930" s="3">
        <v>157</v>
      </c>
      <c r="K10930" s="3">
        <v>459</v>
      </c>
      <c r="L10930" s="3">
        <v>1752</v>
      </c>
      <c r="M10930" s="3">
        <v>1855</v>
      </c>
    </row>
    <row r="10931" spans="1:13" x14ac:dyDescent="0.25">
      <c r="A10931" s="1" t="str">
        <f>HYPERLINK("http://www.rosaceae.org/Prunus/Prunus_persica/p.persica_gdr_reftransV1_0000638","p.persica_gdr_reftransV1_0000638")</f>
        <v>p.persica_gdr_reftransV1_0000638</v>
      </c>
      <c r="B10931" s="3">
        <v>953</v>
      </c>
      <c r="C10931" s="1" t="str">
        <f>HYPERLINK("http://www.uniprot.org/uniprot/UBC7_ARATH","UBC7_ARATH")</f>
        <v>UBC7_ARATH</v>
      </c>
      <c r="D10931" t="s">
        <v>4287</v>
      </c>
      <c r="E10931" s="3" t="s">
        <v>3</v>
      </c>
      <c r="F10931" s="4">
        <v>2.6800000000000002E-89</v>
      </c>
      <c r="G10931" s="3">
        <v>692</v>
      </c>
      <c r="H10931" s="3">
        <v>91</v>
      </c>
      <c r="I10931" s="3">
        <v>150</v>
      </c>
      <c r="J10931" s="3">
        <v>315</v>
      </c>
      <c r="K10931" s="3">
        <v>764</v>
      </c>
      <c r="L10931" s="3">
        <v>17</v>
      </c>
      <c r="M10931" s="3">
        <v>166</v>
      </c>
    </row>
    <row r="10932" spans="1:13" x14ac:dyDescent="0.25">
      <c r="A10932" s="1" t="str">
        <f>HYPERLINK("http://www.rosaceae.org/Prunus/Prunus_persica/p.persica_gdr_reftransV1_0000688","p.persica_gdr_reftransV1_0000688")</f>
        <v>p.persica_gdr_reftransV1_0000688</v>
      </c>
      <c r="B10932" s="3">
        <v>2942</v>
      </c>
      <c r="C10932" s="1" t="str">
        <f>HYPERLINK("http://www.uniprot.org/uniprot/GYP7_YARLI","GYP7_YARLI")</f>
        <v>GYP7_YARLI</v>
      </c>
      <c r="D10932" t="s">
        <v>1668</v>
      </c>
      <c r="E10932" s="3" t="s">
        <v>1669</v>
      </c>
      <c r="F10932" s="4">
        <v>9.8500000000000001E-28</v>
      </c>
      <c r="G10932" s="3">
        <v>311</v>
      </c>
      <c r="H10932" s="3">
        <v>31</v>
      </c>
      <c r="I10932" s="3">
        <v>193</v>
      </c>
      <c r="J10932" s="3">
        <v>1664</v>
      </c>
      <c r="K10932" s="3">
        <v>2242</v>
      </c>
      <c r="L10932" s="3">
        <v>495</v>
      </c>
      <c r="M10932" s="3">
        <v>667</v>
      </c>
    </row>
    <row r="10933" spans="1:13" x14ac:dyDescent="0.25">
      <c r="A10933" s="1" t="str">
        <f>HYPERLINK("http://www.rosaceae.org/Prunus/Prunus_persica/p.persica_gdr_reftransV1_0000838","p.persica_gdr_reftransV1_0000838")</f>
        <v>p.persica_gdr_reftransV1_0000838</v>
      </c>
      <c r="B10933" s="3">
        <v>1156</v>
      </c>
      <c r="C10933" s="1" t="str">
        <f>HYPERLINK("http://www.uniprot.org/uniprot/Y2287_ARATH","Y2287_ARATH")</f>
        <v>Y2287_ARATH</v>
      </c>
      <c r="D10933" t="s">
        <v>7836</v>
      </c>
      <c r="E10933" s="3" t="s">
        <v>3</v>
      </c>
      <c r="F10933" s="4">
        <v>1.08E-139</v>
      </c>
      <c r="G10933" s="3">
        <v>1045</v>
      </c>
      <c r="H10933" s="3">
        <v>80</v>
      </c>
      <c r="I10933" s="3">
        <v>247</v>
      </c>
      <c r="J10933" s="3">
        <v>162</v>
      </c>
      <c r="K10933" s="3">
        <v>902</v>
      </c>
      <c r="L10933" s="3">
        <v>54</v>
      </c>
      <c r="M10933" s="3">
        <v>300</v>
      </c>
    </row>
    <row r="10934" spans="1:13" x14ac:dyDescent="0.25">
      <c r="A10934" s="1" t="str">
        <f>HYPERLINK("http://www.rosaceae.org/Prunus/Prunus_persica/p.persica_gdr_reftransV1_0000938","p.persica_gdr_reftransV1_0000938")</f>
        <v>p.persica_gdr_reftransV1_0000938</v>
      </c>
      <c r="B10934" s="3">
        <v>726</v>
      </c>
      <c r="C10934" s="1" t="str">
        <f>HYPERLINK("http://www.uniprot.org/uniprot/4CLL9_ARATH","4CLL9_ARATH")</f>
        <v>4CLL9_ARATH</v>
      </c>
      <c r="D10934" t="s">
        <v>3976</v>
      </c>
      <c r="E10934" s="3" t="s">
        <v>3</v>
      </c>
      <c r="F10934" s="4">
        <v>3.2999999999999999E-31</v>
      </c>
      <c r="G10934" s="3">
        <v>311</v>
      </c>
      <c r="H10934" s="3">
        <v>43</v>
      </c>
      <c r="I10934" s="3">
        <v>181</v>
      </c>
      <c r="J10934" s="3">
        <v>198</v>
      </c>
      <c r="K10934" s="3">
        <v>713</v>
      </c>
      <c r="L10934" s="3">
        <v>6</v>
      </c>
      <c r="M10934" s="3">
        <v>186</v>
      </c>
    </row>
    <row r="10935" spans="1:13" x14ac:dyDescent="0.25">
      <c r="A10935" s="1" t="str">
        <f>HYPERLINK("http://www.rosaceae.org/Prunus/Prunus_persica/p.persica_gdr_reftransV1_0000988","p.persica_gdr_reftransV1_0000988")</f>
        <v>p.persica_gdr_reftransV1_0000988</v>
      </c>
      <c r="B10935" s="3">
        <v>2248</v>
      </c>
      <c r="C10935" s="1" t="str">
        <f>HYPERLINK("http://www.uniprot.org/uniprot/PLST4_ARATH","PLST4_ARATH")</f>
        <v>PLST4_ARATH</v>
      </c>
      <c r="D10935" t="s">
        <v>7837</v>
      </c>
      <c r="E10935" s="3" t="s">
        <v>3</v>
      </c>
      <c r="F10935" s="4">
        <v>0</v>
      </c>
      <c r="G10935" s="3">
        <v>1975</v>
      </c>
      <c r="H10935" s="3">
        <v>81</v>
      </c>
      <c r="I10935" s="3">
        <v>553</v>
      </c>
      <c r="J10935" s="3">
        <v>343</v>
      </c>
      <c r="K10935" s="3">
        <v>1980</v>
      </c>
      <c r="L10935" s="3">
        <v>1</v>
      </c>
      <c r="M10935" s="3">
        <v>543</v>
      </c>
    </row>
    <row r="10936" spans="1:13" x14ac:dyDescent="0.25">
      <c r="A10936" s="1" t="str">
        <f>HYPERLINK("http://www.rosaceae.org/Prunus/Prunus_persica/p.persica_gdr_reftransV1_0001038","p.persica_gdr_reftransV1_0001038")</f>
        <v>p.persica_gdr_reftransV1_0001038</v>
      </c>
      <c r="B10936" s="3">
        <v>1879</v>
      </c>
      <c r="C10936" s="1" t="str">
        <f>HYPERLINK("http://www.uniprot.org/uniprot/IAA13_ARATH","IAA13_ARATH")</f>
        <v>IAA13_ARATH</v>
      </c>
      <c r="D10936" t="s">
        <v>4537</v>
      </c>
      <c r="E10936" s="3" t="s">
        <v>3</v>
      </c>
      <c r="F10936" s="4">
        <v>1.4800000000000001E-57</v>
      </c>
      <c r="G10936" s="3">
        <v>508</v>
      </c>
      <c r="H10936" s="3">
        <v>49</v>
      </c>
      <c r="I10936" s="3">
        <v>248</v>
      </c>
      <c r="J10936" s="3">
        <v>591</v>
      </c>
      <c r="K10936" s="3">
        <v>1307</v>
      </c>
      <c r="L10936" s="3">
        <v>44</v>
      </c>
      <c r="M10936" s="3">
        <v>247</v>
      </c>
    </row>
    <row r="10937" spans="1:13" x14ac:dyDescent="0.25">
      <c r="A10937" s="1" t="str">
        <f>HYPERLINK("http://www.rosaceae.org/Prunus/Prunus_persica/p.persica_gdr_reftransV1_0001088","p.persica_gdr_reftransV1_0001088")</f>
        <v>p.persica_gdr_reftransV1_0001088</v>
      </c>
      <c r="B10937" s="3">
        <v>3152</v>
      </c>
      <c r="C10937" s="1" t="str">
        <f>HYPERLINK("http://www.uniprot.org/uniprot/MGDG_SOYBN","MGDG_SOYBN")</f>
        <v>MGDG_SOYBN</v>
      </c>
      <c r="D10937" t="s">
        <v>7838</v>
      </c>
      <c r="E10937" s="3" t="s">
        <v>307</v>
      </c>
      <c r="F10937" s="4">
        <v>2.2200000000000001E-134</v>
      </c>
      <c r="G10937" s="3">
        <v>1088</v>
      </c>
      <c r="H10937" s="3">
        <v>86</v>
      </c>
      <c r="I10937" s="3">
        <v>252</v>
      </c>
      <c r="J10937" s="3">
        <v>1036</v>
      </c>
      <c r="K10937" s="3">
        <v>1791</v>
      </c>
      <c r="L10937" s="3">
        <v>172</v>
      </c>
      <c r="M10937" s="3">
        <v>423</v>
      </c>
    </row>
    <row r="10938" spans="1:13" x14ac:dyDescent="0.25">
      <c r="A10938" s="1" t="str">
        <f>HYPERLINK("http://www.rosaceae.org/Prunus/Prunus_persica/p.persica_gdr_reftransV1_0001288","p.persica_gdr_reftransV1_0001288")</f>
        <v>p.persica_gdr_reftransV1_0001288</v>
      </c>
      <c r="B10938" s="3">
        <v>3166</v>
      </c>
      <c r="C10938" s="1" t="str">
        <f>HYPERLINK("http://www.uniprot.org/uniprot/RBM5B_XENLA","RBM5B_XENLA")</f>
        <v>RBM5B_XENLA</v>
      </c>
      <c r="D10938" t="s">
        <v>7839</v>
      </c>
      <c r="E10938" s="3" t="s">
        <v>475</v>
      </c>
      <c r="F10938" s="4">
        <v>1.8299999999999999E-18</v>
      </c>
      <c r="G10938" s="3">
        <v>234</v>
      </c>
      <c r="H10938" s="3">
        <v>28</v>
      </c>
      <c r="I10938" s="3">
        <v>251</v>
      </c>
      <c r="J10938" s="3">
        <v>607</v>
      </c>
      <c r="K10938" s="3">
        <v>1338</v>
      </c>
      <c r="L10938" s="3">
        <v>101</v>
      </c>
      <c r="M10938" s="3">
        <v>325</v>
      </c>
    </row>
    <row r="10939" spans="1:13" x14ac:dyDescent="0.25">
      <c r="A10939" s="1" t="str">
        <f>HYPERLINK("http://www.rosaceae.org/Prunus/Prunus_persica/p.persica_gdr_reftransV1_0001338","p.persica_gdr_reftransV1_0001338")</f>
        <v>p.persica_gdr_reftransV1_0001338</v>
      </c>
      <c r="B10939" s="3">
        <v>1612</v>
      </c>
      <c r="C10939" s="1" t="str">
        <f>HYPERLINK("http://www.uniprot.org/uniprot/NDT1_ARATH","NDT1_ARATH")</f>
        <v>NDT1_ARATH</v>
      </c>
      <c r="D10939" t="s">
        <v>7840</v>
      </c>
      <c r="E10939" s="3" t="s">
        <v>3</v>
      </c>
      <c r="F10939" s="4">
        <v>4.5999999999999999E-101</v>
      </c>
      <c r="G10939" s="3">
        <v>804</v>
      </c>
      <c r="H10939" s="3">
        <v>82</v>
      </c>
      <c r="I10939" s="3">
        <v>206</v>
      </c>
      <c r="J10939" s="3">
        <v>440</v>
      </c>
      <c r="K10939" s="3">
        <v>1057</v>
      </c>
      <c r="L10939" s="3">
        <v>100</v>
      </c>
      <c r="M10939" s="3">
        <v>305</v>
      </c>
    </row>
    <row r="10940" spans="1:13" x14ac:dyDescent="0.25">
      <c r="A10940" s="1" t="str">
        <f>HYPERLINK("http://www.rosaceae.org/Prunus/Prunus_persica/p.persica_gdr_reftransV1_0001438","p.persica_gdr_reftransV1_0001438")</f>
        <v>p.persica_gdr_reftransV1_0001438</v>
      </c>
      <c r="B10940" s="3">
        <v>1031</v>
      </c>
      <c r="C10940" s="1" t="str">
        <f>HYPERLINK("http://www.uniprot.org/uniprot/INT7_CHICK","INT7_CHICK")</f>
        <v>INT7_CHICK</v>
      </c>
      <c r="D10940" t="s">
        <v>7841</v>
      </c>
      <c r="E10940" s="3" t="s">
        <v>1278</v>
      </c>
      <c r="F10940" s="4">
        <v>4.8899999999999997E-10</v>
      </c>
      <c r="G10940" s="3">
        <v>156</v>
      </c>
      <c r="H10940" s="3">
        <v>26</v>
      </c>
      <c r="I10940" s="3">
        <v>286</v>
      </c>
      <c r="J10940" s="3">
        <v>185</v>
      </c>
      <c r="K10940" s="3">
        <v>1027</v>
      </c>
      <c r="L10940" s="3">
        <v>26</v>
      </c>
      <c r="M10940" s="3">
        <v>275</v>
      </c>
    </row>
    <row r="10941" spans="1:13" x14ac:dyDescent="0.25">
      <c r="A10941" s="1" t="str">
        <f>HYPERLINK("http://www.rosaceae.org/Prunus/Prunus_persica/p.persica_gdr_reftransV1_0001488","p.persica_gdr_reftransV1_0001488")</f>
        <v>p.persica_gdr_reftransV1_0001488</v>
      </c>
      <c r="B10941" s="3">
        <v>4488</v>
      </c>
      <c r="C10941" s="1" t="str">
        <f>HYPERLINK("http://www.uniprot.org/uniprot/ALA1_ARATH","ALA1_ARATH")</f>
        <v>ALA1_ARATH</v>
      </c>
      <c r="D10941" t="s">
        <v>969</v>
      </c>
      <c r="E10941" s="3" t="s">
        <v>3</v>
      </c>
      <c r="F10941" s="4">
        <v>0</v>
      </c>
      <c r="G10941" s="3">
        <v>4551</v>
      </c>
      <c r="H10941" s="3">
        <v>74</v>
      </c>
      <c r="I10941" s="3">
        <v>1147</v>
      </c>
      <c r="J10941" s="3">
        <v>760</v>
      </c>
      <c r="K10941" s="3">
        <v>4191</v>
      </c>
      <c r="L10941" s="3">
        <v>31</v>
      </c>
      <c r="M10941" s="3">
        <v>1158</v>
      </c>
    </row>
    <row r="10942" spans="1:13" x14ac:dyDescent="0.25">
      <c r="A10942" s="1" t="str">
        <f>HYPERLINK("http://www.rosaceae.org/Prunus/Prunus_persica/p.persica_gdr_reftransV1_0001538","p.persica_gdr_reftransV1_0001538")</f>
        <v>p.persica_gdr_reftransV1_0001538</v>
      </c>
      <c r="B10942" s="3">
        <v>2774</v>
      </c>
      <c r="C10942" s="1" t="str">
        <f>HYPERLINK("http://www.uniprot.org/uniprot/AN13B_HUMAN","AN13B_HUMAN")</f>
        <v>AN13B_HUMAN</v>
      </c>
      <c r="D10942" t="s">
        <v>3288</v>
      </c>
      <c r="E10942" s="3" t="s">
        <v>28</v>
      </c>
      <c r="F10942" s="4">
        <v>4.54E-32</v>
      </c>
      <c r="G10942" s="3">
        <v>343</v>
      </c>
      <c r="H10942" s="3">
        <v>34</v>
      </c>
      <c r="I10942" s="3">
        <v>252</v>
      </c>
      <c r="J10942" s="3">
        <v>1167</v>
      </c>
      <c r="K10942" s="3">
        <v>1889</v>
      </c>
      <c r="L10942" s="3">
        <v>46</v>
      </c>
      <c r="M10942" s="3">
        <v>288</v>
      </c>
    </row>
    <row r="10943" spans="1:13" x14ac:dyDescent="0.25">
      <c r="A10943" s="1" t="str">
        <f>HYPERLINK("http://www.rosaceae.org/Prunus/Prunus_persica/p.persica_gdr_reftransV1_0001588","p.persica_gdr_reftransV1_0001588")</f>
        <v>p.persica_gdr_reftransV1_0001588</v>
      </c>
      <c r="B10943" s="3">
        <v>1802</v>
      </c>
      <c r="C10943" s="1" t="str">
        <f>HYPERLINK("http://www.uniprot.org/uniprot/CYSG_ACIAD","CYSG_ACIAD")</f>
        <v>CYSG_ACIAD</v>
      </c>
      <c r="D10943" t="s">
        <v>7842</v>
      </c>
      <c r="E10943" s="3" t="s">
        <v>7843</v>
      </c>
      <c r="F10943" s="4">
        <v>4.7599999999999998E-70</v>
      </c>
      <c r="G10943" s="3">
        <v>611</v>
      </c>
      <c r="H10943" s="3">
        <v>52</v>
      </c>
      <c r="I10943" s="3">
        <v>237</v>
      </c>
      <c r="J10943" s="3">
        <v>372</v>
      </c>
      <c r="K10943" s="3">
        <v>1082</v>
      </c>
      <c r="L10943" s="3">
        <v>216</v>
      </c>
      <c r="M10943" s="3">
        <v>450</v>
      </c>
    </row>
    <row r="10944" spans="1:13" x14ac:dyDescent="0.25">
      <c r="A10944" s="1" t="str">
        <f>HYPERLINK("http://www.rosaceae.org/Prunus/Prunus_persica/p.persica_gdr_reftransV1_0001638","p.persica_gdr_reftransV1_0001638")</f>
        <v>p.persica_gdr_reftransV1_0001638</v>
      </c>
      <c r="B10944" s="3">
        <v>1976</v>
      </c>
      <c r="C10944" s="1" t="str">
        <f>HYPERLINK("http://www.uniprot.org/uniprot/APK2B_ARATH","APK2B_ARATH")</f>
        <v>APK2B_ARATH</v>
      </c>
      <c r="D10944" t="s">
        <v>6597</v>
      </c>
      <c r="E10944" s="3" t="s">
        <v>3</v>
      </c>
      <c r="F10944" s="4">
        <v>0</v>
      </c>
      <c r="G10944" s="3">
        <v>1519</v>
      </c>
      <c r="H10944" s="3">
        <v>68</v>
      </c>
      <c r="I10944" s="3">
        <v>467</v>
      </c>
      <c r="J10944" s="3">
        <v>299</v>
      </c>
      <c r="K10944" s="3">
        <v>1666</v>
      </c>
      <c r="L10944" s="3">
        <v>1</v>
      </c>
      <c r="M10944" s="3">
        <v>426</v>
      </c>
    </row>
    <row r="10945" spans="1:13" x14ac:dyDescent="0.25">
      <c r="A10945" s="1" t="str">
        <f>HYPERLINK("http://www.rosaceae.org/Prunus/Prunus_persica/p.persica_gdr_reftransV1_0001688","p.persica_gdr_reftransV1_0001688")</f>
        <v>p.persica_gdr_reftransV1_0001688</v>
      </c>
      <c r="B10945" s="3">
        <v>3197</v>
      </c>
      <c r="C10945" s="1" t="str">
        <f>HYPERLINK("http://www.uniprot.org/uniprot/PUB4_ARATH","PUB4_ARATH")</f>
        <v>PUB4_ARATH</v>
      </c>
      <c r="D10945" t="s">
        <v>1286</v>
      </c>
      <c r="E10945" s="3" t="s">
        <v>3</v>
      </c>
      <c r="F10945" s="4">
        <v>1.2000000000000001E-54</v>
      </c>
      <c r="G10945" s="3">
        <v>531</v>
      </c>
      <c r="H10945" s="3">
        <v>72</v>
      </c>
      <c r="I10945" s="3">
        <v>139</v>
      </c>
      <c r="J10945" s="3">
        <v>2780</v>
      </c>
      <c r="K10945" s="3">
        <v>3196</v>
      </c>
      <c r="L10945" s="3">
        <v>677</v>
      </c>
      <c r="M10945" s="3">
        <v>815</v>
      </c>
    </row>
    <row r="10946" spans="1:13" x14ac:dyDescent="0.25">
      <c r="A10946" s="1" t="str">
        <f>HYPERLINK("http://www.rosaceae.org/Prunus/Prunus_persica/p.persica_gdr_reftransV1_0001838","p.persica_gdr_reftransV1_0001838")</f>
        <v>p.persica_gdr_reftransV1_0001838</v>
      </c>
      <c r="B10946" s="3">
        <v>2327</v>
      </c>
      <c r="C10946" s="1" t="str">
        <f>HYPERLINK("http://www.uniprot.org/uniprot/BDF2_YEAST","BDF2_YEAST")</f>
        <v>BDF2_YEAST</v>
      </c>
      <c r="D10946" t="s">
        <v>7844</v>
      </c>
      <c r="E10946" s="3" t="s">
        <v>34</v>
      </c>
      <c r="F10946" s="4">
        <v>4.7899999999999998E-13</v>
      </c>
      <c r="G10946" s="3">
        <v>187</v>
      </c>
      <c r="H10946" s="3">
        <v>34</v>
      </c>
      <c r="I10946" s="3">
        <v>109</v>
      </c>
      <c r="J10946" s="3">
        <v>1274</v>
      </c>
      <c r="K10946" s="3">
        <v>1591</v>
      </c>
      <c r="L10946" s="3">
        <v>316</v>
      </c>
      <c r="M10946" s="3">
        <v>423</v>
      </c>
    </row>
    <row r="10947" spans="1:13" x14ac:dyDescent="0.25">
      <c r="A10947" s="1" t="str">
        <f>HYPERLINK("http://www.rosaceae.org/Prunus/Prunus_persica/p.persica_gdr_reftransV1_0001988","p.persica_gdr_reftransV1_0001988")</f>
        <v>p.persica_gdr_reftransV1_0001988</v>
      </c>
      <c r="B10947" s="3">
        <v>364</v>
      </c>
      <c r="C10947" s="1" t="str">
        <f>HYPERLINK("http://www.uniprot.org/uniprot/CLV1_ARATH","CLV1_ARATH")</f>
        <v>CLV1_ARATH</v>
      </c>
      <c r="D10947" t="s">
        <v>2635</v>
      </c>
      <c r="E10947" s="3" t="s">
        <v>3</v>
      </c>
      <c r="F10947" s="4">
        <v>1.3E-43</v>
      </c>
      <c r="G10947" s="3">
        <v>397</v>
      </c>
      <c r="H10947" s="3">
        <v>63</v>
      </c>
      <c r="I10947" s="3">
        <v>121</v>
      </c>
      <c r="J10947" s="3">
        <v>1</v>
      </c>
      <c r="K10947" s="3">
        <v>363</v>
      </c>
      <c r="L10947" s="3">
        <v>356</v>
      </c>
      <c r="M10947" s="3">
        <v>476</v>
      </c>
    </row>
    <row r="10948" spans="1:13" x14ac:dyDescent="0.25">
      <c r="A10948" s="1" t="str">
        <f>HYPERLINK("http://www.rosaceae.org/Prunus/Prunus_persica/p.persica_gdr_reftransV1_0002088","p.persica_gdr_reftransV1_0002088")</f>
        <v>p.persica_gdr_reftransV1_0002088</v>
      </c>
      <c r="B10948" s="3">
        <v>918</v>
      </c>
      <c r="C10948" s="1" t="str">
        <f>HYPERLINK("http://www.uniprot.org/uniprot/NAC82_ARATH","NAC82_ARATH")</f>
        <v>NAC82_ARATH</v>
      </c>
      <c r="D10948" t="s">
        <v>7845</v>
      </c>
      <c r="E10948" s="3" t="s">
        <v>3</v>
      </c>
      <c r="F10948" s="4">
        <v>3.7700000000000002E-65</v>
      </c>
      <c r="G10948" s="3">
        <v>556</v>
      </c>
      <c r="H10948" s="3">
        <v>63</v>
      </c>
      <c r="I10948" s="3">
        <v>158</v>
      </c>
      <c r="J10948" s="3">
        <v>6</v>
      </c>
      <c r="K10948" s="3">
        <v>479</v>
      </c>
      <c r="L10948" s="3">
        <v>1</v>
      </c>
      <c r="M10948" s="3">
        <v>158</v>
      </c>
    </row>
    <row r="10949" spans="1:13" x14ac:dyDescent="0.25">
      <c r="A10949" s="1" t="str">
        <f>HYPERLINK("http://www.rosaceae.org/Prunus/Prunus_persica/p.persica_gdr_reftransV1_0002188","p.persica_gdr_reftransV1_0002188")</f>
        <v>p.persica_gdr_reftransV1_0002188</v>
      </c>
      <c r="B10949" s="3">
        <v>383</v>
      </c>
      <c r="C10949" s="1" t="str">
        <f>HYPERLINK("http://www.uniprot.org/uniprot/GST23_MAIZE","GST23_MAIZE")</f>
        <v>GST23_MAIZE</v>
      </c>
      <c r="D10949" t="s">
        <v>3729</v>
      </c>
      <c r="E10949" s="3" t="s">
        <v>72</v>
      </c>
      <c r="F10949" s="4">
        <v>1.7800000000000001E-19</v>
      </c>
      <c r="G10949" s="3">
        <v>209</v>
      </c>
      <c r="H10949" s="3">
        <v>38</v>
      </c>
      <c r="I10949" s="3">
        <v>117</v>
      </c>
      <c r="J10949" s="3">
        <v>8</v>
      </c>
      <c r="K10949" s="3">
        <v>358</v>
      </c>
      <c r="L10949" s="3">
        <v>110</v>
      </c>
      <c r="M10949" s="3">
        <v>222</v>
      </c>
    </row>
    <row r="10950" spans="1:13" x14ac:dyDescent="0.25">
      <c r="A10950" s="1" t="str">
        <f>HYPERLINK("http://www.rosaceae.org/Prunus/Prunus_persica/p.persica_gdr_reftransV1_0002288","p.persica_gdr_reftransV1_0002288")</f>
        <v>p.persica_gdr_reftransV1_0002288</v>
      </c>
      <c r="B10950" s="3">
        <v>3321</v>
      </c>
      <c r="C10950" s="1" t="str">
        <f>HYPERLINK("http://www.uniprot.org/uniprot/DEX1_ARATH","DEX1_ARATH")</f>
        <v>DEX1_ARATH</v>
      </c>
      <c r="D10950" t="s">
        <v>7846</v>
      </c>
      <c r="E10950" s="3" t="s">
        <v>3</v>
      </c>
      <c r="F10950" s="4">
        <v>0</v>
      </c>
      <c r="G10950" s="3">
        <v>3146</v>
      </c>
      <c r="H10950" s="3">
        <v>75</v>
      </c>
      <c r="I10950" s="3">
        <v>873</v>
      </c>
      <c r="J10950" s="3">
        <v>483</v>
      </c>
      <c r="K10950" s="3">
        <v>3011</v>
      </c>
      <c r="L10950" s="3">
        <v>24</v>
      </c>
      <c r="M10950" s="3">
        <v>895</v>
      </c>
    </row>
    <row r="10951" spans="1:13" x14ac:dyDescent="0.25">
      <c r="A10951" s="1" t="str">
        <f>HYPERLINK("http://www.rosaceae.org/Prunus/Prunus_persica/p.persica_gdr_reftransV1_0002338","p.persica_gdr_reftransV1_0002338")</f>
        <v>p.persica_gdr_reftransV1_0002338</v>
      </c>
      <c r="B10951" s="3">
        <v>2520</v>
      </c>
      <c r="C10951" s="1" t="str">
        <f>HYPERLINK("http://www.uniprot.org/uniprot/CSCLB_ARATH","CSCLB_ARATH")</f>
        <v>CSCLB_ARATH</v>
      </c>
      <c r="D10951" t="s">
        <v>4634</v>
      </c>
      <c r="E10951" s="3" t="s">
        <v>3</v>
      </c>
      <c r="F10951" s="4">
        <v>0</v>
      </c>
      <c r="G10951" s="3">
        <v>2246</v>
      </c>
      <c r="H10951" s="3">
        <v>63</v>
      </c>
      <c r="I10951" s="3">
        <v>715</v>
      </c>
      <c r="J10951" s="3">
        <v>162</v>
      </c>
      <c r="K10951" s="3">
        <v>2297</v>
      </c>
      <c r="L10951" s="3">
        <v>1</v>
      </c>
      <c r="M10951" s="3">
        <v>707</v>
      </c>
    </row>
    <row r="10952" spans="1:13" x14ac:dyDescent="0.25">
      <c r="A10952" s="1" t="str">
        <f>HYPERLINK("http://www.rosaceae.org/Prunus/Prunus_persica/p.persica_gdr_reftransV1_0002388","p.persica_gdr_reftransV1_0002388")</f>
        <v>p.persica_gdr_reftransV1_0002388</v>
      </c>
      <c r="B10952" s="3">
        <v>335</v>
      </c>
      <c r="C10952" s="1" t="str">
        <f>HYPERLINK("http://www.uniprot.org/uniprot/HAK5_ORYSJ","HAK5_ORYSJ")</f>
        <v>HAK5_ORYSJ</v>
      </c>
      <c r="D10952" t="s">
        <v>853</v>
      </c>
      <c r="E10952" s="3" t="s">
        <v>38</v>
      </c>
      <c r="F10952" s="4">
        <v>2.2899999999999999E-50</v>
      </c>
      <c r="G10952" s="3">
        <v>441</v>
      </c>
      <c r="H10952" s="3">
        <v>77</v>
      </c>
      <c r="I10952" s="3">
        <v>97</v>
      </c>
      <c r="J10952" s="3">
        <v>42</v>
      </c>
      <c r="K10952" s="3">
        <v>332</v>
      </c>
      <c r="L10952" s="3">
        <v>244</v>
      </c>
      <c r="M10952" s="3">
        <v>340</v>
      </c>
    </row>
    <row r="10953" spans="1:13" x14ac:dyDescent="0.25">
      <c r="A10953" s="1" t="str">
        <f>HYPERLINK("http://www.rosaceae.org/Prunus/Prunus_persica/p.persica_gdr_reftransV1_0002488","p.persica_gdr_reftransV1_0002488")</f>
        <v>p.persica_gdr_reftransV1_0002488</v>
      </c>
      <c r="B10953" s="3">
        <v>1990</v>
      </c>
      <c r="C10953" s="1" t="str">
        <f>HYPERLINK("http://www.uniprot.org/uniprot/ACR3_ARATH","ACR3_ARATH")</f>
        <v>ACR3_ARATH</v>
      </c>
      <c r="D10953" t="s">
        <v>7562</v>
      </c>
      <c r="E10953" s="3" t="s">
        <v>3</v>
      </c>
      <c r="F10953" s="4">
        <v>0</v>
      </c>
      <c r="G10953" s="3">
        <v>1860</v>
      </c>
      <c r="H10953" s="3">
        <v>76</v>
      </c>
      <c r="I10953" s="3">
        <v>455</v>
      </c>
      <c r="J10953" s="3">
        <v>309</v>
      </c>
      <c r="K10953" s="3">
        <v>1649</v>
      </c>
      <c r="L10953" s="3">
        <v>1</v>
      </c>
      <c r="M10953" s="3">
        <v>452</v>
      </c>
    </row>
    <row r="10954" spans="1:13" x14ac:dyDescent="0.25">
      <c r="A10954" s="1" t="str">
        <f>HYPERLINK("http://www.rosaceae.org/Prunus/Prunus_persica/p.persica_gdr_reftransV1_0002538","p.persica_gdr_reftransV1_0002538")</f>
        <v>p.persica_gdr_reftransV1_0002538</v>
      </c>
      <c r="B10954" s="3">
        <v>1437</v>
      </c>
      <c r="C10954" s="1" t="str">
        <f>HYPERLINK("http://www.uniprot.org/uniprot/PMAT2_ARATH","PMAT2_ARATH")</f>
        <v>PMAT2_ARATH</v>
      </c>
      <c r="D10954" t="s">
        <v>7847</v>
      </c>
      <c r="E10954" s="3" t="s">
        <v>3</v>
      </c>
      <c r="F10954" s="4">
        <v>7.2100000000000003E-68</v>
      </c>
      <c r="G10954" s="3">
        <v>587</v>
      </c>
      <c r="H10954" s="3">
        <v>39</v>
      </c>
      <c r="I10954" s="3">
        <v>377</v>
      </c>
      <c r="J10954" s="3">
        <v>329</v>
      </c>
      <c r="K10954" s="3">
        <v>1435</v>
      </c>
      <c r="L10954" s="3">
        <v>29</v>
      </c>
      <c r="M10954" s="3">
        <v>396</v>
      </c>
    </row>
    <row r="10955" spans="1:13" x14ac:dyDescent="0.25">
      <c r="A10955" s="1" t="str">
        <f>HYPERLINK("http://www.rosaceae.org/Prunus/Prunus_persica/p.persica_gdr_reftransV1_0002688","p.persica_gdr_reftransV1_0002688")</f>
        <v>p.persica_gdr_reftransV1_0002688</v>
      </c>
      <c r="B10955" s="3">
        <v>1983</v>
      </c>
      <c r="C10955" s="1" t="str">
        <f>HYPERLINK("http://www.uniprot.org/uniprot/UGDH4_ORYSJ","UGDH4_ORYSJ")</f>
        <v>UGDH4_ORYSJ</v>
      </c>
      <c r="D10955" t="s">
        <v>7848</v>
      </c>
      <c r="E10955" s="3" t="s">
        <v>38</v>
      </c>
      <c r="F10955" s="4">
        <v>0</v>
      </c>
      <c r="G10955" s="3">
        <v>2363</v>
      </c>
      <c r="H10955" s="3">
        <v>90</v>
      </c>
      <c r="I10955" s="3">
        <v>480</v>
      </c>
      <c r="J10955" s="3">
        <v>153</v>
      </c>
      <c r="K10955" s="3">
        <v>1592</v>
      </c>
      <c r="L10955" s="3">
        <v>1</v>
      </c>
      <c r="M10955" s="3">
        <v>480</v>
      </c>
    </row>
    <row r="10956" spans="1:13" x14ac:dyDescent="0.25">
      <c r="A10956" s="1" t="str">
        <f>HYPERLINK("http://www.rosaceae.org/Prunus/Prunus_persica/p.persica_gdr_reftransV1_0002788","p.persica_gdr_reftransV1_0002788")</f>
        <v>p.persica_gdr_reftransV1_0002788</v>
      </c>
      <c r="B10956" s="3">
        <v>2559</v>
      </c>
      <c r="C10956" s="1" t="str">
        <f>HYPERLINK("http://www.uniprot.org/uniprot/ESD4_ARATH","ESD4_ARATH")</f>
        <v>ESD4_ARATH</v>
      </c>
      <c r="D10956" t="s">
        <v>7849</v>
      </c>
      <c r="E10956" s="3" t="s">
        <v>3</v>
      </c>
      <c r="F10956" s="4">
        <v>1.3700000000000001E-133</v>
      </c>
      <c r="G10956" s="3">
        <v>698</v>
      </c>
      <c r="H10956" s="3">
        <v>45</v>
      </c>
      <c r="I10956" s="3">
        <v>374</v>
      </c>
      <c r="J10956" s="3">
        <v>941</v>
      </c>
      <c r="K10956" s="3">
        <v>2035</v>
      </c>
      <c r="L10956" s="3">
        <v>1</v>
      </c>
      <c r="M10956" s="3">
        <v>340</v>
      </c>
    </row>
    <row r="10957" spans="1:13" x14ac:dyDescent="0.25">
      <c r="A10957" s="1" t="str">
        <f>HYPERLINK("http://www.rosaceae.org/Prunus/Prunus_persica/p.persica_gdr_reftransV1_0002838","p.persica_gdr_reftransV1_0002838")</f>
        <v>p.persica_gdr_reftransV1_0002838</v>
      </c>
      <c r="B10957" s="3">
        <v>529</v>
      </c>
      <c r="C10957" s="1" t="str">
        <f>HYPERLINK("http://www.uniprot.org/uniprot/C78A5_ARATH","C78A5_ARATH")</f>
        <v>C78A5_ARATH</v>
      </c>
      <c r="D10957" t="s">
        <v>656</v>
      </c>
      <c r="E10957" s="3" t="s">
        <v>3</v>
      </c>
      <c r="F10957" s="4">
        <v>5.9900000000000003E-84</v>
      </c>
      <c r="G10957" s="3">
        <v>671</v>
      </c>
      <c r="H10957" s="3">
        <v>73</v>
      </c>
      <c r="I10957" s="3">
        <v>175</v>
      </c>
      <c r="J10957" s="3">
        <v>3</v>
      </c>
      <c r="K10957" s="3">
        <v>527</v>
      </c>
      <c r="L10957" s="3">
        <v>284</v>
      </c>
      <c r="M10957" s="3">
        <v>457</v>
      </c>
    </row>
    <row r="10958" spans="1:13" x14ac:dyDescent="0.25">
      <c r="A10958" s="1" t="str">
        <f>HYPERLINK("http://www.rosaceae.org/Prunus/Prunus_persica/p.persica_gdr_reftransV1_0002888","p.persica_gdr_reftransV1_0002888")</f>
        <v>p.persica_gdr_reftransV1_0002888</v>
      </c>
      <c r="B10958" s="3">
        <v>2171</v>
      </c>
      <c r="C10958" s="1" t="str">
        <f>HYPERLINK("http://www.uniprot.org/uniprot/MDL2_PRUDU","MDL2_PRUDU")</f>
        <v>MDL2_PRUDU</v>
      </c>
      <c r="D10958" t="s">
        <v>2125</v>
      </c>
      <c r="E10958" s="3" t="s">
        <v>418</v>
      </c>
      <c r="F10958" s="4">
        <v>0</v>
      </c>
      <c r="G10958" s="3">
        <v>2796</v>
      </c>
      <c r="H10958" s="3">
        <v>98</v>
      </c>
      <c r="I10958" s="3">
        <v>563</v>
      </c>
      <c r="J10958" s="3">
        <v>153</v>
      </c>
      <c r="K10958" s="3">
        <v>1841</v>
      </c>
      <c r="L10958" s="3">
        <v>1</v>
      </c>
      <c r="M10958" s="3">
        <v>563</v>
      </c>
    </row>
    <row r="10959" spans="1:13" x14ac:dyDescent="0.25">
      <c r="A10959" s="1" t="str">
        <f>HYPERLINK("http://www.rosaceae.org/Prunus/Prunus_persica/p.persica_gdr_reftransV1_0002988","p.persica_gdr_reftransV1_0002988")</f>
        <v>p.persica_gdr_reftransV1_0002988</v>
      </c>
      <c r="B10959" s="3">
        <v>973</v>
      </c>
      <c r="C10959" s="1" t="str">
        <f>HYPERLINK("http://www.uniprot.org/uniprot/PITH1_DICDI","PITH1_DICDI")</f>
        <v>PITH1_DICDI</v>
      </c>
      <c r="D10959" t="s">
        <v>7850</v>
      </c>
      <c r="E10959" s="3" t="s">
        <v>9</v>
      </c>
      <c r="F10959" s="4">
        <v>3.3799999999999998E-38</v>
      </c>
      <c r="G10959" s="3">
        <v>353</v>
      </c>
      <c r="H10959" s="3">
        <v>43</v>
      </c>
      <c r="I10959" s="3">
        <v>181</v>
      </c>
      <c r="J10959" s="3">
        <v>135</v>
      </c>
      <c r="K10959" s="3">
        <v>677</v>
      </c>
      <c r="L10959" s="3">
        <v>19</v>
      </c>
      <c r="M10959" s="3">
        <v>196</v>
      </c>
    </row>
    <row r="10960" spans="1:13" x14ac:dyDescent="0.25">
      <c r="A10960" s="1" t="str">
        <f>HYPERLINK("http://www.rosaceae.org/Prunus/Prunus_persica/p.persica_gdr_reftransV1_0003038","p.persica_gdr_reftransV1_0003038")</f>
        <v>p.persica_gdr_reftransV1_0003038</v>
      </c>
      <c r="B10960" s="3">
        <v>523</v>
      </c>
      <c r="C10960" s="1" t="str">
        <f>HYPERLINK("http://www.uniprot.org/uniprot/DME_ARATH","DME_ARATH")</f>
        <v>DME_ARATH</v>
      </c>
      <c r="D10960" t="s">
        <v>26</v>
      </c>
      <c r="E10960" s="3" t="s">
        <v>3</v>
      </c>
      <c r="F10960" s="4">
        <v>3.1099999999999998E-30</v>
      </c>
      <c r="G10960" s="3">
        <v>305</v>
      </c>
      <c r="H10960" s="3">
        <v>51</v>
      </c>
      <c r="I10960" s="3">
        <v>111</v>
      </c>
      <c r="J10960" s="3">
        <v>1</v>
      </c>
      <c r="K10960" s="3">
        <v>324</v>
      </c>
      <c r="L10960" s="3">
        <v>1448</v>
      </c>
      <c r="M10960" s="3">
        <v>1558</v>
      </c>
    </row>
    <row r="10961" spans="1:13" x14ac:dyDescent="0.25">
      <c r="A10961" s="1" t="str">
        <f>HYPERLINK("http://www.rosaceae.org/Prunus/Prunus_persica/p.persica_gdr_reftransV1_0003088","p.persica_gdr_reftransV1_0003088")</f>
        <v>p.persica_gdr_reftransV1_0003088</v>
      </c>
      <c r="B10961" s="3">
        <v>680</v>
      </c>
      <c r="C10961" s="1" t="str">
        <f>HYPERLINK("http://www.uniprot.org/uniprot/OSP4_PEA","OSP4_PEA")</f>
        <v>OSP4_PEA</v>
      </c>
      <c r="D10961" t="s">
        <v>1670</v>
      </c>
      <c r="E10961" s="3" t="s">
        <v>60</v>
      </c>
      <c r="F10961" s="4">
        <v>3.0600000000000001E-7</v>
      </c>
      <c r="G10961" s="3">
        <v>121</v>
      </c>
      <c r="H10961" s="3">
        <v>32</v>
      </c>
      <c r="I10961" s="3">
        <v>119</v>
      </c>
      <c r="J10961" s="3">
        <v>227</v>
      </c>
      <c r="K10961" s="3">
        <v>562</v>
      </c>
      <c r="L10961" s="3">
        <v>21</v>
      </c>
      <c r="M10961" s="3">
        <v>129</v>
      </c>
    </row>
    <row r="10962" spans="1:13" x14ac:dyDescent="0.25">
      <c r="A10962" s="1" t="str">
        <f>HYPERLINK("http://www.rosaceae.org/Prunus/Prunus_persica/p.persica_gdr_reftransV1_0003138","p.persica_gdr_reftransV1_0003138")</f>
        <v>p.persica_gdr_reftransV1_0003138</v>
      </c>
      <c r="B10962" s="3">
        <v>1641</v>
      </c>
      <c r="C10962" s="1" t="str">
        <f>HYPERLINK("http://www.uniprot.org/uniprot/TT12_ARATH","TT12_ARATH")</f>
        <v>TT12_ARATH</v>
      </c>
      <c r="D10962" t="s">
        <v>353</v>
      </c>
      <c r="E10962" s="3" t="s">
        <v>3</v>
      </c>
      <c r="F10962" s="4">
        <v>8.4900000000000007E-83</v>
      </c>
      <c r="G10962" s="3">
        <v>698</v>
      </c>
      <c r="H10962" s="3">
        <v>49</v>
      </c>
      <c r="I10962" s="3">
        <v>320</v>
      </c>
      <c r="J10962" s="3">
        <v>258</v>
      </c>
      <c r="K10962" s="3">
        <v>1214</v>
      </c>
      <c r="L10962" s="3">
        <v>174</v>
      </c>
      <c r="M10962" s="3">
        <v>493</v>
      </c>
    </row>
    <row r="10963" spans="1:13" x14ac:dyDescent="0.25">
      <c r="A10963" s="1" t="str">
        <f>HYPERLINK("http://www.rosaceae.org/Prunus/Prunus_persica/p.persica_gdr_reftransV1_0003188","p.persica_gdr_reftransV1_0003188")</f>
        <v>p.persica_gdr_reftransV1_0003188</v>
      </c>
      <c r="B10963" s="3">
        <v>1603</v>
      </c>
      <c r="C10963" s="1" t="str">
        <f>HYPERLINK("http://www.uniprot.org/uniprot/MMSA_ARATH","MMSA_ARATH")</f>
        <v>MMSA_ARATH</v>
      </c>
      <c r="D10963" t="s">
        <v>4189</v>
      </c>
      <c r="E10963" s="3" t="s">
        <v>3</v>
      </c>
      <c r="F10963" s="4">
        <v>0</v>
      </c>
      <c r="G10963" s="3">
        <v>1371</v>
      </c>
      <c r="H10963" s="3">
        <v>79</v>
      </c>
      <c r="I10963" s="3">
        <v>338</v>
      </c>
      <c r="J10963" s="3">
        <v>3</v>
      </c>
      <c r="K10963" s="3">
        <v>1016</v>
      </c>
      <c r="L10963" s="3">
        <v>180</v>
      </c>
      <c r="M10963" s="3">
        <v>517</v>
      </c>
    </row>
    <row r="10964" spans="1:13" x14ac:dyDescent="0.25">
      <c r="A10964" s="1" t="str">
        <f>HYPERLINK("http://www.rosaceae.org/Prunus/Prunus_persica/p.persica_gdr_reftransV1_0003238","p.persica_gdr_reftransV1_0003238")</f>
        <v>p.persica_gdr_reftransV1_0003238</v>
      </c>
      <c r="B10964" s="3">
        <v>1019</v>
      </c>
      <c r="C10964" s="1" t="str">
        <f>HYPERLINK("http://www.uniprot.org/uniprot/YCF2_MORIN","YCF2_MORIN")</f>
        <v>YCF2_MORIN</v>
      </c>
      <c r="D10964" t="s">
        <v>531</v>
      </c>
      <c r="E10964" s="3" t="s">
        <v>69</v>
      </c>
      <c r="F10964" s="4">
        <v>0</v>
      </c>
      <c r="G10964" s="3">
        <v>1675</v>
      </c>
      <c r="H10964" s="3">
        <v>96</v>
      </c>
      <c r="I10964" s="3">
        <v>341</v>
      </c>
      <c r="J10964" s="3">
        <v>1</v>
      </c>
      <c r="K10964" s="3">
        <v>1017</v>
      </c>
      <c r="L10964" s="3">
        <v>1907</v>
      </c>
      <c r="M10964" s="3">
        <v>2247</v>
      </c>
    </row>
    <row r="10965" spans="1:13" x14ac:dyDescent="0.25">
      <c r="A10965" s="1" t="str">
        <f>HYPERLINK("http://www.rosaceae.org/Prunus/Prunus_persica/p.persica_gdr_reftransV1_0003288","p.persica_gdr_reftransV1_0003288")</f>
        <v>p.persica_gdr_reftransV1_0003288</v>
      </c>
      <c r="B10965" s="3">
        <v>3062</v>
      </c>
      <c r="C10965" s="1" t="str">
        <f>HYPERLINK("http://www.uniprot.org/uniprot/Y1515_ARATH","Y1515_ARATH")</f>
        <v>Y1515_ARATH</v>
      </c>
      <c r="D10965" t="s">
        <v>7851</v>
      </c>
      <c r="E10965" s="3" t="s">
        <v>3</v>
      </c>
      <c r="F10965" s="4">
        <v>0</v>
      </c>
      <c r="G10965" s="3">
        <v>3243</v>
      </c>
      <c r="H10965" s="3">
        <v>82</v>
      </c>
      <c r="I10965" s="3">
        <v>803</v>
      </c>
      <c r="J10965" s="3">
        <v>332</v>
      </c>
      <c r="K10965" s="3">
        <v>2713</v>
      </c>
      <c r="L10965" s="3">
        <v>1</v>
      </c>
      <c r="M10965" s="3">
        <v>802</v>
      </c>
    </row>
    <row r="10966" spans="1:13" x14ac:dyDescent="0.25">
      <c r="A10966" s="1" t="str">
        <f>HYPERLINK("http://www.rosaceae.org/Prunus/Prunus_persica/p.persica_gdr_reftransV1_0003338","p.persica_gdr_reftransV1_0003338")</f>
        <v>p.persica_gdr_reftransV1_0003338</v>
      </c>
      <c r="B10966" s="3">
        <v>884</v>
      </c>
      <c r="C10966" s="1" t="str">
        <f>HYPERLINK("http://www.uniprot.org/uniprot/TMVRN_NICGU","TMVRN_NICGU")</f>
        <v>TMVRN_NICGU</v>
      </c>
      <c r="D10966" t="s">
        <v>151</v>
      </c>
      <c r="E10966" s="3" t="s">
        <v>152</v>
      </c>
      <c r="F10966" s="4">
        <v>7.8200000000000001E-59</v>
      </c>
      <c r="G10966" s="3">
        <v>529</v>
      </c>
      <c r="H10966" s="3">
        <v>51</v>
      </c>
      <c r="I10966" s="3">
        <v>213</v>
      </c>
      <c r="J10966" s="3">
        <v>250</v>
      </c>
      <c r="K10966" s="3">
        <v>882</v>
      </c>
      <c r="L10966" s="3">
        <v>11</v>
      </c>
      <c r="M10966" s="3">
        <v>222</v>
      </c>
    </row>
    <row r="10967" spans="1:13" x14ac:dyDescent="0.25">
      <c r="A10967" s="1" t="str">
        <f>HYPERLINK("http://www.rosaceae.org/Prunus/Prunus_persica/p.persica_gdr_reftransV1_0003388","p.persica_gdr_reftransV1_0003388")</f>
        <v>p.persica_gdr_reftransV1_0003388</v>
      </c>
      <c r="B10967" s="3">
        <v>1608</v>
      </c>
      <c r="C10967" s="1" t="str">
        <f>HYPERLINK("http://www.uniprot.org/uniprot/ZHD5_ARATH","ZHD5_ARATH")</f>
        <v>ZHD5_ARATH</v>
      </c>
      <c r="D10967" t="s">
        <v>7852</v>
      </c>
      <c r="E10967" s="3" t="s">
        <v>3</v>
      </c>
      <c r="F10967" s="4">
        <v>1.3899999999999999E-62</v>
      </c>
      <c r="G10967" s="3">
        <v>543</v>
      </c>
      <c r="H10967" s="3">
        <v>54</v>
      </c>
      <c r="I10967" s="3">
        <v>239</v>
      </c>
      <c r="J10967" s="3">
        <v>52</v>
      </c>
      <c r="K10967" s="3">
        <v>702</v>
      </c>
      <c r="L10967" s="3">
        <v>74</v>
      </c>
      <c r="M10967" s="3">
        <v>308</v>
      </c>
    </row>
    <row r="10968" spans="1:13" x14ac:dyDescent="0.25">
      <c r="A10968" s="1" t="str">
        <f>HYPERLINK("http://www.rosaceae.org/Prunus/Prunus_persica/p.persica_gdr_reftransV1_0003438","p.persica_gdr_reftransV1_0003438")</f>
        <v>p.persica_gdr_reftransV1_0003438</v>
      </c>
      <c r="B10968" s="3">
        <v>452</v>
      </c>
      <c r="C10968" s="1" t="str">
        <f>HYPERLINK("http://www.uniprot.org/uniprot/BGLT_TRIRP","BGLT_TRIRP")</f>
        <v>BGLT_TRIRP</v>
      </c>
      <c r="D10968" t="s">
        <v>2494</v>
      </c>
      <c r="E10968" s="3" t="s">
        <v>733</v>
      </c>
      <c r="F10968" s="4">
        <v>5.1099999999999998E-68</v>
      </c>
      <c r="G10968" s="3">
        <v>555</v>
      </c>
      <c r="H10968" s="3">
        <v>69</v>
      </c>
      <c r="I10968" s="3">
        <v>143</v>
      </c>
      <c r="J10968" s="3">
        <v>23</v>
      </c>
      <c r="K10968" s="3">
        <v>451</v>
      </c>
      <c r="L10968" s="3">
        <v>93</v>
      </c>
      <c r="M10968" s="3">
        <v>235</v>
      </c>
    </row>
    <row r="10969" spans="1:13" x14ac:dyDescent="0.25">
      <c r="A10969" s="1" t="str">
        <f>HYPERLINK("http://www.rosaceae.org/Prunus/Prunus_persica/p.persica_gdr_reftransV1_0003538","p.persica_gdr_reftransV1_0003538")</f>
        <v>p.persica_gdr_reftransV1_0003538</v>
      </c>
      <c r="B10969" s="3">
        <v>413</v>
      </c>
      <c r="C10969" s="1" t="str">
        <f>HYPERLINK("http://www.uniprot.org/uniprot/RQL3_ARATH","RQL3_ARATH")</f>
        <v>RQL3_ARATH</v>
      </c>
      <c r="D10969" t="s">
        <v>6504</v>
      </c>
      <c r="E10969" s="3" t="s">
        <v>3</v>
      </c>
      <c r="F10969" s="4">
        <v>4.5000000000000004E-37</v>
      </c>
      <c r="G10969" s="3">
        <v>347</v>
      </c>
      <c r="H10969" s="3">
        <v>69</v>
      </c>
      <c r="I10969" s="3">
        <v>88</v>
      </c>
      <c r="J10969" s="3">
        <v>63</v>
      </c>
      <c r="K10969" s="3">
        <v>326</v>
      </c>
      <c r="L10969" s="3">
        <v>230</v>
      </c>
      <c r="M10969" s="3">
        <v>317</v>
      </c>
    </row>
    <row r="10970" spans="1:13" x14ac:dyDescent="0.25">
      <c r="A10970" s="1" t="str">
        <f>HYPERLINK("http://www.rosaceae.org/Prunus/Prunus_persica/p.persica_gdr_reftransV1_0003638","p.persica_gdr_reftransV1_0003638")</f>
        <v>p.persica_gdr_reftransV1_0003638</v>
      </c>
      <c r="B10970" s="3">
        <v>1638</v>
      </c>
      <c r="C10970" s="1" t="str">
        <f>HYPERLINK("http://www.uniprot.org/uniprot/AB19I_ARATH","AB19I_ARATH")</f>
        <v>AB19I_ARATH</v>
      </c>
      <c r="D10970" t="s">
        <v>7853</v>
      </c>
      <c r="E10970" s="3" t="s">
        <v>3</v>
      </c>
      <c r="F10970" s="4">
        <v>7.2799999999999995E-132</v>
      </c>
      <c r="G10970" s="3">
        <v>1008</v>
      </c>
      <c r="H10970" s="3">
        <v>68</v>
      </c>
      <c r="I10970" s="3">
        <v>328</v>
      </c>
      <c r="J10970" s="3">
        <v>99</v>
      </c>
      <c r="K10970" s="3">
        <v>1073</v>
      </c>
      <c r="L10970" s="3">
        <v>7</v>
      </c>
      <c r="M10970" s="3">
        <v>290</v>
      </c>
    </row>
    <row r="10971" spans="1:13" x14ac:dyDescent="0.25">
      <c r="A10971" s="1" t="str">
        <f>HYPERLINK("http://www.rosaceae.org/Prunus/Prunus_persica/p.persica_gdr_reftransV1_0003688","p.persica_gdr_reftransV1_0003688")</f>
        <v>p.persica_gdr_reftransV1_0003688</v>
      </c>
      <c r="B10971" s="3">
        <v>1247</v>
      </c>
      <c r="C10971" s="1" t="str">
        <f>HYPERLINK("http://www.uniprot.org/uniprot/WDR26_DANRE","WDR26_DANRE")</f>
        <v>WDR26_DANRE</v>
      </c>
      <c r="D10971" t="s">
        <v>7854</v>
      </c>
      <c r="E10971" s="3" t="s">
        <v>704</v>
      </c>
      <c r="F10971" s="4">
        <v>2.9900000000000002E-35</v>
      </c>
      <c r="G10971" s="3">
        <v>353</v>
      </c>
      <c r="H10971" s="3">
        <v>35</v>
      </c>
      <c r="I10971" s="3">
        <v>235</v>
      </c>
      <c r="J10971" s="3">
        <v>557</v>
      </c>
      <c r="K10971" s="3">
        <v>1243</v>
      </c>
      <c r="L10971" s="3">
        <v>54</v>
      </c>
      <c r="M10971" s="3">
        <v>288</v>
      </c>
    </row>
    <row r="10972" spans="1:13" x14ac:dyDescent="0.25">
      <c r="A10972" s="1" t="str">
        <f>HYPERLINK("http://www.rosaceae.org/Prunus/Prunus_persica/p.persica_gdr_reftransV1_0003738","p.persica_gdr_reftransV1_0003738")</f>
        <v>p.persica_gdr_reftransV1_0003738</v>
      </c>
      <c r="B10972" s="3">
        <v>1974</v>
      </c>
      <c r="C10972" s="1" t="str">
        <f>HYPERLINK("http://www.uniprot.org/uniprot/ELF3_ARATH","ELF3_ARATH")</f>
        <v>ELF3_ARATH</v>
      </c>
      <c r="D10972" t="s">
        <v>1968</v>
      </c>
      <c r="E10972" s="3" t="s">
        <v>3</v>
      </c>
      <c r="F10972" s="4">
        <v>2.5700000000000002E-57</v>
      </c>
      <c r="G10972" s="3">
        <v>536</v>
      </c>
      <c r="H10972" s="3">
        <v>42</v>
      </c>
      <c r="I10972" s="3">
        <v>374</v>
      </c>
      <c r="J10972" s="3">
        <v>593</v>
      </c>
      <c r="K10972" s="3">
        <v>1708</v>
      </c>
      <c r="L10972" s="3">
        <v>1</v>
      </c>
      <c r="M10972" s="3">
        <v>344</v>
      </c>
    </row>
    <row r="10973" spans="1:13" x14ac:dyDescent="0.25">
      <c r="A10973" s="1" t="str">
        <f>HYPERLINK("http://www.rosaceae.org/Prunus/Prunus_persica/p.persica_gdr_reftransV1_0003788","p.persica_gdr_reftransV1_0003788")</f>
        <v>p.persica_gdr_reftransV1_0003788</v>
      </c>
      <c r="B10973" s="3">
        <v>1891</v>
      </c>
      <c r="C10973" s="1" t="str">
        <f>HYPERLINK("http://www.uniprot.org/uniprot/APM1_ARATH","APM1_ARATH")</f>
        <v>APM1_ARATH</v>
      </c>
      <c r="D10973" t="s">
        <v>5990</v>
      </c>
      <c r="E10973" s="3" t="s">
        <v>3</v>
      </c>
      <c r="F10973" s="4">
        <v>0</v>
      </c>
      <c r="G10973" s="3">
        <v>2203</v>
      </c>
      <c r="H10973" s="3">
        <v>72</v>
      </c>
      <c r="I10973" s="3">
        <v>563</v>
      </c>
      <c r="J10973" s="3">
        <v>205</v>
      </c>
      <c r="K10973" s="3">
        <v>1890</v>
      </c>
      <c r="L10973" s="3">
        <v>319</v>
      </c>
      <c r="M10973" s="3">
        <v>877</v>
      </c>
    </row>
    <row r="10974" spans="1:13" x14ac:dyDescent="0.25">
      <c r="A10974" s="1" t="str">
        <f>HYPERLINK("http://www.rosaceae.org/Prunus/Prunus_persica/p.persica_gdr_reftransV1_0003838","p.persica_gdr_reftransV1_0003838")</f>
        <v>p.persica_gdr_reftransV1_0003838</v>
      </c>
      <c r="B10974" s="3">
        <v>2655</v>
      </c>
      <c r="C10974" s="1" t="str">
        <f>HYPERLINK("http://www.uniprot.org/uniprot/ATPB_MORIN","ATPB_MORIN")</f>
        <v>ATPB_MORIN</v>
      </c>
      <c r="D10974" t="s">
        <v>3401</v>
      </c>
      <c r="E10974" s="3" t="s">
        <v>69</v>
      </c>
      <c r="F10974" s="4">
        <v>0</v>
      </c>
      <c r="G10974" s="3">
        <v>2478</v>
      </c>
      <c r="H10974" s="3">
        <v>98</v>
      </c>
      <c r="I10974" s="3">
        <v>482</v>
      </c>
      <c r="J10974" s="3">
        <v>689</v>
      </c>
      <c r="K10974" s="3">
        <v>2134</v>
      </c>
      <c r="L10974" s="3">
        <v>1</v>
      </c>
      <c r="M10974" s="3">
        <v>482</v>
      </c>
    </row>
    <row r="10975" spans="1:13" x14ac:dyDescent="0.25">
      <c r="A10975" s="1" t="str">
        <f>HYPERLINK("http://www.rosaceae.org/Prunus/Prunus_persica/p.persica_gdr_reftransV1_0003888","p.persica_gdr_reftransV1_0003888")</f>
        <v>p.persica_gdr_reftransV1_0003888</v>
      </c>
      <c r="B10975" s="3">
        <v>1979</v>
      </c>
      <c r="C10975" s="1" t="str">
        <f>HYPERLINK("http://www.uniprot.org/uniprot/KCS6_ARATH","KCS6_ARATH")</f>
        <v>KCS6_ARATH</v>
      </c>
      <c r="D10975" t="s">
        <v>7855</v>
      </c>
      <c r="E10975" s="3" t="s">
        <v>3</v>
      </c>
      <c r="F10975" s="4">
        <v>0</v>
      </c>
      <c r="G10975" s="3">
        <v>2213</v>
      </c>
      <c r="H10975" s="3">
        <v>84</v>
      </c>
      <c r="I10975" s="3">
        <v>492</v>
      </c>
      <c r="J10975" s="3">
        <v>329</v>
      </c>
      <c r="K10975" s="3">
        <v>1804</v>
      </c>
      <c r="L10975" s="3">
        <v>6</v>
      </c>
      <c r="M10975" s="3">
        <v>497</v>
      </c>
    </row>
    <row r="10976" spans="1:13" x14ac:dyDescent="0.25">
      <c r="A10976" s="1" t="str">
        <f>HYPERLINK("http://www.rosaceae.org/Prunus/Prunus_persica/p.persica_gdr_reftransV1_0003938","p.persica_gdr_reftransV1_0003938")</f>
        <v>p.persica_gdr_reftransV1_0003938</v>
      </c>
      <c r="B10976" s="3">
        <v>1480</v>
      </c>
      <c r="C10976" s="1" t="str">
        <f>HYPERLINK("http://www.uniprot.org/uniprot/K502_ACTDE","K502_ACTDE")</f>
        <v>K502_ACTDE</v>
      </c>
      <c r="D10976" t="s">
        <v>7856</v>
      </c>
      <c r="E10976" s="3" t="s">
        <v>2188</v>
      </c>
      <c r="F10976" s="4">
        <v>2.1900000000000002E-90</v>
      </c>
      <c r="G10976" s="3">
        <v>729</v>
      </c>
      <c r="H10976" s="3">
        <v>53</v>
      </c>
      <c r="I10976" s="3">
        <v>272</v>
      </c>
      <c r="J10976" s="3">
        <v>455</v>
      </c>
      <c r="K10976" s="3">
        <v>1231</v>
      </c>
      <c r="L10976" s="3">
        <v>42</v>
      </c>
      <c r="M10976" s="3">
        <v>313</v>
      </c>
    </row>
    <row r="10977" spans="1:13" x14ac:dyDescent="0.25">
      <c r="A10977" s="1" t="str">
        <f>HYPERLINK("http://www.rosaceae.org/Prunus/Prunus_persica/p.persica_gdr_reftransV1_0003988","p.persica_gdr_reftransV1_0003988")</f>
        <v>p.persica_gdr_reftransV1_0003988</v>
      </c>
      <c r="B10977" s="3">
        <v>825</v>
      </c>
      <c r="C10977" s="1" t="str">
        <f>HYPERLINK("http://www.uniprot.org/uniprot/ANGLT_ROSHC","ANGLT_ROSHC")</f>
        <v>ANGLT_ROSHC</v>
      </c>
      <c r="D10977" t="s">
        <v>7857</v>
      </c>
      <c r="E10977" s="3" t="s">
        <v>7858</v>
      </c>
      <c r="F10977" s="4">
        <v>6.1200000000000002E-59</v>
      </c>
      <c r="G10977" s="3">
        <v>509</v>
      </c>
      <c r="H10977" s="3">
        <v>43</v>
      </c>
      <c r="I10977" s="3">
        <v>263</v>
      </c>
      <c r="J10977" s="3">
        <v>12</v>
      </c>
      <c r="K10977" s="3">
        <v>800</v>
      </c>
      <c r="L10977" s="3">
        <v>68</v>
      </c>
      <c r="M10977" s="3">
        <v>319</v>
      </c>
    </row>
    <row r="10978" spans="1:13" x14ac:dyDescent="0.25">
      <c r="A10978" s="1" t="str">
        <f>HYPERLINK("http://www.rosaceae.org/Prunus/Prunus_persica/p.persica_gdr_reftransV1_0004038","p.persica_gdr_reftransV1_0004038")</f>
        <v>p.persica_gdr_reftransV1_0004038</v>
      </c>
      <c r="B10978" s="3">
        <v>632</v>
      </c>
      <c r="C10978" s="1" t="str">
        <f>HYPERLINK("http://www.uniprot.org/uniprot/TEB_ARATH","TEB_ARATH")</f>
        <v>TEB_ARATH</v>
      </c>
      <c r="D10978" t="s">
        <v>3616</v>
      </c>
      <c r="E10978" s="3" t="s">
        <v>3</v>
      </c>
      <c r="F10978" s="4">
        <v>5.93E-18</v>
      </c>
      <c r="G10978" s="3">
        <v>214</v>
      </c>
      <c r="H10978" s="3">
        <v>36</v>
      </c>
      <c r="I10978" s="3">
        <v>210</v>
      </c>
      <c r="J10978" s="3">
        <v>6</v>
      </c>
      <c r="K10978" s="3">
        <v>596</v>
      </c>
      <c r="L10978" s="3">
        <v>140</v>
      </c>
      <c r="M10978" s="3">
        <v>345</v>
      </c>
    </row>
    <row r="10979" spans="1:13" x14ac:dyDescent="0.25">
      <c r="A10979" s="1" t="str">
        <f>HYPERLINK("http://www.rosaceae.org/Prunus/Prunus_persica/p.persica_gdr_reftransV1_0004088","p.persica_gdr_reftransV1_0004088")</f>
        <v>p.persica_gdr_reftransV1_0004088</v>
      </c>
      <c r="B10979" s="3">
        <v>416</v>
      </c>
      <c r="C10979" s="1" t="str">
        <f>HYPERLINK("http://www.uniprot.org/uniprot/THCAS_CANSA","THCAS_CANSA")</f>
        <v>THCAS_CANSA</v>
      </c>
      <c r="D10979" t="s">
        <v>3290</v>
      </c>
      <c r="E10979" s="3" t="s">
        <v>3291</v>
      </c>
      <c r="F10979" s="4">
        <v>1.0099999999999999E-48</v>
      </c>
      <c r="G10979" s="3">
        <v>428</v>
      </c>
      <c r="H10979" s="3">
        <v>62</v>
      </c>
      <c r="I10979" s="3">
        <v>138</v>
      </c>
      <c r="J10979" s="3">
        <v>2</v>
      </c>
      <c r="K10979" s="3">
        <v>415</v>
      </c>
      <c r="L10979" s="3">
        <v>86</v>
      </c>
      <c r="M10979" s="3">
        <v>223</v>
      </c>
    </row>
    <row r="10980" spans="1:13" x14ac:dyDescent="0.25">
      <c r="A10980" s="1" t="str">
        <f>HYPERLINK("http://www.rosaceae.org/Prunus/Prunus_persica/p.persica_gdr_reftransV1_0004288","p.persica_gdr_reftransV1_0004288")</f>
        <v>p.persica_gdr_reftransV1_0004288</v>
      </c>
      <c r="B10980" s="3">
        <v>1057</v>
      </c>
      <c r="C10980" s="1" t="str">
        <f>HYPERLINK("http://www.uniprot.org/uniprot/PRU1_PRUAV","PRU1_PRUAV")</f>
        <v>PRU1_PRUAV</v>
      </c>
      <c r="D10980" t="s">
        <v>3347</v>
      </c>
      <c r="E10980" s="3" t="s">
        <v>1404</v>
      </c>
      <c r="F10980" s="4">
        <v>3.4299999999999999E-106</v>
      </c>
      <c r="G10980" s="3">
        <v>807</v>
      </c>
      <c r="H10980" s="3">
        <v>98</v>
      </c>
      <c r="I10980" s="3">
        <v>160</v>
      </c>
      <c r="J10980" s="3">
        <v>365</v>
      </c>
      <c r="K10980" s="3">
        <v>844</v>
      </c>
      <c r="L10980" s="3">
        <v>1</v>
      </c>
      <c r="M10980" s="3">
        <v>160</v>
      </c>
    </row>
    <row r="10981" spans="1:13" x14ac:dyDescent="0.25">
      <c r="A10981" s="1" t="str">
        <f>HYPERLINK("http://www.rosaceae.org/Prunus/Prunus_persica/p.persica_gdr_reftransV1_0004338","p.persica_gdr_reftransV1_0004338")</f>
        <v>p.persica_gdr_reftransV1_0004338</v>
      </c>
      <c r="B10981" s="3">
        <v>1387</v>
      </c>
      <c r="C10981" s="1" t="str">
        <f>HYPERLINK("http://www.uniprot.org/uniprot/EMC2A_XENLA","EMC2A_XENLA")</f>
        <v>EMC2A_XENLA</v>
      </c>
      <c r="D10981" t="s">
        <v>7859</v>
      </c>
      <c r="E10981" s="3" t="s">
        <v>475</v>
      </c>
      <c r="F10981" s="4">
        <v>1.8499999999999999E-51</v>
      </c>
      <c r="G10981" s="3">
        <v>461</v>
      </c>
      <c r="H10981" s="3">
        <v>40</v>
      </c>
      <c r="I10981" s="3">
        <v>250</v>
      </c>
      <c r="J10981" s="3">
        <v>242</v>
      </c>
      <c r="K10981" s="3">
        <v>991</v>
      </c>
      <c r="L10981" s="3">
        <v>23</v>
      </c>
      <c r="M10981" s="3">
        <v>269</v>
      </c>
    </row>
    <row r="10982" spans="1:13" x14ac:dyDescent="0.25">
      <c r="A10982" s="1" t="str">
        <f>HYPERLINK("http://www.rosaceae.org/Prunus/Prunus_persica/p.persica_gdr_reftransV1_0004438","p.persica_gdr_reftransV1_0004438")</f>
        <v>p.persica_gdr_reftransV1_0004438</v>
      </c>
      <c r="B10982" s="3">
        <v>2439</v>
      </c>
      <c r="C10982" s="1" t="str">
        <f>HYPERLINK("http://www.uniprot.org/uniprot/GRF6_ORYSJ","GRF6_ORYSJ")</f>
        <v>GRF6_ORYSJ</v>
      </c>
      <c r="D10982" t="s">
        <v>2093</v>
      </c>
      <c r="E10982" s="3" t="s">
        <v>38</v>
      </c>
      <c r="F10982" s="4">
        <v>1.23E-34</v>
      </c>
      <c r="G10982" s="3">
        <v>362</v>
      </c>
      <c r="H10982" s="3">
        <v>61</v>
      </c>
      <c r="I10982" s="3">
        <v>118</v>
      </c>
      <c r="J10982" s="3">
        <v>635</v>
      </c>
      <c r="K10982" s="3">
        <v>973</v>
      </c>
      <c r="L10982" s="3">
        <v>150</v>
      </c>
      <c r="M10982" s="3">
        <v>266</v>
      </c>
    </row>
    <row r="10983" spans="1:13" x14ac:dyDescent="0.25">
      <c r="A10983" s="1" t="str">
        <f>HYPERLINK("http://www.rosaceae.org/Prunus/Prunus_persica/p.persica_gdr_reftransV1_0004538","p.persica_gdr_reftransV1_0004538")</f>
        <v>p.persica_gdr_reftransV1_0004538</v>
      </c>
      <c r="B10983" s="3">
        <v>1032</v>
      </c>
      <c r="C10983" s="1" t="str">
        <f>HYPERLINK("http://www.uniprot.org/uniprot/DYR_SCHPO","DYR_SCHPO")</f>
        <v>DYR_SCHPO</v>
      </c>
      <c r="D10983" t="s">
        <v>7238</v>
      </c>
      <c r="E10983" s="3" t="s">
        <v>464</v>
      </c>
      <c r="F10983" s="4">
        <v>3.6199999999999998E-20</v>
      </c>
      <c r="G10983" s="3">
        <v>233</v>
      </c>
      <c r="H10983" s="3">
        <v>31</v>
      </c>
      <c r="I10983" s="3">
        <v>203</v>
      </c>
      <c r="J10983" s="3">
        <v>175</v>
      </c>
      <c r="K10983" s="3">
        <v>732</v>
      </c>
      <c r="L10983" s="3">
        <v>6</v>
      </c>
      <c r="M10983" s="3">
        <v>207</v>
      </c>
    </row>
    <row r="10984" spans="1:13" x14ac:dyDescent="0.25">
      <c r="A10984" s="1" t="str">
        <f>HYPERLINK("http://www.rosaceae.org/Prunus/Prunus_persica/p.persica_gdr_reftransV1_0004638","p.persica_gdr_reftransV1_0004638")</f>
        <v>p.persica_gdr_reftransV1_0004638</v>
      </c>
      <c r="B10984" s="3">
        <v>1697</v>
      </c>
      <c r="C10984" s="1" t="str">
        <f>HYPERLINK("http://www.uniprot.org/uniprot/NAC76_ARATH","NAC76_ARATH")</f>
        <v>NAC76_ARATH</v>
      </c>
      <c r="D10984" t="s">
        <v>7860</v>
      </c>
      <c r="E10984" s="3" t="s">
        <v>3</v>
      </c>
      <c r="F10984" s="4">
        <v>1.7500000000000001E-13</v>
      </c>
      <c r="G10984" s="3">
        <v>185</v>
      </c>
      <c r="H10984" s="3">
        <v>34</v>
      </c>
      <c r="I10984" s="3">
        <v>133</v>
      </c>
      <c r="J10984" s="3">
        <v>1224</v>
      </c>
      <c r="K10984" s="3">
        <v>1565</v>
      </c>
      <c r="L10984" s="3">
        <v>6</v>
      </c>
      <c r="M10984" s="3">
        <v>138</v>
      </c>
    </row>
    <row r="10985" spans="1:13" x14ac:dyDescent="0.25">
      <c r="A10985" s="1" t="str">
        <f>HYPERLINK("http://www.rosaceae.org/Prunus/Prunus_persica/p.persica_gdr_reftransV1_0004688","p.persica_gdr_reftransV1_0004688")</f>
        <v>p.persica_gdr_reftransV1_0004688</v>
      </c>
      <c r="B10985" s="3">
        <v>1784</v>
      </c>
      <c r="C10985" s="1" t="str">
        <f>HYPERLINK("http://www.uniprot.org/uniprot/CRN_ARATH","CRN_ARATH")</f>
        <v>CRN_ARATH</v>
      </c>
      <c r="D10985" t="s">
        <v>7861</v>
      </c>
      <c r="E10985" s="3" t="s">
        <v>3</v>
      </c>
      <c r="F10985" s="4">
        <v>2.6299999999999999E-167</v>
      </c>
      <c r="G10985" s="3">
        <v>1259</v>
      </c>
      <c r="H10985" s="3">
        <v>71</v>
      </c>
      <c r="I10985" s="3">
        <v>339</v>
      </c>
      <c r="J10985" s="3">
        <v>499</v>
      </c>
      <c r="K10985" s="3">
        <v>1509</v>
      </c>
      <c r="L10985" s="3">
        <v>63</v>
      </c>
      <c r="M10985" s="3">
        <v>401</v>
      </c>
    </row>
    <row r="10986" spans="1:13" x14ac:dyDescent="0.25">
      <c r="A10986" s="1" t="str">
        <f>HYPERLINK("http://www.rosaceae.org/Prunus/Prunus_persica/p.persica_gdr_reftransV1_0004788","p.persica_gdr_reftransV1_0004788")</f>
        <v>p.persica_gdr_reftransV1_0004788</v>
      </c>
      <c r="B10986" s="3">
        <v>2418</v>
      </c>
      <c r="C10986" s="1" t="str">
        <f>HYPERLINK("http://www.uniprot.org/uniprot/CNGC1_ARATH","CNGC1_ARATH")</f>
        <v>CNGC1_ARATH</v>
      </c>
      <c r="D10986" t="s">
        <v>241</v>
      </c>
      <c r="E10986" s="3" t="s">
        <v>3</v>
      </c>
      <c r="F10986" s="4">
        <v>9.4699999999999996E-61</v>
      </c>
      <c r="G10986" s="3">
        <v>569</v>
      </c>
      <c r="H10986" s="3">
        <v>38</v>
      </c>
      <c r="I10986" s="3">
        <v>355</v>
      </c>
      <c r="J10986" s="3">
        <v>1117</v>
      </c>
      <c r="K10986" s="3">
        <v>2181</v>
      </c>
      <c r="L10986" s="3">
        <v>272</v>
      </c>
      <c r="M10986" s="3">
        <v>601</v>
      </c>
    </row>
    <row r="10987" spans="1:13" x14ac:dyDescent="0.25">
      <c r="A10987" s="1" t="str">
        <f>HYPERLINK("http://www.rosaceae.org/Prunus/Prunus_persica/p.persica_gdr_reftransV1_0004888","p.persica_gdr_reftransV1_0004888")</f>
        <v>p.persica_gdr_reftransV1_0004888</v>
      </c>
      <c r="B10987" s="3">
        <v>2069</v>
      </c>
      <c r="C10987" s="1" t="str">
        <f>HYPERLINK("http://www.uniprot.org/uniprot/CCZ1_NEMVE","CCZ1_NEMVE")</f>
        <v>CCZ1_NEMVE</v>
      </c>
      <c r="D10987" t="s">
        <v>4511</v>
      </c>
      <c r="E10987" s="3" t="s">
        <v>1392</v>
      </c>
      <c r="F10987" s="4">
        <v>1.01E-13</v>
      </c>
      <c r="G10987" s="3">
        <v>190</v>
      </c>
      <c r="H10987" s="3">
        <v>28</v>
      </c>
      <c r="I10987" s="3">
        <v>152</v>
      </c>
      <c r="J10987" s="3">
        <v>223</v>
      </c>
      <c r="K10987" s="3">
        <v>639</v>
      </c>
      <c r="L10987" s="3">
        <v>8</v>
      </c>
      <c r="M10987" s="3">
        <v>159</v>
      </c>
    </row>
    <row r="10988" spans="1:13" x14ac:dyDescent="0.25">
      <c r="A10988" s="1" t="str">
        <f>HYPERLINK("http://www.rosaceae.org/Prunus/Prunus_persica/p.persica_gdr_reftransV1_0004988","p.persica_gdr_reftransV1_0004988")</f>
        <v>p.persica_gdr_reftransV1_0004988</v>
      </c>
      <c r="B10988" s="3">
        <v>1044</v>
      </c>
      <c r="C10988" s="1" t="str">
        <f>HYPERLINK("http://www.uniprot.org/uniprot/RPM1_ARATH","RPM1_ARATH")</f>
        <v>RPM1_ARATH</v>
      </c>
      <c r="D10988" t="s">
        <v>453</v>
      </c>
      <c r="E10988" s="3" t="s">
        <v>3</v>
      </c>
      <c r="F10988" s="4">
        <v>1.9299999999999999E-45</v>
      </c>
      <c r="G10988" s="3">
        <v>432</v>
      </c>
      <c r="H10988" s="3">
        <v>34</v>
      </c>
      <c r="I10988" s="3">
        <v>351</v>
      </c>
      <c r="J10988" s="3">
        <v>4</v>
      </c>
      <c r="K10988" s="3">
        <v>1044</v>
      </c>
      <c r="L10988" s="3">
        <v>406</v>
      </c>
      <c r="M10988" s="3">
        <v>750</v>
      </c>
    </row>
    <row r="10989" spans="1:13" x14ac:dyDescent="0.25">
      <c r="A10989" s="1" t="str">
        <f>HYPERLINK("http://www.rosaceae.org/Prunus/Prunus_persica/p.persica_gdr_reftransV1_0005088","p.persica_gdr_reftransV1_0005088")</f>
        <v>p.persica_gdr_reftransV1_0005088</v>
      </c>
      <c r="B10989" s="3">
        <v>1649</v>
      </c>
      <c r="C10989" s="1" t="str">
        <f>HYPERLINK("http://www.uniprot.org/uniprot/MDH_TOBAC","MDH_TOBAC")</f>
        <v>MDH_TOBAC</v>
      </c>
      <c r="D10989" t="s">
        <v>7862</v>
      </c>
      <c r="E10989" s="3" t="s">
        <v>200</v>
      </c>
      <c r="F10989" s="4">
        <v>0</v>
      </c>
      <c r="G10989" s="3">
        <v>1610</v>
      </c>
      <c r="H10989" s="3">
        <v>94</v>
      </c>
      <c r="I10989" s="3">
        <v>332</v>
      </c>
      <c r="J10989" s="3">
        <v>453</v>
      </c>
      <c r="K10989" s="3">
        <v>1448</v>
      </c>
      <c r="L10989" s="3">
        <v>1</v>
      </c>
      <c r="M10989" s="3">
        <v>332</v>
      </c>
    </row>
    <row r="10990" spans="1:13" x14ac:dyDescent="0.25">
      <c r="A10990" s="1" t="str">
        <f>HYPERLINK("http://www.rosaceae.org/Prunus/Prunus_persica/p.persica_gdr_reftransV1_0005188","p.persica_gdr_reftransV1_0005188")</f>
        <v>p.persica_gdr_reftransV1_0005188</v>
      </c>
      <c r="B10990" s="3">
        <v>1678</v>
      </c>
      <c r="C10990" s="1" t="str">
        <f>HYPERLINK("http://www.uniprot.org/uniprot/ADNT1_ARATH","ADNT1_ARATH")</f>
        <v>ADNT1_ARATH</v>
      </c>
      <c r="D10990" t="s">
        <v>786</v>
      </c>
      <c r="E10990" s="3" t="s">
        <v>3</v>
      </c>
      <c r="F10990" s="4">
        <v>3.11E-148</v>
      </c>
      <c r="G10990" s="3">
        <v>942</v>
      </c>
      <c r="H10990" s="3">
        <v>86</v>
      </c>
      <c r="I10990" s="3">
        <v>218</v>
      </c>
      <c r="J10990" s="3">
        <v>454</v>
      </c>
      <c r="K10990" s="3">
        <v>1107</v>
      </c>
      <c r="L10990" s="3">
        <v>135</v>
      </c>
      <c r="M10990" s="3">
        <v>352</v>
      </c>
    </row>
    <row r="10991" spans="1:13" x14ac:dyDescent="0.25">
      <c r="A10991" s="1" t="str">
        <f>HYPERLINK("http://www.rosaceae.org/Prunus/Prunus_persica/p.persica_gdr_reftransV1_0005288","p.persica_gdr_reftransV1_0005288")</f>
        <v>p.persica_gdr_reftransV1_0005288</v>
      </c>
      <c r="B10991" s="3">
        <v>1087</v>
      </c>
      <c r="C10991" s="1" t="str">
        <f>HYPERLINK("http://www.uniprot.org/uniprot/RS5_CICAR","RS5_CICAR")</f>
        <v>RS5_CICAR</v>
      </c>
      <c r="D10991" t="s">
        <v>943</v>
      </c>
      <c r="E10991" s="3" t="s">
        <v>944</v>
      </c>
      <c r="F10991" s="4">
        <v>1.9899999999999999E-131</v>
      </c>
      <c r="G10991" s="3">
        <v>978</v>
      </c>
      <c r="H10991" s="3">
        <v>93</v>
      </c>
      <c r="I10991" s="3">
        <v>197</v>
      </c>
      <c r="J10991" s="3">
        <v>310</v>
      </c>
      <c r="K10991" s="3">
        <v>900</v>
      </c>
      <c r="L10991" s="3">
        <v>3</v>
      </c>
      <c r="M10991" s="3">
        <v>197</v>
      </c>
    </row>
    <row r="10992" spans="1:13" x14ac:dyDescent="0.25">
      <c r="A10992" s="1" t="str">
        <f>HYPERLINK("http://www.rosaceae.org/Prunus/Prunus_persica/p.persica_gdr_reftransV1_0005338","p.persica_gdr_reftransV1_0005338")</f>
        <v>p.persica_gdr_reftransV1_0005338</v>
      </c>
      <c r="B10992" s="3">
        <v>2344</v>
      </c>
      <c r="C10992" s="1" t="str">
        <f>HYPERLINK("http://www.uniprot.org/uniprot/PNG1_ARATH","PNG1_ARATH")</f>
        <v>PNG1_ARATH</v>
      </c>
      <c r="D10992" t="s">
        <v>7797</v>
      </c>
      <c r="E10992" s="3" t="s">
        <v>3</v>
      </c>
      <c r="F10992" s="4">
        <v>0</v>
      </c>
      <c r="G10992" s="3">
        <v>1957</v>
      </c>
      <c r="H10992" s="3">
        <v>64</v>
      </c>
      <c r="I10992" s="3">
        <v>618</v>
      </c>
      <c r="J10992" s="3">
        <v>47</v>
      </c>
      <c r="K10992" s="3">
        <v>1888</v>
      </c>
      <c r="L10992" s="3">
        <v>1</v>
      </c>
      <c r="M10992" s="3">
        <v>615</v>
      </c>
    </row>
    <row r="10993" spans="1:13" x14ac:dyDescent="0.25">
      <c r="A10993" s="1" t="str">
        <f>HYPERLINK("http://www.rosaceae.org/Prunus/Prunus_persica/p.persica_gdr_reftransV1_0005438","p.persica_gdr_reftransV1_0005438")</f>
        <v>p.persica_gdr_reftransV1_0005438</v>
      </c>
      <c r="B10993" s="3">
        <v>1440</v>
      </c>
      <c r="C10993" s="1" t="str">
        <f>HYPERLINK("http://www.uniprot.org/uniprot/PME68_ARATH","PME68_ARATH")</f>
        <v>PME68_ARATH</v>
      </c>
      <c r="D10993" t="s">
        <v>7863</v>
      </c>
      <c r="E10993" s="3" t="s">
        <v>3</v>
      </c>
      <c r="F10993" s="4">
        <v>3.0700000000000002E-171</v>
      </c>
      <c r="G10993" s="3">
        <v>1270</v>
      </c>
      <c r="H10993" s="3">
        <v>76</v>
      </c>
      <c r="I10993" s="3">
        <v>315</v>
      </c>
      <c r="J10993" s="3">
        <v>285</v>
      </c>
      <c r="K10993" s="3">
        <v>1229</v>
      </c>
      <c r="L10993" s="3">
        <v>51</v>
      </c>
      <c r="M10993" s="3">
        <v>362</v>
      </c>
    </row>
    <row r="10994" spans="1:13" x14ac:dyDescent="0.25">
      <c r="A10994" s="1" t="str">
        <f>HYPERLINK("http://www.rosaceae.org/Prunus/Prunus_persica/p.persica_gdr_reftransV1_0005488","p.persica_gdr_reftransV1_0005488")</f>
        <v>p.persica_gdr_reftransV1_0005488</v>
      </c>
      <c r="B10994" s="3">
        <v>818</v>
      </c>
      <c r="C10994" s="1" t="str">
        <f>HYPERLINK("http://www.uniprot.org/uniprot/RS202_ARATH","RS202_ARATH")</f>
        <v>RS202_ARATH</v>
      </c>
      <c r="D10994" t="s">
        <v>6615</v>
      </c>
      <c r="E10994" s="3" t="s">
        <v>3</v>
      </c>
      <c r="F10994" s="4">
        <v>1.8999999999999998E-74</v>
      </c>
      <c r="G10994" s="3">
        <v>585</v>
      </c>
      <c r="H10994" s="3">
        <v>93</v>
      </c>
      <c r="I10994" s="3">
        <v>122</v>
      </c>
      <c r="J10994" s="3">
        <v>106</v>
      </c>
      <c r="K10994" s="3">
        <v>471</v>
      </c>
      <c r="L10994" s="3">
        <v>1</v>
      </c>
      <c r="M10994" s="3">
        <v>122</v>
      </c>
    </row>
    <row r="10995" spans="1:13" x14ac:dyDescent="0.25">
      <c r="A10995" s="1" t="str">
        <f>HYPERLINK("http://www.rosaceae.org/Prunus/Prunus_persica/p.persica_gdr_reftransV1_0005538","p.persica_gdr_reftransV1_0005538")</f>
        <v>p.persica_gdr_reftransV1_0005538</v>
      </c>
      <c r="B10995" s="3">
        <v>1737</v>
      </c>
      <c r="C10995" s="1" t="str">
        <f>HYPERLINK("http://www.uniprot.org/uniprot/TTC38_HUMAN","TTC38_HUMAN")</f>
        <v>TTC38_HUMAN</v>
      </c>
      <c r="D10995" t="s">
        <v>6982</v>
      </c>
      <c r="E10995" s="3" t="s">
        <v>28</v>
      </c>
      <c r="F10995" s="4">
        <v>1.97E-16</v>
      </c>
      <c r="G10995" s="3">
        <v>211</v>
      </c>
      <c r="H10995" s="3">
        <v>27</v>
      </c>
      <c r="I10995" s="3">
        <v>332</v>
      </c>
      <c r="J10995" s="3">
        <v>320</v>
      </c>
      <c r="K10995" s="3">
        <v>1297</v>
      </c>
      <c r="L10995" s="3">
        <v>100</v>
      </c>
      <c r="M10995" s="3">
        <v>421</v>
      </c>
    </row>
    <row r="10996" spans="1:13" x14ac:dyDescent="0.25">
      <c r="A10996" s="1" t="str">
        <f>HYPERLINK("http://www.rosaceae.org/Prunus/Prunus_persica/p.persica_gdr_reftransV1_0005738","p.persica_gdr_reftransV1_0005738")</f>
        <v>p.persica_gdr_reftransV1_0005738</v>
      </c>
      <c r="B10996" s="3">
        <v>514</v>
      </c>
      <c r="C10996" s="1" t="str">
        <f>HYPERLINK("http://www.uniprot.org/uniprot/Y5005_ARATH","Y5005_ARATH")</f>
        <v>Y5005_ARATH</v>
      </c>
      <c r="D10996" t="s">
        <v>7687</v>
      </c>
      <c r="E10996" s="3" t="s">
        <v>3</v>
      </c>
      <c r="F10996" s="4">
        <v>2.14E-21</v>
      </c>
      <c r="G10996" s="3">
        <v>232</v>
      </c>
      <c r="H10996" s="3">
        <v>63</v>
      </c>
      <c r="I10996" s="3">
        <v>75</v>
      </c>
      <c r="J10996" s="3">
        <v>52</v>
      </c>
      <c r="K10996" s="3">
        <v>276</v>
      </c>
      <c r="L10996" s="3">
        <v>326</v>
      </c>
      <c r="M10996" s="3">
        <v>400</v>
      </c>
    </row>
    <row r="10997" spans="1:13" x14ac:dyDescent="0.25">
      <c r="A10997" s="1" t="str">
        <f>HYPERLINK("http://www.rosaceae.org/Prunus/Prunus_persica/p.persica_gdr_reftransV1_0005788","p.persica_gdr_reftransV1_0005788")</f>
        <v>p.persica_gdr_reftransV1_0005788</v>
      </c>
      <c r="B10997" s="3">
        <v>2213</v>
      </c>
      <c r="C10997" s="1" t="str">
        <f>HYPERLINK("http://www.uniprot.org/uniprot/Y4265_ARATH","Y4265_ARATH")</f>
        <v>Y4265_ARATH</v>
      </c>
      <c r="D10997" t="s">
        <v>1089</v>
      </c>
      <c r="E10997" s="3" t="s">
        <v>3</v>
      </c>
      <c r="F10997" s="4">
        <v>0</v>
      </c>
      <c r="G10997" s="3">
        <v>2197</v>
      </c>
      <c r="H10997" s="3">
        <v>69</v>
      </c>
      <c r="I10997" s="3">
        <v>620</v>
      </c>
      <c r="J10997" s="3">
        <v>3</v>
      </c>
      <c r="K10997" s="3">
        <v>1829</v>
      </c>
      <c r="L10997" s="3">
        <v>476</v>
      </c>
      <c r="M10997" s="3">
        <v>1091</v>
      </c>
    </row>
    <row r="10998" spans="1:13" x14ac:dyDescent="0.25">
      <c r="A10998" s="1" t="str">
        <f>HYPERLINK("http://www.rosaceae.org/Prunus/Prunus_persica/p.persica_gdr_reftransV1_0005838","p.persica_gdr_reftransV1_0005838")</f>
        <v>p.persica_gdr_reftransV1_0005838</v>
      </c>
      <c r="B10998" s="3">
        <v>3600</v>
      </c>
      <c r="C10998" s="1" t="str">
        <f>HYPERLINK("http://www.uniprot.org/uniprot/Y1684_ARATH","Y1684_ARATH")</f>
        <v>Y1684_ARATH</v>
      </c>
      <c r="D10998" t="s">
        <v>3299</v>
      </c>
      <c r="E10998" s="3" t="s">
        <v>3</v>
      </c>
      <c r="F10998" s="4">
        <v>0</v>
      </c>
      <c r="G10998" s="3">
        <v>1950</v>
      </c>
      <c r="H10998" s="3">
        <v>58</v>
      </c>
      <c r="I10998" s="3">
        <v>683</v>
      </c>
      <c r="J10998" s="3">
        <v>1277</v>
      </c>
      <c r="K10998" s="3">
        <v>3316</v>
      </c>
      <c r="L10998" s="3">
        <v>35</v>
      </c>
      <c r="M10998" s="3">
        <v>708</v>
      </c>
    </row>
    <row r="10999" spans="1:13" x14ac:dyDescent="0.25">
      <c r="A10999" s="1" t="str">
        <f>HYPERLINK("http://www.rosaceae.org/Prunus/Prunus_persica/p.persica_gdr_reftransV1_0005938","p.persica_gdr_reftransV1_0005938")</f>
        <v>p.persica_gdr_reftransV1_0005938</v>
      </c>
      <c r="B10999" s="3">
        <v>1092</v>
      </c>
      <c r="C10999" s="1" t="str">
        <f>HYPERLINK("http://www.uniprot.org/uniprot/ATOX1_ARATH","ATOX1_ARATH")</f>
        <v>ATOX1_ARATH</v>
      </c>
      <c r="D10999" t="s">
        <v>1423</v>
      </c>
      <c r="E10999" s="3" t="s">
        <v>3</v>
      </c>
      <c r="F10999" s="4">
        <v>2.0999999999999999E-14</v>
      </c>
      <c r="G10999" s="3">
        <v>178</v>
      </c>
      <c r="H10999" s="3">
        <v>50</v>
      </c>
      <c r="I10999" s="3">
        <v>60</v>
      </c>
      <c r="J10999" s="3">
        <v>393</v>
      </c>
      <c r="K10999" s="3">
        <v>572</v>
      </c>
      <c r="L10999" s="3">
        <v>33</v>
      </c>
      <c r="M10999" s="3">
        <v>92</v>
      </c>
    </row>
    <row r="11000" spans="1:13" x14ac:dyDescent="0.25">
      <c r="A11000" s="1" t="str">
        <f>HYPERLINK("http://www.rosaceae.org/Prunus/Prunus_persica/p.persica_gdr_reftransV1_0006088","p.persica_gdr_reftransV1_0006088")</f>
        <v>p.persica_gdr_reftransV1_0006088</v>
      </c>
      <c r="B11000" s="3">
        <v>520</v>
      </c>
      <c r="C11000" s="1" t="str">
        <f>HYPERLINK("http://www.uniprot.org/uniprot/RMLCD_ARATH","RMLCD_ARATH")</f>
        <v>RMLCD_ARATH</v>
      </c>
      <c r="D11000" t="s">
        <v>4155</v>
      </c>
      <c r="E11000" s="3" t="s">
        <v>3</v>
      </c>
      <c r="F11000" s="4">
        <v>6.7599999999999997E-85</v>
      </c>
      <c r="G11000" s="3">
        <v>660</v>
      </c>
      <c r="H11000" s="3">
        <v>83</v>
      </c>
      <c r="I11000" s="3">
        <v>145</v>
      </c>
      <c r="J11000" s="3">
        <v>2</v>
      </c>
      <c r="K11000" s="3">
        <v>436</v>
      </c>
      <c r="L11000" s="3">
        <v>153</v>
      </c>
      <c r="M11000" s="3">
        <v>297</v>
      </c>
    </row>
    <row r="11001" spans="1:13" x14ac:dyDescent="0.25">
      <c r="A11001" s="1" t="str">
        <f>HYPERLINK("http://www.rosaceae.org/Prunus/Prunus_persica/p.persica_gdr_reftransV1_0006238","p.persica_gdr_reftransV1_0006238")</f>
        <v>p.persica_gdr_reftransV1_0006238</v>
      </c>
      <c r="B11001" s="3">
        <v>1190</v>
      </c>
      <c r="C11001" s="1" t="str">
        <f>HYPERLINK("http://www.uniprot.org/uniprot/IAA14_ARATH","IAA14_ARATH")</f>
        <v>IAA14_ARATH</v>
      </c>
      <c r="D11001" t="s">
        <v>7864</v>
      </c>
      <c r="E11001" s="3" t="s">
        <v>3</v>
      </c>
      <c r="F11001" s="4">
        <v>4.6600000000000002E-103</v>
      </c>
      <c r="G11001" s="3">
        <v>797</v>
      </c>
      <c r="H11001" s="3">
        <v>75</v>
      </c>
      <c r="I11001" s="3">
        <v>232</v>
      </c>
      <c r="J11001" s="3">
        <v>218</v>
      </c>
      <c r="K11001" s="3">
        <v>904</v>
      </c>
      <c r="L11001" s="3">
        <v>1</v>
      </c>
      <c r="M11001" s="3">
        <v>228</v>
      </c>
    </row>
    <row r="11002" spans="1:13" x14ac:dyDescent="0.25">
      <c r="A11002" s="1" t="str">
        <f>HYPERLINK("http://www.rosaceae.org/Prunus/Prunus_persica/p.persica_gdr_reftransV1_0006538","p.persica_gdr_reftransV1_0006538")</f>
        <v>p.persica_gdr_reftransV1_0006538</v>
      </c>
      <c r="B11002" s="3">
        <v>1917</v>
      </c>
      <c r="C11002" s="1" t="str">
        <f>HYPERLINK("http://www.uniprot.org/uniprot/PME7_ARATH","PME7_ARATH")</f>
        <v>PME7_ARATH</v>
      </c>
      <c r="D11002" t="s">
        <v>5396</v>
      </c>
      <c r="E11002" s="3" t="s">
        <v>3</v>
      </c>
      <c r="F11002" s="4">
        <v>0</v>
      </c>
      <c r="G11002" s="3">
        <v>1768</v>
      </c>
      <c r="H11002" s="3">
        <v>61</v>
      </c>
      <c r="I11002" s="3">
        <v>554</v>
      </c>
      <c r="J11002" s="3">
        <v>184</v>
      </c>
      <c r="K11002" s="3">
        <v>1761</v>
      </c>
      <c r="L11002" s="3">
        <v>30</v>
      </c>
      <c r="M11002" s="3">
        <v>578</v>
      </c>
    </row>
    <row r="11003" spans="1:13" x14ac:dyDescent="0.25">
      <c r="A11003" s="1" t="str">
        <f>HYPERLINK("http://www.rosaceae.org/Prunus/Prunus_persica/p.persica_gdr_reftransV1_0006788","p.persica_gdr_reftransV1_0006788")</f>
        <v>p.persica_gdr_reftransV1_0006788</v>
      </c>
      <c r="B11003" s="3">
        <v>5186</v>
      </c>
      <c r="C11003" s="1" t="str">
        <f>HYPERLINK("http://www.uniprot.org/uniprot/AB8C_ARATH","AB8C_ARATH")</f>
        <v>AB8C_ARATH</v>
      </c>
      <c r="D11003" t="s">
        <v>7865</v>
      </c>
      <c r="E11003" s="3" t="s">
        <v>3</v>
      </c>
      <c r="F11003" s="4">
        <v>0</v>
      </c>
      <c r="G11003" s="3">
        <v>2847</v>
      </c>
      <c r="H11003" s="3">
        <v>59</v>
      </c>
      <c r="I11003" s="3">
        <v>993</v>
      </c>
      <c r="J11003" s="3">
        <v>1894</v>
      </c>
      <c r="K11003" s="3">
        <v>4866</v>
      </c>
      <c r="L11003" s="3">
        <v>11</v>
      </c>
      <c r="M11003" s="3">
        <v>998</v>
      </c>
    </row>
    <row r="11004" spans="1:13" x14ac:dyDescent="0.25">
      <c r="A11004" s="1" t="str">
        <f>HYPERLINK("http://www.rosaceae.org/Prunus/Prunus_persica/p.persica_gdr_reftransV1_0006938","p.persica_gdr_reftransV1_0006938")</f>
        <v>p.persica_gdr_reftransV1_0006938</v>
      </c>
      <c r="B11004" s="3">
        <v>616</v>
      </c>
      <c r="C11004" s="1" t="str">
        <f>HYPERLINK("http://www.uniprot.org/uniprot/RNHX1_ARATH","RNHX1_ARATH")</f>
        <v>RNHX1_ARATH</v>
      </c>
      <c r="D11004" t="s">
        <v>124</v>
      </c>
      <c r="E11004" s="3" t="s">
        <v>3</v>
      </c>
      <c r="F11004" s="4">
        <v>2.3600000000000001E-9</v>
      </c>
      <c r="G11004" s="3">
        <v>143</v>
      </c>
      <c r="H11004" s="3">
        <v>30</v>
      </c>
      <c r="I11004" s="3">
        <v>115</v>
      </c>
      <c r="J11004" s="3">
        <v>114</v>
      </c>
      <c r="K11004" s="3">
        <v>458</v>
      </c>
      <c r="L11004" s="3">
        <v>503</v>
      </c>
      <c r="M11004" s="3">
        <v>616</v>
      </c>
    </row>
    <row r="11005" spans="1:13" x14ac:dyDescent="0.25">
      <c r="A11005" s="1" t="str">
        <f>HYPERLINK("http://www.rosaceae.org/Prunus/Prunus_persica/p.persica_gdr_reftransV1_0007088","p.persica_gdr_reftransV1_0007088")</f>
        <v>p.persica_gdr_reftransV1_0007088</v>
      </c>
      <c r="B11005" s="3">
        <v>965</v>
      </c>
      <c r="C11005" s="1" t="str">
        <f>HYPERLINK("http://www.uniprot.org/uniprot/STOP1_ORYSJ","STOP1_ORYSJ")</f>
        <v>STOP1_ORYSJ</v>
      </c>
      <c r="D11005" t="s">
        <v>7866</v>
      </c>
      <c r="E11005" s="3" t="s">
        <v>38</v>
      </c>
      <c r="F11005" s="4">
        <v>2.5599999999999999E-70</v>
      </c>
      <c r="G11005" s="3">
        <v>595</v>
      </c>
      <c r="H11005" s="3">
        <v>51</v>
      </c>
      <c r="I11005" s="3">
        <v>217</v>
      </c>
      <c r="J11005" s="3">
        <v>251</v>
      </c>
      <c r="K11005" s="3">
        <v>901</v>
      </c>
      <c r="L11005" s="3">
        <v>248</v>
      </c>
      <c r="M11005" s="3">
        <v>445</v>
      </c>
    </row>
    <row r="11006" spans="1:13" x14ac:dyDescent="0.25">
      <c r="A11006" s="1" t="str">
        <f>HYPERLINK("http://www.rosaceae.org/Prunus/Prunus_persica/p.persica_gdr_reftransV1_0007188","p.persica_gdr_reftransV1_0007188")</f>
        <v>p.persica_gdr_reftransV1_0007188</v>
      </c>
      <c r="B11006" s="3">
        <v>1836</v>
      </c>
      <c r="C11006" s="1" t="str">
        <f>HYPERLINK("http://www.uniprot.org/uniprot/LIP5_ARATH","LIP5_ARATH")</f>
        <v>LIP5_ARATH</v>
      </c>
      <c r="D11006" t="s">
        <v>7867</v>
      </c>
      <c r="E11006" s="3" t="s">
        <v>3</v>
      </c>
      <c r="F11006" s="4">
        <v>4.6800000000000003E-123</v>
      </c>
      <c r="G11006" s="3">
        <v>968</v>
      </c>
      <c r="H11006" s="3">
        <v>57</v>
      </c>
      <c r="I11006" s="3">
        <v>444</v>
      </c>
      <c r="J11006" s="3">
        <v>203</v>
      </c>
      <c r="K11006" s="3">
        <v>1489</v>
      </c>
      <c r="L11006" s="3">
        <v>1</v>
      </c>
      <c r="M11006" s="3">
        <v>418</v>
      </c>
    </row>
    <row r="11007" spans="1:13" x14ac:dyDescent="0.25">
      <c r="A11007" s="1" t="str">
        <f>HYPERLINK("http://www.rosaceae.org/Prunus/Prunus_persica/p.persica_gdr_reftransV1_0007238","p.persica_gdr_reftransV1_0007238")</f>
        <v>p.persica_gdr_reftransV1_0007238</v>
      </c>
      <c r="B11007" s="3">
        <v>2640</v>
      </c>
      <c r="C11007" s="1" t="str">
        <f>HYPERLINK("http://www.uniprot.org/uniprot/DUS3L_ARATH","DUS3L_ARATH")</f>
        <v>DUS3L_ARATH</v>
      </c>
      <c r="D11007" t="s">
        <v>7868</v>
      </c>
      <c r="E11007" s="3" t="s">
        <v>3</v>
      </c>
      <c r="F11007" s="4">
        <v>0</v>
      </c>
      <c r="G11007" s="3">
        <v>1837</v>
      </c>
      <c r="H11007" s="3">
        <v>59</v>
      </c>
      <c r="I11007" s="3">
        <v>601</v>
      </c>
      <c r="J11007" s="3">
        <v>245</v>
      </c>
      <c r="K11007" s="3">
        <v>2002</v>
      </c>
      <c r="L11007" s="3">
        <v>36</v>
      </c>
      <c r="M11007" s="3">
        <v>612</v>
      </c>
    </row>
    <row r="11008" spans="1:13" x14ac:dyDescent="0.25">
      <c r="A11008" s="1" t="str">
        <f>HYPERLINK("http://www.rosaceae.org/Prunus/Prunus_persica/p.persica_gdr_reftransV1_0007288","p.persica_gdr_reftransV1_0007288")</f>
        <v>p.persica_gdr_reftransV1_0007288</v>
      </c>
      <c r="B11008" s="3">
        <v>2611</v>
      </c>
      <c r="C11008" s="1" t="str">
        <f>HYPERLINK("http://www.uniprot.org/uniprot/E134_MAIZE","E134_MAIZE")</f>
        <v>E134_MAIZE</v>
      </c>
      <c r="D11008" t="s">
        <v>849</v>
      </c>
      <c r="E11008" s="3" t="s">
        <v>72</v>
      </c>
      <c r="F11008" s="4">
        <v>7.3200000000000001E-42</v>
      </c>
      <c r="G11008" s="3">
        <v>405</v>
      </c>
      <c r="H11008" s="3">
        <v>45</v>
      </c>
      <c r="I11008" s="3">
        <v>197</v>
      </c>
      <c r="J11008" s="3">
        <v>190</v>
      </c>
      <c r="K11008" s="3">
        <v>762</v>
      </c>
      <c r="L11008" s="3">
        <v>28</v>
      </c>
      <c r="M11008" s="3">
        <v>219</v>
      </c>
    </row>
    <row r="11009" spans="1:13" x14ac:dyDescent="0.25">
      <c r="A11009" s="1" t="str">
        <f>HYPERLINK("http://www.rosaceae.org/Prunus/Prunus_persica/p.persica_gdr_reftransV1_0007488","p.persica_gdr_reftransV1_0007488")</f>
        <v>p.persica_gdr_reftransV1_0007488</v>
      </c>
      <c r="B11009" s="3">
        <v>2939</v>
      </c>
      <c r="C11009" s="1" t="str">
        <f>HYPERLINK("http://www.uniprot.org/uniprot/NAT11_ARATH","NAT11_ARATH")</f>
        <v>NAT11_ARATH</v>
      </c>
      <c r="D11009" t="s">
        <v>7869</v>
      </c>
      <c r="E11009" s="3" t="s">
        <v>3</v>
      </c>
      <c r="F11009" s="4">
        <v>0</v>
      </c>
      <c r="G11009" s="3">
        <v>2116</v>
      </c>
      <c r="H11009" s="3">
        <v>64</v>
      </c>
      <c r="I11009" s="3">
        <v>734</v>
      </c>
      <c r="J11009" s="3">
        <v>436</v>
      </c>
      <c r="K11009" s="3">
        <v>2604</v>
      </c>
      <c r="L11009" s="3">
        <v>27</v>
      </c>
      <c r="M11009" s="3">
        <v>708</v>
      </c>
    </row>
    <row r="11010" spans="1:13" x14ac:dyDescent="0.25">
      <c r="A11010" s="1" t="str">
        <f>HYPERLINK("http://www.rosaceae.org/Prunus/Prunus_persica/p.persica_gdr_reftransV1_0007638","p.persica_gdr_reftransV1_0007638")</f>
        <v>p.persica_gdr_reftransV1_0007638</v>
      </c>
      <c r="B11010" s="3">
        <v>578</v>
      </c>
      <c r="C11010" s="1" t="str">
        <f>HYPERLINK("http://www.uniprot.org/uniprot/P24D3_ARATH","P24D3_ARATH")</f>
        <v>P24D3_ARATH</v>
      </c>
      <c r="D11010" t="s">
        <v>7101</v>
      </c>
      <c r="E11010" s="3" t="s">
        <v>3</v>
      </c>
      <c r="F11010" s="4">
        <v>1.52E-33</v>
      </c>
      <c r="G11010" s="3">
        <v>312</v>
      </c>
      <c r="H11010" s="3">
        <v>70</v>
      </c>
      <c r="I11010" s="3">
        <v>98</v>
      </c>
      <c r="J11010" s="3">
        <v>284</v>
      </c>
      <c r="K11010" s="3">
        <v>577</v>
      </c>
      <c r="L11010" s="3">
        <v>104</v>
      </c>
      <c r="M11010" s="3">
        <v>201</v>
      </c>
    </row>
    <row r="11011" spans="1:13" x14ac:dyDescent="0.25">
      <c r="A11011" s="1" t="str">
        <f>HYPERLINK("http://www.rosaceae.org/Prunus/Prunus_persica/p.persica_gdr_reftransV1_0007688","p.persica_gdr_reftransV1_0007688")</f>
        <v>p.persica_gdr_reftransV1_0007688</v>
      </c>
      <c r="B11011" s="3">
        <v>870</v>
      </c>
      <c r="C11011" s="1" t="str">
        <f>HYPERLINK("http://www.uniprot.org/uniprot/PM1_SOYBN","PM1_SOYBN")</f>
        <v>PM1_SOYBN</v>
      </c>
      <c r="D11011" t="s">
        <v>7870</v>
      </c>
      <c r="E11011" s="3" t="s">
        <v>307</v>
      </c>
      <c r="F11011" s="4">
        <v>1.3999999999999999E-46</v>
      </c>
      <c r="G11011" s="3">
        <v>405</v>
      </c>
      <c r="H11011" s="3">
        <v>61</v>
      </c>
      <c r="I11011" s="3">
        <v>159</v>
      </c>
      <c r="J11011" s="3">
        <v>60</v>
      </c>
      <c r="K11011" s="3">
        <v>521</v>
      </c>
      <c r="L11011" s="3">
        <v>1</v>
      </c>
      <c r="M11011" s="3">
        <v>159</v>
      </c>
    </row>
    <row r="11012" spans="1:13" x14ac:dyDescent="0.25">
      <c r="A11012" s="1" t="str">
        <f>HYPERLINK("http://www.rosaceae.org/Prunus/Prunus_persica/p.persica_gdr_reftransV1_0007988","p.persica_gdr_reftransV1_0007988")</f>
        <v>p.persica_gdr_reftransV1_0007988</v>
      </c>
      <c r="B11012" s="3">
        <v>537</v>
      </c>
      <c r="C11012" s="1" t="str">
        <f>HYPERLINK("http://www.uniprot.org/uniprot/DEGP9_ARATH","DEGP9_ARATH")</f>
        <v>DEGP9_ARATH</v>
      </c>
      <c r="D11012" t="s">
        <v>1437</v>
      </c>
      <c r="E11012" s="3" t="s">
        <v>3</v>
      </c>
      <c r="F11012" s="4">
        <v>9.9999999999999998E-13</v>
      </c>
      <c r="G11012" s="3">
        <v>169</v>
      </c>
      <c r="H11012" s="3">
        <v>82</v>
      </c>
      <c r="I11012" s="3">
        <v>34</v>
      </c>
      <c r="J11012" s="3">
        <v>3</v>
      </c>
      <c r="K11012" s="3">
        <v>104</v>
      </c>
      <c r="L11012" s="3">
        <v>114</v>
      </c>
      <c r="M11012" s="3">
        <v>147</v>
      </c>
    </row>
    <row r="11013" spans="1:13" x14ac:dyDescent="0.25">
      <c r="A11013" s="1" t="str">
        <f>HYPERLINK("http://www.rosaceae.org/Prunus/Prunus_persica/p.persica_gdr_reftransV1_0008038","p.persica_gdr_reftransV1_0008038")</f>
        <v>p.persica_gdr_reftransV1_0008038</v>
      </c>
      <c r="B11013" s="3">
        <v>3127</v>
      </c>
      <c r="C11013" s="1" t="str">
        <f>HYPERLINK("http://www.uniprot.org/uniprot/SCY1_DICDI","SCY1_DICDI")</f>
        <v>SCY1_DICDI</v>
      </c>
      <c r="D11013" t="s">
        <v>7871</v>
      </c>
      <c r="E11013" s="3" t="s">
        <v>9</v>
      </c>
      <c r="F11013" s="4">
        <v>1.0599999999999999E-122</v>
      </c>
      <c r="G11013" s="3">
        <v>1031</v>
      </c>
      <c r="H11013" s="3">
        <v>38</v>
      </c>
      <c r="I11013" s="3">
        <v>594</v>
      </c>
      <c r="J11013" s="3">
        <v>1166</v>
      </c>
      <c r="K11013" s="3">
        <v>2917</v>
      </c>
      <c r="L11013" s="3">
        <v>2</v>
      </c>
      <c r="M11013" s="3">
        <v>572</v>
      </c>
    </row>
    <row r="11014" spans="1:13" x14ac:dyDescent="0.25">
      <c r="A11014" s="1" t="str">
        <f>HYPERLINK("http://www.rosaceae.org/Prunus/Prunus_persica/p.persica_gdr_reftransV1_0008088","p.persica_gdr_reftransV1_0008088")</f>
        <v>p.persica_gdr_reftransV1_0008088</v>
      </c>
      <c r="B11014" s="3">
        <v>2809</v>
      </c>
      <c r="C11014" s="1" t="str">
        <f>HYPERLINK("http://www.uniprot.org/uniprot/CSLC4_ARATH","CSLC4_ARATH")</f>
        <v>CSLC4_ARATH</v>
      </c>
      <c r="D11014" t="s">
        <v>7872</v>
      </c>
      <c r="E11014" s="3" t="s">
        <v>3</v>
      </c>
      <c r="F11014" s="4">
        <v>0</v>
      </c>
      <c r="G11014" s="3">
        <v>2343</v>
      </c>
      <c r="H11014" s="3">
        <v>75</v>
      </c>
      <c r="I11014" s="3">
        <v>686</v>
      </c>
      <c r="J11014" s="3">
        <v>596</v>
      </c>
      <c r="K11014" s="3">
        <v>2587</v>
      </c>
      <c r="L11014" s="3">
        <v>1</v>
      </c>
      <c r="M11014" s="3">
        <v>673</v>
      </c>
    </row>
    <row r="11015" spans="1:13" x14ac:dyDescent="0.25">
      <c r="A11015" s="1" t="str">
        <f>HYPERLINK("http://www.rosaceae.org/Prunus/Prunus_persica/p.persica_gdr_reftransV1_0008188","p.persica_gdr_reftransV1_0008188")</f>
        <v>p.persica_gdr_reftransV1_0008188</v>
      </c>
      <c r="B11015" s="3">
        <v>1742</v>
      </c>
      <c r="C11015" s="1" t="str">
        <f>HYPERLINK("http://www.uniprot.org/uniprot/SSL3_ARATH","SSL3_ARATH")</f>
        <v>SSL3_ARATH</v>
      </c>
      <c r="D11015" t="s">
        <v>7873</v>
      </c>
      <c r="E11015" s="3" t="s">
        <v>3</v>
      </c>
      <c r="F11015" s="4">
        <v>0</v>
      </c>
      <c r="G11015" s="3">
        <v>1535</v>
      </c>
      <c r="H11015" s="3">
        <v>77</v>
      </c>
      <c r="I11015" s="3">
        <v>374</v>
      </c>
      <c r="J11015" s="3">
        <v>296</v>
      </c>
      <c r="K11015" s="3">
        <v>1417</v>
      </c>
      <c r="L11015" s="3">
        <v>16</v>
      </c>
      <c r="M11015" s="3">
        <v>389</v>
      </c>
    </row>
    <row r="11016" spans="1:13" x14ac:dyDescent="0.25">
      <c r="A11016" s="1" t="str">
        <f>HYPERLINK("http://www.rosaceae.org/Prunus/Prunus_persica/p.persica_gdr_reftransV1_0008238","p.persica_gdr_reftransV1_0008238")</f>
        <v>p.persica_gdr_reftransV1_0008238</v>
      </c>
      <c r="B11016" s="3">
        <v>770</v>
      </c>
      <c r="C11016" s="1" t="str">
        <f>HYPERLINK("http://www.uniprot.org/uniprot/FAX2_ARATH","FAX2_ARATH")</f>
        <v>FAX2_ARATH</v>
      </c>
      <c r="D11016" t="s">
        <v>7634</v>
      </c>
      <c r="E11016" s="3" t="s">
        <v>3</v>
      </c>
      <c r="F11016" s="4">
        <v>2.28E-12</v>
      </c>
      <c r="G11016" s="3">
        <v>164</v>
      </c>
      <c r="H11016" s="3">
        <v>54</v>
      </c>
      <c r="I11016" s="3">
        <v>65</v>
      </c>
      <c r="J11016" s="3">
        <v>398</v>
      </c>
      <c r="K11016" s="3">
        <v>592</v>
      </c>
      <c r="L11016" s="3">
        <v>176</v>
      </c>
      <c r="M11016" s="3">
        <v>240</v>
      </c>
    </row>
    <row r="11017" spans="1:13" x14ac:dyDescent="0.25">
      <c r="A11017" s="1" t="str">
        <f>HYPERLINK("http://www.rosaceae.org/Prunus/Prunus_persica/p.persica_gdr_reftransV1_0008288","p.persica_gdr_reftransV1_0008288")</f>
        <v>p.persica_gdr_reftransV1_0008288</v>
      </c>
      <c r="B11017" s="3">
        <v>1895</v>
      </c>
      <c r="C11017" s="1" t="str">
        <f>HYPERLINK("http://www.uniprot.org/uniprot/ARid2_ARATH","ARid2_ARATH")</f>
        <v>ARid2_ARATH</v>
      </c>
      <c r="D11017" t="s">
        <v>6986</v>
      </c>
      <c r="E11017" s="3" t="s">
        <v>3</v>
      </c>
      <c r="F11017" s="4">
        <v>2.4E-23</v>
      </c>
      <c r="G11017" s="3">
        <v>269</v>
      </c>
      <c r="H11017" s="3">
        <v>39</v>
      </c>
      <c r="I11017" s="3">
        <v>183</v>
      </c>
      <c r="J11017" s="3">
        <v>373</v>
      </c>
      <c r="K11017" s="3">
        <v>912</v>
      </c>
      <c r="L11017" s="3">
        <v>371</v>
      </c>
      <c r="M11017" s="3">
        <v>539</v>
      </c>
    </row>
    <row r="11018" spans="1:13" x14ac:dyDescent="0.25">
      <c r="A11018" s="1" t="str">
        <f>HYPERLINK("http://www.rosaceae.org/Prunus/Prunus_persica/p.persica_gdr_reftransV1_0008888","p.persica_gdr_reftransV1_0008888")</f>
        <v>p.persica_gdr_reftransV1_0008888</v>
      </c>
      <c r="B11018" s="3">
        <v>2560</v>
      </c>
      <c r="C11018" s="1" t="str">
        <f>HYPERLINK("http://www.uniprot.org/uniprot/TOC64_PEA","TOC64_PEA")</f>
        <v>TOC64_PEA</v>
      </c>
      <c r="D11018" t="s">
        <v>7874</v>
      </c>
      <c r="E11018" s="3" t="s">
        <v>60</v>
      </c>
      <c r="F11018" s="4">
        <v>0</v>
      </c>
      <c r="G11018" s="3">
        <v>2111</v>
      </c>
      <c r="H11018" s="3">
        <v>73</v>
      </c>
      <c r="I11018" s="3">
        <v>591</v>
      </c>
      <c r="J11018" s="3">
        <v>658</v>
      </c>
      <c r="K11018" s="3">
        <v>2430</v>
      </c>
      <c r="L11018" s="3">
        <v>3</v>
      </c>
      <c r="M11018" s="3">
        <v>593</v>
      </c>
    </row>
    <row r="11019" spans="1:13" x14ac:dyDescent="0.25">
      <c r="A11019" s="1" t="str">
        <f>HYPERLINK("http://www.rosaceae.org/Prunus/Prunus_persica/p.persica_gdr_reftransV1_0009138","p.persica_gdr_reftransV1_0009138")</f>
        <v>p.persica_gdr_reftransV1_0009138</v>
      </c>
      <c r="B11019" s="3">
        <v>1793</v>
      </c>
      <c r="C11019" s="1" t="str">
        <f>HYPERLINK("http://www.uniprot.org/uniprot/BAG5_ARATH","BAG5_ARATH")</f>
        <v>BAG5_ARATH</v>
      </c>
      <c r="D11019" t="s">
        <v>6515</v>
      </c>
      <c r="E11019" s="3" t="s">
        <v>3</v>
      </c>
      <c r="F11019" s="4">
        <v>5.4900000000000005E-22</v>
      </c>
      <c r="G11019" s="3">
        <v>246</v>
      </c>
      <c r="H11019" s="3">
        <v>35</v>
      </c>
      <c r="I11019" s="3">
        <v>139</v>
      </c>
      <c r="J11019" s="3">
        <v>459</v>
      </c>
      <c r="K11019" s="3">
        <v>875</v>
      </c>
      <c r="L11019" s="3">
        <v>18</v>
      </c>
      <c r="M11019" s="3">
        <v>147</v>
      </c>
    </row>
    <row r="11020" spans="1:13" x14ac:dyDescent="0.25">
      <c r="A11020" s="1" t="str">
        <f>HYPERLINK("http://www.rosaceae.org/Prunus/Prunus_persica/p.persica_gdr_reftransV1_0009188","p.persica_gdr_reftransV1_0009188")</f>
        <v>p.persica_gdr_reftransV1_0009188</v>
      </c>
      <c r="B11020" s="3">
        <v>583</v>
      </c>
      <c r="C11020" s="1" t="str">
        <f>HYPERLINK("http://www.uniprot.org/uniprot/Y2349_ARATH","Y2349_ARATH")</f>
        <v>Y2349_ARATH</v>
      </c>
      <c r="D11020" t="s">
        <v>3494</v>
      </c>
      <c r="E11020" s="3" t="s">
        <v>3</v>
      </c>
      <c r="F11020" s="4">
        <v>3.1499999999999999E-51</v>
      </c>
      <c r="G11020" s="3">
        <v>454</v>
      </c>
      <c r="H11020" s="3">
        <v>82</v>
      </c>
      <c r="I11020" s="3">
        <v>122</v>
      </c>
      <c r="J11020" s="3">
        <v>216</v>
      </c>
      <c r="K11020" s="3">
        <v>581</v>
      </c>
      <c r="L11020" s="3">
        <v>1</v>
      </c>
      <c r="M11020" s="3">
        <v>121</v>
      </c>
    </row>
    <row r="11021" spans="1:13" x14ac:dyDescent="0.25">
      <c r="A11021" s="1" t="str">
        <f>HYPERLINK("http://www.rosaceae.org/Prunus/Prunus_persica/p.persica_gdr_reftransV1_0009238","p.persica_gdr_reftransV1_0009238")</f>
        <v>p.persica_gdr_reftransV1_0009238</v>
      </c>
      <c r="B11021" s="3">
        <v>1600</v>
      </c>
      <c r="C11021" s="1" t="str">
        <f>HYPERLINK("http://www.uniprot.org/uniprot/SKI25_ARATH","SKI25_ARATH")</f>
        <v>SKI25_ARATH</v>
      </c>
      <c r="D11021" t="s">
        <v>7875</v>
      </c>
      <c r="E11021" s="3" t="s">
        <v>3</v>
      </c>
      <c r="F11021" s="4">
        <v>8.9400000000000003E-110</v>
      </c>
      <c r="G11021" s="3">
        <v>870</v>
      </c>
      <c r="H11021" s="3">
        <v>53</v>
      </c>
      <c r="I11021" s="3">
        <v>379</v>
      </c>
      <c r="J11021" s="3">
        <v>245</v>
      </c>
      <c r="K11021" s="3">
        <v>1345</v>
      </c>
      <c r="L11021" s="3">
        <v>20</v>
      </c>
      <c r="M11021" s="3">
        <v>391</v>
      </c>
    </row>
    <row r="11022" spans="1:13" x14ac:dyDescent="0.25">
      <c r="A11022" s="1" t="str">
        <f>HYPERLINK("http://www.rosaceae.org/Prunus/Prunus_persica/p.persica_gdr_reftransV1_0009338","p.persica_gdr_reftransV1_0009338")</f>
        <v>p.persica_gdr_reftransV1_0009338</v>
      </c>
      <c r="B11022" s="3">
        <v>2627</v>
      </c>
      <c r="C11022" s="1" t="str">
        <f>HYPERLINK("http://www.uniprot.org/uniprot/MHX_ARATH","MHX_ARATH")</f>
        <v>MHX_ARATH</v>
      </c>
      <c r="D11022" t="s">
        <v>7876</v>
      </c>
      <c r="E11022" s="3" t="s">
        <v>3</v>
      </c>
      <c r="F11022" s="4">
        <v>0</v>
      </c>
      <c r="G11022" s="3">
        <v>1932</v>
      </c>
      <c r="H11022" s="3">
        <v>71</v>
      </c>
      <c r="I11022" s="3">
        <v>532</v>
      </c>
      <c r="J11022" s="3">
        <v>331</v>
      </c>
      <c r="K11022" s="3">
        <v>1914</v>
      </c>
      <c r="L11022" s="3">
        <v>14</v>
      </c>
      <c r="M11022" s="3">
        <v>539</v>
      </c>
    </row>
    <row r="11023" spans="1:13" x14ac:dyDescent="0.25">
      <c r="A11023" s="1" t="str">
        <f>HYPERLINK("http://www.rosaceae.org/Prunus/Prunus_persica/p.persica_gdr_reftransV1_0009488","p.persica_gdr_reftransV1_0009488")</f>
        <v>p.persica_gdr_reftransV1_0009488</v>
      </c>
      <c r="B11023" s="3">
        <v>1362</v>
      </c>
      <c r="C11023" s="1" t="str">
        <f>HYPERLINK("http://www.uniprot.org/uniprot/CX171_ARATH","CX171_ARATH")</f>
        <v>CX171_ARATH</v>
      </c>
      <c r="D11023" t="s">
        <v>7877</v>
      </c>
      <c r="E11023" s="3" t="s">
        <v>3</v>
      </c>
      <c r="F11023" s="4">
        <v>1.0900000000000001E-23</v>
      </c>
      <c r="G11023" s="3">
        <v>244</v>
      </c>
      <c r="H11023" s="3">
        <v>62</v>
      </c>
      <c r="I11023" s="3">
        <v>81</v>
      </c>
      <c r="J11023" s="3">
        <v>609</v>
      </c>
      <c r="K11023" s="3">
        <v>851</v>
      </c>
      <c r="L11023" s="3">
        <v>1</v>
      </c>
      <c r="M11023" s="3">
        <v>74</v>
      </c>
    </row>
    <row r="11024" spans="1:13" x14ac:dyDescent="0.25">
      <c r="A11024" s="1" t="str">
        <f>HYPERLINK("http://www.rosaceae.org/Prunus/Prunus_persica/p.persica_gdr_reftransV1_0009738","p.persica_gdr_reftransV1_0009738")</f>
        <v>p.persica_gdr_reftransV1_0009738</v>
      </c>
      <c r="B11024" s="3">
        <v>676</v>
      </c>
      <c r="C11024" s="1" t="str">
        <f>HYPERLINK("http://www.uniprot.org/uniprot/MDHC_ORYSJ","MDHC_ORYSJ")</f>
        <v>MDHC_ORYSJ</v>
      </c>
      <c r="D11024" t="s">
        <v>7878</v>
      </c>
      <c r="E11024" s="3" t="s">
        <v>38</v>
      </c>
      <c r="F11024" s="4">
        <v>1.5199999999999999E-79</v>
      </c>
      <c r="G11024" s="3">
        <v>633</v>
      </c>
      <c r="H11024" s="3">
        <v>83</v>
      </c>
      <c r="I11024" s="3">
        <v>150</v>
      </c>
      <c r="J11024" s="3">
        <v>6</v>
      </c>
      <c r="K11024" s="3">
        <v>455</v>
      </c>
      <c r="L11024" s="3">
        <v>183</v>
      </c>
      <c r="M11024" s="3">
        <v>332</v>
      </c>
    </row>
    <row r="11025" spans="1:13" x14ac:dyDescent="0.25">
      <c r="A11025" s="1" t="str">
        <f>HYPERLINK("http://www.rosaceae.org/Prunus/Prunus_persica/p.persica_gdr_reftransV1_0009938","p.persica_gdr_reftransV1_0009938")</f>
        <v>p.persica_gdr_reftransV1_0009938</v>
      </c>
      <c r="B11025" s="3">
        <v>2383</v>
      </c>
      <c r="C11025" s="1" t="str">
        <f>HYPERLINK("http://www.uniprot.org/uniprot/PPR16_ARATH","PPR16_ARATH")</f>
        <v>PPR16_ARATH</v>
      </c>
      <c r="D11025" t="s">
        <v>7879</v>
      </c>
      <c r="E11025" s="3" t="s">
        <v>3</v>
      </c>
      <c r="F11025" s="4">
        <v>3.08E-134</v>
      </c>
      <c r="G11025" s="3">
        <v>1051</v>
      </c>
      <c r="H11025" s="3">
        <v>62</v>
      </c>
      <c r="I11025" s="3">
        <v>310</v>
      </c>
      <c r="J11025" s="3">
        <v>1309</v>
      </c>
      <c r="K11025" s="3">
        <v>2238</v>
      </c>
      <c r="L11025" s="3">
        <v>34</v>
      </c>
      <c r="M11025" s="3">
        <v>343</v>
      </c>
    </row>
    <row r="11026" spans="1:13" x14ac:dyDescent="0.25">
      <c r="A11026" s="1" t="str">
        <f>HYPERLINK("http://www.rosaceae.org/Prunus/Prunus_persica/p.persica_gdr_reftransV1_0010038","p.persica_gdr_reftransV1_0010038")</f>
        <v>p.persica_gdr_reftransV1_0010038</v>
      </c>
      <c r="B11026" s="3">
        <v>2337</v>
      </c>
      <c r="C11026" s="1" t="str">
        <f>HYPERLINK("http://www.uniprot.org/uniprot/ULK4_HUMAN","ULK4_HUMAN")</f>
        <v>ULK4_HUMAN</v>
      </c>
      <c r="D11026" t="s">
        <v>7880</v>
      </c>
      <c r="E11026" s="3" t="s">
        <v>28</v>
      </c>
      <c r="F11026" s="4">
        <v>3.08E-33</v>
      </c>
      <c r="G11026" s="3">
        <v>357</v>
      </c>
      <c r="H11026" s="3">
        <v>26</v>
      </c>
      <c r="I11026" s="3">
        <v>539</v>
      </c>
      <c r="J11026" s="3">
        <v>8</v>
      </c>
      <c r="K11026" s="3">
        <v>1525</v>
      </c>
      <c r="L11026" s="3">
        <v>575</v>
      </c>
      <c r="M11026" s="3">
        <v>1085</v>
      </c>
    </row>
    <row r="11027" spans="1:13" x14ac:dyDescent="0.25">
      <c r="A11027" s="1" t="str">
        <f>HYPERLINK("http://www.rosaceae.org/Prunus/Prunus_persica/p.persica_gdr_reftransV1_0010238","p.persica_gdr_reftransV1_0010238")</f>
        <v>p.persica_gdr_reftransV1_0010238</v>
      </c>
      <c r="B11027" s="3">
        <v>2314</v>
      </c>
      <c r="C11027" s="1" t="str">
        <f>HYPERLINK("http://www.uniprot.org/uniprot/KING1_ARATH","KING1_ARATH")</f>
        <v>KING1_ARATH</v>
      </c>
      <c r="D11027" t="s">
        <v>7881</v>
      </c>
      <c r="E11027" s="3" t="s">
        <v>3</v>
      </c>
      <c r="F11027" s="4">
        <v>1.0100000000000001E-155</v>
      </c>
      <c r="G11027" s="3">
        <v>1005</v>
      </c>
      <c r="H11027" s="3">
        <v>77</v>
      </c>
      <c r="I11027" s="3">
        <v>247</v>
      </c>
      <c r="J11027" s="3">
        <v>856</v>
      </c>
      <c r="K11027" s="3">
        <v>1593</v>
      </c>
      <c r="L11027" s="3">
        <v>178</v>
      </c>
      <c r="M11027" s="3">
        <v>424</v>
      </c>
    </row>
    <row r="11028" spans="1:13" x14ac:dyDescent="0.25">
      <c r="A11028" s="1" t="str">
        <f>HYPERLINK("http://www.rosaceae.org/Prunus/Prunus_persica/p.persica_gdr_reftransV1_0010388","p.persica_gdr_reftransV1_0010388")</f>
        <v>p.persica_gdr_reftransV1_0010388</v>
      </c>
      <c r="B11028" s="3">
        <v>1793</v>
      </c>
      <c r="C11028" s="1" t="str">
        <f>HYPERLINK("http://www.uniprot.org/uniprot/MTM1_ARATH","MTM1_ARATH")</f>
        <v>MTM1_ARATH</v>
      </c>
      <c r="D11028" t="s">
        <v>4868</v>
      </c>
      <c r="E11028" s="3" t="s">
        <v>3</v>
      </c>
      <c r="F11028" s="4">
        <v>1.58E-169</v>
      </c>
      <c r="G11028" s="3">
        <v>1276</v>
      </c>
      <c r="H11028" s="3">
        <v>67</v>
      </c>
      <c r="I11028" s="3">
        <v>417</v>
      </c>
      <c r="J11028" s="3">
        <v>146</v>
      </c>
      <c r="K11028" s="3">
        <v>1384</v>
      </c>
      <c r="L11028" s="3">
        <v>1</v>
      </c>
      <c r="M11028" s="3">
        <v>413</v>
      </c>
    </row>
    <row r="11029" spans="1:13" x14ac:dyDescent="0.25">
      <c r="A11029" s="1" t="str">
        <f>HYPERLINK("http://www.rosaceae.org/Prunus/Prunus_persica/p.persica_gdr_reftransV1_0010488","p.persica_gdr_reftransV1_0010488")</f>
        <v>p.persica_gdr_reftransV1_0010488</v>
      </c>
      <c r="B11029" s="3">
        <v>1362</v>
      </c>
      <c r="C11029" s="1" t="str">
        <f>HYPERLINK("http://www.uniprot.org/uniprot/PR1B4_ARATH","PR1B4_ARATH")</f>
        <v>PR1B4_ARATH</v>
      </c>
      <c r="D11029" t="s">
        <v>7882</v>
      </c>
      <c r="E11029" s="3" t="s">
        <v>3</v>
      </c>
      <c r="F11029" s="4">
        <v>5.5099999999999997E-65</v>
      </c>
      <c r="G11029" s="3">
        <v>546</v>
      </c>
      <c r="H11029" s="3">
        <v>70</v>
      </c>
      <c r="I11029" s="3">
        <v>184</v>
      </c>
      <c r="J11029" s="3">
        <v>359</v>
      </c>
      <c r="K11029" s="3">
        <v>910</v>
      </c>
      <c r="L11029" s="3">
        <v>24</v>
      </c>
      <c r="M11029" s="3">
        <v>206</v>
      </c>
    </row>
    <row r="11030" spans="1:13" x14ac:dyDescent="0.25">
      <c r="A11030" s="1" t="str">
        <f>HYPERLINK("http://www.rosaceae.org/Prunus/Prunus_persica/p.persica_gdr_reftransV1_0010538","p.persica_gdr_reftransV1_0010538")</f>
        <v>p.persica_gdr_reftransV1_0010538</v>
      </c>
      <c r="B11030" s="3">
        <v>1891</v>
      </c>
      <c r="C11030" s="1" t="str">
        <f>HYPERLINK("http://www.uniprot.org/uniprot/PATL6_ARATH","PATL6_ARATH")</f>
        <v>PATL6_ARATH</v>
      </c>
      <c r="D11030" t="s">
        <v>7883</v>
      </c>
      <c r="E11030" s="3" t="s">
        <v>3</v>
      </c>
      <c r="F11030" s="4">
        <v>0</v>
      </c>
      <c r="G11030" s="3">
        <v>1625</v>
      </c>
      <c r="H11030" s="3">
        <v>75</v>
      </c>
      <c r="I11030" s="3">
        <v>401</v>
      </c>
      <c r="J11030" s="3">
        <v>314</v>
      </c>
      <c r="K11030" s="3">
        <v>1516</v>
      </c>
      <c r="L11030" s="3">
        <v>10</v>
      </c>
      <c r="M11030" s="3">
        <v>407</v>
      </c>
    </row>
    <row r="11031" spans="1:13" x14ac:dyDescent="0.25">
      <c r="A11031" s="1" t="str">
        <f>HYPERLINK("http://www.rosaceae.org/Prunus/Prunus_persica/p.persica_gdr_reftransV1_0010738","p.persica_gdr_reftransV1_0010738")</f>
        <v>p.persica_gdr_reftransV1_0010738</v>
      </c>
      <c r="B11031" s="3">
        <v>1346</v>
      </c>
      <c r="C11031" s="1" t="str">
        <f>HYPERLINK("http://www.uniprot.org/uniprot/DESI1_XENLA","DESI1_XENLA")</f>
        <v>DESI1_XENLA</v>
      </c>
      <c r="D11031" t="s">
        <v>7884</v>
      </c>
      <c r="E11031" s="3" t="s">
        <v>475</v>
      </c>
      <c r="F11031" s="4">
        <v>5.62E-41</v>
      </c>
      <c r="G11031" s="3">
        <v>376</v>
      </c>
      <c r="H11031" s="3">
        <v>46</v>
      </c>
      <c r="I11031" s="3">
        <v>152</v>
      </c>
      <c r="J11031" s="3">
        <v>746</v>
      </c>
      <c r="K11031" s="3">
        <v>1195</v>
      </c>
      <c r="L11031" s="3">
        <v>2</v>
      </c>
      <c r="M11031" s="3">
        <v>153</v>
      </c>
    </row>
    <row r="11032" spans="1:13" x14ac:dyDescent="0.25">
      <c r="A11032" s="1" t="str">
        <f>HYPERLINK("http://www.rosaceae.org/Prunus/Prunus_persica/p.persica_gdr_reftransV1_0010788","p.persica_gdr_reftransV1_0010788")</f>
        <v>p.persica_gdr_reftransV1_0010788</v>
      </c>
      <c r="B11032" s="3">
        <v>1893</v>
      </c>
      <c r="C11032" s="1" t="str">
        <f>HYPERLINK("http://www.uniprot.org/uniprot/TO401_ARATH","TO401_ARATH")</f>
        <v>TO401_ARATH</v>
      </c>
      <c r="D11032" t="s">
        <v>1146</v>
      </c>
      <c r="E11032" s="3" t="s">
        <v>3</v>
      </c>
      <c r="F11032" s="4">
        <v>9.3899999999999995E-139</v>
      </c>
      <c r="G11032" s="3">
        <v>1064</v>
      </c>
      <c r="H11032" s="3">
        <v>71</v>
      </c>
      <c r="I11032" s="3">
        <v>277</v>
      </c>
      <c r="J11032" s="3">
        <v>12</v>
      </c>
      <c r="K11032" s="3">
        <v>839</v>
      </c>
      <c r="L11032" s="3">
        <v>34</v>
      </c>
      <c r="M11032" s="3">
        <v>309</v>
      </c>
    </row>
    <row r="11033" spans="1:13" x14ac:dyDescent="0.25">
      <c r="A11033" s="1" t="str">
        <f>HYPERLINK("http://www.rosaceae.org/Prunus/Prunus_persica/p.persica_gdr_reftransV1_0010838","p.persica_gdr_reftransV1_0010838")</f>
        <v>p.persica_gdr_reftransV1_0010838</v>
      </c>
      <c r="B11033" s="3">
        <v>2493</v>
      </c>
      <c r="C11033" s="1" t="str">
        <f>HYPERLINK("http://www.uniprot.org/uniprot/PUB40_ARATH","PUB40_ARATH")</f>
        <v>PUB40_ARATH</v>
      </c>
      <c r="D11033" t="s">
        <v>7885</v>
      </c>
      <c r="E11033" s="3" t="s">
        <v>3</v>
      </c>
      <c r="F11033" s="4">
        <v>6.5399999999999995E-165</v>
      </c>
      <c r="G11033" s="3">
        <v>1280</v>
      </c>
      <c r="H11033" s="3">
        <v>55</v>
      </c>
      <c r="I11033" s="3">
        <v>533</v>
      </c>
      <c r="J11033" s="3">
        <v>514</v>
      </c>
      <c r="K11033" s="3">
        <v>2088</v>
      </c>
      <c r="L11033" s="3">
        <v>1</v>
      </c>
      <c r="M11033" s="3">
        <v>508</v>
      </c>
    </row>
    <row r="11034" spans="1:13" x14ac:dyDescent="0.25">
      <c r="A11034" s="1" t="str">
        <f>HYPERLINK("http://www.rosaceae.org/Prunus/Prunus_persica/p.persica_gdr_reftransV1_0010888","p.persica_gdr_reftransV1_0010888")</f>
        <v>p.persica_gdr_reftransV1_0010888</v>
      </c>
      <c r="B11034" s="3">
        <v>2004</v>
      </c>
      <c r="C11034" s="1" t="str">
        <f>HYPERLINK("http://www.uniprot.org/uniprot/PPOM_TOBAC","PPOM_TOBAC")</f>
        <v>PPOM_TOBAC</v>
      </c>
      <c r="D11034" t="s">
        <v>7886</v>
      </c>
      <c r="E11034" s="3" t="s">
        <v>200</v>
      </c>
      <c r="F11034" s="4">
        <v>0</v>
      </c>
      <c r="G11034" s="3">
        <v>1767</v>
      </c>
      <c r="H11034" s="3">
        <v>72</v>
      </c>
      <c r="I11034" s="3">
        <v>476</v>
      </c>
      <c r="J11034" s="3">
        <v>248</v>
      </c>
      <c r="K11034" s="3">
        <v>1666</v>
      </c>
      <c r="L11034" s="3">
        <v>30</v>
      </c>
      <c r="M11034" s="3">
        <v>503</v>
      </c>
    </row>
    <row r="11035" spans="1:13" x14ac:dyDescent="0.25">
      <c r="A11035" s="1" t="str">
        <f>HYPERLINK("http://www.rosaceae.org/Prunus/Prunus_persica/p.persica_gdr_reftransV1_0010938","p.persica_gdr_reftransV1_0010938")</f>
        <v>p.persica_gdr_reftransV1_0010938</v>
      </c>
      <c r="B11035" s="3">
        <v>1475</v>
      </c>
      <c r="C11035" s="1" t="str">
        <f>HYPERLINK("http://www.uniprot.org/uniprot/MMSA_ARATH","MMSA_ARATH")</f>
        <v>MMSA_ARATH</v>
      </c>
      <c r="D11035" t="s">
        <v>4189</v>
      </c>
      <c r="E11035" s="3" t="s">
        <v>3</v>
      </c>
      <c r="F11035" s="4">
        <v>1.32E-118</v>
      </c>
      <c r="G11035" s="3">
        <v>944</v>
      </c>
      <c r="H11035" s="3">
        <v>72</v>
      </c>
      <c r="I11035" s="3">
        <v>245</v>
      </c>
      <c r="J11035" s="3">
        <v>2</v>
      </c>
      <c r="K11035" s="3">
        <v>736</v>
      </c>
      <c r="L11035" s="3">
        <v>78</v>
      </c>
      <c r="M11035" s="3">
        <v>322</v>
      </c>
    </row>
    <row r="11036" spans="1:13" x14ac:dyDescent="0.25">
      <c r="A11036" s="1" t="str">
        <f>HYPERLINK("http://www.rosaceae.org/Prunus/Prunus_persica/p.persica_gdr_reftransV1_0011338","p.persica_gdr_reftransV1_0011338")</f>
        <v>p.persica_gdr_reftransV1_0011338</v>
      </c>
      <c r="B11036" s="3">
        <v>1876</v>
      </c>
      <c r="C11036" s="1" t="str">
        <f>HYPERLINK("http://www.uniprot.org/uniprot/YTX2_XENLA","YTX2_XENLA")</f>
        <v>YTX2_XENLA</v>
      </c>
      <c r="D11036" t="s">
        <v>2850</v>
      </c>
      <c r="E11036" s="3" t="s">
        <v>475</v>
      </c>
      <c r="F11036" s="4">
        <v>4.8100000000000002E-26</v>
      </c>
      <c r="G11036" s="3">
        <v>294</v>
      </c>
      <c r="H11036" s="3">
        <v>27</v>
      </c>
      <c r="I11036" s="3">
        <v>265</v>
      </c>
      <c r="J11036" s="3">
        <v>1060</v>
      </c>
      <c r="K11036" s="3">
        <v>1851</v>
      </c>
      <c r="L11036" s="3">
        <v>359</v>
      </c>
      <c r="M11036" s="3">
        <v>621</v>
      </c>
    </row>
    <row r="11037" spans="1:13" x14ac:dyDescent="0.25">
      <c r="A11037" s="1" t="str">
        <f>HYPERLINK("http://www.rosaceae.org/Prunus/Prunus_persica/p.persica_gdr_reftransV1_0011438","p.persica_gdr_reftransV1_0011438")</f>
        <v>p.persica_gdr_reftransV1_0011438</v>
      </c>
      <c r="B11037" s="3">
        <v>7571</v>
      </c>
      <c r="C11037" s="1" t="str">
        <f>HYPERLINK("http://www.uniprot.org/uniprot/PRP8_MOUSE","PRP8_MOUSE")</f>
        <v>PRP8_MOUSE</v>
      </c>
      <c r="D11037" t="s">
        <v>7887</v>
      </c>
      <c r="E11037" s="3" t="s">
        <v>157</v>
      </c>
      <c r="F11037" s="4">
        <v>0</v>
      </c>
      <c r="G11037" s="3">
        <v>10494</v>
      </c>
      <c r="H11037" s="3">
        <v>84</v>
      </c>
      <c r="I11037" s="3">
        <v>2313</v>
      </c>
      <c r="J11037" s="3">
        <v>285</v>
      </c>
      <c r="K11037" s="3">
        <v>7220</v>
      </c>
      <c r="L11037" s="3">
        <v>26</v>
      </c>
      <c r="M11037" s="3">
        <v>2335</v>
      </c>
    </row>
    <row r="11038" spans="1:13" x14ac:dyDescent="0.25">
      <c r="A11038" s="1" t="str">
        <f>HYPERLINK("http://www.rosaceae.org/Prunus/Prunus_persica/p.persica_gdr_reftransV1_0011488","p.persica_gdr_reftransV1_0011488")</f>
        <v>p.persica_gdr_reftransV1_0011488</v>
      </c>
      <c r="B11038" s="3">
        <v>425</v>
      </c>
      <c r="C11038" s="1" t="str">
        <f>HYPERLINK("http://www.uniprot.org/uniprot/RLP2_ARATH","RLP2_ARATH")</f>
        <v>RLP2_ARATH</v>
      </c>
      <c r="D11038" t="s">
        <v>7291</v>
      </c>
      <c r="E11038" s="3" t="s">
        <v>3</v>
      </c>
      <c r="F11038" s="4">
        <v>2.71E-24</v>
      </c>
      <c r="G11038" s="3">
        <v>254</v>
      </c>
      <c r="H11038" s="3">
        <v>46</v>
      </c>
      <c r="I11038" s="3">
        <v>139</v>
      </c>
      <c r="J11038" s="3">
        <v>7</v>
      </c>
      <c r="K11038" s="3">
        <v>423</v>
      </c>
      <c r="L11038" s="3">
        <v>386</v>
      </c>
      <c r="M11038" s="3">
        <v>524</v>
      </c>
    </row>
    <row r="11039" spans="1:13" x14ac:dyDescent="0.25">
      <c r="A11039" s="1" t="str">
        <f>HYPERLINK("http://www.rosaceae.org/Prunus/Prunus_persica/p.persica_gdr_reftransV1_0011588","p.persica_gdr_reftransV1_0011588")</f>
        <v>p.persica_gdr_reftransV1_0011588</v>
      </c>
      <c r="B11039" s="3">
        <v>1373</v>
      </c>
      <c r="C11039" s="1" t="str">
        <f>HYPERLINK("http://www.uniprot.org/uniprot/PLY4_ARATH","PLY4_ARATH")</f>
        <v>PLY4_ARATH</v>
      </c>
      <c r="D11039" t="s">
        <v>7223</v>
      </c>
      <c r="E11039" s="3" t="s">
        <v>3</v>
      </c>
      <c r="F11039" s="4">
        <v>3.4999999999999999E-53</v>
      </c>
      <c r="G11039" s="3">
        <v>478</v>
      </c>
      <c r="H11039" s="3">
        <v>40</v>
      </c>
      <c r="I11039" s="3">
        <v>273</v>
      </c>
      <c r="J11039" s="3">
        <v>146</v>
      </c>
      <c r="K11039" s="3">
        <v>934</v>
      </c>
      <c r="L11039" s="3">
        <v>53</v>
      </c>
      <c r="M11039" s="3">
        <v>323</v>
      </c>
    </row>
    <row r="11040" spans="1:13" x14ac:dyDescent="0.25">
      <c r="A11040" s="1" t="str">
        <f>HYPERLINK("http://www.rosaceae.org/Prunus/Prunus_persica/p.persica_gdr_reftransV1_0011688","p.persica_gdr_reftransV1_0011688")</f>
        <v>p.persica_gdr_reftransV1_0011688</v>
      </c>
      <c r="B11040" s="3">
        <v>1453</v>
      </c>
      <c r="C11040" s="1" t="str">
        <f>HYPERLINK("http://www.uniprot.org/uniprot/PCS1_LOTJA","PCS1_LOTJA")</f>
        <v>PCS1_LOTJA</v>
      </c>
      <c r="D11040" t="s">
        <v>2804</v>
      </c>
      <c r="E11040" s="3" t="s">
        <v>880</v>
      </c>
      <c r="F11040" s="4">
        <v>1.7899999999999999E-138</v>
      </c>
      <c r="G11040" s="3">
        <v>1067</v>
      </c>
      <c r="H11040" s="3">
        <v>85</v>
      </c>
      <c r="I11040" s="3">
        <v>222</v>
      </c>
      <c r="J11040" s="3">
        <v>267</v>
      </c>
      <c r="K11040" s="3">
        <v>932</v>
      </c>
      <c r="L11040" s="3">
        <v>7</v>
      </c>
      <c r="M11040" s="3">
        <v>228</v>
      </c>
    </row>
    <row r="11041" spans="1:13" x14ac:dyDescent="0.25">
      <c r="A11041" s="1" t="str">
        <f>HYPERLINK("http://www.rosaceae.org/Prunus/Prunus_persica/p.persica_gdr_reftransV1_0011788","p.persica_gdr_reftransV1_0011788")</f>
        <v>p.persica_gdr_reftransV1_0011788</v>
      </c>
      <c r="B11041" s="3">
        <v>1937</v>
      </c>
      <c r="C11041" s="1" t="str">
        <f>HYPERLINK("http://www.uniprot.org/uniprot/MYG1_HUMAN","MYG1_HUMAN")</f>
        <v>MYG1_HUMAN</v>
      </c>
      <c r="D11041" t="s">
        <v>7888</v>
      </c>
      <c r="E11041" s="3" t="s">
        <v>28</v>
      </c>
      <c r="F11041" s="4">
        <v>1.83E-61</v>
      </c>
      <c r="G11041" s="3">
        <v>547</v>
      </c>
      <c r="H11041" s="3">
        <v>51</v>
      </c>
      <c r="I11041" s="3">
        <v>233</v>
      </c>
      <c r="J11041" s="3">
        <v>1092</v>
      </c>
      <c r="K11041" s="3">
        <v>1772</v>
      </c>
      <c r="L11041" s="3">
        <v>43</v>
      </c>
      <c r="M11041" s="3">
        <v>271</v>
      </c>
    </row>
    <row r="11042" spans="1:13" x14ac:dyDescent="0.25">
      <c r="A11042" s="1" t="str">
        <f>HYPERLINK("http://www.rosaceae.org/Prunus/Prunus_persica/p.persica_gdr_reftransV1_0011938","p.persica_gdr_reftransV1_0011938")</f>
        <v>p.persica_gdr_reftransV1_0011938</v>
      </c>
      <c r="B11042" s="3">
        <v>2532</v>
      </c>
      <c r="C11042" s="1" t="str">
        <f>HYPERLINK("http://www.uniprot.org/uniprot/RPD1_ARATH","RPD1_ARATH")</f>
        <v>RPD1_ARATH</v>
      </c>
      <c r="D11042" t="s">
        <v>1883</v>
      </c>
      <c r="E11042" s="3" t="s">
        <v>3</v>
      </c>
      <c r="F11042" s="4">
        <v>2.8E-34</v>
      </c>
      <c r="G11042" s="3">
        <v>354</v>
      </c>
      <c r="H11042" s="3">
        <v>30</v>
      </c>
      <c r="I11042" s="3">
        <v>367</v>
      </c>
      <c r="J11042" s="3">
        <v>944</v>
      </c>
      <c r="K11042" s="3">
        <v>1996</v>
      </c>
      <c r="L11042" s="3">
        <v>47</v>
      </c>
      <c r="M11042" s="3">
        <v>409</v>
      </c>
    </row>
    <row r="11043" spans="1:13" x14ac:dyDescent="0.25">
      <c r="A11043" s="1" t="str">
        <f>HYPERLINK("http://www.rosaceae.org/Prunus/Prunus_persica/p.persica_gdr_reftransV1_0011988","p.persica_gdr_reftransV1_0011988")</f>
        <v>p.persica_gdr_reftransV1_0011988</v>
      </c>
      <c r="B11043" s="3">
        <v>526</v>
      </c>
      <c r="C11043" s="1" t="str">
        <f>HYPERLINK("http://www.uniprot.org/uniprot/PP240_ARATH","PP240_ARATH")</f>
        <v>PP240_ARATH</v>
      </c>
      <c r="D11043" t="s">
        <v>7889</v>
      </c>
      <c r="E11043" s="3" t="s">
        <v>3</v>
      </c>
      <c r="F11043" s="4">
        <v>1.0399999999999999E-36</v>
      </c>
      <c r="G11043" s="3">
        <v>348</v>
      </c>
      <c r="H11043" s="3">
        <v>63</v>
      </c>
      <c r="I11043" s="3">
        <v>124</v>
      </c>
      <c r="J11043" s="3">
        <v>152</v>
      </c>
      <c r="K11043" s="3">
        <v>523</v>
      </c>
      <c r="L11043" s="3">
        <v>50</v>
      </c>
      <c r="M11043" s="3">
        <v>173</v>
      </c>
    </row>
    <row r="11044" spans="1:13" x14ac:dyDescent="0.25">
      <c r="A11044" s="1" t="str">
        <f>HYPERLINK("http://www.rosaceae.org/Prunus/Prunus_persica/p.persica_gdr_reftransV1_0012038","p.persica_gdr_reftransV1_0012038")</f>
        <v>p.persica_gdr_reftransV1_0012038</v>
      </c>
      <c r="B11044" s="3">
        <v>3029</v>
      </c>
      <c r="C11044" s="1" t="str">
        <f>HYPERLINK("http://www.uniprot.org/uniprot/Y4291_ARATH","Y4291_ARATH")</f>
        <v>Y4291_ARATH</v>
      </c>
      <c r="D11044" t="s">
        <v>7890</v>
      </c>
      <c r="E11044" s="3" t="s">
        <v>3</v>
      </c>
      <c r="F11044" s="4">
        <v>2.5E-108</v>
      </c>
      <c r="G11044" s="3">
        <v>935</v>
      </c>
      <c r="H11044" s="3">
        <v>58</v>
      </c>
      <c r="I11044" s="3">
        <v>318</v>
      </c>
      <c r="J11044" s="3">
        <v>236</v>
      </c>
      <c r="K11044" s="3">
        <v>1144</v>
      </c>
      <c r="L11044" s="3">
        <v>566</v>
      </c>
      <c r="M11044" s="3">
        <v>882</v>
      </c>
    </row>
    <row r="11045" spans="1:13" x14ac:dyDescent="0.25">
      <c r="A11045" s="1" t="str">
        <f>HYPERLINK("http://www.rosaceae.org/Prunus/Prunus_persica/p.persica_gdr_reftransV1_0012088","p.persica_gdr_reftransV1_0012088")</f>
        <v>p.persica_gdr_reftransV1_0012088</v>
      </c>
      <c r="B11045" s="3">
        <v>4225</v>
      </c>
      <c r="C11045" s="1" t="str">
        <f>HYPERLINK("http://www.uniprot.org/uniprot/UBP9_ARATH","UBP9_ARATH")</f>
        <v>UBP9_ARATH</v>
      </c>
      <c r="D11045" t="s">
        <v>5355</v>
      </c>
      <c r="E11045" s="3" t="s">
        <v>3</v>
      </c>
      <c r="F11045" s="4">
        <v>0</v>
      </c>
      <c r="G11045" s="3">
        <v>1556</v>
      </c>
      <c r="H11045" s="3">
        <v>64</v>
      </c>
      <c r="I11045" s="3">
        <v>473</v>
      </c>
      <c r="J11045" s="3">
        <v>237</v>
      </c>
      <c r="K11045" s="3">
        <v>1652</v>
      </c>
      <c r="L11045" s="3">
        <v>1</v>
      </c>
      <c r="M11045" s="3">
        <v>452</v>
      </c>
    </row>
    <row r="11046" spans="1:13" x14ac:dyDescent="0.25">
      <c r="A11046" s="1" t="str">
        <f>HYPERLINK("http://www.rosaceae.org/Prunus/Prunus_persica/p.persica_gdr_reftransV1_0012138","p.persica_gdr_reftransV1_0012138")</f>
        <v>p.persica_gdr_reftransV1_0012138</v>
      </c>
      <c r="B11046" s="3">
        <v>2902</v>
      </c>
      <c r="C11046" s="1" t="str">
        <f>HYPERLINK("http://www.uniprot.org/uniprot/POLX_TOBAC","POLX_TOBAC")</f>
        <v>POLX_TOBAC</v>
      </c>
      <c r="D11046" t="s">
        <v>1253</v>
      </c>
      <c r="E11046" s="3" t="s">
        <v>200</v>
      </c>
      <c r="F11046" s="4">
        <v>6.1999999999999999E-37</v>
      </c>
      <c r="G11046" s="3">
        <v>390</v>
      </c>
      <c r="H11046" s="3">
        <v>42</v>
      </c>
      <c r="I11046" s="3">
        <v>184</v>
      </c>
      <c r="J11046" s="3">
        <v>2280</v>
      </c>
      <c r="K11046" s="3">
        <v>2831</v>
      </c>
      <c r="L11046" s="3">
        <v>1147</v>
      </c>
      <c r="M11046" s="3">
        <v>1328</v>
      </c>
    </row>
    <row r="11047" spans="1:13" x14ac:dyDescent="0.25">
      <c r="A11047" s="1" t="str">
        <f>HYPERLINK("http://www.rosaceae.org/Prunus/Prunus_persica/p.persica_gdr_reftransV1_0012288","p.persica_gdr_reftransV1_0012288")</f>
        <v>p.persica_gdr_reftransV1_0012288</v>
      </c>
      <c r="B11047" s="3">
        <v>1266</v>
      </c>
      <c r="C11047" s="1" t="str">
        <f>HYPERLINK("http://www.uniprot.org/uniprot/CXE1_ACTER","CXE1_ACTER")</f>
        <v>CXE1_ACTER</v>
      </c>
      <c r="D11047" t="s">
        <v>5171</v>
      </c>
      <c r="E11047" s="3" t="s">
        <v>5172</v>
      </c>
      <c r="F11047" s="4">
        <v>3.9999999999999999E-118</v>
      </c>
      <c r="G11047" s="3">
        <v>910</v>
      </c>
      <c r="H11047" s="3">
        <v>57</v>
      </c>
      <c r="I11047" s="3">
        <v>310</v>
      </c>
      <c r="J11047" s="3">
        <v>161</v>
      </c>
      <c r="K11047" s="3">
        <v>1078</v>
      </c>
      <c r="L11047" s="3">
        <v>20</v>
      </c>
      <c r="M11047" s="3">
        <v>327</v>
      </c>
    </row>
    <row r="11048" spans="1:13" x14ac:dyDescent="0.25">
      <c r="A11048" s="1" t="str">
        <f>HYPERLINK("http://www.rosaceae.org/Prunus/Prunus_persica/p.persica_gdr_reftransV1_0012338","p.persica_gdr_reftransV1_0012338")</f>
        <v>p.persica_gdr_reftransV1_0012338</v>
      </c>
      <c r="B11048" s="3">
        <v>1224</v>
      </c>
      <c r="C11048" s="1" t="str">
        <f>HYPERLINK("http://www.uniprot.org/uniprot/CLPP4_ARATH","CLPP4_ARATH")</f>
        <v>CLPP4_ARATH</v>
      </c>
      <c r="D11048" t="s">
        <v>7891</v>
      </c>
      <c r="E11048" s="3" t="s">
        <v>3</v>
      </c>
      <c r="F11048" s="4">
        <v>3.0699999999999997E-125</v>
      </c>
      <c r="G11048" s="3">
        <v>951</v>
      </c>
      <c r="H11048" s="3">
        <v>86</v>
      </c>
      <c r="I11048" s="3">
        <v>226</v>
      </c>
      <c r="J11048" s="3">
        <v>226</v>
      </c>
      <c r="K11048" s="3">
        <v>903</v>
      </c>
      <c r="L11048" s="3">
        <v>67</v>
      </c>
      <c r="M11048" s="3">
        <v>292</v>
      </c>
    </row>
    <row r="11049" spans="1:13" x14ac:dyDescent="0.25">
      <c r="A11049" s="1" t="str">
        <f>HYPERLINK("http://www.rosaceae.org/Prunus/Prunus_persica/p.persica_gdr_reftransV1_0012388","p.persica_gdr_reftransV1_0012388")</f>
        <v>p.persica_gdr_reftransV1_0012388</v>
      </c>
      <c r="B11049" s="3">
        <v>3675</v>
      </c>
      <c r="C11049" s="1" t="str">
        <f>HYPERLINK("http://www.uniprot.org/uniprot/UBC24_ARATH","UBC24_ARATH")</f>
        <v>UBC24_ARATH</v>
      </c>
      <c r="D11049" t="s">
        <v>7892</v>
      </c>
      <c r="E11049" s="3" t="s">
        <v>3</v>
      </c>
      <c r="F11049" s="4">
        <v>0</v>
      </c>
      <c r="G11049" s="3">
        <v>2225</v>
      </c>
      <c r="H11049" s="3">
        <v>54</v>
      </c>
      <c r="I11049" s="3">
        <v>913</v>
      </c>
      <c r="J11049" s="3">
        <v>297</v>
      </c>
      <c r="K11049" s="3">
        <v>3017</v>
      </c>
      <c r="L11049" s="3">
        <v>20</v>
      </c>
      <c r="M11049" s="3">
        <v>906</v>
      </c>
    </row>
    <row r="11050" spans="1:13" x14ac:dyDescent="0.25">
      <c r="A11050" s="1" t="str">
        <f>HYPERLINK("http://www.rosaceae.org/Prunus/Prunus_persica/p.persica_gdr_reftransV1_0012438","p.persica_gdr_reftransV1_0012438")</f>
        <v>p.persica_gdr_reftransV1_0012438</v>
      </c>
      <c r="B11050" s="3">
        <v>3002</v>
      </c>
      <c r="C11050" s="1" t="str">
        <f>HYPERLINK("http://www.uniprot.org/uniprot/QWRF8_ARATH","QWRF8_ARATH")</f>
        <v>QWRF8_ARATH</v>
      </c>
      <c r="D11050" t="s">
        <v>7893</v>
      </c>
      <c r="E11050" s="3" t="s">
        <v>3</v>
      </c>
      <c r="F11050" s="4">
        <v>2.6800000000000001E-80</v>
      </c>
      <c r="G11050" s="3">
        <v>716</v>
      </c>
      <c r="H11050" s="3">
        <v>63</v>
      </c>
      <c r="I11050" s="3">
        <v>212</v>
      </c>
      <c r="J11050" s="3">
        <v>1970</v>
      </c>
      <c r="K11050" s="3">
        <v>2605</v>
      </c>
      <c r="L11050" s="3">
        <v>415</v>
      </c>
      <c r="M11050" s="3">
        <v>626</v>
      </c>
    </row>
    <row r="11051" spans="1:13" x14ac:dyDescent="0.25">
      <c r="A11051" s="1" t="str">
        <f>HYPERLINK("http://www.rosaceae.org/Prunus/Prunus_persica/p.persica_gdr_reftransV1_0012638","p.persica_gdr_reftransV1_0012638")</f>
        <v>p.persica_gdr_reftransV1_0012638</v>
      </c>
      <c r="B11051" s="3">
        <v>1169</v>
      </c>
      <c r="C11051" s="1" t="str">
        <f>HYPERLINK("http://www.uniprot.org/uniprot/BPA1_ARATH","BPA1_ARATH")</f>
        <v>BPA1_ARATH</v>
      </c>
      <c r="D11051" t="s">
        <v>4085</v>
      </c>
      <c r="E11051" s="3" t="s">
        <v>3</v>
      </c>
      <c r="F11051" s="4">
        <v>1.34E-93</v>
      </c>
      <c r="G11051" s="3">
        <v>736</v>
      </c>
      <c r="H11051" s="3">
        <v>63</v>
      </c>
      <c r="I11051" s="3">
        <v>256</v>
      </c>
      <c r="J11051" s="3">
        <v>325</v>
      </c>
      <c r="K11051" s="3">
        <v>1086</v>
      </c>
      <c r="L11051" s="3">
        <v>4</v>
      </c>
      <c r="M11051" s="3">
        <v>250</v>
      </c>
    </row>
    <row r="11052" spans="1:13" x14ac:dyDescent="0.25">
      <c r="A11052" s="1" t="str">
        <f>HYPERLINK("http://www.rosaceae.org/Prunus/Prunus_persica/p.persica_gdr_reftransV1_0012688","p.persica_gdr_reftransV1_0012688")</f>
        <v>p.persica_gdr_reftransV1_0012688</v>
      </c>
      <c r="B11052" s="3">
        <v>5216</v>
      </c>
      <c r="C11052" s="1" t="str">
        <f>HYPERLINK("http://www.uniprot.org/uniprot/CPSF1_ARATH","CPSF1_ARATH")</f>
        <v>CPSF1_ARATH</v>
      </c>
      <c r="D11052" t="s">
        <v>7894</v>
      </c>
      <c r="E11052" s="3" t="s">
        <v>3</v>
      </c>
      <c r="F11052" s="4">
        <v>0</v>
      </c>
      <c r="G11052" s="3">
        <v>5811</v>
      </c>
      <c r="H11052" s="3">
        <v>76</v>
      </c>
      <c r="I11052" s="3">
        <v>1460</v>
      </c>
      <c r="J11052" s="3">
        <v>599</v>
      </c>
      <c r="K11052" s="3">
        <v>4975</v>
      </c>
      <c r="L11052" s="3">
        <v>1</v>
      </c>
      <c r="M11052" s="3">
        <v>1442</v>
      </c>
    </row>
    <row r="11053" spans="1:13" x14ac:dyDescent="0.25">
      <c r="A11053" s="1" t="str">
        <f>HYPERLINK("http://www.rosaceae.org/Prunus/Prunus_persica/p.persica_gdr_reftransV1_0012788","p.persica_gdr_reftransV1_0012788")</f>
        <v>p.persica_gdr_reftransV1_0012788</v>
      </c>
      <c r="B11053" s="3">
        <v>503</v>
      </c>
      <c r="C11053" s="1" t="str">
        <f>HYPERLINK("http://www.uniprot.org/uniprot/ILVB1_TOBAC","ILVB1_TOBAC")</f>
        <v>ILVB1_TOBAC</v>
      </c>
      <c r="D11053" t="s">
        <v>7895</v>
      </c>
      <c r="E11053" s="3" t="s">
        <v>200</v>
      </c>
      <c r="F11053" s="4">
        <v>1.5600000000000001E-59</v>
      </c>
      <c r="G11053" s="3">
        <v>511</v>
      </c>
      <c r="H11053" s="3">
        <v>92</v>
      </c>
      <c r="I11053" s="3">
        <v>99</v>
      </c>
      <c r="J11053" s="3">
        <v>1</v>
      </c>
      <c r="K11053" s="3">
        <v>297</v>
      </c>
      <c r="L11053" s="3">
        <v>569</v>
      </c>
      <c r="M11053" s="3">
        <v>667</v>
      </c>
    </row>
    <row r="11054" spans="1:13" x14ac:dyDescent="0.25">
      <c r="A11054" s="1" t="str">
        <f>HYPERLINK("http://www.rosaceae.org/Prunus/Prunus_persica/p.persica_gdr_reftransV1_0012938","p.persica_gdr_reftransV1_0012938")</f>
        <v>p.persica_gdr_reftransV1_0012938</v>
      </c>
      <c r="B11054" s="3">
        <v>1101</v>
      </c>
      <c r="C11054" s="1" t="str">
        <f>HYPERLINK("http://www.uniprot.org/uniprot/FERON_ARATH","FERON_ARATH")</f>
        <v>FERON_ARATH</v>
      </c>
      <c r="D11054" t="s">
        <v>635</v>
      </c>
      <c r="E11054" s="3" t="s">
        <v>3</v>
      </c>
      <c r="F11054" s="4">
        <v>1.46E-77</v>
      </c>
      <c r="G11054" s="3">
        <v>668</v>
      </c>
      <c r="H11054" s="3">
        <v>42</v>
      </c>
      <c r="I11054" s="3">
        <v>389</v>
      </c>
      <c r="J11054" s="3">
        <v>12</v>
      </c>
      <c r="K11054" s="3">
        <v>1100</v>
      </c>
      <c r="L11054" s="3">
        <v>182</v>
      </c>
      <c r="M11054" s="3">
        <v>556</v>
      </c>
    </row>
    <row r="11055" spans="1:13" x14ac:dyDescent="0.25">
      <c r="A11055" s="1" t="str">
        <f>HYPERLINK("http://www.rosaceae.org/Prunus/Prunus_persica/p.persica_gdr_reftransV1_0013338","p.persica_gdr_reftransV1_0013338")</f>
        <v>p.persica_gdr_reftransV1_0013338</v>
      </c>
      <c r="B11055" s="3">
        <v>1041</v>
      </c>
      <c r="C11055" s="1" t="str">
        <f>HYPERLINK("http://www.uniprot.org/uniprot/APC2_ARATH","APC2_ARATH")</f>
        <v>APC2_ARATH</v>
      </c>
      <c r="D11055" t="s">
        <v>3802</v>
      </c>
      <c r="E11055" s="3" t="s">
        <v>3</v>
      </c>
      <c r="F11055" s="4">
        <v>3.7199999999999999E-61</v>
      </c>
      <c r="G11055" s="3">
        <v>546</v>
      </c>
      <c r="H11055" s="3">
        <v>58</v>
      </c>
      <c r="I11055" s="3">
        <v>194</v>
      </c>
      <c r="J11055" s="3">
        <v>74</v>
      </c>
      <c r="K11055" s="3">
        <v>625</v>
      </c>
      <c r="L11055" s="3">
        <v>6</v>
      </c>
      <c r="M11055" s="3">
        <v>199</v>
      </c>
    </row>
    <row r="11056" spans="1:13" x14ac:dyDescent="0.25">
      <c r="A11056" s="1" t="str">
        <f>HYPERLINK("http://www.rosaceae.org/Prunus/Prunus_persica/p.persica_gdr_reftransV1_0013388","p.persica_gdr_reftransV1_0013388")</f>
        <v>p.persica_gdr_reftransV1_0013388</v>
      </c>
      <c r="B11056" s="3">
        <v>1254</v>
      </c>
      <c r="C11056" s="1" t="str">
        <f>HYPERLINK("http://www.uniprot.org/uniprot/CDC71_ENCCU","CDC71_ENCCU")</f>
        <v>CDC71_ENCCU</v>
      </c>
      <c r="D11056" t="s">
        <v>7896</v>
      </c>
      <c r="E11056" s="3" t="s">
        <v>7897</v>
      </c>
      <c r="F11056" s="4">
        <v>2.76E-14</v>
      </c>
      <c r="G11056" s="3">
        <v>189</v>
      </c>
      <c r="H11056" s="3">
        <v>31</v>
      </c>
      <c r="I11056" s="3">
        <v>144</v>
      </c>
      <c r="J11056" s="3">
        <v>682</v>
      </c>
      <c r="K11056" s="3">
        <v>1113</v>
      </c>
      <c r="L11056" s="3">
        <v>17</v>
      </c>
      <c r="M11056" s="3">
        <v>160</v>
      </c>
    </row>
    <row r="11057" spans="1:13" x14ac:dyDescent="0.25">
      <c r="A11057" s="1" t="str">
        <f>HYPERLINK("http://www.rosaceae.org/Prunus/Prunus_persica/p.persica_gdr_reftransV1_0013438","p.persica_gdr_reftransV1_0013438")</f>
        <v>p.persica_gdr_reftransV1_0013438</v>
      </c>
      <c r="B11057" s="3">
        <v>1610</v>
      </c>
      <c r="C11057" s="1" t="str">
        <f>HYPERLINK("http://www.uniprot.org/uniprot/RP8L2_ARATH","RP8L2_ARATH")</f>
        <v>RP8L2_ARATH</v>
      </c>
      <c r="D11057" t="s">
        <v>1701</v>
      </c>
      <c r="E11057" s="3" t="s">
        <v>3</v>
      </c>
      <c r="F11057" s="4">
        <v>2.1200000000000001E-39</v>
      </c>
      <c r="G11057" s="3">
        <v>398</v>
      </c>
      <c r="H11057" s="3">
        <v>27</v>
      </c>
      <c r="I11057" s="3">
        <v>494</v>
      </c>
      <c r="J11057" s="3">
        <v>43</v>
      </c>
      <c r="K11057" s="3">
        <v>1431</v>
      </c>
      <c r="L11057" s="3">
        <v>156</v>
      </c>
      <c r="M11057" s="3">
        <v>617</v>
      </c>
    </row>
    <row r="11058" spans="1:13" x14ac:dyDescent="0.25">
      <c r="A11058" s="1" t="str">
        <f>HYPERLINK("http://www.rosaceae.org/Prunus/Prunus_persica/p.persica_gdr_reftransV1_0013588","p.persica_gdr_reftransV1_0013588")</f>
        <v>p.persica_gdr_reftransV1_0013588</v>
      </c>
      <c r="B11058" s="3">
        <v>2632</v>
      </c>
      <c r="C11058" s="1" t="str">
        <f>HYPERLINK("http://www.uniprot.org/uniprot/PUB30_ARATH","PUB30_ARATH")</f>
        <v>PUB30_ARATH</v>
      </c>
      <c r="D11058" t="s">
        <v>1608</v>
      </c>
      <c r="E11058" s="3" t="s">
        <v>3</v>
      </c>
      <c r="F11058" s="4">
        <v>0</v>
      </c>
      <c r="G11058" s="3">
        <v>1492</v>
      </c>
      <c r="H11058" s="3">
        <v>69</v>
      </c>
      <c r="I11058" s="3">
        <v>456</v>
      </c>
      <c r="J11058" s="3">
        <v>995</v>
      </c>
      <c r="K11058" s="3">
        <v>2362</v>
      </c>
      <c r="L11058" s="3">
        <v>1</v>
      </c>
      <c r="M11058" s="3">
        <v>448</v>
      </c>
    </row>
    <row r="11059" spans="1:13" x14ac:dyDescent="0.25">
      <c r="A11059" s="1" t="str">
        <f>HYPERLINK("http://www.rosaceae.org/Prunus/Prunus_persica/p.persica_gdr_reftransV1_0013888","p.persica_gdr_reftransV1_0013888")</f>
        <v>p.persica_gdr_reftransV1_0013888</v>
      </c>
      <c r="B11059" s="3">
        <v>1378</v>
      </c>
      <c r="C11059" s="1" t="str">
        <f>HYPERLINK("http://www.uniprot.org/uniprot/PP285_ARATH","PP285_ARATH")</f>
        <v>PP285_ARATH</v>
      </c>
      <c r="D11059" t="s">
        <v>6714</v>
      </c>
      <c r="E11059" s="3" t="s">
        <v>3</v>
      </c>
      <c r="F11059" s="4">
        <v>4.2899999999999999E-122</v>
      </c>
      <c r="G11059" s="3">
        <v>985</v>
      </c>
      <c r="H11059" s="3">
        <v>51</v>
      </c>
      <c r="I11059" s="3">
        <v>343</v>
      </c>
      <c r="J11059" s="3">
        <v>350</v>
      </c>
      <c r="K11059" s="3">
        <v>1375</v>
      </c>
      <c r="L11059" s="3">
        <v>548</v>
      </c>
      <c r="M11059" s="3">
        <v>890</v>
      </c>
    </row>
    <row r="11060" spans="1:13" x14ac:dyDescent="0.25">
      <c r="A11060" s="1" t="str">
        <f>HYPERLINK("http://www.rosaceae.org/Prunus/Prunus_persica/p.persica_gdr_reftransV1_0013988","p.persica_gdr_reftransV1_0013988")</f>
        <v>p.persica_gdr_reftransV1_0013988</v>
      </c>
      <c r="B11060" s="3">
        <v>2810</v>
      </c>
      <c r="C11060" s="1" t="str">
        <f>HYPERLINK("http://www.uniprot.org/uniprot/SAM5B_DANRE","SAM5B_DANRE")</f>
        <v>SAM5B_DANRE</v>
      </c>
      <c r="D11060" t="s">
        <v>7898</v>
      </c>
      <c r="E11060" s="3" t="s">
        <v>704</v>
      </c>
      <c r="F11060" s="4">
        <v>7.6200000000000001E-29</v>
      </c>
      <c r="G11060" s="3">
        <v>313</v>
      </c>
      <c r="H11060" s="3">
        <v>28</v>
      </c>
      <c r="I11060" s="3">
        <v>466</v>
      </c>
      <c r="J11060" s="3">
        <v>404</v>
      </c>
      <c r="K11060" s="3">
        <v>1759</v>
      </c>
      <c r="L11060" s="3">
        <v>41</v>
      </c>
      <c r="M11060" s="3">
        <v>462</v>
      </c>
    </row>
    <row r="11061" spans="1:13" x14ac:dyDescent="0.25">
      <c r="A11061" s="1" t="str">
        <f>HYPERLINK("http://www.rosaceae.org/Prunus/Prunus_persica/p.persica_gdr_reftransV1_0014238","p.persica_gdr_reftransV1_0014238")</f>
        <v>p.persica_gdr_reftransV1_0014238</v>
      </c>
      <c r="B11061" s="3">
        <v>1602</v>
      </c>
      <c r="C11061" s="1" t="str">
        <f>HYPERLINK("http://www.uniprot.org/uniprot/PP316_ARATH","PP316_ARATH")</f>
        <v>PP316_ARATH</v>
      </c>
      <c r="D11061" t="s">
        <v>191</v>
      </c>
      <c r="E11061" s="3" t="s">
        <v>3</v>
      </c>
      <c r="F11061" s="4">
        <v>3.47E-38</v>
      </c>
      <c r="G11061" s="3">
        <v>383</v>
      </c>
      <c r="H11061" s="3">
        <v>44</v>
      </c>
      <c r="I11061" s="3">
        <v>156</v>
      </c>
      <c r="J11061" s="3">
        <v>5</v>
      </c>
      <c r="K11061" s="3">
        <v>472</v>
      </c>
      <c r="L11061" s="3">
        <v>380</v>
      </c>
      <c r="M11061" s="3">
        <v>534</v>
      </c>
    </row>
    <row r="11062" spans="1:13" x14ac:dyDescent="0.25">
      <c r="A11062" s="1" t="str">
        <f>HYPERLINK("http://www.rosaceae.org/Prunus/Prunus_persica/p.persica_gdr_reftransV1_0014688","p.persica_gdr_reftransV1_0014688")</f>
        <v>p.persica_gdr_reftransV1_0014688</v>
      </c>
      <c r="B11062" s="3">
        <v>2448</v>
      </c>
      <c r="C11062" s="1" t="str">
        <f>HYPERLINK("http://www.uniprot.org/uniprot/CTPA2_ARATH","CTPA2_ARATH")</f>
        <v>CTPA2_ARATH</v>
      </c>
      <c r="D11062" t="s">
        <v>7899</v>
      </c>
      <c r="E11062" s="3" t="s">
        <v>3</v>
      </c>
      <c r="F11062" s="4">
        <v>1.32E-162</v>
      </c>
      <c r="G11062" s="3">
        <v>1259</v>
      </c>
      <c r="H11062" s="3">
        <v>80</v>
      </c>
      <c r="I11062" s="3">
        <v>287</v>
      </c>
      <c r="J11062" s="3">
        <v>971</v>
      </c>
      <c r="K11062" s="3">
        <v>1831</v>
      </c>
      <c r="L11062" s="3">
        <v>125</v>
      </c>
      <c r="M11062" s="3">
        <v>411</v>
      </c>
    </row>
    <row r="11063" spans="1:13" x14ac:dyDescent="0.25">
      <c r="A11063" s="1" t="str">
        <f>HYPERLINK("http://www.rosaceae.org/Prunus/Prunus_persica/p.persica_gdr_reftransV1_0014838","p.persica_gdr_reftransV1_0014838")</f>
        <v>p.persica_gdr_reftransV1_0014838</v>
      </c>
      <c r="B11063" s="3">
        <v>1513</v>
      </c>
      <c r="C11063" s="1" t="str">
        <f>HYPERLINK("http://www.uniprot.org/uniprot/PGAP3_DANRE","PGAP3_DANRE")</f>
        <v>PGAP3_DANRE</v>
      </c>
      <c r="D11063" t="s">
        <v>7900</v>
      </c>
      <c r="E11063" s="3" t="s">
        <v>704</v>
      </c>
      <c r="F11063" s="4">
        <v>8.3499999999999995E-23</v>
      </c>
      <c r="G11063" s="3">
        <v>156</v>
      </c>
      <c r="H11063" s="3">
        <v>35</v>
      </c>
      <c r="I11063" s="3">
        <v>140</v>
      </c>
      <c r="J11063" s="3">
        <v>306</v>
      </c>
      <c r="K11063" s="3">
        <v>725</v>
      </c>
      <c r="L11063" s="3">
        <v>95</v>
      </c>
      <c r="M11063" s="3">
        <v>224</v>
      </c>
    </row>
    <row r="11064" spans="1:13" x14ac:dyDescent="0.25">
      <c r="A11064" s="1" t="str">
        <f>HYPERLINK("http://www.rosaceae.org/Prunus/Prunus_persica/p.persica_gdr_reftransV1_0014938","p.persica_gdr_reftransV1_0014938")</f>
        <v>p.persica_gdr_reftransV1_0014938</v>
      </c>
      <c r="B11064" s="3">
        <v>2070</v>
      </c>
      <c r="C11064" s="1" t="str">
        <f>HYPERLINK("http://www.uniprot.org/uniprot/RS1A_SYNY3","RS1A_SYNY3")</f>
        <v>RS1A_SYNY3</v>
      </c>
      <c r="D11064" t="s">
        <v>7901</v>
      </c>
      <c r="E11064" s="3" t="s">
        <v>527</v>
      </c>
      <c r="F11064" s="4">
        <v>8.6499999999999995E-28</v>
      </c>
      <c r="G11064" s="3">
        <v>298</v>
      </c>
      <c r="H11064" s="3">
        <v>36</v>
      </c>
      <c r="I11064" s="3">
        <v>224</v>
      </c>
      <c r="J11064" s="3">
        <v>454</v>
      </c>
      <c r="K11064" s="3">
        <v>1110</v>
      </c>
      <c r="L11064" s="3">
        <v>93</v>
      </c>
      <c r="M11064" s="3">
        <v>309</v>
      </c>
    </row>
    <row r="11065" spans="1:13" x14ac:dyDescent="0.25">
      <c r="A11065" s="1" t="str">
        <f>HYPERLINK("http://www.rosaceae.org/Prunus/Prunus_persica/p.persica_gdr_reftransV1_0015088","p.persica_gdr_reftransV1_0015088")</f>
        <v>p.persica_gdr_reftransV1_0015088</v>
      </c>
      <c r="B11065" s="3">
        <v>1472</v>
      </c>
      <c r="C11065" s="1" t="str">
        <f>HYPERLINK("http://www.uniprot.org/uniprot/TRM7_HUMAN","TRM7_HUMAN")</f>
        <v>TRM7_HUMAN</v>
      </c>
      <c r="D11065" t="s">
        <v>7902</v>
      </c>
      <c r="E11065" s="3" t="s">
        <v>28</v>
      </c>
      <c r="F11065" s="4">
        <v>1.33E-110</v>
      </c>
      <c r="G11065" s="3">
        <v>866</v>
      </c>
      <c r="H11065" s="3">
        <v>59</v>
      </c>
      <c r="I11065" s="3">
        <v>300</v>
      </c>
      <c r="J11065" s="3">
        <v>243</v>
      </c>
      <c r="K11065" s="3">
        <v>1142</v>
      </c>
      <c r="L11065" s="3">
        <v>1</v>
      </c>
      <c r="M11065" s="3">
        <v>282</v>
      </c>
    </row>
    <row r="11066" spans="1:13" x14ac:dyDescent="0.25">
      <c r="A11066" s="1" t="str">
        <f>HYPERLINK("http://www.rosaceae.org/Prunus/Prunus_persica/p.persica_gdr_reftransV1_0015138","p.persica_gdr_reftransV1_0015138")</f>
        <v>p.persica_gdr_reftransV1_0015138</v>
      </c>
      <c r="B11066" s="3">
        <v>519</v>
      </c>
      <c r="C11066" s="1" t="str">
        <f>HYPERLINK("http://www.uniprot.org/uniprot/HEM11_CUCSA","HEM11_CUCSA")</f>
        <v>HEM11_CUCSA</v>
      </c>
      <c r="D11066" t="s">
        <v>6060</v>
      </c>
      <c r="E11066" s="3" t="s">
        <v>1149</v>
      </c>
      <c r="F11066" s="4">
        <v>2.8500000000000001E-33</v>
      </c>
      <c r="G11066" s="3">
        <v>320</v>
      </c>
      <c r="H11066" s="3">
        <v>83</v>
      </c>
      <c r="I11066" s="3">
        <v>70</v>
      </c>
      <c r="J11066" s="3">
        <v>310</v>
      </c>
      <c r="K11066" s="3">
        <v>519</v>
      </c>
      <c r="L11066" s="3">
        <v>90</v>
      </c>
      <c r="M11066" s="3">
        <v>159</v>
      </c>
    </row>
    <row r="11067" spans="1:13" x14ac:dyDescent="0.25">
      <c r="A11067" s="1" t="str">
        <f>HYPERLINK("http://www.rosaceae.org/Prunus/Prunus_persica/p.persica_gdr_reftransV1_0015288","p.persica_gdr_reftransV1_0015288")</f>
        <v>p.persica_gdr_reftransV1_0015288</v>
      </c>
      <c r="B11067" s="3">
        <v>1431</v>
      </c>
      <c r="C11067" s="1" t="str">
        <f>HYPERLINK("http://www.uniprot.org/uniprot/GXM1_ARATH","GXM1_ARATH")</f>
        <v>GXM1_ARATH</v>
      </c>
      <c r="D11067" t="s">
        <v>5147</v>
      </c>
      <c r="E11067" s="3" t="s">
        <v>3</v>
      </c>
      <c r="F11067" s="4">
        <v>2.3799999999999999E-64</v>
      </c>
      <c r="G11067" s="3">
        <v>549</v>
      </c>
      <c r="H11067" s="3">
        <v>48</v>
      </c>
      <c r="I11067" s="3">
        <v>223</v>
      </c>
      <c r="J11067" s="3">
        <v>427</v>
      </c>
      <c r="K11067" s="3">
        <v>1092</v>
      </c>
      <c r="L11067" s="3">
        <v>62</v>
      </c>
      <c r="M11067" s="3">
        <v>281</v>
      </c>
    </row>
    <row r="11068" spans="1:13" x14ac:dyDescent="0.25">
      <c r="A11068" s="1" t="str">
        <f>HYPERLINK("http://www.rosaceae.org/Prunus/Prunus_persica/p.persica_gdr_reftransV1_0015588","p.persica_gdr_reftransV1_0015588")</f>
        <v>p.persica_gdr_reftransV1_0015588</v>
      </c>
      <c r="B11068" s="3">
        <v>2709</v>
      </c>
      <c r="C11068" s="1" t="str">
        <f>HYPERLINK("http://www.uniprot.org/uniprot/P2C16_ARATH","P2C16_ARATH")</f>
        <v>P2C16_ARATH</v>
      </c>
      <c r="D11068" t="s">
        <v>1383</v>
      </c>
      <c r="E11068" s="3" t="s">
        <v>3</v>
      </c>
      <c r="F11068" s="4">
        <v>0</v>
      </c>
      <c r="G11068" s="3">
        <v>1481</v>
      </c>
      <c r="H11068" s="3">
        <v>56</v>
      </c>
      <c r="I11068" s="3">
        <v>553</v>
      </c>
      <c r="J11068" s="3">
        <v>722</v>
      </c>
      <c r="K11068" s="3">
        <v>2362</v>
      </c>
      <c r="L11068" s="3">
        <v>1</v>
      </c>
      <c r="M11068" s="3">
        <v>511</v>
      </c>
    </row>
    <row r="11069" spans="1:13" x14ac:dyDescent="0.25">
      <c r="A11069" s="1" t="str">
        <f>HYPERLINK("http://www.rosaceae.org/Prunus/Prunus_persica/p.persica_gdr_reftransV1_0015888","p.persica_gdr_reftransV1_0015888")</f>
        <v>p.persica_gdr_reftransV1_0015888</v>
      </c>
      <c r="B11069" s="3">
        <v>2801</v>
      </c>
      <c r="C11069" s="1" t="str">
        <f>HYPERLINK("http://www.uniprot.org/uniprot/IKU2_ARATH","IKU2_ARATH")</f>
        <v>IKU2_ARATH</v>
      </c>
      <c r="D11069" t="s">
        <v>1920</v>
      </c>
      <c r="E11069" s="3" t="s">
        <v>3</v>
      </c>
      <c r="F11069" s="4">
        <v>0</v>
      </c>
      <c r="G11069" s="3">
        <v>2068</v>
      </c>
      <c r="H11069" s="3">
        <v>54</v>
      </c>
      <c r="I11069" s="3">
        <v>833</v>
      </c>
      <c r="J11069" s="3">
        <v>15</v>
      </c>
      <c r="K11069" s="3">
        <v>2465</v>
      </c>
      <c r="L11069" s="3">
        <v>17</v>
      </c>
      <c r="M11069" s="3">
        <v>843</v>
      </c>
    </row>
    <row r="11070" spans="1:13" x14ac:dyDescent="0.25">
      <c r="A11070" s="1" t="str">
        <f>HYPERLINK("http://www.rosaceae.org/Prunus/Prunus_persica/p.persica_gdr_reftransV1_0015938","p.persica_gdr_reftransV1_0015938")</f>
        <v>p.persica_gdr_reftransV1_0015938</v>
      </c>
      <c r="B11070" s="3">
        <v>3197</v>
      </c>
      <c r="C11070" s="1" t="str">
        <f>HYPERLINK("http://www.uniprot.org/uniprot/PUB42_ARATH","PUB42_ARATH")</f>
        <v>PUB42_ARATH</v>
      </c>
      <c r="D11070" t="s">
        <v>7903</v>
      </c>
      <c r="E11070" s="3" t="s">
        <v>3</v>
      </c>
      <c r="F11070" s="4">
        <v>1.13E-31</v>
      </c>
      <c r="G11070" s="3">
        <v>346</v>
      </c>
      <c r="H11070" s="3">
        <v>25</v>
      </c>
      <c r="I11070" s="3">
        <v>802</v>
      </c>
      <c r="J11070" s="3">
        <v>279</v>
      </c>
      <c r="K11070" s="3">
        <v>2531</v>
      </c>
      <c r="L11070" s="3">
        <v>246</v>
      </c>
      <c r="M11070" s="3">
        <v>1032</v>
      </c>
    </row>
    <row r="11071" spans="1:13" x14ac:dyDescent="0.25">
      <c r="A11071" s="1" t="str">
        <f>HYPERLINK("http://www.rosaceae.org/Prunus/Prunus_persica/p.persica_gdr_reftransV1_0016038","p.persica_gdr_reftransV1_0016038")</f>
        <v>p.persica_gdr_reftransV1_0016038</v>
      </c>
      <c r="B11071" s="3">
        <v>525</v>
      </c>
      <c r="C11071" s="1" t="str">
        <f>HYPERLINK("http://www.uniprot.org/uniprot/ACT5_TOBAC","ACT5_TOBAC")</f>
        <v>ACT5_TOBAC</v>
      </c>
      <c r="D11071" t="s">
        <v>7904</v>
      </c>
      <c r="E11071" s="3" t="s">
        <v>200</v>
      </c>
      <c r="F11071" s="4">
        <v>3.5400000000000001E-110</v>
      </c>
      <c r="G11071" s="3">
        <v>831</v>
      </c>
      <c r="H11071" s="3">
        <v>97</v>
      </c>
      <c r="I11071" s="3">
        <v>174</v>
      </c>
      <c r="J11071" s="3">
        <v>2</v>
      </c>
      <c r="K11071" s="3">
        <v>523</v>
      </c>
      <c r="L11071" s="3">
        <v>110</v>
      </c>
      <c r="M11071" s="3">
        <v>283</v>
      </c>
    </row>
    <row r="11072" spans="1:13" x14ac:dyDescent="0.25">
      <c r="A11072" s="1" t="str">
        <f>HYPERLINK("http://www.rosaceae.org/Prunus/Prunus_persica/p.persica_gdr_reftransV1_0016138","p.persica_gdr_reftransV1_0016138")</f>
        <v>p.persica_gdr_reftransV1_0016138</v>
      </c>
      <c r="B11072" s="3">
        <v>1304</v>
      </c>
      <c r="C11072" s="1" t="str">
        <f>HYPERLINK("http://www.uniprot.org/uniprot/YRDC_RAT","YRDC_RAT")</f>
        <v>YRDC_RAT</v>
      </c>
      <c r="D11072" t="s">
        <v>7905</v>
      </c>
      <c r="E11072" s="3" t="s">
        <v>161</v>
      </c>
      <c r="F11072" s="4">
        <v>3.87E-53</v>
      </c>
      <c r="G11072" s="3">
        <v>469</v>
      </c>
      <c r="H11072" s="3">
        <v>50</v>
      </c>
      <c r="I11072" s="3">
        <v>197</v>
      </c>
      <c r="J11072" s="3">
        <v>328</v>
      </c>
      <c r="K11072" s="3">
        <v>903</v>
      </c>
      <c r="L11072" s="3">
        <v>74</v>
      </c>
      <c r="M11072" s="3">
        <v>267</v>
      </c>
    </row>
    <row r="11073" spans="1:13" x14ac:dyDescent="0.25">
      <c r="A11073" s="1" t="str">
        <f>HYPERLINK("http://www.rosaceae.org/Prunus/Prunus_persica/p.persica_gdr_reftransV1_0016188","p.persica_gdr_reftransV1_0016188")</f>
        <v>p.persica_gdr_reftransV1_0016188</v>
      </c>
      <c r="B11073" s="3">
        <v>1376</v>
      </c>
      <c r="C11073" s="1" t="str">
        <f>HYPERLINK("http://www.uniprot.org/uniprot/SPCS2_ARATH","SPCS2_ARATH")</f>
        <v>SPCS2_ARATH</v>
      </c>
      <c r="D11073" t="s">
        <v>7906</v>
      </c>
      <c r="E11073" s="3" t="s">
        <v>3</v>
      </c>
      <c r="F11073" s="4">
        <v>1.08E-45</v>
      </c>
      <c r="G11073" s="3">
        <v>412</v>
      </c>
      <c r="H11073" s="3">
        <v>75</v>
      </c>
      <c r="I11073" s="3">
        <v>107</v>
      </c>
      <c r="J11073" s="3">
        <v>338</v>
      </c>
      <c r="K11073" s="3">
        <v>652</v>
      </c>
      <c r="L11073" s="3">
        <v>86</v>
      </c>
      <c r="M11073" s="3">
        <v>192</v>
      </c>
    </row>
    <row r="11074" spans="1:13" x14ac:dyDescent="0.25">
      <c r="A11074" s="1" t="str">
        <f>HYPERLINK("http://www.rosaceae.org/Prunus/Prunus_persica/p.persica_gdr_reftransV1_0016238","p.persica_gdr_reftransV1_0016238")</f>
        <v>p.persica_gdr_reftransV1_0016238</v>
      </c>
      <c r="B11074" s="3">
        <v>4799</v>
      </c>
      <c r="C11074" s="1" t="str">
        <f>HYPERLINK("http://www.uniprot.org/uniprot/JMJ16_ARATH","JMJ16_ARATH")</f>
        <v>JMJ16_ARATH</v>
      </c>
      <c r="D11074" t="s">
        <v>7907</v>
      </c>
      <c r="E11074" s="3" t="s">
        <v>3</v>
      </c>
      <c r="F11074" s="4">
        <v>0</v>
      </c>
      <c r="G11074" s="3">
        <v>3322</v>
      </c>
      <c r="H11074" s="3">
        <v>56</v>
      </c>
      <c r="I11074" s="3">
        <v>1255</v>
      </c>
      <c r="J11074" s="3">
        <v>370</v>
      </c>
      <c r="K11074" s="3">
        <v>4044</v>
      </c>
      <c r="L11074" s="3">
        <v>1</v>
      </c>
      <c r="M11074" s="3">
        <v>1208</v>
      </c>
    </row>
    <row r="11075" spans="1:13" x14ac:dyDescent="0.25">
      <c r="A11075" s="1" t="str">
        <f>HYPERLINK("http://www.rosaceae.org/Prunus/Prunus_persica/p.persica_gdr_reftransV1_0016488","p.persica_gdr_reftransV1_0016488")</f>
        <v>p.persica_gdr_reftransV1_0016488</v>
      </c>
      <c r="B11075" s="3">
        <v>622</v>
      </c>
      <c r="C11075" s="1" t="str">
        <f>HYPERLINK("http://www.uniprot.org/uniprot/BGLS_TRIRP","BGLS_TRIRP")</f>
        <v>BGLS_TRIRP</v>
      </c>
      <c r="D11075" t="s">
        <v>732</v>
      </c>
      <c r="E11075" s="3" t="s">
        <v>733</v>
      </c>
      <c r="F11075" s="4">
        <v>9.2099999999999996E-75</v>
      </c>
      <c r="G11075" s="3">
        <v>611</v>
      </c>
      <c r="H11075" s="3">
        <v>64</v>
      </c>
      <c r="I11075" s="3">
        <v>176</v>
      </c>
      <c r="J11075" s="3">
        <v>2</v>
      </c>
      <c r="K11075" s="3">
        <v>529</v>
      </c>
      <c r="L11075" s="3">
        <v>16</v>
      </c>
      <c r="M11075" s="3">
        <v>187</v>
      </c>
    </row>
    <row r="11076" spans="1:13" x14ac:dyDescent="0.25">
      <c r="A11076" s="1" t="str">
        <f>HYPERLINK("http://www.rosaceae.org/Prunus/Prunus_persica/p.persica_gdr_reftransV1_0016638","p.persica_gdr_reftransV1_0016638")</f>
        <v>p.persica_gdr_reftransV1_0016638</v>
      </c>
      <c r="B11076" s="3">
        <v>1796</v>
      </c>
      <c r="C11076" s="1" t="str">
        <f>HYPERLINK("http://www.uniprot.org/uniprot/E132_ARATH","E132_ARATH")</f>
        <v>E132_ARATH</v>
      </c>
      <c r="D11076" t="s">
        <v>7908</v>
      </c>
      <c r="E11076" s="3" t="s">
        <v>3</v>
      </c>
      <c r="F11076" s="4">
        <v>0</v>
      </c>
      <c r="G11076" s="3">
        <v>1835</v>
      </c>
      <c r="H11076" s="3">
        <v>76</v>
      </c>
      <c r="I11076" s="3">
        <v>452</v>
      </c>
      <c r="J11076" s="3">
        <v>282</v>
      </c>
      <c r="K11076" s="3">
        <v>1631</v>
      </c>
      <c r="L11076" s="3">
        <v>26</v>
      </c>
      <c r="M11076" s="3">
        <v>476</v>
      </c>
    </row>
    <row r="11077" spans="1:13" x14ac:dyDescent="0.25">
      <c r="A11077" s="1" t="str">
        <f>HYPERLINK("http://www.rosaceae.org/Prunus/Prunus_persica/p.persica_gdr_reftransV1_0016688","p.persica_gdr_reftransV1_0016688")</f>
        <v>p.persica_gdr_reftransV1_0016688</v>
      </c>
      <c r="B11077" s="3">
        <v>4118</v>
      </c>
      <c r="C11077" s="1" t="str">
        <f>HYPERLINK("http://www.uniprot.org/uniprot/UCKC_DICDI","UCKC_DICDI")</f>
        <v>UCKC_DICDI</v>
      </c>
      <c r="D11077" t="s">
        <v>1028</v>
      </c>
      <c r="E11077" s="3" t="s">
        <v>9</v>
      </c>
      <c r="F11077" s="4">
        <v>6.3800000000000004E-54</v>
      </c>
      <c r="G11077" s="3">
        <v>512</v>
      </c>
      <c r="H11077" s="3">
        <v>36</v>
      </c>
      <c r="I11077" s="3">
        <v>345</v>
      </c>
      <c r="J11077" s="3">
        <v>2396</v>
      </c>
      <c r="K11077" s="3">
        <v>3415</v>
      </c>
      <c r="L11077" s="3">
        <v>64</v>
      </c>
      <c r="M11077" s="3">
        <v>406</v>
      </c>
    </row>
    <row r="11078" spans="1:13" x14ac:dyDescent="0.25">
      <c r="A11078" s="1" t="str">
        <f>HYPERLINK("http://www.rosaceae.org/Prunus/Prunus_persica/p.persica_gdr_reftransV1_0016738","p.persica_gdr_reftransV1_0016738")</f>
        <v>p.persica_gdr_reftransV1_0016738</v>
      </c>
      <c r="B11078" s="3">
        <v>1258</v>
      </c>
      <c r="C11078" s="1" t="str">
        <f>HYPERLINK("http://www.uniprot.org/uniprot/EX53_AQUAE","EX53_AQUAE")</f>
        <v>EX53_AQUAE</v>
      </c>
      <c r="D11078" t="s">
        <v>7909</v>
      </c>
      <c r="E11078" s="3" t="s">
        <v>863</v>
      </c>
      <c r="F11078" s="4">
        <v>1.16E-26</v>
      </c>
      <c r="G11078" s="3">
        <v>279</v>
      </c>
      <c r="H11078" s="3">
        <v>31</v>
      </c>
      <c r="I11078" s="3">
        <v>262</v>
      </c>
      <c r="J11078" s="3">
        <v>238</v>
      </c>
      <c r="K11078" s="3">
        <v>1017</v>
      </c>
      <c r="L11078" s="3">
        <v>17</v>
      </c>
      <c r="M11078" s="3">
        <v>258</v>
      </c>
    </row>
    <row r="11079" spans="1:13" x14ac:dyDescent="0.25">
      <c r="A11079" s="1" t="str">
        <f>HYPERLINK("http://www.rosaceae.org/Prunus/Prunus_persica/p.persica_gdr_reftransV1_0016988","p.persica_gdr_reftransV1_0016988")</f>
        <v>p.persica_gdr_reftransV1_0016988</v>
      </c>
      <c r="B11079" s="3">
        <v>5884</v>
      </c>
      <c r="C11079" s="1" t="str">
        <f>HYPERLINK("http://www.uniprot.org/uniprot/ECM29_HUMAN","ECM29_HUMAN")</f>
        <v>ECM29_HUMAN</v>
      </c>
      <c r="D11079" t="s">
        <v>7910</v>
      </c>
      <c r="E11079" s="3" t="s">
        <v>28</v>
      </c>
      <c r="F11079" s="4">
        <v>0</v>
      </c>
      <c r="G11079" s="3">
        <v>1700</v>
      </c>
      <c r="H11079" s="3">
        <v>29</v>
      </c>
      <c r="I11079" s="3">
        <v>1654</v>
      </c>
      <c r="J11079" s="3">
        <v>255</v>
      </c>
      <c r="K11079" s="3">
        <v>4937</v>
      </c>
      <c r="L11079" s="3">
        <v>53</v>
      </c>
      <c r="M11079" s="3">
        <v>1662</v>
      </c>
    </row>
    <row r="11080" spans="1:13" x14ac:dyDescent="0.25">
      <c r="A11080" s="1" t="str">
        <f>HYPERLINK("http://www.rosaceae.org/Prunus/Prunus_persica/p.persica_gdr_reftransV1_0017288","p.persica_gdr_reftransV1_0017288")</f>
        <v>p.persica_gdr_reftransV1_0017288</v>
      </c>
      <c r="B11080" s="3">
        <v>1382</v>
      </c>
      <c r="C11080" s="1" t="str">
        <f>HYPERLINK("http://www.uniprot.org/uniprot/GATA9_ARATH","GATA9_ARATH")</f>
        <v>GATA9_ARATH</v>
      </c>
      <c r="D11080" t="s">
        <v>7911</v>
      </c>
      <c r="E11080" s="3" t="s">
        <v>3</v>
      </c>
      <c r="F11080" s="4">
        <v>1.4800000000000001E-68</v>
      </c>
      <c r="G11080" s="3">
        <v>579</v>
      </c>
      <c r="H11080" s="3">
        <v>42</v>
      </c>
      <c r="I11080" s="3">
        <v>358</v>
      </c>
      <c r="J11080" s="3">
        <v>184</v>
      </c>
      <c r="K11080" s="3">
        <v>1224</v>
      </c>
      <c r="L11080" s="3">
        <v>16</v>
      </c>
      <c r="M11080" s="3">
        <v>308</v>
      </c>
    </row>
    <row r="11081" spans="1:13" x14ac:dyDescent="0.25">
      <c r="A11081" s="1" t="str">
        <f>HYPERLINK("http://www.rosaceae.org/Prunus/Prunus_persica/p.persica_gdr_reftransV1_0017388","p.persica_gdr_reftransV1_0017388")</f>
        <v>p.persica_gdr_reftransV1_0017388</v>
      </c>
      <c r="B11081" s="3">
        <v>1349</v>
      </c>
      <c r="C11081" s="1" t="str">
        <f>HYPERLINK("http://www.uniprot.org/uniprot/RNHX1_ARATH","RNHX1_ARATH")</f>
        <v>RNHX1_ARATH</v>
      </c>
      <c r="D11081" t="s">
        <v>124</v>
      </c>
      <c r="E11081" s="3" t="s">
        <v>3</v>
      </c>
      <c r="F11081" s="4">
        <v>9.8799999999999992E-31</v>
      </c>
      <c r="G11081" s="3">
        <v>322</v>
      </c>
      <c r="H11081" s="3">
        <v>31</v>
      </c>
      <c r="I11081" s="3">
        <v>354</v>
      </c>
      <c r="J11081" s="3">
        <v>45</v>
      </c>
      <c r="K11081" s="3">
        <v>1079</v>
      </c>
      <c r="L11081" s="3">
        <v>16</v>
      </c>
      <c r="M11081" s="3">
        <v>353</v>
      </c>
    </row>
    <row r="11082" spans="1:13" x14ac:dyDescent="0.25">
      <c r="A11082" s="1" t="str">
        <f>HYPERLINK("http://www.rosaceae.org/Prunus/Prunus_persica/p.persica_gdr_reftransV1_0017838","p.persica_gdr_reftransV1_0017838")</f>
        <v>p.persica_gdr_reftransV1_0017838</v>
      </c>
      <c r="B11082" s="3">
        <v>996</v>
      </c>
      <c r="C11082" s="1" t="str">
        <f>HYPERLINK("http://www.uniprot.org/uniprot/MBF1B_ARATH","MBF1B_ARATH")</f>
        <v>MBF1B_ARATH</v>
      </c>
      <c r="D11082" t="s">
        <v>7912</v>
      </c>
      <c r="E11082" s="3" t="s">
        <v>3</v>
      </c>
      <c r="F11082" s="4">
        <v>1.91E-31</v>
      </c>
      <c r="G11082" s="3">
        <v>301</v>
      </c>
      <c r="H11082" s="3">
        <v>73</v>
      </c>
      <c r="I11082" s="3">
        <v>81</v>
      </c>
      <c r="J11082" s="3">
        <v>126</v>
      </c>
      <c r="K11082" s="3">
        <v>365</v>
      </c>
      <c r="L11082" s="3">
        <v>1</v>
      </c>
      <c r="M11082" s="3">
        <v>81</v>
      </c>
    </row>
    <row r="11083" spans="1:13" x14ac:dyDescent="0.25">
      <c r="A11083" s="1" t="str">
        <f>HYPERLINK("http://www.rosaceae.org/Prunus/Prunus_persica/p.persica_gdr_reftransV1_0017988","p.persica_gdr_reftransV1_0017988")</f>
        <v>p.persica_gdr_reftransV1_0017988</v>
      </c>
      <c r="B11083" s="3">
        <v>1120</v>
      </c>
      <c r="C11083" s="1" t="str">
        <f>HYPERLINK("http://www.uniprot.org/uniprot/GPMA_PARUW","GPMA_PARUW")</f>
        <v>GPMA_PARUW</v>
      </c>
      <c r="D11083" t="s">
        <v>7170</v>
      </c>
      <c r="E11083" s="3" t="s">
        <v>4254</v>
      </c>
      <c r="F11083" s="4">
        <v>4.8700000000000003E-53</v>
      </c>
      <c r="G11083" s="3">
        <v>460</v>
      </c>
      <c r="H11083" s="3">
        <v>58</v>
      </c>
      <c r="I11083" s="3">
        <v>136</v>
      </c>
      <c r="J11083" s="3">
        <v>150</v>
      </c>
      <c r="K11083" s="3">
        <v>557</v>
      </c>
      <c r="L11083" s="3">
        <v>89</v>
      </c>
      <c r="M11083" s="3">
        <v>224</v>
      </c>
    </row>
    <row r="11084" spans="1:13" x14ac:dyDescent="0.25">
      <c r="A11084" s="1" t="str">
        <f>HYPERLINK("http://www.rosaceae.org/Prunus/Prunus_persica/p.persica_gdr_reftransV1_0018038","p.persica_gdr_reftransV1_0018038")</f>
        <v>p.persica_gdr_reftransV1_0018038</v>
      </c>
      <c r="B11084" s="3">
        <v>4383</v>
      </c>
      <c r="C11084" s="1" t="str">
        <f>HYPERLINK("http://www.uniprot.org/uniprot/XPO4_XENLA","XPO4_XENLA")</f>
        <v>XPO4_XENLA</v>
      </c>
      <c r="D11084" t="s">
        <v>7913</v>
      </c>
      <c r="E11084" s="3" t="s">
        <v>475</v>
      </c>
      <c r="F11084" s="4">
        <v>2.3999999999999999E-68</v>
      </c>
      <c r="G11084" s="3">
        <v>645</v>
      </c>
      <c r="H11084" s="3">
        <v>25</v>
      </c>
      <c r="I11084" s="3">
        <v>1115</v>
      </c>
      <c r="J11084" s="3">
        <v>743</v>
      </c>
      <c r="K11084" s="3">
        <v>3892</v>
      </c>
      <c r="L11084" s="3">
        <v>91</v>
      </c>
      <c r="M11084" s="3">
        <v>1147</v>
      </c>
    </row>
    <row r="11085" spans="1:13" x14ac:dyDescent="0.25">
      <c r="A11085" s="1" t="str">
        <f>HYPERLINK("http://www.rosaceae.org/Prunus/Prunus_persica/p.persica_gdr_reftransV1_0018238","p.persica_gdr_reftransV1_0018238")</f>
        <v>p.persica_gdr_reftransV1_0018238</v>
      </c>
      <c r="B11085" s="3">
        <v>540</v>
      </c>
      <c r="C11085" s="1" t="str">
        <f>HYPERLINK("http://www.uniprot.org/uniprot/QORX_HUMAN","QORX_HUMAN")</f>
        <v>QORX_HUMAN</v>
      </c>
      <c r="D11085" t="s">
        <v>1520</v>
      </c>
      <c r="E11085" s="3" t="s">
        <v>28</v>
      </c>
      <c r="F11085" s="4">
        <v>9.6300000000000004E-13</v>
      </c>
      <c r="G11085" s="3">
        <v>166</v>
      </c>
      <c r="H11085" s="3">
        <v>34</v>
      </c>
      <c r="I11085" s="3">
        <v>119</v>
      </c>
      <c r="J11085" s="3">
        <v>195</v>
      </c>
      <c r="K11085" s="3">
        <v>539</v>
      </c>
      <c r="L11085" s="3">
        <v>210</v>
      </c>
      <c r="M11085" s="3">
        <v>328</v>
      </c>
    </row>
    <row r="11086" spans="1:13" x14ac:dyDescent="0.25">
      <c r="A11086" s="1" t="str">
        <f>HYPERLINK("http://www.rosaceae.org/Prunus/Prunus_persica/p.persica_gdr_reftransV1_0018288","p.persica_gdr_reftransV1_0018288")</f>
        <v>p.persica_gdr_reftransV1_0018288</v>
      </c>
      <c r="B11086" s="3">
        <v>843</v>
      </c>
      <c r="C11086" s="1" t="str">
        <f>HYPERLINK("http://www.uniprot.org/uniprot/TMVRN_NICGU","TMVRN_NICGU")</f>
        <v>TMVRN_NICGU</v>
      </c>
      <c r="D11086" t="s">
        <v>151</v>
      </c>
      <c r="E11086" s="3" t="s">
        <v>152</v>
      </c>
      <c r="F11086" s="4">
        <v>4.6200000000000001E-24</v>
      </c>
      <c r="G11086" s="3">
        <v>266</v>
      </c>
      <c r="H11086" s="3">
        <v>56</v>
      </c>
      <c r="I11086" s="3">
        <v>96</v>
      </c>
      <c r="J11086" s="3">
        <v>555</v>
      </c>
      <c r="K11086" s="3">
        <v>842</v>
      </c>
      <c r="L11086" s="3">
        <v>59</v>
      </c>
      <c r="M11086" s="3">
        <v>153</v>
      </c>
    </row>
    <row r="11087" spans="1:13" x14ac:dyDescent="0.25">
      <c r="A11087" s="1" t="str">
        <f>HYPERLINK("http://www.rosaceae.org/Prunus/Prunus_persica/p.persica_gdr_reftransV1_0018438","p.persica_gdr_reftransV1_0018438")</f>
        <v>p.persica_gdr_reftransV1_0018438</v>
      </c>
      <c r="B11087" s="3">
        <v>959</v>
      </c>
      <c r="C11087" s="1" t="str">
        <f>HYPERLINK("http://www.uniprot.org/uniprot/NLAL2_ARATH","NLAL2_ARATH")</f>
        <v>NLAL2_ARATH</v>
      </c>
      <c r="D11087" t="s">
        <v>7914</v>
      </c>
      <c r="E11087" s="3" t="s">
        <v>3</v>
      </c>
      <c r="F11087" s="4">
        <v>1.72E-52</v>
      </c>
      <c r="G11087" s="3">
        <v>449</v>
      </c>
      <c r="H11087" s="3">
        <v>85</v>
      </c>
      <c r="I11087" s="3">
        <v>101</v>
      </c>
      <c r="J11087" s="3">
        <v>446</v>
      </c>
      <c r="K11087" s="3">
        <v>748</v>
      </c>
      <c r="L11087" s="3">
        <v>38</v>
      </c>
      <c r="M11087" s="3">
        <v>137</v>
      </c>
    </row>
    <row r="11088" spans="1:13" x14ac:dyDescent="0.25">
      <c r="A11088" s="1" t="str">
        <f>HYPERLINK("http://www.rosaceae.org/Prunus/Prunus_persica/p.persica_gdr_reftransV1_0018588","p.persica_gdr_reftransV1_0018588")</f>
        <v>p.persica_gdr_reftransV1_0018588</v>
      </c>
      <c r="B11088" s="3">
        <v>2784</v>
      </c>
      <c r="C11088" s="1" t="str">
        <f>HYPERLINK("http://www.uniprot.org/uniprot/RING4_ARATH","RING4_ARATH")</f>
        <v>RING4_ARATH</v>
      </c>
      <c r="D11088" t="s">
        <v>5291</v>
      </c>
      <c r="E11088" s="3" t="s">
        <v>3</v>
      </c>
      <c r="F11088" s="4">
        <v>3.1000000000000001E-16</v>
      </c>
      <c r="G11088" s="3">
        <v>210</v>
      </c>
      <c r="H11088" s="3">
        <v>26</v>
      </c>
      <c r="I11088" s="3">
        <v>297</v>
      </c>
      <c r="J11088" s="3">
        <v>468</v>
      </c>
      <c r="K11088" s="3">
        <v>1328</v>
      </c>
      <c r="L11088" s="3">
        <v>121</v>
      </c>
      <c r="M11088" s="3">
        <v>379</v>
      </c>
    </row>
    <row r="11089" spans="1:13" x14ac:dyDescent="0.25">
      <c r="A11089" s="1" t="str">
        <f>HYPERLINK("http://www.rosaceae.org/Prunus/Prunus_persica/p.persica_gdr_reftransV1_0018738","p.persica_gdr_reftransV1_0018738")</f>
        <v>p.persica_gdr_reftransV1_0018738</v>
      </c>
      <c r="B11089" s="3">
        <v>1987</v>
      </c>
      <c r="C11089" s="1" t="str">
        <f>HYPERLINK("http://www.uniprot.org/uniprot/PGTB1_ARATH","PGTB1_ARATH")</f>
        <v>PGTB1_ARATH</v>
      </c>
      <c r="D11089" t="s">
        <v>5135</v>
      </c>
      <c r="E11089" s="3" t="s">
        <v>3</v>
      </c>
      <c r="F11089" s="4">
        <v>1.5600000000000001E-71</v>
      </c>
      <c r="G11089" s="3">
        <v>543</v>
      </c>
      <c r="H11089" s="3">
        <v>65</v>
      </c>
      <c r="I11089" s="3">
        <v>162</v>
      </c>
      <c r="J11089" s="3">
        <v>1315</v>
      </c>
      <c r="K11089" s="3">
        <v>1800</v>
      </c>
      <c r="L11089" s="3">
        <v>35</v>
      </c>
      <c r="M11089" s="3">
        <v>193</v>
      </c>
    </row>
    <row r="11090" spans="1:13" x14ac:dyDescent="0.25">
      <c r="A11090" s="1" t="str">
        <f>HYPERLINK("http://www.rosaceae.org/Prunus/Prunus_persica/p.persica_gdr_reftransV1_0019438","p.persica_gdr_reftransV1_0019438")</f>
        <v>p.persica_gdr_reftransV1_0019438</v>
      </c>
      <c r="B11090" s="3">
        <v>902</v>
      </c>
      <c r="C11090" s="1" t="str">
        <f>HYPERLINK("http://www.uniprot.org/uniprot/FER1_SOLLC","FER1_SOLLC")</f>
        <v>FER1_SOLLC</v>
      </c>
      <c r="D11090" t="s">
        <v>7915</v>
      </c>
      <c r="E11090" s="3" t="s">
        <v>64</v>
      </c>
      <c r="F11090" s="4">
        <v>6.3300000000000005E-54</v>
      </c>
      <c r="G11090" s="3">
        <v>453</v>
      </c>
      <c r="H11090" s="3">
        <v>71</v>
      </c>
      <c r="I11090" s="3">
        <v>143</v>
      </c>
      <c r="J11090" s="3">
        <v>290</v>
      </c>
      <c r="K11090" s="3">
        <v>712</v>
      </c>
      <c r="L11090" s="3">
        <v>1</v>
      </c>
      <c r="M11090" s="3">
        <v>143</v>
      </c>
    </row>
    <row r="11091" spans="1:13" x14ac:dyDescent="0.25">
      <c r="A11091" s="1" t="str">
        <f>HYPERLINK("http://www.rosaceae.org/Prunus/Prunus_persica/p.persica_gdr_reftransV1_0019538","p.persica_gdr_reftransV1_0019538")</f>
        <v>p.persica_gdr_reftransV1_0019538</v>
      </c>
      <c r="B11091" s="3">
        <v>2606</v>
      </c>
      <c r="C11091" s="1" t="str">
        <f>HYPERLINK("http://www.uniprot.org/uniprot/GT644_ARATH","GT644_ARATH")</f>
        <v>GT644_ARATH</v>
      </c>
      <c r="D11091" t="s">
        <v>6128</v>
      </c>
      <c r="E11091" s="3" t="s">
        <v>3</v>
      </c>
      <c r="F11091" s="4">
        <v>7.9100000000000003E-150</v>
      </c>
      <c r="G11091" s="3">
        <v>1160</v>
      </c>
      <c r="H11091" s="3">
        <v>77</v>
      </c>
      <c r="I11091" s="3">
        <v>264</v>
      </c>
      <c r="J11091" s="3">
        <v>360</v>
      </c>
      <c r="K11091" s="3">
        <v>1151</v>
      </c>
      <c r="L11091" s="3">
        <v>71</v>
      </c>
      <c r="M11091" s="3">
        <v>334</v>
      </c>
    </row>
    <row r="11092" spans="1:13" x14ac:dyDescent="0.25">
      <c r="A11092" s="1" t="str">
        <f>HYPERLINK("http://www.rosaceae.org/Prunus/Prunus_persica/p.persica_gdr_reftransV1_0019688","p.persica_gdr_reftransV1_0019688")</f>
        <v>p.persica_gdr_reftransV1_0019688</v>
      </c>
      <c r="B11092" s="3">
        <v>1440</v>
      </c>
      <c r="C11092" s="1" t="str">
        <f>HYPERLINK("http://www.uniprot.org/uniprot/WHY1_ARATH","WHY1_ARATH")</f>
        <v>WHY1_ARATH</v>
      </c>
      <c r="D11092" t="s">
        <v>4900</v>
      </c>
      <c r="E11092" s="3" t="s">
        <v>3</v>
      </c>
      <c r="F11092" s="4">
        <v>8.7900000000000001E-65</v>
      </c>
      <c r="G11092" s="3">
        <v>550</v>
      </c>
      <c r="H11092" s="3">
        <v>61</v>
      </c>
      <c r="I11092" s="3">
        <v>205</v>
      </c>
      <c r="J11092" s="3">
        <v>101</v>
      </c>
      <c r="K11092" s="3">
        <v>712</v>
      </c>
      <c r="L11092" s="3">
        <v>5</v>
      </c>
      <c r="M11092" s="3">
        <v>195</v>
      </c>
    </row>
    <row r="11093" spans="1:13" x14ac:dyDescent="0.25">
      <c r="A11093" s="1" t="str">
        <f>HYPERLINK("http://www.rosaceae.org/Prunus/Prunus_persica/p.persica_gdr_reftransV1_0019738","p.persica_gdr_reftransV1_0019738")</f>
        <v>p.persica_gdr_reftransV1_0019738</v>
      </c>
      <c r="B11093" s="3">
        <v>2077</v>
      </c>
      <c r="C11093" s="1" t="str">
        <f>HYPERLINK("http://www.uniprot.org/uniprot/U396_DICDI","U396_DICDI")</f>
        <v>U396_DICDI</v>
      </c>
      <c r="D11093" t="s">
        <v>7916</v>
      </c>
      <c r="E11093" s="3" t="s">
        <v>9</v>
      </c>
      <c r="F11093" s="4">
        <v>8.8899999999999994E-37</v>
      </c>
      <c r="G11093" s="3">
        <v>373</v>
      </c>
      <c r="H11093" s="3">
        <v>59</v>
      </c>
      <c r="I11093" s="3">
        <v>119</v>
      </c>
      <c r="J11093" s="3">
        <v>268</v>
      </c>
      <c r="K11093" s="3">
        <v>621</v>
      </c>
      <c r="L11093" s="3">
        <v>394</v>
      </c>
      <c r="M11093" s="3">
        <v>510</v>
      </c>
    </row>
    <row r="11094" spans="1:13" x14ac:dyDescent="0.25">
      <c r="A11094" s="1" t="str">
        <f>HYPERLINK("http://www.rosaceae.org/Prunus/Prunus_persica/p.persica_gdr_reftransV1_0020338","p.persica_gdr_reftransV1_0020338")</f>
        <v>p.persica_gdr_reftransV1_0020338</v>
      </c>
      <c r="B11094" s="3">
        <v>1827</v>
      </c>
      <c r="C11094" s="1" t="str">
        <f>HYPERLINK("http://www.uniprot.org/uniprot/SDG40_ARATH","SDG40_ARATH")</f>
        <v>SDG40_ARATH</v>
      </c>
      <c r="D11094" t="s">
        <v>7917</v>
      </c>
      <c r="E11094" s="3" t="s">
        <v>3</v>
      </c>
      <c r="F11094" s="4">
        <v>3.3199999999999999E-130</v>
      </c>
      <c r="G11094" s="3">
        <v>905</v>
      </c>
      <c r="H11094" s="3">
        <v>53</v>
      </c>
      <c r="I11094" s="3">
        <v>348</v>
      </c>
      <c r="J11094" s="3">
        <v>527</v>
      </c>
      <c r="K11094" s="3">
        <v>1534</v>
      </c>
      <c r="L11094" s="3">
        <v>143</v>
      </c>
      <c r="M11094" s="3">
        <v>482</v>
      </c>
    </row>
    <row r="11095" spans="1:13" x14ac:dyDescent="0.25">
      <c r="A11095" s="1" t="str">
        <f>HYPERLINK("http://www.rosaceae.org/Prunus/Prunus_persica/p.persica_gdr_reftransV1_0020438","p.persica_gdr_reftransV1_0020438")</f>
        <v>p.persica_gdr_reftransV1_0020438</v>
      </c>
      <c r="B11095" s="3">
        <v>1237</v>
      </c>
      <c r="C11095" s="1" t="str">
        <f>HYPERLINK("http://www.uniprot.org/uniprot/GEML4_ARATH","GEML4_ARATH")</f>
        <v>GEML4_ARATH</v>
      </c>
      <c r="D11095" t="s">
        <v>7918</v>
      </c>
      <c r="E11095" s="3" t="s">
        <v>3</v>
      </c>
      <c r="F11095" s="4">
        <v>1.12E-61</v>
      </c>
      <c r="G11095" s="3">
        <v>521</v>
      </c>
      <c r="H11095" s="3">
        <v>58</v>
      </c>
      <c r="I11095" s="3">
        <v>170</v>
      </c>
      <c r="J11095" s="3">
        <v>418</v>
      </c>
      <c r="K11095" s="3">
        <v>927</v>
      </c>
      <c r="L11095" s="3">
        <v>54</v>
      </c>
      <c r="M11095" s="3">
        <v>218</v>
      </c>
    </row>
    <row r="11096" spans="1:13" x14ac:dyDescent="0.25">
      <c r="A11096" s="1" t="str">
        <f>HYPERLINK("http://www.rosaceae.org/Prunus/Prunus_persica/p.persica_gdr_reftransV1_0020488","p.persica_gdr_reftransV1_0020488")</f>
        <v>p.persica_gdr_reftransV1_0020488</v>
      </c>
      <c r="B11096" s="3">
        <v>1538</v>
      </c>
      <c r="C11096" s="1" t="str">
        <f>HYPERLINK("http://www.uniprot.org/uniprot/GATL3_ARATH","GATL3_ARATH")</f>
        <v>GATL3_ARATH</v>
      </c>
      <c r="D11096" t="s">
        <v>5141</v>
      </c>
      <c r="E11096" s="3" t="s">
        <v>3</v>
      </c>
      <c r="F11096" s="4">
        <v>5.0700000000000002E-114</v>
      </c>
      <c r="G11096" s="3">
        <v>892</v>
      </c>
      <c r="H11096" s="3">
        <v>72</v>
      </c>
      <c r="I11096" s="3">
        <v>254</v>
      </c>
      <c r="J11096" s="3">
        <v>777</v>
      </c>
      <c r="K11096" s="3">
        <v>1538</v>
      </c>
      <c r="L11096" s="3">
        <v>21</v>
      </c>
      <c r="M11096" s="3">
        <v>268</v>
      </c>
    </row>
    <row r="11097" spans="1:13" x14ac:dyDescent="0.25">
      <c r="A11097" s="1" t="str">
        <f>HYPERLINK("http://www.rosaceae.org/Prunus/Prunus_persica/p.persica_gdr_reftransV1_0020538","p.persica_gdr_reftransV1_0020538")</f>
        <v>p.persica_gdr_reftransV1_0020538</v>
      </c>
      <c r="B11097" s="3">
        <v>4623</v>
      </c>
      <c r="C11097" s="1" t="str">
        <f>HYPERLINK("http://www.uniprot.org/uniprot/AAP6_ARATH","AAP6_ARATH")</f>
        <v>AAP6_ARATH</v>
      </c>
      <c r="D11097" t="s">
        <v>7919</v>
      </c>
      <c r="E11097" s="3" t="s">
        <v>3</v>
      </c>
      <c r="F11097" s="4">
        <v>0</v>
      </c>
      <c r="G11097" s="3">
        <v>1981</v>
      </c>
      <c r="H11097" s="3">
        <v>77</v>
      </c>
      <c r="I11097" s="3">
        <v>477</v>
      </c>
      <c r="J11097" s="3">
        <v>109</v>
      </c>
      <c r="K11097" s="3">
        <v>1533</v>
      </c>
      <c r="L11097" s="3">
        <v>3</v>
      </c>
      <c r="M11097" s="3">
        <v>479</v>
      </c>
    </row>
    <row r="11098" spans="1:13" x14ac:dyDescent="0.25">
      <c r="A11098" s="1" t="str">
        <f>HYPERLINK("http://www.rosaceae.org/Prunus/Prunus_persica/p.persica_gdr_reftransV1_0020838","p.persica_gdr_reftransV1_0020838")</f>
        <v>p.persica_gdr_reftransV1_0020838</v>
      </c>
      <c r="B11098" s="3">
        <v>2361</v>
      </c>
      <c r="C11098" s="1" t="str">
        <f>HYPERLINK("http://www.uniprot.org/uniprot/C3H43_ARATH","C3H43_ARATH")</f>
        <v>C3H43_ARATH</v>
      </c>
      <c r="D11098" t="s">
        <v>4884</v>
      </c>
      <c r="E11098" s="3" t="s">
        <v>3</v>
      </c>
      <c r="F11098" s="4">
        <v>4.3899999999999995E-50</v>
      </c>
      <c r="G11098" s="3">
        <v>473</v>
      </c>
      <c r="H11098" s="3">
        <v>47</v>
      </c>
      <c r="I11098" s="3">
        <v>233</v>
      </c>
      <c r="J11098" s="3">
        <v>323</v>
      </c>
      <c r="K11098" s="3">
        <v>973</v>
      </c>
      <c r="L11098" s="3">
        <v>167</v>
      </c>
      <c r="M11098" s="3">
        <v>397</v>
      </c>
    </row>
    <row r="11099" spans="1:13" x14ac:dyDescent="0.25">
      <c r="A11099" s="1" t="str">
        <f>HYPERLINK("http://www.rosaceae.org/Prunus/Prunus_persica/p.persica_gdr_reftransV1_0020988","p.persica_gdr_reftransV1_0020988")</f>
        <v>p.persica_gdr_reftransV1_0020988</v>
      </c>
      <c r="B11099" s="3">
        <v>3137</v>
      </c>
      <c r="C11099" s="1" t="str">
        <f>HYPERLINK("http://www.uniprot.org/uniprot/P4KG4_ARATH","P4KG4_ARATH")</f>
        <v>P4KG4_ARATH</v>
      </c>
      <c r="D11099" t="s">
        <v>328</v>
      </c>
      <c r="E11099" s="3" t="s">
        <v>3</v>
      </c>
      <c r="F11099" s="4">
        <v>0</v>
      </c>
      <c r="G11099" s="3">
        <v>1875</v>
      </c>
      <c r="H11099" s="3">
        <v>57</v>
      </c>
      <c r="I11099" s="3">
        <v>634</v>
      </c>
      <c r="J11099" s="3">
        <v>609</v>
      </c>
      <c r="K11099" s="3">
        <v>2489</v>
      </c>
      <c r="L11099" s="3">
        <v>1</v>
      </c>
      <c r="M11099" s="3">
        <v>561</v>
      </c>
    </row>
    <row r="11100" spans="1:13" x14ac:dyDescent="0.25">
      <c r="A11100" s="1" t="str">
        <f>HYPERLINK("http://www.rosaceae.org/Prunus/Prunus_persica/p.persica_gdr_reftransV1_0021138","p.persica_gdr_reftransV1_0021138")</f>
        <v>p.persica_gdr_reftransV1_0021138</v>
      </c>
      <c r="B11100" s="3">
        <v>1171</v>
      </c>
      <c r="C11100" s="1" t="str">
        <f>HYPERLINK("http://www.uniprot.org/uniprot/FRDA_ARATH","FRDA_ARATH")</f>
        <v>FRDA_ARATH</v>
      </c>
      <c r="D11100" t="s">
        <v>7920</v>
      </c>
      <c r="E11100" s="3" t="s">
        <v>3</v>
      </c>
      <c r="F11100" s="4">
        <v>2.6399999999999999E-55</v>
      </c>
      <c r="G11100" s="3">
        <v>473</v>
      </c>
      <c r="H11100" s="3">
        <v>71</v>
      </c>
      <c r="I11100" s="3">
        <v>139</v>
      </c>
      <c r="J11100" s="3">
        <v>409</v>
      </c>
      <c r="K11100" s="3">
        <v>825</v>
      </c>
      <c r="L11100" s="3">
        <v>57</v>
      </c>
      <c r="M11100" s="3">
        <v>187</v>
      </c>
    </row>
    <row r="11101" spans="1:13" x14ac:dyDescent="0.25">
      <c r="A11101" s="1" t="str">
        <f>HYPERLINK("http://www.rosaceae.org/Prunus/Prunus_persica/p.persica_gdr_reftransV1_0021188","p.persica_gdr_reftransV1_0021188")</f>
        <v>p.persica_gdr_reftransV1_0021188</v>
      </c>
      <c r="B11101" s="3">
        <v>1101</v>
      </c>
      <c r="C11101" s="1" t="str">
        <f>HYPERLINK("http://www.uniprot.org/uniprot/RK121_ARATH","RK121_ARATH")</f>
        <v>RK121_ARATH</v>
      </c>
      <c r="D11101" t="s">
        <v>7921</v>
      </c>
      <c r="E11101" s="3" t="s">
        <v>3</v>
      </c>
      <c r="F11101" s="4">
        <v>4.0200000000000002E-63</v>
      </c>
      <c r="G11101" s="3">
        <v>524</v>
      </c>
      <c r="H11101" s="3">
        <v>73</v>
      </c>
      <c r="I11101" s="3">
        <v>177</v>
      </c>
      <c r="J11101" s="3">
        <v>453</v>
      </c>
      <c r="K11101" s="3">
        <v>974</v>
      </c>
      <c r="L11101" s="3">
        <v>16</v>
      </c>
      <c r="M11101" s="3">
        <v>190</v>
      </c>
    </row>
    <row r="11102" spans="1:13" x14ac:dyDescent="0.25">
      <c r="A11102" s="1" t="str">
        <f>HYPERLINK("http://www.rosaceae.org/Prunus/Prunus_persica/p.persica_gdr_reftransV1_0021288","p.persica_gdr_reftransV1_0021288")</f>
        <v>p.persica_gdr_reftransV1_0021288</v>
      </c>
      <c r="B11102" s="3">
        <v>2309</v>
      </c>
      <c r="C11102" s="1" t="str">
        <f>HYPERLINK("http://www.uniprot.org/uniprot/CHLP_TOBAC","CHLP_TOBAC")</f>
        <v>CHLP_TOBAC</v>
      </c>
      <c r="D11102" t="s">
        <v>7106</v>
      </c>
      <c r="E11102" s="3" t="s">
        <v>200</v>
      </c>
      <c r="F11102" s="4">
        <v>4.9400000000000003E-90</v>
      </c>
      <c r="G11102" s="3">
        <v>760</v>
      </c>
      <c r="H11102" s="3">
        <v>61</v>
      </c>
      <c r="I11102" s="3">
        <v>275</v>
      </c>
      <c r="J11102" s="3">
        <v>1512</v>
      </c>
      <c r="K11102" s="3">
        <v>2309</v>
      </c>
      <c r="L11102" s="3">
        <v>24</v>
      </c>
      <c r="M11102" s="3">
        <v>294</v>
      </c>
    </row>
    <row r="11103" spans="1:13" x14ac:dyDescent="0.25">
      <c r="A11103" s="1" t="str">
        <f>HYPERLINK("http://www.rosaceae.org/Prunus/Prunus_persica/p.persica_gdr_reftransV1_0021388","p.persica_gdr_reftransV1_0021388")</f>
        <v>p.persica_gdr_reftransV1_0021388</v>
      </c>
      <c r="B11103" s="3">
        <v>2385</v>
      </c>
      <c r="C11103" s="1" t="str">
        <f>HYPERLINK("http://www.uniprot.org/uniprot/MYBF_ARATH","MYBF_ARATH")</f>
        <v>MYBF_ARATH</v>
      </c>
      <c r="D11103" t="s">
        <v>2783</v>
      </c>
      <c r="E11103" s="3" t="s">
        <v>3</v>
      </c>
      <c r="F11103" s="4">
        <v>8.9000000000000003E-10</v>
      </c>
      <c r="G11103" s="3">
        <v>153</v>
      </c>
      <c r="H11103" s="3">
        <v>56</v>
      </c>
      <c r="I11103" s="3">
        <v>50</v>
      </c>
      <c r="J11103" s="3">
        <v>1077</v>
      </c>
      <c r="K11103" s="3">
        <v>1226</v>
      </c>
      <c r="L11103" s="3">
        <v>25</v>
      </c>
      <c r="M11103" s="3">
        <v>74</v>
      </c>
    </row>
    <row r="11104" spans="1:13" x14ac:dyDescent="0.25">
      <c r="A11104" s="1" t="str">
        <f>HYPERLINK("http://www.rosaceae.org/Prunus/Prunus_persica/p.persica_gdr_reftransV1_0021438","p.persica_gdr_reftransV1_0021438")</f>
        <v>p.persica_gdr_reftransV1_0021438</v>
      </c>
      <c r="B11104" s="3">
        <v>2108</v>
      </c>
      <c r="C11104" s="1" t="str">
        <f>HYPERLINK("http://www.uniprot.org/uniprot/TLP10_ARATH","TLP10_ARATH")</f>
        <v>TLP10_ARATH</v>
      </c>
      <c r="D11104" t="s">
        <v>7922</v>
      </c>
      <c r="E11104" s="3" t="s">
        <v>3</v>
      </c>
      <c r="F11104" s="4">
        <v>1.26E-111</v>
      </c>
      <c r="G11104" s="3">
        <v>644</v>
      </c>
      <c r="H11104" s="3">
        <v>54</v>
      </c>
      <c r="I11104" s="3">
        <v>255</v>
      </c>
      <c r="J11104" s="3">
        <v>268</v>
      </c>
      <c r="K11104" s="3">
        <v>930</v>
      </c>
      <c r="L11104" s="3">
        <v>196</v>
      </c>
      <c r="M11104" s="3">
        <v>445</v>
      </c>
    </row>
    <row r="11105" spans="1:13" x14ac:dyDescent="0.25">
      <c r="A11105" s="1" t="str">
        <f>HYPERLINK("http://www.rosaceae.org/Prunus/Prunus_persica/p.persica_gdr_reftransV1_0021538","p.persica_gdr_reftransV1_0021538")</f>
        <v>p.persica_gdr_reftransV1_0021538</v>
      </c>
      <c r="B11105" s="3">
        <v>2025</v>
      </c>
      <c r="C11105" s="1" t="str">
        <f>HYPERLINK("http://www.uniprot.org/uniprot/SILD_FORIN","SILD_FORIN")</f>
        <v>SILD_FORIN</v>
      </c>
      <c r="D11105" t="s">
        <v>2439</v>
      </c>
      <c r="E11105" s="3" t="s">
        <v>2440</v>
      </c>
      <c r="F11105" s="4">
        <v>4.0899999999999999E-78</v>
      </c>
      <c r="G11105" s="3">
        <v>656</v>
      </c>
      <c r="H11105" s="3">
        <v>51</v>
      </c>
      <c r="I11105" s="3">
        <v>267</v>
      </c>
      <c r="J11105" s="3">
        <v>270</v>
      </c>
      <c r="K11105" s="3">
        <v>1052</v>
      </c>
      <c r="L11105" s="3">
        <v>14</v>
      </c>
      <c r="M11105" s="3">
        <v>275</v>
      </c>
    </row>
    <row r="11106" spans="1:13" x14ac:dyDescent="0.25">
      <c r="A11106" s="1" t="str">
        <f>HYPERLINK("http://www.rosaceae.org/Prunus/Prunus_persica/p.persica_gdr_reftransV1_0021838","p.persica_gdr_reftransV1_0021838")</f>
        <v>p.persica_gdr_reftransV1_0021838</v>
      </c>
      <c r="B11106" s="3">
        <v>2429</v>
      </c>
      <c r="C11106" s="1" t="str">
        <f>HYPERLINK("http://www.uniprot.org/uniprot/NAT6_ARATH","NAT6_ARATH")</f>
        <v>NAT6_ARATH</v>
      </c>
      <c r="D11106" t="s">
        <v>7923</v>
      </c>
      <c r="E11106" s="3" t="s">
        <v>3</v>
      </c>
      <c r="F11106" s="4">
        <v>0</v>
      </c>
      <c r="G11106" s="3">
        <v>2349</v>
      </c>
      <c r="H11106" s="3">
        <v>86</v>
      </c>
      <c r="I11106" s="3">
        <v>523</v>
      </c>
      <c r="J11106" s="3">
        <v>245</v>
      </c>
      <c r="K11106" s="3">
        <v>1813</v>
      </c>
      <c r="L11106" s="3">
        <v>8</v>
      </c>
      <c r="M11106" s="3">
        <v>530</v>
      </c>
    </row>
    <row r="11107" spans="1:13" x14ac:dyDescent="0.25">
      <c r="A11107" s="1" t="str">
        <f>HYPERLINK("http://www.rosaceae.org/Prunus/Prunus_persica/p.persica_gdr_reftransV1_0021938","p.persica_gdr_reftransV1_0021938")</f>
        <v>p.persica_gdr_reftransV1_0021938</v>
      </c>
      <c r="B11107" s="3">
        <v>2374</v>
      </c>
      <c r="C11107" s="1" t="str">
        <f>HYPERLINK("http://www.uniprot.org/uniprot/MRS25_ARATH","MRS25_ARATH")</f>
        <v>MRS25_ARATH</v>
      </c>
      <c r="D11107" t="s">
        <v>7924</v>
      </c>
      <c r="E11107" s="3" t="s">
        <v>3</v>
      </c>
      <c r="F11107" s="4">
        <v>4.2800000000000001E-136</v>
      </c>
      <c r="G11107" s="3">
        <v>1071</v>
      </c>
      <c r="H11107" s="3">
        <v>69</v>
      </c>
      <c r="I11107" s="3">
        <v>420</v>
      </c>
      <c r="J11107" s="3">
        <v>223</v>
      </c>
      <c r="K11107" s="3">
        <v>1458</v>
      </c>
      <c r="L11107" s="3">
        <v>7</v>
      </c>
      <c r="M11107" s="3">
        <v>421</v>
      </c>
    </row>
    <row r="11108" spans="1:13" x14ac:dyDescent="0.25">
      <c r="A11108" s="1" t="str">
        <f>HYPERLINK("http://www.rosaceae.org/Prunus/Prunus_persica/p.persica_gdr_reftransV1_0022088","p.persica_gdr_reftransV1_0022088")</f>
        <v>p.persica_gdr_reftransV1_0022088</v>
      </c>
      <c r="B11108" s="3">
        <v>683</v>
      </c>
      <c r="C11108" s="1" t="str">
        <f>HYPERLINK("http://www.uniprot.org/uniprot/CNGC1_ARATH","CNGC1_ARATH")</f>
        <v>CNGC1_ARATH</v>
      </c>
      <c r="D11108" t="s">
        <v>241</v>
      </c>
      <c r="E11108" s="3" t="s">
        <v>3</v>
      </c>
      <c r="F11108" s="4">
        <v>6.8000000000000001E-12</v>
      </c>
      <c r="G11108" s="3">
        <v>165</v>
      </c>
      <c r="H11108" s="3">
        <v>33</v>
      </c>
      <c r="I11108" s="3">
        <v>149</v>
      </c>
      <c r="J11108" s="3">
        <v>238</v>
      </c>
      <c r="K11108" s="3">
        <v>645</v>
      </c>
      <c r="L11108" s="3">
        <v>100</v>
      </c>
      <c r="M11108" s="3">
        <v>242</v>
      </c>
    </row>
    <row r="11109" spans="1:13" x14ac:dyDescent="0.25">
      <c r="A11109" s="1" t="str">
        <f>HYPERLINK("http://www.rosaceae.org/Prunus/Prunus_persica/p.persica_gdr_reftransV1_0022538","p.persica_gdr_reftransV1_0022538")</f>
        <v>p.persica_gdr_reftransV1_0022538</v>
      </c>
      <c r="B11109" s="3">
        <v>1968</v>
      </c>
      <c r="C11109" s="1" t="str">
        <f>HYPERLINK("http://www.uniprot.org/uniprot/FPGS1_ARATH","FPGS1_ARATH")</f>
        <v>FPGS1_ARATH</v>
      </c>
      <c r="D11109" t="s">
        <v>789</v>
      </c>
      <c r="E11109" s="3" t="s">
        <v>3</v>
      </c>
      <c r="F11109" s="4">
        <v>0</v>
      </c>
      <c r="G11109" s="3">
        <v>1503</v>
      </c>
      <c r="H11109" s="3">
        <v>63</v>
      </c>
      <c r="I11109" s="3">
        <v>515</v>
      </c>
      <c r="J11109" s="3">
        <v>439</v>
      </c>
      <c r="K11109" s="3">
        <v>1968</v>
      </c>
      <c r="L11109" s="3">
        <v>118</v>
      </c>
      <c r="M11109" s="3">
        <v>571</v>
      </c>
    </row>
    <row r="11110" spans="1:13" x14ac:dyDescent="0.25">
      <c r="A11110" s="1" t="str">
        <f>HYPERLINK("http://www.rosaceae.org/Prunus/Prunus_persica/p.persica_gdr_reftransV1_0022688","p.persica_gdr_reftransV1_0022688")</f>
        <v>p.persica_gdr_reftransV1_0022688</v>
      </c>
      <c r="B11110" s="3">
        <v>595</v>
      </c>
      <c r="C11110" s="1" t="str">
        <f>HYPERLINK("http://www.uniprot.org/uniprot/IUNH_LEIMA","IUNH_LEIMA")</f>
        <v>IUNH_LEIMA</v>
      </c>
      <c r="D11110" t="s">
        <v>7925</v>
      </c>
      <c r="E11110" s="3" t="s">
        <v>1371</v>
      </c>
      <c r="F11110" s="4">
        <v>4.58E-7</v>
      </c>
      <c r="G11110" s="3">
        <v>124</v>
      </c>
      <c r="H11110" s="3">
        <v>27</v>
      </c>
      <c r="I11110" s="3">
        <v>124</v>
      </c>
      <c r="J11110" s="3">
        <v>219</v>
      </c>
      <c r="K11110" s="3">
        <v>590</v>
      </c>
      <c r="L11110" s="3">
        <v>121</v>
      </c>
      <c r="M11110" s="3">
        <v>233</v>
      </c>
    </row>
    <row r="11111" spans="1:13" x14ac:dyDescent="0.25">
      <c r="A11111" s="1" t="str">
        <f>HYPERLINK("http://www.rosaceae.org/Prunus/Prunus_persica/p.persica_gdr_reftransV1_0023188","p.persica_gdr_reftransV1_0023188")</f>
        <v>p.persica_gdr_reftransV1_0023188</v>
      </c>
      <c r="B11111" s="3">
        <v>3792</v>
      </c>
      <c r="C11111" s="1" t="str">
        <f>HYPERLINK("http://www.uniprot.org/uniprot/RINI_PIG","RINI_PIG")</f>
        <v>RINI_PIG</v>
      </c>
      <c r="D11111" t="s">
        <v>5871</v>
      </c>
      <c r="E11111" s="3" t="s">
        <v>1126</v>
      </c>
      <c r="F11111" s="4">
        <v>6.1099999999999995E-7</v>
      </c>
      <c r="G11111" s="3">
        <v>137</v>
      </c>
      <c r="H11111" s="3">
        <v>29</v>
      </c>
      <c r="I11111" s="3">
        <v>191</v>
      </c>
      <c r="J11111" s="3">
        <v>2238</v>
      </c>
      <c r="K11111" s="3">
        <v>2798</v>
      </c>
      <c r="L11111" s="3">
        <v>104</v>
      </c>
      <c r="M11111" s="3">
        <v>289</v>
      </c>
    </row>
    <row r="11112" spans="1:13" x14ac:dyDescent="0.25">
      <c r="A11112" s="1" t="str">
        <f>HYPERLINK("http://www.rosaceae.org/Prunus/Prunus_persica/p.persica_gdr_reftransV1_0023388","p.persica_gdr_reftransV1_0023388")</f>
        <v>p.persica_gdr_reftransV1_0023388</v>
      </c>
      <c r="B11112" s="3">
        <v>3185</v>
      </c>
      <c r="C11112" s="1" t="str">
        <f>HYPERLINK("http://www.uniprot.org/uniprot/UBP25_ARATH","UBP25_ARATH")</f>
        <v>UBP25_ARATH</v>
      </c>
      <c r="D11112" t="s">
        <v>7926</v>
      </c>
      <c r="E11112" s="3" t="s">
        <v>3</v>
      </c>
      <c r="F11112" s="4">
        <v>0</v>
      </c>
      <c r="G11112" s="3">
        <v>1714</v>
      </c>
      <c r="H11112" s="3">
        <v>51</v>
      </c>
      <c r="I11112" s="3">
        <v>756</v>
      </c>
      <c r="J11112" s="3">
        <v>619</v>
      </c>
      <c r="K11112" s="3">
        <v>2796</v>
      </c>
      <c r="L11112" s="3">
        <v>1</v>
      </c>
      <c r="M11112" s="3">
        <v>658</v>
      </c>
    </row>
    <row r="11113" spans="1:13" x14ac:dyDescent="0.25">
      <c r="A11113" s="1" t="str">
        <f>HYPERLINK("http://www.rosaceae.org/Prunus/Prunus_persica/p.persica_gdr_reftransV1_0023588","p.persica_gdr_reftransV1_0023588")</f>
        <v>p.persica_gdr_reftransV1_0023588</v>
      </c>
      <c r="B11113" s="3">
        <v>1217</v>
      </c>
      <c r="C11113" s="1" t="str">
        <f>HYPERLINK("http://www.uniprot.org/uniprot/RPC4_MOUSE","RPC4_MOUSE")</f>
        <v>RPC4_MOUSE</v>
      </c>
      <c r="D11113" t="s">
        <v>7927</v>
      </c>
      <c r="E11113" s="3" t="s">
        <v>157</v>
      </c>
      <c r="F11113" s="4">
        <v>4.19E-10</v>
      </c>
      <c r="G11113" s="3">
        <v>156</v>
      </c>
      <c r="H11113" s="3">
        <v>30</v>
      </c>
      <c r="I11113" s="3">
        <v>132</v>
      </c>
      <c r="J11113" s="3">
        <v>276</v>
      </c>
      <c r="K11113" s="3">
        <v>632</v>
      </c>
      <c r="L11113" s="3">
        <v>262</v>
      </c>
      <c r="M11113" s="3">
        <v>393</v>
      </c>
    </row>
    <row r="11114" spans="1:13" x14ac:dyDescent="0.25">
      <c r="A11114" s="1" t="str">
        <f>HYPERLINK("http://www.rosaceae.org/Prunus/Prunus_persica/p.persica_gdr_reftransV1_0023688","p.persica_gdr_reftransV1_0023688")</f>
        <v>p.persica_gdr_reftransV1_0023688</v>
      </c>
      <c r="B11114" s="3">
        <v>5185</v>
      </c>
      <c r="C11114" s="1" t="str">
        <f>HYPERLINK("http://www.uniprot.org/uniprot/SC16B_ARATH","SC16B_ARATH")</f>
        <v>SC16B_ARATH</v>
      </c>
      <c r="D11114" t="s">
        <v>5923</v>
      </c>
      <c r="E11114" s="3" t="s">
        <v>3</v>
      </c>
      <c r="F11114" s="4">
        <v>0</v>
      </c>
      <c r="G11114" s="3">
        <v>3047</v>
      </c>
      <c r="H11114" s="3">
        <v>49</v>
      </c>
      <c r="I11114" s="3">
        <v>1490</v>
      </c>
      <c r="J11114" s="3">
        <v>548</v>
      </c>
      <c r="K11114" s="3">
        <v>4864</v>
      </c>
      <c r="L11114" s="3">
        <v>7</v>
      </c>
      <c r="M11114" s="3">
        <v>1361</v>
      </c>
    </row>
    <row r="11115" spans="1:13" x14ac:dyDescent="0.25">
      <c r="A11115" s="1" t="str">
        <f>HYPERLINK("http://www.rosaceae.org/Prunus/Prunus_persica/p.persica_gdr_reftransV1_0023838","p.persica_gdr_reftransV1_0023838")</f>
        <v>p.persica_gdr_reftransV1_0023838</v>
      </c>
      <c r="B11115" s="3">
        <v>1454</v>
      </c>
      <c r="C11115" s="1" t="str">
        <f>HYPERLINK("http://www.uniprot.org/uniprot/SBH2_ARATH","SBH2_ARATH")</f>
        <v>SBH2_ARATH</v>
      </c>
      <c r="D11115" t="s">
        <v>7928</v>
      </c>
      <c r="E11115" s="3" t="s">
        <v>3</v>
      </c>
      <c r="F11115" s="4">
        <v>2.5799999999999999E-146</v>
      </c>
      <c r="G11115" s="3">
        <v>1095</v>
      </c>
      <c r="H11115" s="3">
        <v>76</v>
      </c>
      <c r="I11115" s="3">
        <v>258</v>
      </c>
      <c r="J11115" s="3">
        <v>376</v>
      </c>
      <c r="K11115" s="3">
        <v>1146</v>
      </c>
      <c r="L11115" s="3">
        <v>2</v>
      </c>
      <c r="M11115" s="3">
        <v>259</v>
      </c>
    </row>
    <row r="11116" spans="1:13" x14ac:dyDescent="0.25">
      <c r="A11116" s="1" t="str">
        <f>HYPERLINK("http://www.rosaceae.org/Prunus/Prunus_persica/p.persica_gdr_reftransV1_0023938","p.persica_gdr_reftransV1_0023938")</f>
        <v>p.persica_gdr_reftransV1_0023938</v>
      </c>
      <c r="B11116" s="3">
        <v>2721</v>
      </c>
      <c r="C11116" s="1" t="str">
        <f>HYPERLINK("http://www.uniprot.org/uniprot/ACCR4_ARATH","ACCR4_ARATH")</f>
        <v>ACCR4_ARATH</v>
      </c>
      <c r="D11116" t="s">
        <v>7929</v>
      </c>
      <c r="E11116" s="3" t="s">
        <v>3</v>
      </c>
      <c r="F11116" s="4">
        <v>0</v>
      </c>
      <c r="G11116" s="3">
        <v>1679</v>
      </c>
      <c r="H11116" s="3">
        <v>51</v>
      </c>
      <c r="I11116" s="3">
        <v>752</v>
      </c>
      <c r="J11116" s="3">
        <v>288</v>
      </c>
      <c r="K11116" s="3">
        <v>2504</v>
      </c>
      <c r="L11116" s="3">
        <v>42</v>
      </c>
      <c r="M11116" s="3">
        <v>738</v>
      </c>
    </row>
    <row r="11117" spans="1:13" x14ac:dyDescent="0.25">
      <c r="A11117" s="1" t="str">
        <f>HYPERLINK("http://www.rosaceae.org/Prunus/Prunus_persica/p.persica_gdr_reftransV1_0024138","p.persica_gdr_reftransV1_0024138")</f>
        <v>p.persica_gdr_reftransV1_0024138</v>
      </c>
      <c r="B11117" s="3">
        <v>3620</v>
      </c>
      <c r="C11117" s="1" t="str">
        <f>HYPERLINK("http://www.uniprot.org/uniprot/XRN4_ARATH","XRN4_ARATH")</f>
        <v>XRN4_ARATH</v>
      </c>
      <c r="D11117" t="s">
        <v>7930</v>
      </c>
      <c r="E11117" s="3" t="s">
        <v>3</v>
      </c>
      <c r="F11117" s="4">
        <v>0</v>
      </c>
      <c r="G11117" s="3">
        <v>2308</v>
      </c>
      <c r="H11117" s="3">
        <v>64</v>
      </c>
      <c r="I11117" s="3">
        <v>778</v>
      </c>
      <c r="J11117" s="3">
        <v>719</v>
      </c>
      <c r="K11117" s="3">
        <v>3004</v>
      </c>
      <c r="L11117" s="3">
        <v>191</v>
      </c>
      <c r="M11117" s="3">
        <v>939</v>
      </c>
    </row>
    <row r="11118" spans="1:13" x14ac:dyDescent="0.25">
      <c r="A11118" s="1" t="str">
        <f>HYPERLINK("http://www.rosaceae.org/Prunus/Prunus_persica/p.persica_gdr_reftransV1_0024188","p.persica_gdr_reftransV1_0024188")</f>
        <v>p.persica_gdr_reftransV1_0024188</v>
      </c>
      <c r="B11118" s="3">
        <v>512</v>
      </c>
      <c r="C11118" s="1" t="str">
        <f>HYPERLINK("http://www.uniprot.org/uniprot/UGT2_GARJA","UGT2_GARJA")</f>
        <v>UGT2_GARJA</v>
      </c>
      <c r="D11118" t="s">
        <v>927</v>
      </c>
      <c r="E11118" s="3" t="s">
        <v>624</v>
      </c>
      <c r="F11118" s="4">
        <v>9.3600000000000008E-81</v>
      </c>
      <c r="G11118" s="3">
        <v>647</v>
      </c>
      <c r="H11118" s="3">
        <v>68</v>
      </c>
      <c r="I11118" s="3">
        <v>172</v>
      </c>
      <c r="J11118" s="3">
        <v>3</v>
      </c>
      <c r="K11118" s="3">
        <v>512</v>
      </c>
      <c r="L11118" s="3">
        <v>6</v>
      </c>
      <c r="M11118" s="3">
        <v>177</v>
      </c>
    </row>
    <row r="11119" spans="1:13" x14ac:dyDescent="0.25">
      <c r="A11119" s="1" t="str">
        <f>HYPERLINK("http://www.rosaceae.org/Prunus/Prunus_persica/p.persica_gdr_reftransV1_0024888","p.persica_gdr_reftransV1_0024888")</f>
        <v>p.persica_gdr_reftransV1_0024888</v>
      </c>
      <c r="B11119" s="3">
        <v>919</v>
      </c>
      <c r="C11119" s="1" t="str">
        <f>HYPERLINK("http://www.uniprot.org/uniprot/DRL18_ARATH","DRL18_ARATH")</f>
        <v>DRL18_ARATH</v>
      </c>
      <c r="D11119" t="s">
        <v>7931</v>
      </c>
      <c r="E11119" s="3" t="s">
        <v>3</v>
      </c>
      <c r="F11119" s="4">
        <v>1.27E-19</v>
      </c>
      <c r="G11119" s="3">
        <v>219</v>
      </c>
      <c r="H11119" s="3">
        <v>33</v>
      </c>
      <c r="I11119" s="3">
        <v>172</v>
      </c>
      <c r="J11119" s="3">
        <v>20</v>
      </c>
      <c r="K11119" s="3">
        <v>517</v>
      </c>
      <c r="L11119" s="3">
        <v>212</v>
      </c>
      <c r="M11119" s="3">
        <v>382</v>
      </c>
    </row>
    <row r="11120" spans="1:13" x14ac:dyDescent="0.25">
      <c r="A11120" s="1" t="str">
        <f>HYPERLINK("http://www.rosaceae.org/Prunus/Prunus_persica/p.persica_gdr_reftransV1_0024988","p.persica_gdr_reftransV1_0024988")</f>
        <v>p.persica_gdr_reftransV1_0024988</v>
      </c>
      <c r="B11120" s="3">
        <v>3517</v>
      </c>
      <c r="C11120" s="1" t="str">
        <f>HYPERLINK("http://www.uniprot.org/uniprot/PPK15_SCHPO","PPK15_SCHPO")</f>
        <v>PPK15_SCHPO</v>
      </c>
      <c r="D11120" t="s">
        <v>7932</v>
      </c>
      <c r="E11120" s="3" t="s">
        <v>464</v>
      </c>
      <c r="F11120" s="4">
        <v>4.2600000000000004E-115</v>
      </c>
      <c r="G11120" s="3">
        <v>789</v>
      </c>
      <c r="H11120" s="3">
        <v>50</v>
      </c>
      <c r="I11120" s="3">
        <v>313</v>
      </c>
      <c r="J11120" s="3">
        <v>1883</v>
      </c>
      <c r="K11120" s="3">
        <v>2809</v>
      </c>
      <c r="L11120" s="3">
        <v>181</v>
      </c>
      <c r="M11120" s="3">
        <v>479</v>
      </c>
    </row>
    <row r="11121" spans="1:13" x14ac:dyDescent="0.25">
      <c r="A11121" s="1" t="str">
        <f>HYPERLINK("http://www.rosaceae.org/Prunus/Prunus_persica/p.persica_gdr_reftransV1_0025238","p.persica_gdr_reftransV1_0025238")</f>
        <v>p.persica_gdr_reftransV1_0025238</v>
      </c>
      <c r="B11121" s="3">
        <v>1481</v>
      </c>
      <c r="C11121" s="1" t="str">
        <f>HYPERLINK("http://www.uniprot.org/uniprot/RLP12_ARATH","RLP12_ARATH")</f>
        <v>RLP12_ARATH</v>
      </c>
      <c r="D11121" t="s">
        <v>1219</v>
      </c>
      <c r="E11121" s="3" t="s">
        <v>3</v>
      </c>
      <c r="F11121" s="4">
        <v>2.2099999999999999E-73</v>
      </c>
      <c r="G11121" s="3">
        <v>648</v>
      </c>
      <c r="H11121" s="3">
        <v>37</v>
      </c>
      <c r="I11121" s="3">
        <v>433</v>
      </c>
      <c r="J11121" s="3">
        <v>220</v>
      </c>
      <c r="K11121" s="3">
        <v>1470</v>
      </c>
      <c r="L11121" s="3">
        <v>428</v>
      </c>
      <c r="M11121" s="3">
        <v>843</v>
      </c>
    </row>
    <row r="11122" spans="1:13" x14ac:dyDescent="0.25">
      <c r="A11122" s="1" t="str">
        <f>HYPERLINK("http://www.rosaceae.org/Prunus/Prunus_persica/p.persica_gdr_reftransV1_0025488","p.persica_gdr_reftransV1_0025488")</f>
        <v>p.persica_gdr_reftransV1_0025488</v>
      </c>
      <c r="B11122" s="3">
        <v>3285</v>
      </c>
      <c r="C11122" s="1" t="str">
        <f>HYPERLINK("http://www.uniprot.org/uniprot/ALE2_ARATH","ALE2_ARATH")</f>
        <v>ALE2_ARATH</v>
      </c>
      <c r="D11122" t="s">
        <v>3266</v>
      </c>
      <c r="E11122" s="3" t="s">
        <v>3</v>
      </c>
      <c r="F11122" s="4">
        <v>0</v>
      </c>
      <c r="G11122" s="3">
        <v>1479</v>
      </c>
      <c r="H11122" s="3">
        <v>53</v>
      </c>
      <c r="I11122" s="3">
        <v>667</v>
      </c>
      <c r="J11122" s="3">
        <v>1133</v>
      </c>
      <c r="K11122" s="3">
        <v>3097</v>
      </c>
      <c r="L11122" s="3">
        <v>97</v>
      </c>
      <c r="M11122" s="3">
        <v>730</v>
      </c>
    </row>
    <row r="11123" spans="1:13" x14ac:dyDescent="0.25">
      <c r="A11123" s="1" t="str">
        <f>HYPERLINK("http://www.rosaceae.org/Prunus/Prunus_persica/p.persica_gdr_reftransV1_0025788","p.persica_gdr_reftransV1_0025788")</f>
        <v>p.persica_gdr_reftransV1_0025788</v>
      </c>
      <c r="B11123" s="3">
        <v>2986</v>
      </c>
      <c r="C11123" s="1" t="str">
        <f>HYPERLINK("http://www.uniprot.org/uniprot/NPR3_ARATH","NPR3_ARATH")</f>
        <v>NPR3_ARATH</v>
      </c>
      <c r="D11123" t="s">
        <v>3845</v>
      </c>
      <c r="E11123" s="3" t="s">
        <v>3</v>
      </c>
      <c r="F11123" s="4">
        <v>0</v>
      </c>
      <c r="G11123" s="3">
        <v>1637</v>
      </c>
      <c r="H11123" s="3">
        <v>62</v>
      </c>
      <c r="I11123" s="3">
        <v>527</v>
      </c>
      <c r="J11123" s="3">
        <v>293</v>
      </c>
      <c r="K11123" s="3">
        <v>1858</v>
      </c>
      <c r="L11123" s="3">
        <v>37</v>
      </c>
      <c r="M11123" s="3">
        <v>561</v>
      </c>
    </row>
    <row r="11124" spans="1:13" x14ac:dyDescent="0.25">
      <c r="A11124" s="1" t="str">
        <f>HYPERLINK("http://www.rosaceae.org/Prunus/Prunus_persica/p.persica_gdr_reftransV1_0025888","p.persica_gdr_reftransV1_0025888")</f>
        <v>p.persica_gdr_reftransV1_0025888</v>
      </c>
      <c r="B11124" s="3">
        <v>2680</v>
      </c>
      <c r="C11124" s="1" t="str">
        <f>HYPERLINK("http://www.uniprot.org/uniprot/UBP21_ARATH","UBP21_ARATH")</f>
        <v>UBP21_ARATH</v>
      </c>
      <c r="D11124" t="s">
        <v>7933</v>
      </c>
      <c r="E11124" s="3" t="s">
        <v>3</v>
      </c>
      <c r="F11124" s="4">
        <v>1.9000000000000001E-124</v>
      </c>
      <c r="G11124" s="3">
        <v>1027</v>
      </c>
      <c r="H11124" s="3">
        <v>49</v>
      </c>
      <c r="I11124" s="3">
        <v>438</v>
      </c>
      <c r="J11124" s="3">
        <v>576</v>
      </c>
      <c r="K11124" s="3">
        <v>1862</v>
      </c>
      <c r="L11124" s="3">
        <v>157</v>
      </c>
      <c r="M11124" s="3">
        <v>573</v>
      </c>
    </row>
    <row r="11125" spans="1:13" x14ac:dyDescent="0.25">
      <c r="A11125" s="1" t="str">
        <f>HYPERLINK("http://www.rosaceae.org/Prunus/Prunus_persica/p.persica_gdr_reftransV1_0026338","p.persica_gdr_reftransV1_0026338")</f>
        <v>p.persica_gdr_reftransV1_0026338</v>
      </c>
      <c r="B11125" s="3">
        <v>867</v>
      </c>
      <c r="C11125" s="1" t="str">
        <f>HYPERLINK("http://www.uniprot.org/uniprot/GATC_VITVI","GATC_VITVI")</f>
        <v>GATC_VITVI</v>
      </c>
      <c r="D11125" t="s">
        <v>7934</v>
      </c>
      <c r="E11125" s="3" t="s">
        <v>362</v>
      </c>
      <c r="F11125" s="4">
        <v>1.78E-52</v>
      </c>
      <c r="G11125" s="3">
        <v>441</v>
      </c>
      <c r="H11125" s="3">
        <v>71</v>
      </c>
      <c r="I11125" s="3">
        <v>123</v>
      </c>
      <c r="J11125" s="3">
        <v>226</v>
      </c>
      <c r="K11125" s="3">
        <v>594</v>
      </c>
      <c r="L11125" s="3">
        <v>19</v>
      </c>
      <c r="M11125" s="3">
        <v>137</v>
      </c>
    </row>
    <row r="11126" spans="1:13" x14ac:dyDescent="0.25">
      <c r="A11126" s="1" t="str">
        <f>HYPERLINK("http://www.rosaceae.org/Prunus/Prunus_persica/p.persica_gdr_reftransV1_0026388","p.persica_gdr_reftransV1_0026388")</f>
        <v>p.persica_gdr_reftransV1_0026388</v>
      </c>
      <c r="B11126" s="3">
        <v>2089</v>
      </c>
      <c r="C11126" s="1" t="str">
        <f>HYPERLINK("http://www.uniprot.org/uniprot/ACA9_ARATH","ACA9_ARATH")</f>
        <v>ACA9_ARATH</v>
      </c>
      <c r="D11126" t="s">
        <v>4750</v>
      </c>
      <c r="E11126" s="3" t="s">
        <v>3</v>
      </c>
      <c r="F11126" s="4">
        <v>0</v>
      </c>
      <c r="G11126" s="3">
        <v>1326</v>
      </c>
      <c r="H11126" s="3">
        <v>80</v>
      </c>
      <c r="I11126" s="3">
        <v>372</v>
      </c>
      <c r="J11126" s="3">
        <v>5</v>
      </c>
      <c r="K11126" s="3">
        <v>1120</v>
      </c>
      <c r="L11126" s="3">
        <v>148</v>
      </c>
      <c r="M11126" s="3">
        <v>519</v>
      </c>
    </row>
    <row r="11127" spans="1:13" x14ac:dyDescent="0.25">
      <c r="A11127" s="1" t="str">
        <f>HYPERLINK("http://www.rosaceae.org/Prunus/Prunus_persica/p.persica_gdr_reftransV1_0026488","p.persica_gdr_reftransV1_0026488")</f>
        <v>p.persica_gdr_reftransV1_0026488</v>
      </c>
      <c r="B11127" s="3">
        <v>1283</v>
      </c>
      <c r="C11127" s="1" t="str">
        <f>HYPERLINK("http://www.uniprot.org/uniprot/DFRA_ARATH","DFRA_ARATH")</f>
        <v>DFRA_ARATH</v>
      </c>
      <c r="D11127" t="s">
        <v>7935</v>
      </c>
      <c r="E11127" s="3" t="s">
        <v>3</v>
      </c>
      <c r="F11127" s="4">
        <v>2.61E-87</v>
      </c>
      <c r="G11127" s="3">
        <v>709</v>
      </c>
      <c r="H11127" s="3">
        <v>44</v>
      </c>
      <c r="I11127" s="3">
        <v>337</v>
      </c>
      <c r="J11127" s="3">
        <v>171</v>
      </c>
      <c r="K11127" s="3">
        <v>1172</v>
      </c>
      <c r="L11127" s="3">
        <v>7</v>
      </c>
      <c r="M11127" s="3">
        <v>326</v>
      </c>
    </row>
    <row r="11128" spans="1:13" x14ac:dyDescent="0.25">
      <c r="A11128" s="1" t="str">
        <f>HYPERLINK("http://www.rosaceae.org/Prunus/Prunus_persica/p.persica_gdr_reftransV1_0026588","p.persica_gdr_reftransV1_0026588")</f>
        <v>p.persica_gdr_reftransV1_0026588</v>
      </c>
      <c r="B11128" s="3">
        <v>2887</v>
      </c>
      <c r="C11128" s="1" t="str">
        <f>HYPERLINK("http://www.uniprot.org/uniprot/NAC74_ORYSJ","NAC74_ORYSJ")</f>
        <v>NAC74_ORYSJ</v>
      </c>
      <c r="D11128" t="s">
        <v>3078</v>
      </c>
      <c r="E11128" s="3" t="s">
        <v>38</v>
      </c>
      <c r="F11128" s="4">
        <v>3.8300000000000002E-21</v>
      </c>
      <c r="G11128" s="3">
        <v>252</v>
      </c>
      <c r="H11128" s="3">
        <v>34</v>
      </c>
      <c r="I11128" s="3">
        <v>190</v>
      </c>
      <c r="J11128" s="3">
        <v>2175</v>
      </c>
      <c r="K11128" s="3">
        <v>2741</v>
      </c>
      <c r="L11128" s="3">
        <v>12</v>
      </c>
      <c r="M11128" s="3">
        <v>160</v>
      </c>
    </row>
    <row r="11129" spans="1:13" x14ac:dyDescent="0.25">
      <c r="A11129" s="1" t="str">
        <f>HYPERLINK("http://www.rosaceae.org/Prunus/Prunus_persica/p.persica_gdr_reftransV1_0027088","p.persica_gdr_reftransV1_0027088")</f>
        <v>p.persica_gdr_reftransV1_0027088</v>
      </c>
      <c r="B11129" s="3">
        <v>1192</v>
      </c>
      <c r="C11129" s="1" t="str">
        <f>HYPERLINK("http://www.uniprot.org/uniprot/PLSP1_ARATH","PLSP1_ARATH")</f>
        <v>PLSP1_ARATH</v>
      </c>
      <c r="D11129" t="s">
        <v>249</v>
      </c>
      <c r="E11129" s="3" t="s">
        <v>3</v>
      </c>
      <c r="F11129" s="4">
        <v>4.1799999999999999E-43</v>
      </c>
      <c r="G11129" s="3">
        <v>398</v>
      </c>
      <c r="H11129" s="3">
        <v>52</v>
      </c>
      <c r="I11129" s="3">
        <v>168</v>
      </c>
      <c r="J11129" s="3">
        <v>315</v>
      </c>
      <c r="K11129" s="3">
        <v>818</v>
      </c>
      <c r="L11129" s="3">
        <v>133</v>
      </c>
      <c r="M11129" s="3">
        <v>268</v>
      </c>
    </row>
    <row r="11130" spans="1:13" x14ac:dyDescent="0.25">
      <c r="A11130" s="1" t="str">
        <f>HYPERLINK("http://www.rosaceae.org/Prunus/Prunus_persica/p.persica_gdr_reftransV1_0027138","p.persica_gdr_reftransV1_0027138")</f>
        <v>p.persica_gdr_reftransV1_0027138</v>
      </c>
      <c r="B11130" s="3">
        <v>1086</v>
      </c>
      <c r="C11130" s="1" t="str">
        <f>HYPERLINK("http://www.uniprot.org/uniprot/KPK1_PHAVU","KPK1_PHAVU")</f>
        <v>KPK1_PHAVU</v>
      </c>
      <c r="D11130" t="s">
        <v>3731</v>
      </c>
      <c r="E11130" s="3" t="s">
        <v>2044</v>
      </c>
      <c r="F11130" s="4">
        <v>1.22E-163</v>
      </c>
      <c r="G11130" s="3">
        <v>1231</v>
      </c>
      <c r="H11130" s="3">
        <v>83</v>
      </c>
      <c r="I11130" s="3">
        <v>292</v>
      </c>
      <c r="J11130" s="3">
        <v>3</v>
      </c>
      <c r="K11130" s="3">
        <v>878</v>
      </c>
      <c r="L11130" s="3">
        <v>326</v>
      </c>
      <c r="M11130" s="3">
        <v>607</v>
      </c>
    </row>
    <row r="11131" spans="1:13" x14ac:dyDescent="0.25">
      <c r="A11131" s="1" t="str">
        <f>HYPERLINK("http://www.rosaceae.org/Prunus/Prunus_persica/p.persica_gdr_reftransV1_0027238","p.persica_gdr_reftransV1_0027238")</f>
        <v>p.persica_gdr_reftransV1_0027238</v>
      </c>
      <c r="B11131" s="3">
        <v>1661</v>
      </c>
      <c r="C11131" s="1" t="str">
        <f>HYPERLINK("http://www.uniprot.org/uniprot/CP33_ARATH","CP33_ARATH")</f>
        <v>CP33_ARATH</v>
      </c>
      <c r="D11131" t="s">
        <v>4548</v>
      </c>
      <c r="E11131" s="3" t="s">
        <v>3</v>
      </c>
      <c r="F11131" s="4">
        <v>4.47E-69</v>
      </c>
      <c r="G11131" s="3">
        <v>591</v>
      </c>
      <c r="H11131" s="3">
        <v>67</v>
      </c>
      <c r="I11131" s="3">
        <v>188</v>
      </c>
      <c r="J11131" s="3">
        <v>637</v>
      </c>
      <c r="K11131" s="3">
        <v>1200</v>
      </c>
      <c r="L11131" s="3">
        <v>114</v>
      </c>
      <c r="M11131" s="3">
        <v>300</v>
      </c>
    </row>
    <row r="11132" spans="1:13" x14ac:dyDescent="0.25">
      <c r="A11132" s="1" t="str">
        <f>HYPERLINK("http://www.rosaceae.org/Prunus/Prunus_persica/p.persica_gdr_reftransV1_0027288","p.persica_gdr_reftransV1_0027288")</f>
        <v>p.persica_gdr_reftransV1_0027288</v>
      </c>
      <c r="B11132" s="3">
        <v>2355</v>
      </c>
      <c r="C11132" s="1" t="str">
        <f>HYPERLINK("http://www.uniprot.org/uniprot/TM1L2_MOUSE","TM1L2_MOUSE")</f>
        <v>TM1L2_MOUSE</v>
      </c>
      <c r="D11132" t="s">
        <v>201</v>
      </c>
      <c r="E11132" s="3" t="s">
        <v>157</v>
      </c>
      <c r="F11132" s="4">
        <v>5.6899999999999997E-24</v>
      </c>
      <c r="G11132" s="3">
        <v>274</v>
      </c>
      <c r="H11132" s="3">
        <v>29</v>
      </c>
      <c r="I11132" s="3">
        <v>294</v>
      </c>
      <c r="J11132" s="3">
        <v>545</v>
      </c>
      <c r="K11132" s="3">
        <v>1318</v>
      </c>
      <c r="L11132" s="3">
        <v>15</v>
      </c>
      <c r="M11132" s="3">
        <v>305</v>
      </c>
    </row>
    <row r="11133" spans="1:13" x14ac:dyDescent="0.25">
      <c r="A11133" s="1" t="str">
        <f>HYPERLINK("http://www.rosaceae.org/Prunus/Prunus_persica/p.persica_gdr_reftransV1_0027338","p.persica_gdr_reftransV1_0027338")</f>
        <v>p.persica_gdr_reftransV1_0027338</v>
      </c>
      <c r="B11133" s="3">
        <v>2192</v>
      </c>
      <c r="C11133" s="1" t="str">
        <f>HYPERLINK("http://www.uniprot.org/uniprot/ZTP29_ARATH","ZTP29_ARATH")</f>
        <v>ZTP29_ARATH</v>
      </c>
      <c r="D11133" t="s">
        <v>7936</v>
      </c>
      <c r="E11133" s="3" t="s">
        <v>3</v>
      </c>
      <c r="F11133" s="4">
        <v>1.48E-69</v>
      </c>
      <c r="G11133" s="3">
        <v>599</v>
      </c>
      <c r="H11133" s="3">
        <v>86</v>
      </c>
      <c r="I11133" s="3">
        <v>136</v>
      </c>
      <c r="J11133" s="3">
        <v>1276</v>
      </c>
      <c r="K11133" s="3">
        <v>1683</v>
      </c>
      <c r="L11133" s="3">
        <v>141</v>
      </c>
      <c r="M11133" s="3">
        <v>276</v>
      </c>
    </row>
    <row r="11134" spans="1:13" x14ac:dyDescent="0.25">
      <c r="A11134" s="1" t="str">
        <f>HYPERLINK("http://www.rosaceae.org/Prunus/Prunus_persica/p.persica_gdr_reftransV1_0027438","p.persica_gdr_reftransV1_0027438")</f>
        <v>p.persica_gdr_reftransV1_0027438</v>
      </c>
      <c r="B11134" s="3">
        <v>1015</v>
      </c>
      <c r="C11134" s="1" t="str">
        <f>HYPERLINK("http://www.uniprot.org/uniprot/NLTP1_PRUDU","NLTP1_PRUDU")</f>
        <v>NLTP1_PRUDU</v>
      </c>
      <c r="D11134" t="s">
        <v>3307</v>
      </c>
      <c r="E11134" s="3" t="s">
        <v>418</v>
      </c>
      <c r="F11134" s="4">
        <v>8.9200000000000004E-69</v>
      </c>
      <c r="G11134" s="3">
        <v>553</v>
      </c>
      <c r="H11134" s="3">
        <v>96</v>
      </c>
      <c r="I11134" s="3">
        <v>115</v>
      </c>
      <c r="J11134" s="3">
        <v>72</v>
      </c>
      <c r="K11134" s="3">
        <v>416</v>
      </c>
      <c r="L11134" s="3">
        <v>1</v>
      </c>
      <c r="M11134" s="3">
        <v>115</v>
      </c>
    </row>
    <row r="11135" spans="1:13" x14ac:dyDescent="0.25">
      <c r="A11135" s="1" t="str">
        <f>HYPERLINK("http://www.rosaceae.org/Prunus/Prunus_persica/p.persica_gdr_reftransV1_0027488","p.persica_gdr_reftransV1_0027488")</f>
        <v>p.persica_gdr_reftransV1_0027488</v>
      </c>
      <c r="B11135" s="3">
        <v>640</v>
      </c>
      <c r="C11135" s="1" t="str">
        <f>HYPERLINK("http://www.uniprot.org/uniprot/LOG3_ARATH","LOG3_ARATH")</f>
        <v>LOG3_ARATH</v>
      </c>
      <c r="D11135" t="s">
        <v>7763</v>
      </c>
      <c r="E11135" s="3" t="s">
        <v>3</v>
      </c>
      <c r="F11135" s="4">
        <v>3.4400000000000002E-76</v>
      </c>
      <c r="G11135" s="3">
        <v>599</v>
      </c>
      <c r="H11135" s="3">
        <v>89</v>
      </c>
      <c r="I11135" s="3">
        <v>124</v>
      </c>
      <c r="J11135" s="3">
        <v>1</v>
      </c>
      <c r="K11135" s="3">
        <v>372</v>
      </c>
      <c r="L11135" s="3">
        <v>91</v>
      </c>
      <c r="M11135" s="3">
        <v>214</v>
      </c>
    </row>
    <row r="11136" spans="1:13" x14ac:dyDescent="0.25">
      <c r="A11136" s="1" t="str">
        <f>HYPERLINK("http://www.rosaceae.org/Prunus/Prunus_persica/p.persica_gdr_reftransV1_0027538","p.persica_gdr_reftransV1_0027538")</f>
        <v>p.persica_gdr_reftransV1_0027538</v>
      </c>
      <c r="B11136" s="3">
        <v>2448</v>
      </c>
      <c r="C11136" s="1" t="str">
        <f>HYPERLINK("http://www.uniprot.org/uniprot/PIGM_ARATH","PIGM_ARATH")</f>
        <v>PIGM_ARATH</v>
      </c>
      <c r="D11136" t="s">
        <v>7937</v>
      </c>
      <c r="E11136" s="3" t="s">
        <v>3</v>
      </c>
      <c r="F11136" s="4">
        <v>2.5400000000000002E-109</v>
      </c>
      <c r="G11136" s="3">
        <v>894</v>
      </c>
      <c r="H11136" s="3">
        <v>62</v>
      </c>
      <c r="I11136" s="3">
        <v>285</v>
      </c>
      <c r="J11136" s="3">
        <v>445</v>
      </c>
      <c r="K11136" s="3">
        <v>1299</v>
      </c>
      <c r="L11136" s="3">
        <v>161</v>
      </c>
      <c r="M11136" s="3">
        <v>445</v>
      </c>
    </row>
    <row r="11137" spans="1:13" x14ac:dyDescent="0.25">
      <c r="A11137" s="1" t="str">
        <f>HYPERLINK("http://www.rosaceae.org/Prunus/Prunus_persica/p.persica_gdr_reftransV1_0027688","p.persica_gdr_reftransV1_0027688")</f>
        <v>p.persica_gdr_reftransV1_0027688</v>
      </c>
      <c r="B11137" s="3">
        <v>1679</v>
      </c>
      <c r="C11137" s="1" t="str">
        <f>HYPERLINK("http://www.uniprot.org/uniprot/GLUA2_ORYSJ","GLUA2_ORYSJ")</f>
        <v>GLUA2_ORYSJ</v>
      </c>
      <c r="D11137" t="s">
        <v>3334</v>
      </c>
      <c r="E11137" s="3" t="s">
        <v>38</v>
      </c>
      <c r="F11137" s="4">
        <v>1.61E-27</v>
      </c>
      <c r="G11137" s="3">
        <v>298</v>
      </c>
      <c r="H11137" s="3">
        <v>25</v>
      </c>
      <c r="I11137" s="3">
        <v>403</v>
      </c>
      <c r="J11137" s="3">
        <v>371</v>
      </c>
      <c r="K11137" s="3">
        <v>1321</v>
      </c>
      <c r="L11137" s="3">
        <v>82</v>
      </c>
      <c r="M11137" s="3">
        <v>483</v>
      </c>
    </row>
    <row r="11138" spans="1:13" x14ac:dyDescent="0.25">
      <c r="A11138" s="1" t="str">
        <f>HYPERLINK("http://www.rosaceae.org/Prunus/Prunus_persica/p.persica_gdr_reftransV1_0028188","p.persica_gdr_reftransV1_0028188")</f>
        <v>p.persica_gdr_reftransV1_0028188</v>
      </c>
      <c r="B11138" s="3">
        <v>2640</v>
      </c>
      <c r="C11138" s="1" t="str">
        <f>HYPERLINK("http://www.uniprot.org/uniprot/CAF1P_ARATH","CAF1P_ARATH")</f>
        <v>CAF1P_ARATH</v>
      </c>
      <c r="D11138" t="s">
        <v>7938</v>
      </c>
      <c r="E11138" s="3" t="s">
        <v>3</v>
      </c>
      <c r="F11138" s="4">
        <v>0</v>
      </c>
      <c r="G11138" s="3">
        <v>1608</v>
      </c>
      <c r="H11138" s="3">
        <v>51</v>
      </c>
      <c r="I11138" s="3">
        <v>774</v>
      </c>
      <c r="J11138" s="3">
        <v>151</v>
      </c>
      <c r="K11138" s="3">
        <v>2400</v>
      </c>
      <c r="L11138" s="3">
        <v>1</v>
      </c>
      <c r="M11138" s="3">
        <v>701</v>
      </c>
    </row>
    <row r="11139" spans="1:13" x14ac:dyDescent="0.25">
      <c r="A11139" s="1" t="str">
        <f>HYPERLINK("http://www.rosaceae.org/Prunus/Prunus_persica/p.persica_gdr_reftransV1_0028238","p.persica_gdr_reftransV1_0028238")</f>
        <v>p.persica_gdr_reftransV1_0028238</v>
      </c>
      <c r="B11139" s="3">
        <v>1891</v>
      </c>
      <c r="C11139" s="1" t="str">
        <f>HYPERLINK("http://www.uniprot.org/uniprot/PP166_ARATH","PP166_ARATH")</f>
        <v>PP166_ARATH</v>
      </c>
      <c r="D11139" t="s">
        <v>2631</v>
      </c>
      <c r="E11139" s="3" t="s">
        <v>3</v>
      </c>
      <c r="F11139" s="4">
        <v>6.7999999999999998E-101</v>
      </c>
      <c r="G11139" s="3">
        <v>827</v>
      </c>
      <c r="H11139" s="3">
        <v>43</v>
      </c>
      <c r="I11139" s="3">
        <v>415</v>
      </c>
      <c r="J11139" s="3">
        <v>437</v>
      </c>
      <c r="K11139" s="3">
        <v>1681</v>
      </c>
      <c r="L11139" s="3">
        <v>38</v>
      </c>
      <c r="M11139" s="3">
        <v>451</v>
      </c>
    </row>
    <row r="11140" spans="1:13" x14ac:dyDescent="0.25">
      <c r="A11140" s="1" t="str">
        <f>HYPERLINK("http://www.rosaceae.org/Prunus/Prunus_persica/p.persica_gdr_reftransV1_0028388","p.persica_gdr_reftransV1_0028388")</f>
        <v>p.persica_gdr_reftransV1_0028388</v>
      </c>
      <c r="B11140" s="3">
        <v>2084</v>
      </c>
      <c r="C11140" s="1" t="str">
        <f>HYPERLINK("http://www.uniprot.org/uniprot/WRK11_ARATH","WRK11_ARATH")</f>
        <v>WRK11_ARATH</v>
      </c>
      <c r="D11140" t="s">
        <v>7939</v>
      </c>
      <c r="E11140" s="3" t="s">
        <v>3</v>
      </c>
      <c r="F11140" s="4">
        <v>2.73E-48</v>
      </c>
      <c r="G11140" s="3">
        <v>449</v>
      </c>
      <c r="H11140" s="3">
        <v>52</v>
      </c>
      <c r="I11140" s="3">
        <v>227</v>
      </c>
      <c r="J11140" s="3">
        <v>190</v>
      </c>
      <c r="K11140" s="3">
        <v>861</v>
      </c>
      <c r="L11140" s="3">
        <v>1</v>
      </c>
      <c r="M11140" s="3">
        <v>202</v>
      </c>
    </row>
    <row r="11141" spans="1:13" x14ac:dyDescent="0.25">
      <c r="A11141" s="1" t="str">
        <f>HYPERLINK("http://www.rosaceae.org/Prunus/Prunus_persica/p.persica_gdr_reftransV1_0028588","p.persica_gdr_reftransV1_0028588")</f>
        <v>p.persica_gdr_reftransV1_0028588</v>
      </c>
      <c r="B11141" s="3">
        <v>1130</v>
      </c>
      <c r="C11141" s="1" t="str">
        <f>HYPERLINK("http://www.uniprot.org/uniprot/ZFP3_ARATH","ZFP3_ARATH")</f>
        <v>ZFP3_ARATH</v>
      </c>
      <c r="D11141" t="s">
        <v>7940</v>
      </c>
      <c r="E11141" s="3" t="s">
        <v>3</v>
      </c>
      <c r="F11141" s="4">
        <v>7.0699999999999999E-39</v>
      </c>
      <c r="G11141" s="3">
        <v>363</v>
      </c>
      <c r="H11141" s="3">
        <v>53</v>
      </c>
      <c r="I11141" s="3">
        <v>154</v>
      </c>
      <c r="J11141" s="3">
        <v>351</v>
      </c>
      <c r="K11141" s="3">
        <v>812</v>
      </c>
      <c r="L11141" s="3">
        <v>35</v>
      </c>
      <c r="M11141" s="3">
        <v>164</v>
      </c>
    </row>
    <row r="11142" spans="1:13" x14ac:dyDescent="0.25">
      <c r="A11142" s="1" t="str">
        <f>HYPERLINK("http://www.rosaceae.org/Prunus/Prunus_persica/p.persica_gdr_reftransV1_0028838","p.persica_gdr_reftransV1_0028838")</f>
        <v>p.persica_gdr_reftransV1_0028838</v>
      </c>
      <c r="B11142" s="3">
        <v>5014</v>
      </c>
      <c r="C11142" s="1" t="str">
        <f>HYPERLINK("http://www.uniprot.org/uniprot/GAUTF_ARATH","GAUTF_ARATH")</f>
        <v>GAUTF_ARATH</v>
      </c>
      <c r="D11142" t="s">
        <v>7290</v>
      </c>
      <c r="E11142" s="3" t="s">
        <v>3</v>
      </c>
      <c r="F11142" s="4">
        <v>2.78E-126</v>
      </c>
      <c r="G11142" s="3">
        <v>778</v>
      </c>
      <c r="H11142" s="3">
        <v>72</v>
      </c>
      <c r="I11142" s="3">
        <v>195</v>
      </c>
      <c r="J11142" s="3">
        <v>1545</v>
      </c>
      <c r="K11142" s="3">
        <v>2126</v>
      </c>
      <c r="L11142" s="3">
        <v>153</v>
      </c>
      <c r="M11142" s="3">
        <v>347</v>
      </c>
    </row>
    <row r="11143" spans="1:13" x14ac:dyDescent="0.25">
      <c r="A11143" s="1" t="str">
        <f>HYPERLINK("http://www.rosaceae.org/Prunus/Prunus_persica/p.persica_gdr_reftransV1_0029088","p.persica_gdr_reftransV1_0029088")</f>
        <v>p.persica_gdr_reftransV1_0029088</v>
      </c>
      <c r="B11143" s="3">
        <v>1623</v>
      </c>
      <c r="C11143" s="1" t="str">
        <f>HYPERLINK("http://www.uniprot.org/uniprot/PTR27_ARATH","PTR27_ARATH")</f>
        <v>PTR27_ARATH</v>
      </c>
      <c r="D11143" t="s">
        <v>7941</v>
      </c>
      <c r="E11143" s="3" t="s">
        <v>3</v>
      </c>
      <c r="F11143" s="4">
        <v>5.9900000000000002E-45</v>
      </c>
      <c r="G11143" s="3">
        <v>297</v>
      </c>
      <c r="H11143" s="3">
        <v>64</v>
      </c>
      <c r="I11143" s="3">
        <v>132</v>
      </c>
      <c r="J11143" s="3">
        <v>1047</v>
      </c>
      <c r="K11143" s="3">
        <v>1436</v>
      </c>
      <c r="L11143" s="3">
        <v>405</v>
      </c>
      <c r="M11143" s="3">
        <v>534</v>
      </c>
    </row>
    <row r="11144" spans="1:13" x14ac:dyDescent="0.25">
      <c r="A11144" s="1" t="str">
        <f>HYPERLINK("http://www.rosaceae.org/Prunus/Prunus_persica/p.persica_gdr_reftransV1_0029138","p.persica_gdr_reftransV1_0029138")</f>
        <v>p.persica_gdr_reftransV1_0029138</v>
      </c>
      <c r="B11144" s="3">
        <v>2489</v>
      </c>
      <c r="C11144" s="1" t="str">
        <f>HYPERLINK("http://www.uniprot.org/uniprot/TGA21_TOBAC","TGA21_TOBAC")</f>
        <v>TGA21_TOBAC</v>
      </c>
      <c r="D11144" t="s">
        <v>7942</v>
      </c>
      <c r="E11144" s="3" t="s">
        <v>200</v>
      </c>
      <c r="F11144" s="4">
        <v>0</v>
      </c>
      <c r="G11144" s="3">
        <v>1414</v>
      </c>
      <c r="H11144" s="3">
        <v>68</v>
      </c>
      <c r="I11144" s="3">
        <v>450</v>
      </c>
      <c r="J11144" s="3">
        <v>685</v>
      </c>
      <c r="K11144" s="3">
        <v>1992</v>
      </c>
      <c r="L11144" s="3">
        <v>1</v>
      </c>
      <c r="M11144" s="3">
        <v>437</v>
      </c>
    </row>
    <row r="11145" spans="1:13" x14ac:dyDescent="0.25">
      <c r="A11145" s="1" t="str">
        <f>HYPERLINK("http://www.rosaceae.org/Prunus/Prunus_persica/p.persica_gdr_reftransV1_0029238","p.persica_gdr_reftransV1_0029238")</f>
        <v>p.persica_gdr_reftransV1_0029238</v>
      </c>
      <c r="B11145" s="3">
        <v>3542</v>
      </c>
      <c r="C11145" s="1" t="str">
        <f>HYPERLINK("http://www.uniprot.org/uniprot/ADCS_SOLLC","ADCS_SOLLC")</f>
        <v>ADCS_SOLLC</v>
      </c>
      <c r="D11145" t="s">
        <v>5402</v>
      </c>
      <c r="E11145" s="3" t="s">
        <v>64</v>
      </c>
      <c r="F11145" s="4">
        <v>3.49E-152</v>
      </c>
      <c r="G11145" s="3">
        <v>1251</v>
      </c>
      <c r="H11145" s="3">
        <v>58</v>
      </c>
      <c r="I11145" s="3">
        <v>412</v>
      </c>
      <c r="J11145" s="3">
        <v>1302</v>
      </c>
      <c r="K11145" s="3">
        <v>2537</v>
      </c>
      <c r="L11145" s="3">
        <v>47</v>
      </c>
      <c r="M11145" s="3">
        <v>438</v>
      </c>
    </row>
    <row r="11146" spans="1:13" x14ac:dyDescent="0.25">
      <c r="A11146" s="1" t="str">
        <f>HYPERLINK("http://www.rosaceae.org/Prunus/Prunus_persica/p.persica_gdr_reftransV1_0029388","p.persica_gdr_reftransV1_0029388")</f>
        <v>p.persica_gdr_reftransV1_0029388</v>
      </c>
      <c r="B11146" s="3">
        <v>2698</v>
      </c>
      <c r="C11146" s="1" t="str">
        <f>HYPERLINK("http://www.uniprot.org/uniprot/KLC3_HUMAN","KLC3_HUMAN")</f>
        <v>KLC3_HUMAN</v>
      </c>
      <c r="D11146" t="s">
        <v>7943</v>
      </c>
      <c r="E11146" s="3" t="s">
        <v>28</v>
      </c>
      <c r="F11146" s="4">
        <v>5.9500000000000002E-7</v>
      </c>
      <c r="G11146" s="3">
        <v>136</v>
      </c>
      <c r="H11146" s="3">
        <v>33</v>
      </c>
      <c r="I11146" s="3">
        <v>102</v>
      </c>
      <c r="J11146" s="3">
        <v>933</v>
      </c>
      <c r="K11146" s="3">
        <v>1238</v>
      </c>
      <c r="L11146" s="3">
        <v>315</v>
      </c>
      <c r="M11146" s="3">
        <v>416</v>
      </c>
    </row>
    <row r="11147" spans="1:13" x14ac:dyDescent="0.25">
      <c r="A11147" s="1" t="str">
        <f>HYPERLINK("http://www.rosaceae.org/Prunus/Prunus_persica/p.persica_gdr_reftransV1_0029638","p.persica_gdr_reftransV1_0029638")</f>
        <v>p.persica_gdr_reftransV1_0029638</v>
      </c>
      <c r="B11147" s="3">
        <v>3300</v>
      </c>
      <c r="C11147" s="1" t="str">
        <f>HYPERLINK("http://www.uniprot.org/uniprot/FRS2_ARATH","FRS2_ARATH")</f>
        <v>FRS2_ARATH</v>
      </c>
      <c r="D11147" t="s">
        <v>7944</v>
      </c>
      <c r="E11147" s="3" t="s">
        <v>3</v>
      </c>
      <c r="F11147" s="4">
        <v>0</v>
      </c>
      <c r="G11147" s="3">
        <v>1874</v>
      </c>
      <c r="H11147" s="3">
        <v>51</v>
      </c>
      <c r="I11147" s="3">
        <v>791</v>
      </c>
      <c r="J11147" s="3">
        <v>344</v>
      </c>
      <c r="K11147" s="3">
        <v>2707</v>
      </c>
      <c r="L11147" s="3">
        <v>34</v>
      </c>
      <c r="M11147" s="3">
        <v>786</v>
      </c>
    </row>
    <row r="11148" spans="1:13" x14ac:dyDescent="0.25">
      <c r="A11148" s="1" t="str">
        <f>HYPERLINK("http://www.rosaceae.org/Prunus/Prunus_persica/p.persica_gdr_reftransV1_0029688","p.persica_gdr_reftransV1_0029688")</f>
        <v>p.persica_gdr_reftransV1_0029688</v>
      </c>
      <c r="B11148" s="3">
        <v>2079</v>
      </c>
      <c r="C11148" s="1" t="str">
        <f>HYPERLINK("http://www.uniprot.org/uniprot/FENR2_PEA","FENR2_PEA")</f>
        <v>FENR2_PEA</v>
      </c>
      <c r="D11148" t="s">
        <v>7945</v>
      </c>
      <c r="E11148" s="3" t="s">
        <v>60</v>
      </c>
      <c r="F11148" s="4">
        <v>6.1599999999999997E-155</v>
      </c>
      <c r="G11148" s="3">
        <v>1184</v>
      </c>
      <c r="H11148" s="3">
        <v>91</v>
      </c>
      <c r="I11148" s="3">
        <v>239</v>
      </c>
      <c r="J11148" s="3">
        <v>306</v>
      </c>
      <c r="K11148" s="3">
        <v>1022</v>
      </c>
      <c r="L11148" s="3">
        <v>139</v>
      </c>
      <c r="M11148" s="3">
        <v>377</v>
      </c>
    </row>
    <row r="11149" spans="1:13" x14ac:dyDescent="0.25">
      <c r="A11149" s="1" t="str">
        <f>HYPERLINK("http://www.rosaceae.org/Prunus/Prunus_persica/p.persica_gdr_reftransV1_0029888","p.persica_gdr_reftransV1_0029888")</f>
        <v>p.persica_gdr_reftransV1_0029888</v>
      </c>
      <c r="B11149" s="3">
        <v>2785</v>
      </c>
      <c r="C11149" s="1" t="str">
        <f>HYPERLINK("http://www.uniprot.org/uniprot/G6PD4_ARATH","G6PD4_ARATH")</f>
        <v>G6PD4_ARATH</v>
      </c>
      <c r="D11149" t="s">
        <v>7275</v>
      </c>
      <c r="E11149" s="3" t="s">
        <v>3</v>
      </c>
      <c r="F11149" s="4">
        <v>0</v>
      </c>
      <c r="G11149" s="3">
        <v>915</v>
      </c>
      <c r="H11149" s="3">
        <v>65</v>
      </c>
      <c r="I11149" s="3">
        <v>277</v>
      </c>
      <c r="J11149" s="3">
        <v>985</v>
      </c>
      <c r="K11149" s="3">
        <v>1815</v>
      </c>
      <c r="L11149" s="3">
        <v>185</v>
      </c>
      <c r="M11149" s="3">
        <v>413</v>
      </c>
    </row>
    <row r="11150" spans="1:13" x14ac:dyDescent="0.25">
      <c r="A11150" s="1" t="str">
        <f>HYPERLINK("http://www.rosaceae.org/Prunus/Prunus_persica/p.persica_gdr_reftransV1_0029938","p.persica_gdr_reftransV1_0029938")</f>
        <v>p.persica_gdr_reftransV1_0029938</v>
      </c>
      <c r="B11150" s="3">
        <v>3714</v>
      </c>
      <c r="C11150" s="1" t="str">
        <f>HYPERLINK("http://www.uniprot.org/uniprot/MPK4_ARATH","MPK4_ARATH")</f>
        <v>MPK4_ARATH</v>
      </c>
      <c r="D11150" t="s">
        <v>7946</v>
      </c>
      <c r="E11150" s="3" t="s">
        <v>3</v>
      </c>
      <c r="F11150" s="4">
        <v>3.7699999999999998E-166</v>
      </c>
      <c r="G11150" s="3">
        <v>1301</v>
      </c>
      <c r="H11150" s="3">
        <v>86</v>
      </c>
      <c r="I11150" s="3">
        <v>272</v>
      </c>
      <c r="J11150" s="3">
        <v>2626</v>
      </c>
      <c r="K11150" s="3">
        <v>3441</v>
      </c>
      <c r="L11150" s="3">
        <v>101</v>
      </c>
      <c r="M11150" s="3">
        <v>372</v>
      </c>
    </row>
    <row r="11151" spans="1:13" x14ac:dyDescent="0.25">
      <c r="A11151" s="1" t="str">
        <f>HYPERLINK("http://www.rosaceae.org/Prunus/Prunus_persica/p.persica_gdr_reftransV1_0029988","p.persica_gdr_reftransV1_0029988")</f>
        <v>p.persica_gdr_reftransV1_0029988</v>
      </c>
      <c r="B11151" s="3">
        <v>3012</v>
      </c>
      <c r="C11151" s="1" t="str">
        <f>HYPERLINK("http://www.uniprot.org/uniprot/PP281_ARATH","PP281_ARATH")</f>
        <v>PP281_ARATH</v>
      </c>
      <c r="D11151" t="s">
        <v>1006</v>
      </c>
      <c r="E11151" s="3" t="s">
        <v>3</v>
      </c>
      <c r="F11151" s="4">
        <v>0</v>
      </c>
      <c r="G11151" s="3">
        <v>2838</v>
      </c>
      <c r="H11151" s="3">
        <v>66</v>
      </c>
      <c r="I11151" s="3">
        <v>774</v>
      </c>
      <c r="J11151" s="3">
        <v>173</v>
      </c>
      <c r="K11151" s="3">
        <v>2488</v>
      </c>
      <c r="L11151" s="3">
        <v>1</v>
      </c>
      <c r="M11151" s="3">
        <v>754</v>
      </c>
    </row>
    <row r="11152" spans="1:13" x14ac:dyDescent="0.25">
      <c r="A11152" s="1" t="str">
        <f>HYPERLINK("http://www.rosaceae.org/Prunus/Prunus_persica/p.persica_gdr_reftransV1_0030038","p.persica_gdr_reftransV1_0030038")</f>
        <v>p.persica_gdr_reftransV1_0030038</v>
      </c>
      <c r="B11152" s="3">
        <v>2064</v>
      </c>
      <c r="C11152" s="1" t="str">
        <f>HYPERLINK("http://www.uniprot.org/uniprot/SRF3_ARATH","SRF3_ARATH")</f>
        <v>SRF3_ARATH</v>
      </c>
      <c r="D11152" t="s">
        <v>2722</v>
      </c>
      <c r="E11152" s="3" t="s">
        <v>3</v>
      </c>
      <c r="F11152" s="4">
        <v>5.37E-84</v>
      </c>
      <c r="G11152" s="3">
        <v>735</v>
      </c>
      <c r="H11152" s="3">
        <v>74</v>
      </c>
      <c r="I11152" s="3">
        <v>196</v>
      </c>
      <c r="J11152" s="3">
        <v>1447</v>
      </c>
      <c r="K11152" s="3">
        <v>2034</v>
      </c>
      <c r="L11152" s="3">
        <v>443</v>
      </c>
      <c r="M11152" s="3">
        <v>637</v>
      </c>
    </row>
    <row r="11153" spans="1:13" x14ac:dyDescent="0.25">
      <c r="A11153" s="1" t="str">
        <f>HYPERLINK("http://www.rosaceae.org/Prunus/Prunus_persica/p.persica_gdr_reftransV1_0030588","p.persica_gdr_reftransV1_0030588")</f>
        <v>p.persica_gdr_reftransV1_0030588</v>
      </c>
      <c r="B11153" s="3">
        <v>2040</v>
      </c>
      <c r="C11153" s="1" t="str">
        <f>HYPERLINK("http://www.uniprot.org/uniprot/PGKH_TOBAC","PGKH_TOBAC")</f>
        <v>PGKH_TOBAC</v>
      </c>
      <c r="D11153" t="s">
        <v>7947</v>
      </c>
      <c r="E11153" s="3" t="s">
        <v>200</v>
      </c>
      <c r="F11153" s="4">
        <v>0</v>
      </c>
      <c r="G11153" s="3">
        <v>1999</v>
      </c>
      <c r="H11153" s="3">
        <v>87</v>
      </c>
      <c r="I11153" s="3">
        <v>455</v>
      </c>
      <c r="J11153" s="3">
        <v>376</v>
      </c>
      <c r="K11153" s="3">
        <v>1719</v>
      </c>
      <c r="L11153" s="3">
        <v>27</v>
      </c>
      <c r="M11153" s="3">
        <v>481</v>
      </c>
    </row>
    <row r="11154" spans="1:13" x14ac:dyDescent="0.25">
      <c r="A11154" s="1" t="str">
        <f>HYPERLINK("http://www.rosaceae.org/Prunus/Prunus_persica/p.persica_gdr_reftransV1_0030738","p.persica_gdr_reftransV1_0030738")</f>
        <v>p.persica_gdr_reftransV1_0030738</v>
      </c>
      <c r="B11154" s="3">
        <v>2583</v>
      </c>
      <c r="C11154" s="1" t="str">
        <f>HYPERLINK("http://www.uniprot.org/uniprot/WIP1_ARATH","WIP1_ARATH")</f>
        <v>WIP1_ARATH</v>
      </c>
      <c r="D11154" t="s">
        <v>7948</v>
      </c>
      <c r="E11154" s="3" t="s">
        <v>3</v>
      </c>
      <c r="F11154" s="4">
        <v>2.02E-56</v>
      </c>
      <c r="G11154" s="3">
        <v>525</v>
      </c>
      <c r="H11154" s="3">
        <v>35</v>
      </c>
      <c r="I11154" s="3">
        <v>602</v>
      </c>
      <c r="J11154" s="3">
        <v>424</v>
      </c>
      <c r="K11154" s="3">
        <v>2190</v>
      </c>
      <c r="L11154" s="3">
        <v>1</v>
      </c>
      <c r="M11154" s="3">
        <v>464</v>
      </c>
    </row>
    <row r="11155" spans="1:13" x14ac:dyDescent="0.25">
      <c r="A11155" s="1" t="str">
        <f>HYPERLINK("http://www.rosaceae.org/Prunus/Prunus_persica/p.persica_gdr_reftransV1_0031088","p.persica_gdr_reftransV1_0031088")</f>
        <v>p.persica_gdr_reftransV1_0031088</v>
      </c>
      <c r="B11155" s="3">
        <v>4859</v>
      </c>
      <c r="C11155" s="1" t="str">
        <f>HYPERLINK("http://www.uniprot.org/uniprot/PANK2_ARATH","PANK2_ARATH")</f>
        <v>PANK2_ARATH</v>
      </c>
      <c r="D11155" t="s">
        <v>7949</v>
      </c>
      <c r="E11155" s="3" t="s">
        <v>3</v>
      </c>
      <c r="F11155" s="4">
        <v>0</v>
      </c>
      <c r="G11155" s="3">
        <v>1972</v>
      </c>
      <c r="H11155" s="3">
        <v>90</v>
      </c>
      <c r="I11155" s="3">
        <v>438</v>
      </c>
      <c r="J11155" s="3">
        <v>3209</v>
      </c>
      <c r="K11155" s="3">
        <v>4522</v>
      </c>
      <c r="L11155" s="3">
        <v>463</v>
      </c>
      <c r="M11155" s="3">
        <v>900</v>
      </c>
    </row>
    <row r="11156" spans="1:13" x14ac:dyDescent="0.25">
      <c r="A11156" s="1" t="str">
        <f>HYPERLINK("http://www.rosaceae.org/Prunus/Prunus_persica/p.persica_gdr_reftransV1_0031488","p.persica_gdr_reftransV1_0031488")</f>
        <v>p.persica_gdr_reftransV1_0031488</v>
      </c>
      <c r="B11156" s="3">
        <v>3560</v>
      </c>
      <c r="C11156" s="1" t="str">
        <f>HYPERLINK("http://www.uniprot.org/uniprot/MAP22_ARATH","MAP22_ARATH")</f>
        <v>MAP22_ARATH</v>
      </c>
      <c r="D11156" t="s">
        <v>7950</v>
      </c>
      <c r="E11156" s="3" t="s">
        <v>3</v>
      </c>
      <c r="F11156" s="4">
        <v>0</v>
      </c>
      <c r="G11156" s="3">
        <v>1647</v>
      </c>
      <c r="H11156" s="3">
        <v>80</v>
      </c>
      <c r="I11156" s="3">
        <v>390</v>
      </c>
      <c r="J11156" s="3">
        <v>569</v>
      </c>
      <c r="K11156" s="3">
        <v>1732</v>
      </c>
      <c r="L11156" s="3">
        <v>16</v>
      </c>
      <c r="M11156" s="3">
        <v>405</v>
      </c>
    </row>
    <row r="11157" spans="1:13" x14ac:dyDescent="0.25">
      <c r="A11157" s="1" t="str">
        <f>HYPERLINK("http://www.rosaceae.org/Prunus/Prunus_persica/p.persica_gdr_reftransV1_0031538","p.persica_gdr_reftransV1_0031538")</f>
        <v>p.persica_gdr_reftransV1_0031538</v>
      </c>
      <c r="B11157" s="3">
        <v>3002</v>
      </c>
      <c r="C11157" s="1" t="str">
        <f>HYPERLINK("http://www.uniprot.org/uniprot/APY6_ARATH","APY6_ARATH")</f>
        <v>APY6_ARATH</v>
      </c>
      <c r="D11157" t="s">
        <v>6048</v>
      </c>
      <c r="E11157" s="3" t="s">
        <v>3</v>
      </c>
      <c r="F11157" s="4">
        <v>5.24E-99</v>
      </c>
      <c r="G11157" s="3">
        <v>843</v>
      </c>
      <c r="H11157" s="3">
        <v>56</v>
      </c>
      <c r="I11157" s="3">
        <v>307</v>
      </c>
      <c r="J11157" s="3">
        <v>452</v>
      </c>
      <c r="K11157" s="3">
        <v>1345</v>
      </c>
      <c r="L11157" s="3">
        <v>1</v>
      </c>
      <c r="M11157" s="3">
        <v>301</v>
      </c>
    </row>
    <row r="11158" spans="1:13" x14ac:dyDescent="0.25">
      <c r="A11158" s="1" t="str">
        <f>HYPERLINK("http://www.rosaceae.org/Prunus/Prunus_persica/p.persica_gdr_reftransV1_0031738","p.persica_gdr_reftransV1_0031738")</f>
        <v>p.persica_gdr_reftransV1_0031738</v>
      </c>
      <c r="B11158" s="3">
        <v>1358</v>
      </c>
      <c r="C11158" s="1" t="str">
        <f>HYPERLINK("http://www.uniprot.org/uniprot/OML4_ORYSJ","OML4_ORYSJ")</f>
        <v>OML4_ORYSJ</v>
      </c>
      <c r="D11158" t="s">
        <v>4661</v>
      </c>
      <c r="E11158" s="3" t="s">
        <v>38</v>
      </c>
      <c r="F11158" s="4">
        <v>9.5000000000000007E-9</v>
      </c>
      <c r="G11158" s="3">
        <v>148</v>
      </c>
      <c r="H11158" s="3">
        <v>37</v>
      </c>
      <c r="I11158" s="3">
        <v>199</v>
      </c>
      <c r="J11158" s="3">
        <v>781</v>
      </c>
      <c r="K11158" s="3">
        <v>1338</v>
      </c>
      <c r="L11158" s="3">
        <v>1</v>
      </c>
      <c r="M11158" s="3">
        <v>196</v>
      </c>
    </row>
    <row r="11159" spans="1:13" x14ac:dyDescent="0.25">
      <c r="A11159" s="1" t="str">
        <f>HYPERLINK("http://www.rosaceae.org/Prunus/Prunus_persica/p.persica_gdr_reftransV1_0031838","p.persica_gdr_reftransV1_0031838")</f>
        <v>p.persica_gdr_reftransV1_0031838</v>
      </c>
      <c r="B11159" s="3">
        <v>1434</v>
      </c>
      <c r="C11159" s="1" t="str">
        <f>HYPERLINK("http://www.uniprot.org/uniprot/CNGC1_ARATH","CNGC1_ARATH")</f>
        <v>CNGC1_ARATH</v>
      </c>
      <c r="D11159" t="s">
        <v>241</v>
      </c>
      <c r="E11159" s="3" t="s">
        <v>3</v>
      </c>
      <c r="F11159" s="4">
        <v>6.4500000000000002E-12</v>
      </c>
      <c r="G11159" s="3">
        <v>174</v>
      </c>
      <c r="H11159" s="3">
        <v>52</v>
      </c>
      <c r="I11159" s="3">
        <v>73</v>
      </c>
      <c r="J11159" s="3">
        <v>1013</v>
      </c>
      <c r="K11159" s="3">
        <v>1231</v>
      </c>
      <c r="L11159" s="3">
        <v>200</v>
      </c>
      <c r="M11159" s="3">
        <v>272</v>
      </c>
    </row>
    <row r="11160" spans="1:13" x14ac:dyDescent="0.25">
      <c r="A11160" s="1" t="str">
        <f>HYPERLINK("http://www.rosaceae.org/Prunus/Prunus_persica/p.persica_gdr_reftransV1_0031888","p.persica_gdr_reftransV1_0031888")</f>
        <v>p.persica_gdr_reftransV1_0031888</v>
      </c>
      <c r="B11160" s="3">
        <v>7497</v>
      </c>
      <c r="C11160" s="1" t="str">
        <f>HYPERLINK("http://www.uniprot.org/uniprot/AB1A_ARATH","AB1A_ARATH")</f>
        <v>AB1A_ARATH</v>
      </c>
      <c r="D11160" t="s">
        <v>7951</v>
      </c>
      <c r="E11160" s="3" t="s">
        <v>3</v>
      </c>
      <c r="F11160" s="4">
        <v>0</v>
      </c>
      <c r="G11160" s="3">
        <v>4853</v>
      </c>
      <c r="H11160" s="3">
        <v>73</v>
      </c>
      <c r="I11160" s="3">
        <v>1301</v>
      </c>
      <c r="J11160" s="3">
        <v>1702</v>
      </c>
      <c r="K11160" s="3">
        <v>5577</v>
      </c>
      <c r="L11160" s="3">
        <v>544</v>
      </c>
      <c r="M11160" s="3">
        <v>1836</v>
      </c>
    </row>
    <row r="11161" spans="1:13" x14ac:dyDescent="0.25">
      <c r="A11161" s="1" t="str">
        <f>HYPERLINK("http://www.rosaceae.org/Prunus/Prunus_persica/p.persica_gdr_reftransV1_0031938","p.persica_gdr_reftransV1_0031938")</f>
        <v>p.persica_gdr_reftransV1_0031938</v>
      </c>
      <c r="B11161" s="3">
        <v>2228</v>
      </c>
      <c r="C11161" s="1" t="str">
        <f>HYPERLINK("http://www.uniprot.org/uniprot/S30BP_MOUSE","S30BP_MOUSE")</f>
        <v>S30BP_MOUSE</v>
      </c>
      <c r="D11161" t="s">
        <v>7952</v>
      </c>
      <c r="E11161" s="3" t="s">
        <v>157</v>
      </c>
      <c r="F11161" s="4">
        <v>1.31E-13</v>
      </c>
      <c r="G11161" s="3">
        <v>185</v>
      </c>
      <c r="H11161" s="3">
        <v>32</v>
      </c>
      <c r="I11161" s="3">
        <v>133</v>
      </c>
      <c r="J11161" s="3">
        <v>799</v>
      </c>
      <c r="K11161" s="3">
        <v>1185</v>
      </c>
      <c r="L11161" s="3">
        <v>92</v>
      </c>
      <c r="M11161" s="3">
        <v>224</v>
      </c>
    </row>
    <row r="11162" spans="1:13" x14ac:dyDescent="0.25">
      <c r="A11162" s="1" t="str">
        <f>HYPERLINK("http://www.rosaceae.org/Prunus/Prunus_persica/p.persica_gdr_reftransV1_0032188","p.persica_gdr_reftransV1_0032188")</f>
        <v>p.persica_gdr_reftransV1_0032188</v>
      </c>
      <c r="B11162" s="3">
        <v>1347</v>
      </c>
      <c r="C11162" s="1" t="str">
        <f>HYPERLINK("http://www.uniprot.org/uniprot/TIP32_MAIZE","TIP32_MAIZE")</f>
        <v>TIP32_MAIZE</v>
      </c>
      <c r="D11162" t="s">
        <v>7953</v>
      </c>
      <c r="E11162" s="3" t="s">
        <v>72</v>
      </c>
      <c r="F11162" s="4">
        <v>6.1900000000000005E-17</v>
      </c>
      <c r="G11162" s="3">
        <v>207</v>
      </c>
      <c r="H11162" s="3">
        <v>29</v>
      </c>
      <c r="I11162" s="3">
        <v>264</v>
      </c>
      <c r="J11162" s="3">
        <v>273</v>
      </c>
      <c r="K11162" s="3">
        <v>1025</v>
      </c>
      <c r="L11162" s="3">
        <v>28</v>
      </c>
      <c r="M11162" s="3">
        <v>265</v>
      </c>
    </row>
    <row r="11163" spans="1:13" x14ac:dyDescent="0.25">
      <c r="A11163" s="1" t="str">
        <f>HYPERLINK("http://www.rosaceae.org/Prunus/Prunus_persica/p.persica_gdr_reftransV1_0032638","p.persica_gdr_reftransV1_0032638")</f>
        <v>p.persica_gdr_reftransV1_0032638</v>
      </c>
      <c r="B11163" s="3">
        <v>2415</v>
      </c>
      <c r="C11163" s="1" t="str">
        <f>HYPERLINK("http://www.uniprot.org/uniprot/CRYD_SOLLC","CRYD_SOLLC")</f>
        <v>CRYD_SOLLC</v>
      </c>
      <c r="D11163" t="s">
        <v>7954</v>
      </c>
      <c r="E11163" s="3" t="s">
        <v>64</v>
      </c>
      <c r="F11163" s="4">
        <v>5.6999999999999996E-159</v>
      </c>
      <c r="G11163" s="3">
        <v>1240</v>
      </c>
      <c r="H11163" s="3">
        <v>72</v>
      </c>
      <c r="I11163" s="3">
        <v>330</v>
      </c>
      <c r="J11163" s="3">
        <v>1283</v>
      </c>
      <c r="K11163" s="3">
        <v>2269</v>
      </c>
      <c r="L11163" s="3">
        <v>44</v>
      </c>
      <c r="M11163" s="3">
        <v>373</v>
      </c>
    </row>
    <row r="11164" spans="1:13" x14ac:dyDescent="0.25">
      <c r="A11164" s="1" t="str">
        <f>HYPERLINK("http://www.rosaceae.org/Prunus/Prunus_persica/p.persica_gdr_reftransV1_0032688","p.persica_gdr_reftransV1_0032688")</f>
        <v>p.persica_gdr_reftransV1_0032688</v>
      </c>
      <c r="B11164" s="3">
        <v>1430</v>
      </c>
      <c r="C11164" s="1" t="str">
        <f>HYPERLINK("http://www.uniprot.org/uniprot/FL3H_MALDO","FL3H_MALDO")</f>
        <v>FL3H_MALDO</v>
      </c>
      <c r="D11164" t="s">
        <v>7955</v>
      </c>
      <c r="E11164" s="3" t="s">
        <v>540</v>
      </c>
      <c r="F11164" s="4">
        <v>0</v>
      </c>
      <c r="G11164" s="3">
        <v>1662</v>
      </c>
      <c r="H11164" s="3">
        <v>94</v>
      </c>
      <c r="I11164" s="3">
        <v>364</v>
      </c>
      <c r="J11164" s="3">
        <v>222</v>
      </c>
      <c r="K11164" s="3">
        <v>1304</v>
      </c>
      <c r="L11164" s="3">
        <v>1</v>
      </c>
      <c r="M11164" s="3">
        <v>364</v>
      </c>
    </row>
    <row r="11165" spans="1:13" x14ac:dyDescent="0.25">
      <c r="A11165" s="1" t="str">
        <f>HYPERLINK("http://www.rosaceae.org/Prunus/Prunus_persica/p.persica_gdr_reftransV1_0033238","p.persica_gdr_reftransV1_0033238")</f>
        <v>p.persica_gdr_reftransV1_0033238</v>
      </c>
      <c r="B11165" s="3">
        <v>1598</v>
      </c>
      <c r="C11165" s="1" t="str">
        <f>HYPERLINK("http://www.uniprot.org/uniprot/UGAL2_ARATH","UGAL2_ARATH")</f>
        <v>UGAL2_ARATH</v>
      </c>
      <c r="D11165" t="s">
        <v>3157</v>
      </c>
      <c r="E11165" s="3" t="s">
        <v>3</v>
      </c>
      <c r="F11165" s="4">
        <v>1.6500000000000001E-82</v>
      </c>
      <c r="G11165" s="3">
        <v>682</v>
      </c>
      <c r="H11165" s="3">
        <v>50</v>
      </c>
      <c r="I11165" s="3">
        <v>321</v>
      </c>
      <c r="J11165" s="3">
        <v>258</v>
      </c>
      <c r="K11165" s="3">
        <v>1184</v>
      </c>
      <c r="L11165" s="3">
        <v>5</v>
      </c>
      <c r="M11165" s="3">
        <v>324</v>
      </c>
    </row>
    <row r="11166" spans="1:13" x14ac:dyDescent="0.25">
      <c r="A11166" s="1" t="str">
        <f>HYPERLINK("http://www.rosaceae.org/Prunus/Prunus_persica/p.persica_gdr_reftransV1_0033738","p.persica_gdr_reftransV1_0033738")</f>
        <v>p.persica_gdr_reftransV1_0033738</v>
      </c>
      <c r="B11166" s="3">
        <v>1533</v>
      </c>
      <c r="C11166" s="1" t="str">
        <f>HYPERLINK("http://www.uniprot.org/uniprot/DEGP9_ARATH","DEGP9_ARATH")</f>
        <v>DEGP9_ARATH</v>
      </c>
      <c r="D11166" t="s">
        <v>1437</v>
      </c>
      <c r="E11166" s="3" t="s">
        <v>3</v>
      </c>
      <c r="F11166" s="4">
        <v>9.2199999999999996E-133</v>
      </c>
      <c r="G11166" s="3">
        <v>1028</v>
      </c>
      <c r="H11166" s="3">
        <v>83</v>
      </c>
      <c r="I11166" s="3">
        <v>240</v>
      </c>
      <c r="J11166" s="3">
        <v>819</v>
      </c>
      <c r="K11166" s="3">
        <v>1532</v>
      </c>
      <c r="L11166" s="3">
        <v>283</v>
      </c>
      <c r="M11166" s="3">
        <v>522</v>
      </c>
    </row>
    <row r="11167" spans="1:13" x14ac:dyDescent="0.25">
      <c r="A11167" s="1" t="str">
        <f>HYPERLINK("http://www.rosaceae.org/Prunus/Prunus_persica/p.persica_gdr_reftransV1_0033838","p.persica_gdr_reftransV1_0033838")</f>
        <v>p.persica_gdr_reftransV1_0033838</v>
      </c>
      <c r="B11167" s="3">
        <v>2026</v>
      </c>
      <c r="C11167" s="1" t="str">
        <f>HYPERLINK("http://www.uniprot.org/uniprot/HMT3_ARATH","HMT3_ARATH")</f>
        <v>HMT3_ARATH</v>
      </c>
      <c r="D11167" t="s">
        <v>4402</v>
      </c>
      <c r="E11167" s="3" t="s">
        <v>3</v>
      </c>
      <c r="F11167" s="4">
        <v>9.5100000000000001E-64</v>
      </c>
      <c r="G11167" s="3">
        <v>562</v>
      </c>
      <c r="H11167" s="3">
        <v>70</v>
      </c>
      <c r="I11167" s="3">
        <v>151</v>
      </c>
      <c r="J11167" s="3">
        <v>1332</v>
      </c>
      <c r="K11167" s="3">
        <v>1748</v>
      </c>
      <c r="L11167" s="3">
        <v>7</v>
      </c>
      <c r="M11167" s="3">
        <v>157</v>
      </c>
    </row>
    <row r="11168" spans="1:13" x14ac:dyDescent="0.25">
      <c r="A11168" s="1" t="str">
        <f>HYPERLINK("http://www.rosaceae.org/Prunus/Prunus_persica/p.persica_gdr_reftransV1_0033938","p.persica_gdr_reftransV1_0033938")</f>
        <v>p.persica_gdr_reftransV1_0033938</v>
      </c>
      <c r="B11168" s="3">
        <v>953</v>
      </c>
      <c r="C11168" s="1" t="str">
        <f>HYPERLINK("http://www.uniprot.org/uniprot/R13L1_ARATH","R13L1_ARATH")</f>
        <v>R13L1_ARATH</v>
      </c>
      <c r="D11168" t="s">
        <v>100</v>
      </c>
      <c r="E11168" s="3" t="s">
        <v>3</v>
      </c>
      <c r="F11168" s="4">
        <v>6.5299999999999995E-23</v>
      </c>
      <c r="G11168" s="3">
        <v>258</v>
      </c>
      <c r="H11168" s="3">
        <v>30</v>
      </c>
      <c r="I11168" s="3">
        <v>264</v>
      </c>
      <c r="J11168" s="3">
        <v>78</v>
      </c>
      <c r="K11168" s="3">
        <v>842</v>
      </c>
      <c r="L11168" s="3">
        <v>4</v>
      </c>
      <c r="M11168" s="3">
        <v>261</v>
      </c>
    </row>
    <row r="11169" spans="1:13" x14ac:dyDescent="0.25">
      <c r="A11169" s="1" t="str">
        <f>HYPERLINK("http://www.rosaceae.org/Prunus/Prunus_persica/p.persica_gdr_reftransV1_0034088","p.persica_gdr_reftransV1_0034088")</f>
        <v>p.persica_gdr_reftransV1_0034088</v>
      </c>
      <c r="B11169" s="3">
        <v>4642</v>
      </c>
      <c r="C11169" s="1" t="str">
        <f>HYPERLINK("http://www.uniprot.org/uniprot/SCGT_TOBAC","SCGT_TOBAC")</f>
        <v>SCGT_TOBAC</v>
      </c>
      <c r="D11169" t="s">
        <v>2560</v>
      </c>
      <c r="E11169" s="3" t="s">
        <v>200</v>
      </c>
      <c r="F11169" s="4">
        <v>0</v>
      </c>
      <c r="G11169" s="3">
        <v>1524</v>
      </c>
      <c r="H11169" s="3">
        <v>62</v>
      </c>
      <c r="I11169" s="3">
        <v>479</v>
      </c>
      <c r="J11169" s="3">
        <v>532</v>
      </c>
      <c r="K11169" s="3">
        <v>1968</v>
      </c>
      <c r="L11169" s="3">
        <v>3</v>
      </c>
      <c r="M11169" s="3">
        <v>472</v>
      </c>
    </row>
    <row r="11170" spans="1:13" x14ac:dyDescent="0.25">
      <c r="A11170" s="1" t="str">
        <f>HYPERLINK("http://www.rosaceae.org/Prunus/Prunus_persica/p.persica_gdr_reftransV1_0034138","p.persica_gdr_reftransV1_0034138")</f>
        <v>p.persica_gdr_reftransV1_0034138</v>
      </c>
      <c r="B11170" s="3">
        <v>3253</v>
      </c>
      <c r="C11170" s="1" t="str">
        <f>HYPERLINK("http://www.uniprot.org/uniprot/DXS_CAPAN","DXS_CAPAN")</f>
        <v>DXS_CAPAN</v>
      </c>
      <c r="D11170" t="s">
        <v>7956</v>
      </c>
      <c r="E11170" s="3" t="s">
        <v>588</v>
      </c>
      <c r="F11170" s="4">
        <v>0</v>
      </c>
      <c r="G11170" s="3">
        <v>1698</v>
      </c>
      <c r="H11170" s="3">
        <v>84</v>
      </c>
      <c r="I11170" s="3">
        <v>380</v>
      </c>
      <c r="J11170" s="3">
        <v>278</v>
      </c>
      <c r="K11170" s="3">
        <v>1414</v>
      </c>
      <c r="L11170" s="3">
        <v>1</v>
      </c>
      <c r="M11170" s="3">
        <v>379</v>
      </c>
    </row>
    <row r="11171" spans="1:13" x14ac:dyDescent="0.25">
      <c r="A11171" s="1" t="str">
        <f>HYPERLINK("http://www.rosaceae.org/Prunus/Prunus_persica/p.persica_gdr_reftransV1_0034288","p.persica_gdr_reftransV1_0034288")</f>
        <v>p.persica_gdr_reftransV1_0034288</v>
      </c>
      <c r="B11171" s="3">
        <v>3383</v>
      </c>
      <c r="C11171" s="1" t="str">
        <f>HYPERLINK("http://www.uniprot.org/uniprot/SR30_ARATH","SR30_ARATH")</f>
        <v>SR30_ARATH</v>
      </c>
      <c r="D11171" t="s">
        <v>1506</v>
      </c>
      <c r="E11171" s="3" t="s">
        <v>3</v>
      </c>
      <c r="F11171" s="4">
        <v>1.9299999999999998E-77</v>
      </c>
      <c r="G11171" s="3">
        <v>665</v>
      </c>
      <c r="H11171" s="3">
        <v>77</v>
      </c>
      <c r="I11171" s="3">
        <v>186</v>
      </c>
      <c r="J11171" s="3">
        <v>2698</v>
      </c>
      <c r="K11171" s="3">
        <v>3255</v>
      </c>
      <c r="L11171" s="3">
        <v>1</v>
      </c>
      <c r="M11171" s="3">
        <v>184</v>
      </c>
    </row>
    <row r="11172" spans="1:13" x14ac:dyDescent="0.25">
      <c r="A11172" s="1" t="str">
        <f>HYPERLINK("http://www.rosaceae.org/Prunus/Prunus_persica/p.persica_gdr_reftransV1_0034488","p.persica_gdr_reftransV1_0034488")</f>
        <v>p.persica_gdr_reftransV1_0034488</v>
      </c>
      <c r="B11172" s="3">
        <v>414</v>
      </c>
      <c r="C11172" s="1" t="str">
        <f>HYPERLINK("http://www.uniprot.org/uniprot/CD48B_ARATH","CD48B_ARATH")</f>
        <v>CD48B_ARATH</v>
      </c>
      <c r="D11172" t="s">
        <v>6952</v>
      </c>
      <c r="E11172" s="3" t="s">
        <v>3</v>
      </c>
      <c r="F11172" s="4">
        <v>2.7900000000000001E-26</v>
      </c>
      <c r="G11172" s="3">
        <v>267</v>
      </c>
      <c r="H11172" s="3">
        <v>64</v>
      </c>
      <c r="I11172" s="3">
        <v>81</v>
      </c>
      <c r="J11172" s="3">
        <v>2</v>
      </c>
      <c r="K11172" s="3">
        <v>244</v>
      </c>
      <c r="L11172" s="3">
        <v>7</v>
      </c>
      <c r="M11172" s="3">
        <v>80</v>
      </c>
    </row>
    <row r="11173" spans="1:13" x14ac:dyDescent="0.25">
      <c r="A11173" s="1" t="str">
        <f>HYPERLINK("http://www.rosaceae.org/Prunus/Prunus_persica/p.persica_gdr_reftransV1_0034788","p.persica_gdr_reftransV1_0034788")</f>
        <v>p.persica_gdr_reftransV1_0034788</v>
      </c>
      <c r="B11173" s="3">
        <v>1868</v>
      </c>
      <c r="C11173" s="1" t="str">
        <f>HYPERLINK("http://www.uniprot.org/uniprot/CB5_ARATH","CB5_ARATH")</f>
        <v>CB5_ARATH</v>
      </c>
      <c r="D11173" t="s">
        <v>7957</v>
      </c>
      <c r="E11173" s="3" t="s">
        <v>3</v>
      </c>
      <c r="F11173" s="4">
        <v>5.1299999999999996E-59</v>
      </c>
      <c r="G11173" s="3">
        <v>499</v>
      </c>
      <c r="H11173" s="3">
        <v>77</v>
      </c>
      <c r="I11173" s="3">
        <v>147</v>
      </c>
      <c r="J11173" s="3">
        <v>1151</v>
      </c>
      <c r="K11173" s="3">
        <v>1591</v>
      </c>
      <c r="L11173" s="3">
        <v>5</v>
      </c>
      <c r="M11173" s="3">
        <v>150</v>
      </c>
    </row>
    <row r="11174" spans="1:13" x14ac:dyDescent="0.25">
      <c r="A11174" s="1" t="str">
        <f>HYPERLINK("http://www.rosaceae.org/Prunus/Prunus_persica/p.persica_gdr_reftransV1_0034888","p.persica_gdr_reftransV1_0034888")</f>
        <v>p.persica_gdr_reftransV1_0034888</v>
      </c>
      <c r="B11174" s="3">
        <v>2810</v>
      </c>
      <c r="C11174" s="1" t="str">
        <f>HYPERLINK("http://www.uniprot.org/uniprot/FBD4_ARATH","FBD4_ARATH")</f>
        <v>FBD4_ARATH</v>
      </c>
      <c r="D11174" t="s">
        <v>7082</v>
      </c>
      <c r="E11174" s="3" t="s">
        <v>3</v>
      </c>
      <c r="F11174" s="4">
        <v>1.3E-11</v>
      </c>
      <c r="G11174" s="3">
        <v>174</v>
      </c>
      <c r="H11174" s="3">
        <v>22</v>
      </c>
      <c r="I11174" s="3">
        <v>420</v>
      </c>
      <c r="J11174" s="3">
        <v>1375</v>
      </c>
      <c r="K11174" s="3">
        <v>2520</v>
      </c>
      <c r="L11174" s="3">
        <v>12</v>
      </c>
      <c r="M11174" s="3">
        <v>412</v>
      </c>
    </row>
    <row r="11175" spans="1:13" x14ac:dyDescent="0.25">
      <c r="A11175" s="1" t="str">
        <f>HYPERLINK("http://www.rosaceae.org/Prunus/Prunus_persica/p.persica_gdr_reftransV1_0035238","p.persica_gdr_reftransV1_0035238")</f>
        <v>p.persica_gdr_reftransV1_0035238</v>
      </c>
      <c r="B11175" s="3">
        <v>3651</v>
      </c>
      <c r="C11175" s="1" t="str">
        <f>HYPERLINK("http://www.uniprot.org/uniprot/CDL1_ARATH","CDL1_ARATH")</f>
        <v>CDL1_ARATH</v>
      </c>
      <c r="D11175" t="s">
        <v>801</v>
      </c>
      <c r="E11175" s="3" t="s">
        <v>3</v>
      </c>
      <c r="F11175" s="4">
        <v>1.25E-133</v>
      </c>
      <c r="G11175" s="3">
        <v>1078</v>
      </c>
      <c r="H11175" s="3">
        <v>74</v>
      </c>
      <c r="I11175" s="3">
        <v>261</v>
      </c>
      <c r="J11175" s="3">
        <v>1837</v>
      </c>
      <c r="K11175" s="3">
        <v>2619</v>
      </c>
      <c r="L11175" s="3">
        <v>97</v>
      </c>
      <c r="M11175" s="3">
        <v>357</v>
      </c>
    </row>
    <row r="11176" spans="1:13" x14ac:dyDescent="0.25">
      <c r="A11176" s="1" t="str">
        <f>HYPERLINK("http://www.rosaceae.org/Prunus/Prunus_persica/p.persica_gdr_reftransV1_0035288","p.persica_gdr_reftransV1_0035288")</f>
        <v>p.persica_gdr_reftransV1_0035288</v>
      </c>
      <c r="B11176" s="3">
        <v>5379</v>
      </c>
      <c r="C11176" s="1" t="str">
        <f>HYPERLINK("http://www.uniprot.org/uniprot/PPD7_ARATH","PPD7_ARATH")</f>
        <v>PPD7_ARATH</v>
      </c>
      <c r="D11176" t="s">
        <v>5818</v>
      </c>
      <c r="E11176" s="3" t="s">
        <v>3</v>
      </c>
      <c r="F11176" s="4">
        <v>4.6099999999999998E-104</v>
      </c>
      <c r="G11176" s="3">
        <v>872</v>
      </c>
      <c r="H11176" s="3">
        <v>68</v>
      </c>
      <c r="I11176" s="3">
        <v>267</v>
      </c>
      <c r="J11176" s="3">
        <v>535</v>
      </c>
      <c r="K11176" s="3">
        <v>1335</v>
      </c>
      <c r="L11176" s="3">
        <v>23</v>
      </c>
      <c r="M11176" s="3">
        <v>280</v>
      </c>
    </row>
    <row r="11177" spans="1:13" x14ac:dyDescent="0.25">
      <c r="A11177" s="1" t="str">
        <f>HYPERLINK("http://www.rosaceae.org/Prunus/Prunus_persica/p.persica_gdr_reftransV1_0035338","p.persica_gdr_reftransV1_0035338")</f>
        <v>p.persica_gdr_reftransV1_0035338</v>
      </c>
      <c r="B11177" s="3">
        <v>2100</v>
      </c>
      <c r="C11177" s="1" t="str">
        <f>HYPERLINK("http://www.uniprot.org/uniprot/CKI2_SCHPO","CKI2_SCHPO")</f>
        <v>CKI2_SCHPO</v>
      </c>
      <c r="D11177" t="s">
        <v>7958</v>
      </c>
      <c r="E11177" s="3" t="s">
        <v>464</v>
      </c>
      <c r="F11177" s="4">
        <v>4.8199999999999999E-17</v>
      </c>
      <c r="G11177" s="3">
        <v>216</v>
      </c>
      <c r="H11177" s="3">
        <v>33</v>
      </c>
      <c r="I11177" s="3">
        <v>172</v>
      </c>
      <c r="J11177" s="3">
        <v>1635</v>
      </c>
      <c r="K11177" s="3">
        <v>2096</v>
      </c>
      <c r="L11177" s="3">
        <v>186</v>
      </c>
      <c r="M11177" s="3">
        <v>356</v>
      </c>
    </row>
    <row r="11178" spans="1:13" x14ac:dyDescent="0.25">
      <c r="A11178" s="1" t="str">
        <f>HYPERLINK("http://www.rosaceae.org/Prunus/Prunus_persica/p.persica_gdr_reftransV1_0035438","p.persica_gdr_reftransV1_0035438")</f>
        <v>p.persica_gdr_reftransV1_0035438</v>
      </c>
      <c r="B11178" s="3">
        <v>3661</v>
      </c>
      <c r="C11178" s="1" t="str">
        <f>HYPERLINK("http://www.uniprot.org/uniprot/MED21_ARATH","MED21_ARATH")</f>
        <v>MED21_ARATH</v>
      </c>
      <c r="D11178" t="s">
        <v>7959</v>
      </c>
      <c r="E11178" s="3" t="s">
        <v>3</v>
      </c>
      <c r="F11178" s="4">
        <v>7.8799999999999999E-31</v>
      </c>
      <c r="G11178" s="3">
        <v>312</v>
      </c>
      <c r="H11178" s="3">
        <v>61</v>
      </c>
      <c r="I11178" s="3">
        <v>134</v>
      </c>
      <c r="J11178" s="3">
        <v>1652</v>
      </c>
      <c r="K11178" s="3">
        <v>2053</v>
      </c>
      <c r="L11178" s="3">
        <v>1</v>
      </c>
      <c r="M11178" s="3">
        <v>117</v>
      </c>
    </row>
    <row r="11179" spans="1:13" x14ac:dyDescent="0.25">
      <c r="A11179" s="1" t="str">
        <f>HYPERLINK("http://www.rosaceae.org/Prunus/Prunus_persica/p.persica_gdr_reftransV1_0035538","p.persica_gdr_reftransV1_0035538")</f>
        <v>p.persica_gdr_reftransV1_0035538</v>
      </c>
      <c r="B11179" s="3">
        <v>2702</v>
      </c>
      <c r="C11179" s="1" t="str">
        <f>HYPERLINK("http://www.uniprot.org/uniprot/DHMA_MYCMM","DHMA_MYCMM")</f>
        <v>DHMA_MYCMM</v>
      </c>
      <c r="D11179" t="s">
        <v>5368</v>
      </c>
      <c r="E11179" s="3" t="s">
        <v>5369</v>
      </c>
      <c r="F11179" s="4">
        <v>1.6099999999999999E-8</v>
      </c>
      <c r="G11179" s="3">
        <v>146</v>
      </c>
      <c r="H11179" s="3">
        <v>25</v>
      </c>
      <c r="I11179" s="3">
        <v>253</v>
      </c>
      <c r="J11179" s="3">
        <v>1074</v>
      </c>
      <c r="K11179" s="3">
        <v>1787</v>
      </c>
      <c r="L11179" s="3">
        <v>59</v>
      </c>
      <c r="M11179" s="3">
        <v>293</v>
      </c>
    </row>
    <row r="11180" spans="1:13" x14ac:dyDescent="0.25">
      <c r="A11180" s="1" t="str">
        <f>HYPERLINK("http://www.rosaceae.org/Prunus/Prunus_persica/p.persica_gdr_reftransV1_0035738","p.persica_gdr_reftransV1_0035738")</f>
        <v>p.persica_gdr_reftransV1_0035738</v>
      </c>
      <c r="B11180" s="3">
        <v>2393</v>
      </c>
      <c r="C11180" s="1" t="str">
        <f>HYPERLINK("http://www.uniprot.org/uniprot/PNSL2_ARATH","PNSL2_ARATH")</f>
        <v>PNSL2_ARATH</v>
      </c>
      <c r="D11180" t="s">
        <v>7960</v>
      </c>
      <c r="E11180" s="3" t="s">
        <v>3</v>
      </c>
      <c r="F11180" s="4">
        <v>4.0099999999999996E-62</v>
      </c>
      <c r="G11180" s="3">
        <v>540</v>
      </c>
      <c r="H11180" s="3">
        <v>52</v>
      </c>
      <c r="I11180" s="3">
        <v>207</v>
      </c>
      <c r="J11180" s="3">
        <v>15</v>
      </c>
      <c r="K11180" s="3">
        <v>614</v>
      </c>
      <c r="L11180" s="3">
        <v>1</v>
      </c>
      <c r="M11180" s="3">
        <v>190</v>
      </c>
    </row>
    <row r="11181" spans="1:13" x14ac:dyDescent="0.25">
      <c r="A11181" s="1" t="str">
        <f>HYPERLINK("http://www.rosaceae.org/Prunus/Prunus_persica/p.persica_gdr_reftransV1_0035788","p.persica_gdr_reftransV1_0035788")</f>
        <v>p.persica_gdr_reftransV1_0035788</v>
      </c>
      <c r="B11181" s="3">
        <v>2173</v>
      </c>
      <c r="C11181" s="1" t="str">
        <f>HYPERLINK("http://www.uniprot.org/uniprot/HIS3_ARATH","HIS3_ARATH")</f>
        <v>HIS3_ARATH</v>
      </c>
      <c r="D11181" t="s">
        <v>7961</v>
      </c>
      <c r="E11181" s="3" t="s">
        <v>3</v>
      </c>
      <c r="F11181" s="4">
        <v>2.5600000000000001E-87</v>
      </c>
      <c r="G11181" s="3">
        <v>476</v>
      </c>
      <c r="H11181" s="3">
        <v>81</v>
      </c>
      <c r="I11181" s="3">
        <v>108</v>
      </c>
      <c r="J11181" s="3">
        <v>489</v>
      </c>
      <c r="K11181" s="3">
        <v>812</v>
      </c>
      <c r="L11181" s="3">
        <v>124</v>
      </c>
      <c r="M11181" s="3">
        <v>231</v>
      </c>
    </row>
    <row r="11182" spans="1:13" x14ac:dyDescent="0.25">
      <c r="A11182" s="1" t="str">
        <f>HYPERLINK("http://www.rosaceae.org/Prunus/Prunus_persica/p.persica_gdr_reftransV1_0035838","p.persica_gdr_reftransV1_0035838")</f>
        <v>p.persica_gdr_reftransV1_0035838</v>
      </c>
      <c r="B11182" s="3">
        <v>3975</v>
      </c>
      <c r="C11182" s="1" t="str">
        <f>HYPERLINK("http://www.uniprot.org/uniprot/ATAD1_BOVIN","ATAD1_BOVIN")</f>
        <v>ATAD1_BOVIN</v>
      </c>
      <c r="D11182" t="s">
        <v>1803</v>
      </c>
      <c r="E11182" s="3" t="s">
        <v>184</v>
      </c>
      <c r="F11182" s="4">
        <v>3.7999999999999998E-70</v>
      </c>
      <c r="G11182" s="3">
        <v>625</v>
      </c>
      <c r="H11182" s="3">
        <v>43</v>
      </c>
      <c r="I11182" s="3">
        <v>301</v>
      </c>
      <c r="J11182" s="3">
        <v>153</v>
      </c>
      <c r="K11182" s="3">
        <v>1049</v>
      </c>
      <c r="L11182" s="3">
        <v>70</v>
      </c>
      <c r="M11182" s="3">
        <v>354</v>
      </c>
    </row>
    <row r="11183" spans="1:13" x14ac:dyDescent="0.25">
      <c r="A11183" s="1" t="str">
        <f>HYPERLINK("http://www.rosaceae.org/Prunus/Prunus_persica/p.persica_gdr_reftransV1_0035888","p.persica_gdr_reftransV1_0035888")</f>
        <v>p.persica_gdr_reftransV1_0035888</v>
      </c>
      <c r="B11183" s="3">
        <v>2720</v>
      </c>
      <c r="C11183" s="1" t="str">
        <f>HYPERLINK("http://www.uniprot.org/uniprot/DPM1_HUMAN","DPM1_HUMAN")</f>
        <v>DPM1_HUMAN</v>
      </c>
      <c r="D11183" t="s">
        <v>7962</v>
      </c>
      <c r="E11183" s="3" t="s">
        <v>28</v>
      </c>
      <c r="F11183" s="4">
        <v>1.24E-88</v>
      </c>
      <c r="G11183" s="3">
        <v>739</v>
      </c>
      <c r="H11183" s="3">
        <v>66</v>
      </c>
      <c r="I11183" s="3">
        <v>204</v>
      </c>
      <c r="J11183" s="3">
        <v>2040</v>
      </c>
      <c r="K11183" s="3">
        <v>2645</v>
      </c>
      <c r="L11183" s="3">
        <v>24</v>
      </c>
      <c r="M11183" s="3">
        <v>227</v>
      </c>
    </row>
    <row r="11184" spans="1:13" x14ac:dyDescent="0.25">
      <c r="A11184" s="1" t="str">
        <f>HYPERLINK("http://www.rosaceae.org/Prunus/Prunus_persica/p.persica_gdr_reftransV1_0036138","p.persica_gdr_reftransV1_0036138")</f>
        <v>p.persica_gdr_reftransV1_0036138</v>
      </c>
      <c r="B11184" s="3">
        <v>1721</v>
      </c>
      <c r="C11184" s="1" t="str">
        <f>HYPERLINK("http://www.uniprot.org/uniprot/FB135_ARATH","FB135_ARATH")</f>
        <v>FB135_ARATH</v>
      </c>
      <c r="D11184" t="s">
        <v>6152</v>
      </c>
      <c r="E11184" s="3" t="s">
        <v>3</v>
      </c>
      <c r="F11184" s="4">
        <v>4.0599999999999999E-129</v>
      </c>
      <c r="G11184" s="3">
        <v>1005</v>
      </c>
      <c r="H11184" s="3">
        <v>51</v>
      </c>
      <c r="I11184" s="3">
        <v>404</v>
      </c>
      <c r="J11184" s="3">
        <v>267</v>
      </c>
      <c r="K11184" s="3">
        <v>1442</v>
      </c>
      <c r="L11184" s="3">
        <v>25</v>
      </c>
      <c r="M11184" s="3">
        <v>416</v>
      </c>
    </row>
    <row r="11185" spans="1:13" x14ac:dyDescent="0.25">
      <c r="A11185" s="1" t="str">
        <f>HYPERLINK("http://www.rosaceae.org/Prunus/Prunus_persica/p.persica_gdr_reftransV1_0036288","p.persica_gdr_reftransV1_0036288")</f>
        <v>p.persica_gdr_reftransV1_0036288</v>
      </c>
      <c r="B11185" s="3">
        <v>411</v>
      </c>
      <c r="C11185" s="1" t="str">
        <f>HYPERLINK("http://www.uniprot.org/uniprot/7OMT_PAPSO","7OMT_PAPSO")</f>
        <v>7OMT_PAPSO</v>
      </c>
      <c r="D11185" t="s">
        <v>4489</v>
      </c>
      <c r="E11185" s="3" t="s">
        <v>2250</v>
      </c>
      <c r="F11185" s="4">
        <v>1.8900000000000001E-28</v>
      </c>
      <c r="G11185" s="3">
        <v>278</v>
      </c>
      <c r="H11185" s="3">
        <v>49</v>
      </c>
      <c r="I11185" s="3">
        <v>121</v>
      </c>
      <c r="J11185" s="3">
        <v>3</v>
      </c>
      <c r="K11185" s="3">
        <v>353</v>
      </c>
      <c r="L11185" s="3">
        <v>4</v>
      </c>
      <c r="M11185" s="3">
        <v>121</v>
      </c>
    </row>
    <row r="11186" spans="1:13" x14ac:dyDescent="0.25">
      <c r="A11186" s="1" t="str">
        <f>HYPERLINK("http://www.rosaceae.org/Prunus/Prunus_persica/p.persica_gdr_reftransV1_0036688","p.persica_gdr_reftransV1_0036688")</f>
        <v>p.persica_gdr_reftransV1_0036688</v>
      </c>
      <c r="B11186" s="3">
        <v>2735</v>
      </c>
      <c r="C11186" s="1" t="str">
        <f>HYPERLINK("http://www.uniprot.org/uniprot/FBL14_ARATH","FBL14_ARATH")</f>
        <v>FBL14_ARATH</v>
      </c>
      <c r="D11186" t="s">
        <v>7963</v>
      </c>
      <c r="E11186" s="3" t="s">
        <v>3</v>
      </c>
      <c r="F11186" s="4">
        <v>0</v>
      </c>
      <c r="G11186" s="3">
        <v>1736</v>
      </c>
      <c r="H11186" s="3">
        <v>72</v>
      </c>
      <c r="I11186" s="3">
        <v>467</v>
      </c>
      <c r="J11186" s="3">
        <v>271</v>
      </c>
      <c r="K11186" s="3">
        <v>1671</v>
      </c>
      <c r="L11186" s="3">
        <v>14</v>
      </c>
      <c r="M11186" s="3">
        <v>480</v>
      </c>
    </row>
    <row r="11187" spans="1:13" x14ac:dyDescent="0.25">
      <c r="A11187" s="1" t="str">
        <f>HYPERLINK("http://www.rosaceae.org/Prunus/Prunus_persica/p.persica_gdr_reftransV1_0036738","p.persica_gdr_reftransV1_0036738")</f>
        <v>p.persica_gdr_reftransV1_0036738</v>
      </c>
      <c r="B11187" s="3">
        <v>1525</v>
      </c>
      <c r="C11187" s="1" t="str">
        <f>HYPERLINK("http://www.uniprot.org/uniprot/LIAS_MEDTR","LIAS_MEDTR")</f>
        <v>LIAS_MEDTR</v>
      </c>
      <c r="D11187" t="s">
        <v>7964</v>
      </c>
      <c r="E11187" s="3" t="s">
        <v>91</v>
      </c>
      <c r="F11187" s="4">
        <v>0</v>
      </c>
      <c r="G11187" s="3">
        <v>1559</v>
      </c>
      <c r="H11187" s="3">
        <v>88</v>
      </c>
      <c r="I11187" s="3">
        <v>335</v>
      </c>
      <c r="J11187" s="3">
        <v>245</v>
      </c>
      <c r="K11187" s="3">
        <v>1243</v>
      </c>
      <c r="L11187" s="3">
        <v>43</v>
      </c>
      <c r="M11187" s="3">
        <v>377</v>
      </c>
    </row>
    <row r="11188" spans="1:13" x14ac:dyDescent="0.25">
      <c r="A11188" s="1" t="str">
        <f>HYPERLINK("http://www.rosaceae.org/Prunus/Prunus_persica/p.persica_gdr_reftransV1_0036838","p.persica_gdr_reftransV1_0036838")</f>
        <v>p.persica_gdr_reftransV1_0036838</v>
      </c>
      <c r="B11188" s="3">
        <v>1386</v>
      </c>
      <c r="C11188" s="1" t="str">
        <f>HYPERLINK("http://www.uniprot.org/uniprot/PT504_ARATH","PT504_ARATH")</f>
        <v>PT504_ARATH</v>
      </c>
      <c r="D11188" t="s">
        <v>7965</v>
      </c>
      <c r="E11188" s="3" t="s">
        <v>3</v>
      </c>
      <c r="F11188" s="4">
        <v>3.72E-180</v>
      </c>
      <c r="G11188" s="3">
        <v>1322</v>
      </c>
      <c r="H11188" s="3">
        <v>84</v>
      </c>
      <c r="I11188" s="3">
        <v>306</v>
      </c>
      <c r="J11188" s="3">
        <v>194</v>
      </c>
      <c r="K11188" s="3">
        <v>1111</v>
      </c>
      <c r="L11188" s="3">
        <v>4</v>
      </c>
      <c r="M11188" s="3">
        <v>309</v>
      </c>
    </row>
    <row r="11189" spans="1:13" x14ac:dyDescent="0.25">
      <c r="A11189" s="1" t="str">
        <f>HYPERLINK("http://www.rosaceae.org/Prunus/Prunus_persica/p.persica_gdr_reftransV1_0036988","p.persica_gdr_reftransV1_0036988")</f>
        <v>p.persica_gdr_reftransV1_0036988</v>
      </c>
      <c r="B11189" s="3">
        <v>2801</v>
      </c>
      <c r="C11189" s="1" t="str">
        <f>HYPERLINK("http://www.uniprot.org/uniprot/MAOP4_ARATH","MAOP4_ARATH")</f>
        <v>MAOP4_ARATH</v>
      </c>
      <c r="D11189" t="s">
        <v>7966</v>
      </c>
      <c r="E11189" s="3" t="s">
        <v>3</v>
      </c>
      <c r="F11189" s="4">
        <v>0</v>
      </c>
      <c r="G11189" s="3">
        <v>2574</v>
      </c>
      <c r="H11189" s="3">
        <v>79</v>
      </c>
      <c r="I11189" s="3">
        <v>634</v>
      </c>
      <c r="J11189" s="3">
        <v>269</v>
      </c>
      <c r="K11189" s="3">
        <v>2149</v>
      </c>
      <c r="L11189" s="3">
        <v>15</v>
      </c>
      <c r="M11189" s="3">
        <v>646</v>
      </c>
    </row>
    <row r="11190" spans="1:13" x14ac:dyDescent="0.25">
      <c r="A11190" s="1" t="str">
        <f>HYPERLINK("http://www.rosaceae.org/Prunus/Prunus_persica/p.persica_gdr_reftransV1_0037138","p.persica_gdr_reftransV1_0037138")</f>
        <v>p.persica_gdr_reftransV1_0037138</v>
      </c>
      <c r="B11190" s="3">
        <v>2025</v>
      </c>
      <c r="C11190" s="1" t="str">
        <f>HYPERLINK("http://www.uniprot.org/uniprot/C3H32_ARATH","C3H32_ARATH")</f>
        <v>C3H32_ARATH</v>
      </c>
      <c r="D11190" t="s">
        <v>7967</v>
      </c>
      <c r="E11190" s="3" t="s">
        <v>3</v>
      </c>
      <c r="F11190" s="4">
        <v>2.1299999999999998E-142</v>
      </c>
      <c r="G11190" s="3">
        <v>715</v>
      </c>
      <c r="H11190" s="3">
        <v>71</v>
      </c>
      <c r="I11190" s="3">
        <v>235</v>
      </c>
      <c r="J11190" s="3">
        <v>1071</v>
      </c>
      <c r="K11190" s="3">
        <v>1754</v>
      </c>
      <c r="L11190" s="3">
        <v>1</v>
      </c>
      <c r="M11190" s="3">
        <v>230</v>
      </c>
    </row>
    <row r="11191" spans="1:13" x14ac:dyDescent="0.25">
      <c r="A11191" s="1" t="str">
        <f>HYPERLINK("http://www.rosaceae.org/Prunus/Prunus_persica/p.persica_gdr_reftransV1_0037288","p.persica_gdr_reftransV1_0037288")</f>
        <v>p.persica_gdr_reftransV1_0037288</v>
      </c>
      <c r="B11191" s="3">
        <v>3074</v>
      </c>
      <c r="C11191" s="1" t="str">
        <f>HYPERLINK("http://www.uniprot.org/uniprot/LEU11_ARATH","LEU11_ARATH")</f>
        <v>LEU11_ARATH</v>
      </c>
      <c r="D11191" t="s">
        <v>6652</v>
      </c>
      <c r="E11191" s="3" t="s">
        <v>3</v>
      </c>
      <c r="F11191" s="4">
        <v>0</v>
      </c>
      <c r="G11191" s="3">
        <v>2521</v>
      </c>
      <c r="H11191" s="3">
        <v>83</v>
      </c>
      <c r="I11191" s="3">
        <v>555</v>
      </c>
      <c r="J11191" s="3">
        <v>881</v>
      </c>
      <c r="K11191" s="3">
        <v>2545</v>
      </c>
      <c r="L11191" s="3">
        <v>77</v>
      </c>
      <c r="M11191" s="3">
        <v>631</v>
      </c>
    </row>
    <row r="11192" spans="1:13" x14ac:dyDescent="0.25">
      <c r="A11192" s="1" t="str">
        <f>HYPERLINK("http://www.rosaceae.org/Prunus/Prunus_persica/p.persica_gdr_reftransV1_0037338","p.persica_gdr_reftransV1_0037338")</f>
        <v>p.persica_gdr_reftransV1_0037338</v>
      </c>
      <c r="B11192" s="3">
        <v>2654</v>
      </c>
      <c r="C11192" s="1" t="str">
        <f>HYPERLINK("http://www.uniprot.org/uniprot/BAM8_ARATH","BAM8_ARATH")</f>
        <v>BAM8_ARATH</v>
      </c>
      <c r="D11192" t="s">
        <v>7968</v>
      </c>
      <c r="E11192" s="3" t="s">
        <v>3</v>
      </c>
      <c r="F11192" s="4">
        <v>2.7399999999999999E-147</v>
      </c>
      <c r="G11192" s="3">
        <v>1178</v>
      </c>
      <c r="H11192" s="3">
        <v>75</v>
      </c>
      <c r="I11192" s="3">
        <v>284</v>
      </c>
      <c r="J11192" s="3">
        <v>980</v>
      </c>
      <c r="K11192" s="3">
        <v>1831</v>
      </c>
      <c r="L11192" s="3">
        <v>327</v>
      </c>
      <c r="M11192" s="3">
        <v>610</v>
      </c>
    </row>
    <row r="11193" spans="1:13" x14ac:dyDescent="0.25">
      <c r="A11193" s="1" t="str">
        <f>HYPERLINK("http://www.rosaceae.org/Prunus/Prunus_persica/p.persica_gdr_reftransV1_0037388","p.persica_gdr_reftransV1_0037388")</f>
        <v>p.persica_gdr_reftransV1_0037388</v>
      </c>
      <c r="B11193" s="3">
        <v>3085</v>
      </c>
      <c r="C11193" s="1" t="str">
        <f>HYPERLINK("http://www.uniprot.org/uniprot/LUH_ARATH","LUH_ARATH")</f>
        <v>LUH_ARATH</v>
      </c>
      <c r="D11193" t="s">
        <v>2134</v>
      </c>
      <c r="E11193" s="3" t="s">
        <v>3</v>
      </c>
      <c r="F11193" s="4">
        <v>0</v>
      </c>
      <c r="G11193" s="3">
        <v>2055</v>
      </c>
      <c r="H11193" s="3">
        <v>70</v>
      </c>
      <c r="I11193" s="3">
        <v>671</v>
      </c>
      <c r="J11193" s="3">
        <v>336</v>
      </c>
      <c r="K11193" s="3">
        <v>2309</v>
      </c>
      <c r="L11193" s="3">
        <v>1</v>
      </c>
      <c r="M11193" s="3">
        <v>668</v>
      </c>
    </row>
    <row r="11194" spans="1:13" x14ac:dyDescent="0.25">
      <c r="A11194" s="1" t="str">
        <f>HYPERLINK("http://www.rosaceae.org/Prunus/Prunus_persica/p.persica_gdr_reftransV1_0037488","p.persica_gdr_reftransV1_0037488")</f>
        <v>p.persica_gdr_reftransV1_0037488</v>
      </c>
      <c r="B11194" s="3">
        <v>5094</v>
      </c>
      <c r="C11194" s="1" t="str">
        <f>HYPERLINK("http://www.uniprot.org/uniprot/RP8L2_ARATH","RP8L2_ARATH")</f>
        <v>RP8L2_ARATH</v>
      </c>
      <c r="D11194" t="s">
        <v>1701</v>
      </c>
      <c r="E11194" s="3" t="s">
        <v>3</v>
      </c>
      <c r="F11194" s="4">
        <v>5.83E-123</v>
      </c>
      <c r="G11194" s="3">
        <v>1067</v>
      </c>
      <c r="H11194" s="3">
        <v>37</v>
      </c>
      <c r="I11194" s="3">
        <v>837</v>
      </c>
      <c r="J11194" s="3">
        <v>2693</v>
      </c>
      <c r="K11194" s="3">
        <v>5080</v>
      </c>
      <c r="L11194" s="3">
        <v>106</v>
      </c>
      <c r="M11194" s="3">
        <v>901</v>
      </c>
    </row>
    <row r="11195" spans="1:13" x14ac:dyDescent="0.25">
      <c r="A11195" s="1" t="str">
        <f>HYPERLINK("http://www.rosaceae.org/Prunus/Prunus_persica/p.persica_gdr_reftransV1_0037638","p.persica_gdr_reftransV1_0037638")</f>
        <v>p.persica_gdr_reftransV1_0037638</v>
      </c>
      <c r="B11195" s="3">
        <v>4278</v>
      </c>
      <c r="C11195" s="1" t="str">
        <f>HYPERLINK("http://www.uniprot.org/uniprot/CDC21_ARATH","CDC21_ARATH")</f>
        <v>CDC21_ARATH</v>
      </c>
      <c r="D11195" t="s">
        <v>6361</v>
      </c>
      <c r="E11195" s="3" t="s">
        <v>3</v>
      </c>
      <c r="F11195" s="4">
        <v>0</v>
      </c>
      <c r="G11195" s="3">
        <v>1513</v>
      </c>
      <c r="H11195" s="3">
        <v>67</v>
      </c>
      <c r="I11195" s="3">
        <v>462</v>
      </c>
      <c r="J11195" s="3">
        <v>606</v>
      </c>
      <c r="K11195" s="3">
        <v>1952</v>
      </c>
      <c r="L11195" s="3">
        <v>6</v>
      </c>
      <c r="M11195" s="3">
        <v>456</v>
      </c>
    </row>
    <row r="11196" spans="1:13" x14ac:dyDescent="0.25">
      <c r="A11196" s="1" t="str">
        <f>HYPERLINK("http://www.rosaceae.org/Prunus/Prunus_persica/p.persica_gdr_reftransV1_0037938","p.persica_gdr_reftransV1_0037938")</f>
        <v>p.persica_gdr_reftransV1_0037938</v>
      </c>
      <c r="B11196" s="3">
        <v>1341</v>
      </c>
      <c r="C11196" s="1" t="str">
        <f>HYPERLINK("http://www.uniprot.org/uniprot/TMVRN_NICGU","TMVRN_NICGU")</f>
        <v>TMVRN_NICGU</v>
      </c>
      <c r="D11196" t="s">
        <v>151</v>
      </c>
      <c r="E11196" s="3" t="s">
        <v>152</v>
      </c>
      <c r="F11196" s="4">
        <v>1.6100000000000001E-73</v>
      </c>
      <c r="G11196" s="3">
        <v>650</v>
      </c>
      <c r="H11196" s="3">
        <v>42</v>
      </c>
      <c r="I11196" s="3">
        <v>374</v>
      </c>
      <c r="J11196" s="3">
        <v>243</v>
      </c>
      <c r="K11196" s="3">
        <v>1337</v>
      </c>
      <c r="L11196" s="3">
        <v>9</v>
      </c>
      <c r="M11196" s="3">
        <v>367</v>
      </c>
    </row>
    <row r="11197" spans="1:13" x14ac:dyDescent="0.25">
      <c r="A11197" s="1" t="str">
        <f>HYPERLINK("http://www.rosaceae.org/Prunus/Prunus_persica/p.persica_gdr_reftransV1_0037988","p.persica_gdr_reftransV1_0037988")</f>
        <v>p.persica_gdr_reftransV1_0037988</v>
      </c>
      <c r="B11197" s="3">
        <v>587</v>
      </c>
      <c r="C11197" s="1" t="str">
        <f>HYPERLINK("http://www.uniprot.org/uniprot/PP350_ARATH","PP350_ARATH")</f>
        <v>PP350_ARATH</v>
      </c>
      <c r="D11197" t="s">
        <v>7969</v>
      </c>
      <c r="E11197" s="3" t="s">
        <v>3</v>
      </c>
      <c r="F11197" s="4">
        <v>4.7700000000000002E-60</v>
      </c>
      <c r="G11197" s="3">
        <v>521</v>
      </c>
      <c r="H11197" s="3">
        <v>60</v>
      </c>
      <c r="I11197" s="3">
        <v>173</v>
      </c>
      <c r="J11197" s="3">
        <v>1</v>
      </c>
      <c r="K11197" s="3">
        <v>516</v>
      </c>
      <c r="L11197" s="3">
        <v>631</v>
      </c>
      <c r="M11197" s="3">
        <v>803</v>
      </c>
    </row>
    <row r="11198" spans="1:13" x14ac:dyDescent="0.25">
      <c r="A11198" s="1" t="str">
        <f>HYPERLINK("http://www.rosaceae.org/Prunus/Prunus_persica/p.persica_gdr_reftransV1_0038238","p.persica_gdr_reftransV1_0038238")</f>
        <v>p.persica_gdr_reftransV1_0038238</v>
      </c>
      <c r="B11198" s="3">
        <v>732</v>
      </c>
      <c r="C11198" s="1" t="str">
        <f>HYPERLINK("http://www.uniprot.org/uniprot/BH092_ARATH","BH092_ARATH")</f>
        <v>BH092_ARATH</v>
      </c>
      <c r="D11198" t="s">
        <v>6477</v>
      </c>
      <c r="E11198" s="3" t="s">
        <v>3</v>
      </c>
      <c r="F11198" s="4">
        <v>5.4599999999999997E-36</v>
      </c>
      <c r="G11198" s="3">
        <v>335</v>
      </c>
      <c r="H11198" s="3">
        <v>46</v>
      </c>
      <c r="I11198" s="3">
        <v>157</v>
      </c>
      <c r="J11198" s="3">
        <v>96</v>
      </c>
      <c r="K11198" s="3">
        <v>566</v>
      </c>
      <c r="L11198" s="3">
        <v>59</v>
      </c>
      <c r="M11198" s="3">
        <v>212</v>
      </c>
    </row>
    <row r="11199" spans="1:13" x14ac:dyDescent="0.25">
      <c r="A11199" s="1" t="str">
        <f>HYPERLINK("http://www.rosaceae.org/Prunus/Prunus_persica/p.persica_gdr_reftransV1_0038388","p.persica_gdr_reftransV1_0038388")</f>
        <v>p.persica_gdr_reftransV1_0038388</v>
      </c>
      <c r="B11199" s="3">
        <v>1109</v>
      </c>
      <c r="C11199" s="1" t="str">
        <f>HYPERLINK("http://www.uniprot.org/uniprot/NUD17_ARATH","NUD17_ARATH")</f>
        <v>NUD17_ARATH</v>
      </c>
      <c r="D11199" t="s">
        <v>5247</v>
      </c>
      <c r="E11199" s="3" t="s">
        <v>3</v>
      </c>
      <c r="F11199" s="4">
        <v>2.6599999999999999E-68</v>
      </c>
      <c r="G11199" s="3">
        <v>558</v>
      </c>
      <c r="H11199" s="3">
        <v>63</v>
      </c>
      <c r="I11199" s="3">
        <v>171</v>
      </c>
      <c r="J11199" s="3">
        <v>249</v>
      </c>
      <c r="K11199" s="3">
        <v>761</v>
      </c>
      <c r="L11199" s="3">
        <v>4</v>
      </c>
      <c r="M11199" s="3">
        <v>170</v>
      </c>
    </row>
    <row r="11200" spans="1:13" x14ac:dyDescent="0.25">
      <c r="A11200" s="1" t="str">
        <f>HYPERLINK("http://www.rosaceae.org/Prunus/Prunus_persica/p.persica_gdr_reftransV1_0038438","p.persica_gdr_reftransV1_0038438")</f>
        <v>p.persica_gdr_reftransV1_0038438</v>
      </c>
      <c r="B11200" s="3">
        <v>2899</v>
      </c>
      <c r="C11200" s="1" t="str">
        <f>HYPERLINK("http://www.uniprot.org/uniprot/DPEP_SOLTU","DPEP_SOLTU")</f>
        <v>DPEP_SOLTU</v>
      </c>
      <c r="D11200" t="s">
        <v>7970</v>
      </c>
      <c r="E11200" s="3" t="s">
        <v>11</v>
      </c>
      <c r="F11200" s="4">
        <v>0</v>
      </c>
      <c r="G11200" s="3">
        <v>2093</v>
      </c>
      <c r="H11200" s="3">
        <v>78</v>
      </c>
      <c r="I11200" s="3">
        <v>487</v>
      </c>
      <c r="J11200" s="3">
        <v>750</v>
      </c>
      <c r="K11200" s="3">
        <v>2210</v>
      </c>
      <c r="L11200" s="3">
        <v>59</v>
      </c>
      <c r="M11200" s="3">
        <v>545</v>
      </c>
    </row>
    <row r="11201" spans="1:13" x14ac:dyDescent="0.25">
      <c r="A11201" s="1" t="str">
        <f>HYPERLINK("http://www.rosaceae.org/Prunus/Prunus_persica/p.persica_gdr_reftransV1_0038538","p.persica_gdr_reftransV1_0038538")</f>
        <v>p.persica_gdr_reftransV1_0038538</v>
      </c>
      <c r="B11201" s="3">
        <v>1360</v>
      </c>
      <c r="C11201" s="1" t="str">
        <f>HYPERLINK("http://www.uniprot.org/uniprot/RA211_ARATH","RA211_ARATH")</f>
        <v>RA211_ARATH</v>
      </c>
      <c r="D11201" t="s">
        <v>7231</v>
      </c>
      <c r="E11201" s="3" t="s">
        <v>3</v>
      </c>
      <c r="F11201" s="4">
        <v>8.9200000000000004E-13</v>
      </c>
      <c r="G11201" s="3">
        <v>174</v>
      </c>
      <c r="H11201" s="3">
        <v>66</v>
      </c>
      <c r="I11201" s="3">
        <v>70</v>
      </c>
      <c r="J11201" s="3">
        <v>199</v>
      </c>
      <c r="K11201" s="3">
        <v>405</v>
      </c>
      <c r="L11201" s="3">
        <v>8</v>
      </c>
      <c r="M11201" s="3">
        <v>77</v>
      </c>
    </row>
    <row r="11202" spans="1:13" x14ac:dyDescent="0.25">
      <c r="A11202" s="1" t="str">
        <f>HYPERLINK("http://www.rosaceae.org/Prunus/Prunus_persica/p.persica_gdr_reftransV1_0038988","p.persica_gdr_reftransV1_0038988")</f>
        <v>p.persica_gdr_reftransV1_0038988</v>
      </c>
      <c r="B11202" s="3">
        <v>2623</v>
      </c>
      <c r="C11202" s="1" t="str">
        <f>HYPERLINK("http://www.uniprot.org/uniprot/AVP_VIGRR","AVP_VIGRR")</f>
        <v>AVP_VIGRR</v>
      </c>
      <c r="D11202" t="s">
        <v>7638</v>
      </c>
      <c r="E11202" s="3" t="s">
        <v>2261</v>
      </c>
      <c r="F11202" s="4">
        <v>0</v>
      </c>
      <c r="G11202" s="3">
        <v>2455</v>
      </c>
      <c r="H11202" s="3">
        <v>90</v>
      </c>
      <c r="I11202" s="3">
        <v>541</v>
      </c>
      <c r="J11202" s="3">
        <v>867</v>
      </c>
      <c r="K11202" s="3">
        <v>2489</v>
      </c>
      <c r="L11202" s="3">
        <v>1</v>
      </c>
      <c r="M11202" s="3">
        <v>541</v>
      </c>
    </row>
    <row r="11203" spans="1:13" x14ac:dyDescent="0.25">
      <c r="A11203" s="1" t="str">
        <f>HYPERLINK("http://www.rosaceae.org/Prunus/Prunus_persica/p.persica_gdr_reftransV1_0040238","p.persica_gdr_reftransV1_0040238")</f>
        <v>p.persica_gdr_reftransV1_0040238</v>
      </c>
      <c r="B11203" s="3">
        <v>2449</v>
      </c>
      <c r="C11203" s="1" t="str">
        <f>HYPERLINK("http://www.uniprot.org/uniprot/PRH_PETCR","PRH_PETCR")</f>
        <v>PRH_PETCR</v>
      </c>
      <c r="D11203" t="s">
        <v>7971</v>
      </c>
      <c r="E11203" s="3" t="s">
        <v>1040</v>
      </c>
      <c r="F11203" s="4">
        <v>7.8900000000000002E-62</v>
      </c>
      <c r="G11203" s="3">
        <v>586</v>
      </c>
      <c r="H11203" s="3">
        <v>42</v>
      </c>
      <c r="I11203" s="3">
        <v>483</v>
      </c>
      <c r="J11203" s="3">
        <v>431</v>
      </c>
      <c r="K11203" s="3">
        <v>1783</v>
      </c>
      <c r="L11203" s="3">
        <v>572</v>
      </c>
      <c r="M11203" s="3">
        <v>1011</v>
      </c>
    </row>
    <row r="11204" spans="1:13" x14ac:dyDescent="0.25">
      <c r="A11204" s="1" t="str">
        <f>HYPERLINK("http://www.rosaceae.org/Prunus/Prunus_persica/p.persica_gdr_reftransV1_0040438","p.persica_gdr_reftransV1_0040438")</f>
        <v>p.persica_gdr_reftransV1_0040438</v>
      </c>
      <c r="B11204" s="3">
        <v>1066</v>
      </c>
      <c r="C11204" s="1" t="str">
        <f>HYPERLINK("http://www.uniprot.org/uniprot/Y3720_ARATH","Y3720_ARATH")</f>
        <v>Y3720_ARATH</v>
      </c>
      <c r="D11204" t="s">
        <v>104</v>
      </c>
      <c r="E11204" s="3" t="s">
        <v>3</v>
      </c>
      <c r="F11204" s="4">
        <v>4.9399999999999999E-29</v>
      </c>
      <c r="G11204" s="3">
        <v>301</v>
      </c>
      <c r="H11204" s="3">
        <v>29</v>
      </c>
      <c r="I11204" s="3">
        <v>331</v>
      </c>
      <c r="J11204" s="3">
        <v>133</v>
      </c>
      <c r="K11204" s="3">
        <v>1053</v>
      </c>
      <c r="L11204" s="3">
        <v>27</v>
      </c>
      <c r="M11204" s="3">
        <v>335</v>
      </c>
    </row>
    <row r="11205" spans="1:13" x14ac:dyDescent="0.25">
      <c r="A11205" s="1" t="str">
        <f>HYPERLINK("http://www.rosaceae.org/Prunus/Prunus_persica/p.persica_gdr_reftransV1_0040738","p.persica_gdr_reftransV1_0040738")</f>
        <v>p.persica_gdr_reftransV1_0040738</v>
      </c>
      <c r="B11205" s="3">
        <v>1731</v>
      </c>
      <c r="C11205" s="1" t="str">
        <f>HYPERLINK("http://www.uniprot.org/uniprot/CAR4_ARATH","CAR4_ARATH")</f>
        <v>CAR4_ARATH</v>
      </c>
      <c r="D11205" t="s">
        <v>2424</v>
      </c>
      <c r="E11205" s="3" t="s">
        <v>3</v>
      </c>
      <c r="F11205" s="4">
        <v>1.5800000000000001E-39</v>
      </c>
      <c r="G11205" s="3">
        <v>351</v>
      </c>
      <c r="H11205" s="3">
        <v>63</v>
      </c>
      <c r="I11205" s="3">
        <v>99</v>
      </c>
      <c r="J11205" s="3">
        <v>1087</v>
      </c>
      <c r="K11205" s="3">
        <v>1383</v>
      </c>
      <c r="L11205" s="3">
        <v>79</v>
      </c>
      <c r="M11205" s="3">
        <v>177</v>
      </c>
    </row>
    <row r="11206" spans="1:13" x14ac:dyDescent="0.25">
      <c r="A11206" s="1" t="str">
        <f>HYPERLINK("http://www.rosaceae.org/Prunus/Prunus_persica/p.persica_gdr_reftransV1_0040988","p.persica_gdr_reftransV1_0040988")</f>
        <v>p.persica_gdr_reftransV1_0040988</v>
      </c>
      <c r="B11206" s="3">
        <v>1969</v>
      </c>
      <c r="C11206" s="1" t="str">
        <f>HYPERLINK("http://www.uniprot.org/uniprot/YNW5_SCHPO","YNW5_SCHPO")</f>
        <v>YNW5_SCHPO</v>
      </c>
      <c r="D11206" t="s">
        <v>7627</v>
      </c>
      <c r="E11206" s="3" t="s">
        <v>464</v>
      </c>
      <c r="F11206" s="4">
        <v>1.0000000000000001E-9</v>
      </c>
      <c r="G11206" s="3">
        <v>149</v>
      </c>
      <c r="H11206" s="3">
        <v>48</v>
      </c>
      <c r="I11206" s="3">
        <v>58</v>
      </c>
      <c r="J11206" s="3">
        <v>350</v>
      </c>
      <c r="K11206" s="3">
        <v>523</v>
      </c>
      <c r="L11206" s="3">
        <v>64</v>
      </c>
      <c r="M11206" s="3">
        <v>121</v>
      </c>
    </row>
    <row r="11207" spans="1:13" x14ac:dyDescent="0.25">
      <c r="A11207" s="1" t="str">
        <f>HYPERLINK("http://www.rosaceae.org/Prunus/Prunus_persica/p.persica_gdr_reftransV1_0041188","p.persica_gdr_reftransV1_0041188")</f>
        <v>p.persica_gdr_reftransV1_0041188</v>
      </c>
      <c r="B11207" s="3">
        <v>3367</v>
      </c>
      <c r="C11207" s="1" t="str">
        <f>HYPERLINK("http://www.uniprot.org/uniprot/KU70_ARATH","KU70_ARATH")</f>
        <v>KU70_ARATH</v>
      </c>
      <c r="D11207" t="s">
        <v>7972</v>
      </c>
      <c r="E11207" s="3" t="s">
        <v>3</v>
      </c>
      <c r="F11207" s="4">
        <v>0</v>
      </c>
      <c r="G11207" s="3">
        <v>1844</v>
      </c>
      <c r="H11207" s="3">
        <v>68</v>
      </c>
      <c r="I11207" s="3">
        <v>486</v>
      </c>
      <c r="J11207" s="3">
        <v>172</v>
      </c>
      <c r="K11207" s="3">
        <v>1626</v>
      </c>
      <c r="L11207" s="3">
        <v>22</v>
      </c>
      <c r="M11207" s="3">
        <v>507</v>
      </c>
    </row>
    <row r="11208" spans="1:13" x14ac:dyDescent="0.25">
      <c r="A11208" s="1" t="str">
        <f>HYPERLINK("http://www.rosaceae.org/Prunus/Prunus_persica/p.persica_gdr_reftransV1_0041288","p.persica_gdr_reftransV1_0041288")</f>
        <v>p.persica_gdr_reftransV1_0041288</v>
      </c>
      <c r="B11208" s="3">
        <v>1081</v>
      </c>
      <c r="C11208" s="1" t="str">
        <f>HYPERLINK("http://www.uniprot.org/uniprot/PP112_ARATH","PP112_ARATH")</f>
        <v>PP112_ARATH</v>
      </c>
      <c r="D11208" t="s">
        <v>7973</v>
      </c>
      <c r="E11208" s="3" t="s">
        <v>3</v>
      </c>
      <c r="F11208" s="4">
        <v>2.25E-170</v>
      </c>
      <c r="G11208" s="3">
        <v>1266</v>
      </c>
      <c r="H11208" s="3">
        <v>71</v>
      </c>
      <c r="I11208" s="3">
        <v>316</v>
      </c>
      <c r="J11208" s="3">
        <v>2</v>
      </c>
      <c r="K11208" s="3">
        <v>949</v>
      </c>
      <c r="L11208" s="3">
        <v>199</v>
      </c>
      <c r="M11208" s="3">
        <v>510</v>
      </c>
    </row>
    <row r="11209" spans="1:13" x14ac:dyDescent="0.25">
      <c r="A11209" s="1" t="str">
        <f>HYPERLINK("http://www.rosaceae.org/Prunus/Prunus_persica/p.persica_gdr_reftransV1_0041438","p.persica_gdr_reftransV1_0041438")</f>
        <v>p.persica_gdr_reftransV1_0041438</v>
      </c>
      <c r="B11209" s="3">
        <v>10488</v>
      </c>
      <c r="C11209" s="1" t="str">
        <f>HYPERLINK("http://www.uniprot.org/uniprot/FAB1C_ARATH","FAB1C_ARATH")</f>
        <v>FAB1C_ARATH</v>
      </c>
      <c r="D11209" t="s">
        <v>7974</v>
      </c>
      <c r="E11209" s="3" t="s">
        <v>3</v>
      </c>
      <c r="F11209" s="4">
        <v>0</v>
      </c>
      <c r="G11209" s="3">
        <v>4469</v>
      </c>
      <c r="H11209" s="3">
        <v>55</v>
      </c>
      <c r="I11209" s="3">
        <v>1837</v>
      </c>
      <c r="J11209" s="3">
        <v>341</v>
      </c>
      <c r="K11209" s="3">
        <v>5752</v>
      </c>
      <c r="L11209" s="3">
        <v>1</v>
      </c>
      <c r="M11209" s="3">
        <v>1648</v>
      </c>
    </row>
    <row r="11210" spans="1:13" x14ac:dyDescent="0.25">
      <c r="A11210" s="1" t="str">
        <f>HYPERLINK("http://www.rosaceae.org/Prunus/Prunus_persica/p.persica_gdr_reftransV1_0041488","p.persica_gdr_reftransV1_0041488")</f>
        <v>p.persica_gdr_reftransV1_0041488</v>
      </c>
      <c r="B11210" s="3">
        <v>4312</v>
      </c>
      <c r="C11210" s="1" t="str">
        <f>HYPERLINK("http://www.uniprot.org/uniprot/G6PI_ARAHG","G6PI_ARAHG")</f>
        <v>G6PI_ARAHG</v>
      </c>
      <c r="D11210" t="s">
        <v>7975</v>
      </c>
      <c r="E11210" s="3" t="s">
        <v>7976</v>
      </c>
      <c r="F11210" s="4">
        <v>9.8299999999999998E-166</v>
      </c>
      <c r="G11210" s="3">
        <v>1329</v>
      </c>
      <c r="H11210" s="3">
        <v>82</v>
      </c>
      <c r="I11210" s="3">
        <v>299</v>
      </c>
      <c r="J11210" s="3">
        <v>484</v>
      </c>
      <c r="K11210" s="3">
        <v>1380</v>
      </c>
      <c r="L11210" s="3">
        <v>1</v>
      </c>
      <c r="M11210" s="3">
        <v>299</v>
      </c>
    </row>
    <row r="11211" spans="1:13" x14ac:dyDescent="0.25">
      <c r="A11211" s="1" t="str">
        <f>HYPERLINK("http://www.rosaceae.org/Prunus/Prunus_persica/p.persica_gdr_reftransV1_0041688","p.persica_gdr_reftransV1_0041688")</f>
        <v>p.persica_gdr_reftransV1_0041688</v>
      </c>
      <c r="B11211" s="3">
        <v>1955</v>
      </c>
      <c r="C11211" s="1" t="str">
        <f>HYPERLINK("http://www.uniprot.org/uniprot/SRS31_ARATH","SRS31_ARATH")</f>
        <v>SRS31_ARATH</v>
      </c>
      <c r="D11211" t="s">
        <v>7977</v>
      </c>
      <c r="E11211" s="3" t="s">
        <v>3</v>
      </c>
      <c r="F11211" s="4">
        <v>1.0200000000000001E-82</v>
      </c>
      <c r="G11211" s="3">
        <v>684</v>
      </c>
      <c r="H11211" s="3">
        <v>71</v>
      </c>
      <c r="I11211" s="3">
        <v>210</v>
      </c>
      <c r="J11211" s="3">
        <v>881</v>
      </c>
      <c r="K11211" s="3">
        <v>1495</v>
      </c>
      <c r="L11211" s="3">
        <v>38</v>
      </c>
      <c r="M11211" s="3">
        <v>246</v>
      </c>
    </row>
    <row r="11212" spans="1:13" x14ac:dyDescent="0.25">
      <c r="A11212" s="1" t="str">
        <f>HYPERLINK("http://www.rosaceae.org/Prunus/Prunus_persica/p.persica_gdr_reftransV1_0041888","p.persica_gdr_reftransV1_0041888")</f>
        <v>p.persica_gdr_reftransV1_0041888</v>
      </c>
      <c r="B11212" s="3">
        <v>1038</v>
      </c>
      <c r="C11212" s="1" t="str">
        <f>HYPERLINK("http://www.uniprot.org/uniprot/CAF1G_ARATH","CAF1G_ARATH")</f>
        <v>CAF1G_ARATH</v>
      </c>
      <c r="D11212" t="s">
        <v>2333</v>
      </c>
      <c r="E11212" s="3" t="s">
        <v>3</v>
      </c>
      <c r="F11212" s="4">
        <v>3.32E-122</v>
      </c>
      <c r="G11212" s="3">
        <v>923</v>
      </c>
      <c r="H11212" s="3">
        <v>73</v>
      </c>
      <c r="I11212" s="3">
        <v>227</v>
      </c>
      <c r="J11212" s="3">
        <v>360</v>
      </c>
      <c r="K11212" s="3">
        <v>1037</v>
      </c>
      <c r="L11212" s="3">
        <v>1</v>
      </c>
      <c r="M11212" s="3">
        <v>227</v>
      </c>
    </row>
    <row r="11213" spans="1:13" x14ac:dyDescent="0.25">
      <c r="A11213" s="1" t="str">
        <f>HYPERLINK("http://www.rosaceae.org/Prunus/Prunus_persica/p.persica_gdr_reftransV1_0041938","p.persica_gdr_reftransV1_0041938")</f>
        <v>p.persica_gdr_reftransV1_0041938</v>
      </c>
      <c r="B11213" s="3">
        <v>608</v>
      </c>
      <c r="C11213" s="1" t="str">
        <f>HYPERLINK("http://www.uniprot.org/uniprot/MFDX1_ARATH","MFDX1_ARATH")</f>
        <v>MFDX1_ARATH</v>
      </c>
      <c r="D11213" t="s">
        <v>6759</v>
      </c>
      <c r="E11213" s="3" t="s">
        <v>3</v>
      </c>
      <c r="F11213" s="4">
        <v>2.8699999999999999E-37</v>
      </c>
      <c r="G11213" s="3">
        <v>336</v>
      </c>
      <c r="H11213" s="3">
        <v>50</v>
      </c>
      <c r="I11213" s="3">
        <v>144</v>
      </c>
      <c r="J11213" s="3">
        <v>231</v>
      </c>
      <c r="K11213" s="3">
        <v>608</v>
      </c>
      <c r="L11213" s="3">
        <v>1</v>
      </c>
      <c r="M11213" s="3">
        <v>144</v>
      </c>
    </row>
    <row r="11214" spans="1:13" x14ac:dyDescent="0.25">
      <c r="A11214" s="1" t="str">
        <f>HYPERLINK("http://www.rosaceae.org/Prunus/Prunus_persica/p.persica_gdr_reftransV1_0041988","p.persica_gdr_reftransV1_0041988")</f>
        <v>p.persica_gdr_reftransV1_0041988</v>
      </c>
      <c r="B11214" s="3">
        <v>663</v>
      </c>
      <c r="C11214" s="1" t="str">
        <f>HYPERLINK("http://www.uniprot.org/uniprot/PIP25_ARATH","PIP25_ARATH")</f>
        <v>PIP25_ARATH</v>
      </c>
      <c r="D11214" t="s">
        <v>7978</v>
      </c>
      <c r="E11214" s="3" t="s">
        <v>3</v>
      </c>
      <c r="F11214" s="4">
        <v>5.1700000000000002E-105</v>
      </c>
      <c r="G11214" s="3">
        <v>797</v>
      </c>
      <c r="H11214" s="3">
        <v>82</v>
      </c>
      <c r="I11214" s="3">
        <v>186</v>
      </c>
      <c r="J11214" s="3">
        <v>117</v>
      </c>
      <c r="K11214" s="3">
        <v>662</v>
      </c>
      <c r="L11214" s="3">
        <v>4</v>
      </c>
      <c r="M11214" s="3">
        <v>189</v>
      </c>
    </row>
    <row r="11215" spans="1:13" x14ac:dyDescent="0.25">
      <c r="A11215" s="1" t="str">
        <f>HYPERLINK("http://www.rosaceae.org/Prunus/Prunus_persica/p.persica_gdr_reftransV1_0042238","p.persica_gdr_reftransV1_0042238")</f>
        <v>p.persica_gdr_reftransV1_0042238</v>
      </c>
      <c r="B11215" s="3">
        <v>2858</v>
      </c>
      <c r="C11215" s="1" t="str">
        <f>HYPERLINK("http://www.uniprot.org/uniprot/SPAST_XENTR","SPAST_XENTR")</f>
        <v>SPAST_XENTR</v>
      </c>
      <c r="D11215" t="s">
        <v>7979</v>
      </c>
      <c r="E11215" s="3" t="s">
        <v>173</v>
      </c>
      <c r="F11215" s="4">
        <v>1.63E-62</v>
      </c>
      <c r="G11215" s="3">
        <v>579</v>
      </c>
      <c r="H11215" s="3">
        <v>57</v>
      </c>
      <c r="I11215" s="3">
        <v>201</v>
      </c>
      <c r="J11215" s="3">
        <v>699</v>
      </c>
      <c r="K11215" s="3">
        <v>1271</v>
      </c>
      <c r="L11215" s="3">
        <v>271</v>
      </c>
      <c r="M11215" s="3">
        <v>471</v>
      </c>
    </row>
    <row r="11216" spans="1:13" x14ac:dyDescent="0.25">
      <c r="A11216" s="1" t="str">
        <f>HYPERLINK("http://www.rosaceae.org/Prunus/Prunus_persica/p.persica_gdr_reftransV1_0042688","p.persica_gdr_reftransV1_0042688")</f>
        <v>p.persica_gdr_reftransV1_0042688</v>
      </c>
      <c r="B11216" s="3">
        <v>2112</v>
      </c>
      <c r="C11216" s="1" t="str">
        <f>HYPERLINK("http://www.uniprot.org/uniprot/MDA1_ARATH","MDA1_ARATH")</f>
        <v>MDA1_ARATH</v>
      </c>
      <c r="D11216" t="s">
        <v>6793</v>
      </c>
      <c r="E11216" s="3" t="s">
        <v>3</v>
      </c>
      <c r="F11216" s="4">
        <v>5.7100000000000001E-16</v>
      </c>
      <c r="G11216" s="3">
        <v>206</v>
      </c>
      <c r="H11216" s="3">
        <v>39</v>
      </c>
      <c r="I11216" s="3">
        <v>120</v>
      </c>
      <c r="J11216" s="3">
        <v>324</v>
      </c>
      <c r="K11216" s="3">
        <v>671</v>
      </c>
      <c r="L11216" s="3">
        <v>127</v>
      </c>
      <c r="M11216" s="3">
        <v>241</v>
      </c>
    </row>
    <row r="11217" spans="1:13" x14ac:dyDescent="0.25">
      <c r="A11217" s="1" t="str">
        <f>HYPERLINK("http://www.rosaceae.org/Prunus/Prunus_persica/p.persica_gdr_reftransV1_0042738","p.persica_gdr_reftransV1_0042738")</f>
        <v>p.persica_gdr_reftransV1_0042738</v>
      </c>
      <c r="B11217" s="3">
        <v>2194</v>
      </c>
      <c r="C11217" s="1" t="str">
        <f>HYPERLINK("http://www.uniprot.org/uniprot/MED27_ARATH","MED27_ARATH")</f>
        <v>MED27_ARATH</v>
      </c>
      <c r="D11217" t="s">
        <v>7074</v>
      </c>
      <c r="E11217" s="3" t="s">
        <v>3</v>
      </c>
      <c r="F11217" s="4">
        <v>1.56E-167</v>
      </c>
      <c r="G11217" s="3">
        <v>1274</v>
      </c>
      <c r="H11217" s="3">
        <v>66</v>
      </c>
      <c r="I11217" s="3">
        <v>382</v>
      </c>
      <c r="J11217" s="3">
        <v>846</v>
      </c>
      <c r="K11217" s="3">
        <v>1982</v>
      </c>
      <c r="L11217" s="3">
        <v>28</v>
      </c>
      <c r="M11217" s="3">
        <v>401</v>
      </c>
    </row>
    <row r="11218" spans="1:13" x14ac:dyDescent="0.25">
      <c r="A11218" s="1" t="str">
        <f>HYPERLINK("http://www.rosaceae.org/Prunus/Prunus_persica/p.persica_gdr_reftransV1_0042788","p.persica_gdr_reftransV1_0042788")</f>
        <v>p.persica_gdr_reftransV1_0042788</v>
      </c>
      <c r="B11218" s="3">
        <v>2059</v>
      </c>
      <c r="C11218" s="1" t="str">
        <f>HYPERLINK("http://www.uniprot.org/uniprot/CDKD1_ORYSJ","CDKD1_ORYSJ")</f>
        <v>CDKD1_ORYSJ</v>
      </c>
      <c r="D11218" t="s">
        <v>7980</v>
      </c>
      <c r="E11218" s="3" t="s">
        <v>38</v>
      </c>
      <c r="F11218" s="4">
        <v>0</v>
      </c>
      <c r="G11218" s="3">
        <v>1656</v>
      </c>
      <c r="H11218" s="3">
        <v>77</v>
      </c>
      <c r="I11218" s="3">
        <v>407</v>
      </c>
      <c r="J11218" s="3">
        <v>629</v>
      </c>
      <c r="K11218" s="3">
        <v>1846</v>
      </c>
      <c r="L11218" s="3">
        <v>13</v>
      </c>
      <c r="M11218" s="3">
        <v>417</v>
      </c>
    </row>
    <row r="11219" spans="1:13" x14ac:dyDescent="0.25">
      <c r="A11219" s="1" t="str">
        <f>HYPERLINK("http://www.rosaceae.org/Prunus/Prunus_persica/p.persica_gdr_reftransV1_0042938","p.persica_gdr_reftransV1_0042938")</f>
        <v>p.persica_gdr_reftransV1_0042938</v>
      </c>
      <c r="B11219" s="3">
        <v>3299</v>
      </c>
      <c r="C11219" s="1" t="str">
        <f>HYPERLINK("http://www.uniprot.org/uniprot/FCA_ARATH","FCA_ARATH")</f>
        <v>FCA_ARATH</v>
      </c>
      <c r="D11219" t="s">
        <v>7981</v>
      </c>
      <c r="E11219" s="3" t="s">
        <v>3</v>
      </c>
      <c r="F11219" s="4">
        <v>4.3900000000000002E-64</v>
      </c>
      <c r="G11219" s="3">
        <v>602</v>
      </c>
      <c r="H11219" s="3">
        <v>49</v>
      </c>
      <c r="I11219" s="3">
        <v>263</v>
      </c>
      <c r="J11219" s="3">
        <v>473</v>
      </c>
      <c r="K11219" s="3">
        <v>1252</v>
      </c>
      <c r="L11219" s="3">
        <v>92</v>
      </c>
      <c r="M11219" s="3">
        <v>330</v>
      </c>
    </row>
    <row r="11220" spans="1:13" x14ac:dyDescent="0.25">
      <c r="A11220" s="1" t="str">
        <f>HYPERLINK("http://www.rosaceae.org/Prunus/Prunus_persica/p.persica_gdr_reftransV1_0043088","p.persica_gdr_reftransV1_0043088")</f>
        <v>p.persica_gdr_reftransV1_0043088</v>
      </c>
      <c r="B11220" s="3">
        <v>422</v>
      </c>
      <c r="C11220" s="1" t="str">
        <f>HYPERLINK("http://www.uniprot.org/uniprot/MHCKC_DICDI","MHCKC_DICDI")</f>
        <v>MHCKC_DICDI</v>
      </c>
      <c r="D11220" t="s">
        <v>7982</v>
      </c>
      <c r="E11220" s="3" t="s">
        <v>9</v>
      </c>
      <c r="F11220" s="4">
        <v>1.9900000000000001E-10</v>
      </c>
      <c r="G11220" s="3">
        <v>149</v>
      </c>
      <c r="H11220" s="3">
        <v>33</v>
      </c>
      <c r="I11220" s="3">
        <v>123</v>
      </c>
      <c r="J11220" s="3">
        <v>8</v>
      </c>
      <c r="K11220" s="3">
        <v>376</v>
      </c>
      <c r="L11220" s="3">
        <v>596</v>
      </c>
      <c r="M11220" s="3">
        <v>698</v>
      </c>
    </row>
    <row r="11221" spans="1:13" x14ac:dyDescent="0.25">
      <c r="A11221" s="1" t="str">
        <f>HYPERLINK("http://www.rosaceae.org/Prunus/Prunus_persica/p.persica_gdr_reftransV1_0043188","p.persica_gdr_reftransV1_0043188")</f>
        <v>p.persica_gdr_reftransV1_0043188</v>
      </c>
      <c r="B11221" s="3">
        <v>2680</v>
      </c>
      <c r="C11221" s="1" t="str">
        <f>HYPERLINK("http://www.uniprot.org/uniprot/GYRB_NICBE","GYRB_NICBE")</f>
        <v>GYRB_NICBE</v>
      </c>
      <c r="D11221" t="s">
        <v>7983</v>
      </c>
      <c r="E11221" s="3" t="s">
        <v>1986</v>
      </c>
      <c r="F11221" s="4">
        <v>0</v>
      </c>
      <c r="G11221" s="3">
        <v>2963</v>
      </c>
      <c r="H11221" s="3">
        <v>87</v>
      </c>
      <c r="I11221" s="3">
        <v>679</v>
      </c>
      <c r="J11221" s="3">
        <v>272</v>
      </c>
      <c r="K11221" s="3">
        <v>2308</v>
      </c>
      <c r="L11221" s="3">
        <v>53</v>
      </c>
      <c r="M11221" s="3">
        <v>731</v>
      </c>
    </row>
    <row r="11222" spans="1:13" x14ac:dyDescent="0.25">
      <c r="A11222" s="1" t="str">
        <f>HYPERLINK("http://www.rosaceae.org/Prunus/Prunus_persica/p.persica_gdr_reftransV1_0043238","p.persica_gdr_reftransV1_0043238")</f>
        <v>p.persica_gdr_reftransV1_0043238</v>
      </c>
      <c r="B11222" s="3">
        <v>987</v>
      </c>
      <c r="C11222" s="1" t="str">
        <f>HYPERLINK("http://www.uniprot.org/uniprot/E1313_ARATH","E1313_ARATH")</f>
        <v>E1313_ARATH</v>
      </c>
      <c r="D11222" t="s">
        <v>3107</v>
      </c>
      <c r="E11222" s="3" t="s">
        <v>3</v>
      </c>
      <c r="F11222" s="4">
        <v>4.0899999999999999E-25</v>
      </c>
      <c r="G11222" s="3">
        <v>271</v>
      </c>
      <c r="H11222" s="3">
        <v>53</v>
      </c>
      <c r="I11222" s="3">
        <v>85</v>
      </c>
      <c r="J11222" s="3">
        <v>294</v>
      </c>
      <c r="K11222" s="3">
        <v>548</v>
      </c>
      <c r="L11222" s="3">
        <v>369</v>
      </c>
      <c r="M11222" s="3">
        <v>453</v>
      </c>
    </row>
    <row r="11223" spans="1:13" x14ac:dyDescent="0.25">
      <c r="A11223" s="1" t="str">
        <f>HYPERLINK("http://www.rosaceae.org/Prunus/Prunus_persica/p.persica_gdr_reftransV1_0043288","p.persica_gdr_reftransV1_0043288")</f>
        <v>p.persica_gdr_reftransV1_0043288</v>
      </c>
      <c r="B11223" s="3">
        <v>2512</v>
      </c>
      <c r="C11223" s="1" t="str">
        <f>HYPERLINK("http://www.uniprot.org/uniprot/SCL13_ARATH","SCL13_ARATH")</f>
        <v>SCL13_ARATH</v>
      </c>
      <c r="D11223" t="s">
        <v>5068</v>
      </c>
      <c r="E11223" s="3" t="s">
        <v>3</v>
      </c>
      <c r="F11223" s="4">
        <v>0</v>
      </c>
      <c r="G11223" s="3">
        <v>1678</v>
      </c>
      <c r="H11223" s="3">
        <v>61</v>
      </c>
      <c r="I11223" s="3">
        <v>542</v>
      </c>
      <c r="J11223" s="3">
        <v>550</v>
      </c>
      <c r="K11223" s="3">
        <v>2169</v>
      </c>
      <c r="L11223" s="3">
        <v>1</v>
      </c>
      <c r="M11223" s="3">
        <v>525</v>
      </c>
    </row>
    <row r="11224" spans="1:13" x14ac:dyDescent="0.25">
      <c r="A11224" s="1" t="str">
        <f>HYPERLINK("http://www.rosaceae.org/Prunus/Prunus_persica/p.persica_gdr_reftransV1_0043338","p.persica_gdr_reftransV1_0043338")</f>
        <v>p.persica_gdr_reftransV1_0043338</v>
      </c>
      <c r="B11224" s="3">
        <v>343</v>
      </c>
      <c r="C11224" s="1" t="str">
        <f>HYPERLINK("http://www.uniprot.org/uniprot/ALMT3_ARATH","ALMT3_ARATH")</f>
        <v>ALMT3_ARATH</v>
      </c>
      <c r="D11224" t="s">
        <v>7984</v>
      </c>
      <c r="E11224" s="3" t="s">
        <v>3</v>
      </c>
      <c r="F11224" s="4">
        <v>2.1400000000000002E-34</v>
      </c>
      <c r="G11224" s="3">
        <v>322</v>
      </c>
      <c r="H11224" s="3">
        <v>59</v>
      </c>
      <c r="I11224" s="3">
        <v>113</v>
      </c>
      <c r="J11224" s="3">
        <v>1</v>
      </c>
      <c r="K11224" s="3">
        <v>339</v>
      </c>
      <c r="L11224" s="3">
        <v>120</v>
      </c>
      <c r="M11224" s="3">
        <v>231</v>
      </c>
    </row>
    <row r="11225" spans="1:13" x14ac:dyDescent="0.25">
      <c r="A11225" s="1" t="str">
        <f>HYPERLINK("http://www.rosaceae.org/Prunus/Prunus_persica/p.persica_gdr_reftransV1_0043388","p.persica_gdr_reftransV1_0043388")</f>
        <v>p.persica_gdr_reftransV1_0043388</v>
      </c>
      <c r="B11225" s="3">
        <v>605</v>
      </c>
      <c r="C11225" s="1" t="str">
        <f>HYPERLINK("http://www.uniprot.org/uniprot/Y4844_ARATH","Y4844_ARATH")</f>
        <v>Y4844_ARATH</v>
      </c>
      <c r="D11225" t="s">
        <v>3914</v>
      </c>
      <c r="E11225" s="3" t="s">
        <v>3</v>
      </c>
      <c r="F11225" s="4">
        <v>5.8599999999999999E-50</v>
      </c>
      <c r="G11225" s="3">
        <v>418</v>
      </c>
      <c r="H11225" s="3">
        <v>66</v>
      </c>
      <c r="I11225" s="3">
        <v>134</v>
      </c>
      <c r="J11225" s="3">
        <v>57</v>
      </c>
      <c r="K11225" s="3">
        <v>440</v>
      </c>
      <c r="L11225" s="3">
        <v>17</v>
      </c>
      <c r="M11225" s="3">
        <v>150</v>
      </c>
    </row>
    <row r="11226" spans="1:13" x14ac:dyDescent="0.25">
      <c r="A11226" s="1" t="str">
        <f>HYPERLINK("http://www.rosaceae.org/Prunus/Prunus_persica/p.persica_gdr_reftransV1_0043438","p.persica_gdr_reftransV1_0043438")</f>
        <v>p.persica_gdr_reftransV1_0043438</v>
      </c>
      <c r="B11226" s="3">
        <v>340</v>
      </c>
      <c r="C11226" s="1" t="str">
        <f>HYPERLINK("http://www.uniprot.org/uniprot/SAU41_ARATH","SAU41_ARATH")</f>
        <v>SAU41_ARATH</v>
      </c>
      <c r="D11226" t="s">
        <v>7985</v>
      </c>
      <c r="E11226" s="3" t="s">
        <v>3</v>
      </c>
      <c r="F11226" s="4">
        <v>3.5899999999999998E-9</v>
      </c>
      <c r="G11226" s="3">
        <v>130</v>
      </c>
      <c r="H11226" s="3">
        <v>48</v>
      </c>
      <c r="I11226" s="3">
        <v>46</v>
      </c>
      <c r="J11226" s="3">
        <v>202</v>
      </c>
      <c r="K11226" s="3">
        <v>339</v>
      </c>
      <c r="L11226" s="3">
        <v>54</v>
      </c>
      <c r="M11226" s="3">
        <v>99</v>
      </c>
    </row>
    <row r="11227" spans="1:13" x14ac:dyDescent="0.25">
      <c r="A11227" s="1" t="str">
        <f>HYPERLINK("http://www.rosaceae.org/Prunus/Prunus_persica/p.persica_gdr_reftransV1_0043488","p.persica_gdr_reftransV1_0043488")</f>
        <v>p.persica_gdr_reftransV1_0043488</v>
      </c>
      <c r="B11227" s="3">
        <v>780</v>
      </c>
      <c r="C11227" s="1" t="str">
        <f>HYPERLINK("http://www.uniprot.org/uniprot/KIWI_ARATH","KIWI_ARATH")</f>
        <v>KIWI_ARATH</v>
      </c>
      <c r="D11227" t="s">
        <v>7350</v>
      </c>
      <c r="E11227" s="3" t="s">
        <v>3</v>
      </c>
      <c r="F11227" s="4">
        <v>5.1999999999999999E-41</v>
      </c>
      <c r="G11227" s="3">
        <v>359</v>
      </c>
      <c r="H11227" s="3">
        <v>65</v>
      </c>
      <c r="I11227" s="3">
        <v>107</v>
      </c>
      <c r="J11227" s="3">
        <v>336</v>
      </c>
      <c r="K11227" s="3">
        <v>656</v>
      </c>
      <c r="L11227" s="3">
        <v>1</v>
      </c>
      <c r="M11227" s="3">
        <v>107</v>
      </c>
    </row>
    <row r="11228" spans="1:13" x14ac:dyDescent="0.25">
      <c r="A11228" s="1" t="str">
        <f>HYPERLINK("http://www.rosaceae.org/Prunus/Prunus_persica/p.persica_gdr_reftransV1_0043538","p.persica_gdr_reftransV1_0043538")</f>
        <v>p.persica_gdr_reftransV1_0043538</v>
      </c>
      <c r="B11228" s="3">
        <v>671</v>
      </c>
      <c r="C11228" s="1" t="str">
        <f>HYPERLINK("http://www.uniprot.org/uniprot/GDL29_ARATH","GDL29_ARATH")</f>
        <v>GDL29_ARATH</v>
      </c>
      <c r="D11228" t="s">
        <v>7986</v>
      </c>
      <c r="E11228" s="3" t="s">
        <v>3</v>
      </c>
      <c r="F11228" s="4">
        <v>1.8599999999999999E-92</v>
      </c>
      <c r="G11228" s="3">
        <v>723</v>
      </c>
      <c r="H11228" s="3">
        <v>70</v>
      </c>
      <c r="I11228" s="3">
        <v>222</v>
      </c>
      <c r="J11228" s="3">
        <v>8</v>
      </c>
      <c r="K11228" s="3">
        <v>670</v>
      </c>
      <c r="L11228" s="3">
        <v>147</v>
      </c>
      <c r="M11228" s="3">
        <v>368</v>
      </c>
    </row>
    <row r="11229" spans="1:13" x14ac:dyDescent="0.25">
      <c r="A11229" s="1" t="str">
        <f>HYPERLINK("http://www.rosaceae.org/Prunus/Prunus_persica/p.persica_gdr_reftransV1_0043588","p.persica_gdr_reftransV1_0043588")</f>
        <v>p.persica_gdr_reftransV1_0043588</v>
      </c>
      <c r="B11229" s="3">
        <v>3305</v>
      </c>
      <c r="C11229" s="1" t="str">
        <f>HYPERLINK("http://www.uniprot.org/uniprot/NACK1_TOBAC","NACK1_TOBAC")</f>
        <v>NACK1_TOBAC</v>
      </c>
      <c r="D11229" t="s">
        <v>4146</v>
      </c>
      <c r="E11229" s="3" t="s">
        <v>200</v>
      </c>
      <c r="F11229" s="4">
        <v>0</v>
      </c>
      <c r="G11229" s="3">
        <v>4073</v>
      </c>
      <c r="H11229" s="3">
        <v>82</v>
      </c>
      <c r="I11229" s="3">
        <v>979</v>
      </c>
      <c r="J11229" s="3">
        <v>188</v>
      </c>
      <c r="K11229" s="3">
        <v>3115</v>
      </c>
      <c r="L11229" s="3">
        <v>1</v>
      </c>
      <c r="M11229" s="3">
        <v>959</v>
      </c>
    </row>
    <row r="11230" spans="1:13" x14ac:dyDescent="0.25">
      <c r="A11230" s="1" t="str">
        <f>HYPERLINK("http://www.rosaceae.org/Prunus/Prunus_persica/p.persica_gdr_reftransV1_0043688","p.persica_gdr_reftransV1_0043688")</f>
        <v>p.persica_gdr_reftransV1_0043688</v>
      </c>
      <c r="B11230" s="3">
        <v>623</v>
      </c>
      <c r="C11230" s="1" t="str">
        <f>HYPERLINK("http://www.uniprot.org/uniprot/CXE18_ARATH","CXE18_ARATH")</f>
        <v>CXE18_ARATH</v>
      </c>
      <c r="D11230" t="s">
        <v>485</v>
      </c>
      <c r="E11230" s="3" t="s">
        <v>3</v>
      </c>
      <c r="F11230" s="4">
        <v>3.9000000000000003E-61</v>
      </c>
      <c r="G11230" s="3">
        <v>508</v>
      </c>
      <c r="H11230" s="3">
        <v>55</v>
      </c>
      <c r="I11230" s="3">
        <v>175</v>
      </c>
      <c r="J11230" s="3">
        <v>89</v>
      </c>
      <c r="K11230" s="3">
        <v>604</v>
      </c>
      <c r="L11230" s="3">
        <v>161</v>
      </c>
      <c r="M11230" s="3">
        <v>332</v>
      </c>
    </row>
    <row r="11231" spans="1:13" x14ac:dyDescent="0.25">
      <c r="A11231" s="1" t="str">
        <f>HYPERLINK("http://www.rosaceae.org/Prunus/Prunus_persica/p.persica_gdr_reftransV1_0043788","p.persica_gdr_reftransV1_0043788")</f>
        <v>p.persica_gdr_reftransV1_0043788</v>
      </c>
      <c r="B11231" s="3">
        <v>1317</v>
      </c>
      <c r="C11231" s="1" t="str">
        <f>HYPERLINK("http://www.uniprot.org/uniprot/IPYR6_ARATH","IPYR6_ARATH")</f>
        <v>IPYR6_ARATH</v>
      </c>
      <c r="D11231" t="s">
        <v>1363</v>
      </c>
      <c r="E11231" s="3" t="s">
        <v>3</v>
      </c>
      <c r="F11231" s="4">
        <v>1.0700000000000001E-152</v>
      </c>
      <c r="G11231" s="3">
        <v>1137</v>
      </c>
      <c r="H11231" s="3">
        <v>76</v>
      </c>
      <c r="I11231" s="3">
        <v>286</v>
      </c>
      <c r="J11231" s="3">
        <v>94</v>
      </c>
      <c r="K11231" s="3">
        <v>945</v>
      </c>
      <c r="L11231" s="3">
        <v>18</v>
      </c>
      <c r="M11231" s="3">
        <v>299</v>
      </c>
    </row>
    <row r="11232" spans="1:13" x14ac:dyDescent="0.25">
      <c r="A11232" s="1" t="str">
        <f>HYPERLINK("http://www.rosaceae.org/Prunus/Prunus_persica/p.persica_gdr_reftransV1_0043888","p.persica_gdr_reftransV1_0043888")</f>
        <v>p.persica_gdr_reftransV1_0043888</v>
      </c>
      <c r="B11232" s="3">
        <v>583</v>
      </c>
      <c r="C11232" s="1" t="str">
        <f>HYPERLINK("http://www.uniprot.org/uniprot/FBK8_ARATH","FBK8_ARATH")</f>
        <v>FBK8_ARATH</v>
      </c>
      <c r="D11232" t="s">
        <v>2871</v>
      </c>
      <c r="E11232" s="3" t="s">
        <v>3</v>
      </c>
      <c r="F11232" s="4">
        <v>3.47E-22</v>
      </c>
      <c r="G11232" s="3">
        <v>240</v>
      </c>
      <c r="H11232" s="3">
        <v>48</v>
      </c>
      <c r="I11232" s="3">
        <v>108</v>
      </c>
      <c r="J11232" s="3">
        <v>1</v>
      </c>
      <c r="K11232" s="3">
        <v>321</v>
      </c>
      <c r="L11232" s="3">
        <v>1</v>
      </c>
      <c r="M11232" s="3">
        <v>108</v>
      </c>
    </row>
    <row r="11233" spans="1:13" x14ac:dyDescent="0.25">
      <c r="A11233" s="1" t="str">
        <f>HYPERLINK("http://www.rosaceae.org/Prunus/Prunus_persica/p.persica_gdr_reftransV1_0044088","p.persica_gdr_reftransV1_0044088")</f>
        <v>p.persica_gdr_reftransV1_0044088</v>
      </c>
      <c r="B11233" s="3">
        <v>2016</v>
      </c>
      <c r="C11233" s="1" t="str">
        <f>HYPERLINK("http://www.uniprot.org/uniprot/SPSY_ARATH","SPSY_ARATH")</f>
        <v>SPSY_ARATH</v>
      </c>
      <c r="D11233" t="s">
        <v>246</v>
      </c>
      <c r="E11233" s="3" t="s">
        <v>3</v>
      </c>
      <c r="F11233" s="4">
        <v>2.1099999999999999E-113</v>
      </c>
      <c r="G11233" s="3">
        <v>902</v>
      </c>
      <c r="H11233" s="3">
        <v>82</v>
      </c>
      <c r="I11233" s="3">
        <v>202</v>
      </c>
      <c r="J11233" s="3">
        <v>345</v>
      </c>
      <c r="K11233" s="3">
        <v>950</v>
      </c>
      <c r="L11233" s="3">
        <v>159</v>
      </c>
      <c r="M11233" s="3">
        <v>359</v>
      </c>
    </row>
    <row r="11234" spans="1:13" x14ac:dyDescent="0.25">
      <c r="A11234" s="1" t="str">
        <f>HYPERLINK("http://www.rosaceae.org/Prunus/Prunus_persica/p.persica_gdr_reftransV1_0044138","p.persica_gdr_reftransV1_0044138")</f>
        <v>p.persica_gdr_reftransV1_0044138</v>
      </c>
      <c r="B11234" s="3">
        <v>563</v>
      </c>
      <c r="C11234" s="1" t="str">
        <f>HYPERLINK("http://www.uniprot.org/uniprot/SERC2_MOUSE","SERC2_MOUSE")</f>
        <v>SERC2_MOUSE</v>
      </c>
      <c r="D11234" t="s">
        <v>4594</v>
      </c>
      <c r="E11234" s="3" t="s">
        <v>157</v>
      </c>
      <c r="F11234" s="4">
        <v>1.7599999999999999E-9</v>
      </c>
      <c r="G11234" s="3">
        <v>143</v>
      </c>
      <c r="H11234" s="3">
        <v>27</v>
      </c>
      <c r="I11234" s="3">
        <v>168</v>
      </c>
      <c r="J11234" s="3">
        <v>1</v>
      </c>
      <c r="K11234" s="3">
        <v>405</v>
      </c>
      <c r="L11234" s="3">
        <v>279</v>
      </c>
      <c r="M11234" s="3">
        <v>443</v>
      </c>
    </row>
    <row r="11235" spans="1:13" x14ac:dyDescent="0.25">
      <c r="A11235" s="1" t="str">
        <f>HYPERLINK("http://www.rosaceae.org/Prunus/Prunus_persica/p.persica_gdr_reftransV1_0044188","p.persica_gdr_reftransV1_0044188")</f>
        <v>p.persica_gdr_reftransV1_0044188</v>
      </c>
      <c r="B11235" s="3">
        <v>865</v>
      </c>
      <c r="C11235" s="1" t="str">
        <f>HYPERLINK("http://www.uniprot.org/uniprot/FBL53_ARATH","FBL53_ARATH")</f>
        <v>FBL53_ARATH</v>
      </c>
      <c r="D11235" t="s">
        <v>884</v>
      </c>
      <c r="E11235" s="3" t="s">
        <v>3</v>
      </c>
      <c r="F11235" s="4">
        <v>1.66E-7</v>
      </c>
      <c r="G11235" s="3">
        <v>132</v>
      </c>
      <c r="H11235" s="3">
        <v>28</v>
      </c>
      <c r="I11235" s="3">
        <v>148</v>
      </c>
      <c r="J11235" s="3">
        <v>12</v>
      </c>
      <c r="K11235" s="3">
        <v>449</v>
      </c>
      <c r="L11235" s="3">
        <v>84</v>
      </c>
      <c r="M11235" s="3">
        <v>230</v>
      </c>
    </row>
    <row r="11236" spans="1:13" x14ac:dyDescent="0.25">
      <c r="A11236" s="1" t="str">
        <f>HYPERLINK("http://www.rosaceae.org/Prunus/Prunus_persica/p.persica_gdr_reftransV1_0044238","p.persica_gdr_reftransV1_0044238")</f>
        <v>p.persica_gdr_reftransV1_0044238</v>
      </c>
      <c r="B11236" s="3">
        <v>1346</v>
      </c>
      <c r="C11236" s="1" t="str">
        <f>HYPERLINK("http://www.uniprot.org/uniprot/ACCH1_ARATH","ACCH1_ARATH")</f>
        <v>ACCH1_ARATH</v>
      </c>
      <c r="D11236" t="s">
        <v>1325</v>
      </c>
      <c r="E11236" s="3" t="s">
        <v>3</v>
      </c>
      <c r="F11236" s="4">
        <v>4.03E-145</v>
      </c>
      <c r="G11236" s="3">
        <v>1094</v>
      </c>
      <c r="H11236" s="3">
        <v>61</v>
      </c>
      <c r="I11236" s="3">
        <v>357</v>
      </c>
      <c r="J11236" s="3">
        <v>212</v>
      </c>
      <c r="K11236" s="3">
        <v>1282</v>
      </c>
      <c r="L11236" s="3">
        <v>12</v>
      </c>
      <c r="M11236" s="3">
        <v>365</v>
      </c>
    </row>
    <row r="11237" spans="1:13" x14ac:dyDescent="0.25">
      <c r="A11237" s="1" t="str">
        <f>HYPERLINK("http://www.rosaceae.org/Prunus/Prunus_persica/p.persica_gdr_reftransV1_0044288","p.persica_gdr_reftransV1_0044288")</f>
        <v>p.persica_gdr_reftransV1_0044288</v>
      </c>
      <c r="B11237" s="3">
        <v>2088</v>
      </c>
      <c r="C11237" s="1" t="str">
        <f>HYPERLINK("http://www.uniprot.org/uniprot/EF1A_MAIZE","EF1A_MAIZE")</f>
        <v>EF1A_MAIZE</v>
      </c>
      <c r="D11237" t="s">
        <v>7987</v>
      </c>
      <c r="E11237" s="3" t="s">
        <v>72</v>
      </c>
      <c r="F11237" s="4">
        <v>0</v>
      </c>
      <c r="G11237" s="3">
        <v>2276</v>
      </c>
      <c r="H11237" s="3">
        <v>97</v>
      </c>
      <c r="I11237" s="3">
        <v>436</v>
      </c>
      <c r="J11237" s="3">
        <v>225</v>
      </c>
      <c r="K11237" s="3">
        <v>1532</v>
      </c>
      <c r="L11237" s="3">
        <v>1</v>
      </c>
      <c r="M11237" s="3">
        <v>436</v>
      </c>
    </row>
    <row r="11238" spans="1:13" x14ac:dyDescent="0.25">
      <c r="A11238" s="1" t="str">
        <f>HYPERLINK("http://www.rosaceae.org/Prunus/Prunus_persica/p.persica_gdr_reftransV1_0044388","p.persica_gdr_reftransV1_0044388")</f>
        <v>p.persica_gdr_reftransV1_0044388</v>
      </c>
      <c r="B11238" s="3">
        <v>3160</v>
      </c>
      <c r="C11238" s="1" t="str">
        <f>HYPERLINK("http://www.uniprot.org/uniprot/RHD31_ARATH","RHD31_ARATH")</f>
        <v>RHD31_ARATH</v>
      </c>
      <c r="D11238" t="s">
        <v>7988</v>
      </c>
      <c r="E11238" s="3" t="s">
        <v>3</v>
      </c>
      <c r="F11238" s="4">
        <v>0</v>
      </c>
      <c r="G11238" s="3">
        <v>3152</v>
      </c>
      <c r="H11238" s="3">
        <v>78</v>
      </c>
      <c r="I11238" s="3">
        <v>766</v>
      </c>
      <c r="J11238" s="3">
        <v>188</v>
      </c>
      <c r="K11238" s="3">
        <v>2485</v>
      </c>
      <c r="L11238" s="3">
        <v>6</v>
      </c>
      <c r="M11238" s="3">
        <v>770</v>
      </c>
    </row>
    <row r="11239" spans="1:13" x14ac:dyDescent="0.25">
      <c r="A11239" s="1" t="str">
        <f>HYPERLINK("http://www.rosaceae.org/Prunus/Prunus_persica/p.persica_gdr_reftransV1_0044438","p.persica_gdr_reftransV1_0044438")</f>
        <v>p.persica_gdr_reftransV1_0044438</v>
      </c>
      <c r="B11239" s="3">
        <v>883</v>
      </c>
      <c r="C11239" s="1" t="str">
        <f>HYPERLINK("http://www.uniprot.org/uniprot/XTH32_ARATH","XTH32_ARATH")</f>
        <v>XTH32_ARATH</v>
      </c>
      <c r="D11239" t="s">
        <v>7989</v>
      </c>
      <c r="E11239" s="3" t="s">
        <v>3</v>
      </c>
      <c r="F11239" s="4">
        <v>3.57E-111</v>
      </c>
      <c r="G11239" s="3">
        <v>847</v>
      </c>
      <c r="H11239" s="3">
        <v>73</v>
      </c>
      <c r="I11239" s="3">
        <v>212</v>
      </c>
      <c r="J11239" s="3">
        <v>1</v>
      </c>
      <c r="K11239" s="3">
        <v>636</v>
      </c>
      <c r="L11239" s="3">
        <v>90</v>
      </c>
      <c r="M11239" s="3">
        <v>299</v>
      </c>
    </row>
    <row r="11240" spans="1:13" x14ac:dyDescent="0.25">
      <c r="A11240" s="1" t="str">
        <f>HYPERLINK("http://www.rosaceae.org/Prunus/Prunus_persica/p.persica_gdr_reftransV1_0044488","p.persica_gdr_reftransV1_0044488")</f>
        <v>p.persica_gdr_reftransV1_0044488</v>
      </c>
      <c r="B11240" s="3">
        <v>661</v>
      </c>
      <c r="C11240" s="1" t="str">
        <f>HYPERLINK("http://www.uniprot.org/uniprot/EDM2_ARATH","EDM2_ARATH")</f>
        <v>EDM2_ARATH</v>
      </c>
      <c r="D11240" t="s">
        <v>7306</v>
      </c>
      <c r="E11240" s="3" t="s">
        <v>3</v>
      </c>
      <c r="F11240" s="4">
        <v>7.5400000000000004E-98</v>
      </c>
      <c r="G11240" s="3">
        <v>807</v>
      </c>
      <c r="H11240" s="3">
        <v>66</v>
      </c>
      <c r="I11240" s="3">
        <v>219</v>
      </c>
      <c r="J11240" s="3">
        <v>4</v>
      </c>
      <c r="K11240" s="3">
        <v>657</v>
      </c>
      <c r="L11240" s="3">
        <v>596</v>
      </c>
      <c r="M11240" s="3">
        <v>814</v>
      </c>
    </row>
    <row r="11241" spans="1:13" x14ac:dyDescent="0.25">
      <c r="A11241" s="1" t="str">
        <f>HYPERLINK("http://www.rosaceae.org/Prunus/Prunus_persica/p.persica_gdr_reftransV1_0044538","p.persica_gdr_reftransV1_0044538")</f>
        <v>p.persica_gdr_reftransV1_0044538</v>
      </c>
      <c r="B11241" s="3">
        <v>1583</v>
      </c>
      <c r="C11241" s="1" t="str">
        <f>HYPERLINK("http://www.uniprot.org/uniprot/TMVRN_NICGU","TMVRN_NICGU")</f>
        <v>TMVRN_NICGU</v>
      </c>
      <c r="D11241" t="s">
        <v>151</v>
      </c>
      <c r="E11241" s="3" t="s">
        <v>152</v>
      </c>
      <c r="F11241" s="4">
        <v>4.9800000000000001E-49</v>
      </c>
      <c r="G11241" s="3">
        <v>474</v>
      </c>
      <c r="H11241" s="3">
        <v>33</v>
      </c>
      <c r="I11241" s="3">
        <v>400</v>
      </c>
      <c r="J11241" s="3">
        <v>1</v>
      </c>
      <c r="K11241" s="3">
        <v>1113</v>
      </c>
      <c r="L11241" s="3">
        <v>385</v>
      </c>
      <c r="M11241" s="3">
        <v>777</v>
      </c>
    </row>
    <row r="11242" spans="1:13" x14ac:dyDescent="0.25">
      <c r="A11242" s="1" t="str">
        <f>HYPERLINK("http://www.rosaceae.org/Prunus/Prunus_persica/p.persica_gdr_reftransV1_0044588","p.persica_gdr_reftransV1_0044588")</f>
        <v>p.persica_gdr_reftransV1_0044588</v>
      </c>
      <c r="B11242" s="3">
        <v>1926</v>
      </c>
      <c r="C11242" s="1" t="str">
        <f>HYPERLINK("http://www.uniprot.org/uniprot/RQSIM_ARATH","RQSIM_ARATH")</f>
        <v>RQSIM_ARATH</v>
      </c>
      <c r="D11242" t="s">
        <v>5759</v>
      </c>
      <c r="E11242" s="3" t="s">
        <v>3</v>
      </c>
      <c r="F11242" s="4">
        <v>1.64E-10</v>
      </c>
      <c r="G11242" s="3">
        <v>165</v>
      </c>
      <c r="H11242" s="3">
        <v>36</v>
      </c>
      <c r="I11242" s="3">
        <v>131</v>
      </c>
      <c r="J11242" s="3">
        <v>104</v>
      </c>
      <c r="K11242" s="3">
        <v>496</v>
      </c>
      <c r="L11242" s="3">
        <v>444</v>
      </c>
      <c r="M11242" s="3">
        <v>529</v>
      </c>
    </row>
    <row r="11243" spans="1:13" x14ac:dyDescent="0.25">
      <c r="A11243" s="1" t="str">
        <f>HYPERLINK("http://www.rosaceae.org/Prunus/Prunus_persica/p.persica_gdr_reftransV1_0044638","p.persica_gdr_reftransV1_0044638")</f>
        <v>p.persica_gdr_reftransV1_0044638</v>
      </c>
      <c r="B11243" s="3">
        <v>961</v>
      </c>
      <c r="C11243" s="1" t="str">
        <f>HYPERLINK("http://www.uniprot.org/uniprot/BH107_ARATH","BH107_ARATH")</f>
        <v>BH107_ARATH</v>
      </c>
      <c r="D11243" t="s">
        <v>981</v>
      </c>
      <c r="E11243" s="3" t="s">
        <v>3</v>
      </c>
      <c r="F11243" s="4">
        <v>2.2000000000000002E-25</v>
      </c>
      <c r="G11243" s="3">
        <v>264</v>
      </c>
      <c r="H11243" s="3">
        <v>38</v>
      </c>
      <c r="I11243" s="3">
        <v>183</v>
      </c>
      <c r="J11243" s="3">
        <v>179</v>
      </c>
      <c r="K11243" s="3">
        <v>706</v>
      </c>
      <c r="L11243" s="3">
        <v>33</v>
      </c>
      <c r="M11243" s="3">
        <v>199</v>
      </c>
    </row>
    <row r="11244" spans="1:13" x14ac:dyDescent="0.25">
      <c r="A11244" s="1" t="str">
        <f>HYPERLINK("http://www.rosaceae.org/Prunus/Prunus_persica/p.persica_gdr_reftransV1_0044738","p.persica_gdr_reftransV1_0044738")</f>
        <v>p.persica_gdr_reftransV1_0044738</v>
      </c>
      <c r="B11244" s="3">
        <v>2481</v>
      </c>
      <c r="C11244" s="1" t="str">
        <f>HYPERLINK("http://www.uniprot.org/uniprot/ICR3_ARATH","ICR3_ARATH")</f>
        <v>ICR3_ARATH</v>
      </c>
      <c r="D11244" t="s">
        <v>6103</v>
      </c>
      <c r="E11244" s="3" t="s">
        <v>3</v>
      </c>
      <c r="F11244" s="4">
        <v>3.13E-99</v>
      </c>
      <c r="G11244" s="3">
        <v>835</v>
      </c>
      <c r="H11244" s="3">
        <v>47</v>
      </c>
      <c r="I11244" s="3">
        <v>640</v>
      </c>
      <c r="J11244" s="3">
        <v>299</v>
      </c>
      <c r="K11244" s="3">
        <v>2185</v>
      </c>
      <c r="L11244" s="3">
        <v>1</v>
      </c>
      <c r="M11244" s="3">
        <v>564</v>
      </c>
    </row>
    <row r="11245" spans="1:13" x14ac:dyDescent="0.25">
      <c r="A11245" s="1" t="str">
        <f>HYPERLINK("http://www.rosaceae.org/Prunus/Prunus_persica/p.persica_gdr_reftransV1_0044788","p.persica_gdr_reftransV1_0044788")</f>
        <v>p.persica_gdr_reftransV1_0044788</v>
      </c>
      <c r="B11245" s="3">
        <v>813</v>
      </c>
      <c r="C11245" s="1" t="str">
        <f>HYPERLINK("http://www.uniprot.org/uniprot/RTNLT_ARATH","RTNLT_ARATH")</f>
        <v>RTNLT_ARATH</v>
      </c>
      <c r="D11245" t="s">
        <v>7157</v>
      </c>
      <c r="E11245" s="3" t="s">
        <v>3</v>
      </c>
      <c r="F11245" s="4">
        <v>7.8299999999999998E-51</v>
      </c>
      <c r="G11245" s="3">
        <v>431</v>
      </c>
      <c r="H11245" s="3">
        <v>67</v>
      </c>
      <c r="I11245" s="3">
        <v>153</v>
      </c>
      <c r="J11245" s="3">
        <v>68</v>
      </c>
      <c r="K11245" s="3">
        <v>526</v>
      </c>
      <c r="L11245" s="3">
        <v>2</v>
      </c>
      <c r="M11245" s="3">
        <v>141</v>
      </c>
    </row>
    <row r="11246" spans="1:13" x14ac:dyDescent="0.25">
      <c r="A11246" s="1" t="str">
        <f>HYPERLINK("http://www.rosaceae.org/Prunus/Prunus_persica/p.persica_gdr_reftransV1_0044838","p.persica_gdr_reftransV1_0044838")</f>
        <v>p.persica_gdr_reftransV1_0044838</v>
      </c>
      <c r="B11246" s="3">
        <v>438</v>
      </c>
      <c r="C11246" s="1" t="str">
        <f>HYPERLINK("http://www.uniprot.org/uniprot/STIL3_ARATH","STIL3_ARATH")</f>
        <v>STIL3_ARATH</v>
      </c>
      <c r="D11246" t="s">
        <v>3663</v>
      </c>
      <c r="E11246" s="3" t="s">
        <v>3</v>
      </c>
      <c r="F11246" s="4">
        <v>1.23E-14</v>
      </c>
      <c r="G11246" s="3">
        <v>183</v>
      </c>
      <c r="H11246" s="3">
        <v>48</v>
      </c>
      <c r="I11246" s="3">
        <v>132</v>
      </c>
      <c r="J11246" s="3">
        <v>3</v>
      </c>
      <c r="K11246" s="3">
        <v>392</v>
      </c>
      <c r="L11246" s="3">
        <v>50</v>
      </c>
      <c r="M11246" s="3">
        <v>166</v>
      </c>
    </row>
    <row r="11247" spans="1:13" x14ac:dyDescent="0.25">
      <c r="A11247" s="1" t="str">
        <f>HYPERLINK("http://www.rosaceae.org/Prunus/Prunus_persica/p.persica_gdr_reftransV1_0044888","p.persica_gdr_reftransV1_0044888")</f>
        <v>p.persica_gdr_reftransV1_0044888</v>
      </c>
      <c r="B11247" s="3">
        <v>2685</v>
      </c>
      <c r="C11247" s="1" t="str">
        <f>HYPERLINK("http://www.uniprot.org/uniprot/DHX8_ARATH","DHX8_ARATH")</f>
        <v>DHX8_ARATH</v>
      </c>
      <c r="D11247" t="s">
        <v>653</v>
      </c>
      <c r="E11247" s="3" t="s">
        <v>3</v>
      </c>
      <c r="F11247" s="4">
        <v>0</v>
      </c>
      <c r="G11247" s="3">
        <v>3794</v>
      </c>
      <c r="H11247" s="3">
        <v>96</v>
      </c>
      <c r="I11247" s="3">
        <v>724</v>
      </c>
      <c r="J11247" s="3">
        <v>514</v>
      </c>
      <c r="K11247" s="3">
        <v>2685</v>
      </c>
      <c r="L11247" s="3">
        <v>445</v>
      </c>
      <c r="M11247" s="3">
        <v>1168</v>
      </c>
    </row>
    <row r="11248" spans="1:13" x14ac:dyDescent="0.25">
      <c r="A11248" s="1" t="str">
        <f>HYPERLINK("http://www.rosaceae.org/Prunus/Prunus_persica/p.persica_gdr_reftransV1_0045038","p.persica_gdr_reftransV1_0045038")</f>
        <v>p.persica_gdr_reftransV1_0045038</v>
      </c>
      <c r="B11248" s="3">
        <v>595</v>
      </c>
      <c r="C11248" s="1" t="str">
        <f>HYPERLINK("http://www.uniprot.org/uniprot/LBP65_ARATH","LBP65_ARATH")</f>
        <v>LBP65_ARATH</v>
      </c>
      <c r="D11248" t="s">
        <v>7990</v>
      </c>
      <c r="E11248" s="3" t="s">
        <v>3</v>
      </c>
      <c r="F11248" s="4">
        <v>4.9699999999999999E-40</v>
      </c>
      <c r="G11248" s="3">
        <v>349</v>
      </c>
      <c r="H11248" s="3">
        <v>72</v>
      </c>
      <c r="I11248" s="3">
        <v>88</v>
      </c>
      <c r="J11248" s="3">
        <v>143</v>
      </c>
      <c r="K11248" s="3">
        <v>406</v>
      </c>
      <c r="L11248" s="3">
        <v>41</v>
      </c>
      <c r="M11248" s="3">
        <v>128</v>
      </c>
    </row>
    <row r="11249" spans="1:13" x14ac:dyDescent="0.25">
      <c r="A11249" s="1" t="str">
        <f>HYPERLINK("http://www.rosaceae.org/Prunus/Prunus_persica/p.persica_gdr_reftransV1_0045088","p.persica_gdr_reftransV1_0045088")</f>
        <v>p.persica_gdr_reftransV1_0045088</v>
      </c>
      <c r="B11249" s="3">
        <v>1526</v>
      </c>
      <c r="C11249" s="1" t="str">
        <f>HYPERLINK("http://www.uniprot.org/uniprot/KCS21_ARATH","KCS21_ARATH")</f>
        <v>KCS21_ARATH</v>
      </c>
      <c r="D11249" t="s">
        <v>2738</v>
      </c>
      <c r="E11249" s="3" t="s">
        <v>3</v>
      </c>
      <c r="F11249" s="4">
        <v>0</v>
      </c>
      <c r="G11249" s="3">
        <v>1473</v>
      </c>
      <c r="H11249" s="3">
        <v>61</v>
      </c>
      <c r="I11249" s="3">
        <v>445</v>
      </c>
      <c r="J11249" s="3">
        <v>81</v>
      </c>
      <c r="K11249" s="3">
        <v>1403</v>
      </c>
      <c r="L11249" s="3">
        <v>18</v>
      </c>
      <c r="M11249" s="3">
        <v>461</v>
      </c>
    </row>
    <row r="11250" spans="1:13" x14ac:dyDescent="0.25">
      <c r="A11250" s="1" t="str">
        <f>HYPERLINK("http://www.rosaceae.org/Prunus/Prunus_persica/p.persica_gdr_reftransV1_0045188","p.persica_gdr_reftransV1_0045188")</f>
        <v>p.persica_gdr_reftransV1_0045188</v>
      </c>
      <c r="B11250" s="3">
        <v>309</v>
      </c>
      <c r="C11250" s="1" t="str">
        <f>HYPERLINK("http://www.uniprot.org/uniprot/ELC_ARATH","ELC_ARATH")</f>
        <v>ELC_ARATH</v>
      </c>
      <c r="D11250" t="s">
        <v>2885</v>
      </c>
      <c r="E11250" s="3" t="s">
        <v>3</v>
      </c>
      <c r="F11250" s="4">
        <v>3.9700000000000002E-10</v>
      </c>
      <c r="G11250" s="3">
        <v>143</v>
      </c>
      <c r="H11250" s="3">
        <v>67</v>
      </c>
      <c r="I11250" s="3">
        <v>43</v>
      </c>
      <c r="J11250" s="3">
        <v>17</v>
      </c>
      <c r="K11250" s="3">
        <v>145</v>
      </c>
      <c r="L11250" s="3">
        <v>1</v>
      </c>
      <c r="M11250" s="3">
        <v>39</v>
      </c>
    </row>
    <row r="11251" spans="1:13" x14ac:dyDescent="0.25">
      <c r="A11251" s="1" t="str">
        <f>HYPERLINK("http://www.rosaceae.org/Prunus/Prunus_persica/p.persica_gdr_reftransV1_0045388","p.persica_gdr_reftransV1_0045388")</f>
        <v>p.persica_gdr_reftransV1_0045388</v>
      </c>
      <c r="B11251" s="3">
        <v>3298</v>
      </c>
      <c r="C11251" s="1" t="str">
        <f>HYPERLINK("http://www.uniprot.org/uniprot/KN12B_ARATH","KN12B_ARATH")</f>
        <v>KN12B_ARATH</v>
      </c>
      <c r="D11251" t="s">
        <v>2999</v>
      </c>
      <c r="E11251" s="3" t="s">
        <v>3</v>
      </c>
      <c r="F11251" s="4">
        <v>0</v>
      </c>
      <c r="G11251" s="3">
        <v>2504</v>
      </c>
      <c r="H11251" s="3">
        <v>58</v>
      </c>
      <c r="I11251" s="3">
        <v>1031</v>
      </c>
      <c r="J11251" s="3">
        <v>1</v>
      </c>
      <c r="K11251" s="3">
        <v>3051</v>
      </c>
      <c r="L11251" s="3">
        <v>322</v>
      </c>
      <c r="M11251" s="3">
        <v>1313</v>
      </c>
    </row>
    <row r="11252" spans="1:13" x14ac:dyDescent="0.25">
      <c r="A11252" s="1" t="str">
        <f>HYPERLINK("http://www.rosaceae.org/Prunus/Prunus_persica/p.persica_gdr_reftransV1_0045488","p.persica_gdr_reftransV1_0045488")</f>
        <v>p.persica_gdr_reftransV1_0045488</v>
      </c>
      <c r="B11252" s="3">
        <v>2960</v>
      </c>
      <c r="C11252" s="1" t="str">
        <f>HYPERLINK("http://www.uniprot.org/uniprot/CTF18_XENLA","CTF18_XENLA")</f>
        <v>CTF18_XENLA</v>
      </c>
      <c r="D11252" t="s">
        <v>7991</v>
      </c>
      <c r="E11252" s="3" t="s">
        <v>475</v>
      </c>
      <c r="F11252" s="4">
        <v>2.1900000000000001E-89</v>
      </c>
      <c r="G11252" s="3">
        <v>802</v>
      </c>
      <c r="H11252" s="3">
        <v>35</v>
      </c>
      <c r="I11252" s="3">
        <v>635</v>
      </c>
      <c r="J11252" s="3">
        <v>528</v>
      </c>
      <c r="K11252" s="3">
        <v>2360</v>
      </c>
      <c r="L11252" s="3">
        <v>301</v>
      </c>
      <c r="M11252" s="3">
        <v>888</v>
      </c>
    </row>
    <row r="11253" spans="1:13" x14ac:dyDescent="0.25">
      <c r="A11253" s="1" t="str">
        <f>HYPERLINK("http://www.rosaceae.org/Prunus/Prunus_persica/p.persica_gdr_reftransV1_0045538","p.persica_gdr_reftransV1_0045538")</f>
        <v>p.persica_gdr_reftransV1_0045538</v>
      </c>
      <c r="B11253" s="3">
        <v>658</v>
      </c>
      <c r="C11253" s="1" t="str">
        <f>HYPERLINK("http://www.uniprot.org/uniprot/ARR17_ARATH","ARR17_ARATH")</f>
        <v>ARR17_ARATH</v>
      </c>
      <c r="D11253" t="s">
        <v>7992</v>
      </c>
      <c r="E11253" s="3" t="s">
        <v>3</v>
      </c>
      <c r="F11253" s="4">
        <v>2.2E-63</v>
      </c>
      <c r="G11253" s="3">
        <v>509</v>
      </c>
      <c r="H11253" s="3">
        <v>72</v>
      </c>
      <c r="I11253" s="3">
        <v>132</v>
      </c>
      <c r="J11253" s="3">
        <v>219</v>
      </c>
      <c r="K11253" s="3">
        <v>614</v>
      </c>
      <c r="L11253" s="3">
        <v>18</v>
      </c>
      <c r="M11253" s="3">
        <v>149</v>
      </c>
    </row>
    <row r="11254" spans="1:13" x14ac:dyDescent="0.25">
      <c r="A11254" s="1" t="str">
        <f>HYPERLINK("http://www.rosaceae.org/Prunus/Prunus_persica/p.persica_gdr_reftransV1_0045588","p.persica_gdr_reftransV1_0045588")</f>
        <v>p.persica_gdr_reftransV1_0045588</v>
      </c>
      <c r="B11254" s="3">
        <v>3889</v>
      </c>
      <c r="C11254" s="1" t="str">
        <f>HYPERLINK("http://www.uniprot.org/uniprot/IRK_ARATH","IRK_ARATH")</f>
        <v>IRK_ARATH</v>
      </c>
      <c r="D11254" t="s">
        <v>7993</v>
      </c>
      <c r="E11254" s="3" t="s">
        <v>3</v>
      </c>
      <c r="F11254" s="4">
        <v>0</v>
      </c>
      <c r="G11254" s="3">
        <v>2084</v>
      </c>
      <c r="H11254" s="3">
        <v>74</v>
      </c>
      <c r="I11254" s="3">
        <v>586</v>
      </c>
      <c r="J11254" s="3">
        <v>393</v>
      </c>
      <c r="K11254" s="3">
        <v>2144</v>
      </c>
      <c r="L11254" s="3">
        <v>376</v>
      </c>
      <c r="M11254" s="3">
        <v>961</v>
      </c>
    </row>
    <row r="11255" spans="1:13" x14ac:dyDescent="0.25">
      <c r="A11255" s="1" t="str">
        <f>HYPERLINK("http://www.rosaceae.org/Prunus/Prunus_persica/p.persica_gdr_reftransV1_0045688","p.persica_gdr_reftransV1_0045688")</f>
        <v>p.persica_gdr_reftransV1_0045688</v>
      </c>
      <c r="B11255" s="3">
        <v>4116</v>
      </c>
      <c r="C11255" s="1" t="str">
        <f>HYPERLINK("http://www.uniprot.org/uniprot/CESA6_ARATH","CESA6_ARATH")</f>
        <v>CESA6_ARATH</v>
      </c>
      <c r="D11255" t="s">
        <v>7994</v>
      </c>
      <c r="E11255" s="3" t="s">
        <v>3</v>
      </c>
      <c r="F11255" s="4">
        <v>0</v>
      </c>
      <c r="G11255" s="3">
        <v>4425</v>
      </c>
      <c r="H11255" s="3">
        <v>79</v>
      </c>
      <c r="I11255" s="3">
        <v>1099</v>
      </c>
      <c r="J11255" s="3">
        <v>266</v>
      </c>
      <c r="K11255" s="3">
        <v>3550</v>
      </c>
      <c r="L11255" s="3">
        <v>1</v>
      </c>
      <c r="M11255" s="3">
        <v>1083</v>
      </c>
    </row>
    <row r="11256" spans="1:13" x14ac:dyDescent="0.25">
      <c r="A11256" s="1" t="str">
        <f>HYPERLINK("http://www.rosaceae.org/Prunus/Prunus_persica/p.persica_gdr_reftransV1_0045788","p.persica_gdr_reftransV1_0045788")</f>
        <v>p.persica_gdr_reftransV1_0045788</v>
      </c>
      <c r="B11256" s="3">
        <v>468</v>
      </c>
      <c r="C11256" s="1" t="str">
        <f>HYPERLINK("http://www.uniprot.org/uniprot/SKI15_ARATH","SKI15_ARATH")</f>
        <v>SKI15_ARATH</v>
      </c>
      <c r="D11256" t="s">
        <v>2085</v>
      </c>
      <c r="E11256" s="3" t="s">
        <v>3</v>
      </c>
      <c r="F11256" s="4">
        <v>2.83E-26</v>
      </c>
      <c r="G11256" s="3">
        <v>264</v>
      </c>
      <c r="H11256" s="3">
        <v>53</v>
      </c>
      <c r="I11256" s="3">
        <v>110</v>
      </c>
      <c r="J11256" s="3">
        <v>2</v>
      </c>
      <c r="K11256" s="3">
        <v>313</v>
      </c>
      <c r="L11256" s="3">
        <v>6</v>
      </c>
      <c r="M11256" s="3">
        <v>115</v>
      </c>
    </row>
    <row r="11257" spans="1:13" x14ac:dyDescent="0.25">
      <c r="A11257" s="1" t="str">
        <f>HYPERLINK("http://www.rosaceae.org/Prunus/Prunus_persica/p.persica_gdr_reftransV1_0045838","p.persica_gdr_reftransV1_0045838")</f>
        <v>p.persica_gdr_reftransV1_0045838</v>
      </c>
      <c r="B11257" s="3">
        <v>2721</v>
      </c>
      <c r="C11257" s="1" t="str">
        <f>HYPERLINK("http://www.uniprot.org/uniprot/CB60B_ARATH","CB60B_ARATH")</f>
        <v>CB60B_ARATH</v>
      </c>
      <c r="D11257" t="s">
        <v>2863</v>
      </c>
      <c r="E11257" s="3" t="s">
        <v>3</v>
      </c>
      <c r="F11257" s="4">
        <v>0</v>
      </c>
      <c r="G11257" s="3">
        <v>2189</v>
      </c>
      <c r="H11257" s="3">
        <v>68</v>
      </c>
      <c r="I11257" s="3">
        <v>632</v>
      </c>
      <c r="J11257" s="3">
        <v>288</v>
      </c>
      <c r="K11257" s="3">
        <v>2138</v>
      </c>
      <c r="L11257" s="3">
        <v>8</v>
      </c>
      <c r="M11257" s="3">
        <v>637</v>
      </c>
    </row>
    <row r="11258" spans="1:13" x14ac:dyDescent="0.25">
      <c r="A11258" s="1" t="str">
        <f>HYPERLINK("http://www.rosaceae.org/Prunus/Prunus_persica/p.persica_gdr_reftransV1_0046038","p.persica_gdr_reftransV1_0046038")</f>
        <v>p.persica_gdr_reftransV1_0046038</v>
      </c>
      <c r="B11258" s="3">
        <v>6157</v>
      </c>
      <c r="C11258" s="1" t="str">
        <f>HYPERLINK("http://www.uniprot.org/uniprot/CALS3_ARATH","CALS3_ARATH")</f>
        <v>CALS3_ARATH</v>
      </c>
      <c r="D11258" t="s">
        <v>7995</v>
      </c>
      <c r="E11258" s="3" t="s">
        <v>3</v>
      </c>
      <c r="F11258" s="4">
        <v>0</v>
      </c>
      <c r="G11258" s="3">
        <v>8997</v>
      </c>
      <c r="H11258" s="3">
        <v>86</v>
      </c>
      <c r="I11258" s="3">
        <v>1941</v>
      </c>
      <c r="J11258" s="3">
        <v>347</v>
      </c>
      <c r="K11258" s="3">
        <v>6157</v>
      </c>
      <c r="L11258" s="3">
        <v>22</v>
      </c>
      <c r="M11258" s="3">
        <v>1955</v>
      </c>
    </row>
    <row r="11259" spans="1:13" x14ac:dyDescent="0.25">
      <c r="A11259" s="1" t="str">
        <f>HYPERLINK("http://www.rosaceae.org/Prunus/Prunus_persica/p.persica_gdr_reftransV1_0046238","p.persica_gdr_reftransV1_0046238")</f>
        <v>p.persica_gdr_reftransV1_0046238</v>
      </c>
      <c r="B11259" s="3">
        <v>359</v>
      </c>
      <c r="C11259" s="1" t="str">
        <f>HYPERLINK("http://www.uniprot.org/uniprot/PIE1_ARATH","PIE1_ARATH")</f>
        <v>PIE1_ARATH</v>
      </c>
      <c r="D11259" t="s">
        <v>992</v>
      </c>
      <c r="E11259" s="3" t="s">
        <v>3</v>
      </c>
      <c r="F11259" s="4">
        <v>5.9899999999999999E-57</v>
      </c>
      <c r="G11259" s="3">
        <v>499</v>
      </c>
      <c r="H11259" s="3">
        <v>78</v>
      </c>
      <c r="I11259" s="3">
        <v>119</v>
      </c>
      <c r="J11259" s="3">
        <v>1</v>
      </c>
      <c r="K11259" s="3">
        <v>351</v>
      </c>
      <c r="L11259" s="3">
        <v>1022</v>
      </c>
      <c r="M11259" s="3">
        <v>1140</v>
      </c>
    </row>
    <row r="11260" spans="1:13" x14ac:dyDescent="0.25">
      <c r="A11260" s="1" t="str">
        <f>HYPERLINK("http://www.rosaceae.org/Prunus/Prunus_persica/p.persica_gdr_reftransV1_0046288","p.persica_gdr_reftransV1_0046288")</f>
        <v>p.persica_gdr_reftransV1_0046288</v>
      </c>
      <c r="B11260" s="3">
        <v>4036</v>
      </c>
      <c r="C11260" s="1" t="str">
        <f>HYPERLINK("http://www.uniprot.org/uniprot/EDR1_ARATH","EDR1_ARATH")</f>
        <v>EDR1_ARATH</v>
      </c>
      <c r="D11260" t="s">
        <v>1864</v>
      </c>
      <c r="E11260" s="3" t="s">
        <v>3</v>
      </c>
      <c r="F11260" s="4">
        <v>1.24E-48</v>
      </c>
      <c r="G11260" s="3">
        <v>488</v>
      </c>
      <c r="H11260" s="3">
        <v>39</v>
      </c>
      <c r="I11260" s="3">
        <v>280</v>
      </c>
      <c r="J11260" s="3">
        <v>2900</v>
      </c>
      <c r="K11260" s="3">
        <v>3730</v>
      </c>
      <c r="L11260" s="3">
        <v>668</v>
      </c>
      <c r="M11260" s="3">
        <v>933</v>
      </c>
    </row>
    <row r="11261" spans="1:13" x14ac:dyDescent="0.25">
      <c r="A11261" s="1" t="str">
        <f>HYPERLINK("http://www.rosaceae.org/Prunus/Prunus_persica/p.persica_gdr_reftransV1_0046338","p.persica_gdr_reftransV1_0046338")</f>
        <v>p.persica_gdr_reftransV1_0046338</v>
      </c>
      <c r="B11261" s="3">
        <v>2282</v>
      </c>
      <c r="C11261" s="1" t="str">
        <f>HYPERLINK("http://www.uniprot.org/uniprot/SCP45_ARATH","SCP45_ARATH")</f>
        <v>SCP45_ARATH</v>
      </c>
      <c r="D11261" t="s">
        <v>1851</v>
      </c>
      <c r="E11261" s="3" t="s">
        <v>3</v>
      </c>
      <c r="F11261" s="4">
        <v>5.5099999999999997E-65</v>
      </c>
      <c r="G11261" s="3">
        <v>583</v>
      </c>
      <c r="H11261" s="3">
        <v>83</v>
      </c>
      <c r="I11261" s="3">
        <v>127</v>
      </c>
      <c r="J11261" s="3">
        <v>1</v>
      </c>
      <c r="K11261" s="3">
        <v>381</v>
      </c>
      <c r="L11261" s="3">
        <v>335</v>
      </c>
      <c r="M11261" s="3">
        <v>461</v>
      </c>
    </row>
    <row r="11262" spans="1:13" x14ac:dyDescent="0.25">
      <c r="A11262" s="1" t="str">
        <f>HYPERLINK("http://www.rosaceae.org/Prunus/Prunus_persica/p.persica_gdr_reftransV1_0046538","p.persica_gdr_reftransV1_0046538")</f>
        <v>p.persica_gdr_reftransV1_0046538</v>
      </c>
      <c r="B11262" s="3">
        <v>1966</v>
      </c>
      <c r="C11262" s="1" t="str">
        <f>HYPERLINK("http://www.uniprot.org/uniprot/ERG1_PANGI","ERG1_PANGI")</f>
        <v>ERG1_PANGI</v>
      </c>
      <c r="D11262" t="s">
        <v>1476</v>
      </c>
      <c r="E11262" s="3" t="s">
        <v>1477</v>
      </c>
      <c r="F11262" s="4">
        <v>0</v>
      </c>
      <c r="G11262" s="3">
        <v>2080</v>
      </c>
      <c r="H11262" s="3">
        <v>78</v>
      </c>
      <c r="I11262" s="3">
        <v>523</v>
      </c>
      <c r="J11262" s="3">
        <v>239</v>
      </c>
      <c r="K11262" s="3">
        <v>1801</v>
      </c>
      <c r="L11262" s="3">
        <v>23</v>
      </c>
      <c r="M11262" s="3">
        <v>536</v>
      </c>
    </row>
    <row r="11263" spans="1:13" x14ac:dyDescent="0.25">
      <c r="A11263" s="1" t="str">
        <f>HYPERLINK("http://www.rosaceae.org/Prunus/Prunus_persica/p.persica_gdr_reftransV1_0046688","p.persica_gdr_reftransV1_0046688")</f>
        <v>p.persica_gdr_reftransV1_0046688</v>
      </c>
      <c r="B11263" s="3">
        <v>595</v>
      </c>
      <c r="C11263" s="1" t="str">
        <f>HYPERLINK("http://www.uniprot.org/uniprot/AB10C_ARATH","AB10C_ARATH")</f>
        <v>AB10C_ARATH</v>
      </c>
      <c r="D11263" t="s">
        <v>1068</v>
      </c>
      <c r="E11263" s="3" t="s">
        <v>3</v>
      </c>
      <c r="F11263" s="4">
        <v>4.7799999999999997E-100</v>
      </c>
      <c r="G11263" s="3">
        <v>821</v>
      </c>
      <c r="H11263" s="3">
        <v>78</v>
      </c>
      <c r="I11263" s="3">
        <v>186</v>
      </c>
      <c r="J11263" s="3">
        <v>3</v>
      </c>
      <c r="K11263" s="3">
        <v>560</v>
      </c>
      <c r="L11263" s="3">
        <v>1265</v>
      </c>
      <c r="M11263" s="3">
        <v>1450</v>
      </c>
    </row>
    <row r="11264" spans="1:13" x14ac:dyDescent="0.25">
      <c r="A11264" s="1" t="str">
        <f>HYPERLINK("http://www.rosaceae.org/Prunus/Prunus_persica/p.persica_gdr_reftransV1_0046838","p.persica_gdr_reftransV1_0046838")</f>
        <v>p.persica_gdr_reftransV1_0046838</v>
      </c>
      <c r="B11264" s="3">
        <v>1737</v>
      </c>
      <c r="C11264" s="1" t="str">
        <f>HYPERLINK("http://www.uniprot.org/uniprot/ROG1_YEAST","ROG1_YEAST")</f>
        <v>ROG1_YEAST</v>
      </c>
      <c r="D11264" t="s">
        <v>6462</v>
      </c>
      <c r="E11264" s="3" t="s">
        <v>34</v>
      </c>
      <c r="F11264" s="4">
        <v>2.24E-13</v>
      </c>
      <c r="G11264" s="3">
        <v>188</v>
      </c>
      <c r="H11264" s="3">
        <v>32</v>
      </c>
      <c r="I11264" s="3">
        <v>227</v>
      </c>
      <c r="J11264" s="3">
        <v>373</v>
      </c>
      <c r="K11264" s="3">
        <v>1038</v>
      </c>
      <c r="L11264" s="3">
        <v>189</v>
      </c>
      <c r="M11264" s="3">
        <v>382</v>
      </c>
    </row>
    <row r="11265" spans="1:13" x14ac:dyDescent="0.25">
      <c r="A11265" s="1" t="str">
        <f>HYPERLINK("http://www.rosaceae.org/Prunus/Prunus_persica/p.persica_gdr_reftransV1_0046938","p.persica_gdr_reftransV1_0046938")</f>
        <v>p.persica_gdr_reftransV1_0046938</v>
      </c>
      <c r="B11265" s="3">
        <v>533</v>
      </c>
      <c r="C11265" s="1" t="str">
        <f>HYPERLINK("http://www.uniprot.org/uniprot/UBC7_ARATH","UBC7_ARATH")</f>
        <v>UBC7_ARATH</v>
      </c>
      <c r="D11265" t="s">
        <v>4287</v>
      </c>
      <c r="E11265" s="3" t="s">
        <v>3</v>
      </c>
      <c r="F11265" s="4">
        <v>5.5199999999999997E-61</v>
      </c>
      <c r="G11265" s="3">
        <v>490</v>
      </c>
      <c r="H11265" s="3">
        <v>87</v>
      </c>
      <c r="I11265" s="3">
        <v>99</v>
      </c>
      <c r="J11265" s="3">
        <v>41</v>
      </c>
      <c r="K11265" s="3">
        <v>337</v>
      </c>
      <c r="L11265" s="3">
        <v>17</v>
      </c>
      <c r="M11265" s="3">
        <v>115</v>
      </c>
    </row>
    <row r="11266" spans="1:13" x14ac:dyDescent="0.25">
      <c r="A11266" s="1" t="str">
        <f>HYPERLINK("http://www.rosaceae.org/Prunus/Prunus_persica/p.persica_gdr_reftransV1_0047038","p.persica_gdr_reftransV1_0047038")</f>
        <v>p.persica_gdr_reftransV1_0047038</v>
      </c>
      <c r="B11266" s="3">
        <v>2474</v>
      </c>
      <c r="C11266" s="1" t="str">
        <f>HYPERLINK("http://www.uniprot.org/uniprot/EDR2_ARATH","EDR2_ARATH")</f>
        <v>EDR2_ARATH</v>
      </c>
      <c r="D11266" t="s">
        <v>4054</v>
      </c>
      <c r="E11266" s="3" t="s">
        <v>3</v>
      </c>
      <c r="F11266" s="4">
        <v>3.4800000000000002E-110</v>
      </c>
      <c r="G11266" s="3">
        <v>923</v>
      </c>
      <c r="H11266" s="3">
        <v>34</v>
      </c>
      <c r="I11266" s="3">
        <v>758</v>
      </c>
      <c r="J11266" s="3">
        <v>170</v>
      </c>
      <c r="K11266" s="3">
        <v>2338</v>
      </c>
      <c r="L11266" s="3">
        <v>7</v>
      </c>
      <c r="M11266" s="3">
        <v>712</v>
      </c>
    </row>
    <row r="11267" spans="1:13" x14ac:dyDescent="0.25">
      <c r="A11267" s="1" t="str">
        <f>HYPERLINK("http://www.rosaceae.org/Prunus/Prunus_persica/p.persica_gdr_reftransV1_0047088","p.persica_gdr_reftransV1_0047088")</f>
        <v>p.persica_gdr_reftransV1_0047088</v>
      </c>
      <c r="B11267" s="3">
        <v>1900</v>
      </c>
      <c r="C11267" s="1" t="str">
        <f>HYPERLINK("http://www.uniprot.org/uniprot/PPR54_ARATH","PPR54_ARATH")</f>
        <v>PPR54_ARATH</v>
      </c>
      <c r="D11267" t="s">
        <v>7996</v>
      </c>
      <c r="E11267" s="3" t="s">
        <v>3</v>
      </c>
      <c r="F11267" s="4">
        <v>0</v>
      </c>
      <c r="G11267" s="3">
        <v>1819</v>
      </c>
      <c r="H11267" s="3">
        <v>66</v>
      </c>
      <c r="I11267" s="3">
        <v>539</v>
      </c>
      <c r="J11267" s="3">
        <v>240</v>
      </c>
      <c r="K11267" s="3">
        <v>1841</v>
      </c>
      <c r="L11267" s="3">
        <v>1</v>
      </c>
      <c r="M11267" s="3">
        <v>537</v>
      </c>
    </row>
    <row r="11268" spans="1:13" x14ac:dyDescent="0.25">
      <c r="A11268" s="1" t="str">
        <f>HYPERLINK("http://www.rosaceae.org/Prunus/Prunus_persica/p.persica_gdr_reftransV1_0047188","p.persica_gdr_reftransV1_0047188")</f>
        <v>p.persica_gdr_reftransV1_0047188</v>
      </c>
      <c r="B11268" s="3">
        <v>1648</v>
      </c>
      <c r="C11268" s="1" t="str">
        <f>HYPERLINK("http://www.uniprot.org/uniprot/MS5L2_ARATH","MS5L2_ARATH")</f>
        <v>MS5L2_ARATH</v>
      </c>
      <c r="D11268" t="s">
        <v>7997</v>
      </c>
      <c r="E11268" s="3" t="s">
        <v>3</v>
      </c>
      <c r="F11268" s="4">
        <v>0</v>
      </c>
      <c r="G11268" s="3">
        <v>1446</v>
      </c>
      <c r="H11268" s="3">
        <v>64</v>
      </c>
      <c r="I11268" s="3">
        <v>477</v>
      </c>
      <c r="J11268" s="3">
        <v>23</v>
      </c>
      <c r="K11268" s="3">
        <v>1450</v>
      </c>
      <c r="L11268" s="3">
        <v>6</v>
      </c>
      <c r="M11268" s="3">
        <v>427</v>
      </c>
    </row>
    <row r="11269" spans="1:13" x14ac:dyDescent="0.25">
      <c r="A11269" s="1" t="str">
        <f>HYPERLINK("http://www.rosaceae.org/Prunus/Prunus_persica/p.persica_gdr_reftransV1_0047288","p.persica_gdr_reftransV1_0047288")</f>
        <v>p.persica_gdr_reftransV1_0047288</v>
      </c>
      <c r="B11269" s="3">
        <v>1580</v>
      </c>
      <c r="C11269" s="1" t="str">
        <f>HYPERLINK("http://www.uniprot.org/uniprot/idHC_TOBAC","idHC_TOBAC")</f>
        <v>idHC_TOBAC</v>
      </c>
      <c r="D11269" t="s">
        <v>5984</v>
      </c>
      <c r="E11269" s="3" t="s">
        <v>200</v>
      </c>
      <c r="F11269" s="4">
        <v>0</v>
      </c>
      <c r="G11269" s="3">
        <v>2022</v>
      </c>
      <c r="H11269" s="3">
        <v>89</v>
      </c>
      <c r="I11269" s="3">
        <v>411</v>
      </c>
      <c r="J11269" s="3">
        <v>153</v>
      </c>
      <c r="K11269" s="3">
        <v>1385</v>
      </c>
      <c r="L11269" s="3">
        <v>1</v>
      </c>
      <c r="M11269" s="3">
        <v>411</v>
      </c>
    </row>
    <row r="11270" spans="1:13" x14ac:dyDescent="0.25">
      <c r="A11270" s="1" t="str">
        <f>HYPERLINK("http://www.rosaceae.org/Prunus/Prunus_persica/p.persica_gdr_reftransV1_0047388","p.persica_gdr_reftransV1_0047388")</f>
        <v>p.persica_gdr_reftransV1_0047388</v>
      </c>
      <c r="B11270" s="3">
        <v>2329</v>
      </c>
      <c r="C11270" s="1" t="str">
        <f>HYPERLINK("http://www.uniprot.org/uniprot/Y4361_ARATH","Y4361_ARATH")</f>
        <v>Y4361_ARATH</v>
      </c>
      <c r="D11270" t="s">
        <v>2715</v>
      </c>
      <c r="E11270" s="3" t="s">
        <v>3</v>
      </c>
      <c r="F11270" s="4">
        <v>0</v>
      </c>
      <c r="G11270" s="3">
        <v>2442</v>
      </c>
      <c r="H11270" s="3">
        <v>71</v>
      </c>
      <c r="I11270" s="3">
        <v>770</v>
      </c>
      <c r="J11270" s="3">
        <v>2</v>
      </c>
      <c r="K11270" s="3">
        <v>2284</v>
      </c>
      <c r="L11270" s="3">
        <v>368</v>
      </c>
      <c r="M11270" s="3">
        <v>1136</v>
      </c>
    </row>
    <row r="11271" spans="1:13" x14ac:dyDescent="0.25">
      <c r="A11271" s="1" t="str">
        <f>HYPERLINK("http://www.rosaceae.org/Prunus/Prunus_persica/p.persica_gdr_reftransV1_0047438","p.persica_gdr_reftransV1_0047438")</f>
        <v>p.persica_gdr_reftransV1_0047438</v>
      </c>
      <c r="B11271" s="3">
        <v>3213</v>
      </c>
      <c r="C11271" s="1" t="str">
        <f>HYPERLINK("http://www.uniprot.org/uniprot/R13L1_ARATH","R13L1_ARATH")</f>
        <v>R13L1_ARATH</v>
      </c>
      <c r="D11271" t="s">
        <v>100</v>
      </c>
      <c r="E11271" s="3" t="s">
        <v>3</v>
      </c>
      <c r="F11271" s="4">
        <v>1.45E-38</v>
      </c>
      <c r="G11271" s="3">
        <v>404</v>
      </c>
      <c r="H11271" s="3">
        <v>36</v>
      </c>
      <c r="I11271" s="3">
        <v>330</v>
      </c>
      <c r="J11271" s="3">
        <v>2272</v>
      </c>
      <c r="K11271" s="3">
        <v>3183</v>
      </c>
      <c r="L11271" s="3">
        <v>661</v>
      </c>
      <c r="M11271" s="3">
        <v>987</v>
      </c>
    </row>
    <row r="11272" spans="1:13" x14ac:dyDescent="0.25">
      <c r="A11272" s="1" t="str">
        <f>HYPERLINK("http://www.rosaceae.org/Prunus/Prunus_persica/p.persica_gdr_reftransV1_0047538","p.persica_gdr_reftransV1_0047538")</f>
        <v>p.persica_gdr_reftransV1_0047538</v>
      </c>
      <c r="B11272" s="3">
        <v>1154</v>
      </c>
      <c r="C11272" s="1" t="str">
        <f>HYPERLINK("http://www.uniprot.org/uniprot/CYT12_ORYSJ","CYT12_ORYSJ")</f>
        <v>CYT12_ORYSJ</v>
      </c>
      <c r="D11272" t="s">
        <v>7998</v>
      </c>
      <c r="E11272" s="3" t="s">
        <v>38</v>
      </c>
      <c r="F11272" s="4">
        <v>2.7499999999999997E-97</v>
      </c>
      <c r="G11272" s="3">
        <v>759</v>
      </c>
      <c r="H11272" s="3">
        <v>70</v>
      </c>
      <c r="I11272" s="3">
        <v>201</v>
      </c>
      <c r="J11272" s="3">
        <v>371</v>
      </c>
      <c r="K11272" s="3">
        <v>973</v>
      </c>
      <c r="L11272" s="3">
        <v>47</v>
      </c>
      <c r="M11272" s="3">
        <v>244</v>
      </c>
    </row>
    <row r="11273" spans="1:13" x14ac:dyDescent="0.25">
      <c r="A11273" s="1" t="str">
        <f>HYPERLINK("http://www.rosaceae.org/Prunus/Prunus_persica/p.persica_gdr_reftransV1_0047588","p.persica_gdr_reftransV1_0047588")</f>
        <v>p.persica_gdr_reftransV1_0047588</v>
      </c>
      <c r="B11273" s="3">
        <v>423</v>
      </c>
      <c r="C11273" s="1" t="str">
        <f>HYPERLINK("http://www.uniprot.org/uniprot/GCP2_ARATH","GCP2_ARATH")</f>
        <v>GCP2_ARATH</v>
      </c>
      <c r="D11273" t="s">
        <v>1808</v>
      </c>
      <c r="E11273" s="3" t="s">
        <v>3</v>
      </c>
      <c r="F11273" s="4">
        <v>2.87E-21</v>
      </c>
      <c r="G11273" s="3">
        <v>232</v>
      </c>
      <c r="H11273" s="3">
        <v>53</v>
      </c>
      <c r="I11273" s="3">
        <v>94</v>
      </c>
      <c r="J11273" s="3">
        <v>6</v>
      </c>
      <c r="K11273" s="3">
        <v>275</v>
      </c>
      <c r="L11273" s="3">
        <v>21</v>
      </c>
      <c r="M11273" s="3">
        <v>114</v>
      </c>
    </row>
    <row r="11274" spans="1:13" x14ac:dyDescent="0.25">
      <c r="A11274" s="1" t="str">
        <f>HYPERLINK("http://www.rosaceae.org/Prunus/Prunus_persica/p.persica_gdr_reftransV1_0047688","p.persica_gdr_reftransV1_0047688")</f>
        <v>p.persica_gdr_reftransV1_0047688</v>
      </c>
      <c r="B11274" s="3">
        <v>785</v>
      </c>
      <c r="C11274" s="1" t="str">
        <f>HYPERLINK("http://www.uniprot.org/uniprot/PER45_ARATH","PER45_ARATH")</f>
        <v>PER45_ARATH</v>
      </c>
      <c r="D11274" t="s">
        <v>7999</v>
      </c>
      <c r="E11274" s="3" t="s">
        <v>3</v>
      </c>
      <c r="F11274" s="4">
        <v>2.3500000000000001E-113</v>
      </c>
      <c r="G11274" s="3">
        <v>861</v>
      </c>
      <c r="H11274" s="3">
        <v>76</v>
      </c>
      <c r="I11274" s="3">
        <v>217</v>
      </c>
      <c r="J11274" s="3">
        <v>2</v>
      </c>
      <c r="K11274" s="3">
        <v>652</v>
      </c>
      <c r="L11274" s="3">
        <v>109</v>
      </c>
      <c r="M11274" s="3">
        <v>325</v>
      </c>
    </row>
    <row r="11275" spans="1:13" x14ac:dyDescent="0.25">
      <c r="A11275" s="1" t="str">
        <f>HYPERLINK("http://www.rosaceae.org/Prunus/Prunus_persica/p.persica_gdr_reftransV1_0047738","p.persica_gdr_reftransV1_0047738")</f>
        <v>p.persica_gdr_reftransV1_0047738</v>
      </c>
      <c r="B11275" s="3">
        <v>394</v>
      </c>
      <c r="C11275" s="1" t="str">
        <f>HYPERLINK("http://www.uniprot.org/uniprot/ADR2_ARATH","ADR2_ARATH")</f>
        <v>ADR2_ARATH</v>
      </c>
      <c r="D11275" t="s">
        <v>4095</v>
      </c>
      <c r="E11275" s="3" t="s">
        <v>3</v>
      </c>
      <c r="F11275" s="4">
        <v>3.04E-18</v>
      </c>
      <c r="G11275" s="3">
        <v>209</v>
      </c>
      <c r="H11275" s="3">
        <v>42</v>
      </c>
      <c r="I11275" s="3">
        <v>96</v>
      </c>
      <c r="J11275" s="3">
        <v>99</v>
      </c>
      <c r="K11275" s="3">
        <v>386</v>
      </c>
      <c r="L11275" s="3">
        <v>281</v>
      </c>
      <c r="M11275" s="3">
        <v>376</v>
      </c>
    </row>
    <row r="11276" spans="1:13" x14ac:dyDescent="0.25">
      <c r="A11276" s="1" t="str">
        <f>HYPERLINK("http://www.rosaceae.org/Prunus/Prunus_persica/p.persica_gdr_reftransV1_0047788","p.persica_gdr_reftransV1_0047788")</f>
        <v>p.persica_gdr_reftransV1_0047788</v>
      </c>
      <c r="B11276" s="3">
        <v>1124</v>
      </c>
      <c r="C11276" s="1" t="str">
        <f>HYPERLINK("http://www.uniprot.org/uniprot/HARB1_BOVIN","HARB1_BOVIN")</f>
        <v>HARB1_BOVIN</v>
      </c>
      <c r="D11276" t="s">
        <v>8000</v>
      </c>
      <c r="E11276" s="3" t="s">
        <v>184</v>
      </c>
      <c r="F11276" s="4">
        <v>6.4099999999999998E-8</v>
      </c>
      <c r="G11276" s="3">
        <v>138</v>
      </c>
      <c r="H11276" s="3">
        <v>22</v>
      </c>
      <c r="I11276" s="3">
        <v>269</v>
      </c>
      <c r="J11276" s="3">
        <v>124</v>
      </c>
      <c r="K11276" s="3">
        <v>918</v>
      </c>
      <c r="L11276" s="3">
        <v>63</v>
      </c>
      <c r="M11276" s="3">
        <v>317</v>
      </c>
    </row>
    <row r="11277" spans="1:13" x14ac:dyDescent="0.25">
      <c r="A11277" s="1" t="str">
        <f>HYPERLINK("http://www.rosaceae.org/Prunus/Prunus_persica/p.persica_gdr_reftransV1_0047838","p.persica_gdr_reftransV1_0047838")</f>
        <v>p.persica_gdr_reftransV1_0047838</v>
      </c>
      <c r="B11277" s="3">
        <v>2169</v>
      </c>
      <c r="C11277" s="1" t="str">
        <f>HYPERLINK("http://www.uniprot.org/uniprot/ALE2_ARATH","ALE2_ARATH")</f>
        <v>ALE2_ARATH</v>
      </c>
      <c r="D11277" t="s">
        <v>3266</v>
      </c>
      <c r="E11277" s="3" t="s">
        <v>3</v>
      </c>
      <c r="F11277" s="4">
        <v>0</v>
      </c>
      <c r="G11277" s="3">
        <v>1590</v>
      </c>
      <c r="H11277" s="3">
        <v>73</v>
      </c>
      <c r="I11277" s="3">
        <v>459</v>
      </c>
      <c r="J11277" s="3">
        <v>795</v>
      </c>
      <c r="K11277" s="3">
        <v>2168</v>
      </c>
      <c r="L11277" s="3">
        <v>98</v>
      </c>
      <c r="M11277" s="3">
        <v>520</v>
      </c>
    </row>
    <row r="11278" spans="1:13" x14ac:dyDescent="0.25">
      <c r="A11278" s="1" t="str">
        <f>HYPERLINK("http://www.rosaceae.org/Prunus/Prunus_persica/p.persica_gdr_reftransV1_0047888","p.persica_gdr_reftransV1_0047888")</f>
        <v>p.persica_gdr_reftransV1_0047888</v>
      </c>
      <c r="B11278" s="3">
        <v>1708</v>
      </c>
      <c r="C11278" s="1" t="str">
        <f>HYPERLINK("http://www.uniprot.org/uniprot/AT18A_ARATH","AT18A_ARATH")</f>
        <v>AT18A_ARATH</v>
      </c>
      <c r="D11278" t="s">
        <v>125</v>
      </c>
      <c r="E11278" s="3" t="s">
        <v>3</v>
      </c>
      <c r="F11278" s="4">
        <v>0</v>
      </c>
      <c r="G11278" s="3">
        <v>1490</v>
      </c>
      <c r="H11278" s="3">
        <v>71</v>
      </c>
      <c r="I11278" s="3">
        <v>448</v>
      </c>
      <c r="J11278" s="3">
        <v>205</v>
      </c>
      <c r="K11278" s="3">
        <v>1482</v>
      </c>
      <c r="L11278" s="3">
        <v>1</v>
      </c>
      <c r="M11278" s="3">
        <v>425</v>
      </c>
    </row>
    <row r="11279" spans="1:13" x14ac:dyDescent="0.25">
      <c r="A11279" s="1" t="str">
        <f>HYPERLINK("http://www.rosaceae.org/Prunus/Prunus_persica/p.persica_gdr_reftransV1_0047938","p.persica_gdr_reftransV1_0047938")</f>
        <v>p.persica_gdr_reftransV1_0047938</v>
      </c>
      <c r="B11279" s="3">
        <v>465</v>
      </c>
      <c r="C11279" s="1" t="str">
        <f>HYPERLINK("http://www.uniprot.org/uniprot/DPHS1_ARATH","DPHS1_ARATH")</f>
        <v>DPHS1_ARATH</v>
      </c>
      <c r="D11279" t="s">
        <v>1378</v>
      </c>
      <c r="E11279" s="3" t="s">
        <v>3</v>
      </c>
      <c r="F11279" s="4">
        <v>2.66E-40</v>
      </c>
      <c r="G11279" s="3">
        <v>376</v>
      </c>
      <c r="H11279" s="3">
        <v>64</v>
      </c>
      <c r="I11279" s="3">
        <v>117</v>
      </c>
      <c r="J11279" s="3">
        <v>114</v>
      </c>
      <c r="K11279" s="3">
        <v>464</v>
      </c>
      <c r="L11279" s="3">
        <v>14</v>
      </c>
      <c r="M11279" s="3">
        <v>129</v>
      </c>
    </row>
    <row r="11280" spans="1:13" x14ac:dyDescent="0.25">
      <c r="A11280" s="1" t="str">
        <f>HYPERLINK("http://www.rosaceae.org/Prunus/Prunus_persica/p.persica_gdr_reftransV1_0048088","p.persica_gdr_reftransV1_0048088")</f>
        <v>p.persica_gdr_reftransV1_0048088</v>
      </c>
      <c r="B11280" s="3">
        <v>1597</v>
      </c>
      <c r="C11280" s="1" t="str">
        <f>HYPERLINK("http://www.uniprot.org/uniprot/PFPB_RICCO","PFPB_RICCO")</f>
        <v>PFPB_RICCO</v>
      </c>
      <c r="D11280" t="s">
        <v>1519</v>
      </c>
      <c r="E11280" s="3" t="s">
        <v>421</v>
      </c>
      <c r="F11280" s="4">
        <v>1.4400000000000001E-91</v>
      </c>
      <c r="G11280" s="3">
        <v>760</v>
      </c>
      <c r="H11280" s="3">
        <v>81</v>
      </c>
      <c r="I11280" s="3">
        <v>174</v>
      </c>
      <c r="J11280" s="3">
        <v>997</v>
      </c>
      <c r="K11280" s="3">
        <v>1518</v>
      </c>
      <c r="L11280" s="3">
        <v>8</v>
      </c>
      <c r="M11280" s="3">
        <v>181</v>
      </c>
    </row>
    <row r="11281" spans="1:13" x14ac:dyDescent="0.25">
      <c r="A11281" s="1" t="str">
        <f>HYPERLINK("http://www.rosaceae.org/Prunus/Prunus_persica/p.persica_gdr_reftransV1_0048138","p.persica_gdr_reftransV1_0048138")</f>
        <v>p.persica_gdr_reftransV1_0048138</v>
      </c>
      <c r="B11281" s="3">
        <v>1882</v>
      </c>
      <c r="C11281" s="1" t="str">
        <f>HYPERLINK("http://www.uniprot.org/uniprot/NET4A_ARATH","NET4A_ARATH")</f>
        <v>NET4A_ARATH</v>
      </c>
      <c r="D11281" t="s">
        <v>5785</v>
      </c>
      <c r="E11281" s="3" t="s">
        <v>3</v>
      </c>
      <c r="F11281" s="4">
        <v>2.3599999999999998E-124</v>
      </c>
      <c r="G11281" s="3">
        <v>991</v>
      </c>
      <c r="H11281" s="3">
        <v>51</v>
      </c>
      <c r="I11281" s="3">
        <v>477</v>
      </c>
      <c r="J11281" s="3">
        <v>289</v>
      </c>
      <c r="K11281" s="3">
        <v>1707</v>
      </c>
      <c r="L11281" s="3">
        <v>1</v>
      </c>
      <c r="M11281" s="3">
        <v>441</v>
      </c>
    </row>
    <row r="11282" spans="1:13" x14ac:dyDescent="0.25">
      <c r="A11282" s="1" t="str">
        <f>HYPERLINK("http://www.rosaceae.org/Prunus/Prunus_persica/p.persica_gdr_reftransV1_0048188","p.persica_gdr_reftransV1_0048188")</f>
        <v>p.persica_gdr_reftransV1_0048188</v>
      </c>
      <c r="B11282" s="3">
        <v>1494</v>
      </c>
      <c r="C11282" s="1" t="str">
        <f>HYPERLINK("http://www.uniprot.org/uniprot/MYB44_ARATH","MYB44_ARATH")</f>
        <v>MYB44_ARATH</v>
      </c>
      <c r="D11282" t="s">
        <v>1249</v>
      </c>
      <c r="E11282" s="3" t="s">
        <v>3</v>
      </c>
      <c r="F11282" s="4">
        <v>1.39E-34</v>
      </c>
      <c r="G11282" s="3">
        <v>342</v>
      </c>
      <c r="H11282" s="3">
        <v>57</v>
      </c>
      <c r="I11282" s="3">
        <v>102</v>
      </c>
      <c r="J11282" s="3">
        <v>420</v>
      </c>
      <c r="K11282" s="3">
        <v>725</v>
      </c>
      <c r="L11282" s="3">
        <v>6</v>
      </c>
      <c r="M11282" s="3">
        <v>107</v>
      </c>
    </row>
    <row r="11283" spans="1:13" x14ac:dyDescent="0.25">
      <c r="A11283" s="1" t="str">
        <f>HYPERLINK("http://www.rosaceae.org/Prunus/Prunus_persica/p.persica_gdr_reftransV1_0048238","p.persica_gdr_reftransV1_0048238")</f>
        <v>p.persica_gdr_reftransV1_0048238</v>
      </c>
      <c r="B11283" s="3">
        <v>1443</v>
      </c>
      <c r="C11283" s="1" t="str">
        <f>HYPERLINK("http://www.uniprot.org/uniprot/TOM2A_ARATH","TOM2A_ARATH")</f>
        <v>TOM2A_ARATH</v>
      </c>
      <c r="D11283" t="s">
        <v>3748</v>
      </c>
      <c r="E11283" s="3" t="s">
        <v>3</v>
      </c>
      <c r="F11283" s="4">
        <v>2.7499999999999998E-96</v>
      </c>
      <c r="G11283" s="3">
        <v>764</v>
      </c>
      <c r="H11283" s="3">
        <v>70</v>
      </c>
      <c r="I11283" s="3">
        <v>281</v>
      </c>
      <c r="J11283" s="3">
        <v>219</v>
      </c>
      <c r="K11283" s="3">
        <v>1061</v>
      </c>
      <c r="L11283" s="3">
        <v>1</v>
      </c>
      <c r="M11283" s="3">
        <v>280</v>
      </c>
    </row>
    <row r="11284" spans="1:13" x14ac:dyDescent="0.25">
      <c r="A11284" s="1" t="str">
        <f>HYPERLINK("http://www.rosaceae.org/Prunus/Prunus_persica/p.persica_gdr_reftransV1_0048338","p.persica_gdr_reftransV1_0048338")</f>
        <v>p.persica_gdr_reftransV1_0048338</v>
      </c>
      <c r="B11284" s="3">
        <v>938</v>
      </c>
      <c r="C11284" s="1" t="str">
        <f>HYPERLINK("http://www.uniprot.org/uniprot/SAR1A_ARATH","SAR1A_ARATH")</f>
        <v>SAR1A_ARATH</v>
      </c>
      <c r="D11284" t="s">
        <v>3604</v>
      </c>
      <c r="E11284" s="3" t="s">
        <v>3</v>
      </c>
      <c r="F11284" s="4">
        <v>3.3500000000000001E-115</v>
      </c>
      <c r="G11284" s="3">
        <v>865</v>
      </c>
      <c r="H11284" s="3">
        <v>95</v>
      </c>
      <c r="I11284" s="3">
        <v>193</v>
      </c>
      <c r="J11284" s="3">
        <v>214</v>
      </c>
      <c r="K11284" s="3">
        <v>792</v>
      </c>
      <c r="L11284" s="3">
        <v>1</v>
      </c>
      <c r="M11284" s="3">
        <v>193</v>
      </c>
    </row>
    <row r="11285" spans="1:13" x14ac:dyDescent="0.25">
      <c r="A11285" s="1" t="str">
        <f>HYPERLINK("http://www.rosaceae.org/Prunus/Prunus_persica/p.persica_gdr_reftransV1_0048388","p.persica_gdr_reftransV1_0048388")</f>
        <v>p.persica_gdr_reftransV1_0048388</v>
      </c>
      <c r="B11285" s="3">
        <v>1015</v>
      </c>
      <c r="C11285" s="1" t="str">
        <f>HYPERLINK("http://www.uniprot.org/uniprot/SUS6_ARATH","SUS6_ARATH")</f>
        <v>SUS6_ARATH</v>
      </c>
      <c r="D11285" t="s">
        <v>6371</v>
      </c>
      <c r="E11285" s="3" t="s">
        <v>3</v>
      </c>
      <c r="F11285" s="4">
        <v>6.1199999999999999E-133</v>
      </c>
      <c r="G11285" s="3">
        <v>1049</v>
      </c>
      <c r="H11285" s="3">
        <v>67</v>
      </c>
      <c r="I11285" s="3">
        <v>306</v>
      </c>
      <c r="J11285" s="3">
        <v>2</v>
      </c>
      <c r="K11285" s="3">
        <v>919</v>
      </c>
      <c r="L11285" s="3">
        <v>4</v>
      </c>
      <c r="M11285" s="3">
        <v>307</v>
      </c>
    </row>
    <row r="11286" spans="1:13" x14ac:dyDescent="0.25">
      <c r="A11286" s="1" t="str">
        <f>HYPERLINK("http://www.rosaceae.org/Prunus/Prunus_persica/p.persica_gdr_reftransV1_0048438","p.persica_gdr_reftransV1_0048438")</f>
        <v>p.persica_gdr_reftransV1_0048438</v>
      </c>
      <c r="B11286" s="3">
        <v>2283</v>
      </c>
      <c r="C11286" s="1" t="str">
        <f>HYPERLINK("http://www.uniprot.org/uniprot/SCMC1_XENTR","SCMC1_XENTR")</f>
        <v>SCMC1_XENTR</v>
      </c>
      <c r="D11286" t="s">
        <v>6560</v>
      </c>
      <c r="E11286" s="3" t="s">
        <v>173</v>
      </c>
      <c r="F11286" s="4">
        <v>1.39E-99</v>
      </c>
      <c r="G11286" s="3">
        <v>826</v>
      </c>
      <c r="H11286" s="3">
        <v>40</v>
      </c>
      <c r="I11286" s="3">
        <v>458</v>
      </c>
      <c r="J11286" s="3">
        <v>309</v>
      </c>
      <c r="K11286" s="3">
        <v>1661</v>
      </c>
      <c r="L11286" s="3">
        <v>23</v>
      </c>
      <c r="M11286" s="3">
        <v>473</v>
      </c>
    </row>
    <row r="11287" spans="1:13" x14ac:dyDescent="0.25">
      <c r="A11287" s="1" t="str">
        <f>HYPERLINK("http://www.rosaceae.org/Prunus/Prunus_persica/p.persica_gdr_reftransV1_0048488","p.persica_gdr_reftransV1_0048488")</f>
        <v>p.persica_gdr_reftransV1_0048488</v>
      </c>
      <c r="B11287" s="3">
        <v>781</v>
      </c>
      <c r="C11287" s="1" t="str">
        <f>HYPERLINK("http://www.uniprot.org/uniprot/PME_PETIN","PME_PETIN")</f>
        <v>PME_PETIN</v>
      </c>
      <c r="D11287" t="s">
        <v>8001</v>
      </c>
      <c r="E11287" s="3" t="s">
        <v>8002</v>
      </c>
      <c r="F11287" s="4">
        <v>9.4099999999999992E-56</v>
      </c>
      <c r="G11287" s="3">
        <v>480</v>
      </c>
      <c r="H11287" s="3">
        <v>46</v>
      </c>
      <c r="I11287" s="3">
        <v>211</v>
      </c>
      <c r="J11287" s="3">
        <v>161</v>
      </c>
      <c r="K11287" s="3">
        <v>778</v>
      </c>
      <c r="L11287" s="3">
        <v>164</v>
      </c>
      <c r="M11287" s="3">
        <v>367</v>
      </c>
    </row>
    <row r="11288" spans="1:13" x14ac:dyDescent="0.25">
      <c r="A11288" s="1" t="str">
        <f>HYPERLINK("http://www.rosaceae.org/Prunus/Prunus_persica/p.persica_gdr_reftransV1_0048538","p.persica_gdr_reftransV1_0048538")</f>
        <v>p.persica_gdr_reftransV1_0048538</v>
      </c>
      <c r="B11288" s="3">
        <v>1277</v>
      </c>
      <c r="C11288" s="1" t="str">
        <f>HYPERLINK("http://www.uniprot.org/uniprot/MARC2_BOVIN","MARC2_BOVIN")</f>
        <v>MARC2_BOVIN</v>
      </c>
      <c r="D11288" t="s">
        <v>1066</v>
      </c>
      <c r="E11288" s="3" t="s">
        <v>184</v>
      </c>
      <c r="F11288" s="4">
        <v>2.7199999999999999E-40</v>
      </c>
      <c r="G11288" s="3">
        <v>383</v>
      </c>
      <c r="H11288" s="3">
        <v>32</v>
      </c>
      <c r="I11288" s="3">
        <v>299</v>
      </c>
      <c r="J11288" s="3">
        <v>344</v>
      </c>
      <c r="K11288" s="3">
        <v>1207</v>
      </c>
      <c r="L11288" s="3">
        <v>54</v>
      </c>
      <c r="M11288" s="3">
        <v>332</v>
      </c>
    </row>
    <row r="11289" spans="1:13" x14ac:dyDescent="0.25">
      <c r="A11289" s="1" t="str">
        <f>HYPERLINK("http://www.rosaceae.org/Prunus/Prunus_persica/p.persica_gdr_reftransV1_0048638","p.persica_gdr_reftransV1_0048638")</f>
        <v>p.persica_gdr_reftransV1_0048638</v>
      </c>
      <c r="B11289" s="3">
        <v>2473</v>
      </c>
      <c r="C11289" s="1" t="str">
        <f>HYPERLINK("http://www.uniprot.org/uniprot/ASO_TOBAC","ASO_TOBAC")</f>
        <v>ASO_TOBAC</v>
      </c>
      <c r="D11289" t="s">
        <v>3343</v>
      </c>
      <c r="E11289" s="3" t="s">
        <v>200</v>
      </c>
      <c r="F11289" s="4">
        <v>0</v>
      </c>
      <c r="G11289" s="3">
        <v>1473</v>
      </c>
      <c r="H11289" s="3">
        <v>79</v>
      </c>
      <c r="I11289" s="3">
        <v>355</v>
      </c>
      <c r="J11289" s="3">
        <v>1222</v>
      </c>
      <c r="K11289" s="3">
        <v>2286</v>
      </c>
      <c r="L11289" s="3">
        <v>27</v>
      </c>
      <c r="M11289" s="3">
        <v>381</v>
      </c>
    </row>
    <row r="11290" spans="1:13" x14ac:dyDescent="0.25">
      <c r="A11290" s="1" t="str">
        <f>HYPERLINK("http://www.rosaceae.org/Prunus/Prunus_persica/p.persica_gdr_reftransV1_0048688","p.persica_gdr_reftransV1_0048688")</f>
        <v>p.persica_gdr_reftransV1_0048688</v>
      </c>
      <c r="B11290" s="3">
        <v>2334</v>
      </c>
      <c r="C11290" s="1" t="str">
        <f>HYPERLINK("http://www.uniprot.org/uniprot/HQGT_RAUSE","HQGT_RAUSE")</f>
        <v>HQGT_RAUSE</v>
      </c>
      <c r="D11290" t="s">
        <v>7142</v>
      </c>
      <c r="E11290" s="3" t="s">
        <v>2816</v>
      </c>
      <c r="F11290" s="4">
        <v>0</v>
      </c>
      <c r="G11290" s="3">
        <v>1676</v>
      </c>
      <c r="H11290" s="3">
        <v>69</v>
      </c>
      <c r="I11290" s="3">
        <v>467</v>
      </c>
      <c r="J11290" s="3">
        <v>350</v>
      </c>
      <c r="K11290" s="3">
        <v>1750</v>
      </c>
      <c r="L11290" s="3">
        <v>5</v>
      </c>
      <c r="M11290" s="3">
        <v>469</v>
      </c>
    </row>
    <row r="11291" spans="1:13" x14ac:dyDescent="0.25">
      <c r="A11291" s="1" t="str">
        <f>HYPERLINK("http://www.rosaceae.org/Prunus/Prunus_persica/p.persica_gdr_reftransV1_0048788","p.persica_gdr_reftransV1_0048788")</f>
        <v>p.persica_gdr_reftransV1_0048788</v>
      </c>
      <c r="B11291" s="3">
        <v>1820</v>
      </c>
      <c r="C11291" s="1" t="str">
        <f>HYPERLINK("http://www.uniprot.org/uniprot/ERG8_YEAST","ERG8_YEAST")</f>
        <v>ERG8_YEAST</v>
      </c>
      <c r="D11291" t="s">
        <v>8003</v>
      </c>
      <c r="E11291" s="3" t="s">
        <v>34</v>
      </c>
      <c r="F11291" s="4">
        <v>1.3400000000000001E-29</v>
      </c>
      <c r="G11291" s="3">
        <v>314</v>
      </c>
      <c r="H11291" s="3">
        <v>31</v>
      </c>
      <c r="I11291" s="3">
        <v>465</v>
      </c>
      <c r="J11291" s="3">
        <v>62</v>
      </c>
      <c r="K11291" s="3">
        <v>1426</v>
      </c>
      <c r="L11291" s="3">
        <v>8</v>
      </c>
      <c r="M11291" s="3">
        <v>411</v>
      </c>
    </row>
    <row r="11292" spans="1:13" x14ac:dyDescent="0.25">
      <c r="A11292" s="1" t="str">
        <f>HYPERLINK("http://www.rosaceae.org/Prunus/Prunus_persica/p.persica_gdr_reftransV1_0048838","p.persica_gdr_reftransV1_0048838")</f>
        <v>p.persica_gdr_reftransV1_0048838</v>
      </c>
      <c r="B11292" s="3">
        <v>1993</v>
      </c>
      <c r="C11292" s="1" t="str">
        <f>HYPERLINK("http://www.uniprot.org/uniprot/SRO5_ARATH","SRO5_ARATH")</f>
        <v>SRO5_ARATH</v>
      </c>
      <c r="D11292" t="s">
        <v>4735</v>
      </c>
      <c r="E11292" s="3" t="s">
        <v>3</v>
      </c>
      <c r="F11292" s="4">
        <v>6.4099999999999996E-76</v>
      </c>
      <c r="G11292" s="3">
        <v>643</v>
      </c>
      <c r="H11292" s="3">
        <v>47</v>
      </c>
      <c r="I11292" s="3">
        <v>279</v>
      </c>
      <c r="J11292" s="3">
        <v>815</v>
      </c>
      <c r="K11292" s="3">
        <v>1642</v>
      </c>
      <c r="L11292" s="3">
        <v>41</v>
      </c>
      <c r="M11292" s="3">
        <v>307</v>
      </c>
    </row>
    <row r="11293" spans="1:13" x14ac:dyDescent="0.25">
      <c r="A11293" s="1" t="str">
        <f>HYPERLINK("http://www.rosaceae.org/Prunus/Prunus_persica/p.persica_gdr_reftransV1_0048938","p.persica_gdr_reftransV1_0048938")</f>
        <v>p.persica_gdr_reftransV1_0048938</v>
      </c>
      <c r="B11293" s="3">
        <v>1069</v>
      </c>
      <c r="C11293" s="1" t="str">
        <f>HYPERLINK("http://www.uniprot.org/uniprot/PUX1_ARATH","PUX1_ARATH")</f>
        <v>PUX1_ARATH</v>
      </c>
      <c r="D11293" t="s">
        <v>1058</v>
      </c>
      <c r="E11293" s="3" t="s">
        <v>3</v>
      </c>
      <c r="F11293" s="4">
        <v>3.3000000000000002E-70</v>
      </c>
      <c r="G11293" s="3">
        <v>576</v>
      </c>
      <c r="H11293" s="3">
        <v>59</v>
      </c>
      <c r="I11293" s="3">
        <v>223</v>
      </c>
      <c r="J11293" s="3">
        <v>292</v>
      </c>
      <c r="K11293" s="3">
        <v>954</v>
      </c>
      <c r="L11293" s="3">
        <v>1</v>
      </c>
      <c r="M11293" s="3">
        <v>221</v>
      </c>
    </row>
    <row r="11294" spans="1:13" x14ac:dyDescent="0.25">
      <c r="A11294" s="1" t="str">
        <f>HYPERLINK("http://www.rosaceae.org/Prunus/Prunus_persica/p.persica_gdr_reftransV1_0049038","p.persica_gdr_reftransV1_0049038")</f>
        <v>p.persica_gdr_reftransV1_0049038</v>
      </c>
      <c r="B11294" s="3">
        <v>1221</v>
      </c>
      <c r="C11294" s="1" t="str">
        <f>HYPERLINK("http://www.uniprot.org/uniprot/XTH9_ARATH","XTH9_ARATH")</f>
        <v>XTH9_ARATH</v>
      </c>
      <c r="D11294" t="s">
        <v>4740</v>
      </c>
      <c r="E11294" s="3" t="s">
        <v>3</v>
      </c>
      <c r="F11294" s="4">
        <v>2.5400000000000001E-160</v>
      </c>
      <c r="G11294" s="3">
        <v>1183</v>
      </c>
      <c r="H11294" s="3">
        <v>74</v>
      </c>
      <c r="I11294" s="3">
        <v>292</v>
      </c>
      <c r="J11294" s="3">
        <v>274</v>
      </c>
      <c r="K11294" s="3">
        <v>1137</v>
      </c>
      <c r="L11294" s="3">
        <v>4</v>
      </c>
      <c r="M11294" s="3">
        <v>289</v>
      </c>
    </row>
    <row r="11295" spans="1:13" x14ac:dyDescent="0.25">
      <c r="A11295" s="1" t="str">
        <f>HYPERLINK("http://www.rosaceae.org/Prunus/Prunus_persica/p.persica_gdr_reftransV1_0049088","p.persica_gdr_reftransV1_0049088")</f>
        <v>p.persica_gdr_reftransV1_0049088</v>
      </c>
      <c r="B11295" s="3">
        <v>1571</v>
      </c>
      <c r="C11295" s="1" t="str">
        <f>HYPERLINK("http://www.uniprot.org/uniprot/YPQ1_YEAST","YPQ1_YEAST")</f>
        <v>YPQ1_YEAST</v>
      </c>
      <c r="D11295" t="s">
        <v>2214</v>
      </c>
      <c r="E11295" s="3" t="s">
        <v>34</v>
      </c>
      <c r="F11295" s="4">
        <v>8.43E-27</v>
      </c>
      <c r="G11295" s="3">
        <v>285</v>
      </c>
      <c r="H11295" s="3">
        <v>28</v>
      </c>
      <c r="I11295" s="3">
        <v>313</v>
      </c>
      <c r="J11295" s="3">
        <v>258</v>
      </c>
      <c r="K11295" s="3">
        <v>1196</v>
      </c>
      <c r="L11295" s="3">
        <v>30</v>
      </c>
      <c r="M11295" s="3">
        <v>304</v>
      </c>
    </row>
    <row r="11296" spans="1:13" x14ac:dyDescent="0.25">
      <c r="A11296" s="1" t="str">
        <f>HYPERLINK("http://www.rosaceae.org/Prunus/Prunus_persica/p.persica_gdr_reftransV1_0049138","p.persica_gdr_reftransV1_0049138")</f>
        <v>p.persica_gdr_reftransV1_0049138</v>
      </c>
      <c r="B11296" s="3">
        <v>1402</v>
      </c>
      <c r="C11296" s="1" t="str">
        <f>HYPERLINK("http://www.uniprot.org/uniprot/KCO1_ARATH","KCO1_ARATH")</f>
        <v>KCO1_ARATH</v>
      </c>
      <c r="D11296" t="s">
        <v>1282</v>
      </c>
      <c r="E11296" s="3" t="s">
        <v>3</v>
      </c>
      <c r="F11296" s="4">
        <v>2.0299999999999999E-146</v>
      </c>
      <c r="G11296" s="3">
        <v>1105</v>
      </c>
      <c r="H11296" s="3">
        <v>68</v>
      </c>
      <c r="I11296" s="3">
        <v>294</v>
      </c>
      <c r="J11296" s="3">
        <v>175</v>
      </c>
      <c r="K11296" s="3">
        <v>1056</v>
      </c>
      <c r="L11296" s="3">
        <v>63</v>
      </c>
      <c r="M11296" s="3">
        <v>356</v>
      </c>
    </row>
    <row r="11297" spans="1:13" x14ac:dyDescent="0.25">
      <c r="A11297" s="1" t="str">
        <f>HYPERLINK("http://www.rosaceae.org/Prunus/Prunus_persica/p.persica_gdr_reftransV1_0049188","p.persica_gdr_reftransV1_0049188")</f>
        <v>p.persica_gdr_reftransV1_0049188</v>
      </c>
      <c r="B11297" s="3">
        <v>4315</v>
      </c>
      <c r="C11297" s="1" t="str">
        <f>HYPERLINK("http://www.uniprot.org/uniprot/ALA9_ARATH","ALA9_ARATH")</f>
        <v>ALA9_ARATH</v>
      </c>
      <c r="D11297" t="s">
        <v>5176</v>
      </c>
      <c r="E11297" s="3" t="s">
        <v>3</v>
      </c>
      <c r="F11297" s="4">
        <v>0</v>
      </c>
      <c r="G11297" s="3">
        <v>4621</v>
      </c>
      <c r="H11297" s="3">
        <v>71</v>
      </c>
      <c r="I11297" s="3">
        <v>1190</v>
      </c>
      <c r="J11297" s="3">
        <v>480</v>
      </c>
      <c r="K11297" s="3">
        <v>4040</v>
      </c>
      <c r="L11297" s="3">
        <v>2</v>
      </c>
      <c r="M11297" s="3">
        <v>1189</v>
      </c>
    </row>
    <row r="11298" spans="1:13" x14ac:dyDescent="0.25">
      <c r="A11298" s="1" t="str">
        <f>HYPERLINK("http://www.rosaceae.org/Prunus/Prunus_persica/p.persica_gdr_reftransV1_0000039","p.persica_gdr_reftransV1_0000039")</f>
        <v>p.persica_gdr_reftransV1_0000039</v>
      </c>
      <c r="B11298" s="3">
        <v>2175</v>
      </c>
      <c r="C11298" s="1" t="str">
        <f>HYPERLINK("http://www.uniprot.org/uniprot/SRR1_ARATH","SRR1_ARATH")</f>
        <v>SRR1_ARATH</v>
      </c>
      <c r="D11298" t="s">
        <v>8004</v>
      </c>
      <c r="E11298" s="3" t="s">
        <v>3</v>
      </c>
      <c r="F11298" s="4">
        <v>1.4700000000000001E-93</v>
      </c>
      <c r="G11298" s="3">
        <v>764</v>
      </c>
      <c r="H11298" s="3">
        <v>53</v>
      </c>
      <c r="I11298" s="3">
        <v>270</v>
      </c>
      <c r="J11298" s="3">
        <v>1067</v>
      </c>
      <c r="K11298" s="3">
        <v>1870</v>
      </c>
      <c r="L11298" s="3">
        <v>4</v>
      </c>
      <c r="M11298" s="3">
        <v>271</v>
      </c>
    </row>
    <row r="11299" spans="1:13" x14ac:dyDescent="0.25">
      <c r="A11299" s="1" t="str">
        <f>HYPERLINK("http://www.rosaceae.org/Prunus/Prunus_persica/p.persica_gdr_reftransV1_0000139","p.persica_gdr_reftransV1_0000139")</f>
        <v>p.persica_gdr_reftransV1_0000139</v>
      </c>
      <c r="B11299" s="3">
        <v>1490</v>
      </c>
      <c r="C11299" s="1" t="str">
        <f>HYPERLINK("http://www.uniprot.org/uniprot/BURP3_ORYSJ","BURP3_ORYSJ")</f>
        <v>BURP3_ORYSJ</v>
      </c>
      <c r="D11299" t="s">
        <v>1863</v>
      </c>
      <c r="E11299" s="3" t="s">
        <v>38</v>
      </c>
      <c r="F11299" s="4">
        <v>3.8400000000000002E-69</v>
      </c>
      <c r="G11299" s="3">
        <v>595</v>
      </c>
      <c r="H11299" s="3">
        <v>47</v>
      </c>
      <c r="I11299" s="3">
        <v>251</v>
      </c>
      <c r="J11299" s="3">
        <v>515</v>
      </c>
      <c r="K11299" s="3">
        <v>1264</v>
      </c>
      <c r="L11299" s="3">
        <v>182</v>
      </c>
      <c r="M11299" s="3">
        <v>425</v>
      </c>
    </row>
    <row r="11300" spans="1:13" x14ac:dyDescent="0.25">
      <c r="A11300" s="1" t="str">
        <f>HYPERLINK("http://www.rosaceae.org/Prunus/Prunus_persica/p.persica_gdr_reftransV1_0000189","p.persica_gdr_reftransV1_0000189")</f>
        <v>p.persica_gdr_reftransV1_0000189</v>
      </c>
      <c r="B11300" s="3">
        <v>2101</v>
      </c>
      <c r="C11300" s="1" t="str">
        <f>HYPERLINK("http://www.uniprot.org/uniprot/Y1666_ARATH","Y1666_ARATH")</f>
        <v>Y1666_ARATH</v>
      </c>
      <c r="D11300" t="s">
        <v>638</v>
      </c>
      <c r="E11300" s="3" t="s">
        <v>3</v>
      </c>
      <c r="F11300" s="4">
        <v>5.55E-34</v>
      </c>
      <c r="G11300" s="3">
        <v>349</v>
      </c>
      <c r="H11300" s="3">
        <v>50</v>
      </c>
      <c r="I11300" s="3">
        <v>214</v>
      </c>
      <c r="J11300" s="3">
        <v>1102</v>
      </c>
      <c r="K11300" s="3">
        <v>1713</v>
      </c>
      <c r="L11300" s="3">
        <v>8</v>
      </c>
      <c r="M11300" s="3">
        <v>208</v>
      </c>
    </row>
    <row r="11301" spans="1:13" x14ac:dyDescent="0.25">
      <c r="A11301" s="1" t="str">
        <f>HYPERLINK("http://www.rosaceae.org/Prunus/Prunus_persica/p.persica_gdr_reftransV1_0000239","p.persica_gdr_reftransV1_0000239")</f>
        <v>p.persica_gdr_reftransV1_0000239</v>
      </c>
      <c r="B11301" s="3">
        <v>1026</v>
      </c>
      <c r="C11301" s="1" t="str">
        <f>HYPERLINK("http://www.uniprot.org/uniprot/UFOG3_FRAAN","UFOG3_FRAAN")</f>
        <v>UFOG3_FRAAN</v>
      </c>
      <c r="D11301" t="s">
        <v>3110</v>
      </c>
      <c r="E11301" s="3" t="s">
        <v>15</v>
      </c>
      <c r="F11301" s="4">
        <v>1.18E-110</v>
      </c>
      <c r="G11301" s="3">
        <v>865</v>
      </c>
      <c r="H11301" s="3">
        <v>52</v>
      </c>
      <c r="I11301" s="3">
        <v>319</v>
      </c>
      <c r="J11301" s="3">
        <v>4</v>
      </c>
      <c r="K11301" s="3">
        <v>945</v>
      </c>
      <c r="L11301" s="3">
        <v>159</v>
      </c>
      <c r="M11301" s="3">
        <v>476</v>
      </c>
    </row>
    <row r="11302" spans="1:13" x14ac:dyDescent="0.25">
      <c r="A11302" s="1" t="str">
        <f>HYPERLINK("http://www.rosaceae.org/Prunus/Prunus_persica/p.persica_gdr_reftransV1_0000289","p.persica_gdr_reftransV1_0000289")</f>
        <v>p.persica_gdr_reftransV1_0000289</v>
      </c>
      <c r="B11302" s="3">
        <v>1397</v>
      </c>
      <c r="C11302" s="1" t="str">
        <f>HYPERLINK("http://www.uniprot.org/uniprot/SEP2_ARATH","SEP2_ARATH")</f>
        <v>SEP2_ARATH</v>
      </c>
      <c r="D11302" t="s">
        <v>8005</v>
      </c>
      <c r="E11302" s="3" t="s">
        <v>3</v>
      </c>
      <c r="F11302" s="4">
        <v>1.0300000000000001E-114</v>
      </c>
      <c r="G11302" s="3">
        <v>883</v>
      </c>
      <c r="H11302" s="3">
        <v>75</v>
      </c>
      <c r="I11302" s="3">
        <v>251</v>
      </c>
      <c r="J11302" s="3">
        <v>414</v>
      </c>
      <c r="K11302" s="3">
        <v>1148</v>
      </c>
      <c r="L11302" s="3">
        <v>1</v>
      </c>
      <c r="M11302" s="3">
        <v>250</v>
      </c>
    </row>
    <row r="11303" spans="1:13" x14ac:dyDescent="0.25">
      <c r="A11303" s="1" t="str">
        <f>HYPERLINK("http://www.rosaceae.org/Prunus/Prunus_persica/p.persica_gdr_reftransV1_0000489","p.persica_gdr_reftransV1_0000489")</f>
        <v>p.persica_gdr_reftransV1_0000489</v>
      </c>
      <c r="B11303" s="3">
        <v>1368</v>
      </c>
      <c r="C11303" s="1" t="str">
        <f>HYPERLINK("http://www.uniprot.org/uniprot/APT1_ARATH","APT1_ARATH")</f>
        <v>APT1_ARATH</v>
      </c>
      <c r="D11303" t="s">
        <v>8006</v>
      </c>
      <c r="E11303" s="3" t="s">
        <v>3</v>
      </c>
      <c r="F11303" s="4">
        <v>1.3E-90</v>
      </c>
      <c r="G11303" s="3">
        <v>721</v>
      </c>
      <c r="H11303" s="3">
        <v>79</v>
      </c>
      <c r="I11303" s="3">
        <v>195</v>
      </c>
      <c r="J11303" s="3">
        <v>290</v>
      </c>
      <c r="K11303" s="3">
        <v>874</v>
      </c>
      <c r="L11303" s="3">
        <v>49</v>
      </c>
      <c r="M11303" s="3">
        <v>243</v>
      </c>
    </row>
    <row r="11304" spans="1:13" x14ac:dyDescent="0.25">
      <c r="A11304" s="1" t="str">
        <f>HYPERLINK("http://www.rosaceae.org/Prunus/Prunus_persica/p.persica_gdr_reftransV1_0000539","p.persica_gdr_reftransV1_0000539")</f>
        <v>p.persica_gdr_reftransV1_0000539</v>
      </c>
      <c r="B11304" s="3">
        <v>2812</v>
      </c>
      <c r="C11304" s="1" t="str">
        <f>HYPERLINK("http://www.uniprot.org/uniprot/CIGR1_ORYSJ","CIGR1_ORYSJ")</f>
        <v>CIGR1_ORYSJ</v>
      </c>
      <c r="D11304" t="s">
        <v>8007</v>
      </c>
      <c r="E11304" s="3" t="s">
        <v>38</v>
      </c>
      <c r="F11304" s="4">
        <v>0</v>
      </c>
      <c r="G11304" s="3">
        <v>1713</v>
      </c>
      <c r="H11304" s="3">
        <v>59</v>
      </c>
      <c r="I11304" s="3">
        <v>589</v>
      </c>
      <c r="J11304" s="3">
        <v>461</v>
      </c>
      <c r="K11304" s="3">
        <v>2215</v>
      </c>
      <c r="L11304" s="3">
        <v>1</v>
      </c>
      <c r="M11304" s="3">
        <v>571</v>
      </c>
    </row>
    <row r="11305" spans="1:13" x14ac:dyDescent="0.25">
      <c r="A11305" s="1" t="str">
        <f>HYPERLINK("http://www.rosaceae.org/Prunus/Prunus_persica/p.persica_gdr_reftransV1_0000589","p.persica_gdr_reftransV1_0000589")</f>
        <v>p.persica_gdr_reftransV1_0000589</v>
      </c>
      <c r="B11305" s="3">
        <v>1283</v>
      </c>
      <c r="C11305" s="1" t="str">
        <f>HYPERLINK("http://www.uniprot.org/uniprot/RAP23_ARATH","RAP23_ARATH")</f>
        <v>RAP23_ARATH</v>
      </c>
      <c r="D11305" t="s">
        <v>8008</v>
      </c>
      <c r="E11305" s="3" t="s">
        <v>3</v>
      </c>
      <c r="F11305" s="4">
        <v>1.76E-42</v>
      </c>
      <c r="G11305" s="3">
        <v>392</v>
      </c>
      <c r="H11305" s="3">
        <v>44</v>
      </c>
      <c r="I11305" s="3">
        <v>292</v>
      </c>
      <c r="J11305" s="3">
        <v>83</v>
      </c>
      <c r="K11305" s="3">
        <v>898</v>
      </c>
      <c r="L11305" s="3">
        <v>1</v>
      </c>
      <c r="M11305" s="3">
        <v>245</v>
      </c>
    </row>
    <row r="11306" spans="1:13" x14ac:dyDescent="0.25">
      <c r="A11306" s="1" t="str">
        <f>HYPERLINK("http://www.rosaceae.org/Prunus/Prunus_persica/p.persica_gdr_reftransV1_0000689","p.persica_gdr_reftransV1_0000689")</f>
        <v>p.persica_gdr_reftransV1_0000689</v>
      </c>
      <c r="B11306" s="3">
        <v>3348</v>
      </c>
      <c r="C11306" s="1" t="str">
        <f>HYPERLINK("http://www.uniprot.org/uniprot/RAD50_ARATH","RAD50_ARATH")</f>
        <v>RAD50_ARATH</v>
      </c>
      <c r="D11306" t="s">
        <v>8009</v>
      </c>
      <c r="E11306" s="3" t="s">
        <v>3</v>
      </c>
      <c r="F11306" s="4">
        <v>0</v>
      </c>
      <c r="G11306" s="3">
        <v>3582</v>
      </c>
      <c r="H11306" s="3">
        <v>67</v>
      </c>
      <c r="I11306" s="3">
        <v>1060</v>
      </c>
      <c r="J11306" s="3">
        <v>4</v>
      </c>
      <c r="K11306" s="3">
        <v>3183</v>
      </c>
      <c r="L11306" s="3">
        <v>1</v>
      </c>
      <c r="M11306" s="3">
        <v>1039</v>
      </c>
    </row>
    <row r="11307" spans="1:13" x14ac:dyDescent="0.25">
      <c r="A11307" s="1" t="str">
        <f>HYPERLINK("http://www.rosaceae.org/Prunus/Prunus_persica/p.persica_gdr_reftransV1_0000739","p.persica_gdr_reftransV1_0000739")</f>
        <v>p.persica_gdr_reftransV1_0000739</v>
      </c>
      <c r="B11307" s="3">
        <v>2559</v>
      </c>
      <c r="C11307" s="1" t="str">
        <f>HYPERLINK("http://www.uniprot.org/uniprot/WNK4_ARATH","WNK4_ARATH")</f>
        <v>WNK4_ARATH</v>
      </c>
      <c r="D11307" t="s">
        <v>895</v>
      </c>
      <c r="E11307" s="3" t="s">
        <v>3</v>
      </c>
      <c r="F11307" s="4">
        <v>0</v>
      </c>
      <c r="G11307" s="3">
        <v>1749</v>
      </c>
      <c r="H11307" s="3">
        <v>62</v>
      </c>
      <c r="I11307" s="3">
        <v>589</v>
      </c>
      <c r="J11307" s="3">
        <v>688</v>
      </c>
      <c r="K11307" s="3">
        <v>2448</v>
      </c>
      <c r="L11307" s="3">
        <v>1</v>
      </c>
      <c r="M11307" s="3">
        <v>565</v>
      </c>
    </row>
    <row r="11308" spans="1:13" x14ac:dyDescent="0.25">
      <c r="A11308" s="1" t="str">
        <f>HYPERLINK("http://www.rosaceae.org/Prunus/Prunus_persica/p.persica_gdr_reftransV1_0000789","p.persica_gdr_reftransV1_0000789")</f>
        <v>p.persica_gdr_reftransV1_0000789</v>
      </c>
      <c r="B11308" s="3">
        <v>306</v>
      </c>
      <c r="C11308" s="1" t="str">
        <f>HYPERLINK("http://www.uniprot.org/uniprot/METK_CAMSI","METK_CAMSI")</f>
        <v>METK_CAMSI</v>
      </c>
      <c r="D11308" t="s">
        <v>8010</v>
      </c>
      <c r="E11308" s="3" t="s">
        <v>3800</v>
      </c>
      <c r="F11308" s="4">
        <v>3.0200000000000001E-64</v>
      </c>
      <c r="G11308" s="3">
        <v>522</v>
      </c>
      <c r="H11308" s="3">
        <v>97</v>
      </c>
      <c r="I11308" s="3">
        <v>101</v>
      </c>
      <c r="J11308" s="3">
        <v>3</v>
      </c>
      <c r="K11308" s="3">
        <v>305</v>
      </c>
      <c r="L11308" s="3">
        <v>38</v>
      </c>
      <c r="M11308" s="3">
        <v>138</v>
      </c>
    </row>
    <row r="11309" spans="1:13" x14ac:dyDescent="0.25">
      <c r="A11309" s="1" t="str">
        <f>HYPERLINK("http://www.rosaceae.org/Prunus/Prunus_persica/p.persica_gdr_reftransV1_0000839","p.persica_gdr_reftransV1_0000839")</f>
        <v>p.persica_gdr_reftransV1_0000839</v>
      </c>
      <c r="B11309" s="3">
        <v>301</v>
      </c>
      <c r="C11309" s="1" t="str">
        <f>HYPERLINK("http://www.uniprot.org/uniprot/PPR77_ARATH","PPR77_ARATH")</f>
        <v>PPR77_ARATH</v>
      </c>
      <c r="D11309" t="s">
        <v>8011</v>
      </c>
      <c r="E11309" s="3" t="s">
        <v>3</v>
      </c>
      <c r="F11309" s="4">
        <v>2.8099999999999999E-37</v>
      </c>
      <c r="G11309" s="3">
        <v>346</v>
      </c>
      <c r="H11309" s="3">
        <v>65</v>
      </c>
      <c r="I11309" s="3">
        <v>99</v>
      </c>
      <c r="J11309" s="3">
        <v>3</v>
      </c>
      <c r="K11309" s="3">
        <v>299</v>
      </c>
      <c r="L11309" s="3">
        <v>165</v>
      </c>
      <c r="M11309" s="3">
        <v>259</v>
      </c>
    </row>
    <row r="11310" spans="1:13" x14ac:dyDescent="0.25">
      <c r="A11310" s="1" t="str">
        <f>HYPERLINK("http://www.rosaceae.org/Prunus/Prunus_persica/p.persica_gdr_reftransV1_0000889","p.persica_gdr_reftransV1_0000889")</f>
        <v>p.persica_gdr_reftransV1_0000889</v>
      </c>
      <c r="B11310" s="3">
        <v>620</v>
      </c>
      <c r="C11310" s="1" t="str">
        <f>HYPERLINK("http://www.uniprot.org/uniprot/PGLR_PRUPE","PGLR_PRUPE")</f>
        <v>PGLR_PRUPE</v>
      </c>
      <c r="D11310" t="s">
        <v>783</v>
      </c>
      <c r="E11310" s="3" t="s">
        <v>784</v>
      </c>
      <c r="F11310" s="4">
        <v>1.11E-115</v>
      </c>
      <c r="G11310" s="3">
        <v>876</v>
      </c>
      <c r="H11310" s="3">
        <v>98</v>
      </c>
      <c r="I11310" s="3">
        <v>171</v>
      </c>
      <c r="J11310" s="3">
        <v>89</v>
      </c>
      <c r="K11310" s="3">
        <v>601</v>
      </c>
      <c r="L11310" s="3">
        <v>1</v>
      </c>
      <c r="M11310" s="3">
        <v>171</v>
      </c>
    </row>
    <row r="11311" spans="1:13" x14ac:dyDescent="0.25">
      <c r="A11311" s="1" t="str">
        <f>HYPERLINK("http://www.rosaceae.org/Prunus/Prunus_persica/p.persica_gdr_reftransV1_0000939","p.persica_gdr_reftransV1_0000939")</f>
        <v>p.persica_gdr_reftransV1_0000939</v>
      </c>
      <c r="B11311" s="3">
        <v>656</v>
      </c>
      <c r="C11311" s="1" t="str">
        <f>HYPERLINK("http://www.uniprot.org/uniprot/PP146_ARATH","PP146_ARATH")</f>
        <v>PP146_ARATH</v>
      </c>
      <c r="D11311" t="s">
        <v>2513</v>
      </c>
      <c r="E11311" s="3" t="s">
        <v>3</v>
      </c>
      <c r="F11311" s="4">
        <v>2.7199999999999998E-84</v>
      </c>
      <c r="G11311" s="3">
        <v>690</v>
      </c>
      <c r="H11311" s="3">
        <v>60</v>
      </c>
      <c r="I11311" s="3">
        <v>217</v>
      </c>
      <c r="J11311" s="3">
        <v>2</v>
      </c>
      <c r="K11311" s="3">
        <v>652</v>
      </c>
      <c r="L11311" s="3">
        <v>75</v>
      </c>
      <c r="M11311" s="3">
        <v>291</v>
      </c>
    </row>
    <row r="11312" spans="1:13" x14ac:dyDescent="0.25">
      <c r="A11312" s="1" t="str">
        <f>HYPERLINK("http://www.rosaceae.org/Prunus/Prunus_persica/p.persica_gdr_reftransV1_0000989","p.persica_gdr_reftransV1_0000989")</f>
        <v>p.persica_gdr_reftransV1_0000989</v>
      </c>
      <c r="B11312" s="3">
        <v>338</v>
      </c>
      <c r="C11312" s="1" t="str">
        <f>HYPERLINK("http://www.uniprot.org/uniprot/BGL24_ORYSJ","BGL24_ORYSJ")</f>
        <v>BGL24_ORYSJ</v>
      </c>
      <c r="D11312" t="s">
        <v>8012</v>
      </c>
      <c r="E11312" s="3" t="s">
        <v>38</v>
      </c>
      <c r="F11312" s="4">
        <v>4.9999999999999996E-40</v>
      </c>
      <c r="G11312" s="3">
        <v>362</v>
      </c>
      <c r="H11312" s="3">
        <v>60</v>
      </c>
      <c r="I11312" s="3">
        <v>113</v>
      </c>
      <c r="J11312" s="3">
        <v>1</v>
      </c>
      <c r="K11312" s="3">
        <v>336</v>
      </c>
      <c r="L11312" s="3">
        <v>290</v>
      </c>
      <c r="M11312" s="3">
        <v>402</v>
      </c>
    </row>
    <row r="11313" spans="1:13" x14ac:dyDescent="0.25">
      <c r="A11313" s="1" t="str">
        <f>HYPERLINK("http://www.rosaceae.org/Prunus/Prunus_persica/p.persica_gdr_reftransV1_0001039","p.persica_gdr_reftransV1_0001039")</f>
        <v>p.persica_gdr_reftransV1_0001039</v>
      </c>
      <c r="B11313" s="3">
        <v>704</v>
      </c>
      <c r="C11313" s="1" t="str">
        <f>HYPERLINK("http://www.uniprot.org/uniprot/Y4648_ARATH","Y4648_ARATH")</f>
        <v>Y4648_ARATH</v>
      </c>
      <c r="D11313" t="s">
        <v>6785</v>
      </c>
      <c r="E11313" s="3" t="s">
        <v>3</v>
      </c>
      <c r="F11313" s="4">
        <v>1.18E-49</v>
      </c>
      <c r="G11313" s="3">
        <v>424</v>
      </c>
      <c r="H11313" s="3">
        <v>45</v>
      </c>
      <c r="I11313" s="3">
        <v>188</v>
      </c>
      <c r="J11313" s="3">
        <v>1</v>
      </c>
      <c r="K11313" s="3">
        <v>558</v>
      </c>
      <c r="L11313" s="3">
        <v>23</v>
      </c>
      <c r="M11313" s="3">
        <v>208</v>
      </c>
    </row>
    <row r="11314" spans="1:13" x14ac:dyDescent="0.25">
      <c r="A11314" s="1" t="str">
        <f>HYPERLINK("http://www.rosaceae.org/Prunus/Prunus_persica/p.persica_gdr_reftransV1_0001139","p.persica_gdr_reftransV1_0001139")</f>
        <v>p.persica_gdr_reftransV1_0001139</v>
      </c>
      <c r="B11314" s="3">
        <v>3067</v>
      </c>
      <c r="C11314" s="1" t="str">
        <f>HYPERLINK("http://www.uniprot.org/uniprot/GT645_ARATH","GT645_ARATH")</f>
        <v>GT645_ARATH</v>
      </c>
      <c r="D11314" t="s">
        <v>8013</v>
      </c>
      <c r="E11314" s="3" t="s">
        <v>3</v>
      </c>
      <c r="F11314" s="4">
        <v>0</v>
      </c>
      <c r="G11314" s="3">
        <v>1917</v>
      </c>
      <c r="H11314" s="3">
        <v>65</v>
      </c>
      <c r="I11314" s="3">
        <v>564</v>
      </c>
      <c r="J11314" s="3">
        <v>1146</v>
      </c>
      <c r="K11314" s="3">
        <v>2828</v>
      </c>
      <c r="L11314" s="3">
        <v>203</v>
      </c>
      <c r="M11314" s="3">
        <v>765</v>
      </c>
    </row>
    <row r="11315" spans="1:13" x14ac:dyDescent="0.25">
      <c r="A11315" s="1" t="str">
        <f>HYPERLINK("http://www.rosaceae.org/Prunus/Prunus_persica/p.persica_gdr_reftransV1_0001189","p.persica_gdr_reftransV1_0001189")</f>
        <v>p.persica_gdr_reftransV1_0001189</v>
      </c>
      <c r="B11315" s="3">
        <v>1228</v>
      </c>
      <c r="C11315" s="1" t="str">
        <f>HYPERLINK("http://www.uniprot.org/uniprot/EIF1A_DANRE","EIF1A_DANRE")</f>
        <v>EIF1A_DANRE</v>
      </c>
      <c r="D11315" t="s">
        <v>5469</v>
      </c>
      <c r="E11315" s="3" t="s">
        <v>704</v>
      </c>
      <c r="F11315" s="4">
        <v>6.3300000000000003E-13</v>
      </c>
      <c r="G11315" s="3">
        <v>172</v>
      </c>
      <c r="H11315" s="3">
        <v>37</v>
      </c>
      <c r="I11315" s="3">
        <v>102</v>
      </c>
      <c r="J11315" s="3">
        <v>175</v>
      </c>
      <c r="K11315" s="3">
        <v>480</v>
      </c>
      <c r="L11315" s="3">
        <v>7</v>
      </c>
      <c r="M11315" s="3">
        <v>102</v>
      </c>
    </row>
    <row r="11316" spans="1:13" x14ac:dyDescent="0.25">
      <c r="A11316" s="1" t="str">
        <f>HYPERLINK("http://www.rosaceae.org/Prunus/Prunus_persica/p.persica_gdr_reftransV1_0001289","p.persica_gdr_reftransV1_0001289")</f>
        <v>p.persica_gdr_reftransV1_0001289</v>
      </c>
      <c r="B11316" s="3">
        <v>441</v>
      </c>
      <c r="C11316" s="1" t="str">
        <f>HYPERLINK("http://www.uniprot.org/uniprot/MYB26_ARATH","MYB26_ARATH")</f>
        <v>MYB26_ARATH</v>
      </c>
      <c r="D11316" t="s">
        <v>8014</v>
      </c>
      <c r="E11316" s="3" t="s">
        <v>3</v>
      </c>
      <c r="F11316" s="4">
        <v>1.86E-52</v>
      </c>
      <c r="G11316" s="3">
        <v>446</v>
      </c>
      <c r="H11316" s="3">
        <v>72</v>
      </c>
      <c r="I11316" s="3">
        <v>110</v>
      </c>
      <c r="J11316" s="3">
        <v>1</v>
      </c>
      <c r="K11316" s="3">
        <v>303</v>
      </c>
      <c r="L11316" s="3">
        <v>1</v>
      </c>
      <c r="M11316" s="3">
        <v>110</v>
      </c>
    </row>
    <row r="11317" spans="1:13" x14ac:dyDescent="0.25">
      <c r="A11317" s="1" t="str">
        <f>HYPERLINK("http://www.rosaceae.org/Prunus/Prunus_persica/p.persica_gdr_reftransV1_0001339","p.persica_gdr_reftransV1_0001339")</f>
        <v>p.persica_gdr_reftransV1_0001339</v>
      </c>
      <c r="B11317" s="3">
        <v>1049</v>
      </c>
      <c r="C11317" s="1" t="str">
        <f>HYPERLINK("http://www.uniprot.org/uniprot/CNGC1_ARATH","CNGC1_ARATH")</f>
        <v>CNGC1_ARATH</v>
      </c>
      <c r="D11317" t="s">
        <v>241</v>
      </c>
      <c r="E11317" s="3" t="s">
        <v>3</v>
      </c>
      <c r="F11317" s="4">
        <v>1.95E-41</v>
      </c>
      <c r="G11317" s="3">
        <v>398</v>
      </c>
      <c r="H11317" s="3">
        <v>45</v>
      </c>
      <c r="I11317" s="3">
        <v>235</v>
      </c>
      <c r="J11317" s="3">
        <v>361</v>
      </c>
      <c r="K11317" s="3">
        <v>1047</v>
      </c>
      <c r="L11317" s="3">
        <v>372</v>
      </c>
      <c r="M11317" s="3">
        <v>601</v>
      </c>
    </row>
    <row r="11318" spans="1:13" x14ac:dyDescent="0.25">
      <c r="A11318" s="1" t="str">
        <f>HYPERLINK("http://www.rosaceae.org/Prunus/Prunus_persica/p.persica_gdr_reftransV1_0001439","p.persica_gdr_reftransV1_0001439")</f>
        <v>p.persica_gdr_reftransV1_0001439</v>
      </c>
      <c r="B11318" s="3">
        <v>1506</v>
      </c>
      <c r="C11318" s="1" t="str">
        <f>HYPERLINK("http://www.uniprot.org/uniprot/POF21_ARATH","POF21_ARATH")</f>
        <v>POF21_ARATH</v>
      </c>
      <c r="D11318" t="s">
        <v>6170</v>
      </c>
      <c r="E11318" s="3" t="s">
        <v>3</v>
      </c>
      <c r="F11318" s="4">
        <v>2.77E-127</v>
      </c>
      <c r="G11318" s="3">
        <v>984</v>
      </c>
      <c r="H11318" s="3">
        <v>65</v>
      </c>
      <c r="I11318" s="3">
        <v>359</v>
      </c>
      <c r="J11318" s="3">
        <v>158</v>
      </c>
      <c r="K11318" s="3">
        <v>1219</v>
      </c>
      <c r="L11318" s="3">
        <v>1</v>
      </c>
      <c r="M11318" s="3">
        <v>324</v>
      </c>
    </row>
    <row r="11319" spans="1:13" x14ac:dyDescent="0.25">
      <c r="A11319" s="1" t="str">
        <f>HYPERLINK("http://www.rosaceae.org/Prunus/Prunus_persica/p.persica_gdr_reftransV1_0001489","p.persica_gdr_reftransV1_0001489")</f>
        <v>p.persica_gdr_reftransV1_0001489</v>
      </c>
      <c r="B11319" s="3">
        <v>2408</v>
      </c>
      <c r="C11319" s="1" t="str">
        <f>HYPERLINK("http://www.uniprot.org/uniprot/MBD4L_ARATH","MBD4L_ARATH")</f>
        <v>MBD4L_ARATH</v>
      </c>
      <c r="D11319" t="s">
        <v>330</v>
      </c>
      <c r="E11319" s="3" t="s">
        <v>3</v>
      </c>
      <c r="F11319" s="4">
        <v>5.8699999999999999E-81</v>
      </c>
      <c r="G11319" s="3">
        <v>697</v>
      </c>
      <c r="H11319" s="3">
        <v>51</v>
      </c>
      <c r="I11319" s="3">
        <v>279</v>
      </c>
      <c r="J11319" s="3">
        <v>1454</v>
      </c>
      <c r="K11319" s="3">
        <v>2290</v>
      </c>
      <c r="L11319" s="3">
        <v>173</v>
      </c>
      <c r="M11319" s="3">
        <v>439</v>
      </c>
    </row>
    <row r="11320" spans="1:13" x14ac:dyDescent="0.25">
      <c r="A11320" s="1" t="str">
        <f>HYPERLINK("http://www.rosaceae.org/Prunus/Prunus_persica/p.persica_gdr_reftransV1_0001639","p.persica_gdr_reftransV1_0001639")</f>
        <v>p.persica_gdr_reftransV1_0001639</v>
      </c>
      <c r="B11320" s="3">
        <v>560</v>
      </c>
      <c r="C11320" s="1" t="str">
        <f>HYPERLINK("http://www.uniprot.org/uniprot/RAX2_ARATH","RAX2_ARATH")</f>
        <v>RAX2_ARATH</v>
      </c>
      <c r="D11320" t="s">
        <v>8015</v>
      </c>
      <c r="E11320" s="3" t="s">
        <v>3</v>
      </c>
      <c r="F11320" s="4">
        <v>9.0000000000000006E-75</v>
      </c>
      <c r="G11320" s="3">
        <v>594</v>
      </c>
      <c r="H11320" s="3">
        <v>86</v>
      </c>
      <c r="I11320" s="3">
        <v>125</v>
      </c>
      <c r="J11320" s="3">
        <v>31</v>
      </c>
      <c r="K11320" s="3">
        <v>405</v>
      </c>
      <c r="L11320" s="3">
        <v>1</v>
      </c>
      <c r="M11320" s="3">
        <v>124</v>
      </c>
    </row>
    <row r="11321" spans="1:13" x14ac:dyDescent="0.25">
      <c r="A11321" s="1" t="str">
        <f>HYPERLINK("http://www.rosaceae.org/Prunus/Prunus_persica/p.persica_gdr_reftransV1_0001739","p.persica_gdr_reftransV1_0001739")</f>
        <v>p.persica_gdr_reftransV1_0001739</v>
      </c>
      <c r="B11321" s="3">
        <v>723</v>
      </c>
      <c r="C11321" s="1" t="str">
        <f>HYPERLINK("http://www.uniprot.org/uniprot/RL38_ARATH","RL38_ARATH")</f>
        <v>RL38_ARATH</v>
      </c>
      <c r="D11321" t="s">
        <v>4366</v>
      </c>
      <c r="E11321" s="3" t="s">
        <v>3</v>
      </c>
      <c r="F11321" s="4">
        <v>1.8699999999999999E-38</v>
      </c>
      <c r="G11321" s="3">
        <v>337</v>
      </c>
      <c r="H11321" s="3">
        <v>96</v>
      </c>
      <c r="I11321" s="3">
        <v>69</v>
      </c>
      <c r="J11321" s="3">
        <v>109</v>
      </c>
      <c r="K11321" s="3">
        <v>315</v>
      </c>
      <c r="L11321" s="3">
        <v>1</v>
      </c>
      <c r="M11321" s="3">
        <v>69</v>
      </c>
    </row>
    <row r="11322" spans="1:13" x14ac:dyDescent="0.25">
      <c r="A11322" s="1" t="str">
        <f>HYPERLINK("http://www.rosaceae.org/Prunus/Prunus_persica/p.persica_gdr_reftransV1_0001789","p.persica_gdr_reftransV1_0001789")</f>
        <v>p.persica_gdr_reftransV1_0001789</v>
      </c>
      <c r="B11322" s="3">
        <v>345</v>
      </c>
      <c r="C11322" s="1" t="str">
        <f>HYPERLINK("http://www.uniprot.org/uniprot/CLV1_ARATH","CLV1_ARATH")</f>
        <v>CLV1_ARATH</v>
      </c>
      <c r="D11322" t="s">
        <v>2635</v>
      </c>
      <c r="E11322" s="3" t="s">
        <v>3</v>
      </c>
      <c r="F11322" s="4">
        <v>1.11E-40</v>
      </c>
      <c r="G11322" s="3">
        <v>374</v>
      </c>
      <c r="H11322" s="3">
        <v>64</v>
      </c>
      <c r="I11322" s="3">
        <v>114</v>
      </c>
      <c r="J11322" s="3">
        <v>3</v>
      </c>
      <c r="K11322" s="3">
        <v>344</v>
      </c>
      <c r="L11322" s="3">
        <v>248</v>
      </c>
      <c r="M11322" s="3">
        <v>361</v>
      </c>
    </row>
    <row r="11323" spans="1:13" x14ac:dyDescent="0.25">
      <c r="A11323" s="1" t="str">
        <f>HYPERLINK("http://www.rosaceae.org/Prunus/Prunus_persica/p.persica_gdr_reftransV1_0001889","p.persica_gdr_reftransV1_0001889")</f>
        <v>p.persica_gdr_reftransV1_0001889</v>
      </c>
      <c r="B11323" s="3">
        <v>1621</v>
      </c>
      <c r="C11323" s="1" t="str">
        <f>HYPERLINK("http://www.uniprot.org/uniprot/CTL1_ARATH","CTL1_ARATH")</f>
        <v>CTL1_ARATH</v>
      </c>
      <c r="D11323" t="s">
        <v>7280</v>
      </c>
      <c r="E11323" s="3" t="s">
        <v>3</v>
      </c>
      <c r="F11323" s="4">
        <v>3.0199999999999998E-175</v>
      </c>
      <c r="G11323" s="3">
        <v>1298</v>
      </c>
      <c r="H11323" s="3">
        <v>81</v>
      </c>
      <c r="I11323" s="3">
        <v>284</v>
      </c>
      <c r="J11323" s="3">
        <v>374</v>
      </c>
      <c r="K11323" s="3">
        <v>1225</v>
      </c>
      <c r="L11323" s="3">
        <v>30</v>
      </c>
      <c r="M11323" s="3">
        <v>313</v>
      </c>
    </row>
    <row r="11324" spans="1:13" x14ac:dyDescent="0.25">
      <c r="A11324" s="1" t="str">
        <f>HYPERLINK("http://www.rosaceae.org/Prunus/Prunus_persica/p.persica_gdr_reftransV1_0002039","p.persica_gdr_reftransV1_0002039")</f>
        <v>p.persica_gdr_reftransV1_0002039</v>
      </c>
      <c r="B11324" s="3">
        <v>1772</v>
      </c>
      <c r="C11324" s="1" t="str">
        <f>HYPERLINK("http://www.uniprot.org/uniprot/ZDH17_ARATH","ZDH17_ARATH")</f>
        <v>ZDH17_ARATH</v>
      </c>
      <c r="D11324" t="s">
        <v>1923</v>
      </c>
      <c r="E11324" s="3" t="s">
        <v>3</v>
      </c>
      <c r="F11324" s="4">
        <v>1.8499999999999999E-97</v>
      </c>
      <c r="G11324" s="3">
        <v>817</v>
      </c>
      <c r="H11324" s="3">
        <v>59</v>
      </c>
      <c r="I11324" s="3">
        <v>370</v>
      </c>
      <c r="J11324" s="3">
        <v>496</v>
      </c>
      <c r="K11324" s="3">
        <v>1557</v>
      </c>
      <c r="L11324" s="3">
        <v>351</v>
      </c>
      <c r="M11324" s="3">
        <v>715</v>
      </c>
    </row>
    <row r="11325" spans="1:13" x14ac:dyDescent="0.25">
      <c r="A11325" s="1" t="str">
        <f>HYPERLINK("http://www.rosaceae.org/Prunus/Prunus_persica/p.persica_gdr_reftransV1_0002189","p.persica_gdr_reftransV1_0002189")</f>
        <v>p.persica_gdr_reftransV1_0002189</v>
      </c>
      <c r="B11325" s="3">
        <v>1065</v>
      </c>
      <c r="C11325" s="1" t="str">
        <f>HYPERLINK("http://www.uniprot.org/uniprot/DI197_ARATH","DI197_ARATH")</f>
        <v>DI197_ARATH</v>
      </c>
      <c r="D11325" t="s">
        <v>8016</v>
      </c>
      <c r="E11325" s="3" t="s">
        <v>3</v>
      </c>
      <c r="F11325" s="4">
        <v>3.0599999999999999E-65</v>
      </c>
      <c r="G11325" s="3">
        <v>539</v>
      </c>
      <c r="H11325" s="3">
        <v>54</v>
      </c>
      <c r="I11325" s="3">
        <v>193</v>
      </c>
      <c r="J11325" s="3">
        <v>208</v>
      </c>
      <c r="K11325" s="3">
        <v>783</v>
      </c>
      <c r="L11325" s="3">
        <v>27</v>
      </c>
      <c r="M11325" s="3">
        <v>209</v>
      </c>
    </row>
    <row r="11326" spans="1:13" x14ac:dyDescent="0.25">
      <c r="A11326" s="1" t="str">
        <f>HYPERLINK("http://www.rosaceae.org/Prunus/Prunus_persica/p.persica_gdr_reftransV1_0002389","p.persica_gdr_reftransV1_0002389")</f>
        <v>p.persica_gdr_reftransV1_0002389</v>
      </c>
      <c r="B11326" s="3">
        <v>436</v>
      </c>
      <c r="C11326" s="1" t="str">
        <f>HYPERLINK("http://www.uniprot.org/uniprot/PMA1_NEUCR","PMA1_NEUCR")</f>
        <v>PMA1_NEUCR</v>
      </c>
      <c r="D11326" t="s">
        <v>6061</v>
      </c>
      <c r="E11326" s="3" t="s">
        <v>435</v>
      </c>
      <c r="F11326" s="4">
        <v>2.8700000000000001E-86</v>
      </c>
      <c r="G11326" s="3">
        <v>706</v>
      </c>
      <c r="H11326" s="3">
        <v>91</v>
      </c>
      <c r="I11326" s="3">
        <v>145</v>
      </c>
      <c r="J11326" s="3">
        <v>2</v>
      </c>
      <c r="K11326" s="3">
        <v>436</v>
      </c>
      <c r="L11326" s="3">
        <v>651</v>
      </c>
      <c r="M11326" s="3">
        <v>795</v>
      </c>
    </row>
    <row r="11327" spans="1:13" x14ac:dyDescent="0.25">
      <c r="A11327" s="1" t="str">
        <f>HYPERLINK("http://www.rosaceae.org/Prunus/Prunus_persica/p.persica_gdr_reftransV1_0002439","p.persica_gdr_reftransV1_0002439")</f>
        <v>p.persica_gdr_reftransV1_0002439</v>
      </c>
      <c r="B11327" s="3">
        <v>444</v>
      </c>
      <c r="C11327" s="1" t="str">
        <f>HYPERLINK("http://www.uniprot.org/uniprot/BGL13_ORYSJ","BGL13_ORYSJ")</f>
        <v>BGL13_ORYSJ</v>
      </c>
      <c r="D11327" t="s">
        <v>1113</v>
      </c>
      <c r="E11327" s="3" t="s">
        <v>38</v>
      </c>
      <c r="F11327" s="4">
        <v>3.3999999999999997E-55</v>
      </c>
      <c r="G11327" s="3">
        <v>472</v>
      </c>
      <c r="H11327" s="3">
        <v>61</v>
      </c>
      <c r="I11327" s="3">
        <v>146</v>
      </c>
      <c r="J11327" s="3">
        <v>2</v>
      </c>
      <c r="K11327" s="3">
        <v>439</v>
      </c>
      <c r="L11327" s="3">
        <v>326</v>
      </c>
      <c r="M11327" s="3">
        <v>471</v>
      </c>
    </row>
    <row r="11328" spans="1:13" x14ac:dyDescent="0.25">
      <c r="A11328" s="1" t="str">
        <f>HYPERLINK("http://www.rosaceae.org/Prunus/Prunus_persica/p.persica_gdr_reftransV1_0002539","p.persica_gdr_reftransV1_0002539")</f>
        <v>p.persica_gdr_reftransV1_0002539</v>
      </c>
      <c r="B11328" s="3">
        <v>706</v>
      </c>
      <c r="C11328" s="1" t="str">
        <f>HYPERLINK("http://www.uniprot.org/uniprot/C71A6_NEPRA","C71A6_NEPRA")</f>
        <v>C71A6_NEPRA</v>
      </c>
      <c r="D11328" t="s">
        <v>8017</v>
      </c>
      <c r="E11328" s="3" t="s">
        <v>8018</v>
      </c>
      <c r="F11328" s="4">
        <v>8.7700000000000002E-85</v>
      </c>
      <c r="G11328" s="3">
        <v>683</v>
      </c>
      <c r="H11328" s="3">
        <v>56</v>
      </c>
      <c r="I11328" s="3">
        <v>219</v>
      </c>
      <c r="J11328" s="3">
        <v>39</v>
      </c>
      <c r="K11328" s="3">
        <v>695</v>
      </c>
      <c r="L11328" s="3">
        <v>291</v>
      </c>
      <c r="M11328" s="3">
        <v>508</v>
      </c>
    </row>
    <row r="11329" spans="1:13" x14ac:dyDescent="0.25">
      <c r="A11329" s="1" t="str">
        <f>HYPERLINK("http://www.rosaceae.org/Prunus/Prunus_persica/p.persica_gdr_reftransV1_0002589","p.persica_gdr_reftransV1_0002589")</f>
        <v>p.persica_gdr_reftransV1_0002589</v>
      </c>
      <c r="B11329" s="3">
        <v>752</v>
      </c>
      <c r="C11329" s="1" t="str">
        <f>HYPERLINK("http://www.uniprot.org/uniprot/SUS3_ARATH","SUS3_ARATH")</f>
        <v>SUS3_ARATH</v>
      </c>
      <c r="D11329" t="s">
        <v>5125</v>
      </c>
      <c r="E11329" s="3" t="s">
        <v>3</v>
      </c>
      <c r="F11329" s="4">
        <v>4.8500000000000002E-73</v>
      </c>
      <c r="G11329" s="3">
        <v>621</v>
      </c>
      <c r="H11329" s="3">
        <v>76</v>
      </c>
      <c r="I11329" s="3">
        <v>136</v>
      </c>
      <c r="J11329" s="3">
        <v>1</v>
      </c>
      <c r="K11329" s="3">
        <v>408</v>
      </c>
      <c r="L11329" s="3">
        <v>668</v>
      </c>
      <c r="M11329" s="3">
        <v>803</v>
      </c>
    </row>
    <row r="11330" spans="1:13" x14ac:dyDescent="0.25">
      <c r="A11330" s="1" t="str">
        <f>HYPERLINK("http://www.rosaceae.org/Prunus/Prunus_persica/p.persica_gdr_reftransV1_0002689","p.persica_gdr_reftransV1_0002689")</f>
        <v>p.persica_gdr_reftransV1_0002689</v>
      </c>
      <c r="B11330" s="3">
        <v>1547</v>
      </c>
      <c r="C11330" s="1" t="str">
        <f>HYPERLINK("http://www.uniprot.org/uniprot/HIS1B_ARATH","HIS1B_ARATH")</f>
        <v>HIS1B_ARATH</v>
      </c>
      <c r="D11330" t="s">
        <v>8019</v>
      </c>
      <c r="E11330" s="3" t="s">
        <v>3</v>
      </c>
      <c r="F11330" s="4">
        <v>0</v>
      </c>
      <c r="G11330" s="3">
        <v>1538</v>
      </c>
      <c r="H11330" s="3">
        <v>80</v>
      </c>
      <c r="I11330" s="3">
        <v>363</v>
      </c>
      <c r="J11330" s="3">
        <v>255</v>
      </c>
      <c r="K11330" s="3">
        <v>1328</v>
      </c>
      <c r="L11330" s="3">
        <v>53</v>
      </c>
      <c r="M11330" s="3">
        <v>413</v>
      </c>
    </row>
    <row r="11331" spans="1:13" x14ac:dyDescent="0.25">
      <c r="A11331" s="1" t="str">
        <f>HYPERLINK("http://www.rosaceae.org/Prunus/Prunus_persica/p.persica_gdr_reftransV1_0002739","p.persica_gdr_reftransV1_0002739")</f>
        <v>p.persica_gdr_reftransV1_0002739</v>
      </c>
      <c r="B11331" s="3">
        <v>1790</v>
      </c>
      <c r="C11331" s="1" t="str">
        <f>HYPERLINK("http://www.uniprot.org/uniprot/B3GTB_ARATH","B3GTB_ARATH")</f>
        <v>B3GTB_ARATH</v>
      </c>
      <c r="D11331" t="s">
        <v>6806</v>
      </c>
      <c r="E11331" s="3" t="s">
        <v>3</v>
      </c>
      <c r="F11331" s="4">
        <v>6.3200000000000002E-138</v>
      </c>
      <c r="G11331" s="3">
        <v>1014</v>
      </c>
      <c r="H11331" s="3">
        <v>72</v>
      </c>
      <c r="I11331" s="3">
        <v>254</v>
      </c>
      <c r="J11331" s="3">
        <v>604</v>
      </c>
      <c r="K11331" s="3">
        <v>1365</v>
      </c>
      <c r="L11331" s="3">
        <v>17</v>
      </c>
      <c r="M11331" s="3">
        <v>270</v>
      </c>
    </row>
    <row r="11332" spans="1:13" x14ac:dyDescent="0.25">
      <c r="A11332" s="1" t="str">
        <f>HYPERLINK("http://www.rosaceae.org/Prunus/Prunus_persica/p.persica_gdr_reftransV1_0002789","p.persica_gdr_reftransV1_0002789")</f>
        <v>p.persica_gdr_reftransV1_0002789</v>
      </c>
      <c r="B11332" s="3">
        <v>623</v>
      </c>
      <c r="C11332" s="1" t="str">
        <f>HYPERLINK("http://www.uniprot.org/uniprot/AGL19_ARATH","AGL19_ARATH")</f>
        <v>AGL19_ARATH</v>
      </c>
      <c r="D11332" t="s">
        <v>8020</v>
      </c>
      <c r="E11332" s="3" t="s">
        <v>3</v>
      </c>
      <c r="F11332" s="4">
        <v>2.1800000000000002E-59</v>
      </c>
      <c r="G11332" s="3">
        <v>487</v>
      </c>
      <c r="H11332" s="3">
        <v>68</v>
      </c>
      <c r="I11332" s="3">
        <v>142</v>
      </c>
      <c r="J11332" s="3">
        <v>112</v>
      </c>
      <c r="K11332" s="3">
        <v>537</v>
      </c>
      <c r="L11332" s="3">
        <v>1</v>
      </c>
      <c r="M11332" s="3">
        <v>141</v>
      </c>
    </row>
    <row r="11333" spans="1:13" x14ac:dyDescent="0.25">
      <c r="A11333" s="1" t="str">
        <f>HYPERLINK("http://www.rosaceae.org/Prunus/Prunus_persica/p.persica_gdr_reftransV1_0002889","p.persica_gdr_reftransV1_0002889")</f>
        <v>p.persica_gdr_reftransV1_0002889</v>
      </c>
      <c r="B11333" s="3">
        <v>1872</v>
      </c>
      <c r="C11333" s="1" t="str">
        <f>HYPERLINK("http://www.uniprot.org/uniprot/ASHH3_ARATH","ASHH3_ARATH")</f>
        <v>ASHH3_ARATH</v>
      </c>
      <c r="D11333" t="s">
        <v>8021</v>
      </c>
      <c r="E11333" s="3" t="s">
        <v>3</v>
      </c>
      <c r="F11333" s="4">
        <v>3.5199999999999998E-129</v>
      </c>
      <c r="G11333" s="3">
        <v>874</v>
      </c>
      <c r="H11333" s="3">
        <v>79</v>
      </c>
      <c r="I11333" s="3">
        <v>233</v>
      </c>
      <c r="J11333" s="3">
        <v>313</v>
      </c>
      <c r="K11333" s="3">
        <v>1005</v>
      </c>
      <c r="L11333" s="3">
        <v>1</v>
      </c>
      <c r="M11333" s="3">
        <v>233</v>
      </c>
    </row>
    <row r="11334" spans="1:13" x14ac:dyDescent="0.25">
      <c r="A11334" s="1" t="str">
        <f>HYPERLINK("http://www.rosaceae.org/Prunus/Prunus_persica/p.persica_gdr_reftransV1_0002989","p.persica_gdr_reftransV1_0002989")</f>
        <v>p.persica_gdr_reftransV1_0002989</v>
      </c>
      <c r="B11334" s="3">
        <v>304</v>
      </c>
      <c r="C11334" s="1" t="str">
        <f>HYPERLINK("http://www.uniprot.org/uniprot/GLYT1_ARATH","GLYT1_ARATH")</f>
        <v>GLYT1_ARATH</v>
      </c>
      <c r="D11334" t="s">
        <v>8022</v>
      </c>
      <c r="E11334" s="3" t="s">
        <v>3</v>
      </c>
      <c r="F11334" s="4">
        <v>1.71E-25</v>
      </c>
      <c r="G11334" s="3">
        <v>255</v>
      </c>
      <c r="H11334" s="3">
        <v>62</v>
      </c>
      <c r="I11334" s="3">
        <v>89</v>
      </c>
      <c r="J11334" s="3">
        <v>49</v>
      </c>
      <c r="K11334" s="3">
        <v>303</v>
      </c>
      <c r="L11334" s="3">
        <v>82</v>
      </c>
      <c r="M11334" s="3">
        <v>168</v>
      </c>
    </row>
    <row r="11335" spans="1:13" x14ac:dyDescent="0.25">
      <c r="A11335" s="1" t="str">
        <f>HYPERLINK("http://www.rosaceae.org/Prunus/Prunus_persica/p.persica_gdr_reftransV1_0003089","p.persica_gdr_reftransV1_0003089")</f>
        <v>p.persica_gdr_reftransV1_0003089</v>
      </c>
      <c r="B11335" s="3">
        <v>907</v>
      </c>
      <c r="C11335" s="1" t="str">
        <f>HYPERLINK("http://www.uniprot.org/uniprot/RAB5_TOBAC","RAB5_TOBAC")</f>
        <v>RAB5_TOBAC</v>
      </c>
      <c r="D11335" t="s">
        <v>8023</v>
      </c>
      <c r="E11335" s="3" t="s">
        <v>200</v>
      </c>
      <c r="F11335" s="4">
        <v>5.2999999999999997E-34</v>
      </c>
      <c r="G11335" s="3">
        <v>322</v>
      </c>
      <c r="H11335" s="3">
        <v>52</v>
      </c>
      <c r="I11335" s="3">
        <v>126</v>
      </c>
      <c r="J11335" s="3">
        <v>34</v>
      </c>
      <c r="K11335" s="3">
        <v>408</v>
      </c>
      <c r="L11335" s="3">
        <v>69</v>
      </c>
      <c r="M11335" s="3">
        <v>191</v>
      </c>
    </row>
    <row r="11336" spans="1:13" x14ac:dyDescent="0.25">
      <c r="A11336" s="1" t="str">
        <f>HYPERLINK("http://www.rosaceae.org/Prunus/Prunus_persica/p.persica_gdr_reftransV1_0003139","p.persica_gdr_reftransV1_0003139")</f>
        <v>p.persica_gdr_reftransV1_0003139</v>
      </c>
      <c r="B11336" s="3">
        <v>2312</v>
      </c>
      <c r="C11336" s="1" t="str">
        <f>HYPERLINK("http://www.uniprot.org/uniprot/AUL1_ARATH","AUL1_ARATH")</f>
        <v>AUL1_ARATH</v>
      </c>
      <c r="D11336" t="s">
        <v>8024</v>
      </c>
      <c r="E11336" s="3" t="s">
        <v>3</v>
      </c>
      <c r="F11336" s="4">
        <v>4.5900000000000002E-7</v>
      </c>
      <c r="G11336" s="3">
        <v>138</v>
      </c>
      <c r="H11336" s="3">
        <v>47</v>
      </c>
      <c r="I11336" s="3">
        <v>70</v>
      </c>
      <c r="J11336" s="3">
        <v>26</v>
      </c>
      <c r="K11336" s="3">
        <v>235</v>
      </c>
      <c r="L11336" s="3">
        <v>40</v>
      </c>
      <c r="M11336" s="3">
        <v>107</v>
      </c>
    </row>
    <row r="11337" spans="1:13" x14ac:dyDescent="0.25">
      <c r="A11337" s="1" t="str">
        <f>HYPERLINK("http://www.rosaceae.org/Prunus/Prunus_persica/p.persica_gdr_reftransV1_0003239","p.persica_gdr_reftransV1_0003239")</f>
        <v>p.persica_gdr_reftransV1_0003239</v>
      </c>
      <c r="B11337" s="3">
        <v>653</v>
      </c>
      <c r="C11337" s="1" t="str">
        <f>HYPERLINK("http://www.uniprot.org/uniprot/PP274_ARATH","PP274_ARATH")</f>
        <v>PP274_ARATH</v>
      </c>
      <c r="D11337" t="s">
        <v>6513</v>
      </c>
      <c r="E11337" s="3" t="s">
        <v>3</v>
      </c>
      <c r="F11337" s="4">
        <v>1.15E-101</v>
      </c>
      <c r="G11337" s="3">
        <v>810</v>
      </c>
      <c r="H11337" s="3">
        <v>67</v>
      </c>
      <c r="I11337" s="3">
        <v>217</v>
      </c>
      <c r="J11337" s="3">
        <v>3</v>
      </c>
      <c r="K11337" s="3">
        <v>653</v>
      </c>
      <c r="L11337" s="3">
        <v>401</v>
      </c>
      <c r="M11337" s="3">
        <v>617</v>
      </c>
    </row>
    <row r="11338" spans="1:13" x14ac:dyDescent="0.25">
      <c r="A11338" s="1" t="str">
        <f>HYPERLINK("http://www.rosaceae.org/Prunus/Prunus_persica/p.persica_gdr_reftransV1_0003289","p.persica_gdr_reftransV1_0003289")</f>
        <v>p.persica_gdr_reftransV1_0003289</v>
      </c>
      <c r="B11338" s="3">
        <v>1950</v>
      </c>
      <c r="C11338" s="1" t="str">
        <f>HYPERLINK("http://www.uniprot.org/uniprot/WDR13_PANTR","WDR13_PANTR")</f>
        <v>WDR13_PANTR</v>
      </c>
      <c r="D11338" t="s">
        <v>8025</v>
      </c>
      <c r="E11338" s="3" t="s">
        <v>986</v>
      </c>
      <c r="F11338" s="4">
        <v>9.7600000000000006E-42</v>
      </c>
      <c r="G11338" s="3">
        <v>369</v>
      </c>
      <c r="H11338" s="3">
        <v>32</v>
      </c>
      <c r="I11338" s="3">
        <v>342</v>
      </c>
      <c r="J11338" s="3">
        <v>434</v>
      </c>
      <c r="K11338" s="3">
        <v>1438</v>
      </c>
      <c r="L11338" s="3">
        <v>158</v>
      </c>
      <c r="M11338" s="3">
        <v>452</v>
      </c>
    </row>
    <row r="11339" spans="1:13" x14ac:dyDescent="0.25">
      <c r="A11339" s="1" t="str">
        <f>HYPERLINK("http://www.rosaceae.org/Prunus/Prunus_persica/p.persica_gdr_reftransV1_0003339","p.persica_gdr_reftransV1_0003339")</f>
        <v>p.persica_gdr_reftransV1_0003339</v>
      </c>
      <c r="B11339" s="3">
        <v>362</v>
      </c>
      <c r="C11339" s="1" t="str">
        <f>HYPERLINK("http://www.uniprot.org/uniprot/CP74_LINUS","CP74_LINUS")</f>
        <v>CP74_LINUS</v>
      </c>
      <c r="D11339" t="s">
        <v>3545</v>
      </c>
      <c r="E11339" s="3" t="s">
        <v>3546</v>
      </c>
      <c r="F11339" s="4">
        <v>5.9300000000000004E-38</v>
      </c>
      <c r="G11339" s="3">
        <v>348</v>
      </c>
      <c r="H11339" s="3">
        <v>63</v>
      </c>
      <c r="I11339" s="3">
        <v>98</v>
      </c>
      <c r="J11339" s="3">
        <v>2</v>
      </c>
      <c r="K11339" s="3">
        <v>295</v>
      </c>
      <c r="L11339" s="3">
        <v>70</v>
      </c>
      <c r="M11339" s="3">
        <v>167</v>
      </c>
    </row>
    <row r="11340" spans="1:13" x14ac:dyDescent="0.25">
      <c r="A11340" s="1" t="str">
        <f>HYPERLINK("http://www.rosaceae.org/Prunus/Prunus_persica/p.persica_gdr_reftransV1_0003539","p.persica_gdr_reftransV1_0003539")</f>
        <v>p.persica_gdr_reftransV1_0003539</v>
      </c>
      <c r="B11340" s="3">
        <v>851</v>
      </c>
      <c r="C11340" s="1" t="str">
        <f>HYPERLINK("http://www.uniprot.org/uniprot/VSP55_ARATH","VSP55_ARATH")</f>
        <v>VSP55_ARATH</v>
      </c>
      <c r="D11340" t="s">
        <v>2388</v>
      </c>
      <c r="E11340" s="3" t="s">
        <v>3</v>
      </c>
      <c r="F11340" s="4">
        <v>7.9799999999999996E-35</v>
      </c>
      <c r="G11340" s="3">
        <v>322</v>
      </c>
      <c r="H11340" s="3">
        <v>54</v>
      </c>
      <c r="I11340" s="3">
        <v>117</v>
      </c>
      <c r="J11340" s="3">
        <v>358</v>
      </c>
      <c r="K11340" s="3">
        <v>699</v>
      </c>
      <c r="L11340" s="3">
        <v>17</v>
      </c>
      <c r="M11340" s="3">
        <v>133</v>
      </c>
    </row>
    <row r="11341" spans="1:13" x14ac:dyDescent="0.25">
      <c r="A11341" s="1" t="str">
        <f>HYPERLINK("http://www.rosaceae.org/Prunus/Prunus_persica/p.persica_gdr_reftransV1_0003739","p.persica_gdr_reftransV1_0003739")</f>
        <v>p.persica_gdr_reftransV1_0003739</v>
      </c>
      <c r="B11341" s="3">
        <v>572</v>
      </c>
      <c r="C11341" s="1" t="str">
        <f>HYPERLINK("http://www.uniprot.org/uniprot/IF5A_CANAL","IF5A_CANAL")</f>
        <v>IF5A_CANAL</v>
      </c>
      <c r="D11341" t="s">
        <v>8026</v>
      </c>
      <c r="E11341" s="3" t="s">
        <v>4420</v>
      </c>
      <c r="F11341" s="4">
        <v>3.9199999999999999E-79</v>
      </c>
      <c r="G11341" s="3">
        <v>611</v>
      </c>
      <c r="H11341" s="3">
        <v>76</v>
      </c>
      <c r="I11341" s="3">
        <v>153</v>
      </c>
      <c r="J11341" s="3">
        <v>111</v>
      </c>
      <c r="K11341" s="3">
        <v>569</v>
      </c>
      <c r="L11341" s="3">
        <v>4</v>
      </c>
      <c r="M11341" s="3">
        <v>154</v>
      </c>
    </row>
    <row r="11342" spans="1:13" x14ac:dyDescent="0.25">
      <c r="A11342" s="1" t="str">
        <f>HYPERLINK("http://www.rosaceae.org/Prunus/Prunus_persica/p.persica_gdr_reftransV1_0003889","p.persica_gdr_reftransV1_0003889")</f>
        <v>p.persica_gdr_reftransV1_0003889</v>
      </c>
      <c r="B11342" s="3">
        <v>972</v>
      </c>
      <c r="C11342" s="1" t="str">
        <f>HYPERLINK("http://www.uniprot.org/uniprot/UGPI3_ARATH","UGPI3_ARATH")</f>
        <v>UGPI3_ARATH</v>
      </c>
      <c r="D11342" t="s">
        <v>6985</v>
      </c>
      <c r="E11342" s="3" t="s">
        <v>3</v>
      </c>
      <c r="F11342" s="4">
        <v>1.19E-43</v>
      </c>
      <c r="G11342" s="3">
        <v>389</v>
      </c>
      <c r="H11342" s="3">
        <v>48</v>
      </c>
      <c r="I11342" s="3">
        <v>149</v>
      </c>
      <c r="J11342" s="3">
        <v>342</v>
      </c>
      <c r="K11342" s="3">
        <v>773</v>
      </c>
      <c r="L11342" s="3">
        <v>28</v>
      </c>
      <c r="M11342" s="3">
        <v>176</v>
      </c>
    </row>
    <row r="11343" spans="1:13" x14ac:dyDescent="0.25">
      <c r="A11343" s="1" t="str">
        <f>HYPERLINK("http://www.rosaceae.org/Prunus/Prunus_persica/p.persica_gdr_reftransV1_0003939","p.persica_gdr_reftransV1_0003939")</f>
        <v>p.persica_gdr_reftransV1_0003939</v>
      </c>
      <c r="B11343" s="3">
        <v>330</v>
      </c>
      <c r="C11343" s="1" t="str">
        <f>HYPERLINK("http://www.uniprot.org/uniprot/EGLD_ASPTN","EGLD_ASPTN")</f>
        <v>EGLD_ASPTN</v>
      </c>
      <c r="D11343" t="s">
        <v>8027</v>
      </c>
      <c r="E11343" s="3" t="s">
        <v>1115</v>
      </c>
      <c r="F11343" s="4">
        <v>1.8500000000000001E-27</v>
      </c>
      <c r="G11343" s="3">
        <v>268</v>
      </c>
      <c r="H11343" s="3">
        <v>53</v>
      </c>
      <c r="I11343" s="3">
        <v>111</v>
      </c>
      <c r="J11343" s="3">
        <v>9</v>
      </c>
      <c r="K11343" s="3">
        <v>329</v>
      </c>
      <c r="L11343" s="3">
        <v>20</v>
      </c>
      <c r="M11343" s="3">
        <v>129</v>
      </c>
    </row>
    <row r="11344" spans="1:13" x14ac:dyDescent="0.25">
      <c r="A11344" s="1" t="str">
        <f>HYPERLINK("http://www.rosaceae.org/Prunus/Prunus_persica/p.persica_gdr_reftransV1_0003989","p.persica_gdr_reftransV1_0003989")</f>
        <v>p.persica_gdr_reftransV1_0003989</v>
      </c>
      <c r="B11344" s="3">
        <v>2250</v>
      </c>
      <c r="C11344" s="1" t="str">
        <f>HYPERLINK("http://www.uniprot.org/uniprot/TPP2_ARATH","TPP2_ARATH")</f>
        <v>TPP2_ARATH</v>
      </c>
      <c r="D11344" t="s">
        <v>8028</v>
      </c>
      <c r="E11344" s="3" t="s">
        <v>3</v>
      </c>
      <c r="F11344" s="4">
        <v>1.7199999999999999E-136</v>
      </c>
      <c r="G11344" s="3">
        <v>1065</v>
      </c>
      <c r="H11344" s="3">
        <v>58</v>
      </c>
      <c r="I11344" s="3">
        <v>379</v>
      </c>
      <c r="J11344" s="3">
        <v>390</v>
      </c>
      <c r="K11344" s="3">
        <v>1505</v>
      </c>
      <c r="L11344" s="3">
        <v>1</v>
      </c>
      <c r="M11344" s="3">
        <v>367</v>
      </c>
    </row>
    <row r="11345" spans="1:13" x14ac:dyDescent="0.25">
      <c r="A11345" s="1" t="str">
        <f>HYPERLINK("http://www.rosaceae.org/Prunus/Prunus_persica/p.persica_gdr_reftransV1_0004039","p.persica_gdr_reftransV1_0004039")</f>
        <v>p.persica_gdr_reftransV1_0004039</v>
      </c>
      <c r="B11345" s="3">
        <v>1959</v>
      </c>
      <c r="C11345" s="1" t="str">
        <f>HYPERLINK("http://www.uniprot.org/uniprot/HDA2_ARATH","HDA2_ARATH")</f>
        <v>HDA2_ARATH</v>
      </c>
      <c r="D11345" t="s">
        <v>8029</v>
      </c>
      <c r="E11345" s="3" t="s">
        <v>3</v>
      </c>
      <c r="F11345" s="4">
        <v>3.5500000000000001E-149</v>
      </c>
      <c r="G11345" s="3">
        <v>1143</v>
      </c>
      <c r="H11345" s="3">
        <v>61</v>
      </c>
      <c r="I11345" s="3">
        <v>384</v>
      </c>
      <c r="J11345" s="3">
        <v>2</v>
      </c>
      <c r="K11345" s="3">
        <v>1153</v>
      </c>
      <c r="L11345" s="3">
        <v>8</v>
      </c>
      <c r="M11345" s="3">
        <v>330</v>
      </c>
    </row>
    <row r="11346" spans="1:13" x14ac:dyDescent="0.25">
      <c r="A11346" s="1" t="str">
        <f>HYPERLINK("http://www.rosaceae.org/Prunus/Prunus_persica/p.persica_gdr_reftransV1_0004189","p.persica_gdr_reftransV1_0004189")</f>
        <v>p.persica_gdr_reftransV1_0004189</v>
      </c>
      <c r="B11346" s="3">
        <v>1298</v>
      </c>
      <c r="C11346" s="1" t="str">
        <f>HYPERLINK("http://www.uniprot.org/uniprot/KAD7_ARATH","KAD7_ARATH")</f>
        <v>KAD7_ARATH</v>
      </c>
      <c r="D11346" t="s">
        <v>8030</v>
      </c>
      <c r="E11346" s="3" t="s">
        <v>3</v>
      </c>
      <c r="F11346" s="4">
        <v>4.3800000000000002E-70</v>
      </c>
      <c r="G11346" s="3">
        <v>583</v>
      </c>
      <c r="H11346" s="3">
        <v>55</v>
      </c>
      <c r="I11346" s="3">
        <v>282</v>
      </c>
      <c r="J11346" s="3">
        <v>112</v>
      </c>
      <c r="K11346" s="3">
        <v>954</v>
      </c>
      <c r="L11346" s="3">
        <v>1</v>
      </c>
      <c r="M11346" s="3">
        <v>262</v>
      </c>
    </row>
    <row r="11347" spans="1:13" x14ac:dyDescent="0.25">
      <c r="A11347" s="1" t="str">
        <f>HYPERLINK("http://www.rosaceae.org/Prunus/Prunus_persica/p.persica_gdr_reftransV1_0004239","p.persica_gdr_reftransV1_0004239")</f>
        <v>p.persica_gdr_reftransV1_0004239</v>
      </c>
      <c r="B11347" s="3">
        <v>2469</v>
      </c>
      <c r="C11347" s="1" t="str">
        <f>HYPERLINK("http://www.uniprot.org/uniprot/PXC1_ARATH","PXC1_ARATH")</f>
        <v>PXC1_ARATH</v>
      </c>
      <c r="D11347" t="s">
        <v>8031</v>
      </c>
      <c r="E11347" s="3" t="s">
        <v>3</v>
      </c>
      <c r="F11347" s="4">
        <v>0</v>
      </c>
      <c r="G11347" s="3">
        <v>2074</v>
      </c>
      <c r="H11347" s="3">
        <v>68</v>
      </c>
      <c r="I11347" s="3">
        <v>657</v>
      </c>
      <c r="J11347" s="3">
        <v>153</v>
      </c>
      <c r="K11347" s="3">
        <v>2096</v>
      </c>
      <c r="L11347" s="3">
        <v>22</v>
      </c>
      <c r="M11347" s="3">
        <v>671</v>
      </c>
    </row>
    <row r="11348" spans="1:13" x14ac:dyDescent="0.25">
      <c r="A11348" s="1" t="str">
        <f>HYPERLINK("http://www.rosaceae.org/Prunus/Prunus_persica/p.persica_gdr_reftransV1_0004289","p.persica_gdr_reftransV1_0004289")</f>
        <v>p.persica_gdr_reftransV1_0004289</v>
      </c>
      <c r="B11348" s="3">
        <v>821</v>
      </c>
      <c r="C11348" s="1" t="str">
        <f>HYPERLINK("http://www.uniprot.org/uniprot/R13L1_ARATH","R13L1_ARATH")</f>
        <v>R13L1_ARATH</v>
      </c>
      <c r="D11348" t="s">
        <v>100</v>
      </c>
      <c r="E11348" s="3" t="s">
        <v>3</v>
      </c>
      <c r="F11348" s="4">
        <v>1.6199999999999999E-60</v>
      </c>
      <c r="G11348" s="3">
        <v>538</v>
      </c>
      <c r="H11348" s="3">
        <v>44</v>
      </c>
      <c r="I11348" s="3">
        <v>268</v>
      </c>
      <c r="J11348" s="3">
        <v>52</v>
      </c>
      <c r="K11348" s="3">
        <v>819</v>
      </c>
      <c r="L11348" s="3">
        <v>612</v>
      </c>
      <c r="M11348" s="3">
        <v>879</v>
      </c>
    </row>
    <row r="11349" spans="1:13" x14ac:dyDescent="0.25">
      <c r="A11349" s="1" t="str">
        <f>HYPERLINK("http://www.rosaceae.org/Prunus/Prunus_persica/p.persica_gdr_reftransV1_0004539","p.persica_gdr_reftransV1_0004539")</f>
        <v>p.persica_gdr_reftransV1_0004539</v>
      </c>
      <c r="B11349" s="3">
        <v>603</v>
      </c>
      <c r="C11349" s="1" t="str">
        <f>HYPERLINK("http://www.uniprot.org/uniprot/PARP2_MAIZE","PARP2_MAIZE")</f>
        <v>PARP2_MAIZE</v>
      </c>
      <c r="D11349" t="s">
        <v>8032</v>
      </c>
      <c r="E11349" s="3" t="s">
        <v>72</v>
      </c>
      <c r="F11349" s="4">
        <v>3.05E-108</v>
      </c>
      <c r="G11349" s="3">
        <v>847</v>
      </c>
      <c r="H11349" s="3">
        <v>74</v>
      </c>
      <c r="I11349" s="3">
        <v>201</v>
      </c>
      <c r="J11349" s="3">
        <v>1</v>
      </c>
      <c r="K11349" s="3">
        <v>603</v>
      </c>
      <c r="L11349" s="3">
        <v>441</v>
      </c>
      <c r="M11349" s="3">
        <v>641</v>
      </c>
    </row>
    <row r="11350" spans="1:13" x14ac:dyDescent="0.25">
      <c r="A11350" s="1" t="str">
        <f>HYPERLINK("http://www.rosaceae.org/Prunus/Prunus_persica/p.persica_gdr_reftransV1_0004689","p.persica_gdr_reftransV1_0004689")</f>
        <v>p.persica_gdr_reftransV1_0004689</v>
      </c>
      <c r="B11350" s="3">
        <v>2098</v>
      </c>
      <c r="C11350" s="1" t="str">
        <f>HYPERLINK("http://www.uniprot.org/uniprot/ULK4_PONAB","ULK4_PONAB")</f>
        <v>ULK4_PONAB</v>
      </c>
      <c r="D11350" t="s">
        <v>5071</v>
      </c>
      <c r="E11350" s="3" t="s">
        <v>176</v>
      </c>
      <c r="F11350" s="4">
        <v>1.6199999999999999E-59</v>
      </c>
      <c r="G11350" s="3">
        <v>566</v>
      </c>
      <c r="H11350" s="3">
        <v>39</v>
      </c>
      <c r="I11350" s="3">
        <v>282</v>
      </c>
      <c r="J11350" s="3">
        <v>76</v>
      </c>
      <c r="K11350" s="3">
        <v>849</v>
      </c>
      <c r="L11350" s="3">
        <v>1</v>
      </c>
      <c r="M11350" s="3">
        <v>281</v>
      </c>
    </row>
    <row r="11351" spans="1:13" x14ac:dyDescent="0.25">
      <c r="A11351" s="1" t="str">
        <f>HYPERLINK("http://www.rosaceae.org/Prunus/Prunus_persica/p.persica_gdr_reftransV1_0004739","p.persica_gdr_reftransV1_0004739")</f>
        <v>p.persica_gdr_reftransV1_0004739</v>
      </c>
      <c r="B11351" s="3">
        <v>2112</v>
      </c>
      <c r="C11351" s="1" t="str">
        <f>HYPERLINK("http://www.uniprot.org/uniprot/THOC3_ARATH","THOC3_ARATH")</f>
        <v>THOC3_ARATH</v>
      </c>
      <c r="D11351" t="s">
        <v>8033</v>
      </c>
      <c r="E11351" s="3" t="s">
        <v>3</v>
      </c>
      <c r="F11351" s="4">
        <v>1.0999999999999999E-95</v>
      </c>
      <c r="G11351" s="3">
        <v>781</v>
      </c>
      <c r="H11351" s="3">
        <v>80</v>
      </c>
      <c r="I11351" s="3">
        <v>176</v>
      </c>
      <c r="J11351" s="3">
        <v>122</v>
      </c>
      <c r="K11351" s="3">
        <v>649</v>
      </c>
      <c r="L11351" s="3">
        <v>1</v>
      </c>
      <c r="M11351" s="3">
        <v>176</v>
      </c>
    </row>
    <row r="11352" spans="1:13" x14ac:dyDescent="0.25">
      <c r="A11352" s="1" t="str">
        <f>HYPERLINK("http://www.rosaceae.org/Prunus/Prunus_persica/p.persica_gdr_reftransV1_0004839","p.persica_gdr_reftransV1_0004839")</f>
        <v>p.persica_gdr_reftransV1_0004839</v>
      </c>
      <c r="B11352" s="3">
        <v>1196</v>
      </c>
      <c r="C11352" s="1" t="str">
        <f>HYPERLINK("http://www.uniprot.org/uniprot/SAP9_ORYSJ","SAP9_ORYSJ")</f>
        <v>SAP9_ORYSJ</v>
      </c>
      <c r="D11352" t="s">
        <v>8034</v>
      </c>
      <c r="E11352" s="3" t="s">
        <v>38</v>
      </c>
      <c r="F11352" s="4">
        <v>1.58E-48</v>
      </c>
      <c r="G11352" s="3">
        <v>425</v>
      </c>
      <c r="H11352" s="3">
        <v>51</v>
      </c>
      <c r="I11352" s="3">
        <v>171</v>
      </c>
      <c r="J11352" s="3">
        <v>445</v>
      </c>
      <c r="K11352" s="3">
        <v>945</v>
      </c>
      <c r="L11352" s="3">
        <v>1</v>
      </c>
      <c r="M11352" s="3">
        <v>161</v>
      </c>
    </row>
    <row r="11353" spans="1:13" x14ac:dyDescent="0.25">
      <c r="A11353" s="1" t="str">
        <f>HYPERLINK("http://www.rosaceae.org/Prunus/Prunus_persica/p.persica_gdr_reftransV1_0004889","p.persica_gdr_reftransV1_0004889")</f>
        <v>p.persica_gdr_reftransV1_0004889</v>
      </c>
      <c r="B11353" s="3">
        <v>3775</v>
      </c>
      <c r="C11353" s="1" t="str">
        <f>HYPERLINK("http://www.uniprot.org/uniprot/AP4E_ARATH","AP4E_ARATH")</f>
        <v>AP4E_ARATH</v>
      </c>
      <c r="D11353" t="s">
        <v>6408</v>
      </c>
      <c r="E11353" s="3" t="s">
        <v>3</v>
      </c>
      <c r="F11353" s="4">
        <v>0</v>
      </c>
      <c r="G11353" s="3">
        <v>3634</v>
      </c>
      <c r="H11353" s="3">
        <v>73</v>
      </c>
      <c r="I11353" s="3">
        <v>977</v>
      </c>
      <c r="J11353" s="3">
        <v>621</v>
      </c>
      <c r="K11353" s="3">
        <v>3542</v>
      </c>
      <c r="L11353" s="3">
        <v>1</v>
      </c>
      <c r="M11353" s="3">
        <v>938</v>
      </c>
    </row>
    <row r="11354" spans="1:13" x14ac:dyDescent="0.25">
      <c r="A11354" s="1" t="str">
        <f>HYPERLINK("http://www.rosaceae.org/Prunus/Prunus_persica/p.persica_gdr_reftransV1_0005039","p.persica_gdr_reftransV1_0005039")</f>
        <v>p.persica_gdr_reftransV1_0005039</v>
      </c>
      <c r="B11354" s="3">
        <v>1700</v>
      </c>
      <c r="C11354" s="1" t="str">
        <f>HYPERLINK("http://www.uniprot.org/uniprot/PTRD1_BOVIN","PTRD1_BOVIN")</f>
        <v>PTRD1_BOVIN</v>
      </c>
      <c r="D11354" t="s">
        <v>8035</v>
      </c>
      <c r="E11354" s="3" t="s">
        <v>184</v>
      </c>
      <c r="F11354" s="4">
        <v>1.5E-24</v>
      </c>
      <c r="G11354" s="3">
        <v>259</v>
      </c>
      <c r="H11354" s="3">
        <v>46</v>
      </c>
      <c r="I11354" s="3">
        <v>129</v>
      </c>
      <c r="J11354" s="3">
        <v>197</v>
      </c>
      <c r="K11354" s="3">
        <v>574</v>
      </c>
      <c r="L11354" s="3">
        <v>7</v>
      </c>
      <c r="M11354" s="3">
        <v>133</v>
      </c>
    </row>
    <row r="11355" spans="1:13" x14ac:dyDescent="0.25">
      <c r="A11355" s="1" t="str">
        <f>HYPERLINK("http://www.rosaceae.org/Prunus/Prunus_persica/p.persica_gdr_reftransV1_0005089","p.persica_gdr_reftransV1_0005089")</f>
        <v>p.persica_gdr_reftransV1_0005089</v>
      </c>
      <c r="B11355" s="3">
        <v>1573</v>
      </c>
      <c r="C11355" s="1" t="str">
        <f>HYPERLINK("http://www.uniprot.org/uniprot/IMPL1_ARATH","IMPL1_ARATH")</f>
        <v>IMPL1_ARATH</v>
      </c>
      <c r="D11355" t="s">
        <v>7758</v>
      </c>
      <c r="E11355" s="3" t="s">
        <v>3</v>
      </c>
      <c r="F11355" s="4">
        <v>0</v>
      </c>
      <c r="G11355" s="3">
        <v>1432</v>
      </c>
      <c r="H11355" s="3">
        <v>77</v>
      </c>
      <c r="I11355" s="3">
        <v>373</v>
      </c>
      <c r="J11355" s="3">
        <v>316</v>
      </c>
      <c r="K11355" s="3">
        <v>1434</v>
      </c>
      <c r="L11355" s="3">
        <v>1</v>
      </c>
      <c r="M11355" s="3">
        <v>371</v>
      </c>
    </row>
    <row r="11356" spans="1:13" x14ac:dyDescent="0.25">
      <c r="A11356" s="1" t="str">
        <f>HYPERLINK("http://www.rosaceae.org/Prunus/Prunus_persica/p.persica_gdr_reftransV1_0005239","p.persica_gdr_reftransV1_0005239")</f>
        <v>p.persica_gdr_reftransV1_0005239</v>
      </c>
      <c r="B11356" s="3">
        <v>1593</v>
      </c>
      <c r="C11356" s="1" t="str">
        <f>HYPERLINK("http://www.uniprot.org/uniprot/COPIA_DROME","COPIA_DROME")</f>
        <v>COPIA_DROME</v>
      </c>
      <c r="D11356" t="s">
        <v>478</v>
      </c>
      <c r="E11356" s="3" t="s">
        <v>5</v>
      </c>
      <c r="F11356" s="4">
        <v>1.7500000000000001E-8</v>
      </c>
      <c r="G11356" s="3">
        <v>147</v>
      </c>
      <c r="H11356" s="3">
        <v>30</v>
      </c>
      <c r="I11356" s="3">
        <v>174</v>
      </c>
      <c r="J11356" s="3">
        <v>1100</v>
      </c>
      <c r="K11356" s="3">
        <v>1591</v>
      </c>
      <c r="L11356" s="3">
        <v>217</v>
      </c>
      <c r="M11356" s="3">
        <v>387</v>
      </c>
    </row>
    <row r="11357" spans="1:13" x14ac:dyDescent="0.25">
      <c r="A11357" s="1" t="str">
        <f>HYPERLINK("http://www.rosaceae.org/Prunus/Prunus_persica/p.persica_gdr_reftransV1_0005439","p.persica_gdr_reftransV1_0005439")</f>
        <v>p.persica_gdr_reftransV1_0005439</v>
      </c>
      <c r="B11357" s="3">
        <v>1288</v>
      </c>
      <c r="C11357" s="1" t="str">
        <f>HYPERLINK("http://www.uniprot.org/uniprot/GAR2_SCHPO","GAR2_SCHPO")</f>
        <v>GAR2_SCHPO</v>
      </c>
      <c r="D11357" t="s">
        <v>8036</v>
      </c>
      <c r="E11357" s="3" t="s">
        <v>464</v>
      </c>
      <c r="F11357" s="4">
        <v>1.9500000000000001E-11</v>
      </c>
      <c r="G11357" s="3">
        <v>168</v>
      </c>
      <c r="H11357" s="3">
        <v>35</v>
      </c>
      <c r="I11357" s="3">
        <v>100</v>
      </c>
      <c r="J11357" s="3">
        <v>514</v>
      </c>
      <c r="K11357" s="3">
        <v>810</v>
      </c>
      <c r="L11357" s="3">
        <v>347</v>
      </c>
      <c r="M11357" s="3">
        <v>443</v>
      </c>
    </row>
    <row r="11358" spans="1:13" x14ac:dyDescent="0.25">
      <c r="A11358" s="1" t="str">
        <f>HYPERLINK("http://www.rosaceae.org/Prunus/Prunus_persica/p.persica_gdr_reftransV1_0005539","p.persica_gdr_reftransV1_0005539")</f>
        <v>p.persica_gdr_reftransV1_0005539</v>
      </c>
      <c r="B11358" s="3">
        <v>1209</v>
      </c>
      <c r="C11358" s="1" t="str">
        <f>HYPERLINK("http://www.uniprot.org/uniprot/ATCA1_ARATH","ATCA1_ARATH")</f>
        <v>ATCA1_ARATH</v>
      </c>
      <c r="D11358" t="s">
        <v>5481</v>
      </c>
      <c r="E11358" s="3" t="s">
        <v>3</v>
      </c>
      <c r="F11358" s="4">
        <v>1.5799999999999999E-78</v>
      </c>
      <c r="G11358" s="3">
        <v>639</v>
      </c>
      <c r="H11358" s="3">
        <v>45</v>
      </c>
      <c r="I11358" s="3">
        <v>273</v>
      </c>
      <c r="J11358" s="3">
        <v>323</v>
      </c>
      <c r="K11358" s="3">
        <v>1138</v>
      </c>
      <c r="L11358" s="3">
        <v>4</v>
      </c>
      <c r="M11358" s="3">
        <v>270</v>
      </c>
    </row>
    <row r="11359" spans="1:13" x14ac:dyDescent="0.25">
      <c r="A11359" s="1" t="str">
        <f>HYPERLINK("http://www.rosaceae.org/Prunus/Prunus_persica/p.persica_gdr_reftransV1_0005589","p.persica_gdr_reftransV1_0005589")</f>
        <v>p.persica_gdr_reftransV1_0005589</v>
      </c>
      <c r="B11359" s="3">
        <v>1376</v>
      </c>
      <c r="C11359" s="1" t="str">
        <f>HYPERLINK("http://www.uniprot.org/uniprot/SCL32_ARATH","SCL32_ARATH")</f>
        <v>SCL32_ARATH</v>
      </c>
      <c r="D11359" t="s">
        <v>83</v>
      </c>
      <c r="E11359" s="3" t="s">
        <v>3</v>
      </c>
      <c r="F11359" s="4">
        <v>4.0099999999999997E-117</v>
      </c>
      <c r="G11359" s="3">
        <v>914</v>
      </c>
      <c r="H11359" s="3">
        <v>47</v>
      </c>
      <c r="I11359" s="3">
        <v>410</v>
      </c>
      <c r="J11359" s="3">
        <v>73</v>
      </c>
      <c r="K11359" s="3">
        <v>1272</v>
      </c>
      <c r="L11359" s="3">
        <v>18</v>
      </c>
      <c r="M11359" s="3">
        <v>408</v>
      </c>
    </row>
    <row r="11360" spans="1:13" x14ac:dyDescent="0.25">
      <c r="A11360" s="1" t="str">
        <f>HYPERLINK("http://www.rosaceae.org/Prunus/Prunus_persica/p.persica_gdr_reftransV1_0005639","p.persica_gdr_reftransV1_0005639")</f>
        <v>p.persica_gdr_reftransV1_0005639</v>
      </c>
      <c r="B11360" s="3">
        <v>2334</v>
      </c>
      <c r="C11360" s="1" t="str">
        <f>HYPERLINK("http://www.uniprot.org/uniprot/PTR21_ARATH","PTR21_ARATH")</f>
        <v>PTR21_ARATH</v>
      </c>
      <c r="D11360" t="s">
        <v>415</v>
      </c>
      <c r="E11360" s="3" t="s">
        <v>3</v>
      </c>
      <c r="F11360" s="4">
        <v>0</v>
      </c>
      <c r="G11360" s="3">
        <v>1834</v>
      </c>
      <c r="H11360" s="3">
        <v>60</v>
      </c>
      <c r="I11360" s="3">
        <v>586</v>
      </c>
      <c r="J11360" s="3">
        <v>221</v>
      </c>
      <c r="K11360" s="3">
        <v>1960</v>
      </c>
      <c r="L11360" s="3">
        <v>34</v>
      </c>
      <c r="M11360" s="3">
        <v>615</v>
      </c>
    </row>
    <row r="11361" spans="1:13" x14ac:dyDescent="0.25">
      <c r="A11361" s="1" t="str">
        <f>HYPERLINK("http://www.rosaceae.org/Prunus/Prunus_persica/p.persica_gdr_reftransV1_0005739","p.persica_gdr_reftransV1_0005739")</f>
        <v>p.persica_gdr_reftransV1_0005739</v>
      </c>
      <c r="B11361" s="3">
        <v>822</v>
      </c>
      <c r="C11361" s="1" t="str">
        <f>HYPERLINK("http://www.uniprot.org/uniprot/PME1_CITSI","PME1_CITSI")</f>
        <v>PME1_CITSI</v>
      </c>
      <c r="D11361" t="s">
        <v>6543</v>
      </c>
      <c r="E11361" s="3" t="s">
        <v>1276</v>
      </c>
      <c r="F11361" s="4">
        <v>4.2200000000000002E-12</v>
      </c>
      <c r="G11361" s="3">
        <v>168</v>
      </c>
      <c r="H11361" s="3">
        <v>32</v>
      </c>
      <c r="I11361" s="3">
        <v>155</v>
      </c>
      <c r="J11361" s="3">
        <v>341</v>
      </c>
      <c r="K11361" s="3">
        <v>787</v>
      </c>
      <c r="L11361" s="3">
        <v>40</v>
      </c>
      <c r="M11361" s="3">
        <v>193</v>
      </c>
    </row>
    <row r="11362" spans="1:13" x14ac:dyDescent="0.25">
      <c r="A11362" s="1" t="str">
        <f>HYPERLINK("http://www.rosaceae.org/Prunus/Prunus_persica/p.persica_gdr_reftransV1_0005789","p.persica_gdr_reftransV1_0005789")</f>
        <v>p.persica_gdr_reftransV1_0005789</v>
      </c>
      <c r="B11362" s="3">
        <v>2229</v>
      </c>
      <c r="C11362" s="1" t="str">
        <f>HYPERLINK("http://www.uniprot.org/uniprot/LIS_CLABR","LIS_CLABR")</f>
        <v>LIS_CLABR</v>
      </c>
      <c r="D11362" t="s">
        <v>8037</v>
      </c>
      <c r="E11362" s="3" t="s">
        <v>1083</v>
      </c>
      <c r="F11362" s="4">
        <v>4.4100000000000003E-145</v>
      </c>
      <c r="G11362" s="3">
        <v>1166</v>
      </c>
      <c r="H11362" s="3">
        <v>45</v>
      </c>
      <c r="I11362" s="3">
        <v>585</v>
      </c>
      <c r="J11362" s="3">
        <v>154</v>
      </c>
      <c r="K11362" s="3">
        <v>1878</v>
      </c>
      <c r="L11362" s="3">
        <v>229</v>
      </c>
      <c r="M11362" s="3">
        <v>810</v>
      </c>
    </row>
    <row r="11363" spans="1:13" x14ac:dyDescent="0.25">
      <c r="A11363" s="1" t="str">
        <f>HYPERLINK("http://www.rosaceae.org/Prunus/Prunus_persica/p.persica_gdr_reftransV1_0005939","p.persica_gdr_reftransV1_0005939")</f>
        <v>p.persica_gdr_reftransV1_0005939</v>
      </c>
      <c r="B11363" s="3">
        <v>400</v>
      </c>
      <c r="C11363" s="1" t="str">
        <f>HYPERLINK("http://www.uniprot.org/uniprot/PUB50_ARATH","PUB50_ARATH")</f>
        <v>PUB50_ARATH</v>
      </c>
      <c r="D11363" t="s">
        <v>2130</v>
      </c>
      <c r="E11363" s="3" t="s">
        <v>3</v>
      </c>
      <c r="F11363" s="4">
        <v>5.8400000000000005E-23</v>
      </c>
      <c r="G11363" s="3">
        <v>244</v>
      </c>
      <c r="H11363" s="3">
        <v>56</v>
      </c>
      <c r="I11363" s="3">
        <v>81</v>
      </c>
      <c r="J11363" s="3">
        <v>170</v>
      </c>
      <c r="K11363" s="3">
        <v>400</v>
      </c>
      <c r="L11363" s="3">
        <v>8</v>
      </c>
      <c r="M11363" s="3">
        <v>86</v>
      </c>
    </row>
    <row r="11364" spans="1:13" x14ac:dyDescent="0.25">
      <c r="A11364" s="1" t="str">
        <f>HYPERLINK("http://www.rosaceae.org/Prunus/Prunus_persica/p.persica_gdr_reftransV1_0005989","p.persica_gdr_reftransV1_0005989")</f>
        <v>p.persica_gdr_reftransV1_0005989</v>
      </c>
      <c r="B11364" s="3">
        <v>1831</v>
      </c>
      <c r="C11364" s="1" t="str">
        <f>HYPERLINK("http://www.uniprot.org/uniprot/SOC1_ARATH","SOC1_ARATH")</f>
        <v>SOC1_ARATH</v>
      </c>
      <c r="D11364" t="s">
        <v>867</v>
      </c>
      <c r="E11364" s="3" t="s">
        <v>3</v>
      </c>
      <c r="F11364" s="4">
        <v>3.7599999999999998E-63</v>
      </c>
      <c r="G11364" s="3">
        <v>543</v>
      </c>
      <c r="H11364" s="3">
        <v>56</v>
      </c>
      <c r="I11364" s="3">
        <v>205</v>
      </c>
      <c r="J11364" s="3">
        <v>595</v>
      </c>
      <c r="K11364" s="3">
        <v>1209</v>
      </c>
      <c r="L11364" s="3">
        <v>1</v>
      </c>
      <c r="M11364" s="3">
        <v>173</v>
      </c>
    </row>
    <row r="11365" spans="1:13" x14ac:dyDescent="0.25">
      <c r="A11365" s="1" t="str">
        <f>HYPERLINK("http://www.rosaceae.org/Prunus/Prunus_persica/p.persica_gdr_reftransV1_0006039","p.persica_gdr_reftransV1_0006039")</f>
        <v>p.persica_gdr_reftransV1_0006039</v>
      </c>
      <c r="B11365" s="3">
        <v>1248</v>
      </c>
      <c r="C11365" s="1" t="str">
        <f>HYPERLINK("http://www.uniprot.org/uniprot/RGA4_SOLBU","RGA4_SOLBU")</f>
        <v>RGA4_SOLBU</v>
      </c>
      <c r="D11365" t="s">
        <v>1657</v>
      </c>
      <c r="E11365" s="3" t="s">
        <v>560</v>
      </c>
      <c r="F11365" s="4">
        <v>2.6299999999999999E-13</v>
      </c>
      <c r="G11365" s="3">
        <v>185</v>
      </c>
      <c r="H11365" s="3">
        <v>32</v>
      </c>
      <c r="I11365" s="3">
        <v>183</v>
      </c>
      <c r="J11365" s="3">
        <v>36</v>
      </c>
      <c r="K11365" s="3">
        <v>575</v>
      </c>
      <c r="L11365" s="3">
        <v>813</v>
      </c>
      <c r="M11365" s="3">
        <v>985</v>
      </c>
    </row>
    <row r="11366" spans="1:13" x14ac:dyDescent="0.25">
      <c r="A11366" s="1" t="str">
        <f>HYPERLINK("http://www.rosaceae.org/Prunus/Prunus_persica/p.persica_gdr_reftransV1_0006189","p.persica_gdr_reftransV1_0006189")</f>
        <v>p.persica_gdr_reftransV1_0006189</v>
      </c>
      <c r="B11366" s="3">
        <v>767</v>
      </c>
      <c r="C11366" s="1" t="str">
        <f>HYPERLINK("http://www.uniprot.org/uniprot/HIP26_ARATH","HIP26_ARATH")</f>
        <v>HIP26_ARATH</v>
      </c>
      <c r="D11366" t="s">
        <v>413</v>
      </c>
      <c r="E11366" s="3" t="s">
        <v>3</v>
      </c>
      <c r="F11366" s="4">
        <v>8.02E-45</v>
      </c>
      <c r="G11366" s="3">
        <v>388</v>
      </c>
      <c r="H11366" s="3">
        <v>54</v>
      </c>
      <c r="I11366" s="3">
        <v>153</v>
      </c>
      <c r="J11366" s="3">
        <v>105</v>
      </c>
      <c r="K11366" s="3">
        <v>542</v>
      </c>
      <c r="L11366" s="3">
        <v>1</v>
      </c>
      <c r="M11366" s="3">
        <v>153</v>
      </c>
    </row>
    <row r="11367" spans="1:13" x14ac:dyDescent="0.25">
      <c r="A11367" s="1" t="str">
        <f>HYPERLINK("http://www.rosaceae.org/Prunus/Prunus_persica/p.persica_gdr_reftransV1_0006239","p.persica_gdr_reftransV1_0006239")</f>
        <v>p.persica_gdr_reftransV1_0006239</v>
      </c>
      <c r="B11367" s="3">
        <v>1725</v>
      </c>
      <c r="C11367" s="1" t="str">
        <f>HYPERLINK("http://www.uniprot.org/uniprot/LORF2_HUMAN","LORF2_HUMAN")</f>
        <v>LORF2_HUMAN</v>
      </c>
      <c r="D11367" t="s">
        <v>8038</v>
      </c>
      <c r="E11367" s="3" t="s">
        <v>28</v>
      </c>
      <c r="F11367" s="4">
        <v>0</v>
      </c>
      <c r="G11367" s="3">
        <v>2997</v>
      </c>
      <c r="H11367" s="3">
        <v>97</v>
      </c>
      <c r="I11367" s="3">
        <v>572</v>
      </c>
      <c r="J11367" s="3">
        <v>1</v>
      </c>
      <c r="K11367" s="3">
        <v>1716</v>
      </c>
      <c r="L11367" s="3">
        <v>626</v>
      </c>
      <c r="M11367" s="3">
        <v>1197</v>
      </c>
    </row>
    <row r="11368" spans="1:13" x14ac:dyDescent="0.25">
      <c r="A11368" s="1" t="str">
        <f>HYPERLINK("http://www.rosaceae.org/Prunus/Prunus_persica/p.persica_gdr_reftransV1_0006339","p.persica_gdr_reftransV1_0006339")</f>
        <v>p.persica_gdr_reftransV1_0006339</v>
      </c>
      <c r="B11368" s="3">
        <v>506</v>
      </c>
      <c r="C11368" s="1" t="str">
        <f>HYPERLINK("http://www.uniprot.org/uniprot/PP440_ARATH","PP440_ARATH")</f>
        <v>PP440_ARATH</v>
      </c>
      <c r="D11368" t="s">
        <v>97</v>
      </c>
      <c r="E11368" s="3" t="s">
        <v>3</v>
      </c>
      <c r="F11368" s="4">
        <v>1.71E-25</v>
      </c>
      <c r="G11368" s="3">
        <v>265</v>
      </c>
      <c r="H11368" s="3">
        <v>43</v>
      </c>
      <c r="I11368" s="3">
        <v>127</v>
      </c>
      <c r="J11368" s="3">
        <v>107</v>
      </c>
      <c r="K11368" s="3">
        <v>484</v>
      </c>
      <c r="L11368" s="3">
        <v>48</v>
      </c>
      <c r="M11368" s="3">
        <v>174</v>
      </c>
    </row>
    <row r="11369" spans="1:13" x14ac:dyDescent="0.25">
      <c r="A11369" s="1" t="str">
        <f>HYPERLINK("http://www.rosaceae.org/Prunus/Prunus_persica/p.persica_gdr_reftransV1_0006539","p.persica_gdr_reftransV1_0006539")</f>
        <v>p.persica_gdr_reftransV1_0006539</v>
      </c>
      <c r="B11369" s="3">
        <v>1950</v>
      </c>
      <c r="C11369" s="1" t="str">
        <f>HYPERLINK("http://www.uniprot.org/uniprot/MDL2_PRUDU","MDL2_PRUDU")</f>
        <v>MDL2_PRUDU</v>
      </c>
      <c r="D11369" t="s">
        <v>2125</v>
      </c>
      <c r="E11369" s="3" t="s">
        <v>418</v>
      </c>
      <c r="F11369" s="4">
        <v>0</v>
      </c>
      <c r="G11369" s="3">
        <v>1744</v>
      </c>
      <c r="H11369" s="3">
        <v>61</v>
      </c>
      <c r="I11369" s="3">
        <v>546</v>
      </c>
      <c r="J11369" s="3">
        <v>261</v>
      </c>
      <c r="K11369" s="3">
        <v>1895</v>
      </c>
      <c r="L11369" s="3">
        <v>1</v>
      </c>
      <c r="M11369" s="3">
        <v>544</v>
      </c>
    </row>
    <row r="11370" spans="1:13" x14ac:dyDescent="0.25">
      <c r="A11370" s="1" t="str">
        <f>HYPERLINK("http://www.rosaceae.org/Prunus/Prunus_persica/p.persica_gdr_reftransV1_0006689","p.persica_gdr_reftransV1_0006689")</f>
        <v>p.persica_gdr_reftransV1_0006689</v>
      </c>
      <c r="B11370" s="3">
        <v>2215</v>
      </c>
      <c r="C11370" s="1" t="str">
        <f>HYPERLINK("http://www.uniprot.org/uniprot/PPA27_ARATH","PPA27_ARATH")</f>
        <v>PPA27_ARATH</v>
      </c>
      <c r="D11370" t="s">
        <v>1364</v>
      </c>
      <c r="E11370" s="3" t="s">
        <v>3</v>
      </c>
      <c r="F11370" s="4">
        <v>2.28E-91</v>
      </c>
      <c r="G11370" s="3">
        <v>707</v>
      </c>
      <c r="H11370" s="3">
        <v>40</v>
      </c>
      <c r="I11370" s="3">
        <v>383</v>
      </c>
      <c r="J11370" s="3">
        <v>888</v>
      </c>
      <c r="K11370" s="3">
        <v>1997</v>
      </c>
      <c r="L11370" s="3">
        <v>220</v>
      </c>
      <c r="M11370" s="3">
        <v>591</v>
      </c>
    </row>
    <row r="11371" spans="1:13" x14ac:dyDescent="0.25">
      <c r="A11371" s="1" t="str">
        <f>HYPERLINK("http://www.rosaceae.org/Prunus/Prunus_persica/p.persica_gdr_reftransV1_0006739","p.persica_gdr_reftransV1_0006739")</f>
        <v>p.persica_gdr_reftransV1_0006739</v>
      </c>
      <c r="B11371" s="3">
        <v>476</v>
      </c>
      <c r="C11371" s="1" t="str">
        <f>HYPERLINK("http://www.uniprot.org/uniprot/FLOT4_MEDTR","FLOT4_MEDTR")</f>
        <v>FLOT4_MEDTR</v>
      </c>
      <c r="D11371" t="s">
        <v>8039</v>
      </c>
      <c r="E11371" s="3" t="s">
        <v>91</v>
      </c>
      <c r="F11371" s="4">
        <v>2.4700000000000001E-99</v>
      </c>
      <c r="G11371" s="3">
        <v>769</v>
      </c>
      <c r="H11371" s="3">
        <v>91</v>
      </c>
      <c r="I11371" s="3">
        <v>158</v>
      </c>
      <c r="J11371" s="3">
        <v>2</v>
      </c>
      <c r="K11371" s="3">
        <v>475</v>
      </c>
      <c r="L11371" s="3">
        <v>30</v>
      </c>
      <c r="M11371" s="3">
        <v>187</v>
      </c>
    </row>
    <row r="11372" spans="1:13" x14ac:dyDescent="0.25">
      <c r="A11372" s="1" t="str">
        <f>HYPERLINK("http://www.rosaceae.org/Prunus/Prunus_persica/p.persica_gdr_reftransV1_0007139","p.persica_gdr_reftransV1_0007139")</f>
        <v>p.persica_gdr_reftransV1_0007139</v>
      </c>
      <c r="B11372" s="3">
        <v>3096</v>
      </c>
      <c r="C11372" s="1" t="str">
        <f>HYPERLINK("http://www.uniprot.org/uniprot/KEULE_ARATH","KEULE_ARATH")</f>
        <v>KEULE_ARATH</v>
      </c>
      <c r="D11372" t="s">
        <v>4616</v>
      </c>
      <c r="E11372" s="3" t="s">
        <v>3</v>
      </c>
      <c r="F11372" s="4">
        <v>0</v>
      </c>
      <c r="G11372" s="3">
        <v>1157</v>
      </c>
      <c r="H11372" s="3">
        <v>84</v>
      </c>
      <c r="I11372" s="3">
        <v>250</v>
      </c>
      <c r="J11372" s="3">
        <v>2150</v>
      </c>
      <c r="K11372" s="3">
        <v>2899</v>
      </c>
      <c r="L11372" s="3">
        <v>16</v>
      </c>
      <c r="M11372" s="3">
        <v>265</v>
      </c>
    </row>
    <row r="11373" spans="1:13" x14ac:dyDescent="0.25">
      <c r="A11373" s="1" t="str">
        <f>HYPERLINK("http://www.rosaceae.org/Prunus/Prunus_persica/p.persica_gdr_reftransV1_0007389","p.persica_gdr_reftransV1_0007389")</f>
        <v>p.persica_gdr_reftransV1_0007389</v>
      </c>
      <c r="B11373" s="3">
        <v>469</v>
      </c>
      <c r="C11373" s="1" t="str">
        <f>HYPERLINK("http://www.uniprot.org/uniprot/PP341_ARATH","PP341_ARATH")</f>
        <v>PP341_ARATH</v>
      </c>
      <c r="D11373" t="s">
        <v>149</v>
      </c>
      <c r="E11373" s="3" t="s">
        <v>3</v>
      </c>
      <c r="F11373" s="4">
        <v>6.5299999999999998E-46</v>
      </c>
      <c r="G11373" s="3">
        <v>414</v>
      </c>
      <c r="H11373" s="3">
        <v>53</v>
      </c>
      <c r="I11373" s="3">
        <v>152</v>
      </c>
      <c r="J11373" s="3">
        <v>1</v>
      </c>
      <c r="K11373" s="3">
        <v>441</v>
      </c>
      <c r="L11373" s="3">
        <v>1</v>
      </c>
      <c r="M11373" s="3">
        <v>152</v>
      </c>
    </row>
    <row r="11374" spans="1:13" x14ac:dyDescent="0.25">
      <c r="A11374" s="1" t="str">
        <f>HYPERLINK("http://www.rosaceae.org/Prunus/Prunus_persica/p.persica_gdr_reftransV1_0007439","p.persica_gdr_reftransV1_0007439")</f>
        <v>p.persica_gdr_reftransV1_0007439</v>
      </c>
      <c r="B11374" s="3">
        <v>1822</v>
      </c>
      <c r="C11374" s="1" t="str">
        <f>HYPERLINK("http://www.uniprot.org/uniprot/PAE10_ARATH","PAE10_ARATH")</f>
        <v>PAE10_ARATH</v>
      </c>
      <c r="D11374" t="s">
        <v>3038</v>
      </c>
      <c r="E11374" s="3" t="s">
        <v>3</v>
      </c>
      <c r="F11374" s="4">
        <v>3.1000000000000001E-117</v>
      </c>
      <c r="G11374" s="3">
        <v>928</v>
      </c>
      <c r="H11374" s="3">
        <v>70</v>
      </c>
      <c r="I11374" s="3">
        <v>237</v>
      </c>
      <c r="J11374" s="3">
        <v>1110</v>
      </c>
      <c r="K11374" s="3">
        <v>1820</v>
      </c>
      <c r="L11374" s="3">
        <v>180</v>
      </c>
      <c r="M11374" s="3">
        <v>416</v>
      </c>
    </row>
    <row r="11375" spans="1:13" x14ac:dyDescent="0.25">
      <c r="A11375" s="1" t="str">
        <f>HYPERLINK("http://www.rosaceae.org/Prunus/Prunus_persica/p.persica_gdr_reftransV1_0007539","p.persica_gdr_reftransV1_0007539")</f>
        <v>p.persica_gdr_reftransV1_0007539</v>
      </c>
      <c r="B11375" s="3">
        <v>1349</v>
      </c>
      <c r="C11375" s="1" t="str">
        <f>HYPERLINK("http://www.uniprot.org/uniprot/YCF52_PORPU","YCF52_PORPU")</f>
        <v>YCF52_PORPU</v>
      </c>
      <c r="D11375" t="s">
        <v>8040</v>
      </c>
      <c r="E11375" s="3" t="s">
        <v>694</v>
      </c>
      <c r="F11375" s="4">
        <v>6.3600000000000001E-31</v>
      </c>
      <c r="G11375" s="3">
        <v>304</v>
      </c>
      <c r="H11375" s="3">
        <v>46</v>
      </c>
      <c r="I11375" s="3">
        <v>126</v>
      </c>
      <c r="J11375" s="3">
        <v>431</v>
      </c>
      <c r="K11375" s="3">
        <v>802</v>
      </c>
      <c r="L11375" s="3">
        <v>46</v>
      </c>
      <c r="M11375" s="3">
        <v>171</v>
      </c>
    </row>
    <row r="11376" spans="1:13" x14ac:dyDescent="0.25">
      <c r="A11376" s="1" t="str">
        <f>HYPERLINK("http://www.rosaceae.org/Prunus/Prunus_persica/p.persica_gdr_reftransV1_0007589","p.persica_gdr_reftransV1_0007589")</f>
        <v>p.persica_gdr_reftransV1_0007589</v>
      </c>
      <c r="B11376" s="3">
        <v>1464</v>
      </c>
      <c r="C11376" s="1" t="str">
        <f>HYPERLINK("http://www.uniprot.org/uniprot/CSPLE_POPTR","CSPLE_POPTR")</f>
        <v>CSPLE_POPTR</v>
      </c>
      <c r="D11376" t="s">
        <v>8041</v>
      </c>
      <c r="E11376" s="3" t="s">
        <v>340</v>
      </c>
      <c r="F11376" s="4">
        <v>3.22E-71</v>
      </c>
      <c r="G11376" s="3">
        <v>375</v>
      </c>
      <c r="H11376" s="3">
        <v>76</v>
      </c>
      <c r="I11376" s="3">
        <v>129</v>
      </c>
      <c r="J11376" s="3">
        <v>315</v>
      </c>
      <c r="K11376" s="3">
        <v>701</v>
      </c>
      <c r="L11376" s="3">
        <v>76</v>
      </c>
      <c r="M11376" s="3">
        <v>202</v>
      </c>
    </row>
    <row r="11377" spans="1:13" x14ac:dyDescent="0.25">
      <c r="A11377" s="1" t="str">
        <f>HYPERLINK("http://www.rosaceae.org/Prunus/Prunus_persica/p.persica_gdr_reftransV1_0007639","p.persica_gdr_reftransV1_0007639")</f>
        <v>p.persica_gdr_reftransV1_0007639</v>
      </c>
      <c r="B11377" s="3">
        <v>680</v>
      </c>
      <c r="C11377" s="1" t="str">
        <f>HYPERLINK("http://www.uniprot.org/uniprot/PDS5_YEAST","PDS5_YEAST")</f>
        <v>PDS5_YEAST</v>
      </c>
      <c r="D11377" t="s">
        <v>6369</v>
      </c>
      <c r="E11377" s="3" t="s">
        <v>34</v>
      </c>
      <c r="F11377" s="4">
        <v>3.0499999999999999E-15</v>
      </c>
      <c r="G11377" s="3">
        <v>193</v>
      </c>
      <c r="H11377" s="3">
        <v>36</v>
      </c>
      <c r="I11377" s="3">
        <v>105</v>
      </c>
      <c r="J11377" s="3">
        <v>14</v>
      </c>
      <c r="K11377" s="3">
        <v>325</v>
      </c>
      <c r="L11377" s="3">
        <v>58</v>
      </c>
      <c r="M11377" s="3">
        <v>162</v>
      </c>
    </row>
    <row r="11378" spans="1:13" x14ac:dyDescent="0.25">
      <c r="A11378" s="1" t="str">
        <f>HYPERLINK("http://www.rosaceae.org/Prunus/Prunus_persica/p.persica_gdr_reftransV1_0007689","p.persica_gdr_reftransV1_0007689")</f>
        <v>p.persica_gdr_reftransV1_0007689</v>
      </c>
      <c r="B11378" s="3">
        <v>3110</v>
      </c>
      <c r="C11378" s="1" t="str">
        <f>HYPERLINK("http://www.uniprot.org/uniprot/PUB43_ARATH","PUB43_ARATH")</f>
        <v>PUB43_ARATH</v>
      </c>
      <c r="D11378" t="s">
        <v>613</v>
      </c>
      <c r="E11378" s="3" t="s">
        <v>3</v>
      </c>
      <c r="F11378" s="4">
        <v>0</v>
      </c>
      <c r="G11378" s="3">
        <v>2569</v>
      </c>
      <c r="H11378" s="3">
        <v>65</v>
      </c>
      <c r="I11378" s="3">
        <v>809</v>
      </c>
      <c r="J11378" s="3">
        <v>416</v>
      </c>
      <c r="K11378" s="3">
        <v>2836</v>
      </c>
      <c r="L11378" s="3">
        <v>5</v>
      </c>
      <c r="M11378" s="3">
        <v>811</v>
      </c>
    </row>
    <row r="11379" spans="1:13" x14ac:dyDescent="0.25">
      <c r="A11379" s="1" t="str">
        <f>HYPERLINK("http://www.rosaceae.org/Prunus/Prunus_persica/p.persica_gdr_reftransV1_0007789","p.persica_gdr_reftransV1_0007789")</f>
        <v>p.persica_gdr_reftransV1_0007789</v>
      </c>
      <c r="B11379" s="3">
        <v>2177</v>
      </c>
      <c r="C11379" s="1" t="str">
        <f>HYPERLINK("http://www.uniprot.org/uniprot/APL_ARATH","APL_ARATH")</f>
        <v>APL_ARATH</v>
      </c>
      <c r="D11379" t="s">
        <v>1317</v>
      </c>
      <c r="E11379" s="3" t="s">
        <v>3</v>
      </c>
      <c r="F11379" s="4">
        <v>4.7300000000000002E-23</v>
      </c>
      <c r="G11379" s="3">
        <v>262</v>
      </c>
      <c r="H11379" s="3">
        <v>76</v>
      </c>
      <c r="I11379" s="3">
        <v>58</v>
      </c>
      <c r="J11379" s="3">
        <v>1688</v>
      </c>
      <c r="K11379" s="3">
        <v>1861</v>
      </c>
      <c r="L11379" s="3">
        <v>27</v>
      </c>
      <c r="M11379" s="3">
        <v>84</v>
      </c>
    </row>
    <row r="11380" spans="1:13" x14ac:dyDescent="0.25">
      <c r="A11380" s="1" t="str">
        <f>HYPERLINK("http://www.rosaceae.org/Prunus/Prunus_persica/p.persica_gdr_reftransV1_0007839","p.persica_gdr_reftransV1_0007839")</f>
        <v>p.persica_gdr_reftransV1_0007839</v>
      </c>
      <c r="B11380" s="3">
        <v>641</v>
      </c>
      <c r="C11380" s="1" t="str">
        <f>HYPERLINK("http://www.uniprot.org/uniprot/THNL2_ARATH","THNL2_ARATH")</f>
        <v>THNL2_ARATH</v>
      </c>
      <c r="D11380" t="s">
        <v>2189</v>
      </c>
      <c r="E11380" s="3" t="s">
        <v>3</v>
      </c>
      <c r="F11380" s="4">
        <v>1.18E-13</v>
      </c>
      <c r="G11380" s="3">
        <v>167</v>
      </c>
      <c r="H11380" s="3">
        <v>39</v>
      </c>
      <c r="I11380" s="3">
        <v>119</v>
      </c>
      <c r="J11380" s="3">
        <v>88</v>
      </c>
      <c r="K11380" s="3">
        <v>411</v>
      </c>
      <c r="L11380" s="3">
        <v>3</v>
      </c>
      <c r="M11380" s="3">
        <v>114</v>
      </c>
    </row>
    <row r="11381" spans="1:13" x14ac:dyDescent="0.25">
      <c r="A11381" s="1" t="str">
        <f>HYPERLINK("http://www.rosaceae.org/Prunus/Prunus_persica/p.persica_gdr_reftransV1_0007889","p.persica_gdr_reftransV1_0007889")</f>
        <v>p.persica_gdr_reftransV1_0007889</v>
      </c>
      <c r="B11381" s="3">
        <v>1558</v>
      </c>
      <c r="C11381" s="1" t="str">
        <f>HYPERLINK("http://www.uniprot.org/uniprot/HDHD3_DANRE","HDHD3_DANRE")</f>
        <v>HDHD3_DANRE</v>
      </c>
      <c r="D11381" t="s">
        <v>4175</v>
      </c>
      <c r="E11381" s="3" t="s">
        <v>704</v>
      </c>
      <c r="F11381" s="4">
        <v>1.3200000000000001E-29</v>
      </c>
      <c r="G11381" s="3">
        <v>301</v>
      </c>
      <c r="H11381" s="3">
        <v>34</v>
      </c>
      <c r="I11381" s="3">
        <v>213</v>
      </c>
      <c r="J11381" s="3">
        <v>593</v>
      </c>
      <c r="K11381" s="3">
        <v>1231</v>
      </c>
      <c r="L11381" s="3">
        <v>5</v>
      </c>
      <c r="M11381" s="3">
        <v>211</v>
      </c>
    </row>
    <row r="11382" spans="1:13" x14ac:dyDescent="0.25">
      <c r="A11382" s="1" t="str">
        <f>HYPERLINK("http://www.rosaceae.org/Prunus/Prunus_persica/p.persica_gdr_reftransV1_0007939","p.persica_gdr_reftransV1_0007939")</f>
        <v>p.persica_gdr_reftransV1_0007939</v>
      </c>
      <c r="B11382" s="3">
        <v>494</v>
      </c>
      <c r="C11382" s="1" t="str">
        <f>HYPERLINK("http://www.uniprot.org/uniprot/PP301_ARATH","PP301_ARATH")</f>
        <v>PP301_ARATH</v>
      </c>
      <c r="D11382" t="s">
        <v>1571</v>
      </c>
      <c r="E11382" s="3" t="s">
        <v>3</v>
      </c>
      <c r="F11382" s="4">
        <v>4.14E-50</v>
      </c>
      <c r="G11382" s="3">
        <v>445</v>
      </c>
      <c r="H11382" s="3">
        <v>51</v>
      </c>
      <c r="I11382" s="3">
        <v>162</v>
      </c>
      <c r="J11382" s="3">
        <v>9</v>
      </c>
      <c r="K11382" s="3">
        <v>494</v>
      </c>
      <c r="L11382" s="3">
        <v>584</v>
      </c>
      <c r="M11382" s="3">
        <v>745</v>
      </c>
    </row>
    <row r="11383" spans="1:13" x14ac:dyDescent="0.25">
      <c r="A11383" s="1" t="str">
        <f>HYPERLINK("http://www.rosaceae.org/Prunus/Prunus_persica/p.persica_gdr_reftransV1_0008089","p.persica_gdr_reftransV1_0008089")</f>
        <v>p.persica_gdr_reftransV1_0008089</v>
      </c>
      <c r="B11383" s="3">
        <v>2138</v>
      </c>
      <c r="C11383" s="1" t="str">
        <f>HYPERLINK("http://www.uniprot.org/uniprot/Y3264_ARATH","Y3264_ARATH")</f>
        <v>Y3264_ARATH</v>
      </c>
      <c r="D11383" t="s">
        <v>5582</v>
      </c>
      <c r="E11383" s="3" t="s">
        <v>3</v>
      </c>
      <c r="F11383" s="4">
        <v>0</v>
      </c>
      <c r="G11383" s="3">
        <v>1386</v>
      </c>
      <c r="H11383" s="3">
        <v>52</v>
      </c>
      <c r="I11383" s="3">
        <v>527</v>
      </c>
      <c r="J11383" s="3">
        <v>189</v>
      </c>
      <c r="K11383" s="3">
        <v>1751</v>
      </c>
      <c r="L11383" s="3">
        <v>5</v>
      </c>
      <c r="M11383" s="3">
        <v>497</v>
      </c>
    </row>
    <row r="11384" spans="1:13" x14ac:dyDescent="0.25">
      <c r="A11384" s="1" t="str">
        <f>HYPERLINK("http://www.rosaceae.org/Prunus/Prunus_persica/p.persica_gdr_reftransV1_0008139","p.persica_gdr_reftransV1_0008139")</f>
        <v>p.persica_gdr_reftransV1_0008139</v>
      </c>
      <c r="B11384" s="3">
        <v>556</v>
      </c>
      <c r="C11384" s="1" t="str">
        <f>HYPERLINK("http://www.uniprot.org/uniprot/ERL1_ARATH","ERL1_ARATH")</f>
        <v>ERL1_ARATH</v>
      </c>
      <c r="D11384" t="s">
        <v>344</v>
      </c>
      <c r="E11384" s="3" t="s">
        <v>3</v>
      </c>
      <c r="F11384" s="4">
        <v>2.3900000000000001E-14</v>
      </c>
      <c r="G11384" s="3">
        <v>183</v>
      </c>
      <c r="H11384" s="3">
        <v>34</v>
      </c>
      <c r="I11384" s="3">
        <v>155</v>
      </c>
      <c r="J11384" s="3">
        <v>11</v>
      </c>
      <c r="K11384" s="3">
        <v>466</v>
      </c>
      <c r="L11384" s="3">
        <v>25</v>
      </c>
      <c r="M11384" s="3">
        <v>172</v>
      </c>
    </row>
    <row r="11385" spans="1:13" x14ac:dyDescent="0.25">
      <c r="A11385" s="1" t="str">
        <f>HYPERLINK("http://www.rosaceae.org/Prunus/Prunus_persica/p.persica_gdr_reftransV1_0008189","p.persica_gdr_reftransV1_0008189")</f>
        <v>p.persica_gdr_reftransV1_0008189</v>
      </c>
      <c r="B11385" s="3">
        <v>301</v>
      </c>
      <c r="C11385" s="1" t="str">
        <f>HYPERLINK("http://www.uniprot.org/uniprot/LRC63_RAT","LRC63_RAT")</f>
        <v>LRC63_RAT</v>
      </c>
      <c r="D11385" t="s">
        <v>8042</v>
      </c>
      <c r="E11385" s="3" t="s">
        <v>161</v>
      </c>
      <c r="F11385" s="4">
        <v>1.99E-9</v>
      </c>
      <c r="G11385" s="3">
        <v>138</v>
      </c>
      <c r="H11385" s="3">
        <v>33</v>
      </c>
      <c r="I11385" s="3">
        <v>91</v>
      </c>
      <c r="J11385" s="3">
        <v>2</v>
      </c>
      <c r="K11385" s="3">
        <v>274</v>
      </c>
      <c r="L11385" s="3">
        <v>367</v>
      </c>
      <c r="M11385" s="3">
        <v>457</v>
      </c>
    </row>
    <row r="11386" spans="1:13" x14ac:dyDescent="0.25">
      <c r="A11386" s="1" t="str">
        <f>HYPERLINK("http://www.rosaceae.org/Prunus/Prunus_persica/p.persica_gdr_reftransV1_0008239","p.persica_gdr_reftransV1_0008239")</f>
        <v>p.persica_gdr_reftransV1_0008239</v>
      </c>
      <c r="B11386" s="3">
        <v>1971</v>
      </c>
      <c r="C11386" s="1" t="str">
        <f>HYPERLINK("http://www.uniprot.org/uniprot/Y1327_ARATH","Y1327_ARATH")</f>
        <v>Y1327_ARATH</v>
      </c>
      <c r="D11386" t="s">
        <v>8043</v>
      </c>
      <c r="E11386" s="3" t="s">
        <v>3</v>
      </c>
      <c r="F11386" s="4">
        <v>0</v>
      </c>
      <c r="G11386" s="3">
        <v>1507</v>
      </c>
      <c r="H11386" s="3">
        <v>67</v>
      </c>
      <c r="I11386" s="3">
        <v>482</v>
      </c>
      <c r="J11386" s="3">
        <v>380</v>
      </c>
      <c r="K11386" s="3">
        <v>1768</v>
      </c>
      <c r="L11386" s="3">
        <v>19</v>
      </c>
      <c r="M11386" s="3">
        <v>495</v>
      </c>
    </row>
    <row r="11387" spans="1:13" x14ac:dyDescent="0.25">
      <c r="A11387" s="1" t="str">
        <f>HYPERLINK("http://www.rosaceae.org/Prunus/Prunus_persica/p.persica_gdr_reftransV1_0008289","p.persica_gdr_reftransV1_0008289")</f>
        <v>p.persica_gdr_reftransV1_0008289</v>
      </c>
      <c r="B11387" s="3">
        <v>2701</v>
      </c>
      <c r="C11387" s="1" t="str">
        <f>HYPERLINK("http://www.uniprot.org/uniprot/NCED1_PHAVU","NCED1_PHAVU")</f>
        <v>NCED1_PHAVU</v>
      </c>
      <c r="D11387" t="s">
        <v>8044</v>
      </c>
      <c r="E11387" s="3" t="s">
        <v>2044</v>
      </c>
      <c r="F11387" s="4">
        <v>0</v>
      </c>
      <c r="G11387" s="3">
        <v>2219</v>
      </c>
      <c r="H11387" s="3">
        <v>81</v>
      </c>
      <c r="I11387" s="3">
        <v>514</v>
      </c>
      <c r="J11387" s="3">
        <v>597</v>
      </c>
      <c r="K11387" s="3">
        <v>2132</v>
      </c>
      <c r="L11387" s="3">
        <v>105</v>
      </c>
      <c r="M11387" s="3">
        <v>615</v>
      </c>
    </row>
    <row r="11388" spans="1:13" x14ac:dyDescent="0.25">
      <c r="A11388" s="1" t="str">
        <f>HYPERLINK("http://www.rosaceae.org/Prunus/Prunus_persica/p.persica_gdr_reftransV1_0008489","p.persica_gdr_reftransV1_0008489")</f>
        <v>p.persica_gdr_reftransV1_0008489</v>
      </c>
      <c r="B11388" s="3">
        <v>893</v>
      </c>
      <c r="C11388" s="1" t="str">
        <f>HYPERLINK("http://www.uniprot.org/uniprot/PP151_ARATH","PP151_ARATH")</f>
        <v>PP151_ARATH</v>
      </c>
      <c r="D11388" t="s">
        <v>1204</v>
      </c>
      <c r="E11388" s="3" t="s">
        <v>3</v>
      </c>
      <c r="F11388" s="4">
        <v>2.68E-30</v>
      </c>
      <c r="G11388" s="3">
        <v>312</v>
      </c>
      <c r="H11388" s="3">
        <v>28</v>
      </c>
      <c r="I11388" s="3">
        <v>312</v>
      </c>
      <c r="J11388" s="3">
        <v>71</v>
      </c>
      <c r="K11388" s="3">
        <v>886</v>
      </c>
      <c r="L11388" s="3">
        <v>85</v>
      </c>
      <c r="M11388" s="3">
        <v>393</v>
      </c>
    </row>
    <row r="11389" spans="1:13" x14ac:dyDescent="0.25">
      <c r="A11389" s="1" t="str">
        <f>HYPERLINK("http://www.rosaceae.org/Prunus/Prunus_persica/p.persica_gdr_reftransV1_0008539","p.persica_gdr_reftransV1_0008539")</f>
        <v>p.persica_gdr_reftransV1_0008539</v>
      </c>
      <c r="B11389" s="3">
        <v>2617</v>
      </c>
      <c r="C11389" s="1" t="str">
        <f>HYPERLINK("http://www.uniprot.org/uniprot/NPRT2_ARATH","NPRT2_ARATH")</f>
        <v>NPRT2_ARATH</v>
      </c>
      <c r="D11389" t="s">
        <v>8045</v>
      </c>
      <c r="E11389" s="3" t="s">
        <v>3</v>
      </c>
      <c r="F11389" s="4">
        <v>1.4499999999999999E-179</v>
      </c>
      <c r="G11389" s="3">
        <v>1382</v>
      </c>
      <c r="H11389" s="3">
        <v>86</v>
      </c>
      <c r="I11389" s="3">
        <v>296</v>
      </c>
      <c r="J11389" s="3">
        <v>321</v>
      </c>
      <c r="K11389" s="3">
        <v>1208</v>
      </c>
      <c r="L11389" s="3">
        <v>262</v>
      </c>
      <c r="M11389" s="3">
        <v>557</v>
      </c>
    </row>
    <row r="11390" spans="1:13" x14ac:dyDescent="0.25">
      <c r="A11390" s="1" t="str">
        <f>HYPERLINK("http://www.rosaceae.org/Prunus/Prunus_persica/p.persica_gdr_reftransV1_0008789","p.persica_gdr_reftransV1_0008789")</f>
        <v>p.persica_gdr_reftransV1_0008789</v>
      </c>
      <c r="B11390" s="3">
        <v>2870</v>
      </c>
      <c r="C11390" s="1" t="str">
        <f>HYPERLINK("http://www.uniprot.org/uniprot/NIPA8_ARATH","NIPA8_ARATH")</f>
        <v>NIPA8_ARATH</v>
      </c>
      <c r="D11390" t="s">
        <v>6052</v>
      </c>
      <c r="E11390" s="3" t="s">
        <v>3</v>
      </c>
      <c r="F11390" s="4">
        <v>1.1399999999999999E-65</v>
      </c>
      <c r="G11390" s="3">
        <v>592</v>
      </c>
      <c r="H11390" s="3">
        <v>77</v>
      </c>
      <c r="I11390" s="3">
        <v>142</v>
      </c>
      <c r="J11390" s="3">
        <v>860</v>
      </c>
      <c r="K11390" s="3">
        <v>1285</v>
      </c>
      <c r="L11390" s="3">
        <v>107</v>
      </c>
      <c r="M11390" s="3">
        <v>248</v>
      </c>
    </row>
    <row r="11391" spans="1:13" x14ac:dyDescent="0.25">
      <c r="A11391" s="1" t="str">
        <f>HYPERLINK("http://www.rosaceae.org/Prunus/Prunus_persica/p.persica_gdr_reftransV1_0008839","p.persica_gdr_reftransV1_0008839")</f>
        <v>p.persica_gdr_reftransV1_0008839</v>
      </c>
      <c r="B11391" s="3">
        <v>733</v>
      </c>
      <c r="C11391" s="1" t="str">
        <f>HYPERLINK("http://www.uniprot.org/uniprot/EC11_ARATH","EC11_ARATH")</f>
        <v>EC11_ARATH</v>
      </c>
      <c r="D11391" t="s">
        <v>8046</v>
      </c>
      <c r="E11391" s="3" t="s">
        <v>3</v>
      </c>
      <c r="F11391" s="4">
        <v>2.9800000000000002E-26</v>
      </c>
      <c r="G11391" s="3">
        <v>261</v>
      </c>
      <c r="H11391" s="3">
        <v>57</v>
      </c>
      <c r="I11391" s="3">
        <v>98</v>
      </c>
      <c r="J11391" s="3">
        <v>320</v>
      </c>
      <c r="K11391" s="3">
        <v>604</v>
      </c>
      <c r="L11391" s="3">
        <v>26</v>
      </c>
      <c r="M11391" s="3">
        <v>123</v>
      </c>
    </row>
    <row r="11392" spans="1:13" x14ac:dyDescent="0.25">
      <c r="A11392" s="1" t="str">
        <f>HYPERLINK("http://www.rosaceae.org/Prunus/Prunus_persica/p.persica_gdr_reftransV1_0008889","p.persica_gdr_reftransV1_0008889")</f>
        <v>p.persica_gdr_reftransV1_0008889</v>
      </c>
      <c r="B11392" s="3">
        <v>3118</v>
      </c>
      <c r="C11392" s="1" t="str">
        <f>HYPERLINK("http://www.uniprot.org/uniprot/PUM12_ARATH","PUM12_ARATH")</f>
        <v>PUM12_ARATH</v>
      </c>
      <c r="D11392" t="s">
        <v>8047</v>
      </c>
      <c r="E11392" s="3" t="s">
        <v>3</v>
      </c>
      <c r="F11392" s="4">
        <v>4.2999999999999998E-156</v>
      </c>
      <c r="G11392" s="3">
        <v>1241</v>
      </c>
      <c r="H11392" s="3">
        <v>57</v>
      </c>
      <c r="I11392" s="3">
        <v>444</v>
      </c>
      <c r="J11392" s="3">
        <v>445</v>
      </c>
      <c r="K11392" s="3">
        <v>1773</v>
      </c>
      <c r="L11392" s="3">
        <v>185</v>
      </c>
      <c r="M11392" s="3">
        <v>585</v>
      </c>
    </row>
    <row r="11393" spans="1:13" x14ac:dyDescent="0.25">
      <c r="A11393" s="1" t="str">
        <f>HYPERLINK("http://www.rosaceae.org/Prunus/Prunus_persica/p.persica_gdr_reftransV1_0008989","p.persica_gdr_reftransV1_0008989")</f>
        <v>p.persica_gdr_reftransV1_0008989</v>
      </c>
      <c r="B11393" s="3">
        <v>1880</v>
      </c>
      <c r="C11393" s="1" t="str">
        <f>HYPERLINK("http://www.uniprot.org/uniprot/CA123_XENLA","CA123_XENLA")</f>
        <v>CA123_XENLA</v>
      </c>
      <c r="D11393" t="s">
        <v>8048</v>
      </c>
      <c r="E11393" s="3" t="s">
        <v>475</v>
      </c>
      <c r="F11393" s="4">
        <v>2.5800000000000001E-22</v>
      </c>
      <c r="G11393" s="3">
        <v>245</v>
      </c>
      <c r="H11393" s="3">
        <v>33</v>
      </c>
      <c r="I11393" s="3">
        <v>162</v>
      </c>
      <c r="J11393" s="3">
        <v>43</v>
      </c>
      <c r="K11393" s="3">
        <v>528</v>
      </c>
      <c r="L11393" s="3">
        <v>1</v>
      </c>
      <c r="M11393" s="3">
        <v>153</v>
      </c>
    </row>
    <row r="11394" spans="1:13" x14ac:dyDescent="0.25">
      <c r="A11394" s="1" t="str">
        <f>HYPERLINK("http://www.rosaceae.org/Prunus/Prunus_persica/p.persica_gdr_reftransV1_0009139","p.persica_gdr_reftransV1_0009139")</f>
        <v>p.persica_gdr_reftransV1_0009139</v>
      </c>
      <c r="B11394" s="3">
        <v>4478</v>
      </c>
      <c r="C11394" s="1" t="str">
        <f>HYPERLINK("http://www.uniprot.org/uniprot/OPT5_ARATH","OPT5_ARATH")</f>
        <v>OPT5_ARATH</v>
      </c>
      <c r="D11394" t="s">
        <v>7740</v>
      </c>
      <c r="E11394" s="3" t="s">
        <v>3</v>
      </c>
      <c r="F11394" s="4">
        <v>0</v>
      </c>
      <c r="G11394" s="3">
        <v>2650</v>
      </c>
      <c r="H11394" s="3">
        <v>67</v>
      </c>
      <c r="I11394" s="3">
        <v>724</v>
      </c>
      <c r="J11394" s="3">
        <v>2283</v>
      </c>
      <c r="K11394" s="3">
        <v>4454</v>
      </c>
      <c r="L11394" s="3">
        <v>30</v>
      </c>
      <c r="M11394" s="3">
        <v>753</v>
      </c>
    </row>
    <row r="11395" spans="1:13" x14ac:dyDescent="0.25">
      <c r="A11395" s="1" t="str">
        <f>HYPERLINK("http://www.rosaceae.org/Prunus/Prunus_persica/p.persica_gdr_reftransV1_0009189","p.persica_gdr_reftransV1_0009189")</f>
        <v>p.persica_gdr_reftransV1_0009189</v>
      </c>
      <c r="B11395" s="3">
        <v>1449</v>
      </c>
      <c r="C11395" s="1" t="str">
        <f>HYPERLINK("http://www.uniprot.org/uniprot/TDRD3_CHICK","TDRD3_CHICK")</f>
        <v>TDRD3_CHICK</v>
      </c>
      <c r="D11395" t="s">
        <v>4894</v>
      </c>
      <c r="E11395" s="3" t="s">
        <v>1278</v>
      </c>
      <c r="F11395" s="4">
        <v>6.66E-17</v>
      </c>
      <c r="G11395" s="3">
        <v>210</v>
      </c>
      <c r="H11395" s="3">
        <v>34</v>
      </c>
      <c r="I11395" s="3">
        <v>123</v>
      </c>
      <c r="J11395" s="3">
        <v>437</v>
      </c>
      <c r="K11395" s="3">
        <v>805</v>
      </c>
      <c r="L11395" s="3">
        <v>69</v>
      </c>
      <c r="M11395" s="3">
        <v>184</v>
      </c>
    </row>
    <row r="11396" spans="1:13" x14ac:dyDescent="0.25">
      <c r="A11396" s="1" t="str">
        <f>HYPERLINK("http://www.rosaceae.org/Prunus/Prunus_persica/p.persica_gdr_reftransV1_0009239","p.persica_gdr_reftransV1_0009239")</f>
        <v>p.persica_gdr_reftransV1_0009239</v>
      </c>
      <c r="B11396" s="3">
        <v>2648</v>
      </c>
      <c r="C11396" s="1" t="str">
        <f>HYPERLINK("http://www.uniprot.org/uniprot/IMPA1_ARATH","IMPA1_ARATH")</f>
        <v>IMPA1_ARATH</v>
      </c>
      <c r="D11396" t="s">
        <v>8049</v>
      </c>
      <c r="E11396" s="3" t="s">
        <v>3</v>
      </c>
      <c r="F11396" s="4">
        <v>0</v>
      </c>
      <c r="G11396" s="3">
        <v>2328</v>
      </c>
      <c r="H11396" s="3">
        <v>82</v>
      </c>
      <c r="I11396" s="3">
        <v>533</v>
      </c>
      <c r="J11396" s="3">
        <v>145</v>
      </c>
      <c r="K11396" s="3">
        <v>1734</v>
      </c>
      <c r="L11396" s="3">
        <v>1</v>
      </c>
      <c r="M11396" s="3">
        <v>532</v>
      </c>
    </row>
    <row r="11397" spans="1:13" x14ac:dyDescent="0.25">
      <c r="A11397" s="1" t="str">
        <f>HYPERLINK("http://www.rosaceae.org/Prunus/Prunus_persica/p.persica_gdr_reftransV1_0009639","p.persica_gdr_reftransV1_0009639")</f>
        <v>p.persica_gdr_reftransV1_0009639</v>
      </c>
      <c r="B11397" s="3">
        <v>1727</v>
      </c>
      <c r="C11397" s="1" t="str">
        <f>HYPERLINK("http://www.uniprot.org/uniprot/Y5520_ARATH","Y5520_ARATH")</f>
        <v>Y5520_ARATH</v>
      </c>
      <c r="D11397" t="s">
        <v>1522</v>
      </c>
      <c r="E11397" s="3" t="s">
        <v>3</v>
      </c>
      <c r="F11397" s="4">
        <v>0</v>
      </c>
      <c r="G11397" s="3">
        <v>1788</v>
      </c>
      <c r="H11397" s="3">
        <v>83</v>
      </c>
      <c r="I11397" s="3">
        <v>394</v>
      </c>
      <c r="J11397" s="3">
        <v>271</v>
      </c>
      <c r="K11397" s="3">
        <v>1449</v>
      </c>
      <c r="L11397" s="3">
        <v>146</v>
      </c>
      <c r="M11397" s="3">
        <v>539</v>
      </c>
    </row>
    <row r="11398" spans="1:13" x14ac:dyDescent="0.25">
      <c r="A11398" s="1" t="str">
        <f>HYPERLINK("http://www.rosaceae.org/Prunus/Prunus_persica/p.persica_gdr_reftransV1_0009739","p.persica_gdr_reftransV1_0009739")</f>
        <v>p.persica_gdr_reftransV1_0009739</v>
      </c>
      <c r="B11398" s="3">
        <v>1537</v>
      </c>
      <c r="C11398" s="1" t="str">
        <f>HYPERLINK("http://www.uniprot.org/uniprot/CCA34_ARATH","CCA34_ARATH")</f>
        <v>CCA34_ARATH</v>
      </c>
      <c r="D11398" t="s">
        <v>8050</v>
      </c>
      <c r="E11398" s="3" t="s">
        <v>3</v>
      </c>
      <c r="F11398" s="4">
        <v>1.11E-130</v>
      </c>
      <c r="G11398" s="3">
        <v>1005</v>
      </c>
      <c r="H11398" s="3">
        <v>56</v>
      </c>
      <c r="I11398" s="3">
        <v>368</v>
      </c>
      <c r="J11398" s="3">
        <v>61</v>
      </c>
      <c r="K11398" s="3">
        <v>1158</v>
      </c>
      <c r="L11398" s="3">
        <v>1</v>
      </c>
      <c r="M11398" s="3">
        <v>364</v>
      </c>
    </row>
    <row r="11399" spans="1:13" x14ac:dyDescent="0.25">
      <c r="A11399" s="1" t="str">
        <f>HYPERLINK("http://www.rosaceae.org/Prunus/Prunus_persica/p.persica_gdr_reftransV1_0009789","p.persica_gdr_reftransV1_0009789")</f>
        <v>p.persica_gdr_reftransV1_0009789</v>
      </c>
      <c r="B11399" s="3">
        <v>1638</v>
      </c>
      <c r="C11399" s="1" t="str">
        <f>HYPERLINK("http://www.uniprot.org/uniprot/P2C08_ARATH","P2C08_ARATH")</f>
        <v>P2C08_ARATH</v>
      </c>
      <c r="D11399" t="s">
        <v>8051</v>
      </c>
      <c r="E11399" s="3" t="s">
        <v>3</v>
      </c>
      <c r="F11399" s="4">
        <v>2.9899999999999998E-128</v>
      </c>
      <c r="G11399" s="3">
        <v>990</v>
      </c>
      <c r="H11399" s="3">
        <v>59</v>
      </c>
      <c r="I11399" s="3">
        <v>364</v>
      </c>
      <c r="J11399" s="3">
        <v>307</v>
      </c>
      <c r="K11399" s="3">
        <v>1377</v>
      </c>
      <c r="L11399" s="3">
        <v>14</v>
      </c>
      <c r="M11399" s="3">
        <v>349</v>
      </c>
    </row>
    <row r="11400" spans="1:13" x14ac:dyDescent="0.25">
      <c r="A11400" s="1" t="str">
        <f>HYPERLINK("http://www.rosaceae.org/Prunus/Prunus_persica/p.persica_gdr_reftransV1_0010089","p.persica_gdr_reftransV1_0010089")</f>
        <v>p.persica_gdr_reftransV1_0010089</v>
      </c>
      <c r="B11400" s="3">
        <v>550</v>
      </c>
      <c r="C11400" s="1" t="str">
        <f>HYPERLINK("http://www.uniprot.org/uniprot/SAU41_ARATH","SAU41_ARATH")</f>
        <v>SAU41_ARATH</v>
      </c>
      <c r="D11400" t="s">
        <v>7985</v>
      </c>
      <c r="E11400" s="3" t="s">
        <v>3</v>
      </c>
      <c r="F11400" s="4">
        <v>1.43E-10</v>
      </c>
      <c r="G11400" s="3">
        <v>144</v>
      </c>
      <c r="H11400" s="3">
        <v>42</v>
      </c>
      <c r="I11400" s="3">
        <v>89</v>
      </c>
      <c r="J11400" s="3">
        <v>280</v>
      </c>
      <c r="K11400" s="3">
        <v>513</v>
      </c>
      <c r="L11400" s="3">
        <v>25</v>
      </c>
      <c r="M11400" s="3">
        <v>111</v>
      </c>
    </row>
    <row r="11401" spans="1:13" x14ac:dyDescent="0.25">
      <c r="A11401" s="1" t="str">
        <f>HYPERLINK("http://www.rosaceae.org/Prunus/Prunus_persica/p.persica_gdr_reftransV1_0010239","p.persica_gdr_reftransV1_0010239")</f>
        <v>p.persica_gdr_reftransV1_0010239</v>
      </c>
      <c r="B11401" s="3">
        <v>794</v>
      </c>
      <c r="C11401" s="1" t="str">
        <f>HYPERLINK("http://www.uniprot.org/uniprot/PP285_ARATH","PP285_ARATH")</f>
        <v>PP285_ARATH</v>
      </c>
      <c r="D11401" t="s">
        <v>6714</v>
      </c>
      <c r="E11401" s="3" t="s">
        <v>3</v>
      </c>
      <c r="F11401" s="4">
        <v>1.4900000000000001E-111</v>
      </c>
      <c r="G11401" s="3">
        <v>893</v>
      </c>
      <c r="H11401" s="3">
        <v>63</v>
      </c>
      <c r="I11401" s="3">
        <v>264</v>
      </c>
      <c r="J11401" s="3">
        <v>1</v>
      </c>
      <c r="K11401" s="3">
        <v>792</v>
      </c>
      <c r="L11401" s="3">
        <v>162</v>
      </c>
      <c r="M11401" s="3">
        <v>425</v>
      </c>
    </row>
    <row r="11402" spans="1:13" x14ac:dyDescent="0.25">
      <c r="A11402" s="1" t="str">
        <f>HYPERLINK("http://www.rosaceae.org/Prunus/Prunus_persica/p.persica_gdr_reftransV1_0010389","p.persica_gdr_reftransV1_0010389")</f>
        <v>p.persica_gdr_reftransV1_0010389</v>
      </c>
      <c r="B11402" s="3">
        <v>1540</v>
      </c>
      <c r="C11402" s="1" t="str">
        <f>HYPERLINK("http://www.uniprot.org/uniprot/Y4885_ARATH","Y4885_ARATH")</f>
        <v>Y4885_ARATH</v>
      </c>
      <c r="D11402" t="s">
        <v>468</v>
      </c>
      <c r="E11402" s="3" t="s">
        <v>3</v>
      </c>
      <c r="F11402" s="4">
        <v>3.3700000000000001E-38</v>
      </c>
      <c r="G11402" s="3">
        <v>388</v>
      </c>
      <c r="H11402" s="3">
        <v>30</v>
      </c>
      <c r="I11402" s="3">
        <v>537</v>
      </c>
      <c r="J11402" s="3">
        <v>26</v>
      </c>
      <c r="K11402" s="3">
        <v>1540</v>
      </c>
      <c r="L11402" s="3">
        <v>165</v>
      </c>
      <c r="M11402" s="3">
        <v>663</v>
      </c>
    </row>
    <row r="11403" spans="1:13" x14ac:dyDescent="0.25">
      <c r="A11403" s="1" t="str">
        <f>HYPERLINK("http://www.rosaceae.org/Prunus/Prunus_persica/p.persica_gdr_reftransV1_0010639","p.persica_gdr_reftransV1_0010639")</f>
        <v>p.persica_gdr_reftransV1_0010639</v>
      </c>
      <c r="B11403" s="3">
        <v>1604</v>
      </c>
      <c r="C11403" s="1" t="str">
        <f>HYPERLINK("http://www.uniprot.org/uniprot/TBL13_ARATH","TBL13_ARATH")</f>
        <v>TBL13_ARATH</v>
      </c>
      <c r="D11403" t="s">
        <v>8052</v>
      </c>
      <c r="E11403" s="3" t="s">
        <v>3</v>
      </c>
      <c r="F11403" s="4">
        <v>3.3799999999999999E-150</v>
      </c>
      <c r="G11403" s="3">
        <v>1136</v>
      </c>
      <c r="H11403" s="3">
        <v>76</v>
      </c>
      <c r="I11403" s="3">
        <v>286</v>
      </c>
      <c r="J11403" s="3">
        <v>249</v>
      </c>
      <c r="K11403" s="3">
        <v>1100</v>
      </c>
      <c r="L11403" s="3">
        <v>125</v>
      </c>
      <c r="M11403" s="3">
        <v>410</v>
      </c>
    </row>
    <row r="11404" spans="1:13" x14ac:dyDescent="0.25">
      <c r="A11404" s="1" t="str">
        <f>HYPERLINK("http://www.rosaceae.org/Prunus/Prunus_persica/p.persica_gdr_reftransV1_0010689","p.persica_gdr_reftransV1_0010689")</f>
        <v>p.persica_gdr_reftransV1_0010689</v>
      </c>
      <c r="B11404" s="3">
        <v>582</v>
      </c>
      <c r="C11404" s="1" t="str">
        <f>HYPERLINK("http://www.uniprot.org/uniprot/UBC32_ARATH","UBC32_ARATH")</f>
        <v>UBC32_ARATH</v>
      </c>
      <c r="D11404" t="s">
        <v>3698</v>
      </c>
      <c r="E11404" s="3" t="s">
        <v>3</v>
      </c>
      <c r="F11404" s="4">
        <v>3.1300000000000001E-37</v>
      </c>
      <c r="G11404" s="3">
        <v>343</v>
      </c>
      <c r="H11404" s="3">
        <v>53</v>
      </c>
      <c r="I11404" s="3">
        <v>129</v>
      </c>
      <c r="J11404" s="3">
        <v>221</v>
      </c>
      <c r="K11404" s="3">
        <v>580</v>
      </c>
      <c r="L11404" s="3">
        <v>41</v>
      </c>
      <c r="M11404" s="3">
        <v>169</v>
      </c>
    </row>
    <row r="11405" spans="1:13" x14ac:dyDescent="0.25">
      <c r="A11405" s="1" t="str">
        <f>HYPERLINK("http://www.rosaceae.org/Prunus/Prunus_persica/p.persica_gdr_reftransV1_0010739","p.persica_gdr_reftransV1_0010739")</f>
        <v>p.persica_gdr_reftransV1_0010739</v>
      </c>
      <c r="B11405" s="3">
        <v>627</v>
      </c>
      <c r="C11405" s="1" t="str">
        <f>HYPERLINK("http://www.uniprot.org/uniprot/MBD6_ARATH","MBD6_ARATH")</f>
        <v>MBD6_ARATH</v>
      </c>
      <c r="D11405" t="s">
        <v>8053</v>
      </c>
      <c r="E11405" s="3" t="s">
        <v>3</v>
      </c>
      <c r="F11405" s="4">
        <v>1.17E-22</v>
      </c>
      <c r="G11405" s="3">
        <v>238</v>
      </c>
      <c r="H11405" s="3">
        <v>43</v>
      </c>
      <c r="I11405" s="3">
        <v>144</v>
      </c>
      <c r="J11405" s="3">
        <v>109</v>
      </c>
      <c r="K11405" s="3">
        <v>510</v>
      </c>
      <c r="L11405" s="3">
        <v>4</v>
      </c>
      <c r="M11405" s="3">
        <v>138</v>
      </c>
    </row>
    <row r="11406" spans="1:13" x14ac:dyDescent="0.25">
      <c r="A11406" s="1" t="str">
        <f>HYPERLINK("http://www.rosaceae.org/Prunus/Prunus_persica/p.persica_gdr_reftransV1_0010789","p.persica_gdr_reftransV1_0010789")</f>
        <v>p.persica_gdr_reftransV1_0010789</v>
      </c>
      <c r="B11406" s="3">
        <v>788</v>
      </c>
      <c r="C11406" s="1" t="str">
        <f>HYPERLINK("http://www.uniprot.org/uniprot/PLA2C_ARATH","PLA2C_ARATH")</f>
        <v>PLA2C_ARATH</v>
      </c>
      <c r="D11406" t="s">
        <v>8054</v>
      </c>
      <c r="E11406" s="3" t="s">
        <v>3</v>
      </c>
      <c r="F11406" s="4">
        <v>1.9499999999999999E-29</v>
      </c>
      <c r="G11406" s="3">
        <v>217</v>
      </c>
      <c r="H11406" s="3">
        <v>68</v>
      </c>
      <c r="I11406" s="3">
        <v>56</v>
      </c>
      <c r="J11406" s="3">
        <v>168</v>
      </c>
      <c r="K11406" s="3">
        <v>335</v>
      </c>
      <c r="L11406" s="3">
        <v>24</v>
      </c>
      <c r="M11406" s="3">
        <v>79</v>
      </c>
    </row>
    <row r="11407" spans="1:13" x14ac:dyDescent="0.25">
      <c r="A11407" s="1" t="str">
        <f>HYPERLINK("http://www.rosaceae.org/Prunus/Prunus_persica/p.persica_gdr_reftransV1_0010939","p.persica_gdr_reftransV1_0010939")</f>
        <v>p.persica_gdr_reftransV1_0010939</v>
      </c>
      <c r="B11407" s="3">
        <v>2143</v>
      </c>
      <c r="C11407" s="1" t="str">
        <f>HYPERLINK("http://www.uniprot.org/uniprot/OCT7_ARATH","OCT7_ARATH")</f>
        <v>OCT7_ARATH</v>
      </c>
      <c r="D11407" t="s">
        <v>8055</v>
      </c>
      <c r="E11407" s="3" t="s">
        <v>3</v>
      </c>
      <c r="F11407" s="4">
        <v>0</v>
      </c>
      <c r="G11407" s="3">
        <v>1584</v>
      </c>
      <c r="H11407" s="3">
        <v>68</v>
      </c>
      <c r="I11407" s="3">
        <v>494</v>
      </c>
      <c r="J11407" s="3">
        <v>253</v>
      </c>
      <c r="K11407" s="3">
        <v>1725</v>
      </c>
      <c r="L11407" s="3">
        <v>1</v>
      </c>
      <c r="M11407" s="3">
        <v>494</v>
      </c>
    </row>
    <row r="11408" spans="1:13" x14ac:dyDescent="0.25">
      <c r="A11408" s="1" t="str">
        <f>HYPERLINK("http://www.rosaceae.org/Prunus/Prunus_persica/p.persica_gdr_reftransV1_0011089","p.persica_gdr_reftransV1_0011089")</f>
        <v>p.persica_gdr_reftransV1_0011089</v>
      </c>
      <c r="B11408" s="3">
        <v>1232</v>
      </c>
      <c r="C11408" s="1" t="str">
        <f>HYPERLINK("http://www.uniprot.org/uniprot/RL74_ARATH","RL74_ARATH")</f>
        <v>RL74_ARATH</v>
      </c>
      <c r="D11408" t="s">
        <v>8056</v>
      </c>
      <c r="E11408" s="3" t="s">
        <v>3</v>
      </c>
      <c r="F11408" s="4">
        <v>2.6599999999999997E-141</v>
      </c>
      <c r="G11408" s="3">
        <v>1053</v>
      </c>
      <c r="H11408" s="3">
        <v>86</v>
      </c>
      <c r="I11408" s="3">
        <v>242</v>
      </c>
      <c r="J11408" s="3">
        <v>139</v>
      </c>
      <c r="K11408" s="3">
        <v>864</v>
      </c>
      <c r="L11408" s="3">
        <v>3</v>
      </c>
      <c r="M11408" s="3">
        <v>244</v>
      </c>
    </row>
    <row r="11409" spans="1:13" x14ac:dyDescent="0.25">
      <c r="A11409" s="1" t="str">
        <f>HYPERLINK("http://www.rosaceae.org/Prunus/Prunus_persica/p.persica_gdr_reftransV1_0011239","p.persica_gdr_reftransV1_0011239")</f>
        <v>p.persica_gdr_reftransV1_0011239</v>
      </c>
      <c r="B11409" s="3">
        <v>2331</v>
      </c>
      <c r="C11409" s="1" t="str">
        <f>HYPERLINK("http://www.uniprot.org/uniprot/LCYB_SOLLC","LCYB_SOLLC")</f>
        <v>LCYB_SOLLC</v>
      </c>
      <c r="D11409" t="s">
        <v>8057</v>
      </c>
      <c r="E11409" s="3" t="s">
        <v>64</v>
      </c>
      <c r="F11409" s="4">
        <v>0</v>
      </c>
      <c r="G11409" s="3">
        <v>2159</v>
      </c>
      <c r="H11409" s="3">
        <v>84</v>
      </c>
      <c r="I11409" s="3">
        <v>504</v>
      </c>
      <c r="J11409" s="3">
        <v>253</v>
      </c>
      <c r="K11409" s="3">
        <v>1764</v>
      </c>
      <c r="L11409" s="3">
        <v>1</v>
      </c>
      <c r="M11409" s="3">
        <v>500</v>
      </c>
    </row>
    <row r="11410" spans="1:13" x14ac:dyDescent="0.25">
      <c r="A11410" s="1" t="str">
        <f>HYPERLINK("http://www.rosaceae.org/Prunus/Prunus_persica/p.persica_gdr_reftransV1_0011439","p.persica_gdr_reftransV1_0011439")</f>
        <v>p.persica_gdr_reftransV1_0011439</v>
      </c>
      <c r="B11410" s="3">
        <v>2734</v>
      </c>
      <c r="C11410" s="1" t="str">
        <f>HYPERLINK("http://www.uniprot.org/uniprot/ARid2_ARATH","ARid2_ARATH")</f>
        <v>ARid2_ARATH</v>
      </c>
      <c r="D11410" t="s">
        <v>6986</v>
      </c>
      <c r="E11410" s="3" t="s">
        <v>3</v>
      </c>
      <c r="F11410" s="4">
        <v>6.8100000000000002E-26</v>
      </c>
      <c r="G11410" s="3">
        <v>292</v>
      </c>
      <c r="H11410" s="3">
        <v>34</v>
      </c>
      <c r="I11410" s="3">
        <v>216</v>
      </c>
      <c r="J11410" s="3">
        <v>930</v>
      </c>
      <c r="K11410" s="3">
        <v>1568</v>
      </c>
      <c r="L11410" s="3">
        <v>370</v>
      </c>
      <c r="M11410" s="3">
        <v>562</v>
      </c>
    </row>
    <row r="11411" spans="1:13" x14ac:dyDescent="0.25">
      <c r="A11411" s="1" t="str">
        <f>HYPERLINK("http://www.rosaceae.org/Prunus/Prunus_persica/p.persica_gdr_reftransV1_0011839","p.persica_gdr_reftransV1_0011839")</f>
        <v>p.persica_gdr_reftransV1_0011839</v>
      </c>
      <c r="B11411" s="3">
        <v>1691</v>
      </c>
      <c r="C11411" s="1" t="str">
        <f>HYPERLINK("http://www.uniprot.org/uniprot/PRFB1_ARATH","PRFB1_ARATH")</f>
        <v>PRFB1_ARATH</v>
      </c>
      <c r="D11411" t="s">
        <v>8058</v>
      </c>
      <c r="E11411" s="3" t="s">
        <v>3</v>
      </c>
      <c r="F11411" s="4">
        <v>4.9399999999999998E-144</v>
      </c>
      <c r="G11411" s="3">
        <v>1107</v>
      </c>
      <c r="H11411" s="3">
        <v>84</v>
      </c>
      <c r="I11411" s="3">
        <v>233</v>
      </c>
      <c r="J11411" s="3">
        <v>236</v>
      </c>
      <c r="K11411" s="3">
        <v>934</v>
      </c>
      <c r="L11411" s="3">
        <v>221</v>
      </c>
      <c r="M11411" s="3">
        <v>453</v>
      </c>
    </row>
    <row r="11412" spans="1:13" x14ac:dyDescent="0.25">
      <c r="A11412" s="1" t="str">
        <f>HYPERLINK("http://www.rosaceae.org/Prunus/Prunus_persica/p.persica_gdr_reftransV1_0011939","p.persica_gdr_reftransV1_0011939")</f>
        <v>p.persica_gdr_reftransV1_0011939</v>
      </c>
      <c r="B11412" s="3">
        <v>970</v>
      </c>
      <c r="C11412" s="1" t="str">
        <f>HYPERLINK("http://www.uniprot.org/uniprot/R13L1_ARATH","R13L1_ARATH")</f>
        <v>R13L1_ARATH</v>
      </c>
      <c r="D11412" t="s">
        <v>100</v>
      </c>
      <c r="E11412" s="3" t="s">
        <v>3</v>
      </c>
      <c r="F11412" s="4">
        <v>3.3E-75</v>
      </c>
      <c r="G11412" s="3">
        <v>650</v>
      </c>
      <c r="H11412" s="3">
        <v>50</v>
      </c>
      <c r="I11412" s="3">
        <v>280</v>
      </c>
      <c r="J11412" s="3">
        <v>140</v>
      </c>
      <c r="K11412" s="3">
        <v>970</v>
      </c>
      <c r="L11412" s="3">
        <v>401</v>
      </c>
      <c r="M11412" s="3">
        <v>672</v>
      </c>
    </row>
    <row r="11413" spans="1:13" x14ac:dyDescent="0.25">
      <c r="A11413" s="1" t="str">
        <f>HYPERLINK("http://www.rosaceae.org/Prunus/Prunus_persica/p.persica_gdr_reftransV1_0012039","p.persica_gdr_reftransV1_0012039")</f>
        <v>p.persica_gdr_reftransV1_0012039</v>
      </c>
      <c r="B11413" s="3">
        <v>12202</v>
      </c>
      <c r="C11413" s="1" t="str">
        <f>HYPERLINK("http://www.uniprot.org/uniprot/UPL1_ARATH","UPL1_ARATH")</f>
        <v>UPL1_ARATH</v>
      </c>
      <c r="D11413" t="s">
        <v>8059</v>
      </c>
      <c r="E11413" s="3" t="s">
        <v>3</v>
      </c>
      <c r="F11413" s="4">
        <v>0</v>
      </c>
      <c r="G11413" s="3">
        <v>11155</v>
      </c>
      <c r="H11413" s="3">
        <v>66</v>
      </c>
      <c r="I11413" s="3">
        <v>3810</v>
      </c>
      <c r="J11413" s="3">
        <v>309</v>
      </c>
      <c r="K11413" s="3">
        <v>11606</v>
      </c>
      <c r="L11413" s="3">
        <v>1</v>
      </c>
      <c r="M11413" s="3">
        <v>3681</v>
      </c>
    </row>
    <row r="11414" spans="1:13" x14ac:dyDescent="0.25">
      <c r="A11414" s="1" t="str">
        <f>HYPERLINK("http://www.rosaceae.org/Prunus/Prunus_persica/p.persica_gdr_reftransV1_0012339","p.persica_gdr_reftransV1_0012339")</f>
        <v>p.persica_gdr_reftransV1_0012339</v>
      </c>
      <c r="B11414" s="3">
        <v>2820</v>
      </c>
      <c r="C11414" s="1" t="str">
        <f>HYPERLINK("http://www.uniprot.org/uniprot/PP154_ARATH","PP154_ARATH")</f>
        <v>PP154_ARATH</v>
      </c>
      <c r="D11414" t="s">
        <v>8060</v>
      </c>
      <c r="E11414" s="3" t="s">
        <v>3</v>
      </c>
      <c r="F11414" s="4">
        <v>0</v>
      </c>
      <c r="G11414" s="3">
        <v>2390</v>
      </c>
      <c r="H11414" s="3">
        <v>60</v>
      </c>
      <c r="I11414" s="3">
        <v>752</v>
      </c>
      <c r="J11414" s="3">
        <v>320</v>
      </c>
      <c r="K11414" s="3">
        <v>2524</v>
      </c>
      <c r="L11414" s="3">
        <v>112</v>
      </c>
      <c r="M11414" s="3">
        <v>845</v>
      </c>
    </row>
    <row r="11415" spans="1:13" x14ac:dyDescent="0.25">
      <c r="A11415" s="1" t="str">
        <f>HYPERLINK("http://www.rosaceae.org/Prunus/Prunus_persica/p.persica_gdr_reftransV1_0012389","p.persica_gdr_reftransV1_0012389")</f>
        <v>p.persica_gdr_reftransV1_0012389</v>
      </c>
      <c r="B11415" s="3">
        <v>3267</v>
      </c>
      <c r="C11415" s="1" t="str">
        <f>HYPERLINK("http://www.uniprot.org/uniprot/UVR8_ARATH","UVR8_ARATH")</f>
        <v>UVR8_ARATH</v>
      </c>
      <c r="D11415" t="s">
        <v>2154</v>
      </c>
      <c r="E11415" s="3" t="s">
        <v>3</v>
      </c>
      <c r="F11415" s="4">
        <v>1.7800000000000001E-54</v>
      </c>
      <c r="G11415" s="3">
        <v>512</v>
      </c>
      <c r="H11415" s="3">
        <v>36</v>
      </c>
      <c r="I11415" s="3">
        <v>360</v>
      </c>
      <c r="J11415" s="3">
        <v>1704</v>
      </c>
      <c r="K11415" s="3">
        <v>2747</v>
      </c>
      <c r="L11415" s="3">
        <v>37</v>
      </c>
      <c r="M11415" s="3">
        <v>377</v>
      </c>
    </row>
    <row r="11416" spans="1:13" x14ac:dyDescent="0.25">
      <c r="A11416" s="1" t="str">
        <f>HYPERLINK("http://www.rosaceae.org/Prunus/Prunus_persica/p.persica_gdr_reftransV1_0012439","p.persica_gdr_reftransV1_0012439")</f>
        <v>p.persica_gdr_reftransV1_0012439</v>
      </c>
      <c r="B11416" s="3">
        <v>1469</v>
      </c>
      <c r="C11416" s="1" t="str">
        <f>HYPERLINK("http://www.uniprot.org/uniprot/TECR_DICDI","TECR_DICDI")</f>
        <v>TECR_DICDI</v>
      </c>
      <c r="D11416" t="s">
        <v>8061</v>
      </c>
      <c r="E11416" s="3" t="s">
        <v>9</v>
      </c>
      <c r="F11416" s="4">
        <v>3.8599999999999998E-21</v>
      </c>
      <c r="G11416" s="3">
        <v>241</v>
      </c>
      <c r="H11416" s="3">
        <v>35</v>
      </c>
      <c r="I11416" s="3">
        <v>178</v>
      </c>
      <c r="J11416" s="3">
        <v>697</v>
      </c>
      <c r="K11416" s="3">
        <v>1221</v>
      </c>
      <c r="L11416" s="3">
        <v>127</v>
      </c>
      <c r="M11416" s="3">
        <v>300</v>
      </c>
    </row>
    <row r="11417" spans="1:13" x14ac:dyDescent="0.25">
      <c r="A11417" s="1" t="str">
        <f>HYPERLINK("http://www.rosaceae.org/Prunus/Prunus_persica/p.persica_gdr_reftransV1_0012489","p.persica_gdr_reftransV1_0012489")</f>
        <v>p.persica_gdr_reftransV1_0012489</v>
      </c>
      <c r="B11417" s="3">
        <v>575</v>
      </c>
      <c r="C11417" s="1" t="str">
        <f>HYPERLINK("http://www.uniprot.org/uniprot/KATAM_ARATH","KATAM_ARATH")</f>
        <v>KATAM_ARATH</v>
      </c>
      <c r="D11417" t="s">
        <v>5884</v>
      </c>
      <c r="E11417" s="3" t="s">
        <v>3</v>
      </c>
      <c r="F11417" s="4">
        <v>8.1400000000000005E-15</v>
      </c>
      <c r="G11417" s="3">
        <v>186</v>
      </c>
      <c r="H11417" s="3">
        <v>43</v>
      </c>
      <c r="I11417" s="3">
        <v>87</v>
      </c>
      <c r="J11417" s="3">
        <v>313</v>
      </c>
      <c r="K11417" s="3">
        <v>573</v>
      </c>
      <c r="L11417" s="3">
        <v>144</v>
      </c>
      <c r="M11417" s="3">
        <v>223</v>
      </c>
    </row>
    <row r="11418" spans="1:13" x14ac:dyDescent="0.25">
      <c r="A11418" s="1" t="str">
        <f>HYPERLINK("http://www.rosaceae.org/Prunus/Prunus_persica/p.persica_gdr_reftransV1_0012539","p.persica_gdr_reftransV1_0012539")</f>
        <v>p.persica_gdr_reftransV1_0012539</v>
      </c>
      <c r="B11418" s="3">
        <v>3497</v>
      </c>
      <c r="C11418" s="1" t="str">
        <f>HYPERLINK("http://www.uniprot.org/uniprot/RIBA1_ARATH","RIBA1_ARATH")</f>
        <v>RIBA1_ARATH</v>
      </c>
      <c r="D11418" t="s">
        <v>7504</v>
      </c>
      <c r="E11418" s="3" t="s">
        <v>3</v>
      </c>
      <c r="F11418" s="4">
        <v>1.66E-154</v>
      </c>
      <c r="G11418" s="3">
        <v>1234</v>
      </c>
      <c r="H11418" s="3">
        <v>85</v>
      </c>
      <c r="I11418" s="3">
        <v>268</v>
      </c>
      <c r="J11418" s="3">
        <v>1386</v>
      </c>
      <c r="K11418" s="3">
        <v>2189</v>
      </c>
      <c r="L11418" s="3">
        <v>208</v>
      </c>
      <c r="M11418" s="3">
        <v>468</v>
      </c>
    </row>
    <row r="11419" spans="1:13" x14ac:dyDescent="0.25">
      <c r="A11419" s="1" t="str">
        <f>HYPERLINK("http://www.rosaceae.org/Prunus/Prunus_persica/p.persica_gdr_reftransV1_0012589","p.persica_gdr_reftransV1_0012589")</f>
        <v>p.persica_gdr_reftransV1_0012589</v>
      </c>
      <c r="B11419" s="3">
        <v>1962</v>
      </c>
      <c r="C11419" s="1" t="str">
        <f>HYPERLINK("http://www.uniprot.org/uniprot/CCD22_MOUSE","CCD22_MOUSE")</f>
        <v>CCD22_MOUSE</v>
      </c>
      <c r="D11419" t="s">
        <v>8062</v>
      </c>
      <c r="E11419" s="3" t="s">
        <v>157</v>
      </c>
      <c r="F11419" s="4">
        <v>1.94E-20</v>
      </c>
      <c r="G11419" s="3">
        <v>246</v>
      </c>
      <c r="H11419" s="3">
        <v>41</v>
      </c>
      <c r="I11419" s="3">
        <v>153</v>
      </c>
      <c r="J11419" s="3">
        <v>269</v>
      </c>
      <c r="K11419" s="3">
        <v>721</v>
      </c>
      <c r="L11419" s="3">
        <v>468</v>
      </c>
      <c r="M11419" s="3">
        <v>620</v>
      </c>
    </row>
    <row r="11420" spans="1:13" x14ac:dyDescent="0.25">
      <c r="A11420" s="1" t="str">
        <f>HYPERLINK("http://www.rosaceae.org/Prunus/Prunus_persica/p.persica_gdr_reftransV1_0012639","p.persica_gdr_reftransV1_0012639")</f>
        <v>p.persica_gdr_reftransV1_0012639</v>
      </c>
      <c r="B11420" s="3">
        <v>875</v>
      </c>
      <c r="C11420" s="1" t="str">
        <f>HYPERLINK("http://www.uniprot.org/uniprot/YIPL7_ARATH","YIPL7_ARATH")</f>
        <v>YIPL7_ARATH</v>
      </c>
      <c r="D11420" t="s">
        <v>8063</v>
      </c>
      <c r="E11420" s="3" t="s">
        <v>3</v>
      </c>
      <c r="F11420" s="4">
        <v>1.3799999999999999E-53</v>
      </c>
      <c r="G11420" s="3">
        <v>448</v>
      </c>
      <c r="H11420" s="3">
        <v>66</v>
      </c>
      <c r="I11420" s="3">
        <v>127</v>
      </c>
      <c r="J11420" s="3">
        <v>243</v>
      </c>
      <c r="K11420" s="3">
        <v>617</v>
      </c>
      <c r="L11420" s="3">
        <v>1</v>
      </c>
      <c r="M11420" s="3">
        <v>127</v>
      </c>
    </row>
    <row r="11421" spans="1:13" x14ac:dyDescent="0.25">
      <c r="A11421" s="1" t="str">
        <f>HYPERLINK("http://www.rosaceae.org/Prunus/Prunus_persica/p.persica_gdr_reftransV1_0012689","p.persica_gdr_reftransV1_0012689")</f>
        <v>p.persica_gdr_reftransV1_0012689</v>
      </c>
      <c r="B11421" s="3">
        <v>1436</v>
      </c>
      <c r="C11421" s="1" t="str">
        <f>HYPERLINK("http://www.uniprot.org/uniprot/LRK81_ARATH","LRK81_ARATH")</f>
        <v>LRK81_ARATH</v>
      </c>
      <c r="D11421" t="s">
        <v>1599</v>
      </c>
      <c r="E11421" s="3" t="s">
        <v>3</v>
      </c>
      <c r="F11421" s="4">
        <v>3.0299999999999998E-12</v>
      </c>
      <c r="G11421" s="3">
        <v>177</v>
      </c>
      <c r="H11421" s="3">
        <v>34</v>
      </c>
      <c r="I11421" s="3">
        <v>187</v>
      </c>
      <c r="J11421" s="3">
        <v>730</v>
      </c>
      <c r="K11421" s="3">
        <v>1263</v>
      </c>
      <c r="L11421" s="3">
        <v>32</v>
      </c>
      <c r="M11421" s="3">
        <v>216</v>
      </c>
    </row>
    <row r="11422" spans="1:13" x14ac:dyDescent="0.25">
      <c r="A11422" s="1" t="str">
        <f>HYPERLINK("http://www.rosaceae.org/Prunus/Prunus_persica/p.persica_gdr_reftransV1_0012739","p.persica_gdr_reftransV1_0012739")</f>
        <v>p.persica_gdr_reftransV1_0012739</v>
      </c>
      <c r="B11422" s="3">
        <v>2246</v>
      </c>
      <c r="C11422" s="1" t="str">
        <f>HYPERLINK("http://www.uniprot.org/uniprot/FLA7_ARATH","FLA7_ARATH")</f>
        <v>FLA7_ARATH</v>
      </c>
      <c r="D11422" t="s">
        <v>4171</v>
      </c>
      <c r="E11422" s="3" t="s">
        <v>3</v>
      </c>
      <c r="F11422" s="4">
        <v>3.9800000000000001E-78</v>
      </c>
      <c r="G11422" s="3">
        <v>658</v>
      </c>
      <c r="H11422" s="3">
        <v>70</v>
      </c>
      <c r="I11422" s="3">
        <v>196</v>
      </c>
      <c r="J11422" s="3">
        <v>471</v>
      </c>
      <c r="K11422" s="3">
        <v>1052</v>
      </c>
      <c r="L11422" s="3">
        <v>1</v>
      </c>
      <c r="M11422" s="3">
        <v>196</v>
      </c>
    </row>
    <row r="11423" spans="1:13" x14ac:dyDescent="0.25">
      <c r="A11423" s="1" t="str">
        <f>HYPERLINK("http://www.rosaceae.org/Prunus/Prunus_persica/p.persica_gdr_reftransV1_0012789","p.persica_gdr_reftransV1_0012789")</f>
        <v>p.persica_gdr_reftransV1_0012789</v>
      </c>
      <c r="B11423" s="3">
        <v>4120</v>
      </c>
      <c r="C11423" s="1" t="str">
        <f>HYPERLINK("http://www.uniprot.org/uniprot/Y5262_ARATH","Y5262_ARATH")</f>
        <v>Y5262_ARATH</v>
      </c>
      <c r="D11423" t="s">
        <v>399</v>
      </c>
      <c r="E11423" s="3" t="s">
        <v>3</v>
      </c>
      <c r="F11423" s="4">
        <v>2.2600000000000001E-55</v>
      </c>
      <c r="G11423" s="3">
        <v>528</v>
      </c>
      <c r="H11423" s="3">
        <v>56</v>
      </c>
      <c r="I11423" s="3">
        <v>245</v>
      </c>
      <c r="J11423" s="3">
        <v>762</v>
      </c>
      <c r="K11423" s="3">
        <v>1472</v>
      </c>
      <c r="L11423" s="3">
        <v>256</v>
      </c>
      <c r="M11423" s="3">
        <v>500</v>
      </c>
    </row>
    <row r="11424" spans="1:13" x14ac:dyDescent="0.25">
      <c r="A11424" s="1" t="str">
        <f>HYPERLINK("http://www.rosaceae.org/Prunus/Prunus_persica/p.persica_gdr_reftransV1_0012839","p.persica_gdr_reftransV1_0012839")</f>
        <v>p.persica_gdr_reftransV1_0012839</v>
      </c>
      <c r="B11424" s="3">
        <v>2827</v>
      </c>
      <c r="C11424" s="1" t="str">
        <f>HYPERLINK("http://www.uniprot.org/uniprot/IF2P_SCHPO","IF2P_SCHPO")</f>
        <v>IF2P_SCHPO</v>
      </c>
      <c r="D11424" t="s">
        <v>8064</v>
      </c>
      <c r="E11424" s="3" t="s">
        <v>464</v>
      </c>
      <c r="F11424" s="4">
        <v>0</v>
      </c>
      <c r="G11424" s="3">
        <v>1859</v>
      </c>
      <c r="H11424" s="3">
        <v>60</v>
      </c>
      <c r="I11424" s="3">
        <v>609</v>
      </c>
      <c r="J11424" s="3">
        <v>690</v>
      </c>
      <c r="K11424" s="3">
        <v>2474</v>
      </c>
      <c r="L11424" s="3">
        <v>479</v>
      </c>
      <c r="M11424" s="3">
        <v>1078</v>
      </c>
    </row>
    <row r="11425" spans="1:13" x14ac:dyDescent="0.25">
      <c r="A11425" s="1" t="str">
        <f>HYPERLINK("http://www.rosaceae.org/Prunus/Prunus_persica/p.persica_gdr_reftransV1_0012889","p.persica_gdr_reftransV1_0012889")</f>
        <v>p.persica_gdr_reftransV1_0012889</v>
      </c>
      <c r="B11425" s="3">
        <v>2535</v>
      </c>
      <c r="C11425" s="1" t="str">
        <f>HYPERLINK("http://www.uniprot.org/uniprot/SBT16_ARATH","SBT16_ARATH")</f>
        <v>SBT16_ARATH</v>
      </c>
      <c r="D11425" t="s">
        <v>3012</v>
      </c>
      <c r="E11425" s="3" t="s">
        <v>3</v>
      </c>
      <c r="F11425" s="4">
        <v>0</v>
      </c>
      <c r="G11425" s="3">
        <v>2913</v>
      </c>
      <c r="H11425" s="3">
        <v>77</v>
      </c>
      <c r="I11425" s="3">
        <v>752</v>
      </c>
      <c r="J11425" s="3">
        <v>174</v>
      </c>
      <c r="K11425" s="3">
        <v>2417</v>
      </c>
      <c r="L11425" s="3">
        <v>18</v>
      </c>
      <c r="M11425" s="3">
        <v>764</v>
      </c>
    </row>
    <row r="11426" spans="1:13" x14ac:dyDescent="0.25">
      <c r="A11426" s="1" t="str">
        <f>HYPERLINK("http://www.rosaceae.org/Prunus/Prunus_persica/p.persica_gdr_reftransV1_0012939","p.persica_gdr_reftransV1_0012939")</f>
        <v>p.persica_gdr_reftransV1_0012939</v>
      </c>
      <c r="B11426" s="3">
        <v>2558</v>
      </c>
      <c r="C11426" s="1" t="str">
        <f>HYPERLINK("http://www.uniprot.org/uniprot/AB3G_ARATH","AB3G_ARATH")</f>
        <v>AB3G_ARATH</v>
      </c>
      <c r="D11426" t="s">
        <v>2659</v>
      </c>
      <c r="E11426" s="3" t="s">
        <v>3</v>
      </c>
      <c r="F11426" s="4">
        <v>0</v>
      </c>
      <c r="G11426" s="3">
        <v>2799</v>
      </c>
      <c r="H11426" s="3">
        <v>79</v>
      </c>
      <c r="I11426" s="3">
        <v>687</v>
      </c>
      <c r="J11426" s="3">
        <v>307</v>
      </c>
      <c r="K11426" s="3">
        <v>2343</v>
      </c>
      <c r="L11426" s="3">
        <v>30</v>
      </c>
      <c r="M11426" s="3">
        <v>716</v>
      </c>
    </row>
    <row r="11427" spans="1:13" x14ac:dyDescent="0.25">
      <c r="A11427" s="1" t="str">
        <f>HYPERLINK("http://www.rosaceae.org/Prunus/Prunus_persica/p.persica_gdr_reftransV1_0013239","p.persica_gdr_reftransV1_0013239")</f>
        <v>p.persica_gdr_reftransV1_0013239</v>
      </c>
      <c r="B11427" s="3">
        <v>1986</v>
      </c>
      <c r="C11427" s="1" t="str">
        <f>HYPERLINK("http://www.uniprot.org/uniprot/ACP1_CASGL","ACP1_CASGL")</f>
        <v>ACP1_CASGL</v>
      </c>
      <c r="D11427" t="s">
        <v>3441</v>
      </c>
      <c r="E11427" s="3" t="s">
        <v>3442</v>
      </c>
      <c r="F11427" s="4">
        <v>1.0900000000000001E-20</v>
      </c>
      <c r="G11427" s="3">
        <v>232</v>
      </c>
      <c r="H11427" s="3">
        <v>90</v>
      </c>
      <c r="I11427" s="3">
        <v>52</v>
      </c>
      <c r="J11427" s="3">
        <v>1830</v>
      </c>
      <c r="K11427" s="3">
        <v>1985</v>
      </c>
      <c r="L11427" s="3">
        <v>83</v>
      </c>
      <c r="M11427" s="3">
        <v>134</v>
      </c>
    </row>
    <row r="11428" spans="1:13" x14ac:dyDescent="0.25">
      <c r="A11428" s="1" t="str">
        <f>HYPERLINK("http://www.rosaceae.org/Prunus/Prunus_persica/p.persica_gdr_reftransV1_0013389","p.persica_gdr_reftransV1_0013389")</f>
        <v>p.persica_gdr_reftransV1_0013389</v>
      </c>
      <c r="B11428" s="3">
        <v>1086</v>
      </c>
      <c r="C11428" s="1" t="str">
        <f>HYPERLINK("http://www.uniprot.org/uniprot/ERF92_ARATH","ERF92_ARATH")</f>
        <v>ERF92_ARATH</v>
      </c>
      <c r="D11428" t="s">
        <v>3690</v>
      </c>
      <c r="E11428" s="3" t="s">
        <v>3</v>
      </c>
      <c r="F11428" s="4">
        <v>4.4299999999999999E-40</v>
      </c>
      <c r="G11428" s="3">
        <v>369</v>
      </c>
      <c r="H11428" s="3">
        <v>51</v>
      </c>
      <c r="I11428" s="3">
        <v>196</v>
      </c>
      <c r="J11428" s="3">
        <v>337</v>
      </c>
      <c r="K11428" s="3">
        <v>906</v>
      </c>
      <c r="L11428" s="3">
        <v>36</v>
      </c>
      <c r="M11428" s="3">
        <v>201</v>
      </c>
    </row>
    <row r="11429" spans="1:13" x14ac:dyDescent="0.25">
      <c r="A11429" s="1" t="str">
        <f>HYPERLINK("http://www.rosaceae.org/Prunus/Prunus_persica/p.persica_gdr_reftransV1_0013439","p.persica_gdr_reftransV1_0013439")</f>
        <v>p.persica_gdr_reftransV1_0013439</v>
      </c>
      <c r="B11429" s="3">
        <v>890</v>
      </c>
      <c r="C11429" s="1" t="str">
        <f>HYPERLINK("http://www.uniprot.org/uniprot/SACS_MOUSE","SACS_MOUSE")</f>
        <v>SACS_MOUSE</v>
      </c>
      <c r="D11429" t="s">
        <v>5811</v>
      </c>
      <c r="E11429" s="3" t="s">
        <v>157</v>
      </c>
      <c r="F11429" s="4">
        <v>3.0500000000000001E-19</v>
      </c>
      <c r="G11429" s="3">
        <v>229</v>
      </c>
      <c r="H11429" s="3">
        <v>30</v>
      </c>
      <c r="I11429" s="3">
        <v>303</v>
      </c>
      <c r="J11429" s="3">
        <v>2</v>
      </c>
      <c r="K11429" s="3">
        <v>880</v>
      </c>
      <c r="L11429" s="3">
        <v>208</v>
      </c>
      <c r="M11429" s="3">
        <v>465</v>
      </c>
    </row>
    <row r="11430" spans="1:13" x14ac:dyDescent="0.25">
      <c r="A11430" s="1" t="str">
        <f>HYPERLINK("http://www.rosaceae.org/Prunus/Prunus_persica/p.persica_gdr_reftransV1_0013589","p.persica_gdr_reftransV1_0013589")</f>
        <v>p.persica_gdr_reftransV1_0013589</v>
      </c>
      <c r="B11430" s="3">
        <v>1830</v>
      </c>
      <c r="C11430" s="1" t="str">
        <f>HYPERLINK("http://www.uniprot.org/uniprot/CDPK2_ORYSJ","CDPK2_ORYSJ")</f>
        <v>CDPK2_ORYSJ</v>
      </c>
      <c r="D11430" t="s">
        <v>8065</v>
      </c>
      <c r="E11430" s="3" t="s">
        <v>38</v>
      </c>
      <c r="F11430" s="4">
        <v>3.6900000000000002E-123</v>
      </c>
      <c r="G11430" s="3">
        <v>979</v>
      </c>
      <c r="H11430" s="3">
        <v>86</v>
      </c>
      <c r="I11430" s="3">
        <v>209</v>
      </c>
      <c r="J11430" s="3">
        <v>1203</v>
      </c>
      <c r="K11430" s="3">
        <v>1829</v>
      </c>
      <c r="L11430" s="3">
        <v>268</v>
      </c>
      <c r="M11430" s="3">
        <v>475</v>
      </c>
    </row>
    <row r="11431" spans="1:13" x14ac:dyDescent="0.25">
      <c r="A11431" s="1" t="str">
        <f>HYPERLINK("http://www.rosaceae.org/Prunus/Prunus_persica/p.persica_gdr_reftransV1_0013789","p.persica_gdr_reftransV1_0013789")</f>
        <v>p.persica_gdr_reftransV1_0013789</v>
      </c>
      <c r="B11431" s="3">
        <v>2061</v>
      </c>
      <c r="C11431" s="1" t="str">
        <f>HYPERLINK("http://www.uniprot.org/uniprot/U74E2_ARATH","U74E2_ARATH")</f>
        <v>U74E2_ARATH</v>
      </c>
      <c r="D11431" t="s">
        <v>473</v>
      </c>
      <c r="E11431" s="3" t="s">
        <v>3</v>
      </c>
      <c r="F11431" s="4">
        <v>6.9000000000000002E-146</v>
      </c>
      <c r="G11431" s="3">
        <v>1131</v>
      </c>
      <c r="H11431" s="3">
        <v>48</v>
      </c>
      <c r="I11431" s="3">
        <v>450</v>
      </c>
      <c r="J11431" s="3">
        <v>196</v>
      </c>
      <c r="K11431" s="3">
        <v>1527</v>
      </c>
      <c r="L11431" s="3">
        <v>6</v>
      </c>
      <c r="M11431" s="3">
        <v>453</v>
      </c>
    </row>
    <row r="11432" spans="1:13" x14ac:dyDescent="0.25">
      <c r="A11432" s="1" t="str">
        <f>HYPERLINK("http://www.rosaceae.org/Prunus/Prunus_persica/p.persica_gdr_reftransV1_0013889","p.persica_gdr_reftransV1_0013889")</f>
        <v>p.persica_gdr_reftransV1_0013889</v>
      </c>
      <c r="B11432" s="3">
        <v>1811</v>
      </c>
      <c r="C11432" s="1" t="str">
        <f>HYPERLINK("http://www.uniprot.org/uniprot/AKH1_MAIZE","AKH1_MAIZE")</f>
        <v>AKH1_MAIZE</v>
      </c>
      <c r="D11432" t="s">
        <v>8066</v>
      </c>
      <c r="E11432" s="3" t="s">
        <v>72</v>
      </c>
      <c r="F11432" s="4">
        <v>5.2299999999999997E-35</v>
      </c>
      <c r="G11432" s="3">
        <v>365</v>
      </c>
      <c r="H11432" s="3">
        <v>45</v>
      </c>
      <c r="I11432" s="3">
        <v>212</v>
      </c>
      <c r="J11432" s="3">
        <v>386</v>
      </c>
      <c r="K11432" s="3">
        <v>1015</v>
      </c>
      <c r="L11432" s="3">
        <v>703</v>
      </c>
      <c r="M11432" s="3">
        <v>912</v>
      </c>
    </row>
    <row r="11433" spans="1:13" x14ac:dyDescent="0.25">
      <c r="A11433" s="1" t="str">
        <f>HYPERLINK("http://www.rosaceae.org/Prunus/Prunus_persica/p.persica_gdr_reftransV1_0013989","p.persica_gdr_reftransV1_0013989")</f>
        <v>p.persica_gdr_reftransV1_0013989</v>
      </c>
      <c r="B11433" s="3">
        <v>1735</v>
      </c>
      <c r="C11433" s="1" t="str">
        <f>HYPERLINK("http://www.uniprot.org/uniprot/LFR_ARATH","LFR_ARATH")</f>
        <v>LFR_ARATH</v>
      </c>
      <c r="D11433" t="s">
        <v>8067</v>
      </c>
      <c r="E11433" s="3" t="s">
        <v>3</v>
      </c>
      <c r="F11433" s="4">
        <v>0</v>
      </c>
      <c r="G11433" s="3">
        <v>1518</v>
      </c>
      <c r="H11433" s="3">
        <v>73</v>
      </c>
      <c r="I11433" s="3">
        <v>450</v>
      </c>
      <c r="J11433" s="3">
        <v>87</v>
      </c>
      <c r="K11433" s="3">
        <v>1430</v>
      </c>
      <c r="L11433" s="3">
        <v>19</v>
      </c>
      <c r="M11433" s="3">
        <v>460</v>
      </c>
    </row>
    <row r="11434" spans="1:13" x14ac:dyDescent="0.25">
      <c r="A11434" s="1" t="str">
        <f>HYPERLINK("http://www.rosaceae.org/Prunus/Prunus_persica/p.persica_gdr_reftransV1_0014039","p.persica_gdr_reftransV1_0014039")</f>
        <v>p.persica_gdr_reftransV1_0014039</v>
      </c>
      <c r="B11434" s="3">
        <v>4292</v>
      </c>
      <c r="C11434" s="1" t="str">
        <f>HYPERLINK("http://www.uniprot.org/uniprot/AB11B_ARATH","AB11B_ARATH")</f>
        <v>AB11B_ARATH</v>
      </c>
      <c r="D11434" t="s">
        <v>686</v>
      </c>
      <c r="E11434" s="3" t="s">
        <v>3</v>
      </c>
      <c r="F11434" s="4">
        <v>0</v>
      </c>
      <c r="G11434" s="3">
        <v>4302</v>
      </c>
      <c r="H11434" s="3">
        <v>71</v>
      </c>
      <c r="I11434" s="3">
        <v>1289</v>
      </c>
      <c r="J11434" s="3">
        <v>184</v>
      </c>
      <c r="K11434" s="3">
        <v>3966</v>
      </c>
      <c r="L11434" s="3">
        <v>2</v>
      </c>
      <c r="M11434" s="3">
        <v>1266</v>
      </c>
    </row>
    <row r="11435" spans="1:13" x14ac:dyDescent="0.25">
      <c r="A11435" s="1" t="str">
        <f>HYPERLINK("http://www.rosaceae.org/Prunus/Prunus_persica/p.persica_gdr_reftransV1_0014139","p.persica_gdr_reftransV1_0014139")</f>
        <v>p.persica_gdr_reftransV1_0014139</v>
      </c>
      <c r="B11435" s="3">
        <v>2295</v>
      </c>
      <c r="C11435" s="1" t="str">
        <f>HYPERLINK("http://www.uniprot.org/uniprot/C90B1_ARATH","C90B1_ARATH")</f>
        <v>C90B1_ARATH</v>
      </c>
      <c r="D11435" t="s">
        <v>1541</v>
      </c>
      <c r="E11435" s="3" t="s">
        <v>3</v>
      </c>
      <c r="F11435" s="4">
        <v>0</v>
      </c>
      <c r="G11435" s="3">
        <v>1864</v>
      </c>
      <c r="H11435" s="3">
        <v>69</v>
      </c>
      <c r="I11435" s="3">
        <v>531</v>
      </c>
      <c r="J11435" s="3">
        <v>325</v>
      </c>
      <c r="K11435" s="3">
        <v>1839</v>
      </c>
      <c r="L11435" s="3">
        <v>29</v>
      </c>
      <c r="M11435" s="3">
        <v>511</v>
      </c>
    </row>
    <row r="11436" spans="1:13" x14ac:dyDescent="0.25">
      <c r="A11436" s="1" t="str">
        <f>HYPERLINK("http://www.rosaceae.org/Prunus/Prunus_persica/p.persica_gdr_reftransV1_0014289","p.persica_gdr_reftransV1_0014289")</f>
        <v>p.persica_gdr_reftransV1_0014289</v>
      </c>
      <c r="B11436" s="3">
        <v>878</v>
      </c>
      <c r="C11436" s="1" t="str">
        <f>HYPERLINK("http://www.uniprot.org/uniprot/NU3C_BUXMI","NU3C_BUXMI")</f>
        <v>NU3C_BUXMI</v>
      </c>
      <c r="D11436" t="s">
        <v>8068</v>
      </c>
      <c r="E11436" s="3" t="s">
        <v>2471</v>
      </c>
      <c r="F11436" s="4">
        <v>5.8100000000000003E-65</v>
      </c>
      <c r="G11436" s="3">
        <v>524</v>
      </c>
      <c r="H11436" s="3">
        <v>96</v>
      </c>
      <c r="I11436" s="3">
        <v>120</v>
      </c>
      <c r="J11436" s="3">
        <v>193</v>
      </c>
      <c r="K11436" s="3">
        <v>552</v>
      </c>
      <c r="L11436" s="3">
        <v>1</v>
      </c>
      <c r="M11436" s="3">
        <v>120</v>
      </c>
    </row>
    <row r="11437" spans="1:13" x14ac:dyDescent="0.25">
      <c r="A11437" s="1" t="str">
        <f>HYPERLINK("http://www.rosaceae.org/Prunus/Prunus_persica/p.persica_gdr_reftransV1_0014639","p.persica_gdr_reftransV1_0014639")</f>
        <v>p.persica_gdr_reftransV1_0014639</v>
      </c>
      <c r="B11437" s="3">
        <v>2216</v>
      </c>
      <c r="C11437" s="1" t="str">
        <f>HYPERLINK("http://www.uniprot.org/uniprot/PCL1_ARATH","PCL1_ARATH")</f>
        <v>PCL1_ARATH</v>
      </c>
      <c r="D11437" t="s">
        <v>8069</v>
      </c>
      <c r="E11437" s="3" t="s">
        <v>3</v>
      </c>
      <c r="F11437" s="4">
        <v>9.7299999999999999E-71</v>
      </c>
      <c r="G11437" s="3">
        <v>612</v>
      </c>
      <c r="H11437" s="3">
        <v>56</v>
      </c>
      <c r="I11437" s="3">
        <v>253</v>
      </c>
      <c r="J11437" s="3">
        <v>1186</v>
      </c>
      <c r="K11437" s="3">
        <v>1893</v>
      </c>
      <c r="L11437" s="3">
        <v>1</v>
      </c>
      <c r="M11437" s="3">
        <v>223</v>
      </c>
    </row>
    <row r="11438" spans="1:13" x14ac:dyDescent="0.25">
      <c r="A11438" s="1" t="str">
        <f>HYPERLINK("http://www.rosaceae.org/Prunus/Prunus_persica/p.persica_gdr_reftransV1_0015189","p.persica_gdr_reftransV1_0015189")</f>
        <v>p.persica_gdr_reftransV1_0015189</v>
      </c>
      <c r="B11438" s="3">
        <v>2310</v>
      </c>
      <c r="C11438" s="1" t="str">
        <f>HYPERLINK("http://www.uniprot.org/uniprot/DNPEP_RICCO","DNPEP_RICCO")</f>
        <v>DNPEP_RICCO</v>
      </c>
      <c r="D11438" t="s">
        <v>8070</v>
      </c>
      <c r="E11438" s="3" t="s">
        <v>421</v>
      </c>
      <c r="F11438" s="4">
        <v>0</v>
      </c>
      <c r="G11438" s="3">
        <v>1443</v>
      </c>
      <c r="H11438" s="3">
        <v>56</v>
      </c>
      <c r="I11438" s="3">
        <v>482</v>
      </c>
      <c r="J11438" s="3">
        <v>312</v>
      </c>
      <c r="K11438" s="3">
        <v>1700</v>
      </c>
      <c r="L11438" s="3">
        <v>12</v>
      </c>
      <c r="M11438" s="3">
        <v>490</v>
      </c>
    </row>
    <row r="11439" spans="1:13" x14ac:dyDescent="0.25">
      <c r="A11439" s="1" t="str">
        <f>HYPERLINK("http://www.rosaceae.org/Prunus/Prunus_persica/p.persica_gdr_reftransV1_0015239","p.persica_gdr_reftransV1_0015239")</f>
        <v>p.persica_gdr_reftransV1_0015239</v>
      </c>
      <c r="B11439" s="3">
        <v>1011</v>
      </c>
      <c r="C11439" s="1" t="str">
        <f>HYPERLINK("http://www.uniprot.org/uniprot/PDI51_ORYSJ","PDI51_ORYSJ")</f>
        <v>PDI51_ORYSJ</v>
      </c>
      <c r="D11439" t="s">
        <v>8071</v>
      </c>
      <c r="E11439" s="3" t="s">
        <v>38</v>
      </c>
      <c r="F11439" s="4">
        <v>1.7399999999999999E-54</v>
      </c>
      <c r="G11439" s="3">
        <v>460</v>
      </c>
      <c r="H11439" s="3">
        <v>80</v>
      </c>
      <c r="I11439" s="3">
        <v>121</v>
      </c>
      <c r="J11439" s="3">
        <v>198</v>
      </c>
      <c r="K11439" s="3">
        <v>560</v>
      </c>
      <c r="L11439" s="3">
        <v>27</v>
      </c>
      <c r="M11439" s="3">
        <v>147</v>
      </c>
    </row>
    <row r="11440" spans="1:13" x14ac:dyDescent="0.25">
      <c r="A11440" s="1" t="str">
        <f>HYPERLINK("http://www.rosaceae.org/Prunus/Prunus_persica/p.persica_gdr_reftransV1_0015339","p.persica_gdr_reftransV1_0015339")</f>
        <v>p.persica_gdr_reftransV1_0015339</v>
      </c>
      <c r="B11440" s="3">
        <v>3791</v>
      </c>
      <c r="C11440" s="1" t="str">
        <f>HYPERLINK("http://www.uniprot.org/uniprot/ABA2_PRUAR","ABA2_PRUAR")</f>
        <v>ABA2_PRUAR</v>
      </c>
      <c r="D11440" t="s">
        <v>1785</v>
      </c>
      <c r="E11440" s="3" t="s">
        <v>62</v>
      </c>
      <c r="F11440" s="4">
        <v>0</v>
      </c>
      <c r="G11440" s="3">
        <v>1589</v>
      </c>
      <c r="H11440" s="3">
        <v>99</v>
      </c>
      <c r="I11440" s="3">
        <v>321</v>
      </c>
      <c r="J11440" s="3">
        <v>310</v>
      </c>
      <c r="K11440" s="3">
        <v>1272</v>
      </c>
      <c r="L11440" s="3">
        <v>1</v>
      </c>
      <c r="M11440" s="3">
        <v>321</v>
      </c>
    </row>
    <row r="11441" spans="1:13" x14ac:dyDescent="0.25">
      <c r="A11441" s="1" t="str">
        <f>HYPERLINK("http://www.rosaceae.org/Prunus/Prunus_persica/p.persica_gdr_reftransV1_0015489","p.persica_gdr_reftransV1_0015489")</f>
        <v>p.persica_gdr_reftransV1_0015489</v>
      </c>
      <c r="B11441" s="3">
        <v>2393</v>
      </c>
      <c r="C11441" s="1" t="str">
        <f>HYPERLINK("http://www.uniprot.org/uniprot/FBW3_ARATH","FBW3_ARATH")</f>
        <v>FBW3_ARATH</v>
      </c>
      <c r="D11441" t="s">
        <v>8072</v>
      </c>
      <c r="E11441" s="3" t="s">
        <v>3</v>
      </c>
      <c r="F11441" s="4">
        <v>0</v>
      </c>
      <c r="G11441" s="3">
        <v>1717</v>
      </c>
      <c r="H11441" s="3">
        <v>62</v>
      </c>
      <c r="I11441" s="3">
        <v>568</v>
      </c>
      <c r="J11441" s="3">
        <v>294</v>
      </c>
      <c r="K11441" s="3">
        <v>1994</v>
      </c>
      <c r="L11441" s="3">
        <v>1</v>
      </c>
      <c r="M11441" s="3">
        <v>539</v>
      </c>
    </row>
    <row r="11442" spans="1:13" x14ac:dyDescent="0.25">
      <c r="A11442" s="1" t="str">
        <f>HYPERLINK("http://www.rosaceae.org/Prunus/Prunus_persica/p.persica_gdr_reftransV1_0015589","p.persica_gdr_reftransV1_0015589")</f>
        <v>p.persica_gdr_reftransV1_0015589</v>
      </c>
      <c r="B11442" s="3">
        <v>610</v>
      </c>
      <c r="C11442" s="1" t="str">
        <f>HYPERLINK("http://www.uniprot.org/uniprot/YP20_BACLI","YP20_BACLI")</f>
        <v>YP20_BACLI</v>
      </c>
      <c r="D11442" t="s">
        <v>8073</v>
      </c>
      <c r="E11442" s="3" t="s">
        <v>2842</v>
      </c>
      <c r="F11442" s="4">
        <v>6.6300000000000001E-15</v>
      </c>
      <c r="G11442" s="3">
        <v>179</v>
      </c>
      <c r="H11442" s="3">
        <v>32</v>
      </c>
      <c r="I11442" s="3">
        <v>175</v>
      </c>
      <c r="J11442" s="3">
        <v>25</v>
      </c>
      <c r="K11442" s="3">
        <v>519</v>
      </c>
      <c r="L11442" s="3">
        <v>3</v>
      </c>
      <c r="M11442" s="3">
        <v>172</v>
      </c>
    </row>
    <row r="11443" spans="1:13" x14ac:dyDescent="0.25">
      <c r="A11443" s="1" t="str">
        <f>HYPERLINK("http://www.rosaceae.org/Prunus/Prunus_persica/p.persica_gdr_reftransV1_0015689","p.persica_gdr_reftransV1_0015689")</f>
        <v>p.persica_gdr_reftransV1_0015689</v>
      </c>
      <c r="B11443" s="3">
        <v>412</v>
      </c>
      <c r="C11443" s="1" t="str">
        <f>HYPERLINK("http://www.uniprot.org/uniprot/TMVRN_NICGU","TMVRN_NICGU")</f>
        <v>TMVRN_NICGU</v>
      </c>
      <c r="D11443" t="s">
        <v>151</v>
      </c>
      <c r="E11443" s="3" t="s">
        <v>152</v>
      </c>
      <c r="F11443" s="4">
        <v>8.8199999999999993E-24</v>
      </c>
      <c r="G11443" s="3">
        <v>252</v>
      </c>
      <c r="H11443" s="3">
        <v>42</v>
      </c>
      <c r="I11443" s="3">
        <v>127</v>
      </c>
      <c r="J11443" s="3">
        <v>31</v>
      </c>
      <c r="K11443" s="3">
        <v>411</v>
      </c>
      <c r="L11443" s="3">
        <v>606</v>
      </c>
      <c r="M11443" s="3">
        <v>731</v>
      </c>
    </row>
    <row r="11444" spans="1:13" x14ac:dyDescent="0.25">
      <c r="A11444" s="1" t="str">
        <f>HYPERLINK("http://www.rosaceae.org/Prunus/Prunus_persica/p.persica_gdr_reftransV1_0015739","p.persica_gdr_reftransV1_0015739")</f>
        <v>p.persica_gdr_reftransV1_0015739</v>
      </c>
      <c r="B11444" s="3">
        <v>631</v>
      </c>
      <c r="C11444" s="1" t="str">
        <f>HYPERLINK("http://www.uniprot.org/uniprot/FQRL1_ARATH","FQRL1_ARATH")</f>
        <v>FQRL1_ARATH</v>
      </c>
      <c r="D11444" t="s">
        <v>8074</v>
      </c>
      <c r="E11444" s="3" t="s">
        <v>3</v>
      </c>
      <c r="F11444" s="4">
        <v>2.3E-75</v>
      </c>
      <c r="G11444" s="3">
        <v>592</v>
      </c>
      <c r="H11444" s="3">
        <v>90</v>
      </c>
      <c r="I11444" s="3">
        <v>124</v>
      </c>
      <c r="J11444" s="3">
        <v>3</v>
      </c>
      <c r="K11444" s="3">
        <v>374</v>
      </c>
      <c r="L11444" s="3">
        <v>1</v>
      </c>
      <c r="M11444" s="3">
        <v>124</v>
      </c>
    </row>
    <row r="11445" spans="1:13" x14ac:dyDescent="0.25">
      <c r="A11445" s="1" t="str">
        <f>HYPERLINK("http://www.rosaceae.org/Prunus/Prunus_persica/p.persica_gdr_reftransV1_0016189","p.persica_gdr_reftransV1_0016189")</f>
        <v>p.persica_gdr_reftransV1_0016189</v>
      </c>
      <c r="B11445" s="3">
        <v>632</v>
      </c>
      <c r="C11445" s="1" t="str">
        <f>HYPERLINK("http://www.uniprot.org/uniprot/TI214_COFAR","TI214_COFAR")</f>
        <v>TI214_COFAR</v>
      </c>
      <c r="D11445" t="s">
        <v>8075</v>
      </c>
      <c r="E11445" s="3" t="s">
        <v>5450</v>
      </c>
      <c r="F11445" s="4">
        <v>5.4099999999999997E-58</v>
      </c>
      <c r="G11445" s="3">
        <v>517</v>
      </c>
      <c r="H11445" s="3">
        <v>60</v>
      </c>
      <c r="I11445" s="3">
        <v>206</v>
      </c>
      <c r="J11445" s="3">
        <v>14</v>
      </c>
      <c r="K11445" s="3">
        <v>631</v>
      </c>
      <c r="L11445" s="3">
        <v>555</v>
      </c>
      <c r="M11445" s="3">
        <v>754</v>
      </c>
    </row>
    <row r="11446" spans="1:13" x14ac:dyDescent="0.25">
      <c r="A11446" s="1" t="str">
        <f>HYPERLINK("http://www.rosaceae.org/Prunus/Prunus_persica/p.persica_gdr_reftransV1_0016239","p.persica_gdr_reftransV1_0016239")</f>
        <v>p.persica_gdr_reftransV1_0016239</v>
      </c>
      <c r="B11446" s="3">
        <v>1748</v>
      </c>
      <c r="C11446" s="1" t="str">
        <f>HYPERLINK("http://www.uniprot.org/uniprot/MYST1_ARATH","MYST1_ARATH")</f>
        <v>MYST1_ARATH</v>
      </c>
      <c r="D11446" t="s">
        <v>8076</v>
      </c>
      <c r="E11446" s="3" t="s">
        <v>3</v>
      </c>
      <c r="F11446" s="4">
        <v>0</v>
      </c>
      <c r="G11446" s="3">
        <v>1971</v>
      </c>
      <c r="H11446" s="3">
        <v>86</v>
      </c>
      <c r="I11446" s="3">
        <v>442</v>
      </c>
      <c r="J11446" s="3">
        <v>400</v>
      </c>
      <c r="K11446" s="3">
        <v>1725</v>
      </c>
      <c r="L11446" s="3">
        <v>13</v>
      </c>
      <c r="M11446" s="3">
        <v>445</v>
      </c>
    </row>
    <row r="11447" spans="1:13" x14ac:dyDescent="0.25">
      <c r="A11447" s="1" t="str">
        <f>HYPERLINK("http://www.rosaceae.org/Prunus/Prunus_persica/p.persica_gdr_reftransV1_0016289","p.persica_gdr_reftransV1_0016289")</f>
        <v>p.persica_gdr_reftransV1_0016289</v>
      </c>
      <c r="B11447" s="3">
        <v>2082</v>
      </c>
      <c r="C11447" s="1" t="str">
        <f>HYPERLINK("http://www.uniprot.org/uniprot/RAP24_ARATH","RAP24_ARATH")</f>
        <v>RAP24_ARATH</v>
      </c>
      <c r="D11447" t="s">
        <v>840</v>
      </c>
      <c r="E11447" s="3" t="s">
        <v>3</v>
      </c>
      <c r="F11447" s="4">
        <v>5.4499999999999997E-52</v>
      </c>
      <c r="G11447" s="3">
        <v>477</v>
      </c>
      <c r="H11447" s="3">
        <v>50</v>
      </c>
      <c r="I11447" s="3">
        <v>317</v>
      </c>
      <c r="J11447" s="3">
        <v>359</v>
      </c>
      <c r="K11447" s="3">
        <v>1243</v>
      </c>
      <c r="L11447" s="3">
        <v>59</v>
      </c>
      <c r="M11447" s="3">
        <v>332</v>
      </c>
    </row>
    <row r="11448" spans="1:13" x14ac:dyDescent="0.25">
      <c r="A11448" s="1" t="str">
        <f>HYPERLINK("http://www.rosaceae.org/Prunus/Prunus_persica/p.persica_gdr_reftransV1_0016489","p.persica_gdr_reftransV1_0016489")</f>
        <v>p.persica_gdr_reftransV1_0016489</v>
      </c>
      <c r="B11448" s="3">
        <v>1978</v>
      </c>
      <c r="C11448" s="1" t="str">
        <f>HYPERLINK("http://www.uniprot.org/uniprot/E13B_HEVBR","E13B_HEVBR")</f>
        <v>E13B_HEVBR</v>
      </c>
      <c r="D11448" t="s">
        <v>8077</v>
      </c>
      <c r="E11448" s="3" t="s">
        <v>24</v>
      </c>
      <c r="F11448" s="4">
        <v>6.2400000000000003E-169</v>
      </c>
      <c r="G11448" s="3">
        <v>1274</v>
      </c>
      <c r="H11448" s="3">
        <v>72</v>
      </c>
      <c r="I11448" s="3">
        <v>346</v>
      </c>
      <c r="J11448" s="3">
        <v>853</v>
      </c>
      <c r="K11448" s="3">
        <v>1890</v>
      </c>
      <c r="L11448" s="3">
        <v>15</v>
      </c>
      <c r="M11448" s="3">
        <v>357</v>
      </c>
    </row>
    <row r="11449" spans="1:13" x14ac:dyDescent="0.25">
      <c r="A11449" s="1" t="str">
        <f>HYPERLINK("http://www.rosaceae.org/Prunus/Prunus_persica/p.persica_gdr_reftransV1_0016639","p.persica_gdr_reftransV1_0016639")</f>
        <v>p.persica_gdr_reftransV1_0016639</v>
      </c>
      <c r="B11449" s="3">
        <v>1608</v>
      </c>
      <c r="C11449" s="1" t="str">
        <f>HYPERLINK("http://www.uniprot.org/uniprot/HT1_ARATH","HT1_ARATH")</f>
        <v>HT1_ARATH</v>
      </c>
      <c r="D11449" t="s">
        <v>1169</v>
      </c>
      <c r="E11449" s="3" t="s">
        <v>3</v>
      </c>
      <c r="F11449" s="4">
        <v>1.46E-25</v>
      </c>
      <c r="G11449" s="3">
        <v>279</v>
      </c>
      <c r="H11449" s="3">
        <v>39</v>
      </c>
      <c r="I11449" s="3">
        <v>132</v>
      </c>
      <c r="J11449" s="3">
        <v>1</v>
      </c>
      <c r="K11449" s="3">
        <v>381</v>
      </c>
      <c r="L11449" s="3">
        <v>79</v>
      </c>
      <c r="M11449" s="3">
        <v>210</v>
      </c>
    </row>
    <row r="11450" spans="1:13" x14ac:dyDescent="0.25">
      <c r="A11450" s="1" t="str">
        <f>HYPERLINK("http://www.rosaceae.org/Prunus/Prunus_persica/p.persica_gdr_reftransV1_0016739","p.persica_gdr_reftransV1_0016739")</f>
        <v>p.persica_gdr_reftransV1_0016739</v>
      </c>
      <c r="B11450" s="3">
        <v>3490</v>
      </c>
      <c r="C11450" s="1" t="str">
        <f>HYPERLINK("http://www.uniprot.org/uniprot/GOGC6_ARATH","GOGC6_ARATH")</f>
        <v>GOGC6_ARATH</v>
      </c>
      <c r="D11450" t="s">
        <v>6285</v>
      </c>
      <c r="E11450" s="3" t="s">
        <v>3</v>
      </c>
      <c r="F11450" s="4">
        <v>0</v>
      </c>
      <c r="G11450" s="3">
        <v>2791</v>
      </c>
      <c r="H11450" s="3">
        <v>71</v>
      </c>
      <c r="I11450" s="3">
        <v>818</v>
      </c>
      <c r="J11450" s="3">
        <v>305</v>
      </c>
      <c r="K11450" s="3">
        <v>2743</v>
      </c>
      <c r="L11450" s="3">
        <v>86</v>
      </c>
      <c r="M11450" s="3">
        <v>903</v>
      </c>
    </row>
    <row r="11451" spans="1:13" x14ac:dyDescent="0.25">
      <c r="A11451" s="1" t="str">
        <f>HYPERLINK("http://www.rosaceae.org/Prunus/Prunus_persica/p.persica_gdr_reftransV1_0016989","p.persica_gdr_reftransV1_0016989")</f>
        <v>p.persica_gdr_reftransV1_0016989</v>
      </c>
      <c r="B11451" s="3">
        <v>1600</v>
      </c>
      <c r="C11451" s="1" t="str">
        <f>HYPERLINK("http://www.uniprot.org/uniprot/PP406_ARATH","PP406_ARATH")</f>
        <v>PP406_ARATH</v>
      </c>
      <c r="D11451" t="s">
        <v>596</v>
      </c>
      <c r="E11451" s="3" t="s">
        <v>3</v>
      </c>
      <c r="F11451" s="4">
        <v>1.4600000000000001E-146</v>
      </c>
      <c r="G11451" s="3">
        <v>1144</v>
      </c>
      <c r="H11451" s="3">
        <v>59</v>
      </c>
      <c r="I11451" s="3">
        <v>323</v>
      </c>
      <c r="J11451" s="3">
        <v>3</v>
      </c>
      <c r="K11451" s="3">
        <v>971</v>
      </c>
      <c r="L11451" s="3">
        <v>388</v>
      </c>
      <c r="M11451" s="3">
        <v>710</v>
      </c>
    </row>
    <row r="11452" spans="1:13" x14ac:dyDescent="0.25">
      <c r="A11452" s="1" t="str">
        <f>HYPERLINK("http://www.rosaceae.org/Prunus/Prunus_persica/p.persica_gdr_reftransV1_0017139","p.persica_gdr_reftransV1_0017139")</f>
        <v>p.persica_gdr_reftransV1_0017139</v>
      </c>
      <c r="B11452" s="3">
        <v>466</v>
      </c>
      <c r="C11452" s="1" t="str">
        <f>HYPERLINK("http://www.uniprot.org/uniprot/ISPD_MENPI","ISPD_MENPI")</f>
        <v>ISPD_MENPI</v>
      </c>
      <c r="D11452" t="s">
        <v>2525</v>
      </c>
      <c r="E11452" s="3" t="s">
        <v>2526</v>
      </c>
      <c r="F11452" s="4">
        <v>1.4599999999999999E-59</v>
      </c>
      <c r="G11452" s="3">
        <v>487</v>
      </c>
      <c r="H11452" s="3">
        <v>64</v>
      </c>
      <c r="I11452" s="3">
        <v>149</v>
      </c>
      <c r="J11452" s="3">
        <v>3</v>
      </c>
      <c r="K11452" s="3">
        <v>449</v>
      </c>
      <c r="L11452" s="3">
        <v>50</v>
      </c>
      <c r="M11452" s="3">
        <v>198</v>
      </c>
    </row>
    <row r="11453" spans="1:13" x14ac:dyDescent="0.25">
      <c r="A11453" s="1" t="str">
        <f>HYPERLINK("http://www.rosaceae.org/Prunus/Prunus_persica/p.persica_gdr_reftransV1_0017189","p.persica_gdr_reftransV1_0017189")</f>
        <v>p.persica_gdr_reftransV1_0017189</v>
      </c>
      <c r="B11453" s="3">
        <v>2779</v>
      </c>
      <c r="C11453" s="1" t="str">
        <f>HYPERLINK("http://www.uniprot.org/uniprot/SD11_ARATH","SD11_ARATH")</f>
        <v>SD11_ARATH</v>
      </c>
      <c r="D11453" t="s">
        <v>1753</v>
      </c>
      <c r="E11453" s="3" t="s">
        <v>3</v>
      </c>
      <c r="F11453" s="4">
        <v>9.8099999999999994E-122</v>
      </c>
      <c r="G11453" s="3">
        <v>1017</v>
      </c>
      <c r="H11453" s="3">
        <v>54</v>
      </c>
      <c r="I11453" s="3">
        <v>368</v>
      </c>
      <c r="J11453" s="3">
        <v>1473</v>
      </c>
      <c r="K11453" s="3">
        <v>2573</v>
      </c>
      <c r="L11453" s="3">
        <v>479</v>
      </c>
      <c r="M11453" s="3">
        <v>815</v>
      </c>
    </row>
    <row r="11454" spans="1:13" x14ac:dyDescent="0.25">
      <c r="A11454" s="1" t="str">
        <f>HYPERLINK("http://www.rosaceae.org/Prunus/Prunus_persica/p.persica_gdr_reftransV1_0017239","p.persica_gdr_reftransV1_0017239")</f>
        <v>p.persica_gdr_reftransV1_0017239</v>
      </c>
      <c r="B11454" s="3">
        <v>2157</v>
      </c>
      <c r="C11454" s="1" t="str">
        <f>HYPERLINK("http://www.uniprot.org/uniprot/HSF24_SOLPE","HSF24_SOLPE")</f>
        <v>HSF24_SOLPE</v>
      </c>
      <c r="D11454" t="s">
        <v>7254</v>
      </c>
      <c r="E11454" s="3" t="s">
        <v>3774</v>
      </c>
      <c r="F11454" s="4">
        <v>5.6899999999999999E-34</v>
      </c>
      <c r="G11454" s="3">
        <v>343</v>
      </c>
      <c r="H11454" s="3">
        <v>48</v>
      </c>
      <c r="I11454" s="3">
        <v>250</v>
      </c>
      <c r="J11454" s="3">
        <v>1063</v>
      </c>
      <c r="K11454" s="3">
        <v>1767</v>
      </c>
      <c r="L11454" s="3">
        <v>65</v>
      </c>
      <c r="M11454" s="3">
        <v>301</v>
      </c>
    </row>
    <row r="11455" spans="1:13" x14ac:dyDescent="0.25">
      <c r="A11455" s="1" t="str">
        <f>HYPERLINK("http://www.rosaceae.org/Prunus/Prunus_persica/p.persica_gdr_reftransV1_0017539","p.persica_gdr_reftransV1_0017539")</f>
        <v>p.persica_gdr_reftransV1_0017539</v>
      </c>
      <c r="B11455" s="3">
        <v>2714</v>
      </c>
      <c r="C11455" s="1" t="str">
        <f>HYPERLINK("http://www.uniprot.org/uniprot/UBIQ1_CAEEL","UBIQ1_CAEEL")</f>
        <v>UBIQ1_CAEEL</v>
      </c>
      <c r="D11455" t="s">
        <v>8078</v>
      </c>
      <c r="E11455" s="3" t="s">
        <v>281</v>
      </c>
      <c r="F11455" s="4">
        <v>0</v>
      </c>
      <c r="G11455" s="3">
        <v>2640</v>
      </c>
      <c r="H11455" s="3">
        <v>96</v>
      </c>
      <c r="I11455" s="3">
        <v>533</v>
      </c>
      <c r="J11455" s="3">
        <v>1048</v>
      </c>
      <c r="K11455" s="3">
        <v>2646</v>
      </c>
      <c r="L11455" s="3">
        <v>1</v>
      </c>
      <c r="M11455" s="3">
        <v>533</v>
      </c>
    </row>
    <row r="11456" spans="1:13" x14ac:dyDescent="0.25">
      <c r="A11456" s="1" t="str">
        <f>HYPERLINK("http://www.rosaceae.org/Prunus/Prunus_persica/p.persica_gdr_reftransV1_0017589","p.persica_gdr_reftransV1_0017589")</f>
        <v>p.persica_gdr_reftransV1_0017589</v>
      </c>
      <c r="B11456" s="3">
        <v>1386</v>
      </c>
      <c r="C11456" s="1" t="str">
        <f>HYPERLINK("http://www.uniprot.org/uniprot/RAC2A_ARATH","RAC2A_ARATH")</f>
        <v>RAC2A_ARATH</v>
      </c>
      <c r="D11456" t="s">
        <v>8079</v>
      </c>
      <c r="E11456" s="3" t="s">
        <v>3</v>
      </c>
      <c r="F11456" s="4">
        <v>6.0299999999999997E-53</v>
      </c>
      <c r="G11456" s="3">
        <v>464</v>
      </c>
      <c r="H11456" s="3">
        <v>70</v>
      </c>
      <c r="I11456" s="3">
        <v>122</v>
      </c>
      <c r="J11456" s="3">
        <v>437</v>
      </c>
      <c r="K11456" s="3">
        <v>802</v>
      </c>
      <c r="L11456" s="3">
        <v>89</v>
      </c>
      <c r="M11456" s="3">
        <v>210</v>
      </c>
    </row>
    <row r="11457" spans="1:13" x14ac:dyDescent="0.25">
      <c r="A11457" s="1" t="str">
        <f>HYPERLINK("http://www.rosaceae.org/Prunus/Prunus_persica/p.persica_gdr_reftransV1_0017639","p.persica_gdr_reftransV1_0017639")</f>
        <v>p.persica_gdr_reftransV1_0017639</v>
      </c>
      <c r="B11457" s="3">
        <v>1889</v>
      </c>
      <c r="C11457" s="1" t="str">
        <f>HYPERLINK("http://www.uniprot.org/uniprot/VDE_SPIOL","VDE_SPIOL")</f>
        <v>VDE_SPIOL</v>
      </c>
      <c r="D11457" t="s">
        <v>8080</v>
      </c>
      <c r="E11457" s="3" t="s">
        <v>131</v>
      </c>
      <c r="F11457" s="4">
        <v>0</v>
      </c>
      <c r="G11457" s="3">
        <v>1629</v>
      </c>
      <c r="H11457" s="3">
        <v>64</v>
      </c>
      <c r="I11457" s="3">
        <v>484</v>
      </c>
      <c r="J11457" s="3">
        <v>270</v>
      </c>
      <c r="K11457" s="3">
        <v>1709</v>
      </c>
      <c r="L11457" s="3">
        <v>1</v>
      </c>
      <c r="M11457" s="3">
        <v>472</v>
      </c>
    </row>
    <row r="11458" spans="1:13" x14ac:dyDescent="0.25">
      <c r="A11458" s="1" t="str">
        <f>HYPERLINK("http://www.rosaceae.org/Prunus/Prunus_persica/p.persica_gdr_reftransV1_0017789","p.persica_gdr_reftransV1_0017789")</f>
        <v>p.persica_gdr_reftransV1_0017789</v>
      </c>
      <c r="B11458" s="3">
        <v>3700</v>
      </c>
      <c r="C11458" s="1" t="str">
        <f>HYPERLINK("http://www.uniprot.org/uniprot/RHD31_ARATH","RHD31_ARATH")</f>
        <v>RHD31_ARATH</v>
      </c>
      <c r="D11458" t="s">
        <v>7988</v>
      </c>
      <c r="E11458" s="3" t="s">
        <v>3</v>
      </c>
      <c r="F11458" s="4">
        <v>0</v>
      </c>
      <c r="G11458" s="3">
        <v>3044</v>
      </c>
      <c r="H11458" s="3">
        <v>79</v>
      </c>
      <c r="I11458" s="3">
        <v>733</v>
      </c>
      <c r="J11458" s="3">
        <v>179</v>
      </c>
      <c r="K11458" s="3">
        <v>2377</v>
      </c>
      <c r="L11458" s="3">
        <v>6</v>
      </c>
      <c r="M11458" s="3">
        <v>737</v>
      </c>
    </row>
    <row r="11459" spans="1:13" x14ac:dyDescent="0.25">
      <c r="A11459" s="1" t="str">
        <f>HYPERLINK("http://www.rosaceae.org/Prunus/Prunus_persica/p.persica_gdr_reftransV1_0017989","p.persica_gdr_reftransV1_0017989")</f>
        <v>p.persica_gdr_reftransV1_0017989</v>
      </c>
      <c r="B11459" s="3">
        <v>2895</v>
      </c>
      <c r="C11459" s="1" t="str">
        <f>HYPERLINK("http://www.uniprot.org/uniprot/VAB_ARATH","VAB_ARATH")</f>
        <v>VAB_ARATH</v>
      </c>
      <c r="D11459" t="s">
        <v>2108</v>
      </c>
      <c r="E11459" s="3" t="s">
        <v>3</v>
      </c>
      <c r="F11459" s="4">
        <v>5.5000000000000003E-105</v>
      </c>
      <c r="G11459" s="3">
        <v>878</v>
      </c>
      <c r="H11459" s="3">
        <v>70</v>
      </c>
      <c r="I11459" s="3">
        <v>364</v>
      </c>
      <c r="J11459" s="3">
        <v>1815</v>
      </c>
      <c r="K11459" s="3">
        <v>2894</v>
      </c>
      <c r="L11459" s="3">
        <v>131</v>
      </c>
      <c r="M11459" s="3">
        <v>489</v>
      </c>
    </row>
    <row r="11460" spans="1:13" x14ac:dyDescent="0.25">
      <c r="A11460" s="1" t="str">
        <f>HYPERLINK("http://www.rosaceae.org/Prunus/Prunus_persica/p.persica_gdr_reftransV1_0018039","p.persica_gdr_reftransV1_0018039")</f>
        <v>p.persica_gdr_reftransV1_0018039</v>
      </c>
      <c r="B11460" s="3">
        <v>1793</v>
      </c>
      <c r="C11460" s="1" t="str">
        <f>HYPERLINK("http://www.uniprot.org/uniprot/MES12_ARATH","MES12_ARATH")</f>
        <v>MES12_ARATH</v>
      </c>
      <c r="D11460" t="s">
        <v>8081</v>
      </c>
      <c r="E11460" s="3" t="s">
        <v>3</v>
      </c>
      <c r="F11460" s="4">
        <v>0</v>
      </c>
      <c r="G11460" s="3">
        <v>1460</v>
      </c>
      <c r="H11460" s="3">
        <v>78</v>
      </c>
      <c r="I11460" s="3">
        <v>349</v>
      </c>
      <c r="J11460" s="3">
        <v>369</v>
      </c>
      <c r="K11460" s="3">
        <v>1397</v>
      </c>
      <c r="L11460" s="3">
        <v>1</v>
      </c>
      <c r="M11460" s="3">
        <v>349</v>
      </c>
    </row>
    <row r="11461" spans="1:13" x14ac:dyDescent="0.25">
      <c r="A11461" s="1" t="str">
        <f>HYPERLINK("http://www.rosaceae.org/Prunus/Prunus_persica/p.persica_gdr_reftransV1_0018089","p.persica_gdr_reftransV1_0018089")</f>
        <v>p.persica_gdr_reftransV1_0018089</v>
      </c>
      <c r="B11461" s="3">
        <v>1656</v>
      </c>
      <c r="C11461" s="1" t="str">
        <f>HYPERLINK("http://www.uniprot.org/uniprot/HD1_BRANA","HD1_BRANA")</f>
        <v>HD1_BRANA</v>
      </c>
      <c r="D11461" t="s">
        <v>8082</v>
      </c>
      <c r="E11461" s="3" t="s">
        <v>776</v>
      </c>
      <c r="F11461" s="4">
        <v>1.3E-129</v>
      </c>
      <c r="G11461" s="3">
        <v>994</v>
      </c>
      <c r="H11461" s="3">
        <v>83</v>
      </c>
      <c r="I11461" s="3">
        <v>224</v>
      </c>
      <c r="J11461" s="3">
        <v>716</v>
      </c>
      <c r="K11461" s="3">
        <v>1378</v>
      </c>
      <c r="L11461" s="3">
        <v>28</v>
      </c>
      <c r="M11461" s="3">
        <v>248</v>
      </c>
    </row>
    <row r="11462" spans="1:13" x14ac:dyDescent="0.25">
      <c r="A11462" s="1" t="str">
        <f>HYPERLINK("http://www.rosaceae.org/Prunus/Prunus_persica/p.persica_gdr_reftransV1_0018139","p.persica_gdr_reftransV1_0018139")</f>
        <v>p.persica_gdr_reftransV1_0018139</v>
      </c>
      <c r="B11462" s="3">
        <v>1425</v>
      </c>
      <c r="C11462" s="1" t="str">
        <f>HYPERLINK("http://www.uniprot.org/uniprot/YLS9_ARATH","YLS9_ARATH")</f>
        <v>YLS9_ARATH</v>
      </c>
      <c r="D11462" t="s">
        <v>607</v>
      </c>
      <c r="E11462" s="3" t="s">
        <v>3</v>
      </c>
      <c r="F11462" s="4">
        <v>2.39E-11</v>
      </c>
      <c r="G11462" s="3">
        <v>162</v>
      </c>
      <c r="H11462" s="3">
        <v>35</v>
      </c>
      <c r="I11462" s="3">
        <v>111</v>
      </c>
      <c r="J11462" s="3">
        <v>804</v>
      </c>
      <c r="K11462" s="3">
        <v>1124</v>
      </c>
      <c r="L11462" s="3">
        <v>93</v>
      </c>
      <c r="M11462" s="3">
        <v>199</v>
      </c>
    </row>
    <row r="11463" spans="1:13" x14ac:dyDescent="0.25">
      <c r="A11463" s="1" t="str">
        <f>HYPERLINK("http://www.rosaceae.org/Prunus/Prunus_persica/p.persica_gdr_reftransV1_0018289","p.persica_gdr_reftransV1_0018289")</f>
        <v>p.persica_gdr_reftransV1_0018289</v>
      </c>
      <c r="B11463" s="3">
        <v>2288</v>
      </c>
      <c r="C11463" s="1" t="str">
        <f>HYPERLINK("http://www.uniprot.org/uniprot/PP208_ARATH","PP208_ARATH")</f>
        <v>PP208_ARATH</v>
      </c>
      <c r="D11463" t="s">
        <v>8083</v>
      </c>
      <c r="E11463" s="3" t="s">
        <v>3</v>
      </c>
      <c r="F11463" s="4">
        <v>0</v>
      </c>
      <c r="G11463" s="3">
        <v>1735</v>
      </c>
      <c r="H11463" s="3">
        <v>56</v>
      </c>
      <c r="I11463" s="3">
        <v>587</v>
      </c>
      <c r="J11463" s="3">
        <v>263</v>
      </c>
      <c r="K11463" s="3">
        <v>1990</v>
      </c>
      <c r="L11463" s="3">
        <v>57</v>
      </c>
      <c r="M11463" s="3">
        <v>643</v>
      </c>
    </row>
    <row r="11464" spans="1:13" x14ac:dyDescent="0.25">
      <c r="A11464" s="1" t="str">
        <f>HYPERLINK("http://www.rosaceae.org/Prunus/Prunus_persica/p.persica_gdr_reftransV1_0018339","p.persica_gdr_reftransV1_0018339")</f>
        <v>p.persica_gdr_reftransV1_0018339</v>
      </c>
      <c r="B11464" s="3">
        <v>4085</v>
      </c>
      <c r="C11464" s="1" t="str">
        <f>HYPERLINK("http://www.uniprot.org/uniprot/C3H37_ARATH","C3H37_ARATH")</f>
        <v>C3H37_ARATH</v>
      </c>
      <c r="D11464" t="s">
        <v>8084</v>
      </c>
      <c r="E11464" s="3" t="s">
        <v>3</v>
      </c>
      <c r="F11464" s="4">
        <v>1.4800000000000001E-86</v>
      </c>
      <c r="G11464" s="3">
        <v>760</v>
      </c>
      <c r="H11464" s="3">
        <v>61</v>
      </c>
      <c r="I11464" s="3">
        <v>235</v>
      </c>
      <c r="J11464" s="3">
        <v>2954</v>
      </c>
      <c r="K11464" s="3">
        <v>3658</v>
      </c>
      <c r="L11464" s="3">
        <v>276</v>
      </c>
      <c r="M11464" s="3">
        <v>504</v>
      </c>
    </row>
    <row r="11465" spans="1:13" x14ac:dyDescent="0.25">
      <c r="A11465" s="1" t="str">
        <f>HYPERLINK("http://www.rosaceae.org/Prunus/Prunus_persica/p.persica_gdr_reftransV1_0018489","p.persica_gdr_reftransV1_0018489")</f>
        <v>p.persica_gdr_reftransV1_0018489</v>
      </c>
      <c r="B11465" s="3">
        <v>3968</v>
      </c>
      <c r="C11465" s="1" t="str">
        <f>HYPERLINK("http://www.uniprot.org/uniprot/BOR2_ARATH","BOR2_ARATH")</f>
        <v>BOR2_ARATH</v>
      </c>
      <c r="D11465" t="s">
        <v>8085</v>
      </c>
      <c r="E11465" s="3" t="s">
        <v>3</v>
      </c>
      <c r="F11465" s="4">
        <v>0</v>
      </c>
      <c r="G11465" s="3">
        <v>2749</v>
      </c>
      <c r="H11465" s="3">
        <v>77</v>
      </c>
      <c r="I11465" s="3">
        <v>691</v>
      </c>
      <c r="J11465" s="3">
        <v>1310</v>
      </c>
      <c r="K11465" s="3">
        <v>3382</v>
      </c>
      <c r="L11465" s="3">
        <v>1</v>
      </c>
      <c r="M11465" s="3">
        <v>682</v>
      </c>
    </row>
    <row r="11466" spans="1:13" x14ac:dyDescent="0.25">
      <c r="A11466" s="1" t="str">
        <f>HYPERLINK("http://www.rosaceae.org/Prunus/Prunus_persica/p.persica_gdr_reftransV1_0018639","p.persica_gdr_reftransV1_0018639")</f>
        <v>p.persica_gdr_reftransV1_0018639</v>
      </c>
      <c r="B11466" s="3">
        <v>1182</v>
      </c>
      <c r="C11466" s="1" t="str">
        <f>HYPERLINK("http://www.uniprot.org/uniprot/SUI11_ARATH","SUI11_ARATH")</f>
        <v>SUI11_ARATH</v>
      </c>
      <c r="D11466" t="s">
        <v>8086</v>
      </c>
      <c r="E11466" s="3" t="s">
        <v>3</v>
      </c>
      <c r="F11466" s="4">
        <v>1.05E-69</v>
      </c>
      <c r="G11466" s="3">
        <v>563</v>
      </c>
      <c r="H11466" s="3">
        <v>92</v>
      </c>
      <c r="I11466" s="3">
        <v>113</v>
      </c>
      <c r="J11466" s="3">
        <v>588</v>
      </c>
      <c r="K11466" s="3">
        <v>926</v>
      </c>
      <c r="L11466" s="3">
        <v>1</v>
      </c>
      <c r="M11466" s="3">
        <v>113</v>
      </c>
    </row>
    <row r="11467" spans="1:13" x14ac:dyDescent="0.25">
      <c r="A11467" s="1" t="str">
        <f>HYPERLINK("http://www.rosaceae.org/Prunus/Prunus_persica/p.persica_gdr_reftransV1_0018689","p.persica_gdr_reftransV1_0018689")</f>
        <v>p.persica_gdr_reftransV1_0018689</v>
      </c>
      <c r="B11467" s="3">
        <v>2544</v>
      </c>
      <c r="C11467" s="1" t="str">
        <f>HYPERLINK("http://www.uniprot.org/uniprot/CDPK4_ARATH","CDPK4_ARATH")</f>
        <v>CDPK4_ARATH</v>
      </c>
      <c r="D11467" t="s">
        <v>6021</v>
      </c>
      <c r="E11467" s="3" t="s">
        <v>3</v>
      </c>
      <c r="F11467" s="4">
        <v>1.19E-91</v>
      </c>
      <c r="G11467" s="3">
        <v>779</v>
      </c>
      <c r="H11467" s="3">
        <v>85</v>
      </c>
      <c r="I11467" s="3">
        <v>167</v>
      </c>
      <c r="J11467" s="3">
        <v>3</v>
      </c>
      <c r="K11467" s="3">
        <v>503</v>
      </c>
      <c r="L11467" s="3">
        <v>152</v>
      </c>
      <c r="M11467" s="3">
        <v>318</v>
      </c>
    </row>
    <row r="11468" spans="1:13" x14ac:dyDescent="0.25">
      <c r="A11468" s="1" t="str">
        <f>HYPERLINK("http://www.rosaceae.org/Prunus/Prunus_persica/p.persica_gdr_reftransV1_0018789","p.persica_gdr_reftransV1_0018789")</f>
        <v>p.persica_gdr_reftransV1_0018789</v>
      </c>
      <c r="B11468" s="3">
        <v>624</v>
      </c>
      <c r="C11468" s="1" t="str">
        <f>HYPERLINK("http://www.uniprot.org/uniprot/PSAK_ARATH","PSAK_ARATH")</f>
        <v>PSAK_ARATH</v>
      </c>
      <c r="D11468" t="s">
        <v>7801</v>
      </c>
      <c r="E11468" s="3" t="s">
        <v>3</v>
      </c>
      <c r="F11468" s="4">
        <v>2.5199999999999998E-59</v>
      </c>
      <c r="G11468" s="3">
        <v>479</v>
      </c>
      <c r="H11468" s="3">
        <v>84</v>
      </c>
      <c r="I11468" s="3">
        <v>129</v>
      </c>
      <c r="J11468" s="3">
        <v>153</v>
      </c>
      <c r="K11468" s="3">
        <v>536</v>
      </c>
      <c r="L11468" s="3">
        <v>2</v>
      </c>
      <c r="M11468" s="3">
        <v>130</v>
      </c>
    </row>
    <row r="11469" spans="1:13" x14ac:dyDescent="0.25">
      <c r="A11469" s="1" t="str">
        <f>HYPERLINK("http://www.rosaceae.org/Prunus/Prunus_persica/p.persica_gdr_reftransV1_0018939","p.persica_gdr_reftransV1_0018939")</f>
        <v>p.persica_gdr_reftransV1_0018939</v>
      </c>
      <c r="B11469" s="3">
        <v>1038</v>
      </c>
      <c r="C11469" s="1" t="str">
        <f>HYPERLINK("http://www.uniprot.org/uniprot/PR1B5_ARATH","PR1B5_ARATH")</f>
        <v>PR1B5_ARATH</v>
      </c>
      <c r="D11469" t="s">
        <v>8087</v>
      </c>
      <c r="E11469" s="3" t="s">
        <v>3</v>
      </c>
      <c r="F11469" s="4">
        <v>2.7300000000000001E-58</v>
      </c>
      <c r="G11469" s="3">
        <v>493</v>
      </c>
      <c r="H11469" s="3">
        <v>55</v>
      </c>
      <c r="I11469" s="3">
        <v>156</v>
      </c>
      <c r="J11469" s="3">
        <v>281</v>
      </c>
      <c r="K11469" s="3">
        <v>748</v>
      </c>
      <c r="L11469" s="3">
        <v>50</v>
      </c>
      <c r="M11469" s="3">
        <v>205</v>
      </c>
    </row>
    <row r="11470" spans="1:13" x14ac:dyDescent="0.25">
      <c r="A11470" s="1" t="str">
        <f>HYPERLINK("http://www.rosaceae.org/Prunus/Prunus_persica/p.persica_gdr_reftransV1_0018989","p.persica_gdr_reftransV1_0018989")</f>
        <v>p.persica_gdr_reftransV1_0018989</v>
      </c>
      <c r="B11470" s="3">
        <v>3034</v>
      </c>
      <c r="C11470" s="1" t="str">
        <f>HYPERLINK("http://www.uniprot.org/uniprot/GLYT3_ARATH","GLYT3_ARATH")</f>
        <v>GLYT3_ARATH</v>
      </c>
      <c r="D11470" t="s">
        <v>2169</v>
      </c>
      <c r="E11470" s="3" t="s">
        <v>3</v>
      </c>
      <c r="F11470" s="4">
        <v>1.13E-37</v>
      </c>
      <c r="G11470" s="3">
        <v>386</v>
      </c>
      <c r="H11470" s="3">
        <v>47</v>
      </c>
      <c r="I11470" s="3">
        <v>158</v>
      </c>
      <c r="J11470" s="3">
        <v>2310</v>
      </c>
      <c r="K11470" s="3">
        <v>2777</v>
      </c>
      <c r="L11470" s="3">
        <v>353</v>
      </c>
      <c r="M11470" s="3">
        <v>510</v>
      </c>
    </row>
    <row r="11471" spans="1:13" x14ac:dyDescent="0.25">
      <c r="A11471" s="1" t="str">
        <f>HYPERLINK("http://www.rosaceae.org/Prunus/Prunus_persica/p.persica_gdr_reftransV1_0019339","p.persica_gdr_reftransV1_0019339")</f>
        <v>p.persica_gdr_reftransV1_0019339</v>
      </c>
      <c r="B11471" s="3">
        <v>3315</v>
      </c>
      <c r="C11471" s="1" t="str">
        <f>HYPERLINK("http://www.uniprot.org/uniprot/FRS11_ARATH","FRS11_ARATH")</f>
        <v>FRS11_ARATH</v>
      </c>
      <c r="D11471" t="s">
        <v>8088</v>
      </c>
      <c r="E11471" s="3" t="s">
        <v>3</v>
      </c>
      <c r="F11471" s="4">
        <v>0</v>
      </c>
      <c r="G11471" s="3">
        <v>1548</v>
      </c>
      <c r="H11471" s="3">
        <v>74</v>
      </c>
      <c r="I11471" s="3">
        <v>393</v>
      </c>
      <c r="J11471" s="3">
        <v>400</v>
      </c>
      <c r="K11471" s="3">
        <v>1572</v>
      </c>
      <c r="L11471" s="3">
        <v>295</v>
      </c>
      <c r="M11471" s="3">
        <v>679</v>
      </c>
    </row>
    <row r="11472" spans="1:13" x14ac:dyDescent="0.25">
      <c r="A11472" s="1" t="str">
        <f>HYPERLINK("http://www.rosaceae.org/Prunus/Prunus_persica/p.persica_gdr_reftransV1_0019389","p.persica_gdr_reftransV1_0019389")</f>
        <v>p.persica_gdr_reftransV1_0019389</v>
      </c>
      <c r="B11472" s="3">
        <v>2081</v>
      </c>
      <c r="C11472" s="1" t="str">
        <f>HYPERLINK("http://www.uniprot.org/uniprot/GCR2_ARATH","GCR2_ARATH")</f>
        <v>GCR2_ARATH</v>
      </c>
      <c r="D11472" t="s">
        <v>8089</v>
      </c>
      <c r="E11472" s="3" t="s">
        <v>3</v>
      </c>
      <c r="F11472" s="4">
        <v>3.9700000000000003E-105</v>
      </c>
      <c r="G11472" s="3">
        <v>747</v>
      </c>
      <c r="H11472" s="3">
        <v>75</v>
      </c>
      <c r="I11472" s="3">
        <v>182</v>
      </c>
      <c r="J11472" s="3">
        <v>508</v>
      </c>
      <c r="K11472" s="3">
        <v>1053</v>
      </c>
      <c r="L11472" s="3">
        <v>118</v>
      </c>
      <c r="M11472" s="3">
        <v>299</v>
      </c>
    </row>
    <row r="11473" spans="1:13" x14ac:dyDescent="0.25">
      <c r="A11473" s="1" t="str">
        <f>HYPERLINK("http://www.rosaceae.org/Prunus/Prunus_persica/p.persica_gdr_reftransV1_0019589","p.persica_gdr_reftransV1_0019589")</f>
        <v>p.persica_gdr_reftransV1_0019589</v>
      </c>
      <c r="B11473" s="3">
        <v>789</v>
      </c>
      <c r="C11473" s="1" t="str">
        <f>HYPERLINK("http://www.uniprot.org/uniprot/PP267_ARATH","PP267_ARATH")</f>
        <v>PP267_ARATH</v>
      </c>
      <c r="D11473" t="s">
        <v>8090</v>
      </c>
      <c r="E11473" s="3" t="s">
        <v>3</v>
      </c>
      <c r="F11473" s="4">
        <v>1.14E-83</v>
      </c>
      <c r="G11473" s="3">
        <v>684</v>
      </c>
      <c r="H11473" s="3">
        <v>72</v>
      </c>
      <c r="I11473" s="3">
        <v>169</v>
      </c>
      <c r="J11473" s="3">
        <v>2</v>
      </c>
      <c r="K11473" s="3">
        <v>505</v>
      </c>
      <c r="L11473" s="3">
        <v>423</v>
      </c>
      <c r="M11473" s="3">
        <v>591</v>
      </c>
    </row>
    <row r="11474" spans="1:13" x14ac:dyDescent="0.25">
      <c r="A11474" s="1" t="str">
        <f>HYPERLINK("http://www.rosaceae.org/Prunus/Prunus_persica/p.persica_gdr_reftransV1_0019739","p.persica_gdr_reftransV1_0019739")</f>
        <v>p.persica_gdr_reftransV1_0019739</v>
      </c>
      <c r="B11474" s="3">
        <v>1403</v>
      </c>
      <c r="C11474" s="1" t="str">
        <f>HYPERLINK("http://www.uniprot.org/uniprot/CCD93_MOUSE","CCD93_MOUSE")</f>
        <v>CCD93_MOUSE</v>
      </c>
      <c r="D11474" t="s">
        <v>8091</v>
      </c>
      <c r="E11474" s="3" t="s">
        <v>157</v>
      </c>
      <c r="F11474" s="4">
        <v>2.0199999999999999E-12</v>
      </c>
      <c r="G11474" s="3">
        <v>178</v>
      </c>
      <c r="H11474" s="3">
        <v>35</v>
      </c>
      <c r="I11474" s="3">
        <v>195</v>
      </c>
      <c r="J11474" s="3">
        <v>182</v>
      </c>
      <c r="K11474" s="3">
        <v>682</v>
      </c>
      <c r="L11474" s="3">
        <v>349</v>
      </c>
      <c r="M11474" s="3">
        <v>540</v>
      </c>
    </row>
    <row r="11475" spans="1:13" x14ac:dyDescent="0.25">
      <c r="A11475" s="1" t="str">
        <f>HYPERLINK("http://www.rosaceae.org/Prunus/Prunus_persica/p.persica_gdr_reftransV1_0019939","p.persica_gdr_reftransV1_0019939")</f>
        <v>p.persica_gdr_reftransV1_0019939</v>
      </c>
      <c r="B11475" s="3">
        <v>1759</v>
      </c>
      <c r="C11475" s="1" t="str">
        <f>HYPERLINK("http://www.uniprot.org/uniprot/PDI52_ARATH","PDI52_ARATH")</f>
        <v>PDI52_ARATH</v>
      </c>
      <c r="D11475" t="s">
        <v>8092</v>
      </c>
      <c r="E11475" s="3" t="s">
        <v>3</v>
      </c>
      <c r="F11475" s="4">
        <v>0</v>
      </c>
      <c r="G11475" s="3">
        <v>1359</v>
      </c>
      <c r="H11475" s="3">
        <v>64</v>
      </c>
      <c r="I11475" s="3">
        <v>414</v>
      </c>
      <c r="J11475" s="3">
        <v>170</v>
      </c>
      <c r="K11475" s="3">
        <v>1387</v>
      </c>
      <c r="L11475" s="3">
        <v>28</v>
      </c>
      <c r="M11475" s="3">
        <v>439</v>
      </c>
    </row>
    <row r="11476" spans="1:13" x14ac:dyDescent="0.25">
      <c r="A11476" s="1" t="str">
        <f>HYPERLINK("http://www.rosaceae.org/Prunus/Prunus_persica/p.persica_gdr_reftransV1_0020289","p.persica_gdr_reftransV1_0020289")</f>
        <v>p.persica_gdr_reftransV1_0020289</v>
      </c>
      <c r="B11476" s="3">
        <v>2755</v>
      </c>
      <c r="C11476" s="1" t="str">
        <f>HYPERLINK("http://www.uniprot.org/uniprot/E70B1_ARATH","E70B1_ARATH")</f>
        <v>E70B1_ARATH</v>
      </c>
      <c r="D11476" t="s">
        <v>7633</v>
      </c>
      <c r="E11476" s="3" t="s">
        <v>3</v>
      </c>
      <c r="F11476" s="4">
        <v>4.9799999999999998E-110</v>
      </c>
      <c r="G11476" s="3">
        <v>921</v>
      </c>
      <c r="H11476" s="3">
        <v>36</v>
      </c>
      <c r="I11476" s="3">
        <v>653</v>
      </c>
      <c r="J11476" s="3">
        <v>436</v>
      </c>
      <c r="K11476" s="3">
        <v>2310</v>
      </c>
      <c r="L11476" s="3">
        <v>6</v>
      </c>
      <c r="M11476" s="3">
        <v>619</v>
      </c>
    </row>
    <row r="11477" spans="1:13" x14ac:dyDescent="0.25">
      <c r="A11477" s="1" t="str">
        <f>HYPERLINK("http://www.rosaceae.org/Prunus/Prunus_persica/p.persica_gdr_reftransV1_0020339","p.persica_gdr_reftransV1_0020339")</f>
        <v>p.persica_gdr_reftransV1_0020339</v>
      </c>
      <c r="B11477" s="3">
        <v>1418</v>
      </c>
      <c r="C11477" s="1" t="str">
        <f>HYPERLINK("http://www.uniprot.org/uniprot/DRL21_ARATH","DRL21_ARATH")</f>
        <v>DRL21_ARATH</v>
      </c>
      <c r="D11477" t="s">
        <v>3610</v>
      </c>
      <c r="E11477" s="3" t="s">
        <v>3</v>
      </c>
      <c r="F11477" s="4">
        <v>1.3699999999999999E-10</v>
      </c>
      <c r="G11477" s="3">
        <v>164</v>
      </c>
      <c r="H11477" s="3">
        <v>31</v>
      </c>
      <c r="I11477" s="3">
        <v>270</v>
      </c>
      <c r="J11477" s="3">
        <v>643</v>
      </c>
      <c r="K11477" s="3">
        <v>1413</v>
      </c>
      <c r="L11477" s="3">
        <v>648</v>
      </c>
      <c r="M11477" s="3">
        <v>905</v>
      </c>
    </row>
    <row r="11478" spans="1:13" x14ac:dyDescent="0.25">
      <c r="A11478" s="1" t="str">
        <f>HYPERLINK("http://www.rosaceae.org/Prunus/Prunus_persica/p.persica_gdr_reftransV1_0020439","p.persica_gdr_reftransV1_0020439")</f>
        <v>p.persica_gdr_reftransV1_0020439</v>
      </c>
      <c r="B11478" s="3">
        <v>1039</v>
      </c>
      <c r="C11478" s="1" t="str">
        <f>HYPERLINK("http://www.uniprot.org/uniprot/PTH2_HUMAN","PTH2_HUMAN")</f>
        <v>PTH2_HUMAN</v>
      </c>
      <c r="D11478" t="s">
        <v>8093</v>
      </c>
      <c r="E11478" s="3" t="s">
        <v>28</v>
      </c>
      <c r="F11478" s="4">
        <v>1.37E-31</v>
      </c>
      <c r="G11478" s="3">
        <v>306</v>
      </c>
      <c r="H11478" s="3">
        <v>55</v>
      </c>
      <c r="I11478" s="3">
        <v>114</v>
      </c>
      <c r="J11478" s="3">
        <v>201</v>
      </c>
      <c r="K11478" s="3">
        <v>533</v>
      </c>
      <c r="L11478" s="3">
        <v>51</v>
      </c>
      <c r="M11478" s="3">
        <v>163</v>
      </c>
    </row>
    <row r="11479" spans="1:13" x14ac:dyDescent="0.25">
      <c r="A11479" s="1" t="str">
        <f>HYPERLINK("http://www.rosaceae.org/Prunus/Prunus_persica/p.persica_gdr_reftransV1_0020539","p.persica_gdr_reftransV1_0020539")</f>
        <v>p.persica_gdr_reftransV1_0020539</v>
      </c>
      <c r="B11479" s="3">
        <v>532</v>
      </c>
      <c r="C11479" s="1" t="str">
        <f>HYPERLINK("http://www.uniprot.org/uniprot/Y2241_ARATH","Y2241_ARATH")</f>
        <v>Y2241_ARATH</v>
      </c>
      <c r="D11479" t="s">
        <v>3958</v>
      </c>
      <c r="E11479" s="3" t="s">
        <v>3</v>
      </c>
      <c r="F11479" s="4">
        <v>4.54E-25</v>
      </c>
      <c r="G11479" s="3">
        <v>265</v>
      </c>
      <c r="H11479" s="3">
        <v>48</v>
      </c>
      <c r="I11479" s="3">
        <v>114</v>
      </c>
      <c r="J11479" s="3">
        <v>2</v>
      </c>
      <c r="K11479" s="3">
        <v>340</v>
      </c>
      <c r="L11479" s="3">
        <v>847</v>
      </c>
      <c r="M11479" s="3">
        <v>960</v>
      </c>
    </row>
    <row r="11480" spans="1:13" x14ac:dyDescent="0.25">
      <c r="A11480" s="1" t="str">
        <f>HYPERLINK("http://www.rosaceae.org/Prunus/Prunus_persica/p.persica_gdr_reftransV1_0020789","p.persica_gdr_reftransV1_0020789")</f>
        <v>p.persica_gdr_reftransV1_0020789</v>
      </c>
      <c r="B11480" s="3">
        <v>5043</v>
      </c>
      <c r="C11480" s="1" t="str">
        <f>HYPERLINK("http://www.uniprot.org/uniprot/DPOLA_ORYSJ","DPOLA_ORYSJ")</f>
        <v>DPOLA_ORYSJ</v>
      </c>
      <c r="D11480" t="s">
        <v>8094</v>
      </c>
      <c r="E11480" s="3" t="s">
        <v>38</v>
      </c>
      <c r="F11480" s="4">
        <v>0</v>
      </c>
      <c r="G11480" s="3">
        <v>4791</v>
      </c>
      <c r="H11480" s="3">
        <v>64</v>
      </c>
      <c r="I11480" s="3">
        <v>1548</v>
      </c>
      <c r="J11480" s="3">
        <v>275</v>
      </c>
      <c r="K11480" s="3">
        <v>4861</v>
      </c>
      <c r="L11480" s="3">
        <v>9</v>
      </c>
      <c r="M11480" s="3">
        <v>1534</v>
      </c>
    </row>
    <row r="11481" spans="1:13" x14ac:dyDescent="0.25">
      <c r="A11481" s="1" t="str">
        <f>HYPERLINK("http://www.rosaceae.org/Prunus/Prunus_persica/p.persica_gdr_reftransV1_0021189","p.persica_gdr_reftransV1_0021189")</f>
        <v>p.persica_gdr_reftransV1_0021189</v>
      </c>
      <c r="B11481" s="3">
        <v>2299</v>
      </c>
      <c r="C11481" s="1" t="str">
        <f>HYPERLINK("http://www.uniprot.org/uniprot/XYLL3_ARATH","XYLL3_ARATH")</f>
        <v>XYLL3_ARATH</v>
      </c>
      <c r="D11481" t="s">
        <v>8095</v>
      </c>
      <c r="E11481" s="3" t="s">
        <v>3</v>
      </c>
      <c r="F11481" s="4">
        <v>0</v>
      </c>
      <c r="G11481" s="3">
        <v>1589</v>
      </c>
      <c r="H11481" s="3">
        <v>71</v>
      </c>
      <c r="I11481" s="3">
        <v>565</v>
      </c>
      <c r="J11481" s="3">
        <v>466</v>
      </c>
      <c r="K11481" s="3">
        <v>2151</v>
      </c>
      <c r="L11481" s="3">
        <v>1</v>
      </c>
      <c r="M11481" s="3">
        <v>558</v>
      </c>
    </row>
    <row r="11482" spans="1:13" x14ac:dyDescent="0.25">
      <c r="A11482" s="1" t="str">
        <f>HYPERLINK("http://www.rosaceae.org/Prunus/Prunus_persica/p.persica_gdr_reftransV1_0021239","p.persica_gdr_reftransV1_0021239")</f>
        <v>p.persica_gdr_reftransV1_0021239</v>
      </c>
      <c r="B11482" s="3">
        <v>1239</v>
      </c>
      <c r="C11482" s="1" t="str">
        <f>HYPERLINK("http://www.uniprot.org/uniprot/CSPLV_ARATH","CSPLV_ARATH")</f>
        <v>CSPLV_ARATH</v>
      </c>
      <c r="D11482" t="s">
        <v>8096</v>
      </c>
      <c r="E11482" s="3" t="s">
        <v>3</v>
      </c>
      <c r="F11482" s="4">
        <v>6.3400000000000003E-46</v>
      </c>
      <c r="G11482" s="3">
        <v>417</v>
      </c>
      <c r="H11482" s="3">
        <v>59</v>
      </c>
      <c r="I11482" s="3">
        <v>158</v>
      </c>
      <c r="J11482" s="3">
        <v>568</v>
      </c>
      <c r="K11482" s="3">
        <v>1041</v>
      </c>
      <c r="L11482" s="3">
        <v>113</v>
      </c>
      <c r="M11482" s="3">
        <v>270</v>
      </c>
    </row>
    <row r="11483" spans="1:13" x14ac:dyDescent="0.25">
      <c r="A11483" s="1" t="str">
        <f>HYPERLINK("http://www.rosaceae.org/Prunus/Prunus_persica/p.persica_gdr_reftransV1_0021389","p.persica_gdr_reftransV1_0021389")</f>
        <v>p.persica_gdr_reftransV1_0021389</v>
      </c>
      <c r="B11483" s="3">
        <v>3477</v>
      </c>
      <c r="C11483" s="1" t="str">
        <f>HYPERLINK("http://www.uniprot.org/uniprot/TBC5A_DICDI","TBC5A_DICDI")</f>
        <v>TBC5A_DICDI</v>
      </c>
      <c r="D11483" t="s">
        <v>6410</v>
      </c>
      <c r="E11483" s="3" t="s">
        <v>9</v>
      </c>
      <c r="F11483" s="4">
        <v>1.5299999999999999E-23</v>
      </c>
      <c r="G11483" s="3">
        <v>279</v>
      </c>
      <c r="H11483" s="3">
        <v>23</v>
      </c>
      <c r="I11483" s="3">
        <v>444</v>
      </c>
      <c r="J11483" s="3">
        <v>553</v>
      </c>
      <c r="K11483" s="3">
        <v>1782</v>
      </c>
      <c r="L11483" s="3">
        <v>379</v>
      </c>
      <c r="M11483" s="3">
        <v>782</v>
      </c>
    </row>
    <row r="11484" spans="1:13" x14ac:dyDescent="0.25">
      <c r="A11484" s="1" t="str">
        <f>HYPERLINK("http://www.rosaceae.org/Prunus/Prunus_persica/p.persica_gdr_reftransV1_0021489","p.persica_gdr_reftransV1_0021489")</f>
        <v>p.persica_gdr_reftransV1_0021489</v>
      </c>
      <c r="B11484" s="3">
        <v>3937</v>
      </c>
      <c r="C11484" s="1" t="str">
        <f>HYPERLINK("http://www.uniprot.org/uniprot/CYT6_ARATH","CYT6_ARATH")</f>
        <v>CYT6_ARATH</v>
      </c>
      <c r="D11484" t="s">
        <v>4245</v>
      </c>
      <c r="E11484" s="3" t="s">
        <v>3</v>
      </c>
      <c r="F11484" s="4">
        <v>5.7699999999999996E-13</v>
      </c>
      <c r="G11484" s="3">
        <v>181</v>
      </c>
      <c r="H11484" s="3">
        <v>41</v>
      </c>
      <c r="I11484" s="3">
        <v>90</v>
      </c>
      <c r="J11484" s="3">
        <v>3346</v>
      </c>
      <c r="K11484" s="3">
        <v>3603</v>
      </c>
      <c r="L11484" s="3">
        <v>55</v>
      </c>
      <c r="M11484" s="3">
        <v>144</v>
      </c>
    </row>
    <row r="11485" spans="1:13" x14ac:dyDescent="0.25">
      <c r="A11485" s="1" t="str">
        <f>HYPERLINK("http://www.rosaceae.org/Prunus/Prunus_persica/p.persica_gdr_reftransV1_0021639","p.persica_gdr_reftransV1_0021639")</f>
        <v>p.persica_gdr_reftransV1_0021639</v>
      </c>
      <c r="B11485" s="3">
        <v>1618</v>
      </c>
      <c r="C11485" s="1" t="str">
        <f>HYPERLINK("http://www.uniprot.org/uniprot/TSN_CHICK","TSN_CHICK")</f>
        <v>TSN_CHICK</v>
      </c>
      <c r="D11485" t="s">
        <v>5144</v>
      </c>
      <c r="E11485" s="3" t="s">
        <v>1278</v>
      </c>
      <c r="F11485" s="4">
        <v>2.4999999999999999E-17</v>
      </c>
      <c r="G11485" s="3">
        <v>210</v>
      </c>
      <c r="H11485" s="3">
        <v>56</v>
      </c>
      <c r="I11485" s="3">
        <v>66</v>
      </c>
      <c r="J11485" s="3">
        <v>422</v>
      </c>
      <c r="K11485" s="3">
        <v>619</v>
      </c>
      <c r="L11485" s="3">
        <v>152</v>
      </c>
      <c r="M11485" s="3">
        <v>217</v>
      </c>
    </row>
    <row r="11486" spans="1:13" x14ac:dyDescent="0.25">
      <c r="A11486" s="1" t="str">
        <f>HYPERLINK("http://www.rosaceae.org/Prunus/Prunus_persica/p.persica_gdr_reftransV1_0021689","p.persica_gdr_reftransV1_0021689")</f>
        <v>p.persica_gdr_reftransV1_0021689</v>
      </c>
      <c r="B11486" s="3">
        <v>2201</v>
      </c>
      <c r="C11486" s="1" t="str">
        <f>HYPERLINK("http://www.uniprot.org/uniprot/ROGFE_ARATH","ROGFE_ARATH")</f>
        <v>ROGFE_ARATH</v>
      </c>
      <c r="D11486" t="s">
        <v>8097</v>
      </c>
      <c r="E11486" s="3" t="s">
        <v>3</v>
      </c>
      <c r="F11486" s="4">
        <v>0</v>
      </c>
      <c r="G11486" s="3">
        <v>1736</v>
      </c>
      <c r="H11486" s="3">
        <v>61</v>
      </c>
      <c r="I11486" s="3">
        <v>571</v>
      </c>
      <c r="J11486" s="3">
        <v>305</v>
      </c>
      <c r="K11486" s="3">
        <v>1945</v>
      </c>
      <c r="L11486" s="3">
        <v>4</v>
      </c>
      <c r="M11486" s="3">
        <v>569</v>
      </c>
    </row>
    <row r="11487" spans="1:13" x14ac:dyDescent="0.25">
      <c r="A11487" s="1" t="str">
        <f>HYPERLINK("http://www.rosaceae.org/Prunus/Prunus_persica/p.persica_gdr_reftransV1_0021939","p.persica_gdr_reftransV1_0021939")</f>
        <v>p.persica_gdr_reftransV1_0021939</v>
      </c>
      <c r="B11487" s="3">
        <v>1932</v>
      </c>
      <c r="C11487" s="1" t="str">
        <f>HYPERLINK("http://www.uniprot.org/uniprot/HGNAT_HUMAN","HGNAT_HUMAN")</f>
        <v>HGNAT_HUMAN</v>
      </c>
      <c r="D11487" t="s">
        <v>7593</v>
      </c>
      <c r="E11487" s="3" t="s">
        <v>28</v>
      </c>
      <c r="F11487" s="4">
        <v>1.26E-21</v>
      </c>
      <c r="G11487" s="3">
        <v>256</v>
      </c>
      <c r="H11487" s="3">
        <v>27</v>
      </c>
      <c r="I11487" s="3">
        <v>381</v>
      </c>
      <c r="J11487" s="3">
        <v>514</v>
      </c>
      <c r="K11487" s="3">
        <v>1596</v>
      </c>
      <c r="L11487" s="3">
        <v>267</v>
      </c>
      <c r="M11487" s="3">
        <v>612</v>
      </c>
    </row>
    <row r="11488" spans="1:13" x14ac:dyDescent="0.25">
      <c r="A11488" s="1" t="str">
        <f>HYPERLINK("http://www.rosaceae.org/Prunus/Prunus_persica/p.persica_gdr_reftransV1_0022139","p.persica_gdr_reftransV1_0022139")</f>
        <v>p.persica_gdr_reftransV1_0022139</v>
      </c>
      <c r="B11488" s="3">
        <v>1311</v>
      </c>
      <c r="C11488" s="1" t="str">
        <f>HYPERLINK("http://www.uniprot.org/uniprot/PUP3_ARATH","PUP3_ARATH")</f>
        <v>PUP3_ARATH</v>
      </c>
      <c r="D11488" t="s">
        <v>1425</v>
      </c>
      <c r="E11488" s="3" t="s">
        <v>3</v>
      </c>
      <c r="F11488" s="4">
        <v>7.6700000000000005E-142</v>
      </c>
      <c r="G11488" s="3">
        <v>1070</v>
      </c>
      <c r="H11488" s="3">
        <v>62</v>
      </c>
      <c r="I11488" s="3">
        <v>326</v>
      </c>
      <c r="J11488" s="3">
        <v>83</v>
      </c>
      <c r="K11488" s="3">
        <v>1054</v>
      </c>
      <c r="L11488" s="3">
        <v>3</v>
      </c>
      <c r="M11488" s="3">
        <v>328</v>
      </c>
    </row>
    <row r="11489" spans="1:13" x14ac:dyDescent="0.25">
      <c r="A11489" s="1" t="str">
        <f>HYPERLINK("http://www.rosaceae.org/Prunus/Prunus_persica/p.persica_gdr_reftransV1_0022289","p.persica_gdr_reftransV1_0022289")</f>
        <v>p.persica_gdr_reftransV1_0022289</v>
      </c>
      <c r="B11489" s="3">
        <v>2020</v>
      </c>
      <c r="C11489" s="1" t="str">
        <f>HYPERLINK("http://www.uniprot.org/uniprot/SWT2A_ORYSJ","SWT2A_ORYSJ")</f>
        <v>SWT2A_ORYSJ</v>
      </c>
      <c r="D11489" t="s">
        <v>8098</v>
      </c>
      <c r="E11489" s="3" t="s">
        <v>38</v>
      </c>
      <c r="F11489" s="4">
        <v>2.3899999999999998E-69</v>
      </c>
      <c r="G11489" s="3">
        <v>592</v>
      </c>
      <c r="H11489" s="3">
        <v>49</v>
      </c>
      <c r="I11489" s="3">
        <v>283</v>
      </c>
      <c r="J11489" s="3">
        <v>669</v>
      </c>
      <c r="K11489" s="3">
        <v>1517</v>
      </c>
      <c r="L11489" s="3">
        <v>19</v>
      </c>
      <c r="M11489" s="3">
        <v>242</v>
      </c>
    </row>
    <row r="11490" spans="1:13" x14ac:dyDescent="0.25">
      <c r="A11490" s="1" t="str">
        <f>HYPERLINK("http://www.rosaceae.org/Prunus/Prunus_persica/p.persica_gdr_reftransV1_0022339","p.persica_gdr_reftransV1_0022339")</f>
        <v>p.persica_gdr_reftransV1_0022339</v>
      </c>
      <c r="B11490" s="3">
        <v>1144</v>
      </c>
      <c r="C11490" s="1" t="str">
        <f>HYPERLINK("http://www.uniprot.org/uniprot/TIPIN_HUMAN","TIPIN_HUMAN")</f>
        <v>TIPIN_HUMAN</v>
      </c>
      <c r="D11490" t="s">
        <v>8099</v>
      </c>
      <c r="E11490" s="3" t="s">
        <v>28</v>
      </c>
      <c r="F11490" s="4">
        <v>2.3100000000000001E-9</v>
      </c>
      <c r="G11490" s="3">
        <v>148</v>
      </c>
      <c r="H11490" s="3">
        <v>38</v>
      </c>
      <c r="I11490" s="3">
        <v>81</v>
      </c>
      <c r="J11490" s="3">
        <v>176</v>
      </c>
      <c r="K11490" s="3">
        <v>418</v>
      </c>
      <c r="L11490" s="3">
        <v>65</v>
      </c>
      <c r="M11490" s="3">
        <v>144</v>
      </c>
    </row>
    <row r="11491" spans="1:13" x14ac:dyDescent="0.25">
      <c r="A11491" s="1" t="str">
        <f>HYPERLINK("http://www.rosaceae.org/Prunus/Prunus_persica/p.persica_gdr_reftransV1_0022439","p.persica_gdr_reftransV1_0022439")</f>
        <v>p.persica_gdr_reftransV1_0022439</v>
      </c>
      <c r="B11491" s="3">
        <v>2833</v>
      </c>
      <c r="C11491" s="1" t="str">
        <f>HYPERLINK("http://www.uniprot.org/uniprot/CTU2_ARATH","CTU2_ARATH")</f>
        <v>CTU2_ARATH</v>
      </c>
      <c r="D11491" t="s">
        <v>8100</v>
      </c>
      <c r="E11491" s="3" t="s">
        <v>3</v>
      </c>
      <c r="F11491" s="4">
        <v>9.2000000000000006E-109</v>
      </c>
      <c r="G11491" s="3">
        <v>899</v>
      </c>
      <c r="H11491" s="3">
        <v>55</v>
      </c>
      <c r="I11491" s="3">
        <v>357</v>
      </c>
      <c r="J11491" s="3">
        <v>1687</v>
      </c>
      <c r="K11491" s="3">
        <v>2754</v>
      </c>
      <c r="L11491" s="3">
        <v>1</v>
      </c>
      <c r="M11491" s="3">
        <v>316</v>
      </c>
    </row>
    <row r="11492" spans="1:13" x14ac:dyDescent="0.25">
      <c r="A11492" s="1" t="str">
        <f>HYPERLINK("http://www.rosaceae.org/Prunus/Prunus_persica/p.persica_gdr_reftransV1_0022489","p.persica_gdr_reftransV1_0022489")</f>
        <v>p.persica_gdr_reftransV1_0022489</v>
      </c>
      <c r="B11492" s="3">
        <v>1257</v>
      </c>
      <c r="C11492" s="1" t="str">
        <f>HYPERLINK("http://www.uniprot.org/uniprot/FQRL2_ARATH","FQRL2_ARATH")</f>
        <v>FQRL2_ARATH</v>
      </c>
      <c r="D11492" t="s">
        <v>8101</v>
      </c>
      <c r="E11492" s="3" t="s">
        <v>3</v>
      </c>
      <c r="F11492" s="4">
        <v>8.2099999999999995E-99</v>
      </c>
      <c r="G11492" s="3">
        <v>775</v>
      </c>
      <c r="H11492" s="3">
        <v>71</v>
      </c>
      <c r="I11492" s="3">
        <v>264</v>
      </c>
      <c r="J11492" s="3">
        <v>347</v>
      </c>
      <c r="K11492" s="3">
        <v>1114</v>
      </c>
      <c r="L11492" s="3">
        <v>1</v>
      </c>
      <c r="M11492" s="3">
        <v>263</v>
      </c>
    </row>
    <row r="11493" spans="1:13" x14ac:dyDescent="0.25">
      <c r="A11493" s="1" t="str">
        <f>HYPERLINK("http://www.rosaceae.org/Prunus/Prunus_persica/p.persica_gdr_reftransV1_0022589","p.persica_gdr_reftransV1_0022589")</f>
        <v>p.persica_gdr_reftransV1_0022589</v>
      </c>
      <c r="B11493" s="3">
        <v>1953</v>
      </c>
      <c r="C11493" s="1" t="str">
        <f>HYPERLINK("http://www.uniprot.org/uniprot/PTI1_SOLLC","PTI1_SOLLC")</f>
        <v>PTI1_SOLLC</v>
      </c>
      <c r="D11493" t="s">
        <v>5265</v>
      </c>
      <c r="E11493" s="3" t="s">
        <v>64</v>
      </c>
      <c r="F11493" s="4">
        <v>0</v>
      </c>
      <c r="G11493" s="3">
        <v>1572</v>
      </c>
      <c r="H11493" s="3">
        <v>87</v>
      </c>
      <c r="I11493" s="3">
        <v>348</v>
      </c>
      <c r="J11493" s="3">
        <v>594</v>
      </c>
      <c r="K11493" s="3">
        <v>1637</v>
      </c>
      <c r="L11493" s="3">
        <v>1</v>
      </c>
      <c r="M11493" s="3">
        <v>348</v>
      </c>
    </row>
    <row r="11494" spans="1:13" x14ac:dyDescent="0.25">
      <c r="A11494" s="1" t="str">
        <f>HYPERLINK("http://www.rosaceae.org/Prunus/Prunus_persica/p.persica_gdr_reftransV1_0022839","p.persica_gdr_reftransV1_0022839")</f>
        <v>p.persica_gdr_reftransV1_0022839</v>
      </c>
      <c r="B11494" s="3">
        <v>1218</v>
      </c>
      <c r="C11494" s="1" t="str">
        <f>HYPERLINK("http://www.uniprot.org/uniprot/ERF12_ARATH","ERF12_ARATH")</f>
        <v>ERF12_ARATH</v>
      </c>
      <c r="D11494" t="s">
        <v>8102</v>
      </c>
      <c r="E11494" s="3" t="s">
        <v>3</v>
      </c>
      <c r="F11494" s="4">
        <v>5.2400000000000004E-29</v>
      </c>
      <c r="G11494" s="3">
        <v>293</v>
      </c>
      <c r="H11494" s="3">
        <v>49</v>
      </c>
      <c r="I11494" s="3">
        <v>214</v>
      </c>
      <c r="J11494" s="3">
        <v>290</v>
      </c>
      <c r="K11494" s="3">
        <v>895</v>
      </c>
      <c r="L11494" s="3">
        <v>52</v>
      </c>
      <c r="M11494" s="3">
        <v>229</v>
      </c>
    </row>
    <row r="11495" spans="1:13" x14ac:dyDescent="0.25">
      <c r="A11495" s="1" t="str">
        <f>HYPERLINK("http://www.rosaceae.org/Prunus/Prunus_persica/p.persica_gdr_reftransV1_0023039","p.persica_gdr_reftransV1_0023039")</f>
        <v>p.persica_gdr_reftransV1_0023039</v>
      </c>
      <c r="B11495" s="3">
        <v>3672</v>
      </c>
      <c r="C11495" s="1" t="str">
        <f>HYPERLINK("http://www.uniprot.org/uniprot/FATB_GOSHI","FATB_GOSHI")</f>
        <v>FATB_GOSHI</v>
      </c>
      <c r="D11495" t="s">
        <v>2105</v>
      </c>
      <c r="E11495" s="3" t="s">
        <v>816</v>
      </c>
      <c r="F11495" s="4">
        <v>4.1299999999999999E-80</v>
      </c>
      <c r="G11495" s="3">
        <v>700</v>
      </c>
      <c r="H11495" s="3">
        <v>72</v>
      </c>
      <c r="I11495" s="3">
        <v>210</v>
      </c>
      <c r="J11495" s="3">
        <v>2609</v>
      </c>
      <c r="K11495" s="3">
        <v>3238</v>
      </c>
      <c r="L11495" s="3">
        <v>1</v>
      </c>
      <c r="M11495" s="3">
        <v>206</v>
      </c>
    </row>
    <row r="11496" spans="1:13" x14ac:dyDescent="0.25">
      <c r="A11496" s="1" t="str">
        <f>HYPERLINK("http://www.rosaceae.org/Prunus/Prunus_persica/p.persica_gdr_reftransV1_0023239","p.persica_gdr_reftransV1_0023239")</f>
        <v>p.persica_gdr_reftransV1_0023239</v>
      </c>
      <c r="B11496" s="3">
        <v>2613</v>
      </c>
      <c r="C11496" s="1" t="str">
        <f>HYPERLINK("http://www.uniprot.org/uniprot/AB22G_ARATH","AB22G_ARATH")</f>
        <v>AB22G_ARATH</v>
      </c>
      <c r="D11496" t="s">
        <v>6269</v>
      </c>
      <c r="E11496" s="3" t="s">
        <v>3</v>
      </c>
      <c r="F11496" s="4">
        <v>0</v>
      </c>
      <c r="G11496" s="3">
        <v>2859</v>
      </c>
      <c r="H11496" s="3">
        <v>77</v>
      </c>
      <c r="I11496" s="3">
        <v>755</v>
      </c>
      <c r="J11496" s="3">
        <v>371</v>
      </c>
      <c r="K11496" s="3">
        <v>2605</v>
      </c>
      <c r="L11496" s="3">
        <v>3</v>
      </c>
      <c r="M11496" s="3">
        <v>749</v>
      </c>
    </row>
    <row r="11497" spans="1:13" x14ac:dyDescent="0.25">
      <c r="A11497" s="1" t="str">
        <f>HYPERLINK("http://www.rosaceae.org/Prunus/Prunus_persica/p.persica_gdr_reftransV1_0023289","p.persica_gdr_reftransV1_0023289")</f>
        <v>p.persica_gdr_reftransV1_0023289</v>
      </c>
      <c r="B11497" s="3">
        <v>2003</v>
      </c>
      <c r="C11497" s="1" t="str">
        <f>HYPERLINK("http://www.uniprot.org/uniprot/MRD1_DICDI","MRD1_DICDI")</f>
        <v>MRD1_DICDI</v>
      </c>
      <c r="D11497" t="s">
        <v>8103</v>
      </c>
      <c r="E11497" s="3" t="s">
        <v>9</v>
      </c>
      <c r="F11497" s="4">
        <v>8.5800000000000002E-113</v>
      </c>
      <c r="G11497" s="3">
        <v>941</v>
      </c>
      <c r="H11497" s="3">
        <v>38</v>
      </c>
      <c r="I11497" s="3">
        <v>537</v>
      </c>
      <c r="J11497" s="3">
        <v>304</v>
      </c>
      <c r="K11497" s="3">
        <v>1827</v>
      </c>
      <c r="L11497" s="3">
        <v>360</v>
      </c>
      <c r="M11497" s="3">
        <v>887</v>
      </c>
    </row>
    <row r="11498" spans="1:13" x14ac:dyDescent="0.25">
      <c r="A11498" s="1" t="str">
        <f>HYPERLINK("http://www.rosaceae.org/Prunus/Prunus_persica/p.persica_gdr_reftransV1_0023389","p.persica_gdr_reftransV1_0023389")</f>
        <v>p.persica_gdr_reftransV1_0023389</v>
      </c>
      <c r="B11498" s="3">
        <v>2184</v>
      </c>
      <c r="C11498" s="1" t="str">
        <f>HYPERLINK("http://www.uniprot.org/uniprot/LYK4_ARATH","LYK4_ARATH")</f>
        <v>LYK4_ARATH</v>
      </c>
      <c r="D11498" t="s">
        <v>3180</v>
      </c>
      <c r="E11498" s="3" t="s">
        <v>3</v>
      </c>
      <c r="F11498" s="4">
        <v>1.3200000000000001E-27</v>
      </c>
      <c r="G11498" s="3">
        <v>306</v>
      </c>
      <c r="H11498" s="3">
        <v>29</v>
      </c>
      <c r="I11498" s="3">
        <v>379</v>
      </c>
      <c r="J11498" s="3">
        <v>173</v>
      </c>
      <c r="K11498" s="3">
        <v>1237</v>
      </c>
      <c r="L11498" s="3">
        <v>45</v>
      </c>
      <c r="M11498" s="3">
        <v>408</v>
      </c>
    </row>
    <row r="11499" spans="1:13" x14ac:dyDescent="0.25">
      <c r="A11499" s="1" t="str">
        <f>HYPERLINK("http://www.rosaceae.org/Prunus/Prunus_persica/p.persica_gdr_reftransV1_0023439","p.persica_gdr_reftransV1_0023439")</f>
        <v>p.persica_gdr_reftransV1_0023439</v>
      </c>
      <c r="B11499" s="3">
        <v>3124</v>
      </c>
      <c r="C11499" s="1" t="str">
        <f>HYPERLINK("http://www.uniprot.org/uniprot/RP8L3_ARATH","RP8L3_ARATH")</f>
        <v>RP8L3_ARATH</v>
      </c>
      <c r="D11499" t="s">
        <v>2190</v>
      </c>
      <c r="E11499" s="3" t="s">
        <v>3</v>
      </c>
      <c r="F11499" s="4">
        <v>9.67E-35</v>
      </c>
      <c r="G11499" s="3">
        <v>371</v>
      </c>
      <c r="H11499" s="3">
        <v>26</v>
      </c>
      <c r="I11499" s="3">
        <v>915</v>
      </c>
      <c r="J11499" s="3">
        <v>330</v>
      </c>
      <c r="K11499" s="3">
        <v>2786</v>
      </c>
      <c r="L11499" s="3">
        <v>9</v>
      </c>
      <c r="M11499" s="3">
        <v>865</v>
      </c>
    </row>
    <row r="11500" spans="1:13" x14ac:dyDescent="0.25">
      <c r="A11500" s="1" t="str">
        <f>HYPERLINK("http://www.rosaceae.org/Prunus/Prunus_persica/p.persica_gdr_reftransV1_0023739","p.persica_gdr_reftransV1_0023739")</f>
        <v>p.persica_gdr_reftransV1_0023739</v>
      </c>
      <c r="B11500" s="3">
        <v>2296</v>
      </c>
      <c r="C11500" s="1" t="str">
        <f>HYPERLINK("http://www.uniprot.org/uniprot/COBRA_ARATH","COBRA_ARATH")</f>
        <v>COBRA_ARATH</v>
      </c>
      <c r="D11500" t="s">
        <v>4500</v>
      </c>
      <c r="E11500" s="3" t="s">
        <v>3</v>
      </c>
      <c r="F11500" s="4">
        <v>2E-155</v>
      </c>
      <c r="G11500" s="3">
        <v>1079</v>
      </c>
      <c r="H11500" s="3">
        <v>72</v>
      </c>
      <c r="I11500" s="3">
        <v>267</v>
      </c>
      <c r="J11500" s="3">
        <v>164</v>
      </c>
      <c r="K11500" s="3">
        <v>964</v>
      </c>
      <c r="L11500" s="3">
        <v>1</v>
      </c>
      <c r="M11500" s="3">
        <v>267</v>
      </c>
    </row>
    <row r="11501" spans="1:13" x14ac:dyDescent="0.25">
      <c r="A11501" s="1" t="str">
        <f>HYPERLINK("http://www.rosaceae.org/Prunus/Prunus_persica/p.persica_gdr_reftransV1_0023839","p.persica_gdr_reftransV1_0023839")</f>
        <v>p.persica_gdr_reftransV1_0023839</v>
      </c>
      <c r="B11501" s="3">
        <v>1951</v>
      </c>
      <c r="C11501" s="1" t="str">
        <f>HYPERLINK("http://www.uniprot.org/uniprot/VESTR_MEDSA","VESTR_MEDSA")</f>
        <v>VESTR_MEDSA</v>
      </c>
      <c r="D11501" t="s">
        <v>3934</v>
      </c>
      <c r="E11501" s="3" t="s">
        <v>515</v>
      </c>
      <c r="F11501" s="4">
        <v>5.0300000000000004E-93</v>
      </c>
      <c r="G11501" s="3">
        <v>760</v>
      </c>
      <c r="H11501" s="3">
        <v>64</v>
      </c>
      <c r="I11501" s="3">
        <v>217</v>
      </c>
      <c r="J11501" s="3">
        <v>1172</v>
      </c>
      <c r="K11501" s="3">
        <v>1822</v>
      </c>
      <c r="L11501" s="3">
        <v>1</v>
      </c>
      <c r="M11501" s="3">
        <v>216</v>
      </c>
    </row>
    <row r="11502" spans="1:13" x14ac:dyDescent="0.25">
      <c r="A11502" s="1" t="str">
        <f>HYPERLINK("http://www.rosaceae.org/Prunus/Prunus_persica/p.persica_gdr_reftransV1_0023889","p.persica_gdr_reftransV1_0023889")</f>
        <v>p.persica_gdr_reftransV1_0023889</v>
      </c>
      <c r="B11502" s="3">
        <v>2027</v>
      </c>
      <c r="C11502" s="1" t="str">
        <f>HYPERLINK("http://www.uniprot.org/uniprot/SAP4_ARATH","SAP4_ARATH")</f>
        <v>SAP4_ARATH</v>
      </c>
      <c r="D11502" t="s">
        <v>8104</v>
      </c>
      <c r="E11502" s="3" t="s">
        <v>3</v>
      </c>
      <c r="F11502" s="4">
        <v>2.2499999999999999E-55</v>
      </c>
      <c r="G11502" s="3">
        <v>486</v>
      </c>
      <c r="H11502" s="3">
        <v>57</v>
      </c>
      <c r="I11502" s="3">
        <v>183</v>
      </c>
      <c r="J11502" s="3">
        <v>843</v>
      </c>
      <c r="K11502" s="3">
        <v>1391</v>
      </c>
      <c r="L11502" s="3">
        <v>1</v>
      </c>
      <c r="M11502" s="3">
        <v>161</v>
      </c>
    </row>
    <row r="11503" spans="1:13" x14ac:dyDescent="0.25">
      <c r="A11503" s="1" t="str">
        <f>HYPERLINK("http://www.rosaceae.org/Prunus/Prunus_persica/p.persica_gdr_reftransV1_0023939","p.persica_gdr_reftransV1_0023939")</f>
        <v>p.persica_gdr_reftransV1_0023939</v>
      </c>
      <c r="B11503" s="3">
        <v>891</v>
      </c>
      <c r="C11503" s="1" t="str">
        <f>HYPERLINK("http://www.uniprot.org/uniprot/RL172_ARATH","RL172_ARATH")</f>
        <v>RL172_ARATH</v>
      </c>
      <c r="D11503" t="s">
        <v>3319</v>
      </c>
      <c r="E11503" s="3" t="s">
        <v>3</v>
      </c>
      <c r="F11503" s="4">
        <v>3.6999999999999998E-112</v>
      </c>
      <c r="G11503" s="3">
        <v>842</v>
      </c>
      <c r="H11503" s="3">
        <v>89</v>
      </c>
      <c r="I11503" s="3">
        <v>169</v>
      </c>
      <c r="J11503" s="3">
        <v>91</v>
      </c>
      <c r="K11503" s="3">
        <v>597</v>
      </c>
      <c r="L11503" s="3">
        <v>1</v>
      </c>
      <c r="M11503" s="3">
        <v>169</v>
      </c>
    </row>
    <row r="11504" spans="1:13" x14ac:dyDescent="0.25">
      <c r="A11504" s="1" t="str">
        <f>HYPERLINK("http://www.rosaceae.org/Prunus/Prunus_persica/p.persica_gdr_reftransV1_0024089","p.persica_gdr_reftransV1_0024089")</f>
        <v>p.persica_gdr_reftransV1_0024089</v>
      </c>
      <c r="B11504" s="3">
        <v>4785</v>
      </c>
      <c r="C11504" s="1" t="str">
        <f>HYPERLINK("http://www.uniprot.org/uniprot/RGLG2_ARATH","RGLG2_ARATH")</f>
        <v>RGLG2_ARATH</v>
      </c>
      <c r="D11504" t="s">
        <v>3345</v>
      </c>
      <c r="E11504" s="3" t="s">
        <v>3</v>
      </c>
      <c r="F11504" s="4">
        <v>5.2799999999999998E-85</v>
      </c>
      <c r="G11504" s="3">
        <v>748</v>
      </c>
      <c r="H11504" s="3">
        <v>81</v>
      </c>
      <c r="I11504" s="3">
        <v>175</v>
      </c>
      <c r="J11504" s="3">
        <v>2394</v>
      </c>
      <c r="K11504" s="3">
        <v>2915</v>
      </c>
      <c r="L11504" s="3">
        <v>84</v>
      </c>
      <c r="M11504" s="3">
        <v>256</v>
      </c>
    </row>
    <row r="11505" spans="1:13" x14ac:dyDescent="0.25">
      <c r="A11505" s="1" t="str">
        <f>HYPERLINK("http://www.rosaceae.org/Prunus/Prunus_persica/p.persica_gdr_reftransV1_0024189","p.persica_gdr_reftransV1_0024189")</f>
        <v>p.persica_gdr_reftransV1_0024189</v>
      </c>
      <c r="B11505" s="3">
        <v>1701</v>
      </c>
      <c r="C11505" s="1" t="str">
        <f>HYPERLINK("http://www.uniprot.org/uniprot/PBPA_AQUAE","PBPA_AQUAE")</f>
        <v>PBPA_AQUAE</v>
      </c>
      <c r="D11505" t="s">
        <v>8105</v>
      </c>
      <c r="E11505" s="3" t="s">
        <v>863</v>
      </c>
      <c r="F11505" s="4">
        <v>2.9499999999999999E-30</v>
      </c>
      <c r="G11505" s="3">
        <v>325</v>
      </c>
      <c r="H11505" s="3">
        <v>46</v>
      </c>
      <c r="I11505" s="3">
        <v>166</v>
      </c>
      <c r="J11505" s="3">
        <v>847</v>
      </c>
      <c r="K11505" s="3">
        <v>1332</v>
      </c>
      <c r="L11505" s="3">
        <v>49</v>
      </c>
      <c r="M11505" s="3">
        <v>214</v>
      </c>
    </row>
    <row r="11506" spans="1:13" x14ac:dyDescent="0.25">
      <c r="A11506" s="1" t="str">
        <f>HYPERLINK("http://www.rosaceae.org/Prunus/Prunus_persica/p.persica_gdr_reftransV1_0024339","p.persica_gdr_reftransV1_0024339")</f>
        <v>p.persica_gdr_reftransV1_0024339</v>
      </c>
      <c r="B11506" s="3">
        <v>2191</v>
      </c>
      <c r="C11506" s="1" t="str">
        <f>HYPERLINK("http://www.uniprot.org/uniprot/TYDC1_ARATH","TYDC1_ARATH")</f>
        <v>TYDC1_ARATH</v>
      </c>
      <c r="D11506" t="s">
        <v>8106</v>
      </c>
      <c r="E11506" s="3" t="s">
        <v>3</v>
      </c>
      <c r="F11506" s="4">
        <v>0</v>
      </c>
      <c r="G11506" s="3">
        <v>1587</v>
      </c>
      <c r="H11506" s="3">
        <v>81</v>
      </c>
      <c r="I11506" s="3">
        <v>364</v>
      </c>
      <c r="J11506" s="3">
        <v>259</v>
      </c>
      <c r="K11506" s="3">
        <v>1338</v>
      </c>
      <c r="L11506" s="3">
        <v>1</v>
      </c>
      <c r="M11506" s="3">
        <v>364</v>
      </c>
    </row>
    <row r="11507" spans="1:13" x14ac:dyDescent="0.25">
      <c r="A11507" s="1" t="str">
        <f>HYPERLINK("http://www.rosaceae.org/Prunus/Prunus_persica/p.persica_gdr_reftransV1_0024389","p.persica_gdr_reftransV1_0024389")</f>
        <v>p.persica_gdr_reftransV1_0024389</v>
      </c>
      <c r="B11507" s="3">
        <v>1869</v>
      </c>
      <c r="C11507" s="1" t="str">
        <f>HYPERLINK("http://www.uniprot.org/uniprot/AHL1_ARATH","AHL1_ARATH")</f>
        <v>AHL1_ARATH</v>
      </c>
      <c r="D11507" t="s">
        <v>2753</v>
      </c>
      <c r="E11507" s="3" t="s">
        <v>3</v>
      </c>
      <c r="F11507" s="4">
        <v>7.9699999999999995E-77</v>
      </c>
      <c r="G11507" s="3">
        <v>651</v>
      </c>
      <c r="H11507" s="3">
        <v>75</v>
      </c>
      <c r="I11507" s="3">
        <v>229</v>
      </c>
      <c r="J11507" s="3">
        <v>402</v>
      </c>
      <c r="K11507" s="3">
        <v>1064</v>
      </c>
      <c r="L11507" s="3">
        <v>128</v>
      </c>
      <c r="M11507" s="3">
        <v>355</v>
      </c>
    </row>
    <row r="11508" spans="1:13" x14ac:dyDescent="0.25">
      <c r="A11508" s="1" t="str">
        <f>HYPERLINK("http://www.rosaceae.org/Prunus/Prunus_persica/p.persica_gdr_reftransV1_0024489","p.persica_gdr_reftransV1_0024489")</f>
        <v>p.persica_gdr_reftransV1_0024489</v>
      </c>
      <c r="B11508" s="3">
        <v>1896</v>
      </c>
      <c r="C11508" s="1" t="str">
        <f>HYPERLINK("http://www.uniprot.org/uniprot/PCid2_HUMAN","PCid2_HUMAN")</f>
        <v>PCid2_HUMAN</v>
      </c>
      <c r="D11508" t="s">
        <v>7255</v>
      </c>
      <c r="E11508" s="3" t="s">
        <v>28</v>
      </c>
      <c r="F11508" s="4">
        <v>1.71E-39</v>
      </c>
      <c r="G11508" s="3">
        <v>387</v>
      </c>
      <c r="H11508" s="3">
        <v>33</v>
      </c>
      <c r="I11508" s="3">
        <v>287</v>
      </c>
      <c r="J11508" s="3">
        <v>990</v>
      </c>
      <c r="K11508" s="3">
        <v>1817</v>
      </c>
      <c r="L11508" s="3">
        <v>2</v>
      </c>
      <c r="M11508" s="3">
        <v>278</v>
      </c>
    </row>
    <row r="11509" spans="1:13" x14ac:dyDescent="0.25">
      <c r="A11509" s="1" t="str">
        <f>HYPERLINK("http://www.rosaceae.org/Prunus/Prunus_persica/p.persica_gdr_reftransV1_0024939","p.persica_gdr_reftransV1_0024939")</f>
        <v>p.persica_gdr_reftransV1_0024939</v>
      </c>
      <c r="B11509" s="3">
        <v>1914</v>
      </c>
      <c r="C11509" s="1" t="str">
        <f>HYPERLINK("http://www.uniprot.org/uniprot/BAT1_ARATH","BAT1_ARATH")</f>
        <v>BAT1_ARATH</v>
      </c>
      <c r="D11509" t="s">
        <v>8107</v>
      </c>
      <c r="E11509" s="3" t="s">
        <v>3</v>
      </c>
      <c r="F11509" s="4">
        <v>1.05E-115</v>
      </c>
      <c r="G11509" s="3">
        <v>930</v>
      </c>
      <c r="H11509" s="3">
        <v>39</v>
      </c>
      <c r="I11509" s="3">
        <v>561</v>
      </c>
      <c r="J11509" s="3">
        <v>117</v>
      </c>
      <c r="K11509" s="3">
        <v>1796</v>
      </c>
      <c r="L11509" s="3">
        <v>13</v>
      </c>
      <c r="M11509" s="3">
        <v>514</v>
      </c>
    </row>
    <row r="11510" spans="1:13" x14ac:dyDescent="0.25">
      <c r="A11510" s="1" t="str">
        <f>HYPERLINK("http://www.rosaceae.org/Prunus/Prunus_persica/p.persica_gdr_reftransV1_0025089","p.persica_gdr_reftransV1_0025089")</f>
        <v>p.persica_gdr_reftransV1_0025089</v>
      </c>
      <c r="B11510" s="3">
        <v>1333</v>
      </c>
      <c r="C11510" s="1" t="str">
        <f>HYPERLINK("http://www.uniprot.org/uniprot/RQSIM_ARATH","RQSIM_ARATH")</f>
        <v>RQSIM_ARATH</v>
      </c>
      <c r="D11510" t="s">
        <v>5759</v>
      </c>
      <c r="E11510" s="3" t="s">
        <v>3</v>
      </c>
      <c r="F11510" s="4">
        <v>7.9299999999999994E-93</v>
      </c>
      <c r="G11510" s="3">
        <v>781</v>
      </c>
      <c r="H11510" s="3">
        <v>68</v>
      </c>
      <c r="I11510" s="3">
        <v>221</v>
      </c>
      <c r="J11510" s="3">
        <v>2</v>
      </c>
      <c r="K11510" s="3">
        <v>655</v>
      </c>
      <c r="L11510" s="3">
        <v>511</v>
      </c>
      <c r="M11510" s="3">
        <v>729</v>
      </c>
    </row>
    <row r="11511" spans="1:13" x14ac:dyDescent="0.25">
      <c r="A11511" s="1" t="str">
        <f>HYPERLINK("http://www.rosaceae.org/Prunus/Prunus_persica/p.persica_gdr_reftransV1_0025239","p.persica_gdr_reftransV1_0025239")</f>
        <v>p.persica_gdr_reftransV1_0025239</v>
      </c>
      <c r="B11511" s="3">
        <v>1873</v>
      </c>
      <c r="C11511" s="1" t="str">
        <f>HYPERLINK("http://www.uniprot.org/uniprot/AB12I_ARATH","AB12I_ARATH")</f>
        <v>AB12I_ARATH</v>
      </c>
      <c r="D11511" t="s">
        <v>8108</v>
      </c>
      <c r="E11511" s="3" t="s">
        <v>3</v>
      </c>
      <c r="F11511" s="4">
        <v>9.0100000000000008E-149</v>
      </c>
      <c r="G11511" s="3">
        <v>1138</v>
      </c>
      <c r="H11511" s="3">
        <v>68</v>
      </c>
      <c r="I11511" s="3">
        <v>330</v>
      </c>
      <c r="J11511" s="3">
        <v>291</v>
      </c>
      <c r="K11511" s="3">
        <v>1280</v>
      </c>
      <c r="L11511" s="3">
        <v>62</v>
      </c>
      <c r="M11511" s="3">
        <v>391</v>
      </c>
    </row>
    <row r="11512" spans="1:13" x14ac:dyDescent="0.25">
      <c r="A11512" s="1" t="str">
        <f>HYPERLINK("http://www.rosaceae.org/Prunus/Prunus_persica/p.persica_gdr_reftransV1_0025489","p.persica_gdr_reftransV1_0025489")</f>
        <v>p.persica_gdr_reftransV1_0025489</v>
      </c>
      <c r="B11512" s="3">
        <v>1492</v>
      </c>
      <c r="C11512" s="1" t="str">
        <f>HYPERLINK("http://www.uniprot.org/uniprot/UVR8_ARATH","UVR8_ARATH")</f>
        <v>UVR8_ARATH</v>
      </c>
      <c r="D11512" t="s">
        <v>2154</v>
      </c>
      <c r="E11512" s="3" t="s">
        <v>3</v>
      </c>
      <c r="F11512" s="4">
        <v>2.2800000000000001E-45</v>
      </c>
      <c r="G11512" s="3">
        <v>429</v>
      </c>
      <c r="H11512" s="3">
        <v>31</v>
      </c>
      <c r="I11512" s="3">
        <v>349</v>
      </c>
      <c r="J11512" s="3">
        <v>221</v>
      </c>
      <c r="K11512" s="3">
        <v>1237</v>
      </c>
      <c r="L11512" s="3">
        <v>17</v>
      </c>
      <c r="M11512" s="3">
        <v>343</v>
      </c>
    </row>
    <row r="11513" spans="1:13" x14ac:dyDescent="0.25">
      <c r="A11513" s="1" t="str">
        <f>HYPERLINK("http://www.rosaceae.org/Prunus/Prunus_persica/p.persica_gdr_reftransV1_0025539","p.persica_gdr_reftransV1_0025539")</f>
        <v>p.persica_gdr_reftransV1_0025539</v>
      </c>
      <c r="B11513" s="3">
        <v>2596</v>
      </c>
      <c r="C11513" s="1" t="str">
        <f>HYPERLINK("http://www.uniprot.org/uniprot/CPNA2_ARATH","CPNA2_ARATH")</f>
        <v>CPNA2_ARATH</v>
      </c>
      <c r="D11513" t="s">
        <v>8109</v>
      </c>
      <c r="E11513" s="3" t="s">
        <v>3</v>
      </c>
      <c r="F11513" s="4">
        <v>0</v>
      </c>
      <c r="G11513" s="3">
        <v>1707</v>
      </c>
      <c r="H11513" s="3">
        <v>77</v>
      </c>
      <c r="I11513" s="3">
        <v>458</v>
      </c>
      <c r="J11513" s="3">
        <v>940</v>
      </c>
      <c r="K11513" s="3">
        <v>2310</v>
      </c>
      <c r="L11513" s="3">
        <v>21</v>
      </c>
      <c r="M11513" s="3">
        <v>478</v>
      </c>
    </row>
    <row r="11514" spans="1:13" x14ac:dyDescent="0.25">
      <c r="A11514" s="1" t="str">
        <f>HYPERLINK("http://www.rosaceae.org/Prunus/Prunus_persica/p.persica_gdr_reftransV1_0025589","p.persica_gdr_reftransV1_0025589")</f>
        <v>p.persica_gdr_reftransV1_0025589</v>
      </c>
      <c r="B11514" s="3">
        <v>3366</v>
      </c>
      <c r="C11514" s="1" t="str">
        <f>HYPERLINK("http://www.uniprot.org/uniprot/ORP3C_ARATH","ORP3C_ARATH")</f>
        <v>ORP3C_ARATH</v>
      </c>
      <c r="D11514" t="s">
        <v>5043</v>
      </c>
      <c r="E11514" s="3" t="s">
        <v>3</v>
      </c>
      <c r="F11514" s="4">
        <v>1.3400000000000001E-144</v>
      </c>
      <c r="G11514" s="3">
        <v>1155</v>
      </c>
      <c r="H11514" s="3">
        <v>89</v>
      </c>
      <c r="I11514" s="3">
        <v>232</v>
      </c>
      <c r="J11514" s="3">
        <v>285</v>
      </c>
      <c r="K11514" s="3">
        <v>980</v>
      </c>
      <c r="L11514" s="3">
        <v>36</v>
      </c>
      <c r="M11514" s="3">
        <v>267</v>
      </c>
    </row>
    <row r="11515" spans="1:13" x14ac:dyDescent="0.25">
      <c r="A11515" s="1" t="str">
        <f>HYPERLINK("http://www.rosaceae.org/Prunus/Prunus_persica/p.persica_gdr_reftransV1_0025689","p.persica_gdr_reftransV1_0025689")</f>
        <v>p.persica_gdr_reftransV1_0025689</v>
      </c>
      <c r="B11515" s="3">
        <v>1947</v>
      </c>
      <c r="C11515" s="1" t="str">
        <f>HYPERLINK("http://www.uniprot.org/uniprot/RBCMT_TOBAC","RBCMT_TOBAC")</f>
        <v>RBCMT_TOBAC</v>
      </c>
      <c r="D11515" t="s">
        <v>2408</v>
      </c>
      <c r="E11515" s="3" t="s">
        <v>200</v>
      </c>
      <c r="F11515" s="4">
        <v>5.7299999999999996E-19</v>
      </c>
      <c r="G11515" s="3">
        <v>233</v>
      </c>
      <c r="H11515" s="3">
        <v>29</v>
      </c>
      <c r="I11515" s="3">
        <v>305</v>
      </c>
      <c r="J11515" s="3">
        <v>115</v>
      </c>
      <c r="K11515" s="3">
        <v>927</v>
      </c>
      <c r="L11515" s="3">
        <v>45</v>
      </c>
      <c r="M11515" s="3">
        <v>334</v>
      </c>
    </row>
    <row r="11516" spans="1:13" x14ac:dyDescent="0.25">
      <c r="A11516" s="1" t="str">
        <f>HYPERLINK("http://www.rosaceae.org/Prunus/Prunus_persica/p.persica_gdr_reftransV1_0025739","p.persica_gdr_reftransV1_0025739")</f>
        <v>p.persica_gdr_reftransV1_0025739</v>
      </c>
      <c r="B11516" s="3">
        <v>1832</v>
      </c>
      <c r="C11516" s="1" t="str">
        <f>HYPERLINK("http://www.uniprot.org/uniprot/CLT2_ARATH","CLT2_ARATH")</f>
        <v>CLT2_ARATH</v>
      </c>
      <c r="D11516" t="s">
        <v>4103</v>
      </c>
      <c r="E11516" s="3" t="s">
        <v>3</v>
      </c>
      <c r="F11516" s="4">
        <v>2.9900000000000002E-102</v>
      </c>
      <c r="G11516" s="3">
        <v>829</v>
      </c>
      <c r="H11516" s="3">
        <v>60</v>
      </c>
      <c r="I11516" s="3">
        <v>394</v>
      </c>
      <c r="J11516" s="3">
        <v>143</v>
      </c>
      <c r="K11516" s="3">
        <v>1321</v>
      </c>
      <c r="L11516" s="3">
        <v>84</v>
      </c>
      <c r="M11516" s="3">
        <v>431</v>
      </c>
    </row>
    <row r="11517" spans="1:13" x14ac:dyDescent="0.25">
      <c r="A11517" s="1" t="str">
        <f>HYPERLINK("http://www.rosaceae.org/Prunus/Prunus_persica/p.persica_gdr_reftransV1_0025839","p.persica_gdr_reftransV1_0025839")</f>
        <v>p.persica_gdr_reftransV1_0025839</v>
      </c>
      <c r="B11517" s="3">
        <v>1517</v>
      </c>
      <c r="C11517" s="1" t="str">
        <f>HYPERLINK("http://www.uniprot.org/uniprot/Y3126_ARATH","Y3126_ARATH")</f>
        <v>Y3126_ARATH</v>
      </c>
      <c r="D11517" t="s">
        <v>2660</v>
      </c>
      <c r="E11517" s="3" t="s">
        <v>3</v>
      </c>
      <c r="F11517" s="4">
        <v>2.3799999999999999E-27</v>
      </c>
      <c r="G11517" s="3">
        <v>282</v>
      </c>
      <c r="H11517" s="3">
        <v>67</v>
      </c>
      <c r="I11517" s="3">
        <v>121</v>
      </c>
      <c r="J11517" s="3">
        <v>570</v>
      </c>
      <c r="K11517" s="3">
        <v>932</v>
      </c>
      <c r="L11517" s="3">
        <v>92</v>
      </c>
      <c r="M11517" s="3">
        <v>212</v>
      </c>
    </row>
    <row r="11518" spans="1:13" x14ac:dyDescent="0.25">
      <c r="A11518" s="1" t="str">
        <f>HYPERLINK("http://www.rosaceae.org/Prunus/Prunus_persica/p.persica_gdr_reftransV1_0025889","p.persica_gdr_reftransV1_0025889")</f>
        <v>p.persica_gdr_reftransV1_0025889</v>
      </c>
      <c r="B11518" s="3">
        <v>2377</v>
      </c>
      <c r="C11518" s="1" t="str">
        <f>HYPERLINK("http://www.uniprot.org/uniprot/CSLC5_ARATH","CSLC5_ARATH")</f>
        <v>CSLC5_ARATH</v>
      </c>
      <c r="D11518" t="s">
        <v>7262</v>
      </c>
      <c r="E11518" s="3" t="s">
        <v>3</v>
      </c>
      <c r="F11518" s="4">
        <v>0</v>
      </c>
      <c r="G11518" s="3">
        <v>1298</v>
      </c>
      <c r="H11518" s="3">
        <v>85</v>
      </c>
      <c r="I11518" s="3">
        <v>350</v>
      </c>
      <c r="J11518" s="3">
        <v>904</v>
      </c>
      <c r="K11518" s="3">
        <v>1953</v>
      </c>
      <c r="L11518" s="3">
        <v>344</v>
      </c>
      <c r="M11518" s="3">
        <v>692</v>
      </c>
    </row>
    <row r="11519" spans="1:13" x14ac:dyDescent="0.25">
      <c r="A11519" s="1" t="str">
        <f>HYPERLINK("http://www.rosaceae.org/Prunus/Prunus_persica/p.persica_gdr_reftransV1_0026039","p.persica_gdr_reftransV1_0026039")</f>
        <v>p.persica_gdr_reftransV1_0026039</v>
      </c>
      <c r="B11519" s="3">
        <v>2758</v>
      </c>
      <c r="C11519" s="1" t="str">
        <f>HYPERLINK("http://www.uniprot.org/uniprot/PPA1_ARATH","PPA1_ARATH")</f>
        <v>PPA1_ARATH</v>
      </c>
      <c r="D11519" t="s">
        <v>329</v>
      </c>
      <c r="E11519" s="3" t="s">
        <v>3</v>
      </c>
      <c r="F11519" s="4">
        <v>0</v>
      </c>
      <c r="G11519" s="3">
        <v>1587</v>
      </c>
      <c r="H11519" s="3">
        <v>66</v>
      </c>
      <c r="I11519" s="3">
        <v>452</v>
      </c>
      <c r="J11519" s="3">
        <v>230</v>
      </c>
      <c r="K11519" s="3">
        <v>1585</v>
      </c>
      <c r="L11519" s="3">
        <v>221</v>
      </c>
      <c r="M11519" s="3">
        <v>613</v>
      </c>
    </row>
    <row r="11520" spans="1:13" x14ac:dyDescent="0.25">
      <c r="A11520" s="1" t="str">
        <f>HYPERLINK("http://www.rosaceae.org/Prunus/Prunus_persica/p.persica_gdr_reftransV1_0026139","p.persica_gdr_reftransV1_0026139")</f>
        <v>p.persica_gdr_reftransV1_0026139</v>
      </c>
      <c r="B11520" s="3">
        <v>2357</v>
      </c>
      <c r="C11520" s="1" t="str">
        <f>HYPERLINK("http://www.uniprot.org/uniprot/MCE1_MOUSE","MCE1_MOUSE")</f>
        <v>MCE1_MOUSE</v>
      </c>
      <c r="D11520" t="s">
        <v>8110</v>
      </c>
      <c r="E11520" s="3" t="s">
        <v>157</v>
      </c>
      <c r="F11520" s="4">
        <v>1.59E-55</v>
      </c>
      <c r="G11520" s="3">
        <v>523</v>
      </c>
      <c r="H11520" s="3">
        <v>33</v>
      </c>
      <c r="I11520" s="3">
        <v>421</v>
      </c>
      <c r="J11520" s="3">
        <v>936</v>
      </c>
      <c r="K11520" s="3">
        <v>2120</v>
      </c>
      <c r="L11520" s="3">
        <v>6</v>
      </c>
      <c r="M11520" s="3">
        <v>408</v>
      </c>
    </row>
    <row r="11521" spans="1:13" x14ac:dyDescent="0.25">
      <c r="A11521" s="1" t="str">
        <f>HYPERLINK("http://www.rosaceae.org/Prunus/Prunus_persica/p.persica_gdr_reftransV1_0026289","p.persica_gdr_reftransV1_0026289")</f>
        <v>p.persica_gdr_reftransV1_0026289</v>
      </c>
      <c r="B11521" s="3">
        <v>1539</v>
      </c>
      <c r="C11521" s="1" t="str">
        <f>HYPERLINK("http://www.uniprot.org/uniprot/ATG8I_ARATH","ATG8I_ARATH")</f>
        <v>ATG8I_ARATH</v>
      </c>
      <c r="D11521" t="s">
        <v>3280</v>
      </c>
      <c r="E11521" s="3" t="s">
        <v>3</v>
      </c>
      <c r="F11521" s="4">
        <v>6.2700000000000005E-33</v>
      </c>
      <c r="G11521" s="3">
        <v>315</v>
      </c>
      <c r="H11521" s="3">
        <v>81</v>
      </c>
      <c r="I11521" s="3">
        <v>69</v>
      </c>
      <c r="J11521" s="3">
        <v>344</v>
      </c>
      <c r="K11521" s="3">
        <v>550</v>
      </c>
      <c r="L11521" s="3">
        <v>47</v>
      </c>
      <c r="M11521" s="3">
        <v>115</v>
      </c>
    </row>
    <row r="11522" spans="1:13" x14ac:dyDescent="0.25">
      <c r="A11522" s="1" t="str">
        <f>HYPERLINK("http://www.rosaceae.org/Prunus/Prunus_persica/p.persica_gdr_reftransV1_0026639","p.persica_gdr_reftransV1_0026639")</f>
        <v>p.persica_gdr_reftransV1_0026639</v>
      </c>
      <c r="B11522" s="3">
        <v>1571</v>
      </c>
      <c r="C11522" s="1" t="str">
        <f>HYPERLINK("http://www.uniprot.org/uniprot/FPPS1_LUPAL","FPPS1_LUPAL")</f>
        <v>FPPS1_LUPAL</v>
      </c>
      <c r="D11522" t="s">
        <v>2661</v>
      </c>
      <c r="E11522" s="3" t="s">
        <v>2143</v>
      </c>
      <c r="F11522" s="4">
        <v>0</v>
      </c>
      <c r="G11522" s="3">
        <v>1543</v>
      </c>
      <c r="H11522" s="3">
        <v>82</v>
      </c>
      <c r="I11522" s="3">
        <v>342</v>
      </c>
      <c r="J11522" s="3">
        <v>339</v>
      </c>
      <c r="K11522" s="3">
        <v>1364</v>
      </c>
      <c r="L11522" s="3">
        <v>1</v>
      </c>
      <c r="M11522" s="3">
        <v>342</v>
      </c>
    </row>
    <row r="11523" spans="1:13" x14ac:dyDescent="0.25">
      <c r="A11523" s="1" t="str">
        <f>HYPERLINK("http://www.rosaceae.org/Prunus/Prunus_persica/p.persica_gdr_reftransV1_0026689","p.persica_gdr_reftransV1_0026689")</f>
        <v>p.persica_gdr_reftransV1_0026689</v>
      </c>
      <c r="B11523" s="3">
        <v>2658</v>
      </c>
      <c r="C11523" s="1" t="str">
        <f>HYPERLINK("http://www.uniprot.org/uniprot/DNJC2_BOVIN","DNJC2_BOVIN")</f>
        <v>DNJC2_BOVIN</v>
      </c>
      <c r="D11523" t="s">
        <v>8111</v>
      </c>
      <c r="E11523" s="3" t="s">
        <v>184</v>
      </c>
      <c r="F11523" s="4">
        <v>8.3300000000000005E-54</v>
      </c>
      <c r="G11523" s="3">
        <v>513</v>
      </c>
      <c r="H11523" s="3">
        <v>49</v>
      </c>
      <c r="I11523" s="3">
        <v>203</v>
      </c>
      <c r="J11523" s="3">
        <v>1487</v>
      </c>
      <c r="K11523" s="3">
        <v>2089</v>
      </c>
      <c r="L11523" s="3">
        <v>87</v>
      </c>
      <c r="M11523" s="3">
        <v>280</v>
      </c>
    </row>
    <row r="11524" spans="1:13" x14ac:dyDescent="0.25">
      <c r="A11524" s="1" t="str">
        <f>HYPERLINK("http://www.rosaceae.org/Prunus/Prunus_persica/p.persica_gdr_reftransV1_0026789","p.persica_gdr_reftransV1_0026789")</f>
        <v>p.persica_gdr_reftransV1_0026789</v>
      </c>
      <c r="B11524" s="3">
        <v>468</v>
      </c>
      <c r="C11524" s="1" t="str">
        <f>HYPERLINK("http://www.uniprot.org/uniprot/UTP18_ARATH","UTP18_ARATH")</f>
        <v>UTP18_ARATH</v>
      </c>
      <c r="D11524" t="s">
        <v>5331</v>
      </c>
      <c r="E11524" s="3" t="s">
        <v>3</v>
      </c>
      <c r="F11524" s="4">
        <v>1.09E-14</v>
      </c>
      <c r="G11524" s="3">
        <v>183</v>
      </c>
      <c r="H11524" s="3">
        <v>50</v>
      </c>
      <c r="I11524" s="3">
        <v>101</v>
      </c>
      <c r="J11524" s="3">
        <v>196</v>
      </c>
      <c r="K11524" s="3">
        <v>468</v>
      </c>
      <c r="L11524" s="3">
        <v>58</v>
      </c>
      <c r="M11524" s="3">
        <v>151</v>
      </c>
    </row>
    <row r="11525" spans="1:13" x14ac:dyDescent="0.25">
      <c r="A11525" s="1" t="str">
        <f>HYPERLINK("http://www.rosaceae.org/Prunus/Prunus_persica/p.persica_gdr_reftransV1_0026989","p.persica_gdr_reftransV1_0026989")</f>
        <v>p.persica_gdr_reftransV1_0026989</v>
      </c>
      <c r="B11525" s="3">
        <v>2858</v>
      </c>
      <c r="C11525" s="1" t="str">
        <f>HYPERLINK("http://www.uniprot.org/uniprot/NLRC3_HUMAN","NLRC3_HUMAN")</f>
        <v>NLRC3_HUMAN</v>
      </c>
      <c r="D11525" t="s">
        <v>8112</v>
      </c>
      <c r="E11525" s="3" t="s">
        <v>28</v>
      </c>
      <c r="F11525" s="4">
        <v>1.1600000000000001E-44</v>
      </c>
      <c r="G11525" s="3">
        <v>453</v>
      </c>
      <c r="H11525" s="3">
        <v>36</v>
      </c>
      <c r="I11525" s="3">
        <v>422</v>
      </c>
      <c r="J11525" s="3">
        <v>932</v>
      </c>
      <c r="K11525" s="3">
        <v>2194</v>
      </c>
      <c r="L11525" s="3">
        <v>629</v>
      </c>
      <c r="M11525" s="3">
        <v>1046</v>
      </c>
    </row>
    <row r="11526" spans="1:13" x14ac:dyDescent="0.25">
      <c r="A11526" s="1" t="str">
        <f>HYPERLINK("http://www.rosaceae.org/Prunus/Prunus_persica/p.persica_gdr_reftransV1_0027189","p.persica_gdr_reftransV1_0027189")</f>
        <v>p.persica_gdr_reftransV1_0027189</v>
      </c>
      <c r="B11526" s="3">
        <v>2280</v>
      </c>
      <c r="C11526" s="1" t="str">
        <f>HYPERLINK("http://www.uniprot.org/uniprot/Y1015_ARATH","Y1015_ARATH")</f>
        <v>Y1015_ARATH</v>
      </c>
      <c r="D11526" t="s">
        <v>5792</v>
      </c>
      <c r="E11526" s="3" t="s">
        <v>3</v>
      </c>
      <c r="F11526" s="4">
        <v>8.8400000000000006E-47</v>
      </c>
      <c r="G11526" s="3">
        <v>439</v>
      </c>
      <c r="H11526" s="3">
        <v>39</v>
      </c>
      <c r="I11526" s="3">
        <v>268</v>
      </c>
      <c r="J11526" s="3">
        <v>1527</v>
      </c>
      <c r="K11526" s="3">
        <v>2279</v>
      </c>
      <c r="L11526" s="3">
        <v>40</v>
      </c>
      <c r="M11526" s="3">
        <v>298</v>
      </c>
    </row>
    <row r="11527" spans="1:13" x14ac:dyDescent="0.25">
      <c r="A11527" s="1" t="str">
        <f>HYPERLINK("http://www.rosaceae.org/Prunus/Prunus_persica/p.persica_gdr_reftransV1_0027239","p.persica_gdr_reftransV1_0027239")</f>
        <v>p.persica_gdr_reftransV1_0027239</v>
      </c>
      <c r="B11527" s="3">
        <v>1607</v>
      </c>
      <c r="C11527" s="1" t="str">
        <f>HYPERLINK("http://www.uniprot.org/uniprot/MCAT_ARATH","MCAT_ARATH")</f>
        <v>MCAT_ARATH</v>
      </c>
      <c r="D11527" t="s">
        <v>8113</v>
      </c>
      <c r="E11527" s="3" t="s">
        <v>3</v>
      </c>
      <c r="F11527" s="4">
        <v>7.2100000000000006E-164</v>
      </c>
      <c r="G11527" s="3">
        <v>1221</v>
      </c>
      <c r="H11527" s="3">
        <v>77</v>
      </c>
      <c r="I11527" s="3">
        <v>300</v>
      </c>
      <c r="J11527" s="3">
        <v>363</v>
      </c>
      <c r="K11527" s="3">
        <v>1253</v>
      </c>
      <c r="L11527" s="3">
        <v>1</v>
      </c>
      <c r="M11527" s="3">
        <v>300</v>
      </c>
    </row>
    <row r="11528" spans="1:13" x14ac:dyDescent="0.25">
      <c r="A11528" s="1" t="str">
        <f>HYPERLINK("http://www.rosaceae.org/Prunus/Prunus_persica/p.persica_gdr_reftransV1_0027389","p.persica_gdr_reftransV1_0027389")</f>
        <v>p.persica_gdr_reftransV1_0027389</v>
      </c>
      <c r="B11528" s="3">
        <v>805</v>
      </c>
      <c r="C11528" s="1" t="str">
        <f>HYPERLINK("http://www.uniprot.org/uniprot/IF1C_COFAR","IF1C_COFAR")</f>
        <v>IF1C_COFAR</v>
      </c>
      <c r="D11528" t="s">
        <v>8114</v>
      </c>
      <c r="E11528" s="3" t="s">
        <v>5450</v>
      </c>
      <c r="F11528" s="4">
        <v>8.7099999999999998E-35</v>
      </c>
      <c r="G11528" s="3">
        <v>315</v>
      </c>
      <c r="H11528" s="3">
        <v>73</v>
      </c>
      <c r="I11528" s="3">
        <v>74</v>
      </c>
      <c r="J11528" s="3">
        <v>288</v>
      </c>
      <c r="K11528" s="3">
        <v>509</v>
      </c>
      <c r="L11528" s="3">
        <v>1</v>
      </c>
      <c r="M11528" s="3">
        <v>74</v>
      </c>
    </row>
    <row r="11529" spans="1:13" x14ac:dyDescent="0.25">
      <c r="A11529" s="1" t="str">
        <f>HYPERLINK("http://www.rosaceae.org/Prunus/Prunus_persica/p.persica_gdr_reftransV1_0027989","p.persica_gdr_reftransV1_0027989")</f>
        <v>p.persica_gdr_reftransV1_0027989</v>
      </c>
      <c r="B11529" s="3">
        <v>1015</v>
      </c>
      <c r="C11529" s="1" t="str">
        <f>HYPERLINK("http://www.uniprot.org/uniprot/RL131_ARATH","RL131_ARATH")</f>
        <v>RL131_ARATH</v>
      </c>
      <c r="D11529" t="s">
        <v>2431</v>
      </c>
      <c r="E11529" s="3" t="s">
        <v>3</v>
      </c>
      <c r="F11529" s="4">
        <v>1.3000000000000001E-119</v>
      </c>
      <c r="G11529" s="3">
        <v>898</v>
      </c>
      <c r="H11529" s="3">
        <v>85</v>
      </c>
      <c r="I11529" s="3">
        <v>191</v>
      </c>
      <c r="J11529" s="3">
        <v>96</v>
      </c>
      <c r="K11529" s="3">
        <v>668</v>
      </c>
      <c r="L11529" s="3">
        <v>1</v>
      </c>
      <c r="M11529" s="3">
        <v>191</v>
      </c>
    </row>
    <row r="11530" spans="1:13" x14ac:dyDescent="0.25">
      <c r="A11530" s="1" t="str">
        <f>HYPERLINK("http://www.rosaceae.org/Prunus/Prunus_persica/p.persica_gdr_reftransV1_0028139","p.persica_gdr_reftransV1_0028139")</f>
        <v>p.persica_gdr_reftransV1_0028139</v>
      </c>
      <c r="B11530" s="3">
        <v>1433</v>
      </c>
      <c r="C11530" s="1" t="str">
        <f>HYPERLINK("http://www.uniprot.org/uniprot/UBE11_ARATH","UBE11_ARATH")</f>
        <v>UBE11_ARATH</v>
      </c>
      <c r="D11530" t="s">
        <v>1779</v>
      </c>
      <c r="E11530" s="3" t="s">
        <v>3</v>
      </c>
      <c r="F11530" s="4">
        <v>0</v>
      </c>
      <c r="G11530" s="3">
        <v>1543</v>
      </c>
      <c r="H11530" s="3">
        <v>78</v>
      </c>
      <c r="I11530" s="3">
        <v>380</v>
      </c>
      <c r="J11530" s="3">
        <v>292</v>
      </c>
      <c r="K11530" s="3">
        <v>1431</v>
      </c>
      <c r="L11530" s="3">
        <v>701</v>
      </c>
      <c r="M11530" s="3">
        <v>1080</v>
      </c>
    </row>
    <row r="11531" spans="1:13" x14ac:dyDescent="0.25">
      <c r="A11531" s="1" t="str">
        <f>HYPERLINK("http://www.rosaceae.org/Prunus/Prunus_persica/p.persica_gdr_reftransV1_0028589","p.persica_gdr_reftransV1_0028589")</f>
        <v>p.persica_gdr_reftransV1_0028589</v>
      </c>
      <c r="B11531" s="3">
        <v>2096</v>
      </c>
      <c r="C11531" s="1" t="str">
        <f>HYPERLINK("http://www.uniprot.org/uniprot/C94A1_VICSA","C94A1_VICSA")</f>
        <v>C94A1_VICSA</v>
      </c>
      <c r="D11531" t="s">
        <v>5512</v>
      </c>
      <c r="E11531" s="3" t="s">
        <v>395</v>
      </c>
      <c r="F11531" s="4">
        <v>0</v>
      </c>
      <c r="G11531" s="3">
        <v>1676</v>
      </c>
      <c r="H11531" s="3">
        <v>64</v>
      </c>
      <c r="I11531" s="3">
        <v>491</v>
      </c>
      <c r="J11531" s="3">
        <v>284</v>
      </c>
      <c r="K11531" s="3">
        <v>1732</v>
      </c>
      <c r="L11531" s="3">
        <v>29</v>
      </c>
      <c r="M11531" s="3">
        <v>512</v>
      </c>
    </row>
    <row r="11532" spans="1:13" x14ac:dyDescent="0.25">
      <c r="A11532" s="1" t="str">
        <f>HYPERLINK("http://www.rosaceae.org/Prunus/Prunus_persica/p.persica_gdr_reftransV1_0028689","p.persica_gdr_reftransV1_0028689")</f>
        <v>p.persica_gdr_reftransV1_0028689</v>
      </c>
      <c r="B11532" s="3">
        <v>1891</v>
      </c>
      <c r="C11532" s="1" t="str">
        <f>HYPERLINK("http://www.uniprot.org/uniprot/SUVR4_ARATH","SUVR4_ARATH")</f>
        <v>SUVR4_ARATH</v>
      </c>
      <c r="D11532" t="s">
        <v>8115</v>
      </c>
      <c r="E11532" s="3" t="s">
        <v>3</v>
      </c>
      <c r="F11532" s="4">
        <v>2.49E-158</v>
      </c>
      <c r="G11532" s="3">
        <v>1212</v>
      </c>
      <c r="H11532" s="3">
        <v>63</v>
      </c>
      <c r="I11532" s="3">
        <v>352</v>
      </c>
      <c r="J11532" s="3">
        <v>392</v>
      </c>
      <c r="K11532" s="3">
        <v>1438</v>
      </c>
      <c r="L11532" s="3">
        <v>115</v>
      </c>
      <c r="M11532" s="3">
        <v>464</v>
      </c>
    </row>
    <row r="11533" spans="1:13" x14ac:dyDescent="0.25">
      <c r="A11533" s="1" t="str">
        <f>HYPERLINK("http://www.rosaceae.org/Prunus/Prunus_persica/p.persica_gdr_reftransV1_0028739","p.persica_gdr_reftransV1_0028739")</f>
        <v>p.persica_gdr_reftransV1_0028739</v>
      </c>
      <c r="B11533" s="3">
        <v>3570</v>
      </c>
      <c r="C11533" s="1" t="str">
        <f>HYPERLINK("http://www.uniprot.org/uniprot/RB3GP_RAT","RB3GP_RAT")</f>
        <v>RB3GP_RAT</v>
      </c>
      <c r="D11533" t="s">
        <v>8116</v>
      </c>
      <c r="E11533" s="3" t="s">
        <v>161</v>
      </c>
      <c r="F11533" s="4">
        <v>2.6699999999999997E-23</v>
      </c>
      <c r="G11533" s="3">
        <v>276</v>
      </c>
      <c r="H11533" s="3">
        <v>32</v>
      </c>
      <c r="I11533" s="3">
        <v>209</v>
      </c>
      <c r="J11533" s="3">
        <v>796</v>
      </c>
      <c r="K11533" s="3">
        <v>1407</v>
      </c>
      <c r="L11533" s="3">
        <v>418</v>
      </c>
      <c r="M11533" s="3">
        <v>614</v>
      </c>
    </row>
    <row r="11534" spans="1:13" x14ac:dyDescent="0.25">
      <c r="A11534" s="1" t="str">
        <f>HYPERLINK("http://www.rosaceae.org/Prunus/Prunus_persica/p.persica_gdr_reftransV1_0028789","p.persica_gdr_reftransV1_0028789")</f>
        <v>p.persica_gdr_reftransV1_0028789</v>
      </c>
      <c r="B11534" s="3">
        <v>491</v>
      </c>
      <c r="C11534" s="1" t="str">
        <f>HYPERLINK("http://www.uniprot.org/uniprot/PP312_ARATH","PP312_ARATH")</f>
        <v>PP312_ARATH</v>
      </c>
      <c r="D11534" t="s">
        <v>4597</v>
      </c>
      <c r="E11534" s="3" t="s">
        <v>3</v>
      </c>
      <c r="F11534" s="4">
        <v>7.6800000000000002E-57</v>
      </c>
      <c r="G11534" s="3">
        <v>492</v>
      </c>
      <c r="H11534" s="3">
        <v>61</v>
      </c>
      <c r="I11534" s="3">
        <v>142</v>
      </c>
      <c r="J11534" s="3">
        <v>65</v>
      </c>
      <c r="K11534" s="3">
        <v>490</v>
      </c>
      <c r="L11534" s="3">
        <v>3</v>
      </c>
      <c r="M11534" s="3">
        <v>144</v>
      </c>
    </row>
    <row r="11535" spans="1:13" x14ac:dyDescent="0.25">
      <c r="A11535" s="1" t="str">
        <f>HYPERLINK("http://www.rosaceae.org/Prunus/Prunus_persica/p.persica_gdr_reftransV1_0028889","p.persica_gdr_reftransV1_0028889")</f>
        <v>p.persica_gdr_reftransV1_0028889</v>
      </c>
      <c r="B11535" s="3">
        <v>4218</v>
      </c>
      <c r="C11535" s="1" t="str">
        <f>HYPERLINK("http://www.uniprot.org/uniprot/LHW_ARATH","LHW_ARATH")</f>
        <v>LHW_ARATH</v>
      </c>
      <c r="D11535" t="s">
        <v>2023</v>
      </c>
      <c r="E11535" s="3" t="s">
        <v>3</v>
      </c>
      <c r="F11535" s="4">
        <v>1.5000000000000001E-95</v>
      </c>
      <c r="G11535" s="3">
        <v>838</v>
      </c>
      <c r="H11535" s="3">
        <v>53</v>
      </c>
      <c r="I11535" s="3">
        <v>380</v>
      </c>
      <c r="J11535" s="3">
        <v>998</v>
      </c>
      <c r="K11535" s="3">
        <v>2116</v>
      </c>
      <c r="L11535" s="3">
        <v>275</v>
      </c>
      <c r="M11535" s="3">
        <v>601</v>
      </c>
    </row>
    <row r="11536" spans="1:13" x14ac:dyDescent="0.25">
      <c r="A11536" s="1" t="str">
        <f>HYPERLINK("http://www.rosaceae.org/Prunus/Prunus_persica/p.persica_gdr_reftransV1_0028989","p.persica_gdr_reftransV1_0028989")</f>
        <v>p.persica_gdr_reftransV1_0028989</v>
      </c>
      <c r="B11536" s="3">
        <v>3452</v>
      </c>
      <c r="C11536" s="1" t="str">
        <f>HYPERLINK("http://www.uniprot.org/uniprot/P4KG7_ARATH","P4KG7_ARATH")</f>
        <v>P4KG7_ARATH</v>
      </c>
      <c r="D11536" t="s">
        <v>8117</v>
      </c>
      <c r="E11536" s="3" t="s">
        <v>3</v>
      </c>
      <c r="F11536" s="4">
        <v>0</v>
      </c>
      <c r="G11536" s="3">
        <v>2114</v>
      </c>
      <c r="H11536" s="3">
        <v>64</v>
      </c>
      <c r="I11536" s="3">
        <v>660</v>
      </c>
      <c r="J11536" s="3">
        <v>351</v>
      </c>
      <c r="K11536" s="3">
        <v>2270</v>
      </c>
      <c r="L11536" s="3">
        <v>1</v>
      </c>
      <c r="M11536" s="3">
        <v>650</v>
      </c>
    </row>
    <row r="11537" spans="1:13" x14ac:dyDescent="0.25">
      <c r="A11537" s="1" t="str">
        <f>HYPERLINK("http://www.rosaceae.org/Prunus/Prunus_persica/p.persica_gdr_reftransV1_0029139","p.persica_gdr_reftransV1_0029139")</f>
        <v>p.persica_gdr_reftransV1_0029139</v>
      </c>
      <c r="B11537" s="3">
        <v>1492</v>
      </c>
      <c r="C11537" s="1" t="str">
        <f>HYPERLINK("http://www.uniprot.org/uniprot/CDT1A_ARATH","CDT1A_ARATH")</f>
        <v>CDT1A_ARATH</v>
      </c>
      <c r="D11537" t="s">
        <v>522</v>
      </c>
      <c r="E11537" s="3" t="s">
        <v>3</v>
      </c>
      <c r="F11537" s="4">
        <v>2.4300000000000002E-41</v>
      </c>
      <c r="G11537" s="3">
        <v>404</v>
      </c>
      <c r="H11537" s="3">
        <v>44</v>
      </c>
      <c r="I11537" s="3">
        <v>243</v>
      </c>
      <c r="J11537" s="3">
        <v>209</v>
      </c>
      <c r="K11537" s="3">
        <v>931</v>
      </c>
      <c r="L11537" s="3">
        <v>350</v>
      </c>
      <c r="M11537" s="3">
        <v>560</v>
      </c>
    </row>
    <row r="11538" spans="1:13" x14ac:dyDescent="0.25">
      <c r="A11538" s="1" t="str">
        <f>HYPERLINK("http://www.rosaceae.org/Prunus/Prunus_persica/p.persica_gdr_reftransV1_0029639","p.persica_gdr_reftransV1_0029639")</f>
        <v>p.persica_gdr_reftransV1_0029639</v>
      </c>
      <c r="B11538" s="3">
        <v>2209</v>
      </c>
      <c r="C11538" s="1" t="str">
        <f>HYPERLINK("http://www.uniprot.org/uniprot/DBR1_ARATH","DBR1_ARATH")</f>
        <v>DBR1_ARATH</v>
      </c>
      <c r="D11538" t="s">
        <v>8118</v>
      </c>
      <c r="E11538" s="3" t="s">
        <v>3</v>
      </c>
      <c r="F11538" s="4">
        <v>2.2999999999999998E-159</v>
      </c>
      <c r="G11538" s="3">
        <v>1221</v>
      </c>
      <c r="H11538" s="3">
        <v>64</v>
      </c>
      <c r="I11538" s="3">
        <v>388</v>
      </c>
      <c r="J11538" s="3">
        <v>529</v>
      </c>
      <c r="K11538" s="3">
        <v>1683</v>
      </c>
      <c r="L11538" s="3">
        <v>42</v>
      </c>
      <c r="M11538" s="3">
        <v>383</v>
      </c>
    </row>
    <row r="11539" spans="1:13" x14ac:dyDescent="0.25">
      <c r="A11539" s="1" t="str">
        <f>HYPERLINK("http://www.rosaceae.org/Prunus/Prunus_persica/p.persica_gdr_reftransV1_0029989","p.persica_gdr_reftransV1_0029989")</f>
        <v>p.persica_gdr_reftransV1_0029989</v>
      </c>
      <c r="B11539" s="3">
        <v>630</v>
      </c>
      <c r="C11539" s="1" t="str">
        <f>HYPERLINK("http://www.uniprot.org/uniprot/AGP20_ARATH","AGP20_ARATH")</f>
        <v>AGP20_ARATH</v>
      </c>
      <c r="D11539" t="s">
        <v>8119</v>
      </c>
      <c r="E11539" s="3" t="s">
        <v>3</v>
      </c>
      <c r="F11539" s="4">
        <v>3.3099999999999999E-14</v>
      </c>
      <c r="G11539" s="3">
        <v>168</v>
      </c>
      <c r="H11539" s="3">
        <v>57</v>
      </c>
      <c r="I11539" s="3">
        <v>54</v>
      </c>
      <c r="J11539" s="3">
        <v>193</v>
      </c>
      <c r="K11539" s="3">
        <v>354</v>
      </c>
      <c r="L11539" s="3">
        <v>9</v>
      </c>
      <c r="M11539" s="3">
        <v>62</v>
      </c>
    </row>
    <row r="11540" spans="1:13" x14ac:dyDescent="0.25">
      <c r="A11540" s="1" t="str">
        <f>HYPERLINK("http://www.rosaceae.org/Prunus/Prunus_persica/p.persica_gdr_reftransV1_0030489","p.persica_gdr_reftransV1_0030489")</f>
        <v>p.persica_gdr_reftransV1_0030489</v>
      </c>
      <c r="B11540" s="3">
        <v>1969</v>
      </c>
      <c r="C11540" s="1" t="str">
        <f>HYPERLINK("http://www.uniprot.org/uniprot/G2OX2_PEA","G2OX2_PEA")</f>
        <v>G2OX2_PEA</v>
      </c>
      <c r="D11540" t="s">
        <v>7458</v>
      </c>
      <c r="E11540" s="3" t="s">
        <v>60</v>
      </c>
      <c r="F11540" s="4">
        <v>9.2400000000000002E-131</v>
      </c>
      <c r="G11540" s="3">
        <v>1016</v>
      </c>
      <c r="H11540" s="3">
        <v>56</v>
      </c>
      <c r="I11540" s="3">
        <v>340</v>
      </c>
      <c r="J11540" s="3">
        <v>720</v>
      </c>
      <c r="K11540" s="3">
        <v>1721</v>
      </c>
      <c r="L11540" s="3">
        <v>1</v>
      </c>
      <c r="M11540" s="3">
        <v>338</v>
      </c>
    </row>
    <row r="11541" spans="1:13" x14ac:dyDescent="0.25">
      <c r="A11541" s="1" t="str">
        <f>HYPERLINK("http://www.rosaceae.org/Prunus/Prunus_persica/p.persica_gdr_reftransV1_0030689","p.persica_gdr_reftransV1_0030689")</f>
        <v>p.persica_gdr_reftransV1_0030689</v>
      </c>
      <c r="B11541" s="3">
        <v>3353</v>
      </c>
      <c r="C11541" s="1" t="str">
        <f>HYPERLINK("http://www.uniprot.org/uniprot/AB2E_ARATH","AB2E_ARATH")</f>
        <v>AB2E_ARATH</v>
      </c>
      <c r="D11541" t="s">
        <v>4130</v>
      </c>
      <c r="E11541" s="3" t="s">
        <v>3</v>
      </c>
      <c r="F11541" s="4">
        <v>0</v>
      </c>
      <c r="G11541" s="3">
        <v>2379</v>
      </c>
      <c r="H11541" s="3">
        <v>91</v>
      </c>
      <c r="I11541" s="3">
        <v>484</v>
      </c>
      <c r="J11541" s="3">
        <v>1610</v>
      </c>
      <c r="K11541" s="3">
        <v>3061</v>
      </c>
      <c r="L11541" s="3">
        <v>1</v>
      </c>
      <c r="M11541" s="3">
        <v>484</v>
      </c>
    </row>
    <row r="11542" spans="1:13" x14ac:dyDescent="0.25">
      <c r="A11542" s="1" t="str">
        <f>HYPERLINK("http://www.rosaceae.org/Prunus/Prunus_persica/p.persica_gdr_reftransV1_0030739","p.persica_gdr_reftransV1_0030739")</f>
        <v>p.persica_gdr_reftransV1_0030739</v>
      </c>
      <c r="B11542" s="3">
        <v>3832</v>
      </c>
      <c r="C11542" s="1" t="str">
        <f>HYPERLINK("http://www.uniprot.org/uniprot/SPAST_CHICK","SPAST_CHICK")</f>
        <v>SPAST_CHICK</v>
      </c>
      <c r="D11542" t="s">
        <v>8120</v>
      </c>
      <c r="E11542" s="3" t="s">
        <v>1278</v>
      </c>
      <c r="F11542" s="4">
        <v>7.6199999999999997E-64</v>
      </c>
      <c r="G11542" s="3">
        <v>597</v>
      </c>
      <c r="H11542" s="3">
        <v>42</v>
      </c>
      <c r="I11542" s="3">
        <v>324</v>
      </c>
      <c r="J11542" s="3">
        <v>1095</v>
      </c>
      <c r="K11542" s="3">
        <v>2036</v>
      </c>
      <c r="L11542" s="3">
        <v>231</v>
      </c>
      <c r="M11542" s="3">
        <v>546</v>
      </c>
    </row>
    <row r="11543" spans="1:13" x14ac:dyDescent="0.25">
      <c r="A11543" s="1" t="str">
        <f>HYPERLINK("http://www.rosaceae.org/Prunus/Prunus_persica/p.persica_gdr_reftransV1_0030939","p.persica_gdr_reftransV1_0030939")</f>
        <v>p.persica_gdr_reftransV1_0030939</v>
      </c>
      <c r="B11543" s="3">
        <v>3891</v>
      </c>
      <c r="C11543" s="1" t="str">
        <f>HYPERLINK("http://www.uniprot.org/uniprot/AVPX_ARATH","AVPX_ARATH")</f>
        <v>AVPX_ARATH</v>
      </c>
      <c r="D11543" t="s">
        <v>8121</v>
      </c>
      <c r="E11543" s="3" t="s">
        <v>3</v>
      </c>
      <c r="F11543" s="4">
        <v>0</v>
      </c>
      <c r="G11543" s="3">
        <v>3276</v>
      </c>
      <c r="H11543" s="3">
        <v>86</v>
      </c>
      <c r="I11543" s="3">
        <v>802</v>
      </c>
      <c r="J11543" s="3">
        <v>1136</v>
      </c>
      <c r="K11543" s="3">
        <v>3541</v>
      </c>
      <c r="L11543" s="3">
        <v>1</v>
      </c>
      <c r="M11543" s="3">
        <v>802</v>
      </c>
    </row>
    <row r="11544" spans="1:13" x14ac:dyDescent="0.25">
      <c r="A11544" s="1" t="str">
        <f>HYPERLINK("http://www.rosaceae.org/Prunus/Prunus_persica/p.persica_gdr_reftransV1_0031039","p.persica_gdr_reftransV1_0031039")</f>
        <v>p.persica_gdr_reftransV1_0031039</v>
      </c>
      <c r="B11544" s="3">
        <v>4678</v>
      </c>
      <c r="C11544" s="1" t="str">
        <f>HYPERLINK("http://www.uniprot.org/uniprot/TPS7_ARATH","TPS7_ARATH")</f>
        <v>TPS7_ARATH</v>
      </c>
      <c r="D11544" t="s">
        <v>3928</v>
      </c>
      <c r="E11544" s="3" t="s">
        <v>3</v>
      </c>
      <c r="F11544" s="4">
        <v>0</v>
      </c>
      <c r="G11544" s="3">
        <v>3222</v>
      </c>
      <c r="H11544" s="3">
        <v>78</v>
      </c>
      <c r="I11544" s="3">
        <v>752</v>
      </c>
      <c r="J11544" s="3">
        <v>1781</v>
      </c>
      <c r="K11544" s="3">
        <v>4036</v>
      </c>
      <c r="L11544" s="3">
        <v>1</v>
      </c>
      <c r="M11544" s="3">
        <v>748</v>
      </c>
    </row>
    <row r="11545" spans="1:13" x14ac:dyDescent="0.25">
      <c r="A11545" s="1" t="str">
        <f>HYPERLINK("http://www.rosaceae.org/Prunus/Prunus_persica/p.persica_gdr_reftransV1_0031439","p.persica_gdr_reftransV1_0031439")</f>
        <v>p.persica_gdr_reftransV1_0031439</v>
      </c>
      <c r="B11545" s="3">
        <v>2768</v>
      </c>
      <c r="C11545" s="1" t="str">
        <f>HYPERLINK("http://www.uniprot.org/uniprot/BRAP_MOUSE","BRAP_MOUSE")</f>
        <v>BRAP_MOUSE</v>
      </c>
      <c r="D11545" t="s">
        <v>5329</v>
      </c>
      <c r="E11545" s="3" t="s">
        <v>157</v>
      </c>
      <c r="F11545" s="4">
        <v>1.7E-25</v>
      </c>
      <c r="G11545" s="3">
        <v>290</v>
      </c>
      <c r="H11545" s="3">
        <v>41</v>
      </c>
      <c r="I11545" s="3">
        <v>139</v>
      </c>
      <c r="J11545" s="3">
        <v>1092</v>
      </c>
      <c r="K11545" s="3">
        <v>1502</v>
      </c>
      <c r="L11545" s="3">
        <v>301</v>
      </c>
      <c r="M11545" s="3">
        <v>419</v>
      </c>
    </row>
    <row r="11546" spans="1:13" x14ac:dyDescent="0.25">
      <c r="A11546" s="1" t="str">
        <f>HYPERLINK("http://www.rosaceae.org/Prunus/Prunus_persica/p.persica_gdr_reftransV1_0031689","p.persica_gdr_reftransV1_0031689")</f>
        <v>p.persica_gdr_reftransV1_0031689</v>
      </c>
      <c r="B11546" s="3">
        <v>4059</v>
      </c>
      <c r="C11546" s="1" t="str">
        <f>HYPERLINK("http://www.uniprot.org/uniprot/PP432_ARATH","PP432_ARATH")</f>
        <v>PP432_ARATH</v>
      </c>
      <c r="D11546" t="s">
        <v>4416</v>
      </c>
      <c r="E11546" s="3" t="s">
        <v>3</v>
      </c>
      <c r="F11546" s="4">
        <v>0</v>
      </c>
      <c r="G11546" s="3">
        <v>2711</v>
      </c>
      <c r="H11546" s="3">
        <v>56</v>
      </c>
      <c r="I11546" s="3">
        <v>944</v>
      </c>
      <c r="J11546" s="3">
        <v>1226</v>
      </c>
      <c r="K11546" s="3">
        <v>4054</v>
      </c>
      <c r="L11546" s="3">
        <v>153</v>
      </c>
      <c r="M11546" s="3">
        <v>1094</v>
      </c>
    </row>
    <row r="11547" spans="1:13" x14ac:dyDescent="0.25">
      <c r="A11547" s="1" t="str">
        <f>HYPERLINK("http://www.rosaceae.org/Prunus/Prunus_persica/p.persica_gdr_reftransV1_0031739","p.persica_gdr_reftransV1_0031739")</f>
        <v>p.persica_gdr_reftransV1_0031739</v>
      </c>
      <c r="B11547" s="3">
        <v>2699</v>
      </c>
      <c r="C11547" s="1" t="str">
        <f>HYPERLINK("http://www.uniprot.org/uniprot/SNX2B_ARATH","SNX2B_ARATH")</f>
        <v>SNX2B_ARATH</v>
      </c>
      <c r="D11547" t="s">
        <v>8122</v>
      </c>
      <c r="E11547" s="3" t="s">
        <v>3</v>
      </c>
      <c r="F11547" s="4">
        <v>0</v>
      </c>
      <c r="G11547" s="3">
        <v>1855</v>
      </c>
      <c r="H11547" s="3">
        <v>72</v>
      </c>
      <c r="I11547" s="3">
        <v>578</v>
      </c>
      <c r="J11547" s="3">
        <v>666</v>
      </c>
      <c r="K11547" s="3">
        <v>2363</v>
      </c>
      <c r="L11547" s="3">
        <v>1</v>
      </c>
      <c r="M11547" s="3">
        <v>561</v>
      </c>
    </row>
    <row r="11548" spans="1:13" x14ac:dyDescent="0.25">
      <c r="A11548" s="1" t="str">
        <f>HYPERLINK("http://www.rosaceae.org/Prunus/Prunus_persica/p.persica_gdr_reftransV1_0032189","p.persica_gdr_reftransV1_0032189")</f>
        <v>p.persica_gdr_reftransV1_0032189</v>
      </c>
      <c r="B11548" s="3">
        <v>3147</v>
      </c>
      <c r="C11548" s="1" t="str">
        <f>HYPERLINK("http://www.uniprot.org/uniprot/AKH1_ARATH","AKH1_ARATH")</f>
        <v>AKH1_ARATH</v>
      </c>
      <c r="D11548" t="s">
        <v>3067</v>
      </c>
      <c r="E11548" s="3" t="s">
        <v>3</v>
      </c>
      <c r="F11548" s="4">
        <v>0</v>
      </c>
      <c r="G11548" s="3">
        <v>3045</v>
      </c>
      <c r="H11548" s="3">
        <v>82</v>
      </c>
      <c r="I11548" s="3">
        <v>691</v>
      </c>
      <c r="J11548" s="3">
        <v>752</v>
      </c>
      <c r="K11548" s="3">
        <v>2824</v>
      </c>
      <c r="L11548" s="3">
        <v>221</v>
      </c>
      <c r="M11548" s="3">
        <v>911</v>
      </c>
    </row>
    <row r="11549" spans="1:13" x14ac:dyDescent="0.25">
      <c r="A11549" s="1" t="str">
        <f>HYPERLINK("http://www.rosaceae.org/Prunus/Prunus_persica/p.persica_gdr_reftransV1_0032239","p.persica_gdr_reftransV1_0032239")</f>
        <v>p.persica_gdr_reftransV1_0032239</v>
      </c>
      <c r="B11549" s="3">
        <v>1893</v>
      </c>
      <c r="C11549" s="1" t="str">
        <f>HYPERLINK("http://www.uniprot.org/uniprot/LIP2_ARATH","LIP2_ARATH")</f>
        <v>LIP2_ARATH</v>
      </c>
      <c r="D11549" t="s">
        <v>1860</v>
      </c>
      <c r="E11549" s="3" t="s">
        <v>3</v>
      </c>
      <c r="F11549" s="4">
        <v>6.1599999999999999E-81</v>
      </c>
      <c r="G11549" s="3">
        <v>422</v>
      </c>
      <c r="H11549" s="3">
        <v>51</v>
      </c>
      <c r="I11549" s="3">
        <v>151</v>
      </c>
      <c r="J11549" s="3">
        <v>704</v>
      </c>
      <c r="K11549" s="3">
        <v>1156</v>
      </c>
      <c r="L11549" s="3">
        <v>154</v>
      </c>
      <c r="M11549" s="3">
        <v>304</v>
      </c>
    </row>
    <row r="11550" spans="1:13" x14ac:dyDescent="0.25">
      <c r="A11550" s="1" t="str">
        <f>HYPERLINK("http://www.rosaceae.org/Prunus/Prunus_persica/p.persica_gdr_reftransV1_0032339","p.persica_gdr_reftransV1_0032339")</f>
        <v>p.persica_gdr_reftransV1_0032339</v>
      </c>
      <c r="B11550" s="3">
        <v>3084</v>
      </c>
      <c r="C11550" s="1" t="str">
        <f>HYPERLINK("http://www.uniprot.org/uniprot/DRM1_ARATH","DRM1_ARATH")</f>
        <v>DRM1_ARATH</v>
      </c>
      <c r="D11550" t="s">
        <v>8123</v>
      </c>
      <c r="E11550" s="3" t="s">
        <v>3</v>
      </c>
      <c r="F11550" s="4">
        <v>8.8799999999999995E-174</v>
      </c>
      <c r="G11550" s="3">
        <v>1362</v>
      </c>
      <c r="H11550" s="3">
        <v>62</v>
      </c>
      <c r="I11550" s="3">
        <v>413</v>
      </c>
      <c r="J11550" s="3">
        <v>183</v>
      </c>
      <c r="K11550" s="3">
        <v>1409</v>
      </c>
      <c r="L11550" s="3">
        <v>216</v>
      </c>
      <c r="M11550" s="3">
        <v>616</v>
      </c>
    </row>
    <row r="11551" spans="1:13" x14ac:dyDescent="0.25">
      <c r="A11551" s="1" t="str">
        <f>HYPERLINK("http://www.rosaceae.org/Prunus/Prunus_persica/p.persica_gdr_reftransV1_0032389","p.persica_gdr_reftransV1_0032389")</f>
        <v>p.persica_gdr_reftransV1_0032389</v>
      </c>
      <c r="B11551" s="3">
        <v>3205</v>
      </c>
      <c r="C11551" s="1" t="str">
        <f>HYPERLINK("http://www.uniprot.org/uniprot/RBBP6_MOUSE","RBBP6_MOUSE")</f>
        <v>RBBP6_MOUSE</v>
      </c>
      <c r="D11551" t="s">
        <v>7589</v>
      </c>
      <c r="E11551" s="3" t="s">
        <v>157</v>
      </c>
      <c r="F11551" s="4">
        <v>1.9900000000000001E-13</v>
      </c>
      <c r="G11551" s="3">
        <v>193</v>
      </c>
      <c r="H11551" s="3">
        <v>36</v>
      </c>
      <c r="I11551" s="3">
        <v>170</v>
      </c>
      <c r="J11551" s="3">
        <v>1968</v>
      </c>
      <c r="K11551" s="3">
        <v>2423</v>
      </c>
      <c r="L11551" s="3">
        <v>156</v>
      </c>
      <c r="M11551" s="3">
        <v>323</v>
      </c>
    </row>
    <row r="11552" spans="1:13" x14ac:dyDescent="0.25">
      <c r="A11552" s="1" t="str">
        <f>HYPERLINK("http://www.rosaceae.org/Prunus/Prunus_persica/p.persica_gdr_reftransV1_0032439","p.persica_gdr_reftransV1_0032439")</f>
        <v>p.persica_gdr_reftransV1_0032439</v>
      </c>
      <c r="B11552" s="3">
        <v>1112</v>
      </c>
      <c r="C11552" s="1" t="str">
        <f>HYPERLINK("http://www.uniprot.org/uniprot/PME1_ARATH","PME1_ARATH")</f>
        <v>PME1_ARATH</v>
      </c>
      <c r="D11552" t="s">
        <v>8124</v>
      </c>
      <c r="E11552" s="3" t="s">
        <v>3</v>
      </c>
      <c r="F11552" s="4">
        <v>1.23E-34</v>
      </c>
      <c r="G11552" s="3">
        <v>346</v>
      </c>
      <c r="H11552" s="3">
        <v>45</v>
      </c>
      <c r="I11552" s="3">
        <v>175</v>
      </c>
      <c r="J11552" s="3">
        <v>286</v>
      </c>
      <c r="K11552" s="3">
        <v>753</v>
      </c>
      <c r="L11552" s="3">
        <v>73</v>
      </c>
      <c r="M11552" s="3">
        <v>247</v>
      </c>
    </row>
    <row r="11553" spans="1:13" x14ac:dyDescent="0.25">
      <c r="A11553" s="1" t="str">
        <f>HYPERLINK("http://www.rosaceae.org/Prunus/Prunus_persica/p.persica_gdr_reftransV1_0032889","p.persica_gdr_reftransV1_0032889")</f>
        <v>p.persica_gdr_reftransV1_0032889</v>
      </c>
      <c r="B11553" s="3">
        <v>2450</v>
      </c>
      <c r="C11553" s="1" t="str">
        <f>HYPERLINK("http://www.uniprot.org/uniprot/SMO22_ARATH","SMO22_ARATH")</f>
        <v>SMO22_ARATH</v>
      </c>
      <c r="D11553" t="s">
        <v>8125</v>
      </c>
      <c r="E11553" s="3" t="s">
        <v>3</v>
      </c>
      <c r="F11553" s="4">
        <v>1.59E-127</v>
      </c>
      <c r="G11553" s="3">
        <v>999</v>
      </c>
      <c r="H11553" s="3">
        <v>87</v>
      </c>
      <c r="I11553" s="3">
        <v>207</v>
      </c>
      <c r="J11553" s="3">
        <v>1515</v>
      </c>
      <c r="K11553" s="3">
        <v>2135</v>
      </c>
      <c r="L11553" s="3">
        <v>55</v>
      </c>
      <c r="M11553" s="3">
        <v>261</v>
      </c>
    </row>
    <row r="11554" spans="1:13" x14ac:dyDescent="0.25">
      <c r="A11554" s="1" t="str">
        <f>HYPERLINK("http://www.rosaceae.org/Prunus/Prunus_persica/p.persica_gdr_reftransV1_0033239","p.persica_gdr_reftransV1_0033239")</f>
        <v>p.persica_gdr_reftransV1_0033239</v>
      </c>
      <c r="B11554" s="3">
        <v>4197</v>
      </c>
      <c r="C11554" s="1" t="str">
        <f>HYPERLINK("http://www.uniprot.org/uniprot/PAPS4_ARATH","PAPS4_ARATH")</f>
        <v>PAPS4_ARATH</v>
      </c>
      <c r="D11554" t="s">
        <v>4151</v>
      </c>
      <c r="E11554" s="3" t="s">
        <v>3</v>
      </c>
      <c r="F11554" s="4">
        <v>0</v>
      </c>
      <c r="G11554" s="3">
        <v>2307</v>
      </c>
      <c r="H11554" s="3">
        <v>73</v>
      </c>
      <c r="I11554" s="3">
        <v>601</v>
      </c>
      <c r="J11554" s="3">
        <v>1949</v>
      </c>
      <c r="K11554" s="3">
        <v>3742</v>
      </c>
      <c r="L11554" s="3">
        <v>2</v>
      </c>
      <c r="M11554" s="3">
        <v>576</v>
      </c>
    </row>
    <row r="11555" spans="1:13" x14ac:dyDescent="0.25">
      <c r="A11555" s="1" t="str">
        <f>HYPERLINK("http://www.rosaceae.org/Prunus/Prunus_persica/p.persica_gdr_reftransV1_0033289","p.persica_gdr_reftransV1_0033289")</f>
        <v>p.persica_gdr_reftransV1_0033289</v>
      </c>
      <c r="B11555" s="3">
        <v>2630</v>
      </c>
      <c r="C11555" s="1" t="str">
        <f>HYPERLINK("http://www.uniprot.org/uniprot/SC61A_DICDI","SC61A_DICDI")</f>
        <v>SC61A_DICDI</v>
      </c>
      <c r="D11555" t="s">
        <v>1717</v>
      </c>
      <c r="E11555" s="3" t="s">
        <v>9</v>
      </c>
      <c r="F11555" s="4">
        <v>8.1099999999999996E-115</v>
      </c>
      <c r="G11555" s="3">
        <v>796</v>
      </c>
      <c r="H11555" s="3">
        <v>76</v>
      </c>
      <c r="I11555" s="3">
        <v>197</v>
      </c>
      <c r="J11555" s="3">
        <v>695</v>
      </c>
      <c r="K11555" s="3">
        <v>1285</v>
      </c>
      <c r="L11555" s="3">
        <v>114</v>
      </c>
      <c r="M11555" s="3">
        <v>310</v>
      </c>
    </row>
    <row r="11556" spans="1:13" x14ac:dyDescent="0.25">
      <c r="A11556" s="1" t="str">
        <f>HYPERLINK("http://www.rosaceae.org/Prunus/Prunus_persica/p.persica_gdr_reftransV1_0033439","p.persica_gdr_reftransV1_0033439")</f>
        <v>p.persica_gdr_reftransV1_0033439</v>
      </c>
      <c r="B11556" s="3">
        <v>3086</v>
      </c>
      <c r="C11556" s="1" t="str">
        <f>HYPERLINK("http://www.uniprot.org/uniprot/ISOA3_ARATH","ISOA3_ARATH")</f>
        <v>ISOA3_ARATH</v>
      </c>
      <c r="D11556" t="s">
        <v>8126</v>
      </c>
      <c r="E11556" s="3" t="s">
        <v>3</v>
      </c>
      <c r="F11556" s="4">
        <v>0</v>
      </c>
      <c r="G11556" s="3">
        <v>2829</v>
      </c>
      <c r="H11556" s="3">
        <v>73</v>
      </c>
      <c r="I11556" s="3">
        <v>759</v>
      </c>
      <c r="J11556" s="3">
        <v>519</v>
      </c>
      <c r="K11556" s="3">
        <v>2777</v>
      </c>
      <c r="L11556" s="3">
        <v>13</v>
      </c>
      <c r="M11556" s="3">
        <v>764</v>
      </c>
    </row>
    <row r="11557" spans="1:13" x14ac:dyDescent="0.25">
      <c r="A11557" s="1" t="str">
        <f>HYPERLINK("http://www.rosaceae.org/Prunus/Prunus_persica/p.persica_gdr_reftransV1_0033739","p.persica_gdr_reftransV1_0033739")</f>
        <v>p.persica_gdr_reftransV1_0033739</v>
      </c>
      <c r="B11557" s="3">
        <v>1763</v>
      </c>
      <c r="C11557" s="1" t="str">
        <f>HYPERLINK("http://www.uniprot.org/uniprot/CHLP_TOBAC","CHLP_TOBAC")</f>
        <v>CHLP_TOBAC</v>
      </c>
      <c r="D11557" t="s">
        <v>7106</v>
      </c>
      <c r="E11557" s="3" t="s">
        <v>200</v>
      </c>
      <c r="F11557" s="4">
        <v>0</v>
      </c>
      <c r="G11557" s="3">
        <v>2057</v>
      </c>
      <c r="H11557" s="3">
        <v>86</v>
      </c>
      <c r="I11557" s="3">
        <v>466</v>
      </c>
      <c r="J11557" s="3">
        <v>188</v>
      </c>
      <c r="K11557" s="3">
        <v>1585</v>
      </c>
      <c r="L11557" s="3">
        <v>1</v>
      </c>
      <c r="M11557" s="3">
        <v>464</v>
      </c>
    </row>
    <row r="11558" spans="1:13" x14ac:dyDescent="0.25">
      <c r="A11558" s="1" t="str">
        <f>HYPERLINK("http://www.rosaceae.org/Prunus/Prunus_persica/p.persica_gdr_reftransV1_0033789","p.persica_gdr_reftransV1_0033789")</f>
        <v>p.persica_gdr_reftransV1_0033789</v>
      </c>
      <c r="B11558" s="3">
        <v>908</v>
      </c>
      <c r="C11558" s="1" t="str">
        <f>HYPERLINK("http://www.uniprot.org/uniprot/BET11_ARATH","BET11_ARATH")</f>
        <v>BET11_ARATH</v>
      </c>
      <c r="D11558" t="s">
        <v>928</v>
      </c>
      <c r="E11558" s="3" t="s">
        <v>3</v>
      </c>
      <c r="F11558" s="4">
        <v>4.2499999999999998E-63</v>
      </c>
      <c r="G11558" s="3">
        <v>512</v>
      </c>
      <c r="H11558" s="3">
        <v>80</v>
      </c>
      <c r="I11558" s="3">
        <v>122</v>
      </c>
      <c r="J11558" s="3">
        <v>384</v>
      </c>
      <c r="K11558" s="3">
        <v>749</v>
      </c>
      <c r="L11558" s="3">
        <v>1</v>
      </c>
      <c r="M11558" s="3">
        <v>122</v>
      </c>
    </row>
    <row r="11559" spans="1:13" x14ac:dyDescent="0.25">
      <c r="A11559" s="1" t="str">
        <f>HYPERLINK("http://www.rosaceae.org/Prunus/Prunus_persica/p.persica_gdr_reftransV1_0033839","p.persica_gdr_reftransV1_0033839")</f>
        <v>p.persica_gdr_reftransV1_0033839</v>
      </c>
      <c r="B11559" s="3">
        <v>1612</v>
      </c>
      <c r="C11559" s="1" t="str">
        <f>HYPERLINK("http://www.uniprot.org/uniprot/CM1_ARATH","CM1_ARATH")</f>
        <v>CM1_ARATH</v>
      </c>
      <c r="D11559" t="s">
        <v>8127</v>
      </c>
      <c r="E11559" s="3" t="s">
        <v>3</v>
      </c>
      <c r="F11559" s="4">
        <v>1.7899999999999999E-123</v>
      </c>
      <c r="G11559" s="3">
        <v>957</v>
      </c>
      <c r="H11559" s="3">
        <v>62</v>
      </c>
      <c r="I11559" s="3">
        <v>334</v>
      </c>
      <c r="J11559" s="3">
        <v>353</v>
      </c>
      <c r="K11559" s="3">
        <v>1303</v>
      </c>
      <c r="L11559" s="3">
        <v>1</v>
      </c>
      <c r="M11559" s="3">
        <v>334</v>
      </c>
    </row>
    <row r="11560" spans="1:13" x14ac:dyDescent="0.25">
      <c r="A11560" s="1" t="str">
        <f>HYPERLINK("http://www.rosaceae.org/Prunus/Prunus_persica/p.persica_gdr_reftransV1_0033939","p.persica_gdr_reftransV1_0033939")</f>
        <v>p.persica_gdr_reftransV1_0033939</v>
      </c>
      <c r="B11560" s="3">
        <v>1826</v>
      </c>
      <c r="C11560" s="1" t="str">
        <f>HYPERLINK("http://www.uniprot.org/uniprot/RQL1_ARATH","RQL1_ARATH")</f>
        <v>RQL1_ARATH</v>
      </c>
      <c r="D11560" t="s">
        <v>2994</v>
      </c>
      <c r="E11560" s="3" t="s">
        <v>3</v>
      </c>
      <c r="F11560" s="4">
        <v>0</v>
      </c>
      <c r="G11560" s="3">
        <v>1866</v>
      </c>
      <c r="H11560" s="3">
        <v>75</v>
      </c>
      <c r="I11560" s="3">
        <v>458</v>
      </c>
      <c r="J11560" s="3">
        <v>429</v>
      </c>
      <c r="K11560" s="3">
        <v>1802</v>
      </c>
      <c r="L11560" s="3">
        <v>152</v>
      </c>
      <c r="M11560" s="3">
        <v>606</v>
      </c>
    </row>
    <row r="11561" spans="1:13" x14ac:dyDescent="0.25">
      <c r="A11561" s="1" t="str">
        <f>HYPERLINK("http://www.rosaceae.org/Prunus/Prunus_persica/p.persica_gdr_reftransV1_0034189","p.persica_gdr_reftransV1_0034189")</f>
        <v>p.persica_gdr_reftransV1_0034189</v>
      </c>
      <c r="B11561" s="3">
        <v>6389</v>
      </c>
      <c r="C11561" s="1" t="str">
        <f>HYPERLINK("http://www.uniprot.org/uniprot/HAC1_ARATH","HAC1_ARATH")</f>
        <v>HAC1_ARATH</v>
      </c>
      <c r="D11561" t="s">
        <v>8128</v>
      </c>
      <c r="E11561" s="3" t="s">
        <v>3</v>
      </c>
      <c r="F11561" s="4">
        <v>0</v>
      </c>
      <c r="G11561" s="3">
        <v>4465</v>
      </c>
      <c r="H11561" s="3">
        <v>70</v>
      </c>
      <c r="I11561" s="3">
        <v>1271</v>
      </c>
      <c r="J11561" s="3">
        <v>639</v>
      </c>
      <c r="K11561" s="3">
        <v>4397</v>
      </c>
      <c r="L11561" s="3">
        <v>440</v>
      </c>
      <c r="M11561" s="3">
        <v>1697</v>
      </c>
    </row>
    <row r="11562" spans="1:13" x14ac:dyDescent="0.25">
      <c r="A11562" s="1" t="str">
        <f>HYPERLINK("http://www.rosaceae.org/Prunus/Prunus_persica/p.persica_gdr_reftransV1_0034939","p.persica_gdr_reftransV1_0034939")</f>
        <v>p.persica_gdr_reftransV1_0034939</v>
      </c>
      <c r="B11562" s="3">
        <v>3257</v>
      </c>
      <c r="C11562" s="1" t="str">
        <f>HYPERLINK("http://www.uniprot.org/uniprot/SKI35_ARATH","SKI35_ARATH")</f>
        <v>SKI35_ARATH</v>
      </c>
      <c r="D11562" t="s">
        <v>8129</v>
      </c>
      <c r="E11562" s="3" t="s">
        <v>3</v>
      </c>
      <c r="F11562" s="4">
        <v>0</v>
      </c>
      <c r="G11562" s="3">
        <v>2159</v>
      </c>
      <c r="H11562" s="3">
        <v>78</v>
      </c>
      <c r="I11562" s="3">
        <v>571</v>
      </c>
      <c r="J11562" s="3">
        <v>455</v>
      </c>
      <c r="K11562" s="3">
        <v>2146</v>
      </c>
      <c r="L11562" s="3">
        <v>40</v>
      </c>
      <c r="M11562" s="3">
        <v>606</v>
      </c>
    </row>
    <row r="11563" spans="1:13" x14ac:dyDescent="0.25">
      <c r="A11563" s="1" t="str">
        <f>HYPERLINK("http://www.rosaceae.org/Prunus/Prunus_persica/p.persica_gdr_reftransV1_0035339","p.persica_gdr_reftransV1_0035339")</f>
        <v>p.persica_gdr_reftransV1_0035339</v>
      </c>
      <c r="B11563" s="3">
        <v>3504</v>
      </c>
      <c r="C11563" s="1" t="str">
        <f>HYPERLINK("http://www.uniprot.org/uniprot/Y1960_ARATH","Y1960_ARATH")</f>
        <v>Y1960_ARATH</v>
      </c>
      <c r="D11563" t="s">
        <v>743</v>
      </c>
      <c r="E11563" s="3" t="s">
        <v>3</v>
      </c>
      <c r="F11563" s="4">
        <v>0</v>
      </c>
      <c r="G11563" s="3">
        <v>1694</v>
      </c>
      <c r="H11563" s="3">
        <v>55</v>
      </c>
      <c r="I11563" s="3">
        <v>649</v>
      </c>
      <c r="J11563" s="3">
        <v>1038</v>
      </c>
      <c r="K11563" s="3">
        <v>2912</v>
      </c>
      <c r="L11563" s="3">
        <v>85</v>
      </c>
      <c r="M11563" s="3">
        <v>699</v>
      </c>
    </row>
    <row r="11564" spans="1:13" x14ac:dyDescent="0.25">
      <c r="A11564" s="1" t="str">
        <f>HYPERLINK("http://www.rosaceae.org/Prunus/Prunus_persica/p.persica_gdr_reftransV1_0035739","p.persica_gdr_reftransV1_0035739")</f>
        <v>p.persica_gdr_reftransV1_0035739</v>
      </c>
      <c r="B11564" s="3">
        <v>3756</v>
      </c>
      <c r="C11564" s="1" t="str">
        <f>HYPERLINK("http://www.uniprot.org/uniprot/TPLAT_ARATH","TPLAT_ARATH")</f>
        <v>TPLAT_ARATH</v>
      </c>
      <c r="D11564" t="s">
        <v>7646</v>
      </c>
      <c r="E11564" s="3" t="s">
        <v>3</v>
      </c>
      <c r="F11564" s="4">
        <v>0</v>
      </c>
      <c r="G11564" s="3">
        <v>4295</v>
      </c>
      <c r="H11564" s="3">
        <v>87</v>
      </c>
      <c r="I11564" s="3">
        <v>999</v>
      </c>
      <c r="J11564" s="3">
        <v>230</v>
      </c>
      <c r="K11564" s="3">
        <v>3217</v>
      </c>
      <c r="L11564" s="3">
        <v>1</v>
      </c>
      <c r="M11564" s="3">
        <v>993</v>
      </c>
    </row>
    <row r="11565" spans="1:13" x14ac:dyDescent="0.25">
      <c r="A11565" s="1" t="str">
        <f>HYPERLINK("http://www.rosaceae.org/Prunus/Prunus_persica/p.persica_gdr_reftransV1_0036139","p.persica_gdr_reftransV1_0036139")</f>
        <v>p.persica_gdr_reftransV1_0036139</v>
      </c>
      <c r="B11565" s="3">
        <v>2260</v>
      </c>
      <c r="C11565" s="1" t="str">
        <f>HYPERLINK("http://www.uniprot.org/uniprot/STR6_ARATH","STR6_ARATH")</f>
        <v>STR6_ARATH</v>
      </c>
      <c r="D11565" t="s">
        <v>8130</v>
      </c>
      <c r="E11565" s="3" t="s">
        <v>3</v>
      </c>
      <c r="F11565" s="4">
        <v>1.7400000000000001E-164</v>
      </c>
      <c r="G11565" s="3">
        <v>1273</v>
      </c>
      <c r="H11565" s="3">
        <v>74</v>
      </c>
      <c r="I11565" s="3">
        <v>317</v>
      </c>
      <c r="J11565" s="3">
        <v>94</v>
      </c>
      <c r="K11565" s="3">
        <v>1044</v>
      </c>
      <c r="L11565" s="3">
        <v>19</v>
      </c>
      <c r="M11565" s="3">
        <v>330</v>
      </c>
    </row>
    <row r="11566" spans="1:13" x14ac:dyDescent="0.25">
      <c r="A11566" s="1" t="str">
        <f>HYPERLINK("http://www.rosaceae.org/Prunus/Prunus_persica/p.persica_gdr_reftransV1_0036239","p.persica_gdr_reftransV1_0036239")</f>
        <v>p.persica_gdr_reftransV1_0036239</v>
      </c>
      <c r="B11566" s="3">
        <v>4812</v>
      </c>
      <c r="C11566" s="1" t="str">
        <f>HYPERLINK("http://www.uniprot.org/uniprot/FBK50_ARATH","FBK50_ARATH")</f>
        <v>FBK50_ARATH</v>
      </c>
      <c r="D11566" t="s">
        <v>13</v>
      </c>
      <c r="E11566" s="3" t="s">
        <v>3</v>
      </c>
      <c r="F11566" s="4">
        <v>1.7999999999999999E-44</v>
      </c>
      <c r="G11566" s="3">
        <v>439</v>
      </c>
      <c r="H11566" s="3">
        <v>32</v>
      </c>
      <c r="I11566" s="3">
        <v>392</v>
      </c>
      <c r="J11566" s="3">
        <v>974</v>
      </c>
      <c r="K11566" s="3">
        <v>1996</v>
      </c>
      <c r="L11566" s="3">
        <v>39</v>
      </c>
      <c r="M11566" s="3">
        <v>423</v>
      </c>
    </row>
    <row r="11567" spans="1:13" x14ac:dyDescent="0.25">
      <c r="A11567" s="1" t="str">
        <f>HYPERLINK("http://www.rosaceae.org/Prunus/Prunus_persica/p.persica_gdr_reftransV1_0036289","p.persica_gdr_reftransV1_0036289")</f>
        <v>p.persica_gdr_reftransV1_0036289</v>
      </c>
      <c r="B11567" s="3">
        <v>1272</v>
      </c>
      <c r="C11567" s="1" t="str">
        <f>HYPERLINK("http://www.uniprot.org/uniprot/PSF2_ARATH","PSF2_ARATH")</f>
        <v>PSF2_ARATH</v>
      </c>
      <c r="D11567" t="s">
        <v>8131</v>
      </c>
      <c r="E11567" s="3" t="s">
        <v>3</v>
      </c>
      <c r="F11567" s="4">
        <v>4.0399999999999999E-95</v>
      </c>
      <c r="G11567" s="3">
        <v>745</v>
      </c>
      <c r="H11567" s="3">
        <v>65</v>
      </c>
      <c r="I11567" s="3">
        <v>212</v>
      </c>
      <c r="J11567" s="3">
        <v>437</v>
      </c>
      <c r="K11567" s="3">
        <v>1072</v>
      </c>
      <c r="L11567" s="3">
        <v>1</v>
      </c>
      <c r="M11567" s="3">
        <v>210</v>
      </c>
    </row>
    <row r="11568" spans="1:13" x14ac:dyDescent="0.25">
      <c r="A11568" s="1" t="str">
        <f>HYPERLINK("http://www.rosaceae.org/Prunus/Prunus_persica/p.persica_gdr_reftransV1_0036439","p.persica_gdr_reftransV1_0036439")</f>
        <v>p.persica_gdr_reftransV1_0036439</v>
      </c>
      <c r="B11568" s="3">
        <v>2029</v>
      </c>
      <c r="C11568" s="1" t="str">
        <f>HYPERLINK("http://www.uniprot.org/uniprot/GTG2_ARATH","GTG2_ARATH")</f>
        <v>GTG2_ARATH</v>
      </c>
      <c r="D11568" t="s">
        <v>8132</v>
      </c>
      <c r="E11568" s="3" t="s">
        <v>3</v>
      </c>
      <c r="F11568" s="4">
        <v>0</v>
      </c>
      <c r="G11568" s="3">
        <v>1779</v>
      </c>
      <c r="H11568" s="3">
        <v>86</v>
      </c>
      <c r="I11568" s="3">
        <v>468</v>
      </c>
      <c r="J11568" s="3">
        <v>183</v>
      </c>
      <c r="K11568" s="3">
        <v>1586</v>
      </c>
      <c r="L11568" s="3">
        <v>1</v>
      </c>
      <c r="M11568" s="3">
        <v>467</v>
      </c>
    </row>
    <row r="11569" spans="1:13" x14ac:dyDescent="0.25">
      <c r="A11569" s="1" t="str">
        <f>HYPERLINK("http://www.rosaceae.org/Prunus/Prunus_persica/p.persica_gdr_reftransV1_0036539","p.persica_gdr_reftransV1_0036539")</f>
        <v>p.persica_gdr_reftransV1_0036539</v>
      </c>
      <c r="B11569" s="3">
        <v>1944</v>
      </c>
      <c r="C11569" s="1" t="str">
        <f>HYPERLINK("http://www.uniprot.org/uniprot/ALE2_ARATH","ALE2_ARATH")</f>
        <v>ALE2_ARATH</v>
      </c>
      <c r="D11569" t="s">
        <v>3266</v>
      </c>
      <c r="E11569" s="3" t="s">
        <v>3</v>
      </c>
      <c r="F11569" s="4">
        <v>4.7700000000000005E-47</v>
      </c>
      <c r="G11569" s="3">
        <v>414</v>
      </c>
      <c r="H11569" s="3">
        <v>50</v>
      </c>
      <c r="I11569" s="3">
        <v>159</v>
      </c>
      <c r="J11569" s="3">
        <v>1466</v>
      </c>
      <c r="K11569" s="3">
        <v>1942</v>
      </c>
      <c r="L11569" s="3">
        <v>414</v>
      </c>
      <c r="M11569" s="3">
        <v>566</v>
      </c>
    </row>
    <row r="11570" spans="1:13" x14ac:dyDescent="0.25">
      <c r="A11570" s="1" t="str">
        <f>HYPERLINK("http://www.rosaceae.org/Prunus/Prunus_persica/p.persica_gdr_reftransV1_0036589","p.persica_gdr_reftransV1_0036589")</f>
        <v>p.persica_gdr_reftransV1_0036589</v>
      </c>
      <c r="B11570" s="3">
        <v>3139</v>
      </c>
      <c r="C11570" s="1" t="str">
        <f>HYPERLINK("http://www.uniprot.org/uniprot/NLP3_ORYSJ","NLP3_ORYSJ")</f>
        <v>NLP3_ORYSJ</v>
      </c>
      <c r="D11570" t="s">
        <v>8133</v>
      </c>
      <c r="E11570" s="3" t="s">
        <v>38</v>
      </c>
      <c r="F11570" s="4">
        <v>0</v>
      </c>
      <c r="G11570" s="3">
        <v>1370</v>
      </c>
      <c r="H11570" s="3">
        <v>47</v>
      </c>
      <c r="I11570" s="3">
        <v>712</v>
      </c>
      <c r="J11570" s="3">
        <v>103</v>
      </c>
      <c r="K11570" s="3">
        <v>2172</v>
      </c>
      <c r="L11570" s="3">
        <v>301</v>
      </c>
      <c r="M11570" s="3">
        <v>936</v>
      </c>
    </row>
    <row r="11571" spans="1:13" x14ac:dyDescent="0.25">
      <c r="A11571" s="1" t="str">
        <f>HYPERLINK("http://www.rosaceae.org/Prunus/Prunus_persica/p.persica_gdr_reftransV1_0036739","p.persica_gdr_reftransV1_0036739")</f>
        <v>p.persica_gdr_reftransV1_0036739</v>
      </c>
      <c r="B11571" s="3">
        <v>4378</v>
      </c>
      <c r="C11571" s="1" t="str">
        <f>HYPERLINK("http://www.uniprot.org/uniprot/HERC1_HUMAN","HERC1_HUMAN")</f>
        <v>HERC1_HUMAN</v>
      </c>
      <c r="D11571" t="s">
        <v>8134</v>
      </c>
      <c r="E11571" s="3" t="s">
        <v>28</v>
      </c>
      <c r="F11571" s="4">
        <v>4.0700000000000001E-49</v>
      </c>
      <c r="G11571" s="3">
        <v>500</v>
      </c>
      <c r="H11571" s="3">
        <v>37</v>
      </c>
      <c r="I11571" s="3">
        <v>344</v>
      </c>
      <c r="J11571" s="3">
        <v>1873</v>
      </c>
      <c r="K11571" s="3">
        <v>2889</v>
      </c>
      <c r="L11571" s="3">
        <v>4030</v>
      </c>
      <c r="M11571" s="3">
        <v>4357</v>
      </c>
    </row>
    <row r="11572" spans="1:13" x14ac:dyDescent="0.25">
      <c r="A11572" s="1" t="str">
        <f>HYPERLINK("http://www.rosaceae.org/Prunus/Prunus_persica/p.persica_gdr_reftransV1_0037189","p.persica_gdr_reftransV1_0037189")</f>
        <v>p.persica_gdr_reftransV1_0037189</v>
      </c>
      <c r="B11572" s="3">
        <v>3785</v>
      </c>
      <c r="C11572" s="1" t="str">
        <f>HYPERLINK("http://www.uniprot.org/uniprot/PUB13_ARATH","PUB13_ARATH")</f>
        <v>PUB13_ARATH</v>
      </c>
      <c r="D11572" t="s">
        <v>7396</v>
      </c>
      <c r="E11572" s="3" t="s">
        <v>3</v>
      </c>
      <c r="F11572" s="4">
        <v>0</v>
      </c>
      <c r="G11572" s="3">
        <v>1511</v>
      </c>
      <c r="H11572" s="3">
        <v>75</v>
      </c>
      <c r="I11572" s="3">
        <v>395</v>
      </c>
      <c r="J11572" s="3">
        <v>1837</v>
      </c>
      <c r="K11572" s="3">
        <v>2994</v>
      </c>
      <c r="L11572" s="3">
        <v>279</v>
      </c>
      <c r="M11572" s="3">
        <v>660</v>
      </c>
    </row>
    <row r="11573" spans="1:13" x14ac:dyDescent="0.25">
      <c r="A11573" s="1" t="str">
        <f>HYPERLINK("http://www.rosaceae.org/Prunus/Prunus_persica/p.persica_gdr_reftransV1_0037489","p.persica_gdr_reftransV1_0037489")</f>
        <v>p.persica_gdr_reftransV1_0037489</v>
      </c>
      <c r="B11573" s="3">
        <v>1816</v>
      </c>
      <c r="C11573" s="1" t="str">
        <f>HYPERLINK("http://www.uniprot.org/uniprot/NSUN5_HUMAN","NSUN5_HUMAN")</f>
        <v>NSUN5_HUMAN</v>
      </c>
      <c r="D11573" t="s">
        <v>8135</v>
      </c>
      <c r="E11573" s="3" t="s">
        <v>28</v>
      </c>
      <c r="F11573" s="4">
        <v>9.5600000000000001E-49</v>
      </c>
      <c r="G11573" s="3">
        <v>306</v>
      </c>
      <c r="H11573" s="3">
        <v>34</v>
      </c>
      <c r="I11573" s="3">
        <v>285</v>
      </c>
      <c r="J11573" s="3">
        <v>215</v>
      </c>
      <c r="K11573" s="3">
        <v>1006</v>
      </c>
      <c r="L11573" s="3">
        <v>19</v>
      </c>
      <c r="M11573" s="3">
        <v>303</v>
      </c>
    </row>
    <row r="11574" spans="1:13" x14ac:dyDescent="0.25">
      <c r="A11574" s="1" t="str">
        <f>HYPERLINK("http://www.rosaceae.org/Prunus/Prunus_persica/p.persica_gdr_reftransV1_0038289","p.persica_gdr_reftransV1_0038289")</f>
        <v>p.persica_gdr_reftransV1_0038289</v>
      </c>
      <c r="B11574" s="3">
        <v>848</v>
      </c>
      <c r="C11574" s="1" t="str">
        <f>HYPERLINK("http://www.uniprot.org/uniprot/Y3720_ARATH","Y3720_ARATH")</f>
        <v>Y3720_ARATH</v>
      </c>
      <c r="D11574" t="s">
        <v>104</v>
      </c>
      <c r="E11574" s="3" t="s">
        <v>3</v>
      </c>
      <c r="F11574" s="4">
        <v>1.47E-30</v>
      </c>
      <c r="G11574" s="3">
        <v>308</v>
      </c>
      <c r="H11574" s="3">
        <v>35</v>
      </c>
      <c r="I11574" s="3">
        <v>230</v>
      </c>
      <c r="J11574" s="3">
        <v>155</v>
      </c>
      <c r="K11574" s="3">
        <v>832</v>
      </c>
      <c r="L11574" s="3">
        <v>21</v>
      </c>
      <c r="M11574" s="3">
        <v>243</v>
      </c>
    </row>
    <row r="11575" spans="1:13" x14ac:dyDescent="0.25">
      <c r="A11575" s="1" t="str">
        <f>HYPERLINK("http://www.rosaceae.org/Prunus/Prunus_persica/p.persica_gdr_reftransV1_0038339","p.persica_gdr_reftransV1_0038339")</f>
        <v>p.persica_gdr_reftransV1_0038339</v>
      </c>
      <c r="B11575" s="3">
        <v>1661</v>
      </c>
      <c r="C11575" s="1" t="str">
        <f>HYPERLINK("http://www.uniprot.org/uniprot/HIBC5_ARATH","HIBC5_ARATH")</f>
        <v>HIBC5_ARATH</v>
      </c>
      <c r="D11575" t="s">
        <v>8136</v>
      </c>
      <c r="E11575" s="3" t="s">
        <v>3</v>
      </c>
      <c r="F11575" s="4">
        <v>0</v>
      </c>
      <c r="G11575" s="3">
        <v>1356</v>
      </c>
      <c r="H11575" s="3">
        <v>64</v>
      </c>
      <c r="I11575" s="3">
        <v>442</v>
      </c>
      <c r="J11575" s="3">
        <v>129</v>
      </c>
      <c r="K11575" s="3">
        <v>1436</v>
      </c>
      <c r="L11575" s="3">
        <v>1</v>
      </c>
      <c r="M11575" s="3">
        <v>408</v>
      </c>
    </row>
    <row r="11576" spans="1:13" x14ac:dyDescent="0.25">
      <c r="A11576" s="1" t="str">
        <f>HYPERLINK("http://www.rosaceae.org/Prunus/Prunus_persica/p.persica_gdr_reftransV1_0038639","p.persica_gdr_reftransV1_0038639")</f>
        <v>p.persica_gdr_reftransV1_0038639</v>
      </c>
      <c r="B11576" s="3">
        <v>1508</v>
      </c>
      <c r="C11576" s="1" t="str">
        <f>HYPERLINK("http://www.uniprot.org/uniprot/GPN2_MOUSE","GPN2_MOUSE")</f>
        <v>GPN2_MOUSE</v>
      </c>
      <c r="D11576" t="s">
        <v>8137</v>
      </c>
      <c r="E11576" s="3" t="s">
        <v>157</v>
      </c>
      <c r="F11576" s="4">
        <v>4.5199999999999999E-116</v>
      </c>
      <c r="G11576" s="3">
        <v>901</v>
      </c>
      <c r="H11576" s="3">
        <v>56</v>
      </c>
      <c r="I11576" s="3">
        <v>300</v>
      </c>
      <c r="J11576" s="3">
        <v>174</v>
      </c>
      <c r="K11576" s="3">
        <v>1073</v>
      </c>
      <c r="L11576" s="3">
        <v>9</v>
      </c>
      <c r="M11576" s="3">
        <v>306</v>
      </c>
    </row>
    <row r="11577" spans="1:13" x14ac:dyDescent="0.25">
      <c r="A11577" s="1" t="str">
        <f>HYPERLINK("http://www.rosaceae.org/Prunus/Prunus_persica/p.persica_gdr_reftransV1_0039189","p.persica_gdr_reftransV1_0039189")</f>
        <v>p.persica_gdr_reftransV1_0039189</v>
      </c>
      <c r="B11577" s="3">
        <v>1700</v>
      </c>
      <c r="C11577" s="1" t="str">
        <f>HYPERLINK("http://www.uniprot.org/uniprot/PP167_ARATH","PP167_ARATH")</f>
        <v>PP167_ARATH</v>
      </c>
      <c r="D11577" t="s">
        <v>402</v>
      </c>
      <c r="E11577" s="3" t="s">
        <v>3</v>
      </c>
      <c r="F11577" s="4">
        <v>0</v>
      </c>
      <c r="G11577" s="3">
        <v>1574</v>
      </c>
      <c r="H11577" s="3">
        <v>63</v>
      </c>
      <c r="I11577" s="3">
        <v>500</v>
      </c>
      <c r="J11577" s="3">
        <v>5</v>
      </c>
      <c r="K11577" s="3">
        <v>1501</v>
      </c>
      <c r="L11577" s="3">
        <v>1</v>
      </c>
      <c r="M11577" s="3">
        <v>496</v>
      </c>
    </row>
    <row r="11578" spans="1:13" x14ac:dyDescent="0.25">
      <c r="A11578" s="1" t="str">
        <f>HYPERLINK("http://www.rosaceae.org/Prunus/Prunus_persica/p.persica_gdr_reftransV1_0039289","p.persica_gdr_reftransV1_0039289")</f>
        <v>p.persica_gdr_reftransV1_0039289</v>
      </c>
      <c r="B11578" s="3">
        <v>1171</v>
      </c>
      <c r="C11578" s="1" t="str">
        <f>HYPERLINK("http://www.uniprot.org/uniprot/DRE1B_ARATH","DRE1B_ARATH")</f>
        <v>DRE1B_ARATH</v>
      </c>
      <c r="D11578" t="s">
        <v>8138</v>
      </c>
      <c r="E11578" s="3" t="s">
        <v>3</v>
      </c>
      <c r="F11578" s="4">
        <v>7.0500000000000003E-57</v>
      </c>
      <c r="G11578" s="3">
        <v>486</v>
      </c>
      <c r="H11578" s="3">
        <v>48</v>
      </c>
      <c r="I11578" s="3">
        <v>223</v>
      </c>
      <c r="J11578" s="3">
        <v>433</v>
      </c>
      <c r="K11578" s="3">
        <v>1065</v>
      </c>
      <c r="L11578" s="3">
        <v>5</v>
      </c>
      <c r="M11578" s="3">
        <v>213</v>
      </c>
    </row>
    <row r="11579" spans="1:13" x14ac:dyDescent="0.25">
      <c r="A11579" s="1" t="str">
        <f>HYPERLINK("http://www.rosaceae.org/Prunus/Prunus_persica/p.persica_gdr_reftransV1_0039339","p.persica_gdr_reftransV1_0039339")</f>
        <v>p.persica_gdr_reftransV1_0039339</v>
      </c>
      <c r="B11579" s="3">
        <v>1419</v>
      </c>
      <c r="C11579" s="1" t="str">
        <f>HYPERLINK("http://www.uniprot.org/uniprot/AUR3_ARATH","AUR3_ARATH")</f>
        <v>AUR3_ARATH</v>
      </c>
      <c r="D11579" t="s">
        <v>8139</v>
      </c>
      <c r="E11579" s="3" t="s">
        <v>3</v>
      </c>
      <c r="F11579" s="4">
        <v>3.6000000000000003E-170</v>
      </c>
      <c r="G11579" s="3">
        <v>1255</v>
      </c>
      <c r="H11579" s="3">
        <v>81</v>
      </c>
      <c r="I11579" s="3">
        <v>278</v>
      </c>
      <c r="J11579" s="3">
        <v>359</v>
      </c>
      <c r="K11579" s="3">
        <v>1192</v>
      </c>
      <c r="L11579" s="3">
        <v>6</v>
      </c>
      <c r="M11579" s="3">
        <v>283</v>
      </c>
    </row>
    <row r="11580" spans="1:13" x14ac:dyDescent="0.25">
      <c r="A11580" s="1" t="str">
        <f>HYPERLINK("http://www.rosaceae.org/Prunus/Prunus_persica/p.persica_gdr_reftransV1_0039389","p.persica_gdr_reftransV1_0039389")</f>
        <v>p.persica_gdr_reftransV1_0039389</v>
      </c>
      <c r="B11580" s="3">
        <v>1849</v>
      </c>
      <c r="C11580" s="1" t="str">
        <f>HYPERLINK("http://www.uniprot.org/uniprot/GLYM1_FLAPR","GLYM1_FLAPR")</f>
        <v>GLYM1_FLAPR</v>
      </c>
      <c r="D11580" t="s">
        <v>8140</v>
      </c>
      <c r="E11580" s="3" t="s">
        <v>8141</v>
      </c>
      <c r="F11580" s="4">
        <v>0</v>
      </c>
      <c r="G11580" s="3">
        <v>2395</v>
      </c>
      <c r="H11580" s="3">
        <v>89</v>
      </c>
      <c r="I11580" s="3">
        <v>514</v>
      </c>
      <c r="J11580" s="3">
        <v>223</v>
      </c>
      <c r="K11580" s="3">
        <v>1764</v>
      </c>
      <c r="L11580" s="3">
        <v>4</v>
      </c>
      <c r="M11580" s="3">
        <v>517</v>
      </c>
    </row>
    <row r="11581" spans="1:13" x14ac:dyDescent="0.25">
      <c r="A11581" s="1" t="str">
        <f>HYPERLINK("http://www.rosaceae.org/Prunus/Prunus_persica/p.persica_gdr_reftransV1_0039589","p.persica_gdr_reftransV1_0039589")</f>
        <v>p.persica_gdr_reftransV1_0039589</v>
      </c>
      <c r="B11581" s="3">
        <v>1997</v>
      </c>
      <c r="C11581" s="1" t="str">
        <f>HYPERLINK("http://www.uniprot.org/uniprot/CIPK2_ORYSJ","CIPK2_ORYSJ")</f>
        <v>CIPK2_ORYSJ</v>
      </c>
      <c r="D11581" t="s">
        <v>8142</v>
      </c>
      <c r="E11581" s="3" t="s">
        <v>38</v>
      </c>
      <c r="F11581" s="4">
        <v>0</v>
      </c>
      <c r="G11581" s="3">
        <v>1540</v>
      </c>
      <c r="H11581" s="3">
        <v>69</v>
      </c>
      <c r="I11581" s="3">
        <v>435</v>
      </c>
      <c r="J11581" s="3">
        <v>291</v>
      </c>
      <c r="K11581" s="3">
        <v>1592</v>
      </c>
      <c r="L11581" s="3">
        <v>3</v>
      </c>
      <c r="M11581" s="3">
        <v>430</v>
      </c>
    </row>
    <row r="11582" spans="1:13" x14ac:dyDescent="0.25">
      <c r="A11582" s="1" t="str">
        <f>HYPERLINK("http://www.rosaceae.org/Prunus/Prunus_persica/p.persica_gdr_reftransV1_0039939","p.persica_gdr_reftransV1_0039939")</f>
        <v>p.persica_gdr_reftransV1_0039939</v>
      </c>
      <c r="B11582" s="3">
        <v>1603</v>
      </c>
      <c r="C11582" s="1" t="str">
        <f>HYPERLINK("http://www.uniprot.org/uniprot/DNAJ_BACP2","DNAJ_BACP2")</f>
        <v>DNAJ_BACP2</v>
      </c>
      <c r="D11582" t="s">
        <v>8143</v>
      </c>
      <c r="E11582" s="3" t="s">
        <v>8144</v>
      </c>
      <c r="F11582" s="4">
        <v>4.7000000000000002E-14</v>
      </c>
      <c r="G11582" s="3">
        <v>189</v>
      </c>
      <c r="H11582" s="3">
        <v>63</v>
      </c>
      <c r="I11582" s="3">
        <v>56</v>
      </c>
      <c r="J11582" s="3">
        <v>941</v>
      </c>
      <c r="K11582" s="3">
        <v>1108</v>
      </c>
      <c r="L11582" s="3">
        <v>7</v>
      </c>
      <c r="M11582" s="3">
        <v>62</v>
      </c>
    </row>
    <row r="11583" spans="1:13" x14ac:dyDescent="0.25">
      <c r="A11583" s="1" t="str">
        <f>HYPERLINK("http://www.rosaceae.org/Prunus/Prunus_persica/p.persica_gdr_reftransV1_0040089","p.persica_gdr_reftransV1_0040089")</f>
        <v>p.persica_gdr_reftransV1_0040089</v>
      </c>
      <c r="B11583" s="3">
        <v>969</v>
      </c>
      <c r="C11583" s="1" t="str">
        <f>HYPERLINK("http://www.uniprot.org/uniprot/NLTL2_ARATH","NLTL2_ARATH")</f>
        <v>NLTL2_ARATH</v>
      </c>
      <c r="D11583" t="s">
        <v>8145</v>
      </c>
      <c r="E11583" s="3" t="s">
        <v>3</v>
      </c>
      <c r="F11583" s="4">
        <v>1.12E-7</v>
      </c>
      <c r="G11583" s="3">
        <v>129</v>
      </c>
      <c r="H11583" s="3">
        <v>37</v>
      </c>
      <c r="I11583" s="3">
        <v>84</v>
      </c>
      <c r="J11583" s="3">
        <v>259</v>
      </c>
      <c r="K11583" s="3">
        <v>504</v>
      </c>
      <c r="L11583" s="3">
        <v>23</v>
      </c>
      <c r="M11583" s="3">
        <v>105</v>
      </c>
    </row>
    <row r="11584" spans="1:13" x14ac:dyDescent="0.25">
      <c r="A11584" s="1" t="str">
        <f>HYPERLINK("http://www.rosaceae.org/Prunus/Prunus_persica/p.persica_gdr_reftransV1_0040439","p.persica_gdr_reftransV1_0040439")</f>
        <v>p.persica_gdr_reftransV1_0040439</v>
      </c>
      <c r="B11584" s="3">
        <v>1635</v>
      </c>
      <c r="C11584" s="1" t="str">
        <f>HYPERLINK("http://www.uniprot.org/uniprot/Y8948_DICDI","Y8948_DICDI")</f>
        <v>Y8948_DICDI</v>
      </c>
      <c r="D11584" t="s">
        <v>2706</v>
      </c>
      <c r="E11584" s="3" t="s">
        <v>9</v>
      </c>
      <c r="F11584" s="4">
        <v>5.9299999999999995E-20</v>
      </c>
      <c r="G11584" s="3">
        <v>232</v>
      </c>
      <c r="H11584" s="3">
        <v>31</v>
      </c>
      <c r="I11584" s="3">
        <v>215</v>
      </c>
      <c r="J11584" s="3">
        <v>420</v>
      </c>
      <c r="K11584" s="3">
        <v>1049</v>
      </c>
      <c r="L11584" s="3">
        <v>61</v>
      </c>
      <c r="M11584" s="3">
        <v>261</v>
      </c>
    </row>
    <row r="11585" spans="1:13" x14ac:dyDescent="0.25">
      <c r="A11585" s="1" t="str">
        <f>HYPERLINK("http://www.rosaceae.org/Prunus/Prunus_persica/p.persica_gdr_reftransV1_0040539","p.persica_gdr_reftransV1_0040539")</f>
        <v>p.persica_gdr_reftransV1_0040539</v>
      </c>
      <c r="B11585" s="3">
        <v>1311</v>
      </c>
      <c r="C11585" s="1" t="str">
        <f>HYPERLINK("http://www.uniprot.org/uniprot/T2FB_BOVIN","T2FB_BOVIN")</f>
        <v>T2FB_BOVIN</v>
      </c>
      <c r="D11585" t="s">
        <v>8146</v>
      </c>
      <c r="E11585" s="3" t="s">
        <v>184</v>
      </c>
      <c r="F11585" s="4">
        <v>8.01E-16</v>
      </c>
      <c r="G11585" s="3">
        <v>197</v>
      </c>
      <c r="H11585" s="3">
        <v>35</v>
      </c>
      <c r="I11585" s="3">
        <v>157</v>
      </c>
      <c r="J11585" s="3">
        <v>428</v>
      </c>
      <c r="K11585" s="3">
        <v>895</v>
      </c>
      <c r="L11585" s="3">
        <v>93</v>
      </c>
      <c r="M11585" s="3">
        <v>240</v>
      </c>
    </row>
    <row r="11586" spans="1:13" x14ac:dyDescent="0.25">
      <c r="A11586" s="1" t="str">
        <f>HYPERLINK("http://www.rosaceae.org/Prunus/Prunus_persica/p.persica_gdr_reftransV1_0040589","p.persica_gdr_reftransV1_0040589")</f>
        <v>p.persica_gdr_reftransV1_0040589</v>
      </c>
      <c r="B11586" s="3">
        <v>2384</v>
      </c>
      <c r="C11586" s="1" t="str">
        <f>HYPERLINK("http://www.uniprot.org/uniprot/EGY2_ARATH","EGY2_ARATH")</f>
        <v>EGY2_ARATH</v>
      </c>
      <c r="D11586" t="s">
        <v>8147</v>
      </c>
      <c r="E11586" s="3" t="s">
        <v>3</v>
      </c>
      <c r="F11586" s="4">
        <v>9.9999999999999993E-103</v>
      </c>
      <c r="G11586" s="3">
        <v>857</v>
      </c>
      <c r="H11586" s="3">
        <v>83</v>
      </c>
      <c r="I11586" s="3">
        <v>249</v>
      </c>
      <c r="J11586" s="3">
        <v>1465</v>
      </c>
      <c r="K11586" s="3">
        <v>2211</v>
      </c>
      <c r="L11586" s="3">
        <v>299</v>
      </c>
      <c r="M11586" s="3">
        <v>547</v>
      </c>
    </row>
    <row r="11587" spans="1:13" x14ac:dyDescent="0.25">
      <c r="A11587" s="1" t="str">
        <f>HYPERLINK("http://www.rosaceae.org/Prunus/Prunus_persica/p.persica_gdr_reftransV1_0040939","p.persica_gdr_reftransV1_0040939")</f>
        <v>p.persica_gdr_reftransV1_0040939</v>
      </c>
      <c r="B11587" s="3">
        <v>3795</v>
      </c>
      <c r="C11587" s="1" t="str">
        <f>HYPERLINK("http://www.uniprot.org/uniprot/DRL43_ARATH","DRL43_ARATH")</f>
        <v>DRL43_ARATH</v>
      </c>
      <c r="D11587" t="s">
        <v>8148</v>
      </c>
      <c r="E11587" s="3" t="s">
        <v>3</v>
      </c>
      <c r="F11587" s="4">
        <v>1.24E-108</v>
      </c>
      <c r="G11587" s="3">
        <v>943</v>
      </c>
      <c r="H11587" s="3">
        <v>42</v>
      </c>
      <c r="I11587" s="3">
        <v>517</v>
      </c>
      <c r="J11587" s="3">
        <v>2149</v>
      </c>
      <c r="K11587" s="3">
        <v>3687</v>
      </c>
      <c r="L11587" s="3">
        <v>351</v>
      </c>
      <c r="M11587" s="3">
        <v>812</v>
      </c>
    </row>
    <row r="11588" spans="1:13" x14ac:dyDescent="0.25">
      <c r="A11588" s="1" t="str">
        <f>HYPERLINK("http://www.rosaceae.org/Prunus/Prunus_persica/p.persica_gdr_reftransV1_0041539","p.persica_gdr_reftransV1_0041539")</f>
        <v>p.persica_gdr_reftransV1_0041539</v>
      </c>
      <c r="B11588" s="3">
        <v>951</v>
      </c>
      <c r="C11588" s="1" t="str">
        <f>HYPERLINK("http://www.uniprot.org/uniprot/H2AV3_ARATH","H2AV3_ARATH")</f>
        <v>H2AV3_ARATH</v>
      </c>
      <c r="D11588" t="s">
        <v>8149</v>
      </c>
      <c r="E11588" s="3" t="s">
        <v>3</v>
      </c>
      <c r="F11588" s="4">
        <v>2.5399999999999999E-63</v>
      </c>
      <c r="G11588" s="3">
        <v>516</v>
      </c>
      <c r="H11588" s="3">
        <v>82</v>
      </c>
      <c r="I11588" s="3">
        <v>135</v>
      </c>
      <c r="J11588" s="3">
        <v>373</v>
      </c>
      <c r="K11588" s="3">
        <v>777</v>
      </c>
      <c r="L11588" s="3">
        <v>1</v>
      </c>
      <c r="M11588" s="3">
        <v>134</v>
      </c>
    </row>
    <row r="11589" spans="1:13" x14ac:dyDescent="0.25">
      <c r="A11589" s="1" t="str">
        <f>HYPERLINK("http://www.rosaceae.org/Prunus/Prunus_persica/p.persica_gdr_reftransV1_0041639","p.persica_gdr_reftransV1_0041639")</f>
        <v>p.persica_gdr_reftransV1_0041639</v>
      </c>
      <c r="B11589" s="3">
        <v>4242</v>
      </c>
      <c r="C11589" s="1" t="str">
        <f>HYPERLINK("http://www.uniprot.org/uniprot/BSL1_ARATH","BSL1_ARATH")</f>
        <v>BSL1_ARATH</v>
      </c>
      <c r="D11589" t="s">
        <v>8150</v>
      </c>
      <c r="E11589" s="3" t="s">
        <v>3</v>
      </c>
      <c r="F11589" s="4">
        <v>0</v>
      </c>
      <c r="G11589" s="3">
        <v>3607</v>
      </c>
      <c r="H11589" s="3">
        <v>78</v>
      </c>
      <c r="I11589" s="3">
        <v>939</v>
      </c>
      <c r="J11589" s="3">
        <v>359</v>
      </c>
      <c r="K11589" s="3">
        <v>3172</v>
      </c>
      <c r="L11589" s="3">
        <v>1</v>
      </c>
      <c r="M11589" s="3">
        <v>881</v>
      </c>
    </row>
    <row r="11590" spans="1:13" x14ac:dyDescent="0.25">
      <c r="A11590" s="1" t="str">
        <f>HYPERLINK("http://www.rosaceae.org/Prunus/Prunus_persica/p.persica_gdr_reftransV1_0041989","p.persica_gdr_reftransV1_0041989")</f>
        <v>p.persica_gdr_reftransV1_0041989</v>
      </c>
      <c r="B11590" s="3">
        <v>548</v>
      </c>
      <c r="C11590" s="1" t="str">
        <f>HYPERLINK("http://www.uniprot.org/uniprot/ILL6_ARATH","ILL6_ARATH")</f>
        <v>ILL6_ARATH</v>
      </c>
      <c r="D11590" t="s">
        <v>7045</v>
      </c>
      <c r="E11590" s="3" t="s">
        <v>3</v>
      </c>
      <c r="F11590" s="4">
        <v>2.3800000000000001E-9</v>
      </c>
      <c r="G11590" s="3">
        <v>142</v>
      </c>
      <c r="H11590" s="3">
        <v>38</v>
      </c>
      <c r="I11590" s="3">
        <v>84</v>
      </c>
      <c r="J11590" s="3">
        <v>311</v>
      </c>
      <c r="K11590" s="3">
        <v>547</v>
      </c>
      <c r="L11590" s="3">
        <v>28</v>
      </c>
      <c r="M11590" s="3">
        <v>102</v>
      </c>
    </row>
    <row r="11591" spans="1:13" x14ac:dyDescent="0.25">
      <c r="A11591" s="1" t="str">
        <f>HYPERLINK("http://www.rosaceae.org/Prunus/Prunus_persica/p.persica_gdr_reftransV1_0043039","p.persica_gdr_reftransV1_0043039")</f>
        <v>p.persica_gdr_reftransV1_0043039</v>
      </c>
      <c r="B11591" s="3">
        <v>2086</v>
      </c>
      <c r="C11591" s="1" t="str">
        <f>HYPERLINK("http://www.uniprot.org/uniprot/ADCK1_CHICK","ADCK1_CHICK")</f>
        <v>ADCK1_CHICK</v>
      </c>
      <c r="D11591" t="s">
        <v>8151</v>
      </c>
      <c r="E11591" s="3" t="s">
        <v>1278</v>
      </c>
      <c r="F11591" s="4">
        <v>4.1400000000000003E-43</v>
      </c>
      <c r="G11591" s="3">
        <v>422</v>
      </c>
      <c r="H11591" s="3">
        <v>34</v>
      </c>
      <c r="I11591" s="3">
        <v>312</v>
      </c>
      <c r="J11591" s="3">
        <v>661</v>
      </c>
      <c r="K11591" s="3">
        <v>1578</v>
      </c>
      <c r="L11591" s="3">
        <v>72</v>
      </c>
      <c r="M11591" s="3">
        <v>370</v>
      </c>
    </row>
    <row r="11592" spans="1:13" x14ac:dyDescent="0.25">
      <c r="A11592" s="1" t="str">
        <f>HYPERLINK("http://www.rosaceae.org/Prunus/Prunus_persica/p.persica_gdr_reftransV1_0043139","p.persica_gdr_reftransV1_0043139")</f>
        <v>p.persica_gdr_reftransV1_0043139</v>
      </c>
      <c r="B11592" s="3">
        <v>2244</v>
      </c>
      <c r="C11592" s="1" t="str">
        <f>HYPERLINK("http://www.uniprot.org/uniprot/EA6_ARATH","EA6_ARATH")</f>
        <v>EA6_ARATH</v>
      </c>
      <c r="D11592" t="s">
        <v>4812</v>
      </c>
      <c r="E11592" s="3" t="s">
        <v>3</v>
      </c>
      <c r="F11592" s="4">
        <v>6.6399999999999997E-180</v>
      </c>
      <c r="G11592" s="3">
        <v>1365</v>
      </c>
      <c r="H11592" s="3">
        <v>52</v>
      </c>
      <c r="I11592" s="3">
        <v>476</v>
      </c>
      <c r="J11592" s="3">
        <v>353</v>
      </c>
      <c r="K11592" s="3">
        <v>1735</v>
      </c>
      <c r="L11592" s="3">
        <v>4</v>
      </c>
      <c r="M11592" s="3">
        <v>478</v>
      </c>
    </row>
    <row r="11593" spans="1:13" x14ac:dyDescent="0.25">
      <c r="A11593" s="1" t="str">
        <f>HYPERLINK("http://www.rosaceae.org/Prunus/Prunus_persica/p.persica_gdr_reftransV1_0043189","p.persica_gdr_reftransV1_0043189")</f>
        <v>p.persica_gdr_reftransV1_0043189</v>
      </c>
      <c r="B11593" s="3">
        <v>1294</v>
      </c>
      <c r="C11593" s="1" t="str">
        <f>HYPERLINK("http://www.uniprot.org/uniprot/ATPO_IPOBA","ATPO_IPOBA")</f>
        <v>ATPO_IPOBA</v>
      </c>
      <c r="D11593" t="s">
        <v>8152</v>
      </c>
      <c r="E11593" s="3" t="s">
        <v>6229</v>
      </c>
      <c r="F11593" s="4">
        <v>1.5599999999999999E-98</v>
      </c>
      <c r="G11593" s="3">
        <v>771</v>
      </c>
      <c r="H11593" s="3">
        <v>67</v>
      </c>
      <c r="I11593" s="3">
        <v>248</v>
      </c>
      <c r="J11593" s="3">
        <v>105</v>
      </c>
      <c r="K11593" s="3">
        <v>848</v>
      </c>
      <c r="L11593" s="3">
        <v>1</v>
      </c>
      <c r="M11593" s="3">
        <v>244</v>
      </c>
    </row>
    <row r="11594" spans="1:13" x14ac:dyDescent="0.25">
      <c r="A11594" s="1" t="str">
        <f>HYPERLINK("http://www.rosaceae.org/Prunus/Prunus_persica/p.persica_gdr_reftransV1_0043239","p.persica_gdr_reftransV1_0043239")</f>
        <v>p.persica_gdr_reftransV1_0043239</v>
      </c>
      <c r="B11594" s="3">
        <v>1167</v>
      </c>
      <c r="C11594" s="1" t="str">
        <f>HYPERLINK("http://www.uniprot.org/uniprot/C94B3_ARATH","C94B3_ARATH")</f>
        <v>C94B3_ARATH</v>
      </c>
      <c r="D11594" t="s">
        <v>8153</v>
      </c>
      <c r="E11594" s="3" t="s">
        <v>3</v>
      </c>
      <c r="F11594" s="4">
        <v>4.7899999999999998E-137</v>
      </c>
      <c r="G11594" s="3">
        <v>1048</v>
      </c>
      <c r="H11594" s="3">
        <v>60</v>
      </c>
      <c r="I11594" s="3">
        <v>334</v>
      </c>
      <c r="J11594" s="3">
        <v>155</v>
      </c>
      <c r="K11594" s="3">
        <v>1150</v>
      </c>
      <c r="L11594" s="3">
        <v>167</v>
      </c>
      <c r="M11594" s="3">
        <v>500</v>
      </c>
    </row>
    <row r="11595" spans="1:13" x14ac:dyDescent="0.25">
      <c r="A11595" s="1" t="str">
        <f>HYPERLINK("http://www.rosaceae.org/Prunus/Prunus_persica/p.persica_gdr_reftransV1_0043439","p.persica_gdr_reftransV1_0043439")</f>
        <v>p.persica_gdr_reftransV1_0043439</v>
      </c>
      <c r="B11595" s="3">
        <v>313</v>
      </c>
      <c r="C11595" s="1" t="str">
        <f>HYPERLINK("http://www.uniprot.org/uniprot/AB51G_ORYSJ","AB51G_ORYSJ")</f>
        <v>AB51G_ORYSJ</v>
      </c>
      <c r="D11595" t="s">
        <v>8154</v>
      </c>
      <c r="E11595" s="3" t="s">
        <v>38</v>
      </c>
      <c r="F11595" s="4">
        <v>1.91E-42</v>
      </c>
      <c r="G11595" s="3">
        <v>388</v>
      </c>
      <c r="H11595" s="3">
        <v>74</v>
      </c>
      <c r="I11595" s="3">
        <v>105</v>
      </c>
      <c r="J11595" s="3">
        <v>2</v>
      </c>
      <c r="K11595" s="3">
        <v>313</v>
      </c>
      <c r="L11595" s="3">
        <v>1294</v>
      </c>
      <c r="M11595" s="3">
        <v>1398</v>
      </c>
    </row>
    <row r="11596" spans="1:13" x14ac:dyDescent="0.25">
      <c r="A11596" s="1" t="str">
        <f>HYPERLINK("http://www.rosaceae.org/Prunus/Prunus_persica/p.persica_gdr_reftransV1_0043539","p.persica_gdr_reftransV1_0043539")</f>
        <v>p.persica_gdr_reftransV1_0043539</v>
      </c>
      <c r="B11596" s="3">
        <v>1187</v>
      </c>
      <c r="C11596" s="1" t="str">
        <f>HYPERLINK("http://www.uniprot.org/uniprot/C94B3_ARATH","C94B3_ARATH")</f>
        <v>C94B3_ARATH</v>
      </c>
      <c r="D11596" t="s">
        <v>8153</v>
      </c>
      <c r="E11596" s="3" t="s">
        <v>3</v>
      </c>
      <c r="F11596" s="4">
        <v>4.5299999999999997E-180</v>
      </c>
      <c r="G11596" s="3">
        <v>1334</v>
      </c>
      <c r="H11596" s="3">
        <v>66</v>
      </c>
      <c r="I11596" s="3">
        <v>380</v>
      </c>
      <c r="J11596" s="3">
        <v>2</v>
      </c>
      <c r="K11596" s="3">
        <v>1138</v>
      </c>
      <c r="L11596" s="3">
        <v>128</v>
      </c>
      <c r="M11596" s="3">
        <v>500</v>
      </c>
    </row>
    <row r="11597" spans="1:13" x14ac:dyDescent="0.25">
      <c r="A11597" s="1" t="str">
        <f>HYPERLINK("http://www.rosaceae.org/Prunus/Prunus_persica/p.persica_gdr_reftransV1_0043589","p.persica_gdr_reftransV1_0043589")</f>
        <v>p.persica_gdr_reftransV1_0043589</v>
      </c>
      <c r="B11597" s="3">
        <v>608</v>
      </c>
      <c r="C11597" s="1" t="str">
        <f>HYPERLINK("http://www.uniprot.org/uniprot/TT12_ARATH","TT12_ARATH")</f>
        <v>TT12_ARATH</v>
      </c>
      <c r="D11597" t="s">
        <v>353</v>
      </c>
      <c r="E11597" s="3" t="s">
        <v>3</v>
      </c>
      <c r="F11597" s="4">
        <v>7.6900000000000003E-25</v>
      </c>
      <c r="G11597" s="3">
        <v>261</v>
      </c>
      <c r="H11597" s="3">
        <v>45</v>
      </c>
      <c r="I11597" s="3">
        <v>130</v>
      </c>
      <c r="J11597" s="3">
        <v>101</v>
      </c>
      <c r="K11597" s="3">
        <v>433</v>
      </c>
      <c r="L11597" s="3">
        <v>8</v>
      </c>
      <c r="M11597" s="3">
        <v>136</v>
      </c>
    </row>
    <row r="11598" spans="1:13" x14ac:dyDescent="0.25">
      <c r="A11598" s="1" t="str">
        <f>HYPERLINK("http://www.rosaceae.org/Prunus/Prunus_persica/p.persica_gdr_reftransV1_0043639","p.persica_gdr_reftransV1_0043639")</f>
        <v>p.persica_gdr_reftransV1_0043639</v>
      </c>
      <c r="B11598" s="3">
        <v>1637</v>
      </c>
      <c r="C11598" s="1" t="str">
        <f>HYPERLINK("http://www.uniprot.org/uniprot/Pid2_ARATH","Pid2_ARATH")</f>
        <v>Pid2_ARATH</v>
      </c>
      <c r="D11598" t="s">
        <v>8155</v>
      </c>
      <c r="E11598" s="3" t="s">
        <v>3</v>
      </c>
      <c r="F11598" s="4">
        <v>0</v>
      </c>
      <c r="G11598" s="3">
        <v>1455</v>
      </c>
      <c r="H11598" s="3">
        <v>60</v>
      </c>
      <c r="I11598" s="3">
        <v>524</v>
      </c>
      <c r="J11598" s="3">
        <v>107</v>
      </c>
      <c r="K11598" s="3">
        <v>1564</v>
      </c>
      <c r="L11598" s="3">
        <v>11</v>
      </c>
      <c r="M11598" s="3">
        <v>525</v>
      </c>
    </row>
    <row r="11599" spans="1:13" x14ac:dyDescent="0.25">
      <c r="A11599" s="1" t="str">
        <f>HYPERLINK("http://www.rosaceae.org/Prunus/Prunus_persica/p.persica_gdr_reftransV1_0043689","p.persica_gdr_reftransV1_0043689")</f>
        <v>p.persica_gdr_reftransV1_0043689</v>
      </c>
      <c r="B11599" s="3">
        <v>1370</v>
      </c>
      <c r="C11599" s="1" t="str">
        <f>HYPERLINK("http://www.uniprot.org/uniprot/CYSKP_CAPAN","CYSKP_CAPAN")</f>
        <v>CYSKP_CAPAN</v>
      </c>
      <c r="D11599" t="s">
        <v>8156</v>
      </c>
      <c r="E11599" s="3" t="s">
        <v>588</v>
      </c>
      <c r="F11599" s="4">
        <v>2.3699999999999999E-154</v>
      </c>
      <c r="G11599" s="3">
        <v>1157</v>
      </c>
      <c r="H11599" s="3">
        <v>77</v>
      </c>
      <c r="I11599" s="3">
        <v>314</v>
      </c>
      <c r="J11599" s="3">
        <v>186</v>
      </c>
      <c r="K11599" s="3">
        <v>1025</v>
      </c>
      <c r="L11599" s="3">
        <v>60</v>
      </c>
      <c r="M11599" s="3">
        <v>373</v>
      </c>
    </row>
    <row r="11600" spans="1:13" x14ac:dyDescent="0.25">
      <c r="A11600" s="1" t="str">
        <f>HYPERLINK("http://www.rosaceae.org/Prunus/Prunus_persica/p.persica_gdr_reftransV1_0043739","p.persica_gdr_reftransV1_0043739")</f>
        <v>p.persica_gdr_reftransV1_0043739</v>
      </c>
      <c r="B11600" s="3">
        <v>1105</v>
      </c>
      <c r="C11600" s="1" t="str">
        <f>HYPERLINK("http://www.uniprot.org/uniprot/PME53_ARATH","PME53_ARATH")</f>
        <v>PME53_ARATH</v>
      </c>
      <c r="D11600" t="s">
        <v>8157</v>
      </c>
      <c r="E11600" s="3" t="s">
        <v>3</v>
      </c>
      <c r="F11600" s="4">
        <v>0</v>
      </c>
      <c r="G11600" s="3">
        <v>1515</v>
      </c>
      <c r="H11600" s="3">
        <v>78</v>
      </c>
      <c r="I11600" s="3">
        <v>353</v>
      </c>
      <c r="J11600" s="3">
        <v>40</v>
      </c>
      <c r="K11600" s="3">
        <v>1098</v>
      </c>
      <c r="L11600" s="3">
        <v>35</v>
      </c>
      <c r="M11600" s="3">
        <v>383</v>
      </c>
    </row>
    <row r="11601" spans="1:13" x14ac:dyDescent="0.25">
      <c r="A11601" s="1" t="str">
        <f>HYPERLINK("http://www.rosaceae.org/Prunus/Prunus_persica/p.persica_gdr_reftransV1_0043839","p.persica_gdr_reftransV1_0043839")</f>
        <v>p.persica_gdr_reftransV1_0043839</v>
      </c>
      <c r="B11601" s="3">
        <v>505</v>
      </c>
      <c r="C11601" s="1" t="str">
        <f>HYPERLINK("http://www.uniprot.org/uniprot/CBP23_HORVU","CBP23_HORVU")</f>
        <v>CBP23_HORVU</v>
      </c>
      <c r="D11601" t="s">
        <v>2997</v>
      </c>
      <c r="E11601" s="3" t="s">
        <v>769</v>
      </c>
      <c r="F11601" s="4">
        <v>6.7000000000000005E-50</v>
      </c>
      <c r="G11601" s="3">
        <v>438</v>
      </c>
      <c r="H11601" s="3">
        <v>54</v>
      </c>
      <c r="I11601" s="3">
        <v>157</v>
      </c>
      <c r="J11601" s="3">
        <v>43</v>
      </c>
      <c r="K11601" s="3">
        <v>480</v>
      </c>
      <c r="L11601" s="3">
        <v>352</v>
      </c>
      <c r="M11601" s="3">
        <v>508</v>
      </c>
    </row>
    <row r="11602" spans="1:13" x14ac:dyDescent="0.25">
      <c r="A11602" s="1" t="str">
        <f>HYPERLINK("http://www.rosaceae.org/Prunus/Prunus_persica/p.persica_gdr_reftransV1_0043889","p.persica_gdr_reftransV1_0043889")</f>
        <v>p.persica_gdr_reftransV1_0043889</v>
      </c>
      <c r="B11602" s="3">
        <v>412</v>
      </c>
      <c r="C11602" s="1" t="str">
        <f>HYPERLINK("http://www.uniprot.org/uniprot/EPFL2_ARATH","EPFL2_ARATH")</f>
        <v>EPFL2_ARATH</v>
      </c>
      <c r="D11602" t="s">
        <v>8158</v>
      </c>
      <c r="E11602" s="3" t="s">
        <v>3</v>
      </c>
      <c r="F11602" s="4">
        <v>9.8400000000000005E-20</v>
      </c>
      <c r="G11602" s="3">
        <v>206</v>
      </c>
      <c r="H11602" s="3">
        <v>53</v>
      </c>
      <c r="I11602" s="3">
        <v>106</v>
      </c>
      <c r="J11602" s="3">
        <v>1</v>
      </c>
      <c r="K11602" s="3">
        <v>300</v>
      </c>
      <c r="L11602" s="3">
        <v>24</v>
      </c>
      <c r="M11602" s="3">
        <v>128</v>
      </c>
    </row>
    <row r="11603" spans="1:13" x14ac:dyDescent="0.25">
      <c r="A11603" s="1" t="str">
        <f>HYPERLINK("http://www.rosaceae.org/Prunus/Prunus_persica/p.persica_gdr_reftransV1_0043989","p.persica_gdr_reftransV1_0043989")</f>
        <v>p.persica_gdr_reftransV1_0043989</v>
      </c>
      <c r="B11603" s="3">
        <v>1354</v>
      </c>
      <c r="C11603" s="1" t="str">
        <f>HYPERLINK("http://www.uniprot.org/uniprot/SL30A_ARATH","SL30A_ARATH")</f>
        <v>SL30A_ARATH</v>
      </c>
      <c r="D11603" t="s">
        <v>8159</v>
      </c>
      <c r="E11603" s="3" t="s">
        <v>3</v>
      </c>
      <c r="F11603" s="4">
        <v>1.11E-48</v>
      </c>
      <c r="G11603" s="3">
        <v>438</v>
      </c>
      <c r="H11603" s="3">
        <v>57</v>
      </c>
      <c r="I11603" s="3">
        <v>176</v>
      </c>
      <c r="J11603" s="3">
        <v>534</v>
      </c>
      <c r="K11603" s="3">
        <v>1061</v>
      </c>
      <c r="L11603" s="3">
        <v>34</v>
      </c>
      <c r="M11603" s="3">
        <v>200</v>
      </c>
    </row>
    <row r="11604" spans="1:13" x14ac:dyDescent="0.25">
      <c r="A11604" s="1" t="str">
        <f>HYPERLINK("http://www.rosaceae.org/Prunus/Prunus_persica/p.persica_gdr_reftransV1_0044039","p.persica_gdr_reftransV1_0044039")</f>
        <v>p.persica_gdr_reftransV1_0044039</v>
      </c>
      <c r="B11604" s="3">
        <v>3407</v>
      </c>
      <c r="C11604" s="1" t="str">
        <f>HYPERLINK("http://www.uniprot.org/uniprot/AGO4A_ORYSJ","AGO4A_ORYSJ")</f>
        <v>AGO4A_ORYSJ</v>
      </c>
      <c r="D11604" t="s">
        <v>5158</v>
      </c>
      <c r="E11604" s="3" t="s">
        <v>38</v>
      </c>
      <c r="F11604" s="4">
        <v>0</v>
      </c>
      <c r="G11604" s="3">
        <v>2104</v>
      </c>
      <c r="H11604" s="3">
        <v>77</v>
      </c>
      <c r="I11604" s="3">
        <v>481</v>
      </c>
      <c r="J11604" s="3">
        <v>327</v>
      </c>
      <c r="K11604" s="3">
        <v>1769</v>
      </c>
      <c r="L11604" s="3">
        <v>424</v>
      </c>
      <c r="M11604" s="3">
        <v>904</v>
      </c>
    </row>
    <row r="11605" spans="1:13" x14ac:dyDescent="0.25">
      <c r="A11605" s="1" t="str">
        <f>HYPERLINK("http://www.rosaceae.org/Prunus/Prunus_persica/p.persica_gdr_reftransV1_0044139","p.persica_gdr_reftransV1_0044139")</f>
        <v>p.persica_gdr_reftransV1_0044139</v>
      </c>
      <c r="B11605" s="3">
        <v>698</v>
      </c>
      <c r="C11605" s="1" t="str">
        <f>HYPERLINK("http://www.uniprot.org/uniprot/ITPK1_ORYSI","ITPK1_ORYSI")</f>
        <v>ITPK1_ORYSI</v>
      </c>
      <c r="D11605" t="s">
        <v>8160</v>
      </c>
      <c r="E11605" s="3" t="s">
        <v>38</v>
      </c>
      <c r="F11605" s="4">
        <v>2.74E-63</v>
      </c>
      <c r="G11605" s="3">
        <v>527</v>
      </c>
      <c r="H11605" s="3">
        <v>66</v>
      </c>
      <c r="I11605" s="3">
        <v>146</v>
      </c>
      <c r="J11605" s="3">
        <v>199</v>
      </c>
      <c r="K11605" s="3">
        <v>636</v>
      </c>
      <c r="L11605" s="3">
        <v>43</v>
      </c>
      <c r="M11605" s="3">
        <v>188</v>
      </c>
    </row>
    <row r="11606" spans="1:13" x14ac:dyDescent="0.25">
      <c r="A11606" s="1" t="str">
        <f>HYPERLINK("http://www.rosaceae.org/Prunus/Prunus_persica/p.persica_gdr_reftransV1_0044239","p.persica_gdr_reftransV1_0044239")</f>
        <v>p.persica_gdr_reftransV1_0044239</v>
      </c>
      <c r="B11606" s="3">
        <v>894</v>
      </c>
      <c r="C11606" s="1" t="str">
        <f>HYPERLINK("http://www.uniprot.org/uniprot/TASP1_ARATH","TASP1_ARATH")</f>
        <v>TASP1_ARATH</v>
      </c>
      <c r="D11606" t="s">
        <v>639</v>
      </c>
      <c r="E11606" s="3" t="s">
        <v>3</v>
      </c>
      <c r="F11606" s="4">
        <v>1.8699999999999999E-90</v>
      </c>
      <c r="G11606" s="3">
        <v>720</v>
      </c>
      <c r="H11606" s="3">
        <v>62</v>
      </c>
      <c r="I11606" s="3">
        <v>250</v>
      </c>
      <c r="J11606" s="3">
        <v>147</v>
      </c>
      <c r="K11606" s="3">
        <v>890</v>
      </c>
      <c r="L11606" s="3">
        <v>160</v>
      </c>
      <c r="M11606" s="3">
        <v>403</v>
      </c>
    </row>
    <row r="11607" spans="1:13" x14ac:dyDescent="0.25">
      <c r="A11607" s="1" t="str">
        <f>HYPERLINK("http://www.rosaceae.org/Prunus/Prunus_persica/p.persica_gdr_reftransV1_0044289","p.persica_gdr_reftransV1_0044289")</f>
        <v>p.persica_gdr_reftransV1_0044289</v>
      </c>
      <c r="B11607" s="3">
        <v>1099</v>
      </c>
      <c r="C11607" s="1" t="str">
        <f>HYPERLINK("http://www.uniprot.org/uniprot/MUS81_ARATH","MUS81_ARATH")</f>
        <v>MUS81_ARATH</v>
      </c>
      <c r="D11607" t="s">
        <v>412</v>
      </c>
      <c r="E11607" s="3" t="s">
        <v>3</v>
      </c>
      <c r="F11607" s="4">
        <v>7.7000000000000001E-144</v>
      </c>
      <c r="G11607" s="3">
        <v>1104</v>
      </c>
      <c r="H11607" s="3">
        <v>73</v>
      </c>
      <c r="I11607" s="3">
        <v>283</v>
      </c>
      <c r="J11607" s="3">
        <v>114</v>
      </c>
      <c r="K11607" s="3">
        <v>959</v>
      </c>
      <c r="L11607" s="3">
        <v>376</v>
      </c>
      <c r="M11607" s="3">
        <v>658</v>
      </c>
    </row>
    <row r="11608" spans="1:13" x14ac:dyDescent="0.25">
      <c r="A11608" s="1" t="str">
        <f>HYPERLINK("http://www.rosaceae.org/Prunus/Prunus_persica/p.persica_gdr_reftransV1_0044339","p.persica_gdr_reftransV1_0044339")</f>
        <v>p.persica_gdr_reftransV1_0044339</v>
      </c>
      <c r="B11608" s="3">
        <v>2016</v>
      </c>
      <c r="C11608" s="1" t="str">
        <f>HYPERLINK("http://www.uniprot.org/uniprot/GOGC1_ARATH","GOGC1_ARATH")</f>
        <v>GOGC1_ARATH</v>
      </c>
      <c r="D11608" t="s">
        <v>3200</v>
      </c>
      <c r="E11608" s="3" t="s">
        <v>3</v>
      </c>
      <c r="F11608" s="4">
        <v>0</v>
      </c>
      <c r="G11608" s="3">
        <v>1709</v>
      </c>
      <c r="H11608" s="3">
        <v>81</v>
      </c>
      <c r="I11608" s="3">
        <v>420</v>
      </c>
      <c r="J11608" s="3">
        <v>155</v>
      </c>
      <c r="K11608" s="3">
        <v>1414</v>
      </c>
      <c r="L11608" s="3">
        <v>250</v>
      </c>
      <c r="M11608" s="3">
        <v>667</v>
      </c>
    </row>
    <row r="11609" spans="1:13" x14ac:dyDescent="0.25">
      <c r="A11609" s="1" t="str">
        <f>HYPERLINK("http://www.rosaceae.org/Prunus/Prunus_persica/p.persica_gdr_reftransV1_0044389","p.persica_gdr_reftransV1_0044389")</f>
        <v>p.persica_gdr_reftransV1_0044389</v>
      </c>
      <c r="B11609" s="3">
        <v>2769</v>
      </c>
      <c r="C11609" s="1" t="str">
        <f>HYPERLINK("http://www.uniprot.org/uniprot/TCX2_ARATH","TCX2_ARATH")</f>
        <v>TCX2_ARATH</v>
      </c>
      <c r="D11609" t="s">
        <v>3046</v>
      </c>
      <c r="E11609" s="3" t="s">
        <v>3</v>
      </c>
      <c r="F11609" s="4">
        <v>9.5400000000000003E-139</v>
      </c>
      <c r="G11609" s="3">
        <v>1122</v>
      </c>
      <c r="H11609" s="3">
        <v>45</v>
      </c>
      <c r="I11609" s="3">
        <v>821</v>
      </c>
      <c r="J11609" s="3">
        <v>222</v>
      </c>
      <c r="K11609" s="3">
        <v>2600</v>
      </c>
      <c r="L11609" s="3">
        <v>1</v>
      </c>
      <c r="M11609" s="3">
        <v>674</v>
      </c>
    </row>
    <row r="11610" spans="1:13" x14ac:dyDescent="0.25">
      <c r="A11610" s="1" t="str">
        <f>HYPERLINK("http://www.rosaceae.org/Prunus/Prunus_persica/p.persica_gdr_reftransV1_0044489","p.persica_gdr_reftransV1_0044489")</f>
        <v>p.persica_gdr_reftransV1_0044489</v>
      </c>
      <c r="B11610" s="3">
        <v>1073</v>
      </c>
      <c r="C11610" s="1" t="str">
        <f>HYPERLINK("http://www.uniprot.org/uniprot/RM46_MOUSE","RM46_MOUSE")</f>
        <v>RM46_MOUSE</v>
      </c>
      <c r="D11610" t="s">
        <v>550</v>
      </c>
      <c r="E11610" s="3" t="s">
        <v>157</v>
      </c>
      <c r="F11610" s="4">
        <v>3.12E-11</v>
      </c>
      <c r="G11610" s="3">
        <v>162</v>
      </c>
      <c r="H11610" s="3">
        <v>34</v>
      </c>
      <c r="I11610" s="3">
        <v>149</v>
      </c>
      <c r="J11610" s="3">
        <v>318</v>
      </c>
      <c r="K11610" s="3">
        <v>737</v>
      </c>
      <c r="L11610" s="3">
        <v>127</v>
      </c>
      <c r="M11610" s="3">
        <v>265</v>
      </c>
    </row>
    <row r="11611" spans="1:13" x14ac:dyDescent="0.25">
      <c r="A11611" s="1" t="str">
        <f>HYPERLINK("http://www.rosaceae.org/Prunus/Prunus_persica/p.persica_gdr_reftransV1_0044639","p.persica_gdr_reftransV1_0044639")</f>
        <v>p.persica_gdr_reftransV1_0044639</v>
      </c>
      <c r="B11611" s="3">
        <v>328</v>
      </c>
      <c r="C11611" s="1" t="str">
        <f>HYPERLINK("http://www.uniprot.org/uniprot/LC7L3_PONAB","LC7L3_PONAB")</f>
        <v>LC7L3_PONAB</v>
      </c>
      <c r="D11611" t="s">
        <v>8161</v>
      </c>
      <c r="E11611" s="3" t="s">
        <v>176</v>
      </c>
      <c r="F11611" s="4">
        <v>1.8000000000000001E-15</v>
      </c>
      <c r="G11611" s="3">
        <v>183</v>
      </c>
      <c r="H11611" s="3">
        <v>51</v>
      </c>
      <c r="I11611" s="3">
        <v>71</v>
      </c>
      <c r="J11611" s="3">
        <v>2</v>
      </c>
      <c r="K11611" s="3">
        <v>211</v>
      </c>
      <c r="L11611" s="3">
        <v>8</v>
      </c>
      <c r="M11611" s="3">
        <v>75</v>
      </c>
    </row>
    <row r="11612" spans="1:13" x14ac:dyDescent="0.25">
      <c r="A11612" s="1" t="str">
        <f>HYPERLINK("http://www.rosaceae.org/Prunus/Prunus_persica/p.persica_gdr_reftransV1_0044689","p.persica_gdr_reftransV1_0044689")</f>
        <v>p.persica_gdr_reftransV1_0044689</v>
      </c>
      <c r="B11612" s="3">
        <v>1504</v>
      </c>
      <c r="C11612" s="1" t="str">
        <f>HYPERLINK("http://www.uniprot.org/uniprot/PPR12_ARATH","PPR12_ARATH")</f>
        <v>PPR12_ARATH</v>
      </c>
      <c r="D11612" t="s">
        <v>483</v>
      </c>
      <c r="E11612" s="3" t="s">
        <v>3</v>
      </c>
      <c r="F11612" s="4">
        <v>8.2999999999999997E-138</v>
      </c>
      <c r="G11612" s="3">
        <v>1084</v>
      </c>
      <c r="H11612" s="3">
        <v>64</v>
      </c>
      <c r="I11612" s="3">
        <v>307</v>
      </c>
      <c r="J11612" s="3">
        <v>4</v>
      </c>
      <c r="K11612" s="3">
        <v>924</v>
      </c>
      <c r="L11612" s="3">
        <v>427</v>
      </c>
      <c r="M11612" s="3">
        <v>733</v>
      </c>
    </row>
    <row r="11613" spans="1:13" x14ac:dyDescent="0.25">
      <c r="A11613" s="1" t="str">
        <f>HYPERLINK("http://www.rosaceae.org/Prunus/Prunus_persica/p.persica_gdr_reftransV1_0044839","p.persica_gdr_reftransV1_0044839")</f>
        <v>p.persica_gdr_reftransV1_0044839</v>
      </c>
      <c r="B11613" s="3">
        <v>1760</v>
      </c>
      <c r="C11613" s="1" t="str">
        <f>HYPERLINK("http://www.uniprot.org/uniprot/KATAM_ARATH","KATAM_ARATH")</f>
        <v>KATAM_ARATH</v>
      </c>
      <c r="D11613" t="s">
        <v>5884</v>
      </c>
      <c r="E11613" s="3" t="s">
        <v>3</v>
      </c>
      <c r="F11613" s="4">
        <v>3.2899999999999998E-136</v>
      </c>
      <c r="G11613" s="3">
        <v>1012</v>
      </c>
      <c r="H11613" s="3">
        <v>58</v>
      </c>
      <c r="I11613" s="3">
        <v>310</v>
      </c>
      <c r="J11613" s="3">
        <v>523</v>
      </c>
      <c r="K11613" s="3">
        <v>1449</v>
      </c>
      <c r="L11613" s="3">
        <v>148</v>
      </c>
      <c r="M11613" s="3">
        <v>452</v>
      </c>
    </row>
    <row r="11614" spans="1:13" x14ac:dyDescent="0.25">
      <c r="A11614" s="1" t="str">
        <f>HYPERLINK("http://www.rosaceae.org/Prunus/Prunus_persica/p.persica_gdr_reftransV1_0044989","p.persica_gdr_reftransV1_0044989")</f>
        <v>p.persica_gdr_reftransV1_0044989</v>
      </c>
      <c r="B11614" s="3">
        <v>1078</v>
      </c>
      <c r="C11614" s="1" t="str">
        <f>HYPERLINK("http://www.uniprot.org/uniprot/FRS3_ARATH","FRS3_ARATH")</f>
        <v>FRS3_ARATH</v>
      </c>
      <c r="D11614" t="s">
        <v>2843</v>
      </c>
      <c r="E11614" s="3" t="s">
        <v>3</v>
      </c>
      <c r="F11614" s="4">
        <v>1.74E-17</v>
      </c>
      <c r="G11614" s="3">
        <v>215</v>
      </c>
      <c r="H11614" s="3">
        <v>53</v>
      </c>
      <c r="I11614" s="3">
        <v>93</v>
      </c>
      <c r="J11614" s="3">
        <v>556</v>
      </c>
      <c r="K11614" s="3">
        <v>816</v>
      </c>
      <c r="L11614" s="3">
        <v>695</v>
      </c>
      <c r="M11614" s="3">
        <v>787</v>
      </c>
    </row>
    <row r="11615" spans="1:13" x14ac:dyDescent="0.25">
      <c r="A11615" s="1" t="str">
        <f>HYPERLINK("http://www.rosaceae.org/Prunus/Prunus_persica/p.persica_gdr_reftransV1_0045089","p.persica_gdr_reftransV1_0045089")</f>
        <v>p.persica_gdr_reftransV1_0045089</v>
      </c>
      <c r="B11615" s="3">
        <v>2099</v>
      </c>
      <c r="C11615" s="1" t="str">
        <f>HYPERLINK("http://www.uniprot.org/uniprot/PTBP1_ARATH","PTBP1_ARATH")</f>
        <v>PTBP1_ARATH</v>
      </c>
      <c r="D11615" t="s">
        <v>6449</v>
      </c>
      <c r="E11615" s="3" t="s">
        <v>3</v>
      </c>
      <c r="F11615" s="4">
        <v>3.6700000000000002E-164</v>
      </c>
      <c r="G11615" s="3">
        <v>910</v>
      </c>
      <c r="H11615" s="3">
        <v>85</v>
      </c>
      <c r="I11615" s="3">
        <v>197</v>
      </c>
      <c r="J11615" s="3">
        <v>897</v>
      </c>
      <c r="K11615" s="3">
        <v>1487</v>
      </c>
      <c r="L11615" s="3">
        <v>132</v>
      </c>
      <c r="M11615" s="3">
        <v>328</v>
      </c>
    </row>
    <row r="11616" spans="1:13" x14ac:dyDescent="0.25">
      <c r="A11616" s="1" t="str">
        <f>HYPERLINK("http://www.rosaceae.org/Prunus/Prunus_persica/p.persica_gdr_reftransV1_0045139","p.persica_gdr_reftransV1_0045139")</f>
        <v>p.persica_gdr_reftransV1_0045139</v>
      </c>
      <c r="B11616" s="3">
        <v>605</v>
      </c>
      <c r="C11616" s="1" t="str">
        <f>HYPERLINK("http://www.uniprot.org/uniprot/ENT8_ARATH","ENT8_ARATH")</f>
        <v>ENT8_ARATH</v>
      </c>
      <c r="D11616" t="s">
        <v>8162</v>
      </c>
      <c r="E11616" s="3" t="s">
        <v>3</v>
      </c>
      <c r="F11616" s="4">
        <v>2.9199999999999999E-70</v>
      </c>
      <c r="G11616" s="3">
        <v>573</v>
      </c>
      <c r="H11616" s="3">
        <v>68</v>
      </c>
      <c r="I11616" s="3">
        <v>184</v>
      </c>
      <c r="J11616" s="3">
        <v>52</v>
      </c>
      <c r="K11616" s="3">
        <v>603</v>
      </c>
      <c r="L11616" s="3">
        <v>208</v>
      </c>
      <c r="M11616" s="3">
        <v>389</v>
      </c>
    </row>
    <row r="11617" spans="1:13" x14ac:dyDescent="0.25">
      <c r="A11617" s="1" t="str">
        <f>HYPERLINK("http://www.rosaceae.org/Prunus/Prunus_persica/p.persica_gdr_reftransV1_0045189","p.persica_gdr_reftransV1_0045189")</f>
        <v>p.persica_gdr_reftransV1_0045189</v>
      </c>
      <c r="B11617" s="3">
        <v>1712</v>
      </c>
      <c r="C11617" s="1" t="str">
        <f>HYPERLINK("http://www.uniprot.org/uniprot/FBL74_ARATH","FBL74_ARATH")</f>
        <v>FBL74_ARATH</v>
      </c>
      <c r="D11617" t="s">
        <v>8163</v>
      </c>
      <c r="E11617" s="3" t="s">
        <v>3</v>
      </c>
      <c r="F11617" s="4">
        <v>4.5200000000000005E-44</v>
      </c>
      <c r="G11617" s="3">
        <v>424</v>
      </c>
      <c r="H11617" s="3">
        <v>35</v>
      </c>
      <c r="I11617" s="3">
        <v>424</v>
      </c>
      <c r="J11617" s="3">
        <v>253</v>
      </c>
      <c r="K11617" s="3">
        <v>1464</v>
      </c>
      <c r="L11617" s="3">
        <v>8</v>
      </c>
      <c r="M11617" s="3">
        <v>417</v>
      </c>
    </row>
    <row r="11618" spans="1:13" x14ac:dyDescent="0.25">
      <c r="A11618" s="1" t="str">
        <f>HYPERLINK("http://www.rosaceae.org/Prunus/Prunus_persica/p.persica_gdr_reftransV1_0045289","p.persica_gdr_reftransV1_0045289")</f>
        <v>p.persica_gdr_reftransV1_0045289</v>
      </c>
      <c r="B11618" s="3">
        <v>932</v>
      </c>
      <c r="C11618" s="1" t="str">
        <f>HYPERLINK("http://www.uniprot.org/uniprot/MYB12_ARATH","MYB12_ARATH")</f>
        <v>MYB12_ARATH</v>
      </c>
      <c r="D11618" t="s">
        <v>8164</v>
      </c>
      <c r="E11618" s="3" t="s">
        <v>3</v>
      </c>
      <c r="F11618" s="4">
        <v>4.8600000000000001E-73</v>
      </c>
      <c r="G11618" s="3">
        <v>601</v>
      </c>
      <c r="H11618" s="3">
        <v>71</v>
      </c>
      <c r="I11618" s="3">
        <v>158</v>
      </c>
      <c r="J11618" s="3">
        <v>390</v>
      </c>
      <c r="K11618" s="3">
        <v>854</v>
      </c>
      <c r="L11618" s="3">
        <v>1</v>
      </c>
      <c r="M11618" s="3">
        <v>158</v>
      </c>
    </row>
    <row r="11619" spans="1:13" x14ac:dyDescent="0.25">
      <c r="A11619" s="1" t="str">
        <f>HYPERLINK("http://www.rosaceae.org/Prunus/Prunus_persica/p.persica_gdr_reftransV1_0045489","p.persica_gdr_reftransV1_0045489")</f>
        <v>p.persica_gdr_reftransV1_0045489</v>
      </c>
      <c r="B11619" s="3">
        <v>2681</v>
      </c>
      <c r="C11619" s="1" t="str">
        <f>HYPERLINK("http://www.uniprot.org/uniprot/PYRG_DICDI","PYRG_DICDI")</f>
        <v>PYRG_DICDI</v>
      </c>
      <c r="D11619" t="s">
        <v>4396</v>
      </c>
      <c r="E11619" s="3" t="s">
        <v>9</v>
      </c>
      <c r="F11619" s="4">
        <v>0</v>
      </c>
      <c r="G11619" s="3">
        <v>1589</v>
      </c>
      <c r="H11619" s="3">
        <v>60</v>
      </c>
      <c r="I11619" s="3">
        <v>545</v>
      </c>
      <c r="J11619" s="3">
        <v>615</v>
      </c>
      <c r="K11619" s="3">
        <v>2192</v>
      </c>
      <c r="L11619" s="3">
        <v>20</v>
      </c>
      <c r="M11619" s="3">
        <v>561</v>
      </c>
    </row>
    <row r="11620" spans="1:13" x14ac:dyDescent="0.25">
      <c r="A11620" s="1" t="str">
        <f>HYPERLINK("http://www.rosaceae.org/Prunus/Prunus_persica/p.persica_gdr_reftransV1_0045539","p.persica_gdr_reftransV1_0045539")</f>
        <v>p.persica_gdr_reftransV1_0045539</v>
      </c>
      <c r="B11620" s="3">
        <v>2255</v>
      </c>
      <c r="C11620" s="1" t="str">
        <f>HYPERLINK("http://www.uniprot.org/uniprot/BGH3B_BACO1","BGH3B_BACO1")</f>
        <v>BGH3B_BACO1</v>
      </c>
      <c r="D11620" t="s">
        <v>355</v>
      </c>
      <c r="E11620" s="3" t="s">
        <v>356</v>
      </c>
      <c r="F11620" s="4">
        <v>3.1900000000000001E-78</v>
      </c>
      <c r="G11620" s="3">
        <v>698</v>
      </c>
      <c r="H11620" s="3">
        <v>31</v>
      </c>
      <c r="I11620" s="3">
        <v>648</v>
      </c>
      <c r="J11620" s="3">
        <v>231</v>
      </c>
      <c r="K11620" s="3">
        <v>2006</v>
      </c>
      <c r="L11620" s="3">
        <v>30</v>
      </c>
      <c r="M11620" s="3">
        <v>658</v>
      </c>
    </row>
    <row r="11621" spans="1:13" x14ac:dyDescent="0.25">
      <c r="A11621" s="1" t="str">
        <f>HYPERLINK("http://www.rosaceae.org/Prunus/Prunus_persica/p.persica_gdr_reftransV1_0045689","p.persica_gdr_reftransV1_0045689")</f>
        <v>p.persica_gdr_reftransV1_0045689</v>
      </c>
      <c r="B11621" s="3">
        <v>2408</v>
      </c>
      <c r="C11621" s="1" t="str">
        <f>HYPERLINK("http://www.uniprot.org/uniprot/CNGC1_ARATH","CNGC1_ARATH")</f>
        <v>CNGC1_ARATH</v>
      </c>
      <c r="D11621" t="s">
        <v>241</v>
      </c>
      <c r="E11621" s="3" t="s">
        <v>3</v>
      </c>
      <c r="F11621" s="4">
        <v>4.1200000000000002E-104</v>
      </c>
      <c r="G11621" s="3">
        <v>879</v>
      </c>
      <c r="H11621" s="3">
        <v>44</v>
      </c>
      <c r="I11621" s="3">
        <v>550</v>
      </c>
      <c r="J11621" s="3">
        <v>351</v>
      </c>
      <c r="K11621" s="3">
        <v>1961</v>
      </c>
      <c r="L11621" s="3">
        <v>70</v>
      </c>
      <c r="M11621" s="3">
        <v>596</v>
      </c>
    </row>
    <row r="11622" spans="1:13" x14ac:dyDescent="0.25">
      <c r="A11622" s="1" t="str">
        <f>HYPERLINK("http://www.rosaceae.org/Prunus/Prunus_persica/p.persica_gdr_reftransV1_0045789","p.persica_gdr_reftransV1_0045789")</f>
        <v>p.persica_gdr_reftransV1_0045789</v>
      </c>
      <c r="B11622" s="3">
        <v>1961</v>
      </c>
      <c r="C11622" s="1" t="str">
        <f>HYPERLINK("http://www.uniprot.org/uniprot/AIL1_ARATH","AIL1_ARATH")</f>
        <v>AIL1_ARATH</v>
      </c>
      <c r="D11622" t="s">
        <v>8165</v>
      </c>
      <c r="E11622" s="3" t="s">
        <v>3</v>
      </c>
      <c r="F11622" s="4">
        <v>4.7700000000000001E-127</v>
      </c>
      <c r="G11622" s="3">
        <v>998</v>
      </c>
      <c r="H11622" s="3">
        <v>53</v>
      </c>
      <c r="I11622" s="3">
        <v>431</v>
      </c>
      <c r="J11622" s="3">
        <v>49</v>
      </c>
      <c r="K11622" s="3">
        <v>1266</v>
      </c>
      <c r="L11622" s="3">
        <v>12</v>
      </c>
      <c r="M11622" s="3">
        <v>411</v>
      </c>
    </row>
    <row r="11623" spans="1:13" x14ac:dyDescent="0.25">
      <c r="A11623" s="1" t="str">
        <f>HYPERLINK("http://www.rosaceae.org/Prunus/Prunus_persica/p.persica_gdr_reftransV1_0045989","p.persica_gdr_reftransV1_0045989")</f>
        <v>p.persica_gdr_reftransV1_0045989</v>
      </c>
      <c r="B11623" s="3">
        <v>546</v>
      </c>
      <c r="C11623" s="1" t="str">
        <f>HYPERLINK("http://www.uniprot.org/uniprot/ARid1_ARATH","ARid1_ARATH")</f>
        <v>ARid1_ARATH</v>
      </c>
      <c r="D11623" t="s">
        <v>8166</v>
      </c>
      <c r="E11623" s="3" t="s">
        <v>3</v>
      </c>
      <c r="F11623" s="4">
        <v>2.3400000000000001E-16</v>
      </c>
      <c r="G11623" s="3">
        <v>197</v>
      </c>
      <c r="H11623" s="3">
        <v>41</v>
      </c>
      <c r="I11623" s="3">
        <v>115</v>
      </c>
      <c r="J11623" s="3">
        <v>19</v>
      </c>
      <c r="K11623" s="3">
        <v>363</v>
      </c>
      <c r="L11623" s="3">
        <v>2</v>
      </c>
      <c r="M11623" s="3">
        <v>112</v>
      </c>
    </row>
    <row r="11624" spans="1:13" x14ac:dyDescent="0.25">
      <c r="A11624" s="1" t="str">
        <f>HYPERLINK("http://www.rosaceae.org/Prunus/Prunus_persica/p.persica_gdr_reftransV1_0046039","p.persica_gdr_reftransV1_0046039")</f>
        <v>p.persica_gdr_reftransV1_0046039</v>
      </c>
      <c r="B11624" s="3">
        <v>789</v>
      </c>
      <c r="C11624" s="1" t="str">
        <f>HYPERLINK("http://www.uniprot.org/uniprot/C3H43_ARATH","C3H43_ARATH")</f>
        <v>C3H43_ARATH</v>
      </c>
      <c r="D11624" t="s">
        <v>4884</v>
      </c>
      <c r="E11624" s="3" t="s">
        <v>3</v>
      </c>
      <c r="F11624" s="4">
        <v>2.4800000000000001E-11</v>
      </c>
      <c r="G11624" s="3">
        <v>161</v>
      </c>
      <c r="H11624" s="3">
        <v>60</v>
      </c>
      <c r="I11624" s="3">
        <v>47</v>
      </c>
      <c r="J11624" s="3">
        <v>645</v>
      </c>
      <c r="K11624" s="3">
        <v>785</v>
      </c>
      <c r="L11624" s="3">
        <v>107</v>
      </c>
      <c r="M11624" s="3">
        <v>153</v>
      </c>
    </row>
    <row r="11625" spans="1:13" x14ac:dyDescent="0.25">
      <c r="A11625" s="1" t="str">
        <f>HYPERLINK("http://www.rosaceae.org/Prunus/Prunus_persica/p.persica_gdr_reftransV1_0046089","p.persica_gdr_reftransV1_0046089")</f>
        <v>p.persica_gdr_reftransV1_0046089</v>
      </c>
      <c r="B11625" s="3">
        <v>1567</v>
      </c>
      <c r="C11625" s="1" t="str">
        <f>HYPERLINK("http://www.uniprot.org/uniprot/DSP8_ARATH","DSP8_ARATH")</f>
        <v>DSP8_ARATH</v>
      </c>
      <c r="D11625" t="s">
        <v>338</v>
      </c>
      <c r="E11625" s="3" t="s">
        <v>3</v>
      </c>
      <c r="F11625" s="4">
        <v>6.4599999999999999E-97</v>
      </c>
      <c r="G11625" s="3">
        <v>777</v>
      </c>
      <c r="H11625" s="3">
        <v>58</v>
      </c>
      <c r="I11625" s="3">
        <v>285</v>
      </c>
      <c r="J11625" s="3">
        <v>548</v>
      </c>
      <c r="K11625" s="3">
        <v>1282</v>
      </c>
      <c r="L11625" s="3">
        <v>33</v>
      </c>
      <c r="M11625" s="3">
        <v>315</v>
      </c>
    </row>
    <row r="11626" spans="1:13" x14ac:dyDescent="0.25">
      <c r="A11626" s="1" t="str">
        <f>HYPERLINK("http://www.rosaceae.org/Prunus/Prunus_persica/p.persica_gdr_reftransV1_0046239","p.persica_gdr_reftransV1_0046239")</f>
        <v>p.persica_gdr_reftransV1_0046239</v>
      </c>
      <c r="B11626" s="3">
        <v>334</v>
      </c>
      <c r="C11626" s="1" t="str">
        <f>HYPERLINK("http://www.uniprot.org/uniprot/OML4_ORYSJ","OML4_ORYSJ")</f>
        <v>OML4_ORYSJ</v>
      </c>
      <c r="D11626" t="s">
        <v>4661</v>
      </c>
      <c r="E11626" s="3" t="s">
        <v>38</v>
      </c>
      <c r="F11626" s="4">
        <v>2.65E-48</v>
      </c>
      <c r="G11626" s="3">
        <v>430</v>
      </c>
      <c r="H11626" s="3">
        <v>80</v>
      </c>
      <c r="I11626" s="3">
        <v>94</v>
      </c>
      <c r="J11626" s="3">
        <v>51</v>
      </c>
      <c r="K11626" s="3">
        <v>332</v>
      </c>
      <c r="L11626" s="3">
        <v>883</v>
      </c>
      <c r="M11626" s="3">
        <v>976</v>
      </c>
    </row>
    <row r="11627" spans="1:13" x14ac:dyDescent="0.25">
      <c r="A11627" s="1" t="str">
        <f>HYPERLINK("http://www.rosaceae.org/Prunus/Prunus_persica/p.persica_gdr_reftransV1_0046339","p.persica_gdr_reftransV1_0046339")</f>
        <v>p.persica_gdr_reftransV1_0046339</v>
      </c>
      <c r="B11627" s="3">
        <v>1813</v>
      </c>
      <c r="C11627" s="1" t="str">
        <f>HYPERLINK("http://www.uniprot.org/uniprot/SCP45_ARATH","SCP45_ARATH")</f>
        <v>SCP45_ARATH</v>
      </c>
      <c r="D11627" t="s">
        <v>1851</v>
      </c>
      <c r="E11627" s="3" t="s">
        <v>3</v>
      </c>
      <c r="F11627" s="4">
        <v>0</v>
      </c>
      <c r="G11627" s="3">
        <v>1864</v>
      </c>
      <c r="H11627" s="3">
        <v>79</v>
      </c>
      <c r="I11627" s="3">
        <v>435</v>
      </c>
      <c r="J11627" s="3">
        <v>356</v>
      </c>
      <c r="K11627" s="3">
        <v>1660</v>
      </c>
      <c r="L11627" s="3">
        <v>28</v>
      </c>
      <c r="M11627" s="3">
        <v>461</v>
      </c>
    </row>
    <row r="11628" spans="1:13" x14ac:dyDescent="0.25">
      <c r="A11628" s="1" t="str">
        <f>HYPERLINK("http://www.rosaceae.org/Prunus/Prunus_persica/p.persica_gdr_reftransV1_0046389","p.persica_gdr_reftransV1_0046389")</f>
        <v>p.persica_gdr_reftransV1_0046389</v>
      </c>
      <c r="B11628" s="3">
        <v>2887</v>
      </c>
      <c r="C11628" s="1" t="str">
        <f>HYPERLINK("http://www.uniprot.org/uniprot/ARFA_ARATH","ARFA_ARATH")</f>
        <v>ARFA_ARATH</v>
      </c>
      <c r="D11628" t="s">
        <v>8167</v>
      </c>
      <c r="E11628" s="3" t="s">
        <v>3</v>
      </c>
      <c r="F11628" s="4">
        <v>0</v>
      </c>
      <c r="G11628" s="3">
        <v>2318</v>
      </c>
      <c r="H11628" s="3">
        <v>70</v>
      </c>
      <c r="I11628" s="3">
        <v>676</v>
      </c>
      <c r="J11628" s="3">
        <v>682</v>
      </c>
      <c r="K11628" s="3">
        <v>2691</v>
      </c>
      <c r="L11628" s="3">
        <v>1</v>
      </c>
      <c r="M11628" s="3">
        <v>659</v>
      </c>
    </row>
    <row r="11629" spans="1:13" x14ac:dyDescent="0.25">
      <c r="A11629" s="1" t="str">
        <f>HYPERLINK("http://www.rosaceae.org/Prunus/Prunus_persica/p.persica_gdr_reftransV1_0046439","p.persica_gdr_reftransV1_0046439")</f>
        <v>p.persica_gdr_reftransV1_0046439</v>
      </c>
      <c r="B11629" s="3">
        <v>409</v>
      </c>
      <c r="C11629" s="1" t="str">
        <f>HYPERLINK("http://www.uniprot.org/uniprot/GDPD2_ARATH","GDPD2_ARATH")</f>
        <v>GDPD2_ARATH</v>
      </c>
      <c r="D11629" t="s">
        <v>8168</v>
      </c>
      <c r="E11629" s="3" t="s">
        <v>3</v>
      </c>
      <c r="F11629" s="4">
        <v>1.1000000000000001E-25</v>
      </c>
      <c r="G11629" s="3">
        <v>258</v>
      </c>
      <c r="H11629" s="3">
        <v>60</v>
      </c>
      <c r="I11629" s="3">
        <v>94</v>
      </c>
      <c r="J11629" s="3">
        <v>74</v>
      </c>
      <c r="K11629" s="3">
        <v>352</v>
      </c>
      <c r="L11629" s="3">
        <v>1</v>
      </c>
      <c r="M11629" s="3">
        <v>85</v>
      </c>
    </row>
    <row r="11630" spans="1:13" x14ac:dyDescent="0.25">
      <c r="A11630" s="1" t="str">
        <f>HYPERLINK("http://www.rosaceae.org/Prunus/Prunus_persica/p.persica_gdr_reftransV1_0046539","p.persica_gdr_reftransV1_0046539")</f>
        <v>p.persica_gdr_reftransV1_0046539</v>
      </c>
      <c r="B11630" s="3">
        <v>1174</v>
      </c>
      <c r="C11630" s="1" t="str">
        <f>HYPERLINK("http://www.uniprot.org/uniprot/MO25N_ARATH","MO25N_ARATH")</f>
        <v>MO25N_ARATH</v>
      </c>
      <c r="D11630" t="s">
        <v>2856</v>
      </c>
      <c r="E11630" s="3" t="s">
        <v>3</v>
      </c>
      <c r="F11630" s="4">
        <v>3.0500000000000001E-87</v>
      </c>
      <c r="G11630" s="3">
        <v>702</v>
      </c>
      <c r="H11630" s="3">
        <v>89</v>
      </c>
      <c r="I11630" s="3">
        <v>151</v>
      </c>
      <c r="J11630" s="3">
        <v>370</v>
      </c>
      <c r="K11630" s="3">
        <v>822</v>
      </c>
      <c r="L11630" s="3">
        <v>191</v>
      </c>
      <c r="M11630" s="3">
        <v>341</v>
      </c>
    </row>
    <row r="11631" spans="1:13" x14ac:dyDescent="0.25">
      <c r="A11631" s="1" t="str">
        <f>HYPERLINK("http://www.rosaceae.org/Prunus/Prunus_persica/p.persica_gdr_reftransV1_0046589","p.persica_gdr_reftransV1_0046589")</f>
        <v>p.persica_gdr_reftransV1_0046589</v>
      </c>
      <c r="B11631" s="3">
        <v>943</v>
      </c>
      <c r="C11631" s="1" t="str">
        <f>HYPERLINK("http://www.uniprot.org/uniprot/C72B2_PINTA","C72B2_PINTA")</f>
        <v>C72B2_PINTA</v>
      </c>
      <c r="D11631" t="s">
        <v>8169</v>
      </c>
      <c r="E11631" s="3" t="s">
        <v>1</v>
      </c>
      <c r="F11631" s="4">
        <v>1.2299999999999999E-36</v>
      </c>
      <c r="G11631" s="3">
        <v>356</v>
      </c>
      <c r="H11631" s="3">
        <v>31</v>
      </c>
      <c r="I11631" s="3">
        <v>267</v>
      </c>
      <c r="J11631" s="3">
        <v>3</v>
      </c>
      <c r="K11631" s="3">
        <v>794</v>
      </c>
      <c r="L11631" s="3">
        <v>39</v>
      </c>
      <c r="M11631" s="3">
        <v>293</v>
      </c>
    </row>
    <row r="11632" spans="1:13" x14ac:dyDescent="0.25">
      <c r="A11632" s="1" t="str">
        <f>HYPERLINK("http://www.rosaceae.org/Prunus/Prunus_persica/p.persica_gdr_reftransV1_0046639","p.persica_gdr_reftransV1_0046639")</f>
        <v>p.persica_gdr_reftransV1_0046639</v>
      </c>
      <c r="B11632" s="3">
        <v>306</v>
      </c>
      <c r="C11632" s="1" t="str">
        <f>HYPERLINK("http://www.uniprot.org/uniprot/SUT21_ARATH","SUT21_ARATH")</f>
        <v>SUT21_ARATH</v>
      </c>
      <c r="D11632" t="s">
        <v>8170</v>
      </c>
      <c r="E11632" s="3" t="s">
        <v>3</v>
      </c>
      <c r="F11632" s="4">
        <v>1.52E-33</v>
      </c>
      <c r="G11632" s="3">
        <v>317</v>
      </c>
      <c r="H11632" s="3">
        <v>65</v>
      </c>
      <c r="I11632" s="3">
        <v>96</v>
      </c>
      <c r="J11632" s="3">
        <v>20</v>
      </c>
      <c r="K11632" s="3">
        <v>304</v>
      </c>
      <c r="L11632" s="3">
        <v>504</v>
      </c>
      <c r="M11632" s="3">
        <v>599</v>
      </c>
    </row>
    <row r="11633" spans="1:13" x14ac:dyDescent="0.25">
      <c r="A11633" s="1" t="str">
        <f>HYPERLINK("http://www.rosaceae.org/Prunus/Prunus_persica/p.persica_gdr_reftransV1_0046689","p.persica_gdr_reftransV1_0046689")</f>
        <v>p.persica_gdr_reftransV1_0046689</v>
      </c>
      <c r="B11633" s="3">
        <v>571</v>
      </c>
      <c r="C11633" s="1" t="str">
        <f>HYPERLINK("http://www.uniprot.org/uniprot/Y6944_ORYSJ","Y6944_ORYSJ")</f>
        <v>Y6944_ORYSJ</v>
      </c>
      <c r="D11633" t="s">
        <v>8171</v>
      </c>
      <c r="E11633" s="3" t="s">
        <v>38</v>
      </c>
      <c r="F11633" s="4">
        <v>1.8900000000000002E-24</v>
      </c>
      <c r="G11633" s="3">
        <v>250</v>
      </c>
      <c r="H11633" s="3">
        <v>46</v>
      </c>
      <c r="I11633" s="3">
        <v>106</v>
      </c>
      <c r="J11633" s="3">
        <v>2</v>
      </c>
      <c r="K11633" s="3">
        <v>319</v>
      </c>
      <c r="L11633" s="3">
        <v>103</v>
      </c>
      <c r="M11633" s="3">
        <v>203</v>
      </c>
    </row>
    <row r="11634" spans="1:13" x14ac:dyDescent="0.25">
      <c r="A11634" s="1" t="str">
        <f>HYPERLINK("http://www.rosaceae.org/Prunus/Prunus_persica/p.persica_gdr_reftransV1_0046739","p.persica_gdr_reftransV1_0046739")</f>
        <v>p.persica_gdr_reftransV1_0046739</v>
      </c>
      <c r="B11634" s="3">
        <v>706</v>
      </c>
      <c r="C11634" s="1" t="str">
        <f>HYPERLINK("http://www.uniprot.org/uniprot/RING1_GOSHI","RING1_GOSHI")</f>
        <v>RING1_GOSHI</v>
      </c>
      <c r="D11634" t="s">
        <v>2201</v>
      </c>
      <c r="E11634" s="3" t="s">
        <v>816</v>
      </c>
      <c r="F11634" s="4">
        <v>1.06E-10</v>
      </c>
      <c r="G11634" s="3">
        <v>154</v>
      </c>
      <c r="H11634" s="3">
        <v>40</v>
      </c>
      <c r="I11634" s="3">
        <v>57</v>
      </c>
      <c r="J11634" s="3">
        <v>210</v>
      </c>
      <c r="K11634" s="3">
        <v>380</v>
      </c>
      <c r="L11634" s="3">
        <v>209</v>
      </c>
      <c r="M11634" s="3">
        <v>265</v>
      </c>
    </row>
    <row r="11635" spans="1:13" x14ac:dyDescent="0.25">
      <c r="A11635" s="1" t="str">
        <f>HYPERLINK("http://www.rosaceae.org/Prunus/Prunus_persica/p.persica_gdr_reftransV1_0046789","p.persica_gdr_reftransV1_0046789")</f>
        <v>p.persica_gdr_reftransV1_0046789</v>
      </c>
      <c r="B11635" s="3">
        <v>1743</v>
      </c>
      <c r="C11635" s="1" t="str">
        <f>HYPERLINK("http://www.uniprot.org/uniprot/E1312_ARATH","E1312_ARATH")</f>
        <v>E1312_ARATH</v>
      </c>
      <c r="D11635" t="s">
        <v>8172</v>
      </c>
      <c r="E11635" s="3" t="s">
        <v>3</v>
      </c>
      <c r="F11635" s="4">
        <v>2.7599999999999999E-106</v>
      </c>
      <c r="G11635" s="3">
        <v>863</v>
      </c>
      <c r="H11635" s="3">
        <v>39</v>
      </c>
      <c r="I11635" s="3">
        <v>475</v>
      </c>
      <c r="J11635" s="3">
        <v>290</v>
      </c>
      <c r="K11635" s="3">
        <v>1669</v>
      </c>
      <c r="L11635" s="3">
        <v>15</v>
      </c>
      <c r="M11635" s="3">
        <v>475</v>
      </c>
    </row>
    <row r="11636" spans="1:13" x14ac:dyDescent="0.25">
      <c r="A11636" s="1" t="str">
        <f>HYPERLINK("http://www.rosaceae.org/Prunus/Prunus_persica/p.persica_gdr_reftransV1_0046839","p.persica_gdr_reftransV1_0046839")</f>
        <v>p.persica_gdr_reftransV1_0046839</v>
      </c>
      <c r="B11636" s="3">
        <v>912</v>
      </c>
      <c r="C11636" s="1" t="str">
        <f>HYPERLINK("http://www.uniprot.org/uniprot/GPX4_NICSY","GPX4_NICSY")</f>
        <v>GPX4_NICSY</v>
      </c>
      <c r="D11636" t="s">
        <v>688</v>
      </c>
      <c r="E11636" s="3" t="s">
        <v>495</v>
      </c>
      <c r="F11636" s="4">
        <v>1.32E-91</v>
      </c>
      <c r="G11636" s="3">
        <v>706</v>
      </c>
      <c r="H11636" s="3">
        <v>74</v>
      </c>
      <c r="I11636" s="3">
        <v>170</v>
      </c>
      <c r="J11636" s="3">
        <v>154</v>
      </c>
      <c r="K11636" s="3">
        <v>663</v>
      </c>
      <c r="L11636" s="3">
        <v>1</v>
      </c>
      <c r="M11636" s="3">
        <v>169</v>
      </c>
    </row>
    <row r="11637" spans="1:13" x14ac:dyDescent="0.25">
      <c r="A11637" s="1" t="str">
        <f>HYPERLINK("http://www.rosaceae.org/Prunus/Prunus_persica/p.persica_gdr_reftransV1_0046939","p.persica_gdr_reftransV1_0046939")</f>
        <v>p.persica_gdr_reftransV1_0046939</v>
      </c>
      <c r="B11637" s="3">
        <v>561</v>
      </c>
      <c r="C11637" s="1" t="str">
        <f>HYPERLINK("http://www.uniprot.org/uniprot/ATG10_ARATH","ATG10_ARATH")</f>
        <v>ATG10_ARATH</v>
      </c>
      <c r="D11637" t="s">
        <v>3960</v>
      </c>
      <c r="E11637" s="3" t="s">
        <v>3</v>
      </c>
      <c r="F11637" s="4">
        <v>3.1200000000000001E-48</v>
      </c>
      <c r="G11637" s="3">
        <v>411</v>
      </c>
      <c r="H11637" s="3">
        <v>56</v>
      </c>
      <c r="I11637" s="3">
        <v>172</v>
      </c>
      <c r="J11637" s="3">
        <v>3</v>
      </c>
      <c r="K11637" s="3">
        <v>518</v>
      </c>
      <c r="L11637" s="3">
        <v>23</v>
      </c>
      <c r="M11637" s="3">
        <v>187</v>
      </c>
    </row>
    <row r="11638" spans="1:13" x14ac:dyDescent="0.25">
      <c r="A11638" s="1" t="str">
        <f>HYPERLINK("http://www.rosaceae.org/Prunus/Prunus_persica/p.persica_gdr_reftransV1_0047039","p.persica_gdr_reftransV1_0047039")</f>
        <v>p.persica_gdr_reftransV1_0047039</v>
      </c>
      <c r="B11638" s="3">
        <v>2134</v>
      </c>
      <c r="C11638" s="1" t="str">
        <f>HYPERLINK("http://www.uniprot.org/uniprot/ASIL2_ARATH","ASIL2_ARATH")</f>
        <v>ASIL2_ARATH</v>
      </c>
      <c r="D11638" t="s">
        <v>1243</v>
      </c>
      <c r="E11638" s="3" t="s">
        <v>3</v>
      </c>
      <c r="F11638" s="4">
        <v>3.1500000000000002E-52</v>
      </c>
      <c r="G11638" s="3">
        <v>487</v>
      </c>
      <c r="H11638" s="3">
        <v>54</v>
      </c>
      <c r="I11638" s="3">
        <v>215</v>
      </c>
      <c r="J11638" s="3">
        <v>790</v>
      </c>
      <c r="K11638" s="3">
        <v>1386</v>
      </c>
      <c r="L11638" s="3">
        <v>1</v>
      </c>
      <c r="M11638" s="3">
        <v>212</v>
      </c>
    </row>
    <row r="11639" spans="1:13" x14ac:dyDescent="0.25">
      <c r="A11639" s="1" t="str">
        <f>HYPERLINK("http://www.rosaceae.org/Prunus/Prunus_persica/p.persica_gdr_reftransV1_0047089","p.persica_gdr_reftransV1_0047089")</f>
        <v>p.persica_gdr_reftransV1_0047089</v>
      </c>
      <c r="B11639" s="3">
        <v>769</v>
      </c>
      <c r="C11639" s="1" t="str">
        <f>HYPERLINK("http://www.uniprot.org/uniprot/CCR1_ARATH","CCR1_ARATH")</f>
        <v>CCR1_ARATH</v>
      </c>
      <c r="D11639" t="s">
        <v>1195</v>
      </c>
      <c r="E11639" s="3" t="s">
        <v>3</v>
      </c>
      <c r="F11639" s="4">
        <v>2.3600000000000001E-23</v>
      </c>
      <c r="G11639" s="3">
        <v>250</v>
      </c>
      <c r="H11639" s="3">
        <v>45</v>
      </c>
      <c r="I11639" s="3">
        <v>164</v>
      </c>
      <c r="J11639" s="3">
        <v>219</v>
      </c>
      <c r="K11639" s="3">
        <v>707</v>
      </c>
      <c r="L11639" s="3">
        <v>160</v>
      </c>
      <c r="M11639" s="3">
        <v>323</v>
      </c>
    </row>
    <row r="11640" spans="1:13" x14ac:dyDescent="0.25">
      <c r="A11640" s="1" t="str">
        <f>HYPERLINK("http://www.rosaceae.org/Prunus/Prunus_persica/p.persica_gdr_reftransV1_0047239","p.persica_gdr_reftransV1_0047239")</f>
        <v>p.persica_gdr_reftransV1_0047239</v>
      </c>
      <c r="B11640" s="3">
        <v>810</v>
      </c>
      <c r="C11640" s="1" t="str">
        <f>HYPERLINK("http://www.uniprot.org/uniprot/ERH_ARATH","ERH_ARATH")</f>
        <v>ERH_ARATH</v>
      </c>
      <c r="D11640" t="s">
        <v>7679</v>
      </c>
      <c r="E11640" s="3" t="s">
        <v>3</v>
      </c>
      <c r="F11640" s="4">
        <v>2.1400000000000002E-53</v>
      </c>
      <c r="G11640" s="3">
        <v>443</v>
      </c>
      <c r="H11640" s="3">
        <v>73</v>
      </c>
      <c r="I11640" s="3">
        <v>106</v>
      </c>
      <c r="J11640" s="3">
        <v>111</v>
      </c>
      <c r="K11640" s="3">
        <v>428</v>
      </c>
      <c r="L11640" s="3">
        <v>1</v>
      </c>
      <c r="M11640" s="3">
        <v>106</v>
      </c>
    </row>
    <row r="11641" spans="1:13" x14ac:dyDescent="0.25">
      <c r="A11641" s="1" t="str">
        <f>HYPERLINK("http://www.rosaceae.org/Prunus/Prunus_persica/p.persica_gdr_reftransV1_0047339","p.persica_gdr_reftransV1_0047339")</f>
        <v>p.persica_gdr_reftransV1_0047339</v>
      </c>
      <c r="B11641" s="3">
        <v>1863</v>
      </c>
      <c r="C11641" s="1" t="str">
        <f>HYPERLINK("http://www.uniprot.org/uniprot/EFTM_ARATH","EFTM_ARATH")</f>
        <v>EFTM_ARATH</v>
      </c>
      <c r="D11641" t="s">
        <v>8173</v>
      </c>
      <c r="E11641" s="3" t="s">
        <v>3</v>
      </c>
      <c r="F11641" s="4">
        <v>0</v>
      </c>
      <c r="G11641" s="3">
        <v>1936</v>
      </c>
      <c r="H11641" s="3">
        <v>86</v>
      </c>
      <c r="I11641" s="3">
        <v>453</v>
      </c>
      <c r="J11641" s="3">
        <v>370</v>
      </c>
      <c r="K11641" s="3">
        <v>1710</v>
      </c>
      <c r="L11641" s="3">
        <v>1</v>
      </c>
      <c r="M11641" s="3">
        <v>453</v>
      </c>
    </row>
    <row r="11642" spans="1:13" x14ac:dyDescent="0.25">
      <c r="A11642" s="1" t="str">
        <f>HYPERLINK("http://www.rosaceae.org/Prunus/Prunus_persica/p.persica_gdr_reftransV1_0047389","p.persica_gdr_reftransV1_0047389")</f>
        <v>p.persica_gdr_reftransV1_0047389</v>
      </c>
      <c r="B11642" s="3">
        <v>852</v>
      </c>
      <c r="C11642" s="1" t="str">
        <f>HYPERLINK("http://www.uniprot.org/uniprot/ABAH2_ARATH","ABAH2_ARATH")</f>
        <v>ABAH2_ARATH</v>
      </c>
      <c r="D11642" t="s">
        <v>8174</v>
      </c>
      <c r="E11642" s="3" t="s">
        <v>3</v>
      </c>
      <c r="F11642" s="4">
        <v>2.5500000000000001E-38</v>
      </c>
      <c r="G11642" s="3">
        <v>366</v>
      </c>
      <c r="H11642" s="3">
        <v>37</v>
      </c>
      <c r="I11642" s="3">
        <v>191</v>
      </c>
      <c r="J11642" s="3">
        <v>282</v>
      </c>
      <c r="K11642" s="3">
        <v>851</v>
      </c>
      <c r="L11642" s="3">
        <v>294</v>
      </c>
      <c r="M11642" s="3">
        <v>482</v>
      </c>
    </row>
    <row r="11643" spans="1:13" x14ac:dyDescent="0.25">
      <c r="A11643" s="1" t="str">
        <f>HYPERLINK("http://www.rosaceae.org/Prunus/Prunus_persica/p.persica_gdr_reftransV1_0047739","p.persica_gdr_reftransV1_0047739")</f>
        <v>p.persica_gdr_reftransV1_0047739</v>
      </c>
      <c r="B11643" s="3">
        <v>953</v>
      </c>
      <c r="C11643" s="1" t="str">
        <f>HYPERLINK("http://www.uniprot.org/uniprot/RBS_PYRPY","RBS_PYRPY")</f>
        <v>RBS_PYRPY</v>
      </c>
      <c r="D11643" t="s">
        <v>6959</v>
      </c>
      <c r="E11643" s="3" t="s">
        <v>2862</v>
      </c>
      <c r="F11643" s="4">
        <v>2.6299999999999999E-108</v>
      </c>
      <c r="G11643" s="3">
        <v>819</v>
      </c>
      <c r="H11643" s="3">
        <v>89</v>
      </c>
      <c r="I11643" s="3">
        <v>183</v>
      </c>
      <c r="J11643" s="3">
        <v>66</v>
      </c>
      <c r="K11643" s="3">
        <v>614</v>
      </c>
      <c r="L11643" s="3">
        <v>1</v>
      </c>
      <c r="M11643" s="3">
        <v>183</v>
      </c>
    </row>
    <row r="11644" spans="1:13" x14ac:dyDescent="0.25">
      <c r="A11644" s="1" t="str">
        <f>HYPERLINK("http://www.rosaceae.org/Prunus/Prunus_persica/p.persica_gdr_reftransV1_0047789","p.persica_gdr_reftransV1_0047789")</f>
        <v>p.persica_gdr_reftransV1_0047789</v>
      </c>
      <c r="B11644" s="3">
        <v>947</v>
      </c>
      <c r="C11644" s="1" t="str">
        <f>HYPERLINK("http://www.uniprot.org/uniprot/TERT_ARATH","TERT_ARATH")</f>
        <v>TERT_ARATH</v>
      </c>
      <c r="D11644" t="s">
        <v>2802</v>
      </c>
      <c r="E11644" s="3" t="s">
        <v>3</v>
      </c>
      <c r="F11644" s="4">
        <v>3.1899999999999997E-23</v>
      </c>
      <c r="G11644" s="3">
        <v>261</v>
      </c>
      <c r="H11644" s="3">
        <v>38</v>
      </c>
      <c r="I11644" s="3">
        <v>195</v>
      </c>
      <c r="J11644" s="3">
        <v>363</v>
      </c>
      <c r="K11644" s="3">
        <v>944</v>
      </c>
      <c r="L11644" s="3">
        <v>298</v>
      </c>
      <c r="M11644" s="3">
        <v>484</v>
      </c>
    </row>
    <row r="11645" spans="1:13" x14ac:dyDescent="0.25">
      <c r="A11645" s="1" t="str">
        <f>HYPERLINK("http://www.rosaceae.org/Prunus/Prunus_persica/p.persica_gdr_reftransV1_0047839","p.persica_gdr_reftransV1_0047839")</f>
        <v>p.persica_gdr_reftransV1_0047839</v>
      </c>
      <c r="B11645" s="3">
        <v>607</v>
      </c>
      <c r="C11645" s="1" t="str">
        <f>HYPERLINK("http://www.uniprot.org/uniprot/PHO1A_ARATH","PHO1A_ARATH")</f>
        <v>PHO1A_ARATH</v>
      </c>
      <c r="D11645" t="s">
        <v>4147</v>
      </c>
      <c r="E11645" s="3" t="s">
        <v>3</v>
      </c>
      <c r="F11645" s="4">
        <v>1.1699999999999999E-65</v>
      </c>
      <c r="G11645" s="3">
        <v>562</v>
      </c>
      <c r="H11645" s="3">
        <v>71</v>
      </c>
      <c r="I11645" s="3">
        <v>201</v>
      </c>
      <c r="J11645" s="3">
        <v>3</v>
      </c>
      <c r="K11645" s="3">
        <v>605</v>
      </c>
      <c r="L11645" s="3">
        <v>397</v>
      </c>
      <c r="M11645" s="3">
        <v>597</v>
      </c>
    </row>
    <row r="11646" spans="1:13" x14ac:dyDescent="0.25">
      <c r="A11646" s="1" t="str">
        <f>HYPERLINK("http://www.rosaceae.org/Prunus/Prunus_persica/p.persica_gdr_reftransV1_0047939","p.persica_gdr_reftransV1_0047939")</f>
        <v>p.persica_gdr_reftransV1_0047939</v>
      </c>
      <c r="B11646" s="3">
        <v>1258</v>
      </c>
      <c r="C11646" s="1" t="str">
        <f>HYPERLINK("http://www.uniprot.org/uniprot/RS24_ARATH","RS24_ARATH")</f>
        <v>RS24_ARATH</v>
      </c>
      <c r="D11646" t="s">
        <v>8175</v>
      </c>
      <c r="E11646" s="3" t="s">
        <v>3</v>
      </c>
      <c r="F11646" s="4">
        <v>1.8799999999999999E-140</v>
      </c>
      <c r="G11646" s="3">
        <v>1052</v>
      </c>
      <c r="H11646" s="3">
        <v>91</v>
      </c>
      <c r="I11646" s="3">
        <v>219</v>
      </c>
      <c r="J11646" s="3">
        <v>358</v>
      </c>
      <c r="K11646" s="3">
        <v>1014</v>
      </c>
      <c r="L11646" s="3">
        <v>44</v>
      </c>
      <c r="M11646" s="3">
        <v>261</v>
      </c>
    </row>
    <row r="11647" spans="1:13" x14ac:dyDescent="0.25">
      <c r="A11647" s="1" t="str">
        <f>HYPERLINK("http://www.rosaceae.org/Prunus/Prunus_persica/p.persica_gdr_reftransV1_0047989","p.persica_gdr_reftransV1_0047989")</f>
        <v>p.persica_gdr_reftransV1_0047989</v>
      </c>
      <c r="B11647" s="3">
        <v>1040</v>
      </c>
      <c r="C11647" s="1" t="str">
        <f>HYPERLINK("http://www.uniprot.org/uniprot/BH041_ARATH","BH041_ARATH")</f>
        <v>BH041_ARATH</v>
      </c>
      <c r="D11647" t="s">
        <v>8176</v>
      </c>
      <c r="E11647" s="3" t="s">
        <v>3</v>
      </c>
      <c r="F11647" s="4">
        <v>1.35E-50</v>
      </c>
      <c r="G11647" s="3">
        <v>458</v>
      </c>
      <c r="H11647" s="3">
        <v>46</v>
      </c>
      <c r="I11647" s="3">
        <v>267</v>
      </c>
      <c r="J11647" s="3">
        <v>209</v>
      </c>
      <c r="K11647" s="3">
        <v>943</v>
      </c>
      <c r="L11647" s="3">
        <v>212</v>
      </c>
      <c r="M11647" s="3">
        <v>465</v>
      </c>
    </row>
    <row r="11648" spans="1:13" x14ac:dyDescent="0.25">
      <c r="A11648" s="1" t="str">
        <f>HYPERLINK("http://www.rosaceae.org/Prunus/Prunus_persica/p.persica_gdr_reftransV1_0048039","p.persica_gdr_reftransV1_0048039")</f>
        <v>p.persica_gdr_reftransV1_0048039</v>
      </c>
      <c r="B11648" s="3">
        <v>3684</v>
      </c>
      <c r="C11648" s="1" t="str">
        <f>HYPERLINK("http://www.uniprot.org/uniprot/VILI2_ARATH","VILI2_ARATH")</f>
        <v>VILI2_ARATH</v>
      </c>
      <c r="D11648" t="s">
        <v>8177</v>
      </c>
      <c r="E11648" s="3" t="s">
        <v>3</v>
      </c>
      <c r="F11648" s="4">
        <v>0</v>
      </c>
      <c r="G11648" s="3">
        <v>3614</v>
      </c>
      <c r="H11648" s="3">
        <v>72</v>
      </c>
      <c r="I11648" s="3">
        <v>994</v>
      </c>
      <c r="J11648" s="3">
        <v>391</v>
      </c>
      <c r="K11648" s="3">
        <v>3321</v>
      </c>
      <c r="L11648" s="3">
        <v>2</v>
      </c>
      <c r="M11648" s="3">
        <v>976</v>
      </c>
    </row>
    <row r="11649" spans="1:13" x14ac:dyDescent="0.25">
      <c r="A11649" s="1" t="str">
        <f>HYPERLINK("http://www.rosaceae.org/Prunus/Prunus_persica/p.persica_gdr_reftransV1_0048139","p.persica_gdr_reftransV1_0048139")</f>
        <v>p.persica_gdr_reftransV1_0048139</v>
      </c>
      <c r="B11649" s="3">
        <v>1982</v>
      </c>
      <c r="C11649" s="1" t="str">
        <f>HYPERLINK("http://www.uniprot.org/uniprot/C3H7_ARATH","C3H7_ARATH")</f>
        <v>C3H7_ARATH</v>
      </c>
      <c r="D11649" t="s">
        <v>698</v>
      </c>
      <c r="E11649" s="3" t="s">
        <v>3</v>
      </c>
      <c r="F11649" s="4">
        <v>3.5699999999999998E-132</v>
      </c>
      <c r="G11649" s="3">
        <v>864</v>
      </c>
      <c r="H11649" s="3">
        <v>59</v>
      </c>
      <c r="I11649" s="3">
        <v>305</v>
      </c>
      <c r="J11649" s="3">
        <v>398</v>
      </c>
      <c r="K11649" s="3">
        <v>1300</v>
      </c>
      <c r="L11649" s="3">
        <v>185</v>
      </c>
      <c r="M11649" s="3">
        <v>450</v>
      </c>
    </row>
    <row r="11650" spans="1:13" x14ac:dyDescent="0.25">
      <c r="A11650" s="1" t="str">
        <f>HYPERLINK("http://www.rosaceae.org/Prunus/Prunus_persica/p.persica_gdr_reftransV1_0048189","p.persica_gdr_reftransV1_0048189")</f>
        <v>p.persica_gdr_reftransV1_0048189</v>
      </c>
      <c r="B11650" s="3">
        <v>1159</v>
      </c>
      <c r="C11650" s="1" t="str">
        <f>HYPERLINK("http://www.uniprot.org/uniprot/JOIN_SOLLC","JOIN_SOLLC")</f>
        <v>JOIN_SOLLC</v>
      </c>
      <c r="D11650" t="s">
        <v>2718</v>
      </c>
      <c r="E11650" s="3" t="s">
        <v>64</v>
      </c>
      <c r="F11650" s="4">
        <v>2.03E-53</v>
      </c>
      <c r="G11650" s="3">
        <v>466</v>
      </c>
      <c r="H11650" s="3">
        <v>60</v>
      </c>
      <c r="I11650" s="3">
        <v>172</v>
      </c>
      <c r="J11650" s="3">
        <v>125</v>
      </c>
      <c r="K11650" s="3">
        <v>637</v>
      </c>
      <c r="L11650" s="3">
        <v>1</v>
      </c>
      <c r="M11650" s="3">
        <v>172</v>
      </c>
    </row>
    <row r="11651" spans="1:13" x14ac:dyDescent="0.25">
      <c r="A11651" s="1" t="str">
        <f>HYPERLINK("http://www.rosaceae.org/Prunus/Prunus_persica/p.persica_gdr_reftransV1_0048239","p.persica_gdr_reftransV1_0048239")</f>
        <v>p.persica_gdr_reftransV1_0048239</v>
      </c>
      <c r="B11651" s="3">
        <v>1387</v>
      </c>
      <c r="C11651" s="1" t="str">
        <f>HYPERLINK("http://www.uniprot.org/uniprot/MADS8_ORYSJ","MADS8_ORYSJ")</f>
        <v>MADS8_ORYSJ</v>
      </c>
      <c r="D11651" t="s">
        <v>851</v>
      </c>
      <c r="E11651" s="3" t="s">
        <v>38</v>
      </c>
      <c r="F11651" s="4">
        <v>6.1400000000000002E-36</v>
      </c>
      <c r="G11651" s="3">
        <v>347</v>
      </c>
      <c r="H11651" s="3">
        <v>50</v>
      </c>
      <c r="I11651" s="3">
        <v>155</v>
      </c>
      <c r="J11651" s="3">
        <v>372</v>
      </c>
      <c r="K11651" s="3">
        <v>830</v>
      </c>
      <c r="L11651" s="3">
        <v>1</v>
      </c>
      <c r="M11651" s="3">
        <v>154</v>
      </c>
    </row>
    <row r="11652" spans="1:13" x14ac:dyDescent="0.25">
      <c r="A11652" s="1" t="str">
        <f>HYPERLINK("http://www.rosaceae.org/Prunus/Prunus_persica/p.persica_gdr_reftransV1_0048339","p.persica_gdr_reftransV1_0048339")</f>
        <v>p.persica_gdr_reftransV1_0048339</v>
      </c>
      <c r="B11652" s="3">
        <v>1814</v>
      </c>
      <c r="C11652" s="1" t="str">
        <f>HYPERLINK("http://www.uniprot.org/uniprot/TBB6_GOSHI","TBB6_GOSHI")</f>
        <v>TBB6_GOSHI</v>
      </c>
      <c r="D11652" t="s">
        <v>8178</v>
      </c>
      <c r="E11652" s="3" t="s">
        <v>816</v>
      </c>
      <c r="F11652" s="4">
        <v>0</v>
      </c>
      <c r="G11652" s="3">
        <v>2205</v>
      </c>
      <c r="H11652" s="3">
        <v>96</v>
      </c>
      <c r="I11652" s="3">
        <v>432</v>
      </c>
      <c r="J11652" s="3">
        <v>139</v>
      </c>
      <c r="K11652" s="3">
        <v>1434</v>
      </c>
      <c r="L11652" s="3">
        <v>1</v>
      </c>
      <c r="M11652" s="3">
        <v>432</v>
      </c>
    </row>
    <row r="11653" spans="1:13" x14ac:dyDescent="0.25">
      <c r="A11653" s="1" t="str">
        <f>HYPERLINK("http://www.rosaceae.org/Prunus/Prunus_persica/p.persica_gdr_reftransV1_0048389","p.persica_gdr_reftransV1_0048389")</f>
        <v>p.persica_gdr_reftransV1_0048389</v>
      </c>
      <c r="B11653" s="3">
        <v>1409</v>
      </c>
      <c r="C11653" s="1" t="str">
        <f>HYPERLINK("http://www.uniprot.org/uniprot/CQ053_MOUSE","CQ053_MOUSE")</f>
        <v>CQ053_MOUSE</v>
      </c>
      <c r="D11653" t="s">
        <v>8179</v>
      </c>
      <c r="E11653" s="3" t="s">
        <v>157</v>
      </c>
      <c r="F11653" s="4">
        <v>3.94E-9</v>
      </c>
      <c r="G11653" s="3">
        <v>151</v>
      </c>
      <c r="H11653" s="3">
        <v>31</v>
      </c>
      <c r="I11653" s="3">
        <v>121</v>
      </c>
      <c r="J11653" s="3">
        <v>895</v>
      </c>
      <c r="K11653" s="3">
        <v>1245</v>
      </c>
      <c r="L11653" s="3">
        <v>432</v>
      </c>
      <c r="M11653" s="3">
        <v>543</v>
      </c>
    </row>
    <row r="11654" spans="1:13" x14ac:dyDescent="0.25">
      <c r="A11654" s="1" t="str">
        <f>HYPERLINK("http://www.rosaceae.org/Prunus/Prunus_persica/p.persica_gdr_reftransV1_0048489","p.persica_gdr_reftransV1_0048489")</f>
        <v>p.persica_gdr_reftransV1_0048489</v>
      </c>
      <c r="B11654" s="3">
        <v>6573</v>
      </c>
      <c r="C11654" s="1" t="str">
        <f>HYPERLINK("http://www.uniprot.org/uniprot/MED13_ARATH","MED13_ARATH")</f>
        <v>MED13_ARATH</v>
      </c>
      <c r="D11654" t="s">
        <v>5288</v>
      </c>
      <c r="E11654" s="3" t="s">
        <v>3</v>
      </c>
      <c r="F11654" s="4">
        <v>0</v>
      </c>
      <c r="G11654" s="3">
        <v>2821</v>
      </c>
      <c r="H11654" s="3">
        <v>55</v>
      </c>
      <c r="I11654" s="3">
        <v>1200</v>
      </c>
      <c r="J11654" s="3">
        <v>400</v>
      </c>
      <c r="K11654" s="3">
        <v>3840</v>
      </c>
      <c r="L11654" s="3">
        <v>1</v>
      </c>
      <c r="M11654" s="3">
        <v>1121</v>
      </c>
    </row>
    <row r="11655" spans="1:13" x14ac:dyDescent="0.25">
      <c r="A11655" s="1" t="str">
        <f>HYPERLINK("http://www.rosaceae.org/Prunus/Prunus_persica/p.persica_gdr_reftransV1_0048539","p.persica_gdr_reftransV1_0048539")</f>
        <v>p.persica_gdr_reftransV1_0048539</v>
      </c>
      <c r="B11655" s="3">
        <v>1433</v>
      </c>
      <c r="C11655" s="1" t="str">
        <f>HYPERLINK("http://www.uniprot.org/uniprot/NU4C_MORIN","NU4C_MORIN")</f>
        <v>NU4C_MORIN</v>
      </c>
      <c r="D11655" t="s">
        <v>8180</v>
      </c>
      <c r="E11655" s="3" t="s">
        <v>69</v>
      </c>
      <c r="F11655" s="4">
        <v>0</v>
      </c>
      <c r="G11655" s="3">
        <v>1532</v>
      </c>
      <c r="H11655" s="3">
        <v>81</v>
      </c>
      <c r="I11655" s="3">
        <v>389</v>
      </c>
      <c r="J11655" s="3">
        <v>89</v>
      </c>
      <c r="K11655" s="3">
        <v>1252</v>
      </c>
      <c r="L11655" s="3">
        <v>111</v>
      </c>
      <c r="M11655" s="3">
        <v>499</v>
      </c>
    </row>
    <row r="11656" spans="1:13" x14ac:dyDescent="0.25">
      <c r="A11656" s="1" t="str">
        <f>HYPERLINK("http://www.rosaceae.org/Prunus/Prunus_persica/p.persica_gdr_reftransV1_0048589","p.persica_gdr_reftransV1_0048589")</f>
        <v>p.persica_gdr_reftransV1_0048589</v>
      </c>
      <c r="B11656" s="3">
        <v>2457</v>
      </c>
      <c r="C11656" s="1" t="str">
        <f>HYPERLINK("http://www.uniprot.org/uniprot/PAE10_ARATH","PAE10_ARATH")</f>
        <v>PAE10_ARATH</v>
      </c>
      <c r="D11656" t="s">
        <v>3038</v>
      </c>
      <c r="E11656" s="3" t="s">
        <v>3</v>
      </c>
      <c r="F11656" s="4">
        <v>9.2699999999999996E-15</v>
      </c>
      <c r="G11656" s="3">
        <v>199</v>
      </c>
      <c r="H11656" s="3">
        <v>70</v>
      </c>
      <c r="I11656" s="3">
        <v>47</v>
      </c>
      <c r="J11656" s="3">
        <v>2</v>
      </c>
      <c r="K11656" s="3">
        <v>142</v>
      </c>
      <c r="L11656" s="3">
        <v>369</v>
      </c>
      <c r="M11656" s="3">
        <v>415</v>
      </c>
    </row>
    <row r="11657" spans="1:13" x14ac:dyDescent="0.25">
      <c r="A11657" s="1" t="str">
        <f>HYPERLINK("http://www.rosaceae.org/Prunus/Prunus_persica/p.persica_gdr_reftransV1_0048689","p.persica_gdr_reftransV1_0048689")</f>
        <v>p.persica_gdr_reftransV1_0048689</v>
      </c>
      <c r="B11657" s="3">
        <v>1461</v>
      </c>
      <c r="C11657" s="1" t="str">
        <f>HYPERLINK("http://www.uniprot.org/uniprot/GDL71_ARATH","GDL71_ARATH")</f>
        <v>GDL71_ARATH</v>
      </c>
      <c r="D11657" t="s">
        <v>7174</v>
      </c>
      <c r="E11657" s="3" t="s">
        <v>3</v>
      </c>
      <c r="F11657" s="4">
        <v>3.2099999999999999E-136</v>
      </c>
      <c r="G11657" s="3">
        <v>1038</v>
      </c>
      <c r="H11657" s="3">
        <v>61</v>
      </c>
      <c r="I11657" s="3">
        <v>316</v>
      </c>
      <c r="J11657" s="3">
        <v>267</v>
      </c>
      <c r="K11657" s="3">
        <v>1208</v>
      </c>
      <c r="L11657" s="3">
        <v>37</v>
      </c>
      <c r="M11657" s="3">
        <v>352</v>
      </c>
    </row>
    <row r="11658" spans="1:13" x14ac:dyDescent="0.25">
      <c r="A11658" s="1" t="str">
        <f>HYPERLINK("http://www.rosaceae.org/Prunus/Prunus_persica/p.persica_gdr_reftransV1_0048739","p.persica_gdr_reftransV1_0048739")</f>
        <v>p.persica_gdr_reftransV1_0048739</v>
      </c>
      <c r="B11658" s="3">
        <v>1309</v>
      </c>
      <c r="C11658" s="1" t="str">
        <f>HYPERLINK("http://www.uniprot.org/uniprot/HYES_HUMAN","HYES_HUMAN")</f>
        <v>HYES_HUMAN</v>
      </c>
      <c r="D11658" t="s">
        <v>960</v>
      </c>
      <c r="E11658" s="3" t="s">
        <v>28</v>
      </c>
      <c r="F11658" s="4">
        <v>3.1999999999999999E-46</v>
      </c>
      <c r="G11658" s="3">
        <v>437</v>
      </c>
      <c r="H11658" s="3">
        <v>31</v>
      </c>
      <c r="I11658" s="3">
        <v>315</v>
      </c>
      <c r="J11658" s="3">
        <v>279</v>
      </c>
      <c r="K11658" s="3">
        <v>1169</v>
      </c>
      <c r="L11658" s="3">
        <v>248</v>
      </c>
      <c r="M11658" s="3">
        <v>542</v>
      </c>
    </row>
    <row r="11659" spans="1:13" x14ac:dyDescent="0.25">
      <c r="A11659" s="1" t="str">
        <f>HYPERLINK("http://www.rosaceae.org/Prunus/Prunus_persica/p.persica_gdr_reftransV1_0048789","p.persica_gdr_reftransV1_0048789")</f>
        <v>p.persica_gdr_reftransV1_0048789</v>
      </c>
      <c r="B11659" s="3">
        <v>1500</v>
      </c>
      <c r="C11659" s="1" t="str">
        <f>HYPERLINK("http://www.uniprot.org/uniprot/Y1178_ARATH","Y1178_ARATH")</f>
        <v>Y1178_ARATH</v>
      </c>
      <c r="D11659" t="s">
        <v>617</v>
      </c>
      <c r="E11659" s="3" t="s">
        <v>3</v>
      </c>
      <c r="F11659" s="4">
        <v>0</v>
      </c>
      <c r="G11659" s="3">
        <v>1427</v>
      </c>
      <c r="H11659" s="3">
        <v>79</v>
      </c>
      <c r="I11659" s="3">
        <v>326</v>
      </c>
      <c r="J11659" s="3">
        <v>321</v>
      </c>
      <c r="K11659" s="3">
        <v>1298</v>
      </c>
      <c r="L11659" s="3">
        <v>1</v>
      </c>
      <c r="M11659" s="3">
        <v>326</v>
      </c>
    </row>
    <row r="11660" spans="1:13" x14ac:dyDescent="0.25">
      <c r="A11660" s="1" t="str">
        <f>HYPERLINK("http://www.rosaceae.org/Prunus/Prunus_persica/p.persica_gdr_reftransV1_0048839","p.persica_gdr_reftransV1_0048839")</f>
        <v>p.persica_gdr_reftransV1_0048839</v>
      </c>
      <c r="B11660" s="3">
        <v>519</v>
      </c>
      <c r="C11660" s="1" t="str">
        <f>HYPERLINK("http://www.uniprot.org/uniprot/LTI6B_ORYSJ","LTI6B_ORYSJ")</f>
        <v>LTI6B_ORYSJ</v>
      </c>
      <c r="D11660" t="s">
        <v>8181</v>
      </c>
      <c r="E11660" s="3" t="s">
        <v>38</v>
      </c>
      <c r="F11660" s="4">
        <v>7.4099999999999997E-13</v>
      </c>
      <c r="G11660" s="3">
        <v>156</v>
      </c>
      <c r="H11660" s="3">
        <v>89</v>
      </c>
      <c r="I11660" s="3">
        <v>36</v>
      </c>
      <c r="J11660" s="3">
        <v>363</v>
      </c>
      <c r="K11660" s="3">
        <v>470</v>
      </c>
      <c r="L11660" s="3">
        <v>20</v>
      </c>
      <c r="M11660" s="3">
        <v>55</v>
      </c>
    </row>
    <row r="11661" spans="1:13" x14ac:dyDescent="0.25">
      <c r="A11661" s="1" t="str">
        <f>HYPERLINK("http://www.rosaceae.org/Prunus/Prunus_persica/p.persica_gdr_reftransV1_0048889","p.persica_gdr_reftransV1_0048889")</f>
        <v>p.persica_gdr_reftransV1_0048889</v>
      </c>
      <c r="B11661" s="3">
        <v>958</v>
      </c>
      <c r="C11661" s="1" t="str">
        <f>HYPERLINK("http://www.uniprot.org/uniprot/MBF1C_ARATH","MBF1C_ARATH")</f>
        <v>MBF1C_ARATH</v>
      </c>
      <c r="D11661" t="s">
        <v>8182</v>
      </c>
      <c r="E11661" s="3" t="s">
        <v>3</v>
      </c>
      <c r="F11661" s="4">
        <v>5.4600000000000003E-66</v>
      </c>
      <c r="G11661" s="3">
        <v>535</v>
      </c>
      <c r="H11661" s="3">
        <v>75</v>
      </c>
      <c r="I11661" s="3">
        <v>138</v>
      </c>
      <c r="J11661" s="3">
        <v>187</v>
      </c>
      <c r="K11661" s="3">
        <v>588</v>
      </c>
      <c r="L11661" s="3">
        <v>1</v>
      </c>
      <c r="M11661" s="3">
        <v>138</v>
      </c>
    </row>
    <row r="11662" spans="1:13" x14ac:dyDescent="0.25">
      <c r="A11662" s="1" t="str">
        <f>HYPERLINK("http://www.rosaceae.org/Prunus/Prunus_persica/p.persica_gdr_reftransV1_0049039","p.persica_gdr_reftransV1_0049039")</f>
        <v>p.persica_gdr_reftransV1_0049039</v>
      </c>
      <c r="B11662" s="3">
        <v>1482</v>
      </c>
      <c r="C11662" s="1" t="str">
        <f>HYPERLINK("http://www.uniprot.org/uniprot/PUMP5_ARATH","PUMP5_ARATH")</f>
        <v>PUMP5_ARATH</v>
      </c>
      <c r="D11662" t="s">
        <v>1747</v>
      </c>
      <c r="E11662" s="3" t="s">
        <v>3</v>
      </c>
      <c r="F11662" s="4">
        <v>1.9900000000000001E-137</v>
      </c>
      <c r="G11662" s="3">
        <v>1043</v>
      </c>
      <c r="H11662" s="3">
        <v>70</v>
      </c>
      <c r="I11662" s="3">
        <v>328</v>
      </c>
      <c r="J11662" s="3">
        <v>236</v>
      </c>
      <c r="K11662" s="3">
        <v>1219</v>
      </c>
      <c r="L11662" s="3">
        <v>1</v>
      </c>
      <c r="M11662" s="3">
        <v>311</v>
      </c>
    </row>
    <row r="11663" spans="1:13" x14ac:dyDescent="0.25">
      <c r="A11663" s="1" t="str">
        <f>HYPERLINK("http://www.rosaceae.org/Prunus/Prunus_persica/p.persica_gdr_reftransV1_0049089","p.persica_gdr_reftransV1_0049089")</f>
        <v>p.persica_gdr_reftransV1_0049089</v>
      </c>
      <c r="B11663" s="3">
        <v>1193</v>
      </c>
      <c r="C11663" s="1" t="str">
        <f>HYPERLINK("http://www.uniprot.org/uniprot/ORC1A_ARATH","ORC1A_ARATH")</f>
        <v>ORC1A_ARATH</v>
      </c>
      <c r="D11663" t="s">
        <v>8183</v>
      </c>
      <c r="E11663" s="3" t="s">
        <v>3</v>
      </c>
      <c r="F11663" s="4">
        <v>0</v>
      </c>
      <c r="G11663" s="3">
        <v>1424</v>
      </c>
      <c r="H11663" s="3">
        <v>79</v>
      </c>
      <c r="I11663" s="3">
        <v>345</v>
      </c>
      <c r="J11663" s="3">
        <v>158</v>
      </c>
      <c r="K11663" s="3">
        <v>1192</v>
      </c>
      <c r="L11663" s="3">
        <v>470</v>
      </c>
      <c r="M11663" s="3">
        <v>809</v>
      </c>
    </row>
    <row r="11664" spans="1:13" x14ac:dyDescent="0.25">
      <c r="A11664" s="1" t="str">
        <f>HYPERLINK("http://www.rosaceae.org/Prunus/Prunus_persica/p.persica_gdr_reftransV1_0049139","p.persica_gdr_reftransV1_0049139")</f>
        <v>p.persica_gdr_reftransV1_0049139</v>
      </c>
      <c r="B11664" s="3">
        <v>599</v>
      </c>
      <c r="C11664" s="1" t="str">
        <f>HYPERLINK("http://www.uniprot.org/uniprot/BGL41_ARATH","BGL41_ARATH")</f>
        <v>BGL41_ARATH</v>
      </c>
      <c r="D11664" t="s">
        <v>989</v>
      </c>
      <c r="E11664" s="3" t="s">
        <v>3</v>
      </c>
      <c r="F11664" s="4">
        <v>6.6199999999999998E-69</v>
      </c>
      <c r="G11664" s="3">
        <v>574</v>
      </c>
      <c r="H11664" s="3">
        <v>74</v>
      </c>
      <c r="I11664" s="3">
        <v>140</v>
      </c>
      <c r="J11664" s="3">
        <v>118</v>
      </c>
      <c r="K11664" s="3">
        <v>537</v>
      </c>
      <c r="L11664" s="3">
        <v>366</v>
      </c>
      <c r="M11664" s="3">
        <v>505</v>
      </c>
    </row>
    <row r="11665" spans="1:13" x14ac:dyDescent="0.25">
      <c r="A11665" s="1" t="str">
        <f>HYPERLINK("http://www.rosaceae.org/Prunus/Prunus_persica/p.persica_gdr_reftransV1_0049189","p.persica_gdr_reftransV1_0049189")</f>
        <v>p.persica_gdr_reftransV1_0049189</v>
      </c>
      <c r="B11665" s="3">
        <v>1339</v>
      </c>
      <c r="C11665" s="1" t="str">
        <f>HYPERLINK("http://www.uniprot.org/uniprot/ADCK2_HUMAN","ADCK2_HUMAN")</f>
        <v>ADCK2_HUMAN</v>
      </c>
      <c r="D11665" t="s">
        <v>8184</v>
      </c>
      <c r="E11665" s="3" t="s">
        <v>28</v>
      </c>
      <c r="F11665" s="4">
        <v>1.2999999999999999E-32</v>
      </c>
      <c r="G11665" s="3">
        <v>336</v>
      </c>
      <c r="H11665" s="3">
        <v>33</v>
      </c>
      <c r="I11665" s="3">
        <v>267</v>
      </c>
      <c r="J11665" s="3">
        <v>194</v>
      </c>
      <c r="K11665" s="3">
        <v>937</v>
      </c>
      <c r="L11665" s="3">
        <v>356</v>
      </c>
      <c r="M11665" s="3">
        <v>621</v>
      </c>
    </row>
    <row r="11666" spans="1:13" x14ac:dyDescent="0.25">
      <c r="A11666" s="1" t="str">
        <f>HYPERLINK("http://www.rosaceae.org/Prunus/Prunus_persica/p.persica_gdr_reftransV1_0000040","p.persica_gdr_reftransV1_0000040")</f>
        <v>p.persica_gdr_reftransV1_0000040</v>
      </c>
      <c r="B11666" s="3">
        <v>1535</v>
      </c>
      <c r="C11666" s="1" t="str">
        <f>HYPERLINK("http://www.uniprot.org/uniprot/TRL12_ARATH","TRL12_ARATH")</f>
        <v>TRL12_ARATH</v>
      </c>
      <c r="D11666" t="s">
        <v>8185</v>
      </c>
      <c r="E11666" s="3" t="s">
        <v>3</v>
      </c>
      <c r="F11666" s="4">
        <v>1.21E-76</v>
      </c>
      <c r="G11666" s="3">
        <v>632</v>
      </c>
      <c r="H11666" s="3">
        <v>59</v>
      </c>
      <c r="I11666" s="3">
        <v>210</v>
      </c>
      <c r="J11666" s="3">
        <v>415</v>
      </c>
      <c r="K11666" s="3">
        <v>1038</v>
      </c>
      <c r="L11666" s="3">
        <v>18</v>
      </c>
      <c r="M11666" s="3">
        <v>223</v>
      </c>
    </row>
    <row r="11667" spans="1:13" x14ac:dyDescent="0.25">
      <c r="A11667" s="1" t="str">
        <f>HYPERLINK("http://www.rosaceae.org/Prunus/Prunus_persica/p.persica_gdr_reftransV1_0000090","p.persica_gdr_reftransV1_0000090")</f>
        <v>p.persica_gdr_reftransV1_0000090</v>
      </c>
      <c r="B11667" s="3">
        <v>1414</v>
      </c>
      <c r="C11667" s="1" t="str">
        <f>HYPERLINK("http://www.uniprot.org/uniprot/GSTL3_ARATH","GSTL3_ARATH")</f>
        <v>GSTL3_ARATH</v>
      </c>
      <c r="D11667" t="s">
        <v>196</v>
      </c>
      <c r="E11667" s="3" t="s">
        <v>3</v>
      </c>
      <c r="F11667" s="4">
        <v>4.0900000000000003E-108</v>
      </c>
      <c r="G11667" s="3">
        <v>838</v>
      </c>
      <c r="H11667" s="3">
        <v>72</v>
      </c>
      <c r="I11667" s="3">
        <v>209</v>
      </c>
      <c r="J11667" s="3">
        <v>263</v>
      </c>
      <c r="K11667" s="3">
        <v>889</v>
      </c>
      <c r="L11667" s="3">
        <v>27</v>
      </c>
      <c r="M11667" s="3">
        <v>235</v>
      </c>
    </row>
    <row r="11668" spans="1:13" x14ac:dyDescent="0.25">
      <c r="A11668" s="1" t="str">
        <f>HYPERLINK("http://www.rosaceae.org/Prunus/Prunus_persica/p.persica_gdr_reftransV1_0000140","p.persica_gdr_reftransV1_0000140")</f>
        <v>p.persica_gdr_reftransV1_0000140</v>
      </c>
      <c r="B11668" s="3">
        <v>4198</v>
      </c>
      <c r="C11668" s="1" t="str">
        <f>HYPERLINK("http://www.uniprot.org/uniprot/YERG_SCHPO","YERG_SCHPO")</f>
        <v>YERG_SCHPO</v>
      </c>
      <c r="D11668" t="s">
        <v>1673</v>
      </c>
      <c r="E11668" s="3" t="s">
        <v>464</v>
      </c>
      <c r="F11668" s="4">
        <v>3.51E-62</v>
      </c>
      <c r="G11668" s="3">
        <v>572</v>
      </c>
      <c r="H11668" s="3">
        <v>36</v>
      </c>
      <c r="I11668" s="3">
        <v>307</v>
      </c>
      <c r="J11668" s="3">
        <v>460</v>
      </c>
      <c r="K11668" s="3">
        <v>1371</v>
      </c>
      <c r="L11668" s="3">
        <v>74</v>
      </c>
      <c r="M11668" s="3">
        <v>374</v>
      </c>
    </row>
    <row r="11669" spans="1:13" x14ac:dyDescent="0.25">
      <c r="A11669" s="1" t="str">
        <f>HYPERLINK("http://www.rosaceae.org/Prunus/Prunus_persica/p.persica_gdr_reftransV1_0000240","p.persica_gdr_reftransV1_0000240")</f>
        <v>p.persica_gdr_reftransV1_0000240</v>
      </c>
      <c r="B11669" s="3">
        <v>916</v>
      </c>
      <c r="C11669" s="1" t="str">
        <f>HYPERLINK("http://www.uniprot.org/uniprot/H12_ARATH","H12_ARATH")</f>
        <v>H12_ARATH</v>
      </c>
      <c r="D11669" t="s">
        <v>2002</v>
      </c>
      <c r="E11669" s="3" t="s">
        <v>3</v>
      </c>
      <c r="F11669" s="4">
        <v>1.07E-8</v>
      </c>
      <c r="G11669" s="3">
        <v>141</v>
      </c>
      <c r="H11669" s="3">
        <v>51</v>
      </c>
      <c r="I11669" s="3">
        <v>65</v>
      </c>
      <c r="J11669" s="3">
        <v>445</v>
      </c>
      <c r="K11669" s="3">
        <v>639</v>
      </c>
      <c r="L11669" s="3">
        <v>65</v>
      </c>
      <c r="M11669" s="3">
        <v>129</v>
      </c>
    </row>
    <row r="11670" spans="1:13" x14ac:dyDescent="0.25">
      <c r="A11670" s="1" t="str">
        <f>HYPERLINK("http://www.rosaceae.org/Prunus/Prunus_persica/p.persica_gdr_reftransV1_0000390","p.persica_gdr_reftransV1_0000390")</f>
        <v>p.persica_gdr_reftransV1_0000390</v>
      </c>
      <c r="B11670" s="3">
        <v>913</v>
      </c>
      <c r="C11670" s="1" t="str">
        <f>HYPERLINK("http://www.uniprot.org/uniprot/GRP1_SINAL","GRP1_SINAL")</f>
        <v>GRP1_SINAL</v>
      </c>
      <c r="D11670" t="s">
        <v>3870</v>
      </c>
      <c r="E11670" s="3" t="s">
        <v>3871</v>
      </c>
      <c r="F11670" s="4">
        <v>2.2299999999999999E-41</v>
      </c>
      <c r="G11670" s="3">
        <v>370</v>
      </c>
      <c r="H11670" s="3">
        <v>79</v>
      </c>
      <c r="I11670" s="3">
        <v>85</v>
      </c>
      <c r="J11670" s="3">
        <v>141</v>
      </c>
      <c r="K11670" s="3">
        <v>395</v>
      </c>
      <c r="L11670" s="3">
        <v>1</v>
      </c>
      <c r="M11670" s="3">
        <v>85</v>
      </c>
    </row>
    <row r="11671" spans="1:13" x14ac:dyDescent="0.25">
      <c r="A11671" s="1" t="str">
        <f>HYPERLINK("http://www.rosaceae.org/Prunus/Prunus_persica/p.persica_gdr_reftransV1_0000440","p.persica_gdr_reftransV1_0000440")</f>
        <v>p.persica_gdr_reftransV1_0000440</v>
      </c>
      <c r="B11671" s="3">
        <v>1302</v>
      </c>
      <c r="C11671" s="1" t="str">
        <f>HYPERLINK("http://www.uniprot.org/uniprot/1433_PEA","1433_PEA")</f>
        <v>1433_PEA</v>
      </c>
      <c r="D11671" t="s">
        <v>8186</v>
      </c>
      <c r="E11671" s="3" t="s">
        <v>60</v>
      </c>
      <c r="F11671" s="4">
        <v>4.9100000000000001E-125</v>
      </c>
      <c r="G11671" s="3">
        <v>826</v>
      </c>
      <c r="H11671" s="3">
        <v>94</v>
      </c>
      <c r="I11671" s="3">
        <v>162</v>
      </c>
      <c r="J11671" s="3">
        <v>431</v>
      </c>
      <c r="K11671" s="3">
        <v>916</v>
      </c>
      <c r="L11671" s="3">
        <v>88</v>
      </c>
      <c r="M11671" s="3">
        <v>249</v>
      </c>
    </row>
    <row r="11672" spans="1:13" x14ac:dyDescent="0.25">
      <c r="A11672" s="1" t="str">
        <f>HYPERLINK("http://www.rosaceae.org/Prunus/Prunus_persica/p.persica_gdr_reftransV1_0000490","p.persica_gdr_reftransV1_0000490")</f>
        <v>p.persica_gdr_reftransV1_0000490</v>
      </c>
      <c r="B11672" s="3">
        <v>3145</v>
      </c>
      <c r="C11672" s="1" t="str">
        <f>HYPERLINK("http://www.uniprot.org/uniprot/Y1960_ARATH","Y1960_ARATH")</f>
        <v>Y1960_ARATH</v>
      </c>
      <c r="D11672" t="s">
        <v>743</v>
      </c>
      <c r="E11672" s="3" t="s">
        <v>3</v>
      </c>
      <c r="F11672" s="4">
        <v>0</v>
      </c>
      <c r="G11672" s="3">
        <v>1482</v>
      </c>
      <c r="H11672" s="3">
        <v>52</v>
      </c>
      <c r="I11672" s="3">
        <v>629</v>
      </c>
      <c r="J11672" s="3">
        <v>400</v>
      </c>
      <c r="K11672" s="3">
        <v>2256</v>
      </c>
      <c r="L11672" s="3">
        <v>94</v>
      </c>
      <c r="M11672" s="3">
        <v>695</v>
      </c>
    </row>
    <row r="11673" spans="1:13" x14ac:dyDescent="0.25">
      <c r="A11673" s="1" t="str">
        <f>HYPERLINK("http://www.rosaceae.org/Prunus/Prunus_persica/p.persica_gdr_reftransV1_0000690","p.persica_gdr_reftransV1_0000690")</f>
        <v>p.persica_gdr_reftransV1_0000690</v>
      </c>
      <c r="B11673" s="3">
        <v>1820</v>
      </c>
      <c r="C11673" s="1" t="str">
        <f>HYPERLINK("http://www.uniprot.org/uniprot/APA1_ARATH","APA1_ARATH")</f>
        <v>APA1_ARATH</v>
      </c>
      <c r="D11673" t="s">
        <v>8187</v>
      </c>
      <c r="E11673" s="3" t="s">
        <v>3</v>
      </c>
      <c r="F11673" s="4">
        <v>0</v>
      </c>
      <c r="G11673" s="3">
        <v>2006</v>
      </c>
      <c r="H11673" s="3">
        <v>78</v>
      </c>
      <c r="I11673" s="3">
        <v>491</v>
      </c>
      <c r="J11673" s="3">
        <v>118</v>
      </c>
      <c r="K11673" s="3">
        <v>1590</v>
      </c>
      <c r="L11673" s="3">
        <v>24</v>
      </c>
      <c r="M11673" s="3">
        <v>506</v>
      </c>
    </row>
    <row r="11674" spans="1:13" x14ac:dyDescent="0.25">
      <c r="A11674" s="1" t="str">
        <f>HYPERLINK("http://www.rosaceae.org/Prunus/Prunus_persica/p.persica_gdr_reftransV1_0000740","p.persica_gdr_reftransV1_0000740")</f>
        <v>p.persica_gdr_reftransV1_0000740</v>
      </c>
      <c r="B11674" s="3">
        <v>494</v>
      </c>
      <c r="C11674" s="1" t="str">
        <f>HYPERLINK("http://www.uniprot.org/uniprot/BGL24_ORYSJ","BGL24_ORYSJ")</f>
        <v>BGL24_ORYSJ</v>
      </c>
      <c r="D11674" t="s">
        <v>8012</v>
      </c>
      <c r="E11674" s="3" t="s">
        <v>38</v>
      </c>
      <c r="F11674" s="4">
        <v>1.6499999999999999E-76</v>
      </c>
      <c r="G11674" s="3">
        <v>619</v>
      </c>
      <c r="H11674" s="3">
        <v>64</v>
      </c>
      <c r="I11674" s="3">
        <v>166</v>
      </c>
      <c r="J11674" s="3">
        <v>2</v>
      </c>
      <c r="K11674" s="3">
        <v>493</v>
      </c>
      <c r="L11674" s="3">
        <v>173</v>
      </c>
      <c r="M11674" s="3">
        <v>338</v>
      </c>
    </row>
    <row r="11675" spans="1:13" x14ac:dyDescent="0.25">
      <c r="A11675" s="1" t="str">
        <f>HYPERLINK("http://www.rosaceae.org/Prunus/Prunus_persica/p.persica_gdr_reftransV1_0000790","p.persica_gdr_reftransV1_0000790")</f>
        <v>p.persica_gdr_reftransV1_0000790</v>
      </c>
      <c r="B11675" s="3">
        <v>1231</v>
      </c>
      <c r="C11675" s="1" t="str">
        <f>HYPERLINK("http://www.uniprot.org/uniprot/MYB86_ARATH","MYB86_ARATH")</f>
        <v>MYB86_ARATH</v>
      </c>
      <c r="D11675" t="s">
        <v>5812</v>
      </c>
      <c r="E11675" s="3" t="s">
        <v>3</v>
      </c>
      <c r="F11675" s="4">
        <v>1.3700000000000001E-81</v>
      </c>
      <c r="G11675" s="3">
        <v>666</v>
      </c>
      <c r="H11675" s="3">
        <v>89</v>
      </c>
      <c r="I11675" s="3">
        <v>129</v>
      </c>
      <c r="J11675" s="3">
        <v>685</v>
      </c>
      <c r="K11675" s="3">
        <v>1071</v>
      </c>
      <c r="L11675" s="3">
        <v>1</v>
      </c>
      <c r="M11675" s="3">
        <v>129</v>
      </c>
    </row>
    <row r="11676" spans="1:13" x14ac:dyDescent="0.25">
      <c r="A11676" s="1" t="str">
        <f>HYPERLINK("http://www.rosaceae.org/Prunus/Prunus_persica/p.persica_gdr_reftransV1_0000890","p.persica_gdr_reftransV1_0000890")</f>
        <v>p.persica_gdr_reftransV1_0000890</v>
      </c>
      <c r="B11676" s="3">
        <v>3433</v>
      </c>
      <c r="C11676" s="1" t="str">
        <f>HYPERLINK("http://www.uniprot.org/uniprot/RDR5_ARATH","RDR5_ARATH")</f>
        <v>RDR5_ARATH</v>
      </c>
      <c r="D11676" t="s">
        <v>8188</v>
      </c>
      <c r="E11676" s="3" t="s">
        <v>3</v>
      </c>
      <c r="F11676" s="4">
        <v>0</v>
      </c>
      <c r="G11676" s="3">
        <v>1945</v>
      </c>
      <c r="H11676" s="3">
        <v>49</v>
      </c>
      <c r="I11676" s="3">
        <v>828</v>
      </c>
      <c r="J11676" s="3">
        <v>558</v>
      </c>
      <c r="K11676" s="3">
        <v>2990</v>
      </c>
      <c r="L11676" s="3">
        <v>83</v>
      </c>
      <c r="M11676" s="3">
        <v>899</v>
      </c>
    </row>
    <row r="11677" spans="1:13" x14ac:dyDescent="0.25">
      <c r="A11677" s="1" t="str">
        <f>HYPERLINK("http://www.rosaceae.org/Prunus/Prunus_persica/p.persica_gdr_reftransV1_0000990","p.persica_gdr_reftransV1_0000990")</f>
        <v>p.persica_gdr_reftransV1_0000990</v>
      </c>
      <c r="B11677" s="3">
        <v>298</v>
      </c>
      <c r="C11677" s="1" t="str">
        <f>HYPERLINK("http://www.uniprot.org/uniprot/PCKA_ARATH","PCKA_ARATH")</f>
        <v>PCKA_ARATH</v>
      </c>
      <c r="D11677" t="s">
        <v>4882</v>
      </c>
      <c r="E11677" s="3" t="s">
        <v>3</v>
      </c>
      <c r="F11677" s="4">
        <v>3.5800000000000002E-50</v>
      </c>
      <c r="G11677" s="3">
        <v>436</v>
      </c>
      <c r="H11677" s="3">
        <v>93</v>
      </c>
      <c r="I11677" s="3">
        <v>99</v>
      </c>
      <c r="J11677" s="3">
        <v>1</v>
      </c>
      <c r="K11677" s="3">
        <v>297</v>
      </c>
      <c r="L11677" s="3">
        <v>297</v>
      </c>
      <c r="M11677" s="3">
        <v>395</v>
      </c>
    </row>
    <row r="11678" spans="1:13" x14ac:dyDescent="0.25">
      <c r="A11678" s="1" t="str">
        <f>HYPERLINK("http://www.rosaceae.org/Prunus/Prunus_persica/p.persica_gdr_reftransV1_0001190","p.persica_gdr_reftransV1_0001190")</f>
        <v>p.persica_gdr_reftransV1_0001190</v>
      </c>
      <c r="B11678" s="3">
        <v>2898</v>
      </c>
      <c r="C11678" s="1" t="str">
        <f>HYPERLINK("http://www.uniprot.org/uniprot/MKP1_ARATH","MKP1_ARATH")</f>
        <v>MKP1_ARATH</v>
      </c>
      <c r="D11678" t="s">
        <v>8189</v>
      </c>
      <c r="E11678" s="3" t="s">
        <v>3</v>
      </c>
      <c r="F11678" s="4">
        <v>1.01E-173</v>
      </c>
      <c r="G11678" s="3">
        <v>1371</v>
      </c>
      <c r="H11678" s="3">
        <v>59</v>
      </c>
      <c r="I11678" s="3">
        <v>429</v>
      </c>
      <c r="J11678" s="3">
        <v>307</v>
      </c>
      <c r="K11678" s="3">
        <v>1572</v>
      </c>
      <c r="L11678" s="3">
        <v>55</v>
      </c>
      <c r="M11678" s="3">
        <v>462</v>
      </c>
    </row>
    <row r="11679" spans="1:13" x14ac:dyDescent="0.25">
      <c r="A11679" s="1" t="str">
        <f>HYPERLINK("http://www.rosaceae.org/Prunus/Prunus_persica/p.persica_gdr_reftransV1_0001240","p.persica_gdr_reftransV1_0001240")</f>
        <v>p.persica_gdr_reftransV1_0001240</v>
      </c>
      <c r="B11679" s="3">
        <v>2511</v>
      </c>
      <c r="C11679" s="1" t="str">
        <f>HYPERLINK("http://www.uniprot.org/uniprot/CCT14_ORYSJ","CCT14_ORYSJ")</f>
        <v>CCT14_ORYSJ</v>
      </c>
      <c r="D11679" t="s">
        <v>1641</v>
      </c>
      <c r="E11679" s="3" t="s">
        <v>38</v>
      </c>
      <c r="F11679" s="4">
        <v>2.01E-153</v>
      </c>
      <c r="G11679" s="3">
        <v>1202</v>
      </c>
      <c r="H11679" s="3">
        <v>85</v>
      </c>
      <c r="I11679" s="3">
        <v>259</v>
      </c>
      <c r="J11679" s="3">
        <v>1502</v>
      </c>
      <c r="K11679" s="3">
        <v>2266</v>
      </c>
      <c r="L11679" s="3">
        <v>2</v>
      </c>
      <c r="M11679" s="3">
        <v>260</v>
      </c>
    </row>
    <row r="11680" spans="1:13" x14ac:dyDescent="0.25">
      <c r="A11680" s="1" t="str">
        <f>HYPERLINK("http://www.rosaceae.org/Prunus/Prunus_persica/p.persica_gdr_reftransV1_0001340","p.persica_gdr_reftransV1_0001340")</f>
        <v>p.persica_gdr_reftransV1_0001340</v>
      </c>
      <c r="B11680" s="3">
        <v>877</v>
      </c>
      <c r="C11680" s="1" t="str">
        <f>HYPERLINK("http://www.uniprot.org/uniprot/NAC43_ARATH","NAC43_ARATH")</f>
        <v>NAC43_ARATH</v>
      </c>
      <c r="D11680" t="s">
        <v>8190</v>
      </c>
      <c r="E11680" s="3" t="s">
        <v>3</v>
      </c>
      <c r="F11680" s="4">
        <v>2.32E-19</v>
      </c>
      <c r="G11680" s="3">
        <v>222</v>
      </c>
      <c r="H11680" s="3">
        <v>34</v>
      </c>
      <c r="I11680" s="3">
        <v>251</v>
      </c>
      <c r="J11680" s="3">
        <v>141</v>
      </c>
      <c r="K11680" s="3">
        <v>863</v>
      </c>
      <c r="L11680" s="3">
        <v>159</v>
      </c>
      <c r="M11680" s="3">
        <v>361</v>
      </c>
    </row>
    <row r="11681" spans="1:13" x14ac:dyDescent="0.25">
      <c r="A11681" s="1" t="str">
        <f>HYPERLINK("http://www.rosaceae.org/Prunus/Prunus_persica/p.persica_gdr_reftransV1_0001390","p.persica_gdr_reftransV1_0001390")</f>
        <v>p.persica_gdr_reftransV1_0001390</v>
      </c>
      <c r="B11681" s="3">
        <v>479</v>
      </c>
      <c r="C11681" s="1" t="str">
        <f>HYPERLINK("http://www.uniprot.org/uniprot/YL728_MIMIV","YL728_MIMIV")</f>
        <v>YL728_MIMIV</v>
      </c>
      <c r="D11681" t="s">
        <v>2032</v>
      </c>
      <c r="E11681" s="3" t="s">
        <v>2033</v>
      </c>
      <c r="F11681" s="4">
        <v>5.0400000000000001E-16</v>
      </c>
      <c r="G11681" s="3">
        <v>193</v>
      </c>
      <c r="H11681" s="3">
        <v>36</v>
      </c>
      <c r="I11681" s="3">
        <v>153</v>
      </c>
      <c r="J11681" s="3">
        <v>1</v>
      </c>
      <c r="K11681" s="3">
        <v>438</v>
      </c>
      <c r="L11681" s="3">
        <v>335</v>
      </c>
      <c r="M11681" s="3">
        <v>476</v>
      </c>
    </row>
    <row r="11682" spans="1:13" x14ac:dyDescent="0.25">
      <c r="A11682" s="1" t="str">
        <f>HYPERLINK("http://www.rosaceae.org/Prunus/Prunus_persica/p.persica_gdr_reftransV1_0001440","p.persica_gdr_reftransV1_0001440")</f>
        <v>p.persica_gdr_reftransV1_0001440</v>
      </c>
      <c r="B11682" s="3">
        <v>949</v>
      </c>
      <c r="C11682" s="1" t="str">
        <f>HYPERLINK("http://www.uniprot.org/uniprot/GL17_ARATH","GL17_ARATH")</f>
        <v>GL17_ARATH</v>
      </c>
      <c r="D11682" t="s">
        <v>8191</v>
      </c>
      <c r="E11682" s="3" t="s">
        <v>3</v>
      </c>
      <c r="F11682" s="4">
        <v>4.8200000000000003E-100</v>
      </c>
      <c r="G11682" s="3">
        <v>769</v>
      </c>
      <c r="H11682" s="3">
        <v>69</v>
      </c>
      <c r="I11682" s="3">
        <v>222</v>
      </c>
      <c r="J11682" s="3">
        <v>220</v>
      </c>
      <c r="K11682" s="3">
        <v>882</v>
      </c>
      <c r="L11682" s="3">
        <v>1</v>
      </c>
      <c r="M11682" s="3">
        <v>221</v>
      </c>
    </row>
    <row r="11683" spans="1:13" x14ac:dyDescent="0.25">
      <c r="A11683" s="1" t="str">
        <f>HYPERLINK("http://www.rosaceae.org/Prunus/Prunus_persica/p.persica_gdr_reftransV1_0001490","p.persica_gdr_reftransV1_0001490")</f>
        <v>p.persica_gdr_reftransV1_0001490</v>
      </c>
      <c r="B11683" s="3">
        <v>3692</v>
      </c>
      <c r="C11683" s="1" t="str">
        <f>HYPERLINK("http://www.uniprot.org/uniprot/C3H38_ARATH","C3H38_ARATH")</f>
        <v>C3H38_ARATH</v>
      </c>
      <c r="D11683" t="s">
        <v>1891</v>
      </c>
      <c r="E11683" s="3" t="s">
        <v>3</v>
      </c>
      <c r="F11683" s="4">
        <v>3.9100000000000003E-24</v>
      </c>
      <c r="G11683" s="3">
        <v>282</v>
      </c>
      <c r="H11683" s="3">
        <v>79</v>
      </c>
      <c r="I11683" s="3">
        <v>80</v>
      </c>
      <c r="J11683" s="3">
        <v>3146</v>
      </c>
      <c r="K11683" s="3">
        <v>3385</v>
      </c>
      <c r="L11683" s="3">
        <v>596</v>
      </c>
      <c r="M11683" s="3">
        <v>675</v>
      </c>
    </row>
    <row r="11684" spans="1:13" x14ac:dyDescent="0.25">
      <c r="A11684" s="1" t="str">
        <f>HYPERLINK("http://www.rosaceae.org/Prunus/Prunus_persica/p.persica_gdr_reftransV1_0001540","p.persica_gdr_reftransV1_0001540")</f>
        <v>p.persica_gdr_reftransV1_0001540</v>
      </c>
      <c r="B11684" s="3">
        <v>2681</v>
      </c>
      <c r="C11684" s="1" t="str">
        <f>HYPERLINK("http://www.uniprot.org/uniprot/VHAA3_ARATH","VHAA3_ARATH")</f>
        <v>VHAA3_ARATH</v>
      </c>
      <c r="D11684" t="s">
        <v>7746</v>
      </c>
      <c r="E11684" s="3" t="s">
        <v>3</v>
      </c>
      <c r="F11684" s="4">
        <v>0</v>
      </c>
      <c r="G11684" s="3">
        <v>2099</v>
      </c>
      <c r="H11684" s="3">
        <v>79</v>
      </c>
      <c r="I11684" s="3">
        <v>538</v>
      </c>
      <c r="J11684" s="3">
        <v>930</v>
      </c>
      <c r="K11684" s="3">
        <v>2540</v>
      </c>
      <c r="L11684" s="3">
        <v>284</v>
      </c>
      <c r="M11684" s="3">
        <v>821</v>
      </c>
    </row>
    <row r="11685" spans="1:13" x14ac:dyDescent="0.25">
      <c r="A11685" s="1" t="str">
        <f>HYPERLINK("http://www.rosaceae.org/Prunus/Prunus_persica/p.persica_gdr_reftransV1_0001590","p.persica_gdr_reftransV1_0001590")</f>
        <v>p.persica_gdr_reftransV1_0001590</v>
      </c>
      <c r="B11685" s="3">
        <v>867</v>
      </c>
      <c r="C11685" s="1" t="str">
        <f>HYPERLINK("http://www.uniprot.org/uniprot/Y5486_ARATH","Y5486_ARATH")</f>
        <v>Y5486_ARATH</v>
      </c>
      <c r="D11685" t="s">
        <v>4031</v>
      </c>
      <c r="E11685" s="3" t="s">
        <v>3</v>
      </c>
      <c r="F11685" s="4">
        <v>2.7300000000000001E-71</v>
      </c>
      <c r="G11685" s="3">
        <v>566</v>
      </c>
      <c r="H11685" s="3">
        <v>91</v>
      </c>
      <c r="I11685" s="3">
        <v>119</v>
      </c>
      <c r="J11685" s="3">
        <v>343</v>
      </c>
      <c r="K11685" s="3">
        <v>696</v>
      </c>
      <c r="L11685" s="3">
        <v>1</v>
      </c>
      <c r="M11685" s="3">
        <v>119</v>
      </c>
    </row>
    <row r="11686" spans="1:13" x14ac:dyDescent="0.25">
      <c r="A11686" s="1" t="str">
        <f>HYPERLINK("http://www.rosaceae.org/Prunus/Prunus_persica/p.persica_gdr_reftransV1_0001690","p.persica_gdr_reftransV1_0001690")</f>
        <v>p.persica_gdr_reftransV1_0001690</v>
      </c>
      <c r="B11686" s="3">
        <v>346</v>
      </c>
      <c r="C11686" s="1" t="str">
        <f>HYPERLINK("http://www.uniprot.org/uniprot/AGP2_YEAST","AGP2_YEAST")</f>
        <v>AGP2_YEAST</v>
      </c>
      <c r="D11686" t="s">
        <v>8192</v>
      </c>
      <c r="E11686" s="3" t="s">
        <v>34</v>
      </c>
      <c r="F11686" s="4">
        <v>3.0999999999999999E-25</v>
      </c>
      <c r="G11686" s="3">
        <v>257</v>
      </c>
      <c r="H11686" s="3">
        <v>43</v>
      </c>
      <c r="I11686" s="3">
        <v>115</v>
      </c>
      <c r="J11686" s="3">
        <v>1</v>
      </c>
      <c r="K11686" s="3">
        <v>345</v>
      </c>
      <c r="L11686" s="3">
        <v>364</v>
      </c>
      <c r="M11686" s="3">
        <v>478</v>
      </c>
    </row>
    <row r="11687" spans="1:13" x14ac:dyDescent="0.25">
      <c r="A11687" s="1" t="str">
        <f>HYPERLINK("http://www.rosaceae.org/Prunus/Prunus_persica/p.persica_gdr_reftransV1_0001840","p.persica_gdr_reftransV1_0001840")</f>
        <v>p.persica_gdr_reftransV1_0001840</v>
      </c>
      <c r="B11687" s="3">
        <v>511</v>
      </c>
      <c r="C11687" s="1" t="str">
        <f>HYPERLINK("http://www.uniprot.org/uniprot/RS26_NEUCR","RS26_NEUCR")</f>
        <v>RS26_NEUCR</v>
      </c>
      <c r="D11687" t="s">
        <v>8193</v>
      </c>
      <c r="E11687" s="3" t="s">
        <v>435</v>
      </c>
      <c r="F11687" s="4">
        <v>5.76E-50</v>
      </c>
      <c r="G11687" s="3">
        <v>412</v>
      </c>
      <c r="H11687" s="3">
        <v>96</v>
      </c>
      <c r="I11687" s="3">
        <v>93</v>
      </c>
      <c r="J11687" s="3">
        <v>146</v>
      </c>
      <c r="K11687" s="3">
        <v>424</v>
      </c>
      <c r="L11687" s="3">
        <v>20</v>
      </c>
      <c r="M11687" s="3">
        <v>112</v>
      </c>
    </row>
    <row r="11688" spans="1:13" x14ac:dyDescent="0.25">
      <c r="A11688" s="1" t="str">
        <f>HYPERLINK("http://www.rosaceae.org/Prunus/Prunus_persica/p.persica_gdr_reftransV1_0001940","p.persica_gdr_reftransV1_0001940")</f>
        <v>p.persica_gdr_reftransV1_0001940</v>
      </c>
      <c r="B11688" s="3">
        <v>4070</v>
      </c>
      <c r="C11688" s="1" t="str">
        <f>HYPERLINK("http://www.uniprot.org/uniprot/CESA3_ARATH","CESA3_ARATH")</f>
        <v>CESA3_ARATH</v>
      </c>
      <c r="D11688" t="s">
        <v>8194</v>
      </c>
      <c r="E11688" s="3" t="s">
        <v>3</v>
      </c>
      <c r="F11688" s="4">
        <v>0</v>
      </c>
      <c r="G11688" s="3">
        <v>4812</v>
      </c>
      <c r="H11688" s="3">
        <v>85</v>
      </c>
      <c r="I11688" s="3">
        <v>1082</v>
      </c>
      <c r="J11688" s="3">
        <v>319</v>
      </c>
      <c r="K11688" s="3">
        <v>3564</v>
      </c>
      <c r="L11688" s="3">
        <v>1</v>
      </c>
      <c r="M11688" s="3">
        <v>1065</v>
      </c>
    </row>
    <row r="11689" spans="1:13" x14ac:dyDescent="0.25">
      <c r="A11689" s="1" t="str">
        <f>HYPERLINK("http://www.rosaceae.org/Prunus/Prunus_persica/p.persica_gdr_reftransV1_0001990","p.persica_gdr_reftransV1_0001990")</f>
        <v>p.persica_gdr_reftransV1_0001990</v>
      </c>
      <c r="B11689" s="3">
        <v>3204</v>
      </c>
      <c r="C11689" s="1" t="str">
        <f>HYPERLINK("http://www.uniprot.org/uniprot/SPT20_HUMAN","SPT20_HUMAN")</f>
        <v>SPT20_HUMAN</v>
      </c>
      <c r="D11689" t="s">
        <v>8195</v>
      </c>
      <c r="E11689" s="3" t="s">
        <v>28</v>
      </c>
      <c r="F11689" s="4">
        <v>0</v>
      </c>
      <c r="G11689" s="3">
        <v>1434</v>
      </c>
      <c r="H11689" s="3">
        <v>39</v>
      </c>
      <c r="I11689" s="3">
        <v>823</v>
      </c>
      <c r="J11689" s="3">
        <v>426</v>
      </c>
      <c r="K11689" s="3">
        <v>2861</v>
      </c>
      <c r="L11689" s="3">
        <v>39</v>
      </c>
      <c r="M11689" s="3">
        <v>777</v>
      </c>
    </row>
    <row r="11690" spans="1:13" x14ac:dyDescent="0.25">
      <c r="A11690" s="1" t="str">
        <f>HYPERLINK("http://www.rosaceae.org/Prunus/Prunus_persica/p.persica_gdr_reftransV1_0002040","p.persica_gdr_reftransV1_0002040")</f>
        <v>p.persica_gdr_reftransV1_0002040</v>
      </c>
      <c r="B11690" s="3">
        <v>417</v>
      </c>
      <c r="C11690" s="1" t="str">
        <f>HYPERLINK("http://www.uniprot.org/uniprot/ALDH_ALTAL","ALDH_ALTAL")</f>
        <v>ALDH_ALTAL</v>
      </c>
      <c r="D11690" t="s">
        <v>7272</v>
      </c>
      <c r="E11690" s="3" t="s">
        <v>7273</v>
      </c>
      <c r="F11690" s="4">
        <v>4.3199999999999996E-34</v>
      </c>
      <c r="G11690" s="3">
        <v>321</v>
      </c>
      <c r="H11690" s="3">
        <v>61</v>
      </c>
      <c r="I11690" s="3">
        <v>102</v>
      </c>
      <c r="J11690" s="3">
        <v>3</v>
      </c>
      <c r="K11690" s="3">
        <v>308</v>
      </c>
      <c r="L11690" s="3">
        <v>3</v>
      </c>
      <c r="M11690" s="3">
        <v>104</v>
      </c>
    </row>
    <row r="11691" spans="1:13" x14ac:dyDescent="0.25">
      <c r="A11691" s="1" t="str">
        <f>HYPERLINK("http://www.rosaceae.org/Prunus/Prunus_persica/p.persica_gdr_reftransV1_0002090","p.persica_gdr_reftransV1_0002090")</f>
        <v>p.persica_gdr_reftransV1_0002090</v>
      </c>
      <c r="B11691" s="3">
        <v>416</v>
      </c>
      <c r="C11691" s="1" t="str">
        <f>HYPERLINK("http://www.uniprot.org/uniprot/QUTD_ASPCL","QUTD_ASPCL")</f>
        <v>QUTD_ASPCL</v>
      </c>
      <c r="D11691" t="s">
        <v>8196</v>
      </c>
      <c r="E11691" s="3" t="s">
        <v>8197</v>
      </c>
      <c r="F11691" s="4">
        <v>1.9700000000000001E-17</v>
      </c>
      <c r="G11691" s="3">
        <v>202</v>
      </c>
      <c r="H11691" s="3">
        <v>45</v>
      </c>
      <c r="I11691" s="3">
        <v>139</v>
      </c>
      <c r="J11691" s="3">
        <v>5</v>
      </c>
      <c r="K11691" s="3">
        <v>415</v>
      </c>
      <c r="L11691" s="3">
        <v>192</v>
      </c>
      <c r="M11691" s="3">
        <v>330</v>
      </c>
    </row>
    <row r="11692" spans="1:13" x14ac:dyDescent="0.25">
      <c r="A11692" s="1" t="str">
        <f>HYPERLINK("http://www.rosaceae.org/Prunus/Prunus_persica/p.persica_gdr_reftransV1_0002140","p.persica_gdr_reftransV1_0002140")</f>
        <v>p.persica_gdr_reftransV1_0002140</v>
      </c>
      <c r="B11692" s="3">
        <v>486</v>
      </c>
      <c r="C11692" s="1" t="str">
        <f>HYPERLINK("http://www.uniprot.org/uniprot/APC1_ARATH","APC1_ARATH")</f>
        <v>APC1_ARATH</v>
      </c>
      <c r="D11692" t="s">
        <v>8198</v>
      </c>
      <c r="E11692" s="3" t="s">
        <v>3</v>
      </c>
      <c r="F11692" s="4">
        <v>2.2899999999999999E-35</v>
      </c>
      <c r="G11692" s="3">
        <v>342</v>
      </c>
      <c r="H11692" s="3">
        <v>54</v>
      </c>
      <c r="I11692" s="3">
        <v>162</v>
      </c>
      <c r="J11692" s="3">
        <v>1</v>
      </c>
      <c r="K11692" s="3">
        <v>486</v>
      </c>
      <c r="L11692" s="3">
        <v>20</v>
      </c>
      <c r="M11692" s="3">
        <v>175</v>
      </c>
    </row>
    <row r="11693" spans="1:13" x14ac:dyDescent="0.25">
      <c r="A11693" s="1" t="str">
        <f>HYPERLINK("http://www.rosaceae.org/Prunus/Prunus_persica/p.persica_gdr_reftransV1_0002190","p.persica_gdr_reftransV1_0002190")</f>
        <v>p.persica_gdr_reftransV1_0002190</v>
      </c>
      <c r="B11693" s="3">
        <v>2787</v>
      </c>
      <c r="C11693" s="1" t="str">
        <f>HYPERLINK("http://www.uniprot.org/uniprot/VCLA_GOSHI","VCLA_GOSHI")</f>
        <v>VCLA_GOSHI</v>
      </c>
      <c r="D11693" t="s">
        <v>6672</v>
      </c>
      <c r="E11693" s="3" t="s">
        <v>816</v>
      </c>
      <c r="F11693" s="4">
        <v>9.5500000000000001E-100</v>
      </c>
      <c r="G11693" s="3">
        <v>848</v>
      </c>
      <c r="H11693" s="3">
        <v>48</v>
      </c>
      <c r="I11693" s="3">
        <v>424</v>
      </c>
      <c r="J11693" s="3">
        <v>1275</v>
      </c>
      <c r="K11693" s="3">
        <v>2480</v>
      </c>
      <c r="L11693" s="3">
        <v>182</v>
      </c>
      <c r="M11693" s="3">
        <v>602</v>
      </c>
    </row>
    <row r="11694" spans="1:13" x14ac:dyDescent="0.25">
      <c r="A11694" s="1" t="str">
        <f>HYPERLINK("http://www.rosaceae.org/Prunus/Prunus_persica/p.persica_gdr_reftransV1_0002290","p.persica_gdr_reftransV1_0002290")</f>
        <v>p.persica_gdr_reftransV1_0002290</v>
      </c>
      <c r="B11694" s="3">
        <v>1125</v>
      </c>
      <c r="C11694" s="1" t="str">
        <f>HYPERLINK("http://www.uniprot.org/uniprot/PPR52_ARATH","PPR52_ARATH")</f>
        <v>PPR52_ARATH</v>
      </c>
      <c r="D11694" t="s">
        <v>818</v>
      </c>
      <c r="E11694" s="3" t="s">
        <v>3</v>
      </c>
      <c r="F11694" s="4">
        <v>4.0000000000000002E-142</v>
      </c>
      <c r="G11694" s="3">
        <v>1112</v>
      </c>
      <c r="H11694" s="3">
        <v>57</v>
      </c>
      <c r="I11694" s="3">
        <v>360</v>
      </c>
      <c r="J11694" s="3">
        <v>47</v>
      </c>
      <c r="K11694" s="3">
        <v>1123</v>
      </c>
      <c r="L11694" s="3">
        <v>19</v>
      </c>
      <c r="M11694" s="3">
        <v>378</v>
      </c>
    </row>
    <row r="11695" spans="1:13" x14ac:dyDescent="0.25">
      <c r="A11695" s="1" t="str">
        <f>HYPERLINK("http://www.rosaceae.org/Prunus/Prunus_persica/p.persica_gdr_reftransV1_0002340","p.persica_gdr_reftransV1_0002340")</f>
        <v>p.persica_gdr_reftransV1_0002340</v>
      </c>
      <c r="B11695" s="3">
        <v>1772</v>
      </c>
      <c r="C11695" s="1" t="str">
        <f>HYPERLINK("http://www.uniprot.org/uniprot/PIP_ARATH","PIP_ARATH")</f>
        <v>PIP_ARATH</v>
      </c>
      <c r="D11695" t="s">
        <v>8199</v>
      </c>
      <c r="E11695" s="3" t="s">
        <v>3</v>
      </c>
      <c r="F11695" s="4">
        <v>0</v>
      </c>
      <c r="G11695" s="3">
        <v>1498</v>
      </c>
      <c r="H11695" s="3">
        <v>80</v>
      </c>
      <c r="I11695" s="3">
        <v>350</v>
      </c>
      <c r="J11695" s="3">
        <v>517</v>
      </c>
      <c r="K11695" s="3">
        <v>1545</v>
      </c>
      <c r="L11695" s="3">
        <v>27</v>
      </c>
      <c r="M11695" s="3">
        <v>376</v>
      </c>
    </row>
    <row r="11696" spans="1:13" x14ac:dyDescent="0.25">
      <c r="A11696" s="1" t="str">
        <f>HYPERLINK("http://www.rosaceae.org/Prunus/Prunus_persica/p.persica_gdr_reftransV1_0002540","p.persica_gdr_reftransV1_0002540")</f>
        <v>p.persica_gdr_reftransV1_0002540</v>
      </c>
      <c r="B11696" s="3">
        <v>697</v>
      </c>
      <c r="C11696" s="1" t="str">
        <f>HYPERLINK("http://www.uniprot.org/uniprot/MDHC_MEDSA","MDHC_MEDSA")</f>
        <v>MDHC_MEDSA</v>
      </c>
      <c r="D11696" t="s">
        <v>8200</v>
      </c>
      <c r="E11696" s="3" t="s">
        <v>515</v>
      </c>
      <c r="F11696" s="4">
        <v>9.6699999999999999E-132</v>
      </c>
      <c r="G11696" s="3">
        <v>979</v>
      </c>
      <c r="H11696" s="3">
        <v>89</v>
      </c>
      <c r="I11696" s="3">
        <v>207</v>
      </c>
      <c r="J11696" s="3">
        <v>3</v>
      </c>
      <c r="K11696" s="3">
        <v>623</v>
      </c>
      <c r="L11696" s="3">
        <v>1</v>
      </c>
      <c r="M11696" s="3">
        <v>207</v>
      </c>
    </row>
    <row r="11697" spans="1:13" x14ac:dyDescent="0.25">
      <c r="A11697" s="1" t="str">
        <f>HYPERLINK("http://www.rosaceae.org/Prunus/Prunus_persica/p.persica_gdr_reftransV1_0002590","p.persica_gdr_reftransV1_0002590")</f>
        <v>p.persica_gdr_reftransV1_0002590</v>
      </c>
      <c r="B11697" s="3">
        <v>480</v>
      </c>
      <c r="C11697" s="1" t="str">
        <f>HYPERLINK("http://www.uniprot.org/uniprot/DIOX2_PAPSO","DIOX2_PAPSO")</f>
        <v>DIOX2_PAPSO</v>
      </c>
      <c r="D11697" t="s">
        <v>2249</v>
      </c>
      <c r="E11697" s="3" t="s">
        <v>2250</v>
      </c>
      <c r="F11697" s="4">
        <v>9.0900000000000005E-36</v>
      </c>
      <c r="G11697" s="3">
        <v>332</v>
      </c>
      <c r="H11697" s="3">
        <v>47</v>
      </c>
      <c r="I11697" s="3">
        <v>135</v>
      </c>
      <c r="J11697" s="3">
        <v>80</v>
      </c>
      <c r="K11697" s="3">
        <v>478</v>
      </c>
      <c r="L11697" s="3">
        <v>226</v>
      </c>
      <c r="M11697" s="3">
        <v>360</v>
      </c>
    </row>
    <row r="11698" spans="1:13" x14ac:dyDescent="0.25">
      <c r="A11698" s="1" t="str">
        <f>HYPERLINK("http://www.rosaceae.org/Prunus/Prunus_persica/p.persica_gdr_reftransV1_0002640","p.persica_gdr_reftransV1_0002640")</f>
        <v>p.persica_gdr_reftransV1_0002640</v>
      </c>
      <c r="B11698" s="3">
        <v>1781</v>
      </c>
      <c r="C11698" s="1" t="str">
        <f>HYPERLINK("http://www.uniprot.org/uniprot/CNGC1_ARATH","CNGC1_ARATH")</f>
        <v>CNGC1_ARATH</v>
      </c>
      <c r="D11698" t="s">
        <v>241</v>
      </c>
      <c r="E11698" s="3" t="s">
        <v>3</v>
      </c>
      <c r="F11698" s="4">
        <v>3.3800000000000001E-96</v>
      </c>
      <c r="G11698" s="3">
        <v>809</v>
      </c>
      <c r="H11698" s="3">
        <v>38</v>
      </c>
      <c r="I11698" s="3">
        <v>565</v>
      </c>
      <c r="J11698" s="3">
        <v>4</v>
      </c>
      <c r="K11698" s="3">
        <v>1650</v>
      </c>
      <c r="L11698" s="3">
        <v>91</v>
      </c>
      <c r="M11698" s="3">
        <v>635</v>
      </c>
    </row>
    <row r="11699" spans="1:13" x14ac:dyDescent="0.25">
      <c r="A11699" s="1" t="str">
        <f>HYPERLINK("http://www.rosaceae.org/Prunus/Prunus_persica/p.persica_gdr_reftransV1_0002690","p.persica_gdr_reftransV1_0002690")</f>
        <v>p.persica_gdr_reftransV1_0002690</v>
      </c>
      <c r="B11699" s="3">
        <v>783</v>
      </c>
      <c r="C11699" s="1" t="str">
        <f>HYPERLINK("http://www.uniprot.org/uniprot/HSP11_SOYBN","HSP11_SOYBN")</f>
        <v>HSP11_SOYBN</v>
      </c>
      <c r="D11699" t="s">
        <v>8201</v>
      </c>
      <c r="E11699" s="3" t="s">
        <v>307</v>
      </c>
      <c r="F11699" s="4">
        <v>2.8299999999999998E-34</v>
      </c>
      <c r="G11699" s="3">
        <v>317</v>
      </c>
      <c r="H11699" s="3">
        <v>53</v>
      </c>
      <c r="I11699" s="3">
        <v>115</v>
      </c>
      <c r="J11699" s="3">
        <v>318</v>
      </c>
      <c r="K11699" s="3">
        <v>662</v>
      </c>
      <c r="L11699" s="3">
        <v>29</v>
      </c>
      <c r="M11699" s="3">
        <v>140</v>
      </c>
    </row>
    <row r="11700" spans="1:13" x14ac:dyDescent="0.25">
      <c r="A11700" s="1" t="str">
        <f>HYPERLINK("http://www.rosaceae.org/Prunus/Prunus_persica/p.persica_gdr_reftransV1_0002740","p.persica_gdr_reftransV1_0002740")</f>
        <v>p.persica_gdr_reftransV1_0002740</v>
      </c>
      <c r="B11700" s="3">
        <v>524</v>
      </c>
      <c r="C11700" s="1" t="str">
        <f>HYPERLINK("http://www.uniprot.org/uniprot/PGDA_STRR6","PGDA_STRR6")</f>
        <v>PGDA_STRR6</v>
      </c>
      <c r="D11700" t="s">
        <v>8202</v>
      </c>
      <c r="E11700" s="3" t="s">
        <v>8203</v>
      </c>
      <c r="F11700" s="4">
        <v>3.9700000000000002E-12</v>
      </c>
      <c r="G11700" s="3">
        <v>163</v>
      </c>
      <c r="H11700" s="3">
        <v>35</v>
      </c>
      <c r="I11700" s="3">
        <v>130</v>
      </c>
      <c r="J11700" s="3">
        <v>1</v>
      </c>
      <c r="K11700" s="3">
        <v>390</v>
      </c>
      <c r="L11700" s="3">
        <v>327</v>
      </c>
      <c r="M11700" s="3">
        <v>448</v>
      </c>
    </row>
    <row r="11701" spans="1:13" x14ac:dyDescent="0.25">
      <c r="A11701" s="1" t="str">
        <f>HYPERLINK("http://www.rosaceae.org/Prunus/Prunus_persica/p.persica_gdr_reftransV1_0002790","p.persica_gdr_reftransV1_0002790")</f>
        <v>p.persica_gdr_reftransV1_0002790</v>
      </c>
      <c r="B11701" s="3">
        <v>982</v>
      </c>
      <c r="C11701" s="1" t="str">
        <f>HYPERLINK("http://www.uniprot.org/uniprot/DEF1B_ARATH","DEF1B_ARATH")</f>
        <v>DEF1B_ARATH</v>
      </c>
      <c r="D11701" t="s">
        <v>6248</v>
      </c>
      <c r="E11701" s="3" t="s">
        <v>3</v>
      </c>
      <c r="F11701" s="4">
        <v>7.7799999999999997E-96</v>
      </c>
      <c r="G11701" s="3">
        <v>637</v>
      </c>
      <c r="H11701" s="3">
        <v>71</v>
      </c>
      <c r="I11701" s="3">
        <v>157</v>
      </c>
      <c r="J11701" s="3">
        <v>153</v>
      </c>
      <c r="K11701" s="3">
        <v>623</v>
      </c>
      <c r="L11701" s="3">
        <v>116</v>
      </c>
      <c r="M11701" s="3">
        <v>272</v>
      </c>
    </row>
    <row r="11702" spans="1:13" x14ac:dyDescent="0.25">
      <c r="A11702" s="1" t="str">
        <f>HYPERLINK("http://www.rosaceae.org/Prunus/Prunus_persica/p.persica_gdr_reftransV1_0002940","p.persica_gdr_reftransV1_0002940")</f>
        <v>p.persica_gdr_reftransV1_0002940</v>
      </c>
      <c r="B11702" s="3">
        <v>1330</v>
      </c>
      <c r="C11702" s="1" t="str">
        <f>HYPERLINK("http://www.uniprot.org/uniprot/FLA2_ARATH","FLA2_ARATH")</f>
        <v>FLA2_ARATH</v>
      </c>
      <c r="D11702" t="s">
        <v>8204</v>
      </c>
      <c r="E11702" s="3" t="s">
        <v>3</v>
      </c>
      <c r="F11702" s="4">
        <v>7.0299999999999995E-159</v>
      </c>
      <c r="G11702" s="3">
        <v>1189</v>
      </c>
      <c r="H11702" s="3">
        <v>70</v>
      </c>
      <c r="I11702" s="3">
        <v>312</v>
      </c>
      <c r="J11702" s="3">
        <v>208</v>
      </c>
      <c r="K11702" s="3">
        <v>1140</v>
      </c>
      <c r="L11702" s="3">
        <v>26</v>
      </c>
      <c r="M11702" s="3">
        <v>337</v>
      </c>
    </row>
    <row r="11703" spans="1:13" x14ac:dyDescent="0.25">
      <c r="A11703" s="1" t="str">
        <f>HYPERLINK("http://www.rosaceae.org/Prunus/Prunus_persica/p.persica_gdr_reftransV1_0002990","p.persica_gdr_reftransV1_0002990")</f>
        <v>p.persica_gdr_reftransV1_0002990</v>
      </c>
      <c r="B11703" s="3">
        <v>1404</v>
      </c>
      <c r="C11703" s="1" t="str">
        <f>HYPERLINK("http://www.uniprot.org/uniprot/FES1_ARATH","FES1_ARATH")</f>
        <v>FES1_ARATH</v>
      </c>
      <c r="D11703" t="s">
        <v>6342</v>
      </c>
      <c r="E11703" s="3" t="s">
        <v>3</v>
      </c>
      <c r="F11703" s="4">
        <v>7.8100000000000005E-8</v>
      </c>
      <c r="G11703" s="3">
        <v>140</v>
      </c>
      <c r="H11703" s="3">
        <v>61</v>
      </c>
      <c r="I11703" s="3">
        <v>36</v>
      </c>
      <c r="J11703" s="3">
        <v>494</v>
      </c>
      <c r="K11703" s="3">
        <v>601</v>
      </c>
      <c r="L11703" s="3">
        <v>96</v>
      </c>
      <c r="M11703" s="3">
        <v>131</v>
      </c>
    </row>
    <row r="11704" spans="1:13" x14ac:dyDescent="0.25">
      <c r="A11704" s="1" t="str">
        <f>HYPERLINK("http://www.rosaceae.org/Prunus/Prunus_persica/p.persica_gdr_reftransV1_0003140","p.persica_gdr_reftransV1_0003140")</f>
        <v>p.persica_gdr_reftransV1_0003140</v>
      </c>
      <c r="B11704" s="3">
        <v>3136</v>
      </c>
      <c r="C11704" s="1" t="str">
        <f>HYPERLINK("http://www.uniprot.org/uniprot/NPR3_ARATH","NPR3_ARATH")</f>
        <v>NPR3_ARATH</v>
      </c>
      <c r="D11704" t="s">
        <v>3845</v>
      </c>
      <c r="E11704" s="3" t="s">
        <v>3</v>
      </c>
      <c r="F11704" s="4">
        <v>0</v>
      </c>
      <c r="G11704" s="3">
        <v>1637</v>
      </c>
      <c r="H11704" s="3">
        <v>62</v>
      </c>
      <c r="I11704" s="3">
        <v>524</v>
      </c>
      <c r="J11704" s="3">
        <v>1147</v>
      </c>
      <c r="K11704" s="3">
        <v>2703</v>
      </c>
      <c r="L11704" s="3">
        <v>37</v>
      </c>
      <c r="M11704" s="3">
        <v>558</v>
      </c>
    </row>
    <row r="11705" spans="1:13" x14ac:dyDescent="0.25">
      <c r="A11705" s="1" t="str">
        <f>HYPERLINK("http://www.rosaceae.org/Prunus/Prunus_persica/p.persica_gdr_reftransV1_0003190","p.persica_gdr_reftransV1_0003190")</f>
        <v>p.persica_gdr_reftransV1_0003190</v>
      </c>
      <c r="B11705" s="3">
        <v>632</v>
      </c>
      <c r="C11705" s="1" t="str">
        <f>HYPERLINK("http://www.uniprot.org/uniprot/AB42G_ORYSJ","AB42G_ORYSJ")</f>
        <v>AB42G_ORYSJ</v>
      </c>
      <c r="D11705" t="s">
        <v>1137</v>
      </c>
      <c r="E11705" s="3" t="s">
        <v>38</v>
      </c>
      <c r="F11705" s="4">
        <v>4.4900000000000002E-116</v>
      </c>
      <c r="G11705" s="3">
        <v>941</v>
      </c>
      <c r="H11705" s="3">
        <v>83</v>
      </c>
      <c r="I11705" s="3">
        <v>204</v>
      </c>
      <c r="J11705" s="3">
        <v>19</v>
      </c>
      <c r="K11705" s="3">
        <v>630</v>
      </c>
      <c r="L11705" s="3">
        <v>334</v>
      </c>
      <c r="M11705" s="3">
        <v>537</v>
      </c>
    </row>
    <row r="11706" spans="1:13" x14ac:dyDescent="0.25">
      <c r="A11706" s="1" t="str">
        <f>HYPERLINK("http://www.rosaceae.org/Prunus/Prunus_persica/p.persica_gdr_reftransV1_0003240","p.persica_gdr_reftransV1_0003240")</f>
        <v>p.persica_gdr_reftransV1_0003240</v>
      </c>
      <c r="B11706" s="3">
        <v>342</v>
      </c>
      <c r="C11706" s="1" t="str">
        <f>HYPERLINK("http://www.uniprot.org/uniprot/RS3A_NECH7","RS3A_NECH7")</f>
        <v>RS3A_NECH7</v>
      </c>
      <c r="D11706" t="s">
        <v>2479</v>
      </c>
      <c r="E11706" s="3" t="s">
        <v>2480</v>
      </c>
      <c r="F11706" s="4">
        <v>6.2699999999999997E-74</v>
      </c>
      <c r="G11706" s="3">
        <v>577</v>
      </c>
      <c r="H11706" s="3">
        <v>96</v>
      </c>
      <c r="I11706" s="3">
        <v>112</v>
      </c>
      <c r="J11706" s="3">
        <v>5</v>
      </c>
      <c r="K11706" s="3">
        <v>340</v>
      </c>
      <c r="L11706" s="3">
        <v>20</v>
      </c>
      <c r="M11706" s="3">
        <v>131</v>
      </c>
    </row>
    <row r="11707" spans="1:13" x14ac:dyDescent="0.25">
      <c r="A11707" s="1" t="str">
        <f>HYPERLINK("http://www.rosaceae.org/Prunus/Prunus_persica/p.persica_gdr_reftransV1_0003290","p.persica_gdr_reftransV1_0003290")</f>
        <v>p.persica_gdr_reftransV1_0003290</v>
      </c>
      <c r="B11707" s="3">
        <v>2305</v>
      </c>
      <c r="C11707" s="1" t="str">
        <f>HYPERLINK("http://www.uniprot.org/uniprot/CI111_ARATH","CI111_ARATH")</f>
        <v>CI111_ARATH</v>
      </c>
      <c r="D11707" t="s">
        <v>4763</v>
      </c>
      <c r="E11707" s="3" t="s">
        <v>3</v>
      </c>
      <c r="F11707" s="4">
        <v>0</v>
      </c>
      <c r="G11707" s="3">
        <v>2189</v>
      </c>
      <c r="H11707" s="3">
        <v>62</v>
      </c>
      <c r="I11707" s="3">
        <v>719</v>
      </c>
      <c r="J11707" s="3">
        <v>274</v>
      </c>
      <c r="K11707" s="3">
        <v>2301</v>
      </c>
      <c r="L11707" s="3">
        <v>283</v>
      </c>
      <c r="M11707" s="3">
        <v>985</v>
      </c>
    </row>
    <row r="11708" spans="1:13" x14ac:dyDescent="0.25">
      <c r="A11708" s="1" t="str">
        <f>HYPERLINK("http://www.rosaceae.org/Prunus/Prunus_persica/p.persica_gdr_reftransV1_0003390","p.persica_gdr_reftransV1_0003390")</f>
        <v>p.persica_gdr_reftransV1_0003390</v>
      </c>
      <c r="B11708" s="3">
        <v>661</v>
      </c>
      <c r="C11708" s="1" t="str">
        <f>HYPERLINK("http://www.uniprot.org/uniprot/GDPD4_ARATH","GDPD4_ARATH")</f>
        <v>GDPD4_ARATH</v>
      </c>
      <c r="D11708" t="s">
        <v>3159</v>
      </c>
      <c r="E11708" s="3" t="s">
        <v>3</v>
      </c>
      <c r="F11708" s="4">
        <v>1.4100000000000001E-40</v>
      </c>
      <c r="G11708" s="3">
        <v>370</v>
      </c>
      <c r="H11708" s="3">
        <v>69</v>
      </c>
      <c r="I11708" s="3">
        <v>99</v>
      </c>
      <c r="J11708" s="3">
        <v>293</v>
      </c>
      <c r="K11708" s="3">
        <v>589</v>
      </c>
      <c r="L11708" s="3">
        <v>228</v>
      </c>
      <c r="M11708" s="3">
        <v>326</v>
      </c>
    </row>
    <row r="11709" spans="1:13" x14ac:dyDescent="0.25">
      <c r="A11709" s="1" t="str">
        <f>HYPERLINK("http://www.rosaceae.org/Prunus/Prunus_persica/p.persica_gdr_reftransV1_0003440","p.persica_gdr_reftransV1_0003440")</f>
        <v>p.persica_gdr_reftransV1_0003440</v>
      </c>
      <c r="B11709" s="3">
        <v>1120</v>
      </c>
      <c r="C11709" s="1" t="str">
        <f>HYPERLINK("http://www.uniprot.org/uniprot/GDL17_ARATH","GDL17_ARATH")</f>
        <v>GDL17_ARATH</v>
      </c>
      <c r="D11709" t="s">
        <v>1550</v>
      </c>
      <c r="E11709" s="3" t="s">
        <v>3</v>
      </c>
      <c r="F11709" s="4">
        <v>0</v>
      </c>
      <c r="G11709" s="3">
        <v>1365</v>
      </c>
      <c r="H11709" s="3">
        <v>72</v>
      </c>
      <c r="I11709" s="3">
        <v>349</v>
      </c>
      <c r="J11709" s="3">
        <v>20</v>
      </c>
      <c r="K11709" s="3">
        <v>1054</v>
      </c>
      <c r="L11709" s="3">
        <v>24</v>
      </c>
      <c r="M11709" s="3">
        <v>370</v>
      </c>
    </row>
    <row r="11710" spans="1:13" x14ac:dyDescent="0.25">
      <c r="A11710" s="1" t="str">
        <f>HYPERLINK("http://www.rosaceae.org/Prunus/Prunus_persica/p.persica_gdr_reftransV1_0003540","p.persica_gdr_reftransV1_0003540")</f>
        <v>p.persica_gdr_reftransV1_0003540</v>
      </c>
      <c r="B11710" s="3">
        <v>521</v>
      </c>
      <c r="C11710" s="1" t="str">
        <f>HYPERLINK("http://www.uniprot.org/uniprot/CHS6_USTMA","CHS6_USTMA")</f>
        <v>CHS6_USTMA</v>
      </c>
      <c r="D11710" t="s">
        <v>1535</v>
      </c>
      <c r="E11710" s="3" t="s">
        <v>833</v>
      </c>
      <c r="F11710" s="4">
        <v>4.1399999999999998E-75</v>
      </c>
      <c r="G11710" s="3">
        <v>634</v>
      </c>
      <c r="H11710" s="3">
        <v>66</v>
      </c>
      <c r="I11710" s="3">
        <v>173</v>
      </c>
      <c r="J11710" s="3">
        <v>1</v>
      </c>
      <c r="K11710" s="3">
        <v>519</v>
      </c>
      <c r="L11710" s="3">
        <v>648</v>
      </c>
      <c r="M11710" s="3">
        <v>820</v>
      </c>
    </row>
    <row r="11711" spans="1:13" x14ac:dyDescent="0.25">
      <c r="A11711" s="1" t="str">
        <f>HYPERLINK("http://www.rosaceae.org/Prunus/Prunus_persica/p.persica_gdr_reftransV1_0003790","p.persica_gdr_reftransV1_0003790")</f>
        <v>p.persica_gdr_reftransV1_0003790</v>
      </c>
      <c r="B11711" s="3">
        <v>462</v>
      </c>
      <c r="C11711" s="1" t="str">
        <f>HYPERLINK("http://www.uniprot.org/uniprot/QUTD_ASPOR","QUTD_ASPOR")</f>
        <v>QUTD_ASPOR</v>
      </c>
      <c r="D11711" t="s">
        <v>8205</v>
      </c>
      <c r="E11711" s="3" t="s">
        <v>262</v>
      </c>
      <c r="F11711" s="4">
        <v>8.6099999999999995E-24</v>
      </c>
      <c r="G11711" s="3">
        <v>250</v>
      </c>
      <c r="H11711" s="3">
        <v>34</v>
      </c>
      <c r="I11711" s="3">
        <v>156</v>
      </c>
      <c r="J11711" s="3">
        <v>3</v>
      </c>
      <c r="K11711" s="3">
        <v>461</v>
      </c>
      <c r="L11711" s="3">
        <v>218</v>
      </c>
      <c r="M11711" s="3">
        <v>369</v>
      </c>
    </row>
    <row r="11712" spans="1:13" x14ac:dyDescent="0.25">
      <c r="A11712" s="1" t="str">
        <f>HYPERLINK("http://www.rosaceae.org/Prunus/Prunus_persica/p.persica_gdr_reftransV1_0003840","p.persica_gdr_reftransV1_0003840")</f>
        <v>p.persica_gdr_reftransV1_0003840</v>
      </c>
      <c r="B11712" s="3">
        <v>3282</v>
      </c>
      <c r="C11712" s="1" t="str">
        <f>HYPERLINK("http://www.uniprot.org/uniprot/LORF2_MOUSE","LORF2_MOUSE")</f>
        <v>LORF2_MOUSE</v>
      </c>
      <c r="D11712" t="s">
        <v>360</v>
      </c>
      <c r="E11712" s="3" t="s">
        <v>157</v>
      </c>
      <c r="F11712" s="4">
        <v>1.6400000000000001E-22</v>
      </c>
      <c r="G11712" s="3">
        <v>270</v>
      </c>
      <c r="H11712" s="3">
        <v>33</v>
      </c>
      <c r="I11712" s="3">
        <v>224</v>
      </c>
      <c r="J11712" s="3">
        <v>2319</v>
      </c>
      <c r="K11712" s="3">
        <v>2972</v>
      </c>
      <c r="L11712" s="3">
        <v>456</v>
      </c>
      <c r="M11712" s="3">
        <v>677</v>
      </c>
    </row>
    <row r="11713" spans="1:13" x14ac:dyDescent="0.25">
      <c r="A11713" s="1" t="str">
        <f>HYPERLINK("http://www.rosaceae.org/Prunus/Prunus_persica/p.persica_gdr_reftransV1_0003890","p.persica_gdr_reftransV1_0003890")</f>
        <v>p.persica_gdr_reftransV1_0003890</v>
      </c>
      <c r="B11713" s="3">
        <v>1328</v>
      </c>
      <c r="C11713" s="1" t="str">
        <f>HYPERLINK("http://www.uniprot.org/uniprot/IBR5_ARATH","IBR5_ARATH")</f>
        <v>IBR5_ARATH</v>
      </c>
      <c r="D11713" t="s">
        <v>2621</v>
      </c>
      <c r="E11713" s="3" t="s">
        <v>3</v>
      </c>
      <c r="F11713" s="4">
        <v>1.7100000000000001E-109</v>
      </c>
      <c r="G11713" s="3">
        <v>847</v>
      </c>
      <c r="H11713" s="3">
        <v>66</v>
      </c>
      <c r="I11713" s="3">
        <v>256</v>
      </c>
      <c r="J11713" s="3">
        <v>237</v>
      </c>
      <c r="K11713" s="3">
        <v>995</v>
      </c>
      <c r="L11713" s="3">
        <v>1</v>
      </c>
      <c r="M11713" s="3">
        <v>250</v>
      </c>
    </row>
    <row r="11714" spans="1:13" x14ac:dyDescent="0.25">
      <c r="A11714" s="1" t="str">
        <f>HYPERLINK("http://www.rosaceae.org/Prunus/Prunus_persica/p.persica_gdr_reftransV1_0003940","p.persica_gdr_reftransV1_0003940")</f>
        <v>p.persica_gdr_reftransV1_0003940</v>
      </c>
      <c r="B11714" s="3">
        <v>1791</v>
      </c>
      <c r="C11714" s="1" t="str">
        <f>HYPERLINK("http://www.uniprot.org/uniprot/APR3_ARATH","APR3_ARATH")</f>
        <v>APR3_ARATH</v>
      </c>
      <c r="D11714" t="s">
        <v>2348</v>
      </c>
      <c r="E11714" s="3" t="s">
        <v>3</v>
      </c>
      <c r="F11714" s="4">
        <v>0</v>
      </c>
      <c r="G11714" s="3">
        <v>1852</v>
      </c>
      <c r="H11714" s="3">
        <v>77</v>
      </c>
      <c r="I11714" s="3">
        <v>445</v>
      </c>
      <c r="J11714" s="3">
        <v>304</v>
      </c>
      <c r="K11714" s="3">
        <v>1638</v>
      </c>
      <c r="L11714" s="3">
        <v>24</v>
      </c>
      <c r="M11714" s="3">
        <v>458</v>
      </c>
    </row>
    <row r="11715" spans="1:13" x14ac:dyDescent="0.25">
      <c r="A11715" s="1" t="str">
        <f>HYPERLINK("http://www.rosaceae.org/Prunus/Prunus_persica/p.persica_gdr_reftransV1_0003990","p.persica_gdr_reftransV1_0003990")</f>
        <v>p.persica_gdr_reftransV1_0003990</v>
      </c>
      <c r="B11715" s="3">
        <v>832</v>
      </c>
      <c r="C11715" s="1" t="str">
        <f>HYPERLINK("http://www.uniprot.org/uniprot/C2D61_ARATH","C2D61_ARATH")</f>
        <v>C2D61_ARATH</v>
      </c>
      <c r="D11715" t="s">
        <v>6475</v>
      </c>
      <c r="E11715" s="3" t="s">
        <v>3</v>
      </c>
      <c r="F11715" s="4">
        <v>2.8200000000000001E-12</v>
      </c>
      <c r="G11715" s="3">
        <v>170</v>
      </c>
      <c r="H11715" s="3">
        <v>42</v>
      </c>
      <c r="I11715" s="3">
        <v>98</v>
      </c>
      <c r="J11715" s="3">
        <v>520</v>
      </c>
      <c r="K11715" s="3">
        <v>804</v>
      </c>
      <c r="L11715" s="3">
        <v>496</v>
      </c>
      <c r="M11715" s="3">
        <v>593</v>
      </c>
    </row>
    <row r="11716" spans="1:13" x14ac:dyDescent="0.25">
      <c r="A11716" s="1" t="str">
        <f>HYPERLINK("http://www.rosaceae.org/Prunus/Prunus_persica/p.persica_gdr_reftransV1_0004190","p.persica_gdr_reftransV1_0004190")</f>
        <v>p.persica_gdr_reftransV1_0004190</v>
      </c>
      <c r="B11716" s="3">
        <v>1672</v>
      </c>
      <c r="C11716" s="1" t="str">
        <f>HYPERLINK("http://www.uniprot.org/uniprot/C7A12_PANGI","C7A12_PANGI")</f>
        <v>C7A12_PANGI</v>
      </c>
      <c r="D11716" t="s">
        <v>5987</v>
      </c>
      <c r="E11716" s="3" t="s">
        <v>1477</v>
      </c>
      <c r="F11716" s="4">
        <v>2.1299999999999999E-176</v>
      </c>
      <c r="G11716" s="3">
        <v>1326</v>
      </c>
      <c r="H11716" s="3">
        <v>53</v>
      </c>
      <c r="I11716" s="3">
        <v>491</v>
      </c>
      <c r="J11716" s="3">
        <v>102</v>
      </c>
      <c r="K11716" s="3">
        <v>1526</v>
      </c>
      <c r="L11716" s="3">
        <v>17</v>
      </c>
      <c r="M11716" s="3">
        <v>500</v>
      </c>
    </row>
    <row r="11717" spans="1:13" x14ac:dyDescent="0.25">
      <c r="A11717" s="1" t="str">
        <f>HYPERLINK("http://www.rosaceae.org/Prunus/Prunus_persica/p.persica_gdr_reftransV1_0004390","p.persica_gdr_reftransV1_0004390")</f>
        <v>p.persica_gdr_reftransV1_0004390</v>
      </c>
      <c r="B11717" s="3">
        <v>1949</v>
      </c>
      <c r="C11717" s="1" t="str">
        <f>HYPERLINK("http://www.uniprot.org/uniprot/CNIF3_ARATH","CNIF3_ARATH")</f>
        <v>CNIF3_ARATH</v>
      </c>
      <c r="D11717" t="s">
        <v>2952</v>
      </c>
      <c r="E11717" s="3" t="s">
        <v>3</v>
      </c>
      <c r="F11717" s="4">
        <v>0</v>
      </c>
      <c r="G11717" s="3">
        <v>1702</v>
      </c>
      <c r="H11717" s="3">
        <v>73</v>
      </c>
      <c r="I11717" s="3">
        <v>429</v>
      </c>
      <c r="J11717" s="3">
        <v>454</v>
      </c>
      <c r="K11717" s="3">
        <v>1731</v>
      </c>
      <c r="L11717" s="3">
        <v>45</v>
      </c>
      <c r="M11717" s="3">
        <v>473</v>
      </c>
    </row>
    <row r="11718" spans="1:13" x14ac:dyDescent="0.25">
      <c r="A11718" s="1" t="str">
        <f>HYPERLINK("http://www.rosaceae.org/Prunus/Prunus_persica/p.persica_gdr_reftransV1_0004540","p.persica_gdr_reftransV1_0004540")</f>
        <v>p.persica_gdr_reftransV1_0004540</v>
      </c>
      <c r="B11718" s="3">
        <v>930</v>
      </c>
      <c r="C11718" s="1" t="str">
        <f>HYPERLINK("http://www.uniprot.org/uniprot/H2B1_MEDTR","H2B1_MEDTR")</f>
        <v>H2B1_MEDTR</v>
      </c>
      <c r="D11718" t="s">
        <v>3333</v>
      </c>
      <c r="E11718" s="3" t="s">
        <v>91</v>
      </c>
      <c r="F11718" s="4">
        <v>1.9999999999999999E-57</v>
      </c>
      <c r="G11718" s="3">
        <v>477</v>
      </c>
      <c r="H11718" s="3">
        <v>100</v>
      </c>
      <c r="I11718" s="3">
        <v>91</v>
      </c>
      <c r="J11718" s="3">
        <v>415</v>
      </c>
      <c r="K11718" s="3">
        <v>687</v>
      </c>
      <c r="L11718" s="3">
        <v>58</v>
      </c>
      <c r="M11718" s="3">
        <v>148</v>
      </c>
    </row>
    <row r="11719" spans="1:13" x14ac:dyDescent="0.25">
      <c r="A11719" s="1" t="str">
        <f>HYPERLINK("http://www.rosaceae.org/Prunus/Prunus_persica/p.persica_gdr_reftransV1_0004590","p.persica_gdr_reftransV1_0004590")</f>
        <v>p.persica_gdr_reftransV1_0004590</v>
      </c>
      <c r="B11719" s="3">
        <v>3893</v>
      </c>
      <c r="C11719" s="1" t="str">
        <f>HYPERLINK("http://www.uniprot.org/uniprot/Y1765_ARATH","Y1765_ARATH")</f>
        <v>Y1765_ARATH</v>
      </c>
      <c r="D11719" t="s">
        <v>286</v>
      </c>
      <c r="E11719" s="3" t="s">
        <v>3</v>
      </c>
      <c r="F11719" s="4">
        <v>0</v>
      </c>
      <c r="G11719" s="3">
        <v>2801</v>
      </c>
      <c r="H11719" s="3">
        <v>62</v>
      </c>
      <c r="I11719" s="3">
        <v>944</v>
      </c>
      <c r="J11719" s="3">
        <v>878</v>
      </c>
      <c r="K11719" s="3">
        <v>3697</v>
      </c>
      <c r="L11719" s="3">
        <v>9</v>
      </c>
      <c r="M11719" s="3">
        <v>895</v>
      </c>
    </row>
    <row r="11720" spans="1:13" x14ac:dyDescent="0.25">
      <c r="A11720" s="1" t="str">
        <f>HYPERLINK("http://www.rosaceae.org/Prunus/Prunus_persica/p.persica_gdr_reftransV1_0004640","p.persica_gdr_reftransV1_0004640")</f>
        <v>p.persica_gdr_reftransV1_0004640</v>
      </c>
      <c r="B11720" s="3">
        <v>950</v>
      </c>
      <c r="C11720" s="1" t="str">
        <f>HYPERLINK("http://www.uniprot.org/uniprot/EFP_SYNP2","EFP_SYNP2")</f>
        <v>EFP_SYNP2</v>
      </c>
      <c r="D11720" t="s">
        <v>8206</v>
      </c>
      <c r="E11720" s="3" t="s">
        <v>2403</v>
      </c>
      <c r="F11720" s="4">
        <v>2.99E-60</v>
      </c>
      <c r="G11720" s="3">
        <v>500</v>
      </c>
      <c r="H11720" s="3">
        <v>52</v>
      </c>
      <c r="I11720" s="3">
        <v>182</v>
      </c>
      <c r="J11720" s="3">
        <v>222</v>
      </c>
      <c r="K11720" s="3">
        <v>689</v>
      </c>
      <c r="L11720" s="3">
        <v>3</v>
      </c>
      <c r="M11720" s="3">
        <v>184</v>
      </c>
    </row>
    <row r="11721" spans="1:13" x14ac:dyDescent="0.25">
      <c r="A11721" s="1" t="str">
        <f>HYPERLINK("http://www.rosaceae.org/Prunus/Prunus_persica/p.persica_gdr_reftransV1_0004840","p.persica_gdr_reftransV1_0004840")</f>
        <v>p.persica_gdr_reftransV1_0004840</v>
      </c>
      <c r="B11721" s="3">
        <v>3440</v>
      </c>
      <c r="C11721" s="1" t="str">
        <f>HYPERLINK("http://www.uniprot.org/uniprot/GTE4_ARATH","GTE4_ARATH")</f>
        <v>GTE4_ARATH</v>
      </c>
      <c r="D11721" t="s">
        <v>4084</v>
      </c>
      <c r="E11721" s="3" t="s">
        <v>3</v>
      </c>
      <c r="F11721" s="4">
        <v>5.5499999999999997E-129</v>
      </c>
      <c r="G11721" s="3">
        <v>1077</v>
      </c>
      <c r="H11721" s="3">
        <v>63</v>
      </c>
      <c r="I11721" s="3">
        <v>444</v>
      </c>
      <c r="J11721" s="3">
        <v>864</v>
      </c>
      <c r="K11721" s="3">
        <v>2165</v>
      </c>
      <c r="L11721" s="3">
        <v>261</v>
      </c>
      <c r="M11721" s="3">
        <v>699</v>
      </c>
    </row>
    <row r="11722" spans="1:13" x14ac:dyDescent="0.25">
      <c r="A11722" s="1" t="str">
        <f>HYPERLINK("http://www.rosaceae.org/Prunus/Prunus_persica/p.persica_gdr_reftransV1_0004890","p.persica_gdr_reftransV1_0004890")</f>
        <v>p.persica_gdr_reftransV1_0004890</v>
      </c>
      <c r="B11722" s="3">
        <v>543</v>
      </c>
      <c r="C11722" s="1" t="str">
        <f>HYPERLINK("http://www.uniprot.org/uniprot/PINS_FRAVE","PINS_FRAVE")</f>
        <v>PINS_FRAVE</v>
      </c>
      <c r="D11722" t="s">
        <v>1165</v>
      </c>
      <c r="E11722" s="3" t="s">
        <v>1166</v>
      </c>
      <c r="F11722" s="4">
        <v>1.3699999999999999E-46</v>
      </c>
      <c r="G11722" s="3">
        <v>418</v>
      </c>
      <c r="H11722" s="3">
        <v>59</v>
      </c>
      <c r="I11722" s="3">
        <v>168</v>
      </c>
      <c r="J11722" s="3">
        <v>38</v>
      </c>
      <c r="K11722" s="3">
        <v>541</v>
      </c>
      <c r="L11722" s="3">
        <v>1</v>
      </c>
      <c r="M11722" s="3">
        <v>163</v>
      </c>
    </row>
    <row r="11723" spans="1:13" x14ac:dyDescent="0.25">
      <c r="A11723" s="1" t="str">
        <f>HYPERLINK("http://www.rosaceae.org/Prunus/Prunus_persica/p.persica_gdr_reftransV1_0004940","p.persica_gdr_reftransV1_0004940")</f>
        <v>p.persica_gdr_reftransV1_0004940</v>
      </c>
      <c r="B11723" s="3">
        <v>1003</v>
      </c>
      <c r="C11723" s="1" t="str">
        <f>HYPERLINK("http://www.uniprot.org/uniprot/TMVRN_NICGU","TMVRN_NICGU")</f>
        <v>TMVRN_NICGU</v>
      </c>
      <c r="D11723" t="s">
        <v>151</v>
      </c>
      <c r="E11723" s="3" t="s">
        <v>152</v>
      </c>
      <c r="F11723" s="4">
        <v>2.1199999999999999E-7</v>
      </c>
      <c r="G11723" s="3">
        <v>135</v>
      </c>
      <c r="H11723" s="3">
        <v>41</v>
      </c>
      <c r="I11723" s="3">
        <v>76</v>
      </c>
      <c r="J11723" s="3">
        <v>586</v>
      </c>
      <c r="K11723" s="3">
        <v>810</v>
      </c>
      <c r="L11723" s="3">
        <v>841</v>
      </c>
      <c r="M11723" s="3">
        <v>916</v>
      </c>
    </row>
    <row r="11724" spans="1:13" x14ac:dyDescent="0.25">
      <c r="A11724" s="1" t="str">
        <f>HYPERLINK("http://www.rosaceae.org/Prunus/Prunus_persica/p.persica_gdr_reftransV1_0004990","p.persica_gdr_reftransV1_0004990")</f>
        <v>p.persica_gdr_reftransV1_0004990</v>
      </c>
      <c r="B11724" s="3">
        <v>1047</v>
      </c>
      <c r="C11724" s="1" t="str">
        <f>HYPERLINK("http://www.uniprot.org/uniprot/BZP61_ARATH","BZP61_ARATH")</f>
        <v>BZP61_ARATH</v>
      </c>
      <c r="D11724" t="s">
        <v>1778</v>
      </c>
      <c r="E11724" s="3" t="s">
        <v>3</v>
      </c>
      <c r="F11724" s="4">
        <v>1.41E-69</v>
      </c>
      <c r="G11724" s="3">
        <v>578</v>
      </c>
      <c r="H11724" s="3">
        <v>68</v>
      </c>
      <c r="I11724" s="3">
        <v>213</v>
      </c>
      <c r="J11724" s="3">
        <v>461</v>
      </c>
      <c r="K11724" s="3">
        <v>1033</v>
      </c>
      <c r="L11724" s="3">
        <v>118</v>
      </c>
      <c r="M11724" s="3">
        <v>329</v>
      </c>
    </row>
    <row r="11725" spans="1:13" x14ac:dyDescent="0.25">
      <c r="A11725" s="1" t="str">
        <f>HYPERLINK("http://www.rosaceae.org/Prunus/Prunus_persica/p.persica_gdr_reftransV1_0005140","p.persica_gdr_reftransV1_0005140")</f>
        <v>p.persica_gdr_reftransV1_0005140</v>
      </c>
      <c r="B11725" s="3">
        <v>1739</v>
      </c>
      <c r="C11725" s="1" t="str">
        <f>HYPERLINK("http://www.uniprot.org/uniprot/DJ1D_ARATH","DJ1D_ARATH")</f>
        <v>DJ1D_ARATH</v>
      </c>
      <c r="D11725" t="s">
        <v>6452</v>
      </c>
      <c r="E11725" s="3" t="s">
        <v>3</v>
      </c>
      <c r="F11725" s="4">
        <v>0</v>
      </c>
      <c r="G11725" s="3">
        <v>1357</v>
      </c>
      <c r="H11725" s="3">
        <v>66</v>
      </c>
      <c r="I11725" s="3">
        <v>386</v>
      </c>
      <c r="J11725" s="3">
        <v>411</v>
      </c>
      <c r="K11725" s="3">
        <v>1568</v>
      </c>
      <c r="L11725" s="3">
        <v>5</v>
      </c>
      <c r="M11725" s="3">
        <v>388</v>
      </c>
    </row>
    <row r="11726" spans="1:13" x14ac:dyDescent="0.25">
      <c r="A11726" s="1" t="str">
        <f>HYPERLINK("http://www.rosaceae.org/Prunus/Prunus_persica/p.persica_gdr_reftransV1_0005340","p.persica_gdr_reftransV1_0005340")</f>
        <v>p.persica_gdr_reftransV1_0005340</v>
      </c>
      <c r="B11726" s="3">
        <v>2210</v>
      </c>
      <c r="C11726" s="1" t="str">
        <f>HYPERLINK("http://www.uniprot.org/uniprot/RH16_ARATH","RH16_ARATH")</f>
        <v>RH16_ARATH</v>
      </c>
      <c r="D11726" t="s">
        <v>8207</v>
      </c>
      <c r="E11726" s="3" t="s">
        <v>3</v>
      </c>
      <c r="F11726" s="4">
        <v>0</v>
      </c>
      <c r="G11726" s="3">
        <v>1964</v>
      </c>
      <c r="H11726" s="3">
        <v>71</v>
      </c>
      <c r="I11726" s="3">
        <v>582</v>
      </c>
      <c r="J11726" s="3">
        <v>348</v>
      </c>
      <c r="K11726" s="3">
        <v>2063</v>
      </c>
      <c r="L11726" s="3">
        <v>46</v>
      </c>
      <c r="M11726" s="3">
        <v>624</v>
      </c>
    </row>
    <row r="11727" spans="1:13" x14ac:dyDescent="0.25">
      <c r="A11727" s="1" t="str">
        <f>HYPERLINK("http://www.rosaceae.org/Prunus/Prunus_persica/p.persica_gdr_reftransV1_0005390","p.persica_gdr_reftransV1_0005390")</f>
        <v>p.persica_gdr_reftransV1_0005390</v>
      </c>
      <c r="B11727" s="3">
        <v>3465</v>
      </c>
      <c r="C11727" s="1" t="str">
        <f>HYPERLINK("http://www.uniprot.org/uniprot/BAME3_ARATH","BAME3_ARATH")</f>
        <v>BAME3_ARATH</v>
      </c>
      <c r="D11727" t="s">
        <v>6697</v>
      </c>
      <c r="E11727" s="3" t="s">
        <v>3</v>
      </c>
      <c r="F11727" s="4">
        <v>0</v>
      </c>
      <c r="G11727" s="3">
        <v>3057</v>
      </c>
      <c r="H11727" s="3">
        <v>66</v>
      </c>
      <c r="I11727" s="3">
        <v>973</v>
      </c>
      <c r="J11727" s="3">
        <v>173</v>
      </c>
      <c r="K11727" s="3">
        <v>3064</v>
      </c>
      <c r="L11727" s="3">
        <v>20</v>
      </c>
      <c r="M11727" s="3">
        <v>992</v>
      </c>
    </row>
    <row r="11728" spans="1:13" x14ac:dyDescent="0.25">
      <c r="A11728" s="1" t="str">
        <f>HYPERLINK("http://www.rosaceae.org/Prunus/Prunus_persica/p.persica_gdr_reftransV1_0005440","p.persica_gdr_reftransV1_0005440")</f>
        <v>p.persica_gdr_reftransV1_0005440</v>
      </c>
      <c r="B11728" s="3">
        <v>329</v>
      </c>
      <c r="C11728" s="1" t="str">
        <f>HYPERLINK("http://www.uniprot.org/uniprot/DCL4_ARATH","DCL4_ARATH")</f>
        <v>DCL4_ARATH</v>
      </c>
      <c r="D11728" t="s">
        <v>2516</v>
      </c>
      <c r="E11728" s="3" t="s">
        <v>3</v>
      </c>
      <c r="F11728" s="4">
        <v>1.7300000000000001E-11</v>
      </c>
      <c r="G11728" s="3">
        <v>156</v>
      </c>
      <c r="H11728" s="3">
        <v>38</v>
      </c>
      <c r="I11728" s="3">
        <v>98</v>
      </c>
      <c r="J11728" s="3">
        <v>29</v>
      </c>
      <c r="K11728" s="3">
        <v>316</v>
      </c>
      <c r="L11728" s="3">
        <v>353</v>
      </c>
      <c r="M11728" s="3">
        <v>447</v>
      </c>
    </row>
    <row r="11729" spans="1:13" x14ac:dyDescent="0.25">
      <c r="A11729" s="1" t="str">
        <f>HYPERLINK("http://www.rosaceae.org/Prunus/Prunus_persica/p.persica_gdr_reftransV1_0005490","p.persica_gdr_reftransV1_0005490")</f>
        <v>p.persica_gdr_reftransV1_0005490</v>
      </c>
      <c r="B11729" s="3">
        <v>2479</v>
      </c>
      <c r="C11729" s="1" t="str">
        <f>HYPERLINK("http://www.uniprot.org/uniprot/CLPT1_DANRE","CLPT1_DANRE")</f>
        <v>CLPT1_DANRE</v>
      </c>
      <c r="D11729" t="s">
        <v>8208</v>
      </c>
      <c r="E11729" s="3" t="s">
        <v>704</v>
      </c>
      <c r="F11729" s="4">
        <v>4.8300000000000001E-154</v>
      </c>
      <c r="G11729" s="3">
        <v>1214</v>
      </c>
      <c r="H11729" s="3">
        <v>44</v>
      </c>
      <c r="I11729" s="3">
        <v>577</v>
      </c>
      <c r="J11729" s="3">
        <v>613</v>
      </c>
      <c r="K11729" s="3">
        <v>2268</v>
      </c>
      <c r="L11729" s="3">
        <v>54</v>
      </c>
      <c r="M11729" s="3">
        <v>615</v>
      </c>
    </row>
    <row r="11730" spans="1:13" x14ac:dyDescent="0.25">
      <c r="A11730" s="1" t="str">
        <f>HYPERLINK("http://www.rosaceae.org/Prunus/Prunus_persica/p.persica_gdr_reftransV1_0005540","p.persica_gdr_reftransV1_0005540")</f>
        <v>p.persica_gdr_reftransV1_0005540</v>
      </c>
      <c r="B11730" s="3">
        <v>4293</v>
      </c>
      <c r="C11730" s="1" t="str">
        <f>HYPERLINK("http://www.uniprot.org/uniprot/COX1_RAPSA","COX1_RAPSA")</f>
        <v>COX1_RAPSA</v>
      </c>
      <c r="D11730" t="s">
        <v>7390</v>
      </c>
      <c r="E11730" s="3" t="s">
        <v>6259</v>
      </c>
      <c r="F11730" s="4">
        <v>0</v>
      </c>
      <c r="G11730" s="3">
        <v>2452</v>
      </c>
      <c r="H11730" s="3">
        <v>99</v>
      </c>
      <c r="I11730" s="3">
        <v>516</v>
      </c>
      <c r="J11730" s="3">
        <v>1694</v>
      </c>
      <c r="K11730" s="3">
        <v>3241</v>
      </c>
      <c r="L11730" s="3">
        <v>4</v>
      </c>
      <c r="M11730" s="3">
        <v>519</v>
      </c>
    </row>
    <row r="11731" spans="1:13" x14ac:dyDescent="0.25">
      <c r="A11731" s="1" t="str">
        <f>HYPERLINK("http://www.rosaceae.org/Prunus/Prunus_persica/p.persica_gdr_reftransV1_0005590","p.persica_gdr_reftransV1_0005590")</f>
        <v>p.persica_gdr_reftransV1_0005590</v>
      </c>
      <c r="B11731" s="3">
        <v>970</v>
      </c>
      <c r="C11731" s="1" t="str">
        <f>HYPERLINK("http://www.uniprot.org/uniprot/CRR55_ARATH","CRR55_ARATH")</f>
        <v>CRR55_ARATH</v>
      </c>
      <c r="D11731" t="s">
        <v>8209</v>
      </c>
      <c r="E11731" s="3" t="s">
        <v>3</v>
      </c>
      <c r="F11731" s="4">
        <v>1.24E-95</v>
      </c>
      <c r="G11731" s="3">
        <v>744</v>
      </c>
      <c r="H11731" s="3">
        <v>61</v>
      </c>
      <c r="I11731" s="3">
        <v>238</v>
      </c>
      <c r="J11731" s="3">
        <v>79</v>
      </c>
      <c r="K11731" s="3">
        <v>780</v>
      </c>
      <c r="L11731" s="3">
        <v>16</v>
      </c>
      <c r="M11731" s="3">
        <v>251</v>
      </c>
    </row>
    <row r="11732" spans="1:13" x14ac:dyDescent="0.25">
      <c r="A11732" s="1" t="str">
        <f>HYPERLINK("http://www.rosaceae.org/Prunus/Prunus_persica/p.persica_gdr_reftransV1_0005640","p.persica_gdr_reftransV1_0005640")</f>
        <v>p.persica_gdr_reftransV1_0005640</v>
      </c>
      <c r="B11732" s="3">
        <v>937</v>
      </c>
      <c r="C11732" s="1" t="str">
        <f>HYPERLINK("http://www.uniprot.org/uniprot/SCRK5_ARATH","SCRK5_ARATH")</f>
        <v>SCRK5_ARATH</v>
      </c>
      <c r="D11732" t="s">
        <v>8210</v>
      </c>
      <c r="E11732" s="3" t="s">
        <v>3</v>
      </c>
      <c r="F11732" s="4">
        <v>2.1099999999999998E-155</v>
      </c>
      <c r="G11732" s="3">
        <v>1144</v>
      </c>
      <c r="H11732" s="3">
        <v>82</v>
      </c>
      <c r="I11732" s="3">
        <v>268</v>
      </c>
      <c r="J11732" s="3">
        <v>132</v>
      </c>
      <c r="K11732" s="3">
        <v>935</v>
      </c>
      <c r="L11732" s="3">
        <v>52</v>
      </c>
      <c r="M11732" s="3">
        <v>319</v>
      </c>
    </row>
    <row r="11733" spans="1:13" x14ac:dyDescent="0.25">
      <c r="A11733" s="1" t="str">
        <f>HYPERLINK("http://www.rosaceae.org/Prunus/Prunus_persica/p.persica_gdr_reftransV1_0005690","p.persica_gdr_reftransV1_0005690")</f>
        <v>p.persica_gdr_reftransV1_0005690</v>
      </c>
      <c r="B11733" s="3">
        <v>892</v>
      </c>
      <c r="C11733" s="1" t="str">
        <f>HYPERLINK("http://www.uniprot.org/uniprot/CNGC1_ARATH","CNGC1_ARATH")</f>
        <v>CNGC1_ARATH</v>
      </c>
      <c r="D11733" t="s">
        <v>241</v>
      </c>
      <c r="E11733" s="3" t="s">
        <v>3</v>
      </c>
      <c r="F11733" s="4">
        <v>1.19E-53</v>
      </c>
      <c r="G11733" s="3">
        <v>484</v>
      </c>
      <c r="H11733" s="3">
        <v>38</v>
      </c>
      <c r="I11733" s="3">
        <v>281</v>
      </c>
      <c r="J11733" s="3">
        <v>62</v>
      </c>
      <c r="K11733" s="3">
        <v>889</v>
      </c>
      <c r="L11733" s="3">
        <v>96</v>
      </c>
      <c r="M11733" s="3">
        <v>366</v>
      </c>
    </row>
    <row r="11734" spans="1:13" x14ac:dyDescent="0.25">
      <c r="A11734" s="1" t="str">
        <f>HYPERLINK("http://www.rosaceae.org/Prunus/Prunus_persica/p.persica_gdr_reftransV1_0005790","p.persica_gdr_reftransV1_0005790")</f>
        <v>p.persica_gdr_reftransV1_0005790</v>
      </c>
      <c r="B11734" s="3">
        <v>424</v>
      </c>
      <c r="C11734" s="1" t="str">
        <f>HYPERLINK("http://www.uniprot.org/uniprot/RP8L4_ARATH","RP8L4_ARATH")</f>
        <v>RP8L4_ARATH</v>
      </c>
      <c r="D11734" t="s">
        <v>8211</v>
      </c>
      <c r="E11734" s="3" t="s">
        <v>3</v>
      </c>
      <c r="F11734" s="4">
        <v>3.0899999999999999E-8</v>
      </c>
      <c r="G11734" s="3">
        <v>132</v>
      </c>
      <c r="H11734" s="3">
        <v>33</v>
      </c>
      <c r="I11734" s="3">
        <v>110</v>
      </c>
      <c r="J11734" s="3">
        <v>96</v>
      </c>
      <c r="K11734" s="3">
        <v>422</v>
      </c>
      <c r="L11734" s="3">
        <v>795</v>
      </c>
      <c r="M11734" s="3">
        <v>903</v>
      </c>
    </row>
    <row r="11735" spans="1:13" x14ac:dyDescent="0.25">
      <c r="A11735" s="1" t="str">
        <f>HYPERLINK("http://www.rosaceae.org/Prunus/Prunus_persica/p.persica_gdr_reftransV1_0005940","p.persica_gdr_reftransV1_0005940")</f>
        <v>p.persica_gdr_reftransV1_0005940</v>
      </c>
      <c r="B11735" s="3">
        <v>1337</v>
      </c>
      <c r="C11735" s="1" t="str">
        <f>HYPERLINK("http://www.uniprot.org/uniprot/PNSB3_ARATH","PNSB3_ARATH")</f>
        <v>PNSB3_ARATH</v>
      </c>
      <c r="D11735" t="s">
        <v>2672</v>
      </c>
      <c r="E11735" s="3" t="s">
        <v>3</v>
      </c>
      <c r="F11735" s="4">
        <v>5.9700000000000003E-26</v>
      </c>
      <c r="G11735" s="3">
        <v>270</v>
      </c>
      <c r="H11735" s="3">
        <v>53</v>
      </c>
      <c r="I11735" s="3">
        <v>120</v>
      </c>
      <c r="J11735" s="3">
        <v>889</v>
      </c>
      <c r="K11735" s="3">
        <v>1221</v>
      </c>
      <c r="L11735" s="3">
        <v>1</v>
      </c>
      <c r="M11735" s="3">
        <v>113</v>
      </c>
    </row>
    <row r="11736" spans="1:13" x14ac:dyDescent="0.25">
      <c r="A11736" s="1" t="str">
        <f>HYPERLINK("http://www.rosaceae.org/Prunus/Prunus_persica/p.persica_gdr_reftransV1_0006340","p.persica_gdr_reftransV1_0006340")</f>
        <v>p.persica_gdr_reftransV1_0006340</v>
      </c>
      <c r="B11736" s="3">
        <v>469</v>
      </c>
      <c r="C11736" s="1" t="str">
        <f>HYPERLINK("http://www.uniprot.org/uniprot/DRE2B_ORYSJ","DRE2B_ORYSJ")</f>
        <v>DRE2B_ORYSJ</v>
      </c>
      <c r="D11736" t="s">
        <v>8212</v>
      </c>
      <c r="E11736" s="3" t="s">
        <v>38</v>
      </c>
      <c r="F11736" s="4">
        <v>2.7800000000000002E-20</v>
      </c>
      <c r="G11736" s="3">
        <v>220</v>
      </c>
      <c r="H11736" s="3">
        <v>64</v>
      </c>
      <c r="I11736" s="3">
        <v>125</v>
      </c>
      <c r="J11736" s="3">
        <v>97</v>
      </c>
      <c r="K11736" s="3">
        <v>468</v>
      </c>
      <c r="L11736" s="3">
        <v>24</v>
      </c>
      <c r="M11736" s="3">
        <v>141</v>
      </c>
    </row>
    <row r="11737" spans="1:13" x14ac:dyDescent="0.25">
      <c r="A11737" s="1" t="str">
        <f>HYPERLINK("http://www.rosaceae.org/Prunus/Prunus_persica/p.persica_gdr_reftransV1_0006390","p.persica_gdr_reftransV1_0006390")</f>
        <v>p.persica_gdr_reftransV1_0006390</v>
      </c>
      <c r="B11737" s="3">
        <v>2492</v>
      </c>
      <c r="C11737" s="1" t="str">
        <f>HYPERLINK("http://www.uniprot.org/uniprot/LUH_ARATH","LUH_ARATH")</f>
        <v>LUH_ARATH</v>
      </c>
      <c r="D11737" t="s">
        <v>2134</v>
      </c>
      <c r="E11737" s="3" t="s">
        <v>3</v>
      </c>
      <c r="F11737" s="4">
        <v>0</v>
      </c>
      <c r="G11737" s="3">
        <v>1409</v>
      </c>
      <c r="H11737" s="3">
        <v>62</v>
      </c>
      <c r="I11737" s="3">
        <v>531</v>
      </c>
      <c r="J11737" s="3">
        <v>88</v>
      </c>
      <c r="K11737" s="3">
        <v>1641</v>
      </c>
      <c r="L11737" s="3">
        <v>108</v>
      </c>
      <c r="M11737" s="3">
        <v>634</v>
      </c>
    </row>
    <row r="11738" spans="1:13" x14ac:dyDescent="0.25">
      <c r="A11738" s="1" t="str">
        <f>HYPERLINK("http://www.rosaceae.org/Prunus/Prunus_persica/p.persica_gdr_reftransV1_0006440","p.persica_gdr_reftransV1_0006440")</f>
        <v>p.persica_gdr_reftransV1_0006440</v>
      </c>
      <c r="B11738" s="3">
        <v>3423</v>
      </c>
      <c r="C11738" s="1" t="str">
        <f>HYPERLINK("http://www.uniprot.org/uniprot/RIA1_SCHPO","RIA1_SCHPO")</f>
        <v>RIA1_SCHPO</v>
      </c>
      <c r="D11738" t="s">
        <v>8213</v>
      </c>
      <c r="E11738" s="3" t="s">
        <v>464</v>
      </c>
      <c r="F11738" s="4">
        <v>6.2100000000000003E-124</v>
      </c>
      <c r="G11738" s="3">
        <v>1059</v>
      </c>
      <c r="H11738" s="3">
        <v>36</v>
      </c>
      <c r="I11738" s="3">
        <v>813</v>
      </c>
      <c r="J11738" s="3">
        <v>1</v>
      </c>
      <c r="K11738" s="3">
        <v>2298</v>
      </c>
      <c r="L11738" s="3">
        <v>262</v>
      </c>
      <c r="M11738" s="3">
        <v>998</v>
      </c>
    </row>
    <row r="11739" spans="1:13" x14ac:dyDescent="0.25">
      <c r="A11739" s="1" t="str">
        <f>HYPERLINK("http://www.rosaceae.org/Prunus/Prunus_persica/p.persica_gdr_reftransV1_0006490","p.persica_gdr_reftransV1_0006490")</f>
        <v>p.persica_gdr_reftransV1_0006490</v>
      </c>
      <c r="B11739" s="3">
        <v>699</v>
      </c>
      <c r="C11739" s="1" t="str">
        <f>HYPERLINK("http://www.uniprot.org/uniprot/TBL6_ARATH","TBL6_ARATH")</f>
        <v>TBL6_ARATH</v>
      </c>
      <c r="D11739" t="s">
        <v>4861</v>
      </c>
      <c r="E11739" s="3" t="s">
        <v>3</v>
      </c>
      <c r="F11739" s="4">
        <v>1.56E-36</v>
      </c>
      <c r="G11739" s="3">
        <v>348</v>
      </c>
      <c r="H11739" s="3">
        <v>75</v>
      </c>
      <c r="I11739" s="3">
        <v>76</v>
      </c>
      <c r="J11739" s="3">
        <v>472</v>
      </c>
      <c r="K11739" s="3">
        <v>699</v>
      </c>
      <c r="L11739" s="3">
        <v>133</v>
      </c>
      <c r="M11739" s="3">
        <v>208</v>
      </c>
    </row>
    <row r="11740" spans="1:13" x14ac:dyDescent="0.25">
      <c r="A11740" s="1" t="str">
        <f>HYPERLINK("http://www.rosaceae.org/Prunus/Prunus_persica/p.persica_gdr_reftransV1_0006590","p.persica_gdr_reftransV1_0006590")</f>
        <v>p.persica_gdr_reftransV1_0006590</v>
      </c>
      <c r="B11740" s="3">
        <v>2622</v>
      </c>
      <c r="C11740" s="1" t="str">
        <f>HYPERLINK("http://www.uniprot.org/uniprot/CPNB4_ARATH","CPNB4_ARATH")</f>
        <v>CPNB4_ARATH</v>
      </c>
      <c r="D11740" t="s">
        <v>8214</v>
      </c>
      <c r="E11740" s="3" t="s">
        <v>3</v>
      </c>
      <c r="F11740" s="4">
        <v>0</v>
      </c>
      <c r="G11740" s="3">
        <v>2113</v>
      </c>
      <c r="H11740" s="3">
        <v>69</v>
      </c>
      <c r="I11740" s="3">
        <v>618</v>
      </c>
      <c r="J11740" s="3">
        <v>277</v>
      </c>
      <c r="K11740" s="3">
        <v>2118</v>
      </c>
      <c r="L11740" s="3">
        <v>37</v>
      </c>
      <c r="M11740" s="3">
        <v>611</v>
      </c>
    </row>
    <row r="11741" spans="1:13" x14ac:dyDescent="0.25">
      <c r="A11741" s="1" t="str">
        <f>HYPERLINK("http://www.rosaceae.org/Prunus/Prunus_persica/p.persica_gdr_reftransV1_0006690","p.persica_gdr_reftransV1_0006690")</f>
        <v>p.persica_gdr_reftransV1_0006690</v>
      </c>
      <c r="B11741" s="3">
        <v>558</v>
      </c>
      <c r="C11741" s="1" t="str">
        <f>HYPERLINK("http://www.uniprot.org/uniprot/AHP4_ARATH","AHP4_ARATH")</f>
        <v>AHP4_ARATH</v>
      </c>
      <c r="D11741" t="s">
        <v>6928</v>
      </c>
      <c r="E11741" s="3" t="s">
        <v>3</v>
      </c>
      <c r="F11741" s="4">
        <v>2.9900000000000001E-49</v>
      </c>
      <c r="G11741" s="3">
        <v>409</v>
      </c>
      <c r="H11741" s="3">
        <v>68</v>
      </c>
      <c r="I11741" s="3">
        <v>109</v>
      </c>
      <c r="J11741" s="3">
        <v>3</v>
      </c>
      <c r="K11741" s="3">
        <v>329</v>
      </c>
      <c r="L11741" s="3">
        <v>19</v>
      </c>
      <c r="M11741" s="3">
        <v>127</v>
      </c>
    </row>
    <row r="11742" spans="1:13" x14ac:dyDescent="0.25">
      <c r="A11742" s="1" t="str">
        <f>HYPERLINK("http://www.rosaceae.org/Prunus/Prunus_persica/p.persica_gdr_reftransV1_0006740","p.persica_gdr_reftransV1_0006740")</f>
        <v>p.persica_gdr_reftransV1_0006740</v>
      </c>
      <c r="B11742" s="3">
        <v>503</v>
      </c>
      <c r="C11742" s="1" t="str">
        <f>HYPERLINK("http://www.uniprot.org/uniprot/PPR53_ARATH","PPR53_ARATH")</f>
        <v>PPR53_ARATH</v>
      </c>
      <c r="D11742" t="s">
        <v>1197</v>
      </c>
      <c r="E11742" s="3" t="s">
        <v>3</v>
      </c>
      <c r="F11742" s="4">
        <v>6.0200000000000001E-44</v>
      </c>
      <c r="G11742" s="3">
        <v>401</v>
      </c>
      <c r="H11742" s="3">
        <v>44</v>
      </c>
      <c r="I11742" s="3">
        <v>171</v>
      </c>
      <c r="J11742" s="3">
        <v>3</v>
      </c>
      <c r="K11742" s="3">
        <v>503</v>
      </c>
      <c r="L11742" s="3">
        <v>4</v>
      </c>
      <c r="M11742" s="3">
        <v>174</v>
      </c>
    </row>
    <row r="11743" spans="1:13" x14ac:dyDescent="0.25">
      <c r="A11743" s="1" t="str">
        <f>HYPERLINK("http://www.rosaceae.org/Prunus/Prunus_persica/p.persica_gdr_reftransV1_0006940","p.persica_gdr_reftransV1_0006940")</f>
        <v>p.persica_gdr_reftransV1_0006940</v>
      </c>
      <c r="B11743" s="3">
        <v>1761</v>
      </c>
      <c r="C11743" s="1" t="str">
        <f>HYPERLINK("http://www.uniprot.org/uniprot/VINSY_RAUSE","VINSY_RAUSE")</f>
        <v>VINSY_RAUSE</v>
      </c>
      <c r="D11743" t="s">
        <v>2815</v>
      </c>
      <c r="E11743" s="3" t="s">
        <v>2816</v>
      </c>
      <c r="F11743" s="4">
        <v>1.2699999999999999E-61</v>
      </c>
      <c r="G11743" s="3">
        <v>548</v>
      </c>
      <c r="H11743" s="3">
        <v>36</v>
      </c>
      <c r="I11743" s="3">
        <v>434</v>
      </c>
      <c r="J11743" s="3">
        <v>429</v>
      </c>
      <c r="K11743" s="3">
        <v>1700</v>
      </c>
      <c r="L11743" s="3">
        <v>5</v>
      </c>
      <c r="M11743" s="3">
        <v>407</v>
      </c>
    </row>
    <row r="11744" spans="1:13" x14ac:dyDescent="0.25">
      <c r="A11744" s="1" t="str">
        <f>HYPERLINK("http://www.rosaceae.org/Prunus/Prunus_persica/p.persica_gdr_reftransV1_0006990","p.persica_gdr_reftransV1_0006990")</f>
        <v>p.persica_gdr_reftransV1_0006990</v>
      </c>
      <c r="B11744" s="3">
        <v>489</v>
      </c>
      <c r="C11744" s="1" t="str">
        <f>HYPERLINK("http://www.uniprot.org/uniprot/ERL1_ARATH","ERL1_ARATH")</f>
        <v>ERL1_ARATH</v>
      </c>
      <c r="D11744" t="s">
        <v>344</v>
      </c>
      <c r="E11744" s="3" t="s">
        <v>3</v>
      </c>
      <c r="F11744" s="4">
        <v>1.7500000000000001E-14</v>
      </c>
      <c r="G11744" s="3">
        <v>183</v>
      </c>
      <c r="H11744" s="3">
        <v>33</v>
      </c>
      <c r="I11744" s="3">
        <v>164</v>
      </c>
      <c r="J11744" s="3">
        <v>7</v>
      </c>
      <c r="K11744" s="3">
        <v>411</v>
      </c>
      <c r="L11744" s="3">
        <v>76</v>
      </c>
      <c r="M11744" s="3">
        <v>237</v>
      </c>
    </row>
    <row r="11745" spans="1:13" x14ac:dyDescent="0.25">
      <c r="A11745" s="1" t="str">
        <f>HYPERLINK("http://www.rosaceae.org/Prunus/Prunus_persica/p.persica_gdr_reftransV1_0007090","p.persica_gdr_reftransV1_0007090")</f>
        <v>p.persica_gdr_reftransV1_0007090</v>
      </c>
      <c r="B11745" s="3">
        <v>551</v>
      </c>
      <c r="C11745" s="1" t="str">
        <f>HYPERLINK("http://www.uniprot.org/uniprot/E70A1_ARATH","E70A1_ARATH")</f>
        <v>E70A1_ARATH</v>
      </c>
      <c r="D11745" t="s">
        <v>89</v>
      </c>
      <c r="E11745" s="3" t="s">
        <v>3</v>
      </c>
      <c r="F11745" s="4">
        <v>4.16E-12</v>
      </c>
      <c r="G11745" s="3">
        <v>165</v>
      </c>
      <c r="H11745" s="3">
        <v>37</v>
      </c>
      <c r="I11745" s="3">
        <v>79</v>
      </c>
      <c r="J11745" s="3">
        <v>247</v>
      </c>
      <c r="K11745" s="3">
        <v>483</v>
      </c>
      <c r="L11745" s="3">
        <v>553</v>
      </c>
      <c r="M11745" s="3">
        <v>631</v>
      </c>
    </row>
    <row r="11746" spans="1:13" x14ac:dyDescent="0.25">
      <c r="A11746" s="1" t="str">
        <f>HYPERLINK("http://www.rosaceae.org/Prunus/Prunus_persica/p.persica_gdr_reftransV1_0007190","p.persica_gdr_reftransV1_0007190")</f>
        <v>p.persica_gdr_reftransV1_0007190</v>
      </c>
      <c r="B11746" s="3">
        <v>555</v>
      </c>
      <c r="C11746" s="1" t="str">
        <f>HYPERLINK("http://www.uniprot.org/uniprot/PER45_ARATH","PER45_ARATH")</f>
        <v>PER45_ARATH</v>
      </c>
      <c r="D11746" t="s">
        <v>7999</v>
      </c>
      <c r="E11746" s="3" t="s">
        <v>3</v>
      </c>
      <c r="F11746" s="4">
        <v>8.4999999999999999E-47</v>
      </c>
      <c r="G11746" s="3">
        <v>408</v>
      </c>
      <c r="H11746" s="3">
        <v>73</v>
      </c>
      <c r="I11746" s="3">
        <v>111</v>
      </c>
      <c r="J11746" s="3">
        <v>215</v>
      </c>
      <c r="K11746" s="3">
        <v>547</v>
      </c>
      <c r="L11746" s="3">
        <v>215</v>
      </c>
      <c r="M11746" s="3">
        <v>325</v>
      </c>
    </row>
    <row r="11747" spans="1:13" x14ac:dyDescent="0.25">
      <c r="A11747" s="1" t="str">
        <f>HYPERLINK("http://www.rosaceae.org/Prunus/Prunus_persica/p.persica_gdr_reftransV1_0007390","p.persica_gdr_reftransV1_0007390")</f>
        <v>p.persica_gdr_reftransV1_0007390</v>
      </c>
      <c r="B11747" s="3">
        <v>3010</v>
      </c>
      <c r="C11747" s="1" t="str">
        <f>HYPERLINK("http://www.uniprot.org/uniprot/NPHP3_XENTR","NPHP3_XENTR")</f>
        <v>NPHP3_XENTR</v>
      </c>
      <c r="D11747" t="s">
        <v>8215</v>
      </c>
      <c r="E11747" s="3" t="s">
        <v>173</v>
      </c>
      <c r="F11747" s="4">
        <v>1.7899999999999999E-13</v>
      </c>
      <c r="G11747" s="3">
        <v>193</v>
      </c>
      <c r="H11747" s="3">
        <v>25</v>
      </c>
      <c r="I11747" s="3">
        <v>367</v>
      </c>
      <c r="J11747" s="3">
        <v>1139</v>
      </c>
      <c r="K11747" s="3">
        <v>2152</v>
      </c>
      <c r="L11747" s="3">
        <v>909</v>
      </c>
      <c r="M11747" s="3">
        <v>1272</v>
      </c>
    </row>
    <row r="11748" spans="1:13" x14ac:dyDescent="0.25">
      <c r="A11748" s="1" t="str">
        <f>HYPERLINK("http://www.rosaceae.org/Prunus/Prunus_persica/p.persica_gdr_reftransV1_0007440","p.persica_gdr_reftransV1_0007440")</f>
        <v>p.persica_gdr_reftransV1_0007440</v>
      </c>
      <c r="B11748" s="3">
        <v>545</v>
      </c>
      <c r="C11748" s="1" t="str">
        <f>HYPERLINK("http://www.uniprot.org/uniprot/PP347_ARATH","PP347_ARATH")</f>
        <v>PP347_ARATH</v>
      </c>
      <c r="D11748" t="s">
        <v>6308</v>
      </c>
      <c r="E11748" s="3" t="s">
        <v>3</v>
      </c>
      <c r="F11748" s="4">
        <v>2.1700000000000001E-54</v>
      </c>
      <c r="G11748" s="3">
        <v>482</v>
      </c>
      <c r="H11748" s="3">
        <v>54</v>
      </c>
      <c r="I11748" s="3">
        <v>178</v>
      </c>
      <c r="J11748" s="3">
        <v>11</v>
      </c>
      <c r="K11748" s="3">
        <v>544</v>
      </c>
      <c r="L11748" s="3">
        <v>298</v>
      </c>
      <c r="M11748" s="3">
        <v>475</v>
      </c>
    </row>
    <row r="11749" spans="1:13" x14ac:dyDescent="0.25">
      <c r="A11749" s="1" t="str">
        <f>HYPERLINK("http://www.rosaceae.org/Prunus/Prunus_persica/p.persica_gdr_reftransV1_0007540","p.persica_gdr_reftransV1_0007540")</f>
        <v>p.persica_gdr_reftransV1_0007540</v>
      </c>
      <c r="B11749" s="3">
        <v>617</v>
      </c>
      <c r="C11749" s="1" t="str">
        <f>HYPERLINK("http://www.uniprot.org/uniprot/NEN1_ARATH","NEN1_ARATH")</f>
        <v>NEN1_ARATH</v>
      </c>
      <c r="D11749" t="s">
        <v>4923</v>
      </c>
      <c r="E11749" s="3" t="s">
        <v>3</v>
      </c>
      <c r="F11749" s="4">
        <v>8.2300000000000001E-68</v>
      </c>
      <c r="G11749" s="3">
        <v>563</v>
      </c>
      <c r="H11749" s="3">
        <v>69</v>
      </c>
      <c r="I11749" s="3">
        <v>158</v>
      </c>
      <c r="J11749" s="3">
        <v>142</v>
      </c>
      <c r="K11749" s="3">
        <v>615</v>
      </c>
      <c r="L11749" s="3">
        <v>4</v>
      </c>
      <c r="M11749" s="3">
        <v>160</v>
      </c>
    </row>
    <row r="11750" spans="1:13" x14ac:dyDescent="0.25">
      <c r="A11750" s="1" t="str">
        <f>HYPERLINK("http://www.rosaceae.org/Prunus/Prunus_persica/p.persica_gdr_reftransV1_0007690","p.persica_gdr_reftransV1_0007690")</f>
        <v>p.persica_gdr_reftransV1_0007690</v>
      </c>
      <c r="B11750" s="3">
        <v>1966</v>
      </c>
      <c r="C11750" s="1" t="str">
        <f>HYPERLINK("http://www.uniprot.org/uniprot/MSI4_ARATH","MSI4_ARATH")</f>
        <v>MSI4_ARATH</v>
      </c>
      <c r="D11750" t="s">
        <v>5591</v>
      </c>
      <c r="E11750" s="3" t="s">
        <v>3</v>
      </c>
      <c r="F11750" s="4">
        <v>0</v>
      </c>
      <c r="G11750" s="3">
        <v>1886</v>
      </c>
      <c r="H11750" s="3">
        <v>79</v>
      </c>
      <c r="I11750" s="3">
        <v>469</v>
      </c>
      <c r="J11750" s="3">
        <v>402</v>
      </c>
      <c r="K11750" s="3">
        <v>1802</v>
      </c>
      <c r="L11750" s="3">
        <v>50</v>
      </c>
      <c r="M11750" s="3">
        <v>503</v>
      </c>
    </row>
    <row r="11751" spans="1:13" x14ac:dyDescent="0.25">
      <c r="A11751" s="1" t="str">
        <f>HYPERLINK("http://www.rosaceae.org/Prunus/Prunus_persica/p.persica_gdr_reftransV1_0007840","p.persica_gdr_reftransV1_0007840")</f>
        <v>p.persica_gdr_reftransV1_0007840</v>
      </c>
      <c r="B11751" s="3">
        <v>2293</v>
      </c>
      <c r="C11751" s="1" t="str">
        <f>HYPERLINK("http://www.uniprot.org/uniprot/C3H18_ARATH","C3H18_ARATH")</f>
        <v>C3H18_ARATH</v>
      </c>
      <c r="D11751" t="s">
        <v>8216</v>
      </c>
      <c r="E11751" s="3" t="s">
        <v>3</v>
      </c>
      <c r="F11751" s="4">
        <v>4.5499999999999997E-151</v>
      </c>
      <c r="G11751" s="3">
        <v>1180</v>
      </c>
      <c r="H11751" s="3">
        <v>47</v>
      </c>
      <c r="I11751" s="3">
        <v>563</v>
      </c>
      <c r="J11751" s="3">
        <v>133</v>
      </c>
      <c r="K11751" s="3">
        <v>1794</v>
      </c>
      <c r="L11751" s="3">
        <v>1</v>
      </c>
      <c r="M11751" s="3">
        <v>519</v>
      </c>
    </row>
    <row r="11752" spans="1:13" x14ac:dyDescent="0.25">
      <c r="A11752" s="1" t="str">
        <f>HYPERLINK("http://www.rosaceae.org/Prunus/Prunus_persica/p.persica_gdr_reftransV1_0007990","p.persica_gdr_reftransV1_0007990")</f>
        <v>p.persica_gdr_reftransV1_0007990</v>
      </c>
      <c r="B11752" s="3">
        <v>2817</v>
      </c>
      <c r="C11752" s="1" t="str">
        <f>HYPERLINK("http://www.uniprot.org/uniprot/MP701_ARATH","MP701_ARATH")</f>
        <v>MP701_ARATH</v>
      </c>
      <c r="D11752" t="s">
        <v>8217</v>
      </c>
      <c r="E11752" s="3" t="s">
        <v>3</v>
      </c>
      <c r="F11752" s="4">
        <v>0</v>
      </c>
      <c r="G11752" s="3">
        <v>1966</v>
      </c>
      <c r="H11752" s="3">
        <v>77</v>
      </c>
      <c r="I11752" s="3">
        <v>635</v>
      </c>
      <c r="J11752" s="3">
        <v>328</v>
      </c>
      <c r="K11752" s="3">
        <v>2196</v>
      </c>
      <c r="L11752" s="3">
        <v>1</v>
      </c>
      <c r="M11752" s="3">
        <v>622</v>
      </c>
    </row>
    <row r="11753" spans="1:13" x14ac:dyDescent="0.25">
      <c r="A11753" s="1" t="str">
        <f>HYPERLINK("http://www.rosaceae.org/Prunus/Prunus_persica/p.persica_gdr_reftransV1_0008040","p.persica_gdr_reftransV1_0008040")</f>
        <v>p.persica_gdr_reftransV1_0008040</v>
      </c>
      <c r="B11753" s="3">
        <v>699</v>
      </c>
      <c r="C11753" s="1" t="str">
        <f>HYPERLINK("http://www.uniprot.org/uniprot/ALFC_SPIOL","ALFC_SPIOL")</f>
        <v>ALFC_SPIOL</v>
      </c>
      <c r="D11753" t="s">
        <v>5740</v>
      </c>
      <c r="E11753" s="3" t="s">
        <v>131</v>
      </c>
      <c r="F11753" s="4">
        <v>8.1000000000000003E-91</v>
      </c>
      <c r="G11753" s="3">
        <v>714</v>
      </c>
      <c r="H11753" s="3">
        <v>71</v>
      </c>
      <c r="I11753" s="3">
        <v>206</v>
      </c>
      <c r="J11753" s="3">
        <v>80</v>
      </c>
      <c r="K11753" s="3">
        <v>697</v>
      </c>
      <c r="L11753" s="3">
        <v>1</v>
      </c>
      <c r="M11753" s="3">
        <v>175</v>
      </c>
    </row>
    <row r="11754" spans="1:13" x14ac:dyDescent="0.25">
      <c r="A11754" s="1" t="str">
        <f>HYPERLINK("http://www.rosaceae.org/Prunus/Prunus_persica/p.persica_gdr_reftransV1_0008140","p.persica_gdr_reftransV1_0008140")</f>
        <v>p.persica_gdr_reftransV1_0008140</v>
      </c>
      <c r="B11754" s="3">
        <v>3016</v>
      </c>
      <c r="C11754" s="1" t="str">
        <f>HYPERLINK("http://www.uniprot.org/uniprot/LRKS2_ARATH","LRKS2_ARATH")</f>
        <v>LRKS2_ARATH</v>
      </c>
      <c r="D11754" t="s">
        <v>8218</v>
      </c>
      <c r="E11754" s="3" t="s">
        <v>3</v>
      </c>
      <c r="F11754" s="4">
        <v>0</v>
      </c>
      <c r="G11754" s="3">
        <v>2455</v>
      </c>
      <c r="H11754" s="3">
        <v>58</v>
      </c>
      <c r="I11754" s="3">
        <v>854</v>
      </c>
      <c r="J11754" s="3">
        <v>266</v>
      </c>
      <c r="K11754" s="3">
        <v>2758</v>
      </c>
      <c r="L11754" s="3">
        <v>4</v>
      </c>
      <c r="M11754" s="3">
        <v>851</v>
      </c>
    </row>
    <row r="11755" spans="1:13" x14ac:dyDescent="0.25">
      <c r="A11755" s="1" t="str">
        <f>HYPERLINK("http://www.rosaceae.org/Prunus/Prunus_persica/p.persica_gdr_reftransV1_0008190","p.persica_gdr_reftransV1_0008190")</f>
        <v>p.persica_gdr_reftransV1_0008190</v>
      </c>
      <c r="B11755" s="3">
        <v>899</v>
      </c>
      <c r="C11755" s="1" t="str">
        <f>HYPERLINK("http://www.uniprot.org/uniprot/RL30_LUPLU","RL30_LUPLU")</f>
        <v>RL30_LUPLU</v>
      </c>
      <c r="D11755" t="s">
        <v>7812</v>
      </c>
      <c r="E11755" s="3" t="s">
        <v>2358</v>
      </c>
      <c r="F11755" s="4">
        <v>2.83E-65</v>
      </c>
      <c r="G11755" s="3">
        <v>526</v>
      </c>
      <c r="H11755" s="3">
        <v>89</v>
      </c>
      <c r="I11755" s="3">
        <v>112</v>
      </c>
      <c r="J11755" s="3">
        <v>430</v>
      </c>
      <c r="K11755" s="3">
        <v>765</v>
      </c>
      <c r="L11755" s="3">
        <v>1</v>
      </c>
      <c r="M11755" s="3">
        <v>112</v>
      </c>
    </row>
    <row r="11756" spans="1:13" x14ac:dyDescent="0.25">
      <c r="A11756" s="1" t="str">
        <f>HYPERLINK("http://www.rosaceae.org/Prunus/Prunus_persica/p.persica_gdr_reftransV1_0008240","p.persica_gdr_reftransV1_0008240")</f>
        <v>p.persica_gdr_reftransV1_0008240</v>
      </c>
      <c r="B11756" s="3">
        <v>445</v>
      </c>
      <c r="C11756" s="1" t="str">
        <f>HYPERLINK("http://www.uniprot.org/uniprot/TMVRN_NICGU","TMVRN_NICGU")</f>
        <v>TMVRN_NICGU</v>
      </c>
      <c r="D11756" t="s">
        <v>151</v>
      </c>
      <c r="E11756" s="3" t="s">
        <v>152</v>
      </c>
      <c r="F11756" s="4">
        <v>1.4699999999999999E-31</v>
      </c>
      <c r="G11756" s="3">
        <v>311</v>
      </c>
      <c r="H11756" s="3">
        <v>45</v>
      </c>
      <c r="I11756" s="3">
        <v>144</v>
      </c>
      <c r="J11756" s="3">
        <v>9</v>
      </c>
      <c r="K11756" s="3">
        <v>440</v>
      </c>
      <c r="L11756" s="3">
        <v>320</v>
      </c>
      <c r="M11756" s="3">
        <v>460</v>
      </c>
    </row>
    <row r="11757" spans="1:13" x14ac:dyDescent="0.25">
      <c r="A11757" s="1" t="str">
        <f>HYPERLINK("http://www.rosaceae.org/Prunus/Prunus_persica/p.persica_gdr_reftransV1_0008290","p.persica_gdr_reftransV1_0008290")</f>
        <v>p.persica_gdr_reftransV1_0008290</v>
      </c>
      <c r="B11757" s="3">
        <v>1417</v>
      </c>
      <c r="C11757" s="1" t="str">
        <f>HYPERLINK("http://www.uniprot.org/uniprot/HAUS2_HUMAN","HAUS2_HUMAN")</f>
        <v>HAUS2_HUMAN</v>
      </c>
      <c r="D11757" t="s">
        <v>8219</v>
      </c>
      <c r="E11757" s="3" t="s">
        <v>28</v>
      </c>
      <c r="F11757" s="4">
        <v>2.6600000000000003E-7</v>
      </c>
      <c r="G11757" s="3">
        <v>131</v>
      </c>
      <c r="H11757" s="3">
        <v>24</v>
      </c>
      <c r="I11757" s="3">
        <v>172</v>
      </c>
      <c r="J11757" s="3">
        <v>583</v>
      </c>
      <c r="K11757" s="3">
        <v>1098</v>
      </c>
      <c r="L11757" s="3">
        <v>20</v>
      </c>
      <c r="M11757" s="3">
        <v>173</v>
      </c>
    </row>
    <row r="11758" spans="1:13" x14ac:dyDescent="0.25">
      <c r="A11758" s="1" t="str">
        <f>HYPERLINK("http://www.rosaceae.org/Prunus/Prunus_persica/p.persica_gdr_reftransV1_0008490","p.persica_gdr_reftransV1_0008490")</f>
        <v>p.persica_gdr_reftransV1_0008490</v>
      </c>
      <c r="B11758" s="3">
        <v>3714</v>
      </c>
      <c r="C11758" s="1" t="str">
        <f>HYPERLINK("http://www.uniprot.org/uniprot/UBP16_ARATH","UBP16_ARATH")</f>
        <v>UBP16_ARATH</v>
      </c>
      <c r="D11758" t="s">
        <v>8220</v>
      </c>
      <c r="E11758" s="3" t="s">
        <v>3</v>
      </c>
      <c r="F11758" s="4">
        <v>2.7500000000000002E-172</v>
      </c>
      <c r="G11758" s="3">
        <v>1401</v>
      </c>
      <c r="H11758" s="3">
        <v>49</v>
      </c>
      <c r="I11758" s="3">
        <v>681</v>
      </c>
      <c r="J11758" s="3">
        <v>972</v>
      </c>
      <c r="K11758" s="3">
        <v>2993</v>
      </c>
      <c r="L11758" s="3">
        <v>241</v>
      </c>
      <c r="M11758" s="3">
        <v>854</v>
      </c>
    </row>
    <row r="11759" spans="1:13" x14ac:dyDescent="0.25">
      <c r="A11759" s="1" t="str">
        <f>HYPERLINK("http://www.rosaceae.org/Prunus/Prunus_persica/p.persica_gdr_reftransV1_0008540","p.persica_gdr_reftransV1_0008540")</f>
        <v>p.persica_gdr_reftransV1_0008540</v>
      </c>
      <c r="B11759" s="3">
        <v>1191</v>
      </c>
      <c r="C11759" s="1" t="str">
        <f>HYPERLINK("http://www.uniprot.org/uniprot/DRB1_ORYSJ","DRB1_ORYSJ")</f>
        <v>DRB1_ORYSJ</v>
      </c>
      <c r="D11759" t="s">
        <v>8221</v>
      </c>
      <c r="E11759" s="3" t="s">
        <v>38</v>
      </c>
      <c r="F11759" s="4">
        <v>4.6800000000000003E-12</v>
      </c>
      <c r="G11759" s="3">
        <v>172</v>
      </c>
      <c r="H11759" s="3">
        <v>51</v>
      </c>
      <c r="I11759" s="3">
        <v>68</v>
      </c>
      <c r="J11759" s="3">
        <v>256</v>
      </c>
      <c r="K11759" s="3">
        <v>456</v>
      </c>
      <c r="L11759" s="3">
        <v>1</v>
      </c>
      <c r="M11759" s="3">
        <v>68</v>
      </c>
    </row>
    <row r="11760" spans="1:13" x14ac:dyDescent="0.25">
      <c r="A11760" s="1" t="str">
        <f>HYPERLINK("http://www.rosaceae.org/Prunus/Prunus_persica/p.persica_gdr_reftransV1_0008690","p.persica_gdr_reftransV1_0008690")</f>
        <v>p.persica_gdr_reftransV1_0008690</v>
      </c>
      <c r="B11760" s="3">
        <v>3114</v>
      </c>
      <c r="C11760" s="1" t="str">
        <f>HYPERLINK("http://www.uniprot.org/uniprot/Y1561_ARATH","Y1561_ARATH")</f>
        <v>Y1561_ARATH</v>
      </c>
      <c r="D11760" t="s">
        <v>1387</v>
      </c>
      <c r="E11760" s="3" t="s">
        <v>3</v>
      </c>
      <c r="F11760" s="4">
        <v>0</v>
      </c>
      <c r="G11760" s="3">
        <v>2091</v>
      </c>
      <c r="H11760" s="3">
        <v>59</v>
      </c>
      <c r="I11760" s="3">
        <v>697</v>
      </c>
      <c r="J11760" s="3">
        <v>2</v>
      </c>
      <c r="K11760" s="3">
        <v>2077</v>
      </c>
      <c r="L11760" s="3">
        <v>157</v>
      </c>
      <c r="M11760" s="3">
        <v>850</v>
      </c>
    </row>
    <row r="11761" spans="1:13" x14ac:dyDescent="0.25">
      <c r="A11761" s="1" t="str">
        <f>HYPERLINK("http://www.rosaceae.org/Prunus/Prunus_persica/p.persica_gdr_reftransV1_0008740","p.persica_gdr_reftransV1_0008740")</f>
        <v>p.persica_gdr_reftransV1_0008740</v>
      </c>
      <c r="B11761" s="3">
        <v>1629</v>
      </c>
      <c r="C11761" s="1" t="str">
        <f>HYPERLINK("http://www.uniprot.org/uniprot/FB135_ARATH","FB135_ARATH")</f>
        <v>FB135_ARATH</v>
      </c>
      <c r="D11761" t="s">
        <v>6152</v>
      </c>
      <c r="E11761" s="3" t="s">
        <v>3</v>
      </c>
      <c r="F11761" s="4">
        <v>4.8000000000000005E-19</v>
      </c>
      <c r="G11761" s="3">
        <v>230</v>
      </c>
      <c r="H11761" s="3">
        <v>27</v>
      </c>
      <c r="I11761" s="3">
        <v>408</v>
      </c>
      <c r="J11761" s="3">
        <v>277</v>
      </c>
      <c r="K11761" s="3">
        <v>1362</v>
      </c>
      <c r="L11761" s="3">
        <v>28</v>
      </c>
      <c r="M11761" s="3">
        <v>403</v>
      </c>
    </row>
    <row r="11762" spans="1:13" x14ac:dyDescent="0.25">
      <c r="A11762" s="1" t="str">
        <f>HYPERLINK("http://www.rosaceae.org/Prunus/Prunus_persica/p.persica_gdr_reftransV1_0008940","p.persica_gdr_reftransV1_0008940")</f>
        <v>p.persica_gdr_reftransV1_0008940</v>
      </c>
      <c r="B11762" s="3">
        <v>3102</v>
      </c>
      <c r="C11762" s="1" t="str">
        <f>HYPERLINK("http://www.uniprot.org/uniprot/CSLG1_ARATH","CSLG1_ARATH")</f>
        <v>CSLG1_ARATH</v>
      </c>
      <c r="D11762" t="s">
        <v>6022</v>
      </c>
      <c r="E11762" s="3" t="s">
        <v>3</v>
      </c>
      <c r="F11762" s="4">
        <v>8.6400000000000004E-69</v>
      </c>
      <c r="G11762" s="3">
        <v>637</v>
      </c>
      <c r="H11762" s="3">
        <v>40</v>
      </c>
      <c r="I11762" s="3">
        <v>361</v>
      </c>
      <c r="J11762" s="3">
        <v>1458</v>
      </c>
      <c r="K11762" s="3">
        <v>2495</v>
      </c>
      <c r="L11762" s="3">
        <v>14</v>
      </c>
      <c r="M11762" s="3">
        <v>364</v>
      </c>
    </row>
    <row r="11763" spans="1:13" x14ac:dyDescent="0.25">
      <c r="A11763" s="1" t="str">
        <f>HYPERLINK("http://www.rosaceae.org/Prunus/Prunus_persica/p.persica_gdr_reftransV1_0008990","p.persica_gdr_reftransV1_0008990")</f>
        <v>p.persica_gdr_reftransV1_0008990</v>
      </c>
      <c r="B11763" s="3">
        <v>854</v>
      </c>
      <c r="C11763" s="1" t="str">
        <f>HYPERLINK("http://www.uniprot.org/uniprot/PP445_ARATH","PP445_ARATH")</f>
        <v>PP445_ARATH</v>
      </c>
      <c r="D11763" t="s">
        <v>6643</v>
      </c>
      <c r="E11763" s="3" t="s">
        <v>3</v>
      </c>
      <c r="F11763" s="4">
        <v>2.03E-38</v>
      </c>
      <c r="G11763" s="3">
        <v>375</v>
      </c>
      <c r="H11763" s="3">
        <v>50</v>
      </c>
      <c r="I11763" s="3">
        <v>160</v>
      </c>
      <c r="J11763" s="3">
        <v>390</v>
      </c>
      <c r="K11763" s="3">
        <v>854</v>
      </c>
      <c r="L11763" s="3">
        <v>52</v>
      </c>
      <c r="M11763" s="3">
        <v>211</v>
      </c>
    </row>
    <row r="11764" spans="1:13" x14ac:dyDescent="0.25">
      <c r="A11764" s="1" t="str">
        <f>HYPERLINK("http://www.rosaceae.org/Prunus/Prunus_persica/p.persica_gdr_reftransV1_0009190","p.persica_gdr_reftransV1_0009190")</f>
        <v>p.persica_gdr_reftransV1_0009190</v>
      </c>
      <c r="B11764" s="3">
        <v>863</v>
      </c>
      <c r="C11764" s="1" t="str">
        <f>HYPERLINK("http://www.uniprot.org/uniprot/LEA14_SOYBN","LEA14_SOYBN")</f>
        <v>LEA14_SOYBN</v>
      </c>
      <c r="D11764" t="s">
        <v>8222</v>
      </c>
      <c r="E11764" s="3" t="s">
        <v>307</v>
      </c>
      <c r="F11764" s="4">
        <v>8.6799999999999999E-71</v>
      </c>
      <c r="G11764" s="3">
        <v>565</v>
      </c>
      <c r="H11764" s="3">
        <v>71</v>
      </c>
      <c r="I11764" s="3">
        <v>147</v>
      </c>
      <c r="J11764" s="3">
        <v>106</v>
      </c>
      <c r="K11764" s="3">
        <v>546</v>
      </c>
      <c r="L11764" s="3">
        <v>1</v>
      </c>
      <c r="M11764" s="3">
        <v>147</v>
      </c>
    </row>
    <row r="11765" spans="1:13" x14ac:dyDescent="0.25">
      <c r="A11765" s="1" t="str">
        <f>HYPERLINK("http://www.rosaceae.org/Prunus/Prunus_persica/p.persica_gdr_reftransV1_0009390","p.persica_gdr_reftransV1_0009390")</f>
        <v>p.persica_gdr_reftransV1_0009390</v>
      </c>
      <c r="B11765" s="3">
        <v>1288</v>
      </c>
      <c r="C11765" s="1" t="str">
        <f>HYPERLINK("http://www.uniprot.org/uniprot/UBE2C_DICDI","UBE2C_DICDI")</f>
        <v>UBE2C_DICDI</v>
      </c>
      <c r="D11765" t="s">
        <v>8223</v>
      </c>
      <c r="E11765" s="3" t="s">
        <v>9</v>
      </c>
      <c r="F11765" s="4">
        <v>4.3700000000000003E-37</v>
      </c>
      <c r="G11765" s="3">
        <v>346</v>
      </c>
      <c r="H11765" s="3">
        <v>67</v>
      </c>
      <c r="I11765" s="3">
        <v>91</v>
      </c>
      <c r="J11765" s="3">
        <v>636</v>
      </c>
      <c r="K11765" s="3">
        <v>908</v>
      </c>
      <c r="L11765" s="3">
        <v>6</v>
      </c>
      <c r="M11765" s="3">
        <v>95</v>
      </c>
    </row>
    <row r="11766" spans="1:13" x14ac:dyDescent="0.25">
      <c r="A11766" s="1" t="str">
        <f>HYPERLINK("http://www.rosaceae.org/Prunus/Prunus_persica/p.persica_gdr_reftransV1_0009490","p.persica_gdr_reftransV1_0009490")</f>
        <v>p.persica_gdr_reftransV1_0009490</v>
      </c>
      <c r="B11766" s="3">
        <v>3447</v>
      </c>
      <c r="C11766" s="1" t="str">
        <f>HYPERLINK("http://www.uniprot.org/uniprot/WDR3_HUMAN","WDR3_HUMAN")</f>
        <v>WDR3_HUMAN</v>
      </c>
      <c r="D11766" t="s">
        <v>8224</v>
      </c>
      <c r="E11766" s="3" t="s">
        <v>28</v>
      </c>
      <c r="F11766" s="4">
        <v>0</v>
      </c>
      <c r="G11766" s="3">
        <v>1652</v>
      </c>
      <c r="H11766" s="3">
        <v>40</v>
      </c>
      <c r="I11766" s="3">
        <v>950</v>
      </c>
      <c r="J11766" s="3">
        <v>633</v>
      </c>
      <c r="K11766" s="3">
        <v>3377</v>
      </c>
      <c r="L11766" s="3">
        <v>2</v>
      </c>
      <c r="M11766" s="3">
        <v>925</v>
      </c>
    </row>
    <row r="11767" spans="1:13" x14ac:dyDescent="0.25">
      <c r="A11767" s="1" t="str">
        <f>HYPERLINK("http://www.rosaceae.org/Prunus/Prunus_persica/p.persica_gdr_reftransV1_0009590","p.persica_gdr_reftransV1_0009590")</f>
        <v>p.persica_gdr_reftransV1_0009590</v>
      </c>
      <c r="B11767" s="3">
        <v>2184</v>
      </c>
      <c r="C11767" s="1" t="str">
        <f>HYPERLINK("http://www.uniprot.org/uniprot/Y5158_ARATH","Y5158_ARATH")</f>
        <v>Y5158_ARATH</v>
      </c>
      <c r="D11767" t="s">
        <v>2423</v>
      </c>
      <c r="E11767" s="3" t="s">
        <v>3</v>
      </c>
      <c r="F11767" s="4">
        <v>6.2699999999999996E-62</v>
      </c>
      <c r="G11767" s="3">
        <v>562</v>
      </c>
      <c r="H11767" s="3">
        <v>41</v>
      </c>
      <c r="I11767" s="3">
        <v>306</v>
      </c>
      <c r="J11767" s="3">
        <v>511</v>
      </c>
      <c r="K11767" s="3">
        <v>1401</v>
      </c>
      <c r="L11767" s="3">
        <v>128</v>
      </c>
      <c r="M11767" s="3">
        <v>429</v>
      </c>
    </row>
    <row r="11768" spans="1:13" x14ac:dyDescent="0.25">
      <c r="A11768" s="1" t="str">
        <f>HYPERLINK("http://www.rosaceae.org/Prunus/Prunus_persica/p.persica_gdr_reftransV1_0009640","p.persica_gdr_reftransV1_0009640")</f>
        <v>p.persica_gdr_reftransV1_0009640</v>
      </c>
      <c r="B11768" s="3">
        <v>1577</v>
      </c>
      <c r="C11768" s="1" t="str">
        <f>HYPERLINK("http://www.uniprot.org/uniprot/RHF2A_ARATH","RHF2A_ARATH")</f>
        <v>RHF2A_ARATH</v>
      </c>
      <c r="D11768" t="s">
        <v>4119</v>
      </c>
      <c r="E11768" s="3" t="s">
        <v>3</v>
      </c>
      <c r="F11768" s="4">
        <v>3.6499999999999999E-143</v>
      </c>
      <c r="G11768" s="3">
        <v>1090</v>
      </c>
      <c r="H11768" s="3">
        <v>63</v>
      </c>
      <c r="I11768" s="3">
        <v>389</v>
      </c>
      <c r="J11768" s="3">
        <v>204</v>
      </c>
      <c r="K11768" s="3">
        <v>1361</v>
      </c>
      <c r="L11768" s="3">
        <v>1</v>
      </c>
      <c r="M11768" s="3">
        <v>374</v>
      </c>
    </row>
    <row r="11769" spans="1:13" x14ac:dyDescent="0.25">
      <c r="A11769" s="1" t="str">
        <f>HYPERLINK("http://www.rosaceae.org/Prunus/Prunus_persica/p.persica_gdr_reftransV1_0009740","p.persica_gdr_reftransV1_0009740")</f>
        <v>p.persica_gdr_reftransV1_0009740</v>
      </c>
      <c r="B11769" s="3">
        <v>741</v>
      </c>
      <c r="C11769" s="1" t="str">
        <f>HYPERLINK("http://www.uniprot.org/uniprot/AB10C_ARATH","AB10C_ARATH")</f>
        <v>AB10C_ARATH</v>
      </c>
      <c r="D11769" t="s">
        <v>1068</v>
      </c>
      <c r="E11769" s="3" t="s">
        <v>3</v>
      </c>
      <c r="F11769" s="4">
        <v>1.04E-72</v>
      </c>
      <c r="G11769" s="3">
        <v>629</v>
      </c>
      <c r="H11769" s="3">
        <v>80</v>
      </c>
      <c r="I11769" s="3">
        <v>142</v>
      </c>
      <c r="J11769" s="3">
        <v>315</v>
      </c>
      <c r="K11769" s="3">
        <v>740</v>
      </c>
      <c r="L11769" s="3">
        <v>1309</v>
      </c>
      <c r="M11769" s="3">
        <v>1450</v>
      </c>
    </row>
    <row r="11770" spans="1:13" x14ac:dyDescent="0.25">
      <c r="A11770" s="1" t="str">
        <f>HYPERLINK("http://www.rosaceae.org/Prunus/Prunus_persica/p.persica_gdr_reftransV1_0009840","p.persica_gdr_reftransV1_0009840")</f>
        <v>p.persica_gdr_reftransV1_0009840</v>
      </c>
      <c r="B11770" s="3">
        <v>1554</v>
      </c>
      <c r="C11770" s="1" t="str">
        <f>HYPERLINK("http://www.uniprot.org/uniprot/D27_ARATH","D27_ARATH")</f>
        <v>D27_ARATH</v>
      </c>
      <c r="D11770" t="s">
        <v>2671</v>
      </c>
      <c r="E11770" s="3" t="s">
        <v>3</v>
      </c>
      <c r="F11770" s="4">
        <v>1.1200000000000001E-40</v>
      </c>
      <c r="G11770" s="3">
        <v>384</v>
      </c>
      <c r="H11770" s="3">
        <v>38</v>
      </c>
      <c r="I11770" s="3">
        <v>220</v>
      </c>
      <c r="J11770" s="3">
        <v>436</v>
      </c>
      <c r="K11770" s="3">
        <v>1083</v>
      </c>
      <c r="L11770" s="3">
        <v>40</v>
      </c>
      <c r="M11770" s="3">
        <v>251</v>
      </c>
    </row>
    <row r="11771" spans="1:13" x14ac:dyDescent="0.25">
      <c r="A11771" s="1" t="str">
        <f>HYPERLINK("http://www.rosaceae.org/Prunus/Prunus_persica/p.persica_gdr_reftransV1_0009890","p.persica_gdr_reftransV1_0009890")</f>
        <v>p.persica_gdr_reftransV1_0009890</v>
      </c>
      <c r="B11771" s="3">
        <v>902</v>
      </c>
      <c r="C11771" s="1" t="str">
        <f>HYPERLINK("http://www.uniprot.org/uniprot/Y231_RICCO","Y231_RICCO")</f>
        <v>Y231_RICCO</v>
      </c>
      <c r="D11771" t="s">
        <v>8225</v>
      </c>
      <c r="E11771" s="3" t="s">
        <v>421</v>
      </c>
      <c r="F11771" s="4">
        <v>7.1600000000000002E-100</v>
      </c>
      <c r="G11771" s="3">
        <v>795</v>
      </c>
      <c r="H11771" s="3">
        <v>78</v>
      </c>
      <c r="I11771" s="3">
        <v>184</v>
      </c>
      <c r="J11771" s="3">
        <v>1</v>
      </c>
      <c r="K11771" s="3">
        <v>549</v>
      </c>
      <c r="L11771" s="3">
        <v>367</v>
      </c>
      <c r="M11771" s="3">
        <v>550</v>
      </c>
    </row>
    <row r="11772" spans="1:13" x14ac:dyDescent="0.25">
      <c r="A11772" s="1" t="str">
        <f>HYPERLINK("http://www.rosaceae.org/Prunus/Prunus_persica/p.persica_gdr_reftransV1_0009940","p.persica_gdr_reftransV1_0009940")</f>
        <v>p.persica_gdr_reftransV1_0009940</v>
      </c>
      <c r="B11772" s="3">
        <v>2780</v>
      </c>
      <c r="C11772" s="1" t="str">
        <f>HYPERLINK("http://www.uniprot.org/uniprot/Y5537_ARATH","Y5537_ARATH")</f>
        <v>Y5537_ARATH</v>
      </c>
      <c r="D11772" t="s">
        <v>8226</v>
      </c>
      <c r="E11772" s="3" t="s">
        <v>3</v>
      </c>
      <c r="F11772" s="4">
        <v>0</v>
      </c>
      <c r="G11772" s="3">
        <v>2344</v>
      </c>
      <c r="H11772" s="3">
        <v>57</v>
      </c>
      <c r="I11772" s="3">
        <v>852</v>
      </c>
      <c r="J11772" s="3">
        <v>280</v>
      </c>
      <c r="K11772" s="3">
        <v>2778</v>
      </c>
      <c r="L11772" s="3">
        <v>37</v>
      </c>
      <c r="M11772" s="3">
        <v>872</v>
      </c>
    </row>
    <row r="11773" spans="1:13" x14ac:dyDescent="0.25">
      <c r="A11773" s="1" t="str">
        <f>HYPERLINK("http://www.rosaceae.org/Prunus/Prunus_persica/p.persica_gdr_reftransV1_0010140","p.persica_gdr_reftransV1_0010140")</f>
        <v>p.persica_gdr_reftransV1_0010140</v>
      </c>
      <c r="B11773" s="3">
        <v>3778</v>
      </c>
      <c r="C11773" s="1" t="str">
        <f>HYPERLINK("http://www.uniprot.org/uniprot/CHR24_ARATH","CHR24_ARATH")</f>
        <v>CHR24_ARATH</v>
      </c>
      <c r="D11773" t="s">
        <v>5837</v>
      </c>
      <c r="E11773" s="3" t="s">
        <v>3</v>
      </c>
      <c r="F11773" s="4">
        <v>0</v>
      </c>
      <c r="G11773" s="3">
        <v>2674</v>
      </c>
      <c r="H11773" s="3">
        <v>71</v>
      </c>
      <c r="I11773" s="3">
        <v>739</v>
      </c>
      <c r="J11773" s="3">
        <v>323</v>
      </c>
      <c r="K11773" s="3">
        <v>2524</v>
      </c>
      <c r="L11773" s="3">
        <v>358</v>
      </c>
      <c r="M11773" s="3">
        <v>1088</v>
      </c>
    </row>
    <row r="11774" spans="1:13" x14ac:dyDescent="0.25">
      <c r="A11774" s="1" t="str">
        <f>HYPERLINK("http://www.rosaceae.org/Prunus/Prunus_persica/p.persica_gdr_reftransV1_0010190","p.persica_gdr_reftransV1_0010190")</f>
        <v>p.persica_gdr_reftransV1_0010190</v>
      </c>
      <c r="B11774" s="3">
        <v>3473</v>
      </c>
      <c r="C11774" s="1" t="str">
        <f>HYPERLINK("http://www.uniprot.org/uniprot/ATM_ARATH","ATM_ARATH")</f>
        <v>ATM_ARATH</v>
      </c>
      <c r="D11774" t="s">
        <v>2500</v>
      </c>
      <c r="E11774" s="3" t="s">
        <v>3</v>
      </c>
      <c r="F11774" s="4">
        <v>3.8099999999999998E-10</v>
      </c>
      <c r="G11774" s="3">
        <v>166</v>
      </c>
      <c r="H11774" s="3">
        <v>28</v>
      </c>
      <c r="I11774" s="3">
        <v>185</v>
      </c>
      <c r="J11774" s="3">
        <v>1702</v>
      </c>
      <c r="K11774" s="3">
        <v>2253</v>
      </c>
      <c r="L11774" s="3">
        <v>105</v>
      </c>
      <c r="M11774" s="3">
        <v>273</v>
      </c>
    </row>
    <row r="11775" spans="1:13" x14ac:dyDescent="0.25">
      <c r="A11775" s="1" t="str">
        <f>HYPERLINK("http://www.rosaceae.org/Prunus/Prunus_persica/p.persica_gdr_reftransV1_0010590","p.persica_gdr_reftransV1_0010590")</f>
        <v>p.persica_gdr_reftransV1_0010590</v>
      </c>
      <c r="B11775" s="3">
        <v>916</v>
      </c>
      <c r="C11775" s="1" t="str">
        <f>HYPERLINK("http://www.uniprot.org/uniprot/DRL27_ARATH","DRL27_ARATH")</f>
        <v>DRL27_ARATH</v>
      </c>
      <c r="D11775" t="s">
        <v>6709</v>
      </c>
      <c r="E11775" s="3" t="s">
        <v>3</v>
      </c>
      <c r="F11775" s="4">
        <v>1.92E-57</v>
      </c>
      <c r="G11775" s="3">
        <v>517</v>
      </c>
      <c r="H11775" s="3">
        <v>39</v>
      </c>
      <c r="I11775" s="3">
        <v>307</v>
      </c>
      <c r="J11775" s="3">
        <v>1</v>
      </c>
      <c r="K11775" s="3">
        <v>897</v>
      </c>
      <c r="L11775" s="3">
        <v>171</v>
      </c>
      <c r="M11775" s="3">
        <v>475</v>
      </c>
    </row>
    <row r="11776" spans="1:13" x14ac:dyDescent="0.25">
      <c r="A11776" s="1" t="str">
        <f>HYPERLINK("http://www.rosaceae.org/Prunus/Prunus_persica/p.persica_gdr_reftransV1_0010840","p.persica_gdr_reftransV1_0010840")</f>
        <v>p.persica_gdr_reftransV1_0010840</v>
      </c>
      <c r="B11776" s="3">
        <v>4385</v>
      </c>
      <c r="C11776" s="1" t="str">
        <f>HYPERLINK("http://www.uniprot.org/uniprot/SPA2_ARATH","SPA2_ARATH")</f>
        <v>SPA2_ARATH</v>
      </c>
      <c r="D11776" t="s">
        <v>8227</v>
      </c>
      <c r="E11776" s="3" t="s">
        <v>3</v>
      </c>
      <c r="F11776" s="4">
        <v>0</v>
      </c>
      <c r="G11776" s="3">
        <v>2515</v>
      </c>
      <c r="H11776" s="3">
        <v>51</v>
      </c>
      <c r="I11776" s="3">
        <v>1091</v>
      </c>
      <c r="J11776" s="3">
        <v>193</v>
      </c>
      <c r="K11776" s="3">
        <v>3420</v>
      </c>
      <c r="L11776" s="3">
        <v>2</v>
      </c>
      <c r="M11776" s="3">
        <v>1036</v>
      </c>
    </row>
    <row r="11777" spans="1:13" x14ac:dyDescent="0.25">
      <c r="A11777" s="1" t="str">
        <f>HYPERLINK("http://www.rosaceae.org/Prunus/Prunus_persica/p.persica_gdr_reftransV1_0011090","p.persica_gdr_reftransV1_0011090")</f>
        <v>p.persica_gdr_reftransV1_0011090</v>
      </c>
      <c r="B11777" s="3">
        <v>2570</v>
      </c>
      <c r="C11777" s="1" t="str">
        <f>HYPERLINK("http://www.uniprot.org/uniprot/SF3B2_HUMAN","SF3B2_HUMAN")</f>
        <v>SF3B2_HUMAN</v>
      </c>
      <c r="D11777" t="s">
        <v>8228</v>
      </c>
      <c r="E11777" s="3" t="s">
        <v>28</v>
      </c>
      <c r="F11777" s="4">
        <v>1.9699999999999999E-97</v>
      </c>
      <c r="G11777" s="3">
        <v>847</v>
      </c>
      <c r="H11777" s="3">
        <v>55</v>
      </c>
      <c r="I11777" s="3">
        <v>364</v>
      </c>
      <c r="J11777" s="3">
        <v>331</v>
      </c>
      <c r="K11777" s="3">
        <v>1362</v>
      </c>
      <c r="L11777" s="3">
        <v>511</v>
      </c>
      <c r="M11777" s="3">
        <v>865</v>
      </c>
    </row>
    <row r="11778" spans="1:13" x14ac:dyDescent="0.25">
      <c r="A11778" s="1" t="str">
        <f>HYPERLINK("http://www.rosaceae.org/Prunus/Prunus_persica/p.persica_gdr_reftransV1_0011140","p.persica_gdr_reftransV1_0011140")</f>
        <v>p.persica_gdr_reftransV1_0011140</v>
      </c>
      <c r="B11778" s="3">
        <v>1477</v>
      </c>
      <c r="C11778" s="1" t="str">
        <f>HYPERLINK("http://www.uniprot.org/uniprot/PP272_ARATH","PP272_ARATH")</f>
        <v>PP272_ARATH</v>
      </c>
      <c r="D11778" t="s">
        <v>658</v>
      </c>
      <c r="E11778" s="3" t="s">
        <v>3</v>
      </c>
      <c r="F11778" s="4">
        <v>0</v>
      </c>
      <c r="G11778" s="3">
        <v>1449</v>
      </c>
      <c r="H11778" s="3">
        <v>64</v>
      </c>
      <c r="I11778" s="3">
        <v>423</v>
      </c>
      <c r="J11778" s="3">
        <v>220</v>
      </c>
      <c r="K11778" s="3">
        <v>1476</v>
      </c>
      <c r="L11778" s="3">
        <v>428</v>
      </c>
      <c r="M11778" s="3">
        <v>850</v>
      </c>
    </row>
    <row r="11779" spans="1:13" x14ac:dyDescent="0.25">
      <c r="A11779" s="1" t="str">
        <f>HYPERLINK("http://www.rosaceae.org/Prunus/Prunus_persica/p.persica_gdr_reftransV1_0011290","p.persica_gdr_reftransV1_0011290")</f>
        <v>p.persica_gdr_reftransV1_0011290</v>
      </c>
      <c r="B11779" s="3">
        <v>2008</v>
      </c>
      <c r="C11779" s="1" t="str">
        <f>HYPERLINK("http://www.uniprot.org/uniprot/RMD5A_XENLA","RMD5A_XENLA")</f>
        <v>RMD5A_XENLA</v>
      </c>
      <c r="D11779" t="s">
        <v>3695</v>
      </c>
      <c r="E11779" s="3" t="s">
        <v>475</v>
      </c>
      <c r="F11779" s="4">
        <v>3.2000000000000001E-60</v>
      </c>
      <c r="G11779" s="3">
        <v>540</v>
      </c>
      <c r="H11779" s="3">
        <v>36</v>
      </c>
      <c r="I11779" s="3">
        <v>324</v>
      </c>
      <c r="J11779" s="3">
        <v>680</v>
      </c>
      <c r="K11779" s="3">
        <v>1627</v>
      </c>
      <c r="L11779" s="3">
        <v>72</v>
      </c>
      <c r="M11779" s="3">
        <v>391</v>
      </c>
    </row>
    <row r="11780" spans="1:13" x14ac:dyDescent="0.25">
      <c r="A11780" s="1" t="str">
        <f>HYPERLINK("http://www.rosaceae.org/Prunus/Prunus_persica/p.persica_gdr_reftransV1_0011490","p.persica_gdr_reftransV1_0011490")</f>
        <v>p.persica_gdr_reftransV1_0011490</v>
      </c>
      <c r="B11780" s="3">
        <v>645</v>
      </c>
      <c r="C11780" s="1" t="str">
        <f>HYPERLINK("http://www.uniprot.org/uniprot/BRL2_ARATH","BRL2_ARATH")</f>
        <v>BRL2_ARATH</v>
      </c>
      <c r="D11780" t="s">
        <v>3231</v>
      </c>
      <c r="E11780" s="3" t="s">
        <v>3</v>
      </c>
      <c r="F11780" s="4">
        <v>2.5100000000000001E-18</v>
      </c>
      <c r="G11780" s="3">
        <v>217</v>
      </c>
      <c r="H11780" s="3">
        <v>39</v>
      </c>
      <c r="I11780" s="3">
        <v>140</v>
      </c>
      <c r="J11780" s="3">
        <v>3</v>
      </c>
      <c r="K11780" s="3">
        <v>419</v>
      </c>
      <c r="L11780" s="3">
        <v>636</v>
      </c>
      <c r="M11780" s="3">
        <v>771</v>
      </c>
    </row>
    <row r="11781" spans="1:13" x14ac:dyDescent="0.25">
      <c r="A11781" s="1" t="str">
        <f>HYPERLINK("http://www.rosaceae.org/Prunus/Prunus_persica/p.persica_gdr_reftransV1_0011540","p.persica_gdr_reftransV1_0011540")</f>
        <v>p.persica_gdr_reftransV1_0011540</v>
      </c>
      <c r="B11781" s="3">
        <v>4431</v>
      </c>
      <c r="C11781" s="1" t="str">
        <f>HYPERLINK("http://www.uniprot.org/uniprot/MPK19_ARATH","MPK19_ARATH")</f>
        <v>MPK19_ARATH</v>
      </c>
      <c r="D11781" t="s">
        <v>8229</v>
      </c>
      <c r="E11781" s="3" t="s">
        <v>3</v>
      </c>
      <c r="F11781" s="4">
        <v>3E-158</v>
      </c>
      <c r="G11781" s="3">
        <v>1283</v>
      </c>
      <c r="H11781" s="3">
        <v>71</v>
      </c>
      <c r="I11781" s="3">
        <v>405</v>
      </c>
      <c r="J11781" s="3">
        <v>1607</v>
      </c>
      <c r="K11781" s="3">
        <v>2812</v>
      </c>
      <c r="L11781" s="3">
        <v>205</v>
      </c>
      <c r="M11781" s="3">
        <v>595</v>
      </c>
    </row>
    <row r="11782" spans="1:13" x14ac:dyDescent="0.25">
      <c r="A11782" s="1" t="str">
        <f>HYPERLINK("http://www.rosaceae.org/Prunus/Prunus_persica/p.persica_gdr_reftransV1_0011690","p.persica_gdr_reftransV1_0011690")</f>
        <v>p.persica_gdr_reftransV1_0011690</v>
      </c>
      <c r="B11782" s="3">
        <v>2302</v>
      </c>
      <c r="C11782" s="1" t="str">
        <f>HYPERLINK("http://www.uniprot.org/uniprot/TCP13_ARATH","TCP13_ARATH")</f>
        <v>TCP13_ARATH</v>
      </c>
      <c r="D11782" t="s">
        <v>8230</v>
      </c>
      <c r="E11782" s="3" t="s">
        <v>3</v>
      </c>
      <c r="F11782" s="4">
        <v>2.6400000000000002E-37</v>
      </c>
      <c r="G11782" s="3">
        <v>372</v>
      </c>
      <c r="H11782" s="3">
        <v>88</v>
      </c>
      <c r="I11782" s="3">
        <v>75</v>
      </c>
      <c r="J11782" s="3">
        <v>1229</v>
      </c>
      <c r="K11782" s="3">
        <v>1453</v>
      </c>
      <c r="L11782" s="3">
        <v>57</v>
      </c>
      <c r="M11782" s="3">
        <v>131</v>
      </c>
    </row>
    <row r="11783" spans="1:13" x14ac:dyDescent="0.25">
      <c r="A11783" s="1" t="str">
        <f>HYPERLINK("http://www.rosaceae.org/Prunus/Prunus_persica/p.persica_gdr_reftransV1_0011740","p.persica_gdr_reftransV1_0011740")</f>
        <v>p.persica_gdr_reftransV1_0011740</v>
      </c>
      <c r="B11783" s="3">
        <v>2244</v>
      </c>
      <c r="C11783" s="1" t="str">
        <f>HYPERLINK("http://www.uniprot.org/uniprot/GONS3_ARATH","GONS3_ARATH")</f>
        <v>GONS3_ARATH</v>
      </c>
      <c r="D11783" t="s">
        <v>8231</v>
      </c>
      <c r="E11783" s="3" t="s">
        <v>3</v>
      </c>
      <c r="F11783" s="4">
        <v>1.8100000000000001E-161</v>
      </c>
      <c r="G11783" s="3">
        <v>1232</v>
      </c>
      <c r="H11783" s="3">
        <v>85</v>
      </c>
      <c r="I11783" s="3">
        <v>317</v>
      </c>
      <c r="J11783" s="3">
        <v>484</v>
      </c>
      <c r="K11783" s="3">
        <v>1434</v>
      </c>
      <c r="L11783" s="3">
        <v>23</v>
      </c>
      <c r="M11783" s="3">
        <v>339</v>
      </c>
    </row>
    <row r="11784" spans="1:13" x14ac:dyDescent="0.25">
      <c r="A11784" s="1" t="str">
        <f>HYPERLINK("http://www.rosaceae.org/Prunus/Prunus_persica/p.persica_gdr_reftransV1_0011790","p.persica_gdr_reftransV1_0011790")</f>
        <v>p.persica_gdr_reftransV1_0011790</v>
      </c>
      <c r="B11784" s="3">
        <v>1346</v>
      </c>
      <c r="C11784" s="1" t="str">
        <f>HYPERLINK("http://www.uniprot.org/uniprot/PERK2_ARATH","PERK2_ARATH")</f>
        <v>PERK2_ARATH</v>
      </c>
      <c r="D11784" t="s">
        <v>1156</v>
      </c>
      <c r="E11784" s="3" t="s">
        <v>3</v>
      </c>
      <c r="F11784" s="4">
        <v>1.4400000000000001E-79</v>
      </c>
      <c r="G11784" s="3">
        <v>682</v>
      </c>
      <c r="H11784" s="3">
        <v>44</v>
      </c>
      <c r="I11784" s="3">
        <v>290</v>
      </c>
      <c r="J11784" s="3">
        <v>401</v>
      </c>
      <c r="K11784" s="3">
        <v>1255</v>
      </c>
      <c r="L11784" s="3">
        <v>341</v>
      </c>
      <c r="M11784" s="3">
        <v>629</v>
      </c>
    </row>
    <row r="11785" spans="1:13" x14ac:dyDescent="0.25">
      <c r="A11785" s="1" t="str">
        <f>HYPERLINK("http://www.rosaceae.org/Prunus/Prunus_persica/p.persica_gdr_reftransV1_0011940","p.persica_gdr_reftransV1_0011940")</f>
        <v>p.persica_gdr_reftransV1_0011940</v>
      </c>
      <c r="B11785" s="3">
        <v>3043</v>
      </c>
      <c r="C11785" s="1" t="str">
        <f>HYPERLINK("http://www.uniprot.org/uniprot/SM3L1_ARATH","SM3L1_ARATH")</f>
        <v>SM3L1_ARATH</v>
      </c>
      <c r="D11785" t="s">
        <v>1855</v>
      </c>
      <c r="E11785" s="3" t="s">
        <v>3</v>
      </c>
      <c r="F11785" s="4">
        <v>0</v>
      </c>
      <c r="G11785" s="3">
        <v>2901</v>
      </c>
      <c r="H11785" s="3">
        <v>68</v>
      </c>
      <c r="I11785" s="3">
        <v>854</v>
      </c>
      <c r="J11785" s="3">
        <v>230</v>
      </c>
      <c r="K11785" s="3">
        <v>2779</v>
      </c>
      <c r="L11785" s="3">
        <v>56</v>
      </c>
      <c r="M11785" s="3">
        <v>881</v>
      </c>
    </row>
    <row r="11786" spans="1:13" x14ac:dyDescent="0.25">
      <c r="A11786" s="1" t="str">
        <f>HYPERLINK("http://www.rosaceae.org/Prunus/Prunus_persica/p.persica_gdr_reftransV1_0011990","p.persica_gdr_reftransV1_0011990")</f>
        <v>p.persica_gdr_reftransV1_0011990</v>
      </c>
      <c r="B11786" s="3">
        <v>2482</v>
      </c>
      <c r="C11786" s="1" t="str">
        <f>HYPERLINK("http://www.uniprot.org/uniprot/SAPK7_ORYSJ","SAPK7_ORYSJ")</f>
        <v>SAPK7_ORYSJ</v>
      </c>
      <c r="D11786" t="s">
        <v>8232</v>
      </c>
      <c r="E11786" s="3" t="s">
        <v>38</v>
      </c>
      <c r="F11786" s="4">
        <v>2.3400000000000001E-53</v>
      </c>
      <c r="G11786" s="3">
        <v>492</v>
      </c>
      <c r="H11786" s="3">
        <v>80</v>
      </c>
      <c r="I11786" s="3">
        <v>118</v>
      </c>
      <c r="J11786" s="3">
        <v>554</v>
      </c>
      <c r="K11786" s="3">
        <v>907</v>
      </c>
      <c r="L11786" s="3">
        <v>1</v>
      </c>
      <c r="M11786" s="3">
        <v>118</v>
      </c>
    </row>
    <row r="11787" spans="1:13" x14ac:dyDescent="0.25">
      <c r="A11787" s="1" t="str">
        <f>HYPERLINK("http://www.rosaceae.org/Prunus/Prunus_persica/p.persica_gdr_reftransV1_0012040","p.persica_gdr_reftransV1_0012040")</f>
        <v>p.persica_gdr_reftransV1_0012040</v>
      </c>
      <c r="B11787" s="3">
        <v>3011</v>
      </c>
      <c r="C11787" s="1" t="str">
        <f>HYPERLINK("http://www.uniprot.org/uniprot/Y2559_ARATH","Y2559_ARATH")</f>
        <v>Y2559_ARATH</v>
      </c>
      <c r="D11787" t="s">
        <v>2669</v>
      </c>
      <c r="E11787" s="3" t="s">
        <v>3</v>
      </c>
      <c r="F11787" s="4">
        <v>4.7500000000000002E-179</v>
      </c>
      <c r="G11787" s="3">
        <v>1401</v>
      </c>
      <c r="H11787" s="3">
        <v>57</v>
      </c>
      <c r="I11787" s="3">
        <v>665</v>
      </c>
      <c r="J11787" s="3">
        <v>874</v>
      </c>
      <c r="K11787" s="3">
        <v>2793</v>
      </c>
      <c r="L11787" s="3">
        <v>52</v>
      </c>
      <c r="M11787" s="3">
        <v>683</v>
      </c>
    </row>
    <row r="11788" spans="1:13" x14ac:dyDescent="0.25">
      <c r="A11788" s="1" t="str">
        <f>HYPERLINK("http://www.rosaceae.org/Prunus/Prunus_persica/p.persica_gdr_reftransV1_0012090","p.persica_gdr_reftransV1_0012090")</f>
        <v>p.persica_gdr_reftransV1_0012090</v>
      </c>
      <c r="B11788" s="3">
        <v>1506</v>
      </c>
      <c r="C11788" s="1" t="str">
        <f>HYPERLINK("http://www.uniprot.org/uniprot/CSA1_ARATH","CSA1_ARATH")</f>
        <v>CSA1_ARATH</v>
      </c>
      <c r="D11788" t="s">
        <v>3569</v>
      </c>
      <c r="E11788" s="3" t="s">
        <v>3</v>
      </c>
      <c r="F11788" s="4">
        <v>9.7299999999999999E-23</v>
      </c>
      <c r="G11788" s="3">
        <v>264</v>
      </c>
      <c r="H11788" s="3">
        <v>28</v>
      </c>
      <c r="I11788" s="3">
        <v>401</v>
      </c>
      <c r="J11788" s="3">
        <v>3</v>
      </c>
      <c r="K11788" s="3">
        <v>1154</v>
      </c>
      <c r="L11788" s="3">
        <v>666</v>
      </c>
      <c r="M11788" s="3">
        <v>1026</v>
      </c>
    </row>
    <row r="11789" spans="1:13" x14ac:dyDescent="0.25">
      <c r="A11789" s="1" t="str">
        <f>HYPERLINK("http://www.rosaceae.org/Prunus/Prunus_persica/p.persica_gdr_reftransV1_0012190","p.persica_gdr_reftransV1_0012190")</f>
        <v>p.persica_gdr_reftransV1_0012190</v>
      </c>
      <c r="B11789" s="3">
        <v>1154</v>
      </c>
      <c r="C11789" s="1" t="str">
        <f>HYPERLINK("http://www.uniprot.org/uniprot/GLNB_ARATH","GLNB_ARATH")</f>
        <v>GLNB_ARATH</v>
      </c>
      <c r="D11789" t="s">
        <v>4097</v>
      </c>
      <c r="E11789" s="3" t="s">
        <v>3</v>
      </c>
      <c r="F11789" s="4">
        <v>1.18E-70</v>
      </c>
      <c r="G11789" s="3">
        <v>577</v>
      </c>
      <c r="H11789" s="3">
        <v>87</v>
      </c>
      <c r="I11789" s="3">
        <v>124</v>
      </c>
      <c r="J11789" s="3">
        <v>427</v>
      </c>
      <c r="K11789" s="3">
        <v>798</v>
      </c>
      <c r="L11789" s="3">
        <v>67</v>
      </c>
      <c r="M11789" s="3">
        <v>190</v>
      </c>
    </row>
    <row r="11790" spans="1:13" x14ac:dyDescent="0.25">
      <c r="A11790" s="1" t="str">
        <f>HYPERLINK("http://www.rosaceae.org/Prunus/Prunus_persica/p.persica_gdr_reftransV1_0012240","p.persica_gdr_reftransV1_0012240")</f>
        <v>p.persica_gdr_reftransV1_0012240</v>
      </c>
      <c r="B11790" s="3">
        <v>3371</v>
      </c>
      <c r="C11790" s="1" t="str">
        <f>HYPERLINK("http://www.uniprot.org/uniprot/AAP3_ARATH","AAP3_ARATH")</f>
        <v>AAP3_ARATH</v>
      </c>
      <c r="D11790" t="s">
        <v>1759</v>
      </c>
      <c r="E11790" s="3" t="s">
        <v>3</v>
      </c>
      <c r="F11790" s="4">
        <v>1.9699999999999999E-100</v>
      </c>
      <c r="G11790" s="3">
        <v>681</v>
      </c>
      <c r="H11790" s="3">
        <v>63</v>
      </c>
      <c r="I11790" s="3">
        <v>195</v>
      </c>
      <c r="J11790" s="3">
        <v>2203</v>
      </c>
      <c r="K11790" s="3">
        <v>2781</v>
      </c>
      <c r="L11790" s="3">
        <v>142</v>
      </c>
      <c r="M11790" s="3">
        <v>336</v>
      </c>
    </row>
    <row r="11791" spans="1:13" x14ac:dyDescent="0.25">
      <c r="A11791" s="1" t="str">
        <f>HYPERLINK("http://www.rosaceae.org/Prunus/Prunus_persica/p.persica_gdr_reftransV1_0012290","p.persica_gdr_reftransV1_0012290")</f>
        <v>p.persica_gdr_reftransV1_0012290</v>
      </c>
      <c r="B11791" s="3">
        <v>2401</v>
      </c>
      <c r="C11791" s="1" t="str">
        <f>HYPERLINK("http://www.uniprot.org/uniprot/TRE1_ARATH","TRE1_ARATH")</f>
        <v>TRE1_ARATH</v>
      </c>
      <c r="D11791" t="s">
        <v>8233</v>
      </c>
      <c r="E11791" s="3" t="s">
        <v>3</v>
      </c>
      <c r="F11791" s="4">
        <v>0</v>
      </c>
      <c r="G11791" s="3">
        <v>1796</v>
      </c>
      <c r="H11791" s="3">
        <v>60</v>
      </c>
      <c r="I11791" s="3">
        <v>569</v>
      </c>
      <c r="J11791" s="3">
        <v>515</v>
      </c>
      <c r="K11791" s="3">
        <v>2209</v>
      </c>
      <c r="L11791" s="3">
        <v>60</v>
      </c>
      <c r="M11791" s="3">
        <v>626</v>
      </c>
    </row>
    <row r="11792" spans="1:13" x14ac:dyDescent="0.25">
      <c r="A11792" s="1" t="str">
        <f>HYPERLINK("http://www.rosaceae.org/Prunus/Prunus_persica/p.persica_gdr_reftransV1_0012490","p.persica_gdr_reftransV1_0012490")</f>
        <v>p.persica_gdr_reftransV1_0012490</v>
      </c>
      <c r="B11792" s="3">
        <v>734</v>
      </c>
      <c r="C11792" s="1" t="str">
        <f>HYPERLINK("http://www.uniprot.org/uniprot/GLTP1_ARATH","GLTP1_ARATH")</f>
        <v>GLTP1_ARATH</v>
      </c>
      <c r="D11792" t="s">
        <v>6141</v>
      </c>
      <c r="E11792" s="3" t="s">
        <v>3</v>
      </c>
      <c r="F11792" s="4">
        <v>1.85E-93</v>
      </c>
      <c r="G11792" s="3">
        <v>715</v>
      </c>
      <c r="H11792" s="3">
        <v>65</v>
      </c>
      <c r="I11792" s="3">
        <v>200</v>
      </c>
      <c r="J11792" s="3">
        <v>39</v>
      </c>
      <c r="K11792" s="3">
        <v>638</v>
      </c>
      <c r="L11792" s="3">
        <v>3</v>
      </c>
      <c r="M11792" s="3">
        <v>201</v>
      </c>
    </row>
    <row r="11793" spans="1:13" x14ac:dyDescent="0.25">
      <c r="A11793" s="1" t="str">
        <f>HYPERLINK("http://www.rosaceae.org/Prunus/Prunus_persica/p.persica_gdr_reftransV1_0012690","p.persica_gdr_reftransV1_0012690")</f>
        <v>p.persica_gdr_reftransV1_0012690</v>
      </c>
      <c r="B11793" s="3">
        <v>1594</v>
      </c>
      <c r="C11793" s="1" t="str">
        <f>HYPERLINK("http://www.uniprot.org/uniprot/BBX21_ARATH","BBX21_ARATH")</f>
        <v>BBX21_ARATH</v>
      </c>
      <c r="D11793" t="s">
        <v>3746</v>
      </c>
      <c r="E11793" s="3" t="s">
        <v>3</v>
      </c>
      <c r="F11793" s="4">
        <v>4.0699999999999998E-75</v>
      </c>
      <c r="G11793" s="3">
        <v>630</v>
      </c>
      <c r="H11793" s="3">
        <v>44</v>
      </c>
      <c r="I11793" s="3">
        <v>345</v>
      </c>
      <c r="J11793" s="3">
        <v>306</v>
      </c>
      <c r="K11793" s="3">
        <v>1211</v>
      </c>
      <c r="L11793" s="3">
        <v>1</v>
      </c>
      <c r="M11793" s="3">
        <v>325</v>
      </c>
    </row>
    <row r="11794" spans="1:13" x14ac:dyDescent="0.25">
      <c r="A11794" s="1" t="str">
        <f>HYPERLINK("http://www.rosaceae.org/Prunus/Prunus_persica/p.persica_gdr_reftransV1_0012940","p.persica_gdr_reftransV1_0012940")</f>
        <v>p.persica_gdr_reftransV1_0012940</v>
      </c>
      <c r="B11794" s="3">
        <v>1208</v>
      </c>
      <c r="C11794" s="1" t="str">
        <f>HYPERLINK("http://www.uniprot.org/uniprot/HSPC2_RICFE","HSPC2_RICFE")</f>
        <v>HSPC2_RICFE</v>
      </c>
      <c r="D11794" t="s">
        <v>8234</v>
      </c>
      <c r="E11794" s="3" t="s">
        <v>6239</v>
      </c>
      <c r="F11794" s="4">
        <v>2.5899999999999999E-15</v>
      </c>
      <c r="G11794" s="3">
        <v>188</v>
      </c>
      <c r="H11794" s="3">
        <v>39</v>
      </c>
      <c r="I11794" s="3">
        <v>109</v>
      </c>
      <c r="J11794" s="3">
        <v>387</v>
      </c>
      <c r="K11794" s="3">
        <v>713</v>
      </c>
      <c r="L11794" s="3">
        <v>43</v>
      </c>
      <c r="M11794" s="3">
        <v>141</v>
      </c>
    </row>
    <row r="11795" spans="1:13" x14ac:dyDescent="0.25">
      <c r="A11795" s="1" t="str">
        <f>HYPERLINK("http://www.rosaceae.org/Prunus/Prunus_persica/p.persica_gdr_reftransV1_0013190","p.persica_gdr_reftransV1_0013190")</f>
        <v>p.persica_gdr_reftransV1_0013190</v>
      </c>
      <c r="B11795" s="3">
        <v>2044</v>
      </c>
      <c r="C11795" s="1" t="str">
        <f>HYPERLINK("http://www.uniprot.org/uniprot/RETOL_ARATH","RETOL_ARATH")</f>
        <v>RETOL_ARATH</v>
      </c>
      <c r="D11795" t="s">
        <v>4918</v>
      </c>
      <c r="E11795" s="3" t="s">
        <v>3</v>
      </c>
      <c r="F11795" s="4">
        <v>0</v>
      </c>
      <c r="G11795" s="3">
        <v>1649</v>
      </c>
      <c r="H11795" s="3">
        <v>65</v>
      </c>
      <c r="I11795" s="3">
        <v>510</v>
      </c>
      <c r="J11795" s="3">
        <v>217</v>
      </c>
      <c r="K11795" s="3">
        <v>1740</v>
      </c>
      <c r="L11795" s="3">
        <v>32</v>
      </c>
      <c r="M11795" s="3">
        <v>536</v>
      </c>
    </row>
    <row r="11796" spans="1:13" x14ac:dyDescent="0.25">
      <c r="A11796" s="1" t="str">
        <f>HYPERLINK("http://www.rosaceae.org/Prunus/Prunus_persica/p.persica_gdr_reftransV1_0013340","p.persica_gdr_reftransV1_0013340")</f>
        <v>p.persica_gdr_reftransV1_0013340</v>
      </c>
      <c r="B11796" s="3">
        <v>2693</v>
      </c>
      <c r="C11796" s="1" t="str">
        <f>HYPERLINK("http://www.uniprot.org/uniprot/RNS2_ARATH","RNS2_ARATH")</f>
        <v>RNS2_ARATH</v>
      </c>
      <c r="D11796" t="s">
        <v>8235</v>
      </c>
      <c r="E11796" s="3" t="s">
        <v>3</v>
      </c>
      <c r="F11796" s="4">
        <v>1.29E-42</v>
      </c>
      <c r="G11796" s="3">
        <v>407</v>
      </c>
      <c r="H11796" s="3">
        <v>65</v>
      </c>
      <c r="I11796" s="3">
        <v>118</v>
      </c>
      <c r="J11796" s="3">
        <v>1346</v>
      </c>
      <c r="K11796" s="3">
        <v>1699</v>
      </c>
      <c r="L11796" s="3">
        <v>131</v>
      </c>
      <c r="M11796" s="3">
        <v>243</v>
      </c>
    </row>
    <row r="11797" spans="1:13" x14ac:dyDescent="0.25">
      <c r="A11797" s="1" t="str">
        <f>HYPERLINK("http://www.rosaceae.org/Prunus/Prunus_persica/p.persica_gdr_reftransV1_0013390","p.persica_gdr_reftransV1_0013390")</f>
        <v>p.persica_gdr_reftransV1_0013390</v>
      </c>
      <c r="B11797" s="3">
        <v>3004</v>
      </c>
      <c r="C11797" s="1" t="str">
        <f>HYPERLINK("http://www.uniprot.org/uniprot/RK10_ARATH","RK10_ARATH")</f>
        <v>RK10_ARATH</v>
      </c>
      <c r="D11797" t="s">
        <v>4834</v>
      </c>
      <c r="E11797" s="3" t="s">
        <v>3</v>
      </c>
      <c r="F11797" s="4">
        <v>2.8300000000000001E-96</v>
      </c>
      <c r="G11797" s="3">
        <v>792</v>
      </c>
      <c r="H11797" s="3">
        <v>72</v>
      </c>
      <c r="I11797" s="3">
        <v>199</v>
      </c>
      <c r="J11797" s="3">
        <v>386</v>
      </c>
      <c r="K11797" s="3">
        <v>976</v>
      </c>
      <c r="L11797" s="3">
        <v>22</v>
      </c>
      <c r="M11797" s="3">
        <v>220</v>
      </c>
    </row>
    <row r="11798" spans="1:13" x14ac:dyDescent="0.25">
      <c r="A11798" s="1" t="str">
        <f>HYPERLINK("http://www.rosaceae.org/Prunus/Prunus_persica/p.persica_gdr_reftransV1_0013540","p.persica_gdr_reftransV1_0013540")</f>
        <v>p.persica_gdr_reftransV1_0013540</v>
      </c>
      <c r="B11798" s="3">
        <v>2461</v>
      </c>
      <c r="C11798" s="1" t="str">
        <f>HYPERLINK("http://www.uniprot.org/uniprot/C70B1_ARATH","C70B1_ARATH")</f>
        <v>C70B1_ARATH</v>
      </c>
      <c r="D11798" t="s">
        <v>8236</v>
      </c>
      <c r="E11798" s="3" t="s">
        <v>3</v>
      </c>
      <c r="F11798" s="4">
        <v>9.7999999999999999E-136</v>
      </c>
      <c r="G11798" s="3">
        <v>1080</v>
      </c>
      <c r="H11798" s="3">
        <v>68</v>
      </c>
      <c r="I11798" s="3">
        <v>307</v>
      </c>
      <c r="J11798" s="3">
        <v>315</v>
      </c>
      <c r="K11798" s="3">
        <v>1235</v>
      </c>
      <c r="L11798" s="3">
        <v>269</v>
      </c>
      <c r="M11798" s="3">
        <v>523</v>
      </c>
    </row>
    <row r="11799" spans="1:13" x14ac:dyDescent="0.25">
      <c r="A11799" s="1" t="str">
        <f>HYPERLINK("http://www.rosaceae.org/Prunus/Prunus_persica/p.persica_gdr_reftransV1_0013640","p.persica_gdr_reftransV1_0013640")</f>
        <v>p.persica_gdr_reftransV1_0013640</v>
      </c>
      <c r="B11799" s="3">
        <v>1386</v>
      </c>
      <c r="C11799" s="1" t="str">
        <f>HYPERLINK("http://www.uniprot.org/uniprot/R13L1_ARATH","R13L1_ARATH")</f>
        <v>R13L1_ARATH</v>
      </c>
      <c r="D11799" t="s">
        <v>100</v>
      </c>
      <c r="E11799" s="3" t="s">
        <v>3</v>
      </c>
      <c r="F11799" s="4">
        <v>3.6800000000000002E-10</v>
      </c>
      <c r="G11799" s="3">
        <v>160</v>
      </c>
      <c r="H11799" s="3">
        <v>47</v>
      </c>
      <c r="I11799" s="3">
        <v>96</v>
      </c>
      <c r="J11799" s="3">
        <v>33</v>
      </c>
      <c r="K11799" s="3">
        <v>320</v>
      </c>
      <c r="L11799" s="3">
        <v>1</v>
      </c>
      <c r="M11799" s="3">
        <v>96</v>
      </c>
    </row>
    <row r="11800" spans="1:13" x14ac:dyDescent="0.25">
      <c r="A11800" s="1" t="str">
        <f>HYPERLINK("http://www.rosaceae.org/Prunus/Prunus_persica/p.persica_gdr_reftransV1_0013690","p.persica_gdr_reftransV1_0013690")</f>
        <v>p.persica_gdr_reftransV1_0013690</v>
      </c>
      <c r="B11800" s="3">
        <v>872</v>
      </c>
      <c r="C11800" s="1" t="str">
        <f>HYPERLINK("http://www.uniprot.org/uniprot/XTH22_ARATH","XTH22_ARATH")</f>
        <v>XTH22_ARATH</v>
      </c>
      <c r="D11800" t="s">
        <v>2156</v>
      </c>
      <c r="E11800" s="3" t="s">
        <v>3</v>
      </c>
      <c r="F11800" s="4">
        <v>3.25E-52</v>
      </c>
      <c r="G11800" s="3">
        <v>452</v>
      </c>
      <c r="H11800" s="3">
        <v>68</v>
      </c>
      <c r="I11800" s="3">
        <v>135</v>
      </c>
      <c r="J11800" s="3">
        <v>332</v>
      </c>
      <c r="K11800" s="3">
        <v>736</v>
      </c>
      <c r="L11800" s="3">
        <v>153</v>
      </c>
      <c r="M11800" s="3">
        <v>281</v>
      </c>
    </row>
    <row r="11801" spans="1:13" x14ac:dyDescent="0.25">
      <c r="A11801" s="1" t="str">
        <f>HYPERLINK("http://www.rosaceae.org/Prunus/Prunus_persica/p.persica_gdr_reftransV1_0013840","p.persica_gdr_reftransV1_0013840")</f>
        <v>p.persica_gdr_reftransV1_0013840</v>
      </c>
      <c r="B11801" s="3">
        <v>2514</v>
      </c>
      <c r="C11801" s="1" t="str">
        <f>HYPERLINK("http://www.uniprot.org/uniprot/ALN_ARATH","ALN_ARATH")</f>
        <v>ALN_ARATH</v>
      </c>
      <c r="D11801" t="s">
        <v>8237</v>
      </c>
      <c r="E11801" s="3" t="s">
        <v>3</v>
      </c>
      <c r="F11801" s="4">
        <v>7.1799999999999998E-107</v>
      </c>
      <c r="G11801" s="3">
        <v>507</v>
      </c>
      <c r="H11801" s="3">
        <v>66</v>
      </c>
      <c r="I11801" s="3">
        <v>147</v>
      </c>
      <c r="J11801" s="3">
        <v>1832</v>
      </c>
      <c r="K11801" s="3">
        <v>2269</v>
      </c>
      <c r="L11801" s="3">
        <v>358</v>
      </c>
      <c r="M11801" s="3">
        <v>504</v>
      </c>
    </row>
    <row r="11802" spans="1:13" x14ac:dyDescent="0.25">
      <c r="A11802" s="1" t="str">
        <f>HYPERLINK("http://www.rosaceae.org/Prunus/Prunus_persica/p.persica_gdr_reftransV1_0013940","p.persica_gdr_reftransV1_0013940")</f>
        <v>p.persica_gdr_reftransV1_0013940</v>
      </c>
      <c r="B11802" s="3">
        <v>2111</v>
      </c>
      <c r="C11802" s="1" t="str">
        <f>HYPERLINK("http://www.uniprot.org/uniprot/HPR3_ARATH","HPR3_ARATH")</f>
        <v>HPR3_ARATH</v>
      </c>
      <c r="D11802" t="s">
        <v>8238</v>
      </c>
      <c r="E11802" s="3" t="s">
        <v>3</v>
      </c>
      <c r="F11802" s="4">
        <v>1.1599999999999999E-98</v>
      </c>
      <c r="G11802" s="3">
        <v>802</v>
      </c>
      <c r="H11802" s="3">
        <v>55</v>
      </c>
      <c r="I11802" s="3">
        <v>319</v>
      </c>
      <c r="J11802" s="3">
        <v>642</v>
      </c>
      <c r="K11802" s="3">
        <v>1589</v>
      </c>
      <c r="L11802" s="3">
        <v>5</v>
      </c>
      <c r="M11802" s="3">
        <v>319</v>
      </c>
    </row>
    <row r="11803" spans="1:13" x14ac:dyDescent="0.25">
      <c r="A11803" s="1" t="str">
        <f>HYPERLINK("http://www.rosaceae.org/Prunus/Prunus_persica/p.persica_gdr_reftransV1_0013990","p.persica_gdr_reftransV1_0013990")</f>
        <v>p.persica_gdr_reftransV1_0013990</v>
      </c>
      <c r="B11803" s="3">
        <v>881</v>
      </c>
      <c r="C11803" s="1" t="str">
        <f>HYPERLINK("http://www.uniprot.org/uniprot/ATL70_ARATH","ATL70_ARATH")</f>
        <v>ATL70_ARATH</v>
      </c>
      <c r="D11803" t="s">
        <v>8239</v>
      </c>
      <c r="E11803" s="3" t="s">
        <v>3</v>
      </c>
      <c r="F11803" s="4">
        <v>1.6800000000000001E-26</v>
      </c>
      <c r="G11803" s="3">
        <v>270</v>
      </c>
      <c r="H11803" s="3">
        <v>47</v>
      </c>
      <c r="I11803" s="3">
        <v>146</v>
      </c>
      <c r="J11803" s="3">
        <v>286</v>
      </c>
      <c r="K11803" s="3">
        <v>678</v>
      </c>
      <c r="L11803" s="3">
        <v>53</v>
      </c>
      <c r="M11803" s="3">
        <v>193</v>
      </c>
    </row>
    <row r="11804" spans="1:13" x14ac:dyDescent="0.25">
      <c r="A11804" s="1" t="str">
        <f>HYPERLINK("http://www.rosaceae.org/Prunus/Prunus_persica/p.persica_gdr_reftransV1_0014290","p.persica_gdr_reftransV1_0014290")</f>
        <v>p.persica_gdr_reftransV1_0014290</v>
      </c>
      <c r="B11804" s="3">
        <v>674</v>
      </c>
      <c r="C11804" s="1" t="str">
        <f>HYPERLINK("http://www.uniprot.org/uniprot/PP258_ARATH","PP258_ARATH")</f>
        <v>PP258_ARATH</v>
      </c>
      <c r="D11804" t="s">
        <v>45</v>
      </c>
      <c r="E11804" s="3" t="s">
        <v>3</v>
      </c>
      <c r="F11804" s="4">
        <v>1.37E-65</v>
      </c>
      <c r="G11804" s="3">
        <v>560</v>
      </c>
      <c r="H11804" s="3">
        <v>64</v>
      </c>
      <c r="I11804" s="3">
        <v>177</v>
      </c>
      <c r="J11804" s="3">
        <v>153</v>
      </c>
      <c r="K11804" s="3">
        <v>674</v>
      </c>
      <c r="L11804" s="3">
        <v>1</v>
      </c>
      <c r="M11804" s="3">
        <v>177</v>
      </c>
    </row>
    <row r="11805" spans="1:13" x14ac:dyDescent="0.25">
      <c r="A11805" s="1" t="str">
        <f>HYPERLINK("http://www.rosaceae.org/Prunus/Prunus_persica/p.persica_gdr_reftransV1_0014340","p.persica_gdr_reftransV1_0014340")</f>
        <v>p.persica_gdr_reftransV1_0014340</v>
      </c>
      <c r="B11805" s="3">
        <v>1646</v>
      </c>
      <c r="C11805" s="1" t="str">
        <f>HYPERLINK("http://www.uniprot.org/uniprot/FK125_ARATH","FK125_ARATH")</f>
        <v>FK125_ARATH</v>
      </c>
      <c r="D11805" t="s">
        <v>8240</v>
      </c>
      <c r="E11805" s="3" t="s">
        <v>3</v>
      </c>
      <c r="F11805" s="4">
        <v>2.14E-167</v>
      </c>
      <c r="G11805" s="3">
        <v>1259</v>
      </c>
      <c r="H11805" s="3">
        <v>58</v>
      </c>
      <c r="I11805" s="3">
        <v>418</v>
      </c>
      <c r="J11805" s="3">
        <v>174</v>
      </c>
      <c r="K11805" s="3">
        <v>1388</v>
      </c>
      <c r="L11805" s="3">
        <v>30</v>
      </c>
      <c r="M11805" s="3">
        <v>442</v>
      </c>
    </row>
    <row r="11806" spans="1:13" x14ac:dyDescent="0.25">
      <c r="A11806" s="1" t="str">
        <f>HYPERLINK("http://www.rosaceae.org/Prunus/Prunus_persica/p.persica_gdr_reftransV1_0014540","p.persica_gdr_reftransV1_0014540")</f>
        <v>p.persica_gdr_reftransV1_0014540</v>
      </c>
      <c r="B11806" s="3">
        <v>1800</v>
      </c>
      <c r="C11806" s="1" t="str">
        <f>HYPERLINK("http://www.uniprot.org/uniprot/VAP41_ARATH","VAP41_ARATH")</f>
        <v>VAP41_ARATH</v>
      </c>
      <c r="D11806" t="s">
        <v>8241</v>
      </c>
      <c r="E11806" s="3" t="s">
        <v>3</v>
      </c>
      <c r="F11806" s="4">
        <v>5.7900000000000001E-51</v>
      </c>
      <c r="G11806" s="3">
        <v>461</v>
      </c>
      <c r="H11806" s="3">
        <v>65</v>
      </c>
      <c r="I11806" s="3">
        <v>164</v>
      </c>
      <c r="J11806" s="3">
        <v>1137</v>
      </c>
      <c r="K11806" s="3">
        <v>1598</v>
      </c>
      <c r="L11806" s="3">
        <v>17</v>
      </c>
      <c r="M11806" s="3">
        <v>180</v>
      </c>
    </row>
    <row r="11807" spans="1:13" x14ac:dyDescent="0.25">
      <c r="A11807" s="1" t="str">
        <f>HYPERLINK("http://www.rosaceae.org/Prunus/Prunus_persica/p.persica_gdr_reftransV1_0015240","p.persica_gdr_reftransV1_0015240")</f>
        <v>p.persica_gdr_reftransV1_0015240</v>
      </c>
      <c r="B11807" s="3">
        <v>1486</v>
      </c>
      <c r="C11807" s="1" t="str">
        <f>HYPERLINK("http://www.uniprot.org/uniprot/RBL20_ARATH","RBL20_ARATH")</f>
        <v>RBL20_ARATH</v>
      </c>
      <c r="D11807" t="s">
        <v>8242</v>
      </c>
      <c r="E11807" s="3" t="s">
        <v>3</v>
      </c>
      <c r="F11807" s="4">
        <v>1.1999999999999999E-154</v>
      </c>
      <c r="G11807" s="3">
        <v>1155</v>
      </c>
      <c r="H11807" s="3">
        <v>78</v>
      </c>
      <c r="I11807" s="3">
        <v>293</v>
      </c>
      <c r="J11807" s="3">
        <v>156</v>
      </c>
      <c r="K11807" s="3">
        <v>1031</v>
      </c>
      <c r="L11807" s="3">
        <v>1</v>
      </c>
      <c r="M11807" s="3">
        <v>293</v>
      </c>
    </row>
    <row r="11808" spans="1:13" x14ac:dyDescent="0.25">
      <c r="A11808" s="1" t="str">
        <f>HYPERLINK("http://www.rosaceae.org/Prunus/Prunus_persica/p.persica_gdr_reftransV1_0015640","p.persica_gdr_reftransV1_0015640")</f>
        <v>p.persica_gdr_reftransV1_0015640</v>
      </c>
      <c r="B11808" s="3">
        <v>1728</v>
      </c>
      <c r="C11808" s="1" t="str">
        <f>HYPERLINK("http://www.uniprot.org/uniprot/PGLR4_ARATH","PGLR4_ARATH")</f>
        <v>PGLR4_ARATH</v>
      </c>
      <c r="D11808" t="s">
        <v>4096</v>
      </c>
      <c r="E11808" s="3" t="s">
        <v>3</v>
      </c>
      <c r="F11808" s="4">
        <v>3.54E-60</v>
      </c>
      <c r="G11808" s="3">
        <v>541</v>
      </c>
      <c r="H11808" s="3">
        <v>47</v>
      </c>
      <c r="I11808" s="3">
        <v>252</v>
      </c>
      <c r="J11808" s="3">
        <v>1</v>
      </c>
      <c r="K11808" s="3">
        <v>750</v>
      </c>
      <c r="L11808" s="3">
        <v>116</v>
      </c>
      <c r="M11808" s="3">
        <v>344</v>
      </c>
    </row>
    <row r="11809" spans="1:13" x14ac:dyDescent="0.25">
      <c r="A11809" s="1" t="str">
        <f>HYPERLINK("http://www.rosaceae.org/Prunus/Prunus_persica/p.persica_gdr_reftransV1_0015690","p.persica_gdr_reftransV1_0015690")</f>
        <v>p.persica_gdr_reftransV1_0015690</v>
      </c>
      <c r="B11809" s="3">
        <v>3583</v>
      </c>
      <c r="C11809" s="1" t="str">
        <f>HYPERLINK("http://www.uniprot.org/uniprot/idM1_ARATH","idM1_ARATH")</f>
        <v>idM1_ARATH</v>
      </c>
      <c r="D11809" t="s">
        <v>1345</v>
      </c>
      <c r="E11809" s="3" t="s">
        <v>3</v>
      </c>
      <c r="F11809" s="4">
        <v>1.3300000000000001E-44</v>
      </c>
      <c r="G11809" s="3">
        <v>456</v>
      </c>
      <c r="H11809" s="3">
        <v>30</v>
      </c>
      <c r="I11809" s="3">
        <v>433</v>
      </c>
      <c r="J11809" s="3">
        <v>1847</v>
      </c>
      <c r="K11809" s="3">
        <v>3097</v>
      </c>
      <c r="L11809" s="3">
        <v>657</v>
      </c>
      <c r="M11809" s="3">
        <v>1023</v>
      </c>
    </row>
    <row r="11810" spans="1:13" x14ac:dyDescent="0.25">
      <c r="A11810" s="1" t="str">
        <f>HYPERLINK("http://www.rosaceae.org/Prunus/Prunus_persica/p.persica_gdr_reftransV1_0015790","p.persica_gdr_reftransV1_0015790")</f>
        <v>p.persica_gdr_reftransV1_0015790</v>
      </c>
      <c r="B11810" s="3">
        <v>3344</v>
      </c>
      <c r="C11810" s="1" t="str">
        <f>HYPERLINK("http://www.uniprot.org/uniprot/RPM1_ARATH","RPM1_ARATH")</f>
        <v>RPM1_ARATH</v>
      </c>
      <c r="D11810" t="s">
        <v>453</v>
      </c>
      <c r="E11810" s="3" t="s">
        <v>3</v>
      </c>
      <c r="F11810" s="4">
        <v>5.5299999999999999E-138</v>
      </c>
      <c r="G11810" s="3">
        <v>1150</v>
      </c>
      <c r="H11810" s="3">
        <v>34</v>
      </c>
      <c r="I11810" s="3">
        <v>938</v>
      </c>
      <c r="J11810" s="3">
        <v>356</v>
      </c>
      <c r="K11810" s="3">
        <v>3067</v>
      </c>
      <c r="L11810" s="3">
        <v>1</v>
      </c>
      <c r="M11810" s="3">
        <v>909</v>
      </c>
    </row>
    <row r="11811" spans="1:13" x14ac:dyDescent="0.25">
      <c r="A11811" s="1" t="str">
        <f>HYPERLINK("http://www.rosaceae.org/Prunus/Prunus_persica/p.persica_gdr_reftransV1_0015840","p.persica_gdr_reftransV1_0015840")</f>
        <v>p.persica_gdr_reftransV1_0015840</v>
      </c>
      <c r="B11811" s="3">
        <v>2405</v>
      </c>
      <c r="C11811" s="1" t="str">
        <f>HYPERLINK("http://www.uniprot.org/uniprot/TRM2_ARATH","TRM2_ARATH")</f>
        <v>TRM2_ARATH</v>
      </c>
      <c r="D11811" t="s">
        <v>8243</v>
      </c>
      <c r="E11811" s="3" t="s">
        <v>3</v>
      </c>
      <c r="F11811" s="4">
        <v>0</v>
      </c>
      <c r="G11811" s="3">
        <v>2366</v>
      </c>
      <c r="H11811" s="3">
        <v>79</v>
      </c>
      <c r="I11811" s="3">
        <v>558</v>
      </c>
      <c r="J11811" s="3">
        <v>281</v>
      </c>
      <c r="K11811" s="3">
        <v>1954</v>
      </c>
      <c r="L11811" s="3">
        <v>1</v>
      </c>
      <c r="M11811" s="3">
        <v>551</v>
      </c>
    </row>
    <row r="11812" spans="1:13" x14ac:dyDescent="0.25">
      <c r="A11812" s="1" t="str">
        <f>HYPERLINK("http://www.rosaceae.org/Prunus/Prunus_persica/p.persica_gdr_reftransV1_0015890","p.persica_gdr_reftransV1_0015890")</f>
        <v>p.persica_gdr_reftransV1_0015890</v>
      </c>
      <c r="B11812" s="3">
        <v>3385</v>
      </c>
      <c r="C11812" s="1" t="str">
        <f>HYPERLINK("http://www.uniprot.org/uniprot/SPAST_CHICK","SPAST_CHICK")</f>
        <v>SPAST_CHICK</v>
      </c>
      <c r="D11812" t="s">
        <v>8120</v>
      </c>
      <c r="E11812" s="3" t="s">
        <v>1278</v>
      </c>
      <c r="F11812" s="4">
        <v>1.72E-68</v>
      </c>
      <c r="G11812" s="3">
        <v>628</v>
      </c>
      <c r="H11812" s="3">
        <v>42</v>
      </c>
      <c r="I11812" s="3">
        <v>348</v>
      </c>
      <c r="J11812" s="3">
        <v>1520</v>
      </c>
      <c r="K11812" s="3">
        <v>2533</v>
      </c>
      <c r="L11812" s="3">
        <v>231</v>
      </c>
      <c r="M11812" s="3">
        <v>569</v>
      </c>
    </row>
    <row r="11813" spans="1:13" x14ac:dyDescent="0.25">
      <c r="A11813" s="1" t="str">
        <f>HYPERLINK("http://www.rosaceae.org/Prunus/Prunus_persica/p.persica_gdr_reftransV1_0016140","p.persica_gdr_reftransV1_0016140")</f>
        <v>p.persica_gdr_reftransV1_0016140</v>
      </c>
      <c r="B11813" s="3">
        <v>4365</v>
      </c>
      <c r="C11813" s="1" t="str">
        <f>HYPERLINK("http://www.uniprot.org/uniprot/COG4_ARATH","COG4_ARATH")</f>
        <v>COG4_ARATH</v>
      </c>
      <c r="D11813" t="s">
        <v>8244</v>
      </c>
      <c r="E11813" s="3" t="s">
        <v>3</v>
      </c>
      <c r="F11813" s="4">
        <v>0</v>
      </c>
      <c r="G11813" s="3">
        <v>2931</v>
      </c>
      <c r="H11813" s="3">
        <v>78</v>
      </c>
      <c r="I11813" s="3">
        <v>734</v>
      </c>
      <c r="J11813" s="3">
        <v>112</v>
      </c>
      <c r="K11813" s="3">
        <v>2310</v>
      </c>
      <c r="L11813" s="3">
        <v>10</v>
      </c>
      <c r="M11813" s="3">
        <v>738</v>
      </c>
    </row>
    <row r="11814" spans="1:13" x14ac:dyDescent="0.25">
      <c r="A11814" s="1" t="str">
        <f>HYPERLINK("http://www.rosaceae.org/Prunus/Prunus_persica/p.persica_gdr_reftransV1_0016190","p.persica_gdr_reftransV1_0016190")</f>
        <v>p.persica_gdr_reftransV1_0016190</v>
      </c>
      <c r="B11814" s="3">
        <v>1274</v>
      </c>
      <c r="C11814" s="1" t="str">
        <f>HYPERLINK("http://www.uniprot.org/uniprot/WTR45_ARATH","WTR45_ARATH")</f>
        <v>WTR45_ARATH</v>
      </c>
      <c r="D11814" t="s">
        <v>3474</v>
      </c>
      <c r="E11814" s="3" t="s">
        <v>3</v>
      </c>
      <c r="F11814" s="4">
        <v>7.5100000000000003E-107</v>
      </c>
      <c r="G11814" s="3">
        <v>837</v>
      </c>
      <c r="H11814" s="3">
        <v>53</v>
      </c>
      <c r="I11814" s="3">
        <v>350</v>
      </c>
      <c r="J11814" s="3">
        <v>65</v>
      </c>
      <c r="K11814" s="3">
        <v>1114</v>
      </c>
      <c r="L11814" s="3">
        <v>2</v>
      </c>
      <c r="M11814" s="3">
        <v>348</v>
      </c>
    </row>
    <row r="11815" spans="1:13" x14ac:dyDescent="0.25">
      <c r="A11815" s="1" t="str">
        <f>HYPERLINK("http://www.rosaceae.org/Prunus/Prunus_persica/p.persica_gdr_reftransV1_0016390","p.persica_gdr_reftransV1_0016390")</f>
        <v>p.persica_gdr_reftransV1_0016390</v>
      </c>
      <c r="B11815" s="3">
        <v>2662</v>
      </c>
      <c r="C11815" s="1" t="str">
        <f>HYPERLINK("http://www.uniprot.org/uniprot/TM209_MOUSE","TM209_MOUSE")</f>
        <v>TM209_MOUSE</v>
      </c>
      <c r="D11815" t="s">
        <v>8245</v>
      </c>
      <c r="E11815" s="3" t="s">
        <v>157</v>
      </c>
      <c r="F11815" s="4">
        <v>7.2999999999999996E-10</v>
      </c>
      <c r="G11815" s="3">
        <v>160</v>
      </c>
      <c r="H11815" s="3">
        <v>22</v>
      </c>
      <c r="I11815" s="3">
        <v>239</v>
      </c>
      <c r="J11815" s="3">
        <v>1540</v>
      </c>
      <c r="K11815" s="3">
        <v>2175</v>
      </c>
      <c r="L11815" s="3">
        <v>348</v>
      </c>
      <c r="M11815" s="3">
        <v>559</v>
      </c>
    </row>
    <row r="11816" spans="1:13" x14ac:dyDescent="0.25">
      <c r="A11816" s="1" t="str">
        <f>HYPERLINK("http://www.rosaceae.org/Prunus/Prunus_persica/p.persica_gdr_reftransV1_0016940","p.persica_gdr_reftransV1_0016940")</f>
        <v>p.persica_gdr_reftransV1_0016940</v>
      </c>
      <c r="B11816" s="3">
        <v>3408</v>
      </c>
      <c r="C11816" s="1" t="str">
        <f>HYPERLINK("http://www.uniprot.org/uniprot/GRIP_ARATH","GRIP_ARATH")</f>
        <v>GRIP_ARATH</v>
      </c>
      <c r="D11816" t="s">
        <v>8246</v>
      </c>
      <c r="E11816" s="3" t="s">
        <v>3</v>
      </c>
      <c r="F11816" s="4">
        <v>0</v>
      </c>
      <c r="G11816" s="3">
        <v>1899</v>
      </c>
      <c r="H11816" s="3">
        <v>65</v>
      </c>
      <c r="I11816" s="3">
        <v>780</v>
      </c>
      <c r="J11816" s="3">
        <v>676</v>
      </c>
      <c r="K11816" s="3">
        <v>2961</v>
      </c>
      <c r="L11816" s="3">
        <v>20</v>
      </c>
      <c r="M11816" s="3">
        <v>788</v>
      </c>
    </row>
    <row r="11817" spans="1:13" x14ac:dyDescent="0.25">
      <c r="A11817" s="1" t="str">
        <f>HYPERLINK("http://www.rosaceae.org/Prunus/Prunus_persica/p.persica_gdr_reftransV1_0016990","p.persica_gdr_reftransV1_0016990")</f>
        <v>p.persica_gdr_reftransV1_0016990</v>
      </c>
      <c r="B11817" s="3">
        <v>979</v>
      </c>
      <c r="C11817" s="1" t="str">
        <f>HYPERLINK("http://www.uniprot.org/uniprot/ERG1_ORYSJ","ERG1_ORYSJ")</f>
        <v>ERG1_ORYSJ</v>
      </c>
      <c r="D11817" t="s">
        <v>8247</v>
      </c>
      <c r="E11817" s="3" t="s">
        <v>38</v>
      </c>
      <c r="F11817" s="4">
        <v>4.31E-48</v>
      </c>
      <c r="G11817" s="3">
        <v>417</v>
      </c>
      <c r="H11817" s="3">
        <v>52</v>
      </c>
      <c r="I11817" s="3">
        <v>152</v>
      </c>
      <c r="J11817" s="3">
        <v>311</v>
      </c>
      <c r="K11817" s="3">
        <v>757</v>
      </c>
      <c r="L11817" s="3">
        <v>5</v>
      </c>
      <c r="M11817" s="3">
        <v>156</v>
      </c>
    </row>
    <row r="11818" spans="1:13" x14ac:dyDescent="0.25">
      <c r="A11818" s="1" t="str">
        <f>HYPERLINK("http://www.rosaceae.org/Prunus/Prunus_persica/p.persica_gdr_reftransV1_0017090","p.persica_gdr_reftransV1_0017090")</f>
        <v>p.persica_gdr_reftransV1_0017090</v>
      </c>
      <c r="B11818" s="3">
        <v>377</v>
      </c>
      <c r="C11818" s="1" t="str">
        <f>HYPERLINK("http://www.uniprot.org/uniprot/PP207_ARATH","PP207_ARATH")</f>
        <v>PP207_ARATH</v>
      </c>
      <c r="D11818" t="s">
        <v>561</v>
      </c>
      <c r="E11818" s="3" t="s">
        <v>3</v>
      </c>
      <c r="F11818" s="4">
        <v>3.4600000000000001E-21</v>
      </c>
      <c r="G11818" s="3">
        <v>230</v>
      </c>
      <c r="H11818" s="3">
        <v>38</v>
      </c>
      <c r="I11818" s="3">
        <v>125</v>
      </c>
      <c r="J11818" s="3">
        <v>3</v>
      </c>
      <c r="K11818" s="3">
        <v>377</v>
      </c>
      <c r="L11818" s="3">
        <v>574</v>
      </c>
      <c r="M11818" s="3">
        <v>697</v>
      </c>
    </row>
    <row r="11819" spans="1:13" x14ac:dyDescent="0.25">
      <c r="A11819" s="1" t="str">
        <f>HYPERLINK("http://www.rosaceae.org/Prunus/Prunus_persica/p.persica_gdr_reftransV1_0017240","p.persica_gdr_reftransV1_0017240")</f>
        <v>p.persica_gdr_reftransV1_0017240</v>
      </c>
      <c r="B11819" s="3">
        <v>2199</v>
      </c>
      <c r="C11819" s="1" t="str">
        <f>HYPERLINK("http://www.uniprot.org/uniprot/SMT2_ARATH","SMT2_ARATH")</f>
        <v>SMT2_ARATH</v>
      </c>
      <c r="D11819" t="s">
        <v>8248</v>
      </c>
      <c r="E11819" s="3" t="s">
        <v>3</v>
      </c>
      <c r="F11819" s="4">
        <v>0</v>
      </c>
      <c r="G11819" s="3">
        <v>1762</v>
      </c>
      <c r="H11819" s="3">
        <v>88</v>
      </c>
      <c r="I11819" s="3">
        <v>360</v>
      </c>
      <c r="J11819" s="3">
        <v>990</v>
      </c>
      <c r="K11819" s="3">
        <v>2069</v>
      </c>
      <c r="L11819" s="3">
        <v>1</v>
      </c>
      <c r="M11819" s="3">
        <v>360</v>
      </c>
    </row>
    <row r="11820" spans="1:13" x14ac:dyDescent="0.25">
      <c r="A11820" s="1" t="str">
        <f>HYPERLINK("http://www.rosaceae.org/Prunus/Prunus_persica/p.persica_gdr_reftransV1_0017390","p.persica_gdr_reftransV1_0017390")</f>
        <v>p.persica_gdr_reftransV1_0017390</v>
      </c>
      <c r="B11820" s="3">
        <v>2501</v>
      </c>
      <c r="C11820" s="1" t="str">
        <f>HYPERLINK("http://www.uniprot.org/uniprot/FH1_ARATH","FH1_ARATH")</f>
        <v>FH1_ARATH</v>
      </c>
      <c r="D11820" t="s">
        <v>6955</v>
      </c>
      <c r="E11820" s="3" t="s">
        <v>3</v>
      </c>
      <c r="F11820" s="4">
        <v>0</v>
      </c>
      <c r="G11820" s="3">
        <v>1771</v>
      </c>
      <c r="H11820" s="3">
        <v>69</v>
      </c>
      <c r="I11820" s="3">
        <v>557</v>
      </c>
      <c r="J11820" s="3">
        <v>464</v>
      </c>
      <c r="K11820" s="3">
        <v>2119</v>
      </c>
      <c r="L11820" s="3">
        <v>499</v>
      </c>
      <c r="M11820" s="3">
        <v>1025</v>
      </c>
    </row>
    <row r="11821" spans="1:13" x14ac:dyDescent="0.25">
      <c r="A11821" s="1" t="str">
        <f>HYPERLINK("http://www.rosaceae.org/Prunus/Prunus_persica/p.persica_gdr_reftransV1_0018140","p.persica_gdr_reftransV1_0018140")</f>
        <v>p.persica_gdr_reftransV1_0018140</v>
      </c>
      <c r="B11821" s="3">
        <v>779</v>
      </c>
      <c r="C11821" s="1" t="str">
        <f>HYPERLINK("http://www.uniprot.org/uniprot/RL31_PERFR","RL31_PERFR")</f>
        <v>RL31_PERFR</v>
      </c>
      <c r="D11821" t="s">
        <v>7380</v>
      </c>
      <c r="E11821" s="3" t="s">
        <v>7381</v>
      </c>
      <c r="F11821" s="4">
        <v>4.5400000000000001E-54</v>
      </c>
      <c r="G11821" s="3">
        <v>448</v>
      </c>
      <c r="H11821" s="3">
        <v>88</v>
      </c>
      <c r="I11821" s="3">
        <v>121</v>
      </c>
      <c r="J11821" s="3">
        <v>122</v>
      </c>
      <c r="K11821" s="3">
        <v>484</v>
      </c>
      <c r="L11821" s="3">
        <v>1</v>
      </c>
      <c r="M11821" s="3">
        <v>121</v>
      </c>
    </row>
    <row r="11822" spans="1:13" x14ac:dyDescent="0.25">
      <c r="A11822" s="1" t="str">
        <f>HYPERLINK("http://www.rosaceae.org/Prunus/Prunus_persica/p.persica_gdr_reftransV1_0018190","p.persica_gdr_reftransV1_0018190")</f>
        <v>p.persica_gdr_reftransV1_0018190</v>
      </c>
      <c r="B11822" s="3">
        <v>3396</v>
      </c>
      <c r="C11822" s="1" t="str">
        <f>HYPERLINK("http://www.uniprot.org/uniprot/Y005_SYNY3","Y005_SYNY3")</f>
        <v>Y005_SYNY3</v>
      </c>
      <c r="D11822" t="s">
        <v>3142</v>
      </c>
      <c r="E11822" s="3" t="s">
        <v>527</v>
      </c>
      <c r="F11822" s="4">
        <v>6.5000000000000003E-87</v>
      </c>
      <c r="G11822" s="3">
        <v>771</v>
      </c>
      <c r="H11822" s="3">
        <v>36</v>
      </c>
      <c r="I11822" s="3">
        <v>443</v>
      </c>
      <c r="J11822" s="3">
        <v>832</v>
      </c>
      <c r="K11822" s="3">
        <v>2148</v>
      </c>
      <c r="L11822" s="3">
        <v>97</v>
      </c>
      <c r="M11822" s="3">
        <v>520</v>
      </c>
    </row>
    <row r="11823" spans="1:13" x14ac:dyDescent="0.25">
      <c r="A11823" s="1" t="str">
        <f>HYPERLINK("http://www.rosaceae.org/Prunus/Prunus_persica/p.persica_gdr_reftransV1_0018240","p.persica_gdr_reftransV1_0018240")</f>
        <v>p.persica_gdr_reftransV1_0018240</v>
      </c>
      <c r="B11823" s="3">
        <v>2635</v>
      </c>
      <c r="C11823" s="1" t="str">
        <f>HYPERLINK("http://www.uniprot.org/uniprot/YTHD2_MOUSE","YTHD2_MOUSE")</f>
        <v>YTHD2_MOUSE</v>
      </c>
      <c r="D11823" t="s">
        <v>2788</v>
      </c>
      <c r="E11823" s="3" t="s">
        <v>157</v>
      </c>
      <c r="F11823" s="4">
        <v>6.8600000000000002E-56</v>
      </c>
      <c r="G11823" s="3">
        <v>526</v>
      </c>
      <c r="H11823" s="3">
        <v>52</v>
      </c>
      <c r="I11823" s="3">
        <v>186</v>
      </c>
      <c r="J11823" s="3">
        <v>1259</v>
      </c>
      <c r="K11823" s="3">
        <v>1804</v>
      </c>
      <c r="L11823" s="3">
        <v>395</v>
      </c>
      <c r="M11823" s="3">
        <v>577</v>
      </c>
    </row>
    <row r="11824" spans="1:13" x14ac:dyDescent="0.25">
      <c r="A11824" s="1" t="str">
        <f>HYPERLINK("http://www.rosaceae.org/Prunus/Prunus_persica/p.persica_gdr_reftransV1_0018290","p.persica_gdr_reftransV1_0018290")</f>
        <v>p.persica_gdr_reftransV1_0018290</v>
      </c>
      <c r="B11824" s="3">
        <v>3688</v>
      </c>
      <c r="C11824" s="1" t="str">
        <f>HYPERLINK("http://www.uniprot.org/uniprot/PITP1_DICDI","PITP1_DICDI")</f>
        <v>PITP1_DICDI</v>
      </c>
      <c r="D11824" t="s">
        <v>8249</v>
      </c>
      <c r="E11824" s="3" t="s">
        <v>9</v>
      </c>
      <c r="F11824" s="4">
        <v>1.16E-32</v>
      </c>
      <c r="G11824" s="3">
        <v>302</v>
      </c>
      <c r="H11824" s="3">
        <v>39</v>
      </c>
      <c r="I11824" s="3">
        <v>151</v>
      </c>
      <c r="J11824" s="3">
        <v>1474</v>
      </c>
      <c r="K11824" s="3">
        <v>1917</v>
      </c>
      <c r="L11824" s="3">
        <v>95</v>
      </c>
      <c r="M11824" s="3">
        <v>242</v>
      </c>
    </row>
    <row r="11825" spans="1:13" x14ac:dyDescent="0.25">
      <c r="A11825" s="1" t="str">
        <f>HYPERLINK("http://www.rosaceae.org/Prunus/Prunus_persica/p.persica_gdr_reftransV1_0018490","p.persica_gdr_reftransV1_0018490")</f>
        <v>p.persica_gdr_reftransV1_0018490</v>
      </c>
      <c r="B11825" s="3">
        <v>1390</v>
      </c>
      <c r="C11825" s="1" t="str">
        <f>HYPERLINK("http://www.uniprot.org/uniprot/BIN3D_ARATH","BIN3D_ARATH")</f>
        <v>BIN3D_ARATH</v>
      </c>
      <c r="D11825" t="s">
        <v>8250</v>
      </c>
      <c r="E11825" s="3" t="s">
        <v>3</v>
      </c>
      <c r="F11825" s="4">
        <v>6.2399999999999998E-121</v>
      </c>
      <c r="G11825" s="3">
        <v>931</v>
      </c>
      <c r="H11825" s="3">
        <v>63</v>
      </c>
      <c r="I11825" s="3">
        <v>268</v>
      </c>
      <c r="J11825" s="3">
        <v>190</v>
      </c>
      <c r="K11825" s="3">
        <v>993</v>
      </c>
      <c r="L11825" s="3">
        <v>52</v>
      </c>
      <c r="M11825" s="3">
        <v>318</v>
      </c>
    </row>
    <row r="11826" spans="1:13" x14ac:dyDescent="0.25">
      <c r="A11826" s="1" t="str">
        <f>HYPERLINK("http://www.rosaceae.org/Prunus/Prunus_persica/p.persica_gdr_reftransV1_0018540","p.persica_gdr_reftransV1_0018540")</f>
        <v>p.persica_gdr_reftransV1_0018540</v>
      </c>
      <c r="B11826" s="3">
        <v>801</v>
      </c>
      <c r="C11826" s="1" t="str">
        <f>HYPERLINK("http://www.uniprot.org/uniprot/RR21_SPIOL","RR21_SPIOL")</f>
        <v>RR21_SPIOL</v>
      </c>
      <c r="D11826" t="s">
        <v>1806</v>
      </c>
      <c r="E11826" s="3" t="s">
        <v>131</v>
      </c>
      <c r="F11826" s="4">
        <v>9.0400000000000002E-9</v>
      </c>
      <c r="G11826" s="3">
        <v>130</v>
      </c>
      <c r="H11826" s="3">
        <v>66</v>
      </c>
      <c r="I11826" s="3">
        <v>35</v>
      </c>
      <c r="J11826" s="3">
        <v>260</v>
      </c>
      <c r="K11826" s="3">
        <v>364</v>
      </c>
      <c r="L11826" s="3">
        <v>1</v>
      </c>
      <c r="M11826" s="3">
        <v>35</v>
      </c>
    </row>
    <row r="11827" spans="1:13" x14ac:dyDescent="0.25">
      <c r="A11827" s="1" t="str">
        <f>HYPERLINK("http://www.rosaceae.org/Prunus/Prunus_persica/p.persica_gdr_reftransV1_0018840","p.persica_gdr_reftransV1_0018840")</f>
        <v>p.persica_gdr_reftransV1_0018840</v>
      </c>
      <c r="B11827" s="3">
        <v>3290</v>
      </c>
      <c r="C11827" s="1" t="str">
        <f>HYPERLINK("http://www.uniprot.org/uniprot/AGO5_ARATH","AGO5_ARATH")</f>
        <v>AGO5_ARATH</v>
      </c>
      <c r="D11827" t="s">
        <v>8251</v>
      </c>
      <c r="E11827" s="3" t="s">
        <v>3</v>
      </c>
      <c r="F11827" s="4">
        <v>0</v>
      </c>
      <c r="G11827" s="3">
        <v>2865</v>
      </c>
      <c r="H11827" s="3">
        <v>66</v>
      </c>
      <c r="I11827" s="3">
        <v>839</v>
      </c>
      <c r="J11827" s="3">
        <v>308</v>
      </c>
      <c r="K11827" s="3">
        <v>2791</v>
      </c>
      <c r="L11827" s="3">
        <v>181</v>
      </c>
      <c r="M11827" s="3">
        <v>997</v>
      </c>
    </row>
    <row r="11828" spans="1:13" x14ac:dyDescent="0.25">
      <c r="A11828" s="1" t="str">
        <f>HYPERLINK("http://www.rosaceae.org/Prunus/Prunus_persica/p.persica_gdr_reftransV1_0018940","p.persica_gdr_reftransV1_0018940")</f>
        <v>p.persica_gdr_reftransV1_0018940</v>
      </c>
      <c r="B11828" s="3">
        <v>761</v>
      </c>
      <c r="C11828" s="1" t="str">
        <f>HYPERLINK("http://www.uniprot.org/uniprot/TRN1_ARATH","TRN1_ARATH")</f>
        <v>TRN1_ARATH</v>
      </c>
      <c r="D11828" t="s">
        <v>8252</v>
      </c>
      <c r="E11828" s="3" t="s">
        <v>3</v>
      </c>
      <c r="F11828" s="4">
        <v>7.9700000000000004E-119</v>
      </c>
      <c r="G11828" s="3">
        <v>963</v>
      </c>
      <c r="H11828" s="3">
        <v>70</v>
      </c>
      <c r="I11828" s="3">
        <v>254</v>
      </c>
      <c r="J11828" s="3">
        <v>2</v>
      </c>
      <c r="K11828" s="3">
        <v>760</v>
      </c>
      <c r="L11828" s="3">
        <v>183</v>
      </c>
      <c r="M11828" s="3">
        <v>436</v>
      </c>
    </row>
    <row r="11829" spans="1:13" x14ac:dyDescent="0.25">
      <c r="A11829" s="1" t="str">
        <f>HYPERLINK("http://www.rosaceae.org/Prunus/Prunus_persica/p.persica_gdr_reftransV1_0019240","p.persica_gdr_reftransV1_0019240")</f>
        <v>p.persica_gdr_reftransV1_0019240</v>
      </c>
      <c r="B11829" s="3">
        <v>2389</v>
      </c>
      <c r="C11829" s="1" t="str">
        <f>HYPERLINK("http://www.uniprot.org/uniprot/FRS9_ARATH","FRS9_ARATH")</f>
        <v>FRS9_ARATH</v>
      </c>
      <c r="D11829" t="s">
        <v>8253</v>
      </c>
      <c r="E11829" s="3" t="s">
        <v>3</v>
      </c>
      <c r="F11829" s="4">
        <v>0</v>
      </c>
      <c r="G11829" s="3">
        <v>1832</v>
      </c>
      <c r="H11829" s="3">
        <v>63</v>
      </c>
      <c r="I11829" s="3">
        <v>537</v>
      </c>
      <c r="J11829" s="3">
        <v>341</v>
      </c>
      <c r="K11829" s="3">
        <v>1948</v>
      </c>
      <c r="L11829" s="3">
        <v>19</v>
      </c>
      <c r="M11829" s="3">
        <v>545</v>
      </c>
    </row>
    <row r="11830" spans="1:13" x14ac:dyDescent="0.25">
      <c r="A11830" s="1" t="str">
        <f>HYPERLINK("http://www.rosaceae.org/Prunus/Prunus_persica/p.persica_gdr_reftransV1_0019440","p.persica_gdr_reftransV1_0019440")</f>
        <v>p.persica_gdr_reftransV1_0019440</v>
      </c>
      <c r="B11830" s="3">
        <v>3655</v>
      </c>
      <c r="C11830" s="1" t="str">
        <f>HYPERLINK("http://www.uniprot.org/uniprot/FANCJ_HUMAN","FANCJ_HUMAN")</f>
        <v>FANCJ_HUMAN</v>
      </c>
      <c r="D11830" t="s">
        <v>8254</v>
      </c>
      <c r="E11830" s="3" t="s">
        <v>28</v>
      </c>
      <c r="F11830" s="4">
        <v>2.5199999999999999E-153</v>
      </c>
      <c r="G11830" s="3">
        <v>1286</v>
      </c>
      <c r="H11830" s="3">
        <v>37</v>
      </c>
      <c r="I11830" s="3">
        <v>750</v>
      </c>
      <c r="J11830" s="3">
        <v>382</v>
      </c>
      <c r="K11830" s="3">
        <v>2496</v>
      </c>
      <c r="L11830" s="3">
        <v>195</v>
      </c>
      <c r="M11830" s="3">
        <v>909</v>
      </c>
    </row>
    <row r="11831" spans="1:13" x14ac:dyDescent="0.25">
      <c r="A11831" s="1" t="str">
        <f>HYPERLINK("http://www.rosaceae.org/Prunus/Prunus_persica/p.persica_gdr_reftransV1_0019590","p.persica_gdr_reftransV1_0019590")</f>
        <v>p.persica_gdr_reftransV1_0019590</v>
      </c>
      <c r="B11831" s="3">
        <v>2232</v>
      </c>
      <c r="C11831" s="1" t="str">
        <f>HYPERLINK("http://www.uniprot.org/uniprot/E2FC_ARATH","E2FC_ARATH")</f>
        <v>E2FC_ARATH</v>
      </c>
      <c r="D11831" t="s">
        <v>8255</v>
      </c>
      <c r="E11831" s="3" t="s">
        <v>3</v>
      </c>
      <c r="F11831" s="4">
        <v>8.4300000000000005E-77</v>
      </c>
      <c r="G11831" s="3">
        <v>661</v>
      </c>
      <c r="H11831" s="3">
        <v>52</v>
      </c>
      <c r="I11831" s="3">
        <v>321</v>
      </c>
      <c r="J11831" s="3">
        <v>556</v>
      </c>
      <c r="K11831" s="3">
        <v>1500</v>
      </c>
      <c r="L11831" s="3">
        <v>112</v>
      </c>
      <c r="M11831" s="3">
        <v>391</v>
      </c>
    </row>
    <row r="11832" spans="1:13" x14ac:dyDescent="0.25">
      <c r="A11832" s="1" t="str">
        <f>HYPERLINK("http://www.rosaceae.org/Prunus/Prunus_persica/p.persica_gdr_reftransV1_0019790","p.persica_gdr_reftransV1_0019790")</f>
        <v>p.persica_gdr_reftransV1_0019790</v>
      </c>
      <c r="B11832" s="3">
        <v>2804</v>
      </c>
      <c r="C11832" s="1" t="str">
        <f>HYPERLINK("http://www.uniprot.org/uniprot/COG6_BOVIN","COG6_BOVIN")</f>
        <v>COG6_BOVIN</v>
      </c>
      <c r="D11832" t="s">
        <v>8256</v>
      </c>
      <c r="E11832" s="3" t="s">
        <v>184</v>
      </c>
      <c r="F11832" s="4">
        <v>1.8E-111</v>
      </c>
      <c r="G11832" s="3">
        <v>934</v>
      </c>
      <c r="H11832" s="3">
        <v>42</v>
      </c>
      <c r="I11832" s="3">
        <v>477</v>
      </c>
      <c r="J11832" s="3">
        <v>106</v>
      </c>
      <c r="K11832" s="3">
        <v>1515</v>
      </c>
      <c r="L11832" s="3">
        <v>35</v>
      </c>
      <c r="M11832" s="3">
        <v>492</v>
      </c>
    </row>
    <row r="11833" spans="1:13" x14ac:dyDescent="0.25">
      <c r="A11833" s="1" t="str">
        <f>HYPERLINK("http://www.rosaceae.org/Prunus/Prunus_persica/p.persica_gdr_reftransV1_0019890","p.persica_gdr_reftransV1_0019890")</f>
        <v>p.persica_gdr_reftransV1_0019890</v>
      </c>
      <c r="B11833" s="3">
        <v>1572</v>
      </c>
      <c r="C11833" s="1" t="str">
        <f>HYPERLINK("http://www.uniprot.org/uniprot/Y1670_ARATH","Y1670_ARATH")</f>
        <v>Y1670_ARATH</v>
      </c>
      <c r="D11833" t="s">
        <v>3135</v>
      </c>
      <c r="E11833" s="3" t="s">
        <v>3</v>
      </c>
      <c r="F11833" s="4">
        <v>4.2E-35</v>
      </c>
      <c r="G11833" s="3">
        <v>363</v>
      </c>
      <c r="H11833" s="3">
        <v>38</v>
      </c>
      <c r="I11833" s="3">
        <v>247</v>
      </c>
      <c r="J11833" s="3">
        <v>858</v>
      </c>
      <c r="K11833" s="3">
        <v>1571</v>
      </c>
      <c r="L11833" s="3">
        <v>445</v>
      </c>
      <c r="M11833" s="3">
        <v>681</v>
      </c>
    </row>
    <row r="11834" spans="1:13" x14ac:dyDescent="0.25">
      <c r="A11834" s="1" t="str">
        <f>HYPERLINK("http://www.rosaceae.org/Prunus/Prunus_persica/p.persica_gdr_reftransV1_0020390","p.persica_gdr_reftransV1_0020390")</f>
        <v>p.persica_gdr_reftransV1_0020390</v>
      </c>
      <c r="B11834" s="3">
        <v>3072</v>
      </c>
      <c r="C11834" s="1" t="str">
        <f>HYPERLINK("http://www.uniprot.org/uniprot/BAM7_ARATH","BAM7_ARATH")</f>
        <v>BAM7_ARATH</v>
      </c>
      <c r="D11834" t="s">
        <v>8257</v>
      </c>
      <c r="E11834" s="3" t="s">
        <v>3</v>
      </c>
      <c r="F11834" s="4">
        <v>0</v>
      </c>
      <c r="G11834" s="3">
        <v>2387</v>
      </c>
      <c r="H11834" s="3">
        <v>68</v>
      </c>
      <c r="I11834" s="3">
        <v>644</v>
      </c>
      <c r="J11834" s="3">
        <v>445</v>
      </c>
      <c r="K11834" s="3">
        <v>2361</v>
      </c>
      <c r="L11834" s="3">
        <v>43</v>
      </c>
      <c r="M11834" s="3">
        <v>680</v>
      </c>
    </row>
    <row r="11835" spans="1:13" x14ac:dyDescent="0.25">
      <c r="A11835" s="1" t="str">
        <f>HYPERLINK("http://www.rosaceae.org/Prunus/Prunus_persica/p.persica_gdr_reftransV1_0020540","p.persica_gdr_reftransV1_0020540")</f>
        <v>p.persica_gdr_reftransV1_0020540</v>
      </c>
      <c r="B11835" s="3">
        <v>2279</v>
      </c>
      <c r="C11835" s="1" t="str">
        <f>HYPERLINK("http://www.uniprot.org/uniprot/PP187_ARATH","PP187_ARATH")</f>
        <v>PP187_ARATH</v>
      </c>
      <c r="D11835" t="s">
        <v>8258</v>
      </c>
      <c r="E11835" s="3" t="s">
        <v>3</v>
      </c>
      <c r="F11835" s="4">
        <v>1.3E-165</v>
      </c>
      <c r="G11835" s="3">
        <v>1273</v>
      </c>
      <c r="H11835" s="3">
        <v>54</v>
      </c>
      <c r="I11835" s="3">
        <v>478</v>
      </c>
      <c r="J11835" s="3">
        <v>22</v>
      </c>
      <c r="K11835" s="3">
        <v>1437</v>
      </c>
      <c r="L11835" s="3">
        <v>21</v>
      </c>
      <c r="M11835" s="3">
        <v>481</v>
      </c>
    </row>
    <row r="11836" spans="1:13" x14ac:dyDescent="0.25">
      <c r="A11836" s="1" t="str">
        <f>HYPERLINK("http://www.rosaceae.org/Prunus/Prunus_persica/p.persica_gdr_reftransV1_0020740","p.persica_gdr_reftransV1_0020740")</f>
        <v>p.persica_gdr_reftransV1_0020740</v>
      </c>
      <c r="B11836" s="3">
        <v>370</v>
      </c>
      <c r="C11836" s="1" t="str">
        <f>HYPERLINK("http://www.uniprot.org/uniprot/PMTG_ARATH","PMTG_ARATH")</f>
        <v>PMTG_ARATH</v>
      </c>
      <c r="D11836" t="s">
        <v>4677</v>
      </c>
      <c r="E11836" s="3" t="s">
        <v>3</v>
      </c>
      <c r="F11836" s="4">
        <v>6.0100000000000003E-33</v>
      </c>
      <c r="G11836" s="3">
        <v>314</v>
      </c>
      <c r="H11836" s="3">
        <v>56</v>
      </c>
      <c r="I11836" s="3">
        <v>101</v>
      </c>
      <c r="J11836" s="3">
        <v>64</v>
      </c>
      <c r="K11836" s="3">
        <v>366</v>
      </c>
      <c r="L11836" s="3">
        <v>61</v>
      </c>
      <c r="M11836" s="3">
        <v>158</v>
      </c>
    </row>
    <row r="11837" spans="1:13" x14ac:dyDescent="0.25">
      <c r="A11837" s="1" t="str">
        <f>HYPERLINK("http://www.rosaceae.org/Prunus/Prunus_persica/p.persica_gdr_reftransV1_0020990","p.persica_gdr_reftransV1_0020990")</f>
        <v>p.persica_gdr_reftransV1_0020990</v>
      </c>
      <c r="B11837" s="3">
        <v>1126</v>
      </c>
      <c r="C11837" s="1" t="str">
        <f>HYPERLINK("http://www.uniprot.org/uniprot/RLGP1_ORYSJ","RLGP1_ORYSJ")</f>
        <v>RLGP1_ORYSJ</v>
      </c>
      <c r="D11837" t="s">
        <v>8259</v>
      </c>
      <c r="E11837" s="3" t="s">
        <v>38</v>
      </c>
      <c r="F11837" s="4">
        <v>5.8799999999999999E-92</v>
      </c>
      <c r="G11837" s="3">
        <v>721</v>
      </c>
      <c r="H11837" s="3">
        <v>81</v>
      </c>
      <c r="I11837" s="3">
        <v>160</v>
      </c>
      <c r="J11837" s="3">
        <v>645</v>
      </c>
      <c r="K11837" s="3">
        <v>1124</v>
      </c>
      <c r="L11837" s="3">
        <v>58</v>
      </c>
      <c r="M11837" s="3">
        <v>217</v>
      </c>
    </row>
    <row r="11838" spans="1:13" x14ac:dyDescent="0.25">
      <c r="A11838" s="1" t="str">
        <f>HYPERLINK("http://www.rosaceae.org/Prunus/Prunus_persica/p.persica_gdr_reftransV1_0021140","p.persica_gdr_reftransV1_0021140")</f>
        <v>p.persica_gdr_reftransV1_0021140</v>
      </c>
      <c r="B11838" s="3">
        <v>1429</v>
      </c>
      <c r="C11838" s="1" t="str">
        <f>HYPERLINK("http://www.uniprot.org/uniprot/AVT1_YEAST","AVT1_YEAST")</f>
        <v>AVT1_YEAST</v>
      </c>
      <c r="D11838" t="s">
        <v>80</v>
      </c>
      <c r="E11838" s="3" t="s">
        <v>34</v>
      </c>
      <c r="F11838" s="4">
        <v>1.1699999999999999E-25</v>
      </c>
      <c r="G11838" s="3">
        <v>284</v>
      </c>
      <c r="H11838" s="3">
        <v>32</v>
      </c>
      <c r="I11838" s="3">
        <v>258</v>
      </c>
      <c r="J11838" s="3">
        <v>91</v>
      </c>
      <c r="K11838" s="3">
        <v>852</v>
      </c>
      <c r="L11838" s="3">
        <v>208</v>
      </c>
      <c r="M11838" s="3">
        <v>458</v>
      </c>
    </row>
    <row r="11839" spans="1:13" x14ac:dyDescent="0.25">
      <c r="A11839" s="1" t="str">
        <f>HYPERLINK("http://www.rosaceae.org/Prunus/Prunus_persica/p.persica_gdr_reftransV1_0021390","p.persica_gdr_reftransV1_0021390")</f>
        <v>p.persica_gdr_reftransV1_0021390</v>
      </c>
      <c r="B11839" s="3">
        <v>4175</v>
      </c>
      <c r="C11839" s="1" t="str">
        <f>HYPERLINK("http://www.uniprot.org/uniprot/JMJ18_ARATH","JMJ18_ARATH")</f>
        <v>JMJ18_ARATH</v>
      </c>
      <c r="D11839" t="s">
        <v>8260</v>
      </c>
      <c r="E11839" s="3" t="s">
        <v>3</v>
      </c>
      <c r="F11839" s="4">
        <v>0</v>
      </c>
      <c r="G11839" s="3">
        <v>1967</v>
      </c>
      <c r="H11839" s="3">
        <v>65</v>
      </c>
      <c r="I11839" s="3">
        <v>605</v>
      </c>
      <c r="J11839" s="3">
        <v>2049</v>
      </c>
      <c r="K11839" s="3">
        <v>3821</v>
      </c>
      <c r="L11839" s="3">
        <v>7</v>
      </c>
      <c r="M11839" s="3">
        <v>601</v>
      </c>
    </row>
    <row r="11840" spans="1:13" x14ac:dyDescent="0.25">
      <c r="A11840" s="1" t="str">
        <f>HYPERLINK("http://www.rosaceae.org/Prunus/Prunus_persica/p.persica_gdr_reftransV1_0021440","p.persica_gdr_reftransV1_0021440")</f>
        <v>p.persica_gdr_reftransV1_0021440</v>
      </c>
      <c r="B11840" s="3">
        <v>1333</v>
      </c>
      <c r="C11840" s="1" t="str">
        <f>HYPERLINK("http://www.uniprot.org/uniprot/POT1_ARATH","POT1_ARATH")</f>
        <v>POT1_ARATH</v>
      </c>
      <c r="D11840" t="s">
        <v>398</v>
      </c>
      <c r="E11840" s="3" t="s">
        <v>3</v>
      </c>
      <c r="F11840" s="4">
        <v>2.4299999999999999E-166</v>
      </c>
      <c r="G11840" s="3">
        <v>1267</v>
      </c>
      <c r="H11840" s="3">
        <v>64</v>
      </c>
      <c r="I11840" s="3">
        <v>361</v>
      </c>
      <c r="J11840" s="3">
        <v>249</v>
      </c>
      <c r="K11840" s="3">
        <v>1331</v>
      </c>
      <c r="L11840" s="3">
        <v>170</v>
      </c>
      <c r="M11840" s="3">
        <v>530</v>
      </c>
    </row>
    <row r="11841" spans="1:13" x14ac:dyDescent="0.25">
      <c r="A11841" s="1" t="str">
        <f>HYPERLINK("http://www.rosaceae.org/Prunus/Prunus_persica/p.persica_gdr_reftransV1_0021590","p.persica_gdr_reftransV1_0021590")</f>
        <v>p.persica_gdr_reftransV1_0021590</v>
      </c>
      <c r="B11841" s="3">
        <v>5064</v>
      </c>
      <c r="C11841" s="1" t="str">
        <f>HYPERLINK("http://www.uniprot.org/uniprot/KAD2_ARATH","KAD2_ARATH")</f>
        <v>KAD2_ARATH</v>
      </c>
      <c r="D11841" t="s">
        <v>8261</v>
      </c>
      <c r="E11841" s="3" t="s">
        <v>3</v>
      </c>
      <c r="F11841" s="4">
        <v>6.2200000000000001E-86</v>
      </c>
      <c r="G11841" s="3">
        <v>512</v>
      </c>
      <c r="H11841" s="3">
        <v>72</v>
      </c>
      <c r="I11841" s="3">
        <v>155</v>
      </c>
      <c r="J11841" s="3">
        <v>613</v>
      </c>
      <c r="K11841" s="3">
        <v>1077</v>
      </c>
      <c r="L11841" s="3">
        <v>127</v>
      </c>
      <c r="M11841" s="3">
        <v>281</v>
      </c>
    </row>
    <row r="11842" spans="1:13" x14ac:dyDescent="0.25">
      <c r="A11842" s="1" t="str">
        <f>HYPERLINK("http://www.rosaceae.org/Prunus/Prunus_persica/p.persica_gdr_reftransV1_0021840","p.persica_gdr_reftransV1_0021840")</f>
        <v>p.persica_gdr_reftransV1_0021840</v>
      </c>
      <c r="B11842" s="3">
        <v>3509</v>
      </c>
      <c r="C11842" s="1" t="str">
        <f>HYPERLINK("http://www.uniprot.org/uniprot/IP5P2_ARATH","IP5P2_ARATH")</f>
        <v>IP5P2_ARATH</v>
      </c>
      <c r="D11842" t="s">
        <v>8262</v>
      </c>
      <c r="E11842" s="3" t="s">
        <v>3</v>
      </c>
      <c r="F11842" s="4">
        <v>1.53E-99</v>
      </c>
      <c r="G11842" s="3">
        <v>861</v>
      </c>
      <c r="H11842" s="3">
        <v>71</v>
      </c>
      <c r="I11842" s="3">
        <v>215</v>
      </c>
      <c r="J11842" s="3">
        <v>1938</v>
      </c>
      <c r="K11842" s="3">
        <v>2573</v>
      </c>
      <c r="L11842" s="3">
        <v>429</v>
      </c>
      <c r="M11842" s="3">
        <v>643</v>
      </c>
    </row>
    <row r="11843" spans="1:13" x14ac:dyDescent="0.25">
      <c r="A11843" s="1" t="str">
        <f>HYPERLINK("http://www.rosaceae.org/Prunus/Prunus_persica/p.persica_gdr_reftransV1_0022090","p.persica_gdr_reftransV1_0022090")</f>
        <v>p.persica_gdr_reftransV1_0022090</v>
      </c>
      <c r="B11843" s="3">
        <v>2207</v>
      </c>
      <c r="C11843" s="1" t="str">
        <f>HYPERLINK("http://www.uniprot.org/uniprot/ODO2A_ARATH","ODO2A_ARATH")</f>
        <v>ODO2A_ARATH</v>
      </c>
      <c r="D11843" t="s">
        <v>8263</v>
      </c>
      <c r="E11843" s="3" t="s">
        <v>3</v>
      </c>
      <c r="F11843" s="4">
        <v>0</v>
      </c>
      <c r="G11843" s="3">
        <v>1401</v>
      </c>
      <c r="H11843" s="3">
        <v>73</v>
      </c>
      <c r="I11843" s="3">
        <v>426</v>
      </c>
      <c r="J11843" s="3">
        <v>450</v>
      </c>
      <c r="K11843" s="3">
        <v>1727</v>
      </c>
      <c r="L11843" s="3">
        <v>47</v>
      </c>
      <c r="M11843" s="3">
        <v>464</v>
      </c>
    </row>
    <row r="11844" spans="1:13" x14ac:dyDescent="0.25">
      <c r="A11844" s="1" t="str">
        <f>HYPERLINK("http://www.rosaceae.org/Prunus/Prunus_persica/p.persica_gdr_reftransV1_0022390","p.persica_gdr_reftransV1_0022390")</f>
        <v>p.persica_gdr_reftransV1_0022390</v>
      </c>
      <c r="B11844" s="3">
        <v>2922</v>
      </c>
      <c r="C11844" s="1" t="str">
        <f>HYPERLINK("http://www.uniprot.org/uniprot/EX84B_ARATH","EX84B_ARATH")</f>
        <v>EX84B_ARATH</v>
      </c>
      <c r="D11844" t="s">
        <v>8264</v>
      </c>
      <c r="E11844" s="3" t="s">
        <v>3</v>
      </c>
      <c r="F11844" s="4">
        <v>0</v>
      </c>
      <c r="G11844" s="3">
        <v>2695</v>
      </c>
      <c r="H11844" s="3">
        <v>77</v>
      </c>
      <c r="I11844" s="3">
        <v>739</v>
      </c>
      <c r="J11844" s="3">
        <v>288</v>
      </c>
      <c r="K11844" s="3">
        <v>2501</v>
      </c>
      <c r="L11844" s="3">
        <v>2</v>
      </c>
      <c r="M11844" s="3">
        <v>730</v>
      </c>
    </row>
    <row r="11845" spans="1:13" x14ac:dyDescent="0.25">
      <c r="A11845" s="1" t="str">
        <f>HYPERLINK("http://www.rosaceae.org/Prunus/Prunus_persica/p.persica_gdr_reftransV1_0022790","p.persica_gdr_reftransV1_0022790")</f>
        <v>p.persica_gdr_reftransV1_0022790</v>
      </c>
      <c r="B11845" s="3">
        <v>2309</v>
      </c>
      <c r="C11845" s="1" t="str">
        <f>HYPERLINK("http://www.uniprot.org/uniprot/SCP18_ARATH","SCP18_ARATH")</f>
        <v>SCP18_ARATH</v>
      </c>
      <c r="D11845" t="s">
        <v>2438</v>
      </c>
      <c r="E11845" s="3" t="s">
        <v>3</v>
      </c>
      <c r="F11845" s="4">
        <v>8.6900000000000001E-77</v>
      </c>
      <c r="G11845" s="3">
        <v>668</v>
      </c>
      <c r="H11845" s="3">
        <v>56</v>
      </c>
      <c r="I11845" s="3">
        <v>218</v>
      </c>
      <c r="J11845" s="3">
        <v>49</v>
      </c>
      <c r="K11845" s="3">
        <v>702</v>
      </c>
      <c r="L11845" s="3">
        <v>25</v>
      </c>
      <c r="M11845" s="3">
        <v>242</v>
      </c>
    </row>
    <row r="11846" spans="1:13" x14ac:dyDescent="0.25">
      <c r="A11846" s="1" t="str">
        <f>HYPERLINK("http://www.rosaceae.org/Prunus/Prunus_persica/p.persica_gdr_reftransV1_0023090","p.persica_gdr_reftransV1_0023090")</f>
        <v>p.persica_gdr_reftransV1_0023090</v>
      </c>
      <c r="B11846" s="3">
        <v>1656</v>
      </c>
      <c r="C11846" s="1" t="str">
        <f>HYPERLINK("http://www.uniprot.org/uniprot/XRCC4_ARATH","XRCC4_ARATH")</f>
        <v>XRCC4_ARATH</v>
      </c>
      <c r="D11846" t="s">
        <v>8265</v>
      </c>
      <c r="E11846" s="3" t="s">
        <v>3</v>
      </c>
      <c r="F11846" s="4">
        <v>3.1199999999999998E-46</v>
      </c>
      <c r="G11846" s="3">
        <v>347</v>
      </c>
      <c r="H11846" s="3">
        <v>59</v>
      </c>
      <c r="I11846" s="3">
        <v>102</v>
      </c>
      <c r="J11846" s="3">
        <v>122</v>
      </c>
      <c r="K11846" s="3">
        <v>427</v>
      </c>
      <c r="L11846" s="3">
        <v>12</v>
      </c>
      <c r="M11846" s="3">
        <v>112</v>
      </c>
    </row>
    <row r="11847" spans="1:13" x14ac:dyDescent="0.25">
      <c r="A11847" s="1" t="str">
        <f>HYPERLINK("http://www.rosaceae.org/Prunus/Prunus_persica/p.persica_gdr_reftransV1_0023140","p.persica_gdr_reftransV1_0023140")</f>
        <v>p.persica_gdr_reftransV1_0023140</v>
      </c>
      <c r="B11847" s="3">
        <v>2715</v>
      </c>
      <c r="C11847" s="1" t="str">
        <f>HYPERLINK("http://www.uniprot.org/uniprot/POT11_ARATH","POT11_ARATH")</f>
        <v>POT11_ARATH</v>
      </c>
      <c r="D11847" t="s">
        <v>2268</v>
      </c>
      <c r="E11847" s="3" t="s">
        <v>3</v>
      </c>
      <c r="F11847" s="4">
        <v>0</v>
      </c>
      <c r="G11847" s="3">
        <v>1987</v>
      </c>
      <c r="H11847" s="3">
        <v>73</v>
      </c>
      <c r="I11847" s="3">
        <v>597</v>
      </c>
      <c r="J11847" s="3">
        <v>726</v>
      </c>
      <c r="K11847" s="3">
        <v>2513</v>
      </c>
      <c r="L11847" s="3">
        <v>207</v>
      </c>
      <c r="M11847" s="3">
        <v>792</v>
      </c>
    </row>
    <row r="11848" spans="1:13" x14ac:dyDescent="0.25">
      <c r="A11848" s="1" t="str">
        <f>HYPERLINK("http://www.rosaceae.org/Prunus/Prunus_persica/p.persica_gdr_reftransV1_0023290","p.persica_gdr_reftransV1_0023290")</f>
        <v>p.persica_gdr_reftransV1_0023290</v>
      </c>
      <c r="B11848" s="3">
        <v>982</v>
      </c>
      <c r="C11848" s="1" t="str">
        <f>HYPERLINK("http://www.uniprot.org/uniprot/RSLE1_ORYSJ","RSLE1_ORYSJ")</f>
        <v>RSLE1_ORYSJ</v>
      </c>
      <c r="D11848" t="s">
        <v>7087</v>
      </c>
      <c r="E11848" s="3" t="s">
        <v>38</v>
      </c>
      <c r="F11848" s="4">
        <v>3.2299999999999999E-22</v>
      </c>
      <c r="G11848" s="3">
        <v>252</v>
      </c>
      <c r="H11848" s="3">
        <v>29</v>
      </c>
      <c r="I11848" s="3">
        <v>318</v>
      </c>
      <c r="J11848" s="3">
        <v>5</v>
      </c>
      <c r="K11848" s="3">
        <v>901</v>
      </c>
      <c r="L11848" s="3">
        <v>403</v>
      </c>
      <c r="M11848" s="3">
        <v>701</v>
      </c>
    </row>
    <row r="11849" spans="1:13" x14ac:dyDescent="0.25">
      <c r="A11849" s="1" t="str">
        <f>HYPERLINK("http://www.rosaceae.org/Prunus/Prunus_persica/p.persica_gdr_reftransV1_0023340","p.persica_gdr_reftransV1_0023340")</f>
        <v>p.persica_gdr_reftransV1_0023340</v>
      </c>
      <c r="B11849" s="3">
        <v>2156</v>
      </c>
      <c r="C11849" s="1" t="str">
        <f>HYPERLINK("http://www.uniprot.org/uniprot/Y2766_ARATH","Y2766_ARATH")</f>
        <v>Y2766_ARATH</v>
      </c>
      <c r="D11849" t="s">
        <v>8266</v>
      </c>
      <c r="E11849" s="3" t="s">
        <v>3</v>
      </c>
      <c r="F11849" s="4">
        <v>1.3600000000000001E-147</v>
      </c>
      <c r="G11849" s="3">
        <v>1132</v>
      </c>
      <c r="H11849" s="3">
        <v>77</v>
      </c>
      <c r="I11849" s="3">
        <v>303</v>
      </c>
      <c r="J11849" s="3">
        <v>569</v>
      </c>
      <c r="K11849" s="3">
        <v>1462</v>
      </c>
      <c r="L11849" s="3">
        <v>28</v>
      </c>
      <c r="M11849" s="3">
        <v>325</v>
      </c>
    </row>
    <row r="11850" spans="1:13" x14ac:dyDescent="0.25">
      <c r="A11850" s="1" t="str">
        <f>HYPERLINK("http://www.rosaceae.org/Prunus/Prunus_persica/p.persica_gdr_reftransV1_0023440","p.persica_gdr_reftransV1_0023440")</f>
        <v>p.persica_gdr_reftransV1_0023440</v>
      </c>
      <c r="B11850" s="3">
        <v>1444</v>
      </c>
      <c r="C11850" s="1" t="str">
        <f>HYPERLINK("http://www.uniprot.org/uniprot/ROC4_NICSY","ROC4_NICSY")</f>
        <v>ROC4_NICSY</v>
      </c>
      <c r="D11850" t="s">
        <v>8267</v>
      </c>
      <c r="E11850" s="3" t="s">
        <v>495</v>
      </c>
      <c r="F11850" s="4">
        <v>2.2700000000000001E-99</v>
      </c>
      <c r="G11850" s="3">
        <v>788</v>
      </c>
      <c r="H11850" s="3">
        <v>54</v>
      </c>
      <c r="I11850" s="3">
        <v>352</v>
      </c>
      <c r="J11850" s="3">
        <v>137</v>
      </c>
      <c r="K11850" s="3">
        <v>1174</v>
      </c>
      <c r="L11850" s="3">
        <v>1</v>
      </c>
      <c r="M11850" s="3">
        <v>315</v>
      </c>
    </row>
    <row r="11851" spans="1:13" x14ac:dyDescent="0.25">
      <c r="A11851" s="1" t="str">
        <f>HYPERLINK("http://www.rosaceae.org/Prunus/Prunus_persica/p.persica_gdr_reftransV1_0023540","p.persica_gdr_reftransV1_0023540")</f>
        <v>p.persica_gdr_reftransV1_0023540</v>
      </c>
      <c r="B11851" s="3">
        <v>3157</v>
      </c>
      <c r="C11851" s="1" t="str">
        <f>HYPERLINK("http://www.uniprot.org/uniprot/Y1133_ARATH","Y1133_ARATH")</f>
        <v>Y1133_ARATH</v>
      </c>
      <c r="D11851" t="s">
        <v>3480</v>
      </c>
      <c r="E11851" s="3" t="s">
        <v>3</v>
      </c>
      <c r="F11851" s="4">
        <v>6.2499999999999999E-97</v>
      </c>
      <c r="G11851" s="3">
        <v>642</v>
      </c>
      <c r="H11851" s="3">
        <v>65</v>
      </c>
      <c r="I11851" s="3">
        <v>181</v>
      </c>
      <c r="J11851" s="3">
        <v>996</v>
      </c>
      <c r="K11851" s="3">
        <v>1538</v>
      </c>
      <c r="L11851" s="3">
        <v>509</v>
      </c>
      <c r="M11851" s="3">
        <v>689</v>
      </c>
    </row>
    <row r="11852" spans="1:13" x14ac:dyDescent="0.25">
      <c r="A11852" s="1" t="str">
        <f>HYPERLINK("http://www.rosaceae.org/Prunus/Prunus_persica/p.persica_gdr_reftransV1_0023990","p.persica_gdr_reftransV1_0023990")</f>
        <v>p.persica_gdr_reftransV1_0023990</v>
      </c>
      <c r="B11852" s="3">
        <v>1415</v>
      </c>
      <c r="C11852" s="1" t="str">
        <f>HYPERLINK("http://www.uniprot.org/uniprot/OS9_ARATH","OS9_ARATH")</f>
        <v>OS9_ARATH</v>
      </c>
      <c r="D11852" t="s">
        <v>8268</v>
      </c>
      <c r="E11852" s="3" t="s">
        <v>3</v>
      </c>
      <c r="F11852" s="4">
        <v>2.1599999999999999E-85</v>
      </c>
      <c r="G11852" s="3">
        <v>548</v>
      </c>
      <c r="H11852" s="3">
        <v>57</v>
      </c>
      <c r="I11852" s="3">
        <v>198</v>
      </c>
      <c r="J11852" s="3">
        <v>160</v>
      </c>
      <c r="K11852" s="3">
        <v>750</v>
      </c>
      <c r="L11852" s="3">
        <v>2</v>
      </c>
      <c r="M11852" s="3">
        <v>183</v>
      </c>
    </row>
    <row r="11853" spans="1:13" x14ac:dyDescent="0.25">
      <c r="A11853" s="1" t="str">
        <f>HYPERLINK("http://www.rosaceae.org/Prunus/Prunus_persica/p.persica_gdr_reftransV1_0024240","p.persica_gdr_reftransV1_0024240")</f>
        <v>p.persica_gdr_reftransV1_0024240</v>
      </c>
      <c r="B11853" s="3">
        <v>836</v>
      </c>
      <c r="C11853" s="1" t="str">
        <f>HYPERLINK("http://www.uniprot.org/uniprot/MD37D_ARATH","MD37D_ARATH")</f>
        <v>MD37D_ARATH</v>
      </c>
      <c r="D11853" t="s">
        <v>8269</v>
      </c>
      <c r="E11853" s="3" t="s">
        <v>3</v>
      </c>
      <c r="F11853" s="4">
        <v>1.8399999999999999E-60</v>
      </c>
      <c r="G11853" s="3">
        <v>529</v>
      </c>
      <c r="H11853" s="3">
        <v>88</v>
      </c>
      <c r="I11853" s="3">
        <v>114</v>
      </c>
      <c r="J11853" s="3">
        <v>2</v>
      </c>
      <c r="K11853" s="3">
        <v>343</v>
      </c>
      <c r="L11853" s="3">
        <v>505</v>
      </c>
      <c r="M11853" s="3">
        <v>618</v>
      </c>
    </row>
    <row r="11854" spans="1:13" x14ac:dyDescent="0.25">
      <c r="A11854" s="1" t="str">
        <f>HYPERLINK("http://www.rosaceae.org/Prunus/Prunus_persica/p.persica_gdr_reftransV1_0024290","p.persica_gdr_reftransV1_0024290")</f>
        <v>p.persica_gdr_reftransV1_0024290</v>
      </c>
      <c r="B11854" s="3">
        <v>1197</v>
      </c>
      <c r="C11854" s="1" t="str">
        <f>HYPERLINK("http://www.uniprot.org/uniprot/YIPL_SOLTU","YIPL_SOLTU")</f>
        <v>YIPL_SOLTU</v>
      </c>
      <c r="D11854" t="s">
        <v>5403</v>
      </c>
      <c r="E11854" s="3" t="s">
        <v>11</v>
      </c>
      <c r="F11854" s="4">
        <v>9.4700000000000001E-55</v>
      </c>
      <c r="G11854" s="3">
        <v>464</v>
      </c>
      <c r="H11854" s="3">
        <v>88</v>
      </c>
      <c r="I11854" s="3">
        <v>102</v>
      </c>
      <c r="J11854" s="3">
        <v>396</v>
      </c>
      <c r="K11854" s="3">
        <v>701</v>
      </c>
      <c r="L11854" s="3">
        <v>1</v>
      </c>
      <c r="M11854" s="3">
        <v>102</v>
      </c>
    </row>
    <row r="11855" spans="1:13" x14ac:dyDescent="0.25">
      <c r="A11855" s="1" t="str">
        <f>HYPERLINK("http://www.rosaceae.org/Prunus/Prunus_persica/p.persica_gdr_reftransV1_0024590","p.persica_gdr_reftransV1_0024590")</f>
        <v>p.persica_gdr_reftransV1_0024590</v>
      </c>
      <c r="B11855" s="3">
        <v>939</v>
      </c>
      <c r="C11855" s="1" t="str">
        <f>HYPERLINK("http://www.uniprot.org/uniprot/ARF_VIGUN","ARF_VIGUN")</f>
        <v>ARF_VIGUN</v>
      </c>
      <c r="D11855" t="s">
        <v>1008</v>
      </c>
      <c r="E11855" s="3" t="s">
        <v>1009</v>
      </c>
      <c r="F11855" s="4">
        <v>3.9600000000000002E-93</v>
      </c>
      <c r="G11855" s="3">
        <v>718</v>
      </c>
      <c r="H11855" s="3">
        <v>87</v>
      </c>
      <c r="I11855" s="3">
        <v>150</v>
      </c>
      <c r="J11855" s="3">
        <v>2</v>
      </c>
      <c r="K11855" s="3">
        <v>451</v>
      </c>
      <c r="L11855" s="3">
        <v>1</v>
      </c>
      <c r="M11855" s="3">
        <v>150</v>
      </c>
    </row>
    <row r="11856" spans="1:13" x14ac:dyDescent="0.25">
      <c r="A11856" s="1" t="str">
        <f>HYPERLINK("http://www.rosaceae.org/Prunus/Prunus_persica/p.persica_gdr_reftransV1_0024740","p.persica_gdr_reftransV1_0024740")</f>
        <v>p.persica_gdr_reftransV1_0024740</v>
      </c>
      <c r="B11856" s="3">
        <v>2952</v>
      </c>
      <c r="C11856" s="1" t="str">
        <f>HYPERLINK("http://www.uniprot.org/uniprot/ARFP_ARATH","ARFP_ARATH")</f>
        <v>ARFP_ARATH</v>
      </c>
      <c r="D11856" t="s">
        <v>8270</v>
      </c>
      <c r="E11856" s="3" t="s">
        <v>3</v>
      </c>
      <c r="F11856" s="4">
        <v>5.4200000000000001E-158</v>
      </c>
      <c r="G11856" s="3">
        <v>1256</v>
      </c>
      <c r="H11856" s="3">
        <v>68</v>
      </c>
      <c r="I11856" s="3">
        <v>374</v>
      </c>
      <c r="J11856" s="3">
        <v>792</v>
      </c>
      <c r="K11856" s="3">
        <v>1901</v>
      </c>
      <c r="L11856" s="3">
        <v>1</v>
      </c>
      <c r="M11856" s="3">
        <v>359</v>
      </c>
    </row>
    <row r="11857" spans="1:13" x14ac:dyDescent="0.25">
      <c r="A11857" s="1" t="str">
        <f>HYPERLINK("http://www.rosaceae.org/Prunus/Prunus_persica/p.persica_gdr_reftransV1_0024840","p.persica_gdr_reftransV1_0024840")</f>
        <v>p.persica_gdr_reftransV1_0024840</v>
      </c>
      <c r="B11857" s="3">
        <v>3949</v>
      </c>
      <c r="C11857" s="1" t="str">
        <f>HYPERLINK("http://www.uniprot.org/uniprot/DNJ49_ARATH","DNJ49_ARATH")</f>
        <v>DNJ49_ARATH</v>
      </c>
      <c r="D11857" t="s">
        <v>4749</v>
      </c>
      <c r="E11857" s="3" t="s">
        <v>3</v>
      </c>
      <c r="F11857" s="4">
        <v>7.9499999999999993E-65</v>
      </c>
      <c r="G11857" s="3">
        <v>585</v>
      </c>
      <c r="H11857" s="3">
        <v>41</v>
      </c>
      <c r="I11857" s="3">
        <v>370</v>
      </c>
      <c r="J11857" s="3">
        <v>2522</v>
      </c>
      <c r="K11857" s="3">
        <v>3595</v>
      </c>
      <c r="L11857" s="3">
        <v>1</v>
      </c>
      <c r="M11857" s="3">
        <v>343</v>
      </c>
    </row>
    <row r="11858" spans="1:13" x14ac:dyDescent="0.25">
      <c r="A11858" s="1" t="str">
        <f>HYPERLINK("http://www.rosaceae.org/Prunus/Prunus_persica/p.persica_gdr_reftransV1_0025240","p.persica_gdr_reftransV1_0025240")</f>
        <v>p.persica_gdr_reftransV1_0025240</v>
      </c>
      <c r="B11858" s="3">
        <v>2017</v>
      </c>
      <c r="C11858" s="1" t="str">
        <f>HYPERLINK("http://www.uniprot.org/uniprot/EXOL3_ARATH","EXOL3_ARATH")</f>
        <v>EXOL3_ARATH</v>
      </c>
      <c r="D11858" t="s">
        <v>8271</v>
      </c>
      <c r="E11858" s="3" t="s">
        <v>3</v>
      </c>
      <c r="F11858" s="4">
        <v>0</v>
      </c>
      <c r="G11858" s="3">
        <v>1349</v>
      </c>
      <c r="H11858" s="3">
        <v>81</v>
      </c>
      <c r="I11858" s="3">
        <v>320</v>
      </c>
      <c r="J11858" s="3">
        <v>242</v>
      </c>
      <c r="K11858" s="3">
        <v>1201</v>
      </c>
      <c r="L11858" s="3">
        <v>19</v>
      </c>
      <c r="M11858" s="3">
        <v>337</v>
      </c>
    </row>
    <row r="11859" spans="1:13" x14ac:dyDescent="0.25">
      <c r="A11859" s="1" t="str">
        <f>HYPERLINK("http://www.rosaceae.org/Prunus/Prunus_persica/p.persica_gdr_reftransV1_0025340","p.persica_gdr_reftransV1_0025340")</f>
        <v>p.persica_gdr_reftransV1_0025340</v>
      </c>
      <c r="B11859" s="3">
        <v>2476</v>
      </c>
      <c r="C11859" s="1" t="str">
        <f>HYPERLINK("http://www.uniprot.org/uniprot/GLE1_ARATH","GLE1_ARATH")</f>
        <v>GLE1_ARATH</v>
      </c>
      <c r="D11859" t="s">
        <v>8272</v>
      </c>
      <c r="E11859" s="3" t="s">
        <v>3</v>
      </c>
      <c r="F11859" s="4">
        <v>5.1600000000000001E-88</v>
      </c>
      <c r="G11859" s="3">
        <v>761</v>
      </c>
      <c r="H11859" s="3">
        <v>51</v>
      </c>
      <c r="I11859" s="3">
        <v>296</v>
      </c>
      <c r="J11859" s="3">
        <v>1284</v>
      </c>
      <c r="K11859" s="3">
        <v>2156</v>
      </c>
      <c r="L11859" s="3">
        <v>310</v>
      </c>
      <c r="M11859" s="3">
        <v>582</v>
      </c>
    </row>
    <row r="11860" spans="1:13" x14ac:dyDescent="0.25">
      <c r="A11860" s="1" t="str">
        <f>HYPERLINK("http://www.rosaceae.org/Prunus/Prunus_persica/p.persica_gdr_reftransV1_0025690","p.persica_gdr_reftransV1_0025690")</f>
        <v>p.persica_gdr_reftransV1_0025690</v>
      </c>
      <c r="B11860" s="3">
        <v>1740</v>
      </c>
      <c r="C11860" s="1" t="str">
        <f>HYPERLINK("http://www.uniprot.org/uniprot/TPR1_ARATH","TPR1_ARATH")</f>
        <v>TPR1_ARATH</v>
      </c>
      <c r="D11860" t="s">
        <v>8273</v>
      </c>
      <c r="E11860" s="3" t="s">
        <v>3</v>
      </c>
      <c r="F11860" s="4">
        <v>1.8E-51</v>
      </c>
      <c r="G11860" s="3">
        <v>403</v>
      </c>
      <c r="H11860" s="3">
        <v>76</v>
      </c>
      <c r="I11860" s="3">
        <v>98</v>
      </c>
      <c r="J11860" s="3">
        <v>330</v>
      </c>
      <c r="K11860" s="3">
        <v>623</v>
      </c>
      <c r="L11860" s="3">
        <v>897</v>
      </c>
      <c r="M11860" s="3">
        <v>994</v>
      </c>
    </row>
    <row r="11861" spans="1:13" x14ac:dyDescent="0.25">
      <c r="A11861" s="1" t="str">
        <f>HYPERLINK("http://www.rosaceae.org/Prunus/Prunus_persica/p.persica_gdr_reftransV1_0025790","p.persica_gdr_reftransV1_0025790")</f>
        <v>p.persica_gdr_reftransV1_0025790</v>
      </c>
      <c r="B11861" s="3">
        <v>2194</v>
      </c>
      <c r="C11861" s="1" t="str">
        <f>HYPERLINK("http://www.uniprot.org/uniprot/ANTR5_ARATH","ANTR5_ARATH")</f>
        <v>ANTR5_ARATH</v>
      </c>
      <c r="D11861" t="s">
        <v>8274</v>
      </c>
      <c r="E11861" s="3" t="s">
        <v>3</v>
      </c>
      <c r="F11861" s="4">
        <v>0</v>
      </c>
      <c r="G11861" s="3">
        <v>1824</v>
      </c>
      <c r="H11861" s="3">
        <v>80</v>
      </c>
      <c r="I11861" s="3">
        <v>442</v>
      </c>
      <c r="J11861" s="3">
        <v>428</v>
      </c>
      <c r="K11861" s="3">
        <v>1753</v>
      </c>
      <c r="L11861" s="3">
        <v>1</v>
      </c>
      <c r="M11861" s="3">
        <v>432</v>
      </c>
    </row>
    <row r="11862" spans="1:13" x14ac:dyDescent="0.25">
      <c r="A11862" s="1" t="str">
        <f>HYPERLINK("http://www.rosaceae.org/Prunus/Prunus_persica/p.persica_gdr_reftransV1_0025840","p.persica_gdr_reftransV1_0025840")</f>
        <v>p.persica_gdr_reftransV1_0025840</v>
      </c>
      <c r="B11862" s="3">
        <v>1822</v>
      </c>
      <c r="C11862" s="1" t="str">
        <f>HYPERLINK("http://www.uniprot.org/uniprot/RAB1C_ARATH","RAB1C_ARATH")</f>
        <v>RAB1C_ARATH</v>
      </c>
      <c r="D11862" t="s">
        <v>8275</v>
      </c>
      <c r="E11862" s="3" t="s">
        <v>3</v>
      </c>
      <c r="F11862" s="4">
        <v>1.57E-126</v>
      </c>
      <c r="G11862" s="3">
        <v>970</v>
      </c>
      <c r="H11862" s="3">
        <v>100</v>
      </c>
      <c r="I11862" s="3">
        <v>181</v>
      </c>
      <c r="J11862" s="3">
        <v>329</v>
      </c>
      <c r="K11862" s="3">
        <v>871</v>
      </c>
      <c r="L11862" s="3">
        <v>1</v>
      </c>
      <c r="M11862" s="3">
        <v>181</v>
      </c>
    </row>
    <row r="11863" spans="1:13" x14ac:dyDescent="0.25">
      <c r="A11863" s="1" t="str">
        <f>HYPERLINK("http://www.rosaceae.org/Prunus/Prunus_persica/p.persica_gdr_reftransV1_0026490","p.persica_gdr_reftransV1_0026490")</f>
        <v>p.persica_gdr_reftransV1_0026490</v>
      </c>
      <c r="B11863" s="3">
        <v>1878</v>
      </c>
      <c r="C11863" s="1" t="str">
        <f>HYPERLINK("http://www.uniprot.org/uniprot/SF3B4_HUMAN","SF3B4_HUMAN")</f>
        <v>SF3B4_HUMAN</v>
      </c>
      <c r="D11863" t="s">
        <v>2925</v>
      </c>
      <c r="E11863" s="3" t="s">
        <v>28</v>
      </c>
      <c r="F11863" s="4">
        <v>4.1700000000000003E-99</v>
      </c>
      <c r="G11863" s="3">
        <v>808</v>
      </c>
      <c r="H11863" s="3">
        <v>78</v>
      </c>
      <c r="I11863" s="3">
        <v>185</v>
      </c>
      <c r="J11863" s="3">
        <v>1213</v>
      </c>
      <c r="K11863" s="3">
        <v>1767</v>
      </c>
      <c r="L11863" s="3">
        <v>7</v>
      </c>
      <c r="M11863" s="3">
        <v>191</v>
      </c>
    </row>
    <row r="11864" spans="1:13" x14ac:dyDescent="0.25">
      <c r="A11864" s="1" t="str">
        <f>HYPERLINK("http://www.rosaceae.org/Prunus/Prunus_persica/p.persica_gdr_reftransV1_0026790","p.persica_gdr_reftransV1_0026790")</f>
        <v>p.persica_gdr_reftransV1_0026790</v>
      </c>
      <c r="B11864" s="3">
        <v>1865</v>
      </c>
      <c r="C11864" s="1" t="str">
        <f>HYPERLINK("http://www.uniprot.org/uniprot/NUD14_ARATH","NUD14_ARATH")</f>
        <v>NUD14_ARATH</v>
      </c>
      <c r="D11864" t="s">
        <v>8276</v>
      </c>
      <c r="E11864" s="3" t="s">
        <v>3</v>
      </c>
      <c r="F11864" s="4">
        <v>8.3200000000000003E-74</v>
      </c>
      <c r="G11864" s="3">
        <v>626</v>
      </c>
      <c r="H11864" s="3">
        <v>73</v>
      </c>
      <c r="I11864" s="3">
        <v>162</v>
      </c>
      <c r="J11864" s="3">
        <v>128</v>
      </c>
      <c r="K11864" s="3">
        <v>613</v>
      </c>
      <c r="L11864" s="3">
        <v>34</v>
      </c>
      <c r="M11864" s="3">
        <v>195</v>
      </c>
    </row>
    <row r="11865" spans="1:13" x14ac:dyDescent="0.25">
      <c r="A11865" s="1" t="str">
        <f>HYPERLINK("http://www.rosaceae.org/Prunus/Prunus_persica/p.persica_gdr_reftransV1_0026890","p.persica_gdr_reftransV1_0026890")</f>
        <v>p.persica_gdr_reftransV1_0026890</v>
      </c>
      <c r="B11865" s="3">
        <v>4386</v>
      </c>
      <c r="C11865" s="1" t="str">
        <f>HYPERLINK("http://www.uniprot.org/uniprot/GRF10_ORYSJ","GRF10_ORYSJ")</f>
        <v>GRF10_ORYSJ</v>
      </c>
      <c r="D11865" t="s">
        <v>8277</v>
      </c>
      <c r="E11865" s="3" t="s">
        <v>38</v>
      </c>
      <c r="F11865" s="4">
        <v>7.7400000000000006E-20</v>
      </c>
      <c r="G11865" s="3">
        <v>235</v>
      </c>
      <c r="H11865" s="3">
        <v>59</v>
      </c>
      <c r="I11865" s="3">
        <v>69</v>
      </c>
      <c r="J11865" s="3">
        <v>2548</v>
      </c>
      <c r="K11865" s="3">
        <v>2745</v>
      </c>
      <c r="L11865" s="3">
        <v>118</v>
      </c>
      <c r="M11865" s="3">
        <v>186</v>
      </c>
    </row>
    <row r="11866" spans="1:13" x14ac:dyDescent="0.25">
      <c r="A11866" s="1" t="str">
        <f>HYPERLINK("http://www.rosaceae.org/Prunus/Prunus_persica/p.persica_gdr_reftransV1_0026990","p.persica_gdr_reftransV1_0026990")</f>
        <v>p.persica_gdr_reftransV1_0026990</v>
      </c>
      <c r="B11866" s="3">
        <v>1223</v>
      </c>
      <c r="C11866" s="1" t="str">
        <f>HYPERLINK("http://www.uniprot.org/uniprot/RAC2_LOTJA","RAC2_LOTJA")</f>
        <v>RAC2_LOTJA</v>
      </c>
      <c r="D11866" t="s">
        <v>8278</v>
      </c>
      <c r="E11866" s="3" t="s">
        <v>880</v>
      </c>
      <c r="F11866" s="4">
        <v>7.6299999999999999E-123</v>
      </c>
      <c r="G11866" s="3">
        <v>926</v>
      </c>
      <c r="H11866" s="3">
        <v>94</v>
      </c>
      <c r="I11866" s="3">
        <v>194</v>
      </c>
      <c r="J11866" s="3">
        <v>294</v>
      </c>
      <c r="K11866" s="3">
        <v>875</v>
      </c>
      <c r="L11866" s="3">
        <v>1</v>
      </c>
      <c r="M11866" s="3">
        <v>194</v>
      </c>
    </row>
    <row r="11867" spans="1:13" x14ac:dyDescent="0.25">
      <c r="A11867" s="1" t="str">
        <f>HYPERLINK("http://www.rosaceae.org/Prunus/Prunus_persica/p.persica_gdr_reftransV1_0027490","p.persica_gdr_reftransV1_0027490")</f>
        <v>p.persica_gdr_reftransV1_0027490</v>
      </c>
      <c r="B11867" s="3">
        <v>2609</v>
      </c>
      <c r="C11867" s="1" t="str">
        <f>HYPERLINK("http://www.uniprot.org/uniprot/BGA17_ARATH","BGA17_ARATH")</f>
        <v>BGA17_ARATH</v>
      </c>
      <c r="D11867" t="s">
        <v>8279</v>
      </c>
      <c r="E11867" s="3" t="s">
        <v>3</v>
      </c>
      <c r="F11867" s="4">
        <v>0</v>
      </c>
      <c r="G11867" s="3">
        <v>2253</v>
      </c>
      <c r="H11867" s="3">
        <v>63</v>
      </c>
      <c r="I11867" s="3">
        <v>667</v>
      </c>
      <c r="J11867" s="3">
        <v>287</v>
      </c>
      <c r="K11867" s="3">
        <v>2272</v>
      </c>
      <c r="L11867" s="3">
        <v>60</v>
      </c>
      <c r="M11867" s="3">
        <v>697</v>
      </c>
    </row>
    <row r="11868" spans="1:13" x14ac:dyDescent="0.25">
      <c r="A11868" s="1" t="str">
        <f>HYPERLINK("http://www.rosaceae.org/Prunus/Prunus_persica/p.persica_gdr_reftransV1_0027540","p.persica_gdr_reftransV1_0027540")</f>
        <v>p.persica_gdr_reftransV1_0027540</v>
      </c>
      <c r="B11868" s="3">
        <v>1290</v>
      </c>
      <c r="C11868" s="1" t="str">
        <f>HYPERLINK("http://www.uniprot.org/uniprot/RK3_TOBAC","RK3_TOBAC")</f>
        <v>RK3_TOBAC</v>
      </c>
      <c r="D11868" t="s">
        <v>8280</v>
      </c>
      <c r="E11868" s="3" t="s">
        <v>200</v>
      </c>
      <c r="F11868" s="4">
        <v>1.5699999999999999E-130</v>
      </c>
      <c r="G11868" s="3">
        <v>985</v>
      </c>
      <c r="H11868" s="3">
        <v>81</v>
      </c>
      <c r="I11868" s="3">
        <v>252</v>
      </c>
      <c r="J11868" s="3">
        <v>334</v>
      </c>
      <c r="K11868" s="3">
        <v>1059</v>
      </c>
      <c r="L11868" s="3">
        <v>7</v>
      </c>
      <c r="M11868" s="3">
        <v>258</v>
      </c>
    </row>
    <row r="11869" spans="1:13" x14ac:dyDescent="0.25">
      <c r="A11869" s="1" t="str">
        <f>HYPERLINK("http://www.rosaceae.org/Prunus/Prunus_persica/p.persica_gdr_reftransV1_0027590","p.persica_gdr_reftransV1_0027590")</f>
        <v>p.persica_gdr_reftransV1_0027590</v>
      </c>
      <c r="B11869" s="3">
        <v>4980</v>
      </c>
      <c r="C11869" s="1" t="str">
        <f>HYPERLINK("http://www.uniprot.org/uniprot/UPL6_ARATH","UPL6_ARATH")</f>
        <v>UPL6_ARATH</v>
      </c>
      <c r="D11869" t="s">
        <v>8281</v>
      </c>
      <c r="E11869" s="3" t="s">
        <v>3</v>
      </c>
      <c r="F11869" s="4">
        <v>0</v>
      </c>
      <c r="G11869" s="3">
        <v>3448</v>
      </c>
      <c r="H11869" s="3">
        <v>72</v>
      </c>
      <c r="I11869" s="3">
        <v>918</v>
      </c>
      <c r="J11869" s="3">
        <v>1933</v>
      </c>
      <c r="K11869" s="3">
        <v>4686</v>
      </c>
      <c r="L11869" s="3">
        <v>1</v>
      </c>
      <c r="M11869" s="3">
        <v>908</v>
      </c>
    </row>
    <row r="11870" spans="1:13" x14ac:dyDescent="0.25">
      <c r="A11870" s="1" t="str">
        <f>HYPERLINK("http://www.rosaceae.org/Prunus/Prunus_persica/p.persica_gdr_reftransV1_0027640","p.persica_gdr_reftransV1_0027640")</f>
        <v>p.persica_gdr_reftransV1_0027640</v>
      </c>
      <c r="B11870" s="3">
        <v>4667</v>
      </c>
      <c r="C11870" s="1" t="str">
        <f>HYPERLINK("http://www.uniprot.org/uniprot/ERMP1_RAT","ERMP1_RAT")</f>
        <v>ERMP1_RAT</v>
      </c>
      <c r="D11870" t="s">
        <v>8282</v>
      </c>
      <c r="E11870" s="3" t="s">
        <v>161</v>
      </c>
      <c r="F11870" s="4">
        <v>1.78E-53</v>
      </c>
      <c r="G11870" s="3">
        <v>527</v>
      </c>
      <c r="H11870" s="3">
        <v>38</v>
      </c>
      <c r="I11870" s="3">
        <v>331</v>
      </c>
      <c r="J11870" s="3">
        <v>3363</v>
      </c>
      <c r="K11870" s="3">
        <v>4331</v>
      </c>
      <c r="L11870" s="3">
        <v>105</v>
      </c>
      <c r="M11870" s="3">
        <v>406</v>
      </c>
    </row>
    <row r="11871" spans="1:13" x14ac:dyDescent="0.25">
      <c r="A11871" s="1" t="str">
        <f>HYPERLINK("http://www.rosaceae.org/Prunus/Prunus_persica/p.persica_gdr_reftransV1_0027790","p.persica_gdr_reftransV1_0027790")</f>
        <v>p.persica_gdr_reftransV1_0027790</v>
      </c>
      <c r="B11871" s="3">
        <v>3449</v>
      </c>
      <c r="C11871" s="1" t="str">
        <f>HYPERLINK("http://www.uniprot.org/uniprot/DCMC_HUMAN","DCMC_HUMAN")</f>
        <v>DCMC_HUMAN</v>
      </c>
      <c r="D11871" t="s">
        <v>8283</v>
      </c>
      <c r="E11871" s="3" t="s">
        <v>28</v>
      </c>
      <c r="F11871" s="4">
        <v>3.9500000000000001E-67</v>
      </c>
      <c r="G11871" s="3">
        <v>610</v>
      </c>
      <c r="H11871" s="3">
        <v>39</v>
      </c>
      <c r="I11871" s="3">
        <v>396</v>
      </c>
      <c r="J11871" s="3">
        <v>434</v>
      </c>
      <c r="K11871" s="3">
        <v>1603</v>
      </c>
      <c r="L11871" s="3">
        <v>70</v>
      </c>
      <c r="M11871" s="3">
        <v>429</v>
      </c>
    </row>
    <row r="11872" spans="1:13" x14ac:dyDescent="0.25">
      <c r="A11872" s="1" t="str">
        <f>HYPERLINK("http://www.rosaceae.org/Prunus/Prunus_persica/p.persica_gdr_reftransV1_0027840","p.persica_gdr_reftransV1_0027840")</f>
        <v>p.persica_gdr_reftransV1_0027840</v>
      </c>
      <c r="B11872" s="3">
        <v>2291</v>
      </c>
      <c r="C11872" s="1" t="str">
        <f>HYPERLINK("http://www.uniprot.org/uniprot/ENDUB_DANRE","ENDUB_DANRE")</f>
        <v>ENDUB_DANRE</v>
      </c>
      <c r="D11872" t="s">
        <v>8284</v>
      </c>
      <c r="E11872" s="3" t="s">
        <v>704</v>
      </c>
      <c r="F11872" s="4">
        <v>1.86E-36</v>
      </c>
      <c r="G11872" s="3">
        <v>361</v>
      </c>
      <c r="H11872" s="3">
        <v>43</v>
      </c>
      <c r="I11872" s="3">
        <v>187</v>
      </c>
      <c r="J11872" s="3">
        <v>1131</v>
      </c>
      <c r="K11872" s="3">
        <v>1676</v>
      </c>
      <c r="L11872" s="3">
        <v>7</v>
      </c>
      <c r="M11872" s="3">
        <v>191</v>
      </c>
    </row>
    <row r="11873" spans="1:13" x14ac:dyDescent="0.25">
      <c r="A11873" s="1" t="str">
        <f>HYPERLINK("http://www.rosaceae.org/Prunus/Prunus_persica/p.persica_gdr_reftransV1_0027990","p.persica_gdr_reftransV1_0027990")</f>
        <v>p.persica_gdr_reftransV1_0027990</v>
      </c>
      <c r="B11873" s="3">
        <v>988</v>
      </c>
      <c r="C11873" s="1" t="str">
        <f>HYPERLINK("http://www.uniprot.org/uniprot/PP198_ARATH","PP198_ARATH")</f>
        <v>PP198_ARATH</v>
      </c>
      <c r="D11873" t="s">
        <v>4451</v>
      </c>
      <c r="E11873" s="3" t="s">
        <v>3</v>
      </c>
      <c r="F11873" s="4">
        <v>1.0699999999999999E-74</v>
      </c>
      <c r="G11873" s="3">
        <v>633</v>
      </c>
      <c r="H11873" s="3">
        <v>48</v>
      </c>
      <c r="I11873" s="3">
        <v>244</v>
      </c>
      <c r="J11873" s="3">
        <v>21</v>
      </c>
      <c r="K11873" s="3">
        <v>752</v>
      </c>
      <c r="L11873" s="3">
        <v>409</v>
      </c>
      <c r="M11873" s="3">
        <v>650</v>
      </c>
    </row>
    <row r="11874" spans="1:13" x14ac:dyDescent="0.25">
      <c r="A11874" s="1" t="str">
        <f>HYPERLINK("http://www.rosaceae.org/Prunus/Prunus_persica/p.persica_gdr_reftransV1_0028040","p.persica_gdr_reftransV1_0028040")</f>
        <v>p.persica_gdr_reftransV1_0028040</v>
      </c>
      <c r="B11874" s="3">
        <v>3047</v>
      </c>
      <c r="C11874" s="1" t="str">
        <f>HYPERLINK("http://www.uniprot.org/uniprot/GLRX3_ECOLI","GLRX3_ECOLI")</f>
        <v>GLRX3_ECOLI</v>
      </c>
      <c r="D11874" t="s">
        <v>5861</v>
      </c>
      <c r="E11874" s="3" t="s">
        <v>2372</v>
      </c>
      <c r="F11874" s="4">
        <v>1.3000000000000001E-8</v>
      </c>
      <c r="G11874" s="3">
        <v>140</v>
      </c>
      <c r="H11874" s="3">
        <v>33</v>
      </c>
      <c r="I11874" s="3">
        <v>80</v>
      </c>
      <c r="J11874" s="3">
        <v>948</v>
      </c>
      <c r="K11874" s="3">
        <v>1187</v>
      </c>
      <c r="L11874" s="3">
        <v>4</v>
      </c>
      <c r="M11874" s="3">
        <v>83</v>
      </c>
    </row>
    <row r="11875" spans="1:13" x14ac:dyDescent="0.25">
      <c r="A11875" s="1" t="str">
        <f>HYPERLINK("http://www.rosaceae.org/Prunus/Prunus_persica/p.persica_gdr_reftransV1_0028140","p.persica_gdr_reftransV1_0028140")</f>
        <v>p.persica_gdr_reftransV1_0028140</v>
      </c>
      <c r="B11875" s="3">
        <v>2278</v>
      </c>
      <c r="C11875" s="1" t="str">
        <f>HYPERLINK("http://www.uniprot.org/uniprot/ANGLT_ROSHC","ANGLT_ROSHC")</f>
        <v>ANGLT_ROSHC</v>
      </c>
      <c r="D11875" t="s">
        <v>7857</v>
      </c>
      <c r="E11875" s="3" t="s">
        <v>7858</v>
      </c>
      <c r="F11875" s="4">
        <v>2.1300000000000001E-130</v>
      </c>
      <c r="G11875" s="3">
        <v>1035</v>
      </c>
      <c r="H11875" s="3">
        <v>47</v>
      </c>
      <c r="I11875" s="3">
        <v>481</v>
      </c>
      <c r="J11875" s="3">
        <v>215</v>
      </c>
      <c r="K11875" s="3">
        <v>1627</v>
      </c>
      <c r="L11875" s="3">
        <v>1</v>
      </c>
      <c r="M11875" s="3">
        <v>463</v>
      </c>
    </row>
    <row r="11876" spans="1:13" x14ac:dyDescent="0.25">
      <c r="A11876" s="1" t="str">
        <f>HYPERLINK("http://www.rosaceae.org/Prunus/Prunus_persica/p.persica_gdr_reftransV1_0028340","p.persica_gdr_reftransV1_0028340")</f>
        <v>p.persica_gdr_reftransV1_0028340</v>
      </c>
      <c r="B11876" s="3">
        <v>6151</v>
      </c>
      <c r="C11876" s="1" t="str">
        <f>HYPERLINK("http://www.uniprot.org/uniprot/AB5C_ARATH","AB5C_ARATH")</f>
        <v>AB5C_ARATH</v>
      </c>
      <c r="D11876" t="s">
        <v>8285</v>
      </c>
      <c r="E11876" s="3" t="s">
        <v>3</v>
      </c>
      <c r="F11876" s="4">
        <v>0</v>
      </c>
      <c r="G11876" s="3">
        <v>6057</v>
      </c>
      <c r="H11876" s="3">
        <v>80</v>
      </c>
      <c r="I11876" s="3">
        <v>1477</v>
      </c>
      <c r="J11876" s="3">
        <v>991</v>
      </c>
      <c r="K11876" s="3">
        <v>5409</v>
      </c>
      <c r="L11876" s="3">
        <v>12</v>
      </c>
      <c r="M11876" s="3">
        <v>1478</v>
      </c>
    </row>
    <row r="11877" spans="1:13" x14ac:dyDescent="0.25">
      <c r="A11877" s="1" t="str">
        <f>HYPERLINK("http://www.rosaceae.org/Prunus/Prunus_persica/p.persica_gdr_reftransV1_0028690","p.persica_gdr_reftransV1_0028690")</f>
        <v>p.persica_gdr_reftransV1_0028690</v>
      </c>
      <c r="B11877" s="3">
        <v>1700</v>
      </c>
      <c r="C11877" s="1" t="str">
        <f>HYPERLINK("http://www.uniprot.org/uniprot/CCN2_ANTMA","CCN2_ANTMA")</f>
        <v>CCN2_ANTMA</v>
      </c>
      <c r="D11877" t="s">
        <v>8286</v>
      </c>
      <c r="E11877" s="3" t="s">
        <v>1408</v>
      </c>
      <c r="F11877" s="4">
        <v>9.0699999999999997E-147</v>
      </c>
      <c r="G11877" s="3">
        <v>1124</v>
      </c>
      <c r="H11877" s="3">
        <v>57</v>
      </c>
      <c r="I11877" s="3">
        <v>444</v>
      </c>
      <c r="J11877" s="3">
        <v>289</v>
      </c>
      <c r="K11877" s="3">
        <v>1608</v>
      </c>
      <c r="L11877" s="3">
        <v>2</v>
      </c>
      <c r="M11877" s="3">
        <v>435</v>
      </c>
    </row>
    <row r="11878" spans="1:13" x14ac:dyDescent="0.25">
      <c r="A11878" s="1" t="str">
        <f>HYPERLINK("http://www.rosaceae.org/Prunus/Prunus_persica/p.persica_gdr_reftransV1_0028990","p.persica_gdr_reftransV1_0028990")</f>
        <v>p.persica_gdr_reftransV1_0028990</v>
      </c>
      <c r="B11878" s="3">
        <v>2510</v>
      </c>
      <c r="C11878" s="1" t="str">
        <f>HYPERLINK("http://www.uniprot.org/uniprot/PABP5_ARATH","PABP5_ARATH")</f>
        <v>PABP5_ARATH</v>
      </c>
      <c r="D11878" t="s">
        <v>8287</v>
      </c>
      <c r="E11878" s="3" t="s">
        <v>3</v>
      </c>
      <c r="F11878" s="4">
        <v>0</v>
      </c>
      <c r="G11878" s="3">
        <v>1759</v>
      </c>
      <c r="H11878" s="3">
        <v>60</v>
      </c>
      <c r="I11878" s="3">
        <v>620</v>
      </c>
      <c r="J11878" s="3">
        <v>342</v>
      </c>
      <c r="K11878" s="3">
        <v>2177</v>
      </c>
      <c r="L11878" s="3">
        <v>58</v>
      </c>
      <c r="M11878" s="3">
        <v>670</v>
      </c>
    </row>
    <row r="11879" spans="1:13" x14ac:dyDescent="0.25">
      <c r="A11879" s="1" t="str">
        <f>HYPERLINK("http://www.rosaceae.org/Prunus/Prunus_persica/p.persica_gdr_reftransV1_0029340","p.persica_gdr_reftransV1_0029340")</f>
        <v>p.persica_gdr_reftransV1_0029340</v>
      </c>
      <c r="B11879" s="3">
        <v>1453</v>
      </c>
      <c r="C11879" s="1" t="str">
        <f>HYPERLINK("http://www.uniprot.org/uniprot/CSPL1_BRADI","CSPL1_BRADI")</f>
        <v>CSPL1_BRADI</v>
      </c>
      <c r="D11879" t="s">
        <v>8288</v>
      </c>
      <c r="E11879" s="3" t="s">
        <v>8289</v>
      </c>
      <c r="F11879" s="4">
        <v>3.0499999999999999E-42</v>
      </c>
      <c r="G11879" s="3">
        <v>387</v>
      </c>
      <c r="H11879" s="3">
        <v>63</v>
      </c>
      <c r="I11879" s="3">
        <v>122</v>
      </c>
      <c r="J11879" s="3">
        <v>325</v>
      </c>
      <c r="K11879" s="3">
        <v>690</v>
      </c>
      <c r="L11879" s="3">
        <v>1</v>
      </c>
      <c r="M11879" s="3">
        <v>121</v>
      </c>
    </row>
    <row r="11880" spans="1:13" x14ac:dyDescent="0.25">
      <c r="A11880" s="1" t="str">
        <f>HYPERLINK("http://www.rosaceae.org/Prunus/Prunus_persica/p.persica_gdr_reftransV1_0029390","p.persica_gdr_reftransV1_0029390")</f>
        <v>p.persica_gdr_reftransV1_0029390</v>
      </c>
      <c r="B11880" s="3">
        <v>1790</v>
      </c>
      <c r="C11880" s="1" t="str">
        <f>HYPERLINK("http://www.uniprot.org/uniprot/TPRKB_MOUSE","TPRKB_MOUSE")</f>
        <v>TPRKB_MOUSE</v>
      </c>
      <c r="D11880" t="s">
        <v>8290</v>
      </c>
      <c r="E11880" s="3" t="s">
        <v>157</v>
      </c>
      <c r="F11880" s="4">
        <v>3.41E-22</v>
      </c>
      <c r="G11880" s="3">
        <v>245</v>
      </c>
      <c r="H11880" s="3">
        <v>33</v>
      </c>
      <c r="I11880" s="3">
        <v>163</v>
      </c>
      <c r="J11880" s="3">
        <v>158</v>
      </c>
      <c r="K11880" s="3">
        <v>646</v>
      </c>
      <c r="L11880" s="3">
        <v>15</v>
      </c>
      <c r="M11880" s="3">
        <v>175</v>
      </c>
    </row>
    <row r="11881" spans="1:13" x14ac:dyDescent="0.25">
      <c r="A11881" s="1" t="str">
        <f>HYPERLINK("http://www.rosaceae.org/Prunus/Prunus_persica/p.persica_gdr_reftransV1_0030190","p.persica_gdr_reftransV1_0030190")</f>
        <v>p.persica_gdr_reftransV1_0030190</v>
      </c>
      <c r="B11881" s="3">
        <v>5238</v>
      </c>
      <c r="C11881" s="1" t="str">
        <f>HYPERLINK("http://www.uniprot.org/uniprot/RST1_ARATH","RST1_ARATH")</f>
        <v>RST1_ARATH</v>
      </c>
      <c r="D11881" t="s">
        <v>5002</v>
      </c>
      <c r="E11881" s="3" t="s">
        <v>3</v>
      </c>
      <c r="F11881" s="4">
        <v>0</v>
      </c>
      <c r="G11881" s="3">
        <v>3853</v>
      </c>
      <c r="H11881" s="3">
        <v>52</v>
      </c>
      <c r="I11881" s="3">
        <v>1645</v>
      </c>
      <c r="J11881" s="3">
        <v>1</v>
      </c>
      <c r="K11881" s="3">
        <v>4887</v>
      </c>
      <c r="L11881" s="3">
        <v>217</v>
      </c>
      <c r="M11881" s="3">
        <v>1838</v>
      </c>
    </row>
    <row r="11882" spans="1:13" x14ac:dyDescent="0.25">
      <c r="A11882" s="1" t="str">
        <f>HYPERLINK("http://www.rosaceae.org/Prunus/Prunus_persica/p.persica_gdr_reftransV1_0030440","p.persica_gdr_reftransV1_0030440")</f>
        <v>p.persica_gdr_reftransV1_0030440</v>
      </c>
      <c r="B11882" s="3">
        <v>3456</v>
      </c>
      <c r="C11882" s="1" t="str">
        <f>HYPERLINK("http://www.uniprot.org/uniprot/idE_HUMAN","idE_HUMAN")</f>
        <v>idE_HUMAN</v>
      </c>
      <c r="D11882" t="s">
        <v>8291</v>
      </c>
      <c r="E11882" s="3" t="s">
        <v>28</v>
      </c>
      <c r="F11882" s="4">
        <v>1.6699999999999999E-168</v>
      </c>
      <c r="G11882" s="3">
        <v>1370</v>
      </c>
      <c r="H11882" s="3">
        <v>36</v>
      </c>
      <c r="I11882" s="3">
        <v>948</v>
      </c>
      <c r="J11882" s="3">
        <v>235</v>
      </c>
      <c r="K11882" s="3">
        <v>3000</v>
      </c>
      <c r="L11882" s="3">
        <v>83</v>
      </c>
      <c r="M11882" s="3">
        <v>1008</v>
      </c>
    </row>
    <row r="11883" spans="1:13" x14ac:dyDescent="0.25">
      <c r="A11883" s="1" t="str">
        <f>HYPERLINK("http://www.rosaceae.org/Prunus/Prunus_persica/p.persica_gdr_reftransV1_0030590","p.persica_gdr_reftransV1_0030590")</f>
        <v>p.persica_gdr_reftransV1_0030590</v>
      </c>
      <c r="B11883" s="3">
        <v>2515</v>
      </c>
      <c r="C11883" s="1" t="str">
        <f>HYPERLINK("http://www.uniprot.org/uniprot/RLMN_SYMTH","RLMN_SYMTH")</f>
        <v>RLMN_SYMTH</v>
      </c>
      <c r="D11883" t="s">
        <v>8292</v>
      </c>
      <c r="E11883" s="3" t="s">
        <v>8293</v>
      </c>
      <c r="F11883" s="4">
        <v>1.21E-23</v>
      </c>
      <c r="G11883" s="3">
        <v>206</v>
      </c>
      <c r="H11883" s="3">
        <v>44</v>
      </c>
      <c r="I11883" s="3">
        <v>88</v>
      </c>
      <c r="J11883" s="3">
        <v>380</v>
      </c>
      <c r="K11883" s="3">
        <v>643</v>
      </c>
      <c r="L11883" s="3">
        <v>274</v>
      </c>
      <c r="M11883" s="3">
        <v>360</v>
      </c>
    </row>
    <row r="11884" spans="1:13" x14ac:dyDescent="0.25">
      <c r="A11884" s="1" t="str">
        <f>HYPERLINK("http://www.rosaceae.org/Prunus/Prunus_persica/p.persica_gdr_reftransV1_0030690","p.persica_gdr_reftransV1_0030690")</f>
        <v>p.persica_gdr_reftransV1_0030690</v>
      </c>
      <c r="B11884" s="3">
        <v>1723</v>
      </c>
      <c r="C11884" s="1" t="str">
        <f>HYPERLINK("http://www.uniprot.org/uniprot/WRK75_ARATH","WRK75_ARATH")</f>
        <v>WRK75_ARATH</v>
      </c>
      <c r="D11884" t="s">
        <v>6940</v>
      </c>
      <c r="E11884" s="3" t="s">
        <v>3</v>
      </c>
      <c r="F11884" s="4">
        <v>4.5899999999999998E-17</v>
      </c>
      <c r="G11884" s="3">
        <v>204</v>
      </c>
      <c r="H11884" s="3">
        <v>66</v>
      </c>
      <c r="I11884" s="3">
        <v>59</v>
      </c>
      <c r="J11884" s="3">
        <v>1105</v>
      </c>
      <c r="K11884" s="3">
        <v>1281</v>
      </c>
      <c r="L11884" s="3">
        <v>87</v>
      </c>
      <c r="M11884" s="3">
        <v>144</v>
      </c>
    </row>
    <row r="11885" spans="1:13" x14ac:dyDescent="0.25">
      <c r="A11885" s="1" t="str">
        <f>HYPERLINK("http://www.rosaceae.org/Prunus/Prunus_persica/p.persica_gdr_reftransV1_0030790","p.persica_gdr_reftransV1_0030790")</f>
        <v>p.persica_gdr_reftransV1_0030790</v>
      </c>
      <c r="B11885" s="3">
        <v>1516</v>
      </c>
      <c r="C11885" s="1" t="str">
        <f>HYPERLINK("http://www.uniprot.org/uniprot/PUB62_ARATH","PUB62_ARATH")</f>
        <v>PUB62_ARATH</v>
      </c>
      <c r="D11885" t="s">
        <v>6949</v>
      </c>
      <c r="E11885" s="3" t="s">
        <v>3</v>
      </c>
      <c r="F11885" s="4">
        <v>1.67E-70</v>
      </c>
      <c r="G11885" s="3">
        <v>600</v>
      </c>
      <c r="H11885" s="3">
        <v>49</v>
      </c>
      <c r="I11885" s="3">
        <v>288</v>
      </c>
      <c r="J11885" s="3">
        <v>370</v>
      </c>
      <c r="K11885" s="3">
        <v>1221</v>
      </c>
      <c r="L11885" s="3">
        <v>125</v>
      </c>
      <c r="M11885" s="3">
        <v>363</v>
      </c>
    </row>
    <row r="11886" spans="1:13" x14ac:dyDescent="0.25">
      <c r="A11886" s="1" t="str">
        <f>HYPERLINK("http://www.rosaceae.org/Prunus/Prunus_persica/p.persica_gdr_reftransV1_0030840","p.persica_gdr_reftransV1_0030840")</f>
        <v>p.persica_gdr_reftransV1_0030840</v>
      </c>
      <c r="B11886" s="3">
        <v>2209</v>
      </c>
      <c r="C11886" s="1" t="str">
        <f>HYPERLINK("http://www.uniprot.org/uniprot/CYSKP_SOLTU","CYSKP_SOLTU")</f>
        <v>CYSKP_SOLTU</v>
      </c>
      <c r="D11886" t="s">
        <v>3359</v>
      </c>
      <c r="E11886" s="3" t="s">
        <v>11</v>
      </c>
      <c r="F11886" s="4">
        <v>2.3199999999999998E-179</v>
      </c>
      <c r="G11886" s="3">
        <v>1351</v>
      </c>
      <c r="H11886" s="3">
        <v>84</v>
      </c>
      <c r="I11886" s="3">
        <v>319</v>
      </c>
      <c r="J11886" s="3">
        <v>239</v>
      </c>
      <c r="K11886" s="3">
        <v>1195</v>
      </c>
      <c r="L11886" s="3">
        <v>67</v>
      </c>
      <c r="M11886" s="3">
        <v>385</v>
      </c>
    </row>
    <row r="11887" spans="1:13" x14ac:dyDescent="0.25">
      <c r="A11887" s="1" t="str">
        <f>HYPERLINK("http://www.rosaceae.org/Prunus/Prunus_persica/p.persica_gdr_reftransV1_0030990","p.persica_gdr_reftransV1_0030990")</f>
        <v>p.persica_gdr_reftransV1_0030990</v>
      </c>
      <c r="B11887" s="3">
        <v>3061</v>
      </c>
      <c r="C11887" s="1" t="str">
        <f>HYPERLINK("http://www.uniprot.org/uniprot/RH13_ORYSJ","RH13_ORYSJ")</f>
        <v>RH13_ORYSJ</v>
      </c>
      <c r="D11887" t="s">
        <v>8294</v>
      </c>
      <c r="E11887" s="3" t="s">
        <v>38</v>
      </c>
      <c r="F11887" s="4">
        <v>0</v>
      </c>
      <c r="G11887" s="3">
        <v>1992</v>
      </c>
      <c r="H11887" s="3">
        <v>61</v>
      </c>
      <c r="I11887" s="3">
        <v>644</v>
      </c>
      <c r="J11887" s="3">
        <v>756</v>
      </c>
      <c r="K11887" s="3">
        <v>2687</v>
      </c>
      <c r="L11887" s="3">
        <v>198</v>
      </c>
      <c r="M11887" s="3">
        <v>801</v>
      </c>
    </row>
    <row r="11888" spans="1:13" x14ac:dyDescent="0.25">
      <c r="A11888" s="1" t="str">
        <f>HYPERLINK("http://www.rosaceae.org/Prunus/Prunus_persica/p.persica_gdr_reftransV1_0031140","p.persica_gdr_reftransV1_0031140")</f>
        <v>p.persica_gdr_reftransV1_0031140</v>
      </c>
      <c r="B11888" s="3">
        <v>3084</v>
      </c>
      <c r="C11888" s="1" t="str">
        <f>HYPERLINK("http://www.uniprot.org/uniprot/HIBC4_ARATH","HIBC4_ARATH")</f>
        <v>HIBC4_ARATH</v>
      </c>
      <c r="D11888" t="s">
        <v>8295</v>
      </c>
      <c r="E11888" s="3" t="s">
        <v>3</v>
      </c>
      <c r="F11888" s="4">
        <v>1.28E-173</v>
      </c>
      <c r="G11888" s="3">
        <v>1339</v>
      </c>
      <c r="H11888" s="3">
        <v>63</v>
      </c>
      <c r="I11888" s="3">
        <v>414</v>
      </c>
      <c r="J11888" s="3">
        <v>1564</v>
      </c>
      <c r="K11888" s="3">
        <v>2805</v>
      </c>
      <c r="L11888" s="3">
        <v>23</v>
      </c>
      <c r="M11888" s="3">
        <v>401</v>
      </c>
    </row>
    <row r="11889" spans="1:13" x14ac:dyDescent="0.25">
      <c r="A11889" s="1" t="str">
        <f>HYPERLINK("http://www.rosaceae.org/Prunus/Prunus_persica/p.persica_gdr_reftransV1_0031390","p.persica_gdr_reftransV1_0031390")</f>
        <v>p.persica_gdr_reftransV1_0031390</v>
      </c>
      <c r="B11889" s="3">
        <v>4435</v>
      </c>
      <c r="C11889" s="1" t="str">
        <f>HYPERLINK("http://www.uniprot.org/uniprot/CDPK2_ORYSJ","CDPK2_ORYSJ")</f>
        <v>CDPK2_ORYSJ</v>
      </c>
      <c r="D11889" t="s">
        <v>8065</v>
      </c>
      <c r="E11889" s="3" t="s">
        <v>38</v>
      </c>
      <c r="F11889" s="4">
        <v>0</v>
      </c>
      <c r="G11889" s="3">
        <v>1897</v>
      </c>
      <c r="H11889" s="3">
        <v>77</v>
      </c>
      <c r="I11889" s="3">
        <v>488</v>
      </c>
      <c r="J11889" s="3">
        <v>504</v>
      </c>
      <c r="K11889" s="3">
        <v>1967</v>
      </c>
      <c r="L11889" s="3">
        <v>1</v>
      </c>
      <c r="M11889" s="3">
        <v>475</v>
      </c>
    </row>
    <row r="11890" spans="1:13" x14ac:dyDescent="0.25">
      <c r="A11890" s="1" t="str">
        <f>HYPERLINK("http://www.rosaceae.org/Prunus/Prunus_persica/p.persica_gdr_reftransV1_0031740","p.persica_gdr_reftransV1_0031740")</f>
        <v>p.persica_gdr_reftransV1_0031740</v>
      </c>
      <c r="B11890" s="3">
        <v>6114</v>
      </c>
      <c r="C11890" s="1" t="str">
        <f>HYPERLINK("http://www.uniprot.org/uniprot/CABIN_RAT","CABIN_RAT")</f>
        <v>CABIN_RAT</v>
      </c>
      <c r="D11890" t="s">
        <v>8296</v>
      </c>
      <c r="E11890" s="3" t="s">
        <v>161</v>
      </c>
      <c r="F11890" s="4">
        <v>1.36E-15</v>
      </c>
      <c r="G11890" s="3">
        <v>215</v>
      </c>
      <c r="H11890" s="3">
        <v>31</v>
      </c>
      <c r="I11890" s="3">
        <v>181</v>
      </c>
      <c r="J11890" s="3">
        <v>5552</v>
      </c>
      <c r="K11890" s="3">
        <v>6085</v>
      </c>
      <c r="L11890" s="3">
        <v>28</v>
      </c>
      <c r="M11890" s="3">
        <v>206</v>
      </c>
    </row>
    <row r="11891" spans="1:13" x14ac:dyDescent="0.25">
      <c r="A11891" s="1" t="str">
        <f>HYPERLINK("http://www.rosaceae.org/Prunus/Prunus_persica/p.persica_gdr_reftransV1_0031840","p.persica_gdr_reftransV1_0031840")</f>
        <v>p.persica_gdr_reftransV1_0031840</v>
      </c>
      <c r="B11891" s="3">
        <v>508</v>
      </c>
      <c r="C11891" s="1" t="str">
        <f>HYPERLINK("http://www.uniprot.org/uniprot/ETUD1_MOUSE","ETUD1_MOUSE")</f>
        <v>ETUD1_MOUSE</v>
      </c>
      <c r="D11891" t="s">
        <v>8297</v>
      </c>
      <c r="E11891" s="3" t="s">
        <v>157</v>
      </c>
      <c r="F11891" s="4">
        <v>2.7200000000000001E-43</v>
      </c>
      <c r="G11891" s="3">
        <v>401</v>
      </c>
      <c r="H11891" s="3">
        <v>63</v>
      </c>
      <c r="I11891" s="3">
        <v>125</v>
      </c>
      <c r="J11891" s="3">
        <v>144</v>
      </c>
      <c r="K11891" s="3">
        <v>506</v>
      </c>
      <c r="L11891" s="3">
        <v>12</v>
      </c>
      <c r="M11891" s="3">
        <v>134</v>
      </c>
    </row>
    <row r="11892" spans="1:13" x14ac:dyDescent="0.25">
      <c r="A11892" s="1" t="str">
        <f>HYPERLINK("http://www.rosaceae.org/Prunus/Prunus_persica/p.persica_gdr_reftransV1_0032140","p.persica_gdr_reftransV1_0032140")</f>
        <v>p.persica_gdr_reftransV1_0032140</v>
      </c>
      <c r="B11892" s="3">
        <v>2381</v>
      </c>
      <c r="C11892" s="1" t="str">
        <f>HYPERLINK("http://www.uniprot.org/uniprot/YQEH_BACSU","YQEH_BACSU")</f>
        <v>YQEH_BACSU</v>
      </c>
      <c r="D11892" t="s">
        <v>8298</v>
      </c>
      <c r="E11892" s="3" t="s">
        <v>1630</v>
      </c>
      <c r="F11892" s="4">
        <v>4.3899999999999999E-44</v>
      </c>
      <c r="G11892" s="3">
        <v>423</v>
      </c>
      <c r="H11892" s="3">
        <v>32</v>
      </c>
      <c r="I11892" s="3">
        <v>381</v>
      </c>
      <c r="J11892" s="3">
        <v>527</v>
      </c>
      <c r="K11892" s="3">
        <v>1639</v>
      </c>
      <c r="L11892" s="3">
        <v>34</v>
      </c>
      <c r="M11892" s="3">
        <v>366</v>
      </c>
    </row>
    <row r="11893" spans="1:13" x14ac:dyDescent="0.25">
      <c r="A11893" s="1" t="str">
        <f>HYPERLINK("http://www.rosaceae.org/Prunus/Prunus_persica/p.persica_gdr_reftransV1_0032740","p.persica_gdr_reftransV1_0032740")</f>
        <v>p.persica_gdr_reftransV1_0032740</v>
      </c>
      <c r="B11893" s="3">
        <v>1944</v>
      </c>
      <c r="C11893" s="1" t="str">
        <f>HYPERLINK("http://www.uniprot.org/uniprot/PEX10_ARATH","PEX10_ARATH")</f>
        <v>PEX10_ARATH</v>
      </c>
      <c r="D11893" t="s">
        <v>8299</v>
      </c>
      <c r="E11893" s="3" t="s">
        <v>3</v>
      </c>
      <c r="F11893" s="4">
        <v>2.4600000000000002E-69</v>
      </c>
      <c r="G11893" s="3">
        <v>603</v>
      </c>
      <c r="H11893" s="3">
        <v>60</v>
      </c>
      <c r="I11893" s="3">
        <v>197</v>
      </c>
      <c r="J11893" s="3">
        <v>205</v>
      </c>
      <c r="K11893" s="3">
        <v>777</v>
      </c>
      <c r="L11893" s="3">
        <v>6</v>
      </c>
      <c r="M11893" s="3">
        <v>197</v>
      </c>
    </row>
    <row r="11894" spans="1:13" x14ac:dyDescent="0.25">
      <c r="A11894" s="1" t="str">
        <f>HYPERLINK("http://www.rosaceae.org/Prunus/Prunus_persica/p.persica_gdr_reftransV1_0032790","p.persica_gdr_reftransV1_0032790")</f>
        <v>p.persica_gdr_reftransV1_0032790</v>
      </c>
      <c r="B11894" s="3">
        <v>2530</v>
      </c>
      <c r="C11894" s="1" t="str">
        <f>HYPERLINK("http://www.uniprot.org/uniprot/MGP4_ARATH","MGP4_ARATH")</f>
        <v>MGP4_ARATH</v>
      </c>
      <c r="D11894" t="s">
        <v>8300</v>
      </c>
      <c r="E11894" s="3" t="s">
        <v>3</v>
      </c>
      <c r="F11894" s="4">
        <v>2.16E-113</v>
      </c>
      <c r="G11894" s="3">
        <v>915</v>
      </c>
      <c r="H11894" s="3">
        <v>84</v>
      </c>
      <c r="I11894" s="3">
        <v>195</v>
      </c>
      <c r="J11894" s="3">
        <v>515</v>
      </c>
      <c r="K11894" s="3">
        <v>1099</v>
      </c>
      <c r="L11894" s="3">
        <v>165</v>
      </c>
      <c r="M11894" s="3">
        <v>359</v>
      </c>
    </row>
    <row r="11895" spans="1:13" x14ac:dyDescent="0.25">
      <c r="A11895" s="1" t="str">
        <f>HYPERLINK("http://www.rosaceae.org/Prunus/Prunus_persica/p.persica_gdr_reftransV1_0032890","p.persica_gdr_reftransV1_0032890")</f>
        <v>p.persica_gdr_reftransV1_0032890</v>
      </c>
      <c r="B11895" s="3">
        <v>1896</v>
      </c>
      <c r="C11895" s="1" t="str">
        <f>HYPERLINK("http://www.uniprot.org/uniprot/PTP1_ARATH","PTP1_ARATH")</f>
        <v>PTP1_ARATH</v>
      </c>
      <c r="D11895" t="s">
        <v>8301</v>
      </c>
      <c r="E11895" s="3" t="s">
        <v>3</v>
      </c>
      <c r="F11895" s="4">
        <v>2.9100000000000002E-137</v>
      </c>
      <c r="G11895" s="3">
        <v>1057</v>
      </c>
      <c r="H11895" s="3">
        <v>66</v>
      </c>
      <c r="I11895" s="3">
        <v>336</v>
      </c>
      <c r="J11895" s="3">
        <v>536</v>
      </c>
      <c r="K11895" s="3">
        <v>1543</v>
      </c>
      <c r="L11895" s="3">
        <v>23</v>
      </c>
      <c r="M11895" s="3">
        <v>333</v>
      </c>
    </row>
    <row r="11896" spans="1:13" x14ac:dyDescent="0.25">
      <c r="A11896" s="1" t="str">
        <f>HYPERLINK("http://www.rosaceae.org/Prunus/Prunus_persica/p.persica_gdr_reftransV1_0032940","p.persica_gdr_reftransV1_0032940")</f>
        <v>p.persica_gdr_reftransV1_0032940</v>
      </c>
      <c r="B11896" s="3">
        <v>2943</v>
      </c>
      <c r="C11896" s="1" t="str">
        <f>HYPERLINK("http://www.uniprot.org/uniprot/MLO1_ARATH","MLO1_ARATH")</f>
        <v>MLO1_ARATH</v>
      </c>
      <c r="D11896" t="s">
        <v>7826</v>
      </c>
      <c r="E11896" s="3" t="s">
        <v>3</v>
      </c>
      <c r="F11896" s="4">
        <v>9.1000000000000007E-111</v>
      </c>
      <c r="G11896" s="3">
        <v>921</v>
      </c>
      <c r="H11896" s="3">
        <v>64</v>
      </c>
      <c r="I11896" s="3">
        <v>294</v>
      </c>
      <c r="J11896" s="3">
        <v>1952</v>
      </c>
      <c r="K11896" s="3">
        <v>2782</v>
      </c>
      <c r="L11896" s="3">
        <v>29</v>
      </c>
      <c r="M11896" s="3">
        <v>321</v>
      </c>
    </row>
    <row r="11897" spans="1:13" x14ac:dyDescent="0.25">
      <c r="A11897" s="1" t="str">
        <f>HYPERLINK("http://www.rosaceae.org/Prunus/Prunus_persica/p.persica_gdr_reftransV1_0032990","p.persica_gdr_reftransV1_0032990")</f>
        <v>p.persica_gdr_reftransV1_0032990</v>
      </c>
      <c r="B11897" s="3">
        <v>4752</v>
      </c>
      <c r="C11897" s="1" t="str">
        <f>HYPERLINK("http://www.uniprot.org/uniprot/PHF3_HUMAN","PHF3_HUMAN")</f>
        <v>PHF3_HUMAN</v>
      </c>
      <c r="D11897" t="s">
        <v>1087</v>
      </c>
      <c r="E11897" s="3" t="s">
        <v>28</v>
      </c>
      <c r="F11897" s="4">
        <v>2.42E-20</v>
      </c>
      <c r="G11897" s="3">
        <v>255</v>
      </c>
      <c r="H11897" s="3">
        <v>46</v>
      </c>
      <c r="I11897" s="3">
        <v>116</v>
      </c>
      <c r="J11897" s="3">
        <v>2797</v>
      </c>
      <c r="K11897" s="3">
        <v>3144</v>
      </c>
      <c r="L11897" s="3">
        <v>951</v>
      </c>
      <c r="M11897" s="3">
        <v>1062</v>
      </c>
    </row>
    <row r="11898" spans="1:13" x14ac:dyDescent="0.25">
      <c r="A11898" s="1" t="str">
        <f>HYPERLINK("http://www.rosaceae.org/Prunus/Prunus_persica/p.persica_gdr_reftransV1_0033040","p.persica_gdr_reftransV1_0033040")</f>
        <v>p.persica_gdr_reftransV1_0033040</v>
      </c>
      <c r="B11898" s="3">
        <v>3235</v>
      </c>
      <c r="C11898" s="1" t="str">
        <f>HYPERLINK("http://www.uniprot.org/uniprot/TRP4_ARATH","TRP4_ARATH")</f>
        <v>TRP4_ARATH</v>
      </c>
      <c r="D11898" t="s">
        <v>8302</v>
      </c>
      <c r="E11898" s="3" t="s">
        <v>3</v>
      </c>
      <c r="F11898" s="4">
        <v>7.3599999999999997E-8</v>
      </c>
      <c r="G11898" s="3">
        <v>145</v>
      </c>
      <c r="H11898" s="3">
        <v>42</v>
      </c>
      <c r="I11898" s="3">
        <v>73</v>
      </c>
      <c r="J11898" s="3">
        <v>3004</v>
      </c>
      <c r="K11898" s="3">
        <v>3207</v>
      </c>
      <c r="L11898" s="3">
        <v>513</v>
      </c>
      <c r="M11898" s="3">
        <v>585</v>
      </c>
    </row>
    <row r="11899" spans="1:13" x14ac:dyDescent="0.25">
      <c r="A11899" s="1" t="str">
        <f>HYPERLINK("http://www.rosaceae.org/Prunus/Prunus_persica/p.persica_gdr_reftransV1_0033090","p.persica_gdr_reftransV1_0033090")</f>
        <v>p.persica_gdr_reftransV1_0033090</v>
      </c>
      <c r="B11899" s="3">
        <v>2204</v>
      </c>
      <c r="C11899" s="1" t="str">
        <f>HYPERLINK("http://www.uniprot.org/uniprot/NPHP3_DANRE","NPHP3_DANRE")</f>
        <v>NPHP3_DANRE</v>
      </c>
      <c r="D11899" t="s">
        <v>8303</v>
      </c>
      <c r="E11899" s="3" t="s">
        <v>704</v>
      </c>
      <c r="F11899" s="4">
        <v>1.15E-10</v>
      </c>
      <c r="G11899" s="3">
        <v>168</v>
      </c>
      <c r="H11899" s="3">
        <v>25</v>
      </c>
      <c r="I11899" s="3">
        <v>326</v>
      </c>
      <c r="J11899" s="3">
        <v>825</v>
      </c>
      <c r="K11899" s="3">
        <v>1775</v>
      </c>
      <c r="L11899" s="3">
        <v>898</v>
      </c>
      <c r="M11899" s="3">
        <v>1203</v>
      </c>
    </row>
    <row r="11900" spans="1:13" x14ac:dyDescent="0.25">
      <c r="A11900" s="1" t="str">
        <f>HYPERLINK("http://www.rosaceae.org/Prunus/Prunus_persica/p.persica_gdr_reftransV1_0033140","p.persica_gdr_reftransV1_0033140")</f>
        <v>p.persica_gdr_reftransV1_0033140</v>
      </c>
      <c r="B11900" s="3">
        <v>3400</v>
      </c>
      <c r="C11900" s="1" t="str">
        <f>HYPERLINK("http://www.uniprot.org/uniprot/TYPA_HELPY","TYPA_HELPY")</f>
        <v>TYPA_HELPY</v>
      </c>
      <c r="D11900" t="s">
        <v>3372</v>
      </c>
      <c r="E11900" s="3" t="s">
        <v>3373</v>
      </c>
      <c r="F11900" s="4">
        <v>1.0599999999999999E-155</v>
      </c>
      <c r="G11900" s="3">
        <v>1245</v>
      </c>
      <c r="H11900" s="3">
        <v>46</v>
      </c>
      <c r="I11900" s="3">
        <v>568</v>
      </c>
      <c r="J11900" s="3">
        <v>484</v>
      </c>
      <c r="K11900" s="3">
        <v>2175</v>
      </c>
      <c r="L11900" s="3">
        <v>4</v>
      </c>
      <c r="M11900" s="3">
        <v>558</v>
      </c>
    </row>
    <row r="11901" spans="1:13" x14ac:dyDescent="0.25">
      <c r="A11901" s="1" t="str">
        <f>HYPERLINK("http://www.rosaceae.org/Prunus/Prunus_persica/p.persica_gdr_reftransV1_0033340","p.persica_gdr_reftransV1_0033340")</f>
        <v>p.persica_gdr_reftransV1_0033340</v>
      </c>
      <c r="B11901" s="3">
        <v>5056</v>
      </c>
      <c r="C11901" s="1" t="str">
        <f>HYPERLINK("http://www.uniprot.org/uniprot/PUX4_ARATH","PUX4_ARATH")</f>
        <v>PUX4_ARATH</v>
      </c>
      <c r="D11901" t="s">
        <v>4891</v>
      </c>
      <c r="E11901" s="3" t="s">
        <v>3</v>
      </c>
      <c r="F11901" s="4">
        <v>6.1500000000000001E-44</v>
      </c>
      <c r="G11901" s="3">
        <v>426</v>
      </c>
      <c r="H11901" s="3">
        <v>73</v>
      </c>
      <c r="I11901" s="3">
        <v>146</v>
      </c>
      <c r="J11901" s="3">
        <v>3352</v>
      </c>
      <c r="K11901" s="3">
        <v>3780</v>
      </c>
      <c r="L11901" s="3">
        <v>1</v>
      </c>
      <c r="M11901" s="3">
        <v>143</v>
      </c>
    </row>
    <row r="11902" spans="1:13" x14ac:dyDescent="0.25">
      <c r="A11902" s="1" t="str">
        <f>HYPERLINK("http://www.rosaceae.org/Prunus/Prunus_persica/p.persica_gdr_reftransV1_0033740","p.persica_gdr_reftransV1_0033740")</f>
        <v>p.persica_gdr_reftransV1_0033740</v>
      </c>
      <c r="B11902" s="3">
        <v>3367</v>
      </c>
      <c r="C11902" s="1" t="str">
        <f>HYPERLINK("http://www.uniprot.org/uniprot/GLR33_ARATH","GLR33_ARATH")</f>
        <v>GLR33_ARATH</v>
      </c>
      <c r="D11902" t="s">
        <v>2000</v>
      </c>
      <c r="E11902" s="3" t="s">
        <v>3</v>
      </c>
      <c r="F11902" s="4">
        <v>0</v>
      </c>
      <c r="G11902" s="3">
        <v>2978</v>
      </c>
      <c r="H11902" s="3">
        <v>67</v>
      </c>
      <c r="I11902" s="3">
        <v>887</v>
      </c>
      <c r="J11902" s="3">
        <v>321</v>
      </c>
      <c r="K11902" s="3">
        <v>2966</v>
      </c>
      <c r="L11902" s="3">
        <v>25</v>
      </c>
      <c r="M11902" s="3">
        <v>910</v>
      </c>
    </row>
    <row r="11903" spans="1:13" x14ac:dyDescent="0.25">
      <c r="A11903" s="1" t="str">
        <f>HYPERLINK("http://www.rosaceae.org/Prunus/Prunus_persica/p.persica_gdr_reftransV1_0034040","p.persica_gdr_reftransV1_0034040")</f>
        <v>p.persica_gdr_reftransV1_0034040</v>
      </c>
      <c r="B11903" s="3">
        <v>1688</v>
      </c>
      <c r="C11903" s="1" t="str">
        <f>HYPERLINK("http://www.uniprot.org/uniprot/SWET4_ORYSJ","SWET4_ORYSJ")</f>
        <v>SWET4_ORYSJ</v>
      </c>
      <c r="D11903" t="s">
        <v>8304</v>
      </c>
      <c r="E11903" s="3" t="s">
        <v>38</v>
      </c>
      <c r="F11903" s="4">
        <v>4.2299999999999998E-68</v>
      </c>
      <c r="G11903" s="3">
        <v>578</v>
      </c>
      <c r="H11903" s="3">
        <v>62</v>
      </c>
      <c r="I11903" s="3">
        <v>195</v>
      </c>
      <c r="J11903" s="3">
        <v>220</v>
      </c>
      <c r="K11903" s="3">
        <v>804</v>
      </c>
      <c r="L11903" s="3">
        <v>1</v>
      </c>
      <c r="M11903" s="3">
        <v>194</v>
      </c>
    </row>
    <row r="11904" spans="1:13" x14ac:dyDescent="0.25">
      <c r="A11904" s="1" t="str">
        <f>HYPERLINK("http://www.rosaceae.org/Prunus/Prunus_persica/p.persica_gdr_reftransV1_0034090","p.persica_gdr_reftransV1_0034090")</f>
        <v>p.persica_gdr_reftransV1_0034090</v>
      </c>
      <c r="B11904" s="3">
        <v>587</v>
      </c>
      <c r="C11904" s="1" t="str">
        <f>HYPERLINK("http://www.uniprot.org/uniprot/IMK3_ARATH","IMK3_ARATH")</f>
        <v>IMK3_ARATH</v>
      </c>
      <c r="D11904" t="s">
        <v>8305</v>
      </c>
      <c r="E11904" s="3" t="s">
        <v>3</v>
      </c>
      <c r="F11904" s="4">
        <v>1.79E-31</v>
      </c>
      <c r="G11904" s="3">
        <v>314</v>
      </c>
      <c r="H11904" s="3">
        <v>61</v>
      </c>
      <c r="I11904" s="3">
        <v>109</v>
      </c>
      <c r="J11904" s="3">
        <v>51</v>
      </c>
      <c r="K11904" s="3">
        <v>365</v>
      </c>
      <c r="L11904" s="3">
        <v>111</v>
      </c>
      <c r="M11904" s="3">
        <v>219</v>
      </c>
    </row>
    <row r="11905" spans="1:13" x14ac:dyDescent="0.25">
      <c r="A11905" s="1" t="str">
        <f>HYPERLINK("http://www.rosaceae.org/Prunus/Prunus_persica/p.persica_gdr_reftransV1_0034540","p.persica_gdr_reftransV1_0034540")</f>
        <v>p.persica_gdr_reftransV1_0034540</v>
      </c>
      <c r="B11905" s="3">
        <v>681</v>
      </c>
      <c r="C11905" s="1" t="str">
        <f>HYPERLINK("http://www.uniprot.org/uniprot/Y4744_ARATH","Y4744_ARATH")</f>
        <v>Y4744_ARATH</v>
      </c>
      <c r="D11905" t="s">
        <v>4913</v>
      </c>
      <c r="E11905" s="3" t="s">
        <v>3</v>
      </c>
      <c r="F11905" s="4">
        <v>7.7699999999999995E-69</v>
      </c>
      <c r="G11905" s="3">
        <v>567</v>
      </c>
      <c r="H11905" s="3">
        <v>59</v>
      </c>
      <c r="I11905" s="3">
        <v>189</v>
      </c>
      <c r="J11905" s="3">
        <v>133</v>
      </c>
      <c r="K11905" s="3">
        <v>681</v>
      </c>
      <c r="L11905" s="3">
        <v>199</v>
      </c>
      <c r="M11905" s="3">
        <v>387</v>
      </c>
    </row>
    <row r="11906" spans="1:13" x14ac:dyDescent="0.25">
      <c r="A11906" s="1" t="str">
        <f>HYPERLINK("http://www.rosaceae.org/Prunus/Prunus_persica/p.persica_gdr_reftransV1_0034640","p.persica_gdr_reftransV1_0034640")</f>
        <v>p.persica_gdr_reftransV1_0034640</v>
      </c>
      <c r="B11906" s="3">
        <v>1955</v>
      </c>
      <c r="C11906" s="1" t="str">
        <f>HYPERLINK("http://www.uniprot.org/uniprot/PP310_ARATH","PP310_ARATH")</f>
        <v>PP310_ARATH</v>
      </c>
      <c r="D11906" t="s">
        <v>8306</v>
      </c>
      <c r="E11906" s="3" t="s">
        <v>3</v>
      </c>
      <c r="F11906" s="4">
        <v>6.8499999999999997E-163</v>
      </c>
      <c r="G11906" s="3">
        <v>1245</v>
      </c>
      <c r="H11906" s="3">
        <v>53</v>
      </c>
      <c r="I11906" s="3">
        <v>471</v>
      </c>
      <c r="J11906" s="3">
        <v>145</v>
      </c>
      <c r="K11906" s="3">
        <v>1539</v>
      </c>
      <c r="L11906" s="3">
        <v>31</v>
      </c>
      <c r="M11906" s="3">
        <v>496</v>
      </c>
    </row>
    <row r="11907" spans="1:13" x14ac:dyDescent="0.25">
      <c r="A11907" s="1" t="str">
        <f>HYPERLINK("http://www.rosaceae.org/Prunus/Prunus_persica/p.persica_gdr_reftransV1_0034840","p.persica_gdr_reftransV1_0034840")</f>
        <v>p.persica_gdr_reftransV1_0034840</v>
      </c>
      <c r="B11907" s="3">
        <v>3144</v>
      </c>
      <c r="C11907" s="1" t="str">
        <f>HYPERLINK("http://www.uniprot.org/uniprot/MSL1_ARATH","MSL1_ARATH")</f>
        <v>MSL1_ARATH</v>
      </c>
      <c r="D11907" t="s">
        <v>8307</v>
      </c>
      <c r="E11907" s="3" t="s">
        <v>3</v>
      </c>
      <c r="F11907" s="4">
        <v>4.1000000000000002E-109</v>
      </c>
      <c r="G11907" s="3">
        <v>911</v>
      </c>
      <c r="H11907" s="3">
        <v>67</v>
      </c>
      <c r="I11907" s="3">
        <v>245</v>
      </c>
      <c r="J11907" s="3">
        <v>1442</v>
      </c>
      <c r="K11907" s="3">
        <v>2176</v>
      </c>
      <c r="L11907" s="3">
        <v>107</v>
      </c>
      <c r="M11907" s="3">
        <v>351</v>
      </c>
    </row>
    <row r="11908" spans="1:13" x14ac:dyDescent="0.25">
      <c r="A11908" s="1" t="str">
        <f>HYPERLINK("http://www.rosaceae.org/Prunus/Prunus_persica/p.persica_gdr_reftransV1_0035090","p.persica_gdr_reftransV1_0035090")</f>
        <v>p.persica_gdr_reftransV1_0035090</v>
      </c>
      <c r="B11908" s="3">
        <v>969</v>
      </c>
      <c r="C11908" s="1" t="str">
        <f>HYPERLINK("http://www.uniprot.org/uniprot/RDR1_ORYSJ","RDR1_ORYSJ")</f>
        <v>RDR1_ORYSJ</v>
      </c>
      <c r="D11908" t="s">
        <v>8308</v>
      </c>
      <c r="E11908" s="3" t="s">
        <v>38</v>
      </c>
      <c r="F11908" s="4">
        <v>2.9000000000000002E-75</v>
      </c>
      <c r="G11908" s="3">
        <v>641</v>
      </c>
      <c r="H11908" s="3">
        <v>54</v>
      </c>
      <c r="I11908" s="3">
        <v>261</v>
      </c>
      <c r="J11908" s="3">
        <v>186</v>
      </c>
      <c r="K11908" s="3">
        <v>968</v>
      </c>
      <c r="L11908" s="3">
        <v>482</v>
      </c>
      <c r="M11908" s="3">
        <v>726</v>
      </c>
    </row>
    <row r="11909" spans="1:13" x14ac:dyDescent="0.25">
      <c r="A11909" s="1" t="str">
        <f>HYPERLINK("http://www.rosaceae.org/Prunus/Prunus_persica/p.persica_gdr_reftransV1_0035140","p.persica_gdr_reftransV1_0035140")</f>
        <v>p.persica_gdr_reftransV1_0035140</v>
      </c>
      <c r="B11909" s="3">
        <v>2812</v>
      </c>
      <c r="C11909" s="1" t="str">
        <f>HYPERLINK("http://www.uniprot.org/uniprot/RCD1_XENTR","RCD1_XENTR")</f>
        <v>RCD1_XENTR</v>
      </c>
      <c r="D11909" t="s">
        <v>5145</v>
      </c>
      <c r="E11909" s="3" t="s">
        <v>173</v>
      </c>
      <c r="F11909" s="4">
        <v>1.2099999999999999E-125</v>
      </c>
      <c r="G11909" s="3">
        <v>999</v>
      </c>
      <c r="H11909" s="3">
        <v>68</v>
      </c>
      <c r="I11909" s="3">
        <v>281</v>
      </c>
      <c r="J11909" s="3">
        <v>700</v>
      </c>
      <c r="K11909" s="3">
        <v>1542</v>
      </c>
      <c r="L11909" s="3">
        <v>5</v>
      </c>
      <c r="M11909" s="3">
        <v>283</v>
      </c>
    </row>
    <row r="11910" spans="1:13" x14ac:dyDescent="0.25">
      <c r="A11910" s="1" t="str">
        <f>HYPERLINK("http://www.rosaceae.org/Prunus/Prunus_persica/p.persica_gdr_reftransV1_0035340","p.persica_gdr_reftransV1_0035340")</f>
        <v>p.persica_gdr_reftransV1_0035340</v>
      </c>
      <c r="B11910" s="3">
        <v>2798</v>
      </c>
      <c r="C11910" s="1" t="str">
        <f>HYPERLINK("http://www.uniprot.org/uniprot/CCR4E_ARATH","CCR4E_ARATH")</f>
        <v>CCR4E_ARATH</v>
      </c>
      <c r="D11910" t="s">
        <v>5381</v>
      </c>
      <c r="E11910" s="3" t="s">
        <v>3</v>
      </c>
      <c r="F11910" s="4">
        <v>1.7700000000000001E-76</v>
      </c>
      <c r="G11910" s="3">
        <v>672</v>
      </c>
      <c r="H11910" s="3">
        <v>65</v>
      </c>
      <c r="I11910" s="3">
        <v>199</v>
      </c>
      <c r="J11910" s="3">
        <v>1323</v>
      </c>
      <c r="K11910" s="3">
        <v>1919</v>
      </c>
      <c r="L11910" s="3">
        <v>238</v>
      </c>
      <c r="M11910" s="3">
        <v>434</v>
      </c>
    </row>
    <row r="11911" spans="1:13" x14ac:dyDescent="0.25">
      <c r="A11911" s="1" t="str">
        <f>HYPERLINK("http://www.rosaceae.org/Prunus/Prunus_persica/p.persica_gdr_reftransV1_0036040","p.persica_gdr_reftransV1_0036040")</f>
        <v>p.persica_gdr_reftransV1_0036040</v>
      </c>
      <c r="B11911" s="3">
        <v>1854</v>
      </c>
      <c r="C11911" s="1" t="str">
        <f>HYPERLINK("http://www.uniprot.org/uniprot/HIBC8_ARATH","HIBC8_ARATH")</f>
        <v>HIBC8_ARATH</v>
      </c>
      <c r="D11911" t="s">
        <v>4369</v>
      </c>
      <c r="E11911" s="3" t="s">
        <v>3</v>
      </c>
      <c r="F11911" s="4">
        <v>5.8700000000000002E-151</v>
      </c>
      <c r="G11911" s="3">
        <v>1152</v>
      </c>
      <c r="H11911" s="3">
        <v>74</v>
      </c>
      <c r="I11911" s="3">
        <v>289</v>
      </c>
      <c r="J11911" s="3">
        <v>237</v>
      </c>
      <c r="K11911" s="3">
        <v>1100</v>
      </c>
      <c r="L11911" s="3">
        <v>1</v>
      </c>
      <c r="M11911" s="3">
        <v>289</v>
      </c>
    </row>
    <row r="11912" spans="1:13" x14ac:dyDescent="0.25">
      <c r="A11912" s="1" t="str">
        <f>HYPERLINK("http://www.rosaceae.org/Prunus/Prunus_persica/p.persica_gdr_reftransV1_0036340","p.persica_gdr_reftransV1_0036340")</f>
        <v>p.persica_gdr_reftransV1_0036340</v>
      </c>
      <c r="B11912" s="3">
        <v>2910</v>
      </c>
      <c r="C11912" s="1" t="str">
        <f>HYPERLINK("http://www.uniprot.org/uniprot/UGT1_GARJA","UGT1_GARJA")</f>
        <v>UGT1_GARJA</v>
      </c>
      <c r="D11912" t="s">
        <v>1593</v>
      </c>
      <c r="E11912" s="3" t="s">
        <v>624</v>
      </c>
      <c r="F11912" s="4">
        <v>0</v>
      </c>
      <c r="G11912" s="3">
        <v>1442</v>
      </c>
      <c r="H11912" s="3">
        <v>63</v>
      </c>
      <c r="I11912" s="3">
        <v>477</v>
      </c>
      <c r="J11912" s="3">
        <v>361</v>
      </c>
      <c r="K11912" s="3">
        <v>1773</v>
      </c>
      <c r="L11912" s="3">
        <v>1</v>
      </c>
      <c r="M11912" s="3">
        <v>463</v>
      </c>
    </row>
    <row r="11913" spans="1:13" x14ac:dyDescent="0.25">
      <c r="A11913" s="1" t="str">
        <f>HYPERLINK("http://www.rosaceae.org/Prunus/Prunus_persica/p.persica_gdr_reftransV1_0036990","p.persica_gdr_reftransV1_0036990")</f>
        <v>p.persica_gdr_reftransV1_0036990</v>
      </c>
      <c r="B11913" s="3">
        <v>2988</v>
      </c>
      <c r="C11913" s="1" t="str">
        <f>HYPERLINK("http://www.uniprot.org/uniprot/PP14_ARATH","PP14_ARATH")</f>
        <v>PP14_ARATH</v>
      </c>
      <c r="D11913" t="s">
        <v>8309</v>
      </c>
      <c r="E11913" s="3" t="s">
        <v>3</v>
      </c>
      <c r="F11913" s="4">
        <v>0</v>
      </c>
      <c r="G11913" s="3">
        <v>1517</v>
      </c>
      <c r="H11913" s="3">
        <v>94</v>
      </c>
      <c r="I11913" s="3">
        <v>298</v>
      </c>
      <c r="J11913" s="3">
        <v>477</v>
      </c>
      <c r="K11913" s="3">
        <v>1370</v>
      </c>
      <c r="L11913" s="3">
        <v>13</v>
      </c>
      <c r="M11913" s="3">
        <v>310</v>
      </c>
    </row>
    <row r="11914" spans="1:13" x14ac:dyDescent="0.25">
      <c r="A11914" s="1" t="str">
        <f>HYPERLINK("http://www.rosaceae.org/Prunus/Prunus_persica/p.persica_gdr_reftransV1_0037540","p.persica_gdr_reftransV1_0037540")</f>
        <v>p.persica_gdr_reftransV1_0037540</v>
      </c>
      <c r="B11914" s="3">
        <v>2590</v>
      </c>
      <c r="C11914" s="1" t="str">
        <f>HYPERLINK("http://www.uniprot.org/uniprot/IF2G_DICDI","IF2G_DICDI")</f>
        <v>IF2G_DICDI</v>
      </c>
      <c r="D11914" t="s">
        <v>8310</v>
      </c>
      <c r="E11914" s="3" t="s">
        <v>9</v>
      </c>
      <c r="F11914" s="4">
        <v>3.0599999999999999E-111</v>
      </c>
      <c r="G11914" s="3">
        <v>911</v>
      </c>
      <c r="H11914" s="3">
        <v>73</v>
      </c>
      <c r="I11914" s="3">
        <v>231</v>
      </c>
      <c r="J11914" s="3">
        <v>1105</v>
      </c>
      <c r="K11914" s="3">
        <v>1797</v>
      </c>
      <c r="L11914" s="3">
        <v>138</v>
      </c>
      <c r="M11914" s="3">
        <v>368</v>
      </c>
    </row>
    <row r="11915" spans="1:13" x14ac:dyDescent="0.25">
      <c r="A11915" s="1" t="str">
        <f>HYPERLINK("http://www.rosaceae.org/Prunus/Prunus_persica/p.persica_gdr_reftransV1_0037790","p.persica_gdr_reftransV1_0037790")</f>
        <v>p.persica_gdr_reftransV1_0037790</v>
      </c>
      <c r="B11915" s="3">
        <v>4397</v>
      </c>
      <c r="C11915" s="1" t="str">
        <f>HYPERLINK("http://www.uniprot.org/uniprot/ETR2_ARATH","ETR2_ARATH")</f>
        <v>ETR2_ARATH</v>
      </c>
      <c r="D11915" t="s">
        <v>8311</v>
      </c>
      <c r="E11915" s="3" t="s">
        <v>3</v>
      </c>
      <c r="F11915" s="4">
        <v>0</v>
      </c>
      <c r="G11915" s="3">
        <v>1730</v>
      </c>
      <c r="H11915" s="3">
        <v>66</v>
      </c>
      <c r="I11915" s="3">
        <v>574</v>
      </c>
      <c r="J11915" s="3">
        <v>996</v>
      </c>
      <c r="K11915" s="3">
        <v>2678</v>
      </c>
      <c r="L11915" s="3">
        <v>28</v>
      </c>
      <c r="M11915" s="3">
        <v>590</v>
      </c>
    </row>
    <row r="11916" spans="1:13" x14ac:dyDescent="0.25">
      <c r="A11916" s="1" t="str">
        <f>HYPERLINK("http://www.rosaceae.org/Prunus/Prunus_persica/p.persica_gdr_reftransV1_0037840","p.persica_gdr_reftransV1_0037840")</f>
        <v>p.persica_gdr_reftransV1_0037840</v>
      </c>
      <c r="B11916" s="3">
        <v>4290</v>
      </c>
      <c r="C11916" s="1" t="str">
        <f>HYPERLINK("http://www.uniprot.org/uniprot/CRWN4_ARATH","CRWN4_ARATH")</f>
        <v>CRWN4_ARATH</v>
      </c>
      <c r="D11916" t="s">
        <v>8312</v>
      </c>
      <c r="E11916" s="3" t="s">
        <v>3</v>
      </c>
      <c r="F11916" s="4">
        <v>5.5599999999999998E-140</v>
      </c>
      <c r="G11916" s="3">
        <v>1188</v>
      </c>
      <c r="H11916" s="3">
        <v>47</v>
      </c>
      <c r="I11916" s="3">
        <v>679</v>
      </c>
      <c r="J11916" s="3">
        <v>822</v>
      </c>
      <c r="K11916" s="3">
        <v>2840</v>
      </c>
      <c r="L11916" s="3">
        <v>348</v>
      </c>
      <c r="M11916" s="3">
        <v>955</v>
      </c>
    </row>
    <row r="11917" spans="1:13" x14ac:dyDescent="0.25">
      <c r="A11917" s="1" t="str">
        <f>HYPERLINK("http://www.rosaceae.org/Prunus/Prunus_persica/p.persica_gdr_reftransV1_0038090","p.persica_gdr_reftransV1_0038090")</f>
        <v>p.persica_gdr_reftransV1_0038090</v>
      </c>
      <c r="B11917" s="3">
        <v>4121</v>
      </c>
      <c r="C11917" s="1" t="str">
        <f>HYPERLINK("http://www.uniprot.org/uniprot/Y3148_ARATH","Y3148_ARATH")</f>
        <v>Y3148_ARATH</v>
      </c>
      <c r="D11917" t="s">
        <v>953</v>
      </c>
      <c r="E11917" s="3" t="s">
        <v>3</v>
      </c>
      <c r="F11917" s="4">
        <v>0</v>
      </c>
      <c r="G11917" s="3">
        <v>1797</v>
      </c>
      <c r="H11917" s="3">
        <v>57</v>
      </c>
      <c r="I11917" s="3">
        <v>636</v>
      </c>
      <c r="J11917" s="3">
        <v>527</v>
      </c>
      <c r="K11917" s="3">
        <v>2371</v>
      </c>
      <c r="L11917" s="3">
        <v>391</v>
      </c>
      <c r="M11917" s="3">
        <v>1019</v>
      </c>
    </row>
    <row r="11918" spans="1:13" x14ac:dyDescent="0.25">
      <c r="A11918" s="1" t="str">
        <f>HYPERLINK("http://www.rosaceae.org/Prunus/Prunus_persica/p.persica_gdr_reftransV1_0038140","p.persica_gdr_reftransV1_0038140")</f>
        <v>p.persica_gdr_reftransV1_0038140</v>
      </c>
      <c r="B11918" s="3">
        <v>4151</v>
      </c>
      <c r="C11918" s="1" t="str">
        <f>HYPERLINK("http://www.uniprot.org/uniprot/PAP10_ARATH","PAP10_ARATH")</f>
        <v>PAP10_ARATH</v>
      </c>
      <c r="D11918" t="s">
        <v>8313</v>
      </c>
      <c r="E11918" s="3" t="s">
        <v>3</v>
      </c>
      <c r="F11918" s="4">
        <v>2.8799999999999999E-80</v>
      </c>
      <c r="G11918" s="3">
        <v>444</v>
      </c>
      <c r="H11918" s="3">
        <v>73</v>
      </c>
      <c r="I11918" s="3">
        <v>107</v>
      </c>
      <c r="J11918" s="3">
        <v>3427</v>
      </c>
      <c r="K11918" s="3">
        <v>3747</v>
      </c>
      <c r="L11918" s="3">
        <v>63</v>
      </c>
      <c r="M11918" s="3">
        <v>169</v>
      </c>
    </row>
    <row r="11919" spans="1:13" x14ac:dyDescent="0.25">
      <c r="A11919" s="1" t="str">
        <f>HYPERLINK("http://www.rosaceae.org/Prunus/Prunus_persica/p.persica_gdr_reftransV1_0038590","p.persica_gdr_reftransV1_0038590")</f>
        <v>p.persica_gdr_reftransV1_0038590</v>
      </c>
      <c r="B11919" s="3">
        <v>2408</v>
      </c>
      <c r="C11919" s="1" t="str">
        <f>HYPERLINK("http://www.uniprot.org/uniprot/KLP5_SCHPO","KLP5_SCHPO")</f>
        <v>KLP5_SCHPO</v>
      </c>
      <c r="D11919" t="s">
        <v>8314</v>
      </c>
      <c r="E11919" s="3" t="s">
        <v>464</v>
      </c>
      <c r="F11919" s="4">
        <v>8.9500000000000001E-28</v>
      </c>
      <c r="G11919" s="3">
        <v>311</v>
      </c>
      <c r="H11919" s="3">
        <v>30</v>
      </c>
      <c r="I11919" s="3">
        <v>291</v>
      </c>
      <c r="J11919" s="3">
        <v>1217</v>
      </c>
      <c r="K11919" s="3">
        <v>2059</v>
      </c>
      <c r="L11919" s="3">
        <v>106</v>
      </c>
      <c r="M11919" s="3">
        <v>391</v>
      </c>
    </row>
    <row r="11920" spans="1:13" x14ac:dyDescent="0.25">
      <c r="A11920" s="1" t="str">
        <f>HYPERLINK("http://www.rosaceae.org/Prunus/Prunus_persica/p.persica_gdr_reftransV1_0038640","p.persica_gdr_reftransV1_0038640")</f>
        <v>p.persica_gdr_reftransV1_0038640</v>
      </c>
      <c r="B11920" s="3">
        <v>1904</v>
      </c>
      <c r="C11920" s="1" t="str">
        <f>HYPERLINK("http://www.uniprot.org/uniprot/TMN2_ARATH","TMN2_ARATH")</f>
        <v>TMN2_ARATH</v>
      </c>
      <c r="D11920" t="s">
        <v>8315</v>
      </c>
      <c r="E11920" s="3" t="s">
        <v>3</v>
      </c>
      <c r="F11920" s="4">
        <v>0</v>
      </c>
      <c r="G11920" s="3">
        <v>2086</v>
      </c>
      <c r="H11920" s="3">
        <v>93</v>
      </c>
      <c r="I11920" s="3">
        <v>480</v>
      </c>
      <c r="J11920" s="3">
        <v>465</v>
      </c>
      <c r="K11920" s="3">
        <v>1904</v>
      </c>
      <c r="L11920" s="3">
        <v>113</v>
      </c>
      <c r="M11920" s="3">
        <v>592</v>
      </c>
    </row>
    <row r="11921" spans="1:13" x14ac:dyDescent="0.25">
      <c r="A11921" s="1" t="str">
        <f>HYPERLINK("http://www.rosaceae.org/Prunus/Prunus_persica/p.persica_gdr_reftransV1_0038690","p.persica_gdr_reftransV1_0038690")</f>
        <v>p.persica_gdr_reftransV1_0038690</v>
      </c>
      <c r="B11921" s="3">
        <v>2995</v>
      </c>
      <c r="C11921" s="1" t="str">
        <f>HYPERLINK("http://www.uniprot.org/uniprot/NOL8_MOUSE","NOL8_MOUSE")</f>
        <v>NOL8_MOUSE</v>
      </c>
      <c r="D11921" t="s">
        <v>8316</v>
      </c>
      <c r="E11921" s="3" t="s">
        <v>157</v>
      </c>
      <c r="F11921" s="4">
        <v>8.1699999999999997E-9</v>
      </c>
      <c r="G11921" s="3">
        <v>153</v>
      </c>
      <c r="H11921" s="3">
        <v>39</v>
      </c>
      <c r="I11921" s="3">
        <v>98</v>
      </c>
      <c r="J11921" s="3">
        <v>285</v>
      </c>
      <c r="K11921" s="3">
        <v>560</v>
      </c>
      <c r="L11921" s="3">
        <v>9</v>
      </c>
      <c r="M11921" s="3">
        <v>103</v>
      </c>
    </row>
    <row r="11922" spans="1:13" x14ac:dyDescent="0.25">
      <c r="A11922" s="1" t="str">
        <f>HYPERLINK("http://www.rosaceae.org/Prunus/Prunus_persica/p.persica_gdr_reftransV1_0038890","p.persica_gdr_reftransV1_0038890")</f>
        <v>p.persica_gdr_reftransV1_0038890</v>
      </c>
      <c r="B11922" s="3">
        <v>1679</v>
      </c>
      <c r="C11922" s="1" t="str">
        <f>HYPERLINK("http://www.uniprot.org/uniprot/CMT1_DICDI","CMT1_DICDI")</f>
        <v>CMT1_DICDI</v>
      </c>
      <c r="D11922" t="s">
        <v>808</v>
      </c>
      <c r="E11922" s="3" t="s">
        <v>9</v>
      </c>
      <c r="F11922" s="4">
        <v>1.01E-35</v>
      </c>
      <c r="G11922" s="3">
        <v>328</v>
      </c>
      <c r="H11922" s="3">
        <v>48</v>
      </c>
      <c r="I11922" s="3">
        <v>122</v>
      </c>
      <c r="J11922" s="3">
        <v>29</v>
      </c>
      <c r="K11922" s="3">
        <v>394</v>
      </c>
      <c r="L11922" s="3">
        <v>2</v>
      </c>
      <c r="M11922" s="3">
        <v>123</v>
      </c>
    </row>
    <row r="11923" spans="1:13" x14ac:dyDescent="0.25">
      <c r="A11923" s="1" t="str">
        <f>HYPERLINK("http://www.rosaceae.org/Prunus/Prunus_persica/p.persica_gdr_reftransV1_0038990","p.persica_gdr_reftransV1_0038990")</f>
        <v>p.persica_gdr_reftransV1_0038990</v>
      </c>
      <c r="B11923" s="3">
        <v>396</v>
      </c>
      <c r="C11923" s="1" t="str">
        <f>HYPERLINK("http://www.uniprot.org/uniprot/RS73_ARATH","RS73_ARATH")</f>
        <v>RS73_ARATH</v>
      </c>
      <c r="D11923" t="s">
        <v>8317</v>
      </c>
      <c r="E11923" s="3" t="s">
        <v>3</v>
      </c>
      <c r="F11923" s="4">
        <v>1.07E-21</v>
      </c>
      <c r="G11923" s="3">
        <v>223</v>
      </c>
      <c r="H11923" s="3">
        <v>89</v>
      </c>
      <c r="I11923" s="3">
        <v>47</v>
      </c>
      <c r="J11923" s="3">
        <v>256</v>
      </c>
      <c r="K11923" s="3">
        <v>396</v>
      </c>
      <c r="L11923" s="3">
        <v>107</v>
      </c>
      <c r="M11923" s="3">
        <v>153</v>
      </c>
    </row>
    <row r="11924" spans="1:13" x14ac:dyDescent="0.25">
      <c r="A11924" s="1" t="str">
        <f>HYPERLINK("http://www.rosaceae.org/Prunus/Prunus_persica/p.persica_gdr_reftransV1_0039290","p.persica_gdr_reftransV1_0039290")</f>
        <v>p.persica_gdr_reftransV1_0039290</v>
      </c>
      <c r="B11924" s="3">
        <v>473</v>
      </c>
      <c r="C11924" s="1" t="str">
        <f>HYPERLINK("http://www.uniprot.org/uniprot/PP223_ARATH","PP223_ARATH")</f>
        <v>PP223_ARATH</v>
      </c>
      <c r="D11924" t="s">
        <v>3430</v>
      </c>
      <c r="E11924" s="3" t="s">
        <v>3</v>
      </c>
      <c r="F11924" s="4">
        <v>2.3800000000000001E-49</v>
      </c>
      <c r="G11924" s="3">
        <v>436</v>
      </c>
      <c r="H11924" s="3">
        <v>48</v>
      </c>
      <c r="I11924" s="3">
        <v>157</v>
      </c>
      <c r="J11924" s="3">
        <v>3</v>
      </c>
      <c r="K11924" s="3">
        <v>473</v>
      </c>
      <c r="L11924" s="3">
        <v>318</v>
      </c>
      <c r="M11924" s="3">
        <v>474</v>
      </c>
    </row>
    <row r="11925" spans="1:13" x14ac:dyDescent="0.25">
      <c r="A11925" s="1" t="str">
        <f>HYPERLINK("http://www.rosaceae.org/Prunus/Prunus_persica/p.persica_gdr_reftransV1_0039740","p.persica_gdr_reftransV1_0039740")</f>
        <v>p.persica_gdr_reftransV1_0039740</v>
      </c>
      <c r="B11925" s="3">
        <v>4973</v>
      </c>
      <c r="C11925" s="1" t="str">
        <f>HYPERLINK("http://www.uniprot.org/uniprot/AB1D_ARATH","AB1D_ARATH")</f>
        <v>AB1D_ARATH</v>
      </c>
      <c r="D11925" t="s">
        <v>6468</v>
      </c>
      <c r="E11925" s="3" t="s">
        <v>3</v>
      </c>
      <c r="F11925" s="4">
        <v>0</v>
      </c>
      <c r="G11925" s="3">
        <v>3614</v>
      </c>
      <c r="H11925" s="3">
        <v>79</v>
      </c>
      <c r="I11925" s="3">
        <v>892</v>
      </c>
      <c r="J11925" s="3">
        <v>196</v>
      </c>
      <c r="K11925" s="3">
        <v>2853</v>
      </c>
      <c r="L11925" s="3">
        <v>1</v>
      </c>
      <c r="M11925" s="3">
        <v>891</v>
      </c>
    </row>
    <row r="11926" spans="1:13" x14ac:dyDescent="0.25">
      <c r="A11926" s="1" t="str">
        <f>HYPERLINK("http://www.rosaceae.org/Prunus/Prunus_persica/p.persica_gdr_reftransV1_0039890","p.persica_gdr_reftransV1_0039890")</f>
        <v>p.persica_gdr_reftransV1_0039890</v>
      </c>
      <c r="B11926" s="3">
        <v>4125</v>
      </c>
      <c r="C11926" s="1" t="str">
        <f>HYPERLINK("http://www.uniprot.org/uniprot/ADLO1_ARATH","ADLO1_ARATH")</f>
        <v>ADLO1_ARATH</v>
      </c>
      <c r="D11926" t="s">
        <v>8318</v>
      </c>
      <c r="E11926" s="3" t="s">
        <v>3</v>
      </c>
      <c r="F11926" s="4">
        <v>0</v>
      </c>
      <c r="G11926" s="3">
        <v>3369</v>
      </c>
      <c r="H11926" s="3">
        <v>79</v>
      </c>
      <c r="I11926" s="3">
        <v>910</v>
      </c>
      <c r="J11926" s="3">
        <v>872</v>
      </c>
      <c r="K11926" s="3">
        <v>3571</v>
      </c>
      <c r="L11926" s="3">
        <v>21</v>
      </c>
      <c r="M11926" s="3">
        <v>930</v>
      </c>
    </row>
    <row r="11927" spans="1:13" x14ac:dyDescent="0.25">
      <c r="A11927" s="1" t="str">
        <f>HYPERLINK("http://www.rosaceae.org/Prunus/Prunus_persica/p.persica_gdr_reftransV1_0040240","p.persica_gdr_reftransV1_0040240")</f>
        <v>p.persica_gdr_reftransV1_0040240</v>
      </c>
      <c r="B11927" s="3">
        <v>1047</v>
      </c>
      <c r="C11927" s="1" t="str">
        <f>HYPERLINK("http://www.uniprot.org/uniprot/ATP23_CRYNJ","ATP23_CRYNJ")</f>
        <v>ATP23_CRYNJ</v>
      </c>
      <c r="D11927" t="s">
        <v>8319</v>
      </c>
      <c r="E11927" s="3" t="s">
        <v>1720</v>
      </c>
      <c r="F11927" s="4">
        <v>1.59E-28</v>
      </c>
      <c r="G11927" s="3">
        <v>288</v>
      </c>
      <c r="H11927" s="3">
        <v>47</v>
      </c>
      <c r="I11927" s="3">
        <v>116</v>
      </c>
      <c r="J11927" s="3">
        <v>330</v>
      </c>
      <c r="K11927" s="3">
        <v>674</v>
      </c>
      <c r="L11927" s="3">
        <v>110</v>
      </c>
      <c r="M11927" s="3">
        <v>224</v>
      </c>
    </row>
    <row r="11928" spans="1:13" x14ac:dyDescent="0.25">
      <c r="A11928" s="1" t="str">
        <f>HYPERLINK("http://www.rosaceae.org/Prunus/Prunus_persica/p.persica_gdr_reftransV1_0040540","p.persica_gdr_reftransV1_0040540")</f>
        <v>p.persica_gdr_reftransV1_0040540</v>
      </c>
      <c r="B11928" s="3">
        <v>1199</v>
      </c>
      <c r="C11928" s="1" t="str">
        <f>HYPERLINK("http://www.uniprot.org/uniprot/TRUA1_PARUW","TRUA1_PARUW")</f>
        <v>TRUA1_PARUW</v>
      </c>
      <c r="D11928" t="s">
        <v>8320</v>
      </c>
      <c r="E11928" s="3" t="s">
        <v>4254</v>
      </c>
      <c r="F11928" s="4">
        <v>2.8400000000000003E-51</v>
      </c>
      <c r="G11928" s="3">
        <v>452</v>
      </c>
      <c r="H11928" s="3">
        <v>43</v>
      </c>
      <c r="I11928" s="3">
        <v>208</v>
      </c>
      <c r="J11928" s="3">
        <v>180</v>
      </c>
      <c r="K11928" s="3">
        <v>800</v>
      </c>
      <c r="L11928" s="3">
        <v>4</v>
      </c>
      <c r="M11928" s="3">
        <v>204</v>
      </c>
    </row>
    <row r="11929" spans="1:13" x14ac:dyDescent="0.25">
      <c r="A11929" s="1" t="str">
        <f>HYPERLINK("http://www.rosaceae.org/Prunus/Prunus_persica/p.persica_gdr_reftransV1_0040690","p.persica_gdr_reftransV1_0040690")</f>
        <v>p.persica_gdr_reftransV1_0040690</v>
      </c>
      <c r="B11929" s="3">
        <v>3412</v>
      </c>
      <c r="C11929" s="1" t="str">
        <f>HYPERLINK("http://www.uniprot.org/uniprot/DJB13_MOUSE","DJB13_MOUSE")</f>
        <v>DJB13_MOUSE</v>
      </c>
      <c r="D11929" t="s">
        <v>8321</v>
      </c>
      <c r="E11929" s="3" t="s">
        <v>157</v>
      </c>
      <c r="F11929" s="4">
        <v>2.5700000000000002E-32</v>
      </c>
      <c r="G11929" s="3">
        <v>336</v>
      </c>
      <c r="H11929" s="3">
        <v>46</v>
      </c>
      <c r="I11929" s="3">
        <v>132</v>
      </c>
      <c r="J11929" s="3">
        <v>2612</v>
      </c>
      <c r="K11929" s="3">
        <v>3007</v>
      </c>
      <c r="L11929" s="3">
        <v>185</v>
      </c>
      <c r="M11929" s="3">
        <v>316</v>
      </c>
    </row>
    <row r="11930" spans="1:13" x14ac:dyDescent="0.25">
      <c r="A11930" s="1" t="str">
        <f>HYPERLINK("http://www.rosaceae.org/Prunus/Prunus_persica/p.persica_gdr_reftransV1_0041190","p.persica_gdr_reftransV1_0041190")</f>
        <v>p.persica_gdr_reftransV1_0041190</v>
      </c>
      <c r="B11930" s="3">
        <v>2927</v>
      </c>
      <c r="C11930" s="1" t="str">
        <f>HYPERLINK("http://www.uniprot.org/uniprot/HGL2_ARATH","HGL2_ARATH")</f>
        <v>HGL2_ARATH</v>
      </c>
      <c r="D11930" t="s">
        <v>8322</v>
      </c>
      <c r="E11930" s="3" t="s">
        <v>3</v>
      </c>
      <c r="F11930" s="4">
        <v>0</v>
      </c>
      <c r="G11930" s="3">
        <v>2466</v>
      </c>
      <c r="H11930" s="3">
        <v>61</v>
      </c>
      <c r="I11930" s="3">
        <v>811</v>
      </c>
      <c r="J11930" s="3">
        <v>269</v>
      </c>
      <c r="K11930" s="3">
        <v>2656</v>
      </c>
      <c r="L11930" s="3">
        <v>1</v>
      </c>
      <c r="M11930" s="3">
        <v>746</v>
      </c>
    </row>
    <row r="11931" spans="1:13" x14ac:dyDescent="0.25">
      <c r="A11931" s="1" t="str">
        <f>HYPERLINK("http://www.rosaceae.org/Prunus/Prunus_persica/p.persica_gdr_reftransV1_0041440","p.persica_gdr_reftransV1_0041440")</f>
        <v>p.persica_gdr_reftransV1_0041440</v>
      </c>
      <c r="B11931" s="3">
        <v>2699</v>
      </c>
      <c r="C11931" s="1" t="str">
        <f>HYPERLINK("http://www.uniprot.org/uniprot/PP444_ARATH","PP444_ARATH")</f>
        <v>PP444_ARATH</v>
      </c>
      <c r="D11931" t="s">
        <v>8323</v>
      </c>
      <c r="E11931" s="3" t="s">
        <v>3</v>
      </c>
      <c r="F11931" s="4">
        <v>1.9199999999999999E-73</v>
      </c>
      <c r="G11931" s="3">
        <v>668</v>
      </c>
      <c r="H11931" s="3">
        <v>29</v>
      </c>
      <c r="I11931" s="3">
        <v>540</v>
      </c>
      <c r="J11931" s="3">
        <v>21</v>
      </c>
      <c r="K11931" s="3">
        <v>1631</v>
      </c>
      <c r="L11931" s="3">
        <v>185</v>
      </c>
      <c r="M11931" s="3">
        <v>719</v>
      </c>
    </row>
    <row r="11932" spans="1:13" x14ac:dyDescent="0.25">
      <c r="A11932" s="1" t="str">
        <f>HYPERLINK("http://www.rosaceae.org/Prunus/Prunus_persica/p.persica_gdr_reftransV1_0041940","p.persica_gdr_reftransV1_0041940")</f>
        <v>p.persica_gdr_reftransV1_0041940</v>
      </c>
      <c r="B11932" s="3">
        <v>2139</v>
      </c>
      <c r="C11932" s="1" t="str">
        <f>HYPERLINK("http://www.uniprot.org/uniprot/PP1R7_DICDI","PP1R7_DICDI")</f>
        <v>PP1R7_DICDI</v>
      </c>
      <c r="D11932" t="s">
        <v>8324</v>
      </c>
      <c r="E11932" s="3" t="s">
        <v>9</v>
      </c>
      <c r="F11932" s="4">
        <v>4.0099999999999999E-47</v>
      </c>
      <c r="G11932" s="3">
        <v>442</v>
      </c>
      <c r="H11932" s="3">
        <v>43</v>
      </c>
      <c r="I11932" s="3">
        <v>296</v>
      </c>
      <c r="J11932" s="3">
        <v>1159</v>
      </c>
      <c r="K11932" s="3">
        <v>2028</v>
      </c>
      <c r="L11932" s="3">
        <v>22</v>
      </c>
      <c r="M11932" s="3">
        <v>307</v>
      </c>
    </row>
    <row r="11933" spans="1:13" x14ac:dyDescent="0.25">
      <c r="A11933" s="1" t="str">
        <f>HYPERLINK("http://www.rosaceae.org/Prunus/Prunus_persica/p.persica_gdr_reftransV1_0042490","p.persica_gdr_reftransV1_0042490")</f>
        <v>p.persica_gdr_reftransV1_0042490</v>
      </c>
      <c r="B11933" s="3">
        <v>1730</v>
      </c>
      <c r="C11933" s="1" t="str">
        <f>HYPERLINK("http://www.uniprot.org/uniprot/PIGV_MOUSE","PIGV_MOUSE")</f>
        <v>PIGV_MOUSE</v>
      </c>
      <c r="D11933" t="s">
        <v>8325</v>
      </c>
      <c r="E11933" s="3" t="s">
        <v>157</v>
      </c>
      <c r="F11933" s="4">
        <v>3.03E-38</v>
      </c>
      <c r="G11933" s="3">
        <v>381</v>
      </c>
      <c r="H11933" s="3">
        <v>30</v>
      </c>
      <c r="I11933" s="3">
        <v>398</v>
      </c>
      <c r="J11933" s="3">
        <v>112</v>
      </c>
      <c r="K11933" s="3">
        <v>1242</v>
      </c>
      <c r="L11933" s="3">
        <v>66</v>
      </c>
      <c r="M11933" s="3">
        <v>423</v>
      </c>
    </row>
    <row r="11934" spans="1:13" x14ac:dyDescent="0.25">
      <c r="A11934" s="1" t="str">
        <f>HYPERLINK("http://www.rosaceae.org/Prunus/Prunus_persica/p.persica_gdr_reftransV1_0042890","p.persica_gdr_reftransV1_0042890")</f>
        <v>p.persica_gdr_reftransV1_0042890</v>
      </c>
      <c r="B11934" s="3">
        <v>2422</v>
      </c>
      <c r="C11934" s="1" t="str">
        <f>HYPERLINK("http://www.uniprot.org/uniprot/GDT14_ARATH","GDT14_ARATH")</f>
        <v>GDT14_ARATH</v>
      </c>
      <c r="D11934" t="s">
        <v>8326</v>
      </c>
      <c r="E11934" s="3" t="s">
        <v>3</v>
      </c>
      <c r="F11934" s="4">
        <v>1.3999999999999999E-55</v>
      </c>
      <c r="G11934" s="3">
        <v>497</v>
      </c>
      <c r="H11934" s="3">
        <v>78</v>
      </c>
      <c r="I11934" s="3">
        <v>162</v>
      </c>
      <c r="J11934" s="3">
        <v>364</v>
      </c>
      <c r="K11934" s="3">
        <v>846</v>
      </c>
      <c r="L11934" s="3">
        <v>3</v>
      </c>
      <c r="M11934" s="3">
        <v>164</v>
      </c>
    </row>
    <row r="11935" spans="1:13" x14ac:dyDescent="0.25">
      <c r="A11935" s="1" t="str">
        <f>HYPERLINK("http://www.rosaceae.org/Prunus/Prunus_persica/p.persica_gdr_reftransV1_0043090","p.persica_gdr_reftransV1_0043090")</f>
        <v>p.persica_gdr_reftransV1_0043090</v>
      </c>
      <c r="B11935" s="3">
        <v>580</v>
      </c>
      <c r="C11935" s="1" t="str">
        <f>HYPERLINK("http://www.uniprot.org/uniprot/LAC2_ORYSJ","LAC2_ORYSJ")</f>
        <v>LAC2_ORYSJ</v>
      </c>
      <c r="D11935" t="s">
        <v>8327</v>
      </c>
      <c r="E11935" s="3" t="s">
        <v>38</v>
      </c>
      <c r="F11935" s="4">
        <v>5.0699999999999999E-70</v>
      </c>
      <c r="G11935" s="3">
        <v>582</v>
      </c>
      <c r="H11935" s="3">
        <v>87</v>
      </c>
      <c r="I11935" s="3">
        <v>122</v>
      </c>
      <c r="J11935" s="3">
        <v>214</v>
      </c>
      <c r="K11935" s="3">
        <v>579</v>
      </c>
      <c r="L11935" s="3">
        <v>432</v>
      </c>
      <c r="M11935" s="3">
        <v>553</v>
      </c>
    </row>
    <row r="11936" spans="1:13" x14ac:dyDescent="0.25">
      <c r="A11936" s="1" t="str">
        <f>HYPERLINK("http://www.rosaceae.org/Prunus/Prunus_persica/p.persica_gdr_reftransV1_0043140","p.persica_gdr_reftransV1_0043140")</f>
        <v>p.persica_gdr_reftransV1_0043140</v>
      </c>
      <c r="B11936" s="3">
        <v>1300</v>
      </c>
      <c r="C11936" s="1" t="str">
        <f>HYPERLINK("http://www.uniprot.org/uniprot/PUX10_ARATH","PUX10_ARATH")</f>
        <v>PUX10_ARATH</v>
      </c>
      <c r="D11936" t="s">
        <v>8328</v>
      </c>
      <c r="E11936" s="3" t="s">
        <v>3</v>
      </c>
      <c r="F11936" s="4">
        <v>1.0299999999999999E-62</v>
      </c>
      <c r="G11936" s="3">
        <v>550</v>
      </c>
      <c r="H11936" s="3">
        <v>42</v>
      </c>
      <c r="I11936" s="3">
        <v>311</v>
      </c>
      <c r="J11936" s="3">
        <v>290</v>
      </c>
      <c r="K11936" s="3">
        <v>1204</v>
      </c>
      <c r="L11936" s="3">
        <v>167</v>
      </c>
      <c r="M11936" s="3">
        <v>474</v>
      </c>
    </row>
    <row r="11937" spans="1:13" x14ac:dyDescent="0.25">
      <c r="A11937" s="1" t="str">
        <f>HYPERLINK("http://www.rosaceae.org/Prunus/Prunus_persica/p.persica_gdr_reftransV1_0043190","p.persica_gdr_reftransV1_0043190")</f>
        <v>p.persica_gdr_reftransV1_0043190</v>
      </c>
      <c r="B11937" s="3">
        <v>1866</v>
      </c>
      <c r="C11937" s="1" t="str">
        <f>HYPERLINK("http://www.uniprot.org/uniprot/ICML1_ARATH","ICML1_ARATH")</f>
        <v>ICML1_ARATH</v>
      </c>
      <c r="D11937" t="s">
        <v>8329</v>
      </c>
      <c r="E11937" s="3" t="s">
        <v>3</v>
      </c>
      <c r="F11937" s="4">
        <v>0</v>
      </c>
      <c r="G11937" s="3">
        <v>1533</v>
      </c>
      <c r="H11937" s="3">
        <v>81</v>
      </c>
      <c r="I11937" s="3">
        <v>356</v>
      </c>
      <c r="J11937" s="3">
        <v>798</v>
      </c>
      <c r="K11937" s="3">
        <v>1865</v>
      </c>
      <c r="L11937" s="3">
        <v>124</v>
      </c>
      <c r="M11937" s="3">
        <v>476</v>
      </c>
    </row>
    <row r="11938" spans="1:13" x14ac:dyDescent="0.25">
      <c r="A11938" s="1" t="str">
        <f>HYPERLINK("http://www.rosaceae.org/Prunus/Prunus_persica/p.persica_gdr_reftransV1_0043340","p.persica_gdr_reftransV1_0043340")</f>
        <v>p.persica_gdr_reftransV1_0043340</v>
      </c>
      <c r="B11938" s="3">
        <v>1085</v>
      </c>
      <c r="C11938" s="1" t="str">
        <f>HYPERLINK("http://www.uniprot.org/uniprot/CB24_PEA","CB24_PEA")</f>
        <v>CB24_PEA</v>
      </c>
      <c r="D11938" t="s">
        <v>1931</v>
      </c>
      <c r="E11938" s="3" t="s">
        <v>60</v>
      </c>
      <c r="F11938" s="4">
        <v>2.3900000000000002E-45</v>
      </c>
      <c r="G11938" s="3">
        <v>408</v>
      </c>
      <c r="H11938" s="3">
        <v>49</v>
      </c>
      <c r="I11938" s="3">
        <v>191</v>
      </c>
      <c r="J11938" s="3">
        <v>273</v>
      </c>
      <c r="K11938" s="3">
        <v>839</v>
      </c>
      <c r="L11938" s="3">
        <v>72</v>
      </c>
      <c r="M11938" s="3">
        <v>252</v>
      </c>
    </row>
    <row r="11939" spans="1:13" x14ac:dyDescent="0.25">
      <c r="A11939" s="1" t="str">
        <f>HYPERLINK("http://www.rosaceae.org/Prunus/Prunus_persica/p.persica_gdr_reftransV1_0043440","p.persica_gdr_reftransV1_0043440")</f>
        <v>p.persica_gdr_reftransV1_0043440</v>
      </c>
      <c r="B11939" s="3">
        <v>698</v>
      </c>
      <c r="C11939" s="1" t="str">
        <f>HYPERLINK("http://www.uniprot.org/uniprot/NFKB1_RAT","NFKB1_RAT")</f>
        <v>NFKB1_RAT</v>
      </c>
      <c r="D11939" t="s">
        <v>8330</v>
      </c>
      <c r="E11939" s="3" t="s">
        <v>161</v>
      </c>
      <c r="F11939" s="4">
        <v>2.69E-9</v>
      </c>
      <c r="G11939" s="3">
        <v>144</v>
      </c>
      <c r="H11939" s="3">
        <v>28</v>
      </c>
      <c r="I11939" s="3">
        <v>158</v>
      </c>
      <c r="J11939" s="3">
        <v>34</v>
      </c>
      <c r="K11939" s="3">
        <v>501</v>
      </c>
      <c r="L11939" s="3">
        <v>131</v>
      </c>
      <c r="M11939" s="3">
        <v>278</v>
      </c>
    </row>
    <row r="11940" spans="1:13" x14ac:dyDescent="0.25">
      <c r="A11940" s="1" t="str">
        <f>HYPERLINK("http://www.rosaceae.org/Prunus/Prunus_persica/p.persica_gdr_reftransV1_0043490","p.persica_gdr_reftransV1_0043490")</f>
        <v>p.persica_gdr_reftransV1_0043490</v>
      </c>
      <c r="B11940" s="3">
        <v>476</v>
      </c>
      <c r="C11940" s="1" t="str">
        <f>HYPERLINK("http://www.uniprot.org/uniprot/ACCO_DIACA","ACCO_DIACA")</f>
        <v>ACCO_DIACA</v>
      </c>
      <c r="D11940" t="s">
        <v>8331</v>
      </c>
      <c r="E11940" s="3" t="s">
        <v>3050</v>
      </c>
      <c r="F11940" s="4">
        <v>5.4700000000000001E-7</v>
      </c>
      <c r="G11940" s="3">
        <v>121</v>
      </c>
      <c r="H11940" s="3">
        <v>27</v>
      </c>
      <c r="I11940" s="3">
        <v>126</v>
      </c>
      <c r="J11940" s="3">
        <v>68</v>
      </c>
      <c r="K11940" s="3">
        <v>418</v>
      </c>
      <c r="L11940" s="3">
        <v>175</v>
      </c>
      <c r="M11940" s="3">
        <v>300</v>
      </c>
    </row>
    <row r="11941" spans="1:13" x14ac:dyDescent="0.25">
      <c r="A11941" s="1" t="str">
        <f>HYPERLINK("http://www.rosaceae.org/Prunus/Prunus_persica/p.persica_gdr_reftransV1_0043590","p.persica_gdr_reftransV1_0043590")</f>
        <v>p.persica_gdr_reftransV1_0043590</v>
      </c>
      <c r="B11941" s="3">
        <v>1440</v>
      </c>
      <c r="C11941" s="1" t="str">
        <f>HYPERLINK("http://www.uniprot.org/uniprot/TBA_PRUDU","TBA_PRUDU")</f>
        <v>TBA_PRUDU</v>
      </c>
      <c r="D11941" t="s">
        <v>5106</v>
      </c>
      <c r="E11941" s="3" t="s">
        <v>418</v>
      </c>
      <c r="F11941" s="4">
        <v>0</v>
      </c>
      <c r="G11941" s="3">
        <v>2231</v>
      </c>
      <c r="H11941" s="3">
        <v>99</v>
      </c>
      <c r="I11941" s="3">
        <v>435</v>
      </c>
      <c r="J11941" s="3">
        <v>134</v>
      </c>
      <c r="K11941" s="3">
        <v>1438</v>
      </c>
      <c r="L11941" s="3">
        <v>1</v>
      </c>
      <c r="M11941" s="3">
        <v>435</v>
      </c>
    </row>
    <row r="11942" spans="1:13" x14ac:dyDescent="0.25">
      <c r="A11942" s="1" t="str">
        <f>HYPERLINK("http://www.rosaceae.org/Prunus/Prunus_persica/p.persica_gdr_reftransV1_0043640","p.persica_gdr_reftransV1_0043640")</f>
        <v>p.persica_gdr_reftransV1_0043640</v>
      </c>
      <c r="B11942" s="3">
        <v>1084</v>
      </c>
      <c r="C11942" s="1" t="str">
        <f>HYPERLINK("http://www.uniprot.org/uniprot/U553_DICDI","U553_DICDI")</f>
        <v>U553_DICDI</v>
      </c>
      <c r="D11942" t="s">
        <v>8332</v>
      </c>
      <c r="E11942" s="3" t="s">
        <v>9</v>
      </c>
      <c r="F11942" s="4">
        <v>1.0599999999999999E-66</v>
      </c>
      <c r="G11942" s="3">
        <v>559</v>
      </c>
      <c r="H11942" s="3">
        <v>45</v>
      </c>
      <c r="I11942" s="3">
        <v>255</v>
      </c>
      <c r="J11942" s="3">
        <v>196</v>
      </c>
      <c r="K11942" s="3">
        <v>954</v>
      </c>
      <c r="L11942" s="3">
        <v>70</v>
      </c>
      <c r="M11942" s="3">
        <v>321</v>
      </c>
    </row>
    <row r="11943" spans="1:13" x14ac:dyDescent="0.25">
      <c r="A11943" s="1" t="str">
        <f>HYPERLINK("http://www.rosaceae.org/Prunus/Prunus_persica/p.persica_gdr_reftransV1_0043690","p.persica_gdr_reftransV1_0043690")</f>
        <v>p.persica_gdr_reftransV1_0043690</v>
      </c>
      <c r="B11943" s="3">
        <v>1535</v>
      </c>
      <c r="C11943" s="1" t="str">
        <f>HYPERLINK("http://www.uniprot.org/uniprot/SH3Y1_XENLA","SH3Y1_XENLA")</f>
        <v>SH3Y1_XENLA</v>
      </c>
      <c r="D11943" t="s">
        <v>8333</v>
      </c>
      <c r="E11943" s="3" t="s">
        <v>475</v>
      </c>
      <c r="F11943" s="4">
        <v>3.4599999999999999E-10</v>
      </c>
      <c r="G11943" s="3">
        <v>157</v>
      </c>
      <c r="H11943" s="3">
        <v>42</v>
      </c>
      <c r="I11943" s="3">
        <v>83</v>
      </c>
      <c r="J11943" s="3">
        <v>214</v>
      </c>
      <c r="K11943" s="3">
        <v>462</v>
      </c>
      <c r="L11943" s="3">
        <v>131</v>
      </c>
      <c r="M11943" s="3">
        <v>211</v>
      </c>
    </row>
    <row r="11944" spans="1:13" x14ac:dyDescent="0.25">
      <c r="A11944" s="1" t="str">
        <f>HYPERLINK("http://www.rosaceae.org/Prunus/Prunus_persica/p.persica_gdr_reftransV1_0043790","p.persica_gdr_reftransV1_0043790")</f>
        <v>p.persica_gdr_reftransV1_0043790</v>
      </c>
      <c r="B11944" s="3">
        <v>1808</v>
      </c>
      <c r="C11944" s="1" t="str">
        <f>HYPERLINK("http://www.uniprot.org/uniprot/PIGG_HUMAN","PIGG_HUMAN")</f>
        <v>PIGG_HUMAN</v>
      </c>
      <c r="D11944" t="s">
        <v>5682</v>
      </c>
      <c r="E11944" s="3" t="s">
        <v>28</v>
      </c>
      <c r="F11944" s="4">
        <v>1.0499999999999999E-73</v>
      </c>
      <c r="G11944" s="3">
        <v>663</v>
      </c>
      <c r="H11944" s="3">
        <v>44</v>
      </c>
      <c r="I11944" s="3">
        <v>305</v>
      </c>
      <c r="J11944" s="3">
        <v>505</v>
      </c>
      <c r="K11944" s="3">
        <v>1413</v>
      </c>
      <c r="L11944" s="3">
        <v>72</v>
      </c>
      <c r="M11944" s="3">
        <v>367</v>
      </c>
    </row>
    <row r="11945" spans="1:13" x14ac:dyDescent="0.25">
      <c r="A11945" s="1" t="str">
        <f>HYPERLINK("http://www.rosaceae.org/Prunus/Prunus_persica/p.persica_gdr_reftransV1_0043840","p.persica_gdr_reftransV1_0043840")</f>
        <v>p.persica_gdr_reftransV1_0043840</v>
      </c>
      <c r="B11945" s="3">
        <v>1095</v>
      </c>
      <c r="C11945" s="1" t="str">
        <f>HYPERLINK("http://www.uniprot.org/uniprot/RL7_LIBAC","RL7_LIBAC")</f>
        <v>RL7_LIBAC</v>
      </c>
      <c r="D11945" t="s">
        <v>8334</v>
      </c>
      <c r="E11945" s="3" t="s">
        <v>8335</v>
      </c>
      <c r="F11945" s="4">
        <v>4.2999999999999997E-15</v>
      </c>
      <c r="G11945" s="3">
        <v>184</v>
      </c>
      <c r="H11945" s="3">
        <v>58</v>
      </c>
      <c r="I11945" s="3">
        <v>67</v>
      </c>
      <c r="J11945" s="3">
        <v>319</v>
      </c>
      <c r="K11945" s="3">
        <v>519</v>
      </c>
      <c r="L11945" s="3">
        <v>53</v>
      </c>
      <c r="M11945" s="3">
        <v>119</v>
      </c>
    </row>
    <row r="11946" spans="1:13" x14ac:dyDescent="0.25">
      <c r="A11946" s="1" t="str">
        <f>HYPERLINK("http://www.rosaceae.org/Prunus/Prunus_persica/p.persica_gdr_reftransV1_0043990","p.persica_gdr_reftransV1_0043990")</f>
        <v>p.persica_gdr_reftransV1_0043990</v>
      </c>
      <c r="B11946" s="3">
        <v>363</v>
      </c>
      <c r="C11946" s="1" t="str">
        <f>HYPERLINK("http://www.uniprot.org/uniprot/SP1L5_ARATH","SP1L5_ARATH")</f>
        <v>SP1L5_ARATH</v>
      </c>
      <c r="D11946" t="s">
        <v>8336</v>
      </c>
      <c r="E11946" s="3" t="s">
        <v>3</v>
      </c>
      <c r="F11946" s="4">
        <v>6.6000000000000003E-18</v>
      </c>
      <c r="G11946" s="3">
        <v>191</v>
      </c>
      <c r="H11946" s="3">
        <v>60</v>
      </c>
      <c r="I11946" s="3">
        <v>68</v>
      </c>
      <c r="J11946" s="3">
        <v>26</v>
      </c>
      <c r="K11946" s="3">
        <v>229</v>
      </c>
      <c r="L11946" s="3">
        <v>40</v>
      </c>
      <c r="M11946" s="3">
        <v>99</v>
      </c>
    </row>
    <row r="11947" spans="1:13" x14ac:dyDescent="0.25">
      <c r="A11947" s="1" t="str">
        <f>HYPERLINK("http://www.rosaceae.org/Prunus/Prunus_persica/p.persica_gdr_reftransV1_0044040","p.persica_gdr_reftransV1_0044040")</f>
        <v>p.persica_gdr_reftransV1_0044040</v>
      </c>
      <c r="B11947" s="3">
        <v>427</v>
      </c>
      <c r="C11947" s="1" t="str">
        <f>HYPERLINK("http://www.uniprot.org/uniprot/NIP61_ARATH","NIP61_ARATH")</f>
        <v>NIP61_ARATH</v>
      </c>
      <c r="D11947" t="s">
        <v>2319</v>
      </c>
      <c r="E11947" s="3" t="s">
        <v>3</v>
      </c>
      <c r="F11947" s="4">
        <v>2.67E-36</v>
      </c>
      <c r="G11947" s="3">
        <v>331</v>
      </c>
      <c r="H11947" s="3">
        <v>68</v>
      </c>
      <c r="I11947" s="3">
        <v>108</v>
      </c>
      <c r="J11947" s="3">
        <v>117</v>
      </c>
      <c r="K11947" s="3">
        <v>425</v>
      </c>
      <c r="L11947" s="3">
        <v>2</v>
      </c>
      <c r="M11947" s="3">
        <v>107</v>
      </c>
    </row>
    <row r="11948" spans="1:13" x14ac:dyDescent="0.25">
      <c r="A11948" s="1" t="str">
        <f>HYPERLINK("http://www.rosaceae.org/Prunus/Prunus_persica/p.persica_gdr_reftransV1_0044090","p.persica_gdr_reftransV1_0044090")</f>
        <v>p.persica_gdr_reftransV1_0044090</v>
      </c>
      <c r="B11948" s="3">
        <v>722</v>
      </c>
      <c r="C11948" s="1" t="str">
        <f>HYPERLINK("http://www.uniprot.org/uniprot/COL1_ARATH","COL1_ARATH")</f>
        <v>COL1_ARATH</v>
      </c>
      <c r="D11948" t="s">
        <v>8337</v>
      </c>
      <c r="E11948" s="3" t="s">
        <v>3</v>
      </c>
      <c r="F11948" s="4">
        <v>2.1299999999999999E-9</v>
      </c>
      <c r="G11948" s="3">
        <v>145</v>
      </c>
      <c r="H11948" s="3">
        <v>44</v>
      </c>
      <c r="I11948" s="3">
        <v>54</v>
      </c>
      <c r="J11948" s="3">
        <v>272</v>
      </c>
      <c r="K11948" s="3">
        <v>433</v>
      </c>
      <c r="L11948" s="3">
        <v>282</v>
      </c>
      <c r="M11948" s="3">
        <v>335</v>
      </c>
    </row>
    <row r="11949" spans="1:13" x14ac:dyDescent="0.25">
      <c r="A11949" s="1" t="str">
        <f>HYPERLINK("http://www.rosaceae.org/Prunus/Prunus_persica/p.persica_gdr_reftransV1_0044140","p.persica_gdr_reftransV1_0044140")</f>
        <v>p.persica_gdr_reftransV1_0044140</v>
      </c>
      <c r="B11949" s="3">
        <v>2385</v>
      </c>
      <c r="C11949" s="1" t="str">
        <f>HYPERLINK("http://www.uniprot.org/uniprot/NEK1_ARATH","NEK1_ARATH")</f>
        <v>NEK1_ARATH</v>
      </c>
      <c r="D11949" t="s">
        <v>8338</v>
      </c>
      <c r="E11949" s="3" t="s">
        <v>3</v>
      </c>
      <c r="F11949" s="4">
        <v>0</v>
      </c>
      <c r="G11949" s="3">
        <v>1699</v>
      </c>
      <c r="H11949" s="3">
        <v>62</v>
      </c>
      <c r="I11949" s="3">
        <v>626</v>
      </c>
      <c r="J11949" s="3">
        <v>292</v>
      </c>
      <c r="K11949" s="3">
        <v>2145</v>
      </c>
      <c r="L11949" s="3">
        <v>1</v>
      </c>
      <c r="M11949" s="3">
        <v>591</v>
      </c>
    </row>
    <row r="11950" spans="1:13" x14ac:dyDescent="0.25">
      <c r="A11950" s="1" t="str">
        <f>HYPERLINK("http://www.rosaceae.org/Prunus/Prunus_persica/p.persica_gdr_reftransV1_0044240","p.persica_gdr_reftransV1_0044240")</f>
        <v>p.persica_gdr_reftransV1_0044240</v>
      </c>
      <c r="B11950" s="3">
        <v>1144</v>
      </c>
      <c r="C11950" s="1" t="str">
        <f>HYPERLINK("http://www.uniprot.org/uniprot/VIAF1_DROME","VIAF1_DROME")</f>
        <v>VIAF1_DROME</v>
      </c>
      <c r="D11950" t="s">
        <v>8339</v>
      </c>
      <c r="E11950" s="3" t="s">
        <v>5</v>
      </c>
      <c r="F11950" s="4">
        <v>5.9400000000000003E-34</v>
      </c>
      <c r="G11950" s="3">
        <v>329</v>
      </c>
      <c r="H11950" s="3">
        <v>42</v>
      </c>
      <c r="I11950" s="3">
        <v>132</v>
      </c>
      <c r="J11950" s="3">
        <v>337</v>
      </c>
      <c r="K11950" s="3">
        <v>729</v>
      </c>
      <c r="L11950" s="3">
        <v>81</v>
      </c>
      <c r="M11950" s="3">
        <v>212</v>
      </c>
    </row>
    <row r="11951" spans="1:13" x14ac:dyDescent="0.25">
      <c r="A11951" s="1" t="str">
        <f>HYPERLINK("http://www.rosaceae.org/Prunus/Prunus_persica/p.persica_gdr_reftransV1_0044290","p.persica_gdr_reftransV1_0044290")</f>
        <v>p.persica_gdr_reftransV1_0044290</v>
      </c>
      <c r="B11951" s="3">
        <v>4455</v>
      </c>
      <c r="C11951" s="1" t="str">
        <f>HYPERLINK("http://www.uniprot.org/uniprot/NUP1_ARATH","NUP1_ARATH")</f>
        <v>NUP1_ARATH</v>
      </c>
      <c r="D11951" t="s">
        <v>6917</v>
      </c>
      <c r="E11951" s="3" t="s">
        <v>3</v>
      </c>
      <c r="F11951" s="4">
        <v>1.6099999999999999E-107</v>
      </c>
      <c r="G11951" s="3">
        <v>969</v>
      </c>
      <c r="H11951" s="3">
        <v>47</v>
      </c>
      <c r="I11951" s="3">
        <v>607</v>
      </c>
      <c r="J11951" s="3">
        <v>63</v>
      </c>
      <c r="K11951" s="3">
        <v>1802</v>
      </c>
      <c r="L11951" s="3">
        <v>22</v>
      </c>
      <c r="M11951" s="3">
        <v>558</v>
      </c>
    </row>
    <row r="11952" spans="1:13" x14ac:dyDescent="0.25">
      <c r="A11952" s="1" t="str">
        <f>HYPERLINK("http://www.rosaceae.org/Prunus/Prunus_persica/p.persica_gdr_reftransV1_0044540","p.persica_gdr_reftransV1_0044540")</f>
        <v>p.persica_gdr_reftransV1_0044540</v>
      </c>
      <c r="B11952" s="3">
        <v>2023</v>
      </c>
      <c r="C11952" s="1" t="str">
        <f>HYPERLINK("http://www.uniprot.org/uniprot/PAO5_ARATH","PAO5_ARATH")</f>
        <v>PAO5_ARATH</v>
      </c>
      <c r="D11952" t="s">
        <v>8340</v>
      </c>
      <c r="E11952" s="3" t="s">
        <v>3</v>
      </c>
      <c r="F11952" s="4">
        <v>0</v>
      </c>
      <c r="G11952" s="3">
        <v>1674</v>
      </c>
      <c r="H11952" s="3">
        <v>61</v>
      </c>
      <c r="I11952" s="3">
        <v>569</v>
      </c>
      <c r="J11952" s="3">
        <v>214</v>
      </c>
      <c r="K11952" s="3">
        <v>1896</v>
      </c>
      <c r="L11952" s="3">
        <v>1</v>
      </c>
      <c r="M11952" s="3">
        <v>529</v>
      </c>
    </row>
    <row r="11953" spans="1:13" x14ac:dyDescent="0.25">
      <c r="A11953" s="1" t="str">
        <f>HYPERLINK("http://www.rosaceae.org/Prunus/Prunus_persica/p.persica_gdr_reftransV1_0044590","p.persica_gdr_reftransV1_0044590")</f>
        <v>p.persica_gdr_reftransV1_0044590</v>
      </c>
      <c r="B11953" s="3">
        <v>1118</v>
      </c>
      <c r="C11953" s="1" t="str">
        <f>HYPERLINK("http://www.uniprot.org/uniprot/GPX4_ARATH","GPX4_ARATH")</f>
        <v>GPX4_ARATH</v>
      </c>
      <c r="D11953" t="s">
        <v>8341</v>
      </c>
      <c r="E11953" s="3" t="s">
        <v>3</v>
      </c>
      <c r="F11953" s="4">
        <v>2.5599999999999998E-86</v>
      </c>
      <c r="G11953" s="3">
        <v>678</v>
      </c>
      <c r="H11953" s="3">
        <v>75</v>
      </c>
      <c r="I11953" s="3">
        <v>169</v>
      </c>
      <c r="J11953" s="3">
        <v>396</v>
      </c>
      <c r="K11953" s="3">
        <v>902</v>
      </c>
      <c r="L11953" s="3">
        <v>1</v>
      </c>
      <c r="M11953" s="3">
        <v>167</v>
      </c>
    </row>
    <row r="11954" spans="1:13" x14ac:dyDescent="0.25">
      <c r="A11954" s="1" t="str">
        <f>HYPERLINK("http://www.rosaceae.org/Prunus/Prunus_persica/p.persica_gdr_reftransV1_0044640","p.persica_gdr_reftransV1_0044640")</f>
        <v>p.persica_gdr_reftransV1_0044640</v>
      </c>
      <c r="B11954" s="3">
        <v>2901</v>
      </c>
      <c r="C11954" s="1" t="str">
        <f>HYPERLINK("http://www.uniprot.org/uniprot/DAAF1_MOUSE","DAAF1_MOUSE")</f>
        <v>DAAF1_MOUSE</v>
      </c>
      <c r="D11954" t="s">
        <v>6529</v>
      </c>
      <c r="E11954" s="3" t="s">
        <v>157</v>
      </c>
      <c r="F11954" s="4">
        <v>1.6199999999999999E-8</v>
      </c>
      <c r="G11954" s="3">
        <v>150</v>
      </c>
      <c r="H11954" s="3">
        <v>31</v>
      </c>
      <c r="I11954" s="3">
        <v>170</v>
      </c>
      <c r="J11954" s="3">
        <v>1953</v>
      </c>
      <c r="K11954" s="3">
        <v>2462</v>
      </c>
      <c r="L11954" s="3">
        <v>134</v>
      </c>
      <c r="M11954" s="3">
        <v>280</v>
      </c>
    </row>
    <row r="11955" spans="1:13" x14ac:dyDescent="0.25">
      <c r="A11955" s="1" t="str">
        <f>HYPERLINK("http://www.rosaceae.org/Prunus/Prunus_persica/p.persica_gdr_reftransV1_0044690","p.persica_gdr_reftransV1_0044690")</f>
        <v>p.persica_gdr_reftransV1_0044690</v>
      </c>
      <c r="B11955" s="3">
        <v>505</v>
      </c>
      <c r="C11955" s="1" t="str">
        <f>HYPERLINK("http://www.uniprot.org/uniprot/OPF13_ARATH","OPF13_ARATH")</f>
        <v>OPF13_ARATH</v>
      </c>
      <c r="D11955" t="s">
        <v>4449</v>
      </c>
      <c r="E11955" s="3" t="s">
        <v>3</v>
      </c>
      <c r="F11955" s="4">
        <v>5.92E-31</v>
      </c>
      <c r="G11955" s="3">
        <v>294</v>
      </c>
      <c r="H11955" s="3">
        <v>59</v>
      </c>
      <c r="I11955" s="3">
        <v>119</v>
      </c>
      <c r="J11955" s="3">
        <v>121</v>
      </c>
      <c r="K11955" s="3">
        <v>417</v>
      </c>
      <c r="L11955" s="3">
        <v>87</v>
      </c>
      <c r="M11955" s="3">
        <v>205</v>
      </c>
    </row>
    <row r="11956" spans="1:13" x14ac:dyDescent="0.25">
      <c r="A11956" s="1" t="str">
        <f>HYPERLINK("http://www.rosaceae.org/Prunus/Prunus_persica/p.persica_gdr_reftransV1_0044740","p.persica_gdr_reftransV1_0044740")</f>
        <v>p.persica_gdr_reftransV1_0044740</v>
      </c>
      <c r="B11956" s="3">
        <v>1242</v>
      </c>
      <c r="C11956" s="1" t="str">
        <f>HYPERLINK("http://www.uniprot.org/uniprot/CHUP1_ARATH","CHUP1_ARATH")</f>
        <v>CHUP1_ARATH</v>
      </c>
      <c r="D11956" t="s">
        <v>3256</v>
      </c>
      <c r="E11956" s="3" t="s">
        <v>3</v>
      </c>
      <c r="F11956" s="4">
        <v>3.1500000000000002E-103</v>
      </c>
      <c r="G11956" s="3">
        <v>857</v>
      </c>
      <c r="H11956" s="3">
        <v>61</v>
      </c>
      <c r="I11956" s="3">
        <v>265</v>
      </c>
      <c r="J11956" s="3">
        <v>70</v>
      </c>
      <c r="K11956" s="3">
        <v>861</v>
      </c>
      <c r="L11956" s="3">
        <v>718</v>
      </c>
      <c r="M11956" s="3">
        <v>982</v>
      </c>
    </row>
    <row r="11957" spans="1:13" x14ac:dyDescent="0.25">
      <c r="A11957" s="1" t="str">
        <f>HYPERLINK("http://www.rosaceae.org/Prunus/Prunus_persica/p.persica_gdr_reftransV1_0044790","p.persica_gdr_reftransV1_0044790")</f>
        <v>p.persica_gdr_reftransV1_0044790</v>
      </c>
      <c r="B11957" s="3">
        <v>854</v>
      </c>
      <c r="C11957" s="1" t="str">
        <f>HYPERLINK("http://www.uniprot.org/uniprot/TATB_HERAR","TATB_HERAR")</f>
        <v>TATB_HERAR</v>
      </c>
      <c r="D11957" t="s">
        <v>144</v>
      </c>
      <c r="E11957" s="3" t="s">
        <v>145</v>
      </c>
      <c r="F11957" s="4">
        <v>3.03E-7</v>
      </c>
      <c r="G11957" s="3">
        <v>125</v>
      </c>
      <c r="H11957" s="3">
        <v>34</v>
      </c>
      <c r="I11957" s="3">
        <v>71</v>
      </c>
      <c r="J11957" s="3">
        <v>639</v>
      </c>
      <c r="K11957" s="3">
        <v>851</v>
      </c>
      <c r="L11957" s="3">
        <v>4</v>
      </c>
      <c r="M11957" s="3">
        <v>74</v>
      </c>
    </row>
    <row r="11958" spans="1:13" x14ac:dyDescent="0.25">
      <c r="A11958" s="1" t="str">
        <f>HYPERLINK("http://www.rosaceae.org/Prunus/Prunus_persica/p.persica_gdr_reftransV1_0044840","p.persica_gdr_reftransV1_0044840")</f>
        <v>p.persica_gdr_reftransV1_0044840</v>
      </c>
      <c r="B11958" s="3">
        <v>958</v>
      </c>
      <c r="C11958" s="1" t="str">
        <f>HYPERLINK("http://www.uniprot.org/uniprot/PSBY_SPIOL","PSBY_SPIOL")</f>
        <v>PSBY_SPIOL</v>
      </c>
      <c r="D11958" t="s">
        <v>8342</v>
      </c>
      <c r="E11958" s="3" t="s">
        <v>131</v>
      </c>
      <c r="F11958" s="4">
        <v>2.0700000000000001E-27</v>
      </c>
      <c r="G11958" s="3">
        <v>276</v>
      </c>
      <c r="H11958" s="3">
        <v>49</v>
      </c>
      <c r="I11958" s="3">
        <v>200</v>
      </c>
      <c r="J11958" s="3">
        <v>234</v>
      </c>
      <c r="K11958" s="3">
        <v>803</v>
      </c>
      <c r="L11958" s="3">
        <v>11</v>
      </c>
      <c r="M11958" s="3">
        <v>198</v>
      </c>
    </row>
    <row r="11959" spans="1:13" x14ac:dyDescent="0.25">
      <c r="A11959" s="1" t="str">
        <f>HYPERLINK("http://www.rosaceae.org/Prunus/Prunus_persica/p.persica_gdr_reftransV1_0044890","p.persica_gdr_reftransV1_0044890")</f>
        <v>p.persica_gdr_reftransV1_0044890</v>
      </c>
      <c r="B11959" s="3">
        <v>806</v>
      </c>
      <c r="C11959" s="1" t="str">
        <f>HYPERLINK("http://www.uniprot.org/uniprot/SNAK2_SOLTU","SNAK2_SOLTU")</f>
        <v>SNAK2_SOLTU</v>
      </c>
      <c r="D11959" t="s">
        <v>788</v>
      </c>
      <c r="E11959" s="3" t="s">
        <v>11</v>
      </c>
      <c r="F11959" s="4">
        <v>1.5500000000000001E-22</v>
      </c>
      <c r="G11959" s="3">
        <v>232</v>
      </c>
      <c r="H11959" s="3">
        <v>68</v>
      </c>
      <c r="I11959" s="3">
        <v>65</v>
      </c>
      <c r="J11959" s="3">
        <v>232</v>
      </c>
      <c r="K11959" s="3">
        <v>426</v>
      </c>
      <c r="L11959" s="3">
        <v>41</v>
      </c>
      <c r="M11959" s="3">
        <v>104</v>
      </c>
    </row>
    <row r="11960" spans="1:13" x14ac:dyDescent="0.25">
      <c r="A11960" s="1" t="str">
        <f>HYPERLINK("http://www.rosaceae.org/Prunus/Prunus_persica/p.persica_gdr_reftransV1_0044940","p.persica_gdr_reftransV1_0044940")</f>
        <v>p.persica_gdr_reftransV1_0044940</v>
      </c>
      <c r="B11960" s="3">
        <v>2030</v>
      </c>
      <c r="C11960" s="1" t="str">
        <f>HYPERLINK("http://www.uniprot.org/uniprot/E13B_WHEAT","E13B_WHEAT")</f>
        <v>E13B_WHEAT</v>
      </c>
      <c r="D11960" t="s">
        <v>1559</v>
      </c>
      <c r="E11960" s="3" t="s">
        <v>710</v>
      </c>
      <c r="F11960" s="4">
        <v>2.84E-157</v>
      </c>
      <c r="G11960" s="3">
        <v>1206</v>
      </c>
      <c r="H11960" s="3">
        <v>52</v>
      </c>
      <c r="I11960" s="3">
        <v>452</v>
      </c>
      <c r="J11960" s="3">
        <v>191</v>
      </c>
      <c r="K11960" s="3">
        <v>1531</v>
      </c>
      <c r="L11960" s="3">
        <v>26</v>
      </c>
      <c r="M11960" s="3">
        <v>459</v>
      </c>
    </row>
    <row r="11961" spans="1:13" x14ac:dyDescent="0.25">
      <c r="A11961" s="1" t="str">
        <f>HYPERLINK("http://www.rosaceae.org/Prunus/Prunus_persica/p.persica_gdr_reftransV1_0045040","p.persica_gdr_reftransV1_0045040")</f>
        <v>p.persica_gdr_reftransV1_0045040</v>
      </c>
      <c r="B11961" s="3">
        <v>2189</v>
      </c>
      <c r="C11961" s="1" t="str">
        <f>HYPERLINK("http://www.uniprot.org/uniprot/AP2_ARATH","AP2_ARATH")</f>
        <v>AP2_ARATH</v>
      </c>
      <c r="D11961" t="s">
        <v>2653</v>
      </c>
      <c r="E11961" s="3" t="s">
        <v>3</v>
      </c>
      <c r="F11961" s="4">
        <v>1.69E-103</v>
      </c>
      <c r="G11961" s="3">
        <v>847</v>
      </c>
      <c r="H11961" s="3">
        <v>76</v>
      </c>
      <c r="I11961" s="3">
        <v>258</v>
      </c>
      <c r="J11961" s="3">
        <v>365</v>
      </c>
      <c r="K11961" s="3">
        <v>1120</v>
      </c>
      <c r="L11961" s="3">
        <v>56</v>
      </c>
      <c r="M11961" s="3">
        <v>294</v>
      </c>
    </row>
    <row r="11962" spans="1:13" x14ac:dyDescent="0.25">
      <c r="A11962" s="1" t="str">
        <f>HYPERLINK("http://www.rosaceae.org/Prunus/Prunus_persica/p.persica_gdr_reftransV1_0045140","p.persica_gdr_reftransV1_0045140")</f>
        <v>p.persica_gdr_reftransV1_0045140</v>
      </c>
      <c r="B11962" s="3">
        <v>1004</v>
      </c>
      <c r="C11962" s="1" t="str">
        <f>HYPERLINK("http://www.uniprot.org/uniprot/RL182_ARATH","RL182_ARATH")</f>
        <v>RL182_ARATH</v>
      </c>
      <c r="D11962" t="s">
        <v>8343</v>
      </c>
      <c r="E11962" s="3" t="s">
        <v>3</v>
      </c>
      <c r="F11962" s="4">
        <v>4.5800000000000002E-115</v>
      </c>
      <c r="G11962" s="3">
        <v>866</v>
      </c>
      <c r="H11962" s="3">
        <v>86</v>
      </c>
      <c r="I11962" s="3">
        <v>187</v>
      </c>
      <c r="J11962" s="3">
        <v>356</v>
      </c>
      <c r="K11962" s="3">
        <v>916</v>
      </c>
      <c r="L11962" s="3">
        <v>1</v>
      </c>
      <c r="M11962" s="3">
        <v>187</v>
      </c>
    </row>
    <row r="11963" spans="1:13" x14ac:dyDescent="0.25">
      <c r="A11963" s="1" t="str">
        <f>HYPERLINK("http://www.rosaceae.org/Prunus/Prunus_persica/p.persica_gdr_reftransV1_0045190","p.persica_gdr_reftransV1_0045190")</f>
        <v>p.persica_gdr_reftransV1_0045190</v>
      </c>
      <c r="B11963" s="3">
        <v>1312</v>
      </c>
      <c r="C11963" s="1" t="str">
        <f>HYPERLINK("http://www.uniprot.org/uniprot/VEP1_ARATH","VEP1_ARATH")</f>
        <v>VEP1_ARATH</v>
      </c>
      <c r="D11963" t="s">
        <v>3813</v>
      </c>
      <c r="E11963" s="3" t="s">
        <v>3</v>
      </c>
      <c r="F11963" s="4">
        <v>1.8500000000000001E-76</v>
      </c>
      <c r="G11963" s="3">
        <v>637</v>
      </c>
      <c r="H11963" s="3">
        <v>39</v>
      </c>
      <c r="I11963" s="3">
        <v>384</v>
      </c>
      <c r="J11963" s="3">
        <v>178</v>
      </c>
      <c r="K11963" s="3">
        <v>1293</v>
      </c>
      <c r="L11963" s="3">
        <v>22</v>
      </c>
      <c r="M11963" s="3">
        <v>388</v>
      </c>
    </row>
    <row r="11964" spans="1:13" x14ac:dyDescent="0.25">
      <c r="A11964" s="1" t="str">
        <f>HYPERLINK("http://www.rosaceae.org/Prunus/Prunus_persica/p.persica_gdr_reftransV1_0045240","p.persica_gdr_reftransV1_0045240")</f>
        <v>p.persica_gdr_reftransV1_0045240</v>
      </c>
      <c r="B11964" s="3">
        <v>2461</v>
      </c>
      <c r="C11964" s="1" t="str">
        <f>HYPERLINK("http://www.uniprot.org/uniprot/NACK2_TOBAC","NACK2_TOBAC")</f>
        <v>NACK2_TOBAC</v>
      </c>
      <c r="D11964" t="s">
        <v>5372</v>
      </c>
      <c r="E11964" s="3" t="s">
        <v>200</v>
      </c>
      <c r="F11964" s="4">
        <v>0</v>
      </c>
      <c r="G11964" s="3">
        <v>2483</v>
      </c>
      <c r="H11964" s="3">
        <v>66</v>
      </c>
      <c r="I11964" s="3">
        <v>800</v>
      </c>
      <c r="J11964" s="3">
        <v>125</v>
      </c>
      <c r="K11964" s="3">
        <v>2461</v>
      </c>
      <c r="L11964" s="3">
        <v>153</v>
      </c>
      <c r="M11964" s="3">
        <v>946</v>
      </c>
    </row>
    <row r="11965" spans="1:13" x14ac:dyDescent="0.25">
      <c r="A11965" s="1" t="str">
        <f>HYPERLINK("http://www.rosaceae.org/Prunus/Prunus_persica/p.persica_gdr_reftransV1_0045390","p.persica_gdr_reftransV1_0045390")</f>
        <v>p.persica_gdr_reftransV1_0045390</v>
      </c>
      <c r="B11965" s="3">
        <v>719</v>
      </c>
      <c r="C11965" s="1" t="str">
        <f>HYPERLINK("http://www.uniprot.org/uniprot/Y1571_ARATH","Y1571_ARATH")</f>
        <v>Y1571_ARATH</v>
      </c>
      <c r="D11965" t="s">
        <v>2449</v>
      </c>
      <c r="E11965" s="3" t="s">
        <v>3</v>
      </c>
      <c r="F11965" s="4">
        <v>3.4000000000000001E-31</v>
      </c>
      <c r="G11965" s="3">
        <v>317</v>
      </c>
      <c r="H11965" s="3">
        <v>51</v>
      </c>
      <c r="I11965" s="3">
        <v>129</v>
      </c>
      <c r="J11965" s="3">
        <v>332</v>
      </c>
      <c r="K11965" s="3">
        <v>718</v>
      </c>
      <c r="L11965" s="3">
        <v>1002</v>
      </c>
      <c r="M11965" s="3">
        <v>1120</v>
      </c>
    </row>
    <row r="11966" spans="1:13" x14ac:dyDescent="0.25">
      <c r="A11966" s="1" t="str">
        <f>HYPERLINK("http://www.rosaceae.org/Prunus/Prunus_persica/p.persica_gdr_reftransV1_0045440","p.persica_gdr_reftransV1_0045440")</f>
        <v>p.persica_gdr_reftransV1_0045440</v>
      </c>
      <c r="B11966" s="3">
        <v>1811</v>
      </c>
      <c r="C11966" s="1" t="str">
        <f>HYPERLINK("http://www.uniprot.org/uniprot/MFS12_HUMAN","MFS12_HUMAN")</f>
        <v>MFS12_HUMAN</v>
      </c>
      <c r="D11966" t="s">
        <v>8344</v>
      </c>
      <c r="E11966" s="3" t="s">
        <v>28</v>
      </c>
      <c r="F11966" s="4">
        <v>1.08E-54</v>
      </c>
      <c r="G11966" s="3">
        <v>504</v>
      </c>
      <c r="H11966" s="3">
        <v>33</v>
      </c>
      <c r="I11966" s="3">
        <v>421</v>
      </c>
      <c r="J11966" s="3">
        <v>138</v>
      </c>
      <c r="K11966" s="3">
        <v>1301</v>
      </c>
      <c r="L11966" s="3">
        <v>14</v>
      </c>
      <c r="M11966" s="3">
        <v>428</v>
      </c>
    </row>
    <row r="11967" spans="1:13" x14ac:dyDescent="0.25">
      <c r="A11967" s="1" t="str">
        <f>HYPERLINK("http://www.rosaceae.org/Prunus/Prunus_persica/p.persica_gdr_reftransV1_0045490","p.persica_gdr_reftransV1_0045490")</f>
        <v>p.persica_gdr_reftransV1_0045490</v>
      </c>
      <c r="B11967" s="3">
        <v>812</v>
      </c>
      <c r="C11967" s="1" t="str">
        <f>HYPERLINK("http://www.uniprot.org/uniprot/TGT2_ARATH","TGT2_ARATH")</f>
        <v>TGT2_ARATH</v>
      </c>
      <c r="D11967" t="s">
        <v>5090</v>
      </c>
      <c r="E11967" s="3" t="s">
        <v>3</v>
      </c>
      <c r="F11967" s="4">
        <v>1.9E-44</v>
      </c>
      <c r="G11967" s="3">
        <v>412</v>
      </c>
      <c r="H11967" s="3">
        <v>63</v>
      </c>
      <c r="I11967" s="3">
        <v>131</v>
      </c>
      <c r="J11967" s="3">
        <v>118</v>
      </c>
      <c r="K11967" s="3">
        <v>504</v>
      </c>
      <c r="L11967" s="3">
        <v>394</v>
      </c>
      <c r="M11967" s="3">
        <v>519</v>
      </c>
    </row>
    <row r="11968" spans="1:13" x14ac:dyDescent="0.25">
      <c r="A11968" s="1" t="str">
        <f>HYPERLINK("http://www.rosaceae.org/Prunus/Prunus_persica/p.persica_gdr_reftransV1_0045590","p.persica_gdr_reftransV1_0045590")</f>
        <v>p.persica_gdr_reftransV1_0045590</v>
      </c>
      <c r="B11968" s="3">
        <v>1604</v>
      </c>
      <c r="C11968" s="1" t="str">
        <f>HYPERLINK("http://www.uniprot.org/uniprot/H12_ARATH","H12_ARATH")</f>
        <v>H12_ARATH</v>
      </c>
      <c r="D11968" t="s">
        <v>2002</v>
      </c>
      <c r="E11968" s="3" t="s">
        <v>3</v>
      </c>
      <c r="F11968" s="4">
        <v>2.0100000000000001E-12</v>
      </c>
      <c r="G11968" s="3">
        <v>173</v>
      </c>
      <c r="H11968" s="3">
        <v>86</v>
      </c>
      <c r="I11968" s="3">
        <v>36</v>
      </c>
      <c r="J11968" s="3">
        <v>1053</v>
      </c>
      <c r="K11968" s="3">
        <v>1160</v>
      </c>
      <c r="L11968" s="3">
        <v>67</v>
      </c>
      <c r="M11968" s="3">
        <v>102</v>
      </c>
    </row>
    <row r="11969" spans="1:13" x14ac:dyDescent="0.25">
      <c r="A11969" s="1" t="str">
        <f>HYPERLINK("http://www.rosaceae.org/Prunus/Prunus_persica/p.persica_gdr_reftransV1_0045640","p.persica_gdr_reftransV1_0045640")</f>
        <v>p.persica_gdr_reftransV1_0045640</v>
      </c>
      <c r="B11969" s="3">
        <v>1391</v>
      </c>
      <c r="C11969" s="1" t="str">
        <f>HYPERLINK("http://www.uniprot.org/uniprot/IAA26_ARATH","IAA26_ARATH")</f>
        <v>IAA26_ARATH</v>
      </c>
      <c r="D11969" t="s">
        <v>3856</v>
      </c>
      <c r="E11969" s="3" t="s">
        <v>3</v>
      </c>
      <c r="F11969" s="4">
        <v>6.3799999999999994E-76</v>
      </c>
      <c r="G11969" s="3">
        <v>625</v>
      </c>
      <c r="H11969" s="3">
        <v>69</v>
      </c>
      <c r="I11969" s="3">
        <v>191</v>
      </c>
      <c r="J11969" s="3">
        <v>398</v>
      </c>
      <c r="K11969" s="3">
        <v>961</v>
      </c>
      <c r="L11969" s="3">
        <v>82</v>
      </c>
      <c r="M11969" s="3">
        <v>267</v>
      </c>
    </row>
    <row r="11970" spans="1:13" x14ac:dyDescent="0.25">
      <c r="A11970" s="1" t="str">
        <f>HYPERLINK("http://www.rosaceae.org/Prunus/Prunus_persica/p.persica_gdr_reftransV1_0045690","p.persica_gdr_reftransV1_0045690")</f>
        <v>p.persica_gdr_reftransV1_0045690</v>
      </c>
      <c r="B11970" s="3">
        <v>1492</v>
      </c>
      <c r="C11970" s="1" t="str">
        <f>HYPERLINK("http://www.uniprot.org/uniprot/GDL53_ARATH","GDL53_ARATH")</f>
        <v>GDL53_ARATH</v>
      </c>
      <c r="D11970" t="s">
        <v>8345</v>
      </c>
      <c r="E11970" s="3" t="s">
        <v>3</v>
      </c>
      <c r="F11970" s="4">
        <v>9.2600000000000001E-173</v>
      </c>
      <c r="G11970" s="3">
        <v>1284</v>
      </c>
      <c r="H11970" s="3">
        <v>64</v>
      </c>
      <c r="I11970" s="3">
        <v>354</v>
      </c>
      <c r="J11970" s="3">
        <v>274</v>
      </c>
      <c r="K11970" s="3">
        <v>1335</v>
      </c>
      <c r="L11970" s="3">
        <v>27</v>
      </c>
      <c r="M11970" s="3">
        <v>380</v>
      </c>
    </row>
    <row r="11971" spans="1:13" x14ac:dyDescent="0.25">
      <c r="A11971" s="1" t="str">
        <f>HYPERLINK("http://www.rosaceae.org/Prunus/Prunus_persica/p.persica_gdr_reftransV1_0045740","p.persica_gdr_reftransV1_0045740")</f>
        <v>p.persica_gdr_reftransV1_0045740</v>
      </c>
      <c r="B11971" s="3">
        <v>1302</v>
      </c>
      <c r="C11971" s="1" t="str">
        <f>HYPERLINK("http://www.uniprot.org/uniprot/ASAT1_ARATH","ASAT1_ARATH")</f>
        <v>ASAT1_ARATH</v>
      </c>
      <c r="D11971" t="s">
        <v>81</v>
      </c>
      <c r="E11971" s="3" t="s">
        <v>3</v>
      </c>
      <c r="F11971" s="4">
        <v>7.1299999999999996E-76</v>
      </c>
      <c r="G11971" s="3">
        <v>629</v>
      </c>
      <c r="H11971" s="3">
        <v>44</v>
      </c>
      <c r="I11971" s="3">
        <v>339</v>
      </c>
      <c r="J11971" s="3">
        <v>134</v>
      </c>
      <c r="K11971" s="3">
        <v>1147</v>
      </c>
      <c r="L11971" s="3">
        <v>3</v>
      </c>
      <c r="M11971" s="3">
        <v>336</v>
      </c>
    </row>
    <row r="11972" spans="1:13" x14ac:dyDescent="0.25">
      <c r="A11972" s="1" t="str">
        <f>HYPERLINK("http://www.rosaceae.org/Prunus/Prunus_persica/p.persica_gdr_reftransV1_0045790","p.persica_gdr_reftransV1_0045790")</f>
        <v>p.persica_gdr_reftransV1_0045790</v>
      </c>
      <c r="B11972" s="3">
        <v>973</v>
      </c>
      <c r="C11972" s="1" t="str">
        <f>HYPERLINK("http://www.uniprot.org/uniprot/PAP8_ARATH","PAP8_ARATH")</f>
        <v>PAP8_ARATH</v>
      </c>
      <c r="D11972" t="s">
        <v>3827</v>
      </c>
      <c r="E11972" s="3" t="s">
        <v>3</v>
      </c>
      <c r="F11972" s="4">
        <v>7.6199999999999998E-83</v>
      </c>
      <c r="G11972" s="3">
        <v>657</v>
      </c>
      <c r="H11972" s="3">
        <v>62</v>
      </c>
      <c r="I11972" s="3">
        <v>229</v>
      </c>
      <c r="J11972" s="3">
        <v>179</v>
      </c>
      <c r="K11972" s="3">
        <v>856</v>
      </c>
      <c r="L11972" s="3">
        <v>15</v>
      </c>
      <c r="M11972" s="3">
        <v>238</v>
      </c>
    </row>
    <row r="11973" spans="1:13" x14ac:dyDescent="0.25">
      <c r="A11973" s="1" t="str">
        <f>HYPERLINK("http://www.rosaceae.org/Prunus/Prunus_persica/p.persica_gdr_reftransV1_0045840","p.persica_gdr_reftransV1_0045840")</f>
        <v>p.persica_gdr_reftransV1_0045840</v>
      </c>
      <c r="B11973" s="3">
        <v>1611</v>
      </c>
      <c r="C11973" s="1" t="str">
        <f>HYPERLINK("http://www.uniprot.org/uniprot/ADHX_ARATH","ADHX_ARATH")</f>
        <v>ADHX_ARATH</v>
      </c>
      <c r="D11973" t="s">
        <v>8346</v>
      </c>
      <c r="E11973" s="3" t="s">
        <v>3</v>
      </c>
      <c r="F11973" s="4">
        <v>2.4900000000000002E-156</v>
      </c>
      <c r="G11973" s="3">
        <v>1179</v>
      </c>
      <c r="H11973" s="3">
        <v>91</v>
      </c>
      <c r="I11973" s="3">
        <v>247</v>
      </c>
      <c r="J11973" s="3">
        <v>789</v>
      </c>
      <c r="K11973" s="3">
        <v>1529</v>
      </c>
      <c r="L11973" s="3">
        <v>1</v>
      </c>
      <c r="M11973" s="3">
        <v>247</v>
      </c>
    </row>
    <row r="11974" spans="1:13" x14ac:dyDescent="0.25">
      <c r="A11974" s="1" t="str">
        <f>HYPERLINK("http://www.rosaceae.org/Prunus/Prunus_persica/p.persica_gdr_reftransV1_0045890","p.persica_gdr_reftransV1_0045890")</f>
        <v>p.persica_gdr_reftransV1_0045890</v>
      </c>
      <c r="B11974" s="3">
        <v>863</v>
      </c>
      <c r="C11974" s="1" t="str">
        <f>HYPERLINK("http://www.uniprot.org/uniprot/ACCC1_POPTR","ACCC1_POPTR")</f>
        <v>ACCC1_POPTR</v>
      </c>
      <c r="D11974" t="s">
        <v>7131</v>
      </c>
      <c r="E11974" s="3" t="s">
        <v>340</v>
      </c>
      <c r="F11974" s="4">
        <v>1.84E-174</v>
      </c>
      <c r="G11974" s="3">
        <v>1287</v>
      </c>
      <c r="H11974" s="3">
        <v>95</v>
      </c>
      <c r="I11974" s="3">
        <v>255</v>
      </c>
      <c r="J11974" s="3">
        <v>99</v>
      </c>
      <c r="K11974" s="3">
        <v>863</v>
      </c>
      <c r="L11974" s="3">
        <v>262</v>
      </c>
      <c r="M11974" s="3">
        <v>516</v>
      </c>
    </row>
    <row r="11975" spans="1:13" x14ac:dyDescent="0.25">
      <c r="A11975" s="1" t="str">
        <f>HYPERLINK("http://www.rosaceae.org/Prunus/Prunus_persica/p.persica_gdr_reftransV1_0046040","p.persica_gdr_reftransV1_0046040")</f>
        <v>p.persica_gdr_reftransV1_0046040</v>
      </c>
      <c r="B11975" s="3">
        <v>659</v>
      </c>
      <c r="C11975" s="1" t="str">
        <f>HYPERLINK("http://www.uniprot.org/uniprot/DJ1D_ARATH","DJ1D_ARATH")</f>
        <v>DJ1D_ARATH</v>
      </c>
      <c r="D11975" t="s">
        <v>6452</v>
      </c>
      <c r="E11975" s="3" t="s">
        <v>3</v>
      </c>
      <c r="F11975" s="4">
        <v>3.5700000000000001E-105</v>
      </c>
      <c r="G11975" s="3">
        <v>808</v>
      </c>
      <c r="H11975" s="3">
        <v>80</v>
      </c>
      <c r="I11975" s="3">
        <v>183</v>
      </c>
      <c r="J11975" s="3">
        <v>87</v>
      </c>
      <c r="K11975" s="3">
        <v>635</v>
      </c>
      <c r="L11975" s="3">
        <v>206</v>
      </c>
      <c r="M11975" s="3">
        <v>388</v>
      </c>
    </row>
    <row r="11976" spans="1:13" x14ac:dyDescent="0.25">
      <c r="A11976" s="1" t="str">
        <f>HYPERLINK("http://www.rosaceae.org/Prunus/Prunus_persica/p.persica_gdr_reftransV1_0046090","p.persica_gdr_reftransV1_0046090")</f>
        <v>p.persica_gdr_reftransV1_0046090</v>
      </c>
      <c r="B11976" s="3">
        <v>1660</v>
      </c>
      <c r="C11976" s="1" t="str">
        <f>HYPERLINK("http://www.uniprot.org/uniprot/TL19_ARATH","TL19_ARATH")</f>
        <v>TL19_ARATH</v>
      </c>
      <c r="D11976" t="s">
        <v>7307</v>
      </c>
      <c r="E11976" s="3" t="s">
        <v>3</v>
      </c>
      <c r="F11976" s="4">
        <v>1.9200000000000001E-83</v>
      </c>
      <c r="G11976" s="3">
        <v>679</v>
      </c>
      <c r="H11976" s="3">
        <v>80</v>
      </c>
      <c r="I11976" s="3">
        <v>149</v>
      </c>
      <c r="J11976" s="3">
        <v>428</v>
      </c>
      <c r="K11976" s="3">
        <v>874</v>
      </c>
      <c r="L11976" s="3">
        <v>80</v>
      </c>
      <c r="M11976" s="3">
        <v>228</v>
      </c>
    </row>
    <row r="11977" spans="1:13" x14ac:dyDescent="0.25">
      <c r="A11977" s="1" t="str">
        <f>HYPERLINK("http://www.rosaceae.org/Prunus/Prunus_persica/p.persica_gdr_reftransV1_0046340","p.persica_gdr_reftransV1_0046340")</f>
        <v>p.persica_gdr_reftransV1_0046340</v>
      </c>
      <c r="B11977" s="3">
        <v>1333</v>
      </c>
      <c r="C11977" s="1" t="str">
        <f>HYPERLINK("http://www.uniprot.org/uniprot/CHS2_CAMSI","CHS2_CAMSI")</f>
        <v>CHS2_CAMSI</v>
      </c>
      <c r="D11977" t="s">
        <v>8347</v>
      </c>
      <c r="E11977" s="3" t="s">
        <v>3800</v>
      </c>
      <c r="F11977" s="4">
        <v>0</v>
      </c>
      <c r="G11977" s="3">
        <v>1981</v>
      </c>
      <c r="H11977" s="3">
        <v>94</v>
      </c>
      <c r="I11977" s="3">
        <v>387</v>
      </c>
      <c r="J11977" s="3">
        <v>118</v>
      </c>
      <c r="K11977" s="3">
        <v>1278</v>
      </c>
      <c r="L11977" s="3">
        <v>1</v>
      </c>
      <c r="M11977" s="3">
        <v>387</v>
      </c>
    </row>
    <row r="11978" spans="1:13" x14ac:dyDescent="0.25">
      <c r="A11978" s="1" t="str">
        <f>HYPERLINK("http://www.rosaceae.org/Prunus/Prunus_persica/p.persica_gdr_reftransV1_0046440","p.persica_gdr_reftransV1_0046440")</f>
        <v>p.persica_gdr_reftransV1_0046440</v>
      </c>
      <c r="B11978" s="3">
        <v>304</v>
      </c>
      <c r="C11978" s="1" t="str">
        <f>HYPERLINK("http://www.uniprot.org/uniprot/R13L1_ARATH","R13L1_ARATH")</f>
        <v>R13L1_ARATH</v>
      </c>
      <c r="D11978" t="s">
        <v>100</v>
      </c>
      <c r="E11978" s="3" t="s">
        <v>3</v>
      </c>
      <c r="F11978" s="4">
        <v>1.0699999999999999E-11</v>
      </c>
      <c r="G11978" s="3">
        <v>157</v>
      </c>
      <c r="H11978" s="3">
        <v>35</v>
      </c>
      <c r="I11978" s="3">
        <v>99</v>
      </c>
      <c r="J11978" s="3">
        <v>3</v>
      </c>
      <c r="K11978" s="3">
        <v>299</v>
      </c>
      <c r="L11978" s="3">
        <v>847</v>
      </c>
      <c r="M11978" s="3">
        <v>937</v>
      </c>
    </row>
    <row r="11979" spans="1:13" x14ac:dyDescent="0.25">
      <c r="A11979" s="1" t="str">
        <f>HYPERLINK("http://www.rosaceae.org/Prunus/Prunus_persica/p.persica_gdr_reftransV1_0046540","p.persica_gdr_reftransV1_0046540")</f>
        <v>p.persica_gdr_reftransV1_0046540</v>
      </c>
      <c r="B11979" s="3">
        <v>2544</v>
      </c>
      <c r="C11979" s="1" t="str">
        <f>HYPERLINK("http://www.uniprot.org/uniprot/FIMB2_ARATH","FIMB2_ARATH")</f>
        <v>FIMB2_ARATH</v>
      </c>
      <c r="D11979" t="s">
        <v>8348</v>
      </c>
      <c r="E11979" s="3" t="s">
        <v>3</v>
      </c>
      <c r="F11979" s="4">
        <v>0</v>
      </c>
      <c r="G11979" s="3">
        <v>2829</v>
      </c>
      <c r="H11979" s="3">
        <v>81</v>
      </c>
      <c r="I11979" s="3">
        <v>664</v>
      </c>
      <c r="J11979" s="3">
        <v>322</v>
      </c>
      <c r="K11979" s="3">
        <v>2310</v>
      </c>
      <c r="L11979" s="3">
        <v>1</v>
      </c>
      <c r="M11979" s="3">
        <v>654</v>
      </c>
    </row>
    <row r="11980" spans="1:13" x14ac:dyDescent="0.25">
      <c r="A11980" s="1" t="str">
        <f>HYPERLINK("http://www.rosaceae.org/Prunus/Prunus_persica/p.persica_gdr_reftransV1_0046640","p.persica_gdr_reftransV1_0046640")</f>
        <v>p.persica_gdr_reftransV1_0046640</v>
      </c>
      <c r="B11980" s="3">
        <v>1905</v>
      </c>
      <c r="C11980" s="1" t="str">
        <f>HYPERLINK("http://www.uniprot.org/uniprot/RUTD_VARPS","RUTD_VARPS")</f>
        <v>RUTD_VARPS</v>
      </c>
      <c r="D11980" t="s">
        <v>8349</v>
      </c>
      <c r="E11980" s="3" t="s">
        <v>8350</v>
      </c>
      <c r="F11980" s="4">
        <v>9.8299999999999993E-9</v>
      </c>
      <c r="G11980" s="3">
        <v>145</v>
      </c>
      <c r="H11980" s="3">
        <v>31</v>
      </c>
      <c r="I11980" s="3">
        <v>118</v>
      </c>
      <c r="J11980" s="3">
        <v>857</v>
      </c>
      <c r="K11980" s="3">
        <v>1210</v>
      </c>
      <c r="L11980" s="3">
        <v>3</v>
      </c>
      <c r="M11980" s="3">
        <v>112</v>
      </c>
    </row>
    <row r="11981" spans="1:13" x14ac:dyDescent="0.25">
      <c r="A11981" s="1" t="str">
        <f>HYPERLINK("http://www.rosaceae.org/Prunus/Prunus_persica/p.persica_gdr_reftransV1_0046690","p.persica_gdr_reftransV1_0046690")</f>
        <v>p.persica_gdr_reftransV1_0046690</v>
      </c>
      <c r="B11981" s="3">
        <v>447</v>
      </c>
      <c r="C11981" s="1" t="str">
        <f>HYPERLINK("http://www.uniprot.org/uniprot/Y3845_ORYSJ","Y3845_ORYSJ")</f>
        <v>Y3845_ORYSJ</v>
      </c>
      <c r="D11981" t="s">
        <v>8351</v>
      </c>
      <c r="E11981" s="3" t="s">
        <v>38</v>
      </c>
      <c r="F11981" s="4">
        <v>8.1300000000000007E-9</v>
      </c>
      <c r="G11981" s="3">
        <v>133</v>
      </c>
      <c r="H11981" s="3">
        <v>42</v>
      </c>
      <c r="I11981" s="3">
        <v>62</v>
      </c>
      <c r="J11981" s="3">
        <v>1</v>
      </c>
      <c r="K11981" s="3">
        <v>168</v>
      </c>
      <c r="L11981" s="3">
        <v>97</v>
      </c>
      <c r="M11981" s="3">
        <v>158</v>
      </c>
    </row>
    <row r="11982" spans="1:13" x14ac:dyDescent="0.25">
      <c r="A11982" s="1" t="str">
        <f>HYPERLINK("http://www.rosaceae.org/Prunus/Prunus_persica/p.persica_gdr_reftransV1_0046790","p.persica_gdr_reftransV1_0046790")</f>
        <v>p.persica_gdr_reftransV1_0046790</v>
      </c>
      <c r="B11982" s="3">
        <v>1261</v>
      </c>
      <c r="C11982" s="1" t="str">
        <f>HYPERLINK("http://www.uniprot.org/uniprot/TAS_SHIFL","TAS_SHIFL")</f>
        <v>TAS_SHIFL</v>
      </c>
      <c r="D11982" t="s">
        <v>1702</v>
      </c>
      <c r="E11982" s="3" t="s">
        <v>1703</v>
      </c>
      <c r="F11982" s="4">
        <v>4.3599999999999998E-48</v>
      </c>
      <c r="G11982" s="3">
        <v>438</v>
      </c>
      <c r="H11982" s="3">
        <v>43</v>
      </c>
      <c r="I11982" s="3">
        <v>224</v>
      </c>
      <c r="J11982" s="3">
        <v>498</v>
      </c>
      <c r="K11982" s="3">
        <v>1169</v>
      </c>
      <c r="L11982" s="3">
        <v>130</v>
      </c>
      <c r="M11982" s="3">
        <v>344</v>
      </c>
    </row>
    <row r="11983" spans="1:13" x14ac:dyDescent="0.25">
      <c r="A11983" s="1" t="str">
        <f>HYPERLINK("http://www.rosaceae.org/Prunus/Prunus_persica/p.persica_gdr_reftransV1_0046840","p.persica_gdr_reftransV1_0046840")</f>
        <v>p.persica_gdr_reftransV1_0046840</v>
      </c>
      <c r="B11983" s="3">
        <v>2284</v>
      </c>
      <c r="C11983" s="1" t="str">
        <f>HYPERLINK("http://www.uniprot.org/uniprot/SUVH3_ARATH","SUVH3_ARATH")</f>
        <v>SUVH3_ARATH</v>
      </c>
      <c r="D11983" t="s">
        <v>3100</v>
      </c>
      <c r="E11983" s="3" t="s">
        <v>3</v>
      </c>
      <c r="F11983" s="4">
        <v>0</v>
      </c>
      <c r="G11983" s="3">
        <v>1848</v>
      </c>
      <c r="H11983" s="3">
        <v>53</v>
      </c>
      <c r="I11983" s="3">
        <v>688</v>
      </c>
      <c r="J11983" s="3">
        <v>216</v>
      </c>
      <c r="K11983" s="3">
        <v>2276</v>
      </c>
      <c r="L11983" s="3">
        <v>8</v>
      </c>
      <c r="M11983" s="3">
        <v>669</v>
      </c>
    </row>
    <row r="11984" spans="1:13" x14ac:dyDescent="0.25">
      <c r="A11984" s="1" t="str">
        <f>HYPERLINK("http://www.rosaceae.org/Prunus/Prunus_persica/p.persica_gdr_reftransV1_0046990","p.persica_gdr_reftransV1_0046990")</f>
        <v>p.persica_gdr_reftransV1_0046990</v>
      </c>
      <c r="B11984" s="3">
        <v>1788</v>
      </c>
      <c r="C11984" s="1" t="str">
        <f>HYPERLINK("http://www.uniprot.org/uniprot/AFS1_MALDO","AFS1_MALDO")</f>
        <v>AFS1_MALDO</v>
      </c>
      <c r="D11984" t="s">
        <v>8352</v>
      </c>
      <c r="E11984" s="3" t="s">
        <v>540</v>
      </c>
      <c r="F11984" s="4">
        <v>0</v>
      </c>
      <c r="G11984" s="3">
        <v>1747</v>
      </c>
      <c r="H11984" s="3">
        <v>71</v>
      </c>
      <c r="I11984" s="3">
        <v>494</v>
      </c>
      <c r="J11984" s="3">
        <v>311</v>
      </c>
      <c r="K11984" s="3">
        <v>1786</v>
      </c>
      <c r="L11984" s="3">
        <v>84</v>
      </c>
      <c r="M11984" s="3">
        <v>574</v>
      </c>
    </row>
    <row r="11985" spans="1:13" x14ac:dyDescent="0.25">
      <c r="A11985" s="1" t="str">
        <f>HYPERLINK("http://www.rosaceae.org/Prunus/Prunus_persica/p.persica_gdr_reftransV1_0047040","p.persica_gdr_reftransV1_0047040")</f>
        <v>p.persica_gdr_reftransV1_0047040</v>
      </c>
      <c r="B11985" s="3">
        <v>1325</v>
      </c>
      <c r="C11985" s="1" t="str">
        <f>HYPERLINK("http://www.uniprot.org/uniprot/TKPR1_ARATH","TKPR1_ARATH")</f>
        <v>TKPR1_ARATH</v>
      </c>
      <c r="D11985" t="s">
        <v>221</v>
      </c>
      <c r="E11985" s="3" t="s">
        <v>3</v>
      </c>
      <c r="F11985" s="4">
        <v>2.1999999999999999E-87</v>
      </c>
      <c r="G11985" s="3">
        <v>706</v>
      </c>
      <c r="H11985" s="3">
        <v>45</v>
      </c>
      <c r="I11985" s="3">
        <v>324</v>
      </c>
      <c r="J11985" s="3">
        <v>7</v>
      </c>
      <c r="K11985" s="3">
        <v>972</v>
      </c>
      <c r="L11985" s="3">
        <v>1</v>
      </c>
      <c r="M11985" s="3">
        <v>321</v>
      </c>
    </row>
    <row r="11986" spans="1:13" x14ac:dyDescent="0.25">
      <c r="A11986" s="1" t="str">
        <f>HYPERLINK("http://www.rosaceae.org/Prunus/Prunus_persica/p.persica_gdr_reftransV1_0047090","p.persica_gdr_reftransV1_0047090")</f>
        <v>p.persica_gdr_reftransV1_0047090</v>
      </c>
      <c r="B11986" s="3">
        <v>822</v>
      </c>
      <c r="C11986" s="1" t="str">
        <f>HYPERLINK("http://www.uniprot.org/uniprot/WRKY9_ARATH","WRKY9_ARATH")</f>
        <v>WRKY9_ARATH</v>
      </c>
      <c r="D11986" t="s">
        <v>8353</v>
      </c>
      <c r="E11986" s="3" t="s">
        <v>3</v>
      </c>
      <c r="F11986" s="4">
        <v>2.57E-70</v>
      </c>
      <c r="G11986" s="3">
        <v>580</v>
      </c>
      <c r="H11986" s="3">
        <v>54</v>
      </c>
      <c r="I11986" s="3">
        <v>241</v>
      </c>
      <c r="J11986" s="3">
        <v>120</v>
      </c>
      <c r="K11986" s="3">
        <v>821</v>
      </c>
      <c r="L11986" s="3">
        <v>97</v>
      </c>
      <c r="M11986" s="3">
        <v>302</v>
      </c>
    </row>
    <row r="11987" spans="1:13" x14ac:dyDescent="0.25">
      <c r="A11987" s="1" t="str">
        <f>HYPERLINK("http://www.rosaceae.org/Prunus/Prunus_persica/p.persica_gdr_reftransV1_0047140","p.persica_gdr_reftransV1_0047140")</f>
        <v>p.persica_gdr_reftransV1_0047140</v>
      </c>
      <c r="B11987" s="3">
        <v>1044</v>
      </c>
      <c r="C11987" s="1" t="str">
        <f>HYPERLINK("http://www.uniprot.org/uniprot/ACFR4_ARATH","ACFR4_ARATH")</f>
        <v>ACFR4_ARATH</v>
      </c>
      <c r="D11987" t="s">
        <v>8354</v>
      </c>
      <c r="E11987" s="3" t="s">
        <v>3</v>
      </c>
      <c r="F11987" s="4">
        <v>3.55E-71</v>
      </c>
      <c r="G11987" s="3">
        <v>581</v>
      </c>
      <c r="H11987" s="3">
        <v>67</v>
      </c>
      <c r="I11987" s="3">
        <v>175</v>
      </c>
      <c r="J11987" s="3">
        <v>110</v>
      </c>
      <c r="K11987" s="3">
        <v>625</v>
      </c>
      <c r="L11987" s="3">
        <v>59</v>
      </c>
      <c r="M11987" s="3">
        <v>233</v>
      </c>
    </row>
    <row r="11988" spans="1:13" x14ac:dyDescent="0.25">
      <c r="A11988" s="1" t="str">
        <f>HYPERLINK("http://www.rosaceae.org/Prunus/Prunus_persica/p.persica_gdr_reftransV1_0047190","p.persica_gdr_reftransV1_0047190")</f>
        <v>p.persica_gdr_reftransV1_0047190</v>
      </c>
      <c r="B11988" s="3">
        <v>993</v>
      </c>
      <c r="C11988" s="1" t="str">
        <f>HYPERLINK("http://www.uniprot.org/uniprot/21KD_DAUCA","21KD_DAUCA")</f>
        <v>21KD_DAUCA</v>
      </c>
      <c r="D11988" t="s">
        <v>1280</v>
      </c>
      <c r="E11988" s="3" t="s">
        <v>32</v>
      </c>
      <c r="F11988" s="4">
        <v>7.67E-40</v>
      </c>
      <c r="G11988" s="3">
        <v>364</v>
      </c>
      <c r="H11988" s="3">
        <v>46</v>
      </c>
      <c r="I11988" s="3">
        <v>168</v>
      </c>
      <c r="J11988" s="3">
        <v>276</v>
      </c>
      <c r="K11988" s="3">
        <v>776</v>
      </c>
      <c r="L11988" s="3">
        <v>28</v>
      </c>
      <c r="M11988" s="3">
        <v>190</v>
      </c>
    </row>
    <row r="11989" spans="1:13" x14ac:dyDescent="0.25">
      <c r="A11989" s="1" t="str">
        <f>HYPERLINK("http://www.rosaceae.org/Prunus/Prunus_persica/p.persica_gdr_reftransV1_0047340","p.persica_gdr_reftransV1_0047340")</f>
        <v>p.persica_gdr_reftransV1_0047340</v>
      </c>
      <c r="B11989" s="3">
        <v>2925</v>
      </c>
      <c r="C11989" s="1" t="str">
        <f>HYPERLINK("http://www.uniprot.org/uniprot/KP1_ARATH","KP1_ARATH")</f>
        <v>KP1_ARATH</v>
      </c>
      <c r="D11989" t="s">
        <v>8355</v>
      </c>
      <c r="E11989" s="3" t="s">
        <v>3</v>
      </c>
      <c r="F11989" s="4">
        <v>0</v>
      </c>
      <c r="G11989" s="3">
        <v>2737</v>
      </c>
      <c r="H11989" s="3">
        <v>60</v>
      </c>
      <c r="I11989" s="3">
        <v>939</v>
      </c>
      <c r="J11989" s="3">
        <v>232</v>
      </c>
      <c r="K11989" s="3">
        <v>2925</v>
      </c>
      <c r="L11989" s="3">
        <v>174</v>
      </c>
      <c r="M11989" s="3">
        <v>1086</v>
      </c>
    </row>
    <row r="11990" spans="1:13" x14ac:dyDescent="0.25">
      <c r="A11990" s="1" t="str">
        <f>HYPERLINK("http://www.rosaceae.org/Prunus/Prunus_persica/p.persica_gdr_reftransV1_0047590","p.persica_gdr_reftransV1_0047590")</f>
        <v>p.persica_gdr_reftransV1_0047590</v>
      </c>
      <c r="B11990" s="3">
        <v>1362</v>
      </c>
      <c r="C11990" s="1" t="str">
        <f>HYPERLINK("http://www.uniprot.org/uniprot/EXO_ARATH","EXO_ARATH")</f>
        <v>EXO_ARATH</v>
      </c>
      <c r="D11990" t="s">
        <v>8356</v>
      </c>
      <c r="E11990" s="3" t="s">
        <v>3</v>
      </c>
      <c r="F11990" s="4">
        <v>8.3800000000000003E-145</v>
      </c>
      <c r="G11990" s="3">
        <v>1088</v>
      </c>
      <c r="H11990" s="3">
        <v>74</v>
      </c>
      <c r="I11990" s="3">
        <v>306</v>
      </c>
      <c r="J11990" s="3">
        <v>193</v>
      </c>
      <c r="K11990" s="3">
        <v>1098</v>
      </c>
      <c r="L11990" s="3">
        <v>16</v>
      </c>
      <c r="M11990" s="3">
        <v>314</v>
      </c>
    </row>
    <row r="11991" spans="1:13" x14ac:dyDescent="0.25">
      <c r="A11991" s="1" t="str">
        <f>HYPERLINK("http://www.rosaceae.org/Prunus/Prunus_persica/p.persica_gdr_reftransV1_0047640","p.persica_gdr_reftransV1_0047640")</f>
        <v>p.persica_gdr_reftransV1_0047640</v>
      </c>
      <c r="B11991" s="3">
        <v>1389</v>
      </c>
      <c r="C11991" s="1" t="str">
        <f>HYPERLINK("http://www.uniprot.org/uniprot/PRFB3_ARATH","PRFB3_ARATH")</f>
        <v>PRFB3_ARATH</v>
      </c>
      <c r="D11991" t="s">
        <v>8357</v>
      </c>
      <c r="E11991" s="3" t="s">
        <v>3</v>
      </c>
      <c r="F11991" s="4">
        <v>4.7400000000000001E-124</v>
      </c>
      <c r="G11991" s="3">
        <v>960</v>
      </c>
      <c r="H11991" s="3">
        <v>57</v>
      </c>
      <c r="I11991" s="3">
        <v>373</v>
      </c>
      <c r="J11991" s="3">
        <v>275</v>
      </c>
      <c r="K11991" s="3">
        <v>1384</v>
      </c>
      <c r="L11991" s="3">
        <v>32</v>
      </c>
      <c r="M11991" s="3">
        <v>398</v>
      </c>
    </row>
    <row r="11992" spans="1:13" x14ac:dyDescent="0.25">
      <c r="A11992" s="1" t="str">
        <f>HYPERLINK("http://www.rosaceae.org/Prunus/Prunus_persica/p.persica_gdr_reftransV1_0047690","p.persica_gdr_reftransV1_0047690")</f>
        <v>p.persica_gdr_reftransV1_0047690</v>
      </c>
      <c r="B11992" s="3">
        <v>588</v>
      </c>
      <c r="C11992" s="1" t="str">
        <f>HYPERLINK("http://www.uniprot.org/uniprot/GRDP1_ARATH","GRDP1_ARATH")</f>
        <v>GRDP1_ARATH</v>
      </c>
      <c r="D11992" t="s">
        <v>8358</v>
      </c>
      <c r="E11992" s="3" t="s">
        <v>3</v>
      </c>
      <c r="F11992" s="4">
        <v>5.4000000000000004E-22</v>
      </c>
      <c r="G11992" s="3">
        <v>243</v>
      </c>
      <c r="H11992" s="3">
        <v>44</v>
      </c>
      <c r="I11992" s="3">
        <v>154</v>
      </c>
      <c r="J11992" s="3">
        <v>140</v>
      </c>
      <c r="K11992" s="3">
        <v>586</v>
      </c>
      <c r="L11992" s="3">
        <v>361</v>
      </c>
      <c r="M11992" s="3">
        <v>514</v>
      </c>
    </row>
    <row r="11993" spans="1:13" x14ac:dyDescent="0.25">
      <c r="A11993" s="1" t="str">
        <f>HYPERLINK("http://www.rosaceae.org/Prunus/Prunus_persica/p.persica_gdr_reftransV1_0047740","p.persica_gdr_reftransV1_0047740")</f>
        <v>p.persica_gdr_reftransV1_0047740</v>
      </c>
      <c r="B11993" s="3">
        <v>2515</v>
      </c>
      <c r="C11993" s="1" t="str">
        <f>HYPERLINK("http://www.uniprot.org/uniprot/Y5720_ARATH","Y5720_ARATH")</f>
        <v>Y5720_ARATH</v>
      </c>
      <c r="D11993" t="s">
        <v>8359</v>
      </c>
      <c r="E11993" s="3" t="s">
        <v>3</v>
      </c>
      <c r="F11993" s="4">
        <v>0</v>
      </c>
      <c r="G11993" s="3">
        <v>1625</v>
      </c>
      <c r="H11993" s="3">
        <v>53</v>
      </c>
      <c r="I11993" s="3">
        <v>651</v>
      </c>
      <c r="J11993" s="3">
        <v>319</v>
      </c>
      <c r="K11993" s="3">
        <v>2193</v>
      </c>
      <c r="L11993" s="3">
        <v>38</v>
      </c>
      <c r="M11993" s="3">
        <v>666</v>
      </c>
    </row>
    <row r="11994" spans="1:13" x14ac:dyDescent="0.25">
      <c r="A11994" s="1" t="str">
        <f>HYPERLINK("http://www.rosaceae.org/Prunus/Prunus_persica/p.persica_gdr_reftransV1_0047790","p.persica_gdr_reftransV1_0047790")</f>
        <v>p.persica_gdr_reftransV1_0047790</v>
      </c>
      <c r="B11994" s="3">
        <v>2963</v>
      </c>
      <c r="C11994" s="1" t="str">
        <f>HYPERLINK("http://www.uniprot.org/uniprot/ARR1_ARATH","ARR1_ARATH")</f>
        <v>ARR1_ARATH</v>
      </c>
      <c r="D11994" t="s">
        <v>7367</v>
      </c>
      <c r="E11994" s="3" t="s">
        <v>3</v>
      </c>
      <c r="F11994" s="4">
        <v>0</v>
      </c>
      <c r="G11994" s="3">
        <v>1574</v>
      </c>
      <c r="H11994" s="3">
        <v>54</v>
      </c>
      <c r="I11994" s="3">
        <v>696</v>
      </c>
      <c r="J11994" s="3">
        <v>662</v>
      </c>
      <c r="K11994" s="3">
        <v>2623</v>
      </c>
      <c r="L11994" s="3">
        <v>27</v>
      </c>
      <c r="M11994" s="3">
        <v>690</v>
      </c>
    </row>
    <row r="11995" spans="1:13" x14ac:dyDescent="0.25">
      <c r="A11995" s="1" t="str">
        <f>HYPERLINK("http://www.rosaceae.org/Prunus/Prunus_persica/p.persica_gdr_reftransV1_0047840","p.persica_gdr_reftransV1_0047840")</f>
        <v>p.persica_gdr_reftransV1_0047840</v>
      </c>
      <c r="B11995" s="3">
        <v>1466</v>
      </c>
      <c r="C11995" s="1" t="str">
        <f>HYPERLINK("http://www.uniprot.org/uniprot/RIA1_SCHPO","RIA1_SCHPO")</f>
        <v>RIA1_SCHPO</v>
      </c>
      <c r="D11995" t="s">
        <v>8213</v>
      </c>
      <c r="E11995" s="3" t="s">
        <v>464</v>
      </c>
      <c r="F11995" s="4">
        <v>1.3999999999999999E-115</v>
      </c>
      <c r="G11995" s="3">
        <v>950</v>
      </c>
      <c r="H11995" s="3">
        <v>40</v>
      </c>
      <c r="I11995" s="3">
        <v>531</v>
      </c>
      <c r="J11995" s="3">
        <v>1</v>
      </c>
      <c r="K11995" s="3">
        <v>1464</v>
      </c>
      <c r="L11995" s="3">
        <v>130</v>
      </c>
      <c r="M11995" s="3">
        <v>622</v>
      </c>
    </row>
    <row r="11996" spans="1:13" x14ac:dyDescent="0.25">
      <c r="A11996" s="1" t="str">
        <f>HYPERLINK("http://www.rosaceae.org/Prunus/Prunus_persica/p.persica_gdr_reftransV1_0047890","p.persica_gdr_reftransV1_0047890")</f>
        <v>p.persica_gdr_reftransV1_0047890</v>
      </c>
      <c r="B11996" s="3">
        <v>826</v>
      </c>
      <c r="C11996" s="1" t="str">
        <f>HYPERLINK("http://www.uniprot.org/uniprot/PH1_ARATH","PH1_ARATH")</f>
        <v>PH1_ARATH</v>
      </c>
      <c r="D11996" t="s">
        <v>8360</v>
      </c>
      <c r="E11996" s="3" t="s">
        <v>3</v>
      </c>
      <c r="F11996" s="4">
        <v>4.4E-72</v>
      </c>
      <c r="G11996" s="3">
        <v>572</v>
      </c>
      <c r="H11996" s="3">
        <v>74</v>
      </c>
      <c r="I11996" s="3">
        <v>145</v>
      </c>
      <c r="J11996" s="3">
        <v>290</v>
      </c>
      <c r="K11996" s="3">
        <v>718</v>
      </c>
      <c r="L11996" s="3">
        <v>1</v>
      </c>
      <c r="M11996" s="3">
        <v>145</v>
      </c>
    </row>
    <row r="11997" spans="1:13" x14ac:dyDescent="0.25">
      <c r="A11997" s="1" t="str">
        <f>HYPERLINK("http://www.rosaceae.org/Prunus/Prunus_persica/p.persica_gdr_reftransV1_0047940","p.persica_gdr_reftransV1_0047940")</f>
        <v>p.persica_gdr_reftransV1_0047940</v>
      </c>
      <c r="B11997" s="3">
        <v>456</v>
      </c>
      <c r="C11997" s="1" t="str">
        <f>HYPERLINK("http://www.uniprot.org/uniprot/LRKS7_ARATH","LRKS7_ARATH")</f>
        <v>LRKS7_ARATH</v>
      </c>
      <c r="D11997" t="s">
        <v>489</v>
      </c>
      <c r="E11997" s="3" t="s">
        <v>3</v>
      </c>
      <c r="F11997" s="4">
        <v>1.4200000000000001E-82</v>
      </c>
      <c r="G11997" s="3">
        <v>670</v>
      </c>
      <c r="H11997" s="3">
        <v>80</v>
      </c>
      <c r="I11997" s="3">
        <v>148</v>
      </c>
      <c r="J11997" s="3">
        <v>9</v>
      </c>
      <c r="K11997" s="3">
        <v>452</v>
      </c>
      <c r="L11997" s="3">
        <v>462</v>
      </c>
      <c r="M11997" s="3">
        <v>609</v>
      </c>
    </row>
    <row r="11998" spans="1:13" x14ac:dyDescent="0.25">
      <c r="A11998" s="1" t="str">
        <f>HYPERLINK("http://www.rosaceae.org/Prunus/Prunus_persica/p.persica_gdr_reftransV1_0047990","p.persica_gdr_reftransV1_0047990")</f>
        <v>p.persica_gdr_reftransV1_0047990</v>
      </c>
      <c r="B11998" s="3">
        <v>416</v>
      </c>
      <c r="C11998" s="1" t="str">
        <f>HYPERLINK("http://www.uniprot.org/uniprot/MP704_ORYSJ","MP704_ORYSJ")</f>
        <v>MP704_ORYSJ</v>
      </c>
      <c r="D11998" t="s">
        <v>8361</v>
      </c>
      <c r="E11998" s="3" t="s">
        <v>38</v>
      </c>
      <c r="F11998" s="4">
        <v>7.6199999999999995E-25</v>
      </c>
      <c r="G11998" s="3">
        <v>255</v>
      </c>
      <c r="H11998" s="3">
        <v>58</v>
      </c>
      <c r="I11998" s="3">
        <v>91</v>
      </c>
      <c r="J11998" s="3">
        <v>2</v>
      </c>
      <c r="K11998" s="3">
        <v>274</v>
      </c>
      <c r="L11998" s="3">
        <v>22</v>
      </c>
      <c r="M11998" s="3">
        <v>112</v>
      </c>
    </row>
    <row r="11999" spans="1:13" x14ac:dyDescent="0.25">
      <c r="A11999" s="1" t="str">
        <f>HYPERLINK("http://www.rosaceae.org/Prunus/Prunus_persica/p.persica_gdr_reftransV1_0048040","p.persica_gdr_reftransV1_0048040")</f>
        <v>p.persica_gdr_reftransV1_0048040</v>
      </c>
      <c r="B11999" s="3">
        <v>1784</v>
      </c>
      <c r="C11999" s="1" t="str">
        <f>HYPERLINK("http://www.uniprot.org/uniprot/DSP8_ARATH","DSP8_ARATH")</f>
        <v>DSP8_ARATH</v>
      </c>
      <c r="D11999" t="s">
        <v>338</v>
      </c>
      <c r="E11999" s="3" t="s">
        <v>3</v>
      </c>
      <c r="F11999" s="4">
        <v>1.0600000000000001E-131</v>
      </c>
      <c r="G11999" s="3">
        <v>1016</v>
      </c>
      <c r="H11999" s="3">
        <v>58</v>
      </c>
      <c r="I11999" s="3">
        <v>350</v>
      </c>
      <c r="J11999" s="3">
        <v>212</v>
      </c>
      <c r="K11999" s="3">
        <v>1210</v>
      </c>
      <c r="L11999" s="3">
        <v>1</v>
      </c>
      <c r="M11999" s="3">
        <v>337</v>
      </c>
    </row>
    <row r="12000" spans="1:13" x14ac:dyDescent="0.25">
      <c r="A12000" s="1" t="str">
        <f>HYPERLINK("http://www.rosaceae.org/Prunus/Prunus_persica/p.persica_gdr_reftransV1_0048090","p.persica_gdr_reftransV1_0048090")</f>
        <v>p.persica_gdr_reftransV1_0048090</v>
      </c>
      <c r="B12000" s="3">
        <v>3008</v>
      </c>
      <c r="C12000" s="1" t="str">
        <f>HYPERLINK("http://www.uniprot.org/uniprot/OPT5_ARATH","OPT5_ARATH")</f>
        <v>OPT5_ARATH</v>
      </c>
      <c r="D12000" t="s">
        <v>7740</v>
      </c>
      <c r="E12000" s="3" t="s">
        <v>3</v>
      </c>
      <c r="F12000" s="4">
        <v>0</v>
      </c>
      <c r="G12000" s="3">
        <v>2738</v>
      </c>
      <c r="H12000" s="3">
        <v>68</v>
      </c>
      <c r="I12000" s="3">
        <v>721</v>
      </c>
      <c r="J12000" s="3">
        <v>243</v>
      </c>
      <c r="K12000" s="3">
        <v>2405</v>
      </c>
      <c r="L12000" s="3">
        <v>33</v>
      </c>
      <c r="M12000" s="3">
        <v>753</v>
      </c>
    </row>
    <row r="12001" spans="1:13" x14ac:dyDescent="0.25">
      <c r="A12001" s="1" t="str">
        <f>HYPERLINK("http://www.rosaceae.org/Prunus/Prunus_persica/p.persica_gdr_reftransV1_0048240","p.persica_gdr_reftransV1_0048240")</f>
        <v>p.persica_gdr_reftransV1_0048240</v>
      </c>
      <c r="B12001" s="3">
        <v>1082</v>
      </c>
      <c r="C12001" s="1" t="str">
        <f>HYPERLINK("http://www.uniprot.org/uniprot/CAF1K_ARATH","CAF1K_ARATH")</f>
        <v>CAF1K_ARATH</v>
      </c>
      <c r="D12001" t="s">
        <v>6482</v>
      </c>
      <c r="E12001" s="3" t="s">
        <v>3</v>
      </c>
      <c r="F12001" s="4">
        <v>9.9999999999999995E-144</v>
      </c>
      <c r="G12001" s="3">
        <v>1067</v>
      </c>
      <c r="H12001" s="3">
        <v>75</v>
      </c>
      <c r="I12001" s="3">
        <v>271</v>
      </c>
      <c r="J12001" s="3">
        <v>117</v>
      </c>
      <c r="K12001" s="3">
        <v>923</v>
      </c>
      <c r="L12001" s="3">
        <v>12</v>
      </c>
      <c r="M12001" s="3">
        <v>278</v>
      </c>
    </row>
    <row r="12002" spans="1:13" x14ac:dyDescent="0.25">
      <c r="A12002" s="1" t="str">
        <f>HYPERLINK("http://www.rosaceae.org/Prunus/Prunus_persica/p.persica_gdr_reftransV1_0048290","p.persica_gdr_reftransV1_0048290")</f>
        <v>p.persica_gdr_reftransV1_0048290</v>
      </c>
      <c r="B12002" s="3">
        <v>1642</v>
      </c>
      <c r="C12002" s="1" t="str">
        <f>HYPERLINK("http://www.uniprot.org/uniprot/RAE1_ARATH","RAE1_ARATH")</f>
        <v>RAE1_ARATH</v>
      </c>
      <c r="D12002" t="s">
        <v>6795</v>
      </c>
      <c r="E12002" s="3" t="s">
        <v>3</v>
      </c>
      <c r="F12002" s="4">
        <v>0</v>
      </c>
      <c r="G12002" s="3">
        <v>1537</v>
      </c>
      <c r="H12002" s="3">
        <v>82</v>
      </c>
      <c r="I12002" s="3">
        <v>334</v>
      </c>
      <c r="J12002" s="3">
        <v>318</v>
      </c>
      <c r="K12002" s="3">
        <v>1313</v>
      </c>
      <c r="L12002" s="3">
        <v>16</v>
      </c>
      <c r="M12002" s="3">
        <v>349</v>
      </c>
    </row>
    <row r="12003" spans="1:13" x14ac:dyDescent="0.25">
      <c r="A12003" s="1" t="str">
        <f>HYPERLINK("http://www.rosaceae.org/Prunus/Prunus_persica/p.persica_gdr_reftransV1_0048340","p.persica_gdr_reftransV1_0048340")</f>
        <v>p.persica_gdr_reftransV1_0048340</v>
      </c>
      <c r="B12003" s="3">
        <v>332</v>
      </c>
      <c r="C12003" s="1" t="str">
        <f>HYPERLINK("http://www.uniprot.org/uniprot/DRL21_ARATH","DRL21_ARATH")</f>
        <v>DRL21_ARATH</v>
      </c>
      <c r="D12003" t="s">
        <v>3610</v>
      </c>
      <c r="E12003" s="3" t="s">
        <v>3</v>
      </c>
      <c r="F12003" s="4">
        <v>4.5200000000000002E-22</v>
      </c>
      <c r="G12003" s="3">
        <v>236</v>
      </c>
      <c r="H12003" s="3">
        <v>49</v>
      </c>
      <c r="I12003" s="3">
        <v>107</v>
      </c>
      <c r="J12003" s="3">
        <v>12</v>
      </c>
      <c r="K12003" s="3">
        <v>332</v>
      </c>
      <c r="L12003" s="3">
        <v>625</v>
      </c>
      <c r="M12003" s="3">
        <v>729</v>
      </c>
    </row>
    <row r="12004" spans="1:13" x14ac:dyDescent="0.25">
      <c r="A12004" s="1" t="str">
        <f>HYPERLINK("http://www.rosaceae.org/Prunus/Prunus_persica/p.persica_gdr_reftransV1_0048440","p.persica_gdr_reftransV1_0048440")</f>
        <v>p.persica_gdr_reftransV1_0048440</v>
      </c>
      <c r="B12004" s="3">
        <v>1957</v>
      </c>
      <c r="C12004" s="1" t="str">
        <f>HYPERLINK("http://www.uniprot.org/uniprot/TIC55_PEA","TIC55_PEA")</f>
        <v>TIC55_PEA</v>
      </c>
      <c r="D12004" t="s">
        <v>8362</v>
      </c>
      <c r="E12004" s="3" t="s">
        <v>60</v>
      </c>
      <c r="F12004" s="4">
        <v>0</v>
      </c>
      <c r="G12004" s="3">
        <v>1951</v>
      </c>
      <c r="H12004" s="3">
        <v>70</v>
      </c>
      <c r="I12004" s="3">
        <v>531</v>
      </c>
      <c r="J12004" s="3">
        <v>214</v>
      </c>
      <c r="K12004" s="3">
        <v>1791</v>
      </c>
      <c r="L12004" s="3">
        <v>24</v>
      </c>
      <c r="M12004" s="3">
        <v>553</v>
      </c>
    </row>
    <row r="12005" spans="1:13" x14ac:dyDescent="0.25">
      <c r="A12005" s="1" t="str">
        <f>HYPERLINK("http://www.rosaceae.org/Prunus/Prunus_persica/p.persica_gdr_reftransV1_0048490","p.persica_gdr_reftransV1_0048490")</f>
        <v>p.persica_gdr_reftransV1_0048490</v>
      </c>
      <c r="B12005" s="3">
        <v>1364</v>
      </c>
      <c r="C12005" s="1" t="str">
        <f>HYPERLINK("http://www.uniprot.org/uniprot/TBA4_ARATH","TBA4_ARATH")</f>
        <v>TBA4_ARATH</v>
      </c>
      <c r="D12005" t="s">
        <v>8363</v>
      </c>
      <c r="E12005" s="3" t="s">
        <v>3</v>
      </c>
      <c r="F12005" s="4">
        <v>1.65E-107</v>
      </c>
      <c r="G12005" s="3">
        <v>853</v>
      </c>
      <c r="H12005" s="3">
        <v>98</v>
      </c>
      <c r="I12005" s="3">
        <v>180</v>
      </c>
      <c r="J12005" s="3">
        <v>825</v>
      </c>
      <c r="K12005" s="3">
        <v>1364</v>
      </c>
      <c r="L12005" s="3">
        <v>1</v>
      </c>
      <c r="M12005" s="3">
        <v>180</v>
      </c>
    </row>
    <row r="12006" spans="1:13" x14ac:dyDescent="0.25">
      <c r="A12006" s="1" t="str">
        <f>HYPERLINK("http://www.rosaceae.org/Prunus/Prunus_persica/p.persica_gdr_reftransV1_0048540","p.persica_gdr_reftransV1_0048540")</f>
        <v>p.persica_gdr_reftransV1_0048540</v>
      </c>
      <c r="B12006" s="3">
        <v>1714</v>
      </c>
      <c r="C12006" s="1" t="str">
        <f>HYPERLINK("http://www.uniprot.org/uniprot/MBD2_ARATH","MBD2_ARATH")</f>
        <v>MBD2_ARATH</v>
      </c>
      <c r="D12006" t="s">
        <v>4779</v>
      </c>
      <c r="E12006" s="3" t="s">
        <v>3</v>
      </c>
      <c r="F12006" s="4">
        <v>1.9799999999999998E-80</v>
      </c>
      <c r="G12006" s="3">
        <v>664</v>
      </c>
      <c r="H12006" s="3">
        <v>54</v>
      </c>
      <c r="I12006" s="3">
        <v>252</v>
      </c>
      <c r="J12006" s="3">
        <v>431</v>
      </c>
      <c r="K12006" s="3">
        <v>1186</v>
      </c>
      <c r="L12006" s="3">
        <v>54</v>
      </c>
      <c r="M12006" s="3">
        <v>266</v>
      </c>
    </row>
    <row r="12007" spans="1:13" x14ac:dyDescent="0.25">
      <c r="A12007" s="1" t="str">
        <f>HYPERLINK("http://www.rosaceae.org/Prunus/Prunus_persica/p.persica_gdr_reftransV1_0048640","p.persica_gdr_reftransV1_0048640")</f>
        <v>p.persica_gdr_reftransV1_0048640</v>
      </c>
      <c r="B12007" s="3">
        <v>872</v>
      </c>
      <c r="C12007" s="1" t="str">
        <f>HYPERLINK("http://www.uniprot.org/uniprot/14KD_DAUCA","14KD_DAUCA")</f>
        <v>14KD_DAUCA</v>
      </c>
      <c r="D12007" t="s">
        <v>777</v>
      </c>
      <c r="E12007" s="3" t="s">
        <v>32</v>
      </c>
      <c r="F12007" s="4">
        <v>1.65E-31</v>
      </c>
      <c r="G12007" s="3">
        <v>299</v>
      </c>
      <c r="H12007" s="3">
        <v>68</v>
      </c>
      <c r="I12007" s="3">
        <v>84</v>
      </c>
      <c r="J12007" s="3">
        <v>241</v>
      </c>
      <c r="K12007" s="3">
        <v>489</v>
      </c>
      <c r="L12007" s="3">
        <v>54</v>
      </c>
      <c r="M12007" s="3">
        <v>137</v>
      </c>
    </row>
    <row r="12008" spans="1:13" x14ac:dyDescent="0.25">
      <c r="A12008" s="1" t="str">
        <f>HYPERLINK("http://www.rosaceae.org/Prunus/Prunus_persica/p.persica_gdr_reftransV1_0048690","p.persica_gdr_reftransV1_0048690")</f>
        <v>p.persica_gdr_reftransV1_0048690</v>
      </c>
      <c r="B12008" s="3">
        <v>1261</v>
      </c>
      <c r="C12008" s="1" t="str">
        <f>HYPERLINK("http://www.uniprot.org/uniprot/MYBC_MAIZE","MYBC_MAIZE")</f>
        <v>MYBC_MAIZE</v>
      </c>
      <c r="D12008" t="s">
        <v>2070</v>
      </c>
      <c r="E12008" s="3" t="s">
        <v>72</v>
      </c>
      <c r="F12008" s="4">
        <v>7.4300000000000005E-60</v>
      </c>
      <c r="G12008" s="3">
        <v>513</v>
      </c>
      <c r="H12008" s="3">
        <v>79</v>
      </c>
      <c r="I12008" s="3">
        <v>112</v>
      </c>
      <c r="J12008" s="3">
        <v>819</v>
      </c>
      <c r="K12008" s="3">
        <v>1154</v>
      </c>
      <c r="L12008" s="3">
        <v>1</v>
      </c>
      <c r="M12008" s="3">
        <v>112</v>
      </c>
    </row>
    <row r="12009" spans="1:13" x14ac:dyDescent="0.25">
      <c r="A12009" s="1" t="str">
        <f>HYPERLINK("http://www.rosaceae.org/Prunus/Prunus_persica/p.persica_gdr_reftransV1_0048740","p.persica_gdr_reftransV1_0048740")</f>
        <v>p.persica_gdr_reftransV1_0048740</v>
      </c>
      <c r="B12009" s="3">
        <v>1928</v>
      </c>
      <c r="C12009" s="1" t="str">
        <f>HYPERLINK("http://www.uniprot.org/uniprot/B561C_ARATH","B561C_ARATH")</f>
        <v>B561C_ARATH</v>
      </c>
      <c r="D12009" t="s">
        <v>1604</v>
      </c>
      <c r="E12009" s="3" t="s">
        <v>3</v>
      </c>
      <c r="F12009" s="4">
        <v>7.8499999999999996E-145</v>
      </c>
      <c r="G12009" s="3">
        <v>1114</v>
      </c>
      <c r="H12009" s="3">
        <v>61</v>
      </c>
      <c r="I12009" s="3">
        <v>371</v>
      </c>
      <c r="J12009" s="3">
        <v>556</v>
      </c>
      <c r="K12009" s="3">
        <v>1632</v>
      </c>
      <c r="L12009" s="3">
        <v>20</v>
      </c>
      <c r="M12009" s="3">
        <v>390</v>
      </c>
    </row>
    <row r="12010" spans="1:13" x14ac:dyDescent="0.25">
      <c r="A12010" s="1" t="str">
        <f>HYPERLINK("http://www.rosaceae.org/Prunus/Prunus_persica/p.persica_gdr_reftransV1_0048840","p.persica_gdr_reftransV1_0048840")</f>
        <v>p.persica_gdr_reftransV1_0048840</v>
      </c>
      <c r="B12010" s="3">
        <v>2637</v>
      </c>
      <c r="C12010" s="1" t="str">
        <f>HYPERLINK("http://www.uniprot.org/uniprot/ERL1_ARATH","ERL1_ARATH")</f>
        <v>ERL1_ARATH</v>
      </c>
      <c r="D12010" t="s">
        <v>344</v>
      </c>
      <c r="E12010" s="3" t="s">
        <v>3</v>
      </c>
      <c r="F12010" s="4">
        <v>0</v>
      </c>
      <c r="G12010" s="3">
        <v>3354</v>
      </c>
      <c r="H12010" s="3">
        <v>77</v>
      </c>
      <c r="I12010" s="3">
        <v>873</v>
      </c>
      <c r="J12010" s="3">
        <v>18</v>
      </c>
      <c r="K12010" s="3">
        <v>2636</v>
      </c>
      <c r="L12010" s="3">
        <v>116</v>
      </c>
      <c r="M12010" s="3">
        <v>966</v>
      </c>
    </row>
    <row r="12011" spans="1:13" x14ac:dyDescent="0.25">
      <c r="A12011" s="1" t="str">
        <f>HYPERLINK("http://www.rosaceae.org/Prunus/Prunus_persica/p.persica_gdr_reftransV1_0048890","p.persica_gdr_reftransV1_0048890")</f>
        <v>p.persica_gdr_reftransV1_0048890</v>
      </c>
      <c r="B12011" s="3">
        <v>2496</v>
      </c>
      <c r="C12011" s="1" t="str">
        <f>HYPERLINK("http://www.uniprot.org/uniprot/CRTSO_DAUCA","CRTSO_DAUCA")</f>
        <v>CRTSO_DAUCA</v>
      </c>
      <c r="D12011" t="s">
        <v>1262</v>
      </c>
      <c r="E12011" s="3" t="s">
        <v>32</v>
      </c>
      <c r="F12011" s="4">
        <v>0</v>
      </c>
      <c r="G12011" s="3">
        <v>2333</v>
      </c>
      <c r="H12011" s="3">
        <v>84</v>
      </c>
      <c r="I12011" s="3">
        <v>534</v>
      </c>
      <c r="J12011" s="3">
        <v>324</v>
      </c>
      <c r="K12011" s="3">
        <v>1916</v>
      </c>
      <c r="L12011" s="3">
        <v>68</v>
      </c>
      <c r="M12011" s="3">
        <v>599</v>
      </c>
    </row>
    <row r="12012" spans="1:13" x14ac:dyDescent="0.25">
      <c r="A12012" s="1" t="str">
        <f>HYPERLINK("http://www.rosaceae.org/Prunus/Prunus_persica/p.persica_gdr_reftransV1_0048990","p.persica_gdr_reftransV1_0048990")</f>
        <v>p.persica_gdr_reftransV1_0048990</v>
      </c>
      <c r="B12012" s="3">
        <v>659</v>
      </c>
      <c r="C12012" s="1" t="str">
        <f>HYPERLINK("http://www.uniprot.org/uniprot/YJCK_BACSU","YJCK_BACSU")</f>
        <v>YJCK_BACSU</v>
      </c>
      <c r="D12012" t="s">
        <v>8364</v>
      </c>
      <c r="E12012" s="3" t="s">
        <v>1630</v>
      </c>
      <c r="F12012" s="4">
        <v>1.14E-12</v>
      </c>
      <c r="G12012" s="3">
        <v>163</v>
      </c>
      <c r="H12012" s="3">
        <v>35</v>
      </c>
      <c r="I12012" s="3">
        <v>138</v>
      </c>
      <c r="J12012" s="3">
        <v>41</v>
      </c>
      <c r="K12012" s="3">
        <v>448</v>
      </c>
      <c r="L12012" s="3">
        <v>44</v>
      </c>
      <c r="M12012" s="3">
        <v>180</v>
      </c>
    </row>
    <row r="12013" spans="1:13" x14ac:dyDescent="0.25">
      <c r="A12013" s="1" t="str">
        <f>HYPERLINK("http://www.rosaceae.org/Prunus/Prunus_persica/p.persica_gdr_reftransV1_0049040","p.persica_gdr_reftransV1_0049040")</f>
        <v>p.persica_gdr_reftransV1_0049040</v>
      </c>
      <c r="B12013" s="3">
        <v>478</v>
      </c>
      <c r="C12013" s="1" t="str">
        <f>HYPERLINK("http://www.uniprot.org/uniprot/PP430_ARATH","PP430_ARATH")</f>
        <v>PP430_ARATH</v>
      </c>
      <c r="D12013" t="s">
        <v>2990</v>
      </c>
      <c r="E12013" s="3" t="s">
        <v>3</v>
      </c>
      <c r="F12013" s="4">
        <v>7.6399999999999997E-38</v>
      </c>
      <c r="G12013" s="3">
        <v>358</v>
      </c>
      <c r="H12013" s="3">
        <v>44</v>
      </c>
      <c r="I12013" s="3">
        <v>158</v>
      </c>
      <c r="J12013" s="3">
        <v>5</v>
      </c>
      <c r="K12013" s="3">
        <v>478</v>
      </c>
      <c r="L12013" s="3">
        <v>308</v>
      </c>
      <c r="M12013" s="3">
        <v>465</v>
      </c>
    </row>
    <row r="12014" spans="1:13" x14ac:dyDescent="0.25">
      <c r="A12014" s="1" t="str">
        <f>HYPERLINK("http://www.rosaceae.org/Prunus/Prunus_persica/p.persica_gdr_reftransV1_0049090","p.persica_gdr_reftransV1_0049090")</f>
        <v>p.persica_gdr_reftransV1_0049090</v>
      </c>
      <c r="B12014" s="3">
        <v>1145</v>
      </c>
      <c r="C12014" s="1" t="str">
        <f>HYPERLINK("http://www.uniprot.org/uniprot/CENPV_MOUSE","CENPV_MOUSE")</f>
        <v>CENPV_MOUSE</v>
      </c>
      <c r="D12014" t="s">
        <v>8365</v>
      </c>
      <c r="E12014" s="3" t="s">
        <v>157</v>
      </c>
      <c r="F12014" s="4">
        <v>1.05E-31</v>
      </c>
      <c r="G12014" s="3">
        <v>314</v>
      </c>
      <c r="H12014" s="3">
        <v>48</v>
      </c>
      <c r="I12014" s="3">
        <v>122</v>
      </c>
      <c r="J12014" s="3">
        <v>302</v>
      </c>
      <c r="K12014" s="3">
        <v>667</v>
      </c>
      <c r="L12014" s="3">
        <v>122</v>
      </c>
      <c r="M12014" s="3">
        <v>242</v>
      </c>
    </row>
    <row r="12015" spans="1:13" x14ac:dyDescent="0.25">
      <c r="A12015" s="1" t="str">
        <f>HYPERLINK("http://www.rosaceae.org/Prunus/Prunus_persica/p.persica_gdr_reftransV1_0049140","p.persica_gdr_reftransV1_0049140")</f>
        <v>p.persica_gdr_reftransV1_0049140</v>
      </c>
      <c r="B12015" s="3">
        <v>1198</v>
      </c>
      <c r="C12015" s="1" t="str">
        <f>HYPERLINK("http://www.uniprot.org/uniprot/CLC2_ARATH","CLC2_ARATH")</f>
        <v>CLC2_ARATH</v>
      </c>
      <c r="D12015" t="s">
        <v>8366</v>
      </c>
      <c r="E12015" s="3" t="s">
        <v>3</v>
      </c>
      <c r="F12015" s="4">
        <v>2.72E-62</v>
      </c>
      <c r="G12015" s="3">
        <v>527</v>
      </c>
      <c r="H12015" s="3">
        <v>61</v>
      </c>
      <c r="I12015" s="3">
        <v>224</v>
      </c>
      <c r="J12015" s="3">
        <v>356</v>
      </c>
      <c r="K12015" s="3">
        <v>991</v>
      </c>
      <c r="L12015" s="3">
        <v>7</v>
      </c>
      <c r="M12015" s="3">
        <v>223</v>
      </c>
    </row>
    <row r="12016" spans="1:13" x14ac:dyDescent="0.25">
      <c r="A12016" s="1" t="str">
        <f>HYPERLINK("http://www.rosaceae.org/Prunus/Prunus_persica/p.persica_gdr_reftransV1_0000004","p.persica_gdr_reftransV1_0000004")</f>
        <v>p.persica_gdr_reftransV1_0000004</v>
      </c>
      <c r="B12016" s="3">
        <v>696</v>
      </c>
      <c r="C12016" s="1" t="str">
        <f>HYPERLINK("http://www.uniprot.org/uniprot/PLCD4_ARATH","PLCD4_ARATH")</f>
        <v>PLCD4_ARATH</v>
      </c>
      <c r="D12016" t="s">
        <v>3865</v>
      </c>
      <c r="E12016" s="3" t="s">
        <v>3</v>
      </c>
      <c r="F12016" s="4">
        <v>9.4400000000000004E-80</v>
      </c>
      <c r="G12016" s="3">
        <v>655</v>
      </c>
      <c r="H12016" s="3">
        <v>76</v>
      </c>
      <c r="I12016" s="3">
        <v>172</v>
      </c>
      <c r="J12016" s="3">
        <v>184</v>
      </c>
      <c r="K12016" s="3">
        <v>696</v>
      </c>
      <c r="L12016" s="3">
        <v>426</v>
      </c>
      <c r="M12016" s="3">
        <v>597</v>
      </c>
    </row>
    <row r="12017" spans="1:13" x14ac:dyDescent="0.25">
      <c r="A12017" s="1" t="str">
        <f>HYPERLINK("http://www.rosaceae.org/Prunus/Prunus_persica/p.persica_gdr_reftransV1_0000054","p.persica_gdr_reftransV1_0000054")</f>
        <v>p.persica_gdr_reftransV1_0000054</v>
      </c>
      <c r="B12017" s="3">
        <v>2073</v>
      </c>
      <c r="C12017" s="1" t="str">
        <f>HYPERLINK("http://www.uniprot.org/uniprot/NADK1_ARATH","NADK1_ARATH")</f>
        <v>NADK1_ARATH</v>
      </c>
      <c r="D12017" t="s">
        <v>5277</v>
      </c>
      <c r="E12017" s="3" t="s">
        <v>3</v>
      </c>
      <c r="F12017" s="4">
        <v>0</v>
      </c>
      <c r="G12017" s="3">
        <v>1957</v>
      </c>
      <c r="H12017" s="3">
        <v>76</v>
      </c>
      <c r="I12017" s="3">
        <v>516</v>
      </c>
      <c r="J12017" s="3">
        <v>216</v>
      </c>
      <c r="K12017" s="3">
        <v>1736</v>
      </c>
      <c r="L12017" s="3">
        <v>16</v>
      </c>
      <c r="M12017" s="3">
        <v>524</v>
      </c>
    </row>
    <row r="12018" spans="1:13" x14ac:dyDescent="0.25">
      <c r="A12018" s="1" t="str">
        <f>HYPERLINK("http://www.rosaceae.org/Prunus/Prunus_persica/p.persica_gdr_reftransV1_0000104","p.persica_gdr_reftransV1_0000104")</f>
        <v>p.persica_gdr_reftransV1_0000104</v>
      </c>
      <c r="B12018" s="3">
        <v>2753</v>
      </c>
      <c r="C12018" s="1" t="str">
        <f>HYPERLINK("http://www.uniprot.org/uniprot/Y1668_ARATH","Y1668_ARATH")</f>
        <v>Y1668_ARATH</v>
      </c>
      <c r="D12018" t="s">
        <v>2846</v>
      </c>
      <c r="E12018" s="3" t="s">
        <v>3</v>
      </c>
      <c r="F12018" s="4">
        <v>0</v>
      </c>
      <c r="G12018" s="3">
        <v>1671</v>
      </c>
      <c r="H12018" s="3">
        <v>49</v>
      </c>
      <c r="I12018" s="3">
        <v>710</v>
      </c>
      <c r="J12018" s="3">
        <v>326</v>
      </c>
      <c r="K12018" s="3">
        <v>2410</v>
      </c>
      <c r="L12018" s="3">
        <v>21</v>
      </c>
      <c r="M12018" s="3">
        <v>684</v>
      </c>
    </row>
    <row r="12019" spans="1:13" x14ac:dyDescent="0.25">
      <c r="A12019" s="1" t="str">
        <f>HYPERLINK("http://www.rosaceae.org/Prunus/Prunus_persica/p.persica_gdr_reftransV1_0000154","p.persica_gdr_reftransV1_0000154")</f>
        <v>p.persica_gdr_reftransV1_0000154</v>
      </c>
      <c r="B12019" s="3">
        <v>1849</v>
      </c>
      <c r="C12019" s="1" t="str">
        <f>HYPERLINK("http://www.uniprot.org/uniprot/DNAJ1_ARATH","DNAJ1_ARATH")</f>
        <v>DNAJ1_ARATH</v>
      </c>
      <c r="D12019" t="s">
        <v>8367</v>
      </c>
      <c r="E12019" s="3" t="s">
        <v>3</v>
      </c>
      <c r="F12019" s="4">
        <v>1.29E-80</v>
      </c>
      <c r="G12019" s="3">
        <v>680</v>
      </c>
      <c r="H12019" s="3">
        <v>42</v>
      </c>
      <c r="I12019" s="3">
        <v>358</v>
      </c>
      <c r="J12019" s="3">
        <v>423</v>
      </c>
      <c r="K12019" s="3">
        <v>1469</v>
      </c>
      <c r="L12019" s="3">
        <v>34</v>
      </c>
      <c r="M12019" s="3">
        <v>387</v>
      </c>
    </row>
    <row r="12020" spans="1:13" x14ac:dyDescent="0.25">
      <c r="A12020" s="1" t="str">
        <f>HYPERLINK("http://www.rosaceae.org/Prunus/Prunus_persica/p.persica_gdr_reftransV1_0000304","p.persica_gdr_reftransV1_0000304")</f>
        <v>p.persica_gdr_reftransV1_0000304</v>
      </c>
      <c r="B12020" s="3">
        <v>611</v>
      </c>
      <c r="C12020" s="1" t="str">
        <f>HYPERLINK("http://www.uniprot.org/uniprot/DPOLA_ORYSJ","DPOLA_ORYSJ")</f>
        <v>DPOLA_ORYSJ</v>
      </c>
      <c r="D12020" t="s">
        <v>8094</v>
      </c>
      <c r="E12020" s="3" t="s">
        <v>38</v>
      </c>
      <c r="F12020" s="4">
        <v>8.8600000000000005E-39</v>
      </c>
      <c r="G12020" s="3">
        <v>372</v>
      </c>
      <c r="H12020" s="3">
        <v>59</v>
      </c>
      <c r="I12020" s="3">
        <v>97</v>
      </c>
      <c r="J12020" s="3">
        <v>37</v>
      </c>
      <c r="K12020" s="3">
        <v>327</v>
      </c>
      <c r="L12020" s="3">
        <v>1438</v>
      </c>
      <c r="M12020" s="3">
        <v>1534</v>
      </c>
    </row>
    <row r="12021" spans="1:13" x14ac:dyDescent="0.25">
      <c r="A12021" s="1" t="str">
        <f>HYPERLINK("http://www.rosaceae.org/Prunus/Prunus_persica/p.persica_gdr_reftransV1_0000354","p.persica_gdr_reftransV1_0000354")</f>
        <v>p.persica_gdr_reftransV1_0000354</v>
      </c>
      <c r="B12021" s="3">
        <v>355</v>
      </c>
      <c r="C12021" s="1" t="str">
        <f>HYPERLINK("http://www.uniprot.org/uniprot/PCS3_LOTJA","PCS3_LOTJA")</f>
        <v>PCS3_LOTJA</v>
      </c>
      <c r="D12021" t="s">
        <v>2675</v>
      </c>
      <c r="E12021" s="3" t="s">
        <v>880</v>
      </c>
      <c r="F12021" s="4">
        <v>1.6200000000000001E-71</v>
      </c>
      <c r="G12021" s="3">
        <v>579</v>
      </c>
      <c r="H12021" s="3">
        <v>87</v>
      </c>
      <c r="I12021" s="3">
        <v>118</v>
      </c>
      <c r="J12021" s="3">
        <v>2</v>
      </c>
      <c r="K12021" s="3">
        <v>355</v>
      </c>
      <c r="L12021" s="3">
        <v>6</v>
      </c>
      <c r="M12021" s="3">
        <v>123</v>
      </c>
    </row>
    <row r="12022" spans="1:13" x14ac:dyDescent="0.25">
      <c r="A12022" s="1" t="str">
        <f>HYPERLINK("http://www.rosaceae.org/Prunus/Prunus_persica/p.persica_gdr_reftransV1_0000454","p.persica_gdr_reftransV1_0000454")</f>
        <v>p.persica_gdr_reftransV1_0000454</v>
      </c>
      <c r="B12022" s="3">
        <v>439</v>
      </c>
      <c r="C12022" s="1" t="str">
        <f>HYPERLINK("http://www.uniprot.org/uniprot/ANK1_HUMAN","ANK1_HUMAN")</f>
        <v>ANK1_HUMAN</v>
      </c>
      <c r="D12022" t="s">
        <v>4415</v>
      </c>
      <c r="E12022" s="3" t="s">
        <v>28</v>
      </c>
      <c r="F12022" s="4">
        <v>2.0099999999999999E-9</v>
      </c>
      <c r="G12022" s="3">
        <v>143</v>
      </c>
      <c r="H12022" s="3">
        <v>35</v>
      </c>
      <c r="I12022" s="3">
        <v>120</v>
      </c>
      <c r="J12022" s="3">
        <v>79</v>
      </c>
      <c r="K12022" s="3">
        <v>438</v>
      </c>
      <c r="L12022" s="3">
        <v>505</v>
      </c>
      <c r="M12022" s="3">
        <v>616</v>
      </c>
    </row>
    <row r="12023" spans="1:13" x14ac:dyDescent="0.25">
      <c r="A12023" s="1" t="str">
        <f>HYPERLINK("http://www.rosaceae.org/Prunus/Prunus_persica/p.persica_gdr_reftransV1_0000704","p.persica_gdr_reftransV1_0000704")</f>
        <v>p.persica_gdr_reftransV1_0000704</v>
      </c>
      <c r="B12023" s="3">
        <v>1217</v>
      </c>
      <c r="C12023" s="1" t="str">
        <f>HYPERLINK("http://www.uniprot.org/uniprot/idI2_CAMAC","idI2_CAMAC")</f>
        <v>idI2_CAMAC</v>
      </c>
      <c r="D12023" t="s">
        <v>2312</v>
      </c>
      <c r="E12023" s="3" t="s">
        <v>2313</v>
      </c>
      <c r="F12023" s="4">
        <v>1.1000000000000001E-158</v>
      </c>
      <c r="G12023" s="3">
        <v>1174</v>
      </c>
      <c r="H12023" s="3">
        <v>86</v>
      </c>
      <c r="I12023" s="3">
        <v>250</v>
      </c>
      <c r="J12023" s="3">
        <v>236</v>
      </c>
      <c r="K12023" s="3">
        <v>982</v>
      </c>
      <c r="L12023" s="3">
        <v>60</v>
      </c>
      <c r="M12023" s="3">
        <v>309</v>
      </c>
    </row>
    <row r="12024" spans="1:13" x14ac:dyDescent="0.25">
      <c r="A12024" s="1" t="str">
        <f>HYPERLINK("http://www.rosaceae.org/Prunus/Prunus_persica/p.persica_gdr_reftransV1_0000804","p.persica_gdr_reftransV1_0000804")</f>
        <v>p.persica_gdr_reftransV1_0000804</v>
      </c>
      <c r="B12024" s="3">
        <v>1802</v>
      </c>
      <c r="C12024" s="1" t="str">
        <f>HYPERLINK("http://www.uniprot.org/uniprot/AIL5_ARATH","AIL5_ARATH")</f>
        <v>AIL5_ARATH</v>
      </c>
      <c r="D12024" t="s">
        <v>8368</v>
      </c>
      <c r="E12024" s="3" t="s">
        <v>3</v>
      </c>
      <c r="F12024" s="4">
        <v>4.99E-138</v>
      </c>
      <c r="G12024" s="3">
        <v>1080</v>
      </c>
      <c r="H12024" s="3">
        <v>71</v>
      </c>
      <c r="I12024" s="3">
        <v>318</v>
      </c>
      <c r="J12024" s="3">
        <v>758</v>
      </c>
      <c r="K12024" s="3">
        <v>1693</v>
      </c>
      <c r="L12024" s="3">
        <v>142</v>
      </c>
      <c r="M12024" s="3">
        <v>454</v>
      </c>
    </row>
    <row r="12025" spans="1:13" x14ac:dyDescent="0.25">
      <c r="A12025" s="1" t="str">
        <f>HYPERLINK("http://www.rosaceae.org/Prunus/Prunus_persica/p.persica_gdr_reftransV1_0000954","p.persica_gdr_reftransV1_0000954")</f>
        <v>p.persica_gdr_reftransV1_0000954</v>
      </c>
      <c r="B12025" s="3">
        <v>3307</v>
      </c>
      <c r="C12025" s="1" t="str">
        <f>HYPERLINK("http://www.uniprot.org/uniprot/CND3_XENLA","CND3_XENLA")</f>
        <v>CND3_XENLA</v>
      </c>
      <c r="D12025" t="s">
        <v>8369</v>
      </c>
      <c r="E12025" s="3" t="s">
        <v>475</v>
      </c>
      <c r="F12025" s="4">
        <v>1.56E-36</v>
      </c>
      <c r="G12025" s="3">
        <v>387</v>
      </c>
      <c r="H12025" s="3">
        <v>33</v>
      </c>
      <c r="I12025" s="3">
        <v>334</v>
      </c>
      <c r="J12025" s="3">
        <v>186</v>
      </c>
      <c r="K12025" s="3">
        <v>1151</v>
      </c>
      <c r="L12025" s="3">
        <v>55</v>
      </c>
      <c r="M12025" s="3">
        <v>369</v>
      </c>
    </row>
    <row r="12026" spans="1:13" x14ac:dyDescent="0.25">
      <c r="A12026" s="1" t="str">
        <f>HYPERLINK("http://www.rosaceae.org/Prunus/Prunus_persica/p.persica_gdr_reftransV1_0001004","p.persica_gdr_reftransV1_0001004")</f>
        <v>p.persica_gdr_reftransV1_0001004</v>
      </c>
      <c r="B12026" s="3">
        <v>4092</v>
      </c>
      <c r="C12026" s="1" t="str">
        <f>HYPERLINK("http://www.uniprot.org/uniprot/AHK1_ARATH","AHK1_ARATH")</f>
        <v>AHK1_ARATH</v>
      </c>
      <c r="D12026" t="s">
        <v>8370</v>
      </c>
      <c r="E12026" s="3" t="s">
        <v>3</v>
      </c>
      <c r="F12026" s="4">
        <v>0</v>
      </c>
      <c r="G12026" s="3">
        <v>4114</v>
      </c>
      <c r="H12026" s="3">
        <v>66</v>
      </c>
      <c r="I12026" s="3">
        <v>1237</v>
      </c>
      <c r="J12026" s="3">
        <v>264</v>
      </c>
      <c r="K12026" s="3">
        <v>3944</v>
      </c>
      <c r="L12026" s="3">
        <v>16</v>
      </c>
      <c r="M12026" s="3">
        <v>1200</v>
      </c>
    </row>
    <row r="12027" spans="1:13" x14ac:dyDescent="0.25">
      <c r="A12027" s="1" t="str">
        <f>HYPERLINK("http://www.rosaceae.org/Prunus/Prunus_persica/p.persica_gdr_reftransV1_0001054","p.persica_gdr_reftransV1_0001054")</f>
        <v>p.persica_gdr_reftransV1_0001054</v>
      </c>
      <c r="B12027" s="3">
        <v>3338</v>
      </c>
      <c r="C12027" s="1" t="str">
        <f>HYPERLINK("http://www.uniprot.org/uniprot/C2GR2_ARATH","C2GR2_ARATH")</f>
        <v>C2GR2_ARATH</v>
      </c>
      <c r="D12027" t="s">
        <v>3221</v>
      </c>
      <c r="E12027" s="3" t="s">
        <v>3</v>
      </c>
      <c r="F12027" s="4">
        <v>0</v>
      </c>
      <c r="G12027" s="3">
        <v>2929</v>
      </c>
      <c r="H12027" s="3">
        <v>57</v>
      </c>
      <c r="I12027" s="3">
        <v>1030</v>
      </c>
      <c r="J12027" s="3">
        <v>192</v>
      </c>
      <c r="K12027" s="3">
        <v>3230</v>
      </c>
      <c r="L12027" s="3">
        <v>1</v>
      </c>
      <c r="M12027" s="3">
        <v>1023</v>
      </c>
    </row>
    <row r="12028" spans="1:13" x14ac:dyDescent="0.25">
      <c r="A12028" s="1" t="str">
        <f>HYPERLINK("http://www.rosaceae.org/Prunus/Prunus_persica/p.persica_gdr_reftransV1_0001104","p.persica_gdr_reftransV1_0001104")</f>
        <v>p.persica_gdr_reftransV1_0001104</v>
      </c>
      <c r="B12028" s="3">
        <v>610</v>
      </c>
      <c r="C12028" s="1" t="str">
        <f>HYPERLINK("http://www.uniprot.org/uniprot/CHR8_ARATH","CHR8_ARATH")</f>
        <v>CHR8_ARATH</v>
      </c>
      <c r="D12028" t="s">
        <v>3562</v>
      </c>
      <c r="E12028" s="3" t="s">
        <v>3</v>
      </c>
      <c r="F12028" s="4">
        <v>3.1299999999999998E-17</v>
      </c>
      <c r="G12028" s="3">
        <v>207</v>
      </c>
      <c r="H12028" s="3">
        <v>61</v>
      </c>
      <c r="I12028" s="3">
        <v>84</v>
      </c>
      <c r="J12028" s="3">
        <v>76</v>
      </c>
      <c r="K12028" s="3">
        <v>327</v>
      </c>
      <c r="L12028" s="3">
        <v>1</v>
      </c>
      <c r="M12028" s="3">
        <v>82</v>
      </c>
    </row>
    <row r="12029" spans="1:13" x14ac:dyDescent="0.25">
      <c r="A12029" s="1" t="str">
        <f>HYPERLINK("http://www.rosaceae.org/Prunus/Prunus_persica/p.persica_gdr_reftransV1_0001154","p.persica_gdr_reftransV1_0001154")</f>
        <v>p.persica_gdr_reftransV1_0001154</v>
      </c>
      <c r="B12029" s="3">
        <v>942</v>
      </c>
      <c r="C12029" s="1" t="str">
        <f>HYPERLINK("http://www.uniprot.org/uniprot/TLP_ACTDE","TLP_ACTDE")</f>
        <v>TLP_ACTDE</v>
      </c>
      <c r="D12029" t="s">
        <v>2187</v>
      </c>
      <c r="E12029" s="3" t="s">
        <v>2188</v>
      </c>
      <c r="F12029" s="4">
        <v>3.85E-120</v>
      </c>
      <c r="G12029" s="3">
        <v>901</v>
      </c>
      <c r="H12029" s="3">
        <v>74</v>
      </c>
      <c r="I12029" s="3">
        <v>226</v>
      </c>
      <c r="J12029" s="3">
        <v>206</v>
      </c>
      <c r="K12029" s="3">
        <v>883</v>
      </c>
      <c r="L12029" s="3">
        <v>1</v>
      </c>
      <c r="M12029" s="3">
        <v>225</v>
      </c>
    </row>
    <row r="12030" spans="1:13" x14ac:dyDescent="0.25">
      <c r="A12030" s="1" t="str">
        <f>HYPERLINK("http://www.rosaceae.org/Prunus/Prunus_persica/p.persica_gdr_reftransV1_0001204","p.persica_gdr_reftransV1_0001204")</f>
        <v>p.persica_gdr_reftransV1_0001204</v>
      </c>
      <c r="B12030" s="3">
        <v>1466</v>
      </c>
      <c r="C12030" s="1" t="str">
        <f>HYPERLINK("http://www.uniprot.org/uniprot/BGL12_ORYSJ","BGL12_ORYSJ")</f>
        <v>BGL12_ORYSJ</v>
      </c>
      <c r="D12030" t="s">
        <v>8371</v>
      </c>
      <c r="E12030" s="3" t="s">
        <v>38</v>
      </c>
      <c r="F12030" s="4">
        <v>0</v>
      </c>
      <c r="G12030" s="3">
        <v>1591</v>
      </c>
      <c r="H12030" s="3">
        <v>67</v>
      </c>
      <c r="I12030" s="3">
        <v>436</v>
      </c>
      <c r="J12030" s="3">
        <v>159</v>
      </c>
      <c r="K12030" s="3">
        <v>1466</v>
      </c>
      <c r="L12030" s="3">
        <v>75</v>
      </c>
      <c r="M12030" s="3">
        <v>510</v>
      </c>
    </row>
    <row r="12031" spans="1:13" x14ac:dyDescent="0.25">
      <c r="A12031" s="1" t="str">
        <f>HYPERLINK("http://www.rosaceae.org/Prunus/Prunus_persica/p.persica_gdr_reftransV1_0001254","p.persica_gdr_reftransV1_0001254")</f>
        <v>p.persica_gdr_reftransV1_0001254</v>
      </c>
      <c r="B12031" s="3">
        <v>401</v>
      </c>
      <c r="C12031" s="1" t="str">
        <f>HYPERLINK("http://www.uniprot.org/uniprot/S10A9_HUMAN","S10A9_HUMAN")</f>
        <v>S10A9_HUMAN</v>
      </c>
      <c r="D12031" t="s">
        <v>8372</v>
      </c>
      <c r="E12031" s="3" t="s">
        <v>28</v>
      </c>
      <c r="F12031" s="4">
        <v>5.2400000000000004E-80</v>
      </c>
      <c r="G12031" s="3">
        <v>606</v>
      </c>
      <c r="H12031" s="3">
        <v>100</v>
      </c>
      <c r="I12031" s="3">
        <v>114</v>
      </c>
      <c r="J12031" s="3">
        <v>31</v>
      </c>
      <c r="K12031" s="3">
        <v>372</v>
      </c>
      <c r="L12031" s="3">
        <v>1</v>
      </c>
      <c r="M12031" s="3">
        <v>114</v>
      </c>
    </row>
    <row r="12032" spans="1:13" x14ac:dyDescent="0.25">
      <c r="A12032" s="1" t="str">
        <f>HYPERLINK("http://www.rosaceae.org/Prunus/Prunus_persica/p.persica_gdr_reftransV1_0001304","p.persica_gdr_reftransV1_0001304")</f>
        <v>p.persica_gdr_reftransV1_0001304</v>
      </c>
      <c r="B12032" s="3">
        <v>1790</v>
      </c>
      <c r="C12032" s="1" t="str">
        <f>HYPERLINK("http://www.uniprot.org/uniprot/PUB21_ARATH","PUB21_ARATH")</f>
        <v>PUB21_ARATH</v>
      </c>
      <c r="D12032" t="s">
        <v>423</v>
      </c>
      <c r="E12032" s="3" t="s">
        <v>3</v>
      </c>
      <c r="F12032" s="4">
        <v>3.3000000000000001E-98</v>
      </c>
      <c r="G12032" s="3">
        <v>801</v>
      </c>
      <c r="H12032" s="3">
        <v>47</v>
      </c>
      <c r="I12032" s="3">
        <v>452</v>
      </c>
      <c r="J12032" s="3">
        <v>154</v>
      </c>
      <c r="K12032" s="3">
        <v>1494</v>
      </c>
      <c r="L12032" s="3">
        <v>1</v>
      </c>
      <c r="M12032" s="3">
        <v>435</v>
      </c>
    </row>
    <row r="12033" spans="1:13" x14ac:dyDescent="0.25">
      <c r="A12033" s="1" t="str">
        <f>HYPERLINK("http://www.rosaceae.org/Prunus/Prunus_persica/p.persica_gdr_reftransV1_0001354","p.persica_gdr_reftransV1_0001354")</f>
        <v>p.persica_gdr_reftransV1_0001354</v>
      </c>
      <c r="B12033" s="3">
        <v>1138</v>
      </c>
      <c r="C12033" s="1" t="str">
        <f>HYPERLINK("http://www.uniprot.org/uniprot/XTH23_ARATH","XTH23_ARATH")</f>
        <v>XTH23_ARATH</v>
      </c>
      <c r="D12033" t="s">
        <v>5527</v>
      </c>
      <c r="E12033" s="3" t="s">
        <v>3</v>
      </c>
      <c r="F12033" s="4">
        <v>3.4999999999999998E-144</v>
      </c>
      <c r="G12033" s="3">
        <v>1073</v>
      </c>
      <c r="H12033" s="3">
        <v>76</v>
      </c>
      <c r="I12033" s="3">
        <v>267</v>
      </c>
      <c r="J12033" s="3">
        <v>140</v>
      </c>
      <c r="K12033" s="3">
        <v>940</v>
      </c>
      <c r="L12033" s="3">
        <v>24</v>
      </c>
      <c r="M12033" s="3">
        <v>283</v>
      </c>
    </row>
    <row r="12034" spans="1:13" x14ac:dyDescent="0.25">
      <c r="A12034" s="1" t="str">
        <f>HYPERLINK("http://www.rosaceae.org/Prunus/Prunus_persica/p.persica_gdr_reftransV1_0001404","p.persica_gdr_reftransV1_0001404")</f>
        <v>p.persica_gdr_reftransV1_0001404</v>
      </c>
      <c r="B12034" s="3">
        <v>354</v>
      </c>
      <c r="C12034" s="1" t="str">
        <f>HYPERLINK("http://www.uniprot.org/uniprot/GCN5_YARLI","GCN5_YARLI")</f>
        <v>GCN5_YARLI</v>
      </c>
      <c r="D12034" t="s">
        <v>8373</v>
      </c>
      <c r="E12034" s="3" t="s">
        <v>1669</v>
      </c>
      <c r="F12034" s="4">
        <v>2.4400000000000001E-12</v>
      </c>
      <c r="G12034" s="3">
        <v>161</v>
      </c>
      <c r="H12034" s="3">
        <v>46</v>
      </c>
      <c r="I12034" s="3">
        <v>72</v>
      </c>
      <c r="J12034" s="3">
        <v>3</v>
      </c>
      <c r="K12034" s="3">
        <v>218</v>
      </c>
      <c r="L12034" s="3">
        <v>356</v>
      </c>
      <c r="M12034" s="3">
        <v>427</v>
      </c>
    </row>
    <row r="12035" spans="1:13" x14ac:dyDescent="0.25">
      <c r="A12035" s="1" t="str">
        <f>HYPERLINK("http://www.rosaceae.org/Prunus/Prunus_persica/p.persica_gdr_reftransV1_0001454","p.persica_gdr_reftransV1_0001454")</f>
        <v>p.persica_gdr_reftransV1_0001454</v>
      </c>
      <c r="B12035" s="3">
        <v>749</v>
      </c>
      <c r="C12035" s="1" t="str">
        <f>HYPERLINK("http://www.uniprot.org/uniprot/MTDH_MESCR","MTDH_MESCR")</f>
        <v>MTDH_MESCR</v>
      </c>
      <c r="D12035" t="s">
        <v>8374</v>
      </c>
      <c r="E12035" s="3" t="s">
        <v>2486</v>
      </c>
      <c r="F12035" s="4">
        <v>4.26E-92</v>
      </c>
      <c r="G12035" s="3">
        <v>722</v>
      </c>
      <c r="H12035" s="3">
        <v>75</v>
      </c>
      <c r="I12035" s="3">
        <v>228</v>
      </c>
      <c r="J12035" s="3">
        <v>65</v>
      </c>
      <c r="K12035" s="3">
        <v>748</v>
      </c>
      <c r="L12035" s="3">
        <v>5</v>
      </c>
      <c r="M12035" s="3">
        <v>231</v>
      </c>
    </row>
    <row r="12036" spans="1:13" x14ac:dyDescent="0.25">
      <c r="A12036" s="1" t="str">
        <f>HYPERLINK("http://www.rosaceae.org/Prunus/Prunus_persica/p.persica_gdr_reftransV1_0001554","p.persica_gdr_reftransV1_0001554")</f>
        <v>p.persica_gdr_reftransV1_0001554</v>
      </c>
      <c r="B12036" s="3">
        <v>1584</v>
      </c>
      <c r="C12036" s="1" t="str">
        <f>HYPERLINK("http://www.uniprot.org/uniprot/ATHB7_ARATH","ATHB7_ARATH")</f>
        <v>ATHB7_ARATH</v>
      </c>
      <c r="D12036" t="s">
        <v>8375</v>
      </c>
      <c r="E12036" s="3" t="s">
        <v>3</v>
      </c>
      <c r="F12036" s="4">
        <v>7.0499999999999999E-47</v>
      </c>
      <c r="G12036" s="3">
        <v>429</v>
      </c>
      <c r="H12036" s="3">
        <v>52</v>
      </c>
      <c r="I12036" s="3">
        <v>227</v>
      </c>
      <c r="J12036" s="3">
        <v>615</v>
      </c>
      <c r="K12036" s="3">
        <v>1211</v>
      </c>
      <c r="L12036" s="3">
        <v>36</v>
      </c>
      <c r="M12036" s="3">
        <v>258</v>
      </c>
    </row>
    <row r="12037" spans="1:13" x14ac:dyDescent="0.25">
      <c r="A12037" s="1" t="str">
        <f>HYPERLINK("http://www.rosaceae.org/Prunus/Prunus_persica/p.persica_gdr_reftransV1_0001604","p.persica_gdr_reftransV1_0001604")</f>
        <v>p.persica_gdr_reftransV1_0001604</v>
      </c>
      <c r="B12037" s="3">
        <v>1082</v>
      </c>
      <c r="C12037" s="1" t="str">
        <f>HYPERLINK("http://www.uniprot.org/uniprot/KINGL_ARATH","KINGL_ARATH")</f>
        <v>KINGL_ARATH</v>
      </c>
      <c r="D12037" t="s">
        <v>6705</v>
      </c>
      <c r="E12037" s="3" t="s">
        <v>3</v>
      </c>
      <c r="F12037" s="4">
        <v>4.97E-121</v>
      </c>
      <c r="G12037" s="3">
        <v>933</v>
      </c>
      <c r="H12037" s="3">
        <v>72</v>
      </c>
      <c r="I12037" s="3">
        <v>265</v>
      </c>
      <c r="J12037" s="3">
        <v>218</v>
      </c>
      <c r="K12037" s="3">
        <v>1009</v>
      </c>
      <c r="L12037" s="3">
        <v>183</v>
      </c>
      <c r="M12037" s="3">
        <v>447</v>
      </c>
    </row>
    <row r="12038" spans="1:13" x14ac:dyDescent="0.25">
      <c r="A12038" s="1" t="str">
        <f>HYPERLINK("http://www.rosaceae.org/Prunus/Prunus_persica/p.persica_gdr_reftransV1_0001654","p.persica_gdr_reftransV1_0001654")</f>
        <v>p.persica_gdr_reftransV1_0001654</v>
      </c>
      <c r="B12038" s="3">
        <v>2255</v>
      </c>
      <c r="C12038" s="1" t="str">
        <f>HYPERLINK("http://www.uniprot.org/uniprot/SSC14_ARATH","SSC14_ARATH")</f>
        <v>SSC14_ARATH</v>
      </c>
      <c r="D12038" t="s">
        <v>4781</v>
      </c>
      <c r="E12038" s="3" t="s">
        <v>3</v>
      </c>
      <c r="F12038" s="4">
        <v>6.0200000000000003E-104</v>
      </c>
      <c r="G12038" s="3">
        <v>795</v>
      </c>
      <c r="H12038" s="3">
        <v>65</v>
      </c>
      <c r="I12038" s="3">
        <v>251</v>
      </c>
      <c r="J12038" s="3">
        <v>630</v>
      </c>
      <c r="K12038" s="3">
        <v>1379</v>
      </c>
      <c r="L12038" s="3">
        <v>54</v>
      </c>
      <c r="M12038" s="3">
        <v>298</v>
      </c>
    </row>
    <row r="12039" spans="1:13" x14ac:dyDescent="0.25">
      <c r="A12039" s="1" t="str">
        <f>HYPERLINK("http://www.rosaceae.org/Prunus/Prunus_persica/p.persica_gdr_reftransV1_0001704","p.persica_gdr_reftransV1_0001704")</f>
        <v>p.persica_gdr_reftransV1_0001704</v>
      </c>
      <c r="B12039" s="3">
        <v>426</v>
      </c>
      <c r="C12039" s="1" t="str">
        <f>HYPERLINK("http://www.uniprot.org/uniprot/ORC5_ARATH","ORC5_ARATH")</f>
        <v>ORC5_ARATH</v>
      </c>
      <c r="D12039" t="s">
        <v>8376</v>
      </c>
      <c r="E12039" s="3" t="s">
        <v>3</v>
      </c>
      <c r="F12039" s="4">
        <v>2.4899999999999999E-29</v>
      </c>
      <c r="G12039" s="3">
        <v>288</v>
      </c>
      <c r="H12039" s="3">
        <v>59</v>
      </c>
      <c r="I12039" s="3">
        <v>101</v>
      </c>
      <c r="J12039" s="3">
        <v>123</v>
      </c>
      <c r="K12039" s="3">
        <v>425</v>
      </c>
      <c r="L12039" s="3">
        <v>23</v>
      </c>
      <c r="M12039" s="3">
        <v>121</v>
      </c>
    </row>
    <row r="12040" spans="1:13" x14ac:dyDescent="0.25">
      <c r="A12040" s="1" t="str">
        <f>HYPERLINK("http://www.rosaceae.org/Prunus/Prunus_persica/p.persica_gdr_reftransV1_0001754","p.persica_gdr_reftransV1_0001754")</f>
        <v>p.persica_gdr_reftransV1_0001754</v>
      </c>
      <c r="B12040" s="3">
        <v>2840</v>
      </c>
      <c r="C12040" s="1" t="str">
        <f>HYPERLINK("http://www.uniprot.org/uniprot/PUB4_ARATH","PUB4_ARATH")</f>
        <v>PUB4_ARATH</v>
      </c>
      <c r="D12040" t="s">
        <v>1286</v>
      </c>
      <c r="E12040" s="3" t="s">
        <v>3</v>
      </c>
      <c r="F12040" s="4">
        <v>0</v>
      </c>
      <c r="G12040" s="3">
        <v>2432</v>
      </c>
      <c r="H12040" s="3">
        <v>61</v>
      </c>
      <c r="I12040" s="3">
        <v>837</v>
      </c>
      <c r="J12040" s="3">
        <v>25</v>
      </c>
      <c r="K12040" s="3">
        <v>2523</v>
      </c>
      <c r="L12040" s="3">
        <v>1</v>
      </c>
      <c r="M12040" s="3">
        <v>826</v>
      </c>
    </row>
    <row r="12041" spans="1:13" x14ac:dyDescent="0.25">
      <c r="A12041" s="1" t="str">
        <f>HYPERLINK("http://www.rosaceae.org/Prunus/Prunus_persica/p.persica_gdr_reftransV1_0001804","p.persica_gdr_reftransV1_0001804")</f>
        <v>p.persica_gdr_reftransV1_0001804</v>
      </c>
      <c r="B12041" s="3">
        <v>830</v>
      </c>
      <c r="C12041" s="1" t="str">
        <f>HYPERLINK("http://www.uniprot.org/uniprot/RNHX1_ARATH","RNHX1_ARATH")</f>
        <v>RNHX1_ARATH</v>
      </c>
      <c r="D12041" t="s">
        <v>124</v>
      </c>
      <c r="E12041" s="3" t="s">
        <v>3</v>
      </c>
      <c r="F12041" s="4">
        <v>1.7699999999999999E-29</v>
      </c>
      <c r="G12041" s="3">
        <v>303</v>
      </c>
      <c r="H12041" s="3">
        <v>38</v>
      </c>
      <c r="I12041" s="3">
        <v>184</v>
      </c>
      <c r="J12041" s="3">
        <v>213</v>
      </c>
      <c r="K12041" s="3">
        <v>761</v>
      </c>
      <c r="L12041" s="3">
        <v>16</v>
      </c>
      <c r="M12041" s="3">
        <v>199</v>
      </c>
    </row>
    <row r="12042" spans="1:13" x14ac:dyDescent="0.25">
      <c r="A12042" s="1" t="str">
        <f>HYPERLINK("http://www.rosaceae.org/Prunus/Prunus_persica/p.persica_gdr_reftransV1_0001954","p.persica_gdr_reftransV1_0001954")</f>
        <v>p.persica_gdr_reftransV1_0001954</v>
      </c>
      <c r="B12042" s="3">
        <v>361</v>
      </c>
      <c r="C12042" s="1" t="str">
        <f>HYPERLINK("http://www.uniprot.org/uniprot/ENL1_ARATH","ENL1_ARATH")</f>
        <v>ENL1_ARATH</v>
      </c>
      <c r="D12042" t="s">
        <v>4552</v>
      </c>
      <c r="E12042" s="3" t="s">
        <v>3</v>
      </c>
      <c r="F12042" s="4">
        <v>9.3100000000000006E-8</v>
      </c>
      <c r="G12042" s="3">
        <v>121</v>
      </c>
      <c r="H12042" s="3">
        <v>44</v>
      </c>
      <c r="I12042" s="3">
        <v>78</v>
      </c>
      <c r="J12042" s="3">
        <v>131</v>
      </c>
      <c r="K12042" s="3">
        <v>361</v>
      </c>
      <c r="L12042" s="3">
        <v>54</v>
      </c>
      <c r="M12042" s="3">
        <v>131</v>
      </c>
    </row>
    <row r="12043" spans="1:13" x14ac:dyDescent="0.25">
      <c r="A12043" s="1" t="str">
        <f>HYPERLINK("http://www.rosaceae.org/Prunus/Prunus_persica/p.persica_gdr_reftransV1_0002054","p.persica_gdr_reftransV1_0002054")</f>
        <v>p.persica_gdr_reftransV1_0002054</v>
      </c>
      <c r="B12043" s="3">
        <v>651</v>
      </c>
      <c r="C12043" s="1" t="str">
        <f>HYPERLINK("http://www.uniprot.org/uniprot/RUXG_ARATH","RUXG_ARATH")</f>
        <v>RUXG_ARATH</v>
      </c>
      <c r="D12043" t="s">
        <v>8377</v>
      </c>
      <c r="E12043" s="3" t="s">
        <v>3</v>
      </c>
      <c r="F12043" s="4">
        <v>1.93E-44</v>
      </c>
      <c r="G12043" s="3">
        <v>376</v>
      </c>
      <c r="H12043" s="3">
        <v>91</v>
      </c>
      <c r="I12043" s="3">
        <v>79</v>
      </c>
      <c r="J12043" s="3">
        <v>354</v>
      </c>
      <c r="K12043" s="3">
        <v>590</v>
      </c>
      <c r="L12043" s="3">
        <v>1</v>
      </c>
      <c r="M12043" s="3">
        <v>79</v>
      </c>
    </row>
    <row r="12044" spans="1:13" x14ac:dyDescent="0.25">
      <c r="A12044" s="1" t="str">
        <f>HYPERLINK("http://www.rosaceae.org/Prunus/Prunus_persica/p.persica_gdr_reftransV1_0002204","p.persica_gdr_reftransV1_0002204")</f>
        <v>p.persica_gdr_reftransV1_0002204</v>
      </c>
      <c r="B12044" s="3">
        <v>877</v>
      </c>
      <c r="C12044" s="1" t="str">
        <f>HYPERLINK("http://www.uniprot.org/uniprot/TMVRN_NICGU","TMVRN_NICGU")</f>
        <v>TMVRN_NICGU</v>
      </c>
      <c r="D12044" t="s">
        <v>151</v>
      </c>
      <c r="E12044" s="3" t="s">
        <v>152</v>
      </c>
      <c r="F12044" s="4">
        <v>7.7199999999999999E-47</v>
      </c>
      <c r="G12044" s="3">
        <v>440</v>
      </c>
      <c r="H12044" s="3">
        <v>36</v>
      </c>
      <c r="I12044" s="3">
        <v>295</v>
      </c>
      <c r="J12044" s="3">
        <v>2</v>
      </c>
      <c r="K12044" s="3">
        <v>877</v>
      </c>
      <c r="L12044" s="3">
        <v>420</v>
      </c>
      <c r="M12044" s="3">
        <v>700</v>
      </c>
    </row>
    <row r="12045" spans="1:13" x14ac:dyDescent="0.25">
      <c r="A12045" s="1" t="str">
        <f>HYPERLINK("http://www.rosaceae.org/Prunus/Prunus_persica/p.persica_gdr_reftransV1_0002254","p.persica_gdr_reftransV1_0002254")</f>
        <v>p.persica_gdr_reftransV1_0002254</v>
      </c>
      <c r="B12045" s="3">
        <v>413</v>
      </c>
      <c r="C12045" s="1" t="str">
        <f>HYPERLINK("http://www.uniprot.org/uniprot/CDF2_ARATH","CDF2_ARATH")</f>
        <v>CDF2_ARATH</v>
      </c>
      <c r="D12045" t="s">
        <v>5959</v>
      </c>
      <c r="E12045" s="3" t="s">
        <v>3</v>
      </c>
      <c r="F12045" s="4">
        <v>1.4800000000000001E-40</v>
      </c>
      <c r="G12045" s="3">
        <v>367</v>
      </c>
      <c r="H12045" s="3">
        <v>55</v>
      </c>
      <c r="I12045" s="3">
        <v>128</v>
      </c>
      <c r="J12045" s="3">
        <v>7</v>
      </c>
      <c r="K12045" s="3">
        <v>390</v>
      </c>
      <c r="L12045" s="3">
        <v>127</v>
      </c>
      <c r="M12045" s="3">
        <v>238</v>
      </c>
    </row>
    <row r="12046" spans="1:13" x14ac:dyDescent="0.25">
      <c r="A12046" s="1" t="str">
        <f>HYPERLINK("http://www.rosaceae.org/Prunus/Prunus_persica/p.persica_gdr_reftransV1_0002304","p.persica_gdr_reftransV1_0002304")</f>
        <v>p.persica_gdr_reftransV1_0002304</v>
      </c>
      <c r="B12046" s="3">
        <v>3669</v>
      </c>
      <c r="C12046" s="1" t="str">
        <f>HYPERLINK("http://www.uniprot.org/uniprot/RIK_ARATH","RIK_ARATH")</f>
        <v>RIK_ARATH</v>
      </c>
      <c r="D12046" t="s">
        <v>8378</v>
      </c>
      <c r="E12046" s="3" t="s">
        <v>3</v>
      </c>
      <c r="F12046" s="4">
        <v>2.51E-75</v>
      </c>
      <c r="G12046" s="3">
        <v>679</v>
      </c>
      <c r="H12046" s="3">
        <v>53</v>
      </c>
      <c r="I12046" s="3">
        <v>312</v>
      </c>
      <c r="J12046" s="3">
        <v>1009</v>
      </c>
      <c r="K12046" s="3">
        <v>1932</v>
      </c>
      <c r="L12046" s="3">
        <v>151</v>
      </c>
      <c r="M12046" s="3">
        <v>441</v>
      </c>
    </row>
    <row r="12047" spans="1:13" x14ac:dyDescent="0.25">
      <c r="A12047" s="1" t="str">
        <f>HYPERLINK("http://www.rosaceae.org/Prunus/Prunus_persica/p.persica_gdr_reftransV1_0002354","p.persica_gdr_reftransV1_0002354")</f>
        <v>p.persica_gdr_reftransV1_0002354</v>
      </c>
      <c r="B12047" s="3">
        <v>1452</v>
      </c>
      <c r="C12047" s="1" t="str">
        <f>HYPERLINK("http://www.uniprot.org/uniprot/XYLT1_CANFA","XYLT1_CANFA")</f>
        <v>XYLT1_CANFA</v>
      </c>
      <c r="D12047" t="s">
        <v>6494</v>
      </c>
      <c r="E12047" s="3" t="s">
        <v>2940</v>
      </c>
      <c r="F12047" s="4">
        <v>6.4800000000000004E-19</v>
      </c>
      <c r="G12047" s="3">
        <v>232</v>
      </c>
      <c r="H12047" s="3">
        <v>28</v>
      </c>
      <c r="I12047" s="3">
        <v>261</v>
      </c>
      <c r="J12047" s="3">
        <v>324</v>
      </c>
      <c r="K12047" s="3">
        <v>1091</v>
      </c>
      <c r="L12047" s="3">
        <v>303</v>
      </c>
      <c r="M12047" s="3">
        <v>545</v>
      </c>
    </row>
    <row r="12048" spans="1:13" x14ac:dyDescent="0.25">
      <c r="A12048" s="1" t="str">
        <f>HYPERLINK("http://www.rosaceae.org/Prunus/Prunus_persica/p.persica_gdr_reftransV1_0002504","p.persica_gdr_reftransV1_0002504")</f>
        <v>p.persica_gdr_reftransV1_0002504</v>
      </c>
      <c r="B12048" s="3">
        <v>1693</v>
      </c>
      <c r="C12048" s="1" t="str">
        <f>HYPERLINK("http://www.uniprot.org/uniprot/ECH2_ARATH","ECH2_ARATH")</f>
        <v>ECH2_ARATH</v>
      </c>
      <c r="D12048" t="s">
        <v>5737</v>
      </c>
      <c r="E12048" s="3" t="s">
        <v>3</v>
      </c>
      <c r="F12048" s="4">
        <v>5.8899999999999995E-79</v>
      </c>
      <c r="G12048" s="3">
        <v>507</v>
      </c>
      <c r="H12048" s="3">
        <v>70</v>
      </c>
      <c r="I12048" s="3">
        <v>149</v>
      </c>
      <c r="J12048" s="3">
        <v>1117</v>
      </c>
      <c r="K12048" s="3">
        <v>1563</v>
      </c>
      <c r="L12048" s="3">
        <v>1</v>
      </c>
      <c r="M12048" s="3">
        <v>149</v>
      </c>
    </row>
    <row r="12049" spans="1:13" x14ac:dyDescent="0.25">
      <c r="A12049" s="1" t="str">
        <f>HYPERLINK("http://www.rosaceae.org/Prunus/Prunus_persica/p.persica_gdr_reftransV1_0002554","p.persica_gdr_reftransV1_0002554")</f>
        <v>p.persica_gdr_reftransV1_0002554</v>
      </c>
      <c r="B12049" s="3">
        <v>2083</v>
      </c>
      <c r="C12049" s="1" t="str">
        <f>HYPERLINK("http://www.uniprot.org/uniprot/PPT1_ARATH","PPT1_ARATH")</f>
        <v>PPT1_ARATH</v>
      </c>
      <c r="D12049" t="s">
        <v>2721</v>
      </c>
      <c r="E12049" s="3" t="s">
        <v>3</v>
      </c>
      <c r="F12049" s="4">
        <v>4.0700000000000002E-170</v>
      </c>
      <c r="G12049" s="3">
        <v>1288</v>
      </c>
      <c r="H12049" s="3">
        <v>69</v>
      </c>
      <c r="I12049" s="3">
        <v>414</v>
      </c>
      <c r="J12049" s="3">
        <v>251</v>
      </c>
      <c r="K12049" s="3">
        <v>1483</v>
      </c>
      <c r="L12049" s="3">
        <v>4</v>
      </c>
      <c r="M12049" s="3">
        <v>408</v>
      </c>
    </row>
    <row r="12050" spans="1:13" x14ac:dyDescent="0.25">
      <c r="A12050" s="1" t="str">
        <f>HYPERLINK("http://www.rosaceae.org/Prunus/Prunus_persica/p.persica_gdr_reftransV1_0002604","p.persica_gdr_reftransV1_0002604")</f>
        <v>p.persica_gdr_reftransV1_0002604</v>
      </c>
      <c r="B12050" s="3">
        <v>3708</v>
      </c>
      <c r="C12050" s="1" t="str">
        <f>HYPERLINK("http://www.uniprot.org/uniprot/SHGR2_ARATH","SHGR2_ARATH")</f>
        <v>SHGR2_ARATH</v>
      </c>
      <c r="D12050" t="s">
        <v>1059</v>
      </c>
      <c r="E12050" s="3" t="s">
        <v>3</v>
      </c>
      <c r="F12050" s="4">
        <v>0</v>
      </c>
      <c r="G12050" s="3">
        <v>2920</v>
      </c>
      <c r="H12050" s="3">
        <v>60</v>
      </c>
      <c r="I12050" s="3">
        <v>970</v>
      </c>
      <c r="J12050" s="3">
        <v>516</v>
      </c>
      <c r="K12050" s="3">
        <v>3374</v>
      </c>
      <c r="L12050" s="3">
        <v>1</v>
      </c>
      <c r="M12050" s="3">
        <v>917</v>
      </c>
    </row>
    <row r="12051" spans="1:13" x14ac:dyDescent="0.25">
      <c r="A12051" s="1" t="str">
        <f>HYPERLINK("http://www.rosaceae.org/Prunus/Prunus_persica/p.persica_gdr_reftransV1_0002654","p.persica_gdr_reftransV1_0002654")</f>
        <v>p.persica_gdr_reftransV1_0002654</v>
      </c>
      <c r="B12051" s="3">
        <v>704</v>
      </c>
      <c r="C12051" s="1" t="str">
        <f>HYPERLINK("http://www.uniprot.org/uniprot/LAC15_ARATH","LAC15_ARATH")</f>
        <v>LAC15_ARATH</v>
      </c>
      <c r="D12051" t="s">
        <v>4525</v>
      </c>
      <c r="E12051" s="3" t="s">
        <v>3</v>
      </c>
      <c r="F12051" s="4">
        <v>8.2900000000000005E-77</v>
      </c>
      <c r="G12051" s="3">
        <v>633</v>
      </c>
      <c r="H12051" s="3">
        <v>64</v>
      </c>
      <c r="I12051" s="3">
        <v>199</v>
      </c>
      <c r="J12051" s="3">
        <v>103</v>
      </c>
      <c r="K12051" s="3">
        <v>687</v>
      </c>
      <c r="L12051" s="3">
        <v>355</v>
      </c>
      <c r="M12051" s="3">
        <v>553</v>
      </c>
    </row>
    <row r="12052" spans="1:13" x14ac:dyDescent="0.25">
      <c r="A12052" s="1" t="str">
        <f>HYPERLINK("http://www.rosaceae.org/Prunus/Prunus_persica/p.persica_gdr_reftransV1_0002704","p.persica_gdr_reftransV1_0002704")</f>
        <v>p.persica_gdr_reftransV1_0002704</v>
      </c>
      <c r="B12052" s="3">
        <v>545</v>
      </c>
      <c r="C12052" s="1" t="str">
        <f>HYPERLINK("http://www.uniprot.org/uniprot/LAC3_ARATH","LAC3_ARATH")</f>
        <v>LAC3_ARATH</v>
      </c>
      <c r="D12052" t="s">
        <v>8379</v>
      </c>
      <c r="E12052" s="3" t="s">
        <v>3</v>
      </c>
      <c r="F12052" s="4">
        <v>3.8199999999999997E-101</v>
      </c>
      <c r="G12052" s="3">
        <v>791</v>
      </c>
      <c r="H12052" s="3">
        <v>84</v>
      </c>
      <c r="I12052" s="3">
        <v>176</v>
      </c>
      <c r="J12052" s="3">
        <v>3</v>
      </c>
      <c r="K12052" s="3">
        <v>530</v>
      </c>
      <c r="L12052" s="3">
        <v>352</v>
      </c>
      <c r="M12052" s="3">
        <v>527</v>
      </c>
    </row>
    <row r="12053" spans="1:13" x14ac:dyDescent="0.25">
      <c r="A12053" s="1" t="str">
        <f>HYPERLINK("http://www.rosaceae.org/Prunus/Prunus_persica/p.persica_gdr_reftransV1_0002854","p.persica_gdr_reftransV1_0002854")</f>
        <v>p.persica_gdr_reftransV1_0002854</v>
      </c>
      <c r="B12053" s="3">
        <v>381</v>
      </c>
      <c r="C12053" s="1" t="str">
        <f>HYPERLINK("http://www.uniprot.org/uniprot/PP366_ARATH","PP366_ARATH")</f>
        <v>PP366_ARATH</v>
      </c>
      <c r="D12053" t="s">
        <v>6257</v>
      </c>
      <c r="E12053" s="3" t="s">
        <v>3</v>
      </c>
      <c r="F12053" s="4">
        <v>2.0699999999999999E-17</v>
      </c>
      <c r="G12053" s="3">
        <v>202</v>
      </c>
      <c r="H12053" s="3">
        <v>41</v>
      </c>
      <c r="I12053" s="3">
        <v>131</v>
      </c>
      <c r="J12053" s="3">
        <v>3</v>
      </c>
      <c r="K12053" s="3">
        <v>368</v>
      </c>
      <c r="L12053" s="3">
        <v>511</v>
      </c>
      <c r="M12053" s="3">
        <v>628</v>
      </c>
    </row>
    <row r="12054" spans="1:13" x14ac:dyDescent="0.25">
      <c r="A12054" s="1" t="str">
        <f>HYPERLINK("http://www.rosaceae.org/Prunus/Prunus_persica/p.persica_gdr_reftransV1_0003004","p.persica_gdr_reftransV1_0003004")</f>
        <v>p.persica_gdr_reftransV1_0003004</v>
      </c>
      <c r="B12054" s="3">
        <v>513</v>
      </c>
      <c r="C12054" s="1" t="str">
        <f>HYPERLINK("http://www.uniprot.org/uniprot/EGLD_ASPCL","EGLD_ASPCL")</f>
        <v>EGLD_ASPCL</v>
      </c>
      <c r="D12054" t="s">
        <v>8380</v>
      </c>
      <c r="E12054" s="3" t="s">
        <v>8197</v>
      </c>
      <c r="F12054" s="4">
        <v>8.4299999999999996E-19</v>
      </c>
      <c r="G12054" s="3">
        <v>210</v>
      </c>
      <c r="H12054" s="3">
        <v>37</v>
      </c>
      <c r="I12054" s="3">
        <v>175</v>
      </c>
      <c r="J12054" s="3">
        <v>18</v>
      </c>
      <c r="K12054" s="3">
        <v>506</v>
      </c>
      <c r="L12054" s="3">
        <v>66</v>
      </c>
      <c r="M12054" s="3">
        <v>232</v>
      </c>
    </row>
    <row r="12055" spans="1:13" x14ac:dyDescent="0.25">
      <c r="A12055" s="1" t="str">
        <f>HYPERLINK("http://www.rosaceae.org/Prunus/Prunus_persica/p.persica_gdr_reftransV1_0003054","p.persica_gdr_reftransV1_0003054")</f>
        <v>p.persica_gdr_reftransV1_0003054</v>
      </c>
      <c r="B12055" s="3">
        <v>1173</v>
      </c>
      <c r="C12055" s="1" t="str">
        <f>HYPERLINK("http://www.uniprot.org/uniprot/UBC4_SOLLC","UBC4_SOLLC")</f>
        <v>UBC4_SOLLC</v>
      </c>
      <c r="D12055" t="s">
        <v>5556</v>
      </c>
      <c r="E12055" s="3" t="s">
        <v>64</v>
      </c>
      <c r="F12055" s="4">
        <v>1.39E-98</v>
      </c>
      <c r="G12055" s="3">
        <v>759</v>
      </c>
      <c r="H12055" s="3">
        <v>95</v>
      </c>
      <c r="I12055" s="3">
        <v>148</v>
      </c>
      <c r="J12055" s="3">
        <v>351</v>
      </c>
      <c r="K12055" s="3">
        <v>794</v>
      </c>
      <c r="L12055" s="3">
        <v>1</v>
      </c>
      <c r="M12055" s="3">
        <v>148</v>
      </c>
    </row>
    <row r="12056" spans="1:13" x14ac:dyDescent="0.25">
      <c r="A12056" s="1" t="str">
        <f>HYPERLINK("http://www.rosaceae.org/Prunus/Prunus_persica/p.persica_gdr_reftransV1_0003104","p.persica_gdr_reftransV1_0003104")</f>
        <v>p.persica_gdr_reftransV1_0003104</v>
      </c>
      <c r="B12056" s="3">
        <v>2305</v>
      </c>
      <c r="C12056" s="1" t="str">
        <f>HYPERLINK("http://www.uniprot.org/uniprot/FRL4A_ARATH","FRL4A_ARATH")</f>
        <v>FRL4A_ARATH</v>
      </c>
      <c r="D12056" t="s">
        <v>3985</v>
      </c>
      <c r="E12056" s="3" t="s">
        <v>3</v>
      </c>
      <c r="F12056" s="4">
        <v>0</v>
      </c>
      <c r="G12056" s="3">
        <v>1767</v>
      </c>
      <c r="H12056" s="3">
        <v>73</v>
      </c>
      <c r="I12056" s="3">
        <v>518</v>
      </c>
      <c r="J12056" s="3">
        <v>631</v>
      </c>
      <c r="K12056" s="3">
        <v>2163</v>
      </c>
      <c r="L12056" s="3">
        <v>1</v>
      </c>
      <c r="M12056" s="3">
        <v>505</v>
      </c>
    </row>
    <row r="12057" spans="1:13" x14ac:dyDescent="0.25">
      <c r="A12057" s="1" t="str">
        <f>HYPERLINK("http://www.rosaceae.org/Prunus/Prunus_persica/p.persica_gdr_reftransV1_0003154","p.persica_gdr_reftransV1_0003154")</f>
        <v>p.persica_gdr_reftransV1_0003154</v>
      </c>
      <c r="B12057" s="3">
        <v>1094</v>
      </c>
      <c r="C12057" s="1" t="str">
        <f>HYPERLINK("http://www.uniprot.org/uniprot/RAB1B_ARATH","RAB1B_ARATH")</f>
        <v>RAB1B_ARATH</v>
      </c>
      <c r="D12057" t="s">
        <v>7011</v>
      </c>
      <c r="E12057" s="3" t="s">
        <v>3</v>
      </c>
      <c r="F12057" s="4">
        <v>2.1700000000000001E-140</v>
      </c>
      <c r="G12057" s="3">
        <v>1039</v>
      </c>
      <c r="H12057" s="3">
        <v>91</v>
      </c>
      <c r="I12057" s="3">
        <v>211</v>
      </c>
      <c r="J12057" s="3">
        <v>185</v>
      </c>
      <c r="K12057" s="3">
        <v>814</v>
      </c>
      <c r="L12057" s="3">
        <v>1</v>
      </c>
      <c r="M12057" s="3">
        <v>211</v>
      </c>
    </row>
    <row r="12058" spans="1:13" x14ac:dyDescent="0.25">
      <c r="A12058" s="1" t="str">
        <f>HYPERLINK("http://www.rosaceae.org/Prunus/Prunus_persica/p.persica_gdr_reftransV1_0003304","p.persica_gdr_reftransV1_0003304")</f>
        <v>p.persica_gdr_reftransV1_0003304</v>
      </c>
      <c r="B12058" s="3">
        <v>474</v>
      </c>
      <c r="C12058" s="1" t="str">
        <f>HYPERLINK("http://www.uniprot.org/uniprot/TMM_ARATH","TMM_ARATH")</f>
        <v>TMM_ARATH</v>
      </c>
      <c r="D12058" t="s">
        <v>4828</v>
      </c>
      <c r="E12058" s="3" t="s">
        <v>3</v>
      </c>
      <c r="F12058" s="4">
        <v>5.0500000000000001E-17</v>
      </c>
      <c r="G12058" s="3">
        <v>200</v>
      </c>
      <c r="H12058" s="3">
        <v>42</v>
      </c>
      <c r="I12058" s="3">
        <v>126</v>
      </c>
      <c r="J12058" s="3">
        <v>92</v>
      </c>
      <c r="K12058" s="3">
        <v>466</v>
      </c>
      <c r="L12058" s="3">
        <v>173</v>
      </c>
      <c r="M12058" s="3">
        <v>291</v>
      </c>
    </row>
    <row r="12059" spans="1:13" x14ac:dyDescent="0.25">
      <c r="A12059" s="1" t="str">
        <f>HYPERLINK("http://www.rosaceae.org/Prunus/Prunus_persica/p.persica_gdr_reftransV1_0003354","p.persica_gdr_reftransV1_0003354")</f>
        <v>p.persica_gdr_reftransV1_0003354</v>
      </c>
      <c r="B12059" s="3">
        <v>815</v>
      </c>
      <c r="C12059" s="1" t="str">
        <f>HYPERLINK("http://www.uniprot.org/uniprot/GDL38_ARATH","GDL38_ARATH")</f>
        <v>GDL38_ARATH</v>
      </c>
      <c r="D12059" t="s">
        <v>3589</v>
      </c>
      <c r="E12059" s="3" t="s">
        <v>3</v>
      </c>
      <c r="F12059" s="4">
        <v>2.09E-144</v>
      </c>
      <c r="G12059" s="3">
        <v>1073</v>
      </c>
      <c r="H12059" s="3">
        <v>74</v>
      </c>
      <c r="I12059" s="3">
        <v>257</v>
      </c>
      <c r="J12059" s="3">
        <v>43</v>
      </c>
      <c r="K12059" s="3">
        <v>813</v>
      </c>
      <c r="L12059" s="3">
        <v>130</v>
      </c>
      <c r="M12059" s="3">
        <v>386</v>
      </c>
    </row>
    <row r="12060" spans="1:13" x14ac:dyDescent="0.25">
      <c r="A12060" s="1" t="str">
        <f>HYPERLINK("http://www.rosaceae.org/Prunus/Prunus_persica/p.persica_gdr_reftransV1_0003404","p.persica_gdr_reftransV1_0003404")</f>
        <v>p.persica_gdr_reftransV1_0003404</v>
      </c>
      <c r="B12060" s="3">
        <v>1993</v>
      </c>
      <c r="C12060" s="1" t="str">
        <f>HYPERLINK("http://www.uniprot.org/uniprot/DNPEP_RICCO","DNPEP_RICCO")</f>
        <v>DNPEP_RICCO</v>
      </c>
      <c r="D12060" t="s">
        <v>8070</v>
      </c>
      <c r="E12060" s="3" t="s">
        <v>421</v>
      </c>
      <c r="F12060" s="4">
        <v>0</v>
      </c>
      <c r="G12060" s="3">
        <v>2121</v>
      </c>
      <c r="H12060" s="3">
        <v>81</v>
      </c>
      <c r="I12060" s="3">
        <v>490</v>
      </c>
      <c r="J12060" s="3">
        <v>176</v>
      </c>
      <c r="K12060" s="3">
        <v>1636</v>
      </c>
      <c r="L12060" s="3">
        <v>1</v>
      </c>
      <c r="M12060" s="3">
        <v>490</v>
      </c>
    </row>
    <row r="12061" spans="1:13" x14ac:dyDescent="0.25">
      <c r="A12061" s="1" t="str">
        <f>HYPERLINK("http://www.rosaceae.org/Prunus/Prunus_persica/p.persica_gdr_reftransV1_0003554","p.persica_gdr_reftransV1_0003554")</f>
        <v>p.persica_gdr_reftransV1_0003554</v>
      </c>
      <c r="B12061" s="3">
        <v>2370</v>
      </c>
      <c r="C12061" s="1" t="str">
        <f>HYPERLINK("http://www.uniprot.org/uniprot/Y1015_ARATH","Y1015_ARATH")</f>
        <v>Y1015_ARATH</v>
      </c>
      <c r="D12061" t="s">
        <v>5792</v>
      </c>
      <c r="E12061" s="3" t="s">
        <v>3</v>
      </c>
      <c r="F12061" s="4">
        <v>2.6599999999999999E-27</v>
      </c>
      <c r="G12061" s="3">
        <v>295</v>
      </c>
      <c r="H12061" s="3">
        <v>40</v>
      </c>
      <c r="I12061" s="3">
        <v>198</v>
      </c>
      <c r="J12061" s="3">
        <v>1139</v>
      </c>
      <c r="K12061" s="3">
        <v>1717</v>
      </c>
      <c r="L12061" s="3">
        <v>42</v>
      </c>
      <c r="M12061" s="3">
        <v>235</v>
      </c>
    </row>
    <row r="12062" spans="1:13" x14ac:dyDescent="0.25">
      <c r="A12062" s="1" t="str">
        <f>HYPERLINK("http://www.rosaceae.org/Prunus/Prunus_persica/p.persica_gdr_reftransV1_0003754","p.persica_gdr_reftransV1_0003754")</f>
        <v>p.persica_gdr_reftransV1_0003754</v>
      </c>
      <c r="B12062" s="3">
        <v>475</v>
      </c>
      <c r="C12062" s="1" t="str">
        <f>HYPERLINK("http://www.uniprot.org/uniprot/Y2241_ARATH","Y2241_ARATH")</f>
        <v>Y2241_ARATH</v>
      </c>
      <c r="D12062" t="s">
        <v>3958</v>
      </c>
      <c r="E12062" s="3" t="s">
        <v>3</v>
      </c>
      <c r="F12062" s="4">
        <v>1.3299999999999999E-67</v>
      </c>
      <c r="G12062" s="3">
        <v>574</v>
      </c>
      <c r="H12062" s="3">
        <v>74</v>
      </c>
      <c r="I12062" s="3">
        <v>158</v>
      </c>
      <c r="J12062" s="3">
        <v>3</v>
      </c>
      <c r="K12062" s="3">
        <v>473</v>
      </c>
      <c r="L12062" s="3">
        <v>374</v>
      </c>
      <c r="M12062" s="3">
        <v>531</v>
      </c>
    </row>
    <row r="12063" spans="1:13" x14ac:dyDescent="0.25">
      <c r="A12063" s="1" t="str">
        <f>HYPERLINK("http://www.rosaceae.org/Prunus/Prunus_persica/p.persica_gdr_reftransV1_0003904","p.persica_gdr_reftransV1_0003904")</f>
        <v>p.persica_gdr_reftransV1_0003904</v>
      </c>
      <c r="B12063" s="3">
        <v>2242</v>
      </c>
      <c r="C12063" s="1" t="str">
        <f>HYPERLINK("http://www.uniprot.org/uniprot/P4H1_ARATH","P4H1_ARATH")</f>
        <v>P4H1_ARATH</v>
      </c>
      <c r="D12063" t="s">
        <v>8381</v>
      </c>
      <c r="E12063" s="3" t="s">
        <v>3</v>
      </c>
      <c r="F12063" s="4">
        <v>2.4300000000000001E-156</v>
      </c>
      <c r="G12063" s="3">
        <v>1188</v>
      </c>
      <c r="H12063" s="3">
        <v>76</v>
      </c>
      <c r="I12063" s="3">
        <v>286</v>
      </c>
      <c r="J12063" s="3">
        <v>1028</v>
      </c>
      <c r="K12063" s="3">
        <v>1885</v>
      </c>
      <c r="L12063" s="3">
        <v>1</v>
      </c>
      <c r="M12063" s="3">
        <v>283</v>
      </c>
    </row>
    <row r="12064" spans="1:13" x14ac:dyDescent="0.25">
      <c r="A12064" s="1" t="str">
        <f>HYPERLINK("http://www.rosaceae.org/Prunus/Prunus_persica/p.persica_gdr_reftransV1_0004054","p.persica_gdr_reftransV1_0004054")</f>
        <v>p.persica_gdr_reftransV1_0004054</v>
      </c>
      <c r="B12064" s="3">
        <v>835</v>
      </c>
      <c r="C12064" s="1" t="str">
        <f>HYPERLINK("http://www.uniprot.org/uniprot/NQR_ARATH","NQR_ARATH")</f>
        <v>NQR_ARATH</v>
      </c>
      <c r="D12064" t="s">
        <v>4765</v>
      </c>
      <c r="E12064" s="3" t="s">
        <v>3</v>
      </c>
      <c r="F12064" s="4">
        <v>2.1300000000000001E-93</v>
      </c>
      <c r="G12064" s="3">
        <v>718</v>
      </c>
      <c r="H12064" s="3">
        <v>75</v>
      </c>
      <c r="I12064" s="3">
        <v>189</v>
      </c>
      <c r="J12064" s="3">
        <v>163</v>
      </c>
      <c r="K12064" s="3">
        <v>729</v>
      </c>
      <c r="L12064" s="3">
        <v>8</v>
      </c>
      <c r="M12064" s="3">
        <v>196</v>
      </c>
    </row>
    <row r="12065" spans="1:13" x14ac:dyDescent="0.25">
      <c r="A12065" s="1" t="str">
        <f>HYPERLINK("http://www.rosaceae.org/Prunus/Prunus_persica/p.persica_gdr_reftransV1_0004104","p.persica_gdr_reftransV1_0004104")</f>
        <v>p.persica_gdr_reftransV1_0004104</v>
      </c>
      <c r="B12065" s="3">
        <v>1201</v>
      </c>
      <c r="C12065" s="1" t="str">
        <f>HYPERLINK("http://www.uniprot.org/uniprot/SAP8_ORYSJ","SAP8_ORYSJ")</f>
        <v>SAP8_ORYSJ</v>
      </c>
      <c r="D12065" t="s">
        <v>2345</v>
      </c>
      <c r="E12065" s="3" t="s">
        <v>38</v>
      </c>
      <c r="F12065" s="4">
        <v>1.14E-60</v>
      </c>
      <c r="G12065" s="3">
        <v>508</v>
      </c>
      <c r="H12065" s="3">
        <v>65</v>
      </c>
      <c r="I12065" s="3">
        <v>169</v>
      </c>
      <c r="J12065" s="3">
        <v>493</v>
      </c>
      <c r="K12065" s="3">
        <v>999</v>
      </c>
      <c r="L12065" s="3">
        <v>3</v>
      </c>
      <c r="M12065" s="3">
        <v>171</v>
      </c>
    </row>
    <row r="12066" spans="1:13" x14ac:dyDescent="0.25">
      <c r="A12066" s="1" t="str">
        <f>HYPERLINK("http://www.rosaceae.org/Prunus/Prunus_persica/p.persica_gdr_reftransV1_0004154","p.persica_gdr_reftransV1_0004154")</f>
        <v>p.persica_gdr_reftransV1_0004154</v>
      </c>
      <c r="B12066" s="3">
        <v>943</v>
      </c>
      <c r="C12066" s="1" t="str">
        <f>HYPERLINK("http://www.uniprot.org/uniprot/PLA15_ARATH","PLA15_ARATH")</f>
        <v>PLA15_ARATH</v>
      </c>
      <c r="D12066" t="s">
        <v>8382</v>
      </c>
      <c r="E12066" s="3" t="s">
        <v>3</v>
      </c>
      <c r="F12066" s="4">
        <v>1.05E-158</v>
      </c>
      <c r="G12066" s="3">
        <v>1184</v>
      </c>
      <c r="H12066" s="3">
        <v>73</v>
      </c>
      <c r="I12066" s="3">
        <v>306</v>
      </c>
      <c r="J12066" s="3">
        <v>34</v>
      </c>
      <c r="K12066" s="3">
        <v>939</v>
      </c>
      <c r="L12066" s="3">
        <v>203</v>
      </c>
      <c r="M12066" s="3">
        <v>508</v>
      </c>
    </row>
    <row r="12067" spans="1:13" x14ac:dyDescent="0.25">
      <c r="A12067" s="1" t="str">
        <f>HYPERLINK("http://www.rosaceae.org/Prunus/Prunus_persica/p.persica_gdr_reftransV1_0004204","p.persica_gdr_reftransV1_0004204")</f>
        <v>p.persica_gdr_reftransV1_0004204</v>
      </c>
      <c r="B12067" s="3">
        <v>1826</v>
      </c>
      <c r="C12067" s="1" t="str">
        <f>HYPERLINK("http://www.uniprot.org/uniprot/TRPB_CAMAC","TRPB_CAMAC")</f>
        <v>TRPB_CAMAC</v>
      </c>
      <c r="D12067" t="s">
        <v>8383</v>
      </c>
      <c r="E12067" s="3" t="s">
        <v>2313</v>
      </c>
      <c r="F12067" s="4">
        <v>0</v>
      </c>
      <c r="G12067" s="3">
        <v>1966</v>
      </c>
      <c r="H12067" s="3">
        <v>84</v>
      </c>
      <c r="I12067" s="3">
        <v>463</v>
      </c>
      <c r="J12067" s="3">
        <v>331</v>
      </c>
      <c r="K12067" s="3">
        <v>1710</v>
      </c>
      <c r="L12067" s="3">
        <v>9</v>
      </c>
      <c r="M12067" s="3">
        <v>466</v>
      </c>
    </row>
    <row r="12068" spans="1:13" x14ac:dyDescent="0.25">
      <c r="A12068" s="1" t="str">
        <f>HYPERLINK("http://www.rosaceae.org/Prunus/Prunus_persica/p.persica_gdr_reftransV1_0004254","p.persica_gdr_reftransV1_0004254")</f>
        <v>p.persica_gdr_reftransV1_0004254</v>
      </c>
      <c r="B12068" s="3">
        <v>2023</v>
      </c>
      <c r="C12068" s="1" t="str">
        <f>HYPERLINK("http://www.uniprot.org/uniprot/ERDL5_ARATH","ERDL5_ARATH")</f>
        <v>ERDL5_ARATH</v>
      </c>
      <c r="D12068" t="s">
        <v>6551</v>
      </c>
      <c r="E12068" s="3" t="s">
        <v>3</v>
      </c>
      <c r="F12068" s="4">
        <v>0</v>
      </c>
      <c r="G12068" s="3">
        <v>1551</v>
      </c>
      <c r="H12068" s="3">
        <v>70</v>
      </c>
      <c r="I12068" s="3">
        <v>455</v>
      </c>
      <c r="J12068" s="3">
        <v>446</v>
      </c>
      <c r="K12068" s="3">
        <v>1810</v>
      </c>
      <c r="L12068" s="3">
        <v>13</v>
      </c>
      <c r="M12068" s="3">
        <v>465</v>
      </c>
    </row>
    <row r="12069" spans="1:13" x14ac:dyDescent="0.25">
      <c r="A12069" s="1" t="str">
        <f>HYPERLINK("http://www.rosaceae.org/Prunus/Prunus_persica/p.persica_gdr_reftransV1_0004304","p.persica_gdr_reftransV1_0004304")</f>
        <v>p.persica_gdr_reftransV1_0004304</v>
      </c>
      <c r="B12069" s="3">
        <v>1568</v>
      </c>
      <c r="C12069" s="1" t="str">
        <f>HYPERLINK("http://www.uniprot.org/uniprot/HAT14_ARATH","HAT14_ARATH")</f>
        <v>HAT14_ARATH</v>
      </c>
      <c r="D12069" t="s">
        <v>5215</v>
      </c>
      <c r="E12069" s="3" t="s">
        <v>3</v>
      </c>
      <c r="F12069" s="4">
        <v>1.23E-76</v>
      </c>
      <c r="G12069" s="3">
        <v>641</v>
      </c>
      <c r="H12069" s="3">
        <v>54</v>
      </c>
      <c r="I12069" s="3">
        <v>331</v>
      </c>
      <c r="J12069" s="3">
        <v>520</v>
      </c>
      <c r="K12069" s="3">
        <v>1413</v>
      </c>
      <c r="L12069" s="3">
        <v>1</v>
      </c>
      <c r="M12069" s="3">
        <v>303</v>
      </c>
    </row>
    <row r="12070" spans="1:13" x14ac:dyDescent="0.25">
      <c r="A12070" s="1" t="str">
        <f>HYPERLINK("http://www.rosaceae.org/Prunus/Prunus_persica/p.persica_gdr_reftransV1_0004354","p.persica_gdr_reftransV1_0004354")</f>
        <v>p.persica_gdr_reftransV1_0004354</v>
      </c>
      <c r="B12070" s="3">
        <v>2379</v>
      </c>
      <c r="C12070" s="1" t="str">
        <f>HYPERLINK("http://www.uniprot.org/uniprot/CRK29_ARATH","CRK29_ARATH")</f>
        <v>CRK29_ARATH</v>
      </c>
      <c r="D12070" t="s">
        <v>4093</v>
      </c>
      <c r="E12070" s="3" t="s">
        <v>3</v>
      </c>
      <c r="F12070" s="4">
        <v>4.7200000000000004E-174</v>
      </c>
      <c r="G12070" s="3">
        <v>1349</v>
      </c>
      <c r="H12070" s="3">
        <v>48</v>
      </c>
      <c r="I12070" s="3">
        <v>634</v>
      </c>
      <c r="J12070" s="3">
        <v>87</v>
      </c>
      <c r="K12070" s="3">
        <v>1949</v>
      </c>
      <c r="L12070" s="3">
        <v>20</v>
      </c>
      <c r="M12070" s="3">
        <v>646</v>
      </c>
    </row>
    <row r="12071" spans="1:13" x14ac:dyDescent="0.25">
      <c r="A12071" s="1" t="str">
        <f>HYPERLINK("http://www.rosaceae.org/Prunus/Prunus_persica/p.persica_gdr_reftransV1_0004404","p.persica_gdr_reftransV1_0004404")</f>
        <v>p.persica_gdr_reftransV1_0004404</v>
      </c>
      <c r="B12071" s="3">
        <v>428</v>
      </c>
      <c r="C12071" s="1" t="str">
        <f>HYPERLINK("http://www.uniprot.org/uniprot/PP284_ARATH","PP284_ARATH")</f>
        <v>PP284_ARATH</v>
      </c>
      <c r="D12071" t="s">
        <v>3432</v>
      </c>
      <c r="E12071" s="3" t="s">
        <v>3</v>
      </c>
      <c r="F12071" s="4">
        <v>1.04E-10</v>
      </c>
      <c r="G12071" s="3">
        <v>151</v>
      </c>
      <c r="H12071" s="3">
        <v>33</v>
      </c>
      <c r="I12071" s="3">
        <v>96</v>
      </c>
      <c r="J12071" s="3">
        <v>134</v>
      </c>
      <c r="K12071" s="3">
        <v>421</v>
      </c>
      <c r="L12071" s="3">
        <v>235</v>
      </c>
      <c r="M12071" s="3">
        <v>330</v>
      </c>
    </row>
    <row r="12072" spans="1:13" x14ac:dyDescent="0.25">
      <c r="A12072" s="1" t="str">
        <f>HYPERLINK("http://www.rosaceae.org/Prunus/Prunus_persica/p.persica_gdr_reftransV1_0004454","p.persica_gdr_reftransV1_0004454")</f>
        <v>p.persica_gdr_reftransV1_0004454</v>
      </c>
      <c r="B12072" s="3">
        <v>1852</v>
      </c>
      <c r="C12072" s="1" t="str">
        <f>HYPERLINK("http://www.uniprot.org/uniprot/Y1480_ARATH","Y1480_ARATH")</f>
        <v>Y1480_ARATH</v>
      </c>
      <c r="D12072" t="s">
        <v>3866</v>
      </c>
      <c r="E12072" s="3" t="s">
        <v>3</v>
      </c>
      <c r="F12072" s="4">
        <v>2.2599999999999998E-173</v>
      </c>
      <c r="G12072" s="3">
        <v>1301</v>
      </c>
      <c r="H12072" s="3">
        <v>62</v>
      </c>
      <c r="I12072" s="3">
        <v>403</v>
      </c>
      <c r="J12072" s="3">
        <v>121</v>
      </c>
      <c r="K12072" s="3">
        <v>1320</v>
      </c>
      <c r="L12072" s="3">
        <v>11</v>
      </c>
      <c r="M12072" s="3">
        <v>391</v>
      </c>
    </row>
    <row r="12073" spans="1:13" x14ac:dyDescent="0.25">
      <c r="A12073" s="1" t="str">
        <f>HYPERLINK("http://www.rosaceae.org/Prunus/Prunus_persica/p.persica_gdr_reftransV1_0004504","p.persica_gdr_reftransV1_0004504")</f>
        <v>p.persica_gdr_reftransV1_0004504</v>
      </c>
      <c r="B12073" s="3">
        <v>1162</v>
      </c>
      <c r="C12073" s="1" t="str">
        <f>HYPERLINK("http://www.uniprot.org/uniprot/RED1_RAT","RED1_RAT")</f>
        <v>RED1_RAT</v>
      </c>
      <c r="D12073" t="s">
        <v>8384</v>
      </c>
      <c r="E12073" s="3" t="s">
        <v>161</v>
      </c>
      <c r="F12073" s="4">
        <v>6.6200000000000003E-15</v>
      </c>
      <c r="G12073" s="3">
        <v>142</v>
      </c>
      <c r="H12073" s="3">
        <v>23</v>
      </c>
      <c r="I12073" s="3">
        <v>261</v>
      </c>
      <c r="J12073" s="3">
        <v>171</v>
      </c>
      <c r="K12073" s="3">
        <v>902</v>
      </c>
      <c r="L12073" s="3">
        <v>345</v>
      </c>
      <c r="M12073" s="3">
        <v>533</v>
      </c>
    </row>
    <row r="12074" spans="1:13" x14ac:dyDescent="0.25">
      <c r="A12074" s="1" t="str">
        <f>HYPERLINK("http://www.rosaceae.org/Prunus/Prunus_persica/p.persica_gdr_reftransV1_0004554","p.persica_gdr_reftransV1_0004554")</f>
        <v>p.persica_gdr_reftransV1_0004554</v>
      </c>
      <c r="B12074" s="3">
        <v>1392</v>
      </c>
      <c r="C12074" s="1" t="str">
        <f>HYPERLINK("http://www.uniprot.org/uniprot/TMM19_PONAB","TMM19_PONAB")</f>
        <v>TMM19_PONAB</v>
      </c>
      <c r="D12074" t="s">
        <v>8385</v>
      </c>
      <c r="E12074" s="3" t="s">
        <v>176</v>
      </c>
      <c r="F12074" s="4">
        <v>3.2100000000000001E-24</v>
      </c>
      <c r="G12074" s="3">
        <v>264</v>
      </c>
      <c r="H12074" s="3">
        <v>40</v>
      </c>
      <c r="I12074" s="3">
        <v>139</v>
      </c>
      <c r="J12074" s="3">
        <v>195</v>
      </c>
      <c r="K12074" s="3">
        <v>608</v>
      </c>
      <c r="L12074" s="3">
        <v>70</v>
      </c>
      <c r="M12074" s="3">
        <v>208</v>
      </c>
    </row>
    <row r="12075" spans="1:13" x14ac:dyDescent="0.25">
      <c r="A12075" s="1" t="str">
        <f>HYPERLINK("http://www.rosaceae.org/Prunus/Prunus_persica/p.persica_gdr_reftransV1_0004654","p.persica_gdr_reftransV1_0004654")</f>
        <v>p.persica_gdr_reftransV1_0004654</v>
      </c>
      <c r="B12075" s="3">
        <v>462</v>
      </c>
      <c r="C12075" s="1" t="str">
        <f>HYPERLINK("http://www.uniprot.org/uniprot/ANGLT_ROSHC","ANGLT_ROSHC")</f>
        <v>ANGLT_ROSHC</v>
      </c>
      <c r="D12075" t="s">
        <v>7857</v>
      </c>
      <c r="E12075" s="3" t="s">
        <v>7858</v>
      </c>
      <c r="F12075" s="4">
        <v>4.0200000000000002E-14</v>
      </c>
      <c r="G12075" s="3">
        <v>177</v>
      </c>
      <c r="H12075" s="3">
        <v>34</v>
      </c>
      <c r="I12075" s="3">
        <v>111</v>
      </c>
      <c r="J12075" s="3">
        <v>138</v>
      </c>
      <c r="K12075" s="3">
        <v>461</v>
      </c>
      <c r="L12075" s="3">
        <v>176</v>
      </c>
      <c r="M12075" s="3">
        <v>285</v>
      </c>
    </row>
    <row r="12076" spans="1:13" x14ac:dyDescent="0.25">
      <c r="A12076" s="1" t="str">
        <f>HYPERLINK("http://www.rosaceae.org/Prunus/Prunus_persica/p.persica_gdr_reftransV1_0004704","p.persica_gdr_reftransV1_0004704")</f>
        <v>p.persica_gdr_reftransV1_0004704</v>
      </c>
      <c r="B12076" s="3">
        <v>3667</v>
      </c>
      <c r="C12076" s="1" t="str">
        <f>HYPERLINK("http://www.uniprot.org/uniprot/CLCB_ARATH","CLCB_ARATH")</f>
        <v>CLCB_ARATH</v>
      </c>
      <c r="D12076" t="s">
        <v>6464</v>
      </c>
      <c r="E12076" s="3" t="s">
        <v>3</v>
      </c>
      <c r="F12076" s="4">
        <v>9.8900000000000007E-168</v>
      </c>
      <c r="G12076" s="3">
        <v>1350</v>
      </c>
      <c r="H12076" s="3">
        <v>79</v>
      </c>
      <c r="I12076" s="3">
        <v>388</v>
      </c>
      <c r="J12076" s="3">
        <v>177</v>
      </c>
      <c r="K12076" s="3">
        <v>1340</v>
      </c>
      <c r="L12076" s="3">
        <v>361</v>
      </c>
      <c r="M12076" s="3">
        <v>747</v>
      </c>
    </row>
    <row r="12077" spans="1:13" x14ac:dyDescent="0.25">
      <c r="A12077" s="1" t="str">
        <f>HYPERLINK("http://www.rosaceae.org/Prunus/Prunus_persica/p.persica_gdr_reftransV1_0004904","p.persica_gdr_reftransV1_0004904")</f>
        <v>p.persica_gdr_reftransV1_0004904</v>
      </c>
      <c r="B12077" s="3">
        <v>503</v>
      </c>
      <c r="C12077" s="1" t="str">
        <f>HYPERLINK("http://www.uniprot.org/uniprot/GL32_ARATH","GL32_ARATH")</f>
        <v>GL32_ARATH</v>
      </c>
      <c r="D12077" t="s">
        <v>8386</v>
      </c>
      <c r="E12077" s="3" t="s">
        <v>3</v>
      </c>
      <c r="F12077" s="4">
        <v>2.9099999999999998E-42</v>
      </c>
      <c r="G12077" s="3">
        <v>369</v>
      </c>
      <c r="H12077" s="3">
        <v>54</v>
      </c>
      <c r="I12077" s="3">
        <v>128</v>
      </c>
      <c r="J12077" s="3">
        <v>139</v>
      </c>
      <c r="K12077" s="3">
        <v>501</v>
      </c>
      <c r="L12077" s="3">
        <v>22</v>
      </c>
      <c r="M12077" s="3">
        <v>149</v>
      </c>
    </row>
    <row r="12078" spans="1:13" x14ac:dyDescent="0.25">
      <c r="A12078" s="1" t="str">
        <f>HYPERLINK("http://www.rosaceae.org/Prunus/Prunus_persica/p.persica_gdr_reftransV1_0004954","p.persica_gdr_reftransV1_0004954")</f>
        <v>p.persica_gdr_reftransV1_0004954</v>
      </c>
      <c r="B12078" s="3">
        <v>1556</v>
      </c>
      <c r="C12078" s="1" t="str">
        <f>HYPERLINK("http://www.uniprot.org/uniprot/Y1174_SYNP6","Y1174_SYNP6")</f>
        <v>Y1174_SYNP6</v>
      </c>
      <c r="D12078" t="s">
        <v>7376</v>
      </c>
      <c r="E12078" s="3" t="s">
        <v>2403</v>
      </c>
      <c r="F12078" s="4">
        <v>1.0999999999999999E-84</v>
      </c>
      <c r="G12078" s="3">
        <v>697</v>
      </c>
      <c r="H12078" s="3">
        <v>59</v>
      </c>
      <c r="I12078" s="3">
        <v>323</v>
      </c>
      <c r="J12078" s="3">
        <v>319</v>
      </c>
      <c r="K12078" s="3">
        <v>1287</v>
      </c>
      <c r="L12078" s="3">
        <v>2</v>
      </c>
      <c r="M12078" s="3">
        <v>318</v>
      </c>
    </row>
    <row r="12079" spans="1:13" x14ac:dyDescent="0.25">
      <c r="A12079" s="1" t="str">
        <f>HYPERLINK("http://www.rosaceae.org/Prunus/Prunus_persica/p.persica_gdr_reftransV1_0005054","p.persica_gdr_reftransV1_0005054")</f>
        <v>p.persica_gdr_reftransV1_0005054</v>
      </c>
      <c r="B12079" s="3">
        <v>2586</v>
      </c>
      <c r="C12079" s="1" t="str">
        <f>HYPERLINK("http://www.uniprot.org/uniprot/CNG19_ARATH","CNG19_ARATH")</f>
        <v>CNG19_ARATH</v>
      </c>
      <c r="D12079" t="s">
        <v>8387</v>
      </c>
      <c r="E12079" s="3" t="s">
        <v>3</v>
      </c>
      <c r="F12079" s="4">
        <v>0</v>
      </c>
      <c r="G12079" s="3">
        <v>1077</v>
      </c>
      <c r="H12079" s="3">
        <v>50</v>
      </c>
      <c r="I12079" s="3">
        <v>465</v>
      </c>
      <c r="J12079" s="3">
        <v>888</v>
      </c>
      <c r="K12079" s="3">
        <v>2273</v>
      </c>
      <c r="L12079" s="3">
        <v>5</v>
      </c>
      <c r="M12079" s="3">
        <v>445</v>
      </c>
    </row>
    <row r="12080" spans="1:13" x14ac:dyDescent="0.25">
      <c r="A12080" s="1" t="str">
        <f>HYPERLINK("http://www.rosaceae.org/Prunus/Prunus_persica/p.persica_gdr_reftransV1_0005154","p.persica_gdr_reftransV1_0005154")</f>
        <v>p.persica_gdr_reftransV1_0005154</v>
      </c>
      <c r="B12080" s="3">
        <v>450</v>
      </c>
      <c r="C12080" s="1" t="str">
        <f>HYPERLINK("http://www.uniprot.org/uniprot/PGTB2_BOVIN","PGTB2_BOVIN")</f>
        <v>PGTB2_BOVIN</v>
      </c>
      <c r="D12080" t="s">
        <v>8388</v>
      </c>
      <c r="E12080" s="3" t="s">
        <v>184</v>
      </c>
      <c r="F12080" s="4">
        <v>2.97E-28</v>
      </c>
      <c r="G12080" s="3">
        <v>277</v>
      </c>
      <c r="H12080" s="3">
        <v>50</v>
      </c>
      <c r="I12080" s="3">
        <v>102</v>
      </c>
      <c r="J12080" s="3">
        <v>48</v>
      </c>
      <c r="K12080" s="3">
        <v>353</v>
      </c>
      <c r="L12080" s="3">
        <v>21</v>
      </c>
      <c r="M12080" s="3">
        <v>122</v>
      </c>
    </row>
    <row r="12081" spans="1:13" x14ac:dyDescent="0.25">
      <c r="A12081" s="1" t="str">
        <f>HYPERLINK("http://www.rosaceae.org/Prunus/Prunus_persica/p.persica_gdr_reftransV1_0005254","p.persica_gdr_reftransV1_0005254")</f>
        <v>p.persica_gdr_reftransV1_0005254</v>
      </c>
      <c r="B12081" s="3">
        <v>3271</v>
      </c>
      <c r="C12081" s="1" t="str">
        <f>HYPERLINK("http://www.uniprot.org/uniprot/MYOB2_ARATH","MYOB2_ARATH")</f>
        <v>MYOB2_ARATH</v>
      </c>
      <c r="D12081" t="s">
        <v>6942</v>
      </c>
      <c r="E12081" s="3" t="s">
        <v>3</v>
      </c>
      <c r="F12081" s="4">
        <v>1.45E-47</v>
      </c>
      <c r="G12081" s="3">
        <v>473</v>
      </c>
      <c r="H12081" s="3">
        <v>46</v>
      </c>
      <c r="I12081" s="3">
        <v>392</v>
      </c>
      <c r="J12081" s="3">
        <v>362</v>
      </c>
      <c r="K12081" s="3">
        <v>1522</v>
      </c>
      <c r="L12081" s="3">
        <v>401</v>
      </c>
      <c r="M12081" s="3">
        <v>742</v>
      </c>
    </row>
    <row r="12082" spans="1:13" x14ac:dyDescent="0.25">
      <c r="A12082" s="1" t="str">
        <f>HYPERLINK("http://www.rosaceae.org/Prunus/Prunus_persica/p.persica_gdr_reftransV1_0005304","p.persica_gdr_reftransV1_0005304")</f>
        <v>p.persica_gdr_reftransV1_0005304</v>
      </c>
      <c r="B12082" s="3">
        <v>1748</v>
      </c>
      <c r="C12082" s="1" t="str">
        <f>HYPERLINK("http://www.uniprot.org/uniprot/THI4_CITSI","THI4_CITSI")</f>
        <v>THI4_CITSI</v>
      </c>
      <c r="D12082" t="s">
        <v>8389</v>
      </c>
      <c r="E12082" s="3" t="s">
        <v>1276</v>
      </c>
      <c r="F12082" s="4">
        <v>0</v>
      </c>
      <c r="G12082" s="3">
        <v>1419</v>
      </c>
      <c r="H12082" s="3">
        <v>86</v>
      </c>
      <c r="I12082" s="3">
        <v>328</v>
      </c>
      <c r="J12082" s="3">
        <v>419</v>
      </c>
      <c r="K12082" s="3">
        <v>1390</v>
      </c>
      <c r="L12082" s="3">
        <v>20</v>
      </c>
      <c r="M12082" s="3">
        <v>341</v>
      </c>
    </row>
    <row r="12083" spans="1:13" x14ac:dyDescent="0.25">
      <c r="A12083" s="1" t="str">
        <f>HYPERLINK("http://www.rosaceae.org/Prunus/Prunus_persica/p.persica_gdr_reftransV1_0005504","p.persica_gdr_reftransV1_0005504")</f>
        <v>p.persica_gdr_reftransV1_0005504</v>
      </c>
      <c r="B12083" s="3">
        <v>1349</v>
      </c>
      <c r="C12083" s="1" t="str">
        <f>HYPERLINK("http://www.uniprot.org/uniprot/P2C09_ARATH","P2C09_ARATH")</f>
        <v>P2C09_ARATH</v>
      </c>
      <c r="D12083" t="s">
        <v>7591</v>
      </c>
      <c r="E12083" s="3" t="s">
        <v>3</v>
      </c>
      <c r="F12083" s="4">
        <v>8.4599999999999996E-120</v>
      </c>
      <c r="G12083" s="3">
        <v>918</v>
      </c>
      <c r="H12083" s="3">
        <v>77</v>
      </c>
      <c r="I12083" s="3">
        <v>237</v>
      </c>
      <c r="J12083" s="3">
        <v>473</v>
      </c>
      <c r="K12083" s="3">
        <v>1183</v>
      </c>
      <c r="L12083" s="3">
        <v>1</v>
      </c>
      <c r="M12083" s="3">
        <v>236</v>
      </c>
    </row>
    <row r="12084" spans="1:13" x14ac:dyDescent="0.25">
      <c r="A12084" s="1" t="str">
        <f>HYPERLINK("http://www.rosaceae.org/Prunus/Prunus_persica/p.persica_gdr_reftransV1_0005554","p.persica_gdr_reftransV1_0005554")</f>
        <v>p.persica_gdr_reftransV1_0005554</v>
      </c>
      <c r="B12084" s="3">
        <v>954</v>
      </c>
      <c r="C12084" s="1" t="str">
        <f>HYPERLINK("http://www.uniprot.org/uniprot/ACCH1_ARATH","ACCH1_ARATH")</f>
        <v>ACCH1_ARATH</v>
      </c>
      <c r="D12084" t="s">
        <v>1325</v>
      </c>
      <c r="E12084" s="3" t="s">
        <v>3</v>
      </c>
      <c r="F12084" s="4">
        <v>8.3900000000000004E-52</v>
      </c>
      <c r="G12084" s="3">
        <v>457</v>
      </c>
      <c r="H12084" s="3">
        <v>53</v>
      </c>
      <c r="I12084" s="3">
        <v>179</v>
      </c>
      <c r="J12084" s="3">
        <v>414</v>
      </c>
      <c r="K12084" s="3">
        <v>950</v>
      </c>
      <c r="L12084" s="3">
        <v>188</v>
      </c>
      <c r="M12084" s="3">
        <v>365</v>
      </c>
    </row>
    <row r="12085" spans="1:13" x14ac:dyDescent="0.25">
      <c r="A12085" s="1" t="str">
        <f>HYPERLINK("http://www.rosaceae.org/Prunus/Prunus_persica/p.persica_gdr_reftransV1_0005654","p.persica_gdr_reftransV1_0005654")</f>
        <v>p.persica_gdr_reftransV1_0005654</v>
      </c>
      <c r="B12085" s="3">
        <v>468</v>
      </c>
      <c r="C12085" s="1" t="str">
        <f>HYPERLINK("http://www.uniprot.org/uniprot/UGT2_GARJA","UGT2_GARJA")</f>
        <v>UGT2_GARJA</v>
      </c>
      <c r="D12085" t="s">
        <v>927</v>
      </c>
      <c r="E12085" s="3" t="s">
        <v>624</v>
      </c>
      <c r="F12085" s="4">
        <v>1.18E-63</v>
      </c>
      <c r="G12085" s="3">
        <v>530</v>
      </c>
      <c r="H12085" s="3">
        <v>58</v>
      </c>
      <c r="I12085" s="3">
        <v>154</v>
      </c>
      <c r="J12085" s="3">
        <v>8</v>
      </c>
      <c r="K12085" s="3">
        <v>466</v>
      </c>
      <c r="L12085" s="3">
        <v>60</v>
      </c>
      <c r="M12085" s="3">
        <v>213</v>
      </c>
    </row>
    <row r="12086" spans="1:13" x14ac:dyDescent="0.25">
      <c r="A12086" s="1" t="str">
        <f>HYPERLINK("http://www.rosaceae.org/Prunus/Prunus_persica/p.persica_gdr_reftransV1_0005704","p.persica_gdr_reftransV1_0005704")</f>
        <v>p.persica_gdr_reftransV1_0005704</v>
      </c>
      <c r="B12086" s="3">
        <v>426</v>
      </c>
      <c r="C12086" s="1" t="str">
        <f>HYPERLINK("http://www.uniprot.org/uniprot/PP175_ARATH","PP175_ARATH")</f>
        <v>PP175_ARATH</v>
      </c>
      <c r="D12086" t="s">
        <v>272</v>
      </c>
      <c r="E12086" s="3" t="s">
        <v>3</v>
      </c>
      <c r="F12086" s="4">
        <v>5.7899999999999996E-20</v>
      </c>
      <c r="G12086" s="3">
        <v>222</v>
      </c>
      <c r="H12086" s="3">
        <v>70</v>
      </c>
      <c r="I12086" s="3">
        <v>50</v>
      </c>
      <c r="J12086" s="3">
        <v>277</v>
      </c>
      <c r="K12086" s="3">
        <v>426</v>
      </c>
      <c r="L12086" s="3">
        <v>689</v>
      </c>
      <c r="M12086" s="3">
        <v>738</v>
      </c>
    </row>
    <row r="12087" spans="1:13" x14ac:dyDescent="0.25">
      <c r="A12087" s="1" t="str">
        <f>HYPERLINK("http://www.rosaceae.org/Prunus/Prunus_persica/p.persica_gdr_reftransV1_0005854","p.persica_gdr_reftransV1_0005854")</f>
        <v>p.persica_gdr_reftransV1_0005854</v>
      </c>
      <c r="B12087" s="3">
        <v>828</v>
      </c>
      <c r="C12087" s="1" t="str">
        <f>HYPERLINK("http://www.uniprot.org/uniprot/Y3720_ARATH","Y3720_ARATH")</f>
        <v>Y3720_ARATH</v>
      </c>
      <c r="D12087" t="s">
        <v>104</v>
      </c>
      <c r="E12087" s="3" t="s">
        <v>3</v>
      </c>
      <c r="F12087" s="4">
        <v>1.1699999999999999E-17</v>
      </c>
      <c r="G12087" s="3">
        <v>211</v>
      </c>
      <c r="H12087" s="3">
        <v>30</v>
      </c>
      <c r="I12087" s="3">
        <v>212</v>
      </c>
      <c r="J12087" s="3">
        <v>164</v>
      </c>
      <c r="K12087" s="3">
        <v>769</v>
      </c>
      <c r="L12087" s="3">
        <v>47</v>
      </c>
      <c r="M12087" s="3">
        <v>244</v>
      </c>
    </row>
    <row r="12088" spans="1:13" x14ac:dyDescent="0.25">
      <c r="A12088" s="1" t="str">
        <f>HYPERLINK("http://www.rosaceae.org/Prunus/Prunus_persica/p.persica_gdr_reftransV1_0006354","p.persica_gdr_reftransV1_0006354")</f>
        <v>p.persica_gdr_reftransV1_0006354</v>
      </c>
      <c r="B12088" s="3">
        <v>3385</v>
      </c>
      <c r="C12088" s="1" t="str">
        <f>HYPERLINK("http://www.uniprot.org/uniprot/SMG7L_ARATH","SMG7L_ARATH")</f>
        <v>SMG7L_ARATH</v>
      </c>
      <c r="D12088" t="s">
        <v>8390</v>
      </c>
      <c r="E12088" s="3" t="s">
        <v>3</v>
      </c>
      <c r="F12088" s="4">
        <v>0</v>
      </c>
      <c r="G12088" s="3">
        <v>1532</v>
      </c>
      <c r="H12088" s="3">
        <v>40</v>
      </c>
      <c r="I12088" s="3">
        <v>1015</v>
      </c>
      <c r="J12088" s="3">
        <v>247</v>
      </c>
      <c r="K12088" s="3">
        <v>3225</v>
      </c>
      <c r="L12088" s="3">
        <v>1</v>
      </c>
      <c r="M12088" s="3">
        <v>880</v>
      </c>
    </row>
    <row r="12089" spans="1:13" x14ac:dyDescent="0.25">
      <c r="A12089" s="1" t="str">
        <f>HYPERLINK("http://www.rosaceae.org/Prunus/Prunus_persica/p.persica_gdr_reftransV1_0006454","p.persica_gdr_reftransV1_0006454")</f>
        <v>p.persica_gdr_reftransV1_0006454</v>
      </c>
      <c r="B12089" s="3">
        <v>1338</v>
      </c>
      <c r="C12089" s="1" t="str">
        <f>HYPERLINK("http://www.uniprot.org/uniprot/UGT8_CATRO","UGT8_CATRO")</f>
        <v>UGT8_CATRO</v>
      </c>
      <c r="D12089" t="s">
        <v>5628</v>
      </c>
      <c r="E12089" s="3" t="s">
        <v>457</v>
      </c>
      <c r="F12089" s="4">
        <v>6.7800000000000002E-123</v>
      </c>
      <c r="G12089" s="3">
        <v>957</v>
      </c>
      <c r="H12089" s="3">
        <v>49</v>
      </c>
      <c r="I12089" s="3">
        <v>367</v>
      </c>
      <c r="J12089" s="3">
        <v>237</v>
      </c>
      <c r="K12089" s="3">
        <v>1325</v>
      </c>
      <c r="L12089" s="3">
        <v>114</v>
      </c>
      <c r="M12089" s="3">
        <v>480</v>
      </c>
    </row>
    <row r="12090" spans="1:13" x14ac:dyDescent="0.25">
      <c r="A12090" s="1" t="str">
        <f>HYPERLINK("http://www.rosaceae.org/Prunus/Prunus_persica/p.persica_gdr_reftransV1_0006504","p.persica_gdr_reftransV1_0006504")</f>
        <v>p.persica_gdr_reftransV1_0006504</v>
      </c>
      <c r="B12090" s="3">
        <v>1709</v>
      </c>
      <c r="C12090" s="1" t="str">
        <f>HYPERLINK("http://www.uniprot.org/uniprot/UGT2_GARJA","UGT2_GARJA")</f>
        <v>UGT2_GARJA</v>
      </c>
      <c r="D12090" t="s">
        <v>927</v>
      </c>
      <c r="E12090" s="3" t="s">
        <v>624</v>
      </c>
      <c r="F12090" s="4">
        <v>0</v>
      </c>
      <c r="G12090" s="3">
        <v>1627</v>
      </c>
      <c r="H12090" s="3">
        <v>59</v>
      </c>
      <c r="I12090" s="3">
        <v>480</v>
      </c>
      <c r="J12090" s="3">
        <v>27</v>
      </c>
      <c r="K12090" s="3">
        <v>1457</v>
      </c>
      <c r="L12090" s="3">
        <v>1</v>
      </c>
      <c r="M12090" s="3">
        <v>478</v>
      </c>
    </row>
    <row r="12091" spans="1:13" x14ac:dyDescent="0.25">
      <c r="A12091" s="1" t="str">
        <f>HYPERLINK("http://www.rosaceae.org/Prunus/Prunus_persica/p.persica_gdr_reftransV1_0006554","p.persica_gdr_reftransV1_0006554")</f>
        <v>p.persica_gdr_reftransV1_0006554</v>
      </c>
      <c r="B12091" s="3">
        <v>1103</v>
      </c>
      <c r="C12091" s="1" t="str">
        <f>HYPERLINK("http://www.uniprot.org/uniprot/ZAT9_ARATH","ZAT9_ARATH")</f>
        <v>ZAT9_ARATH</v>
      </c>
      <c r="D12091" t="s">
        <v>2011</v>
      </c>
      <c r="E12091" s="3" t="s">
        <v>3</v>
      </c>
      <c r="F12091" s="4">
        <v>5.0299999999999998E-48</v>
      </c>
      <c r="G12091" s="3">
        <v>430</v>
      </c>
      <c r="H12091" s="3">
        <v>43</v>
      </c>
      <c r="I12091" s="3">
        <v>233</v>
      </c>
      <c r="J12091" s="3">
        <v>304</v>
      </c>
      <c r="K12091" s="3">
        <v>999</v>
      </c>
      <c r="L12091" s="3">
        <v>76</v>
      </c>
      <c r="M12091" s="3">
        <v>286</v>
      </c>
    </row>
    <row r="12092" spans="1:13" x14ac:dyDescent="0.25">
      <c r="A12092" s="1" t="str">
        <f>HYPERLINK("http://www.rosaceae.org/Prunus/Prunus_persica/p.persica_gdr_reftransV1_0006604","p.persica_gdr_reftransV1_0006604")</f>
        <v>p.persica_gdr_reftransV1_0006604</v>
      </c>
      <c r="B12092" s="3">
        <v>567</v>
      </c>
      <c r="C12092" s="1" t="str">
        <f>HYPERLINK("http://www.uniprot.org/uniprot/idH1_ARATH","idH1_ARATH")</f>
        <v>idH1_ARATH</v>
      </c>
      <c r="D12092" t="s">
        <v>8391</v>
      </c>
      <c r="E12092" s="3" t="s">
        <v>3</v>
      </c>
      <c r="F12092" s="4">
        <v>2.3699999999999999E-120</v>
      </c>
      <c r="G12092" s="3">
        <v>903</v>
      </c>
      <c r="H12092" s="3">
        <v>89</v>
      </c>
      <c r="I12092" s="3">
        <v>188</v>
      </c>
      <c r="J12092" s="3">
        <v>1</v>
      </c>
      <c r="K12092" s="3">
        <v>564</v>
      </c>
      <c r="L12092" s="3">
        <v>23</v>
      </c>
      <c r="M12092" s="3">
        <v>210</v>
      </c>
    </row>
    <row r="12093" spans="1:13" x14ac:dyDescent="0.25">
      <c r="A12093" s="1" t="str">
        <f>HYPERLINK("http://www.rosaceae.org/Prunus/Prunus_persica/p.persica_gdr_reftransV1_0006704","p.persica_gdr_reftransV1_0006704")</f>
        <v>p.persica_gdr_reftransV1_0006704</v>
      </c>
      <c r="B12093" s="3">
        <v>1428</v>
      </c>
      <c r="C12093" s="1" t="str">
        <f>HYPERLINK("http://www.uniprot.org/uniprot/RLP12_ARATH","RLP12_ARATH")</f>
        <v>RLP12_ARATH</v>
      </c>
      <c r="D12093" t="s">
        <v>1219</v>
      </c>
      <c r="E12093" s="3" t="s">
        <v>3</v>
      </c>
      <c r="F12093" s="4">
        <v>5.9400000000000003E-74</v>
      </c>
      <c r="G12093" s="3">
        <v>651</v>
      </c>
      <c r="H12093" s="3">
        <v>35</v>
      </c>
      <c r="I12093" s="3">
        <v>524</v>
      </c>
      <c r="J12093" s="3">
        <v>1</v>
      </c>
      <c r="K12093" s="3">
        <v>1422</v>
      </c>
      <c r="L12093" s="3">
        <v>182</v>
      </c>
      <c r="M12093" s="3">
        <v>692</v>
      </c>
    </row>
    <row r="12094" spans="1:13" x14ac:dyDescent="0.25">
      <c r="A12094" s="1" t="str">
        <f>HYPERLINK("http://www.rosaceae.org/Prunus/Prunus_persica/p.persica_gdr_reftransV1_0007154","p.persica_gdr_reftransV1_0007154")</f>
        <v>p.persica_gdr_reftransV1_0007154</v>
      </c>
      <c r="B12094" s="3">
        <v>1655</v>
      </c>
      <c r="C12094" s="1" t="str">
        <f>HYPERLINK("http://www.uniprot.org/uniprot/GAUTC_ARATH","GAUTC_ARATH")</f>
        <v>GAUTC_ARATH</v>
      </c>
      <c r="D12094" t="s">
        <v>6646</v>
      </c>
      <c r="E12094" s="3" t="s">
        <v>3</v>
      </c>
      <c r="F12094" s="4">
        <v>0</v>
      </c>
      <c r="G12094" s="3">
        <v>1737</v>
      </c>
      <c r="H12094" s="3">
        <v>76</v>
      </c>
      <c r="I12094" s="3">
        <v>439</v>
      </c>
      <c r="J12094" s="3">
        <v>49</v>
      </c>
      <c r="K12094" s="3">
        <v>1365</v>
      </c>
      <c r="L12094" s="3">
        <v>144</v>
      </c>
      <c r="M12094" s="3">
        <v>535</v>
      </c>
    </row>
    <row r="12095" spans="1:13" x14ac:dyDescent="0.25">
      <c r="A12095" s="1" t="str">
        <f>HYPERLINK("http://www.rosaceae.org/Prunus/Prunus_persica/p.persica_gdr_reftransV1_0007204","p.persica_gdr_reftransV1_0007204")</f>
        <v>p.persica_gdr_reftransV1_0007204</v>
      </c>
      <c r="B12095" s="3">
        <v>2885</v>
      </c>
      <c r="C12095" s="1" t="str">
        <f>HYPERLINK("http://www.uniprot.org/uniprot/EDR2L_ARATH","EDR2L_ARATH")</f>
        <v>EDR2L_ARATH</v>
      </c>
      <c r="D12095" t="s">
        <v>115</v>
      </c>
      <c r="E12095" s="3" t="s">
        <v>3</v>
      </c>
      <c r="F12095" s="4">
        <v>1.82E-114</v>
      </c>
      <c r="G12095" s="3">
        <v>961</v>
      </c>
      <c r="H12095" s="3">
        <v>33</v>
      </c>
      <c r="I12095" s="3">
        <v>774</v>
      </c>
      <c r="J12095" s="3">
        <v>305</v>
      </c>
      <c r="K12095" s="3">
        <v>2494</v>
      </c>
      <c r="L12095" s="3">
        <v>7</v>
      </c>
      <c r="M12095" s="3">
        <v>713</v>
      </c>
    </row>
    <row r="12096" spans="1:13" x14ac:dyDescent="0.25">
      <c r="A12096" s="1" t="str">
        <f>HYPERLINK("http://www.rosaceae.org/Prunus/Prunus_persica/p.persica_gdr_reftransV1_0007354","p.persica_gdr_reftransV1_0007354")</f>
        <v>p.persica_gdr_reftransV1_0007354</v>
      </c>
      <c r="B12096" s="3">
        <v>2072</v>
      </c>
      <c r="C12096" s="1" t="str">
        <f>HYPERLINK("http://www.uniprot.org/uniprot/PHT17_ARATH","PHT17_ARATH")</f>
        <v>PHT17_ARATH</v>
      </c>
      <c r="D12096" t="s">
        <v>2461</v>
      </c>
      <c r="E12096" s="3" t="s">
        <v>3</v>
      </c>
      <c r="F12096" s="4">
        <v>0</v>
      </c>
      <c r="G12096" s="3">
        <v>2070</v>
      </c>
      <c r="H12096" s="3">
        <v>79</v>
      </c>
      <c r="I12096" s="3">
        <v>519</v>
      </c>
      <c r="J12096" s="3">
        <v>280</v>
      </c>
      <c r="K12096" s="3">
        <v>1797</v>
      </c>
      <c r="L12096" s="3">
        <v>1</v>
      </c>
      <c r="M12096" s="3">
        <v>518</v>
      </c>
    </row>
    <row r="12097" spans="1:13" x14ac:dyDescent="0.25">
      <c r="A12097" s="1" t="str">
        <f>HYPERLINK("http://www.rosaceae.org/Prunus/Prunus_persica/p.persica_gdr_reftransV1_0007454","p.persica_gdr_reftransV1_0007454")</f>
        <v>p.persica_gdr_reftransV1_0007454</v>
      </c>
      <c r="B12097" s="3">
        <v>2103</v>
      </c>
      <c r="C12097" s="1" t="str">
        <f>HYPERLINK("http://www.uniprot.org/uniprot/BH130_ARATH","BH130_ARATH")</f>
        <v>BH130_ARATH</v>
      </c>
      <c r="D12097" t="s">
        <v>6426</v>
      </c>
      <c r="E12097" s="3" t="s">
        <v>3</v>
      </c>
      <c r="F12097" s="4">
        <v>1.2E-53</v>
      </c>
      <c r="G12097" s="3">
        <v>492</v>
      </c>
      <c r="H12097" s="3">
        <v>39</v>
      </c>
      <c r="I12097" s="3">
        <v>385</v>
      </c>
      <c r="J12097" s="3">
        <v>673</v>
      </c>
      <c r="K12097" s="3">
        <v>1770</v>
      </c>
      <c r="L12097" s="3">
        <v>15</v>
      </c>
      <c r="M12097" s="3">
        <v>344</v>
      </c>
    </row>
    <row r="12098" spans="1:13" x14ac:dyDescent="0.25">
      <c r="A12098" s="1" t="str">
        <f>HYPERLINK("http://www.rosaceae.org/Prunus/Prunus_persica/p.persica_gdr_reftransV1_0007554","p.persica_gdr_reftransV1_0007554")</f>
        <v>p.persica_gdr_reftransV1_0007554</v>
      </c>
      <c r="B12098" s="3">
        <v>1955</v>
      </c>
      <c r="C12098" s="1" t="str">
        <f>HYPERLINK("http://www.uniprot.org/uniprot/F214B_BOVIN","F214B_BOVIN")</f>
        <v>F214B_BOVIN</v>
      </c>
      <c r="D12098" t="s">
        <v>8392</v>
      </c>
      <c r="E12098" s="3" t="s">
        <v>184</v>
      </c>
      <c r="F12098" s="4">
        <v>3.6899999999999999E-13</v>
      </c>
      <c r="G12098" s="3">
        <v>186</v>
      </c>
      <c r="H12098" s="3">
        <v>35</v>
      </c>
      <c r="I12098" s="3">
        <v>161</v>
      </c>
      <c r="J12098" s="3">
        <v>759</v>
      </c>
      <c r="K12098" s="3">
        <v>1232</v>
      </c>
      <c r="L12098" s="3">
        <v>346</v>
      </c>
      <c r="M12098" s="3">
        <v>477</v>
      </c>
    </row>
    <row r="12099" spans="1:13" x14ac:dyDescent="0.25">
      <c r="A12099" s="1" t="str">
        <f>HYPERLINK("http://www.rosaceae.org/Prunus/Prunus_persica/p.persica_gdr_reftransV1_0007654","p.persica_gdr_reftransV1_0007654")</f>
        <v>p.persica_gdr_reftransV1_0007654</v>
      </c>
      <c r="B12099" s="3">
        <v>1281</v>
      </c>
      <c r="C12099" s="1" t="str">
        <f>HYPERLINK("http://www.uniprot.org/uniprot/SWET1_ARATH","SWET1_ARATH")</f>
        <v>SWET1_ARATH</v>
      </c>
      <c r="D12099" t="s">
        <v>8393</v>
      </c>
      <c r="E12099" s="3" t="s">
        <v>3</v>
      </c>
      <c r="F12099" s="4">
        <v>3.3799999999999998E-104</v>
      </c>
      <c r="G12099" s="3">
        <v>809</v>
      </c>
      <c r="H12099" s="3">
        <v>66</v>
      </c>
      <c r="I12099" s="3">
        <v>259</v>
      </c>
      <c r="J12099" s="3">
        <v>290</v>
      </c>
      <c r="K12099" s="3">
        <v>1066</v>
      </c>
      <c r="L12099" s="3">
        <v>1</v>
      </c>
      <c r="M12099" s="3">
        <v>246</v>
      </c>
    </row>
    <row r="12100" spans="1:13" x14ac:dyDescent="0.25">
      <c r="A12100" s="1" t="str">
        <f>HYPERLINK("http://www.rosaceae.org/Prunus/Prunus_persica/p.persica_gdr_reftransV1_0007704","p.persica_gdr_reftransV1_0007704")</f>
        <v>p.persica_gdr_reftransV1_0007704</v>
      </c>
      <c r="B12100" s="3">
        <v>1988</v>
      </c>
      <c r="C12100" s="1" t="str">
        <f>HYPERLINK("http://www.uniprot.org/uniprot/BBX32_ARATH","BBX32_ARATH")</f>
        <v>BBX32_ARATH</v>
      </c>
      <c r="D12100" t="s">
        <v>3982</v>
      </c>
      <c r="E12100" s="3" t="s">
        <v>3</v>
      </c>
      <c r="F12100" s="4">
        <v>6.3099999999999999E-9</v>
      </c>
      <c r="G12100" s="3">
        <v>145</v>
      </c>
      <c r="H12100" s="3">
        <v>49</v>
      </c>
      <c r="I12100" s="3">
        <v>59</v>
      </c>
      <c r="J12100" s="3">
        <v>136</v>
      </c>
      <c r="K12100" s="3">
        <v>312</v>
      </c>
      <c r="L12100" s="3">
        <v>5</v>
      </c>
      <c r="M12100" s="3">
        <v>63</v>
      </c>
    </row>
    <row r="12101" spans="1:13" x14ac:dyDescent="0.25">
      <c r="A12101" s="1" t="str">
        <f>HYPERLINK("http://www.rosaceae.org/Prunus/Prunus_persica/p.persica_gdr_reftransV1_0007804","p.persica_gdr_reftransV1_0007804")</f>
        <v>p.persica_gdr_reftransV1_0007804</v>
      </c>
      <c r="B12101" s="3">
        <v>1592</v>
      </c>
      <c r="C12101" s="1" t="str">
        <f>HYPERLINK("http://www.uniprot.org/uniprot/CP29B_ARATH","CP29B_ARATH")</f>
        <v>CP29B_ARATH</v>
      </c>
      <c r="D12101" t="s">
        <v>8394</v>
      </c>
      <c r="E12101" s="3" t="s">
        <v>3</v>
      </c>
      <c r="F12101" s="4">
        <v>6.3000000000000003E-93</v>
      </c>
      <c r="G12101" s="3">
        <v>747</v>
      </c>
      <c r="H12101" s="3">
        <v>64</v>
      </c>
      <c r="I12101" s="3">
        <v>249</v>
      </c>
      <c r="J12101" s="3">
        <v>710</v>
      </c>
      <c r="K12101" s="3">
        <v>1402</v>
      </c>
      <c r="L12101" s="3">
        <v>41</v>
      </c>
      <c r="M12101" s="3">
        <v>289</v>
      </c>
    </row>
    <row r="12102" spans="1:13" x14ac:dyDescent="0.25">
      <c r="A12102" s="1" t="str">
        <f>HYPERLINK("http://www.rosaceae.org/Prunus/Prunus_persica/p.persica_gdr_reftransV1_0007904","p.persica_gdr_reftransV1_0007904")</f>
        <v>p.persica_gdr_reftransV1_0007904</v>
      </c>
      <c r="B12102" s="3">
        <v>2351</v>
      </c>
      <c r="C12102" s="1" t="str">
        <f>HYPERLINK("http://www.uniprot.org/uniprot/IF62_ARATH","IF62_ARATH")</f>
        <v>IF62_ARATH</v>
      </c>
      <c r="D12102" t="s">
        <v>8395</v>
      </c>
      <c r="E12102" s="3" t="s">
        <v>3</v>
      </c>
      <c r="F12102" s="4">
        <v>2.8199999999999998E-72</v>
      </c>
      <c r="G12102" s="3">
        <v>618</v>
      </c>
      <c r="H12102" s="3">
        <v>91</v>
      </c>
      <c r="I12102" s="3">
        <v>123</v>
      </c>
      <c r="J12102" s="3">
        <v>1885</v>
      </c>
      <c r="K12102" s="3">
        <v>2253</v>
      </c>
      <c r="L12102" s="3">
        <v>1</v>
      </c>
      <c r="M12102" s="3">
        <v>123</v>
      </c>
    </row>
    <row r="12103" spans="1:13" x14ac:dyDescent="0.25">
      <c r="A12103" s="1" t="str">
        <f>HYPERLINK("http://www.rosaceae.org/Prunus/Prunus_persica/p.persica_gdr_reftransV1_0007954","p.persica_gdr_reftransV1_0007954")</f>
        <v>p.persica_gdr_reftransV1_0007954</v>
      </c>
      <c r="B12103" s="3">
        <v>1448</v>
      </c>
      <c r="C12103" s="1" t="str">
        <f>HYPERLINK("http://www.uniprot.org/uniprot/PME7_ARATH","PME7_ARATH")</f>
        <v>PME7_ARATH</v>
      </c>
      <c r="D12103" t="s">
        <v>5396</v>
      </c>
      <c r="E12103" s="3" t="s">
        <v>3</v>
      </c>
      <c r="F12103" s="4">
        <v>2.1199999999999999E-123</v>
      </c>
      <c r="G12103" s="3">
        <v>973</v>
      </c>
      <c r="H12103" s="3">
        <v>62</v>
      </c>
      <c r="I12103" s="3">
        <v>322</v>
      </c>
      <c r="J12103" s="3">
        <v>324</v>
      </c>
      <c r="K12103" s="3">
        <v>1211</v>
      </c>
      <c r="L12103" s="3">
        <v>30</v>
      </c>
      <c r="M12103" s="3">
        <v>349</v>
      </c>
    </row>
    <row r="12104" spans="1:13" x14ac:dyDescent="0.25">
      <c r="A12104" s="1" t="str">
        <f>HYPERLINK("http://www.rosaceae.org/Prunus/Prunus_persica/p.persica_gdr_reftransV1_0008004","p.persica_gdr_reftransV1_0008004")</f>
        <v>p.persica_gdr_reftransV1_0008004</v>
      </c>
      <c r="B12104" s="3">
        <v>717</v>
      </c>
      <c r="C12104" s="1" t="str">
        <f>HYPERLINK("http://www.uniprot.org/uniprot/RECQ_HAEIN","RECQ_HAEIN")</f>
        <v>RECQ_HAEIN</v>
      </c>
      <c r="D12104" t="s">
        <v>8396</v>
      </c>
      <c r="E12104" s="3" t="s">
        <v>2553</v>
      </c>
      <c r="F12104" s="4">
        <v>2.16E-59</v>
      </c>
      <c r="G12104" s="3">
        <v>516</v>
      </c>
      <c r="H12104" s="3">
        <v>43</v>
      </c>
      <c r="I12104" s="3">
        <v>242</v>
      </c>
      <c r="J12104" s="3">
        <v>5</v>
      </c>
      <c r="K12104" s="3">
        <v>715</v>
      </c>
      <c r="L12104" s="3">
        <v>43</v>
      </c>
      <c r="M12104" s="3">
        <v>275</v>
      </c>
    </row>
    <row r="12105" spans="1:13" x14ac:dyDescent="0.25">
      <c r="A12105" s="1" t="str">
        <f>HYPERLINK("http://www.rosaceae.org/Prunus/Prunus_persica/p.persica_gdr_reftransV1_0008054","p.persica_gdr_reftransV1_0008054")</f>
        <v>p.persica_gdr_reftransV1_0008054</v>
      </c>
      <c r="B12105" s="3">
        <v>3064</v>
      </c>
      <c r="C12105" s="1" t="str">
        <f>HYPERLINK("http://www.uniprot.org/uniprot/SBT25_ARATH","SBT25_ARATH")</f>
        <v>SBT25_ARATH</v>
      </c>
      <c r="D12105" t="s">
        <v>5179</v>
      </c>
      <c r="E12105" s="3" t="s">
        <v>3</v>
      </c>
      <c r="F12105" s="4">
        <v>0</v>
      </c>
      <c r="G12105" s="3">
        <v>1507</v>
      </c>
      <c r="H12105" s="3">
        <v>45</v>
      </c>
      <c r="I12105" s="3">
        <v>805</v>
      </c>
      <c r="J12105" s="3">
        <v>196</v>
      </c>
      <c r="K12105" s="3">
        <v>2595</v>
      </c>
      <c r="L12105" s="3">
        <v>21</v>
      </c>
      <c r="M12105" s="3">
        <v>808</v>
      </c>
    </row>
    <row r="12106" spans="1:13" x14ac:dyDescent="0.25">
      <c r="A12106" s="1" t="str">
        <f>HYPERLINK("http://www.rosaceae.org/Prunus/Prunus_persica/p.persica_gdr_reftransV1_0008104","p.persica_gdr_reftransV1_0008104")</f>
        <v>p.persica_gdr_reftransV1_0008104</v>
      </c>
      <c r="B12106" s="3">
        <v>900</v>
      </c>
      <c r="C12106" s="1" t="str">
        <f>HYPERLINK("http://www.uniprot.org/uniprot/PP298_ARATH","PP298_ARATH")</f>
        <v>PP298_ARATH</v>
      </c>
      <c r="D12106" t="s">
        <v>8397</v>
      </c>
      <c r="E12106" s="3" t="s">
        <v>3</v>
      </c>
      <c r="F12106" s="4">
        <v>2.7399999999999999E-139</v>
      </c>
      <c r="G12106" s="3">
        <v>1050</v>
      </c>
      <c r="H12106" s="3">
        <v>69</v>
      </c>
      <c r="I12106" s="3">
        <v>274</v>
      </c>
      <c r="J12106" s="3">
        <v>77</v>
      </c>
      <c r="K12106" s="3">
        <v>898</v>
      </c>
      <c r="L12106" s="3">
        <v>48</v>
      </c>
      <c r="M12106" s="3">
        <v>321</v>
      </c>
    </row>
    <row r="12107" spans="1:13" x14ac:dyDescent="0.25">
      <c r="A12107" s="1" t="str">
        <f>HYPERLINK("http://www.rosaceae.org/Prunus/Prunus_persica/p.persica_gdr_reftransV1_0008204","p.persica_gdr_reftransV1_0008204")</f>
        <v>p.persica_gdr_reftransV1_0008204</v>
      </c>
      <c r="B12107" s="3">
        <v>916</v>
      </c>
      <c r="C12107" s="1" t="str">
        <f>HYPERLINK("http://www.uniprot.org/uniprot/RSMG_ALKMQ","RSMG_ALKMQ")</f>
        <v>RSMG_ALKMQ</v>
      </c>
      <c r="D12107" t="s">
        <v>8398</v>
      </c>
      <c r="E12107" s="3" t="s">
        <v>8399</v>
      </c>
      <c r="F12107" s="4">
        <v>2.38E-47</v>
      </c>
      <c r="G12107" s="3">
        <v>417</v>
      </c>
      <c r="H12107" s="3">
        <v>43</v>
      </c>
      <c r="I12107" s="3">
        <v>231</v>
      </c>
      <c r="J12107" s="3">
        <v>169</v>
      </c>
      <c r="K12107" s="3">
        <v>861</v>
      </c>
      <c r="L12107" s="3">
        <v>18</v>
      </c>
      <c r="M12107" s="3">
        <v>238</v>
      </c>
    </row>
    <row r="12108" spans="1:13" x14ac:dyDescent="0.25">
      <c r="A12108" s="1" t="str">
        <f>HYPERLINK("http://www.rosaceae.org/Prunus/Prunus_persica/p.persica_gdr_reftransV1_0008254","p.persica_gdr_reftransV1_0008254")</f>
        <v>p.persica_gdr_reftransV1_0008254</v>
      </c>
      <c r="B12108" s="3">
        <v>1436</v>
      </c>
      <c r="C12108" s="1" t="str">
        <f>HYPERLINK("http://www.uniprot.org/uniprot/ERF91_ARATH","ERF91_ARATH")</f>
        <v>ERF91_ARATH</v>
      </c>
      <c r="D12108" t="s">
        <v>8400</v>
      </c>
      <c r="E12108" s="3" t="s">
        <v>3</v>
      </c>
      <c r="F12108" s="4">
        <v>4.6099999999999998E-24</v>
      </c>
      <c r="G12108" s="3">
        <v>262</v>
      </c>
      <c r="H12108" s="3">
        <v>44</v>
      </c>
      <c r="I12108" s="3">
        <v>194</v>
      </c>
      <c r="J12108" s="3">
        <v>467</v>
      </c>
      <c r="K12108" s="3">
        <v>1015</v>
      </c>
      <c r="L12108" s="3">
        <v>36</v>
      </c>
      <c r="M12108" s="3">
        <v>213</v>
      </c>
    </row>
    <row r="12109" spans="1:13" x14ac:dyDescent="0.25">
      <c r="A12109" s="1" t="str">
        <f>HYPERLINK("http://www.rosaceae.org/Prunus/Prunus_persica/p.persica_gdr_reftransV1_0008304","p.persica_gdr_reftransV1_0008304")</f>
        <v>p.persica_gdr_reftransV1_0008304</v>
      </c>
      <c r="B12109" s="3">
        <v>3989</v>
      </c>
      <c r="C12109" s="1" t="str">
        <f>HYPERLINK("http://www.uniprot.org/uniprot/PRP39_SCHPO","PRP39_SCHPO")</f>
        <v>PRP39_SCHPO</v>
      </c>
      <c r="D12109" t="s">
        <v>8401</v>
      </c>
      <c r="E12109" s="3" t="s">
        <v>464</v>
      </c>
      <c r="F12109" s="4">
        <v>6.3999999999999998E-46</v>
      </c>
      <c r="G12109" s="3">
        <v>458</v>
      </c>
      <c r="H12109" s="3">
        <v>34</v>
      </c>
      <c r="I12109" s="3">
        <v>310</v>
      </c>
      <c r="J12109" s="3">
        <v>2897</v>
      </c>
      <c r="K12109" s="3">
        <v>3790</v>
      </c>
      <c r="L12109" s="3">
        <v>27</v>
      </c>
      <c r="M12109" s="3">
        <v>326</v>
      </c>
    </row>
    <row r="12110" spans="1:13" x14ac:dyDescent="0.25">
      <c r="A12110" s="1" t="str">
        <f>HYPERLINK("http://www.rosaceae.org/Prunus/Prunus_persica/p.persica_gdr_reftransV1_0008504","p.persica_gdr_reftransV1_0008504")</f>
        <v>p.persica_gdr_reftransV1_0008504</v>
      </c>
      <c r="B12110" s="3">
        <v>451</v>
      </c>
      <c r="C12110" s="1" t="str">
        <f>HYPERLINK("http://www.uniprot.org/uniprot/CKX3_ARATH","CKX3_ARATH")</f>
        <v>CKX3_ARATH</v>
      </c>
      <c r="D12110" t="s">
        <v>8402</v>
      </c>
      <c r="E12110" s="3" t="s">
        <v>3</v>
      </c>
      <c r="F12110" s="4">
        <v>1.05E-47</v>
      </c>
      <c r="G12110" s="3">
        <v>421</v>
      </c>
      <c r="H12110" s="3">
        <v>55</v>
      </c>
      <c r="I12110" s="3">
        <v>150</v>
      </c>
      <c r="J12110" s="3">
        <v>1</v>
      </c>
      <c r="K12110" s="3">
        <v>450</v>
      </c>
      <c r="L12110" s="3">
        <v>223</v>
      </c>
      <c r="M12110" s="3">
        <v>367</v>
      </c>
    </row>
    <row r="12111" spans="1:13" x14ac:dyDescent="0.25">
      <c r="A12111" s="1" t="str">
        <f>HYPERLINK("http://www.rosaceae.org/Prunus/Prunus_persica/p.persica_gdr_reftransV1_0008554","p.persica_gdr_reftransV1_0008554")</f>
        <v>p.persica_gdr_reftransV1_0008554</v>
      </c>
      <c r="B12111" s="3">
        <v>2005</v>
      </c>
      <c r="C12111" s="1" t="str">
        <f>HYPERLINK("http://www.uniprot.org/uniprot/TRUB_FLAJ1","TRUB_FLAJ1")</f>
        <v>TRUB_FLAJ1</v>
      </c>
      <c r="D12111" t="s">
        <v>8403</v>
      </c>
      <c r="E12111" s="3" t="s">
        <v>8404</v>
      </c>
      <c r="F12111" s="4">
        <v>4.7199999999999998E-54</v>
      </c>
      <c r="G12111" s="3">
        <v>483</v>
      </c>
      <c r="H12111" s="3">
        <v>46</v>
      </c>
      <c r="I12111" s="3">
        <v>222</v>
      </c>
      <c r="J12111" s="3">
        <v>1063</v>
      </c>
      <c r="K12111" s="3">
        <v>1707</v>
      </c>
      <c r="L12111" s="3">
        <v>9</v>
      </c>
      <c r="M12111" s="3">
        <v>228</v>
      </c>
    </row>
    <row r="12112" spans="1:13" x14ac:dyDescent="0.25">
      <c r="A12112" s="1" t="str">
        <f>HYPERLINK("http://www.rosaceae.org/Prunus/Prunus_persica/p.persica_gdr_reftransV1_0008654","p.persica_gdr_reftransV1_0008654")</f>
        <v>p.persica_gdr_reftransV1_0008654</v>
      </c>
      <c r="B12112" s="3">
        <v>1824</v>
      </c>
      <c r="C12112" s="1" t="str">
        <f>HYPERLINK("http://www.uniprot.org/uniprot/ELF4_ARATH","ELF4_ARATH")</f>
        <v>ELF4_ARATH</v>
      </c>
      <c r="D12112" t="s">
        <v>8405</v>
      </c>
      <c r="E12112" s="3" t="s">
        <v>3</v>
      </c>
      <c r="F12112" s="4">
        <v>6.4599999999999999E-27</v>
      </c>
      <c r="G12112" s="3">
        <v>275</v>
      </c>
      <c r="H12112" s="3">
        <v>71</v>
      </c>
      <c r="I12112" s="3">
        <v>70</v>
      </c>
      <c r="J12112" s="3">
        <v>385</v>
      </c>
      <c r="K12112" s="3">
        <v>594</v>
      </c>
      <c r="L12112" s="3">
        <v>26</v>
      </c>
      <c r="M12112" s="3">
        <v>95</v>
      </c>
    </row>
    <row r="12113" spans="1:13" x14ac:dyDescent="0.25">
      <c r="A12113" s="1" t="str">
        <f>HYPERLINK("http://www.rosaceae.org/Prunus/Prunus_persica/p.persica_gdr_reftransV1_0008754","p.persica_gdr_reftransV1_0008754")</f>
        <v>p.persica_gdr_reftransV1_0008754</v>
      </c>
      <c r="B12113" s="3">
        <v>1862</v>
      </c>
      <c r="C12113" s="1" t="str">
        <f>HYPERLINK("http://www.uniprot.org/uniprot/MSRA5_ARATH","MSRA5_ARATH")</f>
        <v>MSRA5_ARATH</v>
      </c>
      <c r="D12113" t="s">
        <v>8406</v>
      </c>
      <c r="E12113" s="3" t="s">
        <v>3</v>
      </c>
      <c r="F12113" s="4">
        <v>1.19E-113</v>
      </c>
      <c r="G12113" s="3">
        <v>890</v>
      </c>
      <c r="H12113" s="3">
        <v>70</v>
      </c>
      <c r="I12113" s="3">
        <v>235</v>
      </c>
      <c r="J12113" s="3">
        <v>795</v>
      </c>
      <c r="K12113" s="3">
        <v>1499</v>
      </c>
      <c r="L12113" s="3">
        <v>21</v>
      </c>
      <c r="M12113" s="3">
        <v>254</v>
      </c>
    </row>
    <row r="12114" spans="1:13" x14ac:dyDescent="0.25">
      <c r="A12114" s="1" t="str">
        <f>HYPERLINK("http://www.rosaceae.org/Prunus/Prunus_persica/p.persica_gdr_reftransV1_0008904","p.persica_gdr_reftransV1_0008904")</f>
        <v>p.persica_gdr_reftransV1_0008904</v>
      </c>
      <c r="B12114" s="3">
        <v>2156</v>
      </c>
      <c r="C12114" s="1" t="str">
        <f>HYPERLINK("http://www.uniprot.org/uniprot/POLX_TOBAC","POLX_TOBAC")</f>
        <v>POLX_TOBAC</v>
      </c>
      <c r="D12114" t="s">
        <v>1253</v>
      </c>
      <c r="E12114" s="3" t="s">
        <v>200</v>
      </c>
      <c r="F12114" s="4">
        <v>2.2900000000000001E-115</v>
      </c>
      <c r="G12114" s="3">
        <v>984</v>
      </c>
      <c r="H12114" s="3">
        <v>40</v>
      </c>
      <c r="I12114" s="3">
        <v>522</v>
      </c>
      <c r="J12114" s="3">
        <v>213</v>
      </c>
      <c r="K12114" s="3">
        <v>1742</v>
      </c>
      <c r="L12114" s="3">
        <v>808</v>
      </c>
      <c r="M12114" s="3">
        <v>1327</v>
      </c>
    </row>
    <row r="12115" spans="1:13" x14ac:dyDescent="0.25">
      <c r="A12115" s="1" t="str">
        <f>HYPERLINK("http://www.rosaceae.org/Prunus/Prunus_persica/p.persica_gdr_reftransV1_0009054","p.persica_gdr_reftransV1_0009054")</f>
        <v>p.persica_gdr_reftransV1_0009054</v>
      </c>
      <c r="B12115" s="3">
        <v>3078</v>
      </c>
      <c r="C12115" s="1" t="str">
        <f>HYPERLINK("http://www.uniprot.org/uniprot/PP384_ARATH","PP384_ARATH")</f>
        <v>PP384_ARATH</v>
      </c>
      <c r="D12115" t="s">
        <v>8407</v>
      </c>
      <c r="E12115" s="3" t="s">
        <v>3</v>
      </c>
      <c r="F12115" s="4">
        <v>0</v>
      </c>
      <c r="G12115" s="3">
        <v>2100</v>
      </c>
      <c r="H12115" s="3">
        <v>47</v>
      </c>
      <c r="I12115" s="3">
        <v>919</v>
      </c>
      <c r="J12115" s="3">
        <v>327</v>
      </c>
      <c r="K12115" s="3">
        <v>3077</v>
      </c>
      <c r="L12115" s="3">
        <v>317</v>
      </c>
      <c r="M12115" s="3">
        <v>1227</v>
      </c>
    </row>
    <row r="12116" spans="1:13" x14ac:dyDescent="0.25">
      <c r="A12116" s="1" t="str">
        <f>HYPERLINK("http://www.rosaceae.org/Prunus/Prunus_persica/p.persica_gdr_reftransV1_0009154","p.persica_gdr_reftransV1_0009154")</f>
        <v>p.persica_gdr_reftransV1_0009154</v>
      </c>
      <c r="B12116" s="3">
        <v>3312</v>
      </c>
      <c r="C12116" s="1" t="str">
        <f>HYPERLINK("http://www.uniprot.org/uniprot/PP404_ARATH","PP404_ARATH")</f>
        <v>PP404_ARATH</v>
      </c>
      <c r="D12116" t="s">
        <v>8408</v>
      </c>
      <c r="E12116" s="3" t="s">
        <v>3</v>
      </c>
      <c r="F12116" s="4">
        <v>0</v>
      </c>
      <c r="G12116" s="3">
        <v>1871</v>
      </c>
      <c r="H12116" s="3">
        <v>61</v>
      </c>
      <c r="I12116" s="3">
        <v>556</v>
      </c>
      <c r="J12116" s="3">
        <v>13</v>
      </c>
      <c r="K12116" s="3">
        <v>1668</v>
      </c>
      <c r="L12116" s="3">
        <v>39</v>
      </c>
      <c r="M12116" s="3">
        <v>593</v>
      </c>
    </row>
    <row r="12117" spans="1:13" x14ac:dyDescent="0.25">
      <c r="A12117" s="1" t="str">
        <f>HYPERLINK("http://www.rosaceae.org/Prunus/Prunus_persica/p.persica_gdr_reftransV1_0009254","p.persica_gdr_reftransV1_0009254")</f>
        <v>p.persica_gdr_reftransV1_0009254</v>
      </c>
      <c r="B12117" s="3">
        <v>2622</v>
      </c>
      <c r="C12117" s="1" t="str">
        <f>HYPERLINK("http://www.uniprot.org/uniprot/PUB38_ARATH","PUB38_ARATH")</f>
        <v>PUB38_ARATH</v>
      </c>
      <c r="D12117" t="s">
        <v>8409</v>
      </c>
      <c r="E12117" s="3" t="s">
        <v>3</v>
      </c>
      <c r="F12117" s="4">
        <v>1.28E-165</v>
      </c>
      <c r="G12117" s="3">
        <v>1288</v>
      </c>
      <c r="H12117" s="3">
        <v>55</v>
      </c>
      <c r="I12117" s="3">
        <v>562</v>
      </c>
      <c r="J12117" s="3">
        <v>566</v>
      </c>
      <c r="K12117" s="3">
        <v>2149</v>
      </c>
      <c r="L12117" s="3">
        <v>1</v>
      </c>
      <c r="M12117" s="3">
        <v>554</v>
      </c>
    </row>
    <row r="12118" spans="1:13" x14ac:dyDescent="0.25">
      <c r="A12118" s="1" t="str">
        <f>HYPERLINK("http://www.rosaceae.org/Prunus/Prunus_persica/p.persica_gdr_reftransV1_0009304","p.persica_gdr_reftransV1_0009304")</f>
        <v>p.persica_gdr_reftransV1_0009304</v>
      </c>
      <c r="B12118" s="3">
        <v>779</v>
      </c>
      <c r="C12118" s="1" t="str">
        <f>HYPERLINK("http://www.uniprot.org/uniprot/UBC2_ARATH","UBC2_ARATH")</f>
        <v>UBC2_ARATH</v>
      </c>
      <c r="D12118" t="s">
        <v>8410</v>
      </c>
      <c r="E12118" s="3" t="s">
        <v>3</v>
      </c>
      <c r="F12118" s="4">
        <v>4.9900000000000003E-53</v>
      </c>
      <c r="G12118" s="3">
        <v>444</v>
      </c>
      <c r="H12118" s="3">
        <v>91</v>
      </c>
      <c r="I12118" s="3">
        <v>91</v>
      </c>
      <c r="J12118" s="3">
        <v>362</v>
      </c>
      <c r="K12118" s="3">
        <v>631</v>
      </c>
      <c r="L12118" s="3">
        <v>1</v>
      </c>
      <c r="M12118" s="3">
        <v>91</v>
      </c>
    </row>
    <row r="12119" spans="1:13" x14ac:dyDescent="0.25">
      <c r="A12119" s="1" t="str">
        <f>HYPERLINK("http://www.rosaceae.org/Prunus/Prunus_persica/p.persica_gdr_reftransV1_0009354","p.persica_gdr_reftransV1_0009354")</f>
        <v>p.persica_gdr_reftransV1_0009354</v>
      </c>
      <c r="B12119" s="3">
        <v>1859</v>
      </c>
      <c r="C12119" s="1" t="str">
        <f>HYPERLINK("http://www.uniprot.org/uniprot/DPO1_BACCA","DPO1_BACCA")</f>
        <v>DPO1_BACCA</v>
      </c>
      <c r="D12119" t="s">
        <v>4849</v>
      </c>
      <c r="E12119" s="3" t="s">
        <v>4850</v>
      </c>
      <c r="F12119" s="4">
        <v>4.5999999999999996E-22</v>
      </c>
      <c r="G12119" s="3">
        <v>261</v>
      </c>
      <c r="H12119" s="3">
        <v>39</v>
      </c>
      <c r="I12119" s="3">
        <v>157</v>
      </c>
      <c r="J12119" s="3">
        <v>332</v>
      </c>
      <c r="K12119" s="3">
        <v>799</v>
      </c>
      <c r="L12119" s="3">
        <v>127</v>
      </c>
      <c r="M12119" s="3">
        <v>276</v>
      </c>
    </row>
    <row r="12120" spans="1:13" x14ac:dyDescent="0.25">
      <c r="A12120" s="1" t="str">
        <f>HYPERLINK("http://www.rosaceae.org/Prunus/Prunus_persica/p.persica_gdr_reftransV1_0009454","p.persica_gdr_reftransV1_0009454")</f>
        <v>p.persica_gdr_reftransV1_0009454</v>
      </c>
      <c r="B12120" s="3">
        <v>353</v>
      </c>
      <c r="C12120" s="1" t="str">
        <f>HYPERLINK("http://www.uniprot.org/uniprot/ATR_ARATH","ATR_ARATH")</f>
        <v>ATR_ARATH</v>
      </c>
      <c r="D12120" t="s">
        <v>761</v>
      </c>
      <c r="E12120" s="3" t="s">
        <v>3</v>
      </c>
      <c r="F12120" s="4">
        <v>5.1200000000000002E-40</v>
      </c>
      <c r="G12120" s="3">
        <v>372</v>
      </c>
      <c r="H12120" s="3">
        <v>60</v>
      </c>
      <c r="I12120" s="3">
        <v>117</v>
      </c>
      <c r="J12120" s="3">
        <v>2</v>
      </c>
      <c r="K12120" s="3">
        <v>352</v>
      </c>
      <c r="L12120" s="3">
        <v>967</v>
      </c>
      <c r="M12120" s="3">
        <v>1083</v>
      </c>
    </row>
    <row r="12121" spans="1:13" x14ac:dyDescent="0.25">
      <c r="A12121" s="1" t="str">
        <f>HYPERLINK("http://www.rosaceae.org/Prunus/Prunus_persica/p.persica_gdr_reftransV1_0009754","p.persica_gdr_reftransV1_0009754")</f>
        <v>p.persica_gdr_reftransV1_0009754</v>
      </c>
      <c r="B12121" s="3">
        <v>2803</v>
      </c>
      <c r="C12121" s="1" t="str">
        <f>HYPERLINK("http://www.uniprot.org/uniprot/CNGC2_ARATH","CNGC2_ARATH")</f>
        <v>CNGC2_ARATH</v>
      </c>
      <c r="D12121" t="s">
        <v>8411</v>
      </c>
      <c r="E12121" s="3" t="s">
        <v>3</v>
      </c>
      <c r="F12121" s="4">
        <v>0</v>
      </c>
      <c r="G12121" s="3">
        <v>2474</v>
      </c>
      <c r="H12121" s="3">
        <v>76</v>
      </c>
      <c r="I12121" s="3">
        <v>709</v>
      </c>
      <c r="J12121" s="3">
        <v>266</v>
      </c>
      <c r="K12121" s="3">
        <v>2356</v>
      </c>
      <c r="L12121" s="3">
        <v>19</v>
      </c>
      <c r="M12121" s="3">
        <v>726</v>
      </c>
    </row>
    <row r="12122" spans="1:13" x14ac:dyDescent="0.25">
      <c r="A12122" s="1" t="str">
        <f>HYPERLINK("http://www.rosaceae.org/Prunus/Prunus_persica/p.persica_gdr_reftransV1_0009854","p.persica_gdr_reftransV1_0009854")</f>
        <v>p.persica_gdr_reftransV1_0009854</v>
      </c>
      <c r="B12122" s="3">
        <v>1774</v>
      </c>
      <c r="C12122" s="1" t="str">
        <f>HYPERLINK("http://www.uniprot.org/uniprot/KHSE_ARATH","KHSE_ARATH")</f>
        <v>KHSE_ARATH</v>
      </c>
      <c r="D12122" t="s">
        <v>8412</v>
      </c>
      <c r="E12122" s="3" t="s">
        <v>3</v>
      </c>
      <c r="F12122" s="4">
        <v>3.5200000000000002E-138</v>
      </c>
      <c r="G12122" s="3">
        <v>1062</v>
      </c>
      <c r="H12122" s="3">
        <v>75</v>
      </c>
      <c r="I12122" s="3">
        <v>323</v>
      </c>
      <c r="J12122" s="3">
        <v>391</v>
      </c>
      <c r="K12122" s="3">
        <v>1359</v>
      </c>
      <c r="L12122" s="3">
        <v>50</v>
      </c>
      <c r="M12122" s="3">
        <v>370</v>
      </c>
    </row>
    <row r="12123" spans="1:13" x14ac:dyDescent="0.25">
      <c r="A12123" s="1" t="str">
        <f>HYPERLINK("http://www.rosaceae.org/Prunus/Prunus_persica/p.persica_gdr_reftransV1_0010004","p.persica_gdr_reftransV1_0010004")</f>
        <v>p.persica_gdr_reftransV1_0010004</v>
      </c>
      <c r="B12123" s="3">
        <v>2412</v>
      </c>
      <c r="C12123" s="1" t="str">
        <f>HYPERLINK("http://www.uniprot.org/uniprot/SRPK_PHYPO","SRPK_PHYPO")</f>
        <v>SRPK_PHYPO</v>
      </c>
      <c r="D12123" t="s">
        <v>8413</v>
      </c>
      <c r="E12123" s="3" t="s">
        <v>8414</v>
      </c>
      <c r="F12123" s="4">
        <v>1.7999999999999999E-104</v>
      </c>
      <c r="G12123" s="3">
        <v>858</v>
      </c>
      <c r="H12123" s="3">
        <v>43</v>
      </c>
      <c r="I12123" s="3">
        <v>403</v>
      </c>
      <c r="J12123" s="3">
        <v>448</v>
      </c>
      <c r="K12123" s="3">
        <v>1632</v>
      </c>
      <c r="L12123" s="3">
        <v>38</v>
      </c>
      <c r="M12123" s="3">
        <v>419</v>
      </c>
    </row>
    <row r="12124" spans="1:13" x14ac:dyDescent="0.25">
      <c r="A12124" s="1" t="str">
        <f>HYPERLINK("http://www.rosaceae.org/Prunus/Prunus_persica/p.persica_gdr_reftransV1_0010154","p.persica_gdr_reftransV1_0010154")</f>
        <v>p.persica_gdr_reftransV1_0010154</v>
      </c>
      <c r="B12124" s="3">
        <v>1560</v>
      </c>
      <c r="C12124" s="1" t="str">
        <f>HYPERLINK("http://www.uniprot.org/uniprot/PP231_ARATH","PP231_ARATH")</f>
        <v>PP231_ARATH</v>
      </c>
      <c r="D12124" t="s">
        <v>4679</v>
      </c>
      <c r="E12124" s="3" t="s">
        <v>3</v>
      </c>
      <c r="F12124" s="4">
        <v>0</v>
      </c>
      <c r="G12124" s="3">
        <v>1443</v>
      </c>
      <c r="H12124" s="3">
        <v>57</v>
      </c>
      <c r="I12124" s="3">
        <v>467</v>
      </c>
      <c r="J12124" s="3">
        <v>6</v>
      </c>
      <c r="K12124" s="3">
        <v>1397</v>
      </c>
      <c r="L12124" s="3">
        <v>188</v>
      </c>
      <c r="M12124" s="3">
        <v>649</v>
      </c>
    </row>
    <row r="12125" spans="1:13" x14ac:dyDescent="0.25">
      <c r="A12125" s="1" t="str">
        <f>HYPERLINK("http://www.rosaceae.org/Prunus/Prunus_persica/p.persica_gdr_reftransV1_0010254","p.persica_gdr_reftransV1_0010254")</f>
        <v>p.persica_gdr_reftransV1_0010254</v>
      </c>
      <c r="B12125" s="3">
        <v>1757</v>
      </c>
      <c r="C12125" s="1" t="str">
        <f>HYPERLINK("http://www.uniprot.org/uniprot/HXK1_SPIOL","HXK1_SPIOL")</f>
        <v>HXK1_SPIOL</v>
      </c>
      <c r="D12125" t="s">
        <v>3840</v>
      </c>
      <c r="E12125" s="3" t="s">
        <v>131</v>
      </c>
      <c r="F12125" s="4">
        <v>1.33E-108</v>
      </c>
      <c r="G12125" s="3">
        <v>876</v>
      </c>
      <c r="H12125" s="3">
        <v>84</v>
      </c>
      <c r="I12125" s="3">
        <v>196</v>
      </c>
      <c r="J12125" s="3">
        <v>1169</v>
      </c>
      <c r="K12125" s="3">
        <v>1756</v>
      </c>
      <c r="L12125" s="3">
        <v>92</v>
      </c>
      <c r="M12125" s="3">
        <v>287</v>
      </c>
    </row>
    <row r="12126" spans="1:13" x14ac:dyDescent="0.25">
      <c r="A12126" s="1" t="str">
        <f>HYPERLINK("http://www.rosaceae.org/Prunus/Prunus_persica/p.persica_gdr_reftransV1_0010354","p.persica_gdr_reftransV1_0010354")</f>
        <v>p.persica_gdr_reftransV1_0010354</v>
      </c>
      <c r="B12126" s="3">
        <v>812</v>
      </c>
      <c r="C12126" s="1" t="str">
        <f>HYPERLINK("http://www.uniprot.org/uniprot/HSFA3_ARATH","HSFA3_ARATH")</f>
        <v>HSFA3_ARATH</v>
      </c>
      <c r="D12126" t="s">
        <v>5758</v>
      </c>
      <c r="E12126" s="3" t="s">
        <v>3</v>
      </c>
      <c r="F12126" s="4">
        <v>1.36E-33</v>
      </c>
      <c r="G12126" s="3">
        <v>328</v>
      </c>
      <c r="H12126" s="3">
        <v>78</v>
      </c>
      <c r="I12126" s="3">
        <v>74</v>
      </c>
      <c r="J12126" s="3">
        <v>586</v>
      </c>
      <c r="K12126" s="3">
        <v>807</v>
      </c>
      <c r="L12126" s="3">
        <v>41</v>
      </c>
      <c r="M12126" s="3">
        <v>114</v>
      </c>
    </row>
    <row r="12127" spans="1:13" x14ac:dyDescent="0.25">
      <c r="A12127" s="1" t="str">
        <f>HYPERLINK("http://www.rosaceae.org/Prunus/Prunus_persica/p.persica_gdr_reftransV1_0010504","p.persica_gdr_reftransV1_0010504")</f>
        <v>p.persica_gdr_reftransV1_0010504</v>
      </c>
      <c r="B12127" s="3">
        <v>2525</v>
      </c>
      <c r="C12127" s="1" t="str">
        <f>HYPERLINK("http://www.uniprot.org/uniprot/NPHP3_XENTR","NPHP3_XENTR")</f>
        <v>NPHP3_XENTR</v>
      </c>
      <c r="D12127" t="s">
        <v>8215</v>
      </c>
      <c r="E12127" s="3" t="s">
        <v>173</v>
      </c>
      <c r="F12127" s="4">
        <v>5.0000000000000001E-9</v>
      </c>
      <c r="G12127" s="3">
        <v>155</v>
      </c>
      <c r="H12127" s="3">
        <v>25</v>
      </c>
      <c r="I12127" s="3">
        <v>336</v>
      </c>
      <c r="J12127" s="3">
        <v>592</v>
      </c>
      <c r="K12127" s="3">
        <v>1563</v>
      </c>
      <c r="L12127" s="3">
        <v>940</v>
      </c>
      <c r="M12127" s="3">
        <v>1252</v>
      </c>
    </row>
    <row r="12128" spans="1:13" x14ac:dyDescent="0.25">
      <c r="A12128" s="1" t="str">
        <f>HYPERLINK("http://www.rosaceae.org/Prunus/Prunus_persica/p.persica_gdr_reftransV1_0010554","p.persica_gdr_reftransV1_0010554")</f>
        <v>p.persica_gdr_reftransV1_0010554</v>
      </c>
      <c r="B12128" s="3">
        <v>1334</v>
      </c>
      <c r="C12128" s="1" t="str">
        <f>HYPERLINK("http://www.uniprot.org/uniprot/EXOL2_ARATH","EXOL2_ARATH")</f>
        <v>EXOL2_ARATH</v>
      </c>
      <c r="D12128" t="s">
        <v>2512</v>
      </c>
      <c r="E12128" s="3" t="s">
        <v>3</v>
      </c>
      <c r="F12128" s="4">
        <v>2.7500000000000001E-137</v>
      </c>
      <c r="G12128" s="3">
        <v>1036</v>
      </c>
      <c r="H12128" s="3">
        <v>68</v>
      </c>
      <c r="I12128" s="3">
        <v>305</v>
      </c>
      <c r="J12128" s="3">
        <v>65</v>
      </c>
      <c r="K12128" s="3">
        <v>943</v>
      </c>
      <c r="L12128" s="3">
        <v>1</v>
      </c>
      <c r="M12128" s="3">
        <v>305</v>
      </c>
    </row>
    <row r="12129" spans="1:13" x14ac:dyDescent="0.25">
      <c r="A12129" s="1" t="str">
        <f>HYPERLINK("http://www.rosaceae.org/Prunus/Prunus_persica/p.persica_gdr_reftransV1_0010604","p.persica_gdr_reftransV1_0010604")</f>
        <v>p.persica_gdr_reftransV1_0010604</v>
      </c>
      <c r="B12129" s="3">
        <v>2268</v>
      </c>
      <c r="C12129" s="1" t="str">
        <f>HYPERLINK("http://www.uniprot.org/uniprot/SLAH3_ARATH","SLAH3_ARATH")</f>
        <v>SLAH3_ARATH</v>
      </c>
      <c r="D12129" t="s">
        <v>8415</v>
      </c>
      <c r="E12129" s="3" t="s">
        <v>3</v>
      </c>
      <c r="F12129" s="4">
        <v>2.2999999999999999E-174</v>
      </c>
      <c r="G12129" s="3">
        <v>1344</v>
      </c>
      <c r="H12129" s="3">
        <v>55</v>
      </c>
      <c r="I12129" s="3">
        <v>521</v>
      </c>
      <c r="J12129" s="3">
        <v>673</v>
      </c>
      <c r="K12129" s="3">
        <v>2130</v>
      </c>
      <c r="L12129" s="3">
        <v>14</v>
      </c>
      <c r="M12129" s="3">
        <v>512</v>
      </c>
    </row>
    <row r="12130" spans="1:13" x14ac:dyDescent="0.25">
      <c r="A12130" s="1" t="str">
        <f>HYPERLINK("http://www.rosaceae.org/Prunus/Prunus_persica/p.persica_gdr_reftransV1_0010654","p.persica_gdr_reftransV1_0010654")</f>
        <v>p.persica_gdr_reftransV1_0010654</v>
      </c>
      <c r="B12130" s="3">
        <v>1740</v>
      </c>
      <c r="C12130" s="1" t="str">
        <f>HYPERLINK("http://www.uniprot.org/uniprot/MFRN_DICDI","MFRN_DICDI")</f>
        <v>MFRN_DICDI</v>
      </c>
      <c r="D12130" t="s">
        <v>153</v>
      </c>
      <c r="E12130" s="3" t="s">
        <v>9</v>
      </c>
      <c r="F12130" s="4">
        <v>1.6899999999999999E-48</v>
      </c>
      <c r="G12130" s="3">
        <v>446</v>
      </c>
      <c r="H12130" s="3">
        <v>43</v>
      </c>
      <c r="I12130" s="3">
        <v>235</v>
      </c>
      <c r="J12130" s="3">
        <v>797</v>
      </c>
      <c r="K12130" s="3">
        <v>1477</v>
      </c>
      <c r="L12130" s="3">
        <v>12</v>
      </c>
      <c r="M12130" s="3">
        <v>240</v>
      </c>
    </row>
    <row r="12131" spans="1:13" x14ac:dyDescent="0.25">
      <c r="A12131" s="1" t="str">
        <f>HYPERLINK("http://www.rosaceae.org/Prunus/Prunus_persica/p.persica_gdr_reftransV1_0010754","p.persica_gdr_reftransV1_0010754")</f>
        <v>p.persica_gdr_reftransV1_0010754</v>
      </c>
      <c r="B12131" s="3">
        <v>1972</v>
      </c>
      <c r="C12131" s="1" t="str">
        <f>HYPERLINK("http://www.uniprot.org/uniprot/C85A_PHAVU","C85A_PHAVU")</f>
        <v>C85A_PHAVU</v>
      </c>
      <c r="D12131" t="s">
        <v>8416</v>
      </c>
      <c r="E12131" s="3" t="s">
        <v>2044</v>
      </c>
      <c r="F12131" s="4">
        <v>0</v>
      </c>
      <c r="G12131" s="3">
        <v>2091</v>
      </c>
      <c r="H12131" s="3">
        <v>84</v>
      </c>
      <c r="I12131" s="3">
        <v>466</v>
      </c>
      <c r="J12131" s="3">
        <v>490</v>
      </c>
      <c r="K12131" s="3">
        <v>1881</v>
      </c>
      <c r="L12131" s="3">
        <v>1</v>
      </c>
      <c r="M12131" s="3">
        <v>466</v>
      </c>
    </row>
    <row r="12132" spans="1:13" x14ac:dyDescent="0.25">
      <c r="A12132" s="1" t="str">
        <f>HYPERLINK("http://www.rosaceae.org/Prunus/Prunus_persica/p.persica_gdr_reftransV1_0010804","p.persica_gdr_reftransV1_0010804")</f>
        <v>p.persica_gdr_reftransV1_0010804</v>
      </c>
      <c r="B12132" s="3">
        <v>2315</v>
      </c>
      <c r="C12132" s="1" t="str">
        <f>HYPERLINK("http://www.uniprot.org/uniprot/WRK47_ARATH","WRK47_ARATH")</f>
        <v>WRK47_ARATH</v>
      </c>
      <c r="D12132" t="s">
        <v>8417</v>
      </c>
      <c r="E12132" s="3" t="s">
        <v>3</v>
      </c>
      <c r="F12132" s="4">
        <v>8.9799999999999995E-64</v>
      </c>
      <c r="G12132" s="3">
        <v>577</v>
      </c>
      <c r="H12132" s="3">
        <v>38</v>
      </c>
      <c r="I12132" s="3">
        <v>492</v>
      </c>
      <c r="J12132" s="3">
        <v>548</v>
      </c>
      <c r="K12132" s="3">
        <v>2005</v>
      </c>
      <c r="L12132" s="3">
        <v>99</v>
      </c>
      <c r="M12132" s="3">
        <v>489</v>
      </c>
    </row>
    <row r="12133" spans="1:13" x14ac:dyDescent="0.25">
      <c r="A12133" s="1" t="str">
        <f>HYPERLINK("http://www.rosaceae.org/Prunus/Prunus_persica/p.persica_gdr_reftransV1_0010854","p.persica_gdr_reftransV1_0010854")</f>
        <v>p.persica_gdr_reftransV1_0010854</v>
      </c>
      <c r="B12133" s="3">
        <v>865</v>
      </c>
      <c r="C12133" s="1" t="str">
        <f>HYPERLINK("http://www.uniprot.org/uniprot/CHX18_ARATH","CHX18_ARATH")</f>
        <v>CHX18_ARATH</v>
      </c>
      <c r="D12133" t="s">
        <v>543</v>
      </c>
      <c r="E12133" s="3" t="s">
        <v>3</v>
      </c>
      <c r="F12133" s="4">
        <v>8.6900000000000006E-117</v>
      </c>
      <c r="G12133" s="3">
        <v>926</v>
      </c>
      <c r="H12133" s="3">
        <v>63</v>
      </c>
      <c r="I12133" s="3">
        <v>284</v>
      </c>
      <c r="J12133" s="3">
        <v>1</v>
      </c>
      <c r="K12133" s="3">
        <v>834</v>
      </c>
      <c r="L12133" s="3">
        <v>504</v>
      </c>
      <c r="M12133" s="3">
        <v>787</v>
      </c>
    </row>
    <row r="12134" spans="1:13" x14ac:dyDescent="0.25">
      <c r="A12134" s="1" t="str">
        <f>HYPERLINK("http://www.rosaceae.org/Prunus/Prunus_persica/p.persica_gdr_reftransV1_0010954","p.persica_gdr_reftransV1_0010954")</f>
        <v>p.persica_gdr_reftransV1_0010954</v>
      </c>
      <c r="B12134" s="3">
        <v>3080</v>
      </c>
      <c r="C12134" s="1" t="str">
        <f>HYPERLINK("http://www.uniprot.org/uniprot/FTSHA_ARATH","FTSHA_ARATH")</f>
        <v>FTSHA_ARATH</v>
      </c>
      <c r="D12134" t="s">
        <v>5091</v>
      </c>
      <c r="E12134" s="3" t="s">
        <v>3</v>
      </c>
      <c r="F12134" s="4">
        <v>0</v>
      </c>
      <c r="G12134" s="3">
        <v>2982</v>
      </c>
      <c r="H12134" s="3">
        <v>78</v>
      </c>
      <c r="I12134" s="3">
        <v>786</v>
      </c>
      <c r="J12134" s="3">
        <v>368</v>
      </c>
      <c r="K12134" s="3">
        <v>2716</v>
      </c>
      <c r="L12134" s="3">
        <v>31</v>
      </c>
      <c r="M12134" s="3">
        <v>813</v>
      </c>
    </row>
    <row r="12135" spans="1:13" x14ac:dyDescent="0.25">
      <c r="A12135" s="1" t="str">
        <f>HYPERLINK("http://www.rosaceae.org/Prunus/Prunus_persica/p.persica_gdr_reftransV1_0011054","p.persica_gdr_reftransV1_0011054")</f>
        <v>p.persica_gdr_reftransV1_0011054</v>
      </c>
      <c r="B12135" s="3">
        <v>1238</v>
      </c>
      <c r="C12135" s="1" t="str">
        <f>HYPERLINK("http://www.uniprot.org/uniprot/GSTX4_TOBAC","GSTX4_TOBAC")</f>
        <v>GSTX4_TOBAC</v>
      </c>
      <c r="D12135" t="s">
        <v>1788</v>
      </c>
      <c r="E12135" s="3" t="s">
        <v>200</v>
      </c>
      <c r="F12135" s="4">
        <v>4.6700000000000004E-118</v>
      </c>
      <c r="G12135" s="3">
        <v>897</v>
      </c>
      <c r="H12135" s="3">
        <v>73</v>
      </c>
      <c r="I12135" s="3">
        <v>221</v>
      </c>
      <c r="J12135" s="3">
        <v>165</v>
      </c>
      <c r="K12135" s="3">
        <v>824</v>
      </c>
      <c r="L12135" s="3">
        <v>1</v>
      </c>
      <c r="M12135" s="3">
        <v>221</v>
      </c>
    </row>
    <row r="12136" spans="1:13" x14ac:dyDescent="0.25">
      <c r="A12136" s="1" t="str">
        <f>HYPERLINK("http://www.rosaceae.org/Prunus/Prunus_persica/p.persica_gdr_reftransV1_0011104","p.persica_gdr_reftransV1_0011104")</f>
        <v>p.persica_gdr_reftransV1_0011104</v>
      </c>
      <c r="B12136" s="3">
        <v>2048</v>
      </c>
      <c r="C12136" s="1" t="str">
        <f>HYPERLINK("http://www.uniprot.org/uniprot/PHR2_ARATH","PHR2_ARATH")</f>
        <v>PHR2_ARATH</v>
      </c>
      <c r="D12136" t="s">
        <v>8418</v>
      </c>
      <c r="E12136" s="3" t="s">
        <v>3</v>
      </c>
      <c r="F12136" s="4">
        <v>0</v>
      </c>
      <c r="G12136" s="3">
        <v>1440</v>
      </c>
      <c r="H12136" s="3">
        <v>72</v>
      </c>
      <c r="I12136" s="3">
        <v>391</v>
      </c>
      <c r="J12136" s="3">
        <v>532</v>
      </c>
      <c r="K12136" s="3">
        <v>1698</v>
      </c>
      <c r="L12136" s="3">
        <v>49</v>
      </c>
      <c r="M12136" s="3">
        <v>435</v>
      </c>
    </row>
    <row r="12137" spans="1:13" x14ac:dyDescent="0.25">
      <c r="A12137" s="1" t="str">
        <f>HYPERLINK("http://www.rosaceae.org/Prunus/Prunus_persica/p.persica_gdr_reftransV1_0011154","p.persica_gdr_reftransV1_0011154")</f>
        <v>p.persica_gdr_reftransV1_0011154</v>
      </c>
      <c r="B12137" s="3">
        <v>1978</v>
      </c>
      <c r="C12137" s="1" t="str">
        <f>HYPERLINK("http://www.uniprot.org/uniprot/PTST_ARATH","PTST_ARATH")</f>
        <v>PTST_ARATH</v>
      </c>
      <c r="D12137" t="s">
        <v>5511</v>
      </c>
      <c r="E12137" s="3" t="s">
        <v>3</v>
      </c>
      <c r="F12137" s="4">
        <v>3.8499999999999998E-13</v>
      </c>
      <c r="G12137" s="3">
        <v>180</v>
      </c>
      <c r="H12137" s="3">
        <v>35</v>
      </c>
      <c r="I12137" s="3">
        <v>105</v>
      </c>
      <c r="J12137" s="3">
        <v>1420</v>
      </c>
      <c r="K12137" s="3">
        <v>1725</v>
      </c>
      <c r="L12137" s="3">
        <v>177</v>
      </c>
      <c r="M12137" s="3">
        <v>276</v>
      </c>
    </row>
    <row r="12138" spans="1:13" x14ac:dyDescent="0.25">
      <c r="A12138" s="1" t="str">
        <f>HYPERLINK("http://www.rosaceae.org/Prunus/Prunus_persica/p.persica_gdr_reftransV1_0011254","p.persica_gdr_reftransV1_0011254")</f>
        <v>p.persica_gdr_reftransV1_0011254</v>
      </c>
      <c r="B12138" s="3">
        <v>1155</v>
      </c>
      <c r="C12138" s="1" t="str">
        <f>HYPERLINK("http://www.uniprot.org/uniprot/FLA2_ARATH","FLA2_ARATH")</f>
        <v>FLA2_ARATH</v>
      </c>
      <c r="D12138" t="s">
        <v>8204</v>
      </c>
      <c r="E12138" s="3" t="s">
        <v>3</v>
      </c>
      <c r="F12138" s="4">
        <v>2.2799999999999999E-72</v>
      </c>
      <c r="G12138" s="3">
        <v>606</v>
      </c>
      <c r="H12138" s="3">
        <v>67</v>
      </c>
      <c r="I12138" s="3">
        <v>166</v>
      </c>
      <c r="J12138" s="3">
        <v>336</v>
      </c>
      <c r="K12138" s="3">
        <v>830</v>
      </c>
      <c r="L12138" s="3">
        <v>172</v>
      </c>
      <c r="M12138" s="3">
        <v>337</v>
      </c>
    </row>
    <row r="12139" spans="1:13" x14ac:dyDescent="0.25">
      <c r="A12139" s="1" t="str">
        <f>HYPERLINK("http://www.rosaceae.org/Prunus/Prunus_persica/p.persica_gdr_reftransV1_0011304","p.persica_gdr_reftransV1_0011304")</f>
        <v>p.persica_gdr_reftransV1_0011304</v>
      </c>
      <c r="B12139" s="3">
        <v>5496</v>
      </c>
      <c r="C12139" s="1" t="str">
        <f>HYPERLINK("http://www.uniprot.org/uniprot/idM1_ARATH","idM1_ARATH")</f>
        <v>idM1_ARATH</v>
      </c>
      <c r="D12139" t="s">
        <v>1345</v>
      </c>
      <c r="E12139" s="3" t="s">
        <v>3</v>
      </c>
      <c r="F12139" s="4">
        <v>0</v>
      </c>
      <c r="G12139" s="3">
        <v>1672</v>
      </c>
      <c r="H12139" s="3">
        <v>59</v>
      </c>
      <c r="I12139" s="3">
        <v>538</v>
      </c>
      <c r="J12139" s="3">
        <v>1219</v>
      </c>
      <c r="K12139" s="3">
        <v>2820</v>
      </c>
      <c r="L12139" s="3">
        <v>507</v>
      </c>
      <c r="M12139" s="3">
        <v>1024</v>
      </c>
    </row>
    <row r="12140" spans="1:13" x14ac:dyDescent="0.25">
      <c r="A12140" s="1" t="str">
        <f>HYPERLINK("http://www.rosaceae.org/Prunus/Prunus_persica/p.persica_gdr_reftransV1_0011354","p.persica_gdr_reftransV1_0011354")</f>
        <v>p.persica_gdr_reftransV1_0011354</v>
      </c>
      <c r="B12140" s="3">
        <v>4871</v>
      </c>
      <c r="C12140" s="1" t="str">
        <f>HYPERLINK("http://www.uniprot.org/uniprot/FBK22_ARATH","FBK22_ARATH")</f>
        <v>FBK22_ARATH</v>
      </c>
      <c r="D12140" t="s">
        <v>3139</v>
      </c>
      <c r="E12140" s="3" t="s">
        <v>3</v>
      </c>
      <c r="F12140" s="4">
        <v>0</v>
      </c>
      <c r="G12140" s="3">
        <v>1732</v>
      </c>
      <c r="H12140" s="3">
        <v>75</v>
      </c>
      <c r="I12140" s="3">
        <v>425</v>
      </c>
      <c r="J12140" s="3">
        <v>2688</v>
      </c>
      <c r="K12140" s="3">
        <v>3962</v>
      </c>
      <c r="L12140" s="3">
        <v>17</v>
      </c>
      <c r="M12140" s="3">
        <v>434</v>
      </c>
    </row>
    <row r="12141" spans="1:13" x14ac:dyDescent="0.25">
      <c r="A12141" s="1" t="str">
        <f>HYPERLINK("http://www.rosaceae.org/Prunus/Prunus_persica/p.persica_gdr_reftransV1_0011554","p.persica_gdr_reftransV1_0011554")</f>
        <v>p.persica_gdr_reftransV1_0011554</v>
      </c>
      <c r="B12141" s="3">
        <v>2646</v>
      </c>
      <c r="C12141" s="1" t="str">
        <f>HYPERLINK("http://www.uniprot.org/uniprot/ABAH1_ARATH","ABAH1_ARATH")</f>
        <v>ABAH1_ARATH</v>
      </c>
      <c r="D12141" t="s">
        <v>8419</v>
      </c>
      <c r="E12141" s="3" t="s">
        <v>3</v>
      </c>
      <c r="F12141" s="4">
        <v>0</v>
      </c>
      <c r="G12141" s="3">
        <v>1631</v>
      </c>
      <c r="H12141" s="3">
        <v>76</v>
      </c>
      <c r="I12141" s="3">
        <v>410</v>
      </c>
      <c r="J12141" s="3">
        <v>1231</v>
      </c>
      <c r="K12141" s="3">
        <v>2460</v>
      </c>
      <c r="L12141" s="3">
        <v>1</v>
      </c>
      <c r="M12141" s="3">
        <v>394</v>
      </c>
    </row>
    <row r="12142" spans="1:13" x14ac:dyDescent="0.25">
      <c r="A12142" s="1" t="str">
        <f>HYPERLINK("http://www.rosaceae.org/Prunus/Prunus_persica/p.persica_gdr_reftransV1_0011654","p.persica_gdr_reftransV1_0011654")</f>
        <v>p.persica_gdr_reftransV1_0011654</v>
      </c>
      <c r="B12142" s="3">
        <v>3512</v>
      </c>
      <c r="C12142" s="1" t="str">
        <f>HYPERLINK("http://www.uniprot.org/uniprot/JADE1_DANRE","JADE1_DANRE")</f>
        <v>JADE1_DANRE</v>
      </c>
      <c r="D12142" t="s">
        <v>8420</v>
      </c>
      <c r="E12142" s="3" t="s">
        <v>704</v>
      </c>
      <c r="F12142" s="4">
        <v>7.2900000000000003E-29</v>
      </c>
      <c r="G12142" s="3">
        <v>322</v>
      </c>
      <c r="H12142" s="3">
        <v>34</v>
      </c>
      <c r="I12142" s="3">
        <v>213</v>
      </c>
      <c r="J12142" s="3">
        <v>1464</v>
      </c>
      <c r="K12142" s="3">
        <v>2099</v>
      </c>
      <c r="L12142" s="3">
        <v>202</v>
      </c>
      <c r="M12142" s="3">
        <v>401</v>
      </c>
    </row>
    <row r="12143" spans="1:13" x14ac:dyDescent="0.25">
      <c r="A12143" s="1" t="str">
        <f>HYPERLINK("http://www.rosaceae.org/Prunus/Prunus_persica/p.persica_gdr_reftransV1_0011704","p.persica_gdr_reftransV1_0011704")</f>
        <v>p.persica_gdr_reftransV1_0011704</v>
      </c>
      <c r="B12143" s="3">
        <v>2821</v>
      </c>
      <c r="C12143" s="1" t="str">
        <f>HYPERLINK("http://www.uniprot.org/uniprot/CUL3A_ARATH","CUL3A_ARATH")</f>
        <v>CUL3A_ARATH</v>
      </c>
      <c r="D12143" t="s">
        <v>8421</v>
      </c>
      <c r="E12143" s="3" t="s">
        <v>3</v>
      </c>
      <c r="F12143" s="4">
        <v>0</v>
      </c>
      <c r="G12143" s="3">
        <v>3350</v>
      </c>
      <c r="H12143" s="3">
        <v>85</v>
      </c>
      <c r="I12143" s="3">
        <v>732</v>
      </c>
      <c r="J12143" s="3">
        <v>268</v>
      </c>
      <c r="K12143" s="3">
        <v>2463</v>
      </c>
      <c r="L12143" s="3">
        <v>1</v>
      </c>
      <c r="M12143" s="3">
        <v>732</v>
      </c>
    </row>
    <row r="12144" spans="1:13" x14ac:dyDescent="0.25">
      <c r="A12144" s="1" t="str">
        <f>HYPERLINK("http://www.rosaceae.org/Prunus/Prunus_persica/p.persica_gdr_reftransV1_0011754","p.persica_gdr_reftransV1_0011754")</f>
        <v>p.persica_gdr_reftransV1_0011754</v>
      </c>
      <c r="B12144" s="3">
        <v>2711</v>
      </c>
      <c r="C12144" s="1" t="str">
        <f>HYPERLINK("http://www.uniprot.org/uniprot/ATG1_DEBHA","ATG1_DEBHA")</f>
        <v>ATG1_DEBHA</v>
      </c>
      <c r="D12144" t="s">
        <v>8422</v>
      </c>
      <c r="E12144" s="3" t="s">
        <v>351</v>
      </c>
      <c r="F12144" s="4">
        <v>8.5699999999999996E-67</v>
      </c>
      <c r="G12144" s="3">
        <v>624</v>
      </c>
      <c r="H12144" s="3">
        <v>32</v>
      </c>
      <c r="I12144" s="3">
        <v>541</v>
      </c>
      <c r="J12144" s="3">
        <v>978</v>
      </c>
      <c r="K12144" s="3">
        <v>2342</v>
      </c>
      <c r="L12144" s="3">
        <v>17</v>
      </c>
      <c r="M12144" s="3">
        <v>547</v>
      </c>
    </row>
    <row r="12145" spans="1:13" x14ac:dyDescent="0.25">
      <c r="A12145" s="1" t="str">
        <f>HYPERLINK("http://www.rosaceae.org/Prunus/Prunus_persica/p.persica_gdr_reftransV1_0011804","p.persica_gdr_reftransV1_0011804")</f>
        <v>p.persica_gdr_reftransV1_0011804</v>
      </c>
      <c r="B12145" s="3">
        <v>1391</v>
      </c>
      <c r="C12145" s="1" t="str">
        <f>HYPERLINK("http://www.uniprot.org/uniprot/SPG1_SCHPO","SPG1_SCHPO")</f>
        <v>SPG1_SCHPO</v>
      </c>
      <c r="D12145" t="s">
        <v>8423</v>
      </c>
      <c r="E12145" s="3" t="s">
        <v>464</v>
      </c>
      <c r="F12145" s="4">
        <v>2.3199999999999998E-52</v>
      </c>
      <c r="G12145" s="3">
        <v>459</v>
      </c>
      <c r="H12145" s="3">
        <v>45</v>
      </c>
      <c r="I12145" s="3">
        <v>195</v>
      </c>
      <c r="J12145" s="3">
        <v>298</v>
      </c>
      <c r="K12145" s="3">
        <v>882</v>
      </c>
      <c r="L12145" s="3">
        <v>3</v>
      </c>
      <c r="M12145" s="3">
        <v>195</v>
      </c>
    </row>
    <row r="12146" spans="1:13" x14ac:dyDescent="0.25">
      <c r="A12146" s="1" t="str">
        <f>HYPERLINK("http://www.rosaceae.org/Prunus/Prunus_persica/p.persica_gdr_reftransV1_0011854","p.persica_gdr_reftransV1_0011854")</f>
        <v>p.persica_gdr_reftransV1_0011854</v>
      </c>
      <c r="B12146" s="3">
        <v>2405</v>
      </c>
      <c r="C12146" s="1" t="str">
        <f>HYPERLINK("http://www.uniprot.org/uniprot/CIPK8_ARATH","CIPK8_ARATH")</f>
        <v>CIPK8_ARATH</v>
      </c>
      <c r="D12146" t="s">
        <v>8424</v>
      </c>
      <c r="E12146" s="3" t="s">
        <v>3</v>
      </c>
      <c r="F12146" s="4">
        <v>0</v>
      </c>
      <c r="G12146" s="3">
        <v>1951</v>
      </c>
      <c r="H12146" s="3">
        <v>83</v>
      </c>
      <c r="I12146" s="3">
        <v>433</v>
      </c>
      <c r="J12146" s="3">
        <v>617</v>
      </c>
      <c r="K12146" s="3">
        <v>1915</v>
      </c>
      <c r="L12146" s="3">
        <v>1</v>
      </c>
      <c r="M12146" s="3">
        <v>429</v>
      </c>
    </row>
    <row r="12147" spans="1:13" x14ac:dyDescent="0.25">
      <c r="A12147" s="1" t="str">
        <f>HYPERLINK("http://www.rosaceae.org/Prunus/Prunus_persica/p.persica_gdr_reftransV1_0011954","p.persica_gdr_reftransV1_0011954")</f>
        <v>p.persica_gdr_reftransV1_0011954</v>
      </c>
      <c r="B12147" s="3">
        <v>2365</v>
      </c>
      <c r="C12147" s="1" t="str">
        <f>HYPERLINK("http://www.uniprot.org/uniprot/GR1_ARATH","GR1_ARATH")</f>
        <v>GR1_ARATH</v>
      </c>
      <c r="D12147" t="s">
        <v>8425</v>
      </c>
      <c r="E12147" s="3" t="s">
        <v>3</v>
      </c>
      <c r="F12147" s="4">
        <v>2.5400000000000002E-109</v>
      </c>
      <c r="G12147" s="3">
        <v>904</v>
      </c>
      <c r="H12147" s="3">
        <v>41</v>
      </c>
      <c r="I12147" s="3">
        <v>639</v>
      </c>
      <c r="J12147" s="3">
        <v>262</v>
      </c>
      <c r="K12147" s="3">
        <v>2094</v>
      </c>
      <c r="L12147" s="3">
        <v>1</v>
      </c>
      <c r="M12147" s="3">
        <v>588</v>
      </c>
    </row>
    <row r="12148" spans="1:13" x14ac:dyDescent="0.25">
      <c r="A12148" s="1" t="str">
        <f>HYPERLINK("http://www.rosaceae.org/Prunus/Prunus_persica/p.persica_gdr_reftransV1_0012354","p.persica_gdr_reftransV1_0012354")</f>
        <v>p.persica_gdr_reftransV1_0012354</v>
      </c>
      <c r="B12148" s="3">
        <v>1858</v>
      </c>
      <c r="C12148" s="1" t="str">
        <f>HYPERLINK("http://www.uniprot.org/uniprot/NDUA9_ARATH","NDUA9_ARATH")</f>
        <v>NDUA9_ARATH</v>
      </c>
      <c r="D12148" t="s">
        <v>8426</v>
      </c>
      <c r="E12148" s="3" t="s">
        <v>3</v>
      </c>
      <c r="F12148" s="4">
        <v>0</v>
      </c>
      <c r="G12148" s="3">
        <v>1543</v>
      </c>
      <c r="H12148" s="3">
        <v>79</v>
      </c>
      <c r="I12148" s="3">
        <v>372</v>
      </c>
      <c r="J12148" s="3">
        <v>567</v>
      </c>
      <c r="K12148" s="3">
        <v>1682</v>
      </c>
      <c r="L12148" s="3">
        <v>31</v>
      </c>
      <c r="M12148" s="3">
        <v>402</v>
      </c>
    </row>
    <row r="12149" spans="1:13" x14ac:dyDescent="0.25">
      <c r="A12149" s="1" t="str">
        <f>HYPERLINK("http://www.rosaceae.org/Prunus/Prunus_persica/p.persica_gdr_reftransV1_0012454","p.persica_gdr_reftransV1_0012454")</f>
        <v>p.persica_gdr_reftransV1_0012454</v>
      </c>
      <c r="B12149" s="3">
        <v>2913</v>
      </c>
      <c r="C12149" s="1" t="str">
        <f>HYPERLINK("http://www.uniprot.org/uniprot/CATIN_ARATH","CATIN_ARATH")</f>
        <v>CATIN_ARATH</v>
      </c>
      <c r="D12149" t="s">
        <v>8427</v>
      </c>
      <c r="E12149" s="3" t="s">
        <v>3</v>
      </c>
      <c r="F12149" s="4">
        <v>0</v>
      </c>
      <c r="G12149" s="3">
        <v>1800</v>
      </c>
      <c r="H12149" s="3">
        <v>69</v>
      </c>
      <c r="I12149" s="3">
        <v>511</v>
      </c>
      <c r="J12149" s="3">
        <v>1120</v>
      </c>
      <c r="K12149" s="3">
        <v>2499</v>
      </c>
      <c r="L12149" s="3">
        <v>201</v>
      </c>
      <c r="M12149" s="3">
        <v>710</v>
      </c>
    </row>
    <row r="12150" spans="1:13" x14ac:dyDescent="0.25">
      <c r="A12150" s="1" t="str">
        <f>HYPERLINK("http://www.rosaceae.org/Prunus/Prunus_persica/p.persica_gdr_reftransV1_0012654","p.persica_gdr_reftransV1_0012654")</f>
        <v>p.persica_gdr_reftransV1_0012654</v>
      </c>
      <c r="B12150" s="3">
        <v>846</v>
      </c>
      <c r="C12150" s="1" t="str">
        <f>HYPERLINK("http://www.uniprot.org/uniprot/ZAT11_ARATH","ZAT11_ARATH")</f>
        <v>ZAT11_ARATH</v>
      </c>
      <c r="D12150" t="s">
        <v>8428</v>
      </c>
      <c r="E12150" s="3" t="s">
        <v>3</v>
      </c>
      <c r="F12150" s="4">
        <v>6.2900000000000002E-35</v>
      </c>
      <c r="G12150" s="3">
        <v>325</v>
      </c>
      <c r="H12150" s="3">
        <v>45</v>
      </c>
      <c r="I12150" s="3">
        <v>187</v>
      </c>
      <c r="J12150" s="3">
        <v>234</v>
      </c>
      <c r="K12150" s="3">
        <v>773</v>
      </c>
      <c r="L12150" s="3">
        <v>1</v>
      </c>
      <c r="M12150" s="3">
        <v>173</v>
      </c>
    </row>
    <row r="12151" spans="1:13" x14ac:dyDescent="0.25">
      <c r="A12151" s="1" t="str">
        <f>HYPERLINK("http://www.rosaceae.org/Prunus/Prunus_persica/p.persica_gdr_reftransV1_0012704","p.persica_gdr_reftransV1_0012704")</f>
        <v>p.persica_gdr_reftransV1_0012704</v>
      </c>
      <c r="B12151" s="3">
        <v>1431</v>
      </c>
      <c r="C12151" s="1" t="str">
        <f>HYPERLINK("http://www.uniprot.org/uniprot/WUN1_SOLTU","WUN1_SOLTU")</f>
        <v>WUN1_SOLTU</v>
      </c>
      <c r="D12151" t="s">
        <v>4456</v>
      </c>
      <c r="E12151" s="3" t="s">
        <v>11</v>
      </c>
      <c r="F12151" s="4">
        <v>6.5300000000000006E-36</v>
      </c>
      <c r="G12151" s="3">
        <v>335</v>
      </c>
      <c r="H12151" s="3">
        <v>57</v>
      </c>
      <c r="I12151" s="3">
        <v>125</v>
      </c>
      <c r="J12151" s="3">
        <v>786</v>
      </c>
      <c r="K12151" s="3">
        <v>1151</v>
      </c>
      <c r="L12151" s="3">
        <v>1</v>
      </c>
      <c r="M12151" s="3">
        <v>105</v>
      </c>
    </row>
    <row r="12152" spans="1:13" x14ac:dyDescent="0.25">
      <c r="A12152" s="1" t="str">
        <f>HYPERLINK("http://www.rosaceae.org/Prunus/Prunus_persica/p.persica_gdr_reftransV1_0012804","p.persica_gdr_reftransV1_0012804")</f>
        <v>p.persica_gdr_reftransV1_0012804</v>
      </c>
      <c r="B12152" s="3">
        <v>2832</v>
      </c>
      <c r="C12152" s="1" t="str">
        <f>HYPERLINK("http://www.uniprot.org/uniprot/TC753_ARATH","TC753_ARATH")</f>
        <v>TC753_ARATH</v>
      </c>
      <c r="D12152" t="s">
        <v>8429</v>
      </c>
      <c r="E12152" s="3" t="s">
        <v>3</v>
      </c>
      <c r="F12152" s="4">
        <v>0</v>
      </c>
      <c r="G12152" s="3">
        <v>3228</v>
      </c>
      <c r="H12152" s="3">
        <v>85</v>
      </c>
      <c r="I12152" s="3">
        <v>687</v>
      </c>
      <c r="J12152" s="3">
        <v>306</v>
      </c>
      <c r="K12152" s="3">
        <v>2366</v>
      </c>
      <c r="L12152" s="3">
        <v>132</v>
      </c>
      <c r="M12152" s="3">
        <v>818</v>
      </c>
    </row>
    <row r="12153" spans="1:13" x14ac:dyDescent="0.25">
      <c r="A12153" s="1" t="str">
        <f>HYPERLINK("http://www.rosaceae.org/Prunus/Prunus_persica/p.persica_gdr_reftransV1_0013054","p.persica_gdr_reftransV1_0013054")</f>
        <v>p.persica_gdr_reftransV1_0013054</v>
      </c>
      <c r="B12153" s="3">
        <v>776</v>
      </c>
      <c r="C12153" s="1" t="str">
        <f>HYPERLINK("http://www.uniprot.org/uniprot/YLS9_ARATH","YLS9_ARATH")</f>
        <v>YLS9_ARATH</v>
      </c>
      <c r="D12153" t="s">
        <v>607</v>
      </c>
      <c r="E12153" s="3" t="s">
        <v>3</v>
      </c>
      <c r="F12153" s="4">
        <v>7.71E-26</v>
      </c>
      <c r="G12153" s="3">
        <v>264</v>
      </c>
      <c r="H12153" s="3">
        <v>45</v>
      </c>
      <c r="I12153" s="3">
        <v>133</v>
      </c>
      <c r="J12153" s="3">
        <v>42</v>
      </c>
      <c r="K12153" s="3">
        <v>437</v>
      </c>
      <c r="L12153" s="3">
        <v>52</v>
      </c>
      <c r="M12153" s="3">
        <v>181</v>
      </c>
    </row>
    <row r="12154" spans="1:13" x14ac:dyDescent="0.25">
      <c r="A12154" s="1" t="str">
        <f>HYPERLINK("http://www.rosaceae.org/Prunus/Prunus_persica/p.persica_gdr_reftransV1_0013354","p.persica_gdr_reftransV1_0013354")</f>
        <v>p.persica_gdr_reftransV1_0013354</v>
      </c>
      <c r="B12154" s="3">
        <v>1070</v>
      </c>
      <c r="C12154" s="1" t="str">
        <f>HYPERLINK("http://www.uniprot.org/uniprot/IMP1L_MOUSE","IMP1L_MOUSE")</f>
        <v>IMP1L_MOUSE</v>
      </c>
      <c r="D12154" t="s">
        <v>4641</v>
      </c>
      <c r="E12154" s="3" t="s">
        <v>157</v>
      </c>
      <c r="F12154" s="4">
        <v>3.0699999999999999E-28</v>
      </c>
      <c r="G12154" s="3">
        <v>281</v>
      </c>
      <c r="H12154" s="3">
        <v>44</v>
      </c>
      <c r="I12154" s="3">
        <v>120</v>
      </c>
      <c r="J12154" s="3">
        <v>315</v>
      </c>
      <c r="K12154" s="3">
        <v>674</v>
      </c>
      <c r="L12154" s="3">
        <v>38</v>
      </c>
      <c r="M12154" s="3">
        <v>154</v>
      </c>
    </row>
    <row r="12155" spans="1:13" x14ac:dyDescent="0.25">
      <c r="A12155" s="1" t="str">
        <f>HYPERLINK("http://www.rosaceae.org/Prunus/Prunus_persica/p.persica_gdr_reftransV1_0013404","p.persica_gdr_reftransV1_0013404")</f>
        <v>p.persica_gdr_reftransV1_0013404</v>
      </c>
      <c r="B12155" s="3">
        <v>728</v>
      </c>
      <c r="C12155" s="1" t="str">
        <f>HYPERLINK("http://www.uniprot.org/uniprot/PP414_ARATH","PP414_ARATH")</f>
        <v>PP414_ARATH</v>
      </c>
      <c r="D12155" t="s">
        <v>8430</v>
      </c>
      <c r="E12155" s="3" t="s">
        <v>3</v>
      </c>
      <c r="F12155" s="4">
        <v>5.7499999999999996E-72</v>
      </c>
      <c r="G12155" s="3">
        <v>598</v>
      </c>
      <c r="H12155" s="3">
        <v>63</v>
      </c>
      <c r="I12155" s="3">
        <v>172</v>
      </c>
      <c r="J12155" s="3">
        <v>217</v>
      </c>
      <c r="K12155" s="3">
        <v>726</v>
      </c>
      <c r="L12155" s="3">
        <v>333</v>
      </c>
      <c r="M12155" s="3">
        <v>504</v>
      </c>
    </row>
    <row r="12156" spans="1:13" x14ac:dyDescent="0.25">
      <c r="A12156" s="1" t="str">
        <f>HYPERLINK("http://www.rosaceae.org/Prunus/Prunus_persica/p.persica_gdr_reftransV1_0013454","p.persica_gdr_reftransV1_0013454")</f>
        <v>p.persica_gdr_reftransV1_0013454</v>
      </c>
      <c r="B12156" s="3">
        <v>6002</v>
      </c>
      <c r="C12156" s="1" t="str">
        <f>HYPERLINK("http://www.uniprot.org/uniprot/MCC16_ARATH","MCC16_ARATH")</f>
        <v>MCC16_ARATH</v>
      </c>
      <c r="D12156" t="s">
        <v>6087</v>
      </c>
      <c r="E12156" s="3" t="s">
        <v>3</v>
      </c>
      <c r="F12156" s="4">
        <v>6.8399999999999997E-16</v>
      </c>
      <c r="G12156" s="3">
        <v>208</v>
      </c>
      <c r="H12156" s="3">
        <v>32</v>
      </c>
      <c r="I12156" s="3">
        <v>163</v>
      </c>
      <c r="J12156" s="3">
        <v>1480</v>
      </c>
      <c r="K12156" s="3">
        <v>1968</v>
      </c>
      <c r="L12156" s="3">
        <v>8</v>
      </c>
      <c r="M12156" s="3">
        <v>160</v>
      </c>
    </row>
    <row r="12157" spans="1:13" x14ac:dyDescent="0.25">
      <c r="A12157" s="1" t="str">
        <f>HYPERLINK("http://www.rosaceae.org/Prunus/Prunus_persica/p.persica_gdr_reftransV1_0013504","p.persica_gdr_reftransV1_0013504")</f>
        <v>p.persica_gdr_reftransV1_0013504</v>
      </c>
      <c r="B12157" s="3">
        <v>1373</v>
      </c>
      <c r="C12157" s="1" t="str">
        <f>HYPERLINK("http://www.uniprot.org/uniprot/PLCD2_ARATH","PLCD2_ARATH")</f>
        <v>PLCD2_ARATH</v>
      </c>
      <c r="D12157" t="s">
        <v>5900</v>
      </c>
      <c r="E12157" s="3" t="s">
        <v>3</v>
      </c>
      <c r="F12157" s="4">
        <v>0</v>
      </c>
      <c r="G12157" s="3">
        <v>1364</v>
      </c>
      <c r="H12157" s="3">
        <v>60</v>
      </c>
      <c r="I12157" s="3">
        <v>446</v>
      </c>
      <c r="J12157" s="3">
        <v>10</v>
      </c>
      <c r="K12157" s="3">
        <v>1257</v>
      </c>
      <c r="L12157" s="3">
        <v>135</v>
      </c>
      <c r="M12157" s="3">
        <v>580</v>
      </c>
    </row>
    <row r="12158" spans="1:13" x14ac:dyDescent="0.25">
      <c r="A12158" s="1" t="str">
        <f>HYPERLINK("http://www.rosaceae.org/Prunus/Prunus_persica/p.persica_gdr_reftransV1_0013554","p.persica_gdr_reftransV1_0013554")</f>
        <v>p.persica_gdr_reftransV1_0013554</v>
      </c>
      <c r="B12158" s="3">
        <v>2128</v>
      </c>
      <c r="C12158" s="1" t="str">
        <f>HYPERLINK("http://www.uniprot.org/uniprot/YHKF_SCHPO","YHKF_SCHPO")</f>
        <v>YHKF_SCHPO</v>
      </c>
      <c r="D12158" t="s">
        <v>463</v>
      </c>
      <c r="E12158" s="3" t="s">
        <v>464</v>
      </c>
      <c r="F12158" s="4">
        <v>4.3299999999999998E-30</v>
      </c>
      <c r="G12158" s="3">
        <v>321</v>
      </c>
      <c r="H12158" s="3">
        <v>36</v>
      </c>
      <c r="I12158" s="3">
        <v>191</v>
      </c>
      <c r="J12158" s="3">
        <v>1038</v>
      </c>
      <c r="K12158" s="3">
        <v>1607</v>
      </c>
      <c r="L12158" s="3">
        <v>162</v>
      </c>
      <c r="M12158" s="3">
        <v>348</v>
      </c>
    </row>
    <row r="12159" spans="1:13" x14ac:dyDescent="0.25">
      <c r="A12159" s="1" t="str">
        <f>HYPERLINK("http://www.rosaceae.org/Prunus/Prunus_persica/p.persica_gdr_reftransV1_0013604","p.persica_gdr_reftransV1_0013604")</f>
        <v>p.persica_gdr_reftransV1_0013604</v>
      </c>
      <c r="B12159" s="3">
        <v>1008</v>
      </c>
      <c r="C12159" s="1" t="str">
        <f>HYPERLINK("http://www.uniprot.org/uniprot/Y3148_ARATH","Y3148_ARATH")</f>
        <v>Y3148_ARATH</v>
      </c>
      <c r="D12159" t="s">
        <v>953</v>
      </c>
      <c r="E12159" s="3" t="s">
        <v>3</v>
      </c>
      <c r="F12159" s="4">
        <v>6.1600000000000003E-55</v>
      </c>
      <c r="G12159" s="3">
        <v>503</v>
      </c>
      <c r="H12159" s="3">
        <v>59</v>
      </c>
      <c r="I12159" s="3">
        <v>161</v>
      </c>
      <c r="J12159" s="3">
        <v>2</v>
      </c>
      <c r="K12159" s="3">
        <v>484</v>
      </c>
      <c r="L12159" s="3">
        <v>652</v>
      </c>
      <c r="M12159" s="3">
        <v>812</v>
      </c>
    </row>
    <row r="12160" spans="1:13" x14ac:dyDescent="0.25">
      <c r="A12160" s="1" t="str">
        <f>HYPERLINK("http://www.rosaceae.org/Prunus/Prunus_persica/p.persica_gdr_reftransV1_0013704","p.persica_gdr_reftransV1_0013704")</f>
        <v>p.persica_gdr_reftransV1_0013704</v>
      </c>
      <c r="B12160" s="3">
        <v>1017</v>
      </c>
      <c r="C12160" s="1" t="str">
        <f>HYPERLINK("http://www.uniprot.org/uniprot/TL15A_ARATH","TL15A_ARATH")</f>
        <v>TL15A_ARATH</v>
      </c>
      <c r="D12160" t="s">
        <v>8431</v>
      </c>
      <c r="E12160" s="3" t="s">
        <v>3</v>
      </c>
      <c r="F12160" s="4">
        <v>3.4200000000000001E-89</v>
      </c>
      <c r="G12160" s="3">
        <v>699</v>
      </c>
      <c r="H12160" s="3">
        <v>82</v>
      </c>
      <c r="I12160" s="3">
        <v>175</v>
      </c>
      <c r="J12160" s="3">
        <v>203</v>
      </c>
      <c r="K12160" s="3">
        <v>727</v>
      </c>
      <c r="L12160" s="3">
        <v>50</v>
      </c>
      <c r="M12160" s="3">
        <v>224</v>
      </c>
    </row>
    <row r="12161" spans="1:13" x14ac:dyDescent="0.25">
      <c r="A12161" s="1" t="str">
        <f>HYPERLINK("http://www.rosaceae.org/Prunus/Prunus_persica/p.persica_gdr_reftransV1_0014104","p.persica_gdr_reftransV1_0014104")</f>
        <v>p.persica_gdr_reftransV1_0014104</v>
      </c>
      <c r="B12161" s="3">
        <v>2282</v>
      </c>
      <c r="C12161" s="1" t="str">
        <f>HYPERLINK("http://www.uniprot.org/uniprot/SYM_ORYSJ","SYM_ORYSJ")</f>
        <v>SYM_ORYSJ</v>
      </c>
      <c r="D12161" t="s">
        <v>4162</v>
      </c>
      <c r="E12161" s="3" t="s">
        <v>38</v>
      </c>
      <c r="F12161" s="4">
        <v>6.8399999999999999E-41</v>
      </c>
      <c r="G12161" s="3">
        <v>416</v>
      </c>
      <c r="H12161" s="3">
        <v>54</v>
      </c>
      <c r="I12161" s="3">
        <v>154</v>
      </c>
      <c r="J12161" s="3">
        <v>279</v>
      </c>
      <c r="K12161" s="3">
        <v>740</v>
      </c>
      <c r="L12161" s="3">
        <v>637</v>
      </c>
      <c r="M12161" s="3">
        <v>790</v>
      </c>
    </row>
    <row r="12162" spans="1:13" x14ac:dyDescent="0.25">
      <c r="A12162" s="1" t="str">
        <f>HYPERLINK("http://www.rosaceae.org/Prunus/Prunus_persica/p.persica_gdr_reftransV1_0014154","p.persica_gdr_reftransV1_0014154")</f>
        <v>p.persica_gdr_reftransV1_0014154</v>
      </c>
      <c r="B12162" s="3">
        <v>821</v>
      </c>
      <c r="C12162" s="1" t="str">
        <f>HYPERLINK("http://www.uniprot.org/uniprot/RR31_ARATH","RR31_ARATH")</f>
        <v>RR31_ARATH</v>
      </c>
      <c r="D12162" t="s">
        <v>3340</v>
      </c>
      <c r="E12162" s="3" t="s">
        <v>3</v>
      </c>
      <c r="F12162" s="4">
        <v>8.6000000000000005E-18</v>
      </c>
      <c r="G12162" s="3">
        <v>199</v>
      </c>
      <c r="H12162" s="3">
        <v>63</v>
      </c>
      <c r="I12162" s="3">
        <v>116</v>
      </c>
      <c r="J12162" s="3">
        <v>428</v>
      </c>
      <c r="K12162" s="3">
        <v>775</v>
      </c>
      <c r="L12162" s="3">
        <v>1</v>
      </c>
      <c r="M12162" s="3">
        <v>115</v>
      </c>
    </row>
    <row r="12163" spans="1:13" x14ac:dyDescent="0.25">
      <c r="A12163" s="1" t="str">
        <f>HYPERLINK("http://www.rosaceae.org/Prunus/Prunus_persica/p.persica_gdr_reftransV1_0014204","p.persica_gdr_reftransV1_0014204")</f>
        <v>p.persica_gdr_reftransV1_0014204</v>
      </c>
      <c r="B12163" s="3">
        <v>4071</v>
      </c>
      <c r="C12163" s="1" t="str">
        <f>HYPERLINK("http://www.uniprot.org/uniprot/TGFA1_BOVIN","TGFA1_BOVIN")</f>
        <v>TGFA1_BOVIN</v>
      </c>
      <c r="D12163" t="s">
        <v>8432</v>
      </c>
      <c r="E12163" s="3" t="s">
        <v>184</v>
      </c>
      <c r="F12163" s="4">
        <v>2.4999999999999999E-20</v>
      </c>
      <c r="G12163" s="3">
        <v>252</v>
      </c>
      <c r="H12163" s="3">
        <v>28</v>
      </c>
      <c r="I12163" s="3">
        <v>325</v>
      </c>
      <c r="J12163" s="3">
        <v>827</v>
      </c>
      <c r="K12163" s="3">
        <v>1771</v>
      </c>
      <c r="L12163" s="3">
        <v>538</v>
      </c>
      <c r="M12163" s="3">
        <v>842</v>
      </c>
    </row>
    <row r="12164" spans="1:13" x14ac:dyDescent="0.25">
      <c r="A12164" s="1" t="str">
        <f>HYPERLINK("http://www.rosaceae.org/Prunus/Prunus_persica/p.persica_gdr_reftransV1_0014504","p.persica_gdr_reftransV1_0014504")</f>
        <v>p.persica_gdr_reftransV1_0014504</v>
      </c>
      <c r="B12164" s="3">
        <v>1261</v>
      </c>
      <c r="C12164" s="1" t="str">
        <f>HYPERLINK("http://www.uniprot.org/uniprot/ADPPT_XENLA","ADPPT_XENLA")</f>
        <v>ADPPT_XENLA</v>
      </c>
      <c r="D12164" t="s">
        <v>8433</v>
      </c>
      <c r="E12164" s="3" t="s">
        <v>475</v>
      </c>
      <c r="F12164" s="4">
        <v>2.2899999999999999E-33</v>
      </c>
      <c r="G12164" s="3">
        <v>330</v>
      </c>
      <c r="H12164" s="3">
        <v>39</v>
      </c>
      <c r="I12164" s="3">
        <v>197</v>
      </c>
      <c r="J12164" s="3">
        <v>477</v>
      </c>
      <c r="K12164" s="3">
        <v>1031</v>
      </c>
      <c r="L12164" s="3">
        <v>53</v>
      </c>
      <c r="M12164" s="3">
        <v>243</v>
      </c>
    </row>
    <row r="12165" spans="1:13" x14ac:dyDescent="0.25">
      <c r="A12165" s="1" t="str">
        <f>HYPERLINK("http://www.rosaceae.org/Prunus/Prunus_persica/p.persica_gdr_reftransV1_0014904","p.persica_gdr_reftransV1_0014904")</f>
        <v>p.persica_gdr_reftransV1_0014904</v>
      </c>
      <c r="B12165" s="3">
        <v>1400</v>
      </c>
      <c r="C12165" s="1" t="str">
        <f>HYPERLINK("http://www.uniprot.org/uniprot/MSRA_BRANA","MSRA_BRANA")</f>
        <v>MSRA_BRANA</v>
      </c>
      <c r="D12165" t="s">
        <v>8434</v>
      </c>
      <c r="E12165" s="3" t="s">
        <v>776</v>
      </c>
      <c r="F12165" s="4">
        <v>8.1899999999999994E-120</v>
      </c>
      <c r="G12165" s="3">
        <v>918</v>
      </c>
      <c r="H12165" s="3">
        <v>66</v>
      </c>
      <c r="I12165" s="3">
        <v>257</v>
      </c>
      <c r="J12165" s="3">
        <v>190</v>
      </c>
      <c r="K12165" s="3">
        <v>957</v>
      </c>
      <c r="L12165" s="3">
        <v>1</v>
      </c>
      <c r="M12165" s="3">
        <v>257</v>
      </c>
    </row>
    <row r="12166" spans="1:13" x14ac:dyDescent="0.25">
      <c r="A12166" s="1" t="str">
        <f>HYPERLINK("http://www.rosaceae.org/Prunus/Prunus_persica/p.persica_gdr_reftransV1_0015054","p.persica_gdr_reftransV1_0015054")</f>
        <v>p.persica_gdr_reftransV1_0015054</v>
      </c>
      <c r="B12166" s="3">
        <v>3315</v>
      </c>
      <c r="C12166" s="1" t="str">
        <f>HYPERLINK("http://www.uniprot.org/uniprot/IRX9H_ARATH","IRX9H_ARATH")</f>
        <v>IRX9H_ARATH</v>
      </c>
      <c r="D12166" t="s">
        <v>3383</v>
      </c>
      <c r="E12166" s="3" t="s">
        <v>3</v>
      </c>
      <c r="F12166" s="4">
        <v>5.8100000000000001E-69</v>
      </c>
      <c r="G12166" s="3">
        <v>615</v>
      </c>
      <c r="H12166" s="3">
        <v>78</v>
      </c>
      <c r="I12166" s="3">
        <v>140</v>
      </c>
      <c r="J12166" s="3">
        <v>2208</v>
      </c>
      <c r="K12166" s="3">
        <v>2627</v>
      </c>
      <c r="L12166" s="3">
        <v>255</v>
      </c>
      <c r="M12166" s="3">
        <v>394</v>
      </c>
    </row>
    <row r="12167" spans="1:13" x14ac:dyDescent="0.25">
      <c r="A12167" s="1" t="str">
        <f>HYPERLINK("http://www.rosaceae.org/Prunus/Prunus_persica/p.persica_gdr_reftransV1_0015504","p.persica_gdr_reftransV1_0015504")</f>
        <v>p.persica_gdr_reftransV1_0015504</v>
      </c>
      <c r="B12167" s="3">
        <v>2413</v>
      </c>
      <c r="C12167" s="1" t="str">
        <f>HYPERLINK("http://www.uniprot.org/uniprot/RVE6_ARATH","RVE6_ARATH")</f>
        <v>RVE6_ARATH</v>
      </c>
      <c r="D12167" t="s">
        <v>8435</v>
      </c>
      <c r="E12167" s="3" t="s">
        <v>3</v>
      </c>
      <c r="F12167" s="4">
        <v>1.9099999999999999E-101</v>
      </c>
      <c r="G12167" s="3">
        <v>828</v>
      </c>
      <c r="H12167" s="3">
        <v>62</v>
      </c>
      <c r="I12167" s="3">
        <v>331</v>
      </c>
      <c r="J12167" s="3">
        <v>1363</v>
      </c>
      <c r="K12167" s="3">
        <v>2304</v>
      </c>
      <c r="L12167" s="3">
        <v>1</v>
      </c>
      <c r="M12167" s="3">
        <v>325</v>
      </c>
    </row>
    <row r="12168" spans="1:13" x14ac:dyDescent="0.25">
      <c r="A12168" s="1" t="str">
        <f>HYPERLINK("http://www.rosaceae.org/Prunus/Prunus_persica/p.persica_gdr_reftransV1_0015554","p.persica_gdr_reftransV1_0015554")</f>
        <v>p.persica_gdr_reftransV1_0015554</v>
      </c>
      <c r="B12168" s="3">
        <v>495</v>
      </c>
      <c r="C12168" s="1" t="str">
        <f>HYPERLINK("http://www.uniprot.org/uniprot/PP169_ARATH","PP169_ARATH")</f>
        <v>PP169_ARATH</v>
      </c>
      <c r="D12168" t="s">
        <v>1957</v>
      </c>
      <c r="E12168" s="3" t="s">
        <v>3</v>
      </c>
      <c r="F12168" s="4">
        <v>1.5E-57</v>
      </c>
      <c r="G12168" s="3">
        <v>497</v>
      </c>
      <c r="H12168" s="3">
        <v>56</v>
      </c>
      <c r="I12168" s="3">
        <v>163</v>
      </c>
      <c r="J12168" s="3">
        <v>3</v>
      </c>
      <c r="K12168" s="3">
        <v>491</v>
      </c>
      <c r="L12168" s="3">
        <v>178</v>
      </c>
      <c r="M12168" s="3">
        <v>340</v>
      </c>
    </row>
    <row r="12169" spans="1:13" x14ac:dyDescent="0.25">
      <c r="A12169" s="1" t="str">
        <f>HYPERLINK("http://www.rosaceae.org/Prunus/Prunus_persica/p.persica_gdr_reftransV1_0015704","p.persica_gdr_reftransV1_0015704")</f>
        <v>p.persica_gdr_reftransV1_0015704</v>
      </c>
      <c r="B12169" s="3">
        <v>2242</v>
      </c>
      <c r="C12169" s="1" t="str">
        <f>HYPERLINK("http://www.uniprot.org/uniprot/OTU1_DANRE","OTU1_DANRE")</f>
        <v>OTU1_DANRE</v>
      </c>
      <c r="D12169" t="s">
        <v>8436</v>
      </c>
      <c r="E12169" s="3" t="s">
        <v>704</v>
      </c>
      <c r="F12169" s="4">
        <v>1.85E-38</v>
      </c>
      <c r="G12169" s="3">
        <v>377</v>
      </c>
      <c r="H12169" s="3">
        <v>56</v>
      </c>
      <c r="I12169" s="3">
        <v>132</v>
      </c>
      <c r="J12169" s="3">
        <v>1704</v>
      </c>
      <c r="K12169" s="3">
        <v>2084</v>
      </c>
      <c r="L12169" s="3">
        <v>101</v>
      </c>
      <c r="M12169" s="3">
        <v>232</v>
      </c>
    </row>
    <row r="12170" spans="1:13" x14ac:dyDescent="0.25">
      <c r="A12170" s="1" t="str">
        <f>HYPERLINK("http://www.rosaceae.org/Prunus/Prunus_persica/p.persica_gdr_reftransV1_0015754","p.persica_gdr_reftransV1_0015754")</f>
        <v>p.persica_gdr_reftransV1_0015754</v>
      </c>
      <c r="B12170" s="3">
        <v>1372</v>
      </c>
      <c r="C12170" s="1" t="str">
        <f>HYPERLINK("http://www.uniprot.org/uniprot/CCI1_ARATH","CCI1_ARATH")</f>
        <v>CCI1_ARATH</v>
      </c>
      <c r="D12170" t="s">
        <v>8437</v>
      </c>
      <c r="E12170" s="3" t="s">
        <v>3</v>
      </c>
      <c r="F12170" s="4">
        <v>4.3200000000000001E-165</v>
      </c>
      <c r="G12170" s="3">
        <v>1219</v>
      </c>
      <c r="H12170" s="3">
        <v>82</v>
      </c>
      <c r="I12170" s="3">
        <v>279</v>
      </c>
      <c r="J12170" s="3">
        <v>170</v>
      </c>
      <c r="K12170" s="3">
        <v>1006</v>
      </c>
      <c r="L12170" s="3">
        <v>2</v>
      </c>
      <c r="M12170" s="3">
        <v>280</v>
      </c>
    </row>
    <row r="12171" spans="1:13" x14ac:dyDescent="0.25">
      <c r="A12171" s="1" t="str">
        <f>HYPERLINK("http://www.rosaceae.org/Prunus/Prunus_persica/p.persica_gdr_reftransV1_0015804","p.persica_gdr_reftransV1_0015804")</f>
        <v>p.persica_gdr_reftransV1_0015804</v>
      </c>
      <c r="B12171" s="3">
        <v>3184</v>
      </c>
      <c r="C12171" s="1" t="str">
        <f>HYPERLINK("http://www.uniprot.org/uniprot/CRCK3_ARATH","CRCK3_ARATH")</f>
        <v>CRCK3_ARATH</v>
      </c>
      <c r="D12171" t="s">
        <v>8438</v>
      </c>
      <c r="E12171" s="3" t="s">
        <v>3</v>
      </c>
      <c r="F12171" s="4">
        <v>0</v>
      </c>
      <c r="G12171" s="3">
        <v>1462</v>
      </c>
      <c r="H12171" s="3">
        <v>59</v>
      </c>
      <c r="I12171" s="3">
        <v>511</v>
      </c>
      <c r="J12171" s="3">
        <v>1073</v>
      </c>
      <c r="K12171" s="3">
        <v>2569</v>
      </c>
      <c r="L12171" s="3">
        <v>10</v>
      </c>
      <c r="M12171" s="3">
        <v>506</v>
      </c>
    </row>
    <row r="12172" spans="1:13" x14ac:dyDescent="0.25">
      <c r="A12172" s="1" t="str">
        <f>HYPERLINK("http://www.rosaceae.org/Prunus/Prunus_persica/p.persica_gdr_reftransV1_0016054","p.persica_gdr_reftransV1_0016054")</f>
        <v>p.persica_gdr_reftransV1_0016054</v>
      </c>
      <c r="B12172" s="3">
        <v>1646</v>
      </c>
      <c r="C12172" s="1" t="str">
        <f>HYPERLINK("http://www.uniprot.org/uniprot/NFYA7_ARATH","NFYA7_ARATH")</f>
        <v>NFYA7_ARATH</v>
      </c>
      <c r="D12172" t="s">
        <v>6587</v>
      </c>
      <c r="E12172" s="3" t="s">
        <v>3</v>
      </c>
      <c r="F12172" s="4">
        <v>1.3699999999999999E-34</v>
      </c>
      <c r="G12172" s="3">
        <v>334</v>
      </c>
      <c r="H12172" s="3">
        <v>56</v>
      </c>
      <c r="I12172" s="3">
        <v>137</v>
      </c>
      <c r="J12172" s="3">
        <v>736</v>
      </c>
      <c r="K12172" s="3">
        <v>1140</v>
      </c>
      <c r="L12172" s="3">
        <v>52</v>
      </c>
      <c r="M12172" s="3">
        <v>187</v>
      </c>
    </row>
    <row r="12173" spans="1:13" x14ac:dyDescent="0.25">
      <c r="A12173" s="1" t="str">
        <f>HYPERLINK("http://www.rosaceae.org/Prunus/Prunus_persica/p.persica_gdr_reftransV1_0016104","p.persica_gdr_reftransV1_0016104")</f>
        <v>p.persica_gdr_reftransV1_0016104</v>
      </c>
      <c r="B12173" s="3">
        <v>953</v>
      </c>
      <c r="C12173" s="1" t="str">
        <f>HYPERLINK("http://www.uniprot.org/uniprot/VATF_ARATH","VATF_ARATH")</f>
        <v>VATF_ARATH</v>
      </c>
      <c r="D12173" t="s">
        <v>8439</v>
      </c>
      <c r="E12173" s="3" t="s">
        <v>3</v>
      </c>
      <c r="F12173" s="4">
        <v>3.71E-73</v>
      </c>
      <c r="G12173" s="3">
        <v>581</v>
      </c>
      <c r="H12173" s="3">
        <v>83</v>
      </c>
      <c r="I12173" s="3">
        <v>127</v>
      </c>
      <c r="J12173" s="3">
        <v>129</v>
      </c>
      <c r="K12173" s="3">
        <v>509</v>
      </c>
      <c r="L12173" s="3">
        <v>1</v>
      </c>
      <c r="M12173" s="3">
        <v>127</v>
      </c>
    </row>
    <row r="12174" spans="1:13" x14ac:dyDescent="0.25">
      <c r="A12174" s="1" t="str">
        <f>HYPERLINK("http://www.rosaceae.org/Prunus/Prunus_persica/p.persica_gdr_reftransV1_0016354","p.persica_gdr_reftransV1_0016354")</f>
        <v>p.persica_gdr_reftransV1_0016354</v>
      </c>
      <c r="B12174" s="3">
        <v>1569</v>
      </c>
      <c r="C12174" s="1" t="str">
        <f>HYPERLINK("http://www.uniprot.org/uniprot/RAVL1_ARATH","RAVL1_ARATH")</f>
        <v>RAVL1_ARATH</v>
      </c>
      <c r="D12174" t="s">
        <v>8440</v>
      </c>
      <c r="E12174" s="3" t="s">
        <v>3</v>
      </c>
      <c r="F12174" s="4">
        <v>3.1499999999999998E-121</v>
      </c>
      <c r="G12174" s="3">
        <v>942</v>
      </c>
      <c r="H12174" s="3">
        <v>62</v>
      </c>
      <c r="I12174" s="3">
        <v>334</v>
      </c>
      <c r="J12174" s="3">
        <v>277</v>
      </c>
      <c r="K12174" s="3">
        <v>1269</v>
      </c>
      <c r="L12174" s="3">
        <v>33</v>
      </c>
      <c r="M12174" s="3">
        <v>323</v>
      </c>
    </row>
    <row r="12175" spans="1:13" x14ac:dyDescent="0.25">
      <c r="A12175" s="1" t="str">
        <f>HYPERLINK("http://www.rosaceae.org/Prunus/Prunus_persica/p.persica_gdr_reftransV1_0016404","p.persica_gdr_reftransV1_0016404")</f>
        <v>p.persica_gdr_reftransV1_0016404</v>
      </c>
      <c r="B12175" s="3">
        <v>1385</v>
      </c>
      <c r="C12175" s="1" t="str">
        <f>HYPERLINK("http://www.uniprot.org/uniprot/AVT1_YEAST","AVT1_YEAST")</f>
        <v>AVT1_YEAST</v>
      </c>
      <c r="D12175" t="s">
        <v>80</v>
      </c>
      <c r="E12175" s="3" t="s">
        <v>34</v>
      </c>
      <c r="F12175" s="4">
        <v>4.7999999999999998E-34</v>
      </c>
      <c r="G12175" s="3">
        <v>347</v>
      </c>
      <c r="H12175" s="3">
        <v>28</v>
      </c>
      <c r="I12175" s="3">
        <v>370</v>
      </c>
      <c r="J12175" s="3">
        <v>86</v>
      </c>
      <c r="K12175" s="3">
        <v>1123</v>
      </c>
      <c r="L12175" s="3">
        <v>212</v>
      </c>
      <c r="M12175" s="3">
        <v>568</v>
      </c>
    </row>
    <row r="12176" spans="1:13" x14ac:dyDescent="0.25">
      <c r="A12176" s="1" t="str">
        <f>HYPERLINK("http://www.rosaceae.org/Prunus/Prunus_persica/p.persica_gdr_reftransV1_0016554","p.persica_gdr_reftransV1_0016554")</f>
        <v>p.persica_gdr_reftransV1_0016554</v>
      </c>
      <c r="B12176" s="3">
        <v>1323</v>
      </c>
      <c r="C12176" s="1" t="str">
        <f>HYPERLINK("http://www.uniprot.org/uniprot/YUid_BACSU","YUid_BACSU")</f>
        <v>YUid_BACSU</v>
      </c>
      <c r="D12176" t="s">
        <v>1629</v>
      </c>
      <c r="E12176" s="3" t="s">
        <v>1630</v>
      </c>
      <c r="F12176" s="4">
        <v>2.35E-7</v>
      </c>
      <c r="G12176" s="3">
        <v>128</v>
      </c>
      <c r="H12176" s="3">
        <v>34</v>
      </c>
      <c r="I12176" s="3">
        <v>103</v>
      </c>
      <c r="J12176" s="3">
        <v>249</v>
      </c>
      <c r="K12176" s="3">
        <v>554</v>
      </c>
      <c r="L12176" s="3">
        <v>9</v>
      </c>
      <c r="M12176" s="3">
        <v>109</v>
      </c>
    </row>
    <row r="12177" spans="1:13" x14ac:dyDescent="0.25">
      <c r="A12177" s="1" t="str">
        <f>HYPERLINK("http://www.rosaceae.org/Prunus/Prunus_persica/p.persica_gdr_reftransV1_0016754","p.persica_gdr_reftransV1_0016754")</f>
        <v>p.persica_gdr_reftransV1_0016754</v>
      </c>
      <c r="B12177" s="3">
        <v>539</v>
      </c>
      <c r="C12177" s="1" t="str">
        <f>HYPERLINK("http://www.uniprot.org/uniprot/PP151_ARATH","PP151_ARATH")</f>
        <v>PP151_ARATH</v>
      </c>
      <c r="D12177" t="s">
        <v>1204</v>
      </c>
      <c r="E12177" s="3" t="s">
        <v>3</v>
      </c>
      <c r="F12177" s="4">
        <v>2.2399999999999999E-24</v>
      </c>
      <c r="G12177" s="3">
        <v>259</v>
      </c>
      <c r="H12177" s="3">
        <v>33</v>
      </c>
      <c r="I12177" s="3">
        <v>175</v>
      </c>
      <c r="J12177" s="3">
        <v>3</v>
      </c>
      <c r="K12177" s="3">
        <v>434</v>
      </c>
      <c r="L12177" s="3">
        <v>40</v>
      </c>
      <c r="M12177" s="3">
        <v>213</v>
      </c>
    </row>
    <row r="12178" spans="1:13" x14ac:dyDescent="0.25">
      <c r="A12178" s="1" t="str">
        <f>HYPERLINK("http://www.rosaceae.org/Prunus/Prunus_persica/p.persica_gdr_reftransV1_0016904","p.persica_gdr_reftransV1_0016904")</f>
        <v>p.persica_gdr_reftransV1_0016904</v>
      </c>
      <c r="B12178" s="3">
        <v>1297</v>
      </c>
      <c r="C12178" s="1" t="str">
        <f>HYPERLINK("http://www.uniprot.org/uniprot/AIR12_ARATH","AIR12_ARATH")</f>
        <v>AIR12_ARATH</v>
      </c>
      <c r="D12178" t="s">
        <v>4342</v>
      </c>
      <c r="E12178" s="3" t="s">
        <v>3</v>
      </c>
      <c r="F12178" s="4">
        <v>2.2699999999999999E-49</v>
      </c>
      <c r="G12178" s="3">
        <v>441</v>
      </c>
      <c r="H12178" s="3">
        <v>58</v>
      </c>
      <c r="I12178" s="3">
        <v>159</v>
      </c>
      <c r="J12178" s="3">
        <v>627</v>
      </c>
      <c r="K12178" s="3">
        <v>1094</v>
      </c>
      <c r="L12178" s="3">
        <v>29</v>
      </c>
      <c r="M12178" s="3">
        <v>185</v>
      </c>
    </row>
    <row r="12179" spans="1:13" x14ac:dyDescent="0.25">
      <c r="A12179" s="1" t="str">
        <f>HYPERLINK("http://www.rosaceae.org/Prunus/Prunus_persica/p.persica_gdr_reftransV1_0016954","p.persica_gdr_reftransV1_0016954")</f>
        <v>p.persica_gdr_reftransV1_0016954</v>
      </c>
      <c r="B12179" s="3">
        <v>534</v>
      </c>
      <c r="C12179" s="1" t="str">
        <f>HYPERLINK("http://www.uniprot.org/uniprot/RHN1_NICPL","RHN1_NICPL")</f>
        <v>RHN1_NICPL</v>
      </c>
      <c r="D12179" t="s">
        <v>8441</v>
      </c>
      <c r="E12179" s="3" t="s">
        <v>1450</v>
      </c>
      <c r="F12179" s="4">
        <v>8.1699999999999997E-52</v>
      </c>
      <c r="G12179" s="3">
        <v>432</v>
      </c>
      <c r="H12179" s="3">
        <v>73</v>
      </c>
      <c r="I12179" s="3">
        <v>112</v>
      </c>
      <c r="J12179" s="3">
        <v>116</v>
      </c>
      <c r="K12179" s="3">
        <v>451</v>
      </c>
      <c r="L12179" s="3">
        <v>1</v>
      </c>
      <c r="M12179" s="3">
        <v>112</v>
      </c>
    </row>
    <row r="12180" spans="1:13" x14ac:dyDescent="0.25">
      <c r="A12180" s="1" t="str">
        <f>HYPERLINK("http://www.rosaceae.org/Prunus/Prunus_persica/p.persica_gdr_reftransV1_0017054","p.persica_gdr_reftransV1_0017054")</f>
        <v>p.persica_gdr_reftransV1_0017054</v>
      </c>
      <c r="B12180" s="3">
        <v>2522</v>
      </c>
      <c r="C12180" s="1" t="str">
        <f>HYPERLINK("http://www.uniprot.org/uniprot/CAAT1_ARATH","CAAT1_ARATH")</f>
        <v>CAAT1_ARATH</v>
      </c>
      <c r="D12180" t="s">
        <v>8442</v>
      </c>
      <c r="E12180" s="3" t="s">
        <v>3</v>
      </c>
      <c r="F12180" s="4">
        <v>0</v>
      </c>
      <c r="G12180" s="3">
        <v>2085</v>
      </c>
      <c r="H12180" s="3">
        <v>74</v>
      </c>
      <c r="I12180" s="3">
        <v>573</v>
      </c>
      <c r="J12180" s="3">
        <v>327</v>
      </c>
      <c r="K12180" s="3">
        <v>2042</v>
      </c>
      <c r="L12180" s="3">
        <v>2</v>
      </c>
      <c r="M12180" s="3">
        <v>574</v>
      </c>
    </row>
    <row r="12181" spans="1:13" x14ac:dyDescent="0.25">
      <c r="A12181" s="1" t="str">
        <f>HYPERLINK("http://www.rosaceae.org/Prunus/Prunus_persica/p.persica_gdr_reftransV1_0017254","p.persica_gdr_reftransV1_0017254")</f>
        <v>p.persica_gdr_reftransV1_0017254</v>
      </c>
      <c r="B12181" s="3">
        <v>3409</v>
      </c>
      <c r="C12181" s="1" t="str">
        <f>HYPERLINK("http://www.uniprot.org/uniprot/PP444_ARATH","PP444_ARATH")</f>
        <v>PP444_ARATH</v>
      </c>
      <c r="D12181" t="s">
        <v>8323</v>
      </c>
      <c r="E12181" s="3" t="s">
        <v>3</v>
      </c>
      <c r="F12181" s="4">
        <v>0</v>
      </c>
      <c r="G12181" s="3">
        <v>2287</v>
      </c>
      <c r="H12181" s="3">
        <v>60</v>
      </c>
      <c r="I12181" s="3">
        <v>724</v>
      </c>
      <c r="J12181" s="3">
        <v>974</v>
      </c>
      <c r="K12181" s="3">
        <v>3133</v>
      </c>
      <c r="L12181" s="3">
        <v>2</v>
      </c>
      <c r="M12181" s="3">
        <v>725</v>
      </c>
    </row>
    <row r="12182" spans="1:13" x14ac:dyDescent="0.25">
      <c r="A12182" s="1" t="str">
        <f>HYPERLINK("http://www.rosaceae.org/Prunus/Prunus_persica/p.persica_gdr_reftransV1_0017604","p.persica_gdr_reftransV1_0017604")</f>
        <v>p.persica_gdr_reftransV1_0017604</v>
      </c>
      <c r="B12182" s="3">
        <v>1802</v>
      </c>
      <c r="C12182" s="1" t="str">
        <f>HYPERLINK("http://www.uniprot.org/uniprot/WRK35_ARATH","WRK35_ARATH")</f>
        <v>WRK35_ARATH</v>
      </c>
      <c r="D12182" t="s">
        <v>8443</v>
      </c>
      <c r="E12182" s="3" t="s">
        <v>3</v>
      </c>
      <c r="F12182" s="4">
        <v>7.9700000000000004E-14</v>
      </c>
      <c r="G12182" s="3">
        <v>189</v>
      </c>
      <c r="H12182" s="3">
        <v>78</v>
      </c>
      <c r="I12182" s="3">
        <v>41</v>
      </c>
      <c r="J12182" s="3">
        <v>1008</v>
      </c>
      <c r="K12182" s="3">
        <v>1130</v>
      </c>
      <c r="L12182" s="3">
        <v>235</v>
      </c>
      <c r="M12182" s="3">
        <v>275</v>
      </c>
    </row>
    <row r="12183" spans="1:13" x14ac:dyDescent="0.25">
      <c r="A12183" s="1" t="str">
        <f>HYPERLINK("http://www.rosaceae.org/Prunus/Prunus_persica/p.persica_gdr_reftransV1_0018054","p.persica_gdr_reftransV1_0018054")</f>
        <v>p.persica_gdr_reftransV1_0018054</v>
      </c>
      <c r="B12183" s="3">
        <v>924</v>
      </c>
      <c r="C12183" s="1" t="str">
        <f>HYPERLINK("http://www.uniprot.org/uniprot/CAP2_ARATH","CAP2_ARATH")</f>
        <v>CAP2_ARATH</v>
      </c>
      <c r="D12183" t="s">
        <v>5631</v>
      </c>
      <c r="E12183" s="3" t="s">
        <v>3</v>
      </c>
      <c r="F12183" s="4">
        <v>1.06E-88</v>
      </c>
      <c r="G12183" s="3">
        <v>727</v>
      </c>
      <c r="H12183" s="3">
        <v>84</v>
      </c>
      <c r="I12183" s="3">
        <v>160</v>
      </c>
      <c r="J12183" s="3">
        <v>431</v>
      </c>
      <c r="K12183" s="3">
        <v>910</v>
      </c>
      <c r="L12183" s="3">
        <v>1</v>
      </c>
      <c r="M12183" s="3">
        <v>159</v>
      </c>
    </row>
    <row r="12184" spans="1:13" x14ac:dyDescent="0.25">
      <c r="A12184" s="1" t="str">
        <f>HYPERLINK("http://www.rosaceae.org/Prunus/Prunus_persica/p.persica_gdr_reftransV1_0018154","p.persica_gdr_reftransV1_0018154")</f>
        <v>p.persica_gdr_reftransV1_0018154</v>
      </c>
      <c r="B12184" s="3">
        <v>2374</v>
      </c>
      <c r="C12184" s="1" t="str">
        <f>HYPERLINK("http://www.uniprot.org/uniprot/SYYM_ARATH","SYYM_ARATH")</f>
        <v>SYYM_ARATH</v>
      </c>
      <c r="D12184" t="s">
        <v>8444</v>
      </c>
      <c r="E12184" s="3" t="s">
        <v>3</v>
      </c>
      <c r="F12184" s="4">
        <v>0</v>
      </c>
      <c r="G12184" s="3">
        <v>1682</v>
      </c>
      <c r="H12184" s="3">
        <v>69</v>
      </c>
      <c r="I12184" s="3">
        <v>493</v>
      </c>
      <c r="J12184" s="3">
        <v>322</v>
      </c>
      <c r="K12184" s="3">
        <v>1740</v>
      </c>
      <c r="L12184" s="3">
        <v>19</v>
      </c>
      <c r="M12184" s="3">
        <v>510</v>
      </c>
    </row>
    <row r="12185" spans="1:13" x14ac:dyDescent="0.25">
      <c r="A12185" s="1" t="str">
        <f>HYPERLINK("http://www.rosaceae.org/Prunus/Prunus_persica/p.persica_gdr_reftransV1_0018504","p.persica_gdr_reftransV1_0018504")</f>
        <v>p.persica_gdr_reftransV1_0018504</v>
      </c>
      <c r="B12185" s="3">
        <v>1896</v>
      </c>
      <c r="C12185" s="1" t="str">
        <f>HYPERLINK("http://www.uniprot.org/uniprot/CRK_DAUCA","CRK_DAUCA")</f>
        <v>CRK_DAUCA</v>
      </c>
      <c r="D12185" t="s">
        <v>5309</v>
      </c>
      <c r="E12185" s="3" t="s">
        <v>32</v>
      </c>
      <c r="F12185" s="4">
        <v>0</v>
      </c>
      <c r="G12185" s="3">
        <v>764</v>
      </c>
      <c r="H12185" s="3">
        <v>87</v>
      </c>
      <c r="I12185" s="3">
        <v>159</v>
      </c>
      <c r="J12185" s="3">
        <v>3</v>
      </c>
      <c r="K12185" s="3">
        <v>479</v>
      </c>
      <c r="L12185" s="3">
        <v>148</v>
      </c>
      <c r="M12185" s="3">
        <v>306</v>
      </c>
    </row>
    <row r="12186" spans="1:13" x14ac:dyDescent="0.25">
      <c r="A12186" s="1" t="str">
        <f>HYPERLINK("http://www.rosaceae.org/Prunus/Prunus_persica/p.persica_gdr_reftransV1_0018554","p.persica_gdr_reftransV1_0018554")</f>
        <v>p.persica_gdr_reftransV1_0018554</v>
      </c>
      <c r="B12186" s="3">
        <v>1552</v>
      </c>
      <c r="C12186" s="1" t="str">
        <f>HYPERLINK("http://www.uniprot.org/uniprot/R35A1_ARATH","R35A1_ARATH")</f>
        <v>R35A1_ARATH</v>
      </c>
      <c r="D12186" t="s">
        <v>7049</v>
      </c>
      <c r="E12186" s="3" t="s">
        <v>3</v>
      </c>
      <c r="F12186" s="4">
        <v>2.5000000000000002E-64</v>
      </c>
      <c r="G12186" s="3">
        <v>536</v>
      </c>
      <c r="H12186" s="3">
        <v>87</v>
      </c>
      <c r="I12186" s="3">
        <v>112</v>
      </c>
      <c r="J12186" s="3">
        <v>1173</v>
      </c>
      <c r="K12186" s="3">
        <v>1508</v>
      </c>
      <c r="L12186" s="3">
        <v>1</v>
      </c>
      <c r="M12186" s="3">
        <v>112</v>
      </c>
    </row>
    <row r="12187" spans="1:13" x14ac:dyDescent="0.25">
      <c r="A12187" s="1" t="str">
        <f>HYPERLINK("http://www.rosaceae.org/Prunus/Prunus_persica/p.persica_gdr_reftransV1_0018654","p.persica_gdr_reftransV1_0018654")</f>
        <v>p.persica_gdr_reftransV1_0018654</v>
      </c>
      <c r="B12187" s="3">
        <v>3082</v>
      </c>
      <c r="C12187" s="1" t="str">
        <f>HYPERLINK("http://www.uniprot.org/uniprot/LISC_RICCO","LISC_RICCO")</f>
        <v>LISC_RICCO</v>
      </c>
      <c r="D12187" t="s">
        <v>8445</v>
      </c>
      <c r="E12187" s="3" t="s">
        <v>421</v>
      </c>
      <c r="F12187" s="4">
        <v>9.6299999999999996E-109</v>
      </c>
      <c r="G12187" s="3">
        <v>895</v>
      </c>
      <c r="H12187" s="3">
        <v>85</v>
      </c>
      <c r="I12187" s="3">
        <v>189</v>
      </c>
      <c r="J12187" s="3">
        <v>2096</v>
      </c>
      <c r="K12187" s="3">
        <v>2662</v>
      </c>
      <c r="L12187" s="3">
        <v>55</v>
      </c>
      <c r="M12187" s="3">
        <v>243</v>
      </c>
    </row>
    <row r="12188" spans="1:13" x14ac:dyDescent="0.25">
      <c r="A12188" s="1" t="str">
        <f>HYPERLINK("http://www.rosaceae.org/Prunus/Prunus_persica/p.persica_gdr_reftransV1_0018954","p.persica_gdr_reftransV1_0018954")</f>
        <v>p.persica_gdr_reftransV1_0018954</v>
      </c>
      <c r="B12188" s="3">
        <v>709</v>
      </c>
      <c r="C12188" s="1" t="str">
        <f>HYPERLINK("http://www.uniprot.org/uniprot/GT7_ARATH","GT7_ARATH")</f>
        <v>GT7_ARATH</v>
      </c>
      <c r="D12188" t="s">
        <v>8446</v>
      </c>
      <c r="E12188" s="3" t="s">
        <v>3</v>
      </c>
      <c r="F12188" s="4">
        <v>1.8099999999999999E-64</v>
      </c>
      <c r="G12188" s="3">
        <v>542</v>
      </c>
      <c r="H12188" s="3">
        <v>52</v>
      </c>
      <c r="I12188" s="3">
        <v>202</v>
      </c>
      <c r="J12188" s="3">
        <v>3</v>
      </c>
      <c r="K12188" s="3">
        <v>593</v>
      </c>
      <c r="L12188" s="3">
        <v>9</v>
      </c>
      <c r="M12188" s="3">
        <v>209</v>
      </c>
    </row>
    <row r="12189" spans="1:13" x14ac:dyDescent="0.25">
      <c r="A12189" s="1" t="str">
        <f>HYPERLINK("http://www.rosaceae.org/Prunus/Prunus_persica/p.persica_gdr_reftransV1_0019004","p.persica_gdr_reftransV1_0019004")</f>
        <v>p.persica_gdr_reftransV1_0019004</v>
      </c>
      <c r="B12189" s="3">
        <v>1365</v>
      </c>
      <c r="C12189" s="1" t="str">
        <f>HYPERLINK("http://www.uniprot.org/uniprot/CNGC1_ARATH","CNGC1_ARATH")</f>
        <v>CNGC1_ARATH</v>
      </c>
      <c r="D12189" t="s">
        <v>241</v>
      </c>
      <c r="E12189" s="3" t="s">
        <v>3</v>
      </c>
      <c r="F12189" s="4">
        <v>5.2699999999999997E-56</v>
      </c>
      <c r="G12189" s="3">
        <v>515</v>
      </c>
      <c r="H12189" s="3">
        <v>33</v>
      </c>
      <c r="I12189" s="3">
        <v>460</v>
      </c>
      <c r="J12189" s="3">
        <v>157</v>
      </c>
      <c r="K12189" s="3">
        <v>1365</v>
      </c>
      <c r="L12189" s="3">
        <v>192</v>
      </c>
      <c r="M12189" s="3">
        <v>637</v>
      </c>
    </row>
    <row r="12190" spans="1:13" x14ac:dyDescent="0.25">
      <c r="A12190" s="1" t="str">
        <f>HYPERLINK("http://www.rosaceae.org/Prunus/Prunus_persica/p.persica_gdr_reftransV1_0019054","p.persica_gdr_reftransV1_0019054")</f>
        <v>p.persica_gdr_reftransV1_0019054</v>
      </c>
      <c r="B12190" s="3">
        <v>1930</v>
      </c>
      <c r="C12190" s="1" t="str">
        <f>HYPERLINK("http://www.uniprot.org/uniprot/CNBLA_ARATH","CNBLA_ARATH")</f>
        <v>CNBLA_ARATH</v>
      </c>
      <c r="D12190" t="s">
        <v>677</v>
      </c>
      <c r="E12190" s="3" t="s">
        <v>3</v>
      </c>
      <c r="F12190" s="4">
        <v>9.8200000000000004E-101</v>
      </c>
      <c r="G12190" s="3">
        <v>805</v>
      </c>
      <c r="H12190" s="3">
        <v>60</v>
      </c>
      <c r="I12190" s="3">
        <v>275</v>
      </c>
      <c r="J12190" s="3">
        <v>537</v>
      </c>
      <c r="K12190" s="3">
        <v>1358</v>
      </c>
      <c r="L12190" s="3">
        <v>14</v>
      </c>
      <c r="M12190" s="3">
        <v>252</v>
      </c>
    </row>
    <row r="12191" spans="1:13" x14ac:dyDescent="0.25">
      <c r="A12191" s="1" t="str">
        <f>HYPERLINK("http://www.rosaceae.org/Prunus/Prunus_persica/p.persica_gdr_reftransV1_0019254","p.persica_gdr_reftransV1_0019254")</f>
        <v>p.persica_gdr_reftransV1_0019254</v>
      </c>
      <c r="B12191" s="3">
        <v>765</v>
      </c>
      <c r="C12191" s="1" t="str">
        <f>HYPERLINK("http://www.uniprot.org/uniprot/ADS3_ARATH","ADS3_ARATH")</f>
        <v>ADS3_ARATH</v>
      </c>
      <c r="D12191" t="s">
        <v>2103</v>
      </c>
      <c r="E12191" s="3" t="s">
        <v>3</v>
      </c>
      <c r="F12191" s="4">
        <v>6.1200000000000003E-124</v>
      </c>
      <c r="G12191" s="3">
        <v>934</v>
      </c>
      <c r="H12191" s="3">
        <v>83</v>
      </c>
      <c r="I12191" s="3">
        <v>194</v>
      </c>
      <c r="J12191" s="3">
        <v>1</v>
      </c>
      <c r="K12191" s="3">
        <v>582</v>
      </c>
      <c r="L12191" s="3">
        <v>173</v>
      </c>
      <c r="M12191" s="3">
        <v>366</v>
      </c>
    </row>
    <row r="12192" spans="1:13" x14ac:dyDescent="0.25">
      <c r="A12192" s="1" t="str">
        <f>HYPERLINK("http://www.rosaceae.org/Prunus/Prunus_persica/p.persica_gdr_reftransV1_0019654","p.persica_gdr_reftransV1_0019654")</f>
        <v>p.persica_gdr_reftransV1_0019654</v>
      </c>
      <c r="B12192" s="3">
        <v>3425</v>
      </c>
      <c r="C12192" s="1" t="str">
        <f>HYPERLINK("http://www.uniprot.org/uniprot/AGO4_ARATH","AGO4_ARATH")</f>
        <v>AGO4_ARATH</v>
      </c>
      <c r="D12192" t="s">
        <v>8447</v>
      </c>
      <c r="E12192" s="3" t="s">
        <v>3</v>
      </c>
      <c r="F12192" s="4">
        <v>0</v>
      </c>
      <c r="G12192" s="3">
        <v>2918</v>
      </c>
      <c r="H12192" s="3">
        <v>74</v>
      </c>
      <c r="I12192" s="3">
        <v>718</v>
      </c>
      <c r="J12192" s="3">
        <v>372</v>
      </c>
      <c r="K12192" s="3">
        <v>2519</v>
      </c>
      <c r="L12192" s="3">
        <v>49</v>
      </c>
      <c r="M12192" s="3">
        <v>765</v>
      </c>
    </row>
    <row r="12193" spans="1:13" x14ac:dyDescent="0.25">
      <c r="A12193" s="1" t="str">
        <f>HYPERLINK("http://www.rosaceae.org/Prunus/Prunus_persica/p.persica_gdr_reftransV1_0019804","p.persica_gdr_reftransV1_0019804")</f>
        <v>p.persica_gdr_reftransV1_0019804</v>
      </c>
      <c r="B12193" s="3">
        <v>2106</v>
      </c>
      <c r="C12193" s="1" t="str">
        <f>HYPERLINK("http://www.uniprot.org/uniprot/TPS4_RICCO","TPS4_RICCO")</f>
        <v>TPS4_RICCO</v>
      </c>
      <c r="D12193" t="s">
        <v>5640</v>
      </c>
      <c r="E12193" s="3" t="s">
        <v>421</v>
      </c>
      <c r="F12193" s="4">
        <v>8.3899999999999994E-152</v>
      </c>
      <c r="G12193" s="3">
        <v>840</v>
      </c>
      <c r="H12193" s="3">
        <v>50</v>
      </c>
      <c r="I12193" s="3">
        <v>331</v>
      </c>
      <c r="J12193" s="3">
        <v>940</v>
      </c>
      <c r="K12193" s="3">
        <v>1914</v>
      </c>
      <c r="L12193" s="3">
        <v>54</v>
      </c>
      <c r="M12193" s="3">
        <v>383</v>
      </c>
    </row>
    <row r="12194" spans="1:13" x14ac:dyDescent="0.25">
      <c r="A12194" s="1" t="str">
        <f>HYPERLINK("http://www.rosaceae.org/Prunus/Prunus_persica/p.persica_gdr_reftransV1_0019854","p.persica_gdr_reftransV1_0019854")</f>
        <v>p.persica_gdr_reftransV1_0019854</v>
      </c>
      <c r="B12194" s="3">
        <v>2879</v>
      </c>
      <c r="C12194" s="1" t="str">
        <f>HYPERLINK("http://www.uniprot.org/uniprot/RF1_CUPPJ","RF1_CUPPJ")</f>
        <v>RF1_CUPPJ</v>
      </c>
      <c r="D12194" t="s">
        <v>7466</v>
      </c>
      <c r="E12194" s="3" t="s">
        <v>7467</v>
      </c>
      <c r="F12194" s="4">
        <v>1.9699999999999999E-10</v>
      </c>
      <c r="G12194" s="3">
        <v>163</v>
      </c>
      <c r="H12194" s="3">
        <v>62</v>
      </c>
      <c r="I12194" s="3">
        <v>47</v>
      </c>
      <c r="J12194" s="3">
        <v>871</v>
      </c>
      <c r="K12194" s="3">
        <v>1011</v>
      </c>
      <c r="L12194" s="3">
        <v>220</v>
      </c>
      <c r="M12194" s="3">
        <v>266</v>
      </c>
    </row>
    <row r="12195" spans="1:13" x14ac:dyDescent="0.25">
      <c r="A12195" s="1" t="str">
        <f>HYPERLINK("http://www.rosaceae.org/Prunus/Prunus_persica/p.persica_gdr_reftransV1_0020154","p.persica_gdr_reftransV1_0020154")</f>
        <v>p.persica_gdr_reftransV1_0020154</v>
      </c>
      <c r="B12195" s="3">
        <v>1365</v>
      </c>
      <c r="C12195" s="1" t="str">
        <f>HYPERLINK("http://www.uniprot.org/uniprot/PX24B_DICDI","PX24B_DICDI")</f>
        <v>PX24B_DICDI</v>
      </c>
      <c r="D12195" t="s">
        <v>8448</v>
      </c>
      <c r="E12195" s="3" t="s">
        <v>9</v>
      </c>
      <c r="F12195" s="4">
        <v>4.3700000000000001E-22</v>
      </c>
      <c r="G12195" s="3">
        <v>241</v>
      </c>
      <c r="H12195" s="3">
        <v>29</v>
      </c>
      <c r="I12195" s="3">
        <v>199</v>
      </c>
      <c r="J12195" s="3">
        <v>550</v>
      </c>
      <c r="K12195" s="3">
        <v>1146</v>
      </c>
      <c r="L12195" s="3">
        <v>1</v>
      </c>
      <c r="M12195" s="3">
        <v>182</v>
      </c>
    </row>
    <row r="12196" spans="1:13" x14ac:dyDescent="0.25">
      <c r="A12196" s="1" t="str">
        <f>HYPERLINK("http://www.rosaceae.org/Prunus/Prunus_persica/p.persica_gdr_reftransV1_0020204","p.persica_gdr_reftransV1_0020204")</f>
        <v>p.persica_gdr_reftransV1_0020204</v>
      </c>
      <c r="B12196" s="3">
        <v>1919</v>
      </c>
      <c r="C12196" s="1" t="str">
        <f>HYPERLINK("http://www.uniprot.org/uniprot/ASOL_TOBAC","ASOL_TOBAC")</f>
        <v>ASOL_TOBAC</v>
      </c>
      <c r="D12196" t="s">
        <v>2978</v>
      </c>
      <c r="E12196" s="3" t="s">
        <v>200</v>
      </c>
      <c r="F12196" s="4">
        <v>0</v>
      </c>
      <c r="G12196" s="3">
        <v>1495</v>
      </c>
      <c r="H12196" s="3">
        <v>52</v>
      </c>
      <c r="I12196" s="3">
        <v>536</v>
      </c>
      <c r="J12196" s="3">
        <v>109</v>
      </c>
      <c r="K12196" s="3">
        <v>1677</v>
      </c>
      <c r="L12196" s="3">
        <v>11</v>
      </c>
      <c r="M12196" s="3">
        <v>545</v>
      </c>
    </row>
    <row r="12197" spans="1:13" x14ac:dyDescent="0.25">
      <c r="A12197" s="1" t="str">
        <f>HYPERLINK("http://www.rosaceae.org/Prunus/Prunus_persica/p.persica_gdr_reftransV1_0020304","p.persica_gdr_reftransV1_0020304")</f>
        <v>p.persica_gdr_reftransV1_0020304</v>
      </c>
      <c r="B12197" s="3">
        <v>2423</v>
      </c>
      <c r="C12197" s="1" t="str">
        <f>HYPERLINK("http://www.uniprot.org/uniprot/ANTR6_ARATH","ANTR6_ARATH")</f>
        <v>ANTR6_ARATH</v>
      </c>
      <c r="D12197" t="s">
        <v>8449</v>
      </c>
      <c r="E12197" s="3" t="s">
        <v>3</v>
      </c>
      <c r="F12197" s="4">
        <v>1.4500000000000001E-164</v>
      </c>
      <c r="G12197" s="3">
        <v>1272</v>
      </c>
      <c r="H12197" s="3">
        <v>78</v>
      </c>
      <c r="I12197" s="3">
        <v>355</v>
      </c>
      <c r="J12197" s="3">
        <v>934</v>
      </c>
      <c r="K12197" s="3">
        <v>1995</v>
      </c>
      <c r="L12197" s="3">
        <v>165</v>
      </c>
      <c r="M12197" s="3">
        <v>516</v>
      </c>
    </row>
    <row r="12198" spans="1:13" x14ac:dyDescent="0.25">
      <c r="A12198" s="1" t="str">
        <f>HYPERLINK("http://www.rosaceae.org/Prunus/Prunus_persica/p.persica_gdr_reftransV1_0020654","p.persica_gdr_reftransV1_0020654")</f>
        <v>p.persica_gdr_reftransV1_0020654</v>
      </c>
      <c r="B12198" s="3">
        <v>3267</v>
      </c>
      <c r="C12198" s="1" t="str">
        <f>HYPERLINK("http://www.uniprot.org/uniprot/QKY_ARATH","QKY_ARATH")</f>
        <v>QKY_ARATH</v>
      </c>
      <c r="D12198" t="s">
        <v>707</v>
      </c>
      <c r="E12198" s="3" t="s">
        <v>3</v>
      </c>
      <c r="F12198" s="4">
        <v>0</v>
      </c>
      <c r="G12198" s="3">
        <v>2084</v>
      </c>
      <c r="H12198" s="3">
        <v>52</v>
      </c>
      <c r="I12198" s="3">
        <v>798</v>
      </c>
      <c r="J12198" s="3">
        <v>490</v>
      </c>
      <c r="K12198" s="3">
        <v>2808</v>
      </c>
      <c r="L12198" s="3">
        <v>297</v>
      </c>
      <c r="M12198" s="3">
        <v>1081</v>
      </c>
    </row>
    <row r="12199" spans="1:13" x14ac:dyDescent="0.25">
      <c r="A12199" s="1" t="str">
        <f>HYPERLINK("http://www.rosaceae.org/Prunus/Prunus_persica/p.persica_gdr_reftransV1_0020954","p.persica_gdr_reftransV1_0020954")</f>
        <v>p.persica_gdr_reftransV1_0020954</v>
      </c>
      <c r="B12199" s="3">
        <v>345</v>
      </c>
      <c r="C12199" s="1" t="str">
        <f>HYPERLINK("http://www.uniprot.org/uniprot/C3H43_ARATH","C3H43_ARATH")</f>
        <v>C3H43_ARATH</v>
      </c>
      <c r="D12199" t="s">
        <v>4884</v>
      </c>
      <c r="E12199" s="3" t="s">
        <v>3</v>
      </c>
      <c r="F12199" s="4">
        <v>4.5100000000000003E-9</v>
      </c>
      <c r="G12199" s="3">
        <v>136</v>
      </c>
      <c r="H12199" s="3">
        <v>73</v>
      </c>
      <c r="I12199" s="3">
        <v>30</v>
      </c>
      <c r="J12199" s="3">
        <v>45</v>
      </c>
      <c r="K12199" s="3">
        <v>134</v>
      </c>
      <c r="L12199" s="3">
        <v>107</v>
      </c>
      <c r="M12199" s="3">
        <v>136</v>
      </c>
    </row>
    <row r="12200" spans="1:13" x14ac:dyDescent="0.25">
      <c r="A12200" s="1" t="str">
        <f>HYPERLINK("http://www.rosaceae.org/Prunus/Prunus_persica/p.persica_gdr_reftransV1_0021104","p.persica_gdr_reftransV1_0021104")</f>
        <v>p.persica_gdr_reftransV1_0021104</v>
      </c>
      <c r="B12200" s="3">
        <v>1053</v>
      </c>
      <c r="C12200" s="1" t="str">
        <f>HYPERLINK("http://www.uniprot.org/uniprot/GAOX1_ORYSJ","GAOX1_ORYSJ")</f>
        <v>GAOX1_ORYSJ</v>
      </c>
      <c r="D12200" t="s">
        <v>8450</v>
      </c>
      <c r="E12200" s="3" t="s">
        <v>38</v>
      </c>
      <c r="F12200" s="4">
        <v>5.7400000000000001E-28</v>
      </c>
      <c r="G12200" s="3">
        <v>291</v>
      </c>
      <c r="H12200" s="3">
        <v>34</v>
      </c>
      <c r="I12200" s="3">
        <v>195</v>
      </c>
      <c r="J12200" s="3">
        <v>346</v>
      </c>
      <c r="K12200" s="3">
        <v>927</v>
      </c>
      <c r="L12200" s="3">
        <v>159</v>
      </c>
      <c r="M12200" s="3">
        <v>348</v>
      </c>
    </row>
    <row r="12201" spans="1:13" x14ac:dyDescent="0.25">
      <c r="A12201" s="1" t="str">
        <f>HYPERLINK("http://www.rosaceae.org/Prunus/Prunus_persica/p.persica_gdr_reftransV1_0021254","p.persica_gdr_reftransV1_0021254")</f>
        <v>p.persica_gdr_reftransV1_0021254</v>
      </c>
      <c r="B12201" s="3">
        <v>3065</v>
      </c>
      <c r="C12201" s="1" t="str">
        <f>HYPERLINK("http://www.uniprot.org/uniprot/Y1461_ARATH","Y1461_ARATH")</f>
        <v>Y1461_ARATH</v>
      </c>
      <c r="D12201" t="s">
        <v>392</v>
      </c>
      <c r="E12201" s="3" t="s">
        <v>3</v>
      </c>
      <c r="F12201" s="4">
        <v>6.9100000000000002E-178</v>
      </c>
      <c r="G12201" s="3">
        <v>1384</v>
      </c>
      <c r="H12201" s="3">
        <v>63</v>
      </c>
      <c r="I12201" s="3">
        <v>395</v>
      </c>
      <c r="J12201" s="3">
        <v>637</v>
      </c>
      <c r="K12201" s="3">
        <v>1815</v>
      </c>
      <c r="L12201" s="3">
        <v>78</v>
      </c>
      <c r="M12201" s="3">
        <v>472</v>
      </c>
    </row>
    <row r="12202" spans="1:13" x14ac:dyDescent="0.25">
      <c r="A12202" s="1" t="str">
        <f>HYPERLINK("http://www.rosaceae.org/Prunus/Prunus_persica/p.persica_gdr_reftransV1_0021304","p.persica_gdr_reftransV1_0021304")</f>
        <v>p.persica_gdr_reftransV1_0021304</v>
      </c>
      <c r="B12202" s="3">
        <v>2212</v>
      </c>
      <c r="C12202" s="1" t="str">
        <f>HYPERLINK("http://www.uniprot.org/uniprot/LACS4_ARATH","LACS4_ARATH")</f>
        <v>LACS4_ARATH</v>
      </c>
      <c r="D12202" t="s">
        <v>3161</v>
      </c>
      <c r="E12202" s="3" t="s">
        <v>3</v>
      </c>
      <c r="F12202" s="4">
        <v>0</v>
      </c>
      <c r="G12202" s="3">
        <v>2298</v>
      </c>
      <c r="H12202" s="3">
        <v>71</v>
      </c>
      <c r="I12202" s="3">
        <v>599</v>
      </c>
      <c r="J12202" s="3">
        <v>2</v>
      </c>
      <c r="K12202" s="3">
        <v>1798</v>
      </c>
      <c r="L12202" s="3">
        <v>2</v>
      </c>
      <c r="M12202" s="3">
        <v>568</v>
      </c>
    </row>
    <row r="12203" spans="1:13" x14ac:dyDescent="0.25">
      <c r="A12203" s="1" t="str">
        <f>HYPERLINK("http://www.rosaceae.org/Prunus/Prunus_persica/p.persica_gdr_reftransV1_0021454","p.persica_gdr_reftransV1_0021454")</f>
        <v>p.persica_gdr_reftransV1_0021454</v>
      </c>
      <c r="B12203" s="3">
        <v>2886</v>
      </c>
      <c r="C12203" s="1" t="str">
        <f>HYPERLINK("http://www.uniprot.org/uniprot/Y1666_ARATH","Y1666_ARATH")</f>
        <v>Y1666_ARATH</v>
      </c>
      <c r="D12203" t="s">
        <v>638</v>
      </c>
      <c r="E12203" s="3" t="s">
        <v>3</v>
      </c>
      <c r="F12203" s="4">
        <v>1.21E-32</v>
      </c>
      <c r="G12203" s="3">
        <v>343</v>
      </c>
      <c r="H12203" s="3">
        <v>50</v>
      </c>
      <c r="I12203" s="3">
        <v>193</v>
      </c>
      <c r="J12203" s="3">
        <v>1199</v>
      </c>
      <c r="K12203" s="3">
        <v>1750</v>
      </c>
      <c r="L12203" s="3">
        <v>7</v>
      </c>
      <c r="M12203" s="3">
        <v>193</v>
      </c>
    </row>
    <row r="12204" spans="1:13" x14ac:dyDescent="0.25">
      <c r="A12204" s="1" t="str">
        <f>HYPERLINK("http://www.rosaceae.org/Prunus/Prunus_persica/p.persica_gdr_reftransV1_0021654","p.persica_gdr_reftransV1_0021654")</f>
        <v>p.persica_gdr_reftransV1_0021654</v>
      </c>
      <c r="B12204" s="3">
        <v>1109</v>
      </c>
      <c r="C12204" s="1" t="str">
        <f>HYPERLINK("http://www.uniprot.org/uniprot/PP185_ARATH","PP185_ARATH")</f>
        <v>PP185_ARATH</v>
      </c>
      <c r="D12204" t="s">
        <v>1574</v>
      </c>
      <c r="E12204" s="3" t="s">
        <v>3</v>
      </c>
      <c r="F12204" s="4">
        <v>1.69E-109</v>
      </c>
      <c r="G12204" s="3">
        <v>872</v>
      </c>
      <c r="H12204" s="3">
        <v>58</v>
      </c>
      <c r="I12204" s="3">
        <v>273</v>
      </c>
      <c r="J12204" s="3">
        <v>1</v>
      </c>
      <c r="K12204" s="3">
        <v>819</v>
      </c>
      <c r="L12204" s="3">
        <v>346</v>
      </c>
      <c r="M12204" s="3">
        <v>618</v>
      </c>
    </row>
    <row r="12205" spans="1:13" x14ac:dyDescent="0.25">
      <c r="A12205" s="1" t="str">
        <f>HYPERLINK("http://www.rosaceae.org/Prunus/Prunus_persica/p.persica_gdr_reftransV1_0021904","p.persica_gdr_reftransV1_0021904")</f>
        <v>p.persica_gdr_reftransV1_0021904</v>
      </c>
      <c r="B12205" s="3">
        <v>3162</v>
      </c>
      <c r="C12205" s="1" t="str">
        <f>HYPERLINK("http://www.uniprot.org/uniprot/PPP7L_ARATH","PPP7L_ARATH")</f>
        <v>PPP7L_ARATH</v>
      </c>
      <c r="D12205" t="s">
        <v>4715</v>
      </c>
      <c r="E12205" s="3" t="s">
        <v>3</v>
      </c>
      <c r="F12205" s="4">
        <v>7.2199999999999999E-10</v>
      </c>
      <c r="G12205" s="3">
        <v>163</v>
      </c>
      <c r="H12205" s="3">
        <v>23</v>
      </c>
      <c r="I12205" s="3">
        <v>386</v>
      </c>
      <c r="J12205" s="3">
        <v>460</v>
      </c>
      <c r="K12205" s="3">
        <v>1485</v>
      </c>
      <c r="L12205" s="3">
        <v>84</v>
      </c>
      <c r="M12205" s="3">
        <v>436</v>
      </c>
    </row>
    <row r="12206" spans="1:13" x14ac:dyDescent="0.25">
      <c r="A12206" s="1" t="str">
        <f>HYPERLINK("http://www.rosaceae.org/Prunus/Prunus_persica/p.persica_gdr_reftransV1_0022004","p.persica_gdr_reftransV1_0022004")</f>
        <v>p.persica_gdr_reftransV1_0022004</v>
      </c>
      <c r="B12206" s="3">
        <v>1728</v>
      </c>
      <c r="C12206" s="1" t="str">
        <f>HYPERLINK("http://www.uniprot.org/uniprot/FUT1_PEA","FUT1_PEA")</f>
        <v>FUT1_PEA</v>
      </c>
      <c r="D12206" t="s">
        <v>8451</v>
      </c>
      <c r="E12206" s="3" t="s">
        <v>60</v>
      </c>
      <c r="F12206" s="4">
        <v>0</v>
      </c>
      <c r="G12206" s="3">
        <v>1757</v>
      </c>
      <c r="H12206" s="3">
        <v>66</v>
      </c>
      <c r="I12206" s="3">
        <v>478</v>
      </c>
      <c r="J12206" s="3">
        <v>241</v>
      </c>
      <c r="K12206" s="3">
        <v>1674</v>
      </c>
      <c r="L12206" s="3">
        <v>93</v>
      </c>
      <c r="M12206" s="3">
        <v>563</v>
      </c>
    </row>
    <row r="12207" spans="1:13" x14ac:dyDescent="0.25">
      <c r="A12207" s="1" t="str">
        <f>HYPERLINK("http://www.rosaceae.org/Prunus/Prunus_persica/p.persica_gdr_reftransV1_0022304","p.persica_gdr_reftransV1_0022304")</f>
        <v>p.persica_gdr_reftransV1_0022304</v>
      </c>
      <c r="B12207" s="3">
        <v>2482</v>
      </c>
      <c r="C12207" s="1" t="str">
        <f>HYPERLINK("http://www.uniprot.org/uniprot/SPL6_ARATH","SPL6_ARATH")</f>
        <v>SPL6_ARATH</v>
      </c>
      <c r="D12207" t="s">
        <v>8452</v>
      </c>
      <c r="E12207" s="3" t="s">
        <v>3</v>
      </c>
      <c r="F12207" s="4">
        <v>1.2100000000000001E-44</v>
      </c>
      <c r="G12207" s="3">
        <v>431</v>
      </c>
      <c r="H12207" s="3">
        <v>54</v>
      </c>
      <c r="I12207" s="3">
        <v>169</v>
      </c>
      <c r="J12207" s="3">
        <v>1081</v>
      </c>
      <c r="K12207" s="3">
        <v>1554</v>
      </c>
      <c r="L12207" s="3">
        <v>83</v>
      </c>
      <c r="M12207" s="3">
        <v>239</v>
      </c>
    </row>
    <row r="12208" spans="1:13" x14ac:dyDescent="0.25">
      <c r="A12208" s="1" t="str">
        <f>HYPERLINK("http://www.rosaceae.org/Prunus/Prunus_persica/p.persica_gdr_reftransV1_0022354","p.persica_gdr_reftransV1_0022354")</f>
        <v>p.persica_gdr_reftransV1_0022354</v>
      </c>
      <c r="B12208" s="3">
        <v>2328</v>
      </c>
      <c r="C12208" s="1" t="str">
        <f>HYPERLINK("http://www.uniprot.org/uniprot/CLPR3_ARATH","CLPR3_ARATH")</f>
        <v>CLPR3_ARATH</v>
      </c>
      <c r="D12208" t="s">
        <v>5404</v>
      </c>
      <c r="E12208" s="3" t="s">
        <v>3</v>
      </c>
      <c r="F12208" s="4">
        <v>5.7700000000000002E-166</v>
      </c>
      <c r="G12208" s="3">
        <v>1260</v>
      </c>
      <c r="H12208" s="3">
        <v>85</v>
      </c>
      <c r="I12208" s="3">
        <v>272</v>
      </c>
      <c r="J12208" s="3">
        <v>320</v>
      </c>
      <c r="K12208" s="3">
        <v>1135</v>
      </c>
      <c r="L12208" s="3">
        <v>59</v>
      </c>
      <c r="M12208" s="3">
        <v>329</v>
      </c>
    </row>
    <row r="12209" spans="1:13" x14ac:dyDescent="0.25">
      <c r="A12209" s="1" t="str">
        <f>HYPERLINK("http://www.rosaceae.org/Prunus/Prunus_persica/p.persica_gdr_reftransV1_0022654","p.persica_gdr_reftransV1_0022654")</f>
        <v>p.persica_gdr_reftransV1_0022654</v>
      </c>
      <c r="B12209" s="3">
        <v>1227</v>
      </c>
      <c r="C12209" s="1" t="str">
        <f>HYPERLINK("http://www.uniprot.org/uniprot/SELT_ARATH","SELT_ARATH")</f>
        <v>SELT_ARATH</v>
      </c>
      <c r="D12209" t="s">
        <v>8453</v>
      </c>
      <c r="E12209" s="3" t="s">
        <v>3</v>
      </c>
      <c r="F12209" s="4">
        <v>2.6499999999999999E-73</v>
      </c>
      <c r="G12209" s="3">
        <v>598</v>
      </c>
      <c r="H12209" s="3">
        <v>67</v>
      </c>
      <c r="I12209" s="3">
        <v>165</v>
      </c>
      <c r="J12209" s="3">
        <v>527</v>
      </c>
      <c r="K12209" s="3">
        <v>1021</v>
      </c>
      <c r="L12209" s="3">
        <v>44</v>
      </c>
      <c r="M12209" s="3">
        <v>206</v>
      </c>
    </row>
    <row r="12210" spans="1:13" x14ac:dyDescent="0.25">
      <c r="A12210" s="1" t="str">
        <f>HYPERLINK("http://www.rosaceae.org/Prunus/Prunus_persica/p.persica_gdr_reftransV1_0022754","p.persica_gdr_reftransV1_0022754")</f>
        <v>p.persica_gdr_reftransV1_0022754</v>
      </c>
      <c r="B12210" s="3">
        <v>1681</v>
      </c>
      <c r="C12210" s="1" t="str">
        <f>HYPERLINK("http://www.uniprot.org/uniprot/ENT3_ARATH","ENT3_ARATH")</f>
        <v>ENT3_ARATH</v>
      </c>
      <c r="D12210" t="s">
        <v>661</v>
      </c>
      <c r="E12210" s="3" t="s">
        <v>3</v>
      </c>
      <c r="F12210" s="4">
        <v>0</v>
      </c>
      <c r="G12210" s="3">
        <v>1511</v>
      </c>
      <c r="H12210" s="3">
        <v>71</v>
      </c>
      <c r="I12210" s="3">
        <v>420</v>
      </c>
      <c r="J12210" s="3">
        <v>65</v>
      </c>
      <c r="K12210" s="3">
        <v>1324</v>
      </c>
      <c r="L12210" s="3">
        <v>1</v>
      </c>
      <c r="M12210" s="3">
        <v>416</v>
      </c>
    </row>
    <row r="12211" spans="1:13" x14ac:dyDescent="0.25">
      <c r="A12211" s="1" t="str">
        <f>HYPERLINK("http://www.rosaceae.org/Prunus/Prunus_persica/p.persica_gdr_reftransV1_0022804","p.persica_gdr_reftransV1_0022804")</f>
        <v>p.persica_gdr_reftransV1_0022804</v>
      </c>
      <c r="B12211" s="3">
        <v>1968</v>
      </c>
      <c r="C12211" s="1" t="str">
        <f>HYPERLINK("http://www.uniprot.org/uniprot/DOF25_ARATH","DOF25_ARATH")</f>
        <v>DOF25_ARATH</v>
      </c>
      <c r="D12211" t="s">
        <v>8454</v>
      </c>
      <c r="E12211" s="3" t="s">
        <v>3</v>
      </c>
      <c r="F12211" s="4">
        <v>1.1400000000000001E-45</v>
      </c>
      <c r="G12211" s="3">
        <v>432</v>
      </c>
      <c r="H12211" s="3">
        <v>49</v>
      </c>
      <c r="I12211" s="3">
        <v>273</v>
      </c>
      <c r="J12211" s="3">
        <v>520</v>
      </c>
      <c r="K12211" s="3">
        <v>1209</v>
      </c>
      <c r="L12211" s="3">
        <v>71</v>
      </c>
      <c r="M12211" s="3">
        <v>337</v>
      </c>
    </row>
    <row r="12212" spans="1:13" x14ac:dyDescent="0.25">
      <c r="A12212" s="1" t="str">
        <f>HYPERLINK("http://www.rosaceae.org/Prunus/Prunus_persica/p.persica_gdr_reftransV1_0023204","p.persica_gdr_reftransV1_0023204")</f>
        <v>p.persica_gdr_reftransV1_0023204</v>
      </c>
      <c r="B12212" s="3">
        <v>1303</v>
      </c>
      <c r="C12212" s="1" t="str">
        <f>HYPERLINK("http://www.uniprot.org/uniprot/YLMH_BACSU","YLMH_BACSU")</f>
        <v>YLMH_BACSU</v>
      </c>
      <c r="D12212" t="s">
        <v>8455</v>
      </c>
      <c r="E12212" s="3" t="s">
        <v>1630</v>
      </c>
      <c r="F12212" s="4">
        <v>5.5499999999999997E-18</v>
      </c>
      <c r="G12212" s="3">
        <v>149</v>
      </c>
      <c r="H12212" s="3">
        <v>33</v>
      </c>
      <c r="I12212" s="3">
        <v>137</v>
      </c>
      <c r="J12212" s="3">
        <v>616</v>
      </c>
      <c r="K12212" s="3">
        <v>1011</v>
      </c>
      <c r="L12212" s="3">
        <v>16</v>
      </c>
      <c r="M12212" s="3">
        <v>146</v>
      </c>
    </row>
    <row r="12213" spans="1:13" x14ac:dyDescent="0.25">
      <c r="A12213" s="1" t="str">
        <f>HYPERLINK("http://www.rosaceae.org/Prunus/Prunus_persica/p.persica_gdr_reftransV1_0023254","p.persica_gdr_reftransV1_0023254")</f>
        <v>p.persica_gdr_reftransV1_0023254</v>
      </c>
      <c r="B12213" s="3">
        <v>804</v>
      </c>
      <c r="C12213" s="1" t="str">
        <f>HYPERLINK("http://www.uniprot.org/uniprot/RLK1_ARATH","RLK1_ARATH")</f>
        <v>RLK1_ARATH</v>
      </c>
      <c r="D12213" t="s">
        <v>806</v>
      </c>
      <c r="E12213" s="3" t="s">
        <v>3</v>
      </c>
      <c r="F12213" s="4">
        <v>8.8299999999999995E-60</v>
      </c>
      <c r="G12213" s="3">
        <v>528</v>
      </c>
      <c r="H12213" s="3">
        <v>56</v>
      </c>
      <c r="I12213" s="3">
        <v>192</v>
      </c>
      <c r="J12213" s="3">
        <v>1</v>
      </c>
      <c r="K12213" s="3">
        <v>567</v>
      </c>
      <c r="L12213" s="3">
        <v>618</v>
      </c>
      <c r="M12213" s="3">
        <v>805</v>
      </c>
    </row>
    <row r="12214" spans="1:13" x14ac:dyDescent="0.25">
      <c r="A12214" s="1" t="str">
        <f>HYPERLINK("http://www.rosaceae.org/Prunus/Prunus_persica/p.persica_gdr_reftransV1_0023504","p.persica_gdr_reftransV1_0023504")</f>
        <v>p.persica_gdr_reftransV1_0023504</v>
      </c>
      <c r="B12214" s="3">
        <v>4620</v>
      </c>
      <c r="C12214" s="1" t="str">
        <f>HYPERLINK("http://www.uniprot.org/uniprot/PLDP1_ARATH","PLDP1_ARATH")</f>
        <v>PLDP1_ARATH</v>
      </c>
      <c r="D12214" t="s">
        <v>8456</v>
      </c>
      <c r="E12214" s="3" t="s">
        <v>3</v>
      </c>
      <c r="F12214" s="4">
        <v>0</v>
      </c>
      <c r="G12214" s="3">
        <v>3471</v>
      </c>
      <c r="H12214" s="3">
        <v>72</v>
      </c>
      <c r="I12214" s="3">
        <v>957</v>
      </c>
      <c r="J12214" s="3">
        <v>1509</v>
      </c>
      <c r="K12214" s="3">
        <v>4325</v>
      </c>
      <c r="L12214" s="3">
        <v>1</v>
      </c>
      <c r="M12214" s="3">
        <v>927</v>
      </c>
    </row>
    <row r="12215" spans="1:13" x14ac:dyDescent="0.25">
      <c r="A12215" s="1" t="str">
        <f>HYPERLINK("http://www.rosaceae.org/Prunus/Prunus_persica/p.persica_gdr_reftransV1_0023604","p.persica_gdr_reftransV1_0023604")</f>
        <v>p.persica_gdr_reftransV1_0023604</v>
      </c>
      <c r="B12215" s="3">
        <v>2678</v>
      </c>
      <c r="C12215" s="1" t="str">
        <f>HYPERLINK("http://www.uniprot.org/uniprot/PP175_ARATH","PP175_ARATH")</f>
        <v>PP175_ARATH</v>
      </c>
      <c r="D12215" t="s">
        <v>272</v>
      </c>
      <c r="E12215" s="3" t="s">
        <v>3</v>
      </c>
      <c r="F12215" s="4">
        <v>1.35E-127</v>
      </c>
      <c r="G12215" s="3">
        <v>1049</v>
      </c>
      <c r="H12215" s="3">
        <v>53</v>
      </c>
      <c r="I12215" s="3">
        <v>370</v>
      </c>
      <c r="J12215" s="3">
        <v>2</v>
      </c>
      <c r="K12215" s="3">
        <v>1108</v>
      </c>
      <c r="L12215" s="3">
        <v>369</v>
      </c>
      <c r="M12215" s="3">
        <v>738</v>
      </c>
    </row>
    <row r="12216" spans="1:13" x14ac:dyDescent="0.25">
      <c r="A12216" s="1" t="str">
        <f>HYPERLINK("http://www.rosaceae.org/Prunus/Prunus_persica/p.persica_gdr_reftransV1_0023654","p.persica_gdr_reftransV1_0023654")</f>
        <v>p.persica_gdr_reftransV1_0023654</v>
      </c>
      <c r="B12216" s="3">
        <v>1827</v>
      </c>
      <c r="C12216" s="1" t="str">
        <f>HYPERLINK("http://www.uniprot.org/uniprot/PGLT1_BOVIN","PGLT1_BOVIN")</f>
        <v>PGLT1_BOVIN</v>
      </c>
      <c r="D12216" t="s">
        <v>8457</v>
      </c>
      <c r="E12216" s="3" t="s">
        <v>184</v>
      </c>
      <c r="F12216" s="4">
        <v>2.27E-25</v>
      </c>
      <c r="G12216" s="3">
        <v>280</v>
      </c>
      <c r="H12216" s="3">
        <v>28</v>
      </c>
      <c r="I12216" s="3">
        <v>358</v>
      </c>
      <c r="J12216" s="3">
        <v>456</v>
      </c>
      <c r="K12216" s="3">
        <v>1451</v>
      </c>
      <c r="L12216" s="3">
        <v>43</v>
      </c>
      <c r="M12216" s="3">
        <v>372</v>
      </c>
    </row>
    <row r="12217" spans="1:13" x14ac:dyDescent="0.25">
      <c r="A12217" s="1" t="str">
        <f>HYPERLINK("http://www.rosaceae.org/Prunus/Prunus_persica/p.persica_gdr_reftransV1_0023704","p.persica_gdr_reftransV1_0023704")</f>
        <v>p.persica_gdr_reftransV1_0023704</v>
      </c>
      <c r="B12217" s="3">
        <v>925</v>
      </c>
      <c r="C12217" s="1" t="str">
        <f>HYPERLINK("http://www.uniprot.org/uniprot/RLF33_ARATH","RLF33_ARATH")</f>
        <v>RLF33_ARATH</v>
      </c>
      <c r="D12217" t="s">
        <v>4480</v>
      </c>
      <c r="E12217" s="3" t="s">
        <v>3</v>
      </c>
      <c r="F12217" s="4">
        <v>1.21E-36</v>
      </c>
      <c r="G12217" s="3">
        <v>334</v>
      </c>
      <c r="H12217" s="3">
        <v>74</v>
      </c>
      <c r="I12217" s="3">
        <v>84</v>
      </c>
      <c r="J12217" s="3">
        <v>302</v>
      </c>
      <c r="K12217" s="3">
        <v>550</v>
      </c>
      <c r="L12217" s="3">
        <v>33</v>
      </c>
      <c r="M12217" s="3">
        <v>115</v>
      </c>
    </row>
    <row r="12218" spans="1:13" x14ac:dyDescent="0.25">
      <c r="A12218" s="1" t="str">
        <f>HYPERLINK("http://www.rosaceae.org/Prunus/Prunus_persica/p.persica_gdr_reftransV1_0024054","p.persica_gdr_reftransV1_0024054")</f>
        <v>p.persica_gdr_reftransV1_0024054</v>
      </c>
      <c r="B12218" s="3">
        <v>1562</v>
      </c>
      <c r="C12218" s="1" t="str">
        <f>HYPERLINK("http://www.uniprot.org/uniprot/NC2B_ARATH","NC2B_ARATH")</f>
        <v>NC2B_ARATH</v>
      </c>
      <c r="D12218" t="s">
        <v>8458</v>
      </c>
      <c r="E12218" s="3" t="s">
        <v>3</v>
      </c>
      <c r="F12218" s="4">
        <v>1.58E-49</v>
      </c>
      <c r="G12218" s="3">
        <v>439</v>
      </c>
      <c r="H12218" s="3">
        <v>75</v>
      </c>
      <c r="I12218" s="3">
        <v>108</v>
      </c>
      <c r="J12218" s="3">
        <v>379</v>
      </c>
      <c r="K12218" s="3">
        <v>702</v>
      </c>
      <c r="L12218" s="3">
        <v>49</v>
      </c>
      <c r="M12218" s="3">
        <v>156</v>
      </c>
    </row>
    <row r="12219" spans="1:13" x14ac:dyDescent="0.25">
      <c r="A12219" s="1" t="str">
        <f>HYPERLINK("http://www.rosaceae.org/Prunus/Prunus_persica/p.persica_gdr_reftransV1_0024154","p.persica_gdr_reftransV1_0024154")</f>
        <v>p.persica_gdr_reftransV1_0024154</v>
      </c>
      <c r="B12219" s="3">
        <v>990</v>
      </c>
      <c r="C12219" s="1" t="str">
        <f>HYPERLINK("http://www.uniprot.org/uniprot/RR13_ARATH","RR13_ARATH")</f>
        <v>RR13_ARATH</v>
      </c>
      <c r="D12219" t="s">
        <v>8459</v>
      </c>
      <c r="E12219" s="3" t="s">
        <v>3</v>
      </c>
      <c r="F12219" s="4">
        <v>6.6400000000000006E-79</v>
      </c>
      <c r="G12219" s="3">
        <v>624</v>
      </c>
      <c r="H12219" s="3">
        <v>77</v>
      </c>
      <c r="I12219" s="3">
        <v>155</v>
      </c>
      <c r="J12219" s="3">
        <v>102</v>
      </c>
      <c r="K12219" s="3">
        <v>560</v>
      </c>
      <c r="L12219" s="3">
        <v>1</v>
      </c>
      <c r="M12219" s="3">
        <v>154</v>
      </c>
    </row>
    <row r="12220" spans="1:13" x14ac:dyDescent="0.25">
      <c r="A12220" s="1" t="str">
        <f>HYPERLINK("http://www.rosaceae.org/Prunus/Prunus_persica/p.persica_gdr_reftransV1_0024204","p.persica_gdr_reftransV1_0024204")</f>
        <v>p.persica_gdr_reftransV1_0024204</v>
      </c>
      <c r="B12220" s="3">
        <v>3420</v>
      </c>
      <c r="C12220" s="1" t="str">
        <f>HYPERLINK("http://www.uniprot.org/uniprot/PPR5_ARATH","PPR5_ARATH")</f>
        <v>PPR5_ARATH</v>
      </c>
      <c r="D12220" t="s">
        <v>3312</v>
      </c>
      <c r="E12220" s="3" t="s">
        <v>3</v>
      </c>
      <c r="F12220" s="4">
        <v>1.12E-156</v>
      </c>
      <c r="G12220" s="3">
        <v>1242</v>
      </c>
      <c r="H12220" s="3">
        <v>72</v>
      </c>
      <c r="I12220" s="3">
        <v>341</v>
      </c>
      <c r="J12220" s="3">
        <v>1743</v>
      </c>
      <c r="K12220" s="3">
        <v>2762</v>
      </c>
      <c r="L12220" s="3">
        <v>149</v>
      </c>
      <c r="M12220" s="3">
        <v>489</v>
      </c>
    </row>
    <row r="12221" spans="1:13" x14ac:dyDescent="0.25">
      <c r="A12221" s="1" t="str">
        <f>HYPERLINK("http://www.rosaceae.org/Prunus/Prunus_persica/p.persica_gdr_reftransV1_0024354","p.persica_gdr_reftransV1_0024354")</f>
        <v>p.persica_gdr_reftransV1_0024354</v>
      </c>
      <c r="B12221" s="3">
        <v>2379</v>
      </c>
      <c r="C12221" s="1" t="str">
        <f>HYPERLINK("http://www.uniprot.org/uniprot/ARP9_ORYSI","ARP9_ORYSI")</f>
        <v>ARP9_ORYSI</v>
      </c>
      <c r="D12221" t="s">
        <v>8460</v>
      </c>
      <c r="E12221" s="3" t="s">
        <v>38</v>
      </c>
      <c r="F12221" s="4">
        <v>0</v>
      </c>
      <c r="G12221" s="3">
        <v>1922</v>
      </c>
      <c r="H12221" s="3">
        <v>59</v>
      </c>
      <c r="I12221" s="3">
        <v>623</v>
      </c>
      <c r="J12221" s="3">
        <v>174</v>
      </c>
      <c r="K12221" s="3">
        <v>2024</v>
      </c>
      <c r="L12221" s="3">
        <v>1</v>
      </c>
      <c r="M12221" s="3">
        <v>586</v>
      </c>
    </row>
    <row r="12222" spans="1:13" x14ac:dyDescent="0.25">
      <c r="A12222" s="1" t="str">
        <f>HYPERLINK("http://www.rosaceae.org/Prunus/Prunus_persica/p.persica_gdr_reftransV1_0024654","p.persica_gdr_reftransV1_0024654")</f>
        <v>p.persica_gdr_reftransV1_0024654</v>
      </c>
      <c r="B12222" s="3">
        <v>2451</v>
      </c>
      <c r="C12222" s="1" t="str">
        <f>HYPERLINK("http://www.uniprot.org/uniprot/MP702_ARATH","MP702_ARATH")</f>
        <v>MP702_ARATH</v>
      </c>
      <c r="D12222" t="s">
        <v>8461</v>
      </c>
      <c r="E12222" s="3" t="s">
        <v>3</v>
      </c>
      <c r="F12222" s="4">
        <v>0</v>
      </c>
      <c r="G12222" s="3">
        <v>1887</v>
      </c>
      <c r="H12222" s="3">
        <v>66</v>
      </c>
      <c r="I12222" s="3">
        <v>639</v>
      </c>
      <c r="J12222" s="3">
        <v>437</v>
      </c>
      <c r="K12222" s="3">
        <v>2332</v>
      </c>
      <c r="L12222" s="3">
        <v>6</v>
      </c>
      <c r="M12222" s="3">
        <v>630</v>
      </c>
    </row>
    <row r="12223" spans="1:13" x14ac:dyDescent="0.25">
      <c r="A12223" s="1" t="str">
        <f>HYPERLINK("http://www.rosaceae.org/Prunus/Prunus_persica/p.persica_gdr_reftransV1_0024904","p.persica_gdr_reftransV1_0024904")</f>
        <v>p.persica_gdr_reftransV1_0024904</v>
      </c>
      <c r="B12223" s="3">
        <v>2500</v>
      </c>
      <c r="C12223" s="1" t="str">
        <f>HYPERLINK("http://www.uniprot.org/uniprot/CESA3_ARATH","CESA3_ARATH")</f>
        <v>CESA3_ARATH</v>
      </c>
      <c r="D12223" t="s">
        <v>8194</v>
      </c>
      <c r="E12223" s="3" t="s">
        <v>3</v>
      </c>
      <c r="F12223" s="4">
        <v>0</v>
      </c>
      <c r="G12223" s="3">
        <v>1621</v>
      </c>
      <c r="H12223" s="3">
        <v>79</v>
      </c>
      <c r="I12223" s="3">
        <v>402</v>
      </c>
      <c r="J12223" s="3">
        <v>2</v>
      </c>
      <c r="K12223" s="3">
        <v>1207</v>
      </c>
      <c r="L12223" s="3">
        <v>74</v>
      </c>
      <c r="M12223" s="3">
        <v>459</v>
      </c>
    </row>
    <row r="12224" spans="1:13" x14ac:dyDescent="0.25">
      <c r="A12224" s="1" t="str">
        <f>HYPERLINK("http://www.rosaceae.org/Prunus/Prunus_persica/p.persica_gdr_reftransV1_0024954","p.persica_gdr_reftransV1_0024954")</f>
        <v>p.persica_gdr_reftransV1_0024954</v>
      </c>
      <c r="B12224" s="3">
        <v>1775</v>
      </c>
      <c r="C12224" s="1" t="str">
        <f>HYPERLINK("http://www.uniprot.org/uniprot/HARB1_DANRE","HARB1_DANRE")</f>
        <v>HARB1_DANRE</v>
      </c>
      <c r="D12224" t="s">
        <v>1233</v>
      </c>
      <c r="E12224" s="3" t="s">
        <v>704</v>
      </c>
      <c r="F12224" s="4">
        <v>9.2699999999999996E-9</v>
      </c>
      <c r="G12224" s="3">
        <v>147</v>
      </c>
      <c r="H12224" s="3">
        <v>21</v>
      </c>
      <c r="I12224" s="3">
        <v>258</v>
      </c>
      <c r="J12224" s="3">
        <v>461</v>
      </c>
      <c r="K12224" s="3">
        <v>1192</v>
      </c>
      <c r="L12224" s="3">
        <v>66</v>
      </c>
      <c r="M12224" s="3">
        <v>305</v>
      </c>
    </row>
    <row r="12225" spans="1:13" x14ac:dyDescent="0.25">
      <c r="A12225" s="1" t="str">
        <f>HYPERLINK("http://www.rosaceae.org/Prunus/Prunus_persica/p.persica_gdr_reftransV1_0025004","p.persica_gdr_reftransV1_0025004")</f>
        <v>p.persica_gdr_reftransV1_0025004</v>
      </c>
      <c r="B12225" s="3">
        <v>2813</v>
      </c>
      <c r="C12225" s="1" t="str">
        <f>HYPERLINK("http://www.uniprot.org/uniprot/PPR18_ARATH","PPR18_ARATH")</f>
        <v>PPR18_ARATH</v>
      </c>
      <c r="D12225" t="s">
        <v>8462</v>
      </c>
      <c r="E12225" s="3" t="s">
        <v>3</v>
      </c>
      <c r="F12225" s="4">
        <v>0</v>
      </c>
      <c r="G12225" s="3">
        <v>2209</v>
      </c>
      <c r="H12225" s="3">
        <v>69</v>
      </c>
      <c r="I12225" s="3">
        <v>598</v>
      </c>
      <c r="J12225" s="3">
        <v>1012</v>
      </c>
      <c r="K12225" s="3">
        <v>2805</v>
      </c>
      <c r="L12225" s="3">
        <v>386</v>
      </c>
      <c r="M12225" s="3">
        <v>983</v>
      </c>
    </row>
    <row r="12226" spans="1:13" x14ac:dyDescent="0.25">
      <c r="A12226" s="1" t="str">
        <f>HYPERLINK("http://www.rosaceae.org/Prunus/Prunus_persica/p.persica_gdr_reftransV1_0025354","p.persica_gdr_reftransV1_0025354")</f>
        <v>p.persica_gdr_reftransV1_0025354</v>
      </c>
      <c r="B12226" s="3">
        <v>1980</v>
      </c>
      <c r="C12226" s="1" t="str">
        <f>HYPERLINK("http://www.uniprot.org/uniprot/P2C39_ARATH","P2C39_ARATH")</f>
        <v>P2C39_ARATH</v>
      </c>
      <c r="D12226" t="s">
        <v>1263</v>
      </c>
      <c r="E12226" s="3" t="s">
        <v>3</v>
      </c>
      <c r="F12226" s="4">
        <v>7.25E-96</v>
      </c>
      <c r="G12226" s="3">
        <v>777</v>
      </c>
      <c r="H12226" s="3">
        <v>76</v>
      </c>
      <c r="I12226" s="3">
        <v>194</v>
      </c>
      <c r="J12226" s="3">
        <v>295</v>
      </c>
      <c r="K12226" s="3">
        <v>855</v>
      </c>
      <c r="L12226" s="3">
        <v>1</v>
      </c>
      <c r="M12226" s="3">
        <v>194</v>
      </c>
    </row>
    <row r="12227" spans="1:13" x14ac:dyDescent="0.25">
      <c r="A12227" s="1" t="str">
        <f>HYPERLINK("http://www.rosaceae.org/Prunus/Prunus_persica/p.persica_gdr_reftransV1_0025604","p.persica_gdr_reftransV1_0025604")</f>
        <v>p.persica_gdr_reftransV1_0025604</v>
      </c>
      <c r="B12227" s="3">
        <v>3396</v>
      </c>
      <c r="C12227" s="1" t="str">
        <f>HYPERLINK("http://www.uniprot.org/uniprot/NFYA9_ARATH","NFYA9_ARATH")</f>
        <v>NFYA9_ARATH</v>
      </c>
      <c r="D12227" t="s">
        <v>8463</v>
      </c>
      <c r="E12227" s="3" t="s">
        <v>3</v>
      </c>
      <c r="F12227" s="4">
        <v>3.2700000000000001E-47</v>
      </c>
      <c r="G12227" s="3">
        <v>448</v>
      </c>
      <c r="H12227" s="3">
        <v>53</v>
      </c>
      <c r="I12227" s="3">
        <v>199</v>
      </c>
      <c r="J12227" s="3">
        <v>2343</v>
      </c>
      <c r="K12227" s="3">
        <v>2933</v>
      </c>
      <c r="L12227" s="3">
        <v>145</v>
      </c>
      <c r="M12227" s="3">
        <v>303</v>
      </c>
    </row>
    <row r="12228" spans="1:13" x14ac:dyDescent="0.25">
      <c r="A12228" s="1" t="str">
        <f>HYPERLINK("http://www.rosaceae.org/Prunus/Prunus_persica/p.persica_gdr_reftransV1_0025704","p.persica_gdr_reftransV1_0025704")</f>
        <v>p.persica_gdr_reftransV1_0025704</v>
      </c>
      <c r="B12228" s="3">
        <v>2957</v>
      </c>
      <c r="C12228" s="1" t="str">
        <f>HYPERLINK("http://www.uniprot.org/uniprot/BLH1_ARATH","BLH1_ARATH")</f>
        <v>BLH1_ARATH</v>
      </c>
      <c r="D12228" t="s">
        <v>896</v>
      </c>
      <c r="E12228" s="3" t="s">
        <v>3</v>
      </c>
      <c r="F12228" s="4">
        <v>1.87E-161</v>
      </c>
      <c r="G12228" s="3">
        <v>1281</v>
      </c>
      <c r="H12228" s="3">
        <v>51</v>
      </c>
      <c r="I12228" s="3">
        <v>775</v>
      </c>
      <c r="J12228" s="3">
        <v>551</v>
      </c>
      <c r="K12228" s="3">
        <v>2671</v>
      </c>
      <c r="L12228" s="3">
        <v>1</v>
      </c>
      <c r="M12228" s="3">
        <v>680</v>
      </c>
    </row>
    <row r="12229" spans="1:13" x14ac:dyDescent="0.25">
      <c r="A12229" s="1" t="str">
        <f>HYPERLINK("http://www.rosaceae.org/Prunus/Prunus_persica/p.persica_gdr_reftransV1_0025754","p.persica_gdr_reftransV1_0025754")</f>
        <v>p.persica_gdr_reftransV1_0025754</v>
      </c>
      <c r="B12229" s="3">
        <v>4699</v>
      </c>
      <c r="C12229" s="1" t="str">
        <f>HYPERLINK("http://www.uniprot.org/uniprot/SECA1_ARATH","SECA1_ARATH")</f>
        <v>SECA1_ARATH</v>
      </c>
      <c r="D12229" t="s">
        <v>8464</v>
      </c>
      <c r="E12229" s="3" t="s">
        <v>3</v>
      </c>
      <c r="F12229" s="4">
        <v>0</v>
      </c>
      <c r="G12229" s="3">
        <v>4408</v>
      </c>
      <c r="H12229" s="3">
        <v>84</v>
      </c>
      <c r="I12229" s="3">
        <v>1002</v>
      </c>
      <c r="J12229" s="3">
        <v>1452</v>
      </c>
      <c r="K12229" s="3">
        <v>4439</v>
      </c>
      <c r="L12229" s="3">
        <v>5</v>
      </c>
      <c r="M12229" s="3">
        <v>1003</v>
      </c>
    </row>
    <row r="12230" spans="1:13" x14ac:dyDescent="0.25">
      <c r="A12230" s="1" t="str">
        <f>HYPERLINK("http://www.rosaceae.org/Prunus/Prunus_persica/p.persica_gdr_reftransV1_0025804","p.persica_gdr_reftransV1_0025804")</f>
        <v>p.persica_gdr_reftransV1_0025804</v>
      </c>
      <c r="B12230" s="3">
        <v>1450</v>
      </c>
      <c r="C12230" s="1" t="str">
        <f>HYPERLINK("http://www.uniprot.org/uniprot/FMT_BACLD","FMT_BACLD")</f>
        <v>FMT_BACLD</v>
      </c>
      <c r="D12230" t="s">
        <v>8465</v>
      </c>
      <c r="E12230" s="3" t="s">
        <v>2842</v>
      </c>
      <c r="F12230" s="4">
        <v>7.6399999999999995E-54</v>
      </c>
      <c r="G12230" s="3">
        <v>480</v>
      </c>
      <c r="H12230" s="3">
        <v>37</v>
      </c>
      <c r="I12230" s="3">
        <v>327</v>
      </c>
      <c r="J12230" s="3">
        <v>236</v>
      </c>
      <c r="K12230" s="3">
        <v>1216</v>
      </c>
      <c r="L12230" s="3">
        <v>4</v>
      </c>
      <c r="M12230" s="3">
        <v>305</v>
      </c>
    </row>
    <row r="12231" spans="1:13" x14ac:dyDescent="0.25">
      <c r="A12231" s="1" t="str">
        <f>HYPERLINK("http://www.rosaceae.org/Prunus/Prunus_persica/p.persica_gdr_reftransV1_0026104","p.persica_gdr_reftransV1_0026104")</f>
        <v>p.persica_gdr_reftransV1_0026104</v>
      </c>
      <c r="B12231" s="3">
        <v>631</v>
      </c>
      <c r="C12231" s="1" t="str">
        <f>HYPERLINK("http://www.uniprot.org/uniprot/Y4845_ARATH","Y4845_ARATH")</f>
        <v>Y4845_ARATH</v>
      </c>
      <c r="D12231" t="s">
        <v>466</v>
      </c>
      <c r="E12231" s="3" t="s">
        <v>3</v>
      </c>
      <c r="F12231" s="4">
        <v>4.8999999999999996E-53</v>
      </c>
      <c r="G12231" s="3">
        <v>447</v>
      </c>
      <c r="H12231" s="3">
        <v>75</v>
      </c>
      <c r="I12231" s="3">
        <v>107</v>
      </c>
      <c r="J12231" s="3">
        <v>310</v>
      </c>
      <c r="K12231" s="3">
        <v>630</v>
      </c>
      <c r="L12231" s="3">
        <v>136</v>
      </c>
      <c r="M12231" s="3">
        <v>242</v>
      </c>
    </row>
    <row r="12232" spans="1:13" x14ac:dyDescent="0.25">
      <c r="A12232" s="1" t="str">
        <f>HYPERLINK("http://www.rosaceae.org/Prunus/Prunus_persica/p.persica_gdr_reftransV1_0026154","p.persica_gdr_reftransV1_0026154")</f>
        <v>p.persica_gdr_reftransV1_0026154</v>
      </c>
      <c r="B12232" s="3">
        <v>4283</v>
      </c>
      <c r="C12232" s="1" t="str">
        <f>HYPERLINK("http://www.uniprot.org/uniprot/LACS7_ARATH","LACS7_ARATH")</f>
        <v>LACS7_ARATH</v>
      </c>
      <c r="D12232" t="s">
        <v>8466</v>
      </c>
      <c r="E12232" s="3" t="s">
        <v>3</v>
      </c>
      <c r="F12232" s="4">
        <v>0</v>
      </c>
      <c r="G12232" s="3">
        <v>1549</v>
      </c>
      <c r="H12232" s="3">
        <v>71</v>
      </c>
      <c r="I12232" s="3">
        <v>393</v>
      </c>
      <c r="J12232" s="3">
        <v>446</v>
      </c>
      <c r="K12232" s="3">
        <v>1612</v>
      </c>
      <c r="L12232" s="3">
        <v>4</v>
      </c>
      <c r="M12232" s="3">
        <v>396</v>
      </c>
    </row>
    <row r="12233" spans="1:13" x14ac:dyDescent="0.25">
      <c r="A12233" s="1" t="str">
        <f>HYPERLINK("http://www.rosaceae.org/Prunus/Prunus_persica/p.persica_gdr_reftransV1_0026204","p.persica_gdr_reftransV1_0026204")</f>
        <v>p.persica_gdr_reftransV1_0026204</v>
      </c>
      <c r="B12233" s="3">
        <v>2905</v>
      </c>
      <c r="C12233" s="1" t="str">
        <f>HYPERLINK("http://www.uniprot.org/uniprot/CNGC1_ARATH","CNGC1_ARATH")</f>
        <v>CNGC1_ARATH</v>
      </c>
      <c r="D12233" t="s">
        <v>241</v>
      </c>
      <c r="E12233" s="3" t="s">
        <v>3</v>
      </c>
      <c r="F12233" s="4">
        <v>0</v>
      </c>
      <c r="G12233" s="3">
        <v>2363</v>
      </c>
      <c r="H12233" s="3">
        <v>67</v>
      </c>
      <c r="I12233" s="3">
        <v>696</v>
      </c>
      <c r="J12233" s="3">
        <v>385</v>
      </c>
      <c r="K12233" s="3">
        <v>2460</v>
      </c>
      <c r="L12233" s="3">
        <v>1</v>
      </c>
      <c r="M12233" s="3">
        <v>688</v>
      </c>
    </row>
    <row r="12234" spans="1:13" x14ac:dyDescent="0.25">
      <c r="A12234" s="1" t="str">
        <f>HYPERLINK("http://www.rosaceae.org/Prunus/Prunus_persica/p.persica_gdr_reftransV1_0026304","p.persica_gdr_reftransV1_0026304")</f>
        <v>p.persica_gdr_reftransV1_0026304</v>
      </c>
      <c r="B12234" s="3">
        <v>2018</v>
      </c>
      <c r="C12234" s="1" t="str">
        <f>HYPERLINK("http://www.uniprot.org/uniprot/LPXB_ARATH","LPXB_ARATH")</f>
        <v>LPXB_ARATH</v>
      </c>
      <c r="D12234" t="s">
        <v>8467</v>
      </c>
      <c r="E12234" s="3" t="s">
        <v>3</v>
      </c>
      <c r="F12234" s="4">
        <v>1.64E-150</v>
      </c>
      <c r="G12234" s="3">
        <v>995</v>
      </c>
      <c r="H12234" s="3">
        <v>61</v>
      </c>
      <c r="I12234" s="3">
        <v>318</v>
      </c>
      <c r="J12234" s="3">
        <v>263</v>
      </c>
      <c r="K12234" s="3">
        <v>1207</v>
      </c>
      <c r="L12234" s="3">
        <v>146</v>
      </c>
      <c r="M12234" s="3">
        <v>459</v>
      </c>
    </row>
    <row r="12235" spans="1:13" x14ac:dyDescent="0.25">
      <c r="A12235" s="1" t="str">
        <f>HYPERLINK("http://www.rosaceae.org/Prunus/Prunus_persica/p.persica_gdr_reftransV1_0026554","p.persica_gdr_reftransV1_0026554")</f>
        <v>p.persica_gdr_reftransV1_0026554</v>
      </c>
      <c r="B12235" s="3">
        <v>3501</v>
      </c>
      <c r="C12235" s="1" t="str">
        <f>HYPERLINK("http://www.uniprot.org/uniprot/CRY1_ARATH","CRY1_ARATH")</f>
        <v>CRY1_ARATH</v>
      </c>
      <c r="D12235" t="s">
        <v>8468</v>
      </c>
      <c r="E12235" s="3" t="s">
        <v>3</v>
      </c>
      <c r="F12235" s="4">
        <v>0</v>
      </c>
      <c r="G12235" s="3">
        <v>1803</v>
      </c>
      <c r="H12235" s="3">
        <v>77</v>
      </c>
      <c r="I12235" s="3">
        <v>515</v>
      </c>
      <c r="J12235" s="3">
        <v>1309</v>
      </c>
      <c r="K12235" s="3">
        <v>2820</v>
      </c>
      <c r="L12235" s="3">
        <v>183</v>
      </c>
      <c r="M12235" s="3">
        <v>681</v>
      </c>
    </row>
    <row r="12236" spans="1:13" x14ac:dyDescent="0.25">
      <c r="A12236" s="1" t="str">
        <f>HYPERLINK("http://www.rosaceae.org/Prunus/Prunus_persica/p.persica_gdr_reftransV1_0026654","p.persica_gdr_reftransV1_0026654")</f>
        <v>p.persica_gdr_reftransV1_0026654</v>
      </c>
      <c r="B12236" s="3">
        <v>1266</v>
      </c>
      <c r="C12236" s="1" t="str">
        <f>HYPERLINK("http://www.uniprot.org/uniprot/MED30_ARATH","MED30_ARATH")</f>
        <v>MED30_ARATH</v>
      </c>
      <c r="D12236" t="s">
        <v>1795</v>
      </c>
      <c r="E12236" s="3" t="s">
        <v>3</v>
      </c>
      <c r="F12236" s="4">
        <v>2.0700000000000001E-44</v>
      </c>
      <c r="G12236" s="3">
        <v>401</v>
      </c>
      <c r="H12236" s="3">
        <v>53</v>
      </c>
      <c r="I12236" s="3">
        <v>181</v>
      </c>
      <c r="J12236" s="3">
        <v>358</v>
      </c>
      <c r="K12236" s="3">
        <v>894</v>
      </c>
      <c r="L12236" s="3">
        <v>15</v>
      </c>
      <c r="M12236" s="3">
        <v>189</v>
      </c>
    </row>
    <row r="12237" spans="1:13" x14ac:dyDescent="0.25">
      <c r="A12237" s="1" t="str">
        <f>HYPERLINK("http://www.rosaceae.org/Prunus/Prunus_persica/p.persica_gdr_reftransV1_0026954","p.persica_gdr_reftransV1_0026954")</f>
        <v>p.persica_gdr_reftransV1_0026954</v>
      </c>
      <c r="B12237" s="3">
        <v>1118</v>
      </c>
      <c r="C12237" s="1" t="str">
        <f>HYPERLINK("http://www.uniprot.org/uniprot/TSR3_MOUSE","TSR3_MOUSE")</f>
        <v>TSR3_MOUSE</v>
      </c>
      <c r="D12237" t="s">
        <v>8469</v>
      </c>
      <c r="E12237" s="3" t="s">
        <v>157</v>
      </c>
      <c r="F12237" s="4">
        <v>5.5800000000000003E-62</v>
      </c>
      <c r="G12237" s="3">
        <v>528</v>
      </c>
      <c r="H12237" s="3">
        <v>52</v>
      </c>
      <c r="I12237" s="3">
        <v>192</v>
      </c>
      <c r="J12237" s="3">
        <v>211</v>
      </c>
      <c r="K12237" s="3">
        <v>777</v>
      </c>
      <c r="L12237" s="3">
        <v>39</v>
      </c>
      <c r="M12237" s="3">
        <v>230</v>
      </c>
    </row>
    <row r="12238" spans="1:13" x14ac:dyDescent="0.25">
      <c r="A12238" s="1" t="str">
        <f>HYPERLINK("http://www.rosaceae.org/Prunus/Prunus_persica/p.persica_gdr_reftransV1_0027004","p.persica_gdr_reftransV1_0027004")</f>
        <v>p.persica_gdr_reftransV1_0027004</v>
      </c>
      <c r="B12238" s="3">
        <v>4961</v>
      </c>
      <c r="C12238" s="1" t="str">
        <f>HYPERLINK("http://www.uniprot.org/uniprot/PP299_ARATH","PP299_ARATH")</f>
        <v>PP299_ARATH</v>
      </c>
      <c r="D12238" t="s">
        <v>5652</v>
      </c>
      <c r="E12238" s="3" t="s">
        <v>3</v>
      </c>
      <c r="F12238" s="4">
        <v>0</v>
      </c>
      <c r="G12238" s="3">
        <v>2263</v>
      </c>
      <c r="H12238" s="3">
        <v>66</v>
      </c>
      <c r="I12238" s="3">
        <v>657</v>
      </c>
      <c r="J12238" s="3">
        <v>3042</v>
      </c>
      <c r="K12238" s="3">
        <v>4955</v>
      </c>
      <c r="L12238" s="3">
        <v>160</v>
      </c>
      <c r="M12238" s="3">
        <v>797</v>
      </c>
    </row>
    <row r="12239" spans="1:13" x14ac:dyDescent="0.25">
      <c r="A12239" s="1" t="str">
        <f>HYPERLINK("http://www.rosaceae.org/Prunus/Prunus_persica/p.persica_gdr_reftransV1_0027054","p.persica_gdr_reftransV1_0027054")</f>
        <v>p.persica_gdr_reftransV1_0027054</v>
      </c>
      <c r="B12239" s="3">
        <v>2663</v>
      </c>
      <c r="C12239" s="1" t="str">
        <f>HYPERLINK("http://www.uniprot.org/uniprot/GUN25_ARATH","GUN25_ARATH")</f>
        <v>GUN25_ARATH</v>
      </c>
      <c r="D12239" t="s">
        <v>4816</v>
      </c>
      <c r="E12239" s="3" t="s">
        <v>3</v>
      </c>
      <c r="F12239" s="4">
        <v>0</v>
      </c>
      <c r="G12239" s="3">
        <v>2475</v>
      </c>
      <c r="H12239" s="3">
        <v>82</v>
      </c>
      <c r="I12239" s="3">
        <v>608</v>
      </c>
      <c r="J12239" s="3">
        <v>340</v>
      </c>
      <c r="K12239" s="3">
        <v>2151</v>
      </c>
      <c r="L12239" s="3">
        <v>1</v>
      </c>
      <c r="M12239" s="3">
        <v>605</v>
      </c>
    </row>
    <row r="12240" spans="1:13" x14ac:dyDescent="0.25">
      <c r="A12240" s="1" t="str">
        <f>HYPERLINK("http://www.rosaceae.org/Prunus/Prunus_persica/p.persica_gdr_reftransV1_0027254","p.persica_gdr_reftransV1_0027254")</f>
        <v>p.persica_gdr_reftransV1_0027254</v>
      </c>
      <c r="B12240" s="3">
        <v>1676</v>
      </c>
      <c r="C12240" s="1" t="str">
        <f>HYPERLINK("http://www.uniprot.org/uniprot/idH5_ARATH","idH5_ARATH")</f>
        <v>idH5_ARATH</v>
      </c>
      <c r="D12240" t="s">
        <v>8470</v>
      </c>
      <c r="E12240" s="3" t="s">
        <v>3</v>
      </c>
      <c r="F12240" s="4">
        <v>0</v>
      </c>
      <c r="G12240" s="3">
        <v>1638</v>
      </c>
      <c r="H12240" s="3">
        <v>79</v>
      </c>
      <c r="I12240" s="3">
        <v>404</v>
      </c>
      <c r="J12240" s="3">
        <v>394</v>
      </c>
      <c r="K12240" s="3">
        <v>1605</v>
      </c>
      <c r="L12240" s="3">
        <v>3</v>
      </c>
      <c r="M12240" s="3">
        <v>374</v>
      </c>
    </row>
    <row r="12241" spans="1:13" x14ac:dyDescent="0.25">
      <c r="A12241" s="1" t="str">
        <f>HYPERLINK("http://www.rosaceae.org/Prunus/Prunus_persica/p.persica_gdr_reftransV1_0027304","p.persica_gdr_reftransV1_0027304")</f>
        <v>p.persica_gdr_reftransV1_0027304</v>
      </c>
      <c r="B12241" s="3">
        <v>2905</v>
      </c>
      <c r="C12241" s="1" t="str">
        <f>HYPERLINK("http://www.uniprot.org/uniprot/AI5L5_ARATH","AI5L5_ARATH")</f>
        <v>AI5L5_ARATH</v>
      </c>
      <c r="D12241" t="s">
        <v>6294</v>
      </c>
      <c r="E12241" s="3" t="s">
        <v>3</v>
      </c>
      <c r="F12241" s="4">
        <v>5.08E-70</v>
      </c>
      <c r="G12241" s="3">
        <v>622</v>
      </c>
      <c r="H12241" s="3">
        <v>51</v>
      </c>
      <c r="I12241" s="3">
        <v>424</v>
      </c>
      <c r="J12241" s="3">
        <v>1551</v>
      </c>
      <c r="K12241" s="3">
        <v>2717</v>
      </c>
      <c r="L12241" s="3">
        <v>7</v>
      </c>
      <c r="M12241" s="3">
        <v>396</v>
      </c>
    </row>
    <row r="12242" spans="1:13" x14ac:dyDescent="0.25">
      <c r="A12242" s="1" t="str">
        <f>HYPERLINK("http://www.rosaceae.org/Prunus/Prunus_persica/p.persica_gdr_reftransV1_0027504","p.persica_gdr_reftransV1_0027504")</f>
        <v>p.persica_gdr_reftransV1_0027504</v>
      </c>
      <c r="B12242" s="3">
        <v>2693</v>
      </c>
      <c r="C12242" s="1" t="str">
        <f>HYPERLINK("http://www.uniprot.org/uniprot/GAUT3_ARATH","GAUT3_ARATH")</f>
        <v>GAUT3_ARATH</v>
      </c>
      <c r="D12242" t="s">
        <v>8471</v>
      </c>
      <c r="E12242" s="3" t="s">
        <v>3</v>
      </c>
      <c r="F12242" s="4">
        <v>0</v>
      </c>
      <c r="G12242" s="3">
        <v>2136</v>
      </c>
      <c r="H12242" s="3">
        <v>63</v>
      </c>
      <c r="I12242" s="3">
        <v>692</v>
      </c>
      <c r="J12242" s="3">
        <v>303</v>
      </c>
      <c r="K12242" s="3">
        <v>2360</v>
      </c>
      <c r="L12242" s="3">
        <v>34</v>
      </c>
      <c r="M12242" s="3">
        <v>680</v>
      </c>
    </row>
    <row r="12243" spans="1:13" x14ac:dyDescent="0.25">
      <c r="A12243" s="1" t="str">
        <f>HYPERLINK("http://www.rosaceae.org/Prunus/Prunus_persica/p.persica_gdr_reftransV1_0027804","p.persica_gdr_reftransV1_0027804")</f>
        <v>p.persica_gdr_reftransV1_0027804</v>
      </c>
      <c r="B12243" s="3">
        <v>1238</v>
      </c>
      <c r="C12243" s="1" t="str">
        <f>HYPERLINK("http://www.uniprot.org/uniprot/ZAT10_ARATH","ZAT10_ARATH")</f>
        <v>ZAT10_ARATH</v>
      </c>
      <c r="D12243" t="s">
        <v>4347</v>
      </c>
      <c r="E12243" s="3" t="s">
        <v>3</v>
      </c>
      <c r="F12243" s="4">
        <v>3.6099999999999999E-37</v>
      </c>
      <c r="G12243" s="3">
        <v>352</v>
      </c>
      <c r="H12243" s="3">
        <v>47</v>
      </c>
      <c r="I12243" s="3">
        <v>223</v>
      </c>
      <c r="J12243" s="3">
        <v>310</v>
      </c>
      <c r="K12243" s="3">
        <v>954</v>
      </c>
      <c r="L12243" s="3">
        <v>19</v>
      </c>
      <c r="M12243" s="3">
        <v>219</v>
      </c>
    </row>
    <row r="12244" spans="1:13" x14ac:dyDescent="0.25">
      <c r="A12244" s="1" t="str">
        <f>HYPERLINK("http://www.rosaceae.org/Prunus/Prunus_persica/p.persica_gdr_reftransV1_0027854","p.persica_gdr_reftransV1_0027854")</f>
        <v>p.persica_gdr_reftransV1_0027854</v>
      </c>
      <c r="B12244" s="3">
        <v>2579</v>
      </c>
      <c r="C12244" s="1" t="str">
        <f>HYPERLINK("http://www.uniprot.org/uniprot/MACP2_ARATH","MACP2_ARATH")</f>
        <v>MACP2_ARATH</v>
      </c>
      <c r="D12244" t="s">
        <v>8472</v>
      </c>
      <c r="E12244" s="3" t="s">
        <v>3</v>
      </c>
      <c r="F12244" s="4">
        <v>0</v>
      </c>
      <c r="G12244" s="3">
        <v>2500</v>
      </c>
      <c r="H12244" s="3">
        <v>76</v>
      </c>
      <c r="I12244" s="3">
        <v>607</v>
      </c>
      <c r="J12244" s="3">
        <v>512</v>
      </c>
      <c r="K12244" s="3">
        <v>2329</v>
      </c>
      <c r="L12244" s="3">
        <v>1</v>
      </c>
      <c r="M12244" s="3">
        <v>601</v>
      </c>
    </row>
    <row r="12245" spans="1:13" x14ac:dyDescent="0.25">
      <c r="A12245" s="1" t="str">
        <f>HYPERLINK("http://www.rosaceae.org/Prunus/Prunus_persica/p.persica_gdr_reftransV1_0027904","p.persica_gdr_reftransV1_0027904")</f>
        <v>p.persica_gdr_reftransV1_0027904</v>
      </c>
      <c r="B12245" s="3">
        <v>3948</v>
      </c>
      <c r="C12245" s="1" t="str">
        <f>HYPERLINK("http://www.uniprot.org/uniprot/TRC_DROPS","TRC_DROPS")</f>
        <v>TRC_DROPS</v>
      </c>
      <c r="D12245" t="s">
        <v>5597</v>
      </c>
      <c r="E12245" s="3" t="s">
        <v>3741</v>
      </c>
      <c r="F12245" s="4">
        <v>1.01E-73</v>
      </c>
      <c r="G12245" s="3">
        <v>660</v>
      </c>
      <c r="H12245" s="3">
        <v>47</v>
      </c>
      <c r="I12245" s="3">
        <v>297</v>
      </c>
      <c r="J12245" s="3">
        <v>2817</v>
      </c>
      <c r="K12245" s="3">
        <v>3695</v>
      </c>
      <c r="L12245" s="3">
        <v>16</v>
      </c>
      <c r="M12245" s="3">
        <v>299</v>
      </c>
    </row>
    <row r="12246" spans="1:13" x14ac:dyDescent="0.25">
      <c r="A12246" s="1" t="str">
        <f>HYPERLINK("http://www.rosaceae.org/Prunus/Prunus_persica/p.persica_gdr_reftransV1_0028104","p.persica_gdr_reftransV1_0028104")</f>
        <v>p.persica_gdr_reftransV1_0028104</v>
      </c>
      <c r="B12246" s="3">
        <v>3908</v>
      </c>
      <c r="C12246" s="1" t="str">
        <f>HYPERLINK("http://www.uniprot.org/uniprot/CTF77_ARATH","CTF77_ARATH")</f>
        <v>CTF77_ARATH</v>
      </c>
      <c r="D12246" t="s">
        <v>8473</v>
      </c>
      <c r="E12246" s="3" t="s">
        <v>3</v>
      </c>
      <c r="F12246" s="4">
        <v>0</v>
      </c>
      <c r="G12246" s="3">
        <v>2408</v>
      </c>
      <c r="H12246" s="3">
        <v>69</v>
      </c>
      <c r="I12246" s="3">
        <v>665</v>
      </c>
      <c r="J12246" s="3">
        <v>1296</v>
      </c>
      <c r="K12246" s="3">
        <v>3287</v>
      </c>
      <c r="L12246" s="3">
        <v>3</v>
      </c>
      <c r="M12246" s="3">
        <v>654</v>
      </c>
    </row>
    <row r="12247" spans="1:13" x14ac:dyDescent="0.25">
      <c r="A12247" s="1" t="str">
        <f>HYPERLINK("http://www.rosaceae.org/Prunus/Prunus_persica/p.persica_gdr_reftransV1_0028454","p.persica_gdr_reftransV1_0028454")</f>
        <v>p.persica_gdr_reftransV1_0028454</v>
      </c>
      <c r="B12247" s="3">
        <v>3642</v>
      </c>
      <c r="C12247" s="1" t="str">
        <f>HYPERLINK("http://www.uniprot.org/uniprot/UBE4_ARATH","UBE4_ARATH")</f>
        <v>UBE4_ARATH</v>
      </c>
      <c r="D12247" t="s">
        <v>8474</v>
      </c>
      <c r="E12247" s="3" t="s">
        <v>3</v>
      </c>
      <c r="F12247" s="4">
        <v>0</v>
      </c>
      <c r="G12247" s="3">
        <v>4194</v>
      </c>
      <c r="H12247" s="3">
        <v>77</v>
      </c>
      <c r="I12247" s="3">
        <v>1042</v>
      </c>
      <c r="J12247" s="3">
        <v>237</v>
      </c>
      <c r="K12247" s="3">
        <v>3320</v>
      </c>
      <c r="L12247" s="3">
        <v>1</v>
      </c>
      <c r="M12247" s="3">
        <v>1038</v>
      </c>
    </row>
    <row r="12248" spans="1:13" x14ac:dyDescent="0.25">
      <c r="A12248" s="1" t="str">
        <f>HYPERLINK("http://www.rosaceae.org/Prunus/Prunus_persica/p.persica_gdr_reftransV1_0028504","p.persica_gdr_reftransV1_0028504")</f>
        <v>p.persica_gdr_reftransV1_0028504</v>
      </c>
      <c r="B12248" s="3">
        <v>3709</v>
      </c>
      <c r="C12248" s="1" t="str">
        <f>HYPERLINK("http://www.uniprot.org/uniprot/CKX6_ARATH","CKX6_ARATH")</f>
        <v>CKX6_ARATH</v>
      </c>
      <c r="D12248" t="s">
        <v>8475</v>
      </c>
      <c r="E12248" s="3" t="s">
        <v>3</v>
      </c>
      <c r="F12248" s="4">
        <v>0</v>
      </c>
      <c r="G12248" s="3">
        <v>954</v>
      </c>
      <c r="H12248" s="3">
        <v>70</v>
      </c>
      <c r="I12248" s="3">
        <v>255</v>
      </c>
      <c r="J12248" s="3">
        <v>1171</v>
      </c>
      <c r="K12248" s="3">
        <v>1926</v>
      </c>
      <c r="L12248" s="3">
        <v>1</v>
      </c>
      <c r="M12248" s="3">
        <v>255</v>
      </c>
    </row>
    <row r="12249" spans="1:13" x14ac:dyDescent="0.25">
      <c r="A12249" s="1" t="str">
        <f>HYPERLINK("http://www.rosaceae.org/Prunus/Prunus_persica/p.persica_gdr_reftransV1_0028554","p.persica_gdr_reftransV1_0028554")</f>
        <v>p.persica_gdr_reftransV1_0028554</v>
      </c>
      <c r="B12249" s="3">
        <v>3704</v>
      </c>
      <c r="C12249" s="1" t="str">
        <f>HYPERLINK("http://www.uniprot.org/uniprot/PTRB_MORLA","PTRB_MORLA")</f>
        <v>PTRB_MORLA</v>
      </c>
      <c r="D12249" t="s">
        <v>8476</v>
      </c>
      <c r="E12249" s="3" t="s">
        <v>8477</v>
      </c>
      <c r="F12249" s="4">
        <v>6.1700000000000001E-78</v>
      </c>
      <c r="G12249" s="3">
        <v>706</v>
      </c>
      <c r="H12249" s="3">
        <v>59</v>
      </c>
      <c r="I12249" s="3">
        <v>217</v>
      </c>
      <c r="J12249" s="3">
        <v>383</v>
      </c>
      <c r="K12249" s="3">
        <v>1033</v>
      </c>
      <c r="L12249" s="3">
        <v>462</v>
      </c>
      <c r="M12249" s="3">
        <v>678</v>
      </c>
    </row>
    <row r="12250" spans="1:13" x14ac:dyDescent="0.25">
      <c r="A12250" s="1" t="str">
        <f>HYPERLINK("http://www.rosaceae.org/Prunus/Prunus_persica/p.persica_gdr_reftransV1_0028704","p.persica_gdr_reftransV1_0028704")</f>
        <v>p.persica_gdr_reftransV1_0028704</v>
      </c>
      <c r="B12250" s="3">
        <v>945</v>
      </c>
      <c r="C12250" s="1" t="str">
        <f>HYPERLINK("http://www.uniprot.org/uniprot/CYP22_ARATH","CYP22_ARATH")</f>
        <v>CYP22_ARATH</v>
      </c>
      <c r="D12250" t="s">
        <v>8478</v>
      </c>
      <c r="E12250" s="3" t="s">
        <v>3</v>
      </c>
      <c r="F12250" s="4">
        <v>5.3499999999999997E-78</v>
      </c>
      <c r="G12250" s="3">
        <v>620</v>
      </c>
      <c r="H12250" s="3">
        <v>88</v>
      </c>
      <c r="I12250" s="3">
        <v>125</v>
      </c>
      <c r="J12250" s="3">
        <v>481</v>
      </c>
      <c r="K12250" s="3">
        <v>855</v>
      </c>
      <c r="L12250" s="3">
        <v>20</v>
      </c>
      <c r="M12250" s="3">
        <v>144</v>
      </c>
    </row>
    <row r="12251" spans="1:13" x14ac:dyDescent="0.25">
      <c r="A12251" s="1" t="str">
        <f>HYPERLINK("http://www.rosaceae.org/Prunus/Prunus_persica/p.persica_gdr_reftransV1_0028754","p.persica_gdr_reftransV1_0028754")</f>
        <v>p.persica_gdr_reftransV1_0028754</v>
      </c>
      <c r="B12251" s="3">
        <v>2965</v>
      </c>
      <c r="C12251" s="1" t="str">
        <f>HYPERLINK("http://www.uniprot.org/uniprot/PPA3_ARATH","PPA3_ARATH")</f>
        <v>PPA3_ARATH</v>
      </c>
      <c r="D12251" t="s">
        <v>1997</v>
      </c>
      <c r="E12251" s="3" t="s">
        <v>3</v>
      </c>
      <c r="F12251" s="4">
        <v>2.59E-132</v>
      </c>
      <c r="G12251" s="3">
        <v>1054</v>
      </c>
      <c r="H12251" s="3">
        <v>59</v>
      </c>
      <c r="I12251" s="3">
        <v>358</v>
      </c>
      <c r="J12251" s="3">
        <v>76</v>
      </c>
      <c r="K12251" s="3">
        <v>1146</v>
      </c>
      <c r="L12251" s="3">
        <v>23</v>
      </c>
      <c r="M12251" s="3">
        <v>354</v>
      </c>
    </row>
    <row r="12252" spans="1:13" x14ac:dyDescent="0.25">
      <c r="A12252" s="1" t="str">
        <f>HYPERLINK("http://www.rosaceae.org/Prunus/Prunus_persica/p.persica_gdr_reftransV1_0028904","p.persica_gdr_reftransV1_0028904")</f>
        <v>p.persica_gdr_reftransV1_0028904</v>
      </c>
      <c r="B12252" s="3">
        <v>1543</v>
      </c>
      <c r="C12252" s="1" t="str">
        <f>HYPERLINK("http://www.uniprot.org/uniprot/ADF2_PETHY","ADF2_PETHY")</f>
        <v>ADF2_PETHY</v>
      </c>
      <c r="D12252" t="s">
        <v>2121</v>
      </c>
      <c r="E12252" s="3" t="s">
        <v>509</v>
      </c>
      <c r="F12252" s="4">
        <v>1.3999999999999999E-81</v>
      </c>
      <c r="G12252" s="3">
        <v>655</v>
      </c>
      <c r="H12252" s="3">
        <v>88</v>
      </c>
      <c r="I12252" s="3">
        <v>137</v>
      </c>
      <c r="J12252" s="3">
        <v>243</v>
      </c>
      <c r="K12252" s="3">
        <v>653</v>
      </c>
      <c r="L12252" s="3">
        <v>2</v>
      </c>
      <c r="M12252" s="3">
        <v>138</v>
      </c>
    </row>
    <row r="12253" spans="1:13" x14ac:dyDescent="0.25">
      <c r="A12253" s="1" t="str">
        <f>HYPERLINK("http://www.rosaceae.org/Prunus/Prunus_persica/p.persica_gdr_reftransV1_0028954","p.persica_gdr_reftransV1_0028954")</f>
        <v>p.persica_gdr_reftransV1_0028954</v>
      </c>
      <c r="B12253" s="3">
        <v>432</v>
      </c>
      <c r="C12253" s="1" t="str">
        <f>HYPERLINK("http://www.uniprot.org/uniprot/ITIH4_MOUSE","ITIH4_MOUSE")</f>
        <v>ITIH4_MOUSE</v>
      </c>
      <c r="D12253" t="s">
        <v>4672</v>
      </c>
      <c r="E12253" s="3" t="s">
        <v>157</v>
      </c>
      <c r="F12253" s="4">
        <v>1.9500000000000001E-7</v>
      </c>
      <c r="G12253" s="3">
        <v>126</v>
      </c>
      <c r="H12253" s="3">
        <v>38</v>
      </c>
      <c r="I12253" s="3">
        <v>108</v>
      </c>
      <c r="J12253" s="3">
        <v>47</v>
      </c>
      <c r="K12253" s="3">
        <v>349</v>
      </c>
      <c r="L12253" s="3">
        <v>280</v>
      </c>
      <c r="M12253" s="3">
        <v>386</v>
      </c>
    </row>
    <row r="12254" spans="1:13" x14ac:dyDescent="0.25">
      <c r="A12254" s="1" t="str">
        <f>HYPERLINK("http://www.rosaceae.org/Prunus/Prunus_persica/p.persica_gdr_reftransV1_0029154","p.persica_gdr_reftransV1_0029154")</f>
        <v>p.persica_gdr_reftransV1_0029154</v>
      </c>
      <c r="B12254" s="3">
        <v>2360</v>
      </c>
      <c r="C12254" s="1" t="str">
        <f>HYPERLINK("http://www.uniprot.org/uniprot/FLK_ARATH","FLK_ARATH")</f>
        <v>FLK_ARATH</v>
      </c>
      <c r="D12254" t="s">
        <v>1434</v>
      </c>
      <c r="E12254" s="3" t="s">
        <v>3</v>
      </c>
      <c r="F12254" s="4">
        <v>3.2899999999999999E-121</v>
      </c>
      <c r="G12254" s="3">
        <v>984</v>
      </c>
      <c r="H12254" s="3">
        <v>72</v>
      </c>
      <c r="I12254" s="3">
        <v>331</v>
      </c>
      <c r="J12254" s="3">
        <v>1039</v>
      </c>
      <c r="K12254" s="3">
        <v>2016</v>
      </c>
      <c r="L12254" s="3">
        <v>239</v>
      </c>
      <c r="M12254" s="3">
        <v>562</v>
      </c>
    </row>
    <row r="12255" spans="1:13" x14ac:dyDescent="0.25">
      <c r="A12255" s="1" t="str">
        <f>HYPERLINK("http://www.rosaceae.org/Prunus/Prunus_persica/p.persica_gdr_reftransV1_0029204","p.persica_gdr_reftransV1_0029204")</f>
        <v>p.persica_gdr_reftransV1_0029204</v>
      </c>
      <c r="B12255" s="3">
        <v>883</v>
      </c>
      <c r="C12255" s="1" t="str">
        <f>HYPERLINK("http://www.uniprot.org/uniprot/Y2910_ARATH","Y2910_ARATH")</f>
        <v>Y2910_ARATH</v>
      </c>
      <c r="D12255" t="s">
        <v>8479</v>
      </c>
      <c r="E12255" s="3" t="s">
        <v>3</v>
      </c>
      <c r="F12255" s="4">
        <v>1.72E-59</v>
      </c>
      <c r="G12255" s="3">
        <v>493</v>
      </c>
      <c r="H12255" s="3">
        <v>60</v>
      </c>
      <c r="I12255" s="3">
        <v>169</v>
      </c>
      <c r="J12255" s="3">
        <v>286</v>
      </c>
      <c r="K12255" s="3">
        <v>753</v>
      </c>
      <c r="L12255" s="3">
        <v>14</v>
      </c>
      <c r="M12255" s="3">
        <v>182</v>
      </c>
    </row>
    <row r="12256" spans="1:13" x14ac:dyDescent="0.25">
      <c r="A12256" s="1" t="str">
        <f>HYPERLINK("http://www.rosaceae.org/Prunus/Prunus_persica/p.persica_gdr_reftransV1_0029254","p.persica_gdr_reftransV1_0029254")</f>
        <v>p.persica_gdr_reftransV1_0029254</v>
      </c>
      <c r="B12256" s="3">
        <v>2381</v>
      </c>
      <c r="C12256" s="1" t="str">
        <f>HYPERLINK("http://www.uniprot.org/uniprot/WDR70_XENTR","WDR70_XENTR")</f>
        <v>WDR70_XENTR</v>
      </c>
      <c r="D12256" t="s">
        <v>8480</v>
      </c>
      <c r="E12256" s="3" t="s">
        <v>173</v>
      </c>
      <c r="F12256" s="4">
        <v>8.4899999999999998E-132</v>
      </c>
      <c r="G12256" s="3">
        <v>1060</v>
      </c>
      <c r="H12256" s="3">
        <v>44</v>
      </c>
      <c r="I12256" s="3">
        <v>511</v>
      </c>
      <c r="J12256" s="3">
        <v>467</v>
      </c>
      <c r="K12256" s="3">
        <v>1987</v>
      </c>
      <c r="L12256" s="3">
        <v>103</v>
      </c>
      <c r="M12256" s="3">
        <v>602</v>
      </c>
    </row>
    <row r="12257" spans="1:13" x14ac:dyDescent="0.25">
      <c r="A12257" s="1" t="str">
        <f>HYPERLINK("http://www.rosaceae.org/Prunus/Prunus_persica/p.persica_gdr_reftransV1_0029554","p.persica_gdr_reftransV1_0029554")</f>
        <v>p.persica_gdr_reftransV1_0029554</v>
      </c>
      <c r="B12257" s="3">
        <v>2960</v>
      </c>
      <c r="C12257" s="1" t="str">
        <f>HYPERLINK("http://www.uniprot.org/uniprot/EI2BD_RABIT","EI2BD_RABIT")</f>
        <v>EI2BD_RABIT</v>
      </c>
      <c r="D12257" t="s">
        <v>6500</v>
      </c>
      <c r="E12257" s="3" t="s">
        <v>6501</v>
      </c>
      <c r="F12257" s="4">
        <v>2.13E-92</v>
      </c>
      <c r="G12257" s="3">
        <v>793</v>
      </c>
      <c r="H12257" s="3">
        <v>48</v>
      </c>
      <c r="I12257" s="3">
        <v>339</v>
      </c>
      <c r="J12257" s="3">
        <v>1008</v>
      </c>
      <c r="K12257" s="3">
        <v>2006</v>
      </c>
      <c r="L12257" s="3">
        <v>133</v>
      </c>
      <c r="M12257" s="3">
        <v>457</v>
      </c>
    </row>
    <row r="12258" spans="1:13" x14ac:dyDescent="0.25">
      <c r="A12258" s="1" t="str">
        <f>HYPERLINK("http://www.rosaceae.org/Prunus/Prunus_persica/p.persica_gdr_reftransV1_0029604","p.persica_gdr_reftransV1_0029604")</f>
        <v>p.persica_gdr_reftransV1_0029604</v>
      </c>
      <c r="B12258" s="3">
        <v>3166</v>
      </c>
      <c r="C12258" s="1" t="str">
        <f>HYPERLINK("http://www.uniprot.org/uniprot/ALG2_DICDI","ALG2_DICDI")</f>
        <v>ALG2_DICDI</v>
      </c>
      <c r="D12258" t="s">
        <v>4877</v>
      </c>
      <c r="E12258" s="3" t="s">
        <v>9</v>
      </c>
      <c r="F12258" s="4">
        <v>6.2800000000000003E-118</v>
      </c>
      <c r="G12258" s="3">
        <v>965</v>
      </c>
      <c r="H12258" s="3">
        <v>46</v>
      </c>
      <c r="I12258" s="3">
        <v>415</v>
      </c>
      <c r="J12258" s="3">
        <v>1634</v>
      </c>
      <c r="K12258" s="3">
        <v>2815</v>
      </c>
      <c r="L12258" s="3">
        <v>3</v>
      </c>
      <c r="M12258" s="3">
        <v>414</v>
      </c>
    </row>
    <row r="12259" spans="1:13" x14ac:dyDescent="0.25">
      <c r="A12259" s="1" t="str">
        <f>HYPERLINK("http://www.rosaceae.org/Prunus/Prunus_persica/p.persica_gdr_reftransV1_0029704","p.persica_gdr_reftransV1_0029704")</f>
        <v>p.persica_gdr_reftransV1_0029704</v>
      </c>
      <c r="B12259" s="3">
        <v>1738</v>
      </c>
      <c r="C12259" s="1" t="str">
        <f>HYPERLINK("http://www.uniprot.org/uniprot/DHGY_CUCSA","DHGY_CUCSA")</f>
        <v>DHGY_CUCSA</v>
      </c>
      <c r="D12259" t="s">
        <v>8481</v>
      </c>
      <c r="E12259" s="3" t="s">
        <v>1149</v>
      </c>
      <c r="F12259" s="4">
        <v>0</v>
      </c>
      <c r="G12259" s="3">
        <v>1695</v>
      </c>
      <c r="H12259" s="3">
        <v>83</v>
      </c>
      <c r="I12259" s="3">
        <v>412</v>
      </c>
      <c r="J12259" s="3">
        <v>299</v>
      </c>
      <c r="K12259" s="3">
        <v>1534</v>
      </c>
      <c r="L12259" s="3">
        <v>7</v>
      </c>
      <c r="M12259" s="3">
        <v>380</v>
      </c>
    </row>
    <row r="12260" spans="1:13" x14ac:dyDescent="0.25">
      <c r="A12260" s="1" t="str">
        <f>HYPERLINK("http://www.rosaceae.org/Prunus/Prunus_persica/p.persica_gdr_reftransV1_0029754","p.persica_gdr_reftransV1_0029754")</f>
        <v>p.persica_gdr_reftransV1_0029754</v>
      </c>
      <c r="B12260" s="3">
        <v>1602</v>
      </c>
      <c r="C12260" s="1" t="str">
        <f>HYPERLINK("http://www.uniprot.org/uniprot/UGE1_PEA","UGE1_PEA")</f>
        <v>UGE1_PEA</v>
      </c>
      <c r="D12260" t="s">
        <v>8482</v>
      </c>
      <c r="E12260" s="3" t="s">
        <v>60</v>
      </c>
      <c r="F12260" s="4">
        <v>2.4099999999999999E-180</v>
      </c>
      <c r="G12260" s="3">
        <v>1334</v>
      </c>
      <c r="H12260" s="3">
        <v>82</v>
      </c>
      <c r="I12260" s="3">
        <v>295</v>
      </c>
      <c r="J12260" s="3">
        <v>629</v>
      </c>
      <c r="K12260" s="3">
        <v>1513</v>
      </c>
      <c r="L12260" s="3">
        <v>1</v>
      </c>
      <c r="M12260" s="3">
        <v>295</v>
      </c>
    </row>
    <row r="12261" spans="1:13" x14ac:dyDescent="0.25">
      <c r="A12261" s="1" t="str">
        <f>HYPERLINK("http://www.rosaceae.org/Prunus/Prunus_persica/p.persica_gdr_reftransV1_0029804","p.persica_gdr_reftransV1_0029804")</f>
        <v>p.persica_gdr_reftransV1_0029804</v>
      </c>
      <c r="B12261" s="3">
        <v>2451</v>
      </c>
      <c r="C12261" s="1" t="str">
        <f>HYPERLINK("http://www.uniprot.org/uniprot/ARI7_ARATH","ARI7_ARATH")</f>
        <v>ARI7_ARATH</v>
      </c>
      <c r="D12261" t="s">
        <v>8483</v>
      </c>
      <c r="E12261" s="3" t="s">
        <v>3</v>
      </c>
      <c r="F12261" s="4">
        <v>0</v>
      </c>
      <c r="G12261" s="3">
        <v>1676</v>
      </c>
      <c r="H12261" s="3">
        <v>69</v>
      </c>
      <c r="I12261" s="3">
        <v>459</v>
      </c>
      <c r="J12261" s="3">
        <v>234</v>
      </c>
      <c r="K12261" s="3">
        <v>1607</v>
      </c>
      <c r="L12261" s="3">
        <v>1</v>
      </c>
      <c r="M12261" s="3">
        <v>457</v>
      </c>
    </row>
    <row r="12262" spans="1:13" x14ac:dyDescent="0.25">
      <c r="A12262" s="1" t="str">
        <f>HYPERLINK("http://www.rosaceae.org/Prunus/Prunus_persica/p.persica_gdr_reftransV1_0030054","p.persica_gdr_reftransV1_0030054")</f>
        <v>p.persica_gdr_reftransV1_0030054</v>
      </c>
      <c r="B12262" s="3">
        <v>2088</v>
      </c>
      <c r="C12262" s="1" t="str">
        <f>HYPERLINK("http://www.uniprot.org/uniprot/TPC12_HUMAN","TPC12_HUMAN")</f>
        <v>TPC12_HUMAN</v>
      </c>
      <c r="D12262" t="s">
        <v>8484</v>
      </c>
      <c r="E12262" s="3" t="s">
        <v>28</v>
      </c>
      <c r="F12262" s="4">
        <v>2.1699999999999999E-28</v>
      </c>
      <c r="G12262" s="3">
        <v>313</v>
      </c>
      <c r="H12262" s="3">
        <v>28</v>
      </c>
      <c r="I12262" s="3">
        <v>362</v>
      </c>
      <c r="J12262" s="3">
        <v>437</v>
      </c>
      <c r="K12262" s="3">
        <v>1444</v>
      </c>
      <c r="L12262" s="3">
        <v>375</v>
      </c>
      <c r="M12262" s="3">
        <v>734</v>
      </c>
    </row>
    <row r="12263" spans="1:13" x14ac:dyDescent="0.25">
      <c r="A12263" s="1" t="str">
        <f>HYPERLINK("http://www.rosaceae.org/Prunus/Prunus_persica/p.persica_gdr_reftransV1_0030104","p.persica_gdr_reftransV1_0030104")</f>
        <v>p.persica_gdr_reftransV1_0030104</v>
      </c>
      <c r="B12263" s="3">
        <v>2008</v>
      </c>
      <c r="C12263" s="1" t="str">
        <f>HYPERLINK("http://www.uniprot.org/uniprot/BECN1_ARATH","BECN1_ARATH")</f>
        <v>BECN1_ARATH</v>
      </c>
      <c r="D12263" t="s">
        <v>8485</v>
      </c>
      <c r="E12263" s="3" t="s">
        <v>3</v>
      </c>
      <c r="F12263" s="4">
        <v>0</v>
      </c>
      <c r="G12263" s="3">
        <v>1213</v>
      </c>
      <c r="H12263" s="3">
        <v>74</v>
      </c>
      <c r="I12263" s="3">
        <v>356</v>
      </c>
      <c r="J12263" s="3">
        <v>161</v>
      </c>
      <c r="K12263" s="3">
        <v>1213</v>
      </c>
      <c r="L12263" s="3">
        <v>8</v>
      </c>
      <c r="M12263" s="3">
        <v>363</v>
      </c>
    </row>
    <row r="12264" spans="1:13" x14ac:dyDescent="0.25">
      <c r="A12264" s="1" t="str">
        <f>HYPERLINK("http://www.rosaceae.org/Prunus/Prunus_persica/p.persica_gdr_reftransV1_0030304","p.persica_gdr_reftransV1_0030304")</f>
        <v>p.persica_gdr_reftransV1_0030304</v>
      </c>
      <c r="B12264" s="3">
        <v>1862</v>
      </c>
      <c r="C12264" s="1" t="str">
        <f>HYPERLINK("http://www.uniprot.org/uniprot/ACBP3_ARATH","ACBP3_ARATH")</f>
        <v>ACBP3_ARATH</v>
      </c>
      <c r="D12264" t="s">
        <v>8486</v>
      </c>
      <c r="E12264" s="3" t="s">
        <v>3</v>
      </c>
      <c r="F12264" s="4">
        <v>3.57E-25</v>
      </c>
      <c r="G12264" s="3">
        <v>277</v>
      </c>
      <c r="H12264" s="3">
        <v>55</v>
      </c>
      <c r="I12264" s="3">
        <v>97</v>
      </c>
      <c r="J12264" s="3">
        <v>742</v>
      </c>
      <c r="K12264" s="3">
        <v>1032</v>
      </c>
      <c r="L12264" s="3">
        <v>228</v>
      </c>
      <c r="M12264" s="3">
        <v>321</v>
      </c>
    </row>
    <row r="12265" spans="1:13" x14ac:dyDescent="0.25">
      <c r="A12265" s="1" t="str">
        <f>HYPERLINK("http://www.rosaceae.org/Prunus/Prunus_persica/p.persica_gdr_reftransV1_0030354","p.persica_gdr_reftransV1_0030354")</f>
        <v>p.persica_gdr_reftransV1_0030354</v>
      </c>
      <c r="B12265" s="3">
        <v>3460</v>
      </c>
      <c r="C12265" s="1" t="str">
        <f>HYPERLINK("http://www.uniprot.org/uniprot/PPR29_ARATH","PPR29_ARATH")</f>
        <v>PPR29_ARATH</v>
      </c>
      <c r="D12265" t="s">
        <v>8487</v>
      </c>
      <c r="E12265" s="3" t="s">
        <v>3</v>
      </c>
      <c r="F12265" s="4">
        <v>0</v>
      </c>
      <c r="G12265" s="3">
        <v>1767</v>
      </c>
      <c r="H12265" s="3">
        <v>56</v>
      </c>
      <c r="I12265" s="3">
        <v>651</v>
      </c>
      <c r="J12265" s="3">
        <v>392</v>
      </c>
      <c r="K12265" s="3">
        <v>2275</v>
      </c>
      <c r="L12265" s="3">
        <v>137</v>
      </c>
      <c r="M12265" s="3">
        <v>776</v>
      </c>
    </row>
    <row r="12266" spans="1:13" x14ac:dyDescent="0.25">
      <c r="A12266" s="1" t="str">
        <f>HYPERLINK("http://www.rosaceae.org/Prunus/Prunus_persica/p.persica_gdr_reftransV1_0030454","p.persica_gdr_reftransV1_0030454")</f>
        <v>p.persica_gdr_reftransV1_0030454</v>
      </c>
      <c r="B12266" s="3">
        <v>1663</v>
      </c>
      <c r="C12266" s="1" t="str">
        <f>HYPERLINK("http://www.uniprot.org/uniprot/TRMH_AQUAE","TRMH_AQUAE")</f>
        <v>TRMH_AQUAE</v>
      </c>
      <c r="D12266" t="s">
        <v>8488</v>
      </c>
      <c r="E12266" s="3" t="s">
        <v>863</v>
      </c>
      <c r="F12266" s="4">
        <v>1.35E-19</v>
      </c>
      <c r="G12266" s="3">
        <v>227</v>
      </c>
      <c r="H12266" s="3">
        <v>31</v>
      </c>
      <c r="I12266" s="3">
        <v>169</v>
      </c>
      <c r="J12266" s="3">
        <v>661</v>
      </c>
      <c r="K12266" s="3">
        <v>1152</v>
      </c>
      <c r="L12266" s="3">
        <v>43</v>
      </c>
      <c r="M12266" s="3">
        <v>211</v>
      </c>
    </row>
    <row r="12267" spans="1:13" x14ac:dyDescent="0.25">
      <c r="A12267" s="1" t="str">
        <f>HYPERLINK("http://www.rosaceae.org/Prunus/Prunus_persica/p.persica_gdr_reftransV1_0030704","p.persica_gdr_reftransV1_0030704")</f>
        <v>p.persica_gdr_reftransV1_0030704</v>
      </c>
      <c r="B12267" s="3">
        <v>1448</v>
      </c>
      <c r="C12267" s="1" t="str">
        <f>HYPERLINK("http://www.uniprot.org/uniprot/KRR1_SCHPO","KRR1_SCHPO")</f>
        <v>KRR1_SCHPO</v>
      </c>
      <c r="D12267" t="s">
        <v>7822</v>
      </c>
      <c r="E12267" s="3" t="s">
        <v>464</v>
      </c>
      <c r="F12267" s="4">
        <v>3.1E-114</v>
      </c>
      <c r="G12267" s="3">
        <v>889</v>
      </c>
      <c r="H12267" s="3">
        <v>58</v>
      </c>
      <c r="I12267" s="3">
        <v>323</v>
      </c>
      <c r="J12267" s="3">
        <v>41</v>
      </c>
      <c r="K12267" s="3">
        <v>1006</v>
      </c>
      <c r="L12267" s="3">
        <v>2</v>
      </c>
      <c r="M12267" s="3">
        <v>319</v>
      </c>
    </row>
    <row r="12268" spans="1:13" x14ac:dyDescent="0.25">
      <c r="A12268" s="1" t="str">
        <f>HYPERLINK("http://www.rosaceae.org/Prunus/Prunus_persica/p.persica_gdr_reftransV1_0031004","p.persica_gdr_reftransV1_0031004")</f>
        <v>p.persica_gdr_reftransV1_0031004</v>
      </c>
      <c r="B12268" s="3">
        <v>2056</v>
      </c>
      <c r="C12268" s="1" t="str">
        <f>HYPERLINK("http://www.uniprot.org/uniprot/OTU_ARATH","OTU_ARATH")</f>
        <v>OTU_ARATH</v>
      </c>
      <c r="D12268" t="s">
        <v>2595</v>
      </c>
      <c r="E12268" s="3" t="s">
        <v>3</v>
      </c>
      <c r="F12268" s="4">
        <v>9.2100000000000003E-38</v>
      </c>
      <c r="G12268" s="3">
        <v>371</v>
      </c>
      <c r="H12268" s="3">
        <v>53</v>
      </c>
      <c r="I12268" s="3">
        <v>121</v>
      </c>
      <c r="J12268" s="3">
        <v>879</v>
      </c>
      <c r="K12268" s="3">
        <v>1241</v>
      </c>
      <c r="L12268" s="3">
        <v>139</v>
      </c>
      <c r="M12268" s="3">
        <v>259</v>
      </c>
    </row>
    <row r="12269" spans="1:13" x14ac:dyDescent="0.25">
      <c r="A12269" s="1" t="str">
        <f>HYPERLINK("http://www.rosaceae.org/Prunus/Prunus_persica/p.persica_gdr_reftransV1_0031254","p.persica_gdr_reftransV1_0031254")</f>
        <v>p.persica_gdr_reftransV1_0031254</v>
      </c>
      <c r="B12269" s="3">
        <v>1508</v>
      </c>
      <c r="C12269" s="1" t="str">
        <f>HYPERLINK("http://www.uniprot.org/uniprot/SC61G_ORYSJ","SC61G_ORYSJ")</f>
        <v>SC61G_ORYSJ</v>
      </c>
      <c r="D12269" t="s">
        <v>5252</v>
      </c>
      <c r="E12269" s="3" t="s">
        <v>38</v>
      </c>
      <c r="F12269" s="4">
        <v>1.5200000000000001E-25</v>
      </c>
      <c r="G12269" s="3">
        <v>259</v>
      </c>
      <c r="H12269" s="3">
        <v>94</v>
      </c>
      <c r="I12269" s="3">
        <v>68</v>
      </c>
      <c r="J12269" s="3">
        <v>122</v>
      </c>
      <c r="K12269" s="3">
        <v>325</v>
      </c>
      <c r="L12269" s="3">
        <v>1</v>
      </c>
      <c r="M12269" s="3">
        <v>68</v>
      </c>
    </row>
    <row r="12270" spans="1:13" x14ac:dyDescent="0.25">
      <c r="A12270" s="1" t="str">
        <f>HYPERLINK("http://www.rosaceae.org/Prunus/Prunus_persica/p.persica_gdr_reftransV1_0031454","p.persica_gdr_reftransV1_0031454")</f>
        <v>p.persica_gdr_reftransV1_0031454</v>
      </c>
      <c r="B12270" s="3">
        <v>2240</v>
      </c>
      <c r="C12270" s="1" t="str">
        <f>HYPERLINK("http://www.uniprot.org/uniprot/CISY_CITMA","CISY_CITMA")</f>
        <v>CISY_CITMA</v>
      </c>
      <c r="D12270" t="s">
        <v>8489</v>
      </c>
      <c r="E12270" s="3" t="s">
        <v>8490</v>
      </c>
      <c r="F12270" s="4">
        <v>0</v>
      </c>
      <c r="G12270" s="3">
        <v>2072</v>
      </c>
      <c r="H12270" s="3">
        <v>87</v>
      </c>
      <c r="I12270" s="3">
        <v>471</v>
      </c>
      <c r="J12270" s="3">
        <v>453</v>
      </c>
      <c r="K12270" s="3">
        <v>1865</v>
      </c>
      <c r="L12270" s="3">
        <v>1</v>
      </c>
      <c r="M12270" s="3">
        <v>471</v>
      </c>
    </row>
    <row r="12271" spans="1:13" x14ac:dyDescent="0.25">
      <c r="A12271" s="1" t="str">
        <f>HYPERLINK("http://www.rosaceae.org/Prunus/Prunus_persica/p.persica_gdr_reftransV1_0031904","p.persica_gdr_reftransV1_0031904")</f>
        <v>p.persica_gdr_reftransV1_0031904</v>
      </c>
      <c r="B12271" s="3">
        <v>2883</v>
      </c>
      <c r="C12271" s="1" t="str">
        <f>HYPERLINK("http://www.uniprot.org/uniprot/Y005_SYNY3","Y005_SYNY3")</f>
        <v>Y005_SYNY3</v>
      </c>
      <c r="D12271" t="s">
        <v>3142</v>
      </c>
      <c r="E12271" s="3" t="s">
        <v>527</v>
      </c>
      <c r="F12271" s="4">
        <v>3.32E-117</v>
      </c>
      <c r="G12271" s="3">
        <v>948</v>
      </c>
      <c r="H12271" s="3">
        <v>38</v>
      </c>
      <c r="I12271" s="3">
        <v>581</v>
      </c>
      <c r="J12271" s="3">
        <v>318</v>
      </c>
      <c r="K12271" s="3">
        <v>1985</v>
      </c>
      <c r="L12271" s="3">
        <v>141</v>
      </c>
      <c r="M12271" s="3">
        <v>661</v>
      </c>
    </row>
    <row r="12272" spans="1:13" x14ac:dyDescent="0.25">
      <c r="A12272" s="1" t="str">
        <f>HYPERLINK("http://www.rosaceae.org/Prunus/Prunus_persica/p.persica_gdr_reftransV1_0032354","p.persica_gdr_reftransV1_0032354")</f>
        <v>p.persica_gdr_reftransV1_0032354</v>
      </c>
      <c r="B12272" s="3">
        <v>1813</v>
      </c>
      <c r="C12272" s="1" t="str">
        <f>HYPERLINK("http://www.uniprot.org/uniprot/C7A52_PANGI","C7A52_PANGI")</f>
        <v>C7A52_PANGI</v>
      </c>
      <c r="D12272" t="s">
        <v>4188</v>
      </c>
      <c r="E12272" s="3" t="s">
        <v>1477</v>
      </c>
      <c r="F12272" s="4">
        <v>1.12E-156</v>
      </c>
      <c r="G12272" s="3">
        <v>1198</v>
      </c>
      <c r="H12272" s="3">
        <v>48</v>
      </c>
      <c r="I12272" s="3">
        <v>495</v>
      </c>
      <c r="J12272" s="3">
        <v>286</v>
      </c>
      <c r="K12272" s="3">
        <v>1731</v>
      </c>
      <c r="L12272" s="3">
        <v>1</v>
      </c>
      <c r="M12272" s="3">
        <v>479</v>
      </c>
    </row>
    <row r="12273" spans="1:13" x14ac:dyDescent="0.25">
      <c r="A12273" s="1" t="str">
        <f>HYPERLINK("http://www.rosaceae.org/Prunus/Prunus_persica/p.persica_gdr_reftransV1_0033004","p.persica_gdr_reftransV1_0033004")</f>
        <v>p.persica_gdr_reftransV1_0033004</v>
      </c>
      <c r="B12273" s="3">
        <v>1538</v>
      </c>
      <c r="C12273" s="1" t="str">
        <f>HYPERLINK("http://www.uniprot.org/uniprot/GDL22_ARATH","GDL22_ARATH")</f>
        <v>GDL22_ARATH</v>
      </c>
      <c r="D12273" t="s">
        <v>8491</v>
      </c>
      <c r="E12273" s="3" t="s">
        <v>3</v>
      </c>
      <c r="F12273" s="4">
        <v>0</v>
      </c>
      <c r="G12273" s="3">
        <v>1392</v>
      </c>
      <c r="H12273" s="3">
        <v>66</v>
      </c>
      <c r="I12273" s="3">
        <v>387</v>
      </c>
      <c r="J12273" s="3">
        <v>243</v>
      </c>
      <c r="K12273" s="3">
        <v>1322</v>
      </c>
      <c r="L12273" s="3">
        <v>22</v>
      </c>
      <c r="M12273" s="3">
        <v>408</v>
      </c>
    </row>
    <row r="12274" spans="1:13" x14ac:dyDescent="0.25">
      <c r="A12274" s="1" t="str">
        <f>HYPERLINK("http://www.rosaceae.org/Prunus/Prunus_persica/p.persica_gdr_reftransV1_0033154","p.persica_gdr_reftransV1_0033154")</f>
        <v>p.persica_gdr_reftransV1_0033154</v>
      </c>
      <c r="B12274" s="3">
        <v>2788</v>
      </c>
      <c r="C12274" s="1" t="str">
        <f>HYPERLINK("http://www.uniprot.org/uniprot/U80A2_ARATH","U80A2_ARATH")</f>
        <v>U80A2_ARATH</v>
      </c>
      <c r="D12274" t="s">
        <v>8492</v>
      </c>
      <c r="E12274" s="3" t="s">
        <v>3</v>
      </c>
      <c r="F12274" s="4">
        <v>0</v>
      </c>
      <c r="G12274" s="3">
        <v>1838</v>
      </c>
      <c r="H12274" s="3">
        <v>81</v>
      </c>
      <c r="I12274" s="3">
        <v>415</v>
      </c>
      <c r="J12274" s="3">
        <v>518</v>
      </c>
      <c r="K12274" s="3">
        <v>1759</v>
      </c>
      <c r="L12274" s="3">
        <v>102</v>
      </c>
      <c r="M12274" s="3">
        <v>516</v>
      </c>
    </row>
    <row r="12275" spans="1:13" x14ac:dyDescent="0.25">
      <c r="A12275" s="1" t="str">
        <f>HYPERLINK("http://www.rosaceae.org/Prunus/Prunus_persica/p.persica_gdr_reftransV1_0033204","p.persica_gdr_reftransV1_0033204")</f>
        <v>p.persica_gdr_reftransV1_0033204</v>
      </c>
      <c r="B12275" s="3">
        <v>2990</v>
      </c>
      <c r="C12275" s="1" t="str">
        <f>HYPERLINK("http://www.uniprot.org/uniprot/PGLR_VITVI","PGLR_VITVI")</f>
        <v>PGLR_VITVI</v>
      </c>
      <c r="D12275" t="s">
        <v>2366</v>
      </c>
      <c r="E12275" s="3" t="s">
        <v>362</v>
      </c>
      <c r="F12275" s="4">
        <v>1.63E-134</v>
      </c>
      <c r="G12275" s="3">
        <v>1082</v>
      </c>
      <c r="H12275" s="3">
        <v>50</v>
      </c>
      <c r="I12275" s="3">
        <v>409</v>
      </c>
      <c r="J12275" s="3">
        <v>1161</v>
      </c>
      <c r="K12275" s="3">
        <v>2378</v>
      </c>
      <c r="L12275" s="3">
        <v>59</v>
      </c>
      <c r="M12275" s="3">
        <v>467</v>
      </c>
    </row>
    <row r="12276" spans="1:13" x14ac:dyDescent="0.25">
      <c r="A12276" s="1" t="str">
        <f>HYPERLINK("http://www.rosaceae.org/Prunus/Prunus_persica/p.persica_gdr_reftransV1_0033304","p.persica_gdr_reftransV1_0033304")</f>
        <v>p.persica_gdr_reftransV1_0033304</v>
      </c>
      <c r="B12276" s="3">
        <v>2289</v>
      </c>
      <c r="C12276" s="1" t="str">
        <f>HYPERLINK("http://www.uniprot.org/uniprot/DR100_ARATH","DR100_ARATH")</f>
        <v>DR100_ARATH</v>
      </c>
      <c r="D12276" t="s">
        <v>4395</v>
      </c>
      <c r="E12276" s="3" t="s">
        <v>3</v>
      </c>
      <c r="F12276" s="4">
        <v>8.9200000000000003E-32</v>
      </c>
      <c r="G12276" s="3">
        <v>331</v>
      </c>
      <c r="H12276" s="3">
        <v>34</v>
      </c>
      <c r="I12276" s="3">
        <v>321</v>
      </c>
      <c r="J12276" s="3">
        <v>875</v>
      </c>
      <c r="K12276" s="3">
        <v>1771</v>
      </c>
      <c r="L12276" s="3">
        <v>29</v>
      </c>
      <c r="M12276" s="3">
        <v>347</v>
      </c>
    </row>
    <row r="12277" spans="1:13" x14ac:dyDescent="0.25">
      <c r="A12277" s="1" t="str">
        <f>HYPERLINK("http://www.rosaceae.org/Prunus/Prunus_persica/p.persica_gdr_reftransV1_0033454","p.persica_gdr_reftransV1_0033454")</f>
        <v>p.persica_gdr_reftransV1_0033454</v>
      </c>
      <c r="B12277" s="3">
        <v>1977</v>
      </c>
      <c r="C12277" s="1" t="str">
        <f>HYPERLINK("http://www.uniprot.org/uniprot/OEP37_PEA","OEP37_PEA")</f>
        <v>OEP37_PEA</v>
      </c>
      <c r="D12277" t="s">
        <v>1790</v>
      </c>
      <c r="E12277" s="3" t="s">
        <v>60</v>
      </c>
      <c r="F12277" s="4">
        <v>4.3300000000000001E-88</v>
      </c>
      <c r="G12277" s="3">
        <v>728</v>
      </c>
      <c r="H12277" s="3">
        <v>78</v>
      </c>
      <c r="I12277" s="3">
        <v>176</v>
      </c>
      <c r="J12277" s="3">
        <v>976</v>
      </c>
      <c r="K12277" s="3">
        <v>1491</v>
      </c>
      <c r="L12277" s="3">
        <v>154</v>
      </c>
      <c r="M12277" s="3">
        <v>329</v>
      </c>
    </row>
    <row r="12278" spans="1:13" x14ac:dyDescent="0.25">
      <c r="A12278" s="1" t="str">
        <f>HYPERLINK("http://www.rosaceae.org/Prunus/Prunus_persica/p.persica_gdr_reftransV1_0034504","p.persica_gdr_reftransV1_0034504")</f>
        <v>p.persica_gdr_reftransV1_0034504</v>
      </c>
      <c r="B12278" s="3">
        <v>1281</v>
      </c>
      <c r="C12278" s="1" t="str">
        <f>HYPERLINK("http://www.uniprot.org/uniprot/RPO2A_TOBAC","RPO2A_TOBAC")</f>
        <v>RPO2A_TOBAC</v>
      </c>
      <c r="D12278" t="s">
        <v>8493</v>
      </c>
      <c r="E12278" s="3" t="s">
        <v>200</v>
      </c>
      <c r="F12278" s="4">
        <v>4.4700000000000003E-160</v>
      </c>
      <c r="G12278" s="3">
        <v>1188</v>
      </c>
      <c r="H12278" s="3">
        <v>87</v>
      </c>
      <c r="I12278" s="3">
        <v>241</v>
      </c>
      <c r="J12278" s="3">
        <v>2</v>
      </c>
      <c r="K12278" s="3">
        <v>724</v>
      </c>
      <c r="L12278" s="3">
        <v>92</v>
      </c>
      <c r="M12278" s="3">
        <v>332</v>
      </c>
    </row>
    <row r="12279" spans="1:13" x14ac:dyDescent="0.25">
      <c r="A12279" s="1" t="str">
        <f>HYPERLINK("http://www.rosaceae.org/Prunus/Prunus_persica/p.persica_gdr_reftransV1_0035004","p.persica_gdr_reftransV1_0035004")</f>
        <v>p.persica_gdr_reftransV1_0035004</v>
      </c>
      <c r="B12279" s="3">
        <v>1558</v>
      </c>
      <c r="C12279" s="1" t="str">
        <f>HYPERLINK("http://www.uniprot.org/uniprot/MYO13_ARATH","MYO13_ARATH")</f>
        <v>MYO13_ARATH</v>
      </c>
      <c r="D12279" t="s">
        <v>5354</v>
      </c>
      <c r="E12279" s="3" t="s">
        <v>3</v>
      </c>
      <c r="F12279" s="4">
        <v>2.5899999999999998E-7</v>
      </c>
      <c r="G12279" s="3">
        <v>137</v>
      </c>
      <c r="H12279" s="3">
        <v>50</v>
      </c>
      <c r="I12279" s="3">
        <v>50</v>
      </c>
      <c r="J12279" s="3">
        <v>261</v>
      </c>
      <c r="K12279" s="3">
        <v>410</v>
      </c>
      <c r="L12279" s="3">
        <v>6</v>
      </c>
      <c r="M12279" s="3">
        <v>55</v>
      </c>
    </row>
    <row r="12280" spans="1:13" x14ac:dyDescent="0.25">
      <c r="A12280" s="1" t="str">
        <f>HYPERLINK("http://www.rosaceae.org/Prunus/Prunus_persica/p.persica_gdr_reftransV1_0035054","p.persica_gdr_reftransV1_0035054")</f>
        <v>p.persica_gdr_reftransV1_0035054</v>
      </c>
      <c r="B12280" s="3">
        <v>2763</v>
      </c>
      <c r="C12280" s="1" t="str">
        <f>HYPERLINK("http://www.uniprot.org/uniprot/FERON_ARATH","FERON_ARATH")</f>
        <v>FERON_ARATH</v>
      </c>
      <c r="D12280" t="s">
        <v>635</v>
      </c>
      <c r="E12280" s="3" t="s">
        <v>3</v>
      </c>
      <c r="F12280" s="4">
        <v>1.2000000000000001E-89</v>
      </c>
      <c r="G12280" s="3">
        <v>796</v>
      </c>
      <c r="H12280" s="3">
        <v>45</v>
      </c>
      <c r="I12280" s="3">
        <v>414</v>
      </c>
      <c r="J12280" s="3">
        <v>800</v>
      </c>
      <c r="K12280" s="3">
        <v>2035</v>
      </c>
      <c r="L12280" s="3">
        <v>22</v>
      </c>
      <c r="M12280" s="3">
        <v>418</v>
      </c>
    </row>
    <row r="12281" spans="1:13" x14ac:dyDescent="0.25">
      <c r="A12281" s="1" t="str">
        <f>HYPERLINK("http://www.rosaceae.org/Prunus/Prunus_persica/p.persica_gdr_reftransV1_0035154","p.persica_gdr_reftransV1_0035154")</f>
        <v>p.persica_gdr_reftransV1_0035154</v>
      </c>
      <c r="B12281" s="3">
        <v>2238</v>
      </c>
      <c r="C12281" s="1" t="str">
        <f>HYPERLINK("http://www.uniprot.org/uniprot/TBD2A_HUMAN","TBD2A_HUMAN")</f>
        <v>TBD2A_HUMAN</v>
      </c>
      <c r="D12281" t="s">
        <v>8494</v>
      </c>
      <c r="E12281" s="3" t="s">
        <v>28</v>
      </c>
      <c r="F12281" s="4">
        <v>1.6200000000000001E-50</v>
      </c>
      <c r="G12281" s="3">
        <v>492</v>
      </c>
      <c r="H12281" s="3">
        <v>37</v>
      </c>
      <c r="I12281" s="3">
        <v>288</v>
      </c>
      <c r="J12281" s="3">
        <v>378</v>
      </c>
      <c r="K12281" s="3">
        <v>1226</v>
      </c>
      <c r="L12281" s="3">
        <v>612</v>
      </c>
      <c r="M12281" s="3">
        <v>898</v>
      </c>
    </row>
    <row r="12282" spans="1:13" x14ac:dyDescent="0.25">
      <c r="A12282" s="1" t="str">
        <f>HYPERLINK("http://www.rosaceae.org/Prunus/Prunus_persica/p.persica_gdr_reftransV1_0035954","p.persica_gdr_reftransV1_0035954")</f>
        <v>p.persica_gdr_reftransV1_0035954</v>
      </c>
      <c r="B12282" s="3">
        <v>3387</v>
      </c>
      <c r="C12282" s="1" t="str">
        <f>HYPERLINK("http://www.uniprot.org/uniprot/RN217_HUMAN","RN217_HUMAN")</f>
        <v>RN217_HUMAN</v>
      </c>
      <c r="D12282" t="s">
        <v>8495</v>
      </c>
      <c r="E12282" s="3" t="s">
        <v>28</v>
      </c>
      <c r="F12282" s="4">
        <v>2.13E-11</v>
      </c>
      <c r="G12282" s="3">
        <v>174</v>
      </c>
      <c r="H12282" s="3">
        <v>26</v>
      </c>
      <c r="I12282" s="3">
        <v>247</v>
      </c>
      <c r="J12282" s="3">
        <v>1097</v>
      </c>
      <c r="K12282" s="3">
        <v>1828</v>
      </c>
      <c r="L12282" s="3">
        <v>263</v>
      </c>
      <c r="M12282" s="3">
        <v>497</v>
      </c>
    </row>
    <row r="12283" spans="1:13" x14ac:dyDescent="0.25">
      <c r="A12283" s="1" t="str">
        <f>HYPERLINK("http://www.rosaceae.org/Prunus/Prunus_persica/p.persica_gdr_reftransV1_0036154","p.persica_gdr_reftransV1_0036154")</f>
        <v>p.persica_gdr_reftransV1_0036154</v>
      </c>
      <c r="B12283" s="3">
        <v>2567</v>
      </c>
      <c r="C12283" s="1" t="str">
        <f>HYPERLINK("http://www.uniprot.org/uniprot/ASPL2_ARATH","ASPL2_ARATH")</f>
        <v>ASPL2_ARATH</v>
      </c>
      <c r="D12283" t="s">
        <v>545</v>
      </c>
      <c r="E12283" s="3" t="s">
        <v>3</v>
      </c>
      <c r="F12283" s="4">
        <v>1.5299999999999999E-100</v>
      </c>
      <c r="G12283" s="3">
        <v>839</v>
      </c>
      <c r="H12283" s="3">
        <v>49</v>
      </c>
      <c r="I12283" s="3">
        <v>336</v>
      </c>
      <c r="J12283" s="3">
        <v>1181</v>
      </c>
      <c r="K12283" s="3">
        <v>2188</v>
      </c>
      <c r="L12283" s="3">
        <v>22</v>
      </c>
      <c r="M12283" s="3">
        <v>344</v>
      </c>
    </row>
    <row r="12284" spans="1:13" x14ac:dyDescent="0.25">
      <c r="A12284" s="1" t="str">
        <f>HYPERLINK("http://www.rosaceae.org/Prunus/Prunus_persica/p.persica_gdr_reftransV1_0036554","p.persica_gdr_reftransV1_0036554")</f>
        <v>p.persica_gdr_reftransV1_0036554</v>
      </c>
      <c r="B12284" s="3">
        <v>2848</v>
      </c>
      <c r="C12284" s="1" t="str">
        <f>HYPERLINK("http://www.uniprot.org/uniprot/AMI1_ARATH","AMI1_ARATH")</f>
        <v>AMI1_ARATH</v>
      </c>
      <c r="D12284" t="s">
        <v>8496</v>
      </c>
      <c r="E12284" s="3" t="s">
        <v>3</v>
      </c>
      <c r="F12284" s="4">
        <v>3.6E-75</v>
      </c>
      <c r="G12284" s="3">
        <v>512</v>
      </c>
      <c r="H12284" s="3">
        <v>69</v>
      </c>
      <c r="I12284" s="3">
        <v>137</v>
      </c>
      <c r="J12284" s="3">
        <v>1575</v>
      </c>
      <c r="K12284" s="3">
        <v>1985</v>
      </c>
      <c r="L12284" s="3">
        <v>285</v>
      </c>
      <c r="M12284" s="3">
        <v>421</v>
      </c>
    </row>
    <row r="12285" spans="1:13" x14ac:dyDescent="0.25">
      <c r="A12285" s="1" t="str">
        <f>HYPERLINK("http://www.rosaceae.org/Prunus/Prunus_persica/p.persica_gdr_reftransV1_0036804","p.persica_gdr_reftransV1_0036804")</f>
        <v>p.persica_gdr_reftransV1_0036804</v>
      </c>
      <c r="B12285" s="3">
        <v>1940</v>
      </c>
      <c r="C12285" s="1" t="str">
        <f>HYPERLINK("http://www.uniprot.org/uniprot/C82C4_ARATH","C82C4_ARATH")</f>
        <v>C82C4_ARATH</v>
      </c>
      <c r="D12285" t="s">
        <v>8497</v>
      </c>
      <c r="E12285" s="3" t="s">
        <v>3</v>
      </c>
      <c r="F12285" s="4">
        <v>2.9400000000000001E-153</v>
      </c>
      <c r="G12285" s="3">
        <v>1183</v>
      </c>
      <c r="H12285" s="3">
        <v>49</v>
      </c>
      <c r="I12285" s="3">
        <v>489</v>
      </c>
      <c r="J12285" s="3">
        <v>316</v>
      </c>
      <c r="K12285" s="3">
        <v>1740</v>
      </c>
      <c r="L12285" s="3">
        <v>32</v>
      </c>
      <c r="M12285" s="3">
        <v>518</v>
      </c>
    </row>
    <row r="12286" spans="1:13" x14ac:dyDescent="0.25">
      <c r="A12286" s="1" t="str">
        <f>HYPERLINK("http://www.rosaceae.org/Prunus/Prunus_persica/p.persica_gdr_reftransV1_0037054","p.persica_gdr_reftransV1_0037054")</f>
        <v>p.persica_gdr_reftransV1_0037054</v>
      </c>
      <c r="B12286" s="3">
        <v>577</v>
      </c>
      <c r="C12286" s="1" t="str">
        <f>HYPERLINK("http://www.uniprot.org/uniprot/Y4648_ARATH","Y4648_ARATH")</f>
        <v>Y4648_ARATH</v>
      </c>
      <c r="D12286" t="s">
        <v>6785</v>
      </c>
      <c r="E12286" s="3" t="s">
        <v>3</v>
      </c>
      <c r="F12286" s="4">
        <v>4.81E-23</v>
      </c>
      <c r="G12286" s="3">
        <v>239</v>
      </c>
      <c r="H12286" s="3">
        <v>51</v>
      </c>
      <c r="I12286" s="3">
        <v>90</v>
      </c>
      <c r="J12286" s="3">
        <v>248</v>
      </c>
      <c r="K12286" s="3">
        <v>511</v>
      </c>
      <c r="L12286" s="3">
        <v>119</v>
      </c>
      <c r="M12286" s="3">
        <v>208</v>
      </c>
    </row>
    <row r="12287" spans="1:13" x14ac:dyDescent="0.25">
      <c r="A12287" s="1" t="str">
        <f>HYPERLINK("http://www.rosaceae.org/Prunus/Prunus_persica/p.persica_gdr_reftransV1_0037204","p.persica_gdr_reftransV1_0037204")</f>
        <v>p.persica_gdr_reftransV1_0037204</v>
      </c>
      <c r="B12287" s="3">
        <v>3771</v>
      </c>
      <c r="C12287" s="1" t="str">
        <f>HYPERLINK("http://www.uniprot.org/uniprot/TBC15_MOUSE","TBC15_MOUSE")</f>
        <v>TBC15_MOUSE</v>
      </c>
      <c r="D12287" t="s">
        <v>745</v>
      </c>
      <c r="E12287" s="3" t="s">
        <v>157</v>
      </c>
      <c r="F12287" s="4">
        <v>5.8600000000000001E-38</v>
      </c>
      <c r="G12287" s="3">
        <v>394</v>
      </c>
      <c r="H12287" s="3">
        <v>45</v>
      </c>
      <c r="I12287" s="3">
        <v>160</v>
      </c>
      <c r="J12287" s="3">
        <v>2945</v>
      </c>
      <c r="K12287" s="3">
        <v>3424</v>
      </c>
      <c r="L12287" s="3">
        <v>436</v>
      </c>
      <c r="M12287" s="3">
        <v>595</v>
      </c>
    </row>
    <row r="12288" spans="1:13" x14ac:dyDescent="0.25">
      <c r="A12288" s="1" t="str">
        <f>HYPERLINK("http://www.rosaceae.org/Prunus/Prunus_persica/p.persica_gdr_reftransV1_0037254","p.persica_gdr_reftransV1_0037254")</f>
        <v>p.persica_gdr_reftransV1_0037254</v>
      </c>
      <c r="B12288" s="3">
        <v>2638</v>
      </c>
      <c r="C12288" s="1" t="str">
        <f>HYPERLINK("http://www.uniprot.org/uniprot/Y1887_ARATH","Y1887_ARATH")</f>
        <v>Y1887_ARATH</v>
      </c>
      <c r="D12288" t="s">
        <v>8498</v>
      </c>
      <c r="E12288" s="3" t="s">
        <v>3</v>
      </c>
      <c r="F12288" s="4">
        <v>0</v>
      </c>
      <c r="G12288" s="3">
        <v>1659</v>
      </c>
      <c r="H12288" s="3">
        <v>60</v>
      </c>
      <c r="I12288" s="3">
        <v>718</v>
      </c>
      <c r="J12288" s="3">
        <v>275</v>
      </c>
      <c r="K12288" s="3">
        <v>2350</v>
      </c>
      <c r="L12288" s="3">
        <v>13</v>
      </c>
      <c r="M12288" s="3">
        <v>691</v>
      </c>
    </row>
    <row r="12289" spans="1:13" x14ac:dyDescent="0.25">
      <c r="A12289" s="1" t="str">
        <f>HYPERLINK("http://www.rosaceae.org/Prunus/Prunus_persica/p.persica_gdr_reftransV1_0037704","p.persica_gdr_reftransV1_0037704")</f>
        <v>p.persica_gdr_reftransV1_0037704</v>
      </c>
      <c r="B12289" s="3">
        <v>6536</v>
      </c>
      <c r="C12289" s="1" t="str">
        <f>HYPERLINK("http://www.uniprot.org/uniprot/PUR_ARATH","PUR_ARATH")</f>
        <v>PUR_ARATH</v>
      </c>
      <c r="D12289" t="s">
        <v>8499</v>
      </c>
      <c r="E12289" s="3" t="s">
        <v>3</v>
      </c>
      <c r="F12289" s="4">
        <v>8.7500000000000003E-78</v>
      </c>
      <c r="G12289" s="3">
        <v>682</v>
      </c>
      <c r="H12289" s="3">
        <v>66</v>
      </c>
      <c r="I12289" s="3">
        <v>213</v>
      </c>
      <c r="J12289" s="3">
        <v>4850</v>
      </c>
      <c r="K12289" s="3">
        <v>5488</v>
      </c>
      <c r="L12289" s="3">
        <v>122</v>
      </c>
      <c r="M12289" s="3">
        <v>296</v>
      </c>
    </row>
    <row r="12290" spans="1:13" x14ac:dyDescent="0.25">
      <c r="A12290" s="1" t="str">
        <f>HYPERLINK("http://www.rosaceae.org/Prunus/Prunus_persica/p.persica_gdr_reftransV1_0038004","p.persica_gdr_reftransV1_0038004")</f>
        <v>p.persica_gdr_reftransV1_0038004</v>
      </c>
      <c r="B12290" s="3">
        <v>1943</v>
      </c>
      <c r="C12290" s="1" t="str">
        <f>HYPERLINK("http://www.uniprot.org/uniprot/Y4958_ARATH","Y4958_ARATH")</f>
        <v>Y4958_ARATH</v>
      </c>
      <c r="D12290" t="s">
        <v>8500</v>
      </c>
      <c r="E12290" s="3" t="s">
        <v>3</v>
      </c>
      <c r="F12290" s="4">
        <v>8.3799999999999993E-83</v>
      </c>
      <c r="G12290" s="3">
        <v>687</v>
      </c>
      <c r="H12290" s="3">
        <v>66</v>
      </c>
      <c r="I12290" s="3">
        <v>199</v>
      </c>
      <c r="J12290" s="3">
        <v>281</v>
      </c>
      <c r="K12290" s="3">
        <v>877</v>
      </c>
      <c r="L12290" s="3">
        <v>46</v>
      </c>
      <c r="M12290" s="3">
        <v>244</v>
      </c>
    </row>
    <row r="12291" spans="1:13" x14ac:dyDescent="0.25">
      <c r="A12291" s="1" t="str">
        <f>HYPERLINK("http://www.rosaceae.org/Prunus/Prunus_persica/p.persica_gdr_reftransV1_0038154","p.persica_gdr_reftransV1_0038154")</f>
        <v>p.persica_gdr_reftransV1_0038154</v>
      </c>
      <c r="B12291" s="3">
        <v>2889</v>
      </c>
      <c r="C12291" s="1" t="str">
        <f>HYPERLINK("http://www.uniprot.org/uniprot/PECT1_ARATH","PECT1_ARATH")</f>
        <v>PECT1_ARATH</v>
      </c>
      <c r="D12291" t="s">
        <v>1340</v>
      </c>
      <c r="E12291" s="3" t="s">
        <v>3</v>
      </c>
      <c r="F12291" s="4">
        <v>2.61E-64</v>
      </c>
      <c r="G12291" s="3">
        <v>580</v>
      </c>
      <c r="H12291" s="3">
        <v>65</v>
      </c>
      <c r="I12291" s="3">
        <v>166</v>
      </c>
      <c r="J12291" s="3">
        <v>961</v>
      </c>
      <c r="K12291" s="3">
        <v>1425</v>
      </c>
      <c r="L12291" s="3">
        <v>108</v>
      </c>
      <c r="M12291" s="3">
        <v>273</v>
      </c>
    </row>
    <row r="12292" spans="1:13" x14ac:dyDescent="0.25">
      <c r="A12292" s="1" t="str">
        <f>HYPERLINK("http://www.rosaceae.org/Prunus/Prunus_persica/p.persica_gdr_reftransV1_0038354","p.persica_gdr_reftransV1_0038354")</f>
        <v>p.persica_gdr_reftransV1_0038354</v>
      </c>
      <c r="B12292" s="3">
        <v>2526</v>
      </c>
      <c r="C12292" s="1" t="str">
        <f>HYPERLINK("http://www.uniprot.org/uniprot/ARP1_ARATH","ARP1_ARATH")</f>
        <v>ARP1_ARATH</v>
      </c>
      <c r="D12292" t="s">
        <v>5986</v>
      </c>
      <c r="E12292" s="3" t="s">
        <v>3</v>
      </c>
      <c r="F12292" s="4">
        <v>7.8399999999999995E-35</v>
      </c>
      <c r="G12292" s="3">
        <v>349</v>
      </c>
      <c r="H12292" s="3">
        <v>63</v>
      </c>
      <c r="I12292" s="3">
        <v>101</v>
      </c>
      <c r="J12292" s="3">
        <v>441</v>
      </c>
      <c r="K12292" s="3">
        <v>743</v>
      </c>
      <c r="L12292" s="3">
        <v>3</v>
      </c>
      <c r="M12292" s="3">
        <v>103</v>
      </c>
    </row>
    <row r="12293" spans="1:13" x14ac:dyDescent="0.25">
      <c r="A12293" s="1" t="str">
        <f>HYPERLINK("http://www.rosaceae.org/Prunus/Prunus_persica/p.persica_gdr_reftransV1_0038704","p.persica_gdr_reftransV1_0038704")</f>
        <v>p.persica_gdr_reftransV1_0038704</v>
      </c>
      <c r="B12293" s="3">
        <v>2367</v>
      </c>
      <c r="C12293" s="1" t="str">
        <f>HYPERLINK("http://www.uniprot.org/uniprot/MRS2B_ARATH","MRS2B_ARATH")</f>
        <v>MRS2B_ARATH</v>
      </c>
      <c r="D12293" t="s">
        <v>6043</v>
      </c>
      <c r="E12293" s="3" t="s">
        <v>3</v>
      </c>
      <c r="F12293" s="4">
        <v>2.3499999999999999E-75</v>
      </c>
      <c r="G12293" s="3">
        <v>658</v>
      </c>
      <c r="H12293" s="3">
        <v>85</v>
      </c>
      <c r="I12293" s="3">
        <v>199</v>
      </c>
      <c r="J12293" s="3">
        <v>478</v>
      </c>
      <c r="K12293" s="3">
        <v>1074</v>
      </c>
      <c r="L12293" s="3">
        <v>261</v>
      </c>
      <c r="M12293" s="3">
        <v>459</v>
      </c>
    </row>
    <row r="12294" spans="1:13" x14ac:dyDescent="0.25">
      <c r="A12294" s="1" t="str">
        <f>HYPERLINK("http://www.rosaceae.org/Prunus/Prunus_persica/p.persica_gdr_reftransV1_0038954","p.persica_gdr_reftransV1_0038954")</f>
        <v>p.persica_gdr_reftransV1_0038954</v>
      </c>
      <c r="B12294" s="3">
        <v>3274</v>
      </c>
      <c r="C12294" s="1" t="str">
        <f>HYPERLINK("http://www.uniprot.org/uniprot/ORN_ARATH","ORN_ARATH")</f>
        <v>ORN_ARATH</v>
      </c>
      <c r="D12294" t="s">
        <v>8501</v>
      </c>
      <c r="E12294" s="3" t="s">
        <v>3</v>
      </c>
      <c r="F12294" s="4">
        <v>7.2400000000000004E-92</v>
      </c>
      <c r="G12294" s="3">
        <v>765</v>
      </c>
      <c r="H12294" s="3">
        <v>73</v>
      </c>
      <c r="I12294" s="3">
        <v>193</v>
      </c>
      <c r="J12294" s="3">
        <v>637</v>
      </c>
      <c r="K12294" s="3">
        <v>1209</v>
      </c>
      <c r="L12294" s="3">
        <v>28</v>
      </c>
      <c r="M12294" s="3">
        <v>220</v>
      </c>
    </row>
    <row r="12295" spans="1:13" x14ac:dyDescent="0.25">
      <c r="A12295" s="1" t="str">
        <f>HYPERLINK("http://www.rosaceae.org/Prunus/Prunus_persica/p.persica_gdr_reftransV1_0039004","p.persica_gdr_reftransV1_0039004")</f>
        <v>p.persica_gdr_reftransV1_0039004</v>
      </c>
      <c r="B12295" s="3">
        <v>1672</v>
      </c>
      <c r="C12295" s="1" t="str">
        <f>HYPERLINK("http://www.uniprot.org/uniprot/GRXC3_ARATH","GRXC3_ARATH")</f>
        <v>GRXC3_ARATH</v>
      </c>
      <c r="D12295" t="s">
        <v>8502</v>
      </c>
      <c r="E12295" s="3" t="s">
        <v>3</v>
      </c>
      <c r="F12295" s="4">
        <v>1.4100000000000001E-45</v>
      </c>
      <c r="G12295" s="3">
        <v>409</v>
      </c>
      <c r="H12295" s="3">
        <v>76</v>
      </c>
      <c r="I12295" s="3">
        <v>104</v>
      </c>
      <c r="J12295" s="3">
        <v>1338</v>
      </c>
      <c r="K12295" s="3">
        <v>1649</v>
      </c>
      <c r="L12295" s="3">
        <v>27</v>
      </c>
      <c r="M12295" s="3">
        <v>130</v>
      </c>
    </row>
    <row r="12296" spans="1:13" x14ac:dyDescent="0.25">
      <c r="A12296" s="1" t="str">
        <f>HYPERLINK("http://www.rosaceae.org/Prunus/Prunus_persica/p.persica_gdr_reftransV1_0039154","p.persica_gdr_reftransV1_0039154")</f>
        <v>p.persica_gdr_reftransV1_0039154</v>
      </c>
      <c r="B12296" s="3">
        <v>3307</v>
      </c>
      <c r="C12296" s="1" t="str">
        <f>HYPERLINK("http://www.uniprot.org/uniprot/CBSX1_ARATH","CBSX1_ARATH")</f>
        <v>CBSX1_ARATH</v>
      </c>
      <c r="D12296" t="s">
        <v>7406</v>
      </c>
      <c r="E12296" s="3" t="s">
        <v>3</v>
      </c>
      <c r="F12296" s="4">
        <v>6.7499999999999997E-28</v>
      </c>
      <c r="G12296" s="3">
        <v>297</v>
      </c>
      <c r="H12296" s="3">
        <v>80</v>
      </c>
      <c r="I12296" s="3">
        <v>69</v>
      </c>
      <c r="J12296" s="3">
        <v>2689</v>
      </c>
      <c r="K12296" s="3">
        <v>2895</v>
      </c>
      <c r="L12296" s="3">
        <v>70</v>
      </c>
      <c r="M12296" s="3">
        <v>138</v>
      </c>
    </row>
    <row r="12297" spans="1:13" x14ac:dyDescent="0.25">
      <c r="A12297" s="1" t="str">
        <f>HYPERLINK("http://www.rosaceae.org/Prunus/Prunus_persica/p.persica_gdr_reftransV1_0039304","p.persica_gdr_reftransV1_0039304")</f>
        <v>p.persica_gdr_reftransV1_0039304</v>
      </c>
      <c r="B12297" s="3">
        <v>1502</v>
      </c>
      <c r="C12297" s="1" t="str">
        <f>HYPERLINK("http://www.uniprot.org/uniprot/FQRL2_ARATH","FQRL2_ARATH")</f>
        <v>FQRL2_ARATH</v>
      </c>
      <c r="D12297" t="s">
        <v>8101</v>
      </c>
      <c r="E12297" s="3" t="s">
        <v>3</v>
      </c>
      <c r="F12297" s="4">
        <v>8.4999999999999997E-82</v>
      </c>
      <c r="G12297" s="3">
        <v>449</v>
      </c>
      <c r="H12297" s="3">
        <v>84</v>
      </c>
      <c r="I12297" s="3">
        <v>113</v>
      </c>
      <c r="J12297" s="3">
        <v>844</v>
      </c>
      <c r="K12297" s="3">
        <v>1182</v>
      </c>
      <c r="L12297" s="3">
        <v>161</v>
      </c>
      <c r="M12297" s="3">
        <v>273</v>
      </c>
    </row>
    <row r="12298" spans="1:13" x14ac:dyDescent="0.25">
      <c r="A12298" s="1" t="str">
        <f>HYPERLINK("http://www.rosaceae.org/Prunus/Prunus_persica/p.persica_gdr_reftransV1_0039554","p.persica_gdr_reftransV1_0039554")</f>
        <v>p.persica_gdr_reftransV1_0039554</v>
      </c>
      <c r="B12298" s="3">
        <v>799</v>
      </c>
      <c r="C12298" s="1" t="str">
        <f>HYPERLINK("http://www.uniprot.org/uniprot/CNGC1_ARATH","CNGC1_ARATH")</f>
        <v>CNGC1_ARATH</v>
      </c>
      <c r="D12298" t="s">
        <v>241</v>
      </c>
      <c r="E12298" s="3" t="s">
        <v>3</v>
      </c>
      <c r="F12298" s="4">
        <v>1.01E-49</v>
      </c>
      <c r="G12298" s="3">
        <v>452</v>
      </c>
      <c r="H12298" s="3">
        <v>48</v>
      </c>
      <c r="I12298" s="3">
        <v>206</v>
      </c>
      <c r="J12298" s="3">
        <v>184</v>
      </c>
      <c r="K12298" s="3">
        <v>798</v>
      </c>
      <c r="L12298" s="3">
        <v>200</v>
      </c>
      <c r="M12298" s="3">
        <v>400</v>
      </c>
    </row>
    <row r="12299" spans="1:13" x14ac:dyDescent="0.25">
      <c r="A12299" s="1" t="str">
        <f>HYPERLINK("http://www.rosaceae.org/Prunus/Prunus_persica/p.persica_gdr_reftransV1_0039704","p.persica_gdr_reftransV1_0039704")</f>
        <v>p.persica_gdr_reftransV1_0039704</v>
      </c>
      <c r="B12299" s="3">
        <v>719</v>
      </c>
      <c r="C12299" s="1" t="str">
        <f>HYPERLINK("http://www.uniprot.org/uniprot/GSTX6_SOYBN","GSTX6_SOYBN")</f>
        <v>GSTX6_SOYBN</v>
      </c>
      <c r="D12299" t="s">
        <v>2987</v>
      </c>
      <c r="E12299" s="3" t="s">
        <v>307</v>
      </c>
      <c r="F12299" s="4">
        <v>6.4599999999999998E-28</v>
      </c>
      <c r="G12299" s="3">
        <v>277</v>
      </c>
      <c r="H12299" s="3">
        <v>52</v>
      </c>
      <c r="I12299" s="3">
        <v>153</v>
      </c>
      <c r="J12299" s="3">
        <v>262</v>
      </c>
      <c r="K12299" s="3">
        <v>717</v>
      </c>
      <c r="L12299" s="3">
        <v>67</v>
      </c>
      <c r="M12299" s="3">
        <v>219</v>
      </c>
    </row>
    <row r="12300" spans="1:13" x14ac:dyDescent="0.25">
      <c r="A12300" s="1" t="str">
        <f>HYPERLINK("http://www.rosaceae.org/Prunus/Prunus_persica/p.persica_gdr_reftransV1_0039804","p.persica_gdr_reftransV1_0039804")</f>
        <v>p.persica_gdr_reftransV1_0039804</v>
      </c>
      <c r="B12300" s="3">
        <v>2263</v>
      </c>
      <c r="C12300" s="1" t="str">
        <f>HYPERLINK("http://www.uniprot.org/uniprot/PT317_ARATH","PT317_ARATH")</f>
        <v>PT317_ARATH</v>
      </c>
      <c r="D12300" t="s">
        <v>8503</v>
      </c>
      <c r="E12300" s="3" t="s">
        <v>3</v>
      </c>
      <c r="F12300" s="4">
        <v>0</v>
      </c>
      <c r="G12300" s="3">
        <v>1637</v>
      </c>
      <c r="H12300" s="3">
        <v>85</v>
      </c>
      <c r="I12300" s="3">
        <v>376</v>
      </c>
      <c r="J12300" s="3">
        <v>727</v>
      </c>
      <c r="K12300" s="3">
        <v>1845</v>
      </c>
      <c r="L12300" s="3">
        <v>1</v>
      </c>
      <c r="M12300" s="3">
        <v>375</v>
      </c>
    </row>
    <row r="12301" spans="1:13" x14ac:dyDescent="0.25">
      <c r="A12301" s="1" t="str">
        <f>HYPERLINK("http://www.rosaceae.org/Prunus/Prunus_persica/p.persica_gdr_reftransV1_0040104","p.persica_gdr_reftransV1_0040104")</f>
        <v>p.persica_gdr_reftransV1_0040104</v>
      </c>
      <c r="B12301" s="3">
        <v>1113</v>
      </c>
      <c r="C12301" s="1" t="str">
        <f>HYPERLINK("http://www.uniprot.org/uniprot/TMVRN_NICGU","TMVRN_NICGU")</f>
        <v>TMVRN_NICGU</v>
      </c>
      <c r="D12301" t="s">
        <v>151</v>
      </c>
      <c r="E12301" s="3" t="s">
        <v>152</v>
      </c>
      <c r="F12301" s="4">
        <v>1.6599999999999999E-52</v>
      </c>
      <c r="G12301" s="3">
        <v>489</v>
      </c>
      <c r="H12301" s="3">
        <v>35</v>
      </c>
      <c r="I12301" s="3">
        <v>383</v>
      </c>
      <c r="J12301" s="3">
        <v>12</v>
      </c>
      <c r="K12301" s="3">
        <v>1103</v>
      </c>
      <c r="L12301" s="3">
        <v>483</v>
      </c>
      <c r="M12301" s="3">
        <v>853</v>
      </c>
    </row>
    <row r="12302" spans="1:13" x14ac:dyDescent="0.25">
      <c r="A12302" s="1" t="str">
        <f>HYPERLINK("http://www.rosaceae.org/Prunus/Prunus_persica/p.persica_gdr_reftransV1_0040504","p.persica_gdr_reftransV1_0040504")</f>
        <v>p.persica_gdr_reftransV1_0040504</v>
      </c>
      <c r="B12302" s="3">
        <v>3960</v>
      </c>
      <c r="C12302" s="1" t="str">
        <f>HYPERLINK("http://www.uniprot.org/uniprot/SFH8_ARATH","SFH8_ARATH")</f>
        <v>SFH8_ARATH</v>
      </c>
      <c r="D12302" t="s">
        <v>4020</v>
      </c>
      <c r="E12302" s="3" t="s">
        <v>3</v>
      </c>
      <c r="F12302" s="4">
        <v>0</v>
      </c>
      <c r="G12302" s="3">
        <v>2334</v>
      </c>
      <c r="H12302" s="3">
        <v>76</v>
      </c>
      <c r="I12302" s="3">
        <v>626</v>
      </c>
      <c r="J12302" s="3">
        <v>366</v>
      </c>
      <c r="K12302" s="3">
        <v>2228</v>
      </c>
      <c r="L12302" s="3">
        <v>1</v>
      </c>
      <c r="M12302" s="3">
        <v>620</v>
      </c>
    </row>
    <row r="12303" spans="1:13" x14ac:dyDescent="0.25">
      <c r="A12303" s="1" t="str">
        <f>HYPERLINK("http://www.rosaceae.org/Prunus/Prunus_persica/p.persica_gdr_reftransV1_0040654","p.persica_gdr_reftransV1_0040654")</f>
        <v>p.persica_gdr_reftransV1_0040654</v>
      </c>
      <c r="B12303" s="3">
        <v>3732</v>
      </c>
      <c r="C12303" s="1" t="str">
        <f>HYPERLINK("http://www.uniprot.org/uniprot/TRPX_ARATH","TRPX_ARATH")</f>
        <v>TRPX_ARATH</v>
      </c>
      <c r="D12303" t="s">
        <v>8504</v>
      </c>
      <c r="E12303" s="3" t="s">
        <v>3</v>
      </c>
      <c r="F12303" s="4">
        <v>0</v>
      </c>
      <c r="G12303" s="3">
        <v>2081</v>
      </c>
      <c r="H12303" s="3">
        <v>74</v>
      </c>
      <c r="I12303" s="3">
        <v>581</v>
      </c>
      <c r="J12303" s="3">
        <v>1449</v>
      </c>
      <c r="K12303" s="3">
        <v>3188</v>
      </c>
      <c r="L12303" s="3">
        <v>63</v>
      </c>
      <c r="M12303" s="3">
        <v>618</v>
      </c>
    </row>
    <row r="12304" spans="1:13" x14ac:dyDescent="0.25">
      <c r="A12304" s="1" t="str">
        <f>HYPERLINK("http://www.rosaceae.org/Prunus/Prunus_persica/p.persica_gdr_reftransV1_0040804","p.persica_gdr_reftransV1_0040804")</f>
        <v>p.persica_gdr_reftransV1_0040804</v>
      </c>
      <c r="B12304" s="3">
        <v>2554</v>
      </c>
      <c r="C12304" s="1" t="str">
        <f>HYPERLINK("http://www.uniprot.org/uniprot/XB34_ARATH","XB34_ARATH")</f>
        <v>XB34_ARATH</v>
      </c>
      <c r="D12304" t="s">
        <v>8505</v>
      </c>
      <c r="E12304" s="3" t="s">
        <v>3</v>
      </c>
      <c r="F12304" s="4">
        <v>7.1200000000000002E-8</v>
      </c>
      <c r="G12304" s="3">
        <v>142</v>
      </c>
      <c r="H12304" s="3">
        <v>41</v>
      </c>
      <c r="I12304" s="3">
        <v>59</v>
      </c>
      <c r="J12304" s="3">
        <v>1914</v>
      </c>
      <c r="K12304" s="3">
        <v>2090</v>
      </c>
      <c r="L12304" s="3">
        <v>318</v>
      </c>
      <c r="M12304" s="3">
        <v>376</v>
      </c>
    </row>
    <row r="12305" spans="1:13" x14ac:dyDescent="0.25">
      <c r="A12305" s="1" t="str">
        <f>HYPERLINK("http://www.rosaceae.org/Prunus/Prunus_persica/p.persica_gdr_reftransV1_0040954","p.persica_gdr_reftransV1_0040954")</f>
        <v>p.persica_gdr_reftransV1_0040954</v>
      </c>
      <c r="B12305" s="3">
        <v>948</v>
      </c>
      <c r="C12305" s="1" t="str">
        <f>HYPERLINK("http://www.uniprot.org/uniprot/TPC2L_DICDI","TPC2L_DICDI")</f>
        <v>TPC2L_DICDI</v>
      </c>
      <c r="D12305" t="s">
        <v>8506</v>
      </c>
      <c r="E12305" s="3" t="s">
        <v>9</v>
      </c>
      <c r="F12305" s="4">
        <v>3.4599999999999999E-43</v>
      </c>
      <c r="G12305" s="3">
        <v>381</v>
      </c>
      <c r="H12305" s="3">
        <v>50</v>
      </c>
      <c r="I12305" s="3">
        <v>142</v>
      </c>
      <c r="J12305" s="3">
        <v>117</v>
      </c>
      <c r="K12305" s="3">
        <v>530</v>
      </c>
      <c r="L12305" s="3">
        <v>2</v>
      </c>
      <c r="M12305" s="3">
        <v>140</v>
      </c>
    </row>
    <row r="12306" spans="1:13" x14ac:dyDescent="0.25">
      <c r="A12306" s="1" t="str">
        <f>HYPERLINK("http://www.rosaceae.org/Prunus/Prunus_persica/p.persica_gdr_reftransV1_0041154","p.persica_gdr_reftransV1_0041154")</f>
        <v>p.persica_gdr_reftransV1_0041154</v>
      </c>
      <c r="B12306" s="3">
        <v>1804</v>
      </c>
      <c r="C12306" s="1" t="str">
        <f>HYPERLINK("http://www.uniprot.org/uniprot/PPR78_ARATH","PPR78_ARATH")</f>
        <v>PPR78_ARATH</v>
      </c>
      <c r="D12306" t="s">
        <v>8507</v>
      </c>
      <c r="E12306" s="3" t="s">
        <v>3</v>
      </c>
      <c r="F12306" s="4">
        <v>1.3000000000000001E-174</v>
      </c>
      <c r="G12306" s="3">
        <v>1320</v>
      </c>
      <c r="H12306" s="3">
        <v>66</v>
      </c>
      <c r="I12306" s="3">
        <v>359</v>
      </c>
      <c r="J12306" s="3">
        <v>5</v>
      </c>
      <c r="K12306" s="3">
        <v>1078</v>
      </c>
      <c r="L12306" s="3">
        <v>134</v>
      </c>
      <c r="M12306" s="3">
        <v>492</v>
      </c>
    </row>
    <row r="12307" spans="1:13" x14ac:dyDescent="0.25">
      <c r="A12307" s="1" t="str">
        <f>HYPERLINK("http://www.rosaceae.org/Prunus/Prunus_persica/p.persica_gdr_reftransV1_0041304","p.persica_gdr_reftransV1_0041304")</f>
        <v>p.persica_gdr_reftransV1_0041304</v>
      </c>
      <c r="B12307" s="3">
        <v>974</v>
      </c>
      <c r="C12307" s="1" t="str">
        <f>HYPERLINK("http://www.uniprot.org/uniprot/PTA7_ARATH","PTA7_ARATH")</f>
        <v>PTA7_ARATH</v>
      </c>
      <c r="D12307" t="s">
        <v>8508</v>
      </c>
      <c r="E12307" s="3" t="s">
        <v>3</v>
      </c>
      <c r="F12307" s="4">
        <v>9.6099999999999996E-65</v>
      </c>
      <c r="G12307" s="3">
        <v>529</v>
      </c>
      <c r="H12307" s="3">
        <v>62</v>
      </c>
      <c r="I12307" s="3">
        <v>165</v>
      </c>
      <c r="J12307" s="3">
        <v>186</v>
      </c>
      <c r="K12307" s="3">
        <v>680</v>
      </c>
      <c r="L12307" s="3">
        <v>1</v>
      </c>
      <c r="M12307" s="3">
        <v>161</v>
      </c>
    </row>
    <row r="12308" spans="1:13" x14ac:dyDescent="0.25">
      <c r="A12308" s="1" t="str">
        <f>HYPERLINK("http://www.rosaceae.org/Prunus/Prunus_persica/p.persica_gdr_reftransV1_0041654","p.persica_gdr_reftransV1_0041654")</f>
        <v>p.persica_gdr_reftransV1_0041654</v>
      </c>
      <c r="B12308" s="3">
        <v>1446</v>
      </c>
      <c r="C12308" s="1" t="str">
        <f>HYPERLINK("http://www.uniprot.org/uniprot/TAL_HISS2","TAL_HISS2")</f>
        <v>TAL_HISS2</v>
      </c>
      <c r="D12308" t="s">
        <v>8509</v>
      </c>
      <c r="E12308" s="3" t="s">
        <v>8510</v>
      </c>
      <c r="F12308" s="4">
        <v>4.0999999999999999E-52</v>
      </c>
      <c r="G12308" s="3">
        <v>468</v>
      </c>
      <c r="H12308" s="3">
        <v>37</v>
      </c>
      <c r="I12308" s="3">
        <v>328</v>
      </c>
      <c r="J12308" s="3">
        <v>231</v>
      </c>
      <c r="K12308" s="3">
        <v>1214</v>
      </c>
      <c r="L12308" s="3">
        <v>2</v>
      </c>
      <c r="M12308" s="3">
        <v>313</v>
      </c>
    </row>
    <row r="12309" spans="1:13" x14ac:dyDescent="0.25">
      <c r="A12309" s="1" t="str">
        <f>HYPERLINK("http://www.rosaceae.org/Prunus/Prunus_persica/p.persica_gdr_reftransV1_0042004","p.persica_gdr_reftransV1_0042004")</f>
        <v>p.persica_gdr_reftransV1_0042004</v>
      </c>
      <c r="B12309" s="3">
        <v>2848</v>
      </c>
      <c r="C12309" s="1" t="str">
        <f>HYPERLINK("http://www.uniprot.org/uniprot/Y2232_ARATH","Y2232_ARATH")</f>
        <v>Y2232_ARATH</v>
      </c>
      <c r="D12309" t="s">
        <v>252</v>
      </c>
      <c r="E12309" s="3" t="s">
        <v>3</v>
      </c>
      <c r="F12309" s="4">
        <v>0</v>
      </c>
      <c r="G12309" s="3">
        <v>1672</v>
      </c>
      <c r="H12309" s="3">
        <v>46</v>
      </c>
      <c r="I12309" s="3">
        <v>834</v>
      </c>
      <c r="J12309" s="3">
        <v>170</v>
      </c>
      <c r="K12309" s="3">
        <v>2608</v>
      </c>
      <c r="L12309" s="3">
        <v>32</v>
      </c>
      <c r="M12309" s="3">
        <v>834</v>
      </c>
    </row>
    <row r="12310" spans="1:13" x14ac:dyDescent="0.25">
      <c r="A12310" s="1" t="str">
        <f>HYPERLINK("http://www.rosaceae.org/Prunus/Prunus_persica/p.persica_gdr_reftransV1_0042354","p.persica_gdr_reftransV1_0042354")</f>
        <v>p.persica_gdr_reftransV1_0042354</v>
      </c>
      <c r="B12310" s="3">
        <v>2483</v>
      </c>
      <c r="C12310" s="1" t="str">
        <f>HYPERLINK("http://www.uniprot.org/uniprot/UTR3_ARATH","UTR3_ARATH")</f>
        <v>UTR3_ARATH</v>
      </c>
      <c r="D12310" t="s">
        <v>8511</v>
      </c>
      <c r="E12310" s="3" t="s">
        <v>3</v>
      </c>
      <c r="F12310" s="4">
        <v>7.0800000000000001E-67</v>
      </c>
      <c r="G12310" s="3">
        <v>589</v>
      </c>
      <c r="H12310" s="3">
        <v>87</v>
      </c>
      <c r="I12310" s="3">
        <v>134</v>
      </c>
      <c r="J12310" s="3">
        <v>1756</v>
      </c>
      <c r="K12310" s="3">
        <v>2157</v>
      </c>
      <c r="L12310" s="3">
        <v>197</v>
      </c>
      <c r="M12310" s="3">
        <v>330</v>
      </c>
    </row>
    <row r="12311" spans="1:13" x14ac:dyDescent="0.25">
      <c r="A12311" s="1" t="str">
        <f>HYPERLINK("http://www.rosaceae.org/Prunus/Prunus_persica/p.persica_gdr_reftransV1_0042404","p.persica_gdr_reftransV1_0042404")</f>
        <v>p.persica_gdr_reftransV1_0042404</v>
      </c>
      <c r="B12311" s="3">
        <v>3411</v>
      </c>
      <c r="C12311" s="1" t="str">
        <f>HYPERLINK("http://www.uniprot.org/uniprot/BGL12_ORYSJ","BGL12_ORYSJ")</f>
        <v>BGL12_ORYSJ</v>
      </c>
      <c r="D12311" t="s">
        <v>8371</v>
      </c>
      <c r="E12311" s="3" t="s">
        <v>38</v>
      </c>
      <c r="F12311" s="4">
        <v>9.7099999999999995E-152</v>
      </c>
      <c r="G12311" s="3">
        <v>727</v>
      </c>
      <c r="H12311" s="3">
        <v>65</v>
      </c>
      <c r="I12311" s="3">
        <v>200</v>
      </c>
      <c r="J12311" s="3">
        <v>1458</v>
      </c>
      <c r="K12311" s="3">
        <v>2057</v>
      </c>
      <c r="L12311" s="3">
        <v>70</v>
      </c>
      <c r="M12311" s="3">
        <v>269</v>
      </c>
    </row>
    <row r="12312" spans="1:13" x14ac:dyDescent="0.25">
      <c r="A12312" s="1" t="str">
        <f>HYPERLINK("http://www.rosaceae.org/Prunus/Prunus_persica/p.persica_gdr_reftransV1_0042704","p.persica_gdr_reftransV1_0042704")</f>
        <v>p.persica_gdr_reftransV1_0042704</v>
      </c>
      <c r="B12312" s="3">
        <v>2043</v>
      </c>
      <c r="C12312" s="1" t="str">
        <f>HYPERLINK("http://www.uniprot.org/uniprot/HDT3_ARATH","HDT3_ARATH")</f>
        <v>HDT3_ARATH</v>
      </c>
      <c r="D12312" t="s">
        <v>8512</v>
      </c>
      <c r="E12312" s="3" t="s">
        <v>3</v>
      </c>
      <c r="F12312" s="4">
        <v>1.26E-23</v>
      </c>
      <c r="G12312" s="3">
        <v>264</v>
      </c>
      <c r="H12312" s="3">
        <v>51</v>
      </c>
      <c r="I12312" s="3">
        <v>94</v>
      </c>
      <c r="J12312" s="3">
        <v>1678</v>
      </c>
      <c r="K12312" s="3">
        <v>1956</v>
      </c>
      <c r="L12312" s="3">
        <v>1</v>
      </c>
      <c r="M12312" s="3">
        <v>93</v>
      </c>
    </row>
    <row r="12313" spans="1:13" x14ac:dyDescent="0.25">
      <c r="A12313" s="1" t="str">
        <f>HYPERLINK("http://www.rosaceae.org/Prunus/Prunus_persica/p.persica_gdr_reftransV1_0042904","p.persica_gdr_reftransV1_0042904")</f>
        <v>p.persica_gdr_reftransV1_0042904</v>
      </c>
      <c r="B12313" s="3">
        <v>2733</v>
      </c>
      <c r="C12313" s="1" t="str">
        <f>HYPERLINK("http://www.uniprot.org/uniprot/AIFB_DICDI","AIFB_DICDI")</f>
        <v>AIFB_DICDI</v>
      </c>
      <c r="D12313" t="s">
        <v>8513</v>
      </c>
      <c r="E12313" s="3" t="s">
        <v>9</v>
      </c>
      <c r="F12313" s="4">
        <v>7.7099999999999995E-32</v>
      </c>
      <c r="G12313" s="3">
        <v>334</v>
      </c>
      <c r="H12313" s="3">
        <v>34</v>
      </c>
      <c r="I12313" s="3">
        <v>280</v>
      </c>
      <c r="J12313" s="3">
        <v>1591</v>
      </c>
      <c r="K12313" s="3">
        <v>2340</v>
      </c>
      <c r="L12313" s="3">
        <v>20</v>
      </c>
      <c r="M12313" s="3">
        <v>295</v>
      </c>
    </row>
    <row r="12314" spans="1:13" x14ac:dyDescent="0.25">
      <c r="A12314" s="1" t="str">
        <f>HYPERLINK("http://www.rosaceae.org/Prunus/Prunus_persica/p.persica_gdr_reftransV1_0043104","p.persica_gdr_reftransV1_0043104")</f>
        <v>p.persica_gdr_reftransV1_0043104</v>
      </c>
      <c r="B12314" s="3">
        <v>457</v>
      </c>
      <c r="C12314" s="1" t="str">
        <f>HYPERLINK("http://www.uniprot.org/uniprot/CNG18_ARATH","CNG18_ARATH")</f>
        <v>CNG18_ARATH</v>
      </c>
      <c r="D12314" t="s">
        <v>4271</v>
      </c>
      <c r="E12314" s="3" t="s">
        <v>3</v>
      </c>
      <c r="F12314" s="4">
        <v>3.3899999999999999E-32</v>
      </c>
      <c r="G12314" s="3">
        <v>314</v>
      </c>
      <c r="H12314" s="3">
        <v>57</v>
      </c>
      <c r="I12314" s="3">
        <v>94</v>
      </c>
      <c r="J12314" s="3">
        <v>175</v>
      </c>
      <c r="K12314" s="3">
        <v>456</v>
      </c>
      <c r="L12314" s="3">
        <v>36</v>
      </c>
      <c r="M12314" s="3">
        <v>129</v>
      </c>
    </row>
    <row r="12315" spans="1:13" x14ac:dyDescent="0.25">
      <c r="A12315" s="1" t="str">
        <f>HYPERLINK("http://www.rosaceae.org/Prunus/Prunus_persica/p.persica_gdr_reftransV1_0043154","p.persica_gdr_reftransV1_0043154")</f>
        <v>p.persica_gdr_reftransV1_0043154</v>
      </c>
      <c r="B12315" s="3">
        <v>410</v>
      </c>
      <c r="C12315" s="1" t="str">
        <f>HYPERLINK("http://www.uniprot.org/uniprot/HERC2_DROME","HERC2_DROME")</f>
        <v>HERC2_DROME</v>
      </c>
      <c r="D12315" t="s">
        <v>8514</v>
      </c>
      <c r="E12315" s="3" t="s">
        <v>5</v>
      </c>
      <c r="F12315" s="4">
        <v>1.61E-21</v>
      </c>
      <c r="G12315" s="3">
        <v>236</v>
      </c>
      <c r="H12315" s="3">
        <v>41</v>
      </c>
      <c r="I12315" s="3">
        <v>124</v>
      </c>
      <c r="J12315" s="3">
        <v>19</v>
      </c>
      <c r="K12315" s="3">
        <v>390</v>
      </c>
      <c r="L12315" s="3">
        <v>3066</v>
      </c>
      <c r="M12315" s="3">
        <v>3186</v>
      </c>
    </row>
    <row r="12316" spans="1:13" x14ac:dyDescent="0.25">
      <c r="A12316" s="1" t="str">
        <f>HYPERLINK("http://www.rosaceae.org/Prunus/Prunus_persica/p.persica_gdr_reftransV1_0043204","p.persica_gdr_reftransV1_0043204")</f>
        <v>p.persica_gdr_reftransV1_0043204</v>
      </c>
      <c r="B12316" s="3">
        <v>737</v>
      </c>
      <c r="C12316" s="1" t="str">
        <f>HYPERLINK("http://www.uniprot.org/uniprot/Y5986_ARATH","Y5986_ARATH")</f>
        <v>Y5986_ARATH</v>
      </c>
      <c r="D12316" t="s">
        <v>4689</v>
      </c>
      <c r="E12316" s="3" t="s">
        <v>3</v>
      </c>
      <c r="F12316" s="4">
        <v>2.3700000000000001E-20</v>
      </c>
      <c r="G12316" s="3">
        <v>228</v>
      </c>
      <c r="H12316" s="3">
        <v>37</v>
      </c>
      <c r="I12316" s="3">
        <v>172</v>
      </c>
      <c r="J12316" s="3">
        <v>270</v>
      </c>
      <c r="K12316" s="3">
        <v>737</v>
      </c>
      <c r="L12316" s="3">
        <v>176</v>
      </c>
      <c r="M12316" s="3">
        <v>344</v>
      </c>
    </row>
    <row r="12317" spans="1:13" x14ac:dyDescent="0.25">
      <c r="A12317" s="1" t="str">
        <f>HYPERLINK("http://www.rosaceae.org/Prunus/Prunus_persica/p.persica_gdr_reftransV1_0043254","p.persica_gdr_reftransV1_0043254")</f>
        <v>p.persica_gdr_reftransV1_0043254</v>
      </c>
      <c r="B12317" s="3">
        <v>934</v>
      </c>
      <c r="C12317" s="1" t="str">
        <f>HYPERLINK("http://www.uniprot.org/uniprot/TRXY1_ARATH","TRXY1_ARATH")</f>
        <v>TRXY1_ARATH</v>
      </c>
      <c r="D12317" t="s">
        <v>8515</v>
      </c>
      <c r="E12317" s="3" t="s">
        <v>3</v>
      </c>
      <c r="F12317" s="4">
        <v>5.8399999999999998E-59</v>
      </c>
      <c r="G12317" s="3">
        <v>490</v>
      </c>
      <c r="H12317" s="3">
        <v>72</v>
      </c>
      <c r="I12317" s="3">
        <v>139</v>
      </c>
      <c r="J12317" s="3">
        <v>126</v>
      </c>
      <c r="K12317" s="3">
        <v>536</v>
      </c>
      <c r="L12317" s="3">
        <v>35</v>
      </c>
      <c r="M12317" s="3">
        <v>171</v>
      </c>
    </row>
    <row r="12318" spans="1:13" x14ac:dyDescent="0.25">
      <c r="A12318" s="1" t="str">
        <f>HYPERLINK("http://www.rosaceae.org/Prunus/Prunus_persica/p.persica_gdr_reftransV1_0043304","p.persica_gdr_reftransV1_0043304")</f>
        <v>p.persica_gdr_reftransV1_0043304</v>
      </c>
      <c r="B12318" s="3">
        <v>990</v>
      </c>
      <c r="C12318" s="1" t="str">
        <f>HYPERLINK("http://www.uniprot.org/uniprot/RBG4_ARATH","RBG4_ARATH")</f>
        <v>RBG4_ARATH</v>
      </c>
      <c r="D12318" t="s">
        <v>881</v>
      </c>
      <c r="E12318" s="3" t="s">
        <v>3</v>
      </c>
      <c r="F12318" s="4">
        <v>2.0000000000000002E-43</v>
      </c>
      <c r="G12318" s="3">
        <v>383</v>
      </c>
      <c r="H12318" s="3">
        <v>62</v>
      </c>
      <c r="I12318" s="3">
        <v>115</v>
      </c>
      <c r="J12318" s="3">
        <v>172</v>
      </c>
      <c r="K12318" s="3">
        <v>516</v>
      </c>
      <c r="L12318" s="3">
        <v>1</v>
      </c>
      <c r="M12318" s="3">
        <v>115</v>
      </c>
    </row>
    <row r="12319" spans="1:13" x14ac:dyDescent="0.25">
      <c r="A12319" s="1" t="str">
        <f>HYPERLINK("http://www.rosaceae.org/Prunus/Prunus_persica/p.persica_gdr_reftransV1_0043354","p.persica_gdr_reftransV1_0043354")</f>
        <v>p.persica_gdr_reftransV1_0043354</v>
      </c>
      <c r="B12319" s="3">
        <v>1360</v>
      </c>
      <c r="C12319" s="1" t="str">
        <f>HYPERLINK("http://www.uniprot.org/uniprot/AB29G_ARATH","AB29G_ARATH")</f>
        <v>AB29G_ARATH</v>
      </c>
      <c r="D12319" t="s">
        <v>8516</v>
      </c>
      <c r="E12319" s="3" t="s">
        <v>3</v>
      </c>
      <c r="F12319" s="4">
        <v>0</v>
      </c>
      <c r="G12319" s="3">
        <v>1863</v>
      </c>
      <c r="H12319" s="3">
        <v>79</v>
      </c>
      <c r="I12319" s="3">
        <v>436</v>
      </c>
      <c r="J12319" s="3">
        <v>2</v>
      </c>
      <c r="K12319" s="3">
        <v>1309</v>
      </c>
      <c r="L12319" s="3">
        <v>981</v>
      </c>
      <c r="M12319" s="3">
        <v>1416</v>
      </c>
    </row>
    <row r="12320" spans="1:13" x14ac:dyDescent="0.25">
      <c r="A12320" s="1" t="str">
        <f>HYPERLINK("http://www.rosaceae.org/Prunus/Prunus_persica/p.persica_gdr_reftransV1_0043404","p.persica_gdr_reftransV1_0043404")</f>
        <v>p.persica_gdr_reftransV1_0043404</v>
      </c>
      <c r="B12320" s="3">
        <v>1308</v>
      </c>
      <c r="C12320" s="1" t="str">
        <f>HYPERLINK("http://www.uniprot.org/uniprot/RGA4_SOLBU","RGA4_SOLBU")</f>
        <v>RGA4_SOLBU</v>
      </c>
      <c r="D12320" t="s">
        <v>1657</v>
      </c>
      <c r="E12320" s="3" t="s">
        <v>560</v>
      </c>
      <c r="F12320" s="4">
        <v>9.0599999999999997E-15</v>
      </c>
      <c r="G12320" s="3">
        <v>197</v>
      </c>
      <c r="H12320" s="3">
        <v>36</v>
      </c>
      <c r="I12320" s="3">
        <v>146</v>
      </c>
      <c r="J12320" s="3">
        <v>652</v>
      </c>
      <c r="K12320" s="3">
        <v>1080</v>
      </c>
      <c r="L12320" s="3">
        <v>845</v>
      </c>
      <c r="M12320" s="3">
        <v>987</v>
      </c>
    </row>
    <row r="12321" spans="1:13" x14ac:dyDescent="0.25">
      <c r="A12321" s="1" t="str">
        <f>HYPERLINK("http://www.rosaceae.org/Prunus/Prunus_persica/p.persica_gdr_reftransV1_0043454","p.persica_gdr_reftransV1_0043454")</f>
        <v>p.persica_gdr_reftransV1_0043454</v>
      </c>
      <c r="B12321" s="3">
        <v>500</v>
      </c>
      <c r="C12321" s="1" t="str">
        <f>HYPERLINK("http://www.uniprot.org/uniprot/SKP2B_ARATH","SKP2B_ARATH")</f>
        <v>SKP2B_ARATH</v>
      </c>
      <c r="D12321" t="s">
        <v>8517</v>
      </c>
      <c r="E12321" s="3" t="s">
        <v>3</v>
      </c>
      <c r="F12321" s="4">
        <v>1.2799999999999999E-32</v>
      </c>
      <c r="G12321" s="3">
        <v>311</v>
      </c>
      <c r="H12321" s="3">
        <v>58</v>
      </c>
      <c r="I12321" s="3">
        <v>108</v>
      </c>
      <c r="J12321" s="3">
        <v>177</v>
      </c>
      <c r="K12321" s="3">
        <v>500</v>
      </c>
      <c r="L12321" s="3">
        <v>4</v>
      </c>
      <c r="M12321" s="3">
        <v>93</v>
      </c>
    </row>
    <row r="12322" spans="1:13" x14ac:dyDescent="0.25">
      <c r="A12322" s="1" t="str">
        <f>HYPERLINK("http://www.rosaceae.org/Prunus/Prunus_persica/p.persica_gdr_reftransV1_0043554","p.persica_gdr_reftransV1_0043554")</f>
        <v>p.persica_gdr_reftransV1_0043554</v>
      </c>
      <c r="B12322" s="3">
        <v>736</v>
      </c>
      <c r="C12322" s="1" t="str">
        <f>HYPERLINK("http://www.uniprot.org/uniprot/TLPH_ORYSJ","TLPH_ORYSJ")</f>
        <v>TLPH_ORYSJ</v>
      </c>
      <c r="D12322" t="s">
        <v>7505</v>
      </c>
      <c r="E12322" s="3" t="s">
        <v>38</v>
      </c>
      <c r="F12322" s="4">
        <v>1.9800000000000001E-85</v>
      </c>
      <c r="G12322" s="3">
        <v>667</v>
      </c>
      <c r="H12322" s="3">
        <v>65</v>
      </c>
      <c r="I12322" s="3">
        <v>201</v>
      </c>
      <c r="J12322" s="3">
        <v>136</v>
      </c>
      <c r="K12322" s="3">
        <v>735</v>
      </c>
      <c r="L12322" s="3">
        <v>52</v>
      </c>
      <c r="M12322" s="3">
        <v>251</v>
      </c>
    </row>
    <row r="12323" spans="1:13" x14ac:dyDescent="0.25">
      <c r="A12323" s="1" t="str">
        <f>HYPERLINK("http://www.rosaceae.org/Prunus/Prunus_persica/p.persica_gdr_reftransV1_0043654","p.persica_gdr_reftransV1_0043654")</f>
        <v>p.persica_gdr_reftransV1_0043654</v>
      </c>
      <c r="B12323" s="3">
        <v>776</v>
      </c>
      <c r="C12323" s="1" t="str">
        <f>HYPERLINK("http://www.uniprot.org/uniprot/RL23_ARATH","RL23_ARATH")</f>
        <v>RL23_ARATH</v>
      </c>
      <c r="D12323" t="s">
        <v>8518</v>
      </c>
      <c r="E12323" s="3" t="s">
        <v>3</v>
      </c>
      <c r="F12323" s="4">
        <v>1.6200000000000001E-94</v>
      </c>
      <c r="G12323" s="3">
        <v>718</v>
      </c>
      <c r="H12323" s="3">
        <v>99</v>
      </c>
      <c r="I12323" s="3">
        <v>140</v>
      </c>
      <c r="J12323" s="3">
        <v>328</v>
      </c>
      <c r="K12323" s="3">
        <v>747</v>
      </c>
      <c r="L12323" s="3">
        <v>1</v>
      </c>
      <c r="M12323" s="3">
        <v>140</v>
      </c>
    </row>
    <row r="12324" spans="1:13" x14ac:dyDescent="0.25">
      <c r="A12324" s="1" t="str">
        <f>HYPERLINK("http://www.rosaceae.org/Prunus/Prunus_persica/p.persica_gdr_reftransV1_0043704","p.persica_gdr_reftransV1_0043704")</f>
        <v>p.persica_gdr_reftransV1_0043704</v>
      </c>
      <c r="B12324" s="3">
        <v>466</v>
      </c>
      <c r="C12324" s="1" t="str">
        <f>HYPERLINK("http://www.uniprot.org/uniprot/R1A3_SOLDE","R1A3_SOLDE")</f>
        <v>R1A3_SOLDE</v>
      </c>
      <c r="D12324" t="s">
        <v>8519</v>
      </c>
      <c r="E12324" s="3" t="s">
        <v>4712</v>
      </c>
      <c r="F12324" s="4">
        <v>1.2400000000000001E-9</v>
      </c>
      <c r="G12324" s="3">
        <v>144</v>
      </c>
      <c r="H12324" s="3">
        <v>30</v>
      </c>
      <c r="I12324" s="3">
        <v>158</v>
      </c>
      <c r="J12324" s="3">
        <v>4</v>
      </c>
      <c r="K12324" s="3">
        <v>453</v>
      </c>
      <c r="L12324" s="3">
        <v>259</v>
      </c>
      <c r="M12324" s="3">
        <v>412</v>
      </c>
    </row>
    <row r="12325" spans="1:13" x14ac:dyDescent="0.25">
      <c r="A12325" s="1" t="str">
        <f>HYPERLINK("http://www.rosaceae.org/Prunus/Prunus_persica/p.persica_gdr_reftransV1_0043754","p.persica_gdr_reftransV1_0043754")</f>
        <v>p.persica_gdr_reftransV1_0043754</v>
      </c>
      <c r="B12325" s="3">
        <v>572</v>
      </c>
      <c r="C12325" s="1" t="str">
        <f>HYPERLINK("http://www.uniprot.org/uniprot/RT14_VICFA","RT14_VICFA")</f>
        <v>RT14_VICFA</v>
      </c>
      <c r="D12325" t="s">
        <v>8520</v>
      </c>
      <c r="E12325" s="3" t="s">
        <v>2253</v>
      </c>
      <c r="F12325" s="4">
        <v>1.0199999999999999E-45</v>
      </c>
      <c r="G12325" s="3">
        <v>384</v>
      </c>
      <c r="H12325" s="3">
        <v>76</v>
      </c>
      <c r="I12325" s="3">
        <v>98</v>
      </c>
      <c r="J12325" s="3">
        <v>210</v>
      </c>
      <c r="K12325" s="3">
        <v>503</v>
      </c>
      <c r="L12325" s="3">
        <v>3</v>
      </c>
      <c r="M12325" s="3">
        <v>100</v>
      </c>
    </row>
    <row r="12326" spans="1:13" x14ac:dyDescent="0.25">
      <c r="A12326" s="1" t="str">
        <f>HYPERLINK("http://www.rosaceae.org/Prunus/Prunus_persica/p.persica_gdr_reftransV1_0043804","p.persica_gdr_reftransV1_0043804")</f>
        <v>p.persica_gdr_reftransV1_0043804</v>
      </c>
      <c r="B12326" s="3">
        <v>1227</v>
      </c>
      <c r="C12326" s="1" t="str">
        <f>HYPERLINK("http://www.uniprot.org/uniprot/VATG_CITLI","VATG_CITLI")</f>
        <v>VATG_CITLI</v>
      </c>
      <c r="D12326" t="s">
        <v>1783</v>
      </c>
      <c r="E12326" s="3" t="s">
        <v>1784</v>
      </c>
      <c r="F12326" s="4">
        <v>3.9100000000000002E-48</v>
      </c>
      <c r="G12326" s="3">
        <v>418</v>
      </c>
      <c r="H12326" s="3">
        <v>77</v>
      </c>
      <c r="I12326" s="3">
        <v>109</v>
      </c>
      <c r="J12326" s="3">
        <v>527</v>
      </c>
      <c r="K12326" s="3">
        <v>853</v>
      </c>
      <c r="L12326" s="3">
        <v>1</v>
      </c>
      <c r="M12326" s="3">
        <v>109</v>
      </c>
    </row>
    <row r="12327" spans="1:13" x14ac:dyDescent="0.25">
      <c r="A12327" s="1" t="str">
        <f>HYPERLINK("http://www.rosaceae.org/Prunus/Prunus_persica/p.persica_gdr_reftransV1_0043854","p.persica_gdr_reftransV1_0043854")</f>
        <v>p.persica_gdr_reftransV1_0043854</v>
      </c>
      <c r="B12327" s="3">
        <v>2702</v>
      </c>
      <c r="C12327" s="1" t="str">
        <f>HYPERLINK("http://www.uniprot.org/uniprot/CDKF4_ORYSJ","CDKF4_ORYSJ")</f>
        <v>CDKF4_ORYSJ</v>
      </c>
      <c r="D12327" t="s">
        <v>2665</v>
      </c>
      <c r="E12327" s="3" t="s">
        <v>38</v>
      </c>
      <c r="F12327" s="4">
        <v>0</v>
      </c>
      <c r="G12327" s="3">
        <v>1412</v>
      </c>
      <c r="H12327" s="3">
        <v>60</v>
      </c>
      <c r="I12327" s="3">
        <v>465</v>
      </c>
      <c r="J12327" s="3">
        <v>1067</v>
      </c>
      <c r="K12327" s="3">
        <v>2425</v>
      </c>
      <c r="L12327" s="3">
        <v>1</v>
      </c>
      <c r="M12327" s="3">
        <v>458</v>
      </c>
    </row>
    <row r="12328" spans="1:13" x14ac:dyDescent="0.25">
      <c r="A12328" s="1" t="str">
        <f>HYPERLINK("http://www.rosaceae.org/Prunus/Prunus_persica/p.persica_gdr_reftransV1_0043904","p.persica_gdr_reftransV1_0043904")</f>
        <v>p.persica_gdr_reftransV1_0043904</v>
      </c>
      <c r="B12328" s="3">
        <v>1569</v>
      </c>
      <c r="C12328" s="1" t="str">
        <f>HYPERLINK("http://www.uniprot.org/uniprot/FTSZ1_ARATH","FTSZ1_ARATH")</f>
        <v>FTSZ1_ARATH</v>
      </c>
      <c r="D12328" t="s">
        <v>6544</v>
      </c>
      <c r="E12328" s="3" t="s">
        <v>3</v>
      </c>
      <c r="F12328" s="4">
        <v>0</v>
      </c>
      <c r="G12328" s="3">
        <v>1375</v>
      </c>
      <c r="H12328" s="3">
        <v>92</v>
      </c>
      <c r="I12328" s="3">
        <v>346</v>
      </c>
      <c r="J12328" s="3">
        <v>284</v>
      </c>
      <c r="K12328" s="3">
        <v>1315</v>
      </c>
      <c r="L12328" s="3">
        <v>64</v>
      </c>
      <c r="M12328" s="3">
        <v>409</v>
      </c>
    </row>
    <row r="12329" spans="1:13" x14ac:dyDescent="0.25">
      <c r="A12329" s="1" t="str">
        <f>HYPERLINK("http://www.rosaceae.org/Prunus/Prunus_persica/p.persica_gdr_reftransV1_0043954","p.persica_gdr_reftransV1_0043954")</f>
        <v>p.persica_gdr_reftransV1_0043954</v>
      </c>
      <c r="B12329" s="3">
        <v>1309</v>
      </c>
      <c r="C12329" s="1" t="str">
        <f>HYPERLINK("http://www.uniprot.org/uniprot/MYBF_ARATH","MYBF_ARATH")</f>
        <v>MYBF_ARATH</v>
      </c>
      <c r="D12329" t="s">
        <v>2783</v>
      </c>
      <c r="E12329" s="3" t="s">
        <v>3</v>
      </c>
      <c r="F12329" s="4">
        <v>3.15E-27</v>
      </c>
      <c r="G12329" s="3">
        <v>282</v>
      </c>
      <c r="H12329" s="3">
        <v>68</v>
      </c>
      <c r="I12329" s="3">
        <v>79</v>
      </c>
      <c r="J12329" s="3">
        <v>269</v>
      </c>
      <c r="K12329" s="3">
        <v>493</v>
      </c>
      <c r="L12329" s="3">
        <v>1</v>
      </c>
      <c r="M12329" s="3">
        <v>79</v>
      </c>
    </row>
    <row r="12330" spans="1:13" x14ac:dyDescent="0.25">
      <c r="A12330" s="1" t="str">
        <f>HYPERLINK("http://www.rosaceae.org/Prunus/Prunus_persica/p.persica_gdr_reftransV1_0044004","p.persica_gdr_reftransV1_0044004")</f>
        <v>p.persica_gdr_reftransV1_0044004</v>
      </c>
      <c r="B12330" s="3">
        <v>722</v>
      </c>
      <c r="C12330" s="1" t="str">
        <f>HYPERLINK("http://www.uniprot.org/uniprot/CO040_MOUSE","CO040_MOUSE")</f>
        <v>CO040_MOUSE</v>
      </c>
      <c r="D12330" t="s">
        <v>8521</v>
      </c>
      <c r="E12330" s="3" t="s">
        <v>157</v>
      </c>
      <c r="F12330" s="4">
        <v>3.9599999999999997E-15</v>
      </c>
      <c r="G12330" s="3">
        <v>179</v>
      </c>
      <c r="H12330" s="3">
        <v>45</v>
      </c>
      <c r="I12330" s="3">
        <v>88</v>
      </c>
      <c r="J12330" s="3">
        <v>276</v>
      </c>
      <c r="K12330" s="3">
        <v>536</v>
      </c>
      <c r="L12330" s="3">
        <v>32</v>
      </c>
      <c r="M12330" s="3">
        <v>119</v>
      </c>
    </row>
    <row r="12331" spans="1:13" x14ac:dyDescent="0.25">
      <c r="A12331" s="1" t="str">
        <f>HYPERLINK("http://www.rosaceae.org/Prunus/Prunus_persica/p.persica_gdr_reftransV1_0044054","p.persica_gdr_reftransV1_0044054")</f>
        <v>p.persica_gdr_reftransV1_0044054</v>
      </c>
      <c r="B12331" s="3">
        <v>1559</v>
      </c>
      <c r="C12331" s="1" t="str">
        <f>HYPERLINK("http://www.uniprot.org/uniprot/CPR30_ARATH","CPR30_ARATH")</f>
        <v>CPR30_ARATH</v>
      </c>
      <c r="D12331" t="s">
        <v>1594</v>
      </c>
      <c r="E12331" s="3" t="s">
        <v>3</v>
      </c>
      <c r="F12331" s="4">
        <v>4.6599999999999999E-23</v>
      </c>
      <c r="G12331" s="3">
        <v>260</v>
      </c>
      <c r="H12331" s="3">
        <v>25</v>
      </c>
      <c r="I12331" s="3">
        <v>398</v>
      </c>
      <c r="J12331" s="3">
        <v>317</v>
      </c>
      <c r="K12331" s="3">
        <v>1435</v>
      </c>
      <c r="L12331" s="3">
        <v>3</v>
      </c>
      <c r="M12331" s="3">
        <v>351</v>
      </c>
    </row>
    <row r="12332" spans="1:13" x14ac:dyDescent="0.25">
      <c r="A12332" s="1" t="str">
        <f>HYPERLINK("http://www.rosaceae.org/Prunus/Prunus_persica/p.persica_gdr_reftransV1_0044104","p.persica_gdr_reftransV1_0044104")</f>
        <v>p.persica_gdr_reftransV1_0044104</v>
      </c>
      <c r="B12332" s="3">
        <v>892</v>
      </c>
      <c r="C12332" s="1" t="str">
        <f>HYPERLINK("http://www.uniprot.org/uniprot/WSD1_ARATH","WSD1_ARATH")</f>
        <v>WSD1_ARATH</v>
      </c>
      <c r="D12332" t="s">
        <v>84</v>
      </c>
      <c r="E12332" s="3" t="s">
        <v>3</v>
      </c>
      <c r="F12332" s="4">
        <v>2.0300000000000001E-22</v>
      </c>
      <c r="G12332" s="3">
        <v>249</v>
      </c>
      <c r="H12332" s="3">
        <v>26</v>
      </c>
      <c r="I12332" s="3">
        <v>301</v>
      </c>
      <c r="J12332" s="3">
        <v>2</v>
      </c>
      <c r="K12332" s="3">
        <v>862</v>
      </c>
      <c r="L12332" s="3">
        <v>103</v>
      </c>
      <c r="M12332" s="3">
        <v>402</v>
      </c>
    </row>
    <row r="12333" spans="1:13" x14ac:dyDescent="0.25">
      <c r="A12333" s="1" t="str">
        <f>HYPERLINK("http://www.rosaceae.org/Prunus/Prunus_persica/p.persica_gdr_reftransV1_0044304","p.persica_gdr_reftransV1_0044304")</f>
        <v>p.persica_gdr_reftransV1_0044304</v>
      </c>
      <c r="B12333" s="3">
        <v>1645</v>
      </c>
      <c r="C12333" s="1" t="str">
        <f>HYPERLINK("http://www.uniprot.org/uniprot/PAN_ARATH","PAN_ARATH")</f>
        <v>PAN_ARATH</v>
      </c>
      <c r="D12333" t="s">
        <v>2492</v>
      </c>
      <c r="E12333" s="3" t="s">
        <v>3</v>
      </c>
      <c r="F12333" s="4">
        <v>8.7999999999999996E-155</v>
      </c>
      <c r="G12333" s="3">
        <v>1177</v>
      </c>
      <c r="H12333" s="3">
        <v>62</v>
      </c>
      <c r="I12333" s="3">
        <v>422</v>
      </c>
      <c r="J12333" s="3">
        <v>406</v>
      </c>
      <c r="K12333" s="3">
        <v>1644</v>
      </c>
      <c r="L12333" s="3">
        <v>28</v>
      </c>
      <c r="M12333" s="3">
        <v>436</v>
      </c>
    </row>
    <row r="12334" spans="1:13" x14ac:dyDescent="0.25">
      <c r="A12334" s="1" t="str">
        <f>HYPERLINK("http://www.rosaceae.org/Prunus/Prunus_persica/p.persica_gdr_reftransV1_0044354","p.persica_gdr_reftransV1_0044354")</f>
        <v>p.persica_gdr_reftransV1_0044354</v>
      </c>
      <c r="B12334" s="3">
        <v>1846</v>
      </c>
      <c r="C12334" s="1" t="str">
        <f>HYPERLINK("http://www.uniprot.org/uniprot/AGD15_ARATH","AGD15_ARATH")</f>
        <v>AGD15_ARATH</v>
      </c>
      <c r="D12334" t="s">
        <v>8522</v>
      </c>
      <c r="E12334" s="3" t="s">
        <v>3</v>
      </c>
      <c r="F12334" s="4">
        <v>5.3E-83</v>
      </c>
      <c r="G12334" s="3">
        <v>681</v>
      </c>
      <c r="H12334" s="3">
        <v>57</v>
      </c>
      <c r="I12334" s="3">
        <v>243</v>
      </c>
      <c r="J12334" s="3">
        <v>560</v>
      </c>
      <c r="K12334" s="3">
        <v>1288</v>
      </c>
      <c r="L12334" s="3">
        <v>1</v>
      </c>
      <c r="M12334" s="3">
        <v>232</v>
      </c>
    </row>
    <row r="12335" spans="1:13" x14ac:dyDescent="0.25">
      <c r="A12335" s="1" t="str">
        <f>HYPERLINK("http://www.rosaceae.org/Prunus/Prunus_persica/p.persica_gdr_reftransV1_0044404","p.persica_gdr_reftransV1_0044404")</f>
        <v>p.persica_gdr_reftransV1_0044404</v>
      </c>
      <c r="B12335" s="3">
        <v>621</v>
      </c>
      <c r="C12335" s="1" t="str">
        <f>HYPERLINK("http://www.uniprot.org/uniprot/NRT24_ARATH","NRT24_ARATH")</f>
        <v>NRT24_ARATH</v>
      </c>
      <c r="D12335" t="s">
        <v>8523</v>
      </c>
      <c r="E12335" s="3" t="s">
        <v>3</v>
      </c>
      <c r="F12335" s="4">
        <v>2.6999999999999999E-88</v>
      </c>
      <c r="G12335" s="3">
        <v>705</v>
      </c>
      <c r="H12335" s="3">
        <v>79</v>
      </c>
      <c r="I12335" s="3">
        <v>167</v>
      </c>
      <c r="J12335" s="3">
        <v>3</v>
      </c>
      <c r="K12335" s="3">
        <v>503</v>
      </c>
      <c r="L12335" s="3">
        <v>353</v>
      </c>
      <c r="M12335" s="3">
        <v>519</v>
      </c>
    </row>
    <row r="12336" spans="1:13" x14ac:dyDescent="0.25">
      <c r="A12336" s="1" t="str">
        <f>HYPERLINK("http://www.rosaceae.org/Prunus/Prunus_persica/p.persica_gdr_reftransV1_0044654","p.persica_gdr_reftransV1_0044654")</f>
        <v>p.persica_gdr_reftransV1_0044654</v>
      </c>
      <c r="B12336" s="3">
        <v>1740</v>
      </c>
      <c r="C12336" s="1" t="str">
        <f>HYPERLINK("http://www.uniprot.org/uniprot/U92A1_ARATH","U92A1_ARATH")</f>
        <v>U92A1_ARATH</v>
      </c>
      <c r="D12336" t="s">
        <v>2811</v>
      </c>
      <c r="E12336" s="3" t="s">
        <v>3</v>
      </c>
      <c r="F12336" s="4">
        <v>7.5900000000000003E-155</v>
      </c>
      <c r="G12336" s="3">
        <v>1184</v>
      </c>
      <c r="H12336" s="3">
        <v>49</v>
      </c>
      <c r="I12336" s="3">
        <v>481</v>
      </c>
      <c r="J12336" s="3">
        <v>265</v>
      </c>
      <c r="K12336" s="3">
        <v>1686</v>
      </c>
      <c r="L12336" s="3">
        <v>10</v>
      </c>
      <c r="M12336" s="3">
        <v>478</v>
      </c>
    </row>
    <row r="12337" spans="1:13" x14ac:dyDescent="0.25">
      <c r="A12337" s="1" t="str">
        <f>HYPERLINK("http://www.rosaceae.org/Prunus/Prunus_persica/p.persica_gdr_reftransV1_0044704","p.persica_gdr_reftransV1_0044704")</f>
        <v>p.persica_gdr_reftransV1_0044704</v>
      </c>
      <c r="B12337" s="3">
        <v>2411</v>
      </c>
      <c r="C12337" s="1" t="str">
        <f>HYPERLINK("http://www.uniprot.org/uniprot/ASCC3_BOVIN","ASCC3_BOVIN")</f>
        <v>ASCC3_BOVIN</v>
      </c>
      <c r="D12337" t="s">
        <v>4048</v>
      </c>
      <c r="E12337" s="3" t="s">
        <v>184</v>
      </c>
      <c r="F12337" s="4">
        <v>2.3900000000000001E-25</v>
      </c>
      <c r="G12337" s="3">
        <v>254</v>
      </c>
      <c r="H12337" s="3">
        <v>43</v>
      </c>
      <c r="I12337" s="3">
        <v>116</v>
      </c>
      <c r="J12337" s="3">
        <v>53</v>
      </c>
      <c r="K12337" s="3">
        <v>400</v>
      </c>
      <c r="L12337" s="3">
        <v>979</v>
      </c>
      <c r="M12337" s="3">
        <v>1094</v>
      </c>
    </row>
    <row r="12338" spans="1:13" x14ac:dyDescent="0.25">
      <c r="A12338" s="1" t="str">
        <f>HYPERLINK("http://www.rosaceae.org/Prunus/Prunus_persica/p.persica_gdr_reftransV1_0044754","p.persica_gdr_reftransV1_0044754")</f>
        <v>p.persica_gdr_reftransV1_0044754</v>
      </c>
      <c r="B12338" s="3">
        <v>738</v>
      </c>
      <c r="C12338" s="1" t="str">
        <f>HYPERLINK("http://www.uniprot.org/uniprot/VAB_ARATH","VAB_ARATH")</f>
        <v>VAB_ARATH</v>
      </c>
      <c r="D12338" t="s">
        <v>2108</v>
      </c>
      <c r="E12338" s="3" t="s">
        <v>3</v>
      </c>
      <c r="F12338" s="4">
        <v>8.9100000000000004E-41</v>
      </c>
      <c r="G12338" s="3">
        <v>381</v>
      </c>
      <c r="H12338" s="3">
        <v>49</v>
      </c>
      <c r="I12338" s="3">
        <v>214</v>
      </c>
      <c r="J12338" s="3">
        <v>29</v>
      </c>
      <c r="K12338" s="3">
        <v>589</v>
      </c>
      <c r="L12338" s="3">
        <v>268</v>
      </c>
      <c r="M12338" s="3">
        <v>480</v>
      </c>
    </row>
    <row r="12339" spans="1:13" x14ac:dyDescent="0.25">
      <c r="A12339" s="1" t="str">
        <f>HYPERLINK("http://www.rosaceae.org/Prunus/Prunus_persica/p.persica_gdr_reftransV1_0044854","p.persica_gdr_reftransV1_0044854")</f>
        <v>p.persica_gdr_reftransV1_0044854</v>
      </c>
      <c r="B12339" s="3">
        <v>2107</v>
      </c>
      <c r="C12339" s="1" t="str">
        <f>HYPERLINK("http://www.uniprot.org/uniprot/GRIK2_ARATH","GRIK2_ARATH")</f>
        <v>GRIK2_ARATH</v>
      </c>
      <c r="D12339" t="s">
        <v>8524</v>
      </c>
      <c r="E12339" s="3" t="s">
        <v>3</v>
      </c>
      <c r="F12339" s="4">
        <v>0</v>
      </c>
      <c r="G12339" s="3">
        <v>1413</v>
      </c>
      <c r="H12339" s="3">
        <v>64</v>
      </c>
      <c r="I12339" s="3">
        <v>421</v>
      </c>
      <c r="J12339" s="3">
        <v>361</v>
      </c>
      <c r="K12339" s="3">
        <v>1587</v>
      </c>
      <c r="L12339" s="3">
        <v>1</v>
      </c>
      <c r="M12339" s="3">
        <v>404</v>
      </c>
    </row>
    <row r="12340" spans="1:13" x14ac:dyDescent="0.25">
      <c r="A12340" s="1" t="str">
        <f>HYPERLINK("http://www.rosaceae.org/Prunus/Prunus_persica/p.persica_gdr_reftransV1_0044904","p.persica_gdr_reftransV1_0044904")</f>
        <v>p.persica_gdr_reftransV1_0044904</v>
      </c>
      <c r="B12340" s="3">
        <v>2114</v>
      </c>
      <c r="C12340" s="1" t="str">
        <f>HYPERLINK("http://www.uniprot.org/uniprot/CKI2_SCHPO","CKI2_SCHPO")</f>
        <v>CKI2_SCHPO</v>
      </c>
      <c r="D12340" t="s">
        <v>7958</v>
      </c>
      <c r="E12340" s="3" t="s">
        <v>464</v>
      </c>
      <c r="F12340" s="4">
        <v>2.2800000000000001E-54</v>
      </c>
      <c r="G12340" s="3">
        <v>503</v>
      </c>
      <c r="H12340" s="3">
        <v>35</v>
      </c>
      <c r="I12340" s="3">
        <v>322</v>
      </c>
      <c r="J12340" s="3">
        <v>263</v>
      </c>
      <c r="K12340" s="3">
        <v>1174</v>
      </c>
      <c r="L12340" s="3">
        <v>38</v>
      </c>
      <c r="M12340" s="3">
        <v>356</v>
      </c>
    </row>
    <row r="12341" spans="1:13" x14ac:dyDescent="0.25">
      <c r="A12341" s="1" t="str">
        <f>HYPERLINK("http://www.rosaceae.org/Prunus/Prunus_persica/p.persica_gdr_reftransV1_0045004","p.persica_gdr_reftransV1_0045004")</f>
        <v>p.persica_gdr_reftransV1_0045004</v>
      </c>
      <c r="B12341" s="3">
        <v>778</v>
      </c>
      <c r="C12341" s="1" t="str">
        <f>HYPERLINK("http://www.uniprot.org/uniprot/BOR4_ARATH","BOR4_ARATH")</f>
        <v>BOR4_ARATH</v>
      </c>
      <c r="D12341" t="s">
        <v>8525</v>
      </c>
      <c r="E12341" s="3" t="s">
        <v>3</v>
      </c>
      <c r="F12341" s="4">
        <v>2.0299999999999999E-117</v>
      </c>
      <c r="G12341" s="3">
        <v>918</v>
      </c>
      <c r="H12341" s="3">
        <v>72</v>
      </c>
      <c r="I12341" s="3">
        <v>230</v>
      </c>
      <c r="J12341" s="3">
        <v>4</v>
      </c>
      <c r="K12341" s="3">
        <v>693</v>
      </c>
      <c r="L12341" s="3">
        <v>6</v>
      </c>
      <c r="M12341" s="3">
        <v>235</v>
      </c>
    </row>
    <row r="12342" spans="1:13" x14ac:dyDescent="0.25">
      <c r="A12342" s="1" t="str">
        <f>HYPERLINK("http://www.rosaceae.org/Prunus/Prunus_persica/p.persica_gdr_reftransV1_0045104","p.persica_gdr_reftransV1_0045104")</f>
        <v>p.persica_gdr_reftransV1_0045104</v>
      </c>
      <c r="B12342" s="3">
        <v>382</v>
      </c>
      <c r="C12342" s="1" t="str">
        <f>HYPERLINK("http://www.uniprot.org/uniprot/GLGC_NOSS1","GLGC_NOSS1")</f>
        <v>GLGC_NOSS1</v>
      </c>
      <c r="D12342" t="s">
        <v>8526</v>
      </c>
      <c r="E12342" s="3" t="s">
        <v>719</v>
      </c>
      <c r="F12342" s="4">
        <v>1.6400000000000001E-29</v>
      </c>
      <c r="G12342" s="3">
        <v>286</v>
      </c>
      <c r="H12342" s="3">
        <v>57</v>
      </c>
      <c r="I12342" s="3">
        <v>101</v>
      </c>
      <c r="J12342" s="3">
        <v>88</v>
      </c>
      <c r="K12342" s="3">
        <v>381</v>
      </c>
      <c r="L12342" s="3">
        <v>328</v>
      </c>
      <c r="M12342" s="3">
        <v>428</v>
      </c>
    </row>
    <row r="12343" spans="1:13" x14ac:dyDescent="0.25">
      <c r="A12343" s="1" t="str">
        <f>HYPERLINK("http://www.rosaceae.org/Prunus/Prunus_persica/p.persica_gdr_reftransV1_0045154","p.persica_gdr_reftransV1_0045154")</f>
        <v>p.persica_gdr_reftransV1_0045154</v>
      </c>
      <c r="B12343" s="3">
        <v>1138</v>
      </c>
      <c r="C12343" s="1" t="str">
        <f>HYPERLINK("http://www.uniprot.org/uniprot/21KD_DAUCA","21KD_DAUCA")</f>
        <v>21KD_DAUCA</v>
      </c>
      <c r="D12343" t="s">
        <v>1280</v>
      </c>
      <c r="E12343" s="3" t="s">
        <v>32</v>
      </c>
      <c r="F12343" s="4">
        <v>1.52E-32</v>
      </c>
      <c r="G12343" s="3">
        <v>315</v>
      </c>
      <c r="H12343" s="3">
        <v>42</v>
      </c>
      <c r="I12343" s="3">
        <v>161</v>
      </c>
      <c r="J12343" s="3">
        <v>278</v>
      </c>
      <c r="K12343" s="3">
        <v>739</v>
      </c>
      <c r="L12343" s="3">
        <v>28</v>
      </c>
      <c r="M12343" s="3">
        <v>187</v>
      </c>
    </row>
    <row r="12344" spans="1:13" x14ac:dyDescent="0.25">
      <c r="A12344" s="1" t="str">
        <f>HYPERLINK("http://www.rosaceae.org/Prunus/Prunus_persica/p.persica_gdr_reftransV1_0045304","p.persica_gdr_reftransV1_0045304")</f>
        <v>p.persica_gdr_reftransV1_0045304</v>
      </c>
      <c r="B12344" s="3">
        <v>2631</v>
      </c>
      <c r="C12344" s="1" t="str">
        <f>HYPERLINK("http://www.uniprot.org/uniprot/MIP1_ARATH","MIP1_ARATH")</f>
        <v>MIP1_ARATH</v>
      </c>
      <c r="D12344" t="s">
        <v>8527</v>
      </c>
      <c r="E12344" s="3" t="s">
        <v>3</v>
      </c>
      <c r="F12344" s="4">
        <v>0</v>
      </c>
      <c r="G12344" s="3">
        <v>1706</v>
      </c>
      <c r="H12344" s="3">
        <v>58</v>
      </c>
      <c r="I12344" s="3">
        <v>728</v>
      </c>
      <c r="J12344" s="3">
        <v>312</v>
      </c>
      <c r="K12344" s="3">
        <v>2468</v>
      </c>
      <c r="L12344" s="3">
        <v>1</v>
      </c>
      <c r="M12344" s="3">
        <v>709</v>
      </c>
    </row>
    <row r="12345" spans="1:13" x14ac:dyDescent="0.25">
      <c r="A12345" s="1" t="str">
        <f>HYPERLINK("http://www.rosaceae.org/Prunus/Prunus_persica/p.persica_gdr_reftransV1_0045404","p.persica_gdr_reftransV1_0045404")</f>
        <v>p.persica_gdr_reftransV1_0045404</v>
      </c>
      <c r="B12345" s="3">
        <v>1798</v>
      </c>
      <c r="C12345" s="1" t="str">
        <f>HYPERLINK("http://www.uniprot.org/uniprot/KLC3_PONAB","KLC3_PONAB")</f>
        <v>KLC3_PONAB</v>
      </c>
      <c r="D12345" t="s">
        <v>8528</v>
      </c>
      <c r="E12345" s="3" t="s">
        <v>176</v>
      </c>
      <c r="F12345" s="4">
        <v>2.9300000000000001E-13</v>
      </c>
      <c r="G12345" s="3">
        <v>186</v>
      </c>
      <c r="H12345" s="3">
        <v>29</v>
      </c>
      <c r="I12345" s="3">
        <v>201</v>
      </c>
      <c r="J12345" s="3">
        <v>330</v>
      </c>
      <c r="K12345" s="3">
        <v>932</v>
      </c>
      <c r="L12345" s="3">
        <v>246</v>
      </c>
      <c r="M12345" s="3">
        <v>416</v>
      </c>
    </row>
    <row r="12346" spans="1:13" x14ac:dyDescent="0.25">
      <c r="A12346" s="1" t="str">
        <f>HYPERLINK("http://www.rosaceae.org/Prunus/Prunus_persica/p.persica_gdr_reftransV1_0045454","p.persica_gdr_reftransV1_0045454")</f>
        <v>p.persica_gdr_reftransV1_0045454</v>
      </c>
      <c r="B12346" s="3">
        <v>1262</v>
      </c>
      <c r="C12346" s="1" t="str">
        <f>HYPERLINK("http://www.uniprot.org/uniprot/RPM1_ARATH","RPM1_ARATH")</f>
        <v>RPM1_ARATH</v>
      </c>
      <c r="D12346" t="s">
        <v>453</v>
      </c>
      <c r="E12346" s="3" t="s">
        <v>3</v>
      </c>
      <c r="F12346" s="4">
        <v>1.2599999999999999E-44</v>
      </c>
      <c r="G12346" s="3">
        <v>432</v>
      </c>
      <c r="H12346" s="3">
        <v>38</v>
      </c>
      <c r="I12346" s="3">
        <v>289</v>
      </c>
      <c r="J12346" s="3">
        <v>6</v>
      </c>
      <c r="K12346" s="3">
        <v>851</v>
      </c>
      <c r="L12346" s="3">
        <v>616</v>
      </c>
      <c r="M12346" s="3">
        <v>903</v>
      </c>
    </row>
    <row r="12347" spans="1:13" x14ac:dyDescent="0.25">
      <c r="A12347" s="1" t="str">
        <f>HYPERLINK("http://www.rosaceae.org/Prunus/Prunus_persica/p.persica_gdr_reftransV1_0045504","p.persica_gdr_reftransV1_0045504")</f>
        <v>p.persica_gdr_reftransV1_0045504</v>
      </c>
      <c r="B12347" s="3">
        <v>2095</v>
      </c>
      <c r="C12347" s="1" t="str">
        <f>HYPERLINK("http://www.uniprot.org/uniprot/IQD1_ARATH","IQD1_ARATH")</f>
        <v>IQD1_ARATH</v>
      </c>
      <c r="D12347" t="s">
        <v>4422</v>
      </c>
      <c r="E12347" s="3" t="s">
        <v>3</v>
      </c>
      <c r="F12347" s="4">
        <v>1.3000000000000001E-19</v>
      </c>
      <c r="G12347" s="3">
        <v>237</v>
      </c>
      <c r="H12347" s="3">
        <v>32</v>
      </c>
      <c r="I12347" s="3">
        <v>200</v>
      </c>
      <c r="J12347" s="3">
        <v>1066</v>
      </c>
      <c r="K12347" s="3">
        <v>1629</v>
      </c>
      <c r="L12347" s="3">
        <v>98</v>
      </c>
      <c r="M12347" s="3">
        <v>274</v>
      </c>
    </row>
    <row r="12348" spans="1:13" x14ac:dyDescent="0.25">
      <c r="A12348" s="1" t="str">
        <f>HYPERLINK("http://www.rosaceae.org/Prunus/Prunus_persica/p.persica_gdr_reftransV1_0045654","p.persica_gdr_reftransV1_0045654")</f>
        <v>p.persica_gdr_reftransV1_0045654</v>
      </c>
      <c r="B12348" s="3">
        <v>359</v>
      </c>
      <c r="C12348" s="1" t="str">
        <f>HYPERLINK("http://www.uniprot.org/uniprot/CPRF2_PETCR","CPRF2_PETCR")</f>
        <v>CPRF2_PETCR</v>
      </c>
      <c r="D12348" t="s">
        <v>1039</v>
      </c>
      <c r="E12348" s="3" t="s">
        <v>1040</v>
      </c>
      <c r="F12348" s="4">
        <v>9.6199999999999995E-9</v>
      </c>
      <c r="G12348" s="3">
        <v>133</v>
      </c>
      <c r="H12348" s="3">
        <v>62</v>
      </c>
      <c r="I12348" s="3">
        <v>47</v>
      </c>
      <c r="J12348" s="3">
        <v>42</v>
      </c>
      <c r="K12348" s="3">
        <v>182</v>
      </c>
      <c r="L12348" s="3">
        <v>1</v>
      </c>
      <c r="M12348" s="3">
        <v>43</v>
      </c>
    </row>
    <row r="12349" spans="1:13" x14ac:dyDescent="0.25">
      <c r="A12349" s="1" t="str">
        <f>HYPERLINK("http://www.rosaceae.org/Prunus/Prunus_persica/p.persica_gdr_reftransV1_0045804","p.persica_gdr_reftransV1_0045804")</f>
        <v>p.persica_gdr_reftransV1_0045804</v>
      </c>
      <c r="B12349" s="3">
        <v>1042</v>
      </c>
      <c r="C12349" s="1" t="str">
        <f>HYPERLINK("http://www.uniprot.org/uniprot/OLP1_SOLLC","OLP1_SOLLC")</f>
        <v>OLP1_SOLLC</v>
      </c>
      <c r="D12349" t="s">
        <v>8529</v>
      </c>
      <c r="E12349" s="3" t="s">
        <v>64</v>
      </c>
      <c r="F12349" s="4">
        <v>9.51E-117</v>
      </c>
      <c r="G12349" s="3">
        <v>885</v>
      </c>
      <c r="H12349" s="3">
        <v>72</v>
      </c>
      <c r="I12349" s="3">
        <v>228</v>
      </c>
      <c r="J12349" s="3">
        <v>110</v>
      </c>
      <c r="K12349" s="3">
        <v>784</v>
      </c>
      <c r="L12349" s="3">
        <v>25</v>
      </c>
      <c r="M12349" s="3">
        <v>252</v>
      </c>
    </row>
    <row r="12350" spans="1:13" x14ac:dyDescent="0.25">
      <c r="A12350" s="1" t="str">
        <f>HYPERLINK("http://www.rosaceae.org/Prunus/Prunus_persica/p.persica_gdr_reftransV1_0045854","p.persica_gdr_reftransV1_0045854")</f>
        <v>p.persica_gdr_reftransV1_0045854</v>
      </c>
      <c r="B12350" s="3">
        <v>606</v>
      </c>
      <c r="C12350" s="1" t="str">
        <f>HYPERLINK("http://www.uniprot.org/uniprot/SR34_ARATH","SR34_ARATH")</f>
        <v>SR34_ARATH</v>
      </c>
      <c r="D12350" t="s">
        <v>2317</v>
      </c>
      <c r="E12350" s="3" t="s">
        <v>3</v>
      </c>
      <c r="F12350" s="4">
        <v>8.9900000000000004E-61</v>
      </c>
      <c r="G12350" s="3">
        <v>503</v>
      </c>
      <c r="H12350" s="3">
        <v>72</v>
      </c>
      <c r="I12350" s="3">
        <v>158</v>
      </c>
      <c r="J12350" s="3">
        <v>157</v>
      </c>
      <c r="K12350" s="3">
        <v>606</v>
      </c>
      <c r="L12350" s="3">
        <v>1</v>
      </c>
      <c r="M12350" s="3">
        <v>157</v>
      </c>
    </row>
    <row r="12351" spans="1:13" x14ac:dyDescent="0.25">
      <c r="A12351" s="1" t="str">
        <f>HYPERLINK("http://www.rosaceae.org/Prunus/Prunus_persica/p.persica_gdr_reftransV1_0045904","p.persica_gdr_reftransV1_0045904")</f>
        <v>p.persica_gdr_reftransV1_0045904</v>
      </c>
      <c r="B12351" s="3">
        <v>1179</v>
      </c>
      <c r="C12351" s="1" t="str">
        <f>HYPERLINK("http://www.uniprot.org/uniprot/RGAP2_ARATH","RGAP2_ARATH")</f>
        <v>RGAP2_ARATH</v>
      </c>
      <c r="D12351" t="s">
        <v>8530</v>
      </c>
      <c r="E12351" s="3" t="s">
        <v>3</v>
      </c>
      <c r="F12351" s="4">
        <v>2.4699999999999999E-161</v>
      </c>
      <c r="G12351" s="3">
        <v>1202</v>
      </c>
      <c r="H12351" s="3">
        <v>73</v>
      </c>
      <c r="I12351" s="3">
        <v>343</v>
      </c>
      <c r="J12351" s="3">
        <v>98</v>
      </c>
      <c r="K12351" s="3">
        <v>1084</v>
      </c>
      <c r="L12351" s="3">
        <v>1</v>
      </c>
      <c r="M12351" s="3">
        <v>340</v>
      </c>
    </row>
    <row r="12352" spans="1:13" x14ac:dyDescent="0.25">
      <c r="A12352" s="1" t="str">
        <f>HYPERLINK("http://www.rosaceae.org/Prunus/Prunus_persica/p.persica_gdr_reftransV1_0045954","p.persica_gdr_reftransV1_0045954")</f>
        <v>p.persica_gdr_reftransV1_0045954</v>
      </c>
      <c r="B12352" s="3">
        <v>1046</v>
      </c>
      <c r="C12352" s="1" t="str">
        <f>HYPERLINK("http://www.uniprot.org/uniprot/HAT4_ARATH","HAT4_ARATH")</f>
        <v>HAT4_ARATH</v>
      </c>
      <c r="D12352" t="s">
        <v>8531</v>
      </c>
      <c r="E12352" s="3" t="s">
        <v>3</v>
      </c>
      <c r="F12352" s="4">
        <v>4.0000000000000001E-91</v>
      </c>
      <c r="G12352" s="3">
        <v>718</v>
      </c>
      <c r="H12352" s="3">
        <v>67</v>
      </c>
      <c r="I12352" s="3">
        <v>270</v>
      </c>
      <c r="J12352" s="3">
        <v>44</v>
      </c>
      <c r="K12352" s="3">
        <v>844</v>
      </c>
      <c r="L12352" s="3">
        <v>1</v>
      </c>
      <c r="M12352" s="3">
        <v>246</v>
      </c>
    </row>
    <row r="12353" spans="1:13" x14ac:dyDescent="0.25">
      <c r="A12353" s="1" t="str">
        <f>HYPERLINK("http://www.rosaceae.org/Prunus/Prunus_persica/p.persica_gdr_reftransV1_0046004","p.persica_gdr_reftransV1_0046004")</f>
        <v>p.persica_gdr_reftransV1_0046004</v>
      </c>
      <c r="B12353" s="3">
        <v>1146</v>
      </c>
      <c r="C12353" s="1" t="str">
        <f>HYPERLINK("http://www.uniprot.org/uniprot/RAC3_ORYSJ","RAC3_ORYSJ")</f>
        <v>RAC3_ORYSJ</v>
      </c>
      <c r="D12353" t="s">
        <v>597</v>
      </c>
      <c r="E12353" s="3" t="s">
        <v>38</v>
      </c>
      <c r="F12353" s="4">
        <v>7.2400000000000004E-127</v>
      </c>
      <c r="G12353" s="3">
        <v>952</v>
      </c>
      <c r="H12353" s="3">
        <v>85</v>
      </c>
      <c r="I12353" s="3">
        <v>213</v>
      </c>
      <c r="J12353" s="3">
        <v>352</v>
      </c>
      <c r="K12353" s="3">
        <v>984</v>
      </c>
      <c r="L12353" s="3">
        <v>1</v>
      </c>
      <c r="M12353" s="3">
        <v>213</v>
      </c>
    </row>
    <row r="12354" spans="1:13" x14ac:dyDescent="0.25">
      <c r="A12354" s="1" t="str">
        <f>HYPERLINK("http://www.rosaceae.org/Prunus/Prunus_persica/p.persica_gdr_reftransV1_0046104","p.persica_gdr_reftransV1_0046104")</f>
        <v>p.persica_gdr_reftransV1_0046104</v>
      </c>
      <c r="B12354" s="3">
        <v>1103</v>
      </c>
      <c r="C12354" s="1" t="str">
        <f>HYPERLINK("http://www.uniprot.org/uniprot/UBC2_ARATH","UBC2_ARATH")</f>
        <v>UBC2_ARATH</v>
      </c>
      <c r="D12354" t="s">
        <v>8410</v>
      </c>
      <c r="E12354" s="3" t="s">
        <v>3</v>
      </c>
      <c r="F12354" s="4">
        <v>4.2799999999999997E-105</v>
      </c>
      <c r="G12354" s="3">
        <v>800</v>
      </c>
      <c r="H12354" s="3">
        <v>97</v>
      </c>
      <c r="I12354" s="3">
        <v>152</v>
      </c>
      <c r="J12354" s="3">
        <v>297</v>
      </c>
      <c r="K12354" s="3">
        <v>752</v>
      </c>
      <c r="L12354" s="3">
        <v>1</v>
      </c>
      <c r="M12354" s="3">
        <v>152</v>
      </c>
    </row>
    <row r="12355" spans="1:13" x14ac:dyDescent="0.25">
      <c r="A12355" s="1" t="str">
        <f>HYPERLINK("http://www.rosaceae.org/Prunus/Prunus_persica/p.persica_gdr_reftransV1_0046154","p.persica_gdr_reftransV1_0046154")</f>
        <v>p.persica_gdr_reftransV1_0046154</v>
      </c>
      <c r="B12355" s="3">
        <v>2884</v>
      </c>
      <c r="C12355" s="1" t="str">
        <f>HYPERLINK("http://www.uniprot.org/uniprot/MCM6_ARATH","MCM6_ARATH")</f>
        <v>MCM6_ARATH</v>
      </c>
      <c r="D12355" t="s">
        <v>8532</v>
      </c>
      <c r="E12355" s="3" t="s">
        <v>3</v>
      </c>
      <c r="F12355" s="4">
        <v>0</v>
      </c>
      <c r="G12355" s="3">
        <v>3312</v>
      </c>
      <c r="H12355" s="3">
        <v>73</v>
      </c>
      <c r="I12355" s="3">
        <v>853</v>
      </c>
      <c r="J12355" s="3">
        <v>79</v>
      </c>
      <c r="K12355" s="3">
        <v>2634</v>
      </c>
      <c r="L12355" s="3">
        <v>1</v>
      </c>
      <c r="M12355" s="3">
        <v>831</v>
      </c>
    </row>
    <row r="12356" spans="1:13" x14ac:dyDescent="0.25">
      <c r="A12356" s="1" t="str">
        <f>HYPERLINK("http://www.rosaceae.org/Prunus/Prunus_persica/p.persica_gdr_reftransV1_0046254","p.persica_gdr_reftransV1_0046254")</f>
        <v>p.persica_gdr_reftransV1_0046254</v>
      </c>
      <c r="B12356" s="3">
        <v>1047</v>
      </c>
      <c r="C12356" s="1" t="str">
        <f>HYPERLINK("http://www.uniprot.org/uniprot/PSBP_CUCSA","PSBP_CUCSA")</f>
        <v>PSBP_CUCSA</v>
      </c>
      <c r="D12356" t="s">
        <v>8533</v>
      </c>
      <c r="E12356" s="3" t="s">
        <v>1149</v>
      </c>
      <c r="F12356" s="4">
        <v>1.6500000000000001E-136</v>
      </c>
      <c r="G12356" s="3">
        <v>1017</v>
      </c>
      <c r="H12356" s="3">
        <v>81</v>
      </c>
      <c r="I12356" s="3">
        <v>253</v>
      </c>
      <c r="J12356" s="3">
        <v>165</v>
      </c>
      <c r="K12356" s="3">
        <v>920</v>
      </c>
      <c r="L12356" s="3">
        <v>1</v>
      </c>
      <c r="M12356" s="3">
        <v>251</v>
      </c>
    </row>
    <row r="12357" spans="1:13" x14ac:dyDescent="0.25">
      <c r="A12357" s="1" t="str">
        <f>HYPERLINK("http://www.rosaceae.org/Prunus/Prunus_persica/p.persica_gdr_reftransV1_0046354","p.persica_gdr_reftransV1_0046354")</f>
        <v>p.persica_gdr_reftransV1_0046354</v>
      </c>
      <c r="B12357" s="3">
        <v>2017</v>
      </c>
      <c r="C12357" s="1" t="str">
        <f>HYPERLINK("http://www.uniprot.org/uniprot/UXS2_ARATH","UXS2_ARATH")</f>
        <v>UXS2_ARATH</v>
      </c>
      <c r="D12357" t="s">
        <v>8534</v>
      </c>
      <c r="E12357" s="3" t="s">
        <v>3</v>
      </c>
      <c r="F12357" s="4">
        <v>0</v>
      </c>
      <c r="G12357" s="3">
        <v>1854</v>
      </c>
      <c r="H12357" s="3">
        <v>81</v>
      </c>
      <c r="I12357" s="3">
        <v>439</v>
      </c>
      <c r="J12357" s="3">
        <v>522</v>
      </c>
      <c r="K12357" s="3">
        <v>1817</v>
      </c>
      <c r="L12357" s="3">
        <v>1</v>
      </c>
      <c r="M12357" s="3">
        <v>432</v>
      </c>
    </row>
    <row r="12358" spans="1:13" x14ac:dyDescent="0.25">
      <c r="A12358" s="1" t="str">
        <f>HYPERLINK("http://www.rosaceae.org/Prunus/Prunus_persica/p.persica_gdr_reftransV1_0046454","p.persica_gdr_reftransV1_0046454")</f>
        <v>p.persica_gdr_reftransV1_0046454</v>
      </c>
      <c r="B12358" s="3">
        <v>2412</v>
      </c>
      <c r="C12358" s="1" t="str">
        <f>HYPERLINK("http://www.uniprot.org/uniprot/Y3IP1_TOBAC","Y3IP1_TOBAC")</f>
        <v>Y3IP1_TOBAC</v>
      </c>
      <c r="D12358" t="s">
        <v>8535</v>
      </c>
      <c r="E12358" s="3" t="s">
        <v>200</v>
      </c>
      <c r="F12358" s="4">
        <v>1.1500000000000001E-64</v>
      </c>
      <c r="G12358" s="3">
        <v>566</v>
      </c>
      <c r="H12358" s="3">
        <v>73</v>
      </c>
      <c r="I12358" s="3">
        <v>175</v>
      </c>
      <c r="J12358" s="3">
        <v>1619</v>
      </c>
      <c r="K12358" s="3">
        <v>2143</v>
      </c>
      <c r="L12358" s="3">
        <v>90</v>
      </c>
      <c r="M12358" s="3">
        <v>263</v>
      </c>
    </row>
    <row r="12359" spans="1:13" x14ac:dyDescent="0.25">
      <c r="A12359" s="1" t="str">
        <f>HYPERLINK("http://www.rosaceae.org/Prunus/Prunus_persica/p.persica_gdr_reftransV1_0046504","p.persica_gdr_reftransV1_0046504")</f>
        <v>p.persica_gdr_reftransV1_0046504</v>
      </c>
      <c r="B12359" s="3">
        <v>1900</v>
      </c>
      <c r="C12359" s="1" t="str">
        <f>HYPERLINK("http://www.uniprot.org/uniprot/KSG6_ARATH","KSG6_ARATH")</f>
        <v>KSG6_ARATH</v>
      </c>
      <c r="D12359" t="s">
        <v>8536</v>
      </c>
      <c r="E12359" s="3" t="s">
        <v>3</v>
      </c>
      <c r="F12359" s="4">
        <v>0</v>
      </c>
      <c r="G12359" s="3">
        <v>1926</v>
      </c>
      <c r="H12359" s="3">
        <v>92</v>
      </c>
      <c r="I12359" s="3">
        <v>384</v>
      </c>
      <c r="J12359" s="3">
        <v>191</v>
      </c>
      <c r="K12359" s="3">
        <v>1342</v>
      </c>
      <c r="L12359" s="3">
        <v>28</v>
      </c>
      <c r="M12359" s="3">
        <v>411</v>
      </c>
    </row>
    <row r="12360" spans="1:13" x14ac:dyDescent="0.25">
      <c r="A12360" s="1" t="str">
        <f>HYPERLINK("http://www.rosaceae.org/Prunus/Prunus_persica/p.persica_gdr_reftransV1_0046654","p.persica_gdr_reftransV1_0046654")</f>
        <v>p.persica_gdr_reftransV1_0046654</v>
      </c>
      <c r="B12360" s="3">
        <v>318</v>
      </c>
      <c r="C12360" s="1" t="str">
        <f>HYPERLINK("http://www.uniprot.org/uniprot/TT12_ARATH","TT12_ARATH")</f>
        <v>TT12_ARATH</v>
      </c>
      <c r="D12360" t="s">
        <v>353</v>
      </c>
      <c r="E12360" s="3" t="s">
        <v>3</v>
      </c>
      <c r="F12360" s="4">
        <v>1.66E-35</v>
      </c>
      <c r="G12360" s="3">
        <v>328</v>
      </c>
      <c r="H12360" s="3">
        <v>68</v>
      </c>
      <c r="I12360" s="3">
        <v>105</v>
      </c>
      <c r="J12360" s="3">
        <v>2</v>
      </c>
      <c r="K12360" s="3">
        <v>316</v>
      </c>
      <c r="L12360" s="3">
        <v>321</v>
      </c>
      <c r="M12360" s="3">
        <v>423</v>
      </c>
    </row>
    <row r="12361" spans="1:13" x14ac:dyDescent="0.25">
      <c r="A12361" s="1" t="str">
        <f>HYPERLINK("http://www.rosaceae.org/Prunus/Prunus_persica/p.persica_gdr_reftransV1_0046704","p.persica_gdr_reftransV1_0046704")</f>
        <v>p.persica_gdr_reftransV1_0046704</v>
      </c>
      <c r="B12361" s="3">
        <v>2580</v>
      </c>
      <c r="C12361" s="1" t="str">
        <f>HYPERLINK("http://www.uniprot.org/uniprot/CYP63_ARATH","CYP63_ARATH")</f>
        <v>CYP63_ARATH</v>
      </c>
      <c r="D12361" t="s">
        <v>8537</v>
      </c>
      <c r="E12361" s="3" t="s">
        <v>3</v>
      </c>
      <c r="F12361" s="4">
        <v>9.0999999999999993E-77</v>
      </c>
      <c r="G12361" s="3">
        <v>680</v>
      </c>
      <c r="H12361" s="3">
        <v>74</v>
      </c>
      <c r="I12361" s="3">
        <v>214</v>
      </c>
      <c r="J12361" s="3">
        <v>1800</v>
      </c>
      <c r="K12361" s="3">
        <v>2441</v>
      </c>
      <c r="L12361" s="3">
        <v>1</v>
      </c>
      <c r="M12361" s="3">
        <v>214</v>
      </c>
    </row>
    <row r="12362" spans="1:13" x14ac:dyDescent="0.25">
      <c r="A12362" s="1" t="str">
        <f>HYPERLINK("http://www.rosaceae.org/Prunus/Prunus_persica/p.persica_gdr_reftransV1_0046754","p.persica_gdr_reftransV1_0046754")</f>
        <v>p.persica_gdr_reftransV1_0046754</v>
      </c>
      <c r="B12362" s="3">
        <v>346</v>
      </c>
      <c r="C12362" s="1" t="str">
        <f>HYPERLINK("http://www.uniprot.org/uniprot/BEL1_ARATH","BEL1_ARATH")</f>
        <v>BEL1_ARATH</v>
      </c>
      <c r="D12362" t="s">
        <v>8538</v>
      </c>
      <c r="E12362" s="3" t="s">
        <v>3</v>
      </c>
      <c r="F12362" s="4">
        <v>4.9499999999999997E-52</v>
      </c>
      <c r="G12362" s="3">
        <v>450</v>
      </c>
      <c r="H12362" s="3">
        <v>68</v>
      </c>
      <c r="I12362" s="3">
        <v>117</v>
      </c>
      <c r="J12362" s="3">
        <v>2</v>
      </c>
      <c r="K12362" s="3">
        <v>343</v>
      </c>
      <c r="L12362" s="3">
        <v>312</v>
      </c>
      <c r="M12362" s="3">
        <v>428</v>
      </c>
    </row>
    <row r="12363" spans="1:13" x14ac:dyDescent="0.25">
      <c r="A12363" s="1" t="str">
        <f>HYPERLINK("http://www.rosaceae.org/Prunus/Prunus_persica/p.persica_gdr_reftransV1_0046854","p.persica_gdr_reftransV1_0046854")</f>
        <v>p.persica_gdr_reftransV1_0046854</v>
      </c>
      <c r="B12363" s="3">
        <v>879</v>
      </c>
      <c r="C12363" s="1" t="str">
        <f>HYPERLINK("http://www.uniprot.org/uniprot/BCP_PEA","BCP_PEA")</f>
        <v>BCP_PEA</v>
      </c>
      <c r="D12363" t="s">
        <v>2679</v>
      </c>
      <c r="E12363" s="3" t="s">
        <v>60</v>
      </c>
      <c r="F12363" s="4">
        <v>1.69E-9</v>
      </c>
      <c r="G12363" s="3">
        <v>98</v>
      </c>
      <c r="H12363" s="3">
        <v>61</v>
      </c>
      <c r="I12363" s="3">
        <v>36</v>
      </c>
      <c r="J12363" s="3">
        <v>182</v>
      </c>
      <c r="K12363" s="3">
        <v>289</v>
      </c>
      <c r="L12363" s="3">
        <v>24</v>
      </c>
      <c r="M12363" s="3">
        <v>57</v>
      </c>
    </row>
    <row r="12364" spans="1:13" x14ac:dyDescent="0.25">
      <c r="A12364" s="1" t="str">
        <f>HYPERLINK("http://www.rosaceae.org/Prunus/Prunus_persica/p.persica_gdr_reftransV1_0046904","p.persica_gdr_reftransV1_0046904")</f>
        <v>p.persica_gdr_reftransV1_0046904</v>
      </c>
      <c r="B12364" s="3">
        <v>475</v>
      </c>
      <c r="C12364" s="1" t="str">
        <f>HYPERLINK("http://www.uniprot.org/uniprot/RGA4_SOLBU","RGA4_SOLBU")</f>
        <v>RGA4_SOLBU</v>
      </c>
      <c r="D12364" t="s">
        <v>1657</v>
      </c>
      <c r="E12364" s="3" t="s">
        <v>560</v>
      </c>
      <c r="F12364" s="4">
        <v>1.9700000000000001E-22</v>
      </c>
      <c r="G12364" s="3">
        <v>243</v>
      </c>
      <c r="H12364" s="3">
        <v>42</v>
      </c>
      <c r="I12364" s="3">
        <v>137</v>
      </c>
      <c r="J12364" s="3">
        <v>2</v>
      </c>
      <c r="K12364" s="3">
        <v>409</v>
      </c>
      <c r="L12364" s="3">
        <v>849</v>
      </c>
      <c r="M12364" s="3">
        <v>985</v>
      </c>
    </row>
    <row r="12365" spans="1:13" x14ac:dyDescent="0.25">
      <c r="A12365" s="1" t="str">
        <f>HYPERLINK("http://www.rosaceae.org/Prunus/Prunus_persica/p.persica_gdr_reftransV1_0046954","p.persica_gdr_reftransV1_0046954")</f>
        <v>p.persica_gdr_reftransV1_0046954</v>
      </c>
      <c r="B12365" s="3">
        <v>1950</v>
      </c>
      <c r="C12365" s="1" t="str">
        <f>HYPERLINK("http://www.uniprot.org/uniprot/KIF22_XENTR","KIF22_XENTR")</f>
        <v>KIF22_XENTR</v>
      </c>
      <c r="D12365" t="s">
        <v>8539</v>
      </c>
      <c r="E12365" s="3" t="s">
        <v>173</v>
      </c>
      <c r="F12365" s="4">
        <v>1.04E-74</v>
      </c>
      <c r="G12365" s="3">
        <v>659</v>
      </c>
      <c r="H12365" s="3">
        <v>34</v>
      </c>
      <c r="I12365" s="3">
        <v>607</v>
      </c>
      <c r="J12365" s="3">
        <v>40</v>
      </c>
      <c r="K12365" s="3">
        <v>1728</v>
      </c>
      <c r="L12365" s="3">
        <v>63</v>
      </c>
      <c r="M12365" s="3">
        <v>633</v>
      </c>
    </row>
    <row r="12366" spans="1:13" x14ac:dyDescent="0.25">
      <c r="A12366" s="1" t="str">
        <f>HYPERLINK("http://www.rosaceae.org/Prunus/Prunus_persica/p.persica_gdr_reftransV1_0047054","p.persica_gdr_reftransV1_0047054")</f>
        <v>p.persica_gdr_reftransV1_0047054</v>
      </c>
      <c r="B12366" s="3">
        <v>3180</v>
      </c>
      <c r="C12366" s="1" t="str">
        <f>HYPERLINK("http://www.uniprot.org/uniprot/GYRA_NICBE","GYRA_NICBE")</f>
        <v>GYRA_NICBE</v>
      </c>
      <c r="D12366" t="s">
        <v>8540</v>
      </c>
      <c r="E12366" s="3" t="s">
        <v>1986</v>
      </c>
      <c r="F12366" s="4">
        <v>0</v>
      </c>
      <c r="G12366" s="3">
        <v>3792</v>
      </c>
      <c r="H12366" s="3">
        <v>81</v>
      </c>
      <c r="I12366" s="3">
        <v>895</v>
      </c>
      <c r="J12366" s="3">
        <v>290</v>
      </c>
      <c r="K12366" s="3">
        <v>2962</v>
      </c>
      <c r="L12366" s="3">
        <v>37</v>
      </c>
      <c r="M12366" s="3">
        <v>925</v>
      </c>
    </row>
    <row r="12367" spans="1:13" x14ac:dyDescent="0.25">
      <c r="A12367" s="1" t="str">
        <f>HYPERLINK("http://www.rosaceae.org/Prunus/Prunus_persica/p.persica_gdr_reftransV1_0047104","p.persica_gdr_reftransV1_0047104")</f>
        <v>p.persica_gdr_reftransV1_0047104</v>
      </c>
      <c r="B12367" s="3">
        <v>1341</v>
      </c>
      <c r="C12367" s="1" t="str">
        <f>HYPERLINK("http://www.uniprot.org/uniprot/RAH1B_ARATH","RAH1B_ARATH")</f>
        <v>RAH1B_ARATH</v>
      </c>
      <c r="D12367" t="s">
        <v>7391</v>
      </c>
      <c r="E12367" s="3" t="s">
        <v>3</v>
      </c>
      <c r="F12367" s="4">
        <v>2.1E-84</v>
      </c>
      <c r="G12367" s="3">
        <v>675</v>
      </c>
      <c r="H12367" s="3">
        <v>98</v>
      </c>
      <c r="I12367" s="3">
        <v>130</v>
      </c>
      <c r="J12367" s="3">
        <v>211</v>
      </c>
      <c r="K12367" s="3">
        <v>600</v>
      </c>
      <c r="L12367" s="3">
        <v>1</v>
      </c>
      <c r="M12367" s="3">
        <v>130</v>
      </c>
    </row>
    <row r="12368" spans="1:13" x14ac:dyDescent="0.25">
      <c r="A12368" s="1" t="str">
        <f>HYPERLINK("http://www.rosaceae.org/Prunus/Prunus_persica/p.persica_gdr_reftransV1_0047154","p.persica_gdr_reftransV1_0047154")</f>
        <v>p.persica_gdr_reftransV1_0047154</v>
      </c>
      <c r="B12368" s="3">
        <v>938</v>
      </c>
      <c r="C12368" s="1" t="str">
        <f>HYPERLINK("http://www.uniprot.org/uniprot/RPA43_DICDI","RPA43_DICDI")</f>
        <v>RPA43_DICDI</v>
      </c>
      <c r="D12368" t="s">
        <v>8541</v>
      </c>
      <c r="E12368" s="3" t="s">
        <v>9</v>
      </c>
      <c r="F12368" s="4">
        <v>5.8200000000000002E-9</v>
      </c>
      <c r="G12368" s="3">
        <v>145</v>
      </c>
      <c r="H12368" s="3">
        <v>27</v>
      </c>
      <c r="I12368" s="3">
        <v>184</v>
      </c>
      <c r="J12368" s="3">
        <v>274</v>
      </c>
      <c r="K12368" s="3">
        <v>813</v>
      </c>
      <c r="L12368" s="3">
        <v>24</v>
      </c>
      <c r="M12368" s="3">
        <v>200</v>
      </c>
    </row>
    <row r="12369" spans="1:13" x14ac:dyDescent="0.25">
      <c r="A12369" s="1" t="str">
        <f>HYPERLINK("http://www.rosaceae.org/Prunus/Prunus_persica/p.persica_gdr_reftransV1_0047204","p.persica_gdr_reftransV1_0047204")</f>
        <v>p.persica_gdr_reftransV1_0047204</v>
      </c>
      <c r="B12369" s="3">
        <v>1115</v>
      </c>
      <c r="C12369" s="1" t="str">
        <f>HYPERLINK("http://www.uniprot.org/uniprot/RLF_ARATH","RLF_ARATH")</f>
        <v>RLF_ARATH</v>
      </c>
      <c r="D12369" t="s">
        <v>3718</v>
      </c>
      <c r="E12369" s="3" t="s">
        <v>3</v>
      </c>
      <c r="F12369" s="4">
        <v>1.47E-77</v>
      </c>
      <c r="G12369" s="3">
        <v>623</v>
      </c>
      <c r="H12369" s="3">
        <v>63</v>
      </c>
      <c r="I12369" s="3">
        <v>200</v>
      </c>
      <c r="J12369" s="3">
        <v>149</v>
      </c>
      <c r="K12369" s="3">
        <v>733</v>
      </c>
      <c r="L12369" s="3">
        <v>20</v>
      </c>
      <c r="M12369" s="3">
        <v>203</v>
      </c>
    </row>
    <row r="12370" spans="1:13" x14ac:dyDescent="0.25">
      <c r="A12370" s="1" t="str">
        <f>HYPERLINK("http://www.rosaceae.org/Prunus/Prunus_persica/p.persica_gdr_reftransV1_0047404","p.persica_gdr_reftransV1_0047404")</f>
        <v>p.persica_gdr_reftransV1_0047404</v>
      </c>
      <c r="B12370" s="3">
        <v>775</v>
      </c>
      <c r="C12370" s="1" t="str">
        <f>HYPERLINK("http://www.uniprot.org/uniprot/ARR1_ARATH","ARR1_ARATH")</f>
        <v>ARR1_ARATH</v>
      </c>
      <c r="D12370" t="s">
        <v>7367</v>
      </c>
      <c r="E12370" s="3" t="s">
        <v>3</v>
      </c>
      <c r="F12370" s="4">
        <v>1.6899999999999999E-49</v>
      </c>
      <c r="G12370" s="3">
        <v>449</v>
      </c>
      <c r="H12370" s="3">
        <v>86</v>
      </c>
      <c r="I12370" s="3">
        <v>96</v>
      </c>
      <c r="J12370" s="3">
        <v>3</v>
      </c>
      <c r="K12370" s="3">
        <v>290</v>
      </c>
      <c r="L12370" s="3">
        <v>27</v>
      </c>
      <c r="M12370" s="3">
        <v>122</v>
      </c>
    </row>
    <row r="12371" spans="1:13" x14ac:dyDescent="0.25">
      <c r="A12371" s="1" t="str">
        <f>HYPERLINK("http://www.rosaceae.org/Prunus/Prunus_persica/p.persica_gdr_reftransV1_0047454","p.persica_gdr_reftransV1_0047454")</f>
        <v>p.persica_gdr_reftransV1_0047454</v>
      </c>
      <c r="B12371" s="3">
        <v>1847</v>
      </c>
      <c r="C12371" s="1" t="str">
        <f>HYPERLINK("http://www.uniprot.org/uniprot/STAD_RICCO","STAD_RICCO")</f>
        <v>STAD_RICCO</v>
      </c>
      <c r="D12371" t="s">
        <v>752</v>
      </c>
      <c r="E12371" s="3" t="s">
        <v>421</v>
      </c>
      <c r="F12371" s="4">
        <v>0</v>
      </c>
      <c r="G12371" s="3">
        <v>1800</v>
      </c>
      <c r="H12371" s="3">
        <v>83</v>
      </c>
      <c r="I12371" s="3">
        <v>397</v>
      </c>
      <c r="J12371" s="3">
        <v>482</v>
      </c>
      <c r="K12371" s="3">
        <v>1660</v>
      </c>
      <c r="L12371" s="3">
        <v>1</v>
      </c>
      <c r="M12371" s="3">
        <v>396</v>
      </c>
    </row>
    <row r="12372" spans="1:13" x14ac:dyDescent="0.25">
      <c r="A12372" s="1" t="str">
        <f>HYPERLINK("http://www.rosaceae.org/Prunus/Prunus_persica/p.persica_gdr_reftransV1_0047504","p.persica_gdr_reftransV1_0047504")</f>
        <v>p.persica_gdr_reftransV1_0047504</v>
      </c>
      <c r="B12372" s="3">
        <v>1259</v>
      </c>
      <c r="C12372" s="1" t="str">
        <f>HYPERLINK("http://www.uniprot.org/uniprot/MS5L2_ARATH","MS5L2_ARATH")</f>
        <v>MS5L2_ARATH</v>
      </c>
      <c r="D12372" t="s">
        <v>7997</v>
      </c>
      <c r="E12372" s="3" t="s">
        <v>3</v>
      </c>
      <c r="F12372" s="4">
        <v>7.1300000000000004E-142</v>
      </c>
      <c r="G12372" s="3">
        <v>1076</v>
      </c>
      <c r="H12372" s="3">
        <v>59</v>
      </c>
      <c r="I12372" s="3">
        <v>392</v>
      </c>
      <c r="J12372" s="3">
        <v>87</v>
      </c>
      <c r="K12372" s="3">
        <v>1259</v>
      </c>
      <c r="L12372" s="3">
        <v>91</v>
      </c>
      <c r="M12372" s="3">
        <v>427</v>
      </c>
    </row>
    <row r="12373" spans="1:13" x14ac:dyDescent="0.25">
      <c r="A12373" s="1" t="str">
        <f>HYPERLINK("http://www.rosaceae.org/Prunus/Prunus_persica/p.persica_gdr_reftransV1_0047604","p.persica_gdr_reftransV1_0047604")</f>
        <v>p.persica_gdr_reftransV1_0047604</v>
      </c>
      <c r="B12373" s="3">
        <v>2705</v>
      </c>
      <c r="C12373" s="1" t="str">
        <f>HYPERLINK("http://www.uniprot.org/uniprot/SBT35_ARATH","SBT35_ARATH")</f>
        <v>SBT35_ARATH</v>
      </c>
      <c r="D12373" t="s">
        <v>8542</v>
      </c>
      <c r="E12373" s="3" t="s">
        <v>3</v>
      </c>
      <c r="F12373" s="4">
        <v>1.2200000000000001E-167</v>
      </c>
      <c r="G12373" s="3">
        <v>1324</v>
      </c>
      <c r="H12373" s="3">
        <v>48</v>
      </c>
      <c r="I12373" s="3">
        <v>680</v>
      </c>
      <c r="J12373" s="3">
        <v>466</v>
      </c>
      <c r="K12373" s="3">
        <v>2478</v>
      </c>
      <c r="L12373" s="3">
        <v>90</v>
      </c>
      <c r="M12373" s="3">
        <v>764</v>
      </c>
    </row>
    <row r="12374" spans="1:13" x14ac:dyDescent="0.25">
      <c r="A12374" s="1" t="str">
        <f>HYPERLINK("http://www.rosaceae.org/Prunus/Prunus_persica/p.persica_gdr_reftransV1_0047704","p.persica_gdr_reftransV1_0047704")</f>
        <v>p.persica_gdr_reftransV1_0047704</v>
      </c>
      <c r="B12374" s="3">
        <v>1473</v>
      </c>
      <c r="C12374" s="1" t="str">
        <f>HYPERLINK("http://www.uniprot.org/uniprot/CADH6_ORYSJ","CADH6_ORYSJ")</f>
        <v>CADH6_ORYSJ</v>
      </c>
      <c r="D12374" t="s">
        <v>1411</v>
      </c>
      <c r="E12374" s="3" t="s">
        <v>38</v>
      </c>
      <c r="F12374" s="4">
        <v>0</v>
      </c>
      <c r="G12374" s="3">
        <v>1356</v>
      </c>
      <c r="H12374" s="3">
        <v>71</v>
      </c>
      <c r="I12374" s="3">
        <v>353</v>
      </c>
      <c r="J12374" s="3">
        <v>72</v>
      </c>
      <c r="K12374" s="3">
        <v>1124</v>
      </c>
      <c r="L12374" s="3">
        <v>2</v>
      </c>
      <c r="M12374" s="3">
        <v>354</v>
      </c>
    </row>
    <row r="12375" spans="1:13" x14ac:dyDescent="0.25">
      <c r="A12375" s="1" t="str">
        <f>HYPERLINK("http://www.rosaceae.org/Prunus/Prunus_persica/p.persica_gdr_reftransV1_0047754","p.persica_gdr_reftransV1_0047754")</f>
        <v>p.persica_gdr_reftransV1_0047754</v>
      </c>
      <c r="B12375" s="3">
        <v>3305</v>
      </c>
      <c r="C12375" s="1" t="str">
        <f>HYPERLINK("http://www.uniprot.org/uniprot/ETO1_ARATH","ETO1_ARATH")</f>
        <v>ETO1_ARATH</v>
      </c>
      <c r="D12375" t="s">
        <v>3949</v>
      </c>
      <c r="E12375" s="3" t="s">
        <v>3</v>
      </c>
      <c r="F12375" s="4">
        <v>0</v>
      </c>
      <c r="G12375" s="3">
        <v>3114</v>
      </c>
      <c r="H12375" s="3">
        <v>66</v>
      </c>
      <c r="I12375" s="3">
        <v>896</v>
      </c>
      <c r="J12375" s="3">
        <v>446</v>
      </c>
      <c r="K12375" s="3">
        <v>3130</v>
      </c>
      <c r="L12375" s="3">
        <v>62</v>
      </c>
      <c r="M12375" s="3">
        <v>949</v>
      </c>
    </row>
    <row r="12376" spans="1:13" x14ac:dyDescent="0.25">
      <c r="A12376" s="1" t="str">
        <f>HYPERLINK("http://www.rosaceae.org/Prunus/Prunus_persica/p.persica_gdr_reftransV1_0047854","p.persica_gdr_reftransV1_0047854")</f>
        <v>p.persica_gdr_reftransV1_0047854</v>
      </c>
      <c r="B12376" s="3">
        <v>1815</v>
      </c>
      <c r="C12376" s="1" t="str">
        <f>HYPERLINK("http://www.uniprot.org/uniprot/AGL9_PETHY","AGL9_PETHY")</f>
        <v>AGL9_PETHY</v>
      </c>
      <c r="D12376" t="s">
        <v>8543</v>
      </c>
      <c r="E12376" s="3" t="s">
        <v>509</v>
      </c>
      <c r="F12376" s="4">
        <v>6.5299999999999999E-146</v>
      </c>
      <c r="G12376" s="3">
        <v>1102</v>
      </c>
      <c r="H12376" s="3">
        <v>88</v>
      </c>
      <c r="I12376" s="3">
        <v>242</v>
      </c>
      <c r="J12376" s="3">
        <v>239</v>
      </c>
      <c r="K12376" s="3">
        <v>958</v>
      </c>
      <c r="L12376" s="3">
        <v>1</v>
      </c>
      <c r="M12376" s="3">
        <v>241</v>
      </c>
    </row>
    <row r="12377" spans="1:13" x14ac:dyDescent="0.25">
      <c r="A12377" s="1" t="str">
        <f>HYPERLINK("http://www.rosaceae.org/Prunus/Prunus_persica/p.persica_gdr_reftransV1_0047904","p.persica_gdr_reftransV1_0047904")</f>
        <v>p.persica_gdr_reftransV1_0047904</v>
      </c>
      <c r="B12377" s="3">
        <v>3187</v>
      </c>
      <c r="C12377" s="1" t="str">
        <f>HYPERLINK("http://www.uniprot.org/uniprot/LOX15_SOLTU","LOX15_SOLTU")</f>
        <v>LOX15_SOLTU</v>
      </c>
      <c r="D12377" t="s">
        <v>2422</v>
      </c>
      <c r="E12377" s="3" t="s">
        <v>11</v>
      </c>
      <c r="F12377" s="4">
        <v>0</v>
      </c>
      <c r="G12377" s="3">
        <v>3158</v>
      </c>
      <c r="H12377" s="3">
        <v>71</v>
      </c>
      <c r="I12377" s="3">
        <v>851</v>
      </c>
      <c r="J12377" s="3">
        <v>455</v>
      </c>
      <c r="K12377" s="3">
        <v>3001</v>
      </c>
      <c r="L12377" s="3">
        <v>15</v>
      </c>
      <c r="M12377" s="3">
        <v>862</v>
      </c>
    </row>
    <row r="12378" spans="1:13" x14ac:dyDescent="0.25">
      <c r="A12378" s="1" t="str">
        <f>HYPERLINK("http://www.rosaceae.org/Prunus/Prunus_persica/p.persica_gdr_reftransV1_0048004","p.persica_gdr_reftransV1_0048004")</f>
        <v>p.persica_gdr_reftransV1_0048004</v>
      </c>
      <c r="B12378" s="3">
        <v>1089</v>
      </c>
      <c r="C12378" s="1" t="str">
        <f>HYPERLINK("http://www.uniprot.org/uniprot/CAES_ARATH","CAES_ARATH")</f>
        <v>CAES_ARATH</v>
      </c>
      <c r="D12378" t="s">
        <v>4631</v>
      </c>
      <c r="E12378" s="3" t="s">
        <v>3</v>
      </c>
      <c r="F12378" s="4">
        <v>7.6000000000000002E-90</v>
      </c>
      <c r="G12378" s="3">
        <v>709</v>
      </c>
      <c r="H12378" s="3">
        <v>60</v>
      </c>
      <c r="I12378" s="3">
        <v>237</v>
      </c>
      <c r="J12378" s="3">
        <v>334</v>
      </c>
      <c r="K12378" s="3">
        <v>1041</v>
      </c>
      <c r="L12378" s="3">
        <v>24</v>
      </c>
      <c r="M12378" s="3">
        <v>256</v>
      </c>
    </row>
    <row r="12379" spans="1:13" x14ac:dyDescent="0.25">
      <c r="A12379" s="1" t="str">
        <f>HYPERLINK("http://www.rosaceae.org/Prunus/Prunus_persica/p.persica_gdr_reftransV1_0048054","p.persica_gdr_reftransV1_0048054")</f>
        <v>p.persica_gdr_reftransV1_0048054</v>
      </c>
      <c r="B12379" s="3">
        <v>1956</v>
      </c>
      <c r="C12379" s="1" t="str">
        <f>HYPERLINK("http://www.uniprot.org/uniprot/MFSD5_HUMAN","MFSD5_HUMAN")</f>
        <v>MFSD5_HUMAN</v>
      </c>
      <c r="D12379" t="s">
        <v>991</v>
      </c>
      <c r="E12379" s="3" t="s">
        <v>28</v>
      </c>
      <c r="F12379" s="4">
        <v>1.2899999999999999E-59</v>
      </c>
      <c r="G12379" s="3">
        <v>540</v>
      </c>
      <c r="H12379" s="3">
        <v>36</v>
      </c>
      <c r="I12379" s="3">
        <v>434</v>
      </c>
      <c r="J12379" s="3">
        <v>111</v>
      </c>
      <c r="K12379" s="3">
        <v>1388</v>
      </c>
      <c r="L12379" s="3">
        <v>1</v>
      </c>
      <c r="M12379" s="3">
        <v>419</v>
      </c>
    </row>
    <row r="12380" spans="1:13" x14ac:dyDescent="0.25">
      <c r="A12380" s="1" t="str">
        <f>HYPERLINK("http://www.rosaceae.org/Prunus/Prunus_persica/p.persica_gdr_reftransV1_0048104","p.persica_gdr_reftransV1_0048104")</f>
        <v>p.persica_gdr_reftransV1_0048104</v>
      </c>
      <c r="B12380" s="3">
        <v>1747</v>
      </c>
      <c r="C12380" s="1" t="str">
        <f>HYPERLINK("http://www.uniprot.org/uniprot/BH066_ARATH","BH066_ARATH")</f>
        <v>BH066_ARATH</v>
      </c>
      <c r="D12380" t="s">
        <v>3908</v>
      </c>
      <c r="E12380" s="3" t="s">
        <v>3</v>
      </c>
      <c r="F12380" s="4">
        <v>2.93E-53</v>
      </c>
      <c r="G12380" s="3">
        <v>484</v>
      </c>
      <c r="H12380" s="3">
        <v>66</v>
      </c>
      <c r="I12380" s="3">
        <v>240</v>
      </c>
      <c r="J12380" s="3">
        <v>996</v>
      </c>
      <c r="K12380" s="3">
        <v>1700</v>
      </c>
      <c r="L12380" s="3">
        <v>75</v>
      </c>
      <c r="M12380" s="3">
        <v>293</v>
      </c>
    </row>
    <row r="12381" spans="1:13" x14ac:dyDescent="0.25">
      <c r="A12381" s="1" t="str">
        <f>HYPERLINK("http://www.rosaceae.org/Prunus/Prunus_persica/p.persica_gdr_reftransV1_0048154","p.persica_gdr_reftransV1_0048154")</f>
        <v>p.persica_gdr_reftransV1_0048154</v>
      </c>
      <c r="B12381" s="3">
        <v>1583</v>
      </c>
      <c r="C12381" s="1" t="str">
        <f>HYPERLINK("http://www.uniprot.org/uniprot/STLP2_ARATH","STLP2_ARATH")</f>
        <v>STLP2_ARATH</v>
      </c>
      <c r="D12381" t="s">
        <v>935</v>
      </c>
      <c r="E12381" s="3" t="s">
        <v>3</v>
      </c>
      <c r="F12381" s="4">
        <v>2.7199999999999998E-99</v>
      </c>
      <c r="G12381" s="3">
        <v>799</v>
      </c>
      <c r="H12381" s="3">
        <v>56</v>
      </c>
      <c r="I12381" s="3">
        <v>332</v>
      </c>
      <c r="J12381" s="3">
        <v>490</v>
      </c>
      <c r="K12381" s="3">
        <v>1464</v>
      </c>
      <c r="L12381" s="3">
        <v>11</v>
      </c>
      <c r="M12381" s="3">
        <v>332</v>
      </c>
    </row>
    <row r="12382" spans="1:13" x14ac:dyDescent="0.25">
      <c r="A12382" s="1" t="str">
        <f>HYPERLINK("http://www.rosaceae.org/Prunus/Prunus_persica/p.persica_gdr_reftransV1_0048204","p.persica_gdr_reftransV1_0048204")</f>
        <v>p.persica_gdr_reftransV1_0048204</v>
      </c>
      <c r="B12382" s="3">
        <v>2248</v>
      </c>
      <c r="C12382" s="1" t="str">
        <f>HYPERLINK("http://www.uniprot.org/uniprot/CAS1_CRYNJ","CAS1_CRYNJ")</f>
        <v>CAS1_CRYNJ</v>
      </c>
      <c r="D12382" t="s">
        <v>8544</v>
      </c>
      <c r="E12382" s="3" t="s">
        <v>1720</v>
      </c>
      <c r="F12382" s="4">
        <v>3.6500000000000002E-50</v>
      </c>
      <c r="G12382" s="3">
        <v>490</v>
      </c>
      <c r="H12382" s="3">
        <v>32</v>
      </c>
      <c r="I12382" s="3">
        <v>399</v>
      </c>
      <c r="J12382" s="3">
        <v>492</v>
      </c>
      <c r="K12382" s="3">
        <v>1679</v>
      </c>
      <c r="L12382" s="3">
        <v>434</v>
      </c>
      <c r="M12382" s="3">
        <v>811</v>
      </c>
    </row>
    <row r="12383" spans="1:13" x14ac:dyDescent="0.25">
      <c r="A12383" s="1" t="str">
        <f>HYPERLINK("http://www.rosaceae.org/Prunus/Prunus_persica/p.persica_gdr_reftransV1_0048254","p.persica_gdr_reftransV1_0048254")</f>
        <v>p.persica_gdr_reftransV1_0048254</v>
      </c>
      <c r="B12383" s="3">
        <v>374</v>
      </c>
      <c r="C12383" s="1" t="str">
        <f>HYPERLINK("http://www.uniprot.org/uniprot/ATM_ARATH","ATM_ARATH")</f>
        <v>ATM_ARATH</v>
      </c>
      <c r="D12383" t="s">
        <v>2500</v>
      </c>
      <c r="E12383" s="3" t="s">
        <v>3</v>
      </c>
      <c r="F12383" s="4">
        <v>4.5599999999999999E-55</v>
      </c>
      <c r="G12383" s="3">
        <v>486</v>
      </c>
      <c r="H12383" s="3">
        <v>71</v>
      </c>
      <c r="I12383" s="3">
        <v>124</v>
      </c>
      <c r="J12383" s="3">
        <v>2</v>
      </c>
      <c r="K12383" s="3">
        <v>373</v>
      </c>
      <c r="L12383" s="3">
        <v>1909</v>
      </c>
      <c r="M12383" s="3">
        <v>2032</v>
      </c>
    </row>
    <row r="12384" spans="1:13" x14ac:dyDescent="0.25">
      <c r="A12384" s="1" t="str">
        <f>HYPERLINK("http://www.rosaceae.org/Prunus/Prunus_persica/p.persica_gdr_reftransV1_0048354","p.persica_gdr_reftransV1_0048354")</f>
        <v>p.persica_gdr_reftransV1_0048354</v>
      </c>
      <c r="B12384" s="3">
        <v>801</v>
      </c>
      <c r="C12384" s="1" t="str">
        <f>HYPERLINK("http://www.uniprot.org/uniprot/QCR72_ARATH","QCR72_ARATH")</f>
        <v>QCR72_ARATH</v>
      </c>
      <c r="D12384" t="s">
        <v>6253</v>
      </c>
      <c r="E12384" s="3" t="s">
        <v>3</v>
      </c>
      <c r="F12384" s="4">
        <v>8.98E-56</v>
      </c>
      <c r="G12384" s="3">
        <v>460</v>
      </c>
      <c r="H12384" s="3">
        <v>89</v>
      </c>
      <c r="I12384" s="3">
        <v>122</v>
      </c>
      <c r="J12384" s="3">
        <v>73</v>
      </c>
      <c r="K12384" s="3">
        <v>438</v>
      </c>
      <c r="L12384" s="3">
        <v>1</v>
      </c>
      <c r="M12384" s="3">
        <v>122</v>
      </c>
    </row>
    <row r="12385" spans="1:13" x14ac:dyDescent="0.25">
      <c r="A12385" s="1" t="str">
        <f>HYPERLINK("http://www.rosaceae.org/Prunus/Prunus_persica/p.persica_gdr_reftransV1_0048404","p.persica_gdr_reftransV1_0048404")</f>
        <v>p.persica_gdr_reftransV1_0048404</v>
      </c>
      <c r="B12385" s="3">
        <v>2707</v>
      </c>
      <c r="C12385" s="1" t="str">
        <f>HYPERLINK("http://www.uniprot.org/uniprot/PIN3_ARATH","PIN3_ARATH")</f>
        <v>PIN3_ARATH</v>
      </c>
      <c r="D12385" t="s">
        <v>5730</v>
      </c>
      <c r="E12385" s="3" t="s">
        <v>3</v>
      </c>
      <c r="F12385" s="4">
        <v>0</v>
      </c>
      <c r="G12385" s="3">
        <v>2109</v>
      </c>
      <c r="H12385" s="3">
        <v>72</v>
      </c>
      <c r="I12385" s="3">
        <v>618</v>
      </c>
      <c r="J12385" s="3">
        <v>722</v>
      </c>
      <c r="K12385" s="3">
        <v>2566</v>
      </c>
      <c r="L12385" s="3">
        <v>1</v>
      </c>
      <c r="M12385" s="3">
        <v>593</v>
      </c>
    </row>
    <row r="12386" spans="1:13" x14ac:dyDescent="0.25">
      <c r="A12386" s="1" t="str">
        <f>HYPERLINK("http://www.rosaceae.org/Prunus/Prunus_persica/p.persica_gdr_reftransV1_0048554","p.persica_gdr_reftransV1_0048554")</f>
        <v>p.persica_gdr_reftransV1_0048554</v>
      </c>
      <c r="B12386" s="3">
        <v>519</v>
      </c>
      <c r="C12386" s="1" t="str">
        <f>HYPERLINK("http://www.uniprot.org/uniprot/CHE1_CHEAL","CHE1_CHEAL")</f>
        <v>CHE1_CHEAL</v>
      </c>
      <c r="D12386" t="s">
        <v>8545</v>
      </c>
      <c r="E12386" s="3" t="s">
        <v>8546</v>
      </c>
      <c r="F12386" s="4">
        <v>1.72E-13</v>
      </c>
      <c r="G12386" s="3">
        <v>166</v>
      </c>
      <c r="H12386" s="3">
        <v>35</v>
      </c>
      <c r="I12386" s="3">
        <v>103</v>
      </c>
      <c r="J12386" s="3">
        <v>107</v>
      </c>
      <c r="K12386" s="3">
        <v>406</v>
      </c>
      <c r="L12386" s="3">
        <v>24</v>
      </c>
      <c r="M12386" s="3">
        <v>125</v>
      </c>
    </row>
    <row r="12387" spans="1:13" x14ac:dyDescent="0.25">
      <c r="A12387" s="1" t="str">
        <f>HYPERLINK("http://www.rosaceae.org/Prunus/Prunus_persica/p.persica_gdr_reftransV1_0048604","p.persica_gdr_reftransV1_0048604")</f>
        <v>p.persica_gdr_reftransV1_0048604</v>
      </c>
      <c r="B12387" s="3">
        <v>1099</v>
      </c>
      <c r="C12387" s="1" t="str">
        <f>HYPERLINK("http://www.uniprot.org/uniprot/TAR1_KLULA","TAR1_KLULA")</f>
        <v>TAR1_KLULA</v>
      </c>
      <c r="D12387" t="s">
        <v>8547</v>
      </c>
      <c r="E12387" s="3" t="s">
        <v>2868</v>
      </c>
      <c r="F12387" s="4">
        <v>2.03E-7</v>
      </c>
      <c r="G12387" s="3">
        <v>126</v>
      </c>
      <c r="H12387" s="3">
        <v>64</v>
      </c>
      <c r="I12387" s="3">
        <v>58</v>
      </c>
      <c r="J12387" s="3">
        <v>591</v>
      </c>
      <c r="K12387" s="3">
        <v>764</v>
      </c>
      <c r="L12387" s="3">
        <v>7</v>
      </c>
      <c r="M12387" s="3">
        <v>64</v>
      </c>
    </row>
    <row r="12388" spans="1:13" x14ac:dyDescent="0.25">
      <c r="A12388" s="1" t="str">
        <f>HYPERLINK("http://www.rosaceae.org/Prunus/Prunus_persica/p.persica_gdr_reftransV1_0048704","p.persica_gdr_reftransV1_0048704")</f>
        <v>p.persica_gdr_reftransV1_0048704</v>
      </c>
      <c r="B12388" s="3">
        <v>2305</v>
      </c>
      <c r="C12388" s="1" t="str">
        <f>HYPERLINK("http://www.uniprot.org/uniprot/FKB70_WHEAT","FKB70_WHEAT")</f>
        <v>FKB70_WHEAT</v>
      </c>
      <c r="D12388" t="s">
        <v>8548</v>
      </c>
      <c r="E12388" s="3" t="s">
        <v>710</v>
      </c>
      <c r="F12388" s="4">
        <v>0</v>
      </c>
      <c r="G12388" s="3">
        <v>1915</v>
      </c>
      <c r="H12388" s="3">
        <v>78</v>
      </c>
      <c r="I12388" s="3">
        <v>527</v>
      </c>
      <c r="J12388" s="3">
        <v>209</v>
      </c>
      <c r="K12388" s="3">
        <v>1786</v>
      </c>
      <c r="L12388" s="3">
        <v>1</v>
      </c>
      <c r="M12388" s="3">
        <v>523</v>
      </c>
    </row>
    <row r="12389" spans="1:13" x14ac:dyDescent="0.25">
      <c r="A12389" s="1" t="str">
        <f>HYPERLINK("http://www.rosaceae.org/Prunus/Prunus_persica/p.persica_gdr_reftransV1_0048754","p.persica_gdr_reftransV1_0048754")</f>
        <v>p.persica_gdr_reftransV1_0048754</v>
      </c>
      <c r="B12389" s="3">
        <v>370</v>
      </c>
      <c r="C12389" s="1" t="str">
        <f>HYPERLINK("http://www.uniprot.org/uniprot/PP367_ARATH","PP367_ARATH")</f>
        <v>PP367_ARATH</v>
      </c>
      <c r="D12389" t="s">
        <v>8549</v>
      </c>
      <c r="E12389" s="3" t="s">
        <v>3</v>
      </c>
      <c r="F12389" s="4">
        <v>2.1000000000000001E-26</v>
      </c>
      <c r="G12389" s="3">
        <v>267</v>
      </c>
      <c r="H12389" s="3">
        <v>37</v>
      </c>
      <c r="I12389" s="3">
        <v>123</v>
      </c>
      <c r="J12389" s="3">
        <v>2</v>
      </c>
      <c r="K12389" s="3">
        <v>370</v>
      </c>
      <c r="L12389" s="3">
        <v>88</v>
      </c>
      <c r="M12389" s="3">
        <v>210</v>
      </c>
    </row>
    <row r="12390" spans="1:13" x14ac:dyDescent="0.25">
      <c r="A12390" s="1" t="str">
        <f>HYPERLINK("http://www.rosaceae.org/Prunus/Prunus_persica/p.persica_gdr_reftransV1_0048804","p.persica_gdr_reftransV1_0048804")</f>
        <v>p.persica_gdr_reftransV1_0048804</v>
      </c>
      <c r="B12390" s="3">
        <v>896</v>
      </c>
      <c r="C12390" s="1" t="str">
        <f>HYPERLINK("http://www.uniprot.org/uniprot/CTR1_ARATH","CTR1_ARATH")</f>
        <v>CTR1_ARATH</v>
      </c>
      <c r="D12390" t="s">
        <v>3566</v>
      </c>
      <c r="E12390" s="3" t="s">
        <v>3</v>
      </c>
      <c r="F12390" s="4">
        <v>9.0900000000000003E-63</v>
      </c>
      <c r="G12390" s="3">
        <v>553</v>
      </c>
      <c r="H12390" s="3">
        <v>69</v>
      </c>
      <c r="I12390" s="3">
        <v>147</v>
      </c>
      <c r="J12390" s="3">
        <v>455</v>
      </c>
      <c r="K12390" s="3">
        <v>895</v>
      </c>
      <c r="L12390" s="3">
        <v>665</v>
      </c>
      <c r="M12390" s="3">
        <v>811</v>
      </c>
    </row>
    <row r="12391" spans="1:13" x14ac:dyDescent="0.25">
      <c r="A12391" s="1" t="str">
        <f>HYPERLINK("http://www.rosaceae.org/Prunus/Prunus_persica/p.persica_gdr_reftransV1_0048854","p.persica_gdr_reftransV1_0048854")</f>
        <v>p.persica_gdr_reftransV1_0048854</v>
      </c>
      <c r="B12391" s="3">
        <v>501</v>
      </c>
      <c r="C12391" s="1" t="str">
        <f>HYPERLINK("http://www.uniprot.org/uniprot/RLK1_ARATH","RLK1_ARATH")</f>
        <v>RLK1_ARATH</v>
      </c>
      <c r="D12391" t="s">
        <v>806</v>
      </c>
      <c r="E12391" s="3" t="s">
        <v>3</v>
      </c>
      <c r="F12391" s="4">
        <v>9.0899999999999997E-49</v>
      </c>
      <c r="G12391" s="3">
        <v>437</v>
      </c>
      <c r="H12391" s="3">
        <v>59</v>
      </c>
      <c r="I12391" s="3">
        <v>142</v>
      </c>
      <c r="J12391" s="3">
        <v>76</v>
      </c>
      <c r="K12391" s="3">
        <v>501</v>
      </c>
      <c r="L12391" s="3">
        <v>672</v>
      </c>
      <c r="M12391" s="3">
        <v>809</v>
      </c>
    </row>
    <row r="12392" spans="1:13" x14ac:dyDescent="0.25">
      <c r="A12392" s="1" t="str">
        <f>HYPERLINK("http://www.rosaceae.org/Prunus/Prunus_persica/p.persica_gdr_reftransV1_0049004","p.persica_gdr_reftransV1_0049004")</f>
        <v>p.persica_gdr_reftransV1_0049004</v>
      </c>
      <c r="B12392" s="3">
        <v>847</v>
      </c>
      <c r="C12392" s="1" t="str">
        <f>HYPERLINK("http://www.uniprot.org/uniprot/PROF_PYRCO","PROF_PYRCO")</f>
        <v>PROF_PYRCO</v>
      </c>
      <c r="D12392" t="s">
        <v>3257</v>
      </c>
      <c r="E12392" s="3" t="s">
        <v>3258</v>
      </c>
      <c r="F12392" s="4">
        <v>1.0700000000000001E-84</v>
      </c>
      <c r="G12392" s="3">
        <v>655</v>
      </c>
      <c r="H12392" s="3">
        <v>92</v>
      </c>
      <c r="I12392" s="3">
        <v>131</v>
      </c>
      <c r="J12392" s="3">
        <v>120</v>
      </c>
      <c r="K12392" s="3">
        <v>512</v>
      </c>
      <c r="L12392" s="3">
        <v>1</v>
      </c>
      <c r="M12392" s="3">
        <v>131</v>
      </c>
    </row>
    <row r="12393" spans="1:13" x14ac:dyDescent="0.25">
      <c r="A12393" s="1" t="str">
        <f>HYPERLINK("http://www.rosaceae.org/Prunus/Prunus_persica/p.persica_gdr_reftransV1_0049054","p.persica_gdr_reftransV1_0049054")</f>
        <v>p.persica_gdr_reftransV1_0049054</v>
      </c>
      <c r="B12393" s="3">
        <v>3028</v>
      </c>
      <c r="C12393" s="1" t="str">
        <f>HYPERLINK("http://www.uniprot.org/uniprot/MCTP1_HUMAN","MCTP1_HUMAN")</f>
        <v>MCTP1_HUMAN</v>
      </c>
      <c r="D12393" t="s">
        <v>8550</v>
      </c>
      <c r="E12393" s="3" t="s">
        <v>28</v>
      </c>
      <c r="F12393" s="4">
        <v>1.9099999999999999E-8</v>
      </c>
      <c r="G12393" s="3">
        <v>150</v>
      </c>
      <c r="H12393" s="3">
        <v>29</v>
      </c>
      <c r="I12393" s="3">
        <v>134</v>
      </c>
      <c r="J12393" s="3">
        <v>469</v>
      </c>
      <c r="K12393" s="3">
        <v>846</v>
      </c>
      <c r="L12393" s="3">
        <v>438</v>
      </c>
      <c r="M12393" s="3">
        <v>571</v>
      </c>
    </row>
    <row r="12394" spans="1:13" x14ac:dyDescent="0.25">
      <c r="A12394" s="1" t="str">
        <f>HYPERLINK("http://www.rosaceae.org/Prunus/Prunus_persica/p.persica_gdr_reftransV1_0000041","p.persica_gdr_reftransV1_0000041")</f>
        <v>p.persica_gdr_reftransV1_0000041</v>
      </c>
      <c r="B12394" s="3">
        <v>310</v>
      </c>
      <c r="C12394" s="1" t="str">
        <f>HYPERLINK("http://www.uniprot.org/uniprot/WTR10_ARATH","WTR10_ARATH")</f>
        <v>WTR10_ARATH</v>
      </c>
      <c r="D12394" t="s">
        <v>8551</v>
      </c>
      <c r="E12394" s="3" t="s">
        <v>3</v>
      </c>
      <c r="F12394" s="4">
        <v>7.0299999999999996E-21</v>
      </c>
      <c r="G12394" s="3">
        <v>219</v>
      </c>
      <c r="H12394" s="3">
        <v>48</v>
      </c>
      <c r="I12394" s="3">
        <v>96</v>
      </c>
      <c r="J12394" s="3">
        <v>1</v>
      </c>
      <c r="K12394" s="3">
        <v>288</v>
      </c>
      <c r="L12394" s="3">
        <v>253</v>
      </c>
      <c r="M12394" s="3">
        <v>345</v>
      </c>
    </row>
    <row r="12395" spans="1:13" x14ac:dyDescent="0.25">
      <c r="A12395" s="1" t="str">
        <f>HYPERLINK("http://www.rosaceae.org/Prunus/Prunus_persica/p.persica_gdr_reftransV1_0000141","p.persica_gdr_reftransV1_0000141")</f>
        <v>p.persica_gdr_reftransV1_0000141</v>
      </c>
      <c r="B12395" s="3">
        <v>1582</v>
      </c>
      <c r="C12395" s="1" t="str">
        <f>HYPERLINK("http://www.uniprot.org/uniprot/GDT13_ARATH","GDT13_ARATH")</f>
        <v>GDT13_ARATH</v>
      </c>
      <c r="D12395" t="s">
        <v>8552</v>
      </c>
      <c r="E12395" s="3" t="s">
        <v>3</v>
      </c>
      <c r="F12395" s="4">
        <v>1.8399999999999998E-89</v>
      </c>
      <c r="G12395" s="3">
        <v>629</v>
      </c>
      <c r="H12395" s="3">
        <v>91</v>
      </c>
      <c r="I12395" s="3">
        <v>163</v>
      </c>
      <c r="J12395" s="3">
        <v>285</v>
      </c>
      <c r="K12395" s="3">
        <v>770</v>
      </c>
      <c r="L12395" s="3">
        <v>131</v>
      </c>
      <c r="M12395" s="3">
        <v>293</v>
      </c>
    </row>
    <row r="12396" spans="1:13" x14ac:dyDescent="0.25">
      <c r="A12396" s="1" t="str">
        <f>HYPERLINK("http://www.rosaceae.org/Prunus/Prunus_persica/p.persica_gdr_reftransV1_0000241","p.persica_gdr_reftransV1_0000241")</f>
        <v>p.persica_gdr_reftransV1_0000241</v>
      </c>
      <c r="B12396" s="3">
        <v>947</v>
      </c>
      <c r="C12396" s="1" t="str">
        <f>HYPERLINK("http://www.uniprot.org/uniprot/PPR30_ARATH","PPR30_ARATH")</f>
        <v>PPR30_ARATH</v>
      </c>
      <c r="D12396" t="s">
        <v>5664</v>
      </c>
      <c r="E12396" s="3" t="s">
        <v>3</v>
      </c>
      <c r="F12396" s="4">
        <v>7.0300000000000005E-107</v>
      </c>
      <c r="G12396" s="3">
        <v>836</v>
      </c>
      <c r="H12396" s="3">
        <v>52</v>
      </c>
      <c r="I12396" s="3">
        <v>313</v>
      </c>
      <c r="J12396" s="3">
        <v>8</v>
      </c>
      <c r="K12396" s="3">
        <v>946</v>
      </c>
      <c r="L12396" s="3">
        <v>96</v>
      </c>
      <c r="M12396" s="3">
        <v>405</v>
      </c>
    </row>
    <row r="12397" spans="1:13" x14ac:dyDescent="0.25">
      <c r="A12397" s="1" t="str">
        <f>HYPERLINK("http://www.rosaceae.org/Prunus/Prunus_persica/p.persica_gdr_reftransV1_0000291","p.persica_gdr_reftransV1_0000291")</f>
        <v>p.persica_gdr_reftransV1_0000291</v>
      </c>
      <c r="B12397" s="3">
        <v>1218</v>
      </c>
      <c r="C12397" s="1" t="str">
        <f>HYPERLINK("http://www.uniprot.org/uniprot/PDR1_TOBAC","PDR1_TOBAC")</f>
        <v>PDR1_TOBAC</v>
      </c>
      <c r="D12397" t="s">
        <v>498</v>
      </c>
      <c r="E12397" s="3" t="s">
        <v>200</v>
      </c>
      <c r="F12397" s="4">
        <v>0</v>
      </c>
      <c r="G12397" s="3">
        <v>1562</v>
      </c>
      <c r="H12397" s="3">
        <v>71</v>
      </c>
      <c r="I12397" s="3">
        <v>405</v>
      </c>
      <c r="J12397" s="3">
        <v>2</v>
      </c>
      <c r="K12397" s="3">
        <v>1216</v>
      </c>
      <c r="L12397" s="3">
        <v>386</v>
      </c>
      <c r="M12397" s="3">
        <v>790</v>
      </c>
    </row>
    <row r="12398" spans="1:13" x14ac:dyDescent="0.25">
      <c r="A12398" s="1" t="str">
        <f>HYPERLINK("http://www.rosaceae.org/Prunus/Prunus_persica/p.persica_gdr_reftransV1_0000391","p.persica_gdr_reftransV1_0000391")</f>
        <v>p.persica_gdr_reftransV1_0000391</v>
      </c>
      <c r="B12398" s="3">
        <v>372</v>
      </c>
      <c r="C12398" s="1" t="str">
        <f>HYPERLINK("http://www.uniprot.org/uniprot/OPT1_ARATH","OPT1_ARATH")</f>
        <v>OPT1_ARATH</v>
      </c>
      <c r="D12398" t="s">
        <v>8553</v>
      </c>
      <c r="E12398" s="3" t="s">
        <v>3</v>
      </c>
      <c r="F12398" s="4">
        <v>1.1899999999999999E-63</v>
      </c>
      <c r="G12398" s="3">
        <v>538</v>
      </c>
      <c r="H12398" s="3">
        <v>79</v>
      </c>
      <c r="I12398" s="3">
        <v>124</v>
      </c>
      <c r="J12398" s="3">
        <v>1</v>
      </c>
      <c r="K12398" s="3">
        <v>372</v>
      </c>
      <c r="L12398" s="3">
        <v>470</v>
      </c>
      <c r="M12398" s="3">
        <v>593</v>
      </c>
    </row>
    <row r="12399" spans="1:13" x14ac:dyDescent="0.25">
      <c r="A12399" s="1" t="str">
        <f>HYPERLINK("http://www.rosaceae.org/Prunus/Prunus_persica/p.persica_gdr_reftransV1_0000441","p.persica_gdr_reftransV1_0000441")</f>
        <v>p.persica_gdr_reftransV1_0000441</v>
      </c>
      <c r="B12399" s="3">
        <v>842</v>
      </c>
      <c r="C12399" s="1" t="str">
        <f>HYPERLINK("http://www.uniprot.org/uniprot/UBE4_ARATH","UBE4_ARATH")</f>
        <v>UBE4_ARATH</v>
      </c>
      <c r="D12399" t="s">
        <v>8474</v>
      </c>
      <c r="E12399" s="3" t="s">
        <v>3</v>
      </c>
      <c r="F12399" s="4">
        <v>4.6600000000000002E-66</v>
      </c>
      <c r="G12399" s="3">
        <v>578</v>
      </c>
      <c r="H12399" s="3">
        <v>76</v>
      </c>
      <c r="I12399" s="3">
        <v>147</v>
      </c>
      <c r="J12399" s="3">
        <v>190</v>
      </c>
      <c r="K12399" s="3">
        <v>624</v>
      </c>
      <c r="L12399" s="3">
        <v>895</v>
      </c>
      <c r="M12399" s="3">
        <v>1038</v>
      </c>
    </row>
    <row r="12400" spans="1:13" x14ac:dyDescent="0.25">
      <c r="A12400" s="1" t="str">
        <f>HYPERLINK("http://www.rosaceae.org/Prunus/Prunus_persica/p.persica_gdr_reftransV1_0000491","p.persica_gdr_reftransV1_0000491")</f>
        <v>p.persica_gdr_reftransV1_0000491</v>
      </c>
      <c r="B12400" s="3">
        <v>1398</v>
      </c>
      <c r="C12400" s="1" t="str">
        <f>HYPERLINK("http://www.uniprot.org/uniprot/TIC32_PEA","TIC32_PEA")</f>
        <v>TIC32_PEA</v>
      </c>
      <c r="D12400" t="s">
        <v>3931</v>
      </c>
      <c r="E12400" s="3" t="s">
        <v>60</v>
      </c>
      <c r="F12400" s="4">
        <v>1.1600000000000001E-84</v>
      </c>
      <c r="G12400" s="3">
        <v>688</v>
      </c>
      <c r="H12400" s="3">
        <v>62</v>
      </c>
      <c r="I12400" s="3">
        <v>239</v>
      </c>
      <c r="J12400" s="3">
        <v>114</v>
      </c>
      <c r="K12400" s="3">
        <v>830</v>
      </c>
      <c r="L12400" s="3">
        <v>5</v>
      </c>
      <c r="M12400" s="3">
        <v>243</v>
      </c>
    </row>
    <row r="12401" spans="1:13" x14ac:dyDescent="0.25">
      <c r="A12401" s="1" t="str">
        <f>HYPERLINK("http://www.rosaceae.org/Prunus/Prunus_persica/p.persica_gdr_reftransV1_0000591","p.persica_gdr_reftransV1_0000591")</f>
        <v>p.persica_gdr_reftransV1_0000591</v>
      </c>
      <c r="B12401" s="3">
        <v>1836</v>
      </c>
      <c r="C12401" s="1" t="str">
        <f>HYPERLINK("http://www.uniprot.org/uniprot/MCFB_DICDI","MCFB_DICDI")</f>
        <v>MCFB_DICDI</v>
      </c>
      <c r="D12401" t="s">
        <v>7392</v>
      </c>
      <c r="E12401" s="3" t="s">
        <v>9</v>
      </c>
      <c r="F12401" s="4">
        <v>3.4800000000000003E-61</v>
      </c>
      <c r="G12401" s="3">
        <v>548</v>
      </c>
      <c r="H12401" s="3">
        <v>41</v>
      </c>
      <c r="I12401" s="3">
        <v>305</v>
      </c>
      <c r="J12401" s="3">
        <v>514</v>
      </c>
      <c r="K12401" s="3">
        <v>1410</v>
      </c>
      <c r="L12401" s="3">
        <v>142</v>
      </c>
      <c r="M12401" s="3">
        <v>424</v>
      </c>
    </row>
    <row r="12402" spans="1:13" x14ac:dyDescent="0.25">
      <c r="A12402" s="1" t="str">
        <f>HYPERLINK("http://www.rosaceae.org/Prunus/Prunus_persica/p.persica_gdr_reftransV1_0000641","p.persica_gdr_reftransV1_0000641")</f>
        <v>p.persica_gdr_reftransV1_0000641</v>
      </c>
      <c r="B12402" s="3">
        <v>3753</v>
      </c>
      <c r="C12402" s="1" t="str">
        <f>HYPERLINK("http://www.uniprot.org/uniprot/SR140_PONAB","SR140_PONAB")</f>
        <v>SR140_PONAB</v>
      </c>
      <c r="D12402" t="s">
        <v>4004</v>
      </c>
      <c r="E12402" s="3" t="s">
        <v>176</v>
      </c>
      <c r="F12402" s="4">
        <v>2.8E-100</v>
      </c>
      <c r="G12402" s="3">
        <v>895</v>
      </c>
      <c r="H12402" s="3">
        <v>37</v>
      </c>
      <c r="I12402" s="3">
        <v>596</v>
      </c>
      <c r="J12402" s="3">
        <v>1768</v>
      </c>
      <c r="K12402" s="3">
        <v>3435</v>
      </c>
      <c r="L12402" s="3">
        <v>116</v>
      </c>
      <c r="M12402" s="3">
        <v>675</v>
      </c>
    </row>
    <row r="12403" spans="1:13" x14ac:dyDescent="0.25">
      <c r="A12403" s="1" t="str">
        <f>HYPERLINK("http://www.rosaceae.org/Prunus/Prunus_persica/p.persica_gdr_reftransV1_0000691","p.persica_gdr_reftransV1_0000691")</f>
        <v>p.persica_gdr_reftransV1_0000691</v>
      </c>
      <c r="B12403" s="3">
        <v>1000</v>
      </c>
      <c r="C12403" s="1" t="str">
        <f>HYPERLINK("http://www.uniprot.org/uniprot/DEGP8_ARATH","DEGP8_ARATH")</f>
        <v>DEGP8_ARATH</v>
      </c>
      <c r="D12403" t="s">
        <v>8554</v>
      </c>
      <c r="E12403" s="3" t="s">
        <v>3</v>
      </c>
      <c r="F12403" s="4">
        <v>5.54E-146</v>
      </c>
      <c r="G12403" s="3">
        <v>1096</v>
      </c>
      <c r="H12403" s="3">
        <v>85</v>
      </c>
      <c r="I12403" s="3">
        <v>251</v>
      </c>
      <c r="J12403" s="3">
        <v>110</v>
      </c>
      <c r="K12403" s="3">
        <v>862</v>
      </c>
      <c r="L12403" s="3">
        <v>198</v>
      </c>
      <c r="M12403" s="3">
        <v>448</v>
      </c>
    </row>
    <row r="12404" spans="1:13" x14ac:dyDescent="0.25">
      <c r="A12404" s="1" t="str">
        <f>HYPERLINK("http://www.rosaceae.org/Prunus/Prunus_persica/p.persica_gdr_reftransV1_0000841","p.persica_gdr_reftransV1_0000841")</f>
        <v>p.persica_gdr_reftransV1_0000841</v>
      </c>
      <c r="B12404" s="3">
        <v>1352</v>
      </c>
      <c r="C12404" s="1" t="str">
        <f>HYPERLINK("http://www.uniprot.org/uniprot/PPCS2_ARATH","PPCS2_ARATH")</f>
        <v>PPCS2_ARATH</v>
      </c>
      <c r="D12404" t="s">
        <v>1015</v>
      </c>
      <c r="E12404" s="3" t="s">
        <v>3</v>
      </c>
      <c r="F12404" s="4">
        <v>3.8300000000000002E-140</v>
      </c>
      <c r="G12404" s="3">
        <v>1056</v>
      </c>
      <c r="H12404" s="3">
        <v>68</v>
      </c>
      <c r="I12404" s="3">
        <v>310</v>
      </c>
      <c r="J12404" s="3">
        <v>137</v>
      </c>
      <c r="K12404" s="3">
        <v>1066</v>
      </c>
      <c r="L12404" s="3">
        <v>1</v>
      </c>
      <c r="M12404" s="3">
        <v>307</v>
      </c>
    </row>
    <row r="12405" spans="1:13" x14ac:dyDescent="0.25">
      <c r="A12405" s="1" t="str">
        <f>HYPERLINK("http://www.rosaceae.org/Prunus/Prunus_persica/p.persica_gdr_reftransV1_0001291","p.persica_gdr_reftransV1_0001291")</f>
        <v>p.persica_gdr_reftransV1_0001291</v>
      </c>
      <c r="B12405" s="3">
        <v>942</v>
      </c>
      <c r="C12405" s="1" t="str">
        <f>HYPERLINK("http://www.uniprot.org/uniprot/KSG6_ARATH","KSG6_ARATH")</f>
        <v>KSG6_ARATH</v>
      </c>
      <c r="D12405" t="s">
        <v>8536</v>
      </c>
      <c r="E12405" s="3" t="s">
        <v>3</v>
      </c>
      <c r="F12405" s="4">
        <v>1.66E-161</v>
      </c>
      <c r="G12405" s="3">
        <v>1193</v>
      </c>
      <c r="H12405" s="3">
        <v>93</v>
      </c>
      <c r="I12405" s="3">
        <v>235</v>
      </c>
      <c r="J12405" s="3">
        <v>238</v>
      </c>
      <c r="K12405" s="3">
        <v>942</v>
      </c>
      <c r="L12405" s="3">
        <v>36</v>
      </c>
      <c r="M12405" s="3">
        <v>270</v>
      </c>
    </row>
    <row r="12406" spans="1:13" x14ac:dyDescent="0.25">
      <c r="A12406" s="1" t="str">
        <f>HYPERLINK("http://www.rosaceae.org/Prunus/Prunus_persica/p.persica_gdr_reftransV1_0001391","p.persica_gdr_reftransV1_0001391")</f>
        <v>p.persica_gdr_reftransV1_0001391</v>
      </c>
      <c r="B12406" s="3">
        <v>1681</v>
      </c>
      <c r="C12406" s="1" t="str">
        <f>HYPERLINK("http://www.uniprot.org/uniprot/ASPL2_ARATH","ASPL2_ARATH")</f>
        <v>ASPL2_ARATH</v>
      </c>
      <c r="D12406" t="s">
        <v>545</v>
      </c>
      <c r="E12406" s="3" t="s">
        <v>3</v>
      </c>
      <c r="F12406" s="4">
        <v>6.2999999999999999E-149</v>
      </c>
      <c r="G12406" s="3">
        <v>1141</v>
      </c>
      <c r="H12406" s="3">
        <v>50</v>
      </c>
      <c r="I12406" s="3">
        <v>438</v>
      </c>
      <c r="J12406" s="3">
        <v>225</v>
      </c>
      <c r="K12406" s="3">
        <v>1538</v>
      </c>
      <c r="L12406" s="3">
        <v>21</v>
      </c>
      <c r="M12406" s="3">
        <v>450</v>
      </c>
    </row>
    <row r="12407" spans="1:13" x14ac:dyDescent="0.25">
      <c r="A12407" s="1" t="str">
        <f>HYPERLINK("http://www.rosaceae.org/Prunus/Prunus_persica/p.persica_gdr_reftransV1_0001791","p.persica_gdr_reftransV1_0001791")</f>
        <v>p.persica_gdr_reftransV1_0001791</v>
      </c>
      <c r="B12407" s="3">
        <v>1109</v>
      </c>
      <c r="C12407" s="1" t="str">
        <f>HYPERLINK("http://www.uniprot.org/uniprot/DENR_SCHPO","DENR_SCHPO")</f>
        <v>DENR_SCHPO</v>
      </c>
      <c r="D12407" t="s">
        <v>8555</v>
      </c>
      <c r="E12407" s="3" t="s">
        <v>464</v>
      </c>
      <c r="F12407" s="4">
        <v>3.8899999999999998E-32</v>
      </c>
      <c r="G12407" s="3">
        <v>312</v>
      </c>
      <c r="H12407" s="3">
        <v>39</v>
      </c>
      <c r="I12407" s="3">
        <v>185</v>
      </c>
      <c r="J12407" s="3">
        <v>445</v>
      </c>
      <c r="K12407" s="3">
        <v>993</v>
      </c>
      <c r="L12407" s="3">
        <v>7</v>
      </c>
      <c r="M12407" s="3">
        <v>185</v>
      </c>
    </row>
    <row r="12408" spans="1:13" x14ac:dyDescent="0.25">
      <c r="A12408" s="1" t="str">
        <f>HYPERLINK("http://www.rosaceae.org/Prunus/Prunus_persica/p.persica_gdr_reftransV1_0001841","p.persica_gdr_reftransV1_0001841")</f>
        <v>p.persica_gdr_reftransV1_0001841</v>
      </c>
      <c r="B12408" s="3">
        <v>791</v>
      </c>
      <c r="C12408" s="1" t="str">
        <f>HYPERLINK("http://www.uniprot.org/uniprot/PP425_ARATH","PP425_ARATH")</f>
        <v>PP425_ARATH</v>
      </c>
      <c r="D12408" t="s">
        <v>2006</v>
      </c>
      <c r="E12408" s="3" t="s">
        <v>3</v>
      </c>
      <c r="F12408" s="4">
        <v>3.6299999999999999E-28</v>
      </c>
      <c r="G12408" s="3">
        <v>293</v>
      </c>
      <c r="H12408" s="3">
        <v>54</v>
      </c>
      <c r="I12408" s="3">
        <v>92</v>
      </c>
      <c r="J12408" s="3">
        <v>2</v>
      </c>
      <c r="K12408" s="3">
        <v>277</v>
      </c>
      <c r="L12408" s="3">
        <v>378</v>
      </c>
      <c r="M12408" s="3">
        <v>469</v>
      </c>
    </row>
    <row r="12409" spans="1:13" x14ac:dyDescent="0.25">
      <c r="A12409" s="1" t="str">
        <f>HYPERLINK("http://www.rosaceae.org/Prunus/Prunus_persica/p.persica_gdr_reftransV1_0001941","p.persica_gdr_reftransV1_0001941")</f>
        <v>p.persica_gdr_reftransV1_0001941</v>
      </c>
      <c r="B12409" s="3">
        <v>3529</v>
      </c>
      <c r="C12409" s="1" t="str">
        <f>HYPERLINK("http://www.uniprot.org/uniprot/Y4885_ARATH","Y4885_ARATH")</f>
        <v>Y4885_ARATH</v>
      </c>
      <c r="D12409" t="s">
        <v>468</v>
      </c>
      <c r="E12409" s="3" t="s">
        <v>3</v>
      </c>
      <c r="F12409" s="4">
        <v>0</v>
      </c>
      <c r="G12409" s="3">
        <v>1760</v>
      </c>
      <c r="H12409" s="3">
        <v>43</v>
      </c>
      <c r="I12409" s="3">
        <v>938</v>
      </c>
      <c r="J12409" s="3">
        <v>10</v>
      </c>
      <c r="K12409" s="3">
        <v>2787</v>
      </c>
      <c r="L12409" s="3">
        <v>88</v>
      </c>
      <c r="M12409" s="3">
        <v>1014</v>
      </c>
    </row>
    <row r="12410" spans="1:13" x14ac:dyDescent="0.25">
      <c r="A12410" s="1" t="str">
        <f>HYPERLINK("http://www.rosaceae.org/Prunus/Prunus_persica/p.persica_gdr_reftransV1_0001991","p.persica_gdr_reftransV1_0001991")</f>
        <v>p.persica_gdr_reftransV1_0001991</v>
      </c>
      <c r="B12410" s="3">
        <v>3815</v>
      </c>
      <c r="C12410" s="1" t="str">
        <f>HYPERLINK("http://www.uniprot.org/uniprot/KIF11_DICDI","KIF11_DICDI")</f>
        <v>KIF11_DICDI</v>
      </c>
      <c r="D12410" t="s">
        <v>4802</v>
      </c>
      <c r="E12410" s="3" t="s">
        <v>9</v>
      </c>
      <c r="F12410" s="4">
        <v>5.3399999999999997E-110</v>
      </c>
      <c r="G12410" s="3">
        <v>943</v>
      </c>
      <c r="H12410" s="3">
        <v>54</v>
      </c>
      <c r="I12410" s="3">
        <v>384</v>
      </c>
      <c r="J12410" s="3">
        <v>1862</v>
      </c>
      <c r="K12410" s="3">
        <v>2983</v>
      </c>
      <c r="L12410" s="3">
        <v>116</v>
      </c>
      <c r="M12410" s="3">
        <v>491</v>
      </c>
    </row>
    <row r="12411" spans="1:13" x14ac:dyDescent="0.25">
      <c r="A12411" s="1" t="str">
        <f>HYPERLINK("http://www.rosaceae.org/Prunus/Prunus_persica/p.persica_gdr_reftransV1_0002041","p.persica_gdr_reftransV1_0002041")</f>
        <v>p.persica_gdr_reftransV1_0002041</v>
      </c>
      <c r="B12411" s="3">
        <v>2978</v>
      </c>
      <c r="C12411" s="1" t="str">
        <f>HYPERLINK("http://www.uniprot.org/uniprot/TMK3_ARATH","TMK3_ARATH")</f>
        <v>TMK3_ARATH</v>
      </c>
      <c r="D12411" t="s">
        <v>7747</v>
      </c>
      <c r="E12411" s="3" t="s">
        <v>3</v>
      </c>
      <c r="F12411" s="4">
        <v>0</v>
      </c>
      <c r="G12411" s="3">
        <v>1884</v>
      </c>
      <c r="H12411" s="3">
        <v>46</v>
      </c>
      <c r="I12411" s="3">
        <v>896</v>
      </c>
      <c r="J12411" s="3">
        <v>5</v>
      </c>
      <c r="K12411" s="3">
        <v>2620</v>
      </c>
      <c r="L12411" s="3">
        <v>99</v>
      </c>
      <c r="M12411" s="3">
        <v>943</v>
      </c>
    </row>
    <row r="12412" spans="1:13" x14ac:dyDescent="0.25">
      <c r="A12412" s="1" t="str">
        <f>HYPERLINK("http://www.rosaceae.org/Prunus/Prunus_persica/p.persica_gdr_reftransV1_0002091","p.persica_gdr_reftransV1_0002091")</f>
        <v>p.persica_gdr_reftransV1_0002091</v>
      </c>
      <c r="B12412" s="3">
        <v>1205</v>
      </c>
      <c r="C12412" s="1" t="str">
        <f>HYPERLINK("http://www.uniprot.org/uniprot/RPI4_ARATH","RPI4_ARATH")</f>
        <v>RPI4_ARATH</v>
      </c>
      <c r="D12412" t="s">
        <v>8556</v>
      </c>
      <c r="E12412" s="3" t="s">
        <v>3</v>
      </c>
      <c r="F12412" s="4">
        <v>6.5199999999999997E-93</v>
      </c>
      <c r="G12412" s="3">
        <v>736</v>
      </c>
      <c r="H12412" s="3">
        <v>63</v>
      </c>
      <c r="I12412" s="3">
        <v>234</v>
      </c>
      <c r="J12412" s="3">
        <v>215</v>
      </c>
      <c r="K12412" s="3">
        <v>913</v>
      </c>
      <c r="L12412" s="3">
        <v>38</v>
      </c>
      <c r="M12412" s="3">
        <v>271</v>
      </c>
    </row>
    <row r="12413" spans="1:13" x14ac:dyDescent="0.25">
      <c r="A12413" s="1" t="str">
        <f>HYPERLINK("http://www.rosaceae.org/Prunus/Prunus_persica/p.persica_gdr_reftransV1_0002141","p.persica_gdr_reftransV1_0002141")</f>
        <v>p.persica_gdr_reftransV1_0002141</v>
      </c>
      <c r="B12413" s="3">
        <v>1665</v>
      </c>
      <c r="C12413" s="1" t="str">
        <f>HYPERLINK("http://www.uniprot.org/uniprot/SR45_ARATH","SR45_ARATH")</f>
        <v>SR45_ARATH</v>
      </c>
      <c r="D12413" t="s">
        <v>5509</v>
      </c>
      <c r="E12413" s="3" t="s">
        <v>3</v>
      </c>
      <c r="F12413" s="4">
        <v>7.6600000000000002E-42</v>
      </c>
      <c r="G12413" s="3">
        <v>404</v>
      </c>
      <c r="H12413" s="3">
        <v>74</v>
      </c>
      <c r="I12413" s="3">
        <v>117</v>
      </c>
      <c r="J12413" s="3">
        <v>352</v>
      </c>
      <c r="K12413" s="3">
        <v>696</v>
      </c>
      <c r="L12413" s="3">
        <v>94</v>
      </c>
      <c r="M12413" s="3">
        <v>210</v>
      </c>
    </row>
    <row r="12414" spans="1:13" x14ac:dyDescent="0.25">
      <c r="A12414" s="1" t="str">
        <f>HYPERLINK("http://www.rosaceae.org/Prunus/Prunus_persica/p.persica_gdr_reftransV1_0002191","p.persica_gdr_reftransV1_0002191")</f>
        <v>p.persica_gdr_reftransV1_0002191</v>
      </c>
      <c r="B12414" s="3">
        <v>579</v>
      </c>
      <c r="C12414" s="1" t="str">
        <f>HYPERLINK("http://www.uniprot.org/uniprot/NAC12_ARATH","NAC12_ARATH")</f>
        <v>NAC12_ARATH</v>
      </c>
      <c r="D12414" t="s">
        <v>8557</v>
      </c>
      <c r="E12414" s="3" t="s">
        <v>3</v>
      </c>
      <c r="F12414" s="4">
        <v>1.46E-82</v>
      </c>
      <c r="G12414" s="3">
        <v>652</v>
      </c>
      <c r="H12414" s="3">
        <v>88</v>
      </c>
      <c r="I12414" s="3">
        <v>147</v>
      </c>
      <c r="J12414" s="3">
        <v>20</v>
      </c>
      <c r="K12414" s="3">
        <v>460</v>
      </c>
      <c r="L12414" s="3">
        <v>1</v>
      </c>
      <c r="M12414" s="3">
        <v>147</v>
      </c>
    </row>
    <row r="12415" spans="1:13" x14ac:dyDescent="0.25">
      <c r="A12415" s="1" t="str">
        <f>HYPERLINK("http://www.rosaceae.org/Prunus/Prunus_persica/p.persica_gdr_reftransV1_0002341","p.persica_gdr_reftransV1_0002341")</f>
        <v>p.persica_gdr_reftransV1_0002341</v>
      </c>
      <c r="B12415" s="3">
        <v>364</v>
      </c>
      <c r="C12415" s="1" t="str">
        <f>HYPERLINK("http://www.uniprot.org/uniprot/RS15_PODAS","RS15_PODAS")</f>
        <v>RS15_PODAS</v>
      </c>
      <c r="D12415" t="s">
        <v>8558</v>
      </c>
      <c r="E12415" s="3" t="s">
        <v>3657</v>
      </c>
      <c r="F12415" s="4">
        <v>6.1999999999999995E-66</v>
      </c>
      <c r="G12415" s="3">
        <v>515</v>
      </c>
      <c r="H12415" s="3">
        <v>98</v>
      </c>
      <c r="I12415" s="3">
        <v>100</v>
      </c>
      <c r="J12415" s="3">
        <v>2</v>
      </c>
      <c r="K12415" s="3">
        <v>301</v>
      </c>
      <c r="L12415" s="3">
        <v>53</v>
      </c>
      <c r="M12415" s="3">
        <v>152</v>
      </c>
    </row>
    <row r="12416" spans="1:13" x14ac:dyDescent="0.25">
      <c r="A12416" s="1" t="str">
        <f>HYPERLINK("http://www.rosaceae.org/Prunus/Prunus_persica/p.persica_gdr_reftransV1_0002391","p.persica_gdr_reftransV1_0002391")</f>
        <v>p.persica_gdr_reftransV1_0002391</v>
      </c>
      <c r="B12416" s="3">
        <v>2023</v>
      </c>
      <c r="C12416" s="1" t="str">
        <f>HYPERLINK("http://www.uniprot.org/uniprot/TMN12_ARATH","TMN12_ARATH")</f>
        <v>TMN12_ARATH</v>
      </c>
      <c r="D12416" t="s">
        <v>5805</v>
      </c>
      <c r="E12416" s="3" t="s">
        <v>3</v>
      </c>
      <c r="F12416" s="4">
        <v>0</v>
      </c>
      <c r="G12416" s="3">
        <v>2535</v>
      </c>
      <c r="H12416" s="3">
        <v>83</v>
      </c>
      <c r="I12416" s="3">
        <v>572</v>
      </c>
      <c r="J12416" s="3">
        <v>1</v>
      </c>
      <c r="K12416" s="3">
        <v>1716</v>
      </c>
      <c r="L12416" s="3">
        <v>9</v>
      </c>
      <c r="M12416" s="3">
        <v>580</v>
      </c>
    </row>
    <row r="12417" spans="1:13" x14ac:dyDescent="0.25">
      <c r="A12417" s="1" t="str">
        <f>HYPERLINK("http://www.rosaceae.org/Prunus/Prunus_persica/p.persica_gdr_reftransV1_0002491","p.persica_gdr_reftransV1_0002491")</f>
        <v>p.persica_gdr_reftransV1_0002491</v>
      </c>
      <c r="B12417" s="3">
        <v>1785</v>
      </c>
      <c r="C12417" s="1" t="str">
        <f>HYPERLINK("http://www.uniprot.org/uniprot/CHFR_MOUSE","CHFR_MOUSE")</f>
        <v>CHFR_MOUSE</v>
      </c>
      <c r="D12417" t="s">
        <v>8559</v>
      </c>
      <c r="E12417" s="3" t="s">
        <v>157</v>
      </c>
      <c r="F12417" s="4">
        <v>3.7399999999999997E-26</v>
      </c>
      <c r="G12417" s="3">
        <v>292</v>
      </c>
      <c r="H12417" s="3">
        <v>26</v>
      </c>
      <c r="I12417" s="3">
        <v>387</v>
      </c>
      <c r="J12417" s="3">
        <v>352</v>
      </c>
      <c r="K12417" s="3">
        <v>1347</v>
      </c>
      <c r="L12417" s="3">
        <v>299</v>
      </c>
      <c r="M12417" s="3">
        <v>664</v>
      </c>
    </row>
    <row r="12418" spans="1:13" x14ac:dyDescent="0.25">
      <c r="A12418" s="1" t="str">
        <f>HYPERLINK("http://www.rosaceae.org/Prunus/Prunus_persica/p.persica_gdr_reftransV1_0002541","p.persica_gdr_reftransV1_0002541")</f>
        <v>p.persica_gdr_reftransV1_0002541</v>
      </c>
      <c r="B12418" s="3">
        <v>2529</v>
      </c>
      <c r="C12418" s="1" t="str">
        <f>HYPERLINK("http://www.uniprot.org/uniprot/WD66_PHYPO","WD66_PHYPO")</f>
        <v>WD66_PHYPO</v>
      </c>
      <c r="D12418" t="s">
        <v>8560</v>
      </c>
      <c r="E12418" s="3" t="s">
        <v>8414</v>
      </c>
      <c r="F12418" s="4">
        <v>3.7400000000000004E-164</v>
      </c>
      <c r="G12418" s="3">
        <v>1280</v>
      </c>
      <c r="H12418" s="3">
        <v>44</v>
      </c>
      <c r="I12418" s="3">
        <v>606</v>
      </c>
      <c r="J12418" s="3">
        <v>589</v>
      </c>
      <c r="K12418" s="3">
        <v>2397</v>
      </c>
      <c r="L12418" s="3">
        <v>5</v>
      </c>
      <c r="M12418" s="3">
        <v>599</v>
      </c>
    </row>
    <row r="12419" spans="1:13" x14ac:dyDescent="0.25">
      <c r="A12419" s="1" t="str">
        <f>HYPERLINK("http://www.rosaceae.org/Prunus/Prunus_persica/p.persica_gdr_reftransV1_0002591","p.persica_gdr_reftransV1_0002591")</f>
        <v>p.persica_gdr_reftransV1_0002591</v>
      </c>
      <c r="B12419" s="3">
        <v>2088</v>
      </c>
      <c r="C12419" s="1" t="str">
        <f>HYPERLINK("http://www.uniprot.org/uniprot/PBS1_ARATH","PBS1_ARATH")</f>
        <v>PBS1_ARATH</v>
      </c>
      <c r="D12419" t="s">
        <v>2502</v>
      </c>
      <c r="E12419" s="3" t="s">
        <v>3</v>
      </c>
      <c r="F12419" s="4">
        <v>0</v>
      </c>
      <c r="G12419" s="3">
        <v>1481</v>
      </c>
      <c r="H12419" s="3">
        <v>74</v>
      </c>
      <c r="I12419" s="3">
        <v>390</v>
      </c>
      <c r="J12419" s="3">
        <v>561</v>
      </c>
      <c r="K12419" s="3">
        <v>1730</v>
      </c>
      <c r="L12419" s="3">
        <v>111</v>
      </c>
      <c r="M12419" s="3">
        <v>449</v>
      </c>
    </row>
    <row r="12420" spans="1:13" x14ac:dyDescent="0.25">
      <c r="A12420" s="1" t="str">
        <f>HYPERLINK("http://www.rosaceae.org/Prunus/Prunus_persica/p.persica_gdr_reftransV1_0002691","p.persica_gdr_reftransV1_0002691")</f>
        <v>p.persica_gdr_reftransV1_0002691</v>
      </c>
      <c r="B12420" s="3">
        <v>2329</v>
      </c>
      <c r="C12420" s="1" t="str">
        <f>HYPERLINK("http://www.uniprot.org/uniprot/SEOB_ARATH","SEOB_ARATH")</f>
        <v>SEOB_ARATH</v>
      </c>
      <c r="D12420" t="s">
        <v>4149</v>
      </c>
      <c r="E12420" s="3" t="s">
        <v>3</v>
      </c>
      <c r="F12420" s="4">
        <v>1.2299999999999999E-97</v>
      </c>
      <c r="G12420" s="3">
        <v>834</v>
      </c>
      <c r="H12420" s="3">
        <v>33</v>
      </c>
      <c r="I12420" s="3">
        <v>711</v>
      </c>
      <c r="J12420" s="3">
        <v>189</v>
      </c>
      <c r="K12420" s="3">
        <v>2123</v>
      </c>
      <c r="L12420" s="3">
        <v>34</v>
      </c>
      <c r="M12420" s="3">
        <v>728</v>
      </c>
    </row>
    <row r="12421" spans="1:13" x14ac:dyDescent="0.25">
      <c r="A12421" s="1" t="str">
        <f>HYPERLINK("http://www.rosaceae.org/Prunus/Prunus_persica/p.persica_gdr_reftransV1_0002791","p.persica_gdr_reftransV1_0002791")</f>
        <v>p.persica_gdr_reftransV1_0002791</v>
      </c>
      <c r="B12421" s="3">
        <v>1202</v>
      </c>
      <c r="C12421" s="1" t="str">
        <f>HYPERLINK("http://www.uniprot.org/uniprot/MCU6_ARATH","MCU6_ARATH")</f>
        <v>MCU6_ARATH</v>
      </c>
      <c r="D12421" t="s">
        <v>8561</v>
      </c>
      <c r="E12421" s="3" t="s">
        <v>3</v>
      </c>
      <c r="F12421" s="4">
        <v>8.6699999999999995E-96</v>
      </c>
      <c r="G12421" s="3">
        <v>755</v>
      </c>
      <c r="H12421" s="3">
        <v>61</v>
      </c>
      <c r="I12421" s="3">
        <v>239</v>
      </c>
      <c r="J12421" s="3">
        <v>447</v>
      </c>
      <c r="K12421" s="3">
        <v>1154</v>
      </c>
      <c r="L12421" s="3">
        <v>50</v>
      </c>
      <c r="M12421" s="3">
        <v>288</v>
      </c>
    </row>
    <row r="12422" spans="1:13" x14ac:dyDescent="0.25">
      <c r="A12422" s="1" t="str">
        <f>HYPERLINK("http://www.rosaceae.org/Prunus/Prunus_persica/p.persica_gdr_reftransV1_0002841","p.persica_gdr_reftransV1_0002841")</f>
        <v>p.persica_gdr_reftransV1_0002841</v>
      </c>
      <c r="B12422" s="3">
        <v>2795</v>
      </c>
      <c r="C12422" s="1" t="str">
        <f>HYPERLINK("http://www.uniprot.org/uniprot/DTD_DICDI","DTD_DICDI")</f>
        <v>DTD_DICDI</v>
      </c>
      <c r="D12422" t="s">
        <v>6819</v>
      </c>
      <c r="E12422" s="3" t="s">
        <v>9</v>
      </c>
      <c r="F12422" s="4">
        <v>2.88E-44</v>
      </c>
      <c r="G12422" s="3">
        <v>410</v>
      </c>
      <c r="H12422" s="3">
        <v>50</v>
      </c>
      <c r="I12422" s="3">
        <v>135</v>
      </c>
      <c r="J12422" s="3">
        <v>2245</v>
      </c>
      <c r="K12422" s="3">
        <v>2649</v>
      </c>
      <c r="L12422" s="3">
        <v>17</v>
      </c>
      <c r="M12422" s="3">
        <v>151</v>
      </c>
    </row>
    <row r="12423" spans="1:13" x14ac:dyDescent="0.25">
      <c r="A12423" s="1" t="str">
        <f>HYPERLINK("http://www.rosaceae.org/Prunus/Prunus_persica/p.persica_gdr_reftransV1_0002941","p.persica_gdr_reftransV1_0002941")</f>
        <v>p.persica_gdr_reftransV1_0002941</v>
      </c>
      <c r="B12423" s="3">
        <v>360</v>
      </c>
      <c r="C12423" s="1" t="str">
        <f>HYPERLINK("http://www.uniprot.org/uniprot/RAVL2_ARATH","RAVL2_ARATH")</f>
        <v>RAVL2_ARATH</v>
      </c>
      <c r="D12423" t="s">
        <v>3639</v>
      </c>
      <c r="E12423" s="3" t="s">
        <v>3</v>
      </c>
      <c r="F12423" s="4">
        <v>9.7299999999999994E-38</v>
      </c>
      <c r="G12423" s="3">
        <v>340</v>
      </c>
      <c r="H12423" s="3">
        <v>63</v>
      </c>
      <c r="I12423" s="3">
        <v>101</v>
      </c>
      <c r="J12423" s="3">
        <v>57</v>
      </c>
      <c r="K12423" s="3">
        <v>353</v>
      </c>
      <c r="L12423" s="3">
        <v>27</v>
      </c>
      <c r="M12423" s="3">
        <v>127</v>
      </c>
    </row>
    <row r="12424" spans="1:13" x14ac:dyDescent="0.25">
      <c r="A12424" s="1" t="str">
        <f>HYPERLINK("http://www.rosaceae.org/Prunus/Prunus_persica/p.persica_gdr_reftransV1_0003141","p.persica_gdr_reftransV1_0003141")</f>
        <v>p.persica_gdr_reftransV1_0003141</v>
      </c>
      <c r="B12424" s="3">
        <v>1921</v>
      </c>
      <c r="C12424" s="1" t="str">
        <f>HYPERLINK("http://www.uniprot.org/uniprot/VIP4_ARATH","VIP4_ARATH")</f>
        <v>VIP4_ARATH</v>
      </c>
      <c r="D12424" t="s">
        <v>253</v>
      </c>
      <c r="E12424" s="3" t="s">
        <v>3</v>
      </c>
      <c r="F12424" s="4">
        <v>5.4600000000000001E-124</v>
      </c>
      <c r="G12424" s="3">
        <v>995</v>
      </c>
      <c r="H12424" s="3">
        <v>63</v>
      </c>
      <c r="I12424" s="3">
        <v>375</v>
      </c>
      <c r="J12424" s="3">
        <v>650</v>
      </c>
      <c r="K12424" s="3">
        <v>1753</v>
      </c>
      <c r="L12424" s="3">
        <v>150</v>
      </c>
      <c r="M12424" s="3">
        <v>517</v>
      </c>
    </row>
    <row r="12425" spans="1:13" x14ac:dyDescent="0.25">
      <c r="A12425" s="1" t="str">
        <f>HYPERLINK("http://www.rosaceae.org/Prunus/Prunus_persica/p.persica_gdr_reftransV1_0003191","p.persica_gdr_reftransV1_0003191")</f>
        <v>p.persica_gdr_reftransV1_0003191</v>
      </c>
      <c r="B12425" s="3">
        <v>3515</v>
      </c>
      <c r="C12425" s="1" t="str">
        <f>HYPERLINK("http://www.uniprot.org/uniprot/G6PI_ARALP","G6PI_ARALP")</f>
        <v>G6PI_ARALP</v>
      </c>
      <c r="D12425" t="s">
        <v>8562</v>
      </c>
      <c r="E12425" s="3" t="s">
        <v>7530</v>
      </c>
      <c r="F12425" s="4">
        <v>0</v>
      </c>
      <c r="G12425" s="3">
        <v>1442</v>
      </c>
      <c r="H12425" s="3">
        <v>83</v>
      </c>
      <c r="I12425" s="3">
        <v>321</v>
      </c>
      <c r="J12425" s="3">
        <v>2126</v>
      </c>
      <c r="K12425" s="3">
        <v>3088</v>
      </c>
      <c r="L12425" s="3">
        <v>1</v>
      </c>
      <c r="M12425" s="3">
        <v>321</v>
      </c>
    </row>
    <row r="12426" spans="1:13" x14ac:dyDescent="0.25">
      <c r="A12426" s="1" t="str">
        <f>HYPERLINK("http://www.rosaceae.org/Prunus/Prunus_persica/p.persica_gdr_reftransV1_0003241","p.persica_gdr_reftransV1_0003241")</f>
        <v>p.persica_gdr_reftransV1_0003241</v>
      </c>
      <c r="B12426" s="3">
        <v>337</v>
      </c>
      <c r="C12426" s="1" t="str">
        <f>HYPERLINK("http://www.uniprot.org/uniprot/AB4B_ARATH","AB4B_ARATH")</f>
        <v>AB4B_ARATH</v>
      </c>
      <c r="D12426" t="s">
        <v>8563</v>
      </c>
      <c r="E12426" s="3" t="s">
        <v>3</v>
      </c>
      <c r="F12426" s="4">
        <v>1.1E-40</v>
      </c>
      <c r="G12426" s="3">
        <v>375</v>
      </c>
      <c r="H12426" s="3">
        <v>70</v>
      </c>
      <c r="I12426" s="3">
        <v>111</v>
      </c>
      <c r="J12426" s="3">
        <v>3</v>
      </c>
      <c r="K12426" s="3">
        <v>335</v>
      </c>
      <c r="L12426" s="3">
        <v>796</v>
      </c>
      <c r="M12426" s="3">
        <v>906</v>
      </c>
    </row>
    <row r="12427" spans="1:13" x14ac:dyDescent="0.25">
      <c r="A12427" s="1" t="str">
        <f>HYPERLINK("http://www.rosaceae.org/Prunus/Prunus_persica/p.persica_gdr_reftransV1_0003291","p.persica_gdr_reftransV1_0003291")</f>
        <v>p.persica_gdr_reftransV1_0003291</v>
      </c>
      <c r="B12427" s="3">
        <v>1335</v>
      </c>
      <c r="C12427" s="1" t="str">
        <f>HYPERLINK("http://www.uniprot.org/uniprot/ATG4_MEDTR","ATG4_MEDTR")</f>
        <v>ATG4_MEDTR</v>
      </c>
      <c r="D12427" t="s">
        <v>1998</v>
      </c>
      <c r="E12427" s="3" t="s">
        <v>91</v>
      </c>
      <c r="F12427" s="4">
        <v>3.4499999999999999E-59</v>
      </c>
      <c r="G12427" s="3">
        <v>526</v>
      </c>
      <c r="H12427" s="3">
        <v>68</v>
      </c>
      <c r="I12427" s="3">
        <v>184</v>
      </c>
      <c r="J12427" s="3">
        <v>351</v>
      </c>
      <c r="K12427" s="3">
        <v>899</v>
      </c>
      <c r="L12427" s="3">
        <v>2</v>
      </c>
      <c r="M12427" s="3">
        <v>185</v>
      </c>
    </row>
    <row r="12428" spans="1:13" x14ac:dyDescent="0.25">
      <c r="A12428" s="1" t="str">
        <f>HYPERLINK("http://www.rosaceae.org/Prunus/Prunus_persica/p.persica_gdr_reftransV1_0003341","p.persica_gdr_reftransV1_0003341")</f>
        <v>p.persica_gdr_reftransV1_0003341</v>
      </c>
      <c r="B12428" s="3">
        <v>2143</v>
      </c>
      <c r="C12428" s="1" t="str">
        <f>HYPERLINK("http://www.uniprot.org/uniprot/ANM16_ARATH","ANM16_ARATH")</f>
        <v>ANM16_ARATH</v>
      </c>
      <c r="D12428" t="s">
        <v>2024</v>
      </c>
      <c r="E12428" s="3" t="s">
        <v>3</v>
      </c>
      <c r="F12428" s="4">
        <v>0</v>
      </c>
      <c r="G12428" s="3">
        <v>2214</v>
      </c>
      <c r="H12428" s="3">
        <v>62</v>
      </c>
      <c r="I12428" s="3">
        <v>666</v>
      </c>
      <c r="J12428" s="3">
        <v>99</v>
      </c>
      <c r="K12428" s="3">
        <v>2084</v>
      </c>
      <c r="L12428" s="3">
        <v>65</v>
      </c>
      <c r="M12428" s="3">
        <v>724</v>
      </c>
    </row>
    <row r="12429" spans="1:13" x14ac:dyDescent="0.25">
      <c r="A12429" s="1" t="str">
        <f>HYPERLINK("http://www.rosaceae.org/Prunus/Prunus_persica/p.persica_gdr_reftransV1_0003441","p.persica_gdr_reftransV1_0003441")</f>
        <v>p.persica_gdr_reftransV1_0003441</v>
      </c>
      <c r="B12429" s="3">
        <v>777</v>
      </c>
      <c r="C12429" s="1" t="str">
        <f>HYPERLINK("http://www.uniprot.org/uniprot/RHOA_EMENI","RHOA_EMENI")</f>
        <v>RHOA_EMENI</v>
      </c>
      <c r="D12429" t="s">
        <v>8564</v>
      </c>
      <c r="E12429" s="3" t="s">
        <v>205</v>
      </c>
      <c r="F12429" s="4">
        <v>2.6600000000000001E-124</v>
      </c>
      <c r="G12429" s="3">
        <v>920</v>
      </c>
      <c r="H12429" s="3">
        <v>89</v>
      </c>
      <c r="I12429" s="3">
        <v>196</v>
      </c>
      <c r="J12429" s="3">
        <v>2</v>
      </c>
      <c r="K12429" s="3">
        <v>589</v>
      </c>
      <c r="L12429" s="3">
        <v>1</v>
      </c>
      <c r="M12429" s="3">
        <v>193</v>
      </c>
    </row>
    <row r="12430" spans="1:13" x14ac:dyDescent="0.25">
      <c r="A12430" s="1" t="str">
        <f>HYPERLINK("http://www.rosaceae.org/Prunus/Prunus_persica/p.persica_gdr_reftransV1_0003541","p.persica_gdr_reftransV1_0003541")</f>
        <v>p.persica_gdr_reftransV1_0003541</v>
      </c>
      <c r="B12430" s="3">
        <v>841</v>
      </c>
      <c r="C12430" s="1" t="str">
        <f>HYPERLINK("http://www.uniprot.org/uniprot/NAC14_ARATH","NAC14_ARATH")</f>
        <v>NAC14_ARATH</v>
      </c>
      <c r="D12430" t="s">
        <v>4106</v>
      </c>
      <c r="E12430" s="3" t="s">
        <v>3</v>
      </c>
      <c r="F12430" s="4">
        <v>5.09E-11</v>
      </c>
      <c r="G12430" s="3">
        <v>160</v>
      </c>
      <c r="H12430" s="3">
        <v>46</v>
      </c>
      <c r="I12430" s="3">
        <v>68</v>
      </c>
      <c r="J12430" s="3">
        <v>2</v>
      </c>
      <c r="K12430" s="3">
        <v>205</v>
      </c>
      <c r="L12430" s="3">
        <v>100</v>
      </c>
      <c r="M12430" s="3">
        <v>165</v>
      </c>
    </row>
    <row r="12431" spans="1:13" x14ac:dyDescent="0.25">
      <c r="A12431" s="1" t="str">
        <f>HYPERLINK("http://www.rosaceae.org/Prunus/Prunus_persica/p.persica_gdr_reftransV1_0003591","p.persica_gdr_reftransV1_0003591")</f>
        <v>p.persica_gdr_reftransV1_0003591</v>
      </c>
      <c r="B12431" s="3">
        <v>490</v>
      </c>
      <c r="C12431" s="1" t="str">
        <f>HYPERLINK("http://www.uniprot.org/uniprot/MTDH_FRAAN","MTDH_FRAAN")</f>
        <v>MTDH_FRAAN</v>
      </c>
      <c r="D12431" t="s">
        <v>54</v>
      </c>
      <c r="E12431" s="3" t="s">
        <v>15</v>
      </c>
      <c r="F12431" s="4">
        <v>2.3100000000000001E-56</v>
      </c>
      <c r="G12431" s="3">
        <v>473</v>
      </c>
      <c r="H12431" s="3">
        <v>75</v>
      </c>
      <c r="I12431" s="3">
        <v>113</v>
      </c>
      <c r="J12431" s="3">
        <v>1</v>
      </c>
      <c r="K12431" s="3">
        <v>339</v>
      </c>
      <c r="L12431" s="3">
        <v>244</v>
      </c>
      <c r="M12431" s="3">
        <v>356</v>
      </c>
    </row>
    <row r="12432" spans="1:13" x14ac:dyDescent="0.25">
      <c r="A12432" s="1" t="str">
        <f>HYPERLINK("http://www.rosaceae.org/Prunus/Prunus_persica/p.persica_gdr_reftransV1_0003641","p.persica_gdr_reftransV1_0003641")</f>
        <v>p.persica_gdr_reftransV1_0003641</v>
      </c>
      <c r="B12432" s="3">
        <v>1705</v>
      </c>
      <c r="C12432" s="1" t="str">
        <f>HYPERLINK("http://www.uniprot.org/uniprot/CTU1_ARATH","CTU1_ARATH")</f>
        <v>CTU1_ARATH</v>
      </c>
      <c r="D12432" t="s">
        <v>5942</v>
      </c>
      <c r="E12432" s="3" t="s">
        <v>3</v>
      </c>
      <c r="F12432" s="4">
        <v>0</v>
      </c>
      <c r="G12432" s="3">
        <v>1633</v>
      </c>
      <c r="H12432" s="3">
        <v>88</v>
      </c>
      <c r="I12432" s="3">
        <v>354</v>
      </c>
      <c r="J12432" s="3">
        <v>188</v>
      </c>
      <c r="K12432" s="3">
        <v>1243</v>
      </c>
      <c r="L12432" s="3">
        <v>2</v>
      </c>
      <c r="M12432" s="3">
        <v>355</v>
      </c>
    </row>
    <row r="12433" spans="1:13" x14ac:dyDescent="0.25">
      <c r="A12433" s="1" t="str">
        <f>HYPERLINK("http://www.rosaceae.org/Prunus/Prunus_persica/p.persica_gdr_reftransV1_0003691","p.persica_gdr_reftransV1_0003691")</f>
        <v>p.persica_gdr_reftransV1_0003691</v>
      </c>
      <c r="B12433" s="3">
        <v>1677</v>
      </c>
      <c r="C12433" s="1" t="str">
        <f>HYPERLINK("http://www.uniprot.org/uniprot/LEU3_BRANA","LEU3_BRANA")</f>
        <v>LEU3_BRANA</v>
      </c>
      <c r="D12433" t="s">
        <v>8565</v>
      </c>
      <c r="E12433" s="3" t="s">
        <v>776</v>
      </c>
      <c r="F12433" s="4">
        <v>0</v>
      </c>
      <c r="G12433" s="3">
        <v>1715</v>
      </c>
      <c r="H12433" s="3">
        <v>83</v>
      </c>
      <c r="I12433" s="3">
        <v>401</v>
      </c>
      <c r="J12433" s="3">
        <v>290</v>
      </c>
      <c r="K12433" s="3">
        <v>1462</v>
      </c>
      <c r="L12433" s="3">
        <v>1</v>
      </c>
      <c r="M12433" s="3">
        <v>393</v>
      </c>
    </row>
    <row r="12434" spans="1:13" x14ac:dyDescent="0.25">
      <c r="A12434" s="1" t="str">
        <f>HYPERLINK("http://www.rosaceae.org/Prunus/Prunus_persica/p.persica_gdr_reftransV1_0003741","p.persica_gdr_reftransV1_0003741")</f>
        <v>p.persica_gdr_reftransV1_0003741</v>
      </c>
      <c r="B12434" s="3">
        <v>4618</v>
      </c>
      <c r="C12434" s="1" t="str">
        <f>HYPERLINK("http://www.uniprot.org/uniprot/PDR1_TOBAC","PDR1_TOBAC")</f>
        <v>PDR1_TOBAC</v>
      </c>
      <c r="D12434" t="s">
        <v>498</v>
      </c>
      <c r="E12434" s="3" t="s">
        <v>200</v>
      </c>
      <c r="F12434" s="4">
        <v>0</v>
      </c>
      <c r="G12434" s="3">
        <v>5387</v>
      </c>
      <c r="H12434" s="3">
        <v>73</v>
      </c>
      <c r="I12434" s="3">
        <v>1417</v>
      </c>
      <c r="J12434" s="3">
        <v>161</v>
      </c>
      <c r="K12434" s="3">
        <v>4411</v>
      </c>
      <c r="L12434" s="3">
        <v>25</v>
      </c>
      <c r="M12434" s="3">
        <v>1434</v>
      </c>
    </row>
    <row r="12435" spans="1:13" x14ac:dyDescent="0.25">
      <c r="A12435" s="1" t="str">
        <f>HYPERLINK("http://www.rosaceae.org/Prunus/Prunus_persica/p.persica_gdr_reftransV1_0003891","p.persica_gdr_reftransV1_0003891")</f>
        <v>p.persica_gdr_reftransV1_0003891</v>
      </c>
      <c r="B12435" s="3">
        <v>610</v>
      </c>
      <c r="C12435" s="1" t="str">
        <f>HYPERLINK("http://www.uniprot.org/uniprot/5MMP_ARATH","5MMP_ARATH")</f>
        <v>5MMP_ARATH</v>
      </c>
      <c r="D12435" t="s">
        <v>8566</v>
      </c>
      <c r="E12435" s="3" t="s">
        <v>3</v>
      </c>
      <c r="F12435" s="4">
        <v>1.2500000000000001E-44</v>
      </c>
      <c r="G12435" s="3">
        <v>398</v>
      </c>
      <c r="H12435" s="3">
        <v>43</v>
      </c>
      <c r="I12435" s="3">
        <v>191</v>
      </c>
      <c r="J12435" s="3">
        <v>3</v>
      </c>
      <c r="K12435" s="3">
        <v>569</v>
      </c>
      <c r="L12435" s="3">
        <v>48</v>
      </c>
      <c r="M12435" s="3">
        <v>227</v>
      </c>
    </row>
    <row r="12436" spans="1:13" x14ac:dyDescent="0.25">
      <c r="A12436" s="1" t="str">
        <f>HYPERLINK("http://www.rosaceae.org/Prunus/Prunus_persica/p.persica_gdr_reftransV1_0003941","p.persica_gdr_reftransV1_0003941")</f>
        <v>p.persica_gdr_reftransV1_0003941</v>
      </c>
      <c r="B12436" s="3">
        <v>3464</v>
      </c>
      <c r="C12436" s="1" t="str">
        <f>HYPERLINK("http://www.uniprot.org/uniprot/OPR3_SOLLC","OPR3_SOLLC")</f>
        <v>OPR3_SOLLC</v>
      </c>
      <c r="D12436" t="s">
        <v>8567</v>
      </c>
      <c r="E12436" s="3" t="s">
        <v>64</v>
      </c>
      <c r="F12436" s="4">
        <v>0</v>
      </c>
      <c r="G12436" s="3">
        <v>1506</v>
      </c>
      <c r="H12436" s="3">
        <v>79</v>
      </c>
      <c r="I12436" s="3">
        <v>377</v>
      </c>
      <c r="J12436" s="3">
        <v>1838</v>
      </c>
      <c r="K12436" s="3">
        <v>2965</v>
      </c>
      <c r="L12436" s="3">
        <v>21</v>
      </c>
      <c r="M12436" s="3">
        <v>396</v>
      </c>
    </row>
    <row r="12437" spans="1:13" x14ac:dyDescent="0.25">
      <c r="A12437" s="1" t="str">
        <f>HYPERLINK("http://www.rosaceae.org/Prunus/Prunus_persica/p.persica_gdr_reftransV1_0004091","p.persica_gdr_reftransV1_0004091")</f>
        <v>p.persica_gdr_reftransV1_0004091</v>
      </c>
      <c r="B12437" s="3">
        <v>9117</v>
      </c>
      <c r="C12437" s="1" t="str">
        <f>HYPERLINK("http://www.uniprot.org/uniprot/SACS_HUMAN","SACS_HUMAN")</f>
        <v>SACS_HUMAN</v>
      </c>
      <c r="D12437" t="s">
        <v>756</v>
      </c>
      <c r="E12437" s="3" t="s">
        <v>28</v>
      </c>
      <c r="F12437" s="4">
        <v>9.6200000000000002E-28</v>
      </c>
      <c r="G12437" s="3">
        <v>322</v>
      </c>
      <c r="H12437" s="3">
        <v>23</v>
      </c>
      <c r="I12437" s="3">
        <v>735</v>
      </c>
      <c r="J12437" s="3">
        <v>2145</v>
      </c>
      <c r="K12437" s="3">
        <v>4229</v>
      </c>
      <c r="L12437" s="3">
        <v>2275</v>
      </c>
      <c r="M12437" s="3">
        <v>2964</v>
      </c>
    </row>
    <row r="12438" spans="1:13" x14ac:dyDescent="0.25">
      <c r="A12438" s="1" t="str">
        <f>HYPERLINK("http://www.rosaceae.org/Prunus/Prunus_persica/p.persica_gdr_reftransV1_0004141","p.persica_gdr_reftransV1_0004141")</f>
        <v>p.persica_gdr_reftransV1_0004141</v>
      </c>
      <c r="B12438" s="3">
        <v>802</v>
      </c>
      <c r="C12438" s="1" t="str">
        <f>HYPERLINK("http://www.uniprot.org/uniprot/DR206_PEA","DR206_PEA")</f>
        <v>DR206_PEA</v>
      </c>
      <c r="D12438" t="s">
        <v>8568</v>
      </c>
      <c r="E12438" s="3" t="s">
        <v>60</v>
      </c>
      <c r="F12438" s="4">
        <v>3.58E-71</v>
      </c>
      <c r="G12438" s="3">
        <v>568</v>
      </c>
      <c r="H12438" s="3">
        <v>68</v>
      </c>
      <c r="I12438" s="3">
        <v>151</v>
      </c>
      <c r="J12438" s="3">
        <v>157</v>
      </c>
      <c r="K12438" s="3">
        <v>609</v>
      </c>
      <c r="L12438" s="3">
        <v>34</v>
      </c>
      <c r="M12438" s="3">
        <v>184</v>
      </c>
    </row>
    <row r="12439" spans="1:13" x14ac:dyDescent="0.25">
      <c r="A12439" s="1" t="str">
        <f>HYPERLINK("http://www.rosaceae.org/Prunus/Prunus_persica/p.persica_gdr_reftransV1_0004191","p.persica_gdr_reftransV1_0004191")</f>
        <v>p.persica_gdr_reftransV1_0004191</v>
      </c>
      <c r="B12439" s="3">
        <v>783</v>
      </c>
      <c r="C12439" s="1" t="str">
        <f>HYPERLINK("http://www.uniprot.org/uniprot/OLEE1_BETPN","OLEE1_BETPN")</f>
        <v>OLEE1_BETPN</v>
      </c>
      <c r="D12439" t="s">
        <v>6288</v>
      </c>
      <c r="E12439" s="3" t="s">
        <v>5635</v>
      </c>
      <c r="F12439" s="4">
        <v>3.4600000000000002E-63</v>
      </c>
      <c r="G12439" s="3">
        <v>513</v>
      </c>
      <c r="H12439" s="3">
        <v>60</v>
      </c>
      <c r="I12439" s="3">
        <v>159</v>
      </c>
      <c r="J12439" s="3">
        <v>247</v>
      </c>
      <c r="K12439" s="3">
        <v>723</v>
      </c>
      <c r="L12439" s="3">
        <v>4</v>
      </c>
      <c r="M12439" s="3">
        <v>162</v>
      </c>
    </row>
    <row r="12440" spans="1:13" x14ac:dyDescent="0.25">
      <c r="A12440" s="1" t="str">
        <f>HYPERLINK("http://www.rosaceae.org/Prunus/Prunus_persica/p.persica_gdr_reftransV1_0004241","p.persica_gdr_reftransV1_0004241")</f>
        <v>p.persica_gdr_reftransV1_0004241</v>
      </c>
      <c r="B12440" s="3">
        <v>1837</v>
      </c>
      <c r="C12440" s="1" t="str">
        <f>HYPERLINK("http://www.uniprot.org/uniprot/1A112_ARATH","1A112_ARATH")</f>
        <v>1A112_ARATH</v>
      </c>
      <c r="D12440" t="s">
        <v>8569</v>
      </c>
      <c r="E12440" s="3" t="s">
        <v>3</v>
      </c>
      <c r="F12440" s="4">
        <v>2.18E-84</v>
      </c>
      <c r="G12440" s="3">
        <v>713</v>
      </c>
      <c r="H12440" s="3">
        <v>64</v>
      </c>
      <c r="I12440" s="3">
        <v>198</v>
      </c>
      <c r="J12440" s="3">
        <v>3</v>
      </c>
      <c r="K12440" s="3">
        <v>596</v>
      </c>
      <c r="L12440" s="3">
        <v>298</v>
      </c>
      <c r="M12440" s="3">
        <v>495</v>
      </c>
    </row>
    <row r="12441" spans="1:13" x14ac:dyDescent="0.25">
      <c r="A12441" s="1" t="str">
        <f>HYPERLINK("http://www.rosaceae.org/Prunus/Prunus_persica/p.persica_gdr_reftransV1_0004341","p.persica_gdr_reftransV1_0004341")</f>
        <v>p.persica_gdr_reftransV1_0004341</v>
      </c>
      <c r="B12441" s="3">
        <v>1375</v>
      </c>
      <c r="C12441" s="1" t="str">
        <f>HYPERLINK("http://www.uniprot.org/uniprot/CCT13_ARATH","CCT13_ARATH")</f>
        <v>CCT13_ARATH</v>
      </c>
      <c r="D12441" t="s">
        <v>8570</v>
      </c>
      <c r="E12441" s="3" t="s">
        <v>3</v>
      </c>
      <c r="F12441" s="4">
        <v>3.4299999999999999E-75</v>
      </c>
      <c r="G12441" s="3">
        <v>624</v>
      </c>
      <c r="H12441" s="3">
        <v>63</v>
      </c>
      <c r="I12441" s="3">
        <v>182</v>
      </c>
      <c r="J12441" s="3">
        <v>526</v>
      </c>
      <c r="K12441" s="3">
        <v>1071</v>
      </c>
      <c r="L12441" s="3">
        <v>25</v>
      </c>
      <c r="M12441" s="3">
        <v>206</v>
      </c>
    </row>
    <row r="12442" spans="1:13" x14ac:dyDescent="0.25">
      <c r="A12442" s="1" t="str">
        <f>HYPERLINK("http://www.rosaceae.org/Prunus/Prunus_persica/p.persica_gdr_reftransV1_0005141","p.persica_gdr_reftransV1_0005141")</f>
        <v>p.persica_gdr_reftransV1_0005141</v>
      </c>
      <c r="B12442" s="3">
        <v>1457</v>
      </c>
      <c r="C12442" s="1" t="str">
        <f>HYPERLINK("http://www.uniprot.org/uniprot/MK16A_XENLA","MK16A_XENLA")</f>
        <v>MK16A_XENLA</v>
      </c>
      <c r="D12442" t="s">
        <v>8571</v>
      </c>
      <c r="E12442" s="3" t="s">
        <v>475</v>
      </c>
      <c r="F12442" s="4">
        <v>8.9400000000000004E-65</v>
      </c>
      <c r="G12442" s="3">
        <v>554</v>
      </c>
      <c r="H12442" s="3">
        <v>59</v>
      </c>
      <c r="I12442" s="3">
        <v>195</v>
      </c>
      <c r="J12442" s="3">
        <v>687</v>
      </c>
      <c r="K12442" s="3">
        <v>1268</v>
      </c>
      <c r="L12442" s="3">
        <v>1</v>
      </c>
      <c r="M12442" s="3">
        <v>191</v>
      </c>
    </row>
    <row r="12443" spans="1:13" x14ac:dyDescent="0.25">
      <c r="A12443" s="1" t="str">
        <f>HYPERLINK("http://www.rosaceae.org/Prunus/Prunus_persica/p.persica_gdr_reftransV1_0005191","p.persica_gdr_reftransV1_0005191")</f>
        <v>p.persica_gdr_reftransV1_0005191</v>
      </c>
      <c r="B12443" s="3">
        <v>801</v>
      </c>
      <c r="C12443" s="1" t="str">
        <f>HYPERLINK("http://www.uniprot.org/uniprot/YF48_SCHPO","YF48_SCHPO")</f>
        <v>YF48_SCHPO</v>
      </c>
      <c r="D12443" t="s">
        <v>8572</v>
      </c>
      <c r="E12443" s="3" t="s">
        <v>464</v>
      </c>
      <c r="F12443" s="4">
        <v>1.39E-47</v>
      </c>
      <c r="G12443" s="3">
        <v>441</v>
      </c>
      <c r="H12443" s="3">
        <v>42</v>
      </c>
      <c r="I12443" s="3">
        <v>218</v>
      </c>
      <c r="J12443" s="3">
        <v>142</v>
      </c>
      <c r="K12443" s="3">
        <v>789</v>
      </c>
      <c r="L12443" s="3">
        <v>319</v>
      </c>
      <c r="M12443" s="3">
        <v>526</v>
      </c>
    </row>
    <row r="12444" spans="1:13" x14ac:dyDescent="0.25">
      <c r="A12444" s="1" t="str">
        <f>HYPERLINK("http://www.rosaceae.org/Prunus/Prunus_persica/p.persica_gdr_reftransV1_0005241","p.persica_gdr_reftransV1_0005241")</f>
        <v>p.persica_gdr_reftransV1_0005241</v>
      </c>
      <c r="B12444" s="3">
        <v>1594</v>
      </c>
      <c r="C12444" s="1" t="str">
        <f>HYPERLINK("http://www.uniprot.org/uniprot/SERC3_PONAB","SERC3_PONAB")</f>
        <v>SERC3_PONAB</v>
      </c>
      <c r="D12444" t="s">
        <v>8573</v>
      </c>
      <c r="E12444" s="3" t="s">
        <v>176</v>
      </c>
      <c r="F12444" s="4">
        <v>1.5699999999999999E-22</v>
      </c>
      <c r="G12444" s="3">
        <v>259</v>
      </c>
      <c r="H12444" s="3">
        <v>32</v>
      </c>
      <c r="I12444" s="3">
        <v>258</v>
      </c>
      <c r="J12444" s="3">
        <v>670</v>
      </c>
      <c r="K12444" s="3">
        <v>1377</v>
      </c>
      <c r="L12444" s="3">
        <v>42</v>
      </c>
      <c r="M12444" s="3">
        <v>296</v>
      </c>
    </row>
    <row r="12445" spans="1:13" x14ac:dyDescent="0.25">
      <c r="A12445" s="1" t="str">
        <f>HYPERLINK("http://www.rosaceae.org/Prunus/Prunus_persica/p.persica_gdr_reftransV1_0005341","p.persica_gdr_reftransV1_0005341")</f>
        <v>p.persica_gdr_reftransV1_0005341</v>
      </c>
      <c r="B12445" s="3">
        <v>1709</v>
      </c>
      <c r="C12445" s="1" t="str">
        <f>HYPERLINK("http://www.uniprot.org/uniprot/ARAE1_ARATH","ARAE1_ARATH")</f>
        <v>ARAE1_ARATH</v>
      </c>
      <c r="D12445" t="s">
        <v>2911</v>
      </c>
      <c r="E12445" s="3" t="s">
        <v>3</v>
      </c>
      <c r="F12445" s="4">
        <v>0</v>
      </c>
      <c r="G12445" s="3">
        <v>1872</v>
      </c>
      <c r="H12445" s="3">
        <v>88</v>
      </c>
      <c r="I12445" s="3">
        <v>389</v>
      </c>
      <c r="J12445" s="3">
        <v>175</v>
      </c>
      <c r="K12445" s="3">
        <v>1341</v>
      </c>
      <c r="L12445" s="3">
        <v>22</v>
      </c>
      <c r="M12445" s="3">
        <v>410</v>
      </c>
    </row>
    <row r="12446" spans="1:13" x14ac:dyDescent="0.25">
      <c r="A12446" s="1" t="str">
        <f>HYPERLINK("http://www.rosaceae.org/Prunus/Prunus_persica/p.persica_gdr_reftransV1_0005391","p.persica_gdr_reftransV1_0005391")</f>
        <v>p.persica_gdr_reftransV1_0005391</v>
      </c>
      <c r="B12446" s="3">
        <v>2372</v>
      </c>
      <c r="C12446" s="1" t="str">
        <f>HYPERLINK("http://www.uniprot.org/uniprot/P2C35_ARATH","P2C35_ARATH")</f>
        <v>P2C35_ARATH</v>
      </c>
      <c r="D12446" t="s">
        <v>8574</v>
      </c>
      <c r="E12446" s="3" t="s">
        <v>3</v>
      </c>
      <c r="F12446" s="4">
        <v>7.18E-132</v>
      </c>
      <c r="G12446" s="3">
        <v>1035</v>
      </c>
      <c r="H12446" s="3">
        <v>80</v>
      </c>
      <c r="I12446" s="3">
        <v>238</v>
      </c>
      <c r="J12446" s="3">
        <v>897</v>
      </c>
      <c r="K12446" s="3">
        <v>1610</v>
      </c>
      <c r="L12446" s="3">
        <v>108</v>
      </c>
      <c r="M12446" s="3">
        <v>345</v>
      </c>
    </row>
    <row r="12447" spans="1:13" x14ac:dyDescent="0.25">
      <c r="A12447" s="1" t="str">
        <f>HYPERLINK("http://www.rosaceae.org/Prunus/Prunus_persica/p.persica_gdr_reftransV1_0005491","p.persica_gdr_reftransV1_0005491")</f>
        <v>p.persica_gdr_reftransV1_0005491</v>
      </c>
      <c r="B12447" s="3">
        <v>1007</v>
      </c>
      <c r="C12447" s="1" t="str">
        <f>HYPERLINK("http://www.uniprot.org/uniprot/14337_SOLLC","14337_SOLLC")</f>
        <v>14337_SOLLC</v>
      </c>
      <c r="D12447" t="s">
        <v>8575</v>
      </c>
      <c r="E12447" s="3" t="s">
        <v>64</v>
      </c>
      <c r="F12447" s="4">
        <v>1.6399999999999999E-149</v>
      </c>
      <c r="G12447" s="3">
        <v>1100</v>
      </c>
      <c r="H12447" s="3">
        <v>84</v>
      </c>
      <c r="I12447" s="3">
        <v>248</v>
      </c>
      <c r="J12447" s="3">
        <v>218</v>
      </c>
      <c r="K12447" s="3">
        <v>961</v>
      </c>
      <c r="L12447" s="3">
        <v>1</v>
      </c>
      <c r="M12447" s="3">
        <v>247</v>
      </c>
    </row>
    <row r="12448" spans="1:13" x14ac:dyDescent="0.25">
      <c r="A12448" s="1" t="str">
        <f>HYPERLINK("http://www.rosaceae.org/Prunus/Prunus_persica/p.persica_gdr_reftransV1_0005691","p.persica_gdr_reftransV1_0005691")</f>
        <v>p.persica_gdr_reftransV1_0005691</v>
      </c>
      <c r="B12448" s="3">
        <v>376</v>
      </c>
      <c r="C12448" s="1" t="str">
        <f>HYPERLINK("http://www.uniprot.org/uniprot/U76F1_ARATH","U76F1_ARATH")</f>
        <v>U76F1_ARATH</v>
      </c>
      <c r="D12448" t="s">
        <v>6611</v>
      </c>
      <c r="E12448" s="3" t="s">
        <v>3</v>
      </c>
      <c r="F12448" s="4">
        <v>1.27E-30</v>
      </c>
      <c r="G12448" s="3">
        <v>294</v>
      </c>
      <c r="H12448" s="3">
        <v>50</v>
      </c>
      <c r="I12448" s="3">
        <v>125</v>
      </c>
      <c r="J12448" s="3">
        <v>1</v>
      </c>
      <c r="K12448" s="3">
        <v>375</v>
      </c>
      <c r="L12448" s="3">
        <v>162</v>
      </c>
      <c r="M12448" s="3">
        <v>280</v>
      </c>
    </row>
    <row r="12449" spans="1:13" x14ac:dyDescent="0.25">
      <c r="A12449" s="1" t="str">
        <f>HYPERLINK("http://www.rosaceae.org/Prunus/Prunus_persica/p.persica_gdr_reftransV1_0005791","p.persica_gdr_reftransV1_0005791")</f>
        <v>p.persica_gdr_reftransV1_0005791</v>
      </c>
      <c r="B12449" s="3">
        <v>2094</v>
      </c>
      <c r="C12449" s="1" t="str">
        <f>HYPERLINK("http://www.uniprot.org/uniprot/BGL24_ORYSJ","BGL24_ORYSJ")</f>
        <v>BGL24_ORYSJ</v>
      </c>
      <c r="D12449" t="s">
        <v>8012</v>
      </c>
      <c r="E12449" s="3" t="s">
        <v>38</v>
      </c>
      <c r="F12449" s="4">
        <v>0</v>
      </c>
      <c r="G12449" s="3">
        <v>1625</v>
      </c>
      <c r="H12449" s="3">
        <v>61</v>
      </c>
      <c r="I12449" s="3">
        <v>472</v>
      </c>
      <c r="J12449" s="3">
        <v>504</v>
      </c>
      <c r="K12449" s="3">
        <v>1916</v>
      </c>
      <c r="L12449" s="3">
        <v>33</v>
      </c>
      <c r="M12449" s="3">
        <v>502</v>
      </c>
    </row>
    <row r="12450" spans="1:13" x14ac:dyDescent="0.25">
      <c r="A12450" s="1" t="str">
        <f>HYPERLINK("http://www.rosaceae.org/Prunus/Prunus_persica/p.persica_gdr_reftransV1_0006091","p.persica_gdr_reftransV1_0006091")</f>
        <v>p.persica_gdr_reftransV1_0006091</v>
      </c>
      <c r="B12450" s="3">
        <v>792</v>
      </c>
      <c r="C12450" s="1" t="str">
        <f>HYPERLINK("http://www.uniprot.org/uniprot/PGLR1_SCLSC","PGLR1_SCLSC")</f>
        <v>PGLR1_SCLSC</v>
      </c>
      <c r="D12450" t="s">
        <v>8576</v>
      </c>
      <c r="E12450" s="3" t="s">
        <v>8577</v>
      </c>
      <c r="F12450" s="4">
        <v>1.38E-115</v>
      </c>
      <c r="G12450" s="3">
        <v>881</v>
      </c>
      <c r="H12450" s="3">
        <v>88</v>
      </c>
      <c r="I12450" s="3">
        <v>263</v>
      </c>
      <c r="J12450" s="3">
        <v>2</v>
      </c>
      <c r="K12450" s="3">
        <v>790</v>
      </c>
      <c r="L12450" s="3">
        <v>111</v>
      </c>
      <c r="M12450" s="3">
        <v>371</v>
      </c>
    </row>
    <row r="12451" spans="1:13" x14ac:dyDescent="0.25">
      <c r="A12451" s="1" t="str">
        <f>HYPERLINK("http://www.rosaceae.org/Prunus/Prunus_persica/p.persica_gdr_reftransV1_0006191","p.persica_gdr_reftransV1_0006191")</f>
        <v>p.persica_gdr_reftransV1_0006191</v>
      </c>
      <c r="B12451" s="3">
        <v>3786</v>
      </c>
      <c r="C12451" s="1" t="str">
        <f>HYPERLINK("http://www.uniprot.org/uniprot/DRL28_ARATH","DRL28_ARATH")</f>
        <v>DRL28_ARATH</v>
      </c>
      <c r="D12451" t="s">
        <v>452</v>
      </c>
      <c r="E12451" s="3" t="s">
        <v>3</v>
      </c>
      <c r="F12451" s="4">
        <v>5.4900000000000002E-12</v>
      </c>
      <c r="G12451" s="3">
        <v>181</v>
      </c>
      <c r="H12451" s="3">
        <v>26</v>
      </c>
      <c r="I12451" s="3">
        <v>433</v>
      </c>
      <c r="J12451" s="3">
        <v>2525</v>
      </c>
      <c r="K12451" s="3">
        <v>3778</v>
      </c>
      <c r="L12451" s="3">
        <v>427</v>
      </c>
      <c r="M12451" s="3">
        <v>815</v>
      </c>
    </row>
    <row r="12452" spans="1:13" x14ac:dyDescent="0.25">
      <c r="A12452" s="1" t="str">
        <f>HYPERLINK("http://www.rosaceae.org/Prunus/Prunus_persica/p.persica_gdr_reftransV1_0006241","p.persica_gdr_reftransV1_0006241")</f>
        <v>p.persica_gdr_reftransV1_0006241</v>
      </c>
      <c r="B12452" s="3">
        <v>2199</v>
      </c>
      <c r="C12452" s="1" t="str">
        <f>HYPERLINK("http://www.uniprot.org/uniprot/PHO13_ARATH","PHO13_ARATH")</f>
        <v>PHO13_ARATH</v>
      </c>
      <c r="D12452" t="s">
        <v>8578</v>
      </c>
      <c r="E12452" s="3" t="s">
        <v>3</v>
      </c>
      <c r="F12452" s="4">
        <v>0</v>
      </c>
      <c r="G12452" s="3">
        <v>1995</v>
      </c>
      <c r="H12452" s="3">
        <v>65</v>
      </c>
      <c r="I12452" s="3">
        <v>623</v>
      </c>
      <c r="J12452" s="3">
        <v>282</v>
      </c>
      <c r="K12452" s="3">
        <v>2150</v>
      </c>
      <c r="L12452" s="3">
        <v>247</v>
      </c>
      <c r="M12452" s="3">
        <v>811</v>
      </c>
    </row>
    <row r="12453" spans="1:13" x14ac:dyDescent="0.25">
      <c r="A12453" s="1" t="str">
        <f>HYPERLINK("http://www.rosaceae.org/Prunus/Prunus_persica/p.persica_gdr_reftransV1_0006541","p.persica_gdr_reftransV1_0006541")</f>
        <v>p.persica_gdr_reftransV1_0006541</v>
      </c>
      <c r="B12453" s="3">
        <v>1689</v>
      </c>
      <c r="C12453" s="1" t="str">
        <f>HYPERLINK("http://www.uniprot.org/uniprot/NTPR_ENTHA","NTPR_ENTHA")</f>
        <v>NTPR_ENTHA</v>
      </c>
      <c r="D12453" t="s">
        <v>8579</v>
      </c>
      <c r="E12453" s="3" t="s">
        <v>8580</v>
      </c>
      <c r="F12453" s="4">
        <v>2.7900000000000002E-19</v>
      </c>
      <c r="G12453" s="3">
        <v>226</v>
      </c>
      <c r="H12453" s="3">
        <v>28</v>
      </c>
      <c r="I12453" s="3">
        <v>269</v>
      </c>
      <c r="J12453" s="3">
        <v>770</v>
      </c>
      <c r="K12453" s="3">
        <v>1561</v>
      </c>
      <c r="L12453" s="3">
        <v>12</v>
      </c>
      <c r="M12453" s="3">
        <v>234</v>
      </c>
    </row>
    <row r="12454" spans="1:13" x14ac:dyDescent="0.25">
      <c r="A12454" s="1" t="str">
        <f>HYPERLINK("http://www.rosaceae.org/Prunus/Prunus_persica/p.persica_gdr_reftransV1_0006741","p.persica_gdr_reftransV1_0006741")</f>
        <v>p.persica_gdr_reftransV1_0006741</v>
      </c>
      <c r="B12454" s="3">
        <v>2533</v>
      </c>
      <c r="C12454" s="1" t="str">
        <f>HYPERLINK("http://www.uniprot.org/uniprot/A4GAT_MOUSE","A4GAT_MOUSE")</f>
        <v>A4GAT_MOUSE</v>
      </c>
      <c r="D12454" t="s">
        <v>8581</v>
      </c>
      <c r="E12454" s="3" t="s">
        <v>157</v>
      </c>
      <c r="F12454" s="4">
        <v>8.3799999999999997E-33</v>
      </c>
      <c r="G12454" s="3">
        <v>340</v>
      </c>
      <c r="H12454" s="3">
        <v>34</v>
      </c>
      <c r="I12454" s="3">
        <v>265</v>
      </c>
      <c r="J12454" s="3">
        <v>683</v>
      </c>
      <c r="K12454" s="3">
        <v>1441</v>
      </c>
      <c r="L12454" s="3">
        <v>103</v>
      </c>
      <c r="M12454" s="3">
        <v>348</v>
      </c>
    </row>
    <row r="12455" spans="1:13" x14ac:dyDescent="0.25">
      <c r="A12455" s="1" t="str">
        <f>HYPERLINK("http://www.rosaceae.org/Prunus/Prunus_persica/p.persica_gdr_reftransV1_0006791","p.persica_gdr_reftransV1_0006791")</f>
        <v>p.persica_gdr_reftransV1_0006791</v>
      </c>
      <c r="B12455" s="3">
        <v>2426</v>
      </c>
      <c r="C12455" s="1" t="str">
        <f>HYPERLINK("http://www.uniprot.org/uniprot/NPH3_ORYSJ","NPH3_ORYSJ")</f>
        <v>NPH3_ORYSJ</v>
      </c>
      <c r="D12455" t="s">
        <v>6469</v>
      </c>
      <c r="E12455" s="3" t="s">
        <v>38</v>
      </c>
      <c r="F12455" s="4">
        <v>2.4400000000000001E-42</v>
      </c>
      <c r="G12455" s="3">
        <v>427</v>
      </c>
      <c r="H12455" s="3">
        <v>36</v>
      </c>
      <c r="I12455" s="3">
        <v>298</v>
      </c>
      <c r="J12455" s="3">
        <v>1553</v>
      </c>
      <c r="K12455" s="3">
        <v>2251</v>
      </c>
      <c r="L12455" s="3">
        <v>259</v>
      </c>
      <c r="M12455" s="3">
        <v>556</v>
      </c>
    </row>
    <row r="12456" spans="1:13" x14ac:dyDescent="0.25">
      <c r="A12456" s="1" t="str">
        <f>HYPERLINK("http://www.rosaceae.org/Prunus/Prunus_persica/p.persica_gdr_reftransV1_0006891","p.persica_gdr_reftransV1_0006891")</f>
        <v>p.persica_gdr_reftransV1_0006891</v>
      </c>
      <c r="B12456" s="3">
        <v>1179</v>
      </c>
      <c r="C12456" s="1" t="str">
        <f>HYPERLINK("http://www.uniprot.org/uniprot/EST_HEVBR","EST_HEVBR")</f>
        <v>EST_HEVBR</v>
      </c>
      <c r="D12456" t="s">
        <v>5650</v>
      </c>
      <c r="E12456" s="3" t="s">
        <v>24</v>
      </c>
      <c r="F12456" s="4">
        <v>5.4E-129</v>
      </c>
      <c r="G12456" s="3">
        <v>984</v>
      </c>
      <c r="H12456" s="3">
        <v>69</v>
      </c>
      <c r="I12456" s="3">
        <v>259</v>
      </c>
      <c r="J12456" s="3">
        <v>406</v>
      </c>
      <c r="K12456" s="3">
        <v>1176</v>
      </c>
      <c r="L12456" s="3">
        <v>125</v>
      </c>
      <c r="M12456" s="3">
        <v>382</v>
      </c>
    </row>
    <row r="12457" spans="1:13" x14ac:dyDescent="0.25">
      <c r="A12457" s="1" t="str">
        <f>HYPERLINK("http://www.rosaceae.org/Prunus/Prunus_persica/p.persica_gdr_reftransV1_0006991","p.persica_gdr_reftransV1_0006991")</f>
        <v>p.persica_gdr_reftransV1_0006991</v>
      </c>
      <c r="B12457" s="3">
        <v>1004</v>
      </c>
      <c r="C12457" s="1" t="str">
        <f>HYPERLINK("http://www.uniprot.org/uniprot/MY108_ARATH","MY108_ARATH")</f>
        <v>MY108_ARATH</v>
      </c>
      <c r="D12457" t="s">
        <v>8582</v>
      </c>
      <c r="E12457" s="3" t="s">
        <v>3</v>
      </c>
      <c r="F12457" s="4">
        <v>6.1600000000000003E-18</v>
      </c>
      <c r="G12457" s="3">
        <v>212</v>
      </c>
      <c r="H12457" s="3">
        <v>63</v>
      </c>
      <c r="I12457" s="3">
        <v>57</v>
      </c>
      <c r="J12457" s="3">
        <v>834</v>
      </c>
      <c r="K12457" s="3">
        <v>1004</v>
      </c>
      <c r="L12457" s="3">
        <v>96</v>
      </c>
      <c r="M12457" s="3">
        <v>152</v>
      </c>
    </row>
    <row r="12458" spans="1:13" x14ac:dyDescent="0.25">
      <c r="A12458" s="1" t="str">
        <f>HYPERLINK("http://www.rosaceae.org/Prunus/Prunus_persica/p.persica_gdr_reftransV1_0007041","p.persica_gdr_reftransV1_0007041")</f>
        <v>p.persica_gdr_reftransV1_0007041</v>
      </c>
      <c r="B12458" s="3">
        <v>916</v>
      </c>
      <c r="C12458" s="1" t="str">
        <f>HYPERLINK("http://www.uniprot.org/uniprot/GLR28_ARATH","GLR28_ARATH")</f>
        <v>GLR28_ARATH</v>
      </c>
      <c r="D12458" t="s">
        <v>3106</v>
      </c>
      <c r="E12458" s="3" t="s">
        <v>3</v>
      </c>
      <c r="F12458" s="4">
        <v>1.85E-45</v>
      </c>
      <c r="G12458" s="3">
        <v>429</v>
      </c>
      <c r="H12458" s="3">
        <v>51</v>
      </c>
      <c r="I12458" s="3">
        <v>161</v>
      </c>
      <c r="J12458" s="3">
        <v>33</v>
      </c>
      <c r="K12458" s="3">
        <v>515</v>
      </c>
      <c r="L12458" s="3">
        <v>722</v>
      </c>
      <c r="M12458" s="3">
        <v>879</v>
      </c>
    </row>
    <row r="12459" spans="1:13" x14ac:dyDescent="0.25">
      <c r="A12459" s="1" t="str">
        <f>HYPERLINK("http://www.rosaceae.org/Prunus/Prunus_persica/p.persica_gdr_reftransV1_0007091","p.persica_gdr_reftransV1_0007091")</f>
        <v>p.persica_gdr_reftransV1_0007091</v>
      </c>
      <c r="B12459" s="3">
        <v>958</v>
      </c>
      <c r="C12459" s="1" t="str">
        <f>HYPERLINK("http://www.uniprot.org/uniprot/Y3122_ARATH","Y3122_ARATH")</f>
        <v>Y3122_ARATH</v>
      </c>
      <c r="D12459" t="s">
        <v>8583</v>
      </c>
      <c r="E12459" s="3" t="s">
        <v>3</v>
      </c>
      <c r="F12459" s="4">
        <v>2.22E-26</v>
      </c>
      <c r="G12459" s="3">
        <v>268</v>
      </c>
      <c r="H12459" s="3">
        <v>41</v>
      </c>
      <c r="I12459" s="3">
        <v>205</v>
      </c>
      <c r="J12459" s="3">
        <v>221</v>
      </c>
      <c r="K12459" s="3">
        <v>808</v>
      </c>
      <c r="L12459" s="3">
        <v>1</v>
      </c>
      <c r="M12459" s="3">
        <v>185</v>
      </c>
    </row>
    <row r="12460" spans="1:13" x14ac:dyDescent="0.25">
      <c r="A12460" s="1" t="str">
        <f>HYPERLINK("http://www.rosaceae.org/Prunus/Prunus_persica/p.persica_gdr_reftransV1_0007291","p.persica_gdr_reftransV1_0007291")</f>
        <v>p.persica_gdr_reftransV1_0007291</v>
      </c>
      <c r="B12460" s="3">
        <v>1677</v>
      </c>
      <c r="C12460" s="1" t="str">
        <f>HYPERLINK("http://www.uniprot.org/uniprot/NDUF7_DICDI","NDUF7_DICDI")</f>
        <v>NDUF7_DICDI</v>
      </c>
      <c r="D12460" t="s">
        <v>4412</v>
      </c>
      <c r="E12460" s="3" t="s">
        <v>9</v>
      </c>
      <c r="F12460" s="4">
        <v>6.3799999999999998E-99</v>
      </c>
      <c r="G12460" s="3">
        <v>807</v>
      </c>
      <c r="H12460" s="3">
        <v>41</v>
      </c>
      <c r="I12460" s="3">
        <v>429</v>
      </c>
      <c r="J12460" s="3">
        <v>223</v>
      </c>
      <c r="K12460" s="3">
        <v>1449</v>
      </c>
      <c r="L12460" s="3">
        <v>64</v>
      </c>
      <c r="M12460" s="3">
        <v>464</v>
      </c>
    </row>
    <row r="12461" spans="1:13" x14ac:dyDescent="0.25">
      <c r="A12461" s="1" t="str">
        <f>HYPERLINK("http://www.rosaceae.org/Prunus/Prunus_persica/p.persica_gdr_reftransV1_0007491","p.persica_gdr_reftransV1_0007491")</f>
        <v>p.persica_gdr_reftransV1_0007491</v>
      </c>
      <c r="B12461" s="3">
        <v>2233</v>
      </c>
      <c r="C12461" s="1" t="str">
        <f>HYPERLINK("http://www.uniprot.org/uniprot/RH24_ARATH","RH24_ARATH")</f>
        <v>RH24_ARATH</v>
      </c>
      <c r="D12461" t="s">
        <v>8584</v>
      </c>
      <c r="E12461" s="3" t="s">
        <v>3</v>
      </c>
      <c r="F12461" s="4">
        <v>0</v>
      </c>
      <c r="G12461" s="3">
        <v>2469</v>
      </c>
      <c r="H12461" s="3">
        <v>82</v>
      </c>
      <c r="I12461" s="3">
        <v>614</v>
      </c>
      <c r="J12461" s="3">
        <v>238</v>
      </c>
      <c r="K12461" s="3">
        <v>2079</v>
      </c>
      <c r="L12461" s="3">
        <v>1</v>
      </c>
      <c r="M12461" s="3">
        <v>609</v>
      </c>
    </row>
    <row r="12462" spans="1:13" x14ac:dyDescent="0.25">
      <c r="A12462" s="1" t="str">
        <f>HYPERLINK("http://www.rosaceae.org/Prunus/Prunus_persica/p.persica_gdr_reftransV1_0007541","p.persica_gdr_reftransV1_0007541")</f>
        <v>p.persica_gdr_reftransV1_0007541</v>
      </c>
      <c r="B12462" s="3">
        <v>811</v>
      </c>
      <c r="C12462" s="1" t="str">
        <f>HYPERLINK("http://www.uniprot.org/uniprot/HIP26_ARATH","HIP26_ARATH")</f>
        <v>HIP26_ARATH</v>
      </c>
      <c r="D12462" t="s">
        <v>413</v>
      </c>
      <c r="E12462" s="3" t="s">
        <v>3</v>
      </c>
      <c r="F12462" s="4">
        <v>4.7100000000000001E-13</v>
      </c>
      <c r="G12462" s="3">
        <v>166</v>
      </c>
      <c r="H12462" s="3">
        <v>45</v>
      </c>
      <c r="I12462" s="3">
        <v>74</v>
      </c>
      <c r="J12462" s="3">
        <v>87</v>
      </c>
      <c r="K12462" s="3">
        <v>302</v>
      </c>
      <c r="L12462" s="3">
        <v>28</v>
      </c>
      <c r="M12462" s="3">
        <v>101</v>
      </c>
    </row>
    <row r="12463" spans="1:13" x14ac:dyDescent="0.25">
      <c r="A12463" s="1" t="str">
        <f>HYPERLINK("http://www.rosaceae.org/Prunus/Prunus_persica/p.persica_gdr_reftransV1_0007641","p.persica_gdr_reftransV1_0007641")</f>
        <v>p.persica_gdr_reftransV1_0007641</v>
      </c>
      <c r="B12463" s="3">
        <v>2309</v>
      </c>
      <c r="C12463" s="1" t="str">
        <f>HYPERLINK("http://www.uniprot.org/uniprot/PP425_ARATH","PP425_ARATH")</f>
        <v>PP425_ARATH</v>
      </c>
      <c r="D12463" t="s">
        <v>2006</v>
      </c>
      <c r="E12463" s="3" t="s">
        <v>3</v>
      </c>
      <c r="F12463" s="4">
        <v>0</v>
      </c>
      <c r="G12463" s="3">
        <v>2230</v>
      </c>
      <c r="H12463" s="3">
        <v>67</v>
      </c>
      <c r="I12463" s="3">
        <v>622</v>
      </c>
      <c r="J12463" s="3">
        <v>227</v>
      </c>
      <c r="K12463" s="3">
        <v>2077</v>
      </c>
      <c r="L12463" s="3">
        <v>26</v>
      </c>
      <c r="M12463" s="3">
        <v>646</v>
      </c>
    </row>
    <row r="12464" spans="1:13" x14ac:dyDescent="0.25">
      <c r="A12464" s="1" t="str">
        <f>HYPERLINK("http://www.rosaceae.org/Prunus/Prunus_persica/p.persica_gdr_reftransV1_0007791","p.persica_gdr_reftransV1_0007791")</f>
        <v>p.persica_gdr_reftransV1_0007791</v>
      </c>
      <c r="B12464" s="3">
        <v>322</v>
      </c>
      <c r="C12464" s="1" t="str">
        <f>HYPERLINK("http://www.uniprot.org/uniprot/RH28_ARATH","RH28_ARATH")</f>
        <v>RH28_ARATH</v>
      </c>
      <c r="D12464" t="s">
        <v>1686</v>
      </c>
      <c r="E12464" s="3" t="s">
        <v>3</v>
      </c>
      <c r="F12464" s="4">
        <v>3.6800000000000001E-9</v>
      </c>
      <c r="G12464" s="3">
        <v>137</v>
      </c>
      <c r="H12464" s="3">
        <v>34</v>
      </c>
      <c r="I12464" s="3">
        <v>128</v>
      </c>
      <c r="J12464" s="3">
        <v>12</v>
      </c>
      <c r="K12464" s="3">
        <v>320</v>
      </c>
      <c r="L12464" s="3">
        <v>66</v>
      </c>
      <c r="M12464" s="3">
        <v>193</v>
      </c>
    </row>
    <row r="12465" spans="1:13" x14ac:dyDescent="0.25">
      <c r="A12465" s="1" t="str">
        <f>HYPERLINK("http://www.rosaceae.org/Prunus/Prunus_persica/p.persica_gdr_reftransV1_0007891","p.persica_gdr_reftransV1_0007891")</f>
        <v>p.persica_gdr_reftransV1_0007891</v>
      </c>
      <c r="B12465" s="3">
        <v>2712</v>
      </c>
      <c r="C12465" s="1" t="str">
        <f>HYPERLINK("http://www.uniprot.org/uniprot/APC4_ARATH","APC4_ARATH")</f>
        <v>APC4_ARATH</v>
      </c>
      <c r="D12465" t="s">
        <v>8585</v>
      </c>
      <c r="E12465" s="3" t="s">
        <v>3</v>
      </c>
      <c r="F12465" s="4">
        <v>0</v>
      </c>
      <c r="G12465" s="3">
        <v>2650</v>
      </c>
      <c r="H12465" s="3">
        <v>70</v>
      </c>
      <c r="I12465" s="3">
        <v>765</v>
      </c>
      <c r="J12465" s="3">
        <v>238</v>
      </c>
      <c r="K12465" s="3">
        <v>2532</v>
      </c>
      <c r="L12465" s="3">
        <v>4</v>
      </c>
      <c r="M12465" s="3">
        <v>765</v>
      </c>
    </row>
    <row r="12466" spans="1:13" x14ac:dyDescent="0.25">
      <c r="A12466" s="1" t="str">
        <f>HYPERLINK("http://www.rosaceae.org/Prunus/Prunus_persica/p.persica_gdr_reftransV1_0007941","p.persica_gdr_reftransV1_0007941")</f>
        <v>p.persica_gdr_reftransV1_0007941</v>
      </c>
      <c r="B12466" s="3">
        <v>1119</v>
      </c>
      <c r="C12466" s="1" t="str">
        <f>HYPERLINK("http://www.uniprot.org/uniprot/EF1G2_ORYSJ","EF1G2_ORYSJ")</f>
        <v>EF1G2_ORYSJ</v>
      </c>
      <c r="D12466" t="s">
        <v>8586</v>
      </c>
      <c r="E12466" s="3" t="s">
        <v>38</v>
      </c>
      <c r="F12466" s="4">
        <v>4.6000000000000003E-152</v>
      </c>
      <c r="G12466" s="3">
        <v>1138</v>
      </c>
      <c r="H12466" s="3">
        <v>75</v>
      </c>
      <c r="I12466" s="3">
        <v>305</v>
      </c>
      <c r="J12466" s="3">
        <v>1</v>
      </c>
      <c r="K12466" s="3">
        <v>915</v>
      </c>
      <c r="L12466" s="3">
        <v>1</v>
      </c>
      <c r="M12466" s="3">
        <v>302</v>
      </c>
    </row>
    <row r="12467" spans="1:13" x14ac:dyDescent="0.25">
      <c r="A12467" s="1" t="str">
        <f>HYPERLINK("http://www.rosaceae.org/Prunus/Prunus_persica/p.persica_gdr_reftransV1_0007991","p.persica_gdr_reftransV1_0007991")</f>
        <v>p.persica_gdr_reftransV1_0007991</v>
      </c>
      <c r="B12467" s="3">
        <v>4714</v>
      </c>
      <c r="C12467" s="1" t="str">
        <f>HYPERLINK("http://www.uniprot.org/uniprot/NDHH_MORIN","NDHH_MORIN")</f>
        <v>NDHH_MORIN</v>
      </c>
      <c r="D12467" t="s">
        <v>68</v>
      </c>
      <c r="E12467" s="3" t="s">
        <v>69</v>
      </c>
      <c r="F12467" s="4">
        <v>1.31E-161</v>
      </c>
      <c r="G12467" s="3">
        <v>1291</v>
      </c>
      <c r="H12467" s="3">
        <v>98</v>
      </c>
      <c r="I12467" s="3">
        <v>249</v>
      </c>
      <c r="J12467" s="3">
        <v>3968</v>
      </c>
      <c r="K12467" s="3">
        <v>4714</v>
      </c>
      <c r="L12467" s="3">
        <v>145</v>
      </c>
      <c r="M12467" s="3">
        <v>393</v>
      </c>
    </row>
    <row r="12468" spans="1:13" x14ac:dyDescent="0.25">
      <c r="A12468" s="1" t="str">
        <f>HYPERLINK("http://www.rosaceae.org/Prunus/Prunus_persica/p.persica_gdr_reftransV1_0008091","p.persica_gdr_reftransV1_0008091")</f>
        <v>p.persica_gdr_reftransV1_0008091</v>
      </c>
      <c r="B12468" s="3">
        <v>3454</v>
      </c>
      <c r="C12468" s="1" t="str">
        <f>HYPERLINK("http://www.uniprot.org/uniprot/LMLN_DROPS","LMLN_DROPS")</f>
        <v>LMLN_DROPS</v>
      </c>
      <c r="D12468" t="s">
        <v>8587</v>
      </c>
      <c r="E12468" s="3" t="s">
        <v>3741</v>
      </c>
      <c r="F12468" s="4">
        <v>3.1799999999999999E-48</v>
      </c>
      <c r="G12468" s="3">
        <v>477</v>
      </c>
      <c r="H12468" s="3">
        <v>28</v>
      </c>
      <c r="I12468" s="3">
        <v>535</v>
      </c>
      <c r="J12468" s="3">
        <v>1065</v>
      </c>
      <c r="K12468" s="3">
        <v>2312</v>
      </c>
      <c r="L12468" s="3">
        <v>105</v>
      </c>
      <c r="M12468" s="3">
        <v>637</v>
      </c>
    </row>
    <row r="12469" spans="1:13" x14ac:dyDescent="0.25">
      <c r="A12469" s="1" t="str">
        <f>HYPERLINK("http://www.rosaceae.org/Prunus/Prunus_persica/p.persica_gdr_reftransV1_0008141","p.persica_gdr_reftransV1_0008141")</f>
        <v>p.persica_gdr_reftransV1_0008141</v>
      </c>
      <c r="B12469" s="3">
        <v>3940</v>
      </c>
      <c r="C12469" s="1" t="str">
        <f>HYPERLINK("http://www.uniprot.org/uniprot/PGLR_MALDO","PGLR_MALDO")</f>
        <v>PGLR_MALDO</v>
      </c>
      <c r="D12469" t="s">
        <v>8588</v>
      </c>
      <c r="E12469" s="3" t="s">
        <v>540</v>
      </c>
      <c r="F12469" s="4">
        <v>1.45E-154</v>
      </c>
      <c r="G12469" s="3">
        <v>1235</v>
      </c>
      <c r="H12469" s="3">
        <v>87</v>
      </c>
      <c r="I12469" s="3">
        <v>280</v>
      </c>
      <c r="J12469" s="3">
        <v>3100</v>
      </c>
      <c r="K12469" s="3">
        <v>3939</v>
      </c>
      <c r="L12469" s="3">
        <v>181</v>
      </c>
      <c r="M12469" s="3">
        <v>460</v>
      </c>
    </row>
    <row r="12470" spans="1:13" x14ac:dyDescent="0.25">
      <c r="A12470" s="1" t="str">
        <f>HYPERLINK("http://www.rosaceae.org/Prunus/Prunus_persica/p.persica_gdr_reftransV1_0008191","p.persica_gdr_reftransV1_0008191")</f>
        <v>p.persica_gdr_reftransV1_0008191</v>
      </c>
      <c r="B12470" s="3">
        <v>1554</v>
      </c>
      <c r="C12470" s="1" t="str">
        <f>HYPERLINK("http://www.uniprot.org/uniprot/SAMC2_ARATH","SAMC2_ARATH")</f>
        <v>SAMC2_ARATH</v>
      </c>
      <c r="D12470" t="s">
        <v>8589</v>
      </c>
      <c r="E12470" s="3" t="s">
        <v>3</v>
      </c>
      <c r="F12470" s="4">
        <v>4.8799999999999995E-94</v>
      </c>
      <c r="G12470" s="3">
        <v>759</v>
      </c>
      <c r="H12470" s="3">
        <v>84</v>
      </c>
      <c r="I12470" s="3">
        <v>164</v>
      </c>
      <c r="J12470" s="3">
        <v>736</v>
      </c>
      <c r="K12470" s="3">
        <v>1227</v>
      </c>
      <c r="L12470" s="3">
        <v>177</v>
      </c>
      <c r="M12470" s="3">
        <v>340</v>
      </c>
    </row>
    <row r="12471" spans="1:13" x14ac:dyDescent="0.25">
      <c r="A12471" s="1" t="str">
        <f>HYPERLINK("http://www.rosaceae.org/Prunus/Prunus_persica/p.persica_gdr_reftransV1_0008391","p.persica_gdr_reftransV1_0008391")</f>
        <v>p.persica_gdr_reftransV1_0008391</v>
      </c>
      <c r="B12471" s="3">
        <v>847</v>
      </c>
      <c r="C12471" s="1" t="str">
        <f>HYPERLINK("http://www.uniprot.org/uniprot/FDL25_ARATH","FDL25_ARATH")</f>
        <v>FDL25_ARATH</v>
      </c>
      <c r="D12471" t="s">
        <v>2988</v>
      </c>
      <c r="E12471" s="3" t="s">
        <v>3</v>
      </c>
      <c r="F12471" s="4">
        <v>6.2299999999999997E-14</v>
      </c>
      <c r="G12471" s="3">
        <v>183</v>
      </c>
      <c r="H12471" s="3">
        <v>30</v>
      </c>
      <c r="I12471" s="3">
        <v>209</v>
      </c>
      <c r="J12471" s="3">
        <v>24</v>
      </c>
      <c r="K12471" s="3">
        <v>638</v>
      </c>
      <c r="L12471" s="3">
        <v>296</v>
      </c>
      <c r="M12471" s="3">
        <v>497</v>
      </c>
    </row>
    <row r="12472" spans="1:13" x14ac:dyDescent="0.25">
      <c r="A12472" s="1" t="str">
        <f>HYPERLINK("http://www.rosaceae.org/Prunus/Prunus_persica/p.persica_gdr_reftransV1_0008441","p.persica_gdr_reftransV1_0008441")</f>
        <v>p.persica_gdr_reftransV1_0008441</v>
      </c>
      <c r="B12472" s="3">
        <v>893</v>
      </c>
      <c r="C12472" s="1" t="str">
        <f>HYPERLINK("http://www.uniprot.org/uniprot/DEFA_ANTMA","DEFA_ANTMA")</f>
        <v>DEFA_ANTMA</v>
      </c>
      <c r="D12472" t="s">
        <v>8590</v>
      </c>
      <c r="E12472" s="3" t="s">
        <v>1408</v>
      </c>
      <c r="F12472" s="4">
        <v>3.6099999999999998E-81</v>
      </c>
      <c r="G12472" s="3">
        <v>642</v>
      </c>
      <c r="H12472" s="3">
        <v>58</v>
      </c>
      <c r="I12472" s="3">
        <v>204</v>
      </c>
      <c r="J12472" s="3">
        <v>76</v>
      </c>
      <c r="K12472" s="3">
        <v>687</v>
      </c>
      <c r="L12472" s="3">
        <v>1</v>
      </c>
      <c r="M12472" s="3">
        <v>204</v>
      </c>
    </row>
    <row r="12473" spans="1:13" x14ac:dyDescent="0.25">
      <c r="A12473" s="1" t="str">
        <f>HYPERLINK("http://www.rosaceae.org/Prunus/Prunus_persica/p.persica_gdr_reftransV1_0008491","p.persica_gdr_reftransV1_0008491")</f>
        <v>p.persica_gdr_reftransV1_0008491</v>
      </c>
      <c r="B12473" s="3">
        <v>3407</v>
      </c>
      <c r="C12473" s="1" t="str">
        <f>HYPERLINK("http://www.uniprot.org/uniprot/HMA5_ARATH","HMA5_ARATH")</f>
        <v>HMA5_ARATH</v>
      </c>
      <c r="D12473" t="s">
        <v>1885</v>
      </c>
      <c r="E12473" s="3" t="s">
        <v>3</v>
      </c>
      <c r="F12473" s="4">
        <v>0</v>
      </c>
      <c r="G12473" s="3">
        <v>2697</v>
      </c>
      <c r="H12473" s="3">
        <v>57</v>
      </c>
      <c r="I12473" s="3">
        <v>937</v>
      </c>
      <c r="J12473" s="3">
        <v>307</v>
      </c>
      <c r="K12473" s="3">
        <v>3090</v>
      </c>
      <c r="L12473" s="3">
        <v>47</v>
      </c>
      <c r="M12473" s="3">
        <v>979</v>
      </c>
    </row>
    <row r="12474" spans="1:13" x14ac:dyDescent="0.25">
      <c r="A12474" s="1" t="str">
        <f>HYPERLINK("http://www.rosaceae.org/Prunus/Prunus_persica/p.persica_gdr_reftransV1_0008541","p.persica_gdr_reftransV1_0008541")</f>
        <v>p.persica_gdr_reftransV1_0008541</v>
      </c>
      <c r="B12474" s="3">
        <v>1656</v>
      </c>
      <c r="C12474" s="1" t="str">
        <f>HYPERLINK("http://www.uniprot.org/uniprot/CALR_PRUAR","CALR_PRUAR")</f>
        <v>CALR_PRUAR</v>
      </c>
      <c r="D12474" t="s">
        <v>8591</v>
      </c>
      <c r="E12474" s="3" t="s">
        <v>62</v>
      </c>
      <c r="F12474" s="4">
        <v>0</v>
      </c>
      <c r="G12474" s="3">
        <v>1671</v>
      </c>
      <c r="H12474" s="3">
        <v>99</v>
      </c>
      <c r="I12474" s="3">
        <v>356</v>
      </c>
      <c r="J12474" s="3">
        <v>508</v>
      </c>
      <c r="K12474" s="3">
        <v>1575</v>
      </c>
      <c r="L12474" s="3">
        <v>1</v>
      </c>
      <c r="M12474" s="3">
        <v>356</v>
      </c>
    </row>
    <row r="12475" spans="1:13" x14ac:dyDescent="0.25">
      <c r="A12475" s="1" t="str">
        <f>HYPERLINK("http://www.rosaceae.org/Prunus/Prunus_persica/p.persica_gdr_reftransV1_0008691","p.persica_gdr_reftransV1_0008691")</f>
        <v>p.persica_gdr_reftransV1_0008691</v>
      </c>
      <c r="B12475" s="3">
        <v>1076</v>
      </c>
      <c r="C12475" s="1" t="str">
        <f>HYPERLINK("http://www.uniprot.org/uniprot/RL10_EUPES","RL10_EUPES")</f>
        <v>RL10_EUPES</v>
      </c>
      <c r="D12475" t="s">
        <v>1190</v>
      </c>
      <c r="E12475" s="3" t="s">
        <v>1191</v>
      </c>
      <c r="F12475" s="4">
        <v>4.4200000000000002E-141</v>
      </c>
      <c r="G12475" s="3">
        <v>1044</v>
      </c>
      <c r="H12475" s="3">
        <v>90</v>
      </c>
      <c r="I12475" s="3">
        <v>218</v>
      </c>
      <c r="J12475" s="3">
        <v>362</v>
      </c>
      <c r="K12475" s="3">
        <v>1015</v>
      </c>
      <c r="L12475" s="3">
        <v>1</v>
      </c>
      <c r="M12475" s="3">
        <v>218</v>
      </c>
    </row>
    <row r="12476" spans="1:13" x14ac:dyDescent="0.25">
      <c r="A12476" s="1" t="str">
        <f>HYPERLINK("http://www.rosaceae.org/Prunus/Prunus_persica/p.persica_gdr_reftransV1_0009041","p.persica_gdr_reftransV1_0009041")</f>
        <v>p.persica_gdr_reftransV1_0009041</v>
      </c>
      <c r="B12476" s="3">
        <v>577</v>
      </c>
      <c r="C12476" s="1" t="str">
        <f>HYPERLINK("http://www.uniprot.org/uniprot/UGT6_CATRO","UGT6_CATRO")</f>
        <v>UGT6_CATRO</v>
      </c>
      <c r="D12476" t="s">
        <v>3893</v>
      </c>
      <c r="E12476" s="3" t="s">
        <v>457</v>
      </c>
      <c r="F12476" s="4">
        <v>1.13E-67</v>
      </c>
      <c r="G12476" s="3">
        <v>561</v>
      </c>
      <c r="H12476" s="3">
        <v>55</v>
      </c>
      <c r="I12476" s="3">
        <v>184</v>
      </c>
      <c r="J12476" s="3">
        <v>19</v>
      </c>
      <c r="K12476" s="3">
        <v>570</v>
      </c>
      <c r="L12476" s="3">
        <v>230</v>
      </c>
      <c r="M12476" s="3">
        <v>412</v>
      </c>
    </row>
    <row r="12477" spans="1:13" x14ac:dyDescent="0.25">
      <c r="A12477" s="1" t="str">
        <f>HYPERLINK("http://www.rosaceae.org/Prunus/Prunus_persica/p.persica_gdr_reftransV1_0009091","p.persica_gdr_reftransV1_0009091")</f>
        <v>p.persica_gdr_reftransV1_0009091</v>
      </c>
      <c r="B12477" s="3">
        <v>1699</v>
      </c>
      <c r="C12477" s="1" t="str">
        <f>HYPERLINK("http://www.uniprot.org/uniprot/BCS1_SCHPO","BCS1_SCHPO")</f>
        <v>BCS1_SCHPO</v>
      </c>
      <c r="D12477" t="s">
        <v>779</v>
      </c>
      <c r="E12477" s="3" t="s">
        <v>464</v>
      </c>
      <c r="F12477" s="4">
        <v>1.0199999999999999E-30</v>
      </c>
      <c r="G12477" s="3">
        <v>321</v>
      </c>
      <c r="H12477" s="3">
        <v>31</v>
      </c>
      <c r="I12477" s="3">
        <v>255</v>
      </c>
      <c r="J12477" s="3">
        <v>246</v>
      </c>
      <c r="K12477" s="3">
        <v>965</v>
      </c>
      <c r="L12477" s="3">
        <v>190</v>
      </c>
      <c r="M12477" s="3">
        <v>431</v>
      </c>
    </row>
    <row r="12478" spans="1:13" x14ac:dyDescent="0.25">
      <c r="A12478" s="1" t="str">
        <f>HYPERLINK("http://www.rosaceae.org/Prunus/Prunus_persica/p.persica_gdr_reftransV1_0009241","p.persica_gdr_reftransV1_0009241")</f>
        <v>p.persica_gdr_reftransV1_0009241</v>
      </c>
      <c r="B12478" s="3">
        <v>1050</v>
      </c>
      <c r="C12478" s="1" t="str">
        <f>HYPERLINK("http://www.uniprot.org/uniprot/PTH2_BOVIN","PTH2_BOVIN")</f>
        <v>PTH2_BOVIN</v>
      </c>
      <c r="D12478" t="s">
        <v>8592</v>
      </c>
      <c r="E12478" s="3" t="s">
        <v>184</v>
      </c>
      <c r="F12478" s="4">
        <v>8.0500000000000007E-30</v>
      </c>
      <c r="G12478" s="3">
        <v>294</v>
      </c>
      <c r="H12478" s="3">
        <v>47</v>
      </c>
      <c r="I12478" s="3">
        <v>115</v>
      </c>
      <c r="J12478" s="3">
        <v>350</v>
      </c>
      <c r="K12478" s="3">
        <v>694</v>
      </c>
      <c r="L12478" s="3">
        <v>64</v>
      </c>
      <c r="M12478" s="3">
        <v>178</v>
      </c>
    </row>
    <row r="12479" spans="1:13" x14ac:dyDescent="0.25">
      <c r="A12479" s="1" t="str">
        <f>HYPERLINK("http://www.rosaceae.org/Prunus/Prunus_persica/p.persica_gdr_reftransV1_0009291","p.persica_gdr_reftransV1_0009291")</f>
        <v>p.persica_gdr_reftransV1_0009291</v>
      </c>
      <c r="B12479" s="3">
        <v>2229</v>
      </c>
      <c r="C12479" s="1" t="str">
        <f>HYPERLINK("http://www.uniprot.org/uniprot/PPA15_ARATH","PPA15_ARATH")</f>
        <v>PPA15_ARATH</v>
      </c>
      <c r="D12479" t="s">
        <v>6824</v>
      </c>
      <c r="E12479" s="3" t="s">
        <v>3</v>
      </c>
      <c r="F12479" s="4">
        <v>0</v>
      </c>
      <c r="G12479" s="3">
        <v>2163</v>
      </c>
      <c r="H12479" s="3">
        <v>77</v>
      </c>
      <c r="I12479" s="3">
        <v>510</v>
      </c>
      <c r="J12479" s="3">
        <v>322</v>
      </c>
      <c r="K12479" s="3">
        <v>1851</v>
      </c>
      <c r="L12479" s="3">
        <v>22</v>
      </c>
      <c r="M12479" s="3">
        <v>528</v>
      </c>
    </row>
    <row r="12480" spans="1:13" x14ac:dyDescent="0.25">
      <c r="A12480" s="1" t="str">
        <f>HYPERLINK("http://www.rosaceae.org/Prunus/Prunus_persica/p.persica_gdr_reftransV1_0009391","p.persica_gdr_reftransV1_0009391")</f>
        <v>p.persica_gdr_reftransV1_0009391</v>
      </c>
      <c r="B12480" s="3">
        <v>2406</v>
      </c>
      <c r="C12480" s="1" t="str">
        <f>HYPERLINK("http://www.uniprot.org/uniprot/AK3_ARATH","AK3_ARATH")</f>
        <v>AK3_ARATH</v>
      </c>
      <c r="D12480" t="s">
        <v>1528</v>
      </c>
      <c r="E12480" s="3" t="s">
        <v>3</v>
      </c>
      <c r="F12480" s="4">
        <v>0</v>
      </c>
      <c r="G12480" s="3">
        <v>2115</v>
      </c>
      <c r="H12480" s="3">
        <v>72</v>
      </c>
      <c r="I12480" s="3">
        <v>593</v>
      </c>
      <c r="J12480" s="3">
        <v>298</v>
      </c>
      <c r="K12480" s="3">
        <v>2052</v>
      </c>
      <c r="L12480" s="3">
        <v>1</v>
      </c>
      <c r="M12480" s="3">
        <v>550</v>
      </c>
    </row>
    <row r="12481" spans="1:13" x14ac:dyDescent="0.25">
      <c r="A12481" s="1" t="str">
        <f>HYPERLINK("http://www.rosaceae.org/Prunus/Prunus_persica/p.persica_gdr_reftransV1_0009491","p.persica_gdr_reftransV1_0009491")</f>
        <v>p.persica_gdr_reftransV1_0009491</v>
      </c>
      <c r="B12481" s="3">
        <v>1412</v>
      </c>
      <c r="C12481" s="1" t="str">
        <f>HYPERLINK("http://www.uniprot.org/uniprot/MAK3_ARATH","MAK3_ARATH")</f>
        <v>MAK3_ARATH</v>
      </c>
      <c r="D12481" t="s">
        <v>8593</v>
      </c>
      <c r="E12481" s="3" t="s">
        <v>3</v>
      </c>
      <c r="F12481" s="4">
        <v>2.6100000000000002E-90</v>
      </c>
      <c r="G12481" s="3">
        <v>715</v>
      </c>
      <c r="H12481" s="3">
        <v>87</v>
      </c>
      <c r="I12481" s="3">
        <v>149</v>
      </c>
      <c r="J12481" s="3">
        <v>730</v>
      </c>
      <c r="K12481" s="3">
        <v>1176</v>
      </c>
      <c r="L12481" s="3">
        <v>15</v>
      </c>
      <c r="M12481" s="3">
        <v>163</v>
      </c>
    </row>
    <row r="12482" spans="1:13" x14ac:dyDescent="0.25">
      <c r="A12482" s="1" t="str">
        <f>HYPERLINK("http://www.rosaceae.org/Prunus/Prunus_persica/p.persica_gdr_reftransV1_0009591","p.persica_gdr_reftransV1_0009591")</f>
        <v>p.persica_gdr_reftransV1_0009591</v>
      </c>
      <c r="B12482" s="3">
        <v>1885</v>
      </c>
      <c r="C12482" s="1" t="str">
        <f>HYPERLINK("http://www.uniprot.org/uniprot/APO1_ARATH","APO1_ARATH")</f>
        <v>APO1_ARATH</v>
      </c>
      <c r="D12482" t="s">
        <v>8594</v>
      </c>
      <c r="E12482" s="3" t="s">
        <v>3</v>
      </c>
      <c r="F12482" s="4">
        <v>0</v>
      </c>
      <c r="G12482" s="3">
        <v>1412</v>
      </c>
      <c r="H12482" s="3">
        <v>66</v>
      </c>
      <c r="I12482" s="3">
        <v>435</v>
      </c>
      <c r="J12482" s="3">
        <v>359</v>
      </c>
      <c r="K12482" s="3">
        <v>1654</v>
      </c>
      <c r="L12482" s="3">
        <v>3</v>
      </c>
      <c r="M12482" s="3">
        <v>436</v>
      </c>
    </row>
    <row r="12483" spans="1:13" x14ac:dyDescent="0.25">
      <c r="A12483" s="1" t="str">
        <f>HYPERLINK("http://www.rosaceae.org/Prunus/Prunus_persica/p.persica_gdr_reftransV1_0009641","p.persica_gdr_reftransV1_0009641")</f>
        <v>p.persica_gdr_reftransV1_0009641</v>
      </c>
      <c r="B12483" s="3">
        <v>1689</v>
      </c>
      <c r="C12483" s="1" t="str">
        <f>HYPERLINK("http://www.uniprot.org/uniprot/COL3_ARATH","COL3_ARATH")</f>
        <v>COL3_ARATH</v>
      </c>
      <c r="D12483" t="s">
        <v>8595</v>
      </c>
      <c r="E12483" s="3" t="s">
        <v>3</v>
      </c>
      <c r="F12483" s="4">
        <v>1.4899999999999999E-8</v>
      </c>
      <c r="G12483" s="3">
        <v>144</v>
      </c>
      <c r="H12483" s="3">
        <v>30</v>
      </c>
      <c r="I12483" s="3">
        <v>239</v>
      </c>
      <c r="J12483" s="3">
        <v>474</v>
      </c>
      <c r="K12483" s="3">
        <v>1085</v>
      </c>
      <c r="L12483" s="3">
        <v>50</v>
      </c>
      <c r="M12483" s="3">
        <v>276</v>
      </c>
    </row>
    <row r="12484" spans="1:13" x14ac:dyDescent="0.25">
      <c r="A12484" s="1" t="str">
        <f>HYPERLINK("http://www.rosaceae.org/Prunus/Prunus_persica/p.persica_gdr_reftransV1_0009741","p.persica_gdr_reftransV1_0009741")</f>
        <v>p.persica_gdr_reftransV1_0009741</v>
      </c>
      <c r="B12484" s="3">
        <v>1089</v>
      </c>
      <c r="C12484" s="1" t="str">
        <f>HYPERLINK("http://www.uniprot.org/uniprot/U87A1_ARATH","U87A1_ARATH")</f>
        <v>U87A1_ARATH</v>
      </c>
      <c r="D12484" t="s">
        <v>2427</v>
      </c>
      <c r="E12484" s="3" t="s">
        <v>3</v>
      </c>
      <c r="F12484" s="4">
        <v>1.7800000000000001E-110</v>
      </c>
      <c r="G12484" s="3">
        <v>863</v>
      </c>
      <c r="H12484" s="3">
        <v>51</v>
      </c>
      <c r="I12484" s="3">
        <v>330</v>
      </c>
      <c r="J12484" s="3">
        <v>1</v>
      </c>
      <c r="K12484" s="3">
        <v>984</v>
      </c>
      <c r="L12484" s="3">
        <v>1</v>
      </c>
      <c r="M12484" s="3">
        <v>324</v>
      </c>
    </row>
    <row r="12485" spans="1:13" x14ac:dyDescent="0.25">
      <c r="A12485" s="1" t="str">
        <f>HYPERLINK("http://www.rosaceae.org/Prunus/Prunus_persica/p.persica_gdr_reftransV1_0009941","p.persica_gdr_reftransV1_0009941")</f>
        <v>p.persica_gdr_reftransV1_0009941</v>
      </c>
      <c r="B12485" s="3">
        <v>2168</v>
      </c>
      <c r="C12485" s="1" t="str">
        <f>HYPERLINK("http://www.uniprot.org/uniprot/FKB70_WHEAT","FKB70_WHEAT")</f>
        <v>FKB70_WHEAT</v>
      </c>
      <c r="D12485" t="s">
        <v>8548</v>
      </c>
      <c r="E12485" s="3" t="s">
        <v>710</v>
      </c>
      <c r="F12485" s="4">
        <v>2.3199999999999998E-180</v>
      </c>
      <c r="G12485" s="3">
        <v>1374</v>
      </c>
      <c r="H12485" s="3">
        <v>57</v>
      </c>
      <c r="I12485" s="3">
        <v>529</v>
      </c>
      <c r="J12485" s="3">
        <v>332</v>
      </c>
      <c r="K12485" s="3">
        <v>1918</v>
      </c>
      <c r="L12485" s="3">
        <v>27</v>
      </c>
      <c r="M12485" s="3">
        <v>551</v>
      </c>
    </row>
    <row r="12486" spans="1:13" x14ac:dyDescent="0.25">
      <c r="A12486" s="1" t="str">
        <f>HYPERLINK("http://www.rosaceae.org/Prunus/Prunus_persica/p.persica_gdr_reftransV1_0010091","p.persica_gdr_reftransV1_0010091")</f>
        <v>p.persica_gdr_reftransV1_0010091</v>
      </c>
      <c r="B12486" s="3">
        <v>498</v>
      </c>
      <c r="C12486" s="1" t="str">
        <f>HYPERLINK("http://www.uniprot.org/uniprot/TI214_GOSHI","TI214_GOSHI")</f>
        <v>TI214_GOSHI</v>
      </c>
      <c r="D12486" t="s">
        <v>8596</v>
      </c>
      <c r="E12486" s="3" t="s">
        <v>816</v>
      </c>
      <c r="F12486" s="4">
        <v>1.3199999999999999E-67</v>
      </c>
      <c r="G12486" s="3">
        <v>583</v>
      </c>
      <c r="H12486" s="3">
        <v>75</v>
      </c>
      <c r="I12486" s="3">
        <v>167</v>
      </c>
      <c r="J12486" s="3">
        <v>6</v>
      </c>
      <c r="K12486" s="3">
        <v>497</v>
      </c>
      <c r="L12486" s="3">
        <v>738</v>
      </c>
      <c r="M12486" s="3">
        <v>904</v>
      </c>
    </row>
    <row r="12487" spans="1:13" x14ac:dyDescent="0.25">
      <c r="A12487" s="1" t="str">
        <f>HYPERLINK("http://www.rosaceae.org/Prunus/Prunus_persica/p.persica_gdr_reftransV1_0010191","p.persica_gdr_reftransV1_0010191")</f>
        <v>p.persica_gdr_reftransV1_0010191</v>
      </c>
      <c r="B12487" s="3">
        <v>2127</v>
      </c>
      <c r="C12487" s="1" t="str">
        <f>HYPERLINK("http://www.uniprot.org/uniprot/E1314_ARATH","E1314_ARATH")</f>
        <v>E1314_ARATH</v>
      </c>
      <c r="D12487" t="s">
        <v>7783</v>
      </c>
      <c r="E12487" s="3" t="s">
        <v>3</v>
      </c>
      <c r="F12487" s="4">
        <v>1.5500000000000001E-179</v>
      </c>
      <c r="G12487" s="3">
        <v>1350</v>
      </c>
      <c r="H12487" s="3">
        <v>69</v>
      </c>
      <c r="I12487" s="3">
        <v>355</v>
      </c>
      <c r="J12487" s="3">
        <v>499</v>
      </c>
      <c r="K12487" s="3">
        <v>1560</v>
      </c>
      <c r="L12487" s="3">
        <v>30</v>
      </c>
      <c r="M12487" s="3">
        <v>384</v>
      </c>
    </row>
    <row r="12488" spans="1:13" x14ac:dyDescent="0.25">
      <c r="A12488" s="1" t="str">
        <f>HYPERLINK("http://www.rosaceae.org/Prunus/Prunus_persica/p.persica_gdr_reftransV1_0010341","p.persica_gdr_reftransV1_0010341")</f>
        <v>p.persica_gdr_reftransV1_0010341</v>
      </c>
      <c r="B12488" s="3">
        <v>914</v>
      </c>
      <c r="C12488" s="1" t="str">
        <f>HYPERLINK("http://www.uniprot.org/uniprot/RLP12_ARATH","RLP12_ARATH")</f>
        <v>RLP12_ARATH</v>
      </c>
      <c r="D12488" t="s">
        <v>1219</v>
      </c>
      <c r="E12488" s="3" t="s">
        <v>3</v>
      </c>
      <c r="F12488" s="4">
        <v>1.4900000000000001E-28</v>
      </c>
      <c r="G12488" s="3">
        <v>301</v>
      </c>
      <c r="H12488" s="3">
        <v>38</v>
      </c>
      <c r="I12488" s="3">
        <v>189</v>
      </c>
      <c r="J12488" s="3">
        <v>347</v>
      </c>
      <c r="K12488" s="3">
        <v>913</v>
      </c>
      <c r="L12488" s="3">
        <v>647</v>
      </c>
      <c r="M12488" s="3">
        <v>834</v>
      </c>
    </row>
    <row r="12489" spans="1:13" x14ac:dyDescent="0.25">
      <c r="A12489" s="1" t="str">
        <f>HYPERLINK("http://www.rosaceae.org/Prunus/Prunus_persica/p.persica_gdr_reftransV1_0010391","p.persica_gdr_reftransV1_0010391")</f>
        <v>p.persica_gdr_reftransV1_0010391</v>
      </c>
      <c r="B12489" s="3">
        <v>1681</v>
      </c>
      <c r="C12489" s="1" t="str">
        <f>HYPERLINK("http://www.uniprot.org/uniprot/RD21A_ARATH","RD21A_ARATH")</f>
        <v>RD21A_ARATH</v>
      </c>
      <c r="D12489" t="s">
        <v>1160</v>
      </c>
      <c r="E12489" s="3" t="s">
        <v>3</v>
      </c>
      <c r="F12489" s="4">
        <v>4.0799999999999999E-129</v>
      </c>
      <c r="G12489" s="3">
        <v>1008</v>
      </c>
      <c r="H12489" s="3">
        <v>53</v>
      </c>
      <c r="I12489" s="3">
        <v>390</v>
      </c>
      <c r="J12489" s="3">
        <v>140</v>
      </c>
      <c r="K12489" s="3">
        <v>1279</v>
      </c>
      <c r="L12489" s="3">
        <v>49</v>
      </c>
      <c r="M12489" s="3">
        <v>436</v>
      </c>
    </row>
    <row r="12490" spans="1:13" x14ac:dyDescent="0.25">
      <c r="A12490" s="1" t="str">
        <f>HYPERLINK("http://www.rosaceae.org/Prunus/Prunus_persica/p.persica_gdr_reftransV1_0010491","p.persica_gdr_reftransV1_0010491")</f>
        <v>p.persica_gdr_reftransV1_0010491</v>
      </c>
      <c r="B12490" s="3">
        <v>1742</v>
      </c>
      <c r="C12490" s="1" t="str">
        <f>HYPERLINK("http://www.uniprot.org/uniprot/PP169_ARATH","PP169_ARATH")</f>
        <v>PP169_ARATH</v>
      </c>
      <c r="D12490" t="s">
        <v>1957</v>
      </c>
      <c r="E12490" s="3" t="s">
        <v>3</v>
      </c>
      <c r="F12490" s="4">
        <v>1.3800000000000001E-87</v>
      </c>
      <c r="G12490" s="3">
        <v>746</v>
      </c>
      <c r="H12490" s="3">
        <v>43</v>
      </c>
      <c r="I12490" s="3">
        <v>325</v>
      </c>
      <c r="J12490" s="3">
        <v>12</v>
      </c>
      <c r="K12490" s="3">
        <v>986</v>
      </c>
      <c r="L12490" s="3">
        <v>311</v>
      </c>
      <c r="M12490" s="3">
        <v>635</v>
      </c>
    </row>
    <row r="12491" spans="1:13" x14ac:dyDescent="0.25">
      <c r="A12491" s="1" t="str">
        <f>HYPERLINK("http://www.rosaceae.org/Prunus/Prunus_persica/p.persica_gdr_reftransV1_0010541","p.persica_gdr_reftransV1_0010541")</f>
        <v>p.persica_gdr_reftransV1_0010541</v>
      </c>
      <c r="B12491" s="3">
        <v>605</v>
      </c>
      <c r="C12491" s="1" t="str">
        <f>HYPERLINK("http://www.uniprot.org/uniprot/TMVRN_NICGU","TMVRN_NICGU")</f>
        <v>TMVRN_NICGU</v>
      </c>
      <c r="D12491" t="s">
        <v>151</v>
      </c>
      <c r="E12491" s="3" t="s">
        <v>152</v>
      </c>
      <c r="F12491" s="4">
        <v>2.1000000000000002E-30</v>
      </c>
      <c r="G12491" s="3">
        <v>308</v>
      </c>
      <c r="H12491" s="3">
        <v>40</v>
      </c>
      <c r="I12491" s="3">
        <v>182</v>
      </c>
      <c r="J12491" s="3">
        <v>79</v>
      </c>
      <c r="K12491" s="3">
        <v>603</v>
      </c>
      <c r="L12491" s="3">
        <v>159</v>
      </c>
      <c r="M12491" s="3">
        <v>335</v>
      </c>
    </row>
    <row r="12492" spans="1:13" x14ac:dyDescent="0.25">
      <c r="A12492" s="1" t="str">
        <f>HYPERLINK("http://www.rosaceae.org/Prunus/Prunus_persica/p.persica_gdr_reftransV1_0010641","p.persica_gdr_reftransV1_0010641")</f>
        <v>p.persica_gdr_reftransV1_0010641</v>
      </c>
      <c r="B12492" s="3">
        <v>1118</v>
      </c>
      <c r="C12492" s="1" t="str">
        <f>HYPERLINK("http://www.uniprot.org/uniprot/CYPH_CATRO","CYPH_CATRO")</f>
        <v>CYPH_CATRO</v>
      </c>
      <c r="D12492" t="s">
        <v>8597</v>
      </c>
      <c r="E12492" s="3" t="s">
        <v>457</v>
      </c>
      <c r="F12492" s="4">
        <v>6.0199999999999999E-100</v>
      </c>
      <c r="G12492" s="3">
        <v>768</v>
      </c>
      <c r="H12492" s="3">
        <v>92</v>
      </c>
      <c r="I12492" s="3">
        <v>170</v>
      </c>
      <c r="J12492" s="3">
        <v>198</v>
      </c>
      <c r="K12492" s="3">
        <v>707</v>
      </c>
      <c r="L12492" s="3">
        <v>3</v>
      </c>
      <c r="M12492" s="3">
        <v>172</v>
      </c>
    </row>
    <row r="12493" spans="1:13" x14ac:dyDescent="0.25">
      <c r="A12493" s="1" t="str">
        <f>HYPERLINK("http://www.rosaceae.org/Prunus/Prunus_persica/p.persica_gdr_reftransV1_0010841","p.persica_gdr_reftransV1_0010841")</f>
        <v>p.persica_gdr_reftransV1_0010841</v>
      </c>
      <c r="B12493" s="3">
        <v>1047</v>
      </c>
      <c r="C12493" s="1" t="str">
        <f>HYPERLINK("http://www.uniprot.org/uniprot/DCTD_DROME","DCTD_DROME")</f>
        <v>DCTD_DROME</v>
      </c>
      <c r="D12493" t="s">
        <v>8598</v>
      </c>
      <c r="E12493" s="3" t="s">
        <v>5</v>
      </c>
      <c r="F12493" s="4">
        <v>9.4999999999999996E-60</v>
      </c>
      <c r="G12493" s="3">
        <v>501</v>
      </c>
      <c r="H12493" s="3">
        <v>55</v>
      </c>
      <c r="I12493" s="3">
        <v>175</v>
      </c>
      <c r="J12493" s="3">
        <v>263</v>
      </c>
      <c r="K12493" s="3">
        <v>778</v>
      </c>
      <c r="L12493" s="3">
        <v>14</v>
      </c>
      <c r="M12493" s="3">
        <v>185</v>
      </c>
    </row>
    <row r="12494" spans="1:13" x14ac:dyDescent="0.25">
      <c r="A12494" s="1" t="str">
        <f>HYPERLINK("http://www.rosaceae.org/Prunus/Prunus_persica/p.persica_gdr_reftransV1_0010941","p.persica_gdr_reftransV1_0010941")</f>
        <v>p.persica_gdr_reftransV1_0010941</v>
      </c>
      <c r="B12494" s="3">
        <v>830</v>
      </c>
      <c r="C12494" s="1" t="str">
        <f>HYPERLINK("http://www.uniprot.org/uniprot/ERF10_ARATH","ERF10_ARATH")</f>
        <v>ERF10_ARATH</v>
      </c>
      <c r="D12494" t="s">
        <v>8599</v>
      </c>
      <c r="E12494" s="3" t="s">
        <v>3</v>
      </c>
      <c r="F12494" s="4">
        <v>1.9900000000000001E-53</v>
      </c>
      <c r="G12494" s="3">
        <v>451</v>
      </c>
      <c r="H12494" s="3">
        <v>55</v>
      </c>
      <c r="I12494" s="3">
        <v>186</v>
      </c>
      <c r="J12494" s="3">
        <v>298</v>
      </c>
      <c r="K12494" s="3">
        <v>783</v>
      </c>
      <c r="L12494" s="3">
        <v>3</v>
      </c>
      <c r="M12494" s="3">
        <v>182</v>
      </c>
    </row>
    <row r="12495" spans="1:13" x14ac:dyDescent="0.25">
      <c r="A12495" s="1" t="str">
        <f>HYPERLINK("http://www.rosaceae.org/Prunus/Prunus_persica/p.persica_gdr_reftransV1_0010991","p.persica_gdr_reftransV1_0010991")</f>
        <v>p.persica_gdr_reftransV1_0010991</v>
      </c>
      <c r="B12495" s="3">
        <v>776</v>
      </c>
      <c r="C12495" s="1" t="str">
        <f>HYPERLINK("http://www.uniprot.org/uniprot/TATB_ARATH","TATB_ARATH")</f>
        <v>TATB_ARATH</v>
      </c>
      <c r="D12495" t="s">
        <v>8600</v>
      </c>
      <c r="E12495" s="3" t="s">
        <v>3</v>
      </c>
      <c r="F12495" s="4">
        <v>5.0299999999999999E-57</v>
      </c>
      <c r="G12495" s="3">
        <v>480</v>
      </c>
      <c r="H12495" s="3">
        <v>65</v>
      </c>
      <c r="I12495" s="3">
        <v>161</v>
      </c>
      <c r="J12495" s="3">
        <v>150</v>
      </c>
      <c r="K12495" s="3">
        <v>632</v>
      </c>
      <c r="L12495" s="3">
        <v>4</v>
      </c>
      <c r="M12495" s="3">
        <v>161</v>
      </c>
    </row>
    <row r="12496" spans="1:13" x14ac:dyDescent="0.25">
      <c r="A12496" s="1" t="str">
        <f>HYPERLINK("http://www.rosaceae.org/Prunus/Prunus_persica/p.persica_gdr_reftransV1_0011141","p.persica_gdr_reftransV1_0011141")</f>
        <v>p.persica_gdr_reftransV1_0011141</v>
      </c>
      <c r="B12496" s="3">
        <v>713</v>
      </c>
      <c r="C12496" s="1" t="str">
        <f>HYPERLINK("http://www.uniprot.org/uniprot/Y1960_ARATH","Y1960_ARATH")</f>
        <v>Y1960_ARATH</v>
      </c>
      <c r="D12496" t="s">
        <v>743</v>
      </c>
      <c r="E12496" s="3" t="s">
        <v>3</v>
      </c>
      <c r="F12496" s="4">
        <v>1.2600000000000001E-124</v>
      </c>
      <c r="G12496" s="3">
        <v>966</v>
      </c>
      <c r="H12496" s="3">
        <v>72</v>
      </c>
      <c r="I12496" s="3">
        <v>237</v>
      </c>
      <c r="J12496" s="3">
        <v>2</v>
      </c>
      <c r="K12496" s="3">
        <v>712</v>
      </c>
      <c r="L12496" s="3">
        <v>152</v>
      </c>
      <c r="M12496" s="3">
        <v>388</v>
      </c>
    </row>
    <row r="12497" spans="1:13" x14ac:dyDescent="0.25">
      <c r="A12497" s="1" t="str">
        <f>HYPERLINK("http://www.rosaceae.org/Prunus/Prunus_persica/p.persica_gdr_reftransV1_0011391","p.persica_gdr_reftransV1_0011391")</f>
        <v>p.persica_gdr_reftransV1_0011391</v>
      </c>
      <c r="B12497" s="3">
        <v>1831</v>
      </c>
      <c r="C12497" s="1" t="str">
        <f>HYPERLINK("http://www.uniprot.org/uniprot/FLA4_ARATH","FLA4_ARATH")</f>
        <v>FLA4_ARATH</v>
      </c>
      <c r="D12497" t="s">
        <v>8601</v>
      </c>
      <c r="E12497" s="3" t="s">
        <v>3</v>
      </c>
      <c r="F12497" s="4">
        <v>9.5699999999999994E-121</v>
      </c>
      <c r="G12497" s="3">
        <v>952</v>
      </c>
      <c r="H12497" s="3">
        <v>58</v>
      </c>
      <c r="I12497" s="3">
        <v>405</v>
      </c>
      <c r="J12497" s="3">
        <v>185</v>
      </c>
      <c r="K12497" s="3">
        <v>1348</v>
      </c>
      <c r="L12497" s="3">
        <v>29</v>
      </c>
      <c r="M12497" s="3">
        <v>418</v>
      </c>
    </row>
    <row r="12498" spans="1:13" x14ac:dyDescent="0.25">
      <c r="A12498" s="1" t="str">
        <f>HYPERLINK("http://www.rosaceae.org/Prunus/Prunus_persica/p.persica_gdr_reftransV1_0011541","p.persica_gdr_reftransV1_0011541")</f>
        <v>p.persica_gdr_reftransV1_0011541</v>
      </c>
      <c r="B12498" s="3">
        <v>1555</v>
      </c>
      <c r="C12498" s="1" t="str">
        <f>HYPERLINK("http://www.uniprot.org/uniprot/DCE4_ARATH","DCE4_ARATH")</f>
        <v>DCE4_ARATH</v>
      </c>
      <c r="D12498" t="s">
        <v>8602</v>
      </c>
      <c r="E12498" s="3" t="s">
        <v>3</v>
      </c>
      <c r="F12498" s="4">
        <v>0</v>
      </c>
      <c r="G12498" s="3">
        <v>1658</v>
      </c>
      <c r="H12498" s="3">
        <v>81</v>
      </c>
      <c r="I12498" s="3">
        <v>397</v>
      </c>
      <c r="J12498" s="3">
        <v>365</v>
      </c>
      <c r="K12498" s="3">
        <v>1555</v>
      </c>
      <c r="L12498" s="3">
        <v>75</v>
      </c>
      <c r="M12498" s="3">
        <v>467</v>
      </c>
    </row>
    <row r="12499" spans="1:13" x14ac:dyDescent="0.25">
      <c r="A12499" s="1" t="str">
        <f>HYPERLINK("http://www.rosaceae.org/Prunus/Prunus_persica/p.persica_gdr_reftransV1_0011591","p.persica_gdr_reftransV1_0011591")</f>
        <v>p.persica_gdr_reftransV1_0011591</v>
      </c>
      <c r="B12499" s="3">
        <v>487</v>
      </c>
      <c r="C12499" s="1" t="str">
        <f>HYPERLINK("http://www.uniprot.org/uniprot/PLA12_ARATH","PLA12_ARATH")</f>
        <v>PLA12_ARATH</v>
      </c>
      <c r="D12499" t="s">
        <v>8603</v>
      </c>
      <c r="E12499" s="3" t="s">
        <v>3</v>
      </c>
      <c r="F12499" s="4">
        <v>8.4999999999999993E-28</v>
      </c>
      <c r="G12499" s="3">
        <v>277</v>
      </c>
      <c r="H12499" s="3">
        <v>57</v>
      </c>
      <c r="I12499" s="3">
        <v>97</v>
      </c>
      <c r="J12499" s="3">
        <v>209</v>
      </c>
      <c r="K12499" s="3">
        <v>487</v>
      </c>
      <c r="L12499" s="3">
        <v>345</v>
      </c>
      <c r="M12499" s="3">
        <v>438</v>
      </c>
    </row>
    <row r="12500" spans="1:13" x14ac:dyDescent="0.25">
      <c r="A12500" s="1" t="str">
        <f>HYPERLINK("http://www.rosaceae.org/Prunus/Prunus_persica/p.persica_gdr_reftransV1_0011741","p.persica_gdr_reftransV1_0011741")</f>
        <v>p.persica_gdr_reftransV1_0011741</v>
      </c>
      <c r="B12500" s="3">
        <v>791</v>
      </c>
      <c r="C12500" s="1" t="str">
        <f>HYPERLINK("http://www.uniprot.org/uniprot/AHL1_ARATH","AHL1_ARATH")</f>
        <v>AHL1_ARATH</v>
      </c>
      <c r="D12500" t="s">
        <v>2753</v>
      </c>
      <c r="E12500" s="3" t="s">
        <v>3</v>
      </c>
      <c r="F12500" s="4">
        <v>1.53E-49</v>
      </c>
      <c r="G12500" s="3">
        <v>437</v>
      </c>
      <c r="H12500" s="3">
        <v>60</v>
      </c>
      <c r="I12500" s="3">
        <v>169</v>
      </c>
      <c r="J12500" s="3">
        <v>283</v>
      </c>
      <c r="K12500" s="3">
        <v>768</v>
      </c>
      <c r="L12500" s="3">
        <v>155</v>
      </c>
      <c r="M12500" s="3">
        <v>323</v>
      </c>
    </row>
    <row r="12501" spans="1:13" x14ac:dyDescent="0.25">
      <c r="A12501" s="1" t="str">
        <f>HYPERLINK("http://www.rosaceae.org/Prunus/Prunus_persica/p.persica_gdr_reftransV1_0011791","p.persica_gdr_reftransV1_0011791")</f>
        <v>p.persica_gdr_reftransV1_0011791</v>
      </c>
      <c r="B12501" s="3">
        <v>1559</v>
      </c>
      <c r="C12501" s="1" t="str">
        <f>HYPERLINK("http://www.uniprot.org/uniprot/SYP21_ARATH","SYP21_ARATH")</f>
        <v>SYP21_ARATH</v>
      </c>
      <c r="D12501" t="s">
        <v>8604</v>
      </c>
      <c r="E12501" s="3" t="s">
        <v>3</v>
      </c>
      <c r="F12501" s="4">
        <v>6.6500000000000005E-83</v>
      </c>
      <c r="G12501" s="3">
        <v>678</v>
      </c>
      <c r="H12501" s="3">
        <v>64</v>
      </c>
      <c r="I12501" s="3">
        <v>275</v>
      </c>
      <c r="J12501" s="3">
        <v>516</v>
      </c>
      <c r="K12501" s="3">
        <v>1340</v>
      </c>
      <c r="L12501" s="3">
        <v>1</v>
      </c>
      <c r="M12501" s="3">
        <v>260</v>
      </c>
    </row>
    <row r="12502" spans="1:13" x14ac:dyDescent="0.25">
      <c r="A12502" s="1" t="str">
        <f>HYPERLINK("http://www.rosaceae.org/Prunus/Prunus_persica/p.persica_gdr_reftransV1_0011891","p.persica_gdr_reftransV1_0011891")</f>
        <v>p.persica_gdr_reftransV1_0011891</v>
      </c>
      <c r="B12502" s="3">
        <v>3234</v>
      </c>
      <c r="C12502" s="1" t="str">
        <f>HYPERLINK("http://www.uniprot.org/uniprot/G6PIP_ARATH","G6PIP_ARATH")</f>
        <v>G6PIP_ARATH</v>
      </c>
      <c r="D12502" t="s">
        <v>8605</v>
      </c>
      <c r="E12502" s="3" t="s">
        <v>3</v>
      </c>
      <c r="F12502" s="4">
        <v>6.1199999999999996E-162</v>
      </c>
      <c r="G12502" s="3">
        <v>1285</v>
      </c>
      <c r="H12502" s="3">
        <v>89</v>
      </c>
      <c r="I12502" s="3">
        <v>271</v>
      </c>
      <c r="J12502" s="3">
        <v>1020</v>
      </c>
      <c r="K12502" s="3">
        <v>1832</v>
      </c>
      <c r="L12502" s="3">
        <v>276</v>
      </c>
      <c r="M12502" s="3">
        <v>546</v>
      </c>
    </row>
    <row r="12503" spans="1:13" x14ac:dyDescent="0.25">
      <c r="A12503" s="1" t="str">
        <f>HYPERLINK("http://www.rosaceae.org/Prunus/Prunus_persica/p.persica_gdr_reftransV1_0012041","p.persica_gdr_reftransV1_0012041")</f>
        <v>p.persica_gdr_reftransV1_0012041</v>
      </c>
      <c r="B12503" s="3">
        <v>875</v>
      </c>
      <c r="C12503" s="1" t="str">
        <f>HYPERLINK("http://www.uniprot.org/uniprot/DNJ11_ARATH","DNJ11_ARATH")</f>
        <v>DNJ11_ARATH</v>
      </c>
      <c r="D12503" t="s">
        <v>3899</v>
      </c>
      <c r="E12503" s="3" t="s">
        <v>3</v>
      </c>
      <c r="F12503" s="4">
        <v>4.6299999999999997E-25</v>
      </c>
      <c r="G12503" s="3">
        <v>256</v>
      </c>
      <c r="H12503" s="3">
        <v>48</v>
      </c>
      <c r="I12503" s="3">
        <v>111</v>
      </c>
      <c r="J12503" s="3">
        <v>266</v>
      </c>
      <c r="K12503" s="3">
        <v>595</v>
      </c>
      <c r="L12503" s="3">
        <v>64</v>
      </c>
      <c r="M12503" s="3">
        <v>161</v>
      </c>
    </row>
    <row r="12504" spans="1:13" x14ac:dyDescent="0.25">
      <c r="A12504" s="1" t="str">
        <f>HYPERLINK("http://www.rosaceae.org/Prunus/Prunus_persica/p.persica_gdr_reftransV1_0012291","p.persica_gdr_reftransV1_0012291")</f>
        <v>p.persica_gdr_reftransV1_0012291</v>
      </c>
      <c r="B12504" s="3">
        <v>700</v>
      </c>
      <c r="C12504" s="1" t="str">
        <f>HYPERLINK("http://www.uniprot.org/uniprot/NU2M_BETVU","NU2M_BETVU")</f>
        <v>NU2M_BETVU</v>
      </c>
      <c r="D12504" t="s">
        <v>8606</v>
      </c>
      <c r="E12504" s="3" t="s">
        <v>1123</v>
      </c>
      <c r="F12504" s="4">
        <v>5.39E-31</v>
      </c>
      <c r="G12504" s="3">
        <v>243</v>
      </c>
      <c r="H12504" s="3">
        <v>57</v>
      </c>
      <c r="I12504" s="3">
        <v>91</v>
      </c>
      <c r="J12504" s="3">
        <v>136</v>
      </c>
      <c r="K12504" s="3">
        <v>378</v>
      </c>
      <c r="L12504" s="3">
        <v>434</v>
      </c>
      <c r="M12504" s="3">
        <v>515</v>
      </c>
    </row>
    <row r="12505" spans="1:13" x14ac:dyDescent="0.25">
      <c r="A12505" s="1" t="str">
        <f>HYPERLINK("http://www.rosaceae.org/Prunus/Prunus_persica/p.persica_gdr_reftransV1_0012441","p.persica_gdr_reftransV1_0012441")</f>
        <v>p.persica_gdr_reftransV1_0012441</v>
      </c>
      <c r="B12505" s="3">
        <v>1893</v>
      </c>
      <c r="C12505" s="1" t="str">
        <f>HYPERLINK("http://www.uniprot.org/uniprot/CA1P_ARATH","CA1P_ARATH")</f>
        <v>CA1P_ARATH</v>
      </c>
      <c r="D12505" t="s">
        <v>8607</v>
      </c>
      <c r="E12505" s="3" t="s">
        <v>3</v>
      </c>
      <c r="F12505" s="4">
        <v>0</v>
      </c>
      <c r="G12505" s="3">
        <v>1601</v>
      </c>
      <c r="H12505" s="3">
        <v>69</v>
      </c>
      <c r="I12505" s="3">
        <v>433</v>
      </c>
      <c r="J12505" s="3">
        <v>221</v>
      </c>
      <c r="K12505" s="3">
        <v>1510</v>
      </c>
      <c r="L12505" s="3">
        <v>55</v>
      </c>
      <c r="M12505" s="3">
        <v>480</v>
      </c>
    </row>
    <row r="12506" spans="1:13" x14ac:dyDescent="0.25">
      <c r="A12506" s="1" t="str">
        <f>HYPERLINK("http://www.rosaceae.org/Prunus/Prunus_persica/p.persica_gdr_reftransV1_0012591","p.persica_gdr_reftransV1_0012591")</f>
        <v>p.persica_gdr_reftransV1_0012591</v>
      </c>
      <c r="B12506" s="3">
        <v>1115</v>
      </c>
      <c r="C12506" s="1" t="str">
        <f>HYPERLINK("http://www.uniprot.org/uniprot/EF1D2_ARATH","EF1D2_ARATH")</f>
        <v>EF1D2_ARATH</v>
      </c>
      <c r="D12506" t="s">
        <v>8608</v>
      </c>
      <c r="E12506" s="3" t="s">
        <v>3</v>
      </c>
      <c r="F12506" s="4">
        <v>1.3800000000000001E-94</v>
      </c>
      <c r="G12506" s="3">
        <v>738</v>
      </c>
      <c r="H12506" s="3">
        <v>83</v>
      </c>
      <c r="I12506" s="3">
        <v>228</v>
      </c>
      <c r="J12506" s="3">
        <v>104</v>
      </c>
      <c r="K12506" s="3">
        <v>784</v>
      </c>
      <c r="L12506" s="3">
        <v>4</v>
      </c>
      <c r="M12506" s="3">
        <v>231</v>
      </c>
    </row>
    <row r="12507" spans="1:13" x14ac:dyDescent="0.25">
      <c r="A12507" s="1" t="str">
        <f>HYPERLINK("http://www.rosaceae.org/Prunus/Prunus_persica/p.persica_gdr_reftransV1_0012991","p.persica_gdr_reftransV1_0012991")</f>
        <v>p.persica_gdr_reftransV1_0012991</v>
      </c>
      <c r="B12507" s="3">
        <v>4903</v>
      </c>
      <c r="C12507" s="1" t="str">
        <f>HYPERLINK("http://www.uniprot.org/uniprot/SUV3M_ARATH","SUV3M_ARATH")</f>
        <v>SUV3M_ARATH</v>
      </c>
      <c r="D12507" t="s">
        <v>8609</v>
      </c>
      <c r="E12507" s="3" t="s">
        <v>3</v>
      </c>
      <c r="F12507" s="4">
        <v>0</v>
      </c>
      <c r="G12507" s="3">
        <v>1951</v>
      </c>
      <c r="H12507" s="3">
        <v>72</v>
      </c>
      <c r="I12507" s="3">
        <v>521</v>
      </c>
      <c r="J12507" s="3">
        <v>2708</v>
      </c>
      <c r="K12507" s="3">
        <v>4237</v>
      </c>
      <c r="L12507" s="3">
        <v>30</v>
      </c>
      <c r="M12507" s="3">
        <v>550</v>
      </c>
    </row>
    <row r="12508" spans="1:13" x14ac:dyDescent="0.25">
      <c r="A12508" s="1" t="str">
        <f>HYPERLINK("http://www.rosaceae.org/Prunus/Prunus_persica/p.persica_gdr_reftransV1_0013191","p.persica_gdr_reftransV1_0013191")</f>
        <v>p.persica_gdr_reftransV1_0013191</v>
      </c>
      <c r="B12508" s="3">
        <v>2611</v>
      </c>
      <c r="C12508" s="1" t="str">
        <f>HYPERLINK("http://www.uniprot.org/uniprot/TBL16_ARATH","TBL16_ARATH")</f>
        <v>TBL16_ARATH</v>
      </c>
      <c r="D12508" t="s">
        <v>8610</v>
      </c>
      <c r="E12508" s="3" t="s">
        <v>3</v>
      </c>
      <c r="F12508" s="4">
        <v>0</v>
      </c>
      <c r="G12508" s="3">
        <v>1611</v>
      </c>
      <c r="H12508" s="3">
        <v>55</v>
      </c>
      <c r="I12508" s="3">
        <v>564</v>
      </c>
      <c r="J12508" s="3">
        <v>633</v>
      </c>
      <c r="K12508" s="3">
        <v>2309</v>
      </c>
      <c r="L12508" s="3">
        <v>18</v>
      </c>
      <c r="M12508" s="3">
        <v>551</v>
      </c>
    </row>
    <row r="12509" spans="1:13" x14ac:dyDescent="0.25">
      <c r="A12509" s="1" t="str">
        <f>HYPERLINK("http://www.rosaceae.org/Prunus/Prunus_persica/p.persica_gdr_reftransV1_0013291","p.persica_gdr_reftransV1_0013291")</f>
        <v>p.persica_gdr_reftransV1_0013291</v>
      </c>
      <c r="B12509" s="3">
        <v>1271</v>
      </c>
      <c r="C12509" s="1" t="str">
        <f>HYPERLINK("http://www.uniprot.org/uniprot/RLF24_ARATH","RLF24_ARATH")</f>
        <v>RLF24_ARATH</v>
      </c>
      <c r="D12509" t="s">
        <v>8611</v>
      </c>
      <c r="E12509" s="3" t="s">
        <v>3</v>
      </c>
      <c r="F12509" s="4">
        <v>2.85E-26</v>
      </c>
      <c r="G12509" s="3">
        <v>265</v>
      </c>
      <c r="H12509" s="3">
        <v>57</v>
      </c>
      <c r="I12509" s="3">
        <v>117</v>
      </c>
      <c r="J12509" s="3">
        <v>783</v>
      </c>
      <c r="K12509" s="3">
        <v>1130</v>
      </c>
      <c r="L12509" s="3">
        <v>10</v>
      </c>
      <c r="M12509" s="3">
        <v>118</v>
      </c>
    </row>
    <row r="12510" spans="1:13" x14ac:dyDescent="0.25">
      <c r="A12510" s="1" t="str">
        <f>HYPERLINK("http://www.rosaceae.org/Prunus/Prunus_persica/p.persica_gdr_reftransV1_0013541","p.persica_gdr_reftransV1_0013541")</f>
        <v>p.persica_gdr_reftransV1_0013541</v>
      </c>
      <c r="B12510" s="3">
        <v>1334</v>
      </c>
      <c r="C12510" s="1" t="str">
        <f>HYPERLINK("http://www.uniprot.org/uniprot/VATD_ARATH","VATD_ARATH")</f>
        <v>VATD_ARATH</v>
      </c>
      <c r="D12510" t="s">
        <v>8612</v>
      </c>
      <c r="E12510" s="3" t="s">
        <v>3</v>
      </c>
      <c r="F12510" s="4">
        <v>7.4499999999999999E-149</v>
      </c>
      <c r="G12510" s="3">
        <v>1108</v>
      </c>
      <c r="H12510" s="3">
        <v>80</v>
      </c>
      <c r="I12510" s="3">
        <v>255</v>
      </c>
      <c r="J12510" s="3">
        <v>339</v>
      </c>
      <c r="K12510" s="3">
        <v>1103</v>
      </c>
      <c r="L12510" s="3">
        <v>1</v>
      </c>
      <c r="M12510" s="3">
        <v>255</v>
      </c>
    </row>
    <row r="12511" spans="1:13" x14ac:dyDescent="0.25">
      <c r="A12511" s="1" t="str">
        <f>HYPERLINK("http://www.rosaceae.org/Prunus/Prunus_persica/p.persica_gdr_reftransV1_0013791","p.persica_gdr_reftransV1_0013791")</f>
        <v>p.persica_gdr_reftransV1_0013791</v>
      </c>
      <c r="B12511" s="3">
        <v>1542</v>
      </c>
      <c r="C12511" s="1" t="str">
        <f>HYPERLINK("http://www.uniprot.org/uniprot/PUS1_ORYSJ","PUS1_ORYSJ")</f>
        <v>PUS1_ORYSJ</v>
      </c>
      <c r="D12511" t="s">
        <v>8613</v>
      </c>
      <c r="E12511" s="3" t="s">
        <v>38</v>
      </c>
      <c r="F12511" s="4">
        <v>1.0999999999999999E-118</v>
      </c>
      <c r="G12511" s="3">
        <v>923</v>
      </c>
      <c r="H12511" s="3">
        <v>67</v>
      </c>
      <c r="I12511" s="3">
        <v>259</v>
      </c>
      <c r="J12511" s="3">
        <v>541</v>
      </c>
      <c r="K12511" s="3">
        <v>1308</v>
      </c>
      <c r="L12511" s="3">
        <v>86</v>
      </c>
      <c r="M12511" s="3">
        <v>339</v>
      </c>
    </row>
    <row r="12512" spans="1:13" x14ac:dyDescent="0.25">
      <c r="A12512" s="1" t="str">
        <f>HYPERLINK("http://www.rosaceae.org/Prunus/Prunus_persica/p.persica_gdr_reftransV1_0013891","p.persica_gdr_reftransV1_0013891")</f>
        <v>p.persica_gdr_reftransV1_0013891</v>
      </c>
      <c r="B12512" s="3">
        <v>1622</v>
      </c>
      <c r="C12512" s="1" t="str">
        <f>HYPERLINK("http://www.uniprot.org/uniprot/NIPA9_ARATH","NIPA9_ARATH")</f>
        <v>NIPA9_ARATH</v>
      </c>
      <c r="D12512" t="s">
        <v>8614</v>
      </c>
      <c r="E12512" s="3" t="s">
        <v>3</v>
      </c>
      <c r="F12512" s="4">
        <v>1.7100000000000001E-149</v>
      </c>
      <c r="G12512" s="3">
        <v>1130</v>
      </c>
      <c r="H12512" s="3">
        <v>69</v>
      </c>
      <c r="I12512" s="3">
        <v>370</v>
      </c>
      <c r="J12512" s="3">
        <v>297</v>
      </c>
      <c r="K12512" s="3">
        <v>1406</v>
      </c>
      <c r="L12512" s="3">
        <v>1</v>
      </c>
      <c r="M12512" s="3">
        <v>343</v>
      </c>
    </row>
    <row r="12513" spans="1:13" x14ac:dyDescent="0.25">
      <c r="A12513" s="1" t="str">
        <f>HYPERLINK("http://www.rosaceae.org/Prunus/Prunus_persica/p.persica_gdr_reftransV1_0013941","p.persica_gdr_reftransV1_0013941")</f>
        <v>p.persica_gdr_reftransV1_0013941</v>
      </c>
      <c r="B12513" s="3">
        <v>1778</v>
      </c>
      <c r="C12513" s="1" t="str">
        <f>HYPERLINK("http://www.uniprot.org/uniprot/NUP43_ARATH","NUP43_ARATH")</f>
        <v>NUP43_ARATH</v>
      </c>
      <c r="D12513" t="s">
        <v>8615</v>
      </c>
      <c r="E12513" s="3" t="s">
        <v>3</v>
      </c>
      <c r="F12513" s="4">
        <v>9.0799999999999999E-139</v>
      </c>
      <c r="G12513" s="3">
        <v>1066</v>
      </c>
      <c r="H12513" s="3">
        <v>59</v>
      </c>
      <c r="I12513" s="3">
        <v>356</v>
      </c>
      <c r="J12513" s="3">
        <v>233</v>
      </c>
      <c r="K12513" s="3">
        <v>1258</v>
      </c>
      <c r="L12513" s="3">
        <v>9</v>
      </c>
      <c r="M12513" s="3">
        <v>360</v>
      </c>
    </row>
    <row r="12514" spans="1:13" x14ac:dyDescent="0.25">
      <c r="A12514" s="1" t="str">
        <f>HYPERLINK("http://www.rosaceae.org/Prunus/Prunus_persica/p.persica_gdr_reftransV1_0013991","p.persica_gdr_reftransV1_0013991")</f>
        <v>p.persica_gdr_reftransV1_0013991</v>
      </c>
      <c r="B12514" s="3">
        <v>3579</v>
      </c>
      <c r="C12514" s="1" t="str">
        <f>HYPERLINK("http://www.uniprot.org/uniprot/CUL1_ARATH","CUL1_ARATH")</f>
        <v>CUL1_ARATH</v>
      </c>
      <c r="D12514" t="s">
        <v>2309</v>
      </c>
      <c r="E12514" s="3" t="s">
        <v>3</v>
      </c>
      <c r="F12514" s="4">
        <v>0</v>
      </c>
      <c r="G12514" s="3">
        <v>3338</v>
      </c>
      <c r="H12514" s="3">
        <v>84</v>
      </c>
      <c r="I12514" s="3">
        <v>740</v>
      </c>
      <c r="J12514" s="3">
        <v>753</v>
      </c>
      <c r="K12514" s="3">
        <v>2972</v>
      </c>
      <c r="L12514" s="3">
        <v>2</v>
      </c>
      <c r="M12514" s="3">
        <v>738</v>
      </c>
    </row>
    <row r="12515" spans="1:13" x14ac:dyDescent="0.25">
      <c r="A12515" s="1" t="str">
        <f>HYPERLINK("http://www.rosaceae.org/Prunus/Prunus_persica/p.persica_gdr_reftransV1_0014041","p.persica_gdr_reftransV1_0014041")</f>
        <v>p.persica_gdr_reftransV1_0014041</v>
      </c>
      <c r="B12515" s="3">
        <v>1438</v>
      </c>
      <c r="C12515" s="1" t="str">
        <f>HYPERLINK("http://www.uniprot.org/uniprot/CAJ1_YEAST","CAJ1_YEAST")</f>
        <v>CAJ1_YEAST</v>
      </c>
      <c r="D12515" t="s">
        <v>8616</v>
      </c>
      <c r="E12515" s="3" t="s">
        <v>34</v>
      </c>
      <c r="F12515" s="4">
        <v>4.0200000000000003E-8</v>
      </c>
      <c r="G12515" s="3">
        <v>125</v>
      </c>
      <c r="H12515" s="3">
        <v>42</v>
      </c>
      <c r="I12515" s="3">
        <v>52</v>
      </c>
      <c r="J12515" s="3">
        <v>1011</v>
      </c>
      <c r="K12515" s="3">
        <v>1166</v>
      </c>
      <c r="L12515" s="3">
        <v>6</v>
      </c>
      <c r="M12515" s="3">
        <v>57</v>
      </c>
    </row>
    <row r="12516" spans="1:13" x14ac:dyDescent="0.25">
      <c r="A12516" s="1" t="str">
        <f>HYPERLINK("http://www.rosaceae.org/Prunus/Prunus_persica/p.persica_gdr_reftransV1_0014141","p.persica_gdr_reftransV1_0014141")</f>
        <v>p.persica_gdr_reftransV1_0014141</v>
      </c>
      <c r="B12516" s="3">
        <v>1863</v>
      </c>
      <c r="C12516" s="1" t="str">
        <f>HYPERLINK("http://www.uniprot.org/uniprot/ACR4_ARATH","ACR4_ARATH")</f>
        <v>ACR4_ARATH</v>
      </c>
      <c r="D12516" t="s">
        <v>1409</v>
      </c>
      <c r="E12516" s="3" t="s">
        <v>3</v>
      </c>
      <c r="F12516" s="4">
        <v>2.5799999999999997E-178</v>
      </c>
      <c r="G12516" s="3">
        <v>1340</v>
      </c>
      <c r="H12516" s="3">
        <v>58</v>
      </c>
      <c r="I12516" s="3">
        <v>454</v>
      </c>
      <c r="J12516" s="3">
        <v>259</v>
      </c>
      <c r="K12516" s="3">
        <v>1596</v>
      </c>
      <c r="L12516" s="3">
        <v>2</v>
      </c>
      <c r="M12516" s="3">
        <v>451</v>
      </c>
    </row>
    <row r="12517" spans="1:13" x14ac:dyDescent="0.25">
      <c r="A12517" s="1" t="str">
        <f>HYPERLINK("http://www.rosaceae.org/Prunus/Prunus_persica/p.persica_gdr_reftransV1_0014191","p.persica_gdr_reftransV1_0014191")</f>
        <v>p.persica_gdr_reftransV1_0014191</v>
      </c>
      <c r="B12517" s="3">
        <v>2111</v>
      </c>
      <c r="C12517" s="1" t="str">
        <f>HYPERLINK("http://www.uniprot.org/uniprot/PUB15_ARATH","PUB15_ARATH")</f>
        <v>PUB15_ARATH</v>
      </c>
      <c r="D12517" t="s">
        <v>5494</v>
      </c>
      <c r="E12517" s="3" t="s">
        <v>3</v>
      </c>
      <c r="F12517" s="4">
        <v>0</v>
      </c>
      <c r="G12517" s="3">
        <v>2046</v>
      </c>
      <c r="H12517" s="3">
        <v>68</v>
      </c>
      <c r="I12517" s="3">
        <v>608</v>
      </c>
      <c r="J12517" s="3">
        <v>23</v>
      </c>
      <c r="K12517" s="3">
        <v>1843</v>
      </c>
      <c r="L12517" s="3">
        <v>59</v>
      </c>
      <c r="M12517" s="3">
        <v>660</v>
      </c>
    </row>
    <row r="12518" spans="1:13" x14ac:dyDescent="0.25">
      <c r="A12518" s="1" t="str">
        <f>HYPERLINK("http://www.rosaceae.org/Prunus/Prunus_persica/p.persica_gdr_reftransV1_0014341","p.persica_gdr_reftransV1_0014341")</f>
        <v>p.persica_gdr_reftransV1_0014341</v>
      </c>
      <c r="B12518" s="3">
        <v>2033</v>
      </c>
      <c r="C12518" s="1" t="str">
        <f>HYPERLINK("http://www.uniprot.org/uniprot/XTH2_SOYBN","XTH2_SOYBN")</f>
        <v>XTH2_SOYBN</v>
      </c>
      <c r="D12518" t="s">
        <v>4437</v>
      </c>
      <c r="E12518" s="3" t="s">
        <v>307</v>
      </c>
      <c r="F12518" s="4">
        <v>1.1500000000000001E-55</v>
      </c>
      <c r="G12518" s="3">
        <v>499</v>
      </c>
      <c r="H12518" s="3">
        <v>81</v>
      </c>
      <c r="I12518" s="3">
        <v>121</v>
      </c>
      <c r="J12518" s="3">
        <v>130</v>
      </c>
      <c r="K12518" s="3">
        <v>480</v>
      </c>
      <c r="L12518" s="3">
        <v>162</v>
      </c>
      <c r="M12518" s="3">
        <v>282</v>
      </c>
    </row>
    <row r="12519" spans="1:13" x14ac:dyDescent="0.25">
      <c r="A12519" s="1" t="str">
        <f>HYPERLINK("http://www.rosaceae.org/Prunus/Prunus_persica/p.persica_gdr_reftransV1_0014441","p.persica_gdr_reftransV1_0014441")</f>
        <v>p.persica_gdr_reftransV1_0014441</v>
      </c>
      <c r="B12519" s="3">
        <v>1355</v>
      </c>
      <c r="C12519" s="1" t="str">
        <f>HYPERLINK("http://www.uniprot.org/uniprot/RP25L_MOUSE","RP25L_MOUSE")</f>
        <v>RP25L_MOUSE</v>
      </c>
      <c r="D12519" t="s">
        <v>3045</v>
      </c>
      <c r="E12519" s="3" t="s">
        <v>157</v>
      </c>
      <c r="F12519" s="4">
        <v>5.1300000000000001E-15</v>
      </c>
      <c r="G12519" s="3">
        <v>188</v>
      </c>
      <c r="H12519" s="3">
        <v>33</v>
      </c>
      <c r="I12519" s="3">
        <v>135</v>
      </c>
      <c r="J12519" s="3">
        <v>804</v>
      </c>
      <c r="K12519" s="3">
        <v>1193</v>
      </c>
      <c r="L12519" s="3">
        <v>2</v>
      </c>
      <c r="M12519" s="3">
        <v>136</v>
      </c>
    </row>
    <row r="12520" spans="1:13" x14ac:dyDescent="0.25">
      <c r="A12520" s="1" t="str">
        <f>HYPERLINK("http://www.rosaceae.org/Prunus/Prunus_persica/p.persica_gdr_reftransV1_0014491","p.persica_gdr_reftransV1_0014491")</f>
        <v>p.persica_gdr_reftransV1_0014491</v>
      </c>
      <c r="B12520" s="3">
        <v>1608</v>
      </c>
      <c r="C12520" s="1" t="str">
        <f>HYPERLINK("http://www.uniprot.org/uniprot/Y1723_ARATH","Y1723_ARATH")</f>
        <v>Y1723_ARATH</v>
      </c>
      <c r="D12520" t="s">
        <v>4688</v>
      </c>
      <c r="E12520" s="3" t="s">
        <v>3</v>
      </c>
      <c r="F12520" s="4">
        <v>0</v>
      </c>
      <c r="G12520" s="3">
        <v>1561</v>
      </c>
      <c r="H12520" s="3">
        <v>70</v>
      </c>
      <c r="I12520" s="3">
        <v>426</v>
      </c>
      <c r="J12520" s="3">
        <v>3</v>
      </c>
      <c r="K12520" s="3">
        <v>1280</v>
      </c>
      <c r="L12520" s="3">
        <v>673</v>
      </c>
      <c r="M12520" s="3">
        <v>1097</v>
      </c>
    </row>
    <row r="12521" spans="1:13" x14ac:dyDescent="0.25">
      <c r="A12521" s="1" t="str">
        <f>HYPERLINK("http://www.rosaceae.org/Prunus/Prunus_persica/p.persica_gdr_reftransV1_0014791","p.persica_gdr_reftransV1_0014791")</f>
        <v>p.persica_gdr_reftransV1_0014791</v>
      </c>
      <c r="B12521" s="3">
        <v>2112</v>
      </c>
      <c r="C12521" s="1" t="str">
        <f>HYPERLINK("http://www.uniprot.org/uniprot/MD36B_ARATH","MD36B_ARATH")</f>
        <v>MD36B_ARATH</v>
      </c>
      <c r="D12521" t="s">
        <v>8617</v>
      </c>
      <c r="E12521" s="3" t="s">
        <v>3</v>
      </c>
      <c r="F12521" s="4">
        <v>3.9699999999999999E-100</v>
      </c>
      <c r="G12521" s="3">
        <v>810</v>
      </c>
      <c r="H12521" s="3">
        <v>75</v>
      </c>
      <c r="I12521" s="3">
        <v>215</v>
      </c>
      <c r="J12521" s="3">
        <v>1166</v>
      </c>
      <c r="K12521" s="3">
        <v>1786</v>
      </c>
      <c r="L12521" s="3">
        <v>67</v>
      </c>
      <c r="M12521" s="3">
        <v>281</v>
      </c>
    </row>
    <row r="12522" spans="1:13" x14ac:dyDescent="0.25">
      <c r="A12522" s="1" t="str">
        <f>HYPERLINK("http://www.rosaceae.org/Prunus/Prunus_persica/p.persica_gdr_reftransV1_0015091","p.persica_gdr_reftransV1_0015091")</f>
        <v>p.persica_gdr_reftransV1_0015091</v>
      </c>
      <c r="B12522" s="3">
        <v>1340</v>
      </c>
      <c r="C12522" s="1" t="str">
        <f>HYPERLINK("http://www.uniprot.org/uniprot/PP337_ARATH","PP337_ARATH")</f>
        <v>PP337_ARATH</v>
      </c>
      <c r="D12522" t="s">
        <v>8618</v>
      </c>
      <c r="E12522" s="3" t="s">
        <v>3</v>
      </c>
      <c r="F12522" s="4">
        <v>6.5200000000000001E-132</v>
      </c>
      <c r="G12522" s="3">
        <v>1022</v>
      </c>
      <c r="H12522" s="3">
        <v>65</v>
      </c>
      <c r="I12522" s="3">
        <v>299</v>
      </c>
      <c r="J12522" s="3">
        <v>1</v>
      </c>
      <c r="K12522" s="3">
        <v>897</v>
      </c>
      <c r="L12522" s="3">
        <v>229</v>
      </c>
      <c r="M12522" s="3">
        <v>526</v>
      </c>
    </row>
    <row r="12523" spans="1:13" x14ac:dyDescent="0.25">
      <c r="A12523" s="1" t="str">
        <f>HYPERLINK("http://www.rosaceae.org/Prunus/Prunus_persica/p.persica_gdr_reftransV1_0015291","p.persica_gdr_reftransV1_0015291")</f>
        <v>p.persica_gdr_reftransV1_0015291</v>
      </c>
      <c r="B12523" s="3">
        <v>4120</v>
      </c>
      <c r="C12523" s="1" t="str">
        <f>HYPERLINK("http://www.uniprot.org/uniprot/SYNDE_HUMAN","SYNDE_HUMAN")</f>
        <v>SYNDE_HUMAN</v>
      </c>
      <c r="D12523" t="s">
        <v>8619</v>
      </c>
      <c r="E12523" s="3" t="s">
        <v>28</v>
      </c>
      <c r="F12523" s="4">
        <v>8.9200000000000003E-32</v>
      </c>
      <c r="G12523" s="3">
        <v>349</v>
      </c>
      <c r="H12523" s="3">
        <v>32</v>
      </c>
      <c r="I12523" s="3">
        <v>273</v>
      </c>
      <c r="J12523" s="3">
        <v>2893</v>
      </c>
      <c r="K12523" s="3">
        <v>3693</v>
      </c>
      <c r="L12523" s="3">
        <v>669</v>
      </c>
      <c r="M12523" s="3">
        <v>939</v>
      </c>
    </row>
    <row r="12524" spans="1:13" x14ac:dyDescent="0.25">
      <c r="A12524" s="1" t="str">
        <f>HYPERLINK("http://www.rosaceae.org/Prunus/Prunus_persica/p.persica_gdr_reftransV1_0015391","p.persica_gdr_reftransV1_0015391")</f>
        <v>p.persica_gdr_reftransV1_0015391</v>
      </c>
      <c r="B12524" s="3">
        <v>1044</v>
      </c>
      <c r="C12524" s="1" t="str">
        <f>HYPERLINK("http://www.uniprot.org/uniprot/Y258_SULTO","Y258_SULTO")</f>
        <v>Y258_SULTO</v>
      </c>
      <c r="D12524" t="s">
        <v>8620</v>
      </c>
      <c r="E12524" s="3" t="s">
        <v>8621</v>
      </c>
      <c r="F12524" s="4">
        <v>3.4799999999999998E-13</v>
      </c>
      <c r="G12524" s="3">
        <v>172</v>
      </c>
      <c r="H12524" s="3">
        <v>32</v>
      </c>
      <c r="I12524" s="3">
        <v>145</v>
      </c>
      <c r="J12524" s="3">
        <v>337</v>
      </c>
      <c r="K12524" s="3">
        <v>735</v>
      </c>
      <c r="L12524" s="3">
        <v>20</v>
      </c>
      <c r="M12524" s="3">
        <v>163</v>
      </c>
    </row>
    <row r="12525" spans="1:13" x14ac:dyDescent="0.25">
      <c r="A12525" s="1" t="str">
        <f>HYPERLINK("http://www.rosaceae.org/Prunus/Prunus_persica/p.persica_gdr_reftransV1_0015541","p.persica_gdr_reftransV1_0015541")</f>
        <v>p.persica_gdr_reftransV1_0015541</v>
      </c>
      <c r="B12525" s="3">
        <v>5340</v>
      </c>
      <c r="C12525" s="1" t="str">
        <f>HYPERLINK("http://www.uniprot.org/uniprot/AGL2_BACTQ","AGL2_BACTQ")</f>
        <v>AGL2_BACTQ</v>
      </c>
      <c r="D12525" t="s">
        <v>8622</v>
      </c>
      <c r="E12525" s="3" t="s">
        <v>8623</v>
      </c>
      <c r="F12525" s="4">
        <v>2.1000000000000002E-55</v>
      </c>
      <c r="G12525" s="3">
        <v>542</v>
      </c>
      <c r="H12525" s="3">
        <v>42</v>
      </c>
      <c r="I12525" s="3">
        <v>265</v>
      </c>
      <c r="J12525" s="3">
        <v>3111</v>
      </c>
      <c r="K12525" s="3">
        <v>3905</v>
      </c>
      <c r="L12525" s="3">
        <v>236</v>
      </c>
      <c r="M12525" s="3">
        <v>471</v>
      </c>
    </row>
    <row r="12526" spans="1:13" x14ac:dyDescent="0.25">
      <c r="A12526" s="1" t="str">
        <f>HYPERLINK("http://www.rosaceae.org/Prunus/Prunus_persica/p.persica_gdr_reftransV1_0015591","p.persica_gdr_reftransV1_0015591")</f>
        <v>p.persica_gdr_reftransV1_0015591</v>
      </c>
      <c r="B12526" s="3">
        <v>1407</v>
      </c>
      <c r="C12526" s="1" t="str">
        <f>HYPERLINK("http://www.uniprot.org/uniprot/UBC22_ARATH","UBC22_ARATH")</f>
        <v>UBC22_ARATH</v>
      </c>
      <c r="D12526" t="s">
        <v>8624</v>
      </c>
      <c r="E12526" s="3" t="s">
        <v>3</v>
      </c>
      <c r="F12526" s="4">
        <v>8.1399999999999997E-114</v>
      </c>
      <c r="G12526" s="3">
        <v>877</v>
      </c>
      <c r="H12526" s="3">
        <v>76</v>
      </c>
      <c r="I12526" s="3">
        <v>224</v>
      </c>
      <c r="J12526" s="3">
        <v>308</v>
      </c>
      <c r="K12526" s="3">
        <v>979</v>
      </c>
      <c r="L12526" s="3">
        <v>1</v>
      </c>
      <c r="M12526" s="3">
        <v>206</v>
      </c>
    </row>
    <row r="12527" spans="1:13" x14ac:dyDescent="0.25">
      <c r="A12527" s="1" t="str">
        <f>HYPERLINK("http://www.rosaceae.org/Prunus/Prunus_persica/p.persica_gdr_reftransV1_0015641","p.persica_gdr_reftransV1_0015641")</f>
        <v>p.persica_gdr_reftransV1_0015641</v>
      </c>
      <c r="B12527" s="3">
        <v>2273</v>
      </c>
      <c r="C12527" s="1" t="str">
        <f>HYPERLINK("http://www.uniprot.org/uniprot/PPR22_ARATH","PPR22_ARATH")</f>
        <v>PPR22_ARATH</v>
      </c>
      <c r="D12527" t="s">
        <v>8625</v>
      </c>
      <c r="E12527" s="3" t="s">
        <v>3</v>
      </c>
      <c r="F12527" s="4">
        <v>0</v>
      </c>
      <c r="G12527" s="3">
        <v>1595</v>
      </c>
      <c r="H12527" s="3">
        <v>55</v>
      </c>
      <c r="I12527" s="3">
        <v>534</v>
      </c>
      <c r="J12527" s="3">
        <v>381</v>
      </c>
      <c r="K12527" s="3">
        <v>1982</v>
      </c>
      <c r="L12527" s="3">
        <v>25</v>
      </c>
      <c r="M12527" s="3">
        <v>543</v>
      </c>
    </row>
    <row r="12528" spans="1:13" x14ac:dyDescent="0.25">
      <c r="A12528" s="1" t="str">
        <f>HYPERLINK("http://www.rosaceae.org/Prunus/Prunus_persica/p.persica_gdr_reftransV1_0015691","p.persica_gdr_reftransV1_0015691")</f>
        <v>p.persica_gdr_reftransV1_0015691</v>
      </c>
      <c r="B12528" s="3">
        <v>3600</v>
      </c>
      <c r="C12528" s="1" t="str">
        <f>HYPERLINK("http://www.uniprot.org/uniprot/TGH_ARATH","TGH_ARATH")</f>
        <v>TGH_ARATH</v>
      </c>
      <c r="D12528" t="s">
        <v>8626</v>
      </c>
      <c r="E12528" s="3" t="s">
        <v>3</v>
      </c>
      <c r="F12528" s="4">
        <v>0</v>
      </c>
      <c r="G12528" s="3">
        <v>2068</v>
      </c>
      <c r="H12528" s="3">
        <v>64</v>
      </c>
      <c r="I12528" s="3">
        <v>798</v>
      </c>
      <c r="J12528" s="3">
        <v>237</v>
      </c>
      <c r="K12528" s="3">
        <v>2627</v>
      </c>
      <c r="L12528" s="3">
        <v>1</v>
      </c>
      <c r="M12528" s="3">
        <v>778</v>
      </c>
    </row>
    <row r="12529" spans="1:13" x14ac:dyDescent="0.25">
      <c r="A12529" s="1" t="str">
        <f>HYPERLINK("http://www.rosaceae.org/Prunus/Prunus_persica/p.persica_gdr_reftransV1_0015741","p.persica_gdr_reftransV1_0015741")</f>
        <v>p.persica_gdr_reftransV1_0015741</v>
      </c>
      <c r="B12529" s="3">
        <v>6114</v>
      </c>
      <c r="C12529" s="1" t="str">
        <f>HYPERLINK("http://www.uniprot.org/uniprot/ALDO3_ARATH","ALDO3_ARATH")</f>
        <v>ALDO3_ARATH</v>
      </c>
      <c r="D12529" t="s">
        <v>8627</v>
      </c>
      <c r="E12529" s="3" t="s">
        <v>3</v>
      </c>
      <c r="F12529" s="4">
        <v>0</v>
      </c>
      <c r="G12529" s="3">
        <v>3786</v>
      </c>
      <c r="H12529" s="3">
        <v>62</v>
      </c>
      <c r="I12529" s="3">
        <v>1197</v>
      </c>
      <c r="J12529" s="3">
        <v>271</v>
      </c>
      <c r="K12529" s="3">
        <v>3837</v>
      </c>
      <c r="L12529" s="3">
        <v>3</v>
      </c>
      <c r="M12529" s="3">
        <v>1169</v>
      </c>
    </row>
    <row r="12530" spans="1:13" x14ac:dyDescent="0.25">
      <c r="A12530" s="1" t="str">
        <f>HYPERLINK("http://www.rosaceae.org/Prunus/Prunus_persica/p.persica_gdr_reftransV1_0015841","p.persica_gdr_reftransV1_0015841")</f>
        <v>p.persica_gdr_reftransV1_0015841</v>
      </c>
      <c r="B12530" s="3">
        <v>3145</v>
      </c>
      <c r="C12530" s="1" t="str">
        <f>HYPERLINK("http://www.uniprot.org/uniprot/SUVH1_TOBAC","SUVH1_TOBAC")</f>
        <v>SUVH1_TOBAC</v>
      </c>
      <c r="D12530" t="s">
        <v>8628</v>
      </c>
      <c r="E12530" s="3" t="s">
        <v>200</v>
      </c>
      <c r="F12530" s="4">
        <v>0</v>
      </c>
      <c r="G12530" s="3">
        <v>1890</v>
      </c>
      <c r="H12530" s="3">
        <v>57</v>
      </c>
      <c r="I12530" s="3">
        <v>696</v>
      </c>
      <c r="J12530" s="3">
        <v>523</v>
      </c>
      <c r="K12530" s="3">
        <v>2592</v>
      </c>
      <c r="L12530" s="3">
        <v>44</v>
      </c>
      <c r="M12530" s="3">
        <v>703</v>
      </c>
    </row>
    <row r="12531" spans="1:13" x14ac:dyDescent="0.25">
      <c r="A12531" s="1" t="str">
        <f>HYPERLINK("http://www.rosaceae.org/Prunus/Prunus_persica/p.persica_gdr_reftransV1_0015991","p.persica_gdr_reftransV1_0015991")</f>
        <v>p.persica_gdr_reftransV1_0015991</v>
      </c>
      <c r="B12531" s="3">
        <v>2650</v>
      </c>
      <c r="C12531" s="1" t="str">
        <f>HYPERLINK("http://www.uniprot.org/uniprot/IRKI_ARATH","IRKI_ARATH")</f>
        <v>IRKI_ARATH</v>
      </c>
      <c r="D12531" t="s">
        <v>6</v>
      </c>
      <c r="E12531" s="3" t="s">
        <v>3</v>
      </c>
      <c r="F12531" s="4">
        <v>1.49E-7</v>
      </c>
      <c r="G12531" s="3">
        <v>141</v>
      </c>
      <c r="H12531" s="3">
        <v>28</v>
      </c>
      <c r="I12531" s="3">
        <v>153</v>
      </c>
      <c r="J12531" s="3">
        <v>1701</v>
      </c>
      <c r="K12531" s="3">
        <v>2144</v>
      </c>
      <c r="L12531" s="3">
        <v>417</v>
      </c>
      <c r="M12531" s="3">
        <v>554</v>
      </c>
    </row>
    <row r="12532" spans="1:13" x14ac:dyDescent="0.25">
      <c r="A12532" s="1" t="str">
        <f>HYPERLINK("http://www.rosaceae.org/Prunus/Prunus_persica/p.persica_gdr_reftransV1_0016091","p.persica_gdr_reftransV1_0016091")</f>
        <v>p.persica_gdr_reftransV1_0016091</v>
      </c>
      <c r="B12532" s="3">
        <v>1293</v>
      </c>
      <c r="C12532" s="1" t="str">
        <f>HYPERLINK("http://www.uniprot.org/uniprot/R18AL_ARATH","R18AL_ARATH")</f>
        <v>R18AL_ARATH</v>
      </c>
      <c r="D12532" t="s">
        <v>868</v>
      </c>
      <c r="E12532" s="3" t="s">
        <v>3</v>
      </c>
      <c r="F12532" s="4">
        <v>2.5200000000000002E-25</v>
      </c>
      <c r="G12532" s="3">
        <v>261</v>
      </c>
      <c r="H12532" s="3">
        <v>44</v>
      </c>
      <c r="I12532" s="3">
        <v>160</v>
      </c>
      <c r="J12532" s="3">
        <v>635</v>
      </c>
      <c r="K12532" s="3">
        <v>1105</v>
      </c>
      <c r="L12532" s="3">
        <v>1</v>
      </c>
      <c r="M12532" s="3">
        <v>158</v>
      </c>
    </row>
    <row r="12533" spans="1:13" x14ac:dyDescent="0.25">
      <c r="A12533" s="1" t="str">
        <f>HYPERLINK("http://www.rosaceae.org/Prunus/Prunus_persica/p.persica_gdr_reftransV1_0016141","p.persica_gdr_reftransV1_0016141")</f>
        <v>p.persica_gdr_reftransV1_0016141</v>
      </c>
      <c r="B12533" s="3">
        <v>3712</v>
      </c>
      <c r="C12533" s="1" t="str">
        <f>HYPERLINK("http://www.uniprot.org/uniprot/UGPI6_ARATH","UGPI6_ARATH")</f>
        <v>UGPI6_ARATH</v>
      </c>
      <c r="D12533" t="s">
        <v>689</v>
      </c>
      <c r="E12533" s="3" t="s">
        <v>3</v>
      </c>
      <c r="F12533" s="4">
        <v>1.9200000000000001E-81</v>
      </c>
      <c r="G12533" s="3">
        <v>712</v>
      </c>
      <c r="H12533" s="3">
        <v>55</v>
      </c>
      <c r="I12533" s="3">
        <v>242</v>
      </c>
      <c r="J12533" s="3">
        <v>2724</v>
      </c>
      <c r="K12533" s="3">
        <v>3449</v>
      </c>
      <c r="L12533" s="3">
        <v>25</v>
      </c>
      <c r="M12533" s="3">
        <v>260</v>
      </c>
    </row>
    <row r="12534" spans="1:13" x14ac:dyDescent="0.25">
      <c r="A12534" s="1" t="str">
        <f>HYPERLINK("http://www.rosaceae.org/Prunus/Prunus_persica/p.persica_gdr_reftransV1_0016641","p.persica_gdr_reftransV1_0016641")</f>
        <v>p.persica_gdr_reftransV1_0016641</v>
      </c>
      <c r="B12534" s="3">
        <v>1079</v>
      </c>
      <c r="C12534" s="1" t="str">
        <f>HYPERLINK("http://www.uniprot.org/uniprot/TIG_GLOVI","TIG_GLOVI")</f>
        <v>TIG_GLOVI</v>
      </c>
      <c r="D12534" t="s">
        <v>8629</v>
      </c>
      <c r="E12534" s="3" t="s">
        <v>3174</v>
      </c>
      <c r="F12534" s="4">
        <v>2.7900000000000002E-10</v>
      </c>
      <c r="G12534" s="3">
        <v>157</v>
      </c>
      <c r="H12534" s="3">
        <v>33</v>
      </c>
      <c r="I12534" s="3">
        <v>115</v>
      </c>
      <c r="J12534" s="3">
        <v>345</v>
      </c>
      <c r="K12534" s="3">
        <v>686</v>
      </c>
      <c r="L12534" s="3">
        <v>12</v>
      </c>
      <c r="M12534" s="3">
        <v>118</v>
      </c>
    </row>
    <row r="12535" spans="1:13" x14ac:dyDescent="0.25">
      <c r="A12535" s="1" t="str">
        <f>HYPERLINK("http://www.rosaceae.org/Prunus/Prunus_persica/p.persica_gdr_reftransV1_0016741","p.persica_gdr_reftransV1_0016741")</f>
        <v>p.persica_gdr_reftransV1_0016741</v>
      </c>
      <c r="B12535" s="3">
        <v>1285</v>
      </c>
      <c r="C12535" s="1" t="str">
        <f>HYPERLINK("http://www.uniprot.org/uniprot/XCP1_ARATH","XCP1_ARATH")</f>
        <v>XCP1_ARATH</v>
      </c>
      <c r="D12535" t="s">
        <v>8630</v>
      </c>
      <c r="E12535" s="3" t="s">
        <v>3</v>
      </c>
      <c r="F12535" s="4">
        <v>0</v>
      </c>
      <c r="G12535" s="3">
        <v>1391</v>
      </c>
      <c r="H12535" s="3">
        <v>71</v>
      </c>
      <c r="I12535" s="3">
        <v>356</v>
      </c>
      <c r="J12535" s="3">
        <v>165</v>
      </c>
      <c r="K12535" s="3">
        <v>1226</v>
      </c>
      <c r="L12535" s="3">
        <v>4</v>
      </c>
      <c r="M12535" s="3">
        <v>355</v>
      </c>
    </row>
    <row r="12536" spans="1:13" x14ac:dyDescent="0.25">
      <c r="A12536" s="1" t="str">
        <f>HYPERLINK("http://www.rosaceae.org/Prunus/Prunus_persica/p.persica_gdr_reftransV1_0017041","p.persica_gdr_reftransV1_0017041")</f>
        <v>p.persica_gdr_reftransV1_0017041</v>
      </c>
      <c r="B12536" s="3">
        <v>1235</v>
      </c>
      <c r="C12536" s="1" t="str">
        <f>HYPERLINK("http://www.uniprot.org/uniprot/MIZ1_ARATH","MIZ1_ARATH")</f>
        <v>MIZ1_ARATH</v>
      </c>
      <c r="D12536" t="s">
        <v>4971</v>
      </c>
      <c r="E12536" s="3" t="s">
        <v>3</v>
      </c>
      <c r="F12536" s="4">
        <v>4.2599999999999999E-49</v>
      </c>
      <c r="G12536" s="3">
        <v>441</v>
      </c>
      <c r="H12536" s="3">
        <v>51</v>
      </c>
      <c r="I12536" s="3">
        <v>179</v>
      </c>
      <c r="J12536" s="3">
        <v>321</v>
      </c>
      <c r="K12536" s="3">
        <v>836</v>
      </c>
      <c r="L12536" s="3">
        <v>125</v>
      </c>
      <c r="M12536" s="3">
        <v>297</v>
      </c>
    </row>
    <row r="12537" spans="1:13" x14ac:dyDescent="0.25">
      <c r="A12537" s="1" t="str">
        <f>HYPERLINK("http://www.rosaceae.org/Prunus/Prunus_persica/p.persica_gdr_reftransV1_0017091","p.persica_gdr_reftransV1_0017091")</f>
        <v>p.persica_gdr_reftransV1_0017091</v>
      </c>
      <c r="B12537" s="3">
        <v>5867</v>
      </c>
      <c r="C12537" s="1" t="str">
        <f>HYPERLINK("http://www.uniprot.org/uniprot/CMTA3_ARATH","CMTA3_ARATH")</f>
        <v>CMTA3_ARATH</v>
      </c>
      <c r="D12537" t="s">
        <v>7052</v>
      </c>
      <c r="E12537" s="3" t="s">
        <v>3</v>
      </c>
      <c r="F12537" s="4">
        <v>4.5599999999999999E-150</v>
      </c>
      <c r="G12537" s="3">
        <v>1282</v>
      </c>
      <c r="H12537" s="3">
        <v>44</v>
      </c>
      <c r="I12537" s="3">
        <v>631</v>
      </c>
      <c r="J12537" s="3">
        <v>377</v>
      </c>
      <c r="K12537" s="3">
        <v>2224</v>
      </c>
      <c r="L12537" s="3">
        <v>394</v>
      </c>
      <c r="M12537" s="3">
        <v>996</v>
      </c>
    </row>
    <row r="12538" spans="1:13" x14ac:dyDescent="0.25">
      <c r="A12538" s="1" t="str">
        <f>HYPERLINK("http://www.rosaceae.org/Prunus/Prunus_persica/p.persica_gdr_reftransV1_0017141","p.persica_gdr_reftransV1_0017141")</f>
        <v>p.persica_gdr_reftransV1_0017141</v>
      </c>
      <c r="B12538" s="3">
        <v>1905</v>
      </c>
      <c r="C12538" s="1" t="str">
        <f>HYPERLINK("http://www.uniprot.org/uniprot/GALK1_ARATH","GALK1_ARATH")</f>
        <v>GALK1_ARATH</v>
      </c>
      <c r="D12538" t="s">
        <v>8631</v>
      </c>
      <c r="E12538" s="3" t="s">
        <v>3</v>
      </c>
      <c r="F12538" s="4">
        <v>0</v>
      </c>
      <c r="G12538" s="3">
        <v>1994</v>
      </c>
      <c r="H12538" s="3">
        <v>77</v>
      </c>
      <c r="I12538" s="3">
        <v>497</v>
      </c>
      <c r="J12538" s="3">
        <v>143</v>
      </c>
      <c r="K12538" s="3">
        <v>1633</v>
      </c>
      <c r="L12538" s="3">
        <v>3</v>
      </c>
      <c r="M12538" s="3">
        <v>496</v>
      </c>
    </row>
    <row r="12539" spans="1:13" x14ac:dyDescent="0.25">
      <c r="A12539" s="1" t="str">
        <f>HYPERLINK("http://www.rosaceae.org/Prunus/Prunus_persica/p.persica_gdr_reftransV1_0017241","p.persica_gdr_reftransV1_0017241")</f>
        <v>p.persica_gdr_reftransV1_0017241</v>
      </c>
      <c r="B12539" s="3">
        <v>594</v>
      </c>
      <c r="C12539" s="1" t="str">
        <f>HYPERLINK("http://www.uniprot.org/uniprot/LEUNG_ARATH","LEUNG_ARATH")</f>
        <v>LEUNG_ARATH</v>
      </c>
      <c r="D12539" t="s">
        <v>7071</v>
      </c>
      <c r="E12539" s="3" t="s">
        <v>3</v>
      </c>
      <c r="F12539" s="4">
        <v>1.4300000000000001E-47</v>
      </c>
      <c r="G12539" s="3">
        <v>434</v>
      </c>
      <c r="H12539" s="3">
        <v>87</v>
      </c>
      <c r="I12539" s="3">
        <v>87</v>
      </c>
      <c r="J12539" s="3">
        <v>200</v>
      </c>
      <c r="K12539" s="3">
        <v>460</v>
      </c>
      <c r="L12539" s="3">
        <v>2</v>
      </c>
      <c r="M12539" s="3">
        <v>88</v>
      </c>
    </row>
    <row r="12540" spans="1:13" x14ac:dyDescent="0.25">
      <c r="A12540" s="1" t="str">
        <f>HYPERLINK("http://www.rosaceae.org/Prunus/Prunus_persica/p.persica_gdr_reftransV1_0017391","p.persica_gdr_reftransV1_0017391")</f>
        <v>p.persica_gdr_reftransV1_0017391</v>
      </c>
      <c r="B12540" s="3">
        <v>812</v>
      </c>
      <c r="C12540" s="1" t="str">
        <f>HYPERLINK("http://www.uniprot.org/uniprot/BZP43_ARATH","BZP43_ARATH")</f>
        <v>BZP43_ARATH</v>
      </c>
      <c r="D12540" t="s">
        <v>5198</v>
      </c>
      <c r="E12540" s="3" t="s">
        <v>3</v>
      </c>
      <c r="F12540" s="4">
        <v>8.6E-14</v>
      </c>
      <c r="G12540" s="3">
        <v>172</v>
      </c>
      <c r="H12540" s="3">
        <v>34</v>
      </c>
      <c r="I12540" s="3">
        <v>151</v>
      </c>
      <c r="J12540" s="3">
        <v>329</v>
      </c>
      <c r="K12540" s="3">
        <v>781</v>
      </c>
      <c r="L12540" s="3">
        <v>21</v>
      </c>
      <c r="M12540" s="3">
        <v>152</v>
      </c>
    </row>
    <row r="12541" spans="1:13" x14ac:dyDescent="0.25">
      <c r="A12541" s="1" t="str">
        <f>HYPERLINK("http://www.rosaceae.org/Prunus/Prunus_persica/p.persica_gdr_reftransV1_0017441","p.persica_gdr_reftransV1_0017441")</f>
        <v>p.persica_gdr_reftransV1_0017441</v>
      </c>
      <c r="B12541" s="3">
        <v>2427</v>
      </c>
      <c r="C12541" s="1" t="str">
        <f>HYPERLINK("http://www.uniprot.org/uniprot/CERK_ARATH","CERK_ARATH")</f>
        <v>CERK_ARATH</v>
      </c>
      <c r="D12541" t="s">
        <v>8632</v>
      </c>
      <c r="E12541" s="3" t="s">
        <v>3</v>
      </c>
      <c r="F12541" s="4">
        <v>7.0599999999999996E-123</v>
      </c>
      <c r="G12541" s="3">
        <v>1000</v>
      </c>
      <c r="H12541" s="3">
        <v>63</v>
      </c>
      <c r="I12541" s="3">
        <v>314</v>
      </c>
      <c r="J12541" s="3">
        <v>1366</v>
      </c>
      <c r="K12541" s="3">
        <v>2271</v>
      </c>
      <c r="L12541" s="3">
        <v>304</v>
      </c>
      <c r="M12541" s="3">
        <v>608</v>
      </c>
    </row>
    <row r="12542" spans="1:13" x14ac:dyDescent="0.25">
      <c r="A12542" s="1" t="str">
        <f>HYPERLINK("http://www.rosaceae.org/Prunus/Prunus_persica/p.persica_gdr_reftransV1_0017491","p.persica_gdr_reftransV1_0017491")</f>
        <v>p.persica_gdr_reftransV1_0017491</v>
      </c>
      <c r="B12542" s="3">
        <v>2933</v>
      </c>
      <c r="C12542" s="1" t="str">
        <f>HYPERLINK("http://www.uniprot.org/uniprot/GLR28_ARATH","GLR28_ARATH")</f>
        <v>GLR28_ARATH</v>
      </c>
      <c r="D12542" t="s">
        <v>3106</v>
      </c>
      <c r="E12542" s="3" t="s">
        <v>3</v>
      </c>
      <c r="F12542" s="4">
        <v>0</v>
      </c>
      <c r="G12542" s="3">
        <v>2260</v>
      </c>
      <c r="H12542" s="3">
        <v>52</v>
      </c>
      <c r="I12542" s="3">
        <v>883</v>
      </c>
      <c r="J12542" s="3">
        <v>297</v>
      </c>
      <c r="K12542" s="3">
        <v>2933</v>
      </c>
      <c r="L12542" s="3">
        <v>50</v>
      </c>
      <c r="M12542" s="3">
        <v>905</v>
      </c>
    </row>
    <row r="12543" spans="1:13" x14ac:dyDescent="0.25">
      <c r="A12543" s="1" t="str">
        <f>HYPERLINK("http://www.rosaceae.org/Prunus/Prunus_persica/p.persica_gdr_reftransV1_0017641","p.persica_gdr_reftransV1_0017641")</f>
        <v>p.persica_gdr_reftransV1_0017641</v>
      </c>
      <c r="B12543" s="3">
        <v>1460</v>
      </c>
      <c r="C12543" s="1" t="str">
        <f>HYPERLINK("http://www.uniprot.org/uniprot/PLC_LISMO","PLC_LISMO")</f>
        <v>PLC_LISMO</v>
      </c>
      <c r="D12543" t="s">
        <v>8633</v>
      </c>
      <c r="E12543" s="3" t="s">
        <v>8634</v>
      </c>
      <c r="F12543" s="4">
        <v>1.6E-13</v>
      </c>
      <c r="G12543" s="3">
        <v>183</v>
      </c>
      <c r="H12543" s="3">
        <v>33</v>
      </c>
      <c r="I12543" s="3">
        <v>115</v>
      </c>
      <c r="J12543" s="3">
        <v>728</v>
      </c>
      <c r="K12543" s="3">
        <v>1066</v>
      </c>
      <c r="L12543" s="3">
        <v>46</v>
      </c>
      <c r="M12543" s="3">
        <v>159</v>
      </c>
    </row>
    <row r="12544" spans="1:13" x14ac:dyDescent="0.25">
      <c r="A12544" s="1" t="str">
        <f>HYPERLINK("http://www.rosaceae.org/Prunus/Prunus_persica/p.persica_gdr_reftransV1_0017691","p.persica_gdr_reftransV1_0017691")</f>
        <v>p.persica_gdr_reftransV1_0017691</v>
      </c>
      <c r="B12544" s="3">
        <v>2551</v>
      </c>
      <c r="C12544" s="1" t="str">
        <f>HYPERLINK("http://www.uniprot.org/uniprot/E70B1_ARATH","E70B1_ARATH")</f>
        <v>E70B1_ARATH</v>
      </c>
      <c r="D12544" t="s">
        <v>7633</v>
      </c>
      <c r="E12544" s="3" t="s">
        <v>3</v>
      </c>
      <c r="F12544" s="4">
        <v>0</v>
      </c>
      <c r="G12544" s="3">
        <v>2268</v>
      </c>
      <c r="H12544" s="3">
        <v>73</v>
      </c>
      <c r="I12544" s="3">
        <v>625</v>
      </c>
      <c r="J12544" s="3">
        <v>403</v>
      </c>
      <c r="K12544" s="3">
        <v>2268</v>
      </c>
      <c r="L12544" s="3">
        <v>1</v>
      </c>
      <c r="M12544" s="3">
        <v>616</v>
      </c>
    </row>
    <row r="12545" spans="1:13" x14ac:dyDescent="0.25">
      <c r="A12545" s="1" t="str">
        <f>HYPERLINK("http://www.rosaceae.org/Prunus/Prunus_persica/p.persica_gdr_reftransV1_0017941","p.persica_gdr_reftransV1_0017941")</f>
        <v>p.persica_gdr_reftransV1_0017941</v>
      </c>
      <c r="B12545" s="3">
        <v>3183</v>
      </c>
      <c r="C12545" s="1" t="str">
        <f>HYPERLINK("http://www.uniprot.org/uniprot/RABD1_ARATH","RABD1_ARATH")</f>
        <v>RABD1_ARATH</v>
      </c>
      <c r="D12545" t="s">
        <v>8635</v>
      </c>
      <c r="E12545" s="3" t="s">
        <v>3</v>
      </c>
      <c r="F12545" s="4">
        <v>7.8700000000000003E-48</v>
      </c>
      <c r="G12545" s="3">
        <v>443</v>
      </c>
      <c r="H12545" s="3">
        <v>89</v>
      </c>
      <c r="I12545" s="3">
        <v>90</v>
      </c>
      <c r="J12545" s="3">
        <v>2789</v>
      </c>
      <c r="K12545" s="3">
        <v>3058</v>
      </c>
      <c r="L12545" s="3">
        <v>1</v>
      </c>
      <c r="M12545" s="3">
        <v>90</v>
      </c>
    </row>
    <row r="12546" spans="1:13" x14ac:dyDescent="0.25">
      <c r="A12546" s="1" t="str">
        <f>HYPERLINK("http://www.rosaceae.org/Prunus/Prunus_persica/p.persica_gdr_reftransV1_0018041","p.persica_gdr_reftransV1_0018041")</f>
        <v>p.persica_gdr_reftransV1_0018041</v>
      </c>
      <c r="B12546" s="3">
        <v>1150</v>
      </c>
      <c r="C12546" s="1" t="str">
        <f>HYPERLINK("http://www.uniprot.org/uniprot/ZDHC5_ARATH","ZDHC5_ARATH")</f>
        <v>ZDHC5_ARATH</v>
      </c>
      <c r="D12546" t="s">
        <v>8636</v>
      </c>
      <c r="E12546" s="3" t="s">
        <v>3</v>
      </c>
      <c r="F12546" s="4">
        <v>7.4200000000000002E-33</v>
      </c>
      <c r="G12546" s="3">
        <v>330</v>
      </c>
      <c r="H12546" s="3">
        <v>54</v>
      </c>
      <c r="I12546" s="3">
        <v>131</v>
      </c>
      <c r="J12546" s="3">
        <v>344</v>
      </c>
      <c r="K12546" s="3">
        <v>718</v>
      </c>
      <c r="L12546" s="3">
        <v>255</v>
      </c>
      <c r="M12546" s="3">
        <v>382</v>
      </c>
    </row>
    <row r="12547" spans="1:13" x14ac:dyDescent="0.25">
      <c r="A12547" s="1" t="str">
        <f>HYPERLINK("http://www.rosaceae.org/Prunus/Prunus_persica/p.persica_gdr_reftransV1_0018241","p.persica_gdr_reftransV1_0018241")</f>
        <v>p.persica_gdr_reftransV1_0018241</v>
      </c>
      <c r="B12547" s="3">
        <v>1448</v>
      </c>
      <c r="C12547" s="1" t="str">
        <f>HYPERLINK("http://www.uniprot.org/uniprot/BAP2_ARATH","BAP2_ARATH")</f>
        <v>BAP2_ARATH</v>
      </c>
      <c r="D12547" t="s">
        <v>8637</v>
      </c>
      <c r="E12547" s="3" t="s">
        <v>3</v>
      </c>
      <c r="F12547" s="4">
        <v>1.11E-8</v>
      </c>
      <c r="G12547" s="3">
        <v>141</v>
      </c>
      <c r="H12547" s="3">
        <v>33</v>
      </c>
      <c r="I12547" s="3">
        <v>143</v>
      </c>
      <c r="J12547" s="3">
        <v>905</v>
      </c>
      <c r="K12547" s="3">
        <v>1318</v>
      </c>
      <c r="L12547" s="3">
        <v>10</v>
      </c>
      <c r="M12547" s="3">
        <v>138</v>
      </c>
    </row>
    <row r="12548" spans="1:13" x14ac:dyDescent="0.25">
      <c r="A12548" s="1" t="str">
        <f>HYPERLINK("http://www.rosaceae.org/Prunus/Prunus_persica/p.persica_gdr_reftransV1_0018441","p.persica_gdr_reftransV1_0018441")</f>
        <v>p.persica_gdr_reftransV1_0018441</v>
      </c>
      <c r="B12548" s="3">
        <v>704</v>
      </c>
      <c r="C12548" s="1" t="str">
        <f>HYPERLINK("http://www.uniprot.org/uniprot/PPCK1_ARATH","PPCK1_ARATH")</f>
        <v>PPCK1_ARATH</v>
      </c>
      <c r="D12548" t="s">
        <v>1724</v>
      </c>
      <c r="E12548" s="3" t="s">
        <v>3</v>
      </c>
      <c r="F12548" s="4">
        <v>6.9199999999999998E-56</v>
      </c>
      <c r="G12548" s="3">
        <v>472</v>
      </c>
      <c r="H12548" s="3">
        <v>73</v>
      </c>
      <c r="I12548" s="3">
        <v>115</v>
      </c>
      <c r="J12548" s="3">
        <v>4</v>
      </c>
      <c r="K12548" s="3">
        <v>348</v>
      </c>
      <c r="L12548" s="3">
        <v>159</v>
      </c>
      <c r="M12548" s="3">
        <v>273</v>
      </c>
    </row>
    <row r="12549" spans="1:13" x14ac:dyDescent="0.25">
      <c r="A12549" s="1" t="str">
        <f>HYPERLINK("http://www.rosaceae.org/Prunus/Prunus_persica/p.persica_gdr_reftransV1_0018491","p.persica_gdr_reftransV1_0018491")</f>
        <v>p.persica_gdr_reftransV1_0018491</v>
      </c>
      <c r="B12549" s="3">
        <v>1889</v>
      </c>
      <c r="C12549" s="1" t="str">
        <f>HYPERLINK("http://www.uniprot.org/uniprot/4CL1_TOBAC","4CL1_TOBAC")</f>
        <v>4CL1_TOBAC</v>
      </c>
      <c r="D12549" t="s">
        <v>4400</v>
      </c>
      <c r="E12549" s="3" t="s">
        <v>200</v>
      </c>
      <c r="F12549" s="4">
        <v>0</v>
      </c>
      <c r="G12549" s="3">
        <v>2274</v>
      </c>
      <c r="H12549" s="3">
        <v>78</v>
      </c>
      <c r="I12549" s="3">
        <v>536</v>
      </c>
      <c r="J12549" s="3">
        <v>125</v>
      </c>
      <c r="K12549" s="3">
        <v>1732</v>
      </c>
      <c r="L12549" s="3">
        <v>15</v>
      </c>
      <c r="M12549" s="3">
        <v>547</v>
      </c>
    </row>
    <row r="12550" spans="1:13" x14ac:dyDescent="0.25">
      <c r="A12550" s="1" t="str">
        <f>HYPERLINK("http://www.rosaceae.org/Prunus/Prunus_persica/p.persica_gdr_reftransV1_0018541","p.persica_gdr_reftransV1_0018541")</f>
        <v>p.persica_gdr_reftransV1_0018541</v>
      </c>
      <c r="B12550" s="3">
        <v>717</v>
      </c>
      <c r="C12550" s="1" t="str">
        <f>HYPERLINK("http://www.uniprot.org/uniprot/GPT11_DANRE","GPT11_DANRE")</f>
        <v>GPT11_DANRE</v>
      </c>
      <c r="D12550" t="s">
        <v>8638</v>
      </c>
      <c r="E12550" s="3" t="s">
        <v>704</v>
      </c>
      <c r="F12550" s="4">
        <v>6.5600000000000006E-14</v>
      </c>
      <c r="G12550" s="3">
        <v>176</v>
      </c>
      <c r="H12550" s="3">
        <v>31</v>
      </c>
      <c r="I12550" s="3">
        <v>190</v>
      </c>
      <c r="J12550" s="3">
        <v>77</v>
      </c>
      <c r="K12550" s="3">
        <v>625</v>
      </c>
      <c r="L12550" s="3">
        <v>4</v>
      </c>
      <c r="M12550" s="3">
        <v>179</v>
      </c>
    </row>
    <row r="12551" spans="1:13" x14ac:dyDescent="0.25">
      <c r="A12551" s="1" t="str">
        <f>HYPERLINK("http://www.rosaceae.org/Prunus/Prunus_persica/p.persica_gdr_reftransV1_0018791","p.persica_gdr_reftransV1_0018791")</f>
        <v>p.persica_gdr_reftransV1_0018791</v>
      </c>
      <c r="B12551" s="3">
        <v>2518</v>
      </c>
      <c r="C12551" s="1" t="str">
        <f>HYPERLINK("http://www.uniprot.org/uniprot/UXS1_ARATH","UXS1_ARATH")</f>
        <v>UXS1_ARATH</v>
      </c>
      <c r="D12551" t="s">
        <v>5852</v>
      </c>
      <c r="E12551" s="3" t="s">
        <v>3</v>
      </c>
      <c r="F12551" s="4">
        <v>1.4399999999999999E-147</v>
      </c>
      <c r="G12551" s="3">
        <v>1153</v>
      </c>
      <c r="H12551" s="3">
        <v>78</v>
      </c>
      <c r="I12551" s="3">
        <v>289</v>
      </c>
      <c r="J12551" s="3">
        <v>437</v>
      </c>
      <c r="K12551" s="3">
        <v>1276</v>
      </c>
      <c r="L12551" s="3">
        <v>1</v>
      </c>
      <c r="M12551" s="3">
        <v>284</v>
      </c>
    </row>
    <row r="12552" spans="1:13" x14ac:dyDescent="0.25">
      <c r="A12552" s="1" t="str">
        <f>HYPERLINK("http://www.rosaceae.org/Prunus/Prunus_persica/p.persica_gdr_reftransV1_0018941","p.persica_gdr_reftransV1_0018941")</f>
        <v>p.persica_gdr_reftransV1_0018941</v>
      </c>
      <c r="B12552" s="3">
        <v>1206</v>
      </c>
      <c r="C12552" s="1" t="str">
        <f>HYPERLINK("http://www.uniprot.org/uniprot/ZC3HE_CAEEL","ZC3HE_CAEEL")</f>
        <v>ZC3HE_CAEEL</v>
      </c>
      <c r="D12552" t="s">
        <v>8639</v>
      </c>
      <c r="E12552" s="3" t="s">
        <v>281</v>
      </c>
      <c r="F12552" s="4">
        <v>9.0499999999999998E-10</v>
      </c>
      <c r="G12552" s="3">
        <v>155</v>
      </c>
      <c r="H12552" s="3">
        <v>44</v>
      </c>
      <c r="I12552" s="3">
        <v>68</v>
      </c>
      <c r="J12552" s="3">
        <v>453</v>
      </c>
      <c r="K12552" s="3">
        <v>650</v>
      </c>
      <c r="L12552" s="3">
        <v>7</v>
      </c>
      <c r="M12552" s="3">
        <v>73</v>
      </c>
    </row>
    <row r="12553" spans="1:13" x14ac:dyDescent="0.25">
      <c r="A12553" s="1" t="str">
        <f>HYPERLINK("http://www.rosaceae.org/Prunus/Prunus_persica/p.persica_gdr_reftransV1_0019091","p.persica_gdr_reftransV1_0019091")</f>
        <v>p.persica_gdr_reftransV1_0019091</v>
      </c>
      <c r="B12553" s="3">
        <v>2593</v>
      </c>
      <c r="C12553" s="1" t="str">
        <f>HYPERLINK("http://www.uniprot.org/uniprot/ASPL2_ARATH","ASPL2_ARATH")</f>
        <v>ASPL2_ARATH</v>
      </c>
      <c r="D12553" t="s">
        <v>545</v>
      </c>
      <c r="E12553" s="3" t="s">
        <v>3</v>
      </c>
      <c r="F12553" s="4">
        <v>3.3999999999999998E-83</v>
      </c>
      <c r="G12553" s="3">
        <v>718</v>
      </c>
      <c r="H12553" s="3">
        <v>38</v>
      </c>
      <c r="I12553" s="3">
        <v>462</v>
      </c>
      <c r="J12553" s="3">
        <v>669</v>
      </c>
      <c r="K12553" s="3">
        <v>2015</v>
      </c>
      <c r="L12553" s="3">
        <v>20</v>
      </c>
      <c r="M12553" s="3">
        <v>461</v>
      </c>
    </row>
    <row r="12554" spans="1:13" x14ac:dyDescent="0.25">
      <c r="A12554" s="1" t="str">
        <f>HYPERLINK("http://www.rosaceae.org/Prunus/Prunus_persica/p.persica_gdr_reftransV1_0019141","p.persica_gdr_reftransV1_0019141")</f>
        <v>p.persica_gdr_reftransV1_0019141</v>
      </c>
      <c r="B12554" s="3">
        <v>712</v>
      </c>
      <c r="C12554" s="1" t="str">
        <f>HYPERLINK("http://www.uniprot.org/uniprot/HEBP2_MOUSE","HEBP2_MOUSE")</f>
        <v>HEBP2_MOUSE</v>
      </c>
      <c r="D12554" t="s">
        <v>8640</v>
      </c>
      <c r="E12554" s="3" t="s">
        <v>157</v>
      </c>
      <c r="F12554" s="4">
        <v>2.0899999999999999E-16</v>
      </c>
      <c r="G12554" s="3">
        <v>193</v>
      </c>
      <c r="H12554" s="3">
        <v>31</v>
      </c>
      <c r="I12554" s="3">
        <v>185</v>
      </c>
      <c r="J12554" s="3">
        <v>164</v>
      </c>
      <c r="K12554" s="3">
        <v>697</v>
      </c>
      <c r="L12554" s="3">
        <v>18</v>
      </c>
      <c r="M12554" s="3">
        <v>194</v>
      </c>
    </row>
    <row r="12555" spans="1:13" x14ac:dyDescent="0.25">
      <c r="A12555" s="1" t="str">
        <f>HYPERLINK("http://www.rosaceae.org/Prunus/Prunus_persica/p.persica_gdr_reftransV1_0019241","p.persica_gdr_reftransV1_0019241")</f>
        <v>p.persica_gdr_reftransV1_0019241</v>
      </c>
      <c r="B12555" s="3">
        <v>1062</v>
      </c>
      <c r="C12555" s="1" t="str">
        <f>HYPERLINK("http://www.uniprot.org/uniprot/BH130_ARATH","BH130_ARATH")</f>
        <v>BH130_ARATH</v>
      </c>
      <c r="D12555" t="s">
        <v>6426</v>
      </c>
      <c r="E12555" s="3" t="s">
        <v>3</v>
      </c>
      <c r="F12555" s="4">
        <v>3.7400000000000001E-87</v>
      </c>
      <c r="G12555" s="3">
        <v>699</v>
      </c>
      <c r="H12555" s="3">
        <v>53</v>
      </c>
      <c r="I12555" s="3">
        <v>274</v>
      </c>
      <c r="J12555" s="3">
        <v>104</v>
      </c>
      <c r="K12555" s="3">
        <v>739</v>
      </c>
      <c r="L12555" s="3">
        <v>93</v>
      </c>
      <c r="M12555" s="3">
        <v>359</v>
      </c>
    </row>
    <row r="12556" spans="1:13" x14ac:dyDescent="0.25">
      <c r="A12556" s="1" t="str">
        <f>HYPERLINK("http://www.rosaceae.org/Prunus/Prunus_persica/p.persica_gdr_reftransV1_0019391","p.persica_gdr_reftransV1_0019391")</f>
        <v>p.persica_gdr_reftransV1_0019391</v>
      </c>
      <c r="B12556" s="3">
        <v>2436</v>
      </c>
      <c r="C12556" s="1" t="str">
        <f>HYPERLINK("http://www.uniprot.org/uniprot/NCASE_ARATH","NCASE_ARATH")</f>
        <v>NCASE_ARATH</v>
      </c>
      <c r="D12556" t="s">
        <v>4341</v>
      </c>
      <c r="E12556" s="3" t="s">
        <v>3</v>
      </c>
      <c r="F12556" s="4">
        <v>0</v>
      </c>
      <c r="G12556" s="3">
        <v>2224</v>
      </c>
      <c r="H12556" s="3">
        <v>77</v>
      </c>
      <c r="I12556" s="3">
        <v>562</v>
      </c>
      <c r="J12556" s="3">
        <v>453</v>
      </c>
      <c r="K12556" s="3">
        <v>2129</v>
      </c>
      <c r="L12556" s="3">
        <v>26</v>
      </c>
      <c r="M12556" s="3">
        <v>578</v>
      </c>
    </row>
    <row r="12557" spans="1:13" x14ac:dyDescent="0.25">
      <c r="A12557" s="1" t="str">
        <f>HYPERLINK("http://www.rosaceae.org/Prunus/Prunus_persica/p.persica_gdr_reftransV1_0019491","p.persica_gdr_reftransV1_0019491")</f>
        <v>p.persica_gdr_reftransV1_0019491</v>
      </c>
      <c r="B12557" s="3">
        <v>2556</v>
      </c>
      <c r="C12557" s="1" t="str">
        <f>HYPERLINK("http://www.uniprot.org/uniprot/PAP11_ARATH","PAP11_ARATH")</f>
        <v>PAP11_ARATH</v>
      </c>
      <c r="D12557" t="s">
        <v>8641</v>
      </c>
      <c r="E12557" s="3" t="s">
        <v>3</v>
      </c>
      <c r="F12557" s="4">
        <v>3.3000000000000002E-67</v>
      </c>
      <c r="G12557" s="3">
        <v>581</v>
      </c>
      <c r="H12557" s="3">
        <v>62</v>
      </c>
      <c r="I12557" s="3">
        <v>177</v>
      </c>
      <c r="J12557" s="3">
        <v>59</v>
      </c>
      <c r="K12557" s="3">
        <v>589</v>
      </c>
      <c r="L12557" s="3">
        <v>5</v>
      </c>
      <c r="M12557" s="3">
        <v>177</v>
      </c>
    </row>
    <row r="12558" spans="1:13" x14ac:dyDescent="0.25">
      <c r="A12558" s="1" t="str">
        <f>HYPERLINK("http://www.rosaceae.org/Prunus/Prunus_persica/p.persica_gdr_reftransV1_0019741","p.persica_gdr_reftransV1_0019741")</f>
        <v>p.persica_gdr_reftransV1_0019741</v>
      </c>
      <c r="B12558" s="3">
        <v>420</v>
      </c>
      <c r="C12558" s="1" t="str">
        <f>HYPERLINK("http://www.uniprot.org/uniprot/PPA1_ARATH","PPA1_ARATH")</f>
        <v>PPA1_ARATH</v>
      </c>
      <c r="D12558" t="s">
        <v>329</v>
      </c>
      <c r="E12558" s="3" t="s">
        <v>3</v>
      </c>
      <c r="F12558" s="4">
        <v>1.23E-25</v>
      </c>
      <c r="G12558" s="3">
        <v>263</v>
      </c>
      <c r="H12558" s="3">
        <v>47</v>
      </c>
      <c r="I12558" s="3">
        <v>105</v>
      </c>
      <c r="J12558" s="3">
        <v>104</v>
      </c>
      <c r="K12558" s="3">
        <v>418</v>
      </c>
      <c r="L12558" s="3">
        <v>14</v>
      </c>
      <c r="M12558" s="3">
        <v>118</v>
      </c>
    </row>
    <row r="12559" spans="1:13" x14ac:dyDescent="0.25">
      <c r="A12559" s="1" t="str">
        <f>HYPERLINK("http://www.rosaceae.org/Prunus/Prunus_persica/p.persica_gdr_reftransV1_0019841","p.persica_gdr_reftransV1_0019841")</f>
        <v>p.persica_gdr_reftransV1_0019841</v>
      </c>
      <c r="B12559" s="3">
        <v>1453</v>
      </c>
      <c r="C12559" s="1" t="str">
        <f>HYPERLINK("http://www.uniprot.org/uniprot/BB_ARATH","BB_ARATH")</f>
        <v>BB_ARATH</v>
      </c>
      <c r="D12559" t="s">
        <v>2845</v>
      </c>
      <c r="E12559" s="3" t="s">
        <v>3</v>
      </c>
      <c r="F12559" s="4">
        <v>1.7499999999999999E-54</v>
      </c>
      <c r="G12559" s="3">
        <v>479</v>
      </c>
      <c r="H12559" s="3">
        <v>78</v>
      </c>
      <c r="I12559" s="3">
        <v>111</v>
      </c>
      <c r="J12559" s="3">
        <v>236</v>
      </c>
      <c r="K12559" s="3">
        <v>568</v>
      </c>
      <c r="L12559" s="3">
        <v>138</v>
      </c>
      <c r="M12559" s="3">
        <v>248</v>
      </c>
    </row>
    <row r="12560" spans="1:13" x14ac:dyDescent="0.25">
      <c r="A12560" s="1" t="str">
        <f>HYPERLINK("http://www.rosaceae.org/Prunus/Prunus_persica/p.persica_gdr_reftransV1_0019941","p.persica_gdr_reftransV1_0019941")</f>
        <v>p.persica_gdr_reftransV1_0019941</v>
      </c>
      <c r="B12560" s="3">
        <v>1138</v>
      </c>
      <c r="C12560" s="1" t="str">
        <f>HYPERLINK("http://www.uniprot.org/uniprot/RIR1_ARATH","RIR1_ARATH")</f>
        <v>RIR1_ARATH</v>
      </c>
      <c r="D12560" t="s">
        <v>5238</v>
      </c>
      <c r="E12560" s="3" t="s">
        <v>3</v>
      </c>
      <c r="F12560" s="4">
        <v>1.08E-174</v>
      </c>
      <c r="G12560" s="3">
        <v>1324</v>
      </c>
      <c r="H12560" s="3">
        <v>79</v>
      </c>
      <c r="I12560" s="3">
        <v>298</v>
      </c>
      <c r="J12560" s="3">
        <v>243</v>
      </c>
      <c r="K12560" s="3">
        <v>1136</v>
      </c>
      <c r="L12560" s="3">
        <v>1</v>
      </c>
      <c r="M12560" s="3">
        <v>298</v>
      </c>
    </row>
    <row r="12561" spans="1:13" x14ac:dyDescent="0.25">
      <c r="A12561" s="1" t="str">
        <f>HYPERLINK("http://www.rosaceae.org/Prunus/Prunus_persica/p.persica_gdr_reftransV1_0020191","p.persica_gdr_reftransV1_0020191")</f>
        <v>p.persica_gdr_reftransV1_0020191</v>
      </c>
      <c r="B12561" s="3">
        <v>2465</v>
      </c>
      <c r="C12561" s="1" t="str">
        <f>HYPERLINK("http://www.uniprot.org/uniprot/RNGB_DICDI","RNGB_DICDI")</f>
        <v>RNGB_DICDI</v>
      </c>
      <c r="D12561" t="s">
        <v>8642</v>
      </c>
      <c r="E12561" s="3" t="s">
        <v>9</v>
      </c>
      <c r="F12561" s="4">
        <v>7.4799999999999995E-8</v>
      </c>
      <c r="G12561" s="3">
        <v>144</v>
      </c>
      <c r="H12561" s="3">
        <v>44</v>
      </c>
      <c r="I12561" s="3">
        <v>59</v>
      </c>
      <c r="J12561" s="3">
        <v>1783</v>
      </c>
      <c r="K12561" s="3">
        <v>1959</v>
      </c>
      <c r="L12561" s="3">
        <v>885</v>
      </c>
      <c r="M12561" s="3">
        <v>942</v>
      </c>
    </row>
    <row r="12562" spans="1:13" x14ac:dyDescent="0.25">
      <c r="A12562" s="1" t="str">
        <f>HYPERLINK("http://www.rosaceae.org/Prunus/Prunus_persica/p.persica_gdr_reftransV1_0020241","p.persica_gdr_reftransV1_0020241")</f>
        <v>p.persica_gdr_reftransV1_0020241</v>
      </c>
      <c r="B12562" s="3">
        <v>1376</v>
      </c>
      <c r="C12562" s="1" t="str">
        <f>HYPERLINK("http://www.uniprot.org/uniprot/PCR10_ARATH","PCR10_ARATH")</f>
        <v>PCR10_ARATH</v>
      </c>
      <c r="D12562" t="s">
        <v>8643</v>
      </c>
      <c r="E12562" s="3" t="s">
        <v>3</v>
      </c>
      <c r="F12562" s="4">
        <v>4.6700000000000001E-61</v>
      </c>
      <c r="G12562" s="3">
        <v>517</v>
      </c>
      <c r="H12562" s="3">
        <v>73</v>
      </c>
      <c r="I12562" s="3">
        <v>126</v>
      </c>
      <c r="J12562" s="3">
        <v>706</v>
      </c>
      <c r="K12562" s="3">
        <v>1083</v>
      </c>
      <c r="L12562" s="3">
        <v>62</v>
      </c>
      <c r="M12562" s="3">
        <v>187</v>
      </c>
    </row>
    <row r="12563" spans="1:13" x14ac:dyDescent="0.25">
      <c r="A12563" s="1" t="str">
        <f>HYPERLINK("http://www.rosaceae.org/Prunus/Prunus_persica/p.persica_gdr_reftransV1_0020341","p.persica_gdr_reftransV1_0020341")</f>
        <v>p.persica_gdr_reftransV1_0020341</v>
      </c>
      <c r="B12563" s="3">
        <v>1013</v>
      </c>
      <c r="C12563" s="1" t="str">
        <f>HYPERLINK("http://www.uniprot.org/uniprot/RPD1_ARATH","RPD1_ARATH")</f>
        <v>RPD1_ARATH</v>
      </c>
      <c r="D12563" t="s">
        <v>1883</v>
      </c>
      <c r="E12563" s="3" t="s">
        <v>3</v>
      </c>
      <c r="F12563" s="4">
        <v>4.6199999999999997E-27</v>
      </c>
      <c r="G12563" s="3">
        <v>284</v>
      </c>
      <c r="H12563" s="3">
        <v>31</v>
      </c>
      <c r="I12563" s="3">
        <v>246</v>
      </c>
      <c r="J12563" s="3">
        <v>111</v>
      </c>
      <c r="K12563" s="3">
        <v>821</v>
      </c>
      <c r="L12563" s="3">
        <v>147</v>
      </c>
      <c r="M12563" s="3">
        <v>381</v>
      </c>
    </row>
    <row r="12564" spans="1:13" x14ac:dyDescent="0.25">
      <c r="A12564" s="1" t="str">
        <f>HYPERLINK("http://www.rosaceae.org/Prunus/Prunus_persica/p.persica_gdr_reftransV1_0020441","p.persica_gdr_reftransV1_0020441")</f>
        <v>p.persica_gdr_reftransV1_0020441</v>
      </c>
      <c r="B12564" s="3">
        <v>7607</v>
      </c>
      <c r="C12564" s="1" t="str">
        <f>HYPERLINK("http://www.uniprot.org/uniprot/DEK1_ARATH","DEK1_ARATH")</f>
        <v>DEK1_ARATH</v>
      </c>
      <c r="D12564" t="s">
        <v>8644</v>
      </c>
      <c r="E12564" s="3" t="s">
        <v>3</v>
      </c>
      <c r="F12564" s="4">
        <v>0</v>
      </c>
      <c r="G12564" s="3">
        <v>8286</v>
      </c>
      <c r="H12564" s="3">
        <v>83</v>
      </c>
      <c r="I12564" s="3">
        <v>2162</v>
      </c>
      <c r="J12564" s="3">
        <v>483</v>
      </c>
      <c r="K12564" s="3">
        <v>6962</v>
      </c>
      <c r="L12564" s="3">
        <v>1</v>
      </c>
      <c r="M12564" s="3">
        <v>2151</v>
      </c>
    </row>
    <row r="12565" spans="1:13" x14ac:dyDescent="0.25">
      <c r="A12565" s="1" t="str">
        <f>HYPERLINK("http://www.rosaceae.org/Prunus/Prunus_persica/p.persica_gdr_reftransV1_0020491","p.persica_gdr_reftransV1_0020491")</f>
        <v>p.persica_gdr_reftransV1_0020491</v>
      </c>
      <c r="B12565" s="3">
        <v>1758</v>
      </c>
      <c r="C12565" s="1" t="str">
        <f>HYPERLINK("http://www.uniprot.org/uniprot/C81E8_MEDTR","C81E8_MEDTR")</f>
        <v>C81E8_MEDTR</v>
      </c>
      <c r="D12565" t="s">
        <v>7570</v>
      </c>
      <c r="E12565" s="3" t="s">
        <v>91</v>
      </c>
      <c r="F12565" s="4">
        <v>1.02E-131</v>
      </c>
      <c r="G12565" s="3">
        <v>866</v>
      </c>
      <c r="H12565" s="3">
        <v>51</v>
      </c>
      <c r="I12565" s="3">
        <v>324</v>
      </c>
      <c r="J12565" s="3">
        <v>252</v>
      </c>
      <c r="K12565" s="3">
        <v>1217</v>
      </c>
      <c r="L12565" s="3">
        <v>176</v>
      </c>
      <c r="M12565" s="3">
        <v>490</v>
      </c>
    </row>
    <row r="12566" spans="1:13" x14ac:dyDescent="0.25">
      <c r="A12566" s="1" t="str">
        <f>HYPERLINK("http://www.rosaceae.org/Prunus/Prunus_persica/p.persica_gdr_reftransV1_0020541","p.persica_gdr_reftransV1_0020541")</f>
        <v>p.persica_gdr_reftransV1_0020541</v>
      </c>
      <c r="B12566" s="3">
        <v>1799</v>
      </c>
      <c r="C12566" s="1" t="str">
        <f>HYPERLINK("http://www.uniprot.org/uniprot/MTM1_ARATH","MTM1_ARATH")</f>
        <v>MTM1_ARATH</v>
      </c>
      <c r="D12566" t="s">
        <v>4868</v>
      </c>
      <c r="E12566" s="3" t="s">
        <v>3</v>
      </c>
      <c r="F12566" s="4">
        <v>6.2099999999999999E-114</v>
      </c>
      <c r="G12566" s="3">
        <v>883</v>
      </c>
      <c r="H12566" s="3">
        <v>70</v>
      </c>
      <c r="I12566" s="3">
        <v>256</v>
      </c>
      <c r="J12566" s="3">
        <v>573</v>
      </c>
      <c r="K12566" s="3">
        <v>1337</v>
      </c>
      <c r="L12566" s="3">
        <v>159</v>
      </c>
      <c r="M12566" s="3">
        <v>413</v>
      </c>
    </row>
    <row r="12567" spans="1:13" x14ac:dyDescent="0.25">
      <c r="A12567" s="1" t="str">
        <f>HYPERLINK("http://www.rosaceae.org/Prunus/Prunus_persica/p.persica_gdr_reftransV1_0020591","p.persica_gdr_reftransV1_0020591")</f>
        <v>p.persica_gdr_reftransV1_0020591</v>
      </c>
      <c r="B12567" s="3">
        <v>1314</v>
      </c>
      <c r="C12567" s="1" t="str">
        <f>HYPERLINK("http://www.uniprot.org/uniprot/LDAH_CHICK","LDAH_CHICK")</f>
        <v>LDAH_CHICK</v>
      </c>
      <c r="D12567" t="s">
        <v>8645</v>
      </c>
      <c r="E12567" s="3" t="s">
        <v>1278</v>
      </c>
      <c r="F12567" s="4">
        <v>2.61E-20</v>
      </c>
      <c r="G12567" s="3">
        <v>234</v>
      </c>
      <c r="H12567" s="3">
        <v>26</v>
      </c>
      <c r="I12567" s="3">
        <v>289</v>
      </c>
      <c r="J12567" s="3">
        <v>294</v>
      </c>
      <c r="K12567" s="3">
        <v>1094</v>
      </c>
      <c r="L12567" s="3">
        <v>43</v>
      </c>
      <c r="M12567" s="3">
        <v>324</v>
      </c>
    </row>
    <row r="12568" spans="1:13" x14ac:dyDescent="0.25">
      <c r="A12568" s="1" t="str">
        <f>HYPERLINK("http://www.rosaceae.org/Prunus/Prunus_persica/p.persica_gdr_reftransV1_0020741","p.persica_gdr_reftransV1_0020741")</f>
        <v>p.persica_gdr_reftransV1_0020741</v>
      </c>
      <c r="B12568" s="3">
        <v>1896</v>
      </c>
      <c r="C12568" s="1" t="str">
        <f>HYPERLINK("http://www.uniprot.org/uniprot/CPS3B_ARATH","CPS3B_ARATH")</f>
        <v>CPS3B_ARATH</v>
      </c>
      <c r="D12568" t="s">
        <v>8646</v>
      </c>
      <c r="E12568" s="3" t="s">
        <v>3</v>
      </c>
      <c r="F12568" s="4">
        <v>0</v>
      </c>
      <c r="G12568" s="3">
        <v>1520</v>
      </c>
      <c r="H12568" s="3">
        <v>63</v>
      </c>
      <c r="I12568" s="3">
        <v>457</v>
      </c>
      <c r="J12568" s="3">
        <v>524</v>
      </c>
      <c r="K12568" s="3">
        <v>1894</v>
      </c>
      <c r="L12568" s="3">
        <v>184</v>
      </c>
      <c r="M12568" s="3">
        <v>607</v>
      </c>
    </row>
    <row r="12569" spans="1:13" x14ac:dyDescent="0.25">
      <c r="A12569" s="1" t="str">
        <f>HYPERLINK("http://www.rosaceae.org/Prunus/Prunus_persica/p.persica_gdr_reftransV1_0020791","p.persica_gdr_reftransV1_0020791")</f>
        <v>p.persica_gdr_reftransV1_0020791</v>
      </c>
      <c r="B12569" s="3">
        <v>2161</v>
      </c>
      <c r="C12569" s="1" t="str">
        <f>HYPERLINK("http://www.uniprot.org/uniprot/PP2A3_ARATH","PP2A3_ARATH")</f>
        <v>PP2A3_ARATH</v>
      </c>
      <c r="D12569" t="s">
        <v>8647</v>
      </c>
      <c r="E12569" s="3" t="s">
        <v>3</v>
      </c>
      <c r="F12569" s="4">
        <v>7.2100000000000001E-100</v>
      </c>
      <c r="G12569" s="3">
        <v>810</v>
      </c>
      <c r="H12569" s="3">
        <v>90</v>
      </c>
      <c r="I12569" s="3">
        <v>166</v>
      </c>
      <c r="J12569" s="3">
        <v>1512</v>
      </c>
      <c r="K12569" s="3">
        <v>2009</v>
      </c>
      <c r="L12569" s="3">
        <v>1</v>
      </c>
      <c r="M12569" s="3">
        <v>166</v>
      </c>
    </row>
    <row r="12570" spans="1:13" x14ac:dyDescent="0.25">
      <c r="A12570" s="1" t="str">
        <f>HYPERLINK("http://www.rosaceae.org/Prunus/Prunus_persica/p.persica_gdr_reftransV1_0020991","p.persica_gdr_reftransV1_0020991")</f>
        <v>p.persica_gdr_reftransV1_0020991</v>
      </c>
      <c r="B12570" s="3">
        <v>4401</v>
      </c>
      <c r="C12570" s="1" t="str">
        <f>HYPERLINK("http://www.uniprot.org/uniprot/Y4837_ARATH","Y4837_ARATH")</f>
        <v>Y4837_ARATH</v>
      </c>
      <c r="D12570" t="s">
        <v>1335</v>
      </c>
      <c r="E12570" s="3" t="s">
        <v>3</v>
      </c>
      <c r="F12570" s="4">
        <v>1.38E-114</v>
      </c>
      <c r="G12570" s="3">
        <v>976</v>
      </c>
      <c r="H12570" s="3">
        <v>54</v>
      </c>
      <c r="I12570" s="3">
        <v>464</v>
      </c>
      <c r="J12570" s="3">
        <v>2543</v>
      </c>
      <c r="K12570" s="3">
        <v>3910</v>
      </c>
      <c r="L12570" s="3">
        <v>1</v>
      </c>
      <c r="M12570" s="3">
        <v>455</v>
      </c>
    </row>
    <row r="12571" spans="1:13" x14ac:dyDescent="0.25">
      <c r="A12571" s="1" t="str">
        <f>HYPERLINK("http://www.rosaceae.org/Prunus/Prunus_persica/p.persica_gdr_reftransV1_0021091","p.persica_gdr_reftransV1_0021091")</f>
        <v>p.persica_gdr_reftransV1_0021091</v>
      </c>
      <c r="B12571" s="3">
        <v>1246</v>
      </c>
      <c r="C12571" s="1" t="str">
        <f>HYPERLINK("http://www.uniprot.org/uniprot/WRK70_ARATH","WRK70_ARATH")</f>
        <v>WRK70_ARATH</v>
      </c>
      <c r="D12571" t="s">
        <v>6284</v>
      </c>
      <c r="E12571" s="3" t="s">
        <v>3</v>
      </c>
      <c r="F12571" s="4">
        <v>1.23E-35</v>
      </c>
      <c r="G12571" s="3">
        <v>346</v>
      </c>
      <c r="H12571" s="3">
        <v>41</v>
      </c>
      <c r="I12571" s="3">
        <v>210</v>
      </c>
      <c r="J12571" s="3">
        <v>108</v>
      </c>
      <c r="K12571" s="3">
        <v>704</v>
      </c>
      <c r="L12571" s="3">
        <v>10</v>
      </c>
      <c r="M12571" s="3">
        <v>204</v>
      </c>
    </row>
    <row r="12572" spans="1:13" x14ac:dyDescent="0.25">
      <c r="A12572" s="1" t="str">
        <f>HYPERLINK("http://www.rosaceae.org/Prunus/Prunus_persica/p.persica_gdr_reftransV1_0021141","p.persica_gdr_reftransV1_0021141")</f>
        <v>p.persica_gdr_reftransV1_0021141</v>
      </c>
      <c r="B12572" s="3">
        <v>1541</v>
      </c>
      <c r="C12572" s="1" t="str">
        <f>HYPERLINK("http://www.uniprot.org/uniprot/MAGG1_MOUSE","MAGG1_MOUSE")</f>
        <v>MAGG1_MOUSE</v>
      </c>
      <c r="D12572" t="s">
        <v>8648</v>
      </c>
      <c r="E12572" s="3" t="s">
        <v>157</v>
      </c>
      <c r="F12572" s="4">
        <v>7.7200000000000002E-12</v>
      </c>
      <c r="G12572" s="3">
        <v>168</v>
      </c>
      <c r="H12572" s="3">
        <v>27</v>
      </c>
      <c r="I12572" s="3">
        <v>184</v>
      </c>
      <c r="J12572" s="3">
        <v>643</v>
      </c>
      <c r="K12572" s="3">
        <v>1191</v>
      </c>
      <c r="L12572" s="3">
        <v>63</v>
      </c>
      <c r="M12572" s="3">
        <v>222</v>
      </c>
    </row>
    <row r="12573" spans="1:13" x14ac:dyDescent="0.25">
      <c r="A12573" s="1" t="str">
        <f>HYPERLINK("http://www.rosaceae.org/Prunus/Prunus_persica/p.persica_gdr_reftransV1_0021191","p.persica_gdr_reftransV1_0021191")</f>
        <v>p.persica_gdr_reftransV1_0021191</v>
      </c>
      <c r="B12573" s="3">
        <v>820</v>
      </c>
      <c r="C12573" s="1" t="str">
        <f>HYPERLINK("http://www.uniprot.org/uniprot/NAA50_XENLA","NAA50_XENLA")</f>
        <v>NAA50_XENLA</v>
      </c>
      <c r="D12573" t="s">
        <v>8649</v>
      </c>
      <c r="E12573" s="3" t="s">
        <v>475</v>
      </c>
      <c r="F12573" s="4">
        <v>4.3099999999999997E-49</v>
      </c>
      <c r="G12573" s="3">
        <v>420</v>
      </c>
      <c r="H12573" s="3">
        <v>58</v>
      </c>
      <c r="I12573" s="3">
        <v>139</v>
      </c>
      <c r="J12573" s="3">
        <v>276</v>
      </c>
      <c r="K12573" s="3">
        <v>689</v>
      </c>
      <c r="L12573" s="3">
        <v>15</v>
      </c>
      <c r="M12573" s="3">
        <v>152</v>
      </c>
    </row>
    <row r="12574" spans="1:13" x14ac:dyDescent="0.25">
      <c r="A12574" s="1" t="str">
        <f>HYPERLINK("http://www.rosaceae.org/Prunus/Prunus_persica/p.persica_gdr_reftransV1_0021241","p.persica_gdr_reftransV1_0021241")</f>
        <v>p.persica_gdr_reftransV1_0021241</v>
      </c>
      <c r="B12574" s="3">
        <v>5117</v>
      </c>
      <c r="C12574" s="1" t="str">
        <f>HYPERLINK("http://www.uniprot.org/uniprot/PPR32_ARATH","PPR32_ARATH")</f>
        <v>PPR32_ARATH</v>
      </c>
      <c r="D12574" t="s">
        <v>3693</v>
      </c>
      <c r="E12574" s="3" t="s">
        <v>3</v>
      </c>
      <c r="F12574" s="4">
        <v>1.03E-128</v>
      </c>
      <c r="G12574" s="3">
        <v>677</v>
      </c>
      <c r="H12574" s="3">
        <v>35</v>
      </c>
      <c r="I12574" s="3">
        <v>396</v>
      </c>
      <c r="J12574" s="3">
        <v>2814</v>
      </c>
      <c r="K12574" s="3">
        <v>3995</v>
      </c>
      <c r="L12574" s="3">
        <v>234</v>
      </c>
      <c r="M12574" s="3">
        <v>628</v>
      </c>
    </row>
    <row r="12575" spans="1:13" x14ac:dyDescent="0.25">
      <c r="A12575" s="1" t="str">
        <f>HYPERLINK("http://www.rosaceae.org/Prunus/Prunus_persica/p.persica_gdr_reftransV1_0021391","p.persica_gdr_reftransV1_0021391")</f>
        <v>p.persica_gdr_reftransV1_0021391</v>
      </c>
      <c r="B12575" s="3">
        <v>1736</v>
      </c>
      <c r="C12575" s="1" t="str">
        <f>HYPERLINK("http://www.uniprot.org/uniprot/Y1561_ARATH","Y1561_ARATH")</f>
        <v>Y1561_ARATH</v>
      </c>
      <c r="D12575" t="s">
        <v>1387</v>
      </c>
      <c r="E12575" s="3" t="s">
        <v>3</v>
      </c>
      <c r="F12575" s="4">
        <v>1.32E-106</v>
      </c>
      <c r="G12575" s="3">
        <v>898</v>
      </c>
      <c r="H12575" s="3">
        <v>55</v>
      </c>
      <c r="I12575" s="3">
        <v>318</v>
      </c>
      <c r="J12575" s="3">
        <v>430</v>
      </c>
      <c r="K12575" s="3">
        <v>1377</v>
      </c>
      <c r="L12575" s="3">
        <v>669</v>
      </c>
      <c r="M12575" s="3">
        <v>981</v>
      </c>
    </row>
    <row r="12576" spans="1:13" x14ac:dyDescent="0.25">
      <c r="A12576" s="1" t="str">
        <f>HYPERLINK("http://www.rosaceae.org/Prunus/Prunus_persica/p.persica_gdr_reftransV1_0021441","p.persica_gdr_reftransV1_0021441")</f>
        <v>p.persica_gdr_reftransV1_0021441</v>
      </c>
      <c r="B12576" s="3">
        <v>1624</v>
      </c>
      <c r="C12576" s="1" t="str">
        <f>HYPERLINK("http://www.uniprot.org/uniprot/RPE_SPIOL","RPE_SPIOL")</f>
        <v>RPE_SPIOL</v>
      </c>
      <c r="D12576" t="s">
        <v>8650</v>
      </c>
      <c r="E12576" s="3" t="s">
        <v>131</v>
      </c>
      <c r="F12576" s="4">
        <v>8.4599999999999997E-178</v>
      </c>
      <c r="G12576" s="3">
        <v>1312</v>
      </c>
      <c r="H12576" s="3">
        <v>88</v>
      </c>
      <c r="I12576" s="3">
        <v>285</v>
      </c>
      <c r="J12576" s="3">
        <v>658</v>
      </c>
      <c r="K12576" s="3">
        <v>1506</v>
      </c>
      <c r="L12576" s="3">
        <v>1</v>
      </c>
      <c r="M12576" s="3">
        <v>285</v>
      </c>
    </row>
    <row r="12577" spans="1:13" x14ac:dyDescent="0.25">
      <c r="A12577" s="1" t="str">
        <f>HYPERLINK("http://www.rosaceae.org/Prunus/Prunus_persica/p.persica_gdr_reftransV1_0021691","p.persica_gdr_reftransV1_0021691")</f>
        <v>p.persica_gdr_reftransV1_0021691</v>
      </c>
      <c r="B12577" s="3">
        <v>1816</v>
      </c>
      <c r="C12577" s="1" t="str">
        <f>HYPERLINK("http://www.uniprot.org/uniprot/TOM20_SOLTU","TOM20_SOLTU")</f>
        <v>TOM20_SOLTU</v>
      </c>
      <c r="D12577" t="s">
        <v>10</v>
      </c>
      <c r="E12577" s="3" t="s">
        <v>11</v>
      </c>
      <c r="F12577" s="4">
        <v>5.2700000000000003E-59</v>
      </c>
      <c r="G12577" s="3">
        <v>513</v>
      </c>
      <c r="H12577" s="3">
        <v>72</v>
      </c>
      <c r="I12577" s="3">
        <v>129</v>
      </c>
      <c r="J12577" s="3">
        <v>144</v>
      </c>
      <c r="K12577" s="3">
        <v>530</v>
      </c>
      <c r="L12577" s="3">
        <v>4</v>
      </c>
      <c r="M12577" s="3">
        <v>132</v>
      </c>
    </row>
    <row r="12578" spans="1:13" x14ac:dyDescent="0.25">
      <c r="A12578" s="1" t="str">
        <f>HYPERLINK("http://www.rosaceae.org/Prunus/Prunus_persica/p.persica_gdr_reftransV1_0021791","p.persica_gdr_reftransV1_0021791")</f>
        <v>p.persica_gdr_reftransV1_0021791</v>
      </c>
      <c r="B12578" s="3">
        <v>960</v>
      </c>
      <c r="C12578" s="1" t="str">
        <f>HYPERLINK("http://www.uniprot.org/uniprot/PIGP_ARATH","PIGP_ARATH")</f>
        <v>PIGP_ARATH</v>
      </c>
      <c r="D12578" t="s">
        <v>8651</v>
      </c>
      <c r="E12578" s="3" t="s">
        <v>3</v>
      </c>
      <c r="F12578" s="4">
        <v>1.5399999999999999E-42</v>
      </c>
      <c r="G12578" s="3">
        <v>377</v>
      </c>
      <c r="H12578" s="3">
        <v>61</v>
      </c>
      <c r="I12578" s="3">
        <v>126</v>
      </c>
      <c r="J12578" s="3">
        <v>492</v>
      </c>
      <c r="K12578" s="3">
        <v>863</v>
      </c>
      <c r="L12578" s="3">
        <v>9</v>
      </c>
      <c r="M12578" s="3">
        <v>134</v>
      </c>
    </row>
    <row r="12579" spans="1:13" x14ac:dyDescent="0.25">
      <c r="A12579" s="1" t="str">
        <f>HYPERLINK("http://www.rosaceae.org/Prunus/Prunus_persica/p.persica_gdr_reftransV1_0021891","p.persica_gdr_reftransV1_0021891")</f>
        <v>p.persica_gdr_reftransV1_0021891</v>
      </c>
      <c r="B12579" s="3">
        <v>3056</v>
      </c>
      <c r="C12579" s="1" t="str">
        <f>HYPERLINK("http://www.uniprot.org/uniprot/LPR1_ARATH","LPR1_ARATH")</f>
        <v>LPR1_ARATH</v>
      </c>
      <c r="D12579" t="s">
        <v>8652</v>
      </c>
      <c r="E12579" s="3" t="s">
        <v>3</v>
      </c>
      <c r="F12579" s="4">
        <v>0</v>
      </c>
      <c r="G12579" s="3">
        <v>2078</v>
      </c>
      <c r="H12579" s="3">
        <v>69</v>
      </c>
      <c r="I12579" s="3">
        <v>577</v>
      </c>
      <c r="J12579" s="3">
        <v>214</v>
      </c>
      <c r="K12579" s="3">
        <v>1935</v>
      </c>
      <c r="L12579" s="3">
        <v>10</v>
      </c>
      <c r="M12579" s="3">
        <v>580</v>
      </c>
    </row>
    <row r="12580" spans="1:13" x14ac:dyDescent="0.25">
      <c r="A12580" s="1" t="str">
        <f>HYPERLINK("http://www.rosaceae.org/Prunus/Prunus_persica/p.persica_gdr_reftransV1_0021991","p.persica_gdr_reftransV1_0021991")</f>
        <v>p.persica_gdr_reftransV1_0021991</v>
      </c>
      <c r="B12580" s="3">
        <v>2732</v>
      </c>
      <c r="C12580" s="1" t="str">
        <f>HYPERLINK("http://www.uniprot.org/uniprot/MATE4_ARATH","MATE4_ARATH")</f>
        <v>MATE4_ARATH</v>
      </c>
      <c r="D12580" t="s">
        <v>1845</v>
      </c>
      <c r="E12580" s="3" t="s">
        <v>3</v>
      </c>
      <c r="F12580" s="4">
        <v>1.61E-133</v>
      </c>
      <c r="G12580" s="3">
        <v>1075</v>
      </c>
      <c r="H12580" s="3">
        <v>75</v>
      </c>
      <c r="I12580" s="3">
        <v>299</v>
      </c>
      <c r="J12580" s="3">
        <v>451</v>
      </c>
      <c r="K12580" s="3">
        <v>1347</v>
      </c>
      <c r="L12580" s="3">
        <v>261</v>
      </c>
      <c r="M12580" s="3">
        <v>558</v>
      </c>
    </row>
    <row r="12581" spans="1:13" x14ac:dyDescent="0.25">
      <c r="A12581" s="1" t="str">
        <f>HYPERLINK("http://www.rosaceae.org/Prunus/Prunus_persica/p.persica_gdr_reftransV1_0022041","p.persica_gdr_reftransV1_0022041")</f>
        <v>p.persica_gdr_reftransV1_0022041</v>
      </c>
      <c r="B12581" s="3">
        <v>3207</v>
      </c>
      <c r="C12581" s="1" t="str">
        <f>HYPERLINK("http://www.uniprot.org/uniprot/RFS1_ARATH","RFS1_ARATH")</f>
        <v>RFS1_ARATH</v>
      </c>
      <c r="D12581" t="s">
        <v>7469</v>
      </c>
      <c r="E12581" s="3" t="s">
        <v>3</v>
      </c>
      <c r="F12581" s="4">
        <v>0</v>
      </c>
      <c r="G12581" s="3">
        <v>2015</v>
      </c>
      <c r="H12581" s="3">
        <v>78</v>
      </c>
      <c r="I12581" s="3">
        <v>493</v>
      </c>
      <c r="J12581" s="3">
        <v>1485</v>
      </c>
      <c r="K12581" s="3">
        <v>2963</v>
      </c>
      <c r="L12581" s="3">
        <v>1</v>
      </c>
      <c r="M12581" s="3">
        <v>488</v>
      </c>
    </row>
    <row r="12582" spans="1:13" x14ac:dyDescent="0.25">
      <c r="A12582" s="1" t="str">
        <f>HYPERLINK("http://www.rosaceae.org/Prunus/Prunus_persica/p.persica_gdr_reftransV1_0022191","p.persica_gdr_reftransV1_0022191")</f>
        <v>p.persica_gdr_reftransV1_0022191</v>
      </c>
      <c r="B12582" s="3">
        <v>3629</v>
      </c>
      <c r="C12582" s="1" t="str">
        <f>HYPERLINK("http://www.uniprot.org/uniprot/IRE1A_ARATH","IRE1A_ARATH")</f>
        <v>IRE1A_ARATH</v>
      </c>
      <c r="D12582" t="s">
        <v>8653</v>
      </c>
      <c r="E12582" s="3" t="s">
        <v>3</v>
      </c>
      <c r="F12582" s="4">
        <v>1.2500000000000001E-115</v>
      </c>
      <c r="G12582" s="3">
        <v>993</v>
      </c>
      <c r="H12582" s="3">
        <v>77</v>
      </c>
      <c r="I12582" s="3">
        <v>234</v>
      </c>
      <c r="J12582" s="3">
        <v>164</v>
      </c>
      <c r="K12582" s="3">
        <v>865</v>
      </c>
      <c r="L12582" s="3">
        <v>606</v>
      </c>
      <c r="M12582" s="3">
        <v>839</v>
      </c>
    </row>
    <row r="12583" spans="1:13" x14ac:dyDescent="0.25">
      <c r="A12583" s="1" t="str">
        <f>HYPERLINK("http://www.rosaceae.org/Prunus/Prunus_persica/p.persica_gdr_reftransV1_0022391","p.persica_gdr_reftransV1_0022391")</f>
        <v>p.persica_gdr_reftransV1_0022391</v>
      </c>
      <c r="B12583" s="3">
        <v>2120</v>
      </c>
      <c r="C12583" s="1" t="str">
        <f>HYPERLINK("http://www.uniprot.org/uniprot/PP161_ARATH","PP161_ARATH")</f>
        <v>PP161_ARATH</v>
      </c>
      <c r="D12583" t="s">
        <v>8654</v>
      </c>
      <c r="E12583" s="3" t="s">
        <v>3</v>
      </c>
      <c r="F12583" s="4">
        <v>0</v>
      </c>
      <c r="G12583" s="3">
        <v>1464</v>
      </c>
      <c r="H12583" s="3">
        <v>57</v>
      </c>
      <c r="I12583" s="3">
        <v>467</v>
      </c>
      <c r="J12583" s="3">
        <v>697</v>
      </c>
      <c r="K12583" s="3">
        <v>2082</v>
      </c>
      <c r="L12583" s="3">
        <v>1</v>
      </c>
      <c r="M12583" s="3">
        <v>461</v>
      </c>
    </row>
    <row r="12584" spans="1:13" x14ac:dyDescent="0.25">
      <c r="A12584" s="1" t="str">
        <f>HYPERLINK("http://www.rosaceae.org/Prunus/Prunus_persica/p.persica_gdr_reftransV1_0023241","p.persica_gdr_reftransV1_0023241")</f>
        <v>p.persica_gdr_reftransV1_0023241</v>
      </c>
      <c r="B12584" s="3">
        <v>2967</v>
      </c>
      <c r="C12584" s="1" t="str">
        <f>HYPERLINK("http://www.uniprot.org/uniprot/OBE3_ARATH","OBE3_ARATH")</f>
        <v>OBE3_ARATH</v>
      </c>
      <c r="D12584" t="s">
        <v>8655</v>
      </c>
      <c r="E12584" s="3" t="s">
        <v>3</v>
      </c>
      <c r="F12584" s="4">
        <v>0</v>
      </c>
      <c r="G12584" s="3">
        <v>1951</v>
      </c>
      <c r="H12584" s="3">
        <v>56</v>
      </c>
      <c r="I12584" s="3">
        <v>832</v>
      </c>
      <c r="J12584" s="3">
        <v>136</v>
      </c>
      <c r="K12584" s="3">
        <v>2589</v>
      </c>
      <c r="L12584" s="3">
        <v>1</v>
      </c>
      <c r="M12584" s="3">
        <v>731</v>
      </c>
    </row>
    <row r="12585" spans="1:13" x14ac:dyDescent="0.25">
      <c r="A12585" s="1" t="str">
        <f>HYPERLINK("http://www.rosaceae.org/Prunus/Prunus_persica/p.persica_gdr_reftransV1_0023341","p.persica_gdr_reftransV1_0023341")</f>
        <v>p.persica_gdr_reftransV1_0023341</v>
      </c>
      <c r="B12585" s="3">
        <v>1481</v>
      </c>
      <c r="C12585" s="1" t="str">
        <f>HYPERLINK("http://www.uniprot.org/uniprot/MAT2B_DANRE","MAT2B_DANRE")</f>
        <v>MAT2B_DANRE</v>
      </c>
      <c r="D12585" t="s">
        <v>8656</v>
      </c>
      <c r="E12585" s="3" t="s">
        <v>704</v>
      </c>
      <c r="F12585" s="4">
        <v>1.13E-19</v>
      </c>
      <c r="G12585" s="3">
        <v>231</v>
      </c>
      <c r="H12585" s="3">
        <v>28</v>
      </c>
      <c r="I12585" s="3">
        <v>312</v>
      </c>
      <c r="J12585" s="3">
        <v>278</v>
      </c>
      <c r="K12585" s="3">
        <v>1210</v>
      </c>
      <c r="L12585" s="3">
        <v>18</v>
      </c>
      <c r="M12585" s="3">
        <v>308</v>
      </c>
    </row>
    <row r="12586" spans="1:13" x14ac:dyDescent="0.25">
      <c r="A12586" s="1" t="str">
        <f>HYPERLINK("http://www.rosaceae.org/Prunus/Prunus_persica/p.persica_gdr_reftransV1_0023591","p.persica_gdr_reftransV1_0023591")</f>
        <v>p.persica_gdr_reftransV1_0023591</v>
      </c>
      <c r="B12586" s="3">
        <v>4086</v>
      </c>
      <c r="C12586" s="1" t="str">
        <f>HYPERLINK("http://www.uniprot.org/uniprot/COPD_ARATH","COPD_ARATH")</f>
        <v>COPD_ARATH</v>
      </c>
      <c r="D12586" t="s">
        <v>8657</v>
      </c>
      <c r="E12586" s="3" t="s">
        <v>3</v>
      </c>
      <c r="F12586" s="4">
        <v>0</v>
      </c>
      <c r="G12586" s="3">
        <v>1725</v>
      </c>
      <c r="H12586" s="3">
        <v>77</v>
      </c>
      <c r="I12586" s="3">
        <v>449</v>
      </c>
      <c r="J12586" s="3">
        <v>2483</v>
      </c>
      <c r="K12586" s="3">
        <v>3829</v>
      </c>
      <c r="L12586" s="3">
        <v>1</v>
      </c>
      <c r="M12586" s="3">
        <v>443</v>
      </c>
    </row>
    <row r="12587" spans="1:13" x14ac:dyDescent="0.25">
      <c r="A12587" s="1" t="str">
        <f>HYPERLINK("http://www.rosaceae.org/Prunus/Prunus_persica/p.persica_gdr_reftransV1_0023641","p.persica_gdr_reftransV1_0023641")</f>
        <v>p.persica_gdr_reftransV1_0023641</v>
      </c>
      <c r="B12587" s="3">
        <v>2392</v>
      </c>
      <c r="C12587" s="1" t="str">
        <f>HYPERLINK("http://www.uniprot.org/uniprot/RMP_DICDI","RMP_DICDI")</f>
        <v>RMP_DICDI</v>
      </c>
      <c r="D12587" t="s">
        <v>8658</v>
      </c>
      <c r="E12587" s="3" t="s">
        <v>9</v>
      </c>
      <c r="F12587" s="4">
        <v>9.2800000000000005E-21</v>
      </c>
      <c r="G12587" s="3">
        <v>248</v>
      </c>
      <c r="H12587" s="3">
        <v>36</v>
      </c>
      <c r="I12587" s="3">
        <v>138</v>
      </c>
      <c r="J12587" s="3">
        <v>1530</v>
      </c>
      <c r="K12587" s="3">
        <v>1931</v>
      </c>
      <c r="L12587" s="3">
        <v>3</v>
      </c>
      <c r="M12587" s="3">
        <v>140</v>
      </c>
    </row>
    <row r="12588" spans="1:13" x14ac:dyDescent="0.25">
      <c r="A12588" s="1" t="str">
        <f>HYPERLINK("http://www.rosaceae.org/Prunus/Prunus_persica/p.persica_gdr_reftransV1_0023841","p.persica_gdr_reftransV1_0023841")</f>
        <v>p.persica_gdr_reftransV1_0023841</v>
      </c>
      <c r="B12588" s="3">
        <v>2326</v>
      </c>
      <c r="C12588" s="1" t="str">
        <f>HYPERLINK("http://www.uniprot.org/uniprot/TBL12_ARATH","TBL12_ARATH")</f>
        <v>TBL12_ARATH</v>
      </c>
      <c r="D12588" t="s">
        <v>6246</v>
      </c>
      <c r="E12588" s="3" t="s">
        <v>3</v>
      </c>
      <c r="F12588" s="4">
        <v>1.1000000000000001E-86</v>
      </c>
      <c r="G12588" s="3">
        <v>732</v>
      </c>
      <c r="H12588" s="3">
        <v>76</v>
      </c>
      <c r="I12588" s="3">
        <v>174</v>
      </c>
      <c r="J12588" s="3">
        <v>1285</v>
      </c>
      <c r="K12588" s="3">
        <v>1806</v>
      </c>
      <c r="L12588" s="3">
        <v>232</v>
      </c>
      <c r="M12588" s="3">
        <v>405</v>
      </c>
    </row>
    <row r="12589" spans="1:13" x14ac:dyDescent="0.25">
      <c r="A12589" s="1" t="str">
        <f>HYPERLINK("http://www.rosaceae.org/Prunus/Prunus_persica/p.persica_gdr_reftransV1_0023891","p.persica_gdr_reftransV1_0023891")</f>
        <v>p.persica_gdr_reftransV1_0023891</v>
      </c>
      <c r="B12589" s="3">
        <v>1627</v>
      </c>
      <c r="C12589" s="1" t="str">
        <f>HYPERLINK("http://www.uniprot.org/uniprot/NAC74_ORYSJ","NAC74_ORYSJ")</f>
        <v>NAC74_ORYSJ</v>
      </c>
      <c r="D12589" t="s">
        <v>3078</v>
      </c>
      <c r="E12589" s="3" t="s">
        <v>38</v>
      </c>
      <c r="F12589" s="4">
        <v>4.0900000000000002E-23</v>
      </c>
      <c r="G12589" s="3">
        <v>264</v>
      </c>
      <c r="H12589" s="3">
        <v>38</v>
      </c>
      <c r="I12589" s="3">
        <v>154</v>
      </c>
      <c r="J12589" s="3">
        <v>143</v>
      </c>
      <c r="K12589" s="3">
        <v>571</v>
      </c>
      <c r="L12589" s="3">
        <v>7</v>
      </c>
      <c r="M12589" s="3">
        <v>157</v>
      </c>
    </row>
    <row r="12590" spans="1:13" x14ac:dyDescent="0.25">
      <c r="A12590" s="1" t="str">
        <f>HYPERLINK("http://www.rosaceae.org/Prunus/Prunus_persica/p.persica_gdr_reftransV1_0023941","p.persica_gdr_reftransV1_0023941")</f>
        <v>p.persica_gdr_reftransV1_0023941</v>
      </c>
      <c r="B12590" s="3">
        <v>2701</v>
      </c>
      <c r="C12590" s="1" t="str">
        <f>HYPERLINK("http://www.uniprot.org/uniprot/ARC3_ARATH","ARC3_ARATH")</f>
        <v>ARC3_ARATH</v>
      </c>
      <c r="D12590" t="s">
        <v>8659</v>
      </c>
      <c r="E12590" s="3" t="s">
        <v>3</v>
      </c>
      <c r="F12590" s="4">
        <v>0</v>
      </c>
      <c r="G12590" s="3">
        <v>1505</v>
      </c>
      <c r="H12590" s="3">
        <v>50</v>
      </c>
      <c r="I12590" s="3">
        <v>624</v>
      </c>
      <c r="J12590" s="3">
        <v>244</v>
      </c>
      <c r="K12590" s="3">
        <v>2109</v>
      </c>
      <c r="L12590" s="3">
        <v>146</v>
      </c>
      <c r="M12590" s="3">
        <v>735</v>
      </c>
    </row>
    <row r="12591" spans="1:13" x14ac:dyDescent="0.25">
      <c r="A12591" s="1" t="str">
        <f>HYPERLINK("http://www.rosaceae.org/Prunus/Prunus_persica/p.persica_gdr_reftransV1_0023991","p.persica_gdr_reftransV1_0023991")</f>
        <v>p.persica_gdr_reftransV1_0023991</v>
      </c>
      <c r="B12591" s="3">
        <v>500</v>
      </c>
      <c r="C12591" s="1" t="str">
        <f>HYPERLINK("http://www.uniprot.org/uniprot/PUMP4_ARATH","PUMP4_ARATH")</f>
        <v>PUMP4_ARATH</v>
      </c>
      <c r="D12591" t="s">
        <v>8660</v>
      </c>
      <c r="E12591" s="3" t="s">
        <v>3</v>
      </c>
      <c r="F12591" s="4">
        <v>3.3399999999999999E-47</v>
      </c>
      <c r="G12591" s="3">
        <v>408</v>
      </c>
      <c r="H12591" s="3">
        <v>65</v>
      </c>
      <c r="I12591" s="3">
        <v>124</v>
      </c>
      <c r="J12591" s="3">
        <v>1</v>
      </c>
      <c r="K12591" s="3">
        <v>372</v>
      </c>
      <c r="L12591" s="3">
        <v>1</v>
      </c>
      <c r="M12591" s="3">
        <v>119</v>
      </c>
    </row>
    <row r="12592" spans="1:13" x14ac:dyDescent="0.25">
      <c r="A12592" s="1" t="str">
        <f>HYPERLINK("http://www.rosaceae.org/Prunus/Prunus_persica/p.persica_gdr_reftransV1_0024141","p.persica_gdr_reftransV1_0024141")</f>
        <v>p.persica_gdr_reftransV1_0024141</v>
      </c>
      <c r="B12592" s="3">
        <v>3377</v>
      </c>
      <c r="C12592" s="1" t="str">
        <f>HYPERLINK("http://www.uniprot.org/uniprot/SCL6_ARATH","SCL6_ARATH")</f>
        <v>SCL6_ARATH</v>
      </c>
      <c r="D12592" t="s">
        <v>7816</v>
      </c>
      <c r="E12592" s="3" t="s">
        <v>3</v>
      </c>
      <c r="F12592" s="4">
        <v>1.26E-111</v>
      </c>
      <c r="G12592" s="3">
        <v>938</v>
      </c>
      <c r="H12592" s="3">
        <v>54</v>
      </c>
      <c r="I12592" s="3">
        <v>362</v>
      </c>
      <c r="J12592" s="3">
        <v>488</v>
      </c>
      <c r="K12592" s="3">
        <v>1567</v>
      </c>
      <c r="L12592" s="3">
        <v>211</v>
      </c>
      <c r="M12592" s="3">
        <v>555</v>
      </c>
    </row>
    <row r="12593" spans="1:13" x14ac:dyDescent="0.25">
      <c r="A12593" s="1" t="str">
        <f>HYPERLINK("http://www.rosaceae.org/Prunus/Prunus_persica/p.persica_gdr_reftransV1_0024341","p.persica_gdr_reftransV1_0024341")</f>
        <v>p.persica_gdr_reftransV1_0024341</v>
      </c>
      <c r="B12593" s="3">
        <v>1579</v>
      </c>
      <c r="C12593" s="1" t="str">
        <f>HYPERLINK("http://www.uniprot.org/uniprot/GYP2_EMENI","GYP2_EMENI")</f>
        <v>GYP2_EMENI</v>
      </c>
      <c r="D12593" t="s">
        <v>8661</v>
      </c>
      <c r="E12593" s="3" t="s">
        <v>205</v>
      </c>
      <c r="F12593" s="4">
        <v>1.9300000000000001E-18</v>
      </c>
      <c r="G12593" s="3">
        <v>230</v>
      </c>
      <c r="H12593" s="3">
        <v>34</v>
      </c>
      <c r="I12593" s="3">
        <v>186</v>
      </c>
      <c r="J12593" s="3">
        <v>1068</v>
      </c>
      <c r="K12593" s="3">
        <v>1565</v>
      </c>
      <c r="L12593" s="3">
        <v>409</v>
      </c>
      <c r="M12593" s="3">
        <v>592</v>
      </c>
    </row>
    <row r="12594" spans="1:13" x14ac:dyDescent="0.25">
      <c r="A12594" s="1" t="str">
        <f>HYPERLINK("http://www.rosaceae.org/Prunus/Prunus_persica/p.persica_gdr_reftransV1_0024491","p.persica_gdr_reftransV1_0024491")</f>
        <v>p.persica_gdr_reftransV1_0024491</v>
      </c>
      <c r="B12594" s="3">
        <v>3361</v>
      </c>
      <c r="C12594" s="1" t="str">
        <f>HYPERLINK("http://www.uniprot.org/uniprot/SIL10_ARATH","SIL10_ARATH")</f>
        <v>SIL10_ARATH</v>
      </c>
      <c r="D12594" t="s">
        <v>3797</v>
      </c>
      <c r="E12594" s="3" t="s">
        <v>3</v>
      </c>
      <c r="F12594" s="4">
        <v>4.9599999999999998E-18</v>
      </c>
      <c r="G12594" s="3">
        <v>224</v>
      </c>
      <c r="H12594" s="3">
        <v>29</v>
      </c>
      <c r="I12594" s="3">
        <v>186</v>
      </c>
      <c r="J12594" s="3">
        <v>623</v>
      </c>
      <c r="K12594" s="3">
        <v>1177</v>
      </c>
      <c r="L12594" s="3">
        <v>155</v>
      </c>
      <c r="M12594" s="3">
        <v>340</v>
      </c>
    </row>
    <row r="12595" spans="1:13" x14ac:dyDescent="0.25">
      <c r="A12595" s="1" t="str">
        <f>HYPERLINK("http://www.rosaceae.org/Prunus/Prunus_persica/p.persica_gdr_reftransV1_0024541","p.persica_gdr_reftransV1_0024541")</f>
        <v>p.persica_gdr_reftransV1_0024541</v>
      </c>
      <c r="B12595" s="3">
        <v>974</v>
      </c>
      <c r="C12595" s="1" t="str">
        <f>HYPERLINK("http://www.uniprot.org/uniprot/RM51_SCHPO","RM51_SCHPO")</f>
        <v>RM51_SCHPO</v>
      </c>
      <c r="D12595" t="s">
        <v>8662</v>
      </c>
      <c r="E12595" s="3" t="s">
        <v>464</v>
      </c>
      <c r="F12595" s="4">
        <v>1.97E-11</v>
      </c>
      <c r="G12595" s="3">
        <v>157</v>
      </c>
      <c r="H12595" s="3">
        <v>28</v>
      </c>
      <c r="I12595" s="3">
        <v>106</v>
      </c>
      <c r="J12595" s="3">
        <v>368</v>
      </c>
      <c r="K12595" s="3">
        <v>685</v>
      </c>
      <c r="L12595" s="3">
        <v>23</v>
      </c>
      <c r="M12595" s="3">
        <v>128</v>
      </c>
    </row>
    <row r="12596" spans="1:13" x14ac:dyDescent="0.25">
      <c r="A12596" s="1" t="str">
        <f>HYPERLINK("http://www.rosaceae.org/Prunus/Prunus_persica/p.persica_gdr_reftransV1_0024641","p.persica_gdr_reftransV1_0024641")</f>
        <v>p.persica_gdr_reftransV1_0024641</v>
      </c>
      <c r="B12596" s="3">
        <v>807</v>
      </c>
      <c r="C12596" s="1" t="str">
        <f>HYPERLINK("http://www.uniprot.org/uniprot/IQD1_ARATH","IQD1_ARATH")</f>
        <v>IQD1_ARATH</v>
      </c>
      <c r="D12596" t="s">
        <v>4422</v>
      </c>
      <c r="E12596" s="3" t="s">
        <v>3</v>
      </c>
      <c r="F12596" s="4">
        <v>5.5699999999999998E-16</v>
      </c>
      <c r="G12596" s="3">
        <v>198</v>
      </c>
      <c r="H12596" s="3">
        <v>39</v>
      </c>
      <c r="I12596" s="3">
        <v>184</v>
      </c>
      <c r="J12596" s="3">
        <v>218</v>
      </c>
      <c r="K12596" s="3">
        <v>757</v>
      </c>
      <c r="L12596" s="3">
        <v>106</v>
      </c>
      <c r="M12596" s="3">
        <v>279</v>
      </c>
    </row>
    <row r="12597" spans="1:13" x14ac:dyDescent="0.25">
      <c r="A12597" s="1" t="str">
        <f>HYPERLINK("http://www.rosaceae.org/Prunus/Prunus_persica/p.persica_gdr_reftransV1_0024741","p.persica_gdr_reftransV1_0024741")</f>
        <v>p.persica_gdr_reftransV1_0024741</v>
      </c>
      <c r="B12597" s="3">
        <v>1067</v>
      </c>
      <c r="C12597" s="1" t="str">
        <f>HYPERLINK("http://www.uniprot.org/uniprot/PP446_ARATH","PP446_ARATH")</f>
        <v>PP446_ARATH</v>
      </c>
      <c r="D12597" t="s">
        <v>8663</v>
      </c>
      <c r="E12597" s="3" t="s">
        <v>3</v>
      </c>
      <c r="F12597" s="4">
        <v>1.42E-134</v>
      </c>
      <c r="G12597" s="3">
        <v>1047</v>
      </c>
      <c r="H12597" s="3">
        <v>66</v>
      </c>
      <c r="I12597" s="3">
        <v>299</v>
      </c>
      <c r="J12597" s="3">
        <v>1</v>
      </c>
      <c r="K12597" s="3">
        <v>894</v>
      </c>
      <c r="L12597" s="3">
        <v>443</v>
      </c>
      <c r="M12597" s="3">
        <v>738</v>
      </c>
    </row>
    <row r="12598" spans="1:13" x14ac:dyDescent="0.25">
      <c r="A12598" s="1" t="str">
        <f>HYPERLINK("http://www.rosaceae.org/Prunus/Prunus_persica/p.persica_gdr_reftransV1_0024891","p.persica_gdr_reftransV1_0024891")</f>
        <v>p.persica_gdr_reftransV1_0024891</v>
      </c>
      <c r="B12598" s="3">
        <v>1749</v>
      </c>
      <c r="C12598" s="1" t="str">
        <f>HYPERLINK("http://www.uniprot.org/uniprot/MECR_ARATH","MECR_ARATH")</f>
        <v>MECR_ARATH</v>
      </c>
      <c r="D12598" t="s">
        <v>8664</v>
      </c>
      <c r="E12598" s="3" t="s">
        <v>3</v>
      </c>
      <c r="F12598" s="4">
        <v>0</v>
      </c>
      <c r="G12598" s="3">
        <v>1399</v>
      </c>
      <c r="H12598" s="3">
        <v>70</v>
      </c>
      <c r="I12598" s="3">
        <v>388</v>
      </c>
      <c r="J12598" s="3">
        <v>567</v>
      </c>
      <c r="K12598" s="3">
        <v>1727</v>
      </c>
      <c r="L12598" s="3">
        <v>1</v>
      </c>
      <c r="M12598" s="3">
        <v>375</v>
      </c>
    </row>
    <row r="12599" spans="1:13" x14ac:dyDescent="0.25">
      <c r="A12599" s="1" t="str">
        <f>HYPERLINK("http://www.rosaceae.org/Prunus/Prunus_persica/p.persica_gdr_reftransV1_0025041","p.persica_gdr_reftransV1_0025041")</f>
        <v>p.persica_gdr_reftransV1_0025041</v>
      </c>
      <c r="B12599" s="3">
        <v>2699</v>
      </c>
      <c r="C12599" s="1" t="str">
        <f>HYPERLINK("http://www.uniprot.org/uniprot/RUS1_ARATH","RUS1_ARATH")</f>
        <v>RUS1_ARATH</v>
      </c>
      <c r="D12599" t="s">
        <v>8665</v>
      </c>
      <c r="E12599" s="3" t="s">
        <v>3</v>
      </c>
      <c r="F12599" s="4">
        <v>0</v>
      </c>
      <c r="G12599" s="3">
        <v>1716</v>
      </c>
      <c r="H12599" s="3">
        <v>75</v>
      </c>
      <c r="I12599" s="3">
        <v>452</v>
      </c>
      <c r="J12599" s="3">
        <v>859</v>
      </c>
      <c r="K12599" s="3">
        <v>2205</v>
      </c>
      <c r="L12599" s="3">
        <v>146</v>
      </c>
      <c r="M12599" s="3">
        <v>596</v>
      </c>
    </row>
    <row r="12600" spans="1:13" x14ac:dyDescent="0.25">
      <c r="A12600" s="1" t="str">
        <f>HYPERLINK("http://www.rosaceae.org/Prunus/Prunus_persica/p.persica_gdr_reftransV1_0025241","p.persica_gdr_reftransV1_0025241")</f>
        <v>p.persica_gdr_reftransV1_0025241</v>
      </c>
      <c r="B12600" s="3">
        <v>2341</v>
      </c>
      <c r="C12600" s="1" t="str">
        <f>HYPERLINK("http://www.uniprot.org/uniprot/idM3_ARATH","idM3_ARATH")</f>
        <v>idM3_ARATH</v>
      </c>
      <c r="D12600" t="s">
        <v>8666</v>
      </c>
      <c r="E12600" s="3" t="s">
        <v>3</v>
      </c>
      <c r="F12600" s="4">
        <v>6.7400000000000002E-40</v>
      </c>
      <c r="G12600" s="3">
        <v>398</v>
      </c>
      <c r="H12600" s="3">
        <v>41</v>
      </c>
      <c r="I12600" s="3">
        <v>205</v>
      </c>
      <c r="J12600" s="3">
        <v>368</v>
      </c>
      <c r="K12600" s="3">
        <v>982</v>
      </c>
      <c r="L12600" s="3">
        <v>10</v>
      </c>
      <c r="M12600" s="3">
        <v>210</v>
      </c>
    </row>
    <row r="12601" spans="1:13" x14ac:dyDescent="0.25">
      <c r="A12601" s="1" t="str">
        <f>HYPERLINK("http://www.rosaceae.org/Prunus/Prunus_persica/p.persica_gdr_reftransV1_0025341","p.persica_gdr_reftransV1_0025341")</f>
        <v>p.persica_gdr_reftransV1_0025341</v>
      </c>
      <c r="B12601" s="3">
        <v>856</v>
      </c>
      <c r="C12601" s="1" t="str">
        <f>HYPERLINK("http://www.uniprot.org/uniprot/RR6_ARATH","RR6_ARATH")</f>
        <v>RR6_ARATH</v>
      </c>
      <c r="D12601" t="s">
        <v>8667</v>
      </c>
      <c r="E12601" s="3" t="s">
        <v>3</v>
      </c>
      <c r="F12601" s="4">
        <v>4.4899999999999998E-68</v>
      </c>
      <c r="G12601" s="3">
        <v>552</v>
      </c>
      <c r="H12601" s="3">
        <v>84</v>
      </c>
      <c r="I12601" s="3">
        <v>121</v>
      </c>
      <c r="J12601" s="3">
        <v>283</v>
      </c>
      <c r="K12601" s="3">
        <v>645</v>
      </c>
      <c r="L12601" s="3">
        <v>86</v>
      </c>
      <c r="M12601" s="3">
        <v>206</v>
      </c>
    </row>
    <row r="12602" spans="1:13" x14ac:dyDescent="0.25">
      <c r="A12602" s="1" t="str">
        <f>HYPERLINK("http://www.rosaceae.org/Prunus/Prunus_persica/p.persica_gdr_reftransV1_0025391","p.persica_gdr_reftransV1_0025391")</f>
        <v>p.persica_gdr_reftransV1_0025391</v>
      </c>
      <c r="B12602" s="3">
        <v>2840</v>
      </c>
      <c r="C12602" s="1" t="str">
        <f>HYPERLINK("http://www.uniprot.org/uniprot/OP163_ARATH","OP163_ARATH")</f>
        <v>OP163_ARATH</v>
      </c>
      <c r="D12602" t="s">
        <v>8668</v>
      </c>
      <c r="E12602" s="3" t="s">
        <v>3</v>
      </c>
      <c r="F12602" s="4">
        <v>2.6999999999999997E-51</v>
      </c>
      <c r="G12602" s="3">
        <v>462</v>
      </c>
      <c r="H12602" s="3">
        <v>76</v>
      </c>
      <c r="I12602" s="3">
        <v>110</v>
      </c>
      <c r="J12602" s="3">
        <v>168</v>
      </c>
      <c r="K12602" s="3">
        <v>497</v>
      </c>
      <c r="L12602" s="3">
        <v>1</v>
      </c>
      <c r="M12602" s="3">
        <v>110</v>
      </c>
    </row>
    <row r="12603" spans="1:13" x14ac:dyDescent="0.25">
      <c r="A12603" s="1" t="str">
        <f>HYPERLINK("http://www.rosaceae.org/Prunus/Prunus_persica/p.persica_gdr_reftransV1_0025791","p.persica_gdr_reftransV1_0025791")</f>
        <v>p.persica_gdr_reftransV1_0025791</v>
      </c>
      <c r="B12603" s="3">
        <v>3308</v>
      </c>
      <c r="C12603" s="1" t="str">
        <f>HYPERLINK("http://www.uniprot.org/uniprot/EIF3C_MEDTR","EIF3C_MEDTR")</f>
        <v>EIF3C_MEDTR</v>
      </c>
      <c r="D12603" t="s">
        <v>8669</v>
      </c>
      <c r="E12603" s="3" t="s">
        <v>91</v>
      </c>
      <c r="F12603" s="4">
        <v>0</v>
      </c>
      <c r="G12603" s="3">
        <v>3008</v>
      </c>
      <c r="H12603" s="3">
        <v>69</v>
      </c>
      <c r="I12603" s="3">
        <v>951</v>
      </c>
      <c r="J12603" s="3">
        <v>217</v>
      </c>
      <c r="K12603" s="3">
        <v>3021</v>
      </c>
      <c r="L12603" s="3">
        <v>1</v>
      </c>
      <c r="M12603" s="3">
        <v>935</v>
      </c>
    </row>
    <row r="12604" spans="1:13" x14ac:dyDescent="0.25">
      <c r="A12604" s="1" t="str">
        <f>HYPERLINK("http://www.rosaceae.org/Prunus/Prunus_persica/p.persica_gdr_reftransV1_0025891","p.persica_gdr_reftransV1_0025891")</f>
        <v>p.persica_gdr_reftransV1_0025891</v>
      </c>
      <c r="B12604" s="3">
        <v>3197</v>
      </c>
      <c r="C12604" s="1" t="str">
        <f>HYPERLINK("http://www.uniprot.org/uniprot/CWC22_HUMAN","CWC22_HUMAN")</f>
        <v>CWC22_HUMAN</v>
      </c>
      <c r="D12604" t="s">
        <v>8670</v>
      </c>
      <c r="E12604" s="3" t="s">
        <v>28</v>
      </c>
      <c r="F12604" s="4">
        <v>0</v>
      </c>
      <c r="G12604" s="3">
        <v>1550</v>
      </c>
      <c r="H12604" s="3">
        <v>56</v>
      </c>
      <c r="I12604" s="3">
        <v>536</v>
      </c>
      <c r="J12604" s="3">
        <v>564</v>
      </c>
      <c r="K12604" s="3">
        <v>2171</v>
      </c>
      <c r="L12604" s="3">
        <v>126</v>
      </c>
      <c r="M12604" s="3">
        <v>661</v>
      </c>
    </row>
    <row r="12605" spans="1:13" x14ac:dyDescent="0.25">
      <c r="A12605" s="1" t="str">
        <f>HYPERLINK("http://www.rosaceae.org/Prunus/Prunus_persica/p.persica_gdr_reftransV1_0025991","p.persica_gdr_reftransV1_0025991")</f>
        <v>p.persica_gdr_reftransV1_0025991</v>
      </c>
      <c r="B12605" s="3">
        <v>1536</v>
      </c>
      <c r="C12605" s="1" t="str">
        <f>HYPERLINK("http://www.uniprot.org/uniprot/Gid4_MOUSE","Gid4_MOUSE")</f>
        <v>Gid4_MOUSE</v>
      </c>
      <c r="D12605" t="s">
        <v>8671</v>
      </c>
      <c r="E12605" s="3" t="s">
        <v>157</v>
      </c>
      <c r="F12605" s="4">
        <v>1.81E-18</v>
      </c>
      <c r="G12605" s="3">
        <v>218</v>
      </c>
      <c r="H12605" s="3">
        <v>40</v>
      </c>
      <c r="I12605" s="3">
        <v>122</v>
      </c>
      <c r="J12605" s="3">
        <v>330</v>
      </c>
      <c r="K12605" s="3">
        <v>686</v>
      </c>
      <c r="L12605" s="3">
        <v>88</v>
      </c>
      <c r="M12605" s="3">
        <v>208</v>
      </c>
    </row>
    <row r="12606" spans="1:13" x14ac:dyDescent="0.25">
      <c r="A12606" s="1" t="str">
        <f>HYPERLINK("http://www.rosaceae.org/Prunus/Prunus_persica/p.persica_gdr_reftransV1_0026091","p.persica_gdr_reftransV1_0026091")</f>
        <v>p.persica_gdr_reftransV1_0026091</v>
      </c>
      <c r="B12606" s="3">
        <v>3083</v>
      </c>
      <c r="C12606" s="1" t="str">
        <f>HYPERLINK("http://www.uniprot.org/uniprot/WRK44_ARATH","WRK44_ARATH")</f>
        <v>WRK44_ARATH</v>
      </c>
      <c r="D12606" t="s">
        <v>8672</v>
      </c>
      <c r="E12606" s="3" t="s">
        <v>3</v>
      </c>
      <c r="F12606" s="4">
        <v>1.8100000000000001E-74</v>
      </c>
      <c r="G12606" s="3">
        <v>657</v>
      </c>
      <c r="H12606" s="3">
        <v>55</v>
      </c>
      <c r="I12606" s="3">
        <v>282</v>
      </c>
      <c r="J12606" s="3">
        <v>1597</v>
      </c>
      <c r="K12606" s="3">
        <v>2403</v>
      </c>
      <c r="L12606" s="3">
        <v>157</v>
      </c>
      <c r="M12606" s="3">
        <v>409</v>
      </c>
    </row>
    <row r="12607" spans="1:13" x14ac:dyDescent="0.25">
      <c r="A12607" s="1" t="str">
        <f>HYPERLINK("http://www.rosaceae.org/Prunus/Prunus_persica/p.persica_gdr_reftransV1_0026141","p.persica_gdr_reftransV1_0026141")</f>
        <v>p.persica_gdr_reftransV1_0026141</v>
      </c>
      <c r="B12607" s="3">
        <v>2071</v>
      </c>
      <c r="C12607" s="1" t="str">
        <f>HYPERLINK("http://www.uniprot.org/uniprot/SNR40_HUMAN","SNR40_HUMAN")</f>
        <v>SNR40_HUMAN</v>
      </c>
      <c r="D12607" t="s">
        <v>8673</v>
      </c>
      <c r="E12607" s="3" t="s">
        <v>28</v>
      </c>
      <c r="F12607" s="4">
        <v>4.42E-146</v>
      </c>
      <c r="G12607" s="3">
        <v>1123</v>
      </c>
      <c r="H12607" s="3">
        <v>62</v>
      </c>
      <c r="I12607" s="3">
        <v>309</v>
      </c>
      <c r="J12607" s="3">
        <v>939</v>
      </c>
      <c r="K12607" s="3">
        <v>1865</v>
      </c>
      <c r="L12607" s="3">
        <v>48</v>
      </c>
      <c r="M12607" s="3">
        <v>356</v>
      </c>
    </row>
    <row r="12608" spans="1:13" x14ac:dyDescent="0.25">
      <c r="A12608" s="1" t="str">
        <f>HYPERLINK("http://www.rosaceae.org/Prunus/Prunus_persica/p.persica_gdr_reftransV1_0026491","p.persica_gdr_reftransV1_0026491")</f>
        <v>p.persica_gdr_reftransV1_0026491</v>
      </c>
      <c r="B12608" s="3">
        <v>1003</v>
      </c>
      <c r="C12608" s="1" t="str">
        <f>HYPERLINK("http://www.uniprot.org/uniprot/LSM7_ARATH","LSM7_ARATH")</f>
        <v>LSM7_ARATH</v>
      </c>
      <c r="D12608" t="s">
        <v>8674</v>
      </c>
      <c r="E12608" s="3" t="s">
        <v>3</v>
      </c>
      <c r="F12608" s="4">
        <v>1.96E-55</v>
      </c>
      <c r="G12608" s="3">
        <v>462</v>
      </c>
      <c r="H12608" s="3">
        <v>97</v>
      </c>
      <c r="I12608" s="3">
        <v>93</v>
      </c>
      <c r="J12608" s="3">
        <v>484</v>
      </c>
      <c r="K12608" s="3">
        <v>762</v>
      </c>
      <c r="L12608" s="3">
        <v>1</v>
      </c>
      <c r="M12608" s="3">
        <v>93</v>
      </c>
    </row>
    <row r="12609" spans="1:13" x14ac:dyDescent="0.25">
      <c r="A12609" s="1" t="str">
        <f>HYPERLINK("http://www.rosaceae.org/Prunus/Prunus_persica/p.persica_gdr_reftransV1_0026591","p.persica_gdr_reftransV1_0026591")</f>
        <v>p.persica_gdr_reftransV1_0026591</v>
      </c>
      <c r="B12609" s="3">
        <v>2842</v>
      </c>
      <c r="C12609" s="1" t="str">
        <f>HYPERLINK("http://www.uniprot.org/uniprot/IAR1_ARATH","IAR1_ARATH")</f>
        <v>IAR1_ARATH</v>
      </c>
      <c r="D12609" t="s">
        <v>8675</v>
      </c>
      <c r="E12609" s="3" t="s">
        <v>3</v>
      </c>
      <c r="F12609" s="4">
        <v>4.4700000000000002E-77</v>
      </c>
      <c r="G12609" s="3">
        <v>678</v>
      </c>
      <c r="H12609" s="3">
        <v>59</v>
      </c>
      <c r="I12609" s="3">
        <v>324</v>
      </c>
      <c r="J12609" s="3">
        <v>720</v>
      </c>
      <c r="K12609" s="3">
        <v>1679</v>
      </c>
      <c r="L12609" s="3">
        <v>71</v>
      </c>
      <c r="M12609" s="3">
        <v>370</v>
      </c>
    </row>
    <row r="12610" spans="1:13" x14ac:dyDescent="0.25">
      <c r="A12610" s="1" t="str">
        <f>HYPERLINK("http://www.rosaceae.org/Prunus/Prunus_persica/p.persica_gdr_reftransV1_0026691","p.persica_gdr_reftransV1_0026691")</f>
        <v>p.persica_gdr_reftransV1_0026691</v>
      </c>
      <c r="B12610" s="3">
        <v>2929</v>
      </c>
      <c r="C12610" s="1" t="str">
        <f>HYPERLINK("http://www.uniprot.org/uniprot/YC22_ARATH","YC22_ARATH")</f>
        <v>YC22_ARATH</v>
      </c>
      <c r="D12610" t="s">
        <v>8676</v>
      </c>
      <c r="E12610" s="3" t="s">
        <v>3</v>
      </c>
      <c r="F12610" s="4">
        <v>1.04E-172</v>
      </c>
      <c r="G12610" s="3">
        <v>1337</v>
      </c>
      <c r="H12610" s="3">
        <v>71</v>
      </c>
      <c r="I12610" s="3">
        <v>340</v>
      </c>
      <c r="J12610" s="3">
        <v>1147</v>
      </c>
      <c r="K12610" s="3">
        <v>2166</v>
      </c>
      <c r="L12610" s="3">
        <v>71</v>
      </c>
      <c r="M12610" s="3">
        <v>410</v>
      </c>
    </row>
    <row r="12611" spans="1:13" x14ac:dyDescent="0.25">
      <c r="A12611" s="1" t="str">
        <f>HYPERLINK("http://www.rosaceae.org/Prunus/Prunus_persica/p.persica_gdr_reftransV1_0026741","p.persica_gdr_reftransV1_0026741")</f>
        <v>p.persica_gdr_reftransV1_0026741</v>
      </c>
      <c r="B12611" s="3">
        <v>2141</v>
      </c>
      <c r="C12611" s="1" t="str">
        <f>HYPERLINK("http://www.uniprot.org/uniprot/TIC32_ARATH","TIC32_ARATH")</f>
        <v>TIC32_ARATH</v>
      </c>
      <c r="D12611" t="s">
        <v>2095</v>
      </c>
      <c r="E12611" s="3" t="s">
        <v>3</v>
      </c>
      <c r="F12611" s="4">
        <v>3.2399999999999998E-92</v>
      </c>
      <c r="G12611" s="3">
        <v>759</v>
      </c>
      <c r="H12611" s="3">
        <v>76</v>
      </c>
      <c r="I12611" s="3">
        <v>210</v>
      </c>
      <c r="J12611" s="3">
        <v>750</v>
      </c>
      <c r="K12611" s="3">
        <v>1379</v>
      </c>
      <c r="L12611" s="3">
        <v>31</v>
      </c>
      <c r="M12611" s="3">
        <v>240</v>
      </c>
    </row>
    <row r="12612" spans="1:13" x14ac:dyDescent="0.25">
      <c r="A12612" s="1" t="str">
        <f>HYPERLINK("http://www.rosaceae.org/Prunus/Prunus_persica/p.persica_gdr_reftransV1_0027041","p.persica_gdr_reftransV1_0027041")</f>
        <v>p.persica_gdr_reftransV1_0027041</v>
      </c>
      <c r="B12612" s="3">
        <v>2491</v>
      </c>
      <c r="C12612" s="1" t="str">
        <f>HYPERLINK("http://www.uniprot.org/uniprot/PTEN_DICDI","PTEN_DICDI")</f>
        <v>PTEN_DICDI</v>
      </c>
      <c r="D12612" t="s">
        <v>8677</v>
      </c>
      <c r="E12612" s="3" t="s">
        <v>9</v>
      </c>
      <c r="F12612" s="4">
        <v>2.3899999999999998E-24</v>
      </c>
      <c r="G12612" s="3">
        <v>278</v>
      </c>
      <c r="H12612" s="3">
        <v>35</v>
      </c>
      <c r="I12612" s="3">
        <v>168</v>
      </c>
      <c r="J12612" s="3">
        <v>1715</v>
      </c>
      <c r="K12612" s="3">
        <v>2206</v>
      </c>
      <c r="L12612" s="3">
        <v>67</v>
      </c>
      <c r="M12612" s="3">
        <v>229</v>
      </c>
    </row>
    <row r="12613" spans="1:13" x14ac:dyDescent="0.25">
      <c r="A12613" s="1" t="str">
        <f>HYPERLINK("http://www.rosaceae.org/Prunus/Prunus_persica/p.persica_gdr_reftransV1_0027091","p.persica_gdr_reftransV1_0027091")</f>
        <v>p.persica_gdr_reftransV1_0027091</v>
      </c>
      <c r="B12613" s="3">
        <v>3015</v>
      </c>
      <c r="C12613" s="1" t="str">
        <f>HYPERLINK("http://www.uniprot.org/uniprot/RS1_NEIMB","RS1_NEIMB")</f>
        <v>RS1_NEIMB</v>
      </c>
      <c r="D12613" t="s">
        <v>8678</v>
      </c>
      <c r="E12613" s="3" t="s">
        <v>8679</v>
      </c>
      <c r="F12613" s="4">
        <v>2.1E-7</v>
      </c>
      <c r="G12613" s="3">
        <v>140</v>
      </c>
      <c r="H12613" s="3">
        <v>32</v>
      </c>
      <c r="I12613" s="3">
        <v>105</v>
      </c>
      <c r="J12613" s="3">
        <v>1745</v>
      </c>
      <c r="K12613" s="3">
        <v>2059</v>
      </c>
      <c r="L12613" s="3">
        <v>136</v>
      </c>
      <c r="M12613" s="3">
        <v>240</v>
      </c>
    </row>
    <row r="12614" spans="1:13" x14ac:dyDescent="0.25">
      <c r="A12614" s="1" t="str">
        <f>HYPERLINK("http://www.rosaceae.org/Prunus/Prunus_persica/p.persica_gdr_reftransV1_0027241","p.persica_gdr_reftransV1_0027241")</f>
        <v>p.persica_gdr_reftransV1_0027241</v>
      </c>
      <c r="B12614" s="3">
        <v>5962</v>
      </c>
      <c r="C12614" s="1" t="str">
        <f>HYPERLINK("http://www.uniprot.org/uniprot/FRS4_ARATH","FRS4_ARATH")</f>
        <v>FRS4_ARATH</v>
      </c>
      <c r="D12614" t="s">
        <v>8680</v>
      </c>
      <c r="E12614" s="3" t="s">
        <v>3</v>
      </c>
      <c r="F12614" s="4">
        <v>0</v>
      </c>
      <c r="G12614" s="3">
        <v>2488</v>
      </c>
      <c r="H12614" s="3">
        <v>64</v>
      </c>
      <c r="I12614" s="3">
        <v>737</v>
      </c>
      <c r="J12614" s="3">
        <v>582</v>
      </c>
      <c r="K12614" s="3">
        <v>2768</v>
      </c>
      <c r="L12614" s="3">
        <v>1</v>
      </c>
      <c r="M12614" s="3">
        <v>731</v>
      </c>
    </row>
    <row r="12615" spans="1:13" x14ac:dyDescent="0.25">
      <c r="A12615" s="1" t="str">
        <f>HYPERLINK("http://www.rosaceae.org/Prunus/Prunus_persica/p.persica_gdr_reftransV1_0027341","p.persica_gdr_reftransV1_0027341")</f>
        <v>p.persica_gdr_reftransV1_0027341</v>
      </c>
      <c r="B12615" s="3">
        <v>2620</v>
      </c>
      <c r="C12615" s="1" t="str">
        <f>HYPERLINK("http://www.uniprot.org/uniprot/ANTR4_ARATH","ANTR4_ARATH")</f>
        <v>ANTR4_ARATH</v>
      </c>
      <c r="D12615" t="s">
        <v>3377</v>
      </c>
      <c r="E12615" s="3" t="s">
        <v>3</v>
      </c>
      <c r="F12615" s="4">
        <v>0</v>
      </c>
      <c r="G12615" s="3">
        <v>1871</v>
      </c>
      <c r="H12615" s="3">
        <v>71</v>
      </c>
      <c r="I12615" s="3">
        <v>515</v>
      </c>
      <c r="J12615" s="3">
        <v>259</v>
      </c>
      <c r="K12615" s="3">
        <v>1794</v>
      </c>
      <c r="L12615" s="3">
        <v>19</v>
      </c>
      <c r="M12615" s="3">
        <v>530</v>
      </c>
    </row>
    <row r="12616" spans="1:13" x14ac:dyDescent="0.25">
      <c r="A12616" s="1" t="str">
        <f>HYPERLINK("http://www.rosaceae.org/Prunus/Prunus_persica/p.persica_gdr_reftransV1_0027941","p.persica_gdr_reftransV1_0027941")</f>
        <v>p.persica_gdr_reftransV1_0027941</v>
      </c>
      <c r="B12616" s="3">
        <v>4564</v>
      </c>
      <c r="C12616" s="1" t="str">
        <f>HYPERLINK("http://www.uniprot.org/uniprot/JMJ25_ARATH","JMJ25_ARATH")</f>
        <v>JMJ25_ARATH</v>
      </c>
      <c r="D12616" t="s">
        <v>1512</v>
      </c>
      <c r="E12616" s="3" t="s">
        <v>3</v>
      </c>
      <c r="F12616" s="4">
        <v>3.4900000000000002E-53</v>
      </c>
      <c r="G12616" s="3">
        <v>528</v>
      </c>
      <c r="H12616" s="3">
        <v>37</v>
      </c>
      <c r="I12616" s="3">
        <v>304</v>
      </c>
      <c r="J12616" s="3">
        <v>1679</v>
      </c>
      <c r="K12616" s="3">
        <v>2581</v>
      </c>
      <c r="L12616" s="3">
        <v>429</v>
      </c>
      <c r="M12616" s="3">
        <v>728</v>
      </c>
    </row>
    <row r="12617" spans="1:13" x14ac:dyDescent="0.25">
      <c r="A12617" s="1" t="str">
        <f>HYPERLINK("http://www.rosaceae.org/Prunus/Prunus_persica/p.persica_gdr_reftransV1_0028091","p.persica_gdr_reftransV1_0028091")</f>
        <v>p.persica_gdr_reftransV1_0028091</v>
      </c>
      <c r="B12617" s="3">
        <v>4021</v>
      </c>
      <c r="C12617" s="1" t="str">
        <f>HYPERLINK("http://www.uniprot.org/uniprot/UBP23_ARATH","UBP23_ARATH")</f>
        <v>UBP23_ARATH</v>
      </c>
      <c r="D12617" t="s">
        <v>1473</v>
      </c>
      <c r="E12617" s="3" t="s">
        <v>3</v>
      </c>
      <c r="F12617" s="4">
        <v>2.13E-137</v>
      </c>
      <c r="G12617" s="3">
        <v>1154</v>
      </c>
      <c r="H12617" s="3">
        <v>73</v>
      </c>
      <c r="I12617" s="3">
        <v>285</v>
      </c>
      <c r="J12617" s="3">
        <v>1983</v>
      </c>
      <c r="K12617" s="3">
        <v>2837</v>
      </c>
      <c r="L12617" s="3">
        <v>145</v>
      </c>
      <c r="M12617" s="3">
        <v>428</v>
      </c>
    </row>
    <row r="12618" spans="1:13" x14ac:dyDescent="0.25">
      <c r="A12618" s="1" t="str">
        <f>HYPERLINK("http://www.rosaceae.org/Prunus/Prunus_persica/p.persica_gdr_reftransV1_0028191","p.persica_gdr_reftransV1_0028191")</f>
        <v>p.persica_gdr_reftransV1_0028191</v>
      </c>
      <c r="B12618" s="3">
        <v>1498</v>
      </c>
      <c r="C12618" s="1" t="str">
        <f>HYPERLINK("http://www.uniprot.org/uniprot/PCO3_ARATH","PCO3_ARATH")</f>
        <v>PCO3_ARATH</v>
      </c>
      <c r="D12618" t="s">
        <v>8681</v>
      </c>
      <c r="E12618" s="3" t="s">
        <v>3</v>
      </c>
      <c r="F12618" s="4">
        <v>6.7800000000000003E-93</v>
      </c>
      <c r="G12618" s="3">
        <v>743</v>
      </c>
      <c r="H12618" s="3">
        <v>59</v>
      </c>
      <c r="I12618" s="3">
        <v>245</v>
      </c>
      <c r="J12618" s="3">
        <v>683</v>
      </c>
      <c r="K12618" s="3">
        <v>1402</v>
      </c>
      <c r="L12618" s="3">
        <v>1</v>
      </c>
      <c r="M12618" s="3">
        <v>240</v>
      </c>
    </row>
    <row r="12619" spans="1:13" x14ac:dyDescent="0.25">
      <c r="A12619" s="1" t="str">
        <f>HYPERLINK("http://www.rosaceae.org/Prunus/Prunus_persica/p.persica_gdr_reftransV1_0028341","p.persica_gdr_reftransV1_0028341")</f>
        <v>p.persica_gdr_reftransV1_0028341</v>
      </c>
      <c r="B12619" s="3">
        <v>2264</v>
      </c>
      <c r="C12619" s="1" t="str">
        <f>HYPERLINK("http://www.uniprot.org/uniprot/P2C71_ORYSJ","P2C71_ORYSJ")</f>
        <v>P2C71_ORYSJ</v>
      </c>
      <c r="D12619" t="s">
        <v>1150</v>
      </c>
      <c r="E12619" s="3" t="s">
        <v>38</v>
      </c>
      <c r="F12619" s="4">
        <v>5.9600000000000003E-105</v>
      </c>
      <c r="G12619" s="3">
        <v>861</v>
      </c>
      <c r="H12619" s="3">
        <v>61</v>
      </c>
      <c r="I12619" s="3">
        <v>249</v>
      </c>
      <c r="J12619" s="3">
        <v>1025</v>
      </c>
      <c r="K12619" s="3">
        <v>1771</v>
      </c>
      <c r="L12619" s="3">
        <v>214</v>
      </c>
      <c r="M12619" s="3">
        <v>462</v>
      </c>
    </row>
    <row r="12620" spans="1:13" x14ac:dyDescent="0.25">
      <c r="A12620" s="1" t="str">
        <f>HYPERLINK("http://www.rosaceae.org/Prunus/Prunus_persica/p.persica_gdr_reftransV1_0028391","p.persica_gdr_reftransV1_0028391")</f>
        <v>p.persica_gdr_reftransV1_0028391</v>
      </c>
      <c r="B12620" s="3">
        <v>3060</v>
      </c>
      <c r="C12620" s="1" t="str">
        <f>HYPERLINK("http://www.uniprot.org/uniprot/TAF5_ARATH","TAF5_ARATH")</f>
        <v>TAF5_ARATH</v>
      </c>
      <c r="D12620" t="s">
        <v>8682</v>
      </c>
      <c r="E12620" s="3" t="s">
        <v>3</v>
      </c>
      <c r="F12620" s="4">
        <v>0</v>
      </c>
      <c r="G12620" s="3">
        <v>2626</v>
      </c>
      <c r="H12620" s="3">
        <v>76</v>
      </c>
      <c r="I12620" s="3">
        <v>671</v>
      </c>
      <c r="J12620" s="3">
        <v>87</v>
      </c>
      <c r="K12620" s="3">
        <v>2099</v>
      </c>
      <c r="L12620" s="3">
        <v>1</v>
      </c>
      <c r="M12620" s="3">
        <v>666</v>
      </c>
    </row>
    <row r="12621" spans="1:13" x14ac:dyDescent="0.25">
      <c r="A12621" s="1" t="str">
        <f>HYPERLINK("http://www.rosaceae.org/Prunus/Prunus_persica/p.persica_gdr_reftransV1_0028691","p.persica_gdr_reftransV1_0028691")</f>
        <v>p.persica_gdr_reftransV1_0028691</v>
      </c>
      <c r="B12621" s="3">
        <v>1172</v>
      </c>
      <c r="C12621" s="1" t="str">
        <f>HYPERLINK("http://www.uniprot.org/uniprot/ADS3_ARATH","ADS3_ARATH")</f>
        <v>ADS3_ARATH</v>
      </c>
      <c r="D12621" t="s">
        <v>2103</v>
      </c>
      <c r="E12621" s="3" t="s">
        <v>3</v>
      </c>
      <c r="F12621" s="4">
        <v>3.3799999999999997E-117</v>
      </c>
      <c r="G12621" s="3">
        <v>904</v>
      </c>
      <c r="H12621" s="3">
        <v>61</v>
      </c>
      <c r="I12621" s="3">
        <v>276</v>
      </c>
      <c r="J12621" s="3">
        <v>122</v>
      </c>
      <c r="K12621" s="3">
        <v>946</v>
      </c>
      <c r="L12621" s="3">
        <v>96</v>
      </c>
      <c r="M12621" s="3">
        <v>371</v>
      </c>
    </row>
    <row r="12622" spans="1:13" x14ac:dyDescent="0.25">
      <c r="A12622" s="1" t="str">
        <f>HYPERLINK("http://www.rosaceae.org/Prunus/Prunus_persica/p.persica_gdr_reftransV1_0028841","p.persica_gdr_reftransV1_0028841")</f>
        <v>p.persica_gdr_reftransV1_0028841</v>
      </c>
      <c r="B12622" s="3">
        <v>2482</v>
      </c>
      <c r="C12622" s="1" t="str">
        <f>HYPERLINK("http://www.uniprot.org/uniprot/FRAY2_DICDI","FRAY2_DICDI")</f>
        <v>FRAY2_DICDI</v>
      </c>
      <c r="D12622" t="s">
        <v>2965</v>
      </c>
      <c r="E12622" s="3" t="s">
        <v>9</v>
      </c>
      <c r="F12622" s="4">
        <v>3.3599999999999999E-106</v>
      </c>
      <c r="G12622" s="3">
        <v>915</v>
      </c>
      <c r="H12622" s="3">
        <v>52</v>
      </c>
      <c r="I12622" s="3">
        <v>321</v>
      </c>
      <c r="J12622" s="3">
        <v>313</v>
      </c>
      <c r="K12622" s="3">
        <v>1272</v>
      </c>
      <c r="L12622" s="3">
        <v>60</v>
      </c>
      <c r="M12622" s="3">
        <v>377</v>
      </c>
    </row>
    <row r="12623" spans="1:13" x14ac:dyDescent="0.25">
      <c r="A12623" s="1" t="str">
        <f>HYPERLINK("http://www.rosaceae.org/Prunus/Prunus_persica/p.persica_gdr_reftransV1_0028941","p.persica_gdr_reftransV1_0028941")</f>
        <v>p.persica_gdr_reftransV1_0028941</v>
      </c>
      <c r="B12623" s="3">
        <v>2301</v>
      </c>
      <c r="C12623" s="1" t="str">
        <f>HYPERLINK("http://www.uniprot.org/uniprot/Y5224_ARATH","Y5224_ARATH")</f>
        <v>Y5224_ARATH</v>
      </c>
      <c r="D12623" t="s">
        <v>8683</v>
      </c>
      <c r="E12623" s="3" t="s">
        <v>3</v>
      </c>
      <c r="F12623" s="4">
        <v>9.8200000000000008E-7</v>
      </c>
      <c r="G12623" s="3">
        <v>130</v>
      </c>
      <c r="H12623" s="3">
        <v>39</v>
      </c>
      <c r="I12623" s="3">
        <v>79</v>
      </c>
      <c r="J12623" s="3">
        <v>1670</v>
      </c>
      <c r="K12623" s="3">
        <v>1894</v>
      </c>
      <c r="L12623" s="3">
        <v>150</v>
      </c>
      <c r="M12623" s="3">
        <v>228</v>
      </c>
    </row>
    <row r="12624" spans="1:13" x14ac:dyDescent="0.25">
      <c r="A12624" s="1" t="str">
        <f>HYPERLINK("http://www.rosaceae.org/Prunus/Prunus_persica/p.persica_gdr_reftransV1_0029141","p.persica_gdr_reftransV1_0029141")</f>
        <v>p.persica_gdr_reftransV1_0029141</v>
      </c>
      <c r="B12624" s="3">
        <v>2745</v>
      </c>
      <c r="C12624" s="1" t="str">
        <f>HYPERLINK("http://www.uniprot.org/uniprot/Y4407_SELML","Y4407_SELML")</f>
        <v>Y4407_SELML</v>
      </c>
      <c r="D12624" t="s">
        <v>1658</v>
      </c>
      <c r="E12624" s="3" t="s">
        <v>1659</v>
      </c>
      <c r="F12624" s="4">
        <v>2.9999999999999999E-50</v>
      </c>
      <c r="G12624" s="3">
        <v>484</v>
      </c>
      <c r="H12624" s="3">
        <v>56</v>
      </c>
      <c r="I12624" s="3">
        <v>167</v>
      </c>
      <c r="J12624" s="3">
        <v>1183</v>
      </c>
      <c r="K12624" s="3">
        <v>1680</v>
      </c>
      <c r="L12624" s="3">
        <v>187</v>
      </c>
      <c r="M12624" s="3">
        <v>345</v>
      </c>
    </row>
    <row r="12625" spans="1:13" x14ac:dyDescent="0.25">
      <c r="A12625" s="1" t="str">
        <f>HYPERLINK("http://www.rosaceae.org/Prunus/Prunus_persica/p.persica_gdr_reftransV1_0029591","p.persica_gdr_reftransV1_0029591")</f>
        <v>p.persica_gdr_reftransV1_0029591</v>
      </c>
      <c r="B12625" s="3">
        <v>4117</v>
      </c>
      <c r="C12625" s="1" t="str">
        <f>HYPERLINK("http://www.uniprot.org/uniprot/PEX4_ARATH","PEX4_ARATH")</f>
        <v>PEX4_ARATH</v>
      </c>
      <c r="D12625" t="s">
        <v>8684</v>
      </c>
      <c r="E12625" s="3" t="s">
        <v>3</v>
      </c>
      <c r="F12625" s="4">
        <v>1.6799999999999999E-48</v>
      </c>
      <c r="G12625" s="3">
        <v>446</v>
      </c>
      <c r="H12625" s="3">
        <v>89</v>
      </c>
      <c r="I12625" s="3">
        <v>91</v>
      </c>
      <c r="J12625" s="3">
        <v>3283</v>
      </c>
      <c r="K12625" s="3">
        <v>3555</v>
      </c>
      <c r="L12625" s="3">
        <v>1</v>
      </c>
      <c r="M12625" s="3">
        <v>91</v>
      </c>
    </row>
    <row r="12626" spans="1:13" x14ac:dyDescent="0.25">
      <c r="A12626" s="1" t="str">
        <f>HYPERLINK("http://www.rosaceae.org/Prunus/Prunus_persica/p.persica_gdr_reftransV1_0029891","p.persica_gdr_reftransV1_0029891")</f>
        <v>p.persica_gdr_reftransV1_0029891</v>
      </c>
      <c r="B12626" s="3">
        <v>3675</v>
      </c>
      <c r="C12626" s="1" t="str">
        <f>HYPERLINK("http://www.uniprot.org/uniprot/WAP_SOLLC","WAP_SOLLC")</f>
        <v>WAP_SOLLC</v>
      </c>
      <c r="D12626" t="s">
        <v>8685</v>
      </c>
      <c r="E12626" s="3" t="s">
        <v>64</v>
      </c>
      <c r="F12626" s="4">
        <v>3.9400000000000001E-166</v>
      </c>
      <c r="G12626" s="3">
        <v>1344</v>
      </c>
      <c r="H12626" s="3">
        <v>41</v>
      </c>
      <c r="I12626" s="3">
        <v>881</v>
      </c>
      <c r="J12626" s="3">
        <v>491</v>
      </c>
      <c r="K12626" s="3">
        <v>3094</v>
      </c>
      <c r="L12626" s="3">
        <v>1</v>
      </c>
      <c r="M12626" s="3">
        <v>829</v>
      </c>
    </row>
    <row r="12627" spans="1:13" x14ac:dyDescent="0.25">
      <c r="A12627" s="1" t="str">
        <f>HYPERLINK("http://www.rosaceae.org/Prunus/Prunus_persica/p.persica_gdr_reftransV1_0030141","p.persica_gdr_reftransV1_0030141")</f>
        <v>p.persica_gdr_reftransV1_0030141</v>
      </c>
      <c r="B12627" s="3">
        <v>3385</v>
      </c>
      <c r="C12627" s="1" t="str">
        <f>HYPERLINK("http://www.uniprot.org/uniprot/ASHH3_ARATH","ASHH3_ARATH")</f>
        <v>ASHH3_ARATH</v>
      </c>
      <c r="D12627" t="s">
        <v>8021</v>
      </c>
      <c r="E12627" s="3" t="s">
        <v>3</v>
      </c>
      <c r="F12627" s="4">
        <v>5.6799999999999999E-125</v>
      </c>
      <c r="G12627" s="3">
        <v>1012</v>
      </c>
      <c r="H12627" s="3">
        <v>72</v>
      </c>
      <c r="I12627" s="3">
        <v>285</v>
      </c>
      <c r="J12627" s="3">
        <v>1223</v>
      </c>
      <c r="K12627" s="3">
        <v>2065</v>
      </c>
      <c r="L12627" s="3">
        <v>88</v>
      </c>
      <c r="M12627" s="3">
        <v>363</v>
      </c>
    </row>
    <row r="12628" spans="1:13" x14ac:dyDescent="0.25">
      <c r="A12628" s="1" t="str">
        <f>HYPERLINK("http://www.rosaceae.org/Prunus/Prunus_persica/p.persica_gdr_reftransV1_0030241","p.persica_gdr_reftransV1_0030241")</f>
        <v>p.persica_gdr_reftransV1_0030241</v>
      </c>
      <c r="B12628" s="3">
        <v>2895</v>
      </c>
      <c r="C12628" s="1" t="str">
        <f>HYPERLINK("http://www.uniprot.org/uniprot/WNK5_ARATH","WNK5_ARATH")</f>
        <v>WNK5_ARATH</v>
      </c>
      <c r="D12628" t="s">
        <v>5178</v>
      </c>
      <c r="E12628" s="3" t="s">
        <v>3</v>
      </c>
      <c r="F12628" s="4">
        <v>3.7100000000000001E-172</v>
      </c>
      <c r="G12628" s="3">
        <v>1339</v>
      </c>
      <c r="H12628" s="3">
        <v>73</v>
      </c>
      <c r="I12628" s="3">
        <v>349</v>
      </c>
      <c r="J12628" s="3">
        <v>1793</v>
      </c>
      <c r="K12628" s="3">
        <v>2818</v>
      </c>
      <c r="L12628" s="3">
        <v>5</v>
      </c>
      <c r="M12628" s="3">
        <v>352</v>
      </c>
    </row>
    <row r="12629" spans="1:13" x14ac:dyDescent="0.25">
      <c r="A12629" s="1" t="str">
        <f>HYPERLINK("http://www.rosaceae.org/Prunus/Prunus_persica/p.persica_gdr_reftransV1_0030441","p.persica_gdr_reftransV1_0030441")</f>
        <v>p.persica_gdr_reftransV1_0030441</v>
      </c>
      <c r="B12629" s="3">
        <v>1224</v>
      </c>
      <c r="C12629" s="1" t="str">
        <f>HYPERLINK("http://www.uniprot.org/uniprot/TRL31_ARATH","TRL31_ARATH")</f>
        <v>TRL31_ARATH</v>
      </c>
      <c r="D12629" t="s">
        <v>8686</v>
      </c>
      <c r="E12629" s="3" t="s">
        <v>3</v>
      </c>
      <c r="F12629" s="4">
        <v>5.3100000000000002E-42</v>
      </c>
      <c r="G12629" s="3">
        <v>385</v>
      </c>
      <c r="H12629" s="3">
        <v>80</v>
      </c>
      <c r="I12629" s="3">
        <v>85</v>
      </c>
      <c r="J12629" s="3">
        <v>816</v>
      </c>
      <c r="K12629" s="3">
        <v>1070</v>
      </c>
      <c r="L12629" s="3">
        <v>126</v>
      </c>
      <c r="M12629" s="3">
        <v>210</v>
      </c>
    </row>
    <row r="12630" spans="1:13" x14ac:dyDescent="0.25">
      <c r="A12630" s="1" t="str">
        <f>HYPERLINK("http://www.rosaceae.org/Prunus/Prunus_persica/p.persica_gdr_reftransV1_0030641","p.persica_gdr_reftransV1_0030641")</f>
        <v>p.persica_gdr_reftransV1_0030641</v>
      </c>
      <c r="B12630" s="3">
        <v>1566</v>
      </c>
      <c r="C12630" s="1" t="str">
        <f>HYPERLINK("http://www.uniprot.org/uniprot/APL_ARATH","APL_ARATH")</f>
        <v>APL_ARATH</v>
      </c>
      <c r="D12630" t="s">
        <v>1317</v>
      </c>
      <c r="E12630" s="3" t="s">
        <v>3</v>
      </c>
      <c r="F12630" s="4">
        <v>1.1499999999999999E-58</v>
      </c>
      <c r="G12630" s="3">
        <v>519</v>
      </c>
      <c r="H12630" s="3">
        <v>67</v>
      </c>
      <c r="I12630" s="3">
        <v>161</v>
      </c>
      <c r="J12630" s="3">
        <v>504</v>
      </c>
      <c r="K12630" s="3">
        <v>983</v>
      </c>
      <c r="L12630" s="3">
        <v>23</v>
      </c>
      <c r="M12630" s="3">
        <v>170</v>
      </c>
    </row>
    <row r="12631" spans="1:13" x14ac:dyDescent="0.25">
      <c r="A12631" s="1" t="str">
        <f>HYPERLINK("http://www.rosaceae.org/Prunus/Prunus_persica/p.persica_gdr_reftransV1_0030791","p.persica_gdr_reftransV1_0030791")</f>
        <v>p.persica_gdr_reftransV1_0030791</v>
      </c>
      <c r="B12631" s="3">
        <v>2084</v>
      </c>
      <c r="C12631" s="1" t="str">
        <f>HYPERLINK("http://www.uniprot.org/uniprot/ERDL6_ARATH","ERDL6_ARATH")</f>
        <v>ERDL6_ARATH</v>
      </c>
      <c r="D12631" t="s">
        <v>4390</v>
      </c>
      <c r="E12631" s="3" t="s">
        <v>3</v>
      </c>
      <c r="F12631" s="4">
        <v>0</v>
      </c>
      <c r="G12631" s="3">
        <v>1655</v>
      </c>
      <c r="H12631" s="3">
        <v>75</v>
      </c>
      <c r="I12631" s="3">
        <v>448</v>
      </c>
      <c r="J12631" s="3">
        <v>618</v>
      </c>
      <c r="K12631" s="3">
        <v>1958</v>
      </c>
      <c r="L12631" s="3">
        <v>1</v>
      </c>
      <c r="M12631" s="3">
        <v>413</v>
      </c>
    </row>
    <row r="12632" spans="1:13" x14ac:dyDescent="0.25">
      <c r="A12632" s="1" t="str">
        <f>HYPERLINK("http://www.rosaceae.org/Prunus/Prunus_persica/p.persica_gdr_reftransV1_0030941","p.persica_gdr_reftransV1_0030941")</f>
        <v>p.persica_gdr_reftransV1_0030941</v>
      </c>
      <c r="B12632" s="3">
        <v>3637</v>
      </c>
      <c r="C12632" s="1" t="str">
        <f>HYPERLINK("http://www.uniprot.org/uniprot/ARR12_ARATH","ARR12_ARATH")</f>
        <v>ARR12_ARATH</v>
      </c>
      <c r="D12632" t="s">
        <v>6590</v>
      </c>
      <c r="E12632" s="3" t="s">
        <v>3</v>
      </c>
      <c r="F12632" s="4">
        <v>3.2999999999999998E-68</v>
      </c>
      <c r="G12632" s="3">
        <v>627</v>
      </c>
      <c r="H12632" s="3">
        <v>54</v>
      </c>
      <c r="I12632" s="3">
        <v>293</v>
      </c>
      <c r="J12632" s="3">
        <v>1219</v>
      </c>
      <c r="K12632" s="3">
        <v>2064</v>
      </c>
      <c r="L12632" s="3">
        <v>93</v>
      </c>
      <c r="M12632" s="3">
        <v>367</v>
      </c>
    </row>
    <row r="12633" spans="1:13" x14ac:dyDescent="0.25">
      <c r="A12633" s="1" t="str">
        <f>HYPERLINK("http://www.rosaceae.org/Prunus/Prunus_persica/p.persica_gdr_reftransV1_0031041","p.persica_gdr_reftransV1_0031041")</f>
        <v>p.persica_gdr_reftransV1_0031041</v>
      </c>
      <c r="B12633" s="3">
        <v>1518</v>
      </c>
      <c r="C12633" s="1" t="str">
        <f>HYPERLINK("http://www.uniprot.org/uniprot/14338_ARATH","14338_ARATH")</f>
        <v>14338_ARATH</v>
      </c>
      <c r="D12633" t="s">
        <v>767</v>
      </c>
      <c r="E12633" s="3" t="s">
        <v>3</v>
      </c>
      <c r="F12633" s="4">
        <v>9.1300000000000004E-159</v>
      </c>
      <c r="G12633" s="3">
        <v>1178</v>
      </c>
      <c r="H12633" s="3">
        <v>89</v>
      </c>
      <c r="I12633" s="3">
        <v>246</v>
      </c>
      <c r="J12633" s="3">
        <v>278</v>
      </c>
      <c r="K12633" s="3">
        <v>1015</v>
      </c>
      <c r="L12633" s="3">
        <v>4</v>
      </c>
      <c r="M12633" s="3">
        <v>248</v>
      </c>
    </row>
    <row r="12634" spans="1:13" x14ac:dyDescent="0.25">
      <c r="A12634" s="1" t="str">
        <f>HYPERLINK("http://www.rosaceae.org/Prunus/Prunus_persica/p.persica_gdr_reftransV1_0031641","p.persica_gdr_reftransV1_0031641")</f>
        <v>p.persica_gdr_reftransV1_0031641</v>
      </c>
      <c r="B12634" s="3">
        <v>879</v>
      </c>
      <c r="C12634" s="1" t="str">
        <f>HYPERLINK("http://www.uniprot.org/uniprot/TOM92_ARATH","TOM92_ARATH")</f>
        <v>TOM92_ARATH</v>
      </c>
      <c r="D12634" t="s">
        <v>4377</v>
      </c>
      <c r="E12634" s="3" t="s">
        <v>3</v>
      </c>
      <c r="F12634" s="4">
        <v>1.02E-19</v>
      </c>
      <c r="G12634" s="3">
        <v>212</v>
      </c>
      <c r="H12634" s="3">
        <v>67</v>
      </c>
      <c r="I12634" s="3">
        <v>75</v>
      </c>
      <c r="J12634" s="3">
        <v>491</v>
      </c>
      <c r="K12634" s="3">
        <v>715</v>
      </c>
      <c r="L12634" s="3">
        <v>15</v>
      </c>
      <c r="M12634" s="3">
        <v>89</v>
      </c>
    </row>
    <row r="12635" spans="1:13" x14ac:dyDescent="0.25">
      <c r="A12635" s="1" t="str">
        <f>HYPERLINK("http://www.rosaceae.org/Prunus/Prunus_persica/p.persica_gdr_reftransV1_0031791","p.persica_gdr_reftransV1_0031791")</f>
        <v>p.persica_gdr_reftransV1_0031791</v>
      </c>
      <c r="B12635" s="3">
        <v>1278</v>
      </c>
      <c r="C12635" s="1" t="str">
        <f>HYPERLINK("http://www.uniprot.org/uniprot/UBC5_ARATH","UBC5_ARATH")</f>
        <v>UBC5_ARATH</v>
      </c>
      <c r="D12635" t="s">
        <v>3728</v>
      </c>
      <c r="E12635" s="3" t="s">
        <v>3</v>
      </c>
      <c r="F12635" s="4">
        <v>2.5700000000000002E-66</v>
      </c>
      <c r="G12635" s="3">
        <v>550</v>
      </c>
      <c r="H12635" s="3">
        <v>72</v>
      </c>
      <c r="I12635" s="3">
        <v>154</v>
      </c>
      <c r="J12635" s="3">
        <v>687</v>
      </c>
      <c r="K12635" s="3">
        <v>1145</v>
      </c>
      <c r="L12635" s="3">
        <v>32</v>
      </c>
      <c r="M12635" s="3">
        <v>185</v>
      </c>
    </row>
    <row r="12636" spans="1:13" x14ac:dyDescent="0.25">
      <c r="A12636" s="1" t="str">
        <f>HYPERLINK("http://www.rosaceae.org/Prunus/Prunus_persica/p.persica_gdr_reftransV1_0031841","p.persica_gdr_reftransV1_0031841")</f>
        <v>p.persica_gdr_reftransV1_0031841</v>
      </c>
      <c r="B12636" s="3">
        <v>775</v>
      </c>
      <c r="C12636" s="1" t="str">
        <f>HYPERLINK("http://www.uniprot.org/uniprot/SMH4_MAIZE","SMH4_MAIZE")</f>
        <v>SMH4_MAIZE</v>
      </c>
      <c r="D12636" t="s">
        <v>7768</v>
      </c>
      <c r="E12636" s="3" t="s">
        <v>72</v>
      </c>
      <c r="F12636" s="4">
        <v>4.3299999999999997E-8</v>
      </c>
      <c r="G12636" s="3">
        <v>135</v>
      </c>
      <c r="H12636" s="3">
        <v>50</v>
      </c>
      <c r="I12636" s="3">
        <v>50</v>
      </c>
      <c r="J12636" s="3">
        <v>164</v>
      </c>
      <c r="K12636" s="3">
        <v>307</v>
      </c>
      <c r="L12636" s="3">
        <v>7</v>
      </c>
      <c r="M12636" s="3">
        <v>56</v>
      </c>
    </row>
    <row r="12637" spans="1:13" x14ac:dyDescent="0.25">
      <c r="A12637" s="1" t="str">
        <f>HYPERLINK("http://www.rosaceae.org/Prunus/Prunus_persica/p.persica_gdr_reftransV1_0032041","p.persica_gdr_reftransV1_0032041")</f>
        <v>p.persica_gdr_reftransV1_0032041</v>
      </c>
      <c r="B12637" s="3">
        <v>2844</v>
      </c>
      <c r="C12637" s="1" t="str">
        <f>HYPERLINK("http://www.uniprot.org/uniprot/NADAP_HUMAN","NADAP_HUMAN")</f>
        <v>NADAP_HUMAN</v>
      </c>
      <c r="D12637" t="s">
        <v>8687</v>
      </c>
      <c r="E12637" s="3" t="s">
        <v>28</v>
      </c>
      <c r="F12637" s="4">
        <v>8.5699999999999992E-31</v>
      </c>
      <c r="G12637" s="3">
        <v>336</v>
      </c>
      <c r="H12637" s="3">
        <v>42</v>
      </c>
      <c r="I12637" s="3">
        <v>152</v>
      </c>
      <c r="J12637" s="3">
        <v>305</v>
      </c>
      <c r="K12637" s="3">
        <v>730</v>
      </c>
      <c r="L12637" s="3">
        <v>145</v>
      </c>
      <c r="M12637" s="3">
        <v>296</v>
      </c>
    </row>
    <row r="12638" spans="1:13" x14ac:dyDescent="0.25">
      <c r="A12638" s="1" t="str">
        <f>HYPERLINK("http://www.rosaceae.org/Prunus/Prunus_persica/p.persica_gdr_reftransV1_0032341","p.persica_gdr_reftransV1_0032341")</f>
        <v>p.persica_gdr_reftransV1_0032341</v>
      </c>
      <c r="B12638" s="3">
        <v>1069</v>
      </c>
      <c r="C12638" s="1" t="str">
        <f>HYPERLINK("http://www.uniprot.org/uniprot/RBOHE_ARATH","RBOHE_ARATH")</f>
        <v>RBOHE_ARATH</v>
      </c>
      <c r="D12638" t="s">
        <v>1682</v>
      </c>
      <c r="E12638" s="3" t="s">
        <v>3</v>
      </c>
      <c r="F12638" s="4">
        <v>1.3500000000000001E-48</v>
      </c>
      <c r="G12638" s="3">
        <v>457</v>
      </c>
      <c r="H12638" s="3">
        <v>43</v>
      </c>
      <c r="I12638" s="3">
        <v>277</v>
      </c>
      <c r="J12638" s="3">
        <v>370</v>
      </c>
      <c r="K12638" s="3">
        <v>1065</v>
      </c>
      <c r="L12638" s="3">
        <v>32</v>
      </c>
      <c r="M12638" s="3">
        <v>279</v>
      </c>
    </row>
    <row r="12639" spans="1:13" x14ac:dyDescent="0.25">
      <c r="A12639" s="1" t="str">
        <f>HYPERLINK("http://www.rosaceae.org/Prunus/Prunus_persica/p.persica_gdr_reftransV1_0032391","p.persica_gdr_reftransV1_0032391")</f>
        <v>p.persica_gdr_reftransV1_0032391</v>
      </c>
      <c r="B12639" s="3">
        <v>574</v>
      </c>
      <c r="C12639" s="1" t="str">
        <f>HYPERLINK("http://www.uniprot.org/uniprot/RS212_ARATH","RS212_ARATH")</f>
        <v>RS212_ARATH</v>
      </c>
      <c r="D12639" t="s">
        <v>3310</v>
      </c>
      <c r="E12639" s="3" t="s">
        <v>3</v>
      </c>
      <c r="F12639" s="4">
        <v>7.9799999999999999E-48</v>
      </c>
      <c r="G12639" s="3">
        <v>397</v>
      </c>
      <c r="H12639" s="3">
        <v>85</v>
      </c>
      <c r="I12639" s="3">
        <v>82</v>
      </c>
      <c r="J12639" s="3">
        <v>204</v>
      </c>
      <c r="K12639" s="3">
        <v>449</v>
      </c>
      <c r="L12639" s="3">
        <v>1</v>
      </c>
      <c r="M12639" s="3">
        <v>82</v>
      </c>
    </row>
    <row r="12640" spans="1:13" x14ac:dyDescent="0.25">
      <c r="A12640" s="1" t="str">
        <f>HYPERLINK("http://www.rosaceae.org/Prunus/Prunus_persica/p.persica_gdr_reftransV1_0032491","p.persica_gdr_reftransV1_0032491")</f>
        <v>p.persica_gdr_reftransV1_0032491</v>
      </c>
      <c r="B12640" s="3">
        <v>1871</v>
      </c>
      <c r="C12640" s="1" t="str">
        <f>HYPERLINK("http://www.uniprot.org/uniprot/RRP7A_PONAB","RRP7A_PONAB")</f>
        <v>RRP7A_PONAB</v>
      </c>
      <c r="D12640" t="s">
        <v>8688</v>
      </c>
      <c r="E12640" s="3" t="s">
        <v>176</v>
      </c>
      <c r="F12640" s="4">
        <v>4.5200000000000001E-12</v>
      </c>
      <c r="G12640" s="3">
        <v>171</v>
      </c>
      <c r="H12640" s="3">
        <v>32</v>
      </c>
      <c r="I12640" s="3">
        <v>148</v>
      </c>
      <c r="J12640" s="3">
        <v>251</v>
      </c>
      <c r="K12640" s="3">
        <v>685</v>
      </c>
      <c r="L12640" s="3">
        <v>140</v>
      </c>
      <c r="M12640" s="3">
        <v>280</v>
      </c>
    </row>
    <row r="12641" spans="1:13" x14ac:dyDescent="0.25">
      <c r="A12641" s="1" t="str">
        <f>HYPERLINK("http://www.rosaceae.org/Prunus/Prunus_persica/p.persica_gdr_reftransV1_0032641","p.persica_gdr_reftransV1_0032641")</f>
        <v>p.persica_gdr_reftransV1_0032641</v>
      </c>
      <c r="B12641" s="3">
        <v>2959</v>
      </c>
      <c r="C12641" s="1" t="str">
        <f>HYPERLINK("http://www.uniprot.org/uniprot/FRS5_ARATH","FRS5_ARATH")</f>
        <v>FRS5_ARATH</v>
      </c>
      <c r="D12641" t="s">
        <v>908</v>
      </c>
      <c r="E12641" s="3" t="s">
        <v>3</v>
      </c>
      <c r="F12641" s="4">
        <v>0</v>
      </c>
      <c r="G12641" s="3">
        <v>1469</v>
      </c>
      <c r="H12641" s="3">
        <v>45</v>
      </c>
      <c r="I12641" s="3">
        <v>624</v>
      </c>
      <c r="J12641" s="3">
        <v>695</v>
      </c>
      <c r="K12641" s="3">
        <v>2563</v>
      </c>
      <c r="L12641" s="3">
        <v>71</v>
      </c>
      <c r="M12641" s="3">
        <v>689</v>
      </c>
    </row>
    <row r="12642" spans="1:13" x14ac:dyDescent="0.25">
      <c r="A12642" s="1" t="str">
        <f>HYPERLINK("http://www.rosaceae.org/Prunus/Prunus_persica/p.persica_gdr_reftransV1_0033591","p.persica_gdr_reftransV1_0033591")</f>
        <v>p.persica_gdr_reftransV1_0033591</v>
      </c>
      <c r="B12642" s="3">
        <v>2986</v>
      </c>
      <c r="C12642" s="1" t="str">
        <f>HYPERLINK("http://www.uniprot.org/uniprot/VIL2_ARATH","VIL2_ARATH")</f>
        <v>VIL2_ARATH</v>
      </c>
      <c r="D12642" t="s">
        <v>8689</v>
      </c>
      <c r="E12642" s="3" t="s">
        <v>3</v>
      </c>
      <c r="F12642" s="4">
        <v>0</v>
      </c>
      <c r="G12642" s="3">
        <v>1660</v>
      </c>
      <c r="H12642" s="3">
        <v>49</v>
      </c>
      <c r="I12642" s="3">
        <v>775</v>
      </c>
      <c r="J12642" s="3">
        <v>329</v>
      </c>
      <c r="K12642" s="3">
        <v>2533</v>
      </c>
      <c r="L12642" s="3">
        <v>2</v>
      </c>
      <c r="M12642" s="3">
        <v>714</v>
      </c>
    </row>
    <row r="12643" spans="1:13" x14ac:dyDescent="0.25">
      <c r="A12643" s="1" t="str">
        <f>HYPERLINK("http://www.rosaceae.org/Prunus/Prunus_persica/p.persica_gdr_reftransV1_0034041","p.persica_gdr_reftransV1_0034041")</f>
        <v>p.persica_gdr_reftransV1_0034041</v>
      </c>
      <c r="B12643" s="3">
        <v>1624</v>
      </c>
      <c r="C12643" s="1" t="str">
        <f>HYPERLINK("http://www.uniprot.org/uniprot/PP266_ARATH","PP266_ARATH")</f>
        <v>PP266_ARATH</v>
      </c>
      <c r="D12643" t="s">
        <v>3420</v>
      </c>
      <c r="E12643" s="3" t="s">
        <v>3</v>
      </c>
      <c r="F12643" s="4">
        <v>2.5100000000000002E-78</v>
      </c>
      <c r="G12643" s="3">
        <v>485</v>
      </c>
      <c r="H12643" s="3">
        <v>79</v>
      </c>
      <c r="I12643" s="3">
        <v>126</v>
      </c>
      <c r="J12643" s="3">
        <v>710</v>
      </c>
      <c r="K12643" s="3">
        <v>1087</v>
      </c>
      <c r="L12643" s="3">
        <v>133</v>
      </c>
      <c r="M12643" s="3">
        <v>257</v>
      </c>
    </row>
    <row r="12644" spans="1:13" x14ac:dyDescent="0.25">
      <c r="A12644" s="1" t="str">
        <f>HYPERLINK("http://www.rosaceae.org/Prunus/Prunus_persica/p.persica_gdr_reftransV1_0034091","p.persica_gdr_reftransV1_0034091")</f>
        <v>p.persica_gdr_reftransV1_0034091</v>
      </c>
      <c r="B12644" s="3">
        <v>527</v>
      </c>
      <c r="C12644" s="1" t="str">
        <f>HYPERLINK("http://www.uniprot.org/uniprot/HERC1_HUMAN","HERC1_HUMAN")</f>
        <v>HERC1_HUMAN</v>
      </c>
      <c r="D12644" t="s">
        <v>8134</v>
      </c>
      <c r="E12644" s="3" t="s">
        <v>28</v>
      </c>
      <c r="F12644" s="4">
        <v>4.1099999999999998E-25</v>
      </c>
      <c r="G12644" s="3">
        <v>267</v>
      </c>
      <c r="H12644" s="3">
        <v>37</v>
      </c>
      <c r="I12644" s="3">
        <v>177</v>
      </c>
      <c r="J12644" s="3">
        <v>3</v>
      </c>
      <c r="K12644" s="3">
        <v>527</v>
      </c>
      <c r="L12644" s="3">
        <v>4145</v>
      </c>
      <c r="M12644" s="3">
        <v>4308</v>
      </c>
    </row>
    <row r="12645" spans="1:13" x14ac:dyDescent="0.25">
      <c r="A12645" s="1" t="str">
        <f>HYPERLINK("http://www.rosaceae.org/Prunus/Prunus_persica/p.persica_gdr_reftransV1_0034991","p.persica_gdr_reftransV1_0034991")</f>
        <v>p.persica_gdr_reftransV1_0034991</v>
      </c>
      <c r="B12645" s="3">
        <v>1152</v>
      </c>
      <c r="C12645" s="1" t="str">
        <f>HYPERLINK("http://www.uniprot.org/uniprot/RAA5E_ARATH","RAA5E_ARATH")</f>
        <v>RAA5E_ARATH</v>
      </c>
      <c r="D12645" t="s">
        <v>4123</v>
      </c>
      <c r="E12645" s="3" t="s">
        <v>3</v>
      </c>
      <c r="F12645" s="4">
        <v>6.9500000000000004E-90</v>
      </c>
      <c r="G12645" s="3">
        <v>707</v>
      </c>
      <c r="H12645" s="3">
        <v>84</v>
      </c>
      <c r="I12645" s="3">
        <v>164</v>
      </c>
      <c r="J12645" s="3">
        <v>3</v>
      </c>
      <c r="K12645" s="3">
        <v>494</v>
      </c>
      <c r="L12645" s="3">
        <v>54</v>
      </c>
      <c r="M12645" s="3">
        <v>216</v>
      </c>
    </row>
    <row r="12646" spans="1:13" x14ac:dyDescent="0.25">
      <c r="A12646" s="1" t="str">
        <f>HYPERLINK("http://www.rosaceae.org/Prunus/Prunus_persica/p.persica_gdr_reftransV1_0035041","p.persica_gdr_reftransV1_0035041")</f>
        <v>p.persica_gdr_reftransV1_0035041</v>
      </c>
      <c r="B12646" s="3">
        <v>2446</v>
      </c>
      <c r="C12646" s="1" t="str">
        <f>HYPERLINK("http://www.uniprot.org/uniprot/Y5843_ARATH","Y5843_ARATH")</f>
        <v>Y5843_ARATH</v>
      </c>
      <c r="D12646" t="s">
        <v>1926</v>
      </c>
      <c r="E12646" s="3" t="s">
        <v>3</v>
      </c>
      <c r="F12646" s="4">
        <v>1.04E-71</v>
      </c>
      <c r="G12646" s="3">
        <v>641</v>
      </c>
      <c r="H12646" s="3">
        <v>46</v>
      </c>
      <c r="I12646" s="3">
        <v>326</v>
      </c>
      <c r="J12646" s="3">
        <v>1137</v>
      </c>
      <c r="K12646" s="3">
        <v>2108</v>
      </c>
      <c r="L12646" s="3">
        <v>19</v>
      </c>
      <c r="M12646" s="3">
        <v>301</v>
      </c>
    </row>
    <row r="12647" spans="1:13" x14ac:dyDescent="0.25">
      <c r="A12647" s="1" t="str">
        <f>HYPERLINK("http://www.rosaceae.org/Prunus/Prunus_persica/p.persica_gdr_reftransV1_0035241","p.persica_gdr_reftransV1_0035241")</f>
        <v>p.persica_gdr_reftransV1_0035241</v>
      </c>
      <c r="B12647" s="3">
        <v>3435</v>
      </c>
      <c r="C12647" s="1" t="str">
        <f>HYPERLINK("http://www.uniprot.org/uniprot/PSKR1_DAUCA","PSKR1_DAUCA")</f>
        <v>PSKR1_DAUCA</v>
      </c>
      <c r="D12647" t="s">
        <v>6896</v>
      </c>
      <c r="E12647" s="3" t="s">
        <v>32</v>
      </c>
      <c r="F12647" s="4">
        <v>0</v>
      </c>
      <c r="G12647" s="3">
        <v>3210</v>
      </c>
      <c r="H12647" s="3">
        <v>66</v>
      </c>
      <c r="I12647" s="3">
        <v>1024</v>
      </c>
      <c r="J12647" s="3">
        <v>75</v>
      </c>
      <c r="K12647" s="3">
        <v>3131</v>
      </c>
      <c r="L12647" s="3">
        <v>1</v>
      </c>
      <c r="M12647" s="3">
        <v>1017</v>
      </c>
    </row>
    <row r="12648" spans="1:13" x14ac:dyDescent="0.25">
      <c r="A12648" s="1" t="str">
        <f>HYPERLINK("http://www.rosaceae.org/Prunus/Prunus_persica/p.persica_gdr_reftransV1_0035691","p.persica_gdr_reftransV1_0035691")</f>
        <v>p.persica_gdr_reftransV1_0035691</v>
      </c>
      <c r="B12648" s="3">
        <v>1680</v>
      </c>
      <c r="C12648" s="1" t="str">
        <f>HYPERLINK("http://www.uniprot.org/uniprot/BH093_ARATH","BH093_ARATH")</f>
        <v>BH093_ARATH</v>
      </c>
      <c r="D12648" t="s">
        <v>3405</v>
      </c>
      <c r="E12648" s="3" t="s">
        <v>3</v>
      </c>
      <c r="F12648" s="4">
        <v>1.7200000000000001E-85</v>
      </c>
      <c r="G12648" s="3">
        <v>705</v>
      </c>
      <c r="H12648" s="3">
        <v>72</v>
      </c>
      <c r="I12648" s="3">
        <v>198</v>
      </c>
      <c r="J12648" s="3">
        <v>283</v>
      </c>
      <c r="K12648" s="3">
        <v>858</v>
      </c>
      <c r="L12648" s="3">
        <v>154</v>
      </c>
      <c r="M12648" s="3">
        <v>351</v>
      </c>
    </row>
    <row r="12649" spans="1:13" x14ac:dyDescent="0.25">
      <c r="A12649" s="1" t="str">
        <f>HYPERLINK("http://www.rosaceae.org/Prunus/Prunus_persica/p.persica_gdr_reftransV1_0035991","p.persica_gdr_reftransV1_0035991")</f>
        <v>p.persica_gdr_reftransV1_0035991</v>
      </c>
      <c r="B12649" s="3">
        <v>2416</v>
      </c>
      <c r="C12649" s="1" t="str">
        <f>HYPERLINK("http://www.uniprot.org/uniprot/BPA1_ARATH","BPA1_ARATH")</f>
        <v>BPA1_ARATH</v>
      </c>
      <c r="D12649" t="s">
        <v>4085</v>
      </c>
      <c r="E12649" s="3" t="s">
        <v>3</v>
      </c>
      <c r="F12649" s="4">
        <v>8.0800000000000001E-16</v>
      </c>
      <c r="G12649" s="3">
        <v>202</v>
      </c>
      <c r="H12649" s="3">
        <v>37</v>
      </c>
      <c r="I12649" s="3">
        <v>139</v>
      </c>
      <c r="J12649" s="3">
        <v>1699</v>
      </c>
      <c r="K12649" s="3">
        <v>2103</v>
      </c>
      <c r="L12649" s="3">
        <v>100</v>
      </c>
      <c r="M12649" s="3">
        <v>227</v>
      </c>
    </row>
    <row r="12650" spans="1:13" x14ac:dyDescent="0.25">
      <c r="A12650" s="1" t="str">
        <f>HYPERLINK("http://www.rosaceae.org/Prunus/Prunus_persica/p.persica_gdr_reftransV1_0036141","p.persica_gdr_reftransV1_0036141")</f>
        <v>p.persica_gdr_reftransV1_0036141</v>
      </c>
      <c r="B12650" s="3">
        <v>2742</v>
      </c>
      <c r="C12650" s="1" t="str">
        <f>HYPERLINK("http://www.uniprot.org/uniprot/CML21_ARATH","CML21_ARATH")</f>
        <v>CML21_ARATH</v>
      </c>
      <c r="D12650" t="s">
        <v>8690</v>
      </c>
      <c r="E12650" s="3" t="s">
        <v>3</v>
      </c>
      <c r="F12650" s="4">
        <v>5.9999999999999998E-50</v>
      </c>
      <c r="G12650" s="3">
        <v>458</v>
      </c>
      <c r="H12650" s="3">
        <v>63</v>
      </c>
      <c r="I12650" s="3">
        <v>133</v>
      </c>
      <c r="J12650" s="3">
        <v>1259</v>
      </c>
      <c r="K12650" s="3">
        <v>1657</v>
      </c>
      <c r="L12650" s="3">
        <v>1</v>
      </c>
      <c r="M12650" s="3">
        <v>133</v>
      </c>
    </row>
    <row r="12651" spans="1:13" x14ac:dyDescent="0.25">
      <c r="A12651" s="1" t="str">
        <f>HYPERLINK("http://www.rosaceae.org/Prunus/Prunus_persica/p.persica_gdr_reftransV1_0036491","p.persica_gdr_reftransV1_0036491")</f>
        <v>p.persica_gdr_reftransV1_0036491</v>
      </c>
      <c r="B12651" s="3">
        <v>3259</v>
      </c>
      <c r="C12651" s="1" t="str">
        <f>HYPERLINK("http://www.uniprot.org/uniprot/FRS11_ARATH","FRS11_ARATH")</f>
        <v>FRS11_ARATH</v>
      </c>
      <c r="D12651" t="s">
        <v>8088</v>
      </c>
      <c r="E12651" s="3" t="s">
        <v>3</v>
      </c>
      <c r="F12651" s="4">
        <v>0</v>
      </c>
      <c r="G12651" s="3">
        <v>1596</v>
      </c>
      <c r="H12651" s="3">
        <v>62</v>
      </c>
      <c r="I12651" s="3">
        <v>455</v>
      </c>
      <c r="J12651" s="3">
        <v>745</v>
      </c>
      <c r="K12651" s="3">
        <v>2109</v>
      </c>
      <c r="L12651" s="3">
        <v>21</v>
      </c>
      <c r="M12651" s="3">
        <v>475</v>
      </c>
    </row>
    <row r="12652" spans="1:13" x14ac:dyDescent="0.25">
      <c r="A12652" s="1" t="str">
        <f>HYPERLINK("http://www.rosaceae.org/Prunus/Prunus_persica/p.persica_gdr_reftransV1_0036691","p.persica_gdr_reftransV1_0036691")</f>
        <v>p.persica_gdr_reftransV1_0036691</v>
      </c>
      <c r="B12652" s="3">
        <v>2732</v>
      </c>
      <c r="C12652" s="1" t="str">
        <f>HYPERLINK("http://www.uniprot.org/uniprot/TOLB_RHOPA","TOLB_RHOPA")</f>
        <v>TOLB_RHOPA</v>
      </c>
      <c r="D12652" t="s">
        <v>6852</v>
      </c>
      <c r="E12652" s="3" t="s">
        <v>4398</v>
      </c>
      <c r="F12652" s="4">
        <v>2.62E-15</v>
      </c>
      <c r="G12652" s="3">
        <v>204</v>
      </c>
      <c r="H12652" s="3">
        <v>27</v>
      </c>
      <c r="I12652" s="3">
        <v>308</v>
      </c>
      <c r="J12652" s="3">
        <v>320</v>
      </c>
      <c r="K12652" s="3">
        <v>1186</v>
      </c>
      <c r="L12652" s="3">
        <v>172</v>
      </c>
      <c r="M12652" s="3">
        <v>441</v>
      </c>
    </row>
    <row r="12653" spans="1:13" x14ac:dyDescent="0.25">
      <c r="A12653" s="1" t="str">
        <f>HYPERLINK("http://www.rosaceae.org/Prunus/Prunus_persica/p.persica_gdr_reftransV1_0036741","p.persica_gdr_reftransV1_0036741")</f>
        <v>p.persica_gdr_reftransV1_0036741</v>
      </c>
      <c r="B12653" s="3">
        <v>2670</v>
      </c>
      <c r="C12653" s="1" t="str">
        <f>HYPERLINK("http://www.uniprot.org/uniprot/SSRP1_VICFA","SSRP1_VICFA")</f>
        <v>SSRP1_VICFA</v>
      </c>
      <c r="D12653" t="s">
        <v>4890</v>
      </c>
      <c r="E12653" s="3" t="s">
        <v>2253</v>
      </c>
      <c r="F12653" s="4">
        <v>0</v>
      </c>
      <c r="G12653" s="3">
        <v>2258</v>
      </c>
      <c r="H12653" s="3">
        <v>86</v>
      </c>
      <c r="I12653" s="3">
        <v>482</v>
      </c>
      <c r="J12653" s="3">
        <v>1147</v>
      </c>
      <c r="K12653" s="3">
        <v>2589</v>
      </c>
      <c r="L12653" s="3">
        <v>1</v>
      </c>
      <c r="M12653" s="3">
        <v>482</v>
      </c>
    </row>
    <row r="12654" spans="1:13" x14ac:dyDescent="0.25">
      <c r="A12654" s="1" t="str">
        <f>HYPERLINK("http://www.rosaceae.org/Prunus/Prunus_persica/p.persica_gdr_reftransV1_0037141","p.persica_gdr_reftransV1_0037141")</f>
        <v>p.persica_gdr_reftransV1_0037141</v>
      </c>
      <c r="B12654" s="3">
        <v>2048</v>
      </c>
      <c r="C12654" s="1" t="str">
        <f>HYPERLINK("http://www.uniprot.org/uniprot/PP358_ARATH","PP358_ARATH")</f>
        <v>PP358_ARATH</v>
      </c>
      <c r="D12654" t="s">
        <v>8691</v>
      </c>
      <c r="E12654" s="3" t="s">
        <v>3</v>
      </c>
      <c r="F12654" s="4">
        <v>0</v>
      </c>
      <c r="G12654" s="3">
        <v>1601</v>
      </c>
      <c r="H12654" s="3">
        <v>73</v>
      </c>
      <c r="I12654" s="3">
        <v>422</v>
      </c>
      <c r="J12654" s="3">
        <v>283</v>
      </c>
      <c r="K12654" s="3">
        <v>1545</v>
      </c>
      <c r="L12654" s="3">
        <v>39</v>
      </c>
      <c r="M12654" s="3">
        <v>460</v>
      </c>
    </row>
    <row r="12655" spans="1:13" x14ac:dyDescent="0.25">
      <c r="A12655" s="1" t="str">
        <f>HYPERLINK("http://www.rosaceae.org/Prunus/Prunus_persica/p.persica_gdr_reftransV1_0037241","p.persica_gdr_reftransV1_0037241")</f>
        <v>p.persica_gdr_reftransV1_0037241</v>
      </c>
      <c r="B12655" s="3">
        <v>1057</v>
      </c>
      <c r="C12655" s="1" t="str">
        <f>HYPERLINK("http://www.uniprot.org/uniprot/M310_ARATH","M310_ARATH")</f>
        <v>M310_ARATH</v>
      </c>
      <c r="D12655" t="s">
        <v>118</v>
      </c>
      <c r="E12655" s="3" t="s">
        <v>3</v>
      </c>
      <c r="F12655" s="4">
        <v>4.83E-31</v>
      </c>
      <c r="G12655" s="3">
        <v>300</v>
      </c>
      <c r="H12655" s="3">
        <v>43</v>
      </c>
      <c r="I12655" s="3">
        <v>138</v>
      </c>
      <c r="J12655" s="3">
        <v>15</v>
      </c>
      <c r="K12655" s="3">
        <v>425</v>
      </c>
      <c r="L12655" s="3">
        <v>17</v>
      </c>
      <c r="M12655" s="3">
        <v>154</v>
      </c>
    </row>
    <row r="12656" spans="1:13" x14ac:dyDescent="0.25">
      <c r="A12656" s="1" t="str">
        <f>HYPERLINK("http://www.rosaceae.org/Prunus/Prunus_persica/p.persica_gdr_reftransV1_0037291","p.persica_gdr_reftransV1_0037291")</f>
        <v>p.persica_gdr_reftransV1_0037291</v>
      </c>
      <c r="B12656" s="3">
        <v>2825</v>
      </c>
      <c r="C12656" s="1" t="str">
        <f>HYPERLINK("http://www.uniprot.org/uniprot/AL3I1_ARATH","AL3I1_ARATH")</f>
        <v>AL3I1_ARATH</v>
      </c>
      <c r="D12656" t="s">
        <v>2778</v>
      </c>
      <c r="E12656" s="3" t="s">
        <v>3</v>
      </c>
      <c r="F12656" s="4">
        <v>4.85E-165</v>
      </c>
      <c r="G12656" s="3">
        <v>1289</v>
      </c>
      <c r="H12656" s="3">
        <v>71</v>
      </c>
      <c r="I12656" s="3">
        <v>342</v>
      </c>
      <c r="J12656" s="3">
        <v>736</v>
      </c>
      <c r="K12656" s="3">
        <v>1761</v>
      </c>
      <c r="L12656" s="3">
        <v>131</v>
      </c>
      <c r="M12656" s="3">
        <v>472</v>
      </c>
    </row>
    <row r="12657" spans="1:13" x14ac:dyDescent="0.25">
      <c r="A12657" s="1" t="str">
        <f>HYPERLINK("http://www.rosaceae.org/Prunus/Prunus_persica/p.persica_gdr_reftransV1_0037591","p.persica_gdr_reftransV1_0037591")</f>
        <v>p.persica_gdr_reftransV1_0037591</v>
      </c>
      <c r="B12657" s="3">
        <v>3593</v>
      </c>
      <c r="C12657" s="1" t="str">
        <f>HYPERLINK("http://www.uniprot.org/uniprot/MUT7_AEDAE","MUT7_AEDAE")</f>
        <v>MUT7_AEDAE</v>
      </c>
      <c r="D12657" t="s">
        <v>8692</v>
      </c>
      <c r="E12657" s="3" t="s">
        <v>632</v>
      </c>
      <c r="F12657" s="4">
        <v>7.5400000000000006E-12</v>
      </c>
      <c r="G12657" s="3">
        <v>179</v>
      </c>
      <c r="H12657" s="3">
        <v>30</v>
      </c>
      <c r="I12657" s="3">
        <v>209</v>
      </c>
      <c r="J12657" s="3">
        <v>2828</v>
      </c>
      <c r="K12657" s="3">
        <v>3433</v>
      </c>
      <c r="L12657" s="3">
        <v>437</v>
      </c>
      <c r="M12657" s="3">
        <v>628</v>
      </c>
    </row>
    <row r="12658" spans="1:13" x14ac:dyDescent="0.25">
      <c r="A12658" s="1" t="str">
        <f>HYPERLINK("http://www.rosaceae.org/Prunus/Prunus_persica/p.persica_gdr_reftransV1_0037991","p.persica_gdr_reftransV1_0037991")</f>
        <v>p.persica_gdr_reftransV1_0037991</v>
      </c>
      <c r="B12658" s="3">
        <v>1787</v>
      </c>
      <c r="C12658" s="1" t="str">
        <f>HYPERLINK("http://www.uniprot.org/uniprot/DESI2_XENLA","DESI2_XENLA")</f>
        <v>DESI2_XENLA</v>
      </c>
      <c r="D12658" t="s">
        <v>8693</v>
      </c>
      <c r="E12658" s="3" t="s">
        <v>475</v>
      </c>
      <c r="F12658" s="4">
        <v>3.2499999999999998E-11</v>
      </c>
      <c r="G12658" s="3">
        <v>162</v>
      </c>
      <c r="H12658" s="3">
        <v>37</v>
      </c>
      <c r="I12658" s="3">
        <v>99</v>
      </c>
      <c r="J12658" s="3">
        <v>1037</v>
      </c>
      <c r="K12658" s="3">
        <v>1321</v>
      </c>
      <c r="L12658" s="3">
        <v>26</v>
      </c>
      <c r="M12658" s="3">
        <v>124</v>
      </c>
    </row>
    <row r="12659" spans="1:13" x14ac:dyDescent="0.25">
      <c r="A12659" s="1" t="str">
        <f>HYPERLINK("http://www.rosaceae.org/Prunus/Prunus_persica/p.persica_gdr_reftransV1_0038241","p.persica_gdr_reftransV1_0038241")</f>
        <v>p.persica_gdr_reftransV1_0038241</v>
      </c>
      <c r="B12659" s="3">
        <v>1932</v>
      </c>
      <c r="C12659" s="1" t="str">
        <f>HYPERLINK("http://www.uniprot.org/uniprot/SL30A_ARATH","SL30A_ARATH")</f>
        <v>SL30A_ARATH</v>
      </c>
      <c r="D12659" t="s">
        <v>8159</v>
      </c>
      <c r="E12659" s="3" t="s">
        <v>3</v>
      </c>
      <c r="F12659" s="4">
        <v>2.31E-22</v>
      </c>
      <c r="G12659" s="3">
        <v>252</v>
      </c>
      <c r="H12659" s="3">
        <v>47</v>
      </c>
      <c r="I12659" s="3">
        <v>144</v>
      </c>
      <c r="J12659" s="3">
        <v>997</v>
      </c>
      <c r="K12659" s="3">
        <v>1428</v>
      </c>
      <c r="L12659" s="3">
        <v>66</v>
      </c>
      <c r="M12659" s="3">
        <v>200</v>
      </c>
    </row>
    <row r="12660" spans="1:13" x14ac:dyDescent="0.25">
      <c r="A12660" s="1" t="str">
        <f>HYPERLINK("http://www.rosaceae.org/Prunus/Prunus_persica/p.persica_gdr_reftransV1_0038391","p.persica_gdr_reftransV1_0038391")</f>
        <v>p.persica_gdr_reftransV1_0038391</v>
      </c>
      <c r="B12660" s="3">
        <v>2133</v>
      </c>
      <c r="C12660" s="1" t="str">
        <f>HYPERLINK("http://www.uniprot.org/uniprot/SDF2_ARATH","SDF2_ARATH")</f>
        <v>SDF2_ARATH</v>
      </c>
      <c r="D12660" t="s">
        <v>1145</v>
      </c>
      <c r="E12660" s="3" t="s">
        <v>3</v>
      </c>
      <c r="F12660" s="4">
        <v>4.1E-61</v>
      </c>
      <c r="G12660" s="3">
        <v>533</v>
      </c>
      <c r="H12660" s="3">
        <v>68</v>
      </c>
      <c r="I12660" s="3">
        <v>150</v>
      </c>
      <c r="J12660" s="3">
        <v>1356</v>
      </c>
      <c r="K12660" s="3">
        <v>1796</v>
      </c>
      <c r="L12660" s="3">
        <v>1</v>
      </c>
      <c r="M12660" s="3">
        <v>150</v>
      </c>
    </row>
    <row r="12661" spans="1:13" x14ac:dyDescent="0.25">
      <c r="A12661" s="1" t="str">
        <f>HYPERLINK("http://www.rosaceae.org/Prunus/Prunus_persica/p.persica_gdr_reftransV1_0038641","p.persica_gdr_reftransV1_0038641")</f>
        <v>p.persica_gdr_reftransV1_0038641</v>
      </c>
      <c r="B12661" s="3">
        <v>595</v>
      </c>
      <c r="C12661" s="1" t="str">
        <f>HYPERLINK("http://www.uniprot.org/uniprot/PPR4_ARATH","PPR4_ARATH")</f>
        <v>PPR4_ARATH</v>
      </c>
      <c r="D12661" t="s">
        <v>1372</v>
      </c>
      <c r="E12661" s="3" t="s">
        <v>3</v>
      </c>
      <c r="F12661" s="4">
        <v>7.4899999999999996E-55</v>
      </c>
      <c r="G12661" s="3">
        <v>477</v>
      </c>
      <c r="H12661" s="3">
        <v>57</v>
      </c>
      <c r="I12661" s="3">
        <v>166</v>
      </c>
      <c r="J12661" s="3">
        <v>98</v>
      </c>
      <c r="K12661" s="3">
        <v>592</v>
      </c>
      <c r="L12661" s="3">
        <v>59</v>
      </c>
      <c r="M12661" s="3">
        <v>219</v>
      </c>
    </row>
    <row r="12662" spans="1:13" x14ac:dyDescent="0.25">
      <c r="A12662" s="1" t="str">
        <f>HYPERLINK("http://www.rosaceae.org/Prunus/Prunus_persica/p.persica_gdr_reftransV1_0038691","p.persica_gdr_reftransV1_0038691")</f>
        <v>p.persica_gdr_reftransV1_0038691</v>
      </c>
      <c r="B12662" s="3">
        <v>2135</v>
      </c>
      <c r="C12662" s="1" t="str">
        <f>HYPERLINK("http://www.uniprot.org/uniprot/PGLR_VITVI","PGLR_VITVI")</f>
        <v>PGLR_VITVI</v>
      </c>
      <c r="D12662" t="s">
        <v>2366</v>
      </c>
      <c r="E12662" s="3" t="s">
        <v>362</v>
      </c>
      <c r="F12662" s="4">
        <v>1.11E-122</v>
      </c>
      <c r="G12662" s="3">
        <v>980</v>
      </c>
      <c r="H12662" s="3">
        <v>46</v>
      </c>
      <c r="I12662" s="3">
        <v>415</v>
      </c>
      <c r="J12662" s="3">
        <v>560</v>
      </c>
      <c r="K12662" s="3">
        <v>1798</v>
      </c>
      <c r="L12662" s="3">
        <v>58</v>
      </c>
      <c r="M12662" s="3">
        <v>470</v>
      </c>
    </row>
    <row r="12663" spans="1:13" x14ac:dyDescent="0.25">
      <c r="A12663" s="1" t="str">
        <f>HYPERLINK("http://www.rosaceae.org/Prunus/Prunus_persica/p.persica_gdr_reftransV1_0039291","p.persica_gdr_reftransV1_0039291")</f>
        <v>p.persica_gdr_reftransV1_0039291</v>
      </c>
      <c r="B12663" s="3">
        <v>1128</v>
      </c>
      <c r="C12663" s="1" t="str">
        <f>HYPERLINK("http://www.uniprot.org/uniprot/Y3IP1_TOBAC","Y3IP1_TOBAC")</f>
        <v>Y3IP1_TOBAC</v>
      </c>
      <c r="D12663" t="s">
        <v>8535</v>
      </c>
      <c r="E12663" s="3" t="s">
        <v>200</v>
      </c>
      <c r="F12663" s="4">
        <v>1.0999999999999999E-60</v>
      </c>
      <c r="G12663" s="3">
        <v>515</v>
      </c>
      <c r="H12663" s="3">
        <v>71</v>
      </c>
      <c r="I12663" s="3">
        <v>166</v>
      </c>
      <c r="J12663" s="3">
        <v>403</v>
      </c>
      <c r="K12663" s="3">
        <v>900</v>
      </c>
      <c r="L12663" s="3">
        <v>99</v>
      </c>
      <c r="M12663" s="3">
        <v>263</v>
      </c>
    </row>
    <row r="12664" spans="1:13" x14ac:dyDescent="0.25">
      <c r="A12664" s="1" t="str">
        <f>HYPERLINK("http://www.rosaceae.org/Prunus/Prunus_persica/p.persica_gdr_reftransV1_0039541","p.persica_gdr_reftransV1_0039541")</f>
        <v>p.persica_gdr_reftransV1_0039541</v>
      </c>
      <c r="B12664" s="3">
        <v>3685</v>
      </c>
      <c r="C12664" s="1" t="str">
        <f>HYPERLINK("http://www.uniprot.org/uniprot/DGP10_ARATH","DGP10_ARATH")</f>
        <v>DGP10_ARATH</v>
      </c>
      <c r="D12664" t="s">
        <v>8694</v>
      </c>
      <c r="E12664" s="3" t="s">
        <v>3</v>
      </c>
      <c r="F12664" s="4">
        <v>0</v>
      </c>
      <c r="G12664" s="3">
        <v>1803</v>
      </c>
      <c r="H12664" s="3">
        <v>84</v>
      </c>
      <c r="I12664" s="3">
        <v>385</v>
      </c>
      <c r="J12664" s="3">
        <v>474</v>
      </c>
      <c r="K12664" s="3">
        <v>1628</v>
      </c>
      <c r="L12664" s="3">
        <v>106</v>
      </c>
      <c r="M12664" s="3">
        <v>490</v>
      </c>
    </row>
    <row r="12665" spans="1:13" x14ac:dyDescent="0.25">
      <c r="A12665" s="1" t="str">
        <f>HYPERLINK("http://www.rosaceae.org/Prunus/Prunus_persica/p.persica_gdr_reftransV1_0039941","p.persica_gdr_reftransV1_0039941")</f>
        <v>p.persica_gdr_reftransV1_0039941</v>
      </c>
      <c r="B12665" s="3">
        <v>2594</v>
      </c>
      <c r="C12665" s="1" t="str">
        <f>HYPERLINK("http://www.uniprot.org/uniprot/AGD15_ARATH","AGD15_ARATH")</f>
        <v>AGD15_ARATH</v>
      </c>
      <c r="D12665" t="s">
        <v>8522</v>
      </c>
      <c r="E12665" s="3" t="s">
        <v>3</v>
      </c>
      <c r="F12665" s="4">
        <v>1.8099999999999999E-55</v>
      </c>
      <c r="G12665" s="3">
        <v>497</v>
      </c>
      <c r="H12665" s="3">
        <v>50</v>
      </c>
      <c r="I12665" s="3">
        <v>214</v>
      </c>
      <c r="J12665" s="3">
        <v>1188</v>
      </c>
      <c r="K12665" s="3">
        <v>1829</v>
      </c>
      <c r="L12665" s="3">
        <v>37</v>
      </c>
      <c r="M12665" s="3">
        <v>232</v>
      </c>
    </row>
    <row r="12666" spans="1:13" x14ac:dyDescent="0.25">
      <c r="A12666" s="1" t="str">
        <f>HYPERLINK("http://www.rosaceae.org/Prunus/Prunus_persica/p.persica_gdr_reftransV1_0040041","p.persica_gdr_reftransV1_0040041")</f>
        <v>p.persica_gdr_reftransV1_0040041</v>
      </c>
      <c r="B12666" s="3">
        <v>1253</v>
      </c>
      <c r="C12666" s="1" t="str">
        <f>HYPERLINK("http://www.uniprot.org/uniprot/WLIM1_ARATH","WLIM1_ARATH")</f>
        <v>WLIM1_ARATH</v>
      </c>
      <c r="D12666" t="s">
        <v>8695</v>
      </c>
      <c r="E12666" s="3" t="s">
        <v>3</v>
      </c>
      <c r="F12666" s="4">
        <v>9.8299999999999994E-112</v>
      </c>
      <c r="G12666" s="3">
        <v>853</v>
      </c>
      <c r="H12666" s="3">
        <v>82</v>
      </c>
      <c r="I12666" s="3">
        <v>190</v>
      </c>
      <c r="J12666" s="3">
        <v>392</v>
      </c>
      <c r="K12666" s="3">
        <v>961</v>
      </c>
      <c r="L12666" s="3">
        <v>1</v>
      </c>
      <c r="M12666" s="3">
        <v>190</v>
      </c>
    </row>
    <row r="12667" spans="1:13" x14ac:dyDescent="0.25">
      <c r="A12667" s="1" t="str">
        <f>HYPERLINK("http://www.rosaceae.org/Prunus/Prunus_persica/p.persica_gdr_reftransV1_0040241","p.persica_gdr_reftransV1_0040241")</f>
        <v>p.persica_gdr_reftransV1_0040241</v>
      </c>
      <c r="B12667" s="3">
        <v>1565</v>
      </c>
      <c r="C12667" s="1" t="str">
        <f>HYPERLINK("http://www.uniprot.org/uniprot/ERF5_TOBAC","ERF5_TOBAC")</f>
        <v>ERF5_TOBAC</v>
      </c>
      <c r="D12667" t="s">
        <v>8696</v>
      </c>
      <c r="E12667" s="3" t="s">
        <v>200</v>
      </c>
      <c r="F12667" s="4">
        <v>1.25E-53</v>
      </c>
      <c r="G12667" s="3">
        <v>479</v>
      </c>
      <c r="H12667" s="3">
        <v>38</v>
      </c>
      <c r="I12667" s="3">
        <v>325</v>
      </c>
      <c r="J12667" s="3">
        <v>428</v>
      </c>
      <c r="K12667" s="3">
        <v>1342</v>
      </c>
      <c r="L12667" s="3">
        <v>1</v>
      </c>
      <c r="M12667" s="3">
        <v>285</v>
      </c>
    </row>
    <row r="12668" spans="1:13" x14ac:dyDescent="0.25">
      <c r="A12668" s="1" t="str">
        <f>HYPERLINK("http://www.rosaceae.org/Prunus/Prunus_persica/p.persica_gdr_reftransV1_0040691","p.persica_gdr_reftransV1_0040691")</f>
        <v>p.persica_gdr_reftransV1_0040691</v>
      </c>
      <c r="B12668" s="3">
        <v>1603</v>
      </c>
      <c r="C12668" s="1" t="str">
        <f>HYPERLINK("http://www.uniprot.org/uniprot/SAP9_ORYSJ","SAP9_ORYSJ")</f>
        <v>SAP9_ORYSJ</v>
      </c>
      <c r="D12668" t="s">
        <v>8034</v>
      </c>
      <c r="E12668" s="3" t="s">
        <v>38</v>
      </c>
      <c r="F12668" s="4">
        <v>1.71E-47</v>
      </c>
      <c r="G12668" s="3">
        <v>425</v>
      </c>
      <c r="H12668" s="3">
        <v>51</v>
      </c>
      <c r="I12668" s="3">
        <v>171</v>
      </c>
      <c r="J12668" s="3">
        <v>569</v>
      </c>
      <c r="K12668" s="3">
        <v>1069</v>
      </c>
      <c r="L12668" s="3">
        <v>1</v>
      </c>
      <c r="M12668" s="3">
        <v>161</v>
      </c>
    </row>
    <row r="12669" spans="1:13" x14ac:dyDescent="0.25">
      <c r="A12669" s="1" t="str">
        <f>HYPERLINK("http://www.rosaceae.org/Prunus/Prunus_persica/p.persica_gdr_reftransV1_0041041","p.persica_gdr_reftransV1_0041041")</f>
        <v>p.persica_gdr_reftransV1_0041041</v>
      </c>
      <c r="B12669" s="3">
        <v>1790</v>
      </c>
      <c r="C12669" s="1" t="str">
        <f>HYPERLINK("http://www.uniprot.org/uniprot/RGS1_ARATH","RGS1_ARATH")</f>
        <v>RGS1_ARATH</v>
      </c>
      <c r="D12669" t="s">
        <v>4655</v>
      </c>
      <c r="E12669" s="3" t="s">
        <v>3</v>
      </c>
      <c r="F12669" s="4">
        <v>4.85E-179</v>
      </c>
      <c r="G12669" s="3">
        <v>1343</v>
      </c>
      <c r="H12669" s="3">
        <v>67</v>
      </c>
      <c r="I12669" s="3">
        <v>385</v>
      </c>
      <c r="J12669" s="3">
        <v>253</v>
      </c>
      <c r="K12669" s="3">
        <v>1407</v>
      </c>
      <c r="L12669" s="3">
        <v>66</v>
      </c>
      <c r="M12669" s="3">
        <v>448</v>
      </c>
    </row>
    <row r="12670" spans="1:13" x14ac:dyDescent="0.25">
      <c r="A12670" s="1" t="str">
        <f>HYPERLINK("http://www.rosaceae.org/Prunus/Prunus_persica/p.persica_gdr_reftransV1_0041091","p.persica_gdr_reftransV1_0041091")</f>
        <v>p.persica_gdr_reftransV1_0041091</v>
      </c>
      <c r="B12670" s="3">
        <v>3650</v>
      </c>
      <c r="C12670" s="1" t="str">
        <f>HYPERLINK("http://www.uniprot.org/uniprot/UAF30_SCHPO","UAF30_SCHPO")</f>
        <v>UAF30_SCHPO</v>
      </c>
      <c r="D12670" t="s">
        <v>2138</v>
      </c>
      <c r="E12670" s="3" t="s">
        <v>464</v>
      </c>
      <c r="F12670" s="4">
        <v>4.1600000000000002E-18</v>
      </c>
      <c r="G12670" s="3">
        <v>222</v>
      </c>
      <c r="H12670" s="3">
        <v>50</v>
      </c>
      <c r="I12670" s="3">
        <v>72</v>
      </c>
      <c r="J12670" s="3">
        <v>1568</v>
      </c>
      <c r="K12670" s="3">
        <v>1783</v>
      </c>
      <c r="L12670" s="3">
        <v>117</v>
      </c>
      <c r="M12670" s="3">
        <v>188</v>
      </c>
    </row>
    <row r="12671" spans="1:13" x14ac:dyDescent="0.25">
      <c r="A12671" s="1" t="str">
        <f>HYPERLINK("http://www.rosaceae.org/Prunus/Prunus_persica/p.persica_gdr_reftransV1_0041291","p.persica_gdr_reftransV1_0041291")</f>
        <v>p.persica_gdr_reftransV1_0041291</v>
      </c>
      <c r="B12671" s="3">
        <v>2005</v>
      </c>
      <c r="C12671" s="1" t="str">
        <f>HYPERLINK("http://www.uniprot.org/uniprot/GATP3_SOLLC","GATP3_SOLLC")</f>
        <v>GATP3_SOLLC</v>
      </c>
      <c r="D12671" t="s">
        <v>8697</v>
      </c>
      <c r="E12671" s="3" t="s">
        <v>64</v>
      </c>
      <c r="F12671" s="4">
        <v>0</v>
      </c>
      <c r="G12671" s="3">
        <v>1497</v>
      </c>
      <c r="H12671" s="3">
        <v>73</v>
      </c>
      <c r="I12671" s="3">
        <v>398</v>
      </c>
      <c r="J12671" s="3">
        <v>691</v>
      </c>
      <c r="K12671" s="3">
        <v>1875</v>
      </c>
      <c r="L12671" s="3">
        <v>7</v>
      </c>
      <c r="M12671" s="3">
        <v>371</v>
      </c>
    </row>
    <row r="12672" spans="1:13" x14ac:dyDescent="0.25">
      <c r="A12672" s="1" t="str">
        <f>HYPERLINK("http://www.rosaceae.org/Prunus/Prunus_persica/p.persica_gdr_reftransV1_0041341","p.persica_gdr_reftransV1_0041341")</f>
        <v>p.persica_gdr_reftransV1_0041341</v>
      </c>
      <c r="B12672" s="3">
        <v>3272</v>
      </c>
      <c r="C12672" s="1" t="str">
        <f>HYPERLINK("http://www.uniprot.org/uniprot/MMSA_ARATH","MMSA_ARATH")</f>
        <v>MMSA_ARATH</v>
      </c>
      <c r="D12672" t="s">
        <v>4189</v>
      </c>
      <c r="E12672" s="3" t="s">
        <v>3</v>
      </c>
      <c r="F12672" s="4">
        <v>3.1500000000000002E-138</v>
      </c>
      <c r="G12672" s="3">
        <v>1022</v>
      </c>
      <c r="H12672" s="3">
        <v>72</v>
      </c>
      <c r="I12672" s="3">
        <v>278</v>
      </c>
      <c r="J12672" s="3">
        <v>1126</v>
      </c>
      <c r="K12672" s="3">
        <v>1956</v>
      </c>
      <c r="L12672" s="3">
        <v>78</v>
      </c>
      <c r="M12672" s="3">
        <v>355</v>
      </c>
    </row>
    <row r="12673" spans="1:13" x14ac:dyDescent="0.25">
      <c r="A12673" s="1" t="str">
        <f>HYPERLINK("http://www.rosaceae.org/Prunus/Prunus_persica/p.persica_gdr_reftransV1_0041541","p.persica_gdr_reftransV1_0041541")</f>
        <v>p.persica_gdr_reftransV1_0041541</v>
      </c>
      <c r="B12673" s="3">
        <v>2010</v>
      </c>
      <c r="C12673" s="1" t="str">
        <f>HYPERLINK("http://www.uniprot.org/uniprot/TNG2_HUMAN","TNG2_HUMAN")</f>
        <v>TNG2_HUMAN</v>
      </c>
      <c r="D12673" t="s">
        <v>8698</v>
      </c>
      <c r="E12673" s="3" t="s">
        <v>28</v>
      </c>
      <c r="F12673" s="4">
        <v>1.7499999999999998E-24</v>
      </c>
      <c r="G12673" s="3">
        <v>269</v>
      </c>
      <c r="H12673" s="3">
        <v>32</v>
      </c>
      <c r="I12673" s="3">
        <v>285</v>
      </c>
      <c r="J12673" s="3">
        <v>294</v>
      </c>
      <c r="K12673" s="3">
        <v>1091</v>
      </c>
      <c r="L12673" s="3">
        <v>1</v>
      </c>
      <c r="M12673" s="3">
        <v>274</v>
      </c>
    </row>
    <row r="12674" spans="1:13" x14ac:dyDescent="0.25">
      <c r="A12674" s="1" t="str">
        <f>HYPERLINK("http://www.rosaceae.org/Prunus/Prunus_persica/p.persica_gdr_reftransV1_0042141","p.persica_gdr_reftransV1_0042141")</f>
        <v>p.persica_gdr_reftransV1_0042141</v>
      </c>
      <c r="B12674" s="3">
        <v>2110</v>
      </c>
      <c r="C12674" s="1" t="str">
        <f>HYPERLINK("http://www.uniprot.org/uniprot/TMVRN_NICGU","TMVRN_NICGU")</f>
        <v>TMVRN_NICGU</v>
      </c>
      <c r="D12674" t="s">
        <v>151</v>
      </c>
      <c r="E12674" s="3" t="s">
        <v>152</v>
      </c>
      <c r="F12674" s="4">
        <v>2.37E-8</v>
      </c>
      <c r="G12674" s="3">
        <v>148</v>
      </c>
      <c r="H12674" s="3">
        <v>32</v>
      </c>
      <c r="I12674" s="3">
        <v>160</v>
      </c>
      <c r="J12674" s="3">
        <v>1657</v>
      </c>
      <c r="K12674" s="3">
        <v>2109</v>
      </c>
      <c r="L12674" s="3">
        <v>863</v>
      </c>
      <c r="M12674" s="3">
        <v>1013</v>
      </c>
    </row>
    <row r="12675" spans="1:13" x14ac:dyDescent="0.25">
      <c r="A12675" s="1" t="str">
        <f>HYPERLINK("http://www.rosaceae.org/Prunus/Prunus_persica/p.persica_gdr_reftransV1_0042441","p.persica_gdr_reftransV1_0042441")</f>
        <v>p.persica_gdr_reftransV1_0042441</v>
      </c>
      <c r="B12675" s="3">
        <v>4345</v>
      </c>
      <c r="C12675" s="1" t="str">
        <f>HYPERLINK("http://www.uniprot.org/uniprot/UBC25_ARATH","UBC25_ARATH")</f>
        <v>UBC25_ARATH</v>
      </c>
      <c r="D12675" t="s">
        <v>8699</v>
      </c>
      <c r="E12675" s="3" t="s">
        <v>3</v>
      </c>
      <c r="F12675" s="4">
        <v>6.3200000000000003E-99</v>
      </c>
      <c r="G12675" s="3">
        <v>860</v>
      </c>
      <c r="H12675" s="3">
        <v>71</v>
      </c>
      <c r="I12675" s="3">
        <v>214</v>
      </c>
      <c r="J12675" s="3">
        <v>1716</v>
      </c>
      <c r="K12675" s="3">
        <v>2357</v>
      </c>
      <c r="L12675" s="3">
        <v>294</v>
      </c>
      <c r="M12675" s="3">
        <v>506</v>
      </c>
    </row>
    <row r="12676" spans="1:13" x14ac:dyDescent="0.25">
      <c r="A12676" s="1" t="str">
        <f>HYPERLINK("http://www.rosaceae.org/Prunus/Prunus_persica/p.persica_gdr_reftransV1_0042491","p.persica_gdr_reftransV1_0042491")</f>
        <v>p.persica_gdr_reftransV1_0042491</v>
      </c>
      <c r="B12676" s="3">
        <v>1490</v>
      </c>
      <c r="C12676" s="1" t="str">
        <f>HYPERLINK("http://www.uniprot.org/uniprot/SSU72_DICDI","SSU72_DICDI")</f>
        <v>SSU72_DICDI</v>
      </c>
      <c r="D12676" t="s">
        <v>8700</v>
      </c>
      <c r="E12676" s="3" t="s">
        <v>9</v>
      </c>
      <c r="F12676" s="4">
        <v>1.4599999999999999E-27</v>
      </c>
      <c r="G12676" s="3">
        <v>284</v>
      </c>
      <c r="H12676" s="3">
        <v>46</v>
      </c>
      <c r="I12676" s="3">
        <v>123</v>
      </c>
      <c r="J12676" s="3">
        <v>225</v>
      </c>
      <c r="K12676" s="3">
        <v>587</v>
      </c>
      <c r="L12676" s="3">
        <v>93</v>
      </c>
      <c r="M12676" s="3">
        <v>214</v>
      </c>
    </row>
    <row r="12677" spans="1:13" x14ac:dyDescent="0.25">
      <c r="A12677" s="1" t="str">
        <f>HYPERLINK("http://www.rosaceae.org/Prunus/Prunus_persica/p.persica_gdr_reftransV1_0042541","p.persica_gdr_reftransV1_0042541")</f>
        <v>p.persica_gdr_reftransV1_0042541</v>
      </c>
      <c r="B12677" s="3">
        <v>2268</v>
      </c>
      <c r="C12677" s="1" t="str">
        <f>HYPERLINK("http://www.uniprot.org/uniprot/APXT_ARATH","APXT_ARATH")</f>
        <v>APXT_ARATH</v>
      </c>
      <c r="D12677" t="s">
        <v>8701</v>
      </c>
      <c r="E12677" s="3" t="s">
        <v>3</v>
      </c>
      <c r="F12677" s="4">
        <v>4.3699999999999998E-105</v>
      </c>
      <c r="G12677" s="3">
        <v>859</v>
      </c>
      <c r="H12677" s="3">
        <v>88</v>
      </c>
      <c r="I12677" s="3">
        <v>177</v>
      </c>
      <c r="J12677" s="3">
        <v>1418</v>
      </c>
      <c r="K12677" s="3">
        <v>1948</v>
      </c>
      <c r="L12677" s="3">
        <v>85</v>
      </c>
      <c r="M12677" s="3">
        <v>261</v>
      </c>
    </row>
    <row r="12678" spans="1:13" x14ac:dyDescent="0.25">
      <c r="A12678" s="1" t="str">
        <f>HYPERLINK("http://www.rosaceae.org/Prunus/Prunus_persica/p.persica_gdr_reftransV1_0042641","p.persica_gdr_reftransV1_0042641")</f>
        <v>p.persica_gdr_reftransV1_0042641</v>
      </c>
      <c r="B12678" s="3">
        <v>2835</v>
      </c>
      <c r="C12678" s="1" t="str">
        <f>HYPERLINK("http://www.uniprot.org/uniprot/PIMT1_ARATH","PIMT1_ARATH")</f>
        <v>PIMT1_ARATH</v>
      </c>
      <c r="D12678" t="s">
        <v>4896</v>
      </c>
      <c r="E12678" s="3" t="s">
        <v>3</v>
      </c>
      <c r="F12678" s="4">
        <v>3.05E-120</v>
      </c>
      <c r="G12678" s="3">
        <v>955</v>
      </c>
      <c r="H12678" s="3">
        <v>74</v>
      </c>
      <c r="I12678" s="3">
        <v>229</v>
      </c>
      <c r="J12678" s="3">
        <v>576</v>
      </c>
      <c r="K12678" s="3">
        <v>1262</v>
      </c>
      <c r="L12678" s="3">
        <v>1</v>
      </c>
      <c r="M12678" s="3">
        <v>229</v>
      </c>
    </row>
    <row r="12679" spans="1:13" x14ac:dyDescent="0.25">
      <c r="A12679" s="1" t="str">
        <f>HYPERLINK("http://www.rosaceae.org/Prunus/Prunus_persica/p.persica_gdr_reftransV1_0043141","p.persica_gdr_reftransV1_0043141")</f>
        <v>p.persica_gdr_reftransV1_0043141</v>
      </c>
      <c r="B12679" s="3">
        <v>603</v>
      </c>
      <c r="C12679" s="1" t="str">
        <f>HYPERLINK("http://www.uniprot.org/uniprot/TLP_ACTDE","TLP_ACTDE")</f>
        <v>TLP_ACTDE</v>
      </c>
      <c r="D12679" t="s">
        <v>2187</v>
      </c>
      <c r="E12679" s="3" t="s">
        <v>2188</v>
      </c>
      <c r="F12679" s="4">
        <v>8.7100000000000001E-79</v>
      </c>
      <c r="G12679" s="3">
        <v>616</v>
      </c>
      <c r="H12679" s="3">
        <v>67</v>
      </c>
      <c r="I12679" s="3">
        <v>180</v>
      </c>
      <c r="J12679" s="3">
        <v>3</v>
      </c>
      <c r="K12679" s="3">
        <v>536</v>
      </c>
      <c r="L12679" s="3">
        <v>46</v>
      </c>
      <c r="M12679" s="3">
        <v>225</v>
      </c>
    </row>
    <row r="12680" spans="1:13" x14ac:dyDescent="0.25">
      <c r="A12680" s="1" t="str">
        <f>HYPERLINK("http://www.rosaceae.org/Prunus/Prunus_persica/p.persica_gdr_reftransV1_0043241","p.persica_gdr_reftransV1_0043241")</f>
        <v>p.persica_gdr_reftransV1_0043241</v>
      </c>
      <c r="B12680" s="3">
        <v>346</v>
      </c>
      <c r="C12680" s="1" t="str">
        <f>HYPERLINK("http://www.uniprot.org/uniprot/MD33A_ARATH","MD33A_ARATH")</f>
        <v>MD33A_ARATH</v>
      </c>
      <c r="D12680" t="s">
        <v>4179</v>
      </c>
      <c r="E12680" s="3" t="s">
        <v>3</v>
      </c>
      <c r="F12680" s="4">
        <v>8.8399999999999997E-16</v>
      </c>
      <c r="G12680" s="3">
        <v>189</v>
      </c>
      <c r="H12680" s="3">
        <v>43</v>
      </c>
      <c r="I12680" s="3">
        <v>98</v>
      </c>
      <c r="J12680" s="3">
        <v>2</v>
      </c>
      <c r="K12680" s="3">
        <v>277</v>
      </c>
      <c r="L12680" s="3">
        <v>13</v>
      </c>
      <c r="M12680" s="3">
        <v>110</v>
      </c>
    </row>
    <row r="12681" spans="1:13" x14ac:dyDescent="0.25">
      <c r="A12681" s="1" t="str">
        <f>HYPERLINK("http://www.rosaceae.org/Prunus/Prunus_persica/p.persica_gdr_reftransV1_0043291","p.persica_gdr_reftransV1_0043291")</f>
        <v>p.persica_gdr_reftransV1_0043291</v>
      </c>
      <c r="B12681" s="3">
        <v>1340</v>
      </c>
      <c r="C12681" s="1" t="str">
        <f>HYPERLINK("http://www.uniprot.org/uniprot/KNAT6_ARATH","KNAT6_ARATH")</f>
        <v>KNAT6_ARATH</v>
      </c>
      <c r="D12681" t="s">
        <v>2620</v>
      </c>
      <c r="E12681" s="3" t="s">
        <v>3</v>
      </c>
      <c r="F12681" s="4">
        <v>6.1900000000000001E-126</v>
      </c>
      <c r="G12681" s="3">
        <v>963</v>
      </c>
      <c r="H12681" s="3">
        <v>62</v>
      </c>
      <c r="I12681" s="3">
        <v>345</v>
      </c>
      <c r="J12681" s="3">
        <v>85</v>
      </c>
      <c r="K12681" s="3">
        <v>1098</v>
      </c>
      <c r="L12681" s="3">
        <v>3</v>
      </c>
      <c r="M12681" s="3">
        <v>327</v>
      </c>
    </row>
    <row r="12682" spans="1:13" x14ac:dyDescent="0.25">
      <c r="A12682" s="1" t="str">
        <f>HYPERLINK("http://www.rosaceae.org/Prunus/Prunus_persica/p.persica_gdr_reftransV1_0043391","p.persica_gdr_reftransV1_0043391")</f>
        <v>p.persica_gdr_reftransV1_0043391</v>
      </c>
      <c r="B12682" s="3">
        <v>1479</v>
      </c>
      <c r="C12682" s="1" t="str">
        <f>HYPERLINK("http://www.uniprot.org/uniprot/GDC_BOVIN","GDC_BOVIN")</f>
        <v>GDC_BOVIN</v>
      </c>
      <c r="D12682" t="s">
        <v>7536</v>
      </c>
      <c r="E12682" s="3" t="s">
        <v>184</v>
      </c>
      <c r="F12682" s="4">
        <v>2.0799999999999998E-43</v>
      </c>
      <c r="G12682" s="3">
        <v>408</v>
      </c>
      <c r="H12682" s="3">
        <v>33</v>
      </c>
      <c r="I12682" s="3">
        <v>321</v>
      </c>
      <c r="J12682" s="3">
        <v>419</v>
      </c>
      <c r="K12682" s="3">
        <v>1321</v>
      </c>
      <c r="L12682" s="3">
        <v>54</v>
      </c>
      <c r="M12682" s="3">
        <v>329</v>
      </c>
    </row>
    <row r="12683" spans="1:13" x14ac:dyDescent="0.25">
      <c r="A12683" s="1" t="str">
        <f>HYPERLINK("http://www.rosaceae.org/Prunus/Prunus_persica/p.persica_gdr_reftransV1_0043441","p.persica_gdr_reftransV1_0043441")</f>
        <v>p.persica_gdr_reftransV1_0043441</v>
      </c>
      <c r="B12683" s="3">
        <v>596</v>
      </c>
      <c r="C12683" s="1" t="str">
        <f>HYPERLINK("http://www.uniprot.org/uniprot/SPCH_ARATH","SPCH_ARATH")</f>
        <v>SPCH_ARATH</v>
      </c>
      <c r="D12683" t="s">
        <v>6624</v>
      </c>
      <c r="E12683" s="3" t="s">
        <v>3</v>
      </c>
      <c r="F12683" s="4">
        <v>3.2099999999999999E-40</v>
      </c>
      <c r="G12683" s="3">
        <v>367</v>
      </c>
      <c r="H12683" s="3">
        <v>67</v>
      </c>
      <c r="I12683" s="3">
        <v>112</v>
      </c>
      <c r="J12683" s="3">
        <v>188</v>
      </c>
      <c r="K12683" s="3">
        <v>502</v>
      </c>
      <c r="L12683" s="3">
        <v>60</v>
      </c>
      <c r="M12683" s="3">
        <v>170</v>
      </c>
    </row>
    <row r="12684" spans="1:13" x14ac:dyDescent="0.25">
      <c r="A12684" s="1" t="str">
        <f>HYPERLINK("http://www.rosaceae.org/Prunus/Prunus_persica/p.persica_gdr_reftransV1_0043541","p.persica_gdr_reftransV1_0043541")</f>
        <v>p.persica_gdr_reftransV1_0043541</v>
      </c>
      <c r="B12684" s="3">
        <v>4332</v>
      </c>
      <c r="C12684" s="1" t="str">
        <f>HYPERLINK("http://www.uniprot.org/uniprot/CLSY2_ARATH","CLSY2_ARATH")</f>
        <v>CLSY2_ARATH</v>
      </c>
      <c r="D12684" t="s">
        <v>8702</v>
      </c>
      <c r="E12684" s="3" t="s">
        <v>3</v>
      </c>
      <c r="F12684" s="4">
        <v>0</v>
      </c>
      <c r="G12684" s="3">
        <v>3325</v>
      </c>
      <c r="H12684" s="3">
        <v>53</v>
      </c>
      <c r="I12684" s="3">
        <v>1311</v>
      </c>
      <c r="J12684" s="3">
        <v>201</v>
      </c>
      <c r="K12684" s="3">
        <v>4007</v>
      </c>
      <c r="L12684" s="3">
        <v>2</v>
      </c>
      <c r="M12684" s="3">
        <v>1260</v>
      </c>
    </row>
    <row r="12685" spans="1:13" x14ac:dyDescent="0.25">
      <c r="A12685" s="1" t="str">
        <f>HYPERLINK("http://www.rosaceae.org/Prunus/Prunus_persica/p.persica_gdr_reftransV1_0043591","p.persica_gdr_reftransV1_0043591")</f>
        <v>p.persica_gdr_reftransV1_0043591</v>
      </c>
      <c r="B12685" s="3">
        <v>1759</v>
      </c>
      <c r="C12685" s="1" t="str">
        <f>HYPERLINK("http://www.uniprot.org/uniprot/TBA_PRUDU","TBA_PRUDU")</f>
        <v>TBA_PRUDU</v>
      </c>
      <c r="D12685" t="s">
        <v>5106</v>
      </c>
      <c r="E12685" s="3" t="s">
        <v>418</v>
      </c>
      <c r="F12685" s="4">
        <v>0</v>
      </c>
      <c r="G12685" s="3">
        <v>2223</v>
      </c>
      <c r="H12685" s="3">
        <v>100</v>
      </c>
      <c r="I12685" s="3">
        <v>431</v>
      </c>
      <c r="J12685" s="3">
        <v>115</v>
      </c>
      <c r="K12685" s="3">
        <v>1407</v>
      </c>
      <c r="L12685" s="3">
        <v>1</v>
      </c>
      <c r="M12685" s="3">
        <v>431</v>
      </c>
    </row>
    <row r="12686" spans="1:13" x14ac:dyDescent="0.25">
      <c r="A12686" s="1" t="str">
        <f>HYPERLINK("http://www.rosaceae.org/Prunus/Prunus_persica/p.persica_gdr_reftransV1_0043741","p.persica_gdr_reftransV1_0043741")</f>
        <v>p.persica_gdr_reftransV1_0043741</v>
      </c>
      <c r="B12686" s="3">
        <v>413</v>
      </c>
      <c r="C12686" s="1" t="str">
        <f>HYPERLINK("http://www.uniprot.org/uniprot/RGA2_SOLBU","RGA2_SOLBU")</f>
        <v>RGA2_SOLBU</v>
      </c>
      <c r="D12686" t="s">
        <v>925</v>
      </c>
      <c r="E12686" s="3" t="s">
        <v>560</v>
      </c>
      <c r="F12686" s="4">
        <v>6.34E-12</v>
      </c>
      <c r="G12686" s="3">
        <v>161</v>
      </c>
      <c r="H12686" s="3">
        <v>35</v>
      </c>
      <c r="I12686" s="3">
        <v>113</v>
      </c>
      <c r="J12686" s="3">
        <v>71</v>
      </c>
      <c r="K12686" s="3">
        <v>379</v>
      </c>
      <c r="L12686" s="3">
        <v>1</v>
      </c>
      <c r="M12686" s="3">
        <v>109</v>
      </c>
    </row>
    <row r="12687" spans="1:13" x14ac:dyDescent="0.25">
      <c r="A12687" s="1" t="str">
        <f>HYPERLINK("http://www.rosaceae.org/Prunus/Prunus_persica/p.persica_gdr_reftransV1_0043841","p.persica_gdr_reftransV1_0043841")</f>
        <v>p.persica_gdr_reftransV1_0043841</v>
      </c>
      <c r="B12687" s="3">
        <v>1079</v>
      </c>
      <c r="C12687" s="1" t="str">
        <f>HYPERLINK("http://www.uniprot.org/uniprot/RRP36_BOVIN","RRP36_BOVIN")</f>
        <v>RRP36_BOVIN</v>
      </c>
      <c r="D12687" t="s">
        <v>8703</v>
      </c>
      <c r="E12687" s="3" t="s">
        <v>184</v>
      </c>
      <c r="F12687" s="4">
        <v>2.8799999999999998E-28</v>
      </c>
      <c r="G12687" s="3">
        <v>287</v>
      </c>
      <c r="H12687" s="3">
        <v>40</v>
      </c>
      <c r="I12687" s="3">
        <v>174</v>
      </c>
      <c r="J12687" s="3">
        <v>355</v>
      </c>
      <c r="K12687" s="3">
        <v>873</v>
      </c>
      <c r="L12687" s="3">
        <v>71</v>
      </c>
      <c r="M12687" s="3">
        <v>242</v>
      </c>
    </row>
    <row r="12688" spans="1:13" x14ac:dyDescent="0.25">
      <c r="A12688" s="1" t="str">
        <f>HYPERLINK("http://www.rosaceae.org/Prunus/Prunus_persica/p.persica_gdr_reftransV1_0043941","p.persica_gdr_reftransV1_0043941")</f>
        <v>p.persica_gdr_reftransV1_0043941</v>
      </c>
      <c r="B12688" s="3">
        <v>1388</v>
      </c>
      <c r="C12688" s="1" t="str">
        <f>HYPERLINK("http://www.uniprot.org/uniprot/P4H9_ARATH","P4H9_ARATH")</f>
        <v>P4H9_ARATH</v>
      </c>
      <c r="D12688" t="s">
        <v>2673</v>
      </c>
      <c r="E12688" s="3" t="s">
        <v>3</v>
      </c>
      <c r="F12688" s="4">
        <v>3.0799999999999999E-133</v>
      </c>
      <c r="G12688" s="3">
        <v>1009</v>
      </c>
      <c r="H12688" s="3">
        <v>68</v>
      </c>
      <c r="I12688" s="3">
        <v>291</v>
      </c>
      <c r="J12688" s="3">
        <v>142</v>
      </c>
      <c r="K12688" s="3">
        <v>1011</v>
      </c>
      <c r="L12688" s="3">
        <v>1</v>
      </c>
      <c r="M12688" s="3">
        <v>288</v>
      </c>
    </row>
    <row r="12689" spans="1:13" x14ac:dyDescent="0.25">
      <c r="A12689" s="1" t="str">
        <f>HYPERLINK("http://www.rosaceae.org/Prunus/Prunus_persica/p.persica_gdr_reftransV1_0043991","p.persica_gdr_reftransV1_0043991")</f>
        <v>p.persica_gdr_reftransV1_0043991</v>
      </c>
      <c r="B12689" s="3">
        <v>2951</v>
      </c>
      <c r="C12689" s="1" t="str">
        <f>HYPERLINK("http://www.uniprot.org/uniprot/ATMB_SALTY","ATMB_SALTY")</f>
        <v>ATMB_SALTY</v>
      </c>
      <c r="D12689" t="s">
        <v>8704</v>
      </c>
      <c r="E12689" s="3" t="s">
        <v>112</v>
      </c>
      <c r="F12689" s="4">
        <v>1.2100000000000001E-120</v>
      </c>
      <c r="G12689" s="3">
        <v>1020</v>
      </c>
      <c r="H12689" s="3">
        <v>44</v>
      </c>
      <c r="I12689" s="3">
        <v>448</v>
      </c>
      <c r="J12689" s="3">
        <v>1605</v>
      </c>
      <c r="K12689" s="3">
        <v>2936</v>
      </c>
      <c r="L12689" s="3">
        <v>469</v>
      </c>
      <c r="M12689" s="3">
        <v>907</v>
      </c>
    </row>
    <row r="12690" spans="1:13" x14ac:dyDescent="0.25">
      <c r="A12690" s="1" t="str">
        <f>HYPERLINK("http://www.rosaceae.org/Prunus/Prunus_persica/p.persica_gdr_reftransV1_0044041","p.persica_gdr_reftransV1_0044041")</f>
        <v>p.persica_gdr_reftransV1_0044041</v>
      </c>
      <c r="B12690" s="3">
        <v>843</v>
      </c>
      <c r="C12690" s="1" t="str">
        <f>HYPERLINK("http://www.uniprot.org/uniprot/RLF33_ARATH","RLF33_ARATH")</f>
        <v>RLF33_ARATH</v>
      </c>
      <c r="D12690" t="s">
        <v>4480</v>
      </c>
      <c r="E12690" s="3" t="s">
        <v>3</v>
      </c>
      <c r="F12690" s="4">
        <v>3.4799999999999997E-29</v>
      </c>
      <c r="G12690" s="3">
        <v>281</v>
      </c>
      <c r="H12690" s="3">
        <v>77</v>
      </c>
      <c r="I12690" s="3">
        <v>74</v>
      </c>
      <c r="J12690" s="3">
        <v>93</v>
      </c>
      <c r="K12690" s="3">
        <v>302</v>
      </c>
      <c r="L12690" s="3">
        <v>42</v>
      </c>
      <c r="M12690" s="3">
        <v>115</v>
      </c>
    </row>
    <row r="12691" spans="1:13" x14ac:dyDescent="0.25">
      <c r="A12691" s="1" t="str">
        <f>HYPERLINK("http://www.rosaceae.org/Prunus/Prunus_persica/p.persica_gdr_reftransV1_0044191","p.persica_gdr_reftransV1_0044191")</f>
        <v>p.persica_gdr_reftransV1_0044191</v>
      </c>
      <c r="B12691" s="3">
        <v>1760</v>
      </c>
      <c r="C12691" s="1" t="str">
        <f>HYPERLINK("http://www.uniprot.org/uniprot/CNGC1_ARATH","CNGC1_ARATH")</f>
        <v>CNGC1_ARATH</v>
      </c>
      <c r="D12691" t="s">
        <v>241</v>
      </c>
      <c r="E12691" s="3" t="s">
        <v>3</v>
      </c>
      <c r="F12691" s="4">
        <v>3.3999999999999997E-35</v>
      </c>
      <c r="G12691" s="3">
        <v>364</v>
      </c>
      <c r="H12691" s="3">
        <v>46</v>
      </c>
      <c r="I12691" s="3">
        <v>173</v>
      </c>
      <c r="J12691" s="3">
        <v>1195</v>
      </c>
      <c r="K12691" s="3">
        <v>1704</v>
      </c>
      <c r="L12691" s="3">
        <v>271</v>
      </c>
      <c r="M12691" s="3">
        <v>436</v>
      </c>
    </row>
    <row r="12692" spans="1:13" x14ac:dyDescent="0.25">
      <c r="A12692" s="1" t="str">
        <f>HYPERLINK("http://www.rosaceae.org/Prunus/Prunus_persica/p.persica_gdr_reftransV1_0044241","p.persica_gdr_reftransV1_0044241")</f>
        <v>p.persica_gdr_reftransV1_0044241</v>
      </c>
      <c r="B12692" s="3">
        <v>1431</v>
      </c>
      <c r="C12692" s="1" t="str">
        <f>HYPERLINK("http://www.uniprot.org/uniprot/AROD2_ARATH","AROD2_ARATH")</f>
        <v>AROD2_ARATH</v>
      </c>
      <c r="D12692" t="s">
        <v>3918</v>
      </c>
      <c r="E12692" s="3" t="s">
        <v>3</v>
      </c>
      <c r="F12692" s="4">
        <v>0</v>
      </c>
      <c r="G12692" s="3">
        <v>1363</v>
      </c>
      <c r="H12692" s="3">
        <v>83</v>
      </c>
      <c r="I12692" s="3">
        <v>319</v>
      </c>
      <c r="J12692" s="3">
        <v>54</v>
      </c>
      <c r="K12692" s="3">
        <v>1010</v>
      </c>
      <c r="L12692" s="3">
        <v>74</v>
      </c>
      <c r="M12692" s="3">
        <v>381</v>
      </c>
    </row>
    <row r="12693" spans="1:13" x14ac:dyDescent="0.25">
      <c r="A12693" s="1" t="str">
        <f>HYPERLINK("http://www.rosaceae.org/Prunus/Prunus_persica/p.persica_gdr_reftransV1_0044291","p.persica_gdr_reftransV1_0044291")</f>
        <v>p.persica_gdr_reftransV1_0044291</v>
      </c>
      <c r="B12693" s="3">
        <v>2654</v>
      </c>
      <c r="C12693" s="1" t="str">
        <f>HYPERLINK("http://www.uniprot.org/uniprot/QWRF2_ARATH","QWRF2_ARATH")</f>
        <v>QWRF2_ARATH</v>
      </c>
      <c r="D12693" t="s">
        <v>4240</v>
      </c>
      <c r="E12693" s="3" t="s">
        <v>3</v>
      </c>
      <c r="F12693" s="4">
        <v>5.7699999999999997E-167</v>
      </c>
      <c r="G12693" s="3">
        <v>1308</v>
      </c>
      <c r="H12693" s="3">
        <v>62</v>
      </c>
      <c r="I12693" s="3">
        <v>570</v>
      </c>
      <c r="J12693" s="3">
        <v>378</v>
      </c>
      <c r="K12693" s="3">
        <v>2033</v>
      </c>
      <c r="L12693" s="3">
        <v>107</v>
      </c>
      <c r="M12693" s="3">
        <v>656</v>
      </c>
    </row>
    <row r="12694" spans="1:13" x14ac:dyDescent="0.25">
      <c r="A12694" s="1" t="str">
        <f>HYPERLINK("http://www.rosaceae.org/Prunus/Prunus_persica/p.persica_gdr_reftransV1_0044441","p.persica_gdr_reftransV1_0044441")</f>
        <v>p.persica_gdr_reftransV1_0044441</v>
      </c>
      <c r="B12694" s="3">
        <v>424</v>
      </c>
      <c r="C12694" s="1" t="str">
        <f>HYPERLINK("http://www.uniprot.org/uniprot/C7A22_PANGI","C7A22_PANGI")</f>
        <v>C7A22_PANGI</v>
      </c>
      <c r="D12694" t="s">
        <v>3096</v>
      </c>
      <c r="E12694" s="3" t="s">
        <v>1477</v>
      </c>
      <c r="F12694" s="4">
        <v>1.0900000000000001E-53</v>
      </c>
      <c r="G12694" s="3">
        <v>462</v>
      </c>
      <c r="H12694" s="3">
        <v>60</v>
      </c>
      <c r="I12694" s="3">
        <v>141</v>
      </c>
      <c r="J12694" s="3">
        <v>2</v>
      </c>
      <c r="K12694" s="3">
        <v>424</v>
      </c>
      <c r="L12694" s="3">
        <v>94</v>
      </c>
      <c r="M12694" s="3">
        <v>232</v>
      </c>
    </row>
    <row r="12695" spans="1:13" x14ac:dyDescent="0.25">
      <c r="A12695" s="1" t="str">
        <f>HYPERLINK("http://www.rosaceae.org/Prunus/Prunus_persica/p.persica_gdr_reftransV1_0044491","p.persica_gdr_reftransV1_0044491")</f>
        <v>p.persica_gdr_reftransV1_0044491</v>
      </c>
      <c r="B12695" s="3">
        <v>826</v>
      </c>
      <c r="C12695" s="1" t="str">
        <f>HYPERLINK("http://www.uniprot.org/uniprot/LPAT2_ARATH","LPAT2_ARATH")</f>
        <v>LPAT2_ARATH</v>
      </c>
      <c r="D12695" t="s">
        <v>7344</v>
      </c>
      <c r="E12695" s="3" t="s">
        <v>3</v>
      </c>
      <c r="F12695" s="4">
        <v>2.1400000000000001E-55</v>
      </c>
      <c r="G12695" s="3">
        <v>480</v>
      </c>
      <c r="H12695" s="3">
        <v>46</v>
      </c>
      <c r="I12695" s="3">
        <v>193</v>
      </c>
      <c r="J12695" s="3">
        <v>247</v>
      </c>
      <c r="K12695" s="3">
        <v>825</v>
      </c>
      <c r="L12695" s="3">
        <v>165</v>
      </c>
      <c r="M12695" s="3">
        <v>357</v>
      </c>
    </row>
    <row r="12696" spans="1:13" x14ac:dyDescent="0.25">
      <c r="A12696" s="1" t="str">
        <f>HYPERLINK("http://www.rosaceae.org/Prunus/Prunus_persica/p.persica_gdr_reftransV1_0044591","p.persica_gdr_reftransV1_0044591")</f>
        <v>p.persica_gdr_reftransV1_0044591</v>
      </c>
      <c r="B12696" s="3">
        <v>2043</v>
      </c>
      <c r="C12696" s="1" t="str">
        <f>HYPERLINK("http://www.uniprot.org/uniprot/PUS10_HUMAN","PUS10_HUMAN")</f>
        <v>PUS10_HUMAN</v>
      </c>
      <c r="D12696" t="s">
        <v>4269</v>
      </c>
      <c r="E12696" s="3" t="s">
        <v>28</v>
      </c>
      <c r="F12696" s="4">
        <v>6.6900000000000003E-69</v>
      </c>
      <c r="G12696" s="3">
        <v>612</v>
      </c>
      <c r="H12696" s="3">
        <v>32</v>
      </c>
      <c r="I12696" s="3">
        <v>546</v>
      </c>
      <c r="J12696" s="3">
        <v>192</v>
      </c>
      <c r="K12696" s="3">
        <v>1688</v>
      </c>
      <c r="L12696" s="3">
        <v>15</v>
      </c>
      <c r="M12696" s="3">
        <v>522</v>
      </c>
    </row>
    <row r="12697" spans="1:13" x14ac:dyDescent="0.25">
      <c r="A12697" s="1" t="str">
        <f>HYPERLINK("http://www.rosaceae.org/Prunus/Prunus_persica/p.persica_gdr_reftransV1_0044641","p.persica_gdr_reftransV1_0044641")</f>
        <v>p.persica_gdr_reftransV1_0044641</v>
      </c>
      <c r="B12697" s="3">
        <v>1275</v>
      </c>
      <c r="C12697" s="1" t="str">
        <f>HYPERLINK("http://www.uniprot.org/uniprot/APK1_ARATH","APK1_ARATH")</f>
        <v>APK1_ARATH</v>
      </c>
      <c r="D12697" t="s">
        <v>7566</v>
      </c>
      <c r="E12697" s="3" t="s">
        <v>3</v>
      </c>
      <c r="F12697" s="4">
        <v>4.5500000000000001E-116</v>
      </c>
      <c r="G12697" s="3">
        <v>891</v>
      </c>
      <c r="H12697" s="3">
        <v>77</v>
      </c>
      <c r="I12697" s="3">
        <v>214</v>
      </c>
      <c r="J12697" s="3">
        <v>272</v>
      </c>
      <c r="K12697" s="3">
        <v>913</v>
      </c>
      <c r="L12697" s="3">
        <v>65</v>
      </c>
      <c r="M12697" s="3">
        <v>276</v>
      </c>
    </row>
    <row r="12698" spans="1:13" x14ac:dyDescent="0.25">
      <c r="A12698" s="1" t="str">
        <f>HYPERLINK("http://www.rosaceae.org/Prunus/Prunus_persica/p.persica_gdr_reftransV1_0044691","p.persica_gdr_reftransV1_0044691")</f>
        <v>p.persica_gdr_reftransV1_0044691</v>
      </c>
      <c r="B12698" s="3">
        <v>942</v>
      </c>
      <c r="C12698" s="1" t="str">
        <f>HYPERLINK("http://www.uniprot.org/uniprot/SD11_ARATH","SD11_ARATH")</f>
        <v>SD11_ARATH</v>
      </c>
      <c r="D12698" t="s">
        <v>1753</v>
      </c>
      <c r="E12698" s="3" t="s">
        <v>3</v>
      </c>
      <c r="F12698" s="4">
        <v>1.1700000000000001E-123</v>
      </c>
      <c r="G12698" s="3">
        <v>975</v>
      </c>
      <c r="H12698" s="3">
        <v>67</v>
      </c>
      <c r="I12698" s="3">
        <v>269</v>
      </c>
      <c r="J12698" s="3">
        <v>3</v>
      </c>
      <c r="K12698" s="3">
        <v>806</v>
      </c>
      <c r="L12698" s="3">
        <v>550</v>
      </c>
      <c r="M12698" s="3">
        <v>815</v>
      </c>
    </row>
    <row r="12699" spans="1:13" x14ac:dyDescent="0.25">
      <c r="A12699" s="1" t="str">
        <f>HYPERLINK("http://www.rosaceae.org/Prunus/Prunus_persica/p.persica_gdr_reftransV1_0044741","p.persica_gdr_reftransV1_0044741")</f>
        <v>p.persica_gdr_reftransV1_0044741</v>
      </c>
      <c r="B12699" s="3">
        <v>938</v>
      </c>
      <c r="C12699" s="1" t="str">
        <f>HYPERLINK("http://www.uniprot.org/uniprot/BH096_ARATH","BH096_ARATH")</f>
        <v>BH096_ARATH</v>
      </c>
      <c r="D12699" t="s">
        <v>1202</v>
      </c>
      <c r="E12699" s="3" t="s">
        <v>3</v>
      </c>
      <c r="F12699" s="4">
        <v>2.3699999999999999E-63</v>
      </c>
      <c r="G12699" s="3">
        <v>532</v>
      </c>
      <c r="H12699" s="3">
        <v>57</v>
      </c>
      <c r="I12699" s="3">
        <v>196</v>
      </c>
      <c r="J12699" s="3">
        <v>364</v>
      </c>
      <c r="K12699" s="3">
        <v>936</v>
      </c>
      <c r="L12699" s="3">
        <v>118</v>
      </c>
      <c r="M12699" s="3">
        <v>307</v>
      </c>
    </row>
    <row r="12700" spans="1:13" x14ac:dyDescent="0.25">
      <c r="A12700" s="1" t="str">
        <f>HYPERLINK("http://www.rosaceae.org/Prunus/Prunus_persica/p.persica_gdr_reftransV1_0044841","p.persica_gdr_reftransV1_0044841")</f>
        <v>p.persica_gdr_reftransV1_0044841</v>
      </c>
      <c r="B12700" s="3">
        <v>1732</v>
      </c>
      <c r="C12700" s="1" t="str">
        <f>HYPERLINK("http://www.uniprot.org/uniprot/AGAL2_ARATH","AGAL2_ARATH")</f>
        <v>AGAL2_ARATH</v>
      </c>
      <c r="D12700" t="s">
        <v>8705</v>
      </c>
      <c r="E12700" s="3" t="s">
        <v>3</v>
      </c>
      <c r="F12700" s="4">
        <v>2.5399999999999998E-180</v>
      </c>
      <c r="G12700" s="3">
        <v>1343</v>
      </c>
      <c r="H12700" s="3">
        <v>65</v>
      </c>
      <c r="I12700" s="3">
        <v>366</v>
      </c>
      <c r="J12700" s="3">
        <v>305</v>
      </c>
      <c r="K12700" s="3">
        <v>1402</v>
      </c>
      <c r="L12700" s="3">
        <v>28</v>
      </c>
      <c r="M12700" s="3">
        <v>392</v>
      </c>
    </row>
    <row r="12701" spans="1:13" x14ac:dyDescent="0.25">
      <c r="A12701" s="1" t="str">
        <f>HYPERLINK("http://www.rosaceae.org/Prunus/Prunus_persica/p.persica_gdr_reftransV1_0044941","p.persica_gdr_reftransV1_0044941")</f>
        <v>p.persica_gdr_reftransV1_0044941</v>
      </c>
      <c r="B12701" s="3">
        <v>1651</v>
      </c>
      <c r="C12701" s="1" t="str">
        <f>HYPERLINK("http://www.uniprot.org/uniprot/MCES1_ARATH","MCES1_ARATH")</f>
        <v>MCES1_ARATH</v>
      </c>
      <c r="D12701" t="s">
        <v>4475</v>
      </c>
      <c r="E12701" s="3" t="s">
        <v>3</v>
      </c>
      <c r="F12701" s="4">
        <v>3.73E-171</v>
      </c>
      <c r="G12701" s="3">
        <v>1277</v>
      </c>
      <c r="H12701" s="3">
        <v>86</v>
      </c>
      <c r="I12701" s="3">
        <v>283</v>
      </c>
      <c r="J12701" s="3">
        <v>409</v>
      </c>
      <c r="K12701" s="3">
        <v>1257</v>
      </c>
      <c r="L12701" s="3">
        <v>86</v>
      </c>
      <c r="M12701" s="3">
        <v>368</v>
      </c>
    </row>
    <row r="12702" spans="1:13" x14ac:dyDescent="0.25">
      <c r="A12702" s="1" t="str">
        <f>HYPERLINK("http://www.rosaceae.org/Prunus/Prunus_persica/p.persica_gdr_reftransV1_0044991","p.persica_gdr_reftransV1_0044991")</f>
        <v>p.persica_gdr_reftransV1_0044991</v>
      </c>
      <c r="B12702" s="3">
        <v>394</v>
      </c>
      <c r="C12702" s="1" t="str">
        <f>HYPERLINK("http://www.uniprot.org/uniprot/AB9B_ARATH","AB9B_ARATH")</f>
        <v>AB9B_ARATH</v>
      </c>
      <c r="D12702" t="s">
        <v>8706</v>
      </c>
      <c r="E12702" s="3" t="s">
        <v>3</v>
      </c>
      <c r="F12702" s="4">
        <v>2.8099999999999999E-37</v>
      </c>
      <c r="G12702" s="3">
        <v>352</v>
      </c>
      <c r="H12702" s="3">
        <v>64</v>
      </c>
      <c r="I12702" s="3">
        <v>99</v>
      </c>
      <c r="J12702" s="3">
        <v>96</v>
      </c>
      <c r="K12702" s="3">
        <v>392</v>
      </c>
      <c r="L12702" s="3">
        <v>13</v>
      </c>
      <c r="M12702" s="3">
        <v>111</v>
      </c>
    </row>
    <row r="12703" spans="1:13" x14ac:dyDescent="0.25">
      <c r="A12703" s="1" t="str">
        <f>HYPERLINK("http://www.rosaceae.org/Prunus/Prunus_persica/p.persica_gdr_reftransV1_0045141","p.persica_gdr_reftransV1_0045141")</f>
        <v>p.persica_gdr_reftransV1_0045141</v>
      </c>
      <c r="B12703" s="3">
        <v>867</v>
      </c>
      <c r="C12703" s="1" t="str">
        <f>HYPERLINK("http://www.uniprot.org/uniprot/RL183_ARATH","RL183_ARATH")</f>
        <v>RL183_ARATH</v>
      </c>
      <c r="D12703" t="s">
        <v>1164</v>
      </c>
      <c r="E12703" s="3" t="s">
        <v>3</v>
      </c>
      <c r="F12703" s="4">
        <v>3.6799999999999999E-116</v>
      </c>
      <c r="G12703" s="3">
        <v>869</v>
      </c>
      <c r="H12703" s="3">
        <v>87</v>
      </c>
      <c r="I12703" s="3">
        <v>187</v>
      </c>
      <c r="J12703" s="3">
        <v>245</v>
      </c>
      <c r="K12703" s="3">
        <v>805</v>
      </c>
      <c r="L12703" s="3">
        <v>1</v>
      </c>
      <c r="M12703" s="3">
        <v>187</v>
      </c>
    </row>
    <row r="12704" spans="1:13" x14ac:dyDescent="0.25">
      <c r="A12704" s="1" t="str">
        <f>HYPERLINK("http://www.rosaceae.org/Prunus/Prunus_persica/p.persica_gdr_reftransV1_0045241","p.persica_gdr_reftransV1_0045241")</f>
        <v>p.persica_gdr_reftransV1_0045241</v>
      </c>
      <c r="B12704" s="3">
        <v>491</v>
      </c>
      <c r="C12704" s="1" t="str">
        <f>HYPERLINK("http://www.uniprot.org/uniprot/LYM4B_SALSA","LYM4B_SALSA")</f>
        <v>LYM4B_SALSA</v>
      </c>
      <c r="D12704" t="s">
        <v>8707</v>
      </c>
      <c r="E12704" s="3" t="s">
        <v>628</v>
      </c>
      <c r="F12704" s="4">
        <v>5.6900000000000002E-12</v>
      </c>
      <c r="G12704" s="3">
        <v>151</v>
      </c>
      <c r="H12704" s="3">
        <v>36</v>
      </c>
      <c r="I12704" s="3">
        <v>76</v>
      </c>
      <c r="J12704" s="3">
        <v>187</v>
      </c>
      <c r="K12704" s="3">
        <v>414</v>
      </c>
      <c r="L12704" s="3">
        <v>7</v>
      </c>
      <c r="M12704" s="3">
        <v>82</v>
      </c>
    </row>
    <row r="12705" spans="1:13" x14ac:dyDescent="0.25">
      <c r="A12705" s="1" t="str">
        <f>HYPERLINK("http://www.rosaceae.org/Prunus/Prunus_persica/p.persica_gdr_reftransV1_0045291","p.persica_gdr_reftransV1_0045291")</f>
        <v>p.persica_gdr_reftransV1_0045291</v>
      </c>
      <c r="B12705" s="3">
        <v>2265</v>
      </c>
      <c r="C12705" s="1" t="str">
        <f>HYPERLINK("http://www.uniprot.org/uniprot/Y1719_ARATH","Y1719_ARATH")</f>
        <v>Y1719_ARATH</v>
      </c>
      <c r="D12705" t="s">
        <v>8708</v>
      </c>
      <c r="E12705" s="3" t="s">
        <v>3</v>
      </c>
      <c r="F12705" s="4">
        <v>0</v>
      </c>
      <c r="G12705" s="3">
        <v>1965</v>
      </c>
      <c r="H12705" s="3">
        <v>68</v>
      </c>
      <c r="I12705" s="3">
        <v>580</v>
      </c>
      <c r="J12705" s="3">
        <v>241</v>
      </c>
      <c r="K12705" s="3">
        <v>1980</v>
      </c>
      <c r="L12705" s="3">
        <v>25</v>
      </c>
      <c r="M12705" s="3">
        <v>599</v>
      </c>
    </row>
    <row r="12706" spans="1:13" x14ac:dyDescent="0.25">
      <c r="A12706" s="1" t="str">
        <f>HYPERLINK("http://www.rosaceae.org/Prunus/Prunus_persica/p.persica_gdr_reftransV1_0045341","p.persica_gdr_reftransV1_0045341")</f>
        <v>p.persica_gdr_reftransV1_0045341</v>
      </c>
      <c r="B12706" s="3">
        <v>1009</v>
      </c>
      <c r="C12706" s="1" t="str">
        <f>HYPERLINK("http://www.uniprot.org/uniprot/4CLL5_ARATH","4CLL5_ARATH")</f>
        <v>4CLL5_ARATH</v>
      </c>
      <c r="D12706" t="s">
        <v>5625</v>
      </c>
      <c r="E12706" s="3" t="s">
        <v>3</v>
      </c>
      <c r="F12706" s="4">
        <v>1.6299999999999999E-88</v>
      </c>
      <c r="G12706" s="3">
        <v>721</v>
      </c>
      <c r="H12706" s="3">
        <v>83</v>
      </c>
      <c r="I12706" s="3">
        <v>153</v>
      </c>
      <c r="J12706" s="3">
        <v>166</v>
      </c>
      <c r="K12706" s="3">
        <v>624</v>
      </c>
      <c r="L12706" s="3">
        <v>389</v>
      </c>
      <c r="M12706" s="3">
        <v>541</v>
      </c>
    </row>
    <row r="12707" spans="1:13" x14ac:dyDescent="0.25">
      <c r="A12707" s="1" t="str">
        <f>HYPERLINK("http://www.rosaceae.org/Prunus/Prunus_persica/p.persica_gdr_reftransV1_0045391","p.persica_gdr_reftransV1_0045391")</f>
        <v>p.persica_gdr_reftransV1_0045391</v>
      </c>
      <c r="B12707" s="3">
        <v>767</v>
      </c>
      <c r="C12707" s="1" t="str">
        <f>HYPERLINK("http://www.uniprot.org/uniprot/Y4885_ARATH","Y4885_ARATH")</f>
        <v>Y4885_ARATH</v>
      </c>
      <c r="D12707" t="s">
        <v>468</v>
      </c>
      <c r="E12707" s="3" t="s">
        <v>3</v>
      </c>
      <c r="F12707" s="4">
        <v>1.08E-54</v>
      </c>
      <c r="G12707" s="3">
        <v>493</v>
      </c>
      <c r="H12707" s="3">
        <v>52</v>
      </c>
      <c r="I12707" s="3">
        <v>198</v>
      </c>
      <c r="J12707" s="3">
        <v>1</v>
      </c>
      <c r="K12707" s="3">
        <v>585</v>
      </c>
      <c r="L12707" s="3">
        <v>859</v>
      </c>
      <c r="M12707" s="3">
        <v>1045</v>
      </c>
    </row>
    <row r="12708" spans="1:13" x14ac:dyDescent="0.25">
      <c r="A12708" s="1" t="str">
        <f>HYPERLINK("http://www.rosaceae.org/Prunus/Prunus_persica/p.persica_gdr_reftransV1_0045441","p.persica_gdr_reftransV1_0045441")</f>
        <v>p.persica_gdr_reftransV1_0045441</v>
      </c>
      <c r="B12708" s="3">
        <v>382</v>
      </c>
      <c r="C12708" s="1" t="str">
        <f>HYPERLINK("http://www.uniprot.org/uniprot/CDI_ARATH","CDI_ARATH")</f>
        <v>CDI_ARATH</v>
      </c>
      <c r="D12708" t="s">
        <v>2296</v>
      </c>
      <c r="E12708" s="3" t="s">
        <v>3</v>
      </c>
      <c r="F12708" s="4">
        <v>4.0600000000000002E-79</v>
      </c>
      <c r="G12708" s="3">
        <v>613</v>
      </c>
      <c r="H12708" s="3">
        <v>86</v>
      </c>
      <c r="I12708" s="3">
        <v>126</v>
      </c>
      <c r="J12708" s="3">
        <v>3</v>
      </c>
      <c r="K12708" s="3">
        <v>380</v>
      </c>
      <c r="L12708" s="3">
        <v>91</v>
      </c>
      <c r="M12708" s="3">
        <v>216</v>
      </c>
    </row>
    <row r="12709" spans="1:13" x14ac:dyDescent="0.25">
      <c r="A12709" s="1" t="str">
        <f>HYPERLINK("http://www.rosaceae.org/Prunus/Prunus_persica/p.persica_gdr_reftransV1_0045491","p.persica_gdr_reftransV1_0045491")</f>
        <v>p.persica_gdr_reftransV1_0045491</v>
      </c>
      <c r="B12709" s="3">
        <v>705</v>
      </c>
      <c r="C12709" s="1" t="str">
        <f>HYPERLINK("http://www.uniprot.org/uniprot/Y1710_ARATH","Y1710_ARATH")</f>
        <v>Y1710_ARATH</v>
      </c>
      <c r="D12709" t="s">
        <v>4644</v>
      </c>
      <c r="E12709" s="3" t="s">
        <v>3</v>
      </c>
      <c r="F12709" s="4">
        <v>1.2999999999999999E-12</v>
      </c>
      <c r="G12709" s="3">
        <v>170</v>
      </c>
      <c r="H12709" s="3">
        <v>77</v>
      </c>
      <c r="I12709" s="3">
        <v>39</v>
      </c>
      <c r="J12709" s="3">
        <v>500</v>
      </c>
      <c r="K12709" s="3">
        <v>616</v>
      </c>
      <c r="L12709" s="3">
        <v>96</v>
      </c>
      <c r="M12709" s="3">
        <v>134</v>
      </c>
    </row>
    <row r="12710" spans="1:13" x14ac:dyDescent="0.25">
      <c r="A12710" s="1" t="str">
        <f>HYPERLINK("http://www.rosaceae.org/Prunus/Prunus_persica/p.persica_gdr_reftransV1_0045541","p.persica_gdr_reftransV1_0045541")</f>
        <v>p.persica_gdr_reftransV1_0045541</v>
      </c>
      <c r="B12710" s="3">
        <v>1063</v>
      </c>
      <c r="C12710" s="1" t="str">
        <f>HYPERLINK("http://www.uniprot.org/uniprot/idD9_ARATH","idD9_ARATH")</f>
        <v>idD9_ARATH</v>
      </c>
      <c r="D12710" t="s">
        <v>8709</v>
      </c>
      <c r="E12710" s="3" t="s">
        <v>3</v>
      </c>
      <c r="F12710" s="4">
        <v>2.9500000000000001E-91</v>
      </c>
      <c r="G12710" s="3">
        <v>734</v>
      </c>
      <c r="H12710" s="3">
        <v>88</v>
      </c>
      <c r="I12710" s="3">
        <v>156</v>
      </c>
      <c r="J12710" s="3">
        <v>147</v>
      </c>
      <c r="K12710" s="3">
        <v>614</v>
      </c>
      <c r="L12710" s="3">
        <v>39</v>
      </c>
      <c r="M12710" s="3">
        <v>194</v>
      </c>
    </row>
    <row r="12711" spans="1:13" x14ac:dyDescent="0.25">
      <c r="A12711" s="1" t="str">
        <f>HYPERLINK("http://www.rosaceae.org/Prunus/Prunus_persica/p.persica_gdr_reftransV1_0045591","p.persica_gdr_reftransV1_0045591")</f>
        <v>p.persica_gdr_reftransV1_0045591</v>
      </c>
      <c r="B12711" s="3">
        <v>565</v>
      </c>
      <c r="C12711" s="1" t="str">
        <f>HYPERLINK("http://www.uniprot.org/uniprot/RANB1_TOBAC","RANB1_TOBAC")</f>
        <v>RANB1_TOBAC</v>
      </c>
      <c r="D12711" t="s">
        <v>8710</v>
      </c>
      <c r="E12711" s="3" t="s">
        <v>200</v>
      </c>
      <c r="F12711" s="4">
        <v>6.8099999999999999E-101</v>
      </c>
      <c r="G12711" s="3">
        <v>760</v>
      </c>
      <c r="H12711" s="3">
        <v>100</v>
      </c>
      <c r="I12711" s="3">
        <v>138</v>
      </c>
      <c r="J12711" s="3">
        <v>2</v>
      </c>
      <c r="K12711" s="3">
        <v>415</v>
      </c>
      <c r="L12711" s="3">
        <v>1</v>
      </c>
      <c r="M12711" s="3">
        <v>138</v>
      </c>
    </row>
    <row r="12712" spans="1:13" x14ac:dyDescent="0.25">
      <c r="A12712" s="1" t="str">
        <f>HYPERLINK("http://www.rosaceae.org/Prunus/Prunus_persica/p.persica_gdr_reftransV1_0045691","p.persica_gdr_reftransV1_0045691")</f>
        <v>p.persica_gdr_reftransV1_0045691</v>
      </c>
      <c r="B12712" s="3">
        <v>1917</v>
      </c>
      <c r="C12712" s="1" t="str">
        <f>HYPERLINK("http://www.uniprot.org/uniprot/CCB23_ARATH","CCB23_ARATH")</f>
        <v>CCB23_ARATH</v>
      </c>
      <c r="D12712" t="s">
        <v>8711</v>
      </c>
      <c r="E12712" s="3" t="s">
        <v>3</v>
      </c>
      <c r="F12712" s="4">
        <v>1.46E-161</v>
      </c>
      <c r="G12712" s="3">
        <v>1228</v>
      </c>
      <c r="H12712" s="3">
        <v>55</v>
      </c>
      <c r="I12712" s="3">
        <v>450</v>
      </c>
      <c r="J12712" s="3">
        <v>370</v>
      </c>
      <c r="K12712" s="3">
        <v>1698</v>
      </c>
      <c r="L12712" s="3">
        <v>4</v>
      </c>
      <c r="M12712" s="3">
        <v>429</v>
      </c>
    </row>
    <row r="12713" spans="1:13" x14ac:dyDescent="0.25">
      <c r="A12713" s="1" t="str">
        <f>HYPERLINK("http://www.rosaceae.org/Prunus/Prunus_persica/p.persica_gdr_reftransV1_0045791","p.persica_gdr_reftransV1_0045791")</f>
        <v>p.persica_gdr_reftransV1_0045791</v>
      </c>
      <c r="B12713" s="3">
        <v>1503</v>
      </c>
      <c r="C12713" s="1" t="str">
        <f>HYPERLINK("http://www.uniprot.org/uniprot/HGL2_ARATH","HGL2_ARATH")</f>
        <v>HGL2_ARATH</v>
      </c>
      <c r="D12713" t="s">
        <v>8322</v>
      </c>
      <c r="E12713" s="3" t="s">
        <v>3</v>
      </c>
      <c r="F12713" s="4">
        <v>1.9200000000000002E-154</v>
      </c>
      <c r="G12713" s="3">
        <v>1196</v>
      </c>
      <c r="H12713" s="3">
        <v>70</v>
      </c>
      <c r="I12713" s="3">
        <v>308</v>
      </c>
      <c r="J12713" s="3">
        <v>331</v>
      </c>
      <c r="K12713" s="3">
        <v>1254</v>
      </c>
      <c r="L12713" s="3">
        <v>439</v>
      </c>
      <c r="M12713" s="3">
        <v>746</v>
      </c>
    </row>
    <row r="12714" spans="1:13" x14ac:dyDescent="0.25">
      <c r="A12714" s="1" t="str">
        <f>HYPERLINK("http://www.rosaceae.org/Prunus/Prunus_persica/p.persica_gdr_reftransV1_0045841","p.persica_gdr_reftransV1_0045841")</f>
        <v>p.persica_gdr_reftransV1_0045841</v>
      </c>
      <c r="B12714" s="3">
        <v>913</v>
      </c>
      <c r="C12714" s="1" t="str">
        <f>HYPERLINK("http://www.uniprot.org/uniprot/LSH4_ARATH","LSH4_ARATH")</f>
        <v>LSH4_ARATH</v>
      </c>
      <c r="D12714" t="s">
        <v>8712</v>
      </c>
      <c r="E12714" s="3" t="s">
        <v>3</v>
      </c>
      <c r="F12714" s="4">
        <v>2.1800000000000001E-68</v>
      </c>
      <c r="G12714" s="3">
        <v>554</v>
      </c>
      <c r="H12714" s="3">
        <v>95</v>
      </c>
      <c r="I12714" s="3">
        <v>127</v>
      </c>
      <c r="J12714" s="3">
        <v>16</v>
      </c>
      <c r="K12714" s="3">
        <v>396</v>
      </c>
      <c r="L12714" s="3">
        <v>46</v>
      </c>
      <c r="M12714" s="3">
        <v>172</v>
      </c>
    </row>
    <row r="12715" spans="1:13" x14ac:dyDescent="0.25">
      <c r="A12715" s="1" t="str">
        <f>HYPERLINK("http://www.rosaceae.org/Prunus/Prunus_persica/p.persica_gdr_reftransV1_0045991","p.persica_gdr_reftransV1_0045991")</f>
        <v>p.persica_gdr_reftransV1_0045991</v>
      </c>
      <c r="B12715" s="3">
        <v>1007</v>
      </c>
      <c r="C12715" s="1" t="str">
        <f>HYPERLINK("http://www.uniprot.org/uniprot/CX6B1_ARATH","CX6B1_ARATH")</f>
        <v>CX6B1_ARATH</v>
      </c>
      <c r="D12715" t="s">
        <v>4431</v>
      </c>
      <c r="E12715" s="3" t="s">
        <v>3</v>
      </c>
      <c r="F12715" s="4">
        <v>2.8300000000000001E-54</v>
      </c>
      <c r="G12715" s="3">
        <v>462</v>
      </c>
      <c r="H12715" s="3">
        <v>56</v>
      </c>
      <c r="I12715" s="3">
        <v>190</v>
      </c>
      <c r="J12715" s="3">
        <v>121</v>
      </c>
      <c r="K12715" s="3">
        <v>669</v>
      </c>
      <c r="L12715" s="3">
        <v>1</v>
      </c>
      <c r="M12715" s="3">
        <v>190</v>
      </c>
    </row>
    <row r="12716" spans="1:13" x14ac:dyDescent="0.25">
      <c r="A12716" s="1" t="str">
        <f>HYPERLINK("http://www.rosaceae.org/Prunus/Prunus_persica/p.persica_gdr_reftransV1_0046041","p.persica_gdr_reftransV1_0046041")</f>
        <v>p.persica_gdr_reftransV1_0046041</v>
      </c>
      <c r="B12716" s="3">
        <v>1536</v>
      </c>
      <c r="C12716" s="1" t="str">
        <f>HYPERLINK("http://www.uniprot.org/uniprot/D14_ORYSJ","D14_ORYSJ")</f>
        <v>D14_ORYSJ</v>
      </c>
      <c r="D12716" t="s">
        <v>3172</v>
      </c>
      <c r="E12716" s="3" t="s">
        <v>38</v>
      </c>
      <c r="F12716" s="4">
        <v>4.7299999999999998E-76</v>
      </c>
      <c r="G12716" s="3">
        <v>634</v>
      </c>
      <c r="H12716" s="3">
        <v>45</v>
      </c>
      <c r="I12716" s="3">
        <v>251</v>
      </c>
      <c r="J12716" s="3">
        <v>359</v>
      </c>
      <c r="K12716" s="3">
        <v>1111</v>
      </c>
      <c r="L12716" s="3">
        <v>56</v>
      </c>
      <c r="M12716" s="3">
        <v>303</v>
      </c>
    </row>
    <row r="12717" spans="1:13" x14ac:dyDescent="0.25">
      <c r="A12717" s="1" t="str">
        <f>HYPERLINK("http://www.rosaceae.org/Prunus/Prunus_persica/p.persica_gdr_reftransV1_0046141","p.persica_gdr_reftransV1_0046141")</f>
        <v>p.persica_gdr_reftransV1_0046141</v>
      </c>
      <c r="B12717" s="3">
        <v>2751</v>
      </c>
      <c r="C12717" s="1" t="str">
        <f>HYPERLINK("http://www.uniprot.org/uniprot/EFGC2_SOYBN","EFGC2_SOYBN")</f>
        <v>EFGC2_SOYBN</v>
      </c>
      <c r="D12717" t="s">
        <v>8713</v>
      </c>
      <c r="E12717" s="3" t="s">
        <v>307</v>
      </c>
      <c r="F12717" s="4">
        <v>0</v>
      </c>
      <c r="G12717" s="3">
        <v>3490</v>
      </c>
      <c r="H12717" s="3">
        <v>87</v>
      </c>
      <c r="I12717" s="3">
        <v>781</v>
      </c>
      <c r="J12717" s="3">
        <v>241</v>
      </c>
      <c r="K12717" s="3">
        <v>2574</v>
      </c>
      <c r="L12717" s="3">
        <v>3</v>
      </c>
      <c r="M12717" s="3">
        <v>780</v>
      </c>
    </row>
    <row r="12718" spans="1:13" x14ac:dyDescent="0.25">
      <c r="A12718" s="1" t="str">
        <f>HYPERLINK("http://www.rosaceae.org/Prunus/Prunus_persica/p.persica_gdr_reftransV1_0046191","p.persica_gdr_reftransV1_0046191")</f>
        <v>p.persica_gdr_reftransV1_0046191</v>
      </c>
      <c r="B12718" s="3">
        <v>2714</v>
      </c>
      <c r="C12718" s="1" t="str">
        <f>HYPERLINK("http://www.uniprot.org/uniprot/WNK1_ARATH","WNK1_ARATH")</f>
        <v>WNK1_ARATH</v>
      </c>
      <c r="D12718" t="s">
        <v>8714</v>
      </c>
      <c r="E12718" s="3" t="s">
        <v>3</v>
      </c>
      <c r="F12718" s="4">
        <v>0</v>
      </c>
      <c r="G12718" s="3">
        <v>1868</v>
      </c>
      <c r="H12718" s="3">
        <v>54</v>
      </c>
      <c r="I12718" s="3">
        <v>786</v>
      </c>
      <c r="J12718" s="3">
        <v>156</v>
      </c>
      <c r="K12718" s="3">
        <v>2357</v>
      </c>
      <c r="L12718" s="3">
        <v>1</v>
      </c>
      <c r="M12718" s="3">
        <v>699</v>
      </c>
    </row>
    <row r="12719" spans="1:13" x14ac:dyDescent="0.25">
      <c r="A12719" s="1" t="str">
        <f>HYPERLINK("http://www.rosaceae.org/Prunus/Prunus_persica/p.persica_gdr_reftransV1_0046541","p.persica_gdr_reftransV1_0046541")</f>
        <v>p.persica_gdr_reftransV1_0046541</v>
      </c>
      <c r="B12719" s="3">
        <v>321</v>
      </c>
      <c r="C12719" s="1" t="str">
        <f>HYPERLINK("http://www.uniprot.org/uniprot/ESR2_ARATH","ESR2_ARATH")</f>
        <v>ESR2_ARATH</v>
      </c>
      <c r="D12719" t="s">
        <v>8715</v>
      </c>
      <c r="E12719" s="3" t="s">
        <v>3</v>
      </c>
      <c r="F12719" s="4">
        <v>9.9900000000000001E-8</v>
      </c>
      <c r="G12719" s="3">
        <v>124</v>
      </c>
      <c r="H12719" s="3">
        <v>96</v>
      </c>
      <c r="I12719" s="3">
        <v>25</v>
      </c>
      <c r="J12719" s="3">
        <v>3</v>
      </c>
      <c r="K12719" s="3">
        <v>77</v>
      </c>
      <c r="L12719" s="3">
        <v>70</v>
      </c>
      <c r="M12719" s="3">
        <v>94</v>
      </c>
    </row>
    <row r="12720" spans="1:13" x14ac:dyDescent="0.25">
      <c r="A12720" s="1" t="str">
        <f>HYPERLINK("http://www.rosaceae.org/Prunus/Prunus_persica/p.persica_gdr_reftransV1_0046641","p.persica_gdr_reftransV1_0046641")</f>
        <v>p.persica_gdr_reftransV1_0046641</v>
      </c>
      <c r="B12720" s="3">
        <v>786</v>
      </c>
      <c r="C12720" s="1" t="str">
        <f>HYPERLINK("http://www.uniprot.org/uniprot/HA22K_ARATH","HA22K_ARATH")</f>
        <v>HA22K_ARATH</v>
      </c>
      <c r="D12720" t="s">
        <v>5216</v>
      </c>
      <c r="E12720" s="3" t="s">
        <v>3</v>
      </c>
      <c r="F12720" s="4">
        <v>6.6499999999999998E-75</v>
      </c>
      <c r="G12720" s="3">
        <v>594</v>
      </c>
      <c r="H12720" s="3">
        <v>57</v>
      </c>
      <c r="I12720" s="3">
        <v>188</v>
      </c>
      <c r="J12720" s="3">
        <v>46</v>
      </c>
      <c r="K12720" s="3">
        <v>606</v>
      </c>
      <c r="L12720" s="3">
        <v>17</v>
      </c>
      <c r="M12720" s="3">
        <v>197</v>
      </c>
    </row>
    <row r="12721" spans="1:13" x14ac:dyDescent="0.25">
      <c r="A12721" s="1" t="str">
        <f>HYPERLINK("http://www.rosaceae.org/Prunus/Prunus_persica/p.persica_gdr_reftransV1_0046741","p.persica_gdr_reftransV1_0046741")</f>
        <v>p.persica_gdr_reftransV1_0046741</v>
      </c>
      <c r="B12721" s="3">
        <v>428</v>
      </c>
      <c r="C12721" s="1" t="str">
        <f>HYPERLINK("http://www.uniprot.org/uniprot/METE2_ORYSJ","METE2_ORYSJ")</f>
        <v>METE2_ORYSJ</v>
      </c>
      <c r="D12721" t="s">
        <v>8716</v>
      </c>
      <c r="E12721" s="3" t="s">
        <v>38</v>
      </c>
      <c r="F12721" s="4">
        <v>4.76E-59</v>
      </c>
      <c r="G12721" s="3">
        <v>494</v>
      </c>
      <c r="H12721" s="3">
        <v>81</v>
      </c>
      <c r="I12721" s="3">
        <v>118</v>
      </c>
      <c r="J12721" s="3">
        <v>1</v>
      </c>
      <c r="K12721" s="3">
        <v>351</v>
      </c>
      <c r="L12721" s="3">
        <v>190</v>
      </c>
      <c r="M12721" s="3">
        <v>307</v>
      </c>
    </row>
    <row r="12722" spans="1:13" x14ac:dyDescent="0.25">
      <c r="A12722" s="1" t="str">
        <f>HYPERLINK("http://www.rosaceae.org/Prunus/Prunus_persica/p.persica_gdr_reftransV1_0046791","p.persica_gdr_reftransV1_0046791")</f>
        <v>p.persica_gdr_reftransV1_0046791</v>
      </c>
      <c r="B12722" s="3">
        <v>615</v>
      </c>
      <c r="C12722" s="1" t="str">
        <f>HYPERLINK("http://www.uniprot.org/uniprot/R13L1_ARATH","R13L1_ARATH")</f>
        <v>R13L1_ARATH</v>
      </c>
      <c r="D12722" t="s">
        <v>100</v>
      </c>
      <c r="E12722" s="3" t="s">
        <v>3</v>
      </c>
      <c r="F12722" s="4">
        <v>2.1400000000000001E-43</v>
      </c>
      <c r="G12722" s="3">
        <v>405</v>
      </c>
      <c r="H12722" s="3">
        <v>44</v>
      </c>
      <c r="I12722" s="3">
        <v>205</v>
      </c>
      <c r="J12722" s="3">
        <v>1</v>
      </c>
      <c r="K12722" s="3">
        <v>591</v>
      </c>
      <c r="L12722" s="3">
        <v>612</v>
      </c>
      <c r="M12722" s="3">
        <v>816</v>
      </c>
    </row>
    <row r="12723" spans="1:13" x14ac:dyDescent="0.25">
      <c r="A12723" s="1" t="str">
        <f>HYPERLINK("http://www.rosaceae.org/Prunus/Prunus_persica/p.persica_gdr_reftransV1_0046891","p.persica_gdr_reftransV1_0046891")</f>
        <v>p.persica_gdr_reftransV1_0046891</v>
      </c>
      <c r="B12723" s="3">
        <v>1920</v>
      </c>
      <c r="C12723" s="1" t="str">
        <f>HYPERLINK("http://www.uniprot.org/uniprot/MMSA_HUMAN","MMSA_HUMAN")</f>
        <v>MMSA_HUMAN</v>
      </c>
      <c r="D12723" t="s">
        <v>8717</v>
      </c>
      <c r="E12723" s="3" t="s">
        <v>28</v>
      </c>
      <c r="F12723" s="4">
        <v>2.18E-176</v>
      </c>
      <c r="G12723" s="3">
        <v>840</v>
      </c>
      <c r="H12723" s="3">
        <v>64</v>
      </c>
      <c r="I12723" s="3">
        <v>233</v>
      </c>
      <c r="J12723" s="3">
        <v>296</v>
      </c>
      <c r="K12723" s="3">
        <v>994</v>
      </c>
      <c r="L12723" s="3">
        <v>285</v>
      </c>
      <c r="M12723" s="3">
        <v>517</v>
      </c>
    </row>
    <row r="12724" spans="1:13" x14ac:dyDescent="0.25">
      <c r="A12724" s="1" t="str">
        <f>HYPERLINK("http://www.rosaceae.org/Prunus/Prunus_persica/p.persica_gdr_reftransV1_0046941","p.persica_gdr_reftransV1_0046941")</f>
        <v>p.persica_gdr_reftransV1_0046941</v>
      </c>
      <c r="B12724" s="3">
        <v>2107</v>
      </c>
      <c r="C12724" s="1" t="str">
        <f>HYPERLINK("http://www.uniprot.org/uniprot/Y3236_ARATH","Y3236_ARATH")</f>
        <v>Y3236_ARATH</v>
      </c>
      <c r="D12724" t="s">
        <v>1074</v>
      </c>
      <c r="E12724" s="3" t="s">
        <v>3</v>
      </c>
      <c r="F12724" s="4">
        <v>1.3000000000000001E-8</v>
      </c>
      <c r="G12724" s="3">
        <v>149</v>
      </c>
      <c r="H12724" s="3">
        <v>25</v>
      </c>
      <c r="I12724" s="3">
        <v>228</v>
      </c>
      <c r="J12724" s="3">
        <v>1137</v>
      </c>
      <c r="K12724" s="3">
        <v>1802</v>
      </c>
      <c r="L12724" s="3">
        <v>254</v>
      </c>
      <c r="M12724" s="3">
        <v>478</v>
      </c>
    </row>
    <row r="12725" spans="1:13" x14ac:dyDescent="0.25">
      <c r="A12725" s="1" t="str">
        <f>HYPERLINK("http://www.rosaceae.org/Prunus/Prunus_persica/p.persica_gdr_reftransV1_0047041","p.persica_gdr_reftransV1_0047041")</f>
        <v>p.persica_gdr_reftransV1_0047041</v>
      </c>
      <c r="B12725" s="3">
        <v>2102</v>
      </c>
      <c r="C12725" s="1" t="str">
        <f>HYPERLINK("http://www.uniprot.org/uniprot/PDI16_ARATH","PDI16_ARATH")</f>
        <v>PDI16_ARATH</v>
      </c>
      <c r="D12725" t="s">
        <v>5615</v>
      </c>
      <c r="E12725" s="3" t="s">
        <v>3</v>
      </c>
      <c r="F12725" s="4">
        <v>0</v>
      </c>
      <c r="G12725" s="3">
        <v>1673</v>
      </c>
      <c r="H12725" s="3">
        <v>65</v>
      </c>
      <c r="I12725" s="3">
        <v>464</v>
      </c>
      <c r="J12725" s="3">
        <v>329</v>
      </c>
      <c r="K12725" s="3">
        <v>1717</v>
      </c>
      <c r="L12725" s="3">
        <v>70</v>
      </c>
      <c r="M12725" s="3">
        <v>533</v>
      </c>
    </row>
    <row r="12726" spans="1:13" x14ac:dyDescent="0.25">
      <c r="A12726" s="1" t="str">
        <f>HYPERLINK("http://www.rosaceae.org/Prunus/Prunus_persica/p.persica_gdr_reftransV1_0047091","p.persica_gdr_reftransV1_0047091")</f>
        <v>p.persica_gdr_reftransV1_0047091</v>
      </c>
      <c r="B12726" s="3">
        <v>2161</v>
      </c>
      <c r="C12726" s="1" t="str">
        <f>HYPERLINK("http://www.uniprot.org/uniprot/HSDD2_ARATH","HSDD2_ARATH")</f>
        <v>HSDD2_ARATH</v>
      </c>
      <c r="D12726" t="s">
        <v>8718</v>
      </c>
      <c r="E12726" s="3" t="s">
        <v>3</v>
      </c>
      <c r="F12726" s="4">
        <v>0</v>
      </c>
      <c r="G12726" s="3">
        <v>2129</v>
      </c>
      <c r="H12726" s="3">
        <v>69</v>
      </c>
      <c r="I12726" s="3">
        <v>559</v>
      </c>
      <c r="J12726" s="3">
        <v>268</v>
      </c>
      <c r="K12726" s="3">
        <v>1944</v>
      </c>
      <c r="L12726" s="3">
        <v>4</v>
      </c>
      <c r="M12726" s="3">
        <v>562</v>
      </c>
    </row>
    <row r="12727" spans="1:13" x14ac:dyDescent="0.25">
      <c r="A12727" s="1" t="str">
        <f>HYPERLINK("http://www.rosaceae.org/Prunus/Prunus_persica/p.persica_gdr_reftransV1_0047241","p.persica_gdr_reftransV1_0047241")</f>
        <v>p.persica_gdr_reftransV1_0047241</v>
      </c>
      <c r="B12727" s="3">
        <v>1111</v>
      </c>
      <c r="C12727" s="1" t="str">
        <f>HYPERLINK("http://www.uniprot.org/uniprot/RS5_CICAR","RS5_CICAR")</f>
        <v>RS5_CICAR</v>
      </c>
      <c r="D12727" t="s">
        <v>943</v>
      </c>
      <c r="E12727" s="3" t="s">
        <v>944</v>
      </c>
      <c r="F12727" s="4">
        <v>2.0800000000000001E-118</v>
      </c>
      <c r="G12727" s="3">
        <v>893</v>
      </c>
      <c r="H12727" s="3">
        <v>95</v>
      </c>
      <c r="I12727" s="3">
        <v>177</v>
      </c>
      <c r="J12727" s="3">
        <v>280</v>
      </c>
      <c r="K12727" s="3">
        <v>810</v>
      </c>
      <c r="L12727" s="3">
        <v>21</v>
      </c>
      <c r="M12727" s="3">
        <v>197</v>
      </c>
    </row>
    <row r="12728" spans="1:13" x14ac:dyDescent="0.25">
      <c r="A12728" s="1" t="str">
        <f>HYPERLINK("http://www.rosaceae.org/Prunus/Prunus_persica/p.persica_gdr_reftransV1_0047341","p.persica_gdr_reftransV1_0047341")</f>
        <v>p.persica_gdr_reftransV1_0047341</v>
      </c>
      <c r="B12728" s="3">
        <v>1079</v>
      </c>
      <c r="C12728" s="1" t="str">
        <f>HYPERLINK("http://www.uniprot.org/uniprot/AHL20_ARATH","AHL20_ARATH")</f>
        <v>AHL20_ARATH</v>
      </c>
      <c r="D12728" t="s">
        <v>5626</v>
      </c>
      <c r="E12728" s="3" t="s">
        <v>3</v>
      </c>
      <c r="F12728" s="4">
        <v>1.6600000000000001E-68</v>
      </c>
      <c r="G12728" s="3">
        <v>568</v>
      </c>
      <c r="H12728" s="3">
        <v>80</v>
      </c>
      <c r="I12728" s="3">
        <v>160</v>
      </c>
      <c r="J12728" s="3">
        <v>481</v>
      </c>
      <c r="K12728" s="3">
        <v>960</v>
      </c>
      <c r="L12728" s="3">
        <v>57</v>
      </c>
      <c r="M12728" s="3">
        <v>216</v>
      </c>
    </row>
    <row r="12729" spans="1:13" x14ac:dyDescent="0.25">
      <c r="A12729" s="1" t="str">
        <f>HYPERLINK("http://www.rosaceae.org/Prunus/Prunus_persica/p.persica_gdr_reftransV1_0047441","p.persica_gdr_reftransV1_0047441")</f>
        <v>p.persica_gdr_reftransV1_0047441</v>
      </c>
      <c r="B12729" s="3">
        <v>1385</v>
      </c>
      <c r="C12729" s="1" t="str">
        <f>HYPERLINK("http://www.uniprot.org/uniprot/PSD7A_ARATH","PSD7A_ARATH")</f>
        <v>PSD7A_ARATH</v>
      </c>
      <c r="D12729" t="s">
        <v>7207</v>
      </c>
      <c r="E12729" s="3" t="s">
        <v>3</v>
      </c>
      <c r="F12729" s="4">
        <v>0</v>
      </c>
      <c r="G12729" s="3">
        <v>1454</v>
      </c>
      <c r="H12729" s="3">
        <v>89</v>
      </c>
      <c r="I12729" s="3">
        <v>308</v>
      </c>
      <c r="J12729" s="3">
        <v>111</v>
      </c>
      <c r="K12729" s="3">
        <v>1034</v>
      </c>
      <c r="L12729" s="3">
        <v>1</v>
      </c>
      <c r="M12729" s="3">
        <v>308</v>
      </c>
    </row>
    <row r="12730" spans="1:13" x14ac:dyDescent="0.25">
      <c r="A12730" s="1" t="str">
        <f>HYPERLINK("http://www.rosaceae.org/Prunus/Prunus_persica/p.persica_gdr_reftransV1_0047541","p.persica_gdr_reftransV1_0047541")</f>
        <v>p.persica_gdr_reftransV1_0047541</v>
      </c>
      <c r="B12730" s="3">
        <v>1794</v>
      </c>
      <c r="C12730" s="1" t="str">
        <f>HYPERLINK("http://www.uniprot.org/uniprot/BRTL3_ARATH","BRTL3_ARATH")</f>
        <v>BRTL3_ARATH</v>
      </c>
      <c r="D12730" t="s">
        <v>4337</v>
      </c>
      <c r="E12730" s="3" t="s">
        <v>3</v>
      </c>
      <c r="F12730" s="4">
        <v>1.6299999999999999E-174</v>
      </c>
      <c r="G12730" s="3">
        <v>1310</v>
      </c>
      <c r="H12730" s="3">
        <v>73</v>
      </c>
      <c r="I12730" s="3">
        <v>366</v>
      </c>
      <c r="J12730" s="3">
        <v>622</v>
      </c>
      <c r="K12730" s="3">
        <v>1695</v>
      </c>
      <c r="L12730" s="3">
        <v>73</v>
      </c>
      <c r="M12730" s="3">
        <v>427</v>
      </c>
    </row>
    <row r="12731" spans="1:13" x14ac:dyDescent="0.25">
      <c r="A12731" s="1" t="str">
        <f>HYPERLINK("http://www.rosaceae.org/Prunus/Prunus_persica/p.persica_gdr_reftransV1_0047591","p.persica_gdr_reftransV1_0047591")</f>
        <v>p.persica_gdr_reftransV1_0047591</v>
      </c>
      <c r="B12731" s="3">
        <v>2185</v>
      </c>
      <c r="C12731" s="1" t="str">
        <f>HYPERLINK("http://www.uniprot.org/uniprot/YGI3_SCHPO","YGI3_SCHPO")</f>
        <v>YGI3_SCHPO</v>
      </c>
      <c r="D12731" t="s">
        <v>567</v>
      </c>
      <c r="E12731" s="3" t="s">
        <v>464</v>
      </c>
      <c r="F12731" s="4">
        <v>2.6299999999999999E-31</v>
      </c>
      <c r="G12731" s="3">
        <v>329</v>
      </c>
      <c r="H12731" s="3">
        <v>28</v>
      </c>
      <c r="I12731" s="3">
        <v>391</v>
      </c>
      <c r="J12731" s="3">
        <v>448</v>
      </c>
      <c r="K12731" s="3">
        <v>1614</v>
      </c>
      <c r="L12731" s="3">
        <v>54</v>
      </c>
      <c r="M12731" s="3">
        <v>416</v>
      </c>
    </row>
    <row r="12732" spans="1:13" x14ac:dyDescent="0.25">
      <c r="A12732" s="1" t="str">
        <f>HYPERLINK("http://www.rosaceae.org/Prunus/Prunus_persica/p.persica_gdr_reftransV1_0047641","p.persica_gdr_reftransV1_0047641")</f>
        <v>p.persica_gdr_reftransV1_0047641</v>
      </c>
      <c r="B12732" s="3">
        <v>968</v>
      </c>
      <c r="C12732" s="1" t="str">
        <f>HYPERLINK("http://www.uniprot.org/uniprot/RGLB_ASPNC","RGLB_ASPNC")</f>
        <v>RGLB_ASPNC</v>
      </c>
      <c r="D12732" t="s">
        <v>8719</v>
      </c>
      <c r="E12732" s="3" t="s">
        <v>8720</v>
      </c>
      <c r="F12732" s="4">
        <v>8.4700000000000008E-15</v>
      </c>
      <c r="G12732" s="3">
        <v>192</v>
      </c>
      <c r="H12732" s="3">
        <v>28</v>
      </c>
      <c r="I12732" s="3">
        <v>304</v>
      </c>
      <c r="J12732" s="3">
        <v>1</v>
      </c>
      <c r="K12732" s="3">
        <v>816</v>
      </c>
      <c r="L12732" s="3">
        <v>341</v>
      </c>
      <c r="M12732" s="3">
        <v>621</v>
      </c>
    </row>
    <row r="12733" spans="1:13" x14ac:dyDescent="0.25">
      <c r="A12733" s="1" t="str">
        <f>HYPERLINK("http://www.rosaceae.org/Prunus/Prunus_persica/p.persica_gdr_reftransV1_0047691","p.persica_gdr_reftransV1_0047691")</f>
        <v>p.persica_gdr_reftransV1_0047691</v>
      </c>
      <c r="B12733" s="3">
        <v>1347</v>
      </c>
      <c r="C12733" s="1" t="str">
        <f>HYPERLINK("http://www.uniprot.org/uniprot/EXD1_MOUSE","EXD1_MOUSE")</f>
        <v>EXD1_MOUSE</v>
      </c>
      <c r="D12733" t="s">
        <v>5793</v>
      </c>
      <c r="E12733" s="3" t="s">
        <v>157</v>
      </c>
      <c r="F12733" s="4">
        <v>9.5200000000000009E-16</v>
      </c>
      <c r="G12733" s="3">
        <v>204</v>
      </c>
      <c r="H12733" s="3">
        <v>34</v>
      </c>
      <c r="I12733" s="3">
        <v>165</v>
      </c>
      <c r="J12733" s="3">
        <v>224</v>
      </c>
      <c r="K12733" s="3">
        <v>697</v>
      </c>
      <c r="L12733" s="3">
        <v>153</v>
      </c>
      <c r="M12733" s="3">
        <v>312</v>
      </c>
    </row>
    <row r="12734" spans="1:13" x14ac:dyDescent="0.25">
      <c r="A12734" s="1" t="str">
        <f>HYPERLINK("http://www.rosaceae.org/Prunus/Prunus_persica/p.persica_gdr_reftransV1_0047741","p.persica_gdr_reftransV1_0047741")</f>
        <v>p.persica_gdr_reftransV1_0047741</v>
      </c>
      <c r="B12734" s="3">
        <v>1704</v>
      </c>
      <c r="C12734" s="1" t="str">
        <f>HYPERLINK("http://www.uniprot.org/uniprot/DNJH_CUCSA","DNJH_CUCSA")</f>
        <v>DNJH_CUCSA</v>
      </c>
      <c r="D12734" t="s">
        <v>6442</v>
      </c>
      <c r="E12734" s="3" t="s">
        <v>1149</v>
      </c>
      <c r="F12734" s="4">
        <v>0</v>
      </c>
      <c r="G12734" s="3">
        <v>1731</v>
      </c>
      <c r="H12734" s="3">
        <v>94</v>
      </c>
      <c r="I12734" s="3">
        <v>417</v>
      </c>
      <c r="J12734" s="3">
        <v>198</v>
      </c>
      <c r="K12734" s="3">
        <v>1448</v>
      </c>
      <c r="L12734" s="3">
        <v>1</v>
      </c>
      <c r="M12734" s="3">
        <v>413</v>
      </c>
    </row>
    <row r="12735" spans="1:13" x14ac:dyDescent="0.25">
      <c r="A12735" s="1" t="str">
        <f>HYPERLINK("http://www.rosaceae.org/Prunus/Prunus_persica/p.persica_gdr_reftransV1_0047791","p.persica_gdr_reftransV1_0047791")</f>
        <v>p.persica_gdr_reftransV1_0047791</v>
      </c>
      <c r="B12735" s="3">
        <v>1046</v>
      </c>
      <c r="C12735" s="1" t="str">
        <f>HYPERLINK("http://www.uniprot.org/uniprot/TMN12_ARATH","TMN12_ARATH")</f>
        <v>TMN12_ARATH</v>
      </c>
      <c r="D12735" t="s">
        <v>5805</v>
      </c>
      <c r="E12735" s="3" t="s">
        <v>3</v>
      </c>
      <c r="F12735" s="4">
        <v>8.7000000000000001E-119</v>
      </c>
      <c r="G12735" s="3">
        <v>934</v>
      </c>
      <c r="H12735" s="3">
        <v>90</v>
      </c>
      <c r="I12735" s="3">
        <v>220</v>
      </c>
      <c r="J12735" s="3">
        <v>3</v>
      </c>
      <c r="K12735" s="3">
        <v>662</v>
      </c>
      <c r="L12735" s="3">
        <v>433</v>
      </c>
      <c r="M12735" s="3">
        <v>652</v>
      </c>
    </row>
    <row r="12736" spans="1:13" x14ac:dyDescent="0.25">
      <c r="A12736" s="1" t="str">
        <f>HYPERLINK("http://www.rosaceae.org/Prunus/Prunus_persica/p.persica_gdr_reftransV1_0047841","p.persica_gdr_reftransV1_0047841")</f>
        <v>p.persica_gdr_reftransV1_0047841</v>
      </c>
      <c r="B12736" s="3">
        <v>1147</v>
      </c>
      <c r="C12736" s="1" t="str">
        <f>HYPERLINK("http://www.uniprot.org/uniprot/CB23_ORYSJ","CB23_ORYSJ")</f>
        <v>CB23_ORYSJ</v>
      </c>
      <c r="D12736" t="s">
        <v>8721</v>
      </c>
      <c r="E12736" s="3" t="s">
        <v>38</v>
      </c>
      <c r="F12736" s="4">
        <v>1.9299999999999999E-123</v>
      </c>
      <c r="G12736" s="3">
        <v>934</v>
      </c>
      <c r="H12736" s="3">
        <v>85</v>
      </c>
      <c r="I12736" s="3">
        <v>235</v>
      </c>
      <c r="J12736" s="3">
        <v>275</v>
      </c>
      <c r="K12736" s="3">
        <v>967</v>
      </c>
      <c r="L12736" s="3">
        <v>29</v>
      </c>
      <c r="M12736" s="3">
        <v>263</v>
      </c>
    </row>
    <row r="12737" spans="1:13" x14ac:dyDescent="0.25">
      <c r="A12737" s="1" t="str">
        <f>HYPERLINK("http://www.rosaceae.org/Prunus/Prunus_persica/p.persica_gdr_reftransV1_0048041","p.persica_gdr_reftransV1_0048041")</f>
        <v>p.persica_gdr_reftransV1_0048041</v>
      </c>
      <c r="B12737" s="3">
        <v>1773</v>
      </c>
      <c r="C12737" s="1" t="str">
        <f>HYPERLINK("http://www.uniprot.org/uniprot/C14A1_ARATH","C14A1_ARATH")</f>
        <v>C14A1_ARATH</v>
      </c>
      <c r="D12737" t="s">
        <v>3975</v>
      </c>
      <c r="E12737" s="3" t="s">
        <v>3</v>
      </c>
      <c r="F12737" s="4">
        <v>0</v>
      </c>
      <c r="G12737" s="3">
        <v>1639</v>
      </c>
      <c r="H12737" s="3">
        <v>61</v>
      </c>
      <c r="I12737" s="3">
        <v>503</v>
      </c>
      <c r="J12737" s="3">
        <v>140</v>
      </c>
      <c r="K12737" s="3">
        <v>1603</v>
      </c>
      <c r="L12737" s="3">
        <v>27</v>
      </c>
      <c r="M12737" s="3">
        <v>529</v>
      </c>
    </row>
    <row r="12738" spans="1:13" x14ac:dyDescent="0.25">
      <c r="A12738" s="1" t="str">
        <f>HYPERLINK("http://www.rosaceae.org/Prunus/Prunus_persica/p.persica_gdr_reftransV1_0048091","p.persica_gdr_reftransV1_0048091")</f>
        <v>p.persica_gdr_reftransV1_0048091</v>
      </c>
      <c r="B12738" s="3">
        <v>2968</v>
      </c>
      <c r="C12738" s="1" t="str">
        <f>HYPERLINK("http://www.uniprot.org/uniprot/GOGC4_ARATH","GOGC4_ARATH")</f>
        <v>GOGC4_ARATH</v>
      </c>
      <c r="D12738" t="s">
        <v>8722</v>
      </c>
      <c r="E12738" s="3" t="s">
        <v>3</v>
      </c>
      <c r="F12738" s="4">
        <v>0</v>
      </c>
      <c r="G12738" s="3">
        <v>1706</v>
      </c>
      <c r="H12738" s="3">
        <v>53</v>
      </c>
      <c r="I12738" s="3">
        <v>789</v>
      </c>
      <c r="J12738" s="3">
        <v>293</v>
      </c>
      <c r="K12738" s="3">
        <v>2641</v>
      </c>
      <c r="L12738" s="3">
        <v>1</v>
      </c>
      <c r="M12738" s="3">
        <v>724</v>
      </c>
    </row>
    <row r="12739" spans="1:13" x14ac:dyDescent="0.25">
      <c r="A12739" s="1" t="str">
        <f>HYPERLINK("http://www.rosaceae.org/Prunus/Prunus_persica/p.persica_gdr_reftransV1_0048191","p.persica_gdr_reftransV1_0048191")</f>
        <v>p.persica_gdr_reftransV1_0048191</v>
      </c>
      <c r="B12739" s="3">
        <v>1024</v>
      </c>
      <c r="C12739" s="1" t="str">
        <f>HYPERLINK("http://www.uniprot.org/uniprot/UBC4_SOLLC","UBC4_SOLLC")</f>
        <v>UBC4_SOLLC</v>
      </c>
      <c r="D12739" t="s">
        <v>5556</v>
      </c>
      <c r="E12739" s="3" t="s">
        <v>64</v>
      </c>
      <c r="F12739" s="4">
        <v>8.29E-103</v>
      </c>
      <c r="G12739" s="3">
        <v>782</v>
      </c>
      <c r="H12739" s="3">
        <v>99</v>
      </c>
      <c r="I12739" s="3">
        <v>148</v>
      </c>
      <c r="J12739" s="3">
        <v>459</v>
      </c>
      <c r="K12739" s="3">
        <v>902</v>
      </c>
      <c r="L12739" s="3">
        <v>1</v>
      </c>
      <c r="M12739" s="3">
        <v>148</v>
      </c>
    </row>
    <row r="12740" spans="1:13" x14ac:dyDescent="0.25">
      <c r="A12740" s="1" t="str">
        <f>HYPERLINK("http://www.rosaceae.org/Prunus/Prunus_persica/p.persica_gdr_reftransV1_0048241","p.persica_gdr_reftransV1_0048241")</f>
        <v>p.persica_gdr_reftransV1_0048241</v>
      </c>
      <c r="B12740" s="3">
        <v>1344</v>
      </c>
      <c r="C12740" s="1" t="str">
        <f>HYPERLINK("http://www.uniprot.org/uniprot/ANXD2_ARATH","ANXD2_ARATH")</f>
        <v>ANXD2_ARATH</v>
      </c>
      <c r="D12740" t="s">
        <v>8723</v>
      </c>
      <c r="E12740" s="3" t="s">
        <v>3</v>
      </c>
      <c r="F12740" s="4">
        <v>8.7200000000000005E-151</v>
      </c>
      <c r="G12740" s="3">
        <v>1127</v>
      </c>
      <c r="H12740" s="3">
        <v>71</v>
      </c>
      <c r="I12740" s="3">
        <v>317</v>
      </c>
      <c r="J12740" s="3">
        <v>64</v>
      </c>
      <c r="K12740" s="3">
        <v>1011</v>
      </c>
      <c r="L12740" s="3">
        <v>1</v>
      </c>
      <c r="M12740" s="3">
        <v>317</v>
      </c>
    </row>
    <row r="12741" spans="1:13" x14ac:dyDescent="0.25">
      <c r="A12741" s="1" t="str">
        <f>HYPERLINK("http://www.rosaceae.org/Prunus/Prunus_persica/p.persica_gdr_reftransV1_0048291","p.persica_gdr_reftransV1_0048291")</f>
        <v>p.persica_gdr_reftransV1_0048291</v>
      </c>
      <c r="B12741" s="3">
        <v>1046</v>
      </c>
      <c r="C12741" s="1" t="str">
        <f>HYPERLINK("http://www.uniprot.org/uniprot/CML3_ARATH","CML3_ARATH")</f>
        <v>CML3_ARATH</v>
      </c>
      <c r="D12741" t="s">
        <v>8724</v>
      </c>
      <c r="E12741" s="3" t="s">
        <v>3</v>
      </c>
      <c r="F12741" s="4">
        <v>4.3300000000000001E-76</v>
      </c>
      <c r="G12741" s="3">
        <v>606</v>
      </c>
      <c r="H12741" s="3">
        <v>85</v>
      </c>
      <c r="I12741" s="3">
        <v>151</v>
      </c>
      <c r="J12741" s="3">
        <v>242</v>
      </c>
      <c r="K12741" s="3">
        <v>694</v>
      </c>
      <c r="L12741" s="3">
        <v>2</v>
      </c>
      <c r="M12741" s="3">
        <v>152</v>
      </c>
    </row>
    <row r="12742" spans="1:13" x14ac:dyDescent="0.25">
      <c r="A12742" s="1" t="str">
        <f>HYPERLINK("http://www.rosaceae.org/Prunus/Prunus_persica/p.persica_gdr_reftransV1_0048341","p.persica_gdr_reftransV1_0048341")</f>
        <v>p.persica_gdr_reftransV1_0048341</v>
      </c>
      <c r="B12742" s="3">
        <v>2004</v>
      </c>
      <c r="C12742" s="1" t="str">
        <f>HYPERLINK("http://www.uniprot.org/uniprot/DGAT1_ARATH","DGAT1_ARATH")</f>
        <v>DGAT1_ARATH</v>
      </c>
      <c r="D12742" t="s">
        <v>8725</v>
      </c>
      <c r="E12742" s="3" t="s">
        <v>3</v>
      </c>
      <c r="F12742" s="4">
        <v>0</v>
      </c>
      <c r="G12742" s="3">
        <v>1509</v>
      </c>
      <c r="H12742" s="3">
        <v>78</v>
      </c>
      <c r="I12742" s="3">
        <v>352</v>
      </c>
      <c r="J12742" s="3">
        <v>544</v>
      </c>
      <c r="K12742" s="3">
        <v>1599</v>
      </c>
      <c r="L12742" s="3">
        <v>175</v>
      </c>
      <c r="M12742" s="3">
        <v>518</v>
      </c>
    </row>
    <row r="12743" spans="1:13" x14ac:dyDescent="0.25">
      <c r="A12743" s="1" t="str">
        <f>HYPERLINK("http://www.rosaceae.org/Prunus/Prunus_persica/p.persica_gdr_reftransV1_0048491","p.persica_gdr_reftransV1_0048491")</f>
        <v>p.persica_gdr_reftransV1_0048491</v>
      </c>
      <c r="B12743" s="3">
        <v>447</v>
      </c>
      <c r="C12743" s="1" t="str">
        <f>HYPERLINK("http://www.uniprot.org/uniprot/PGLR4_ARATH","PGLR4_ARATH")</f>
        <v>PGLR4_ARATH</v>
      </c>
      <c r="D12743" t="s">
        <v>4096</v>
      </c>
      <c r="E12743" s="3" t="s">
        <v>3</v>
      </c>
      <c r="F12743" s="4">
        <v>1.0299999999999999E-23</v>
      </c>
      <c r="G12743" s="3">
        <v>247</v>
      </c>
      <c r="H12743" s="3">
        <v>63</v>
      </c>
      <c r="I12743" s="3">
        <v>83</v>
      </c>
      <c r="J12743" s="3">
        <v>197</v>
      </c>
      <c r="K12743" s="3">
        <v>442</v>
      </c>
      <c r="L12743" s="3">
        <v>71</v>
      </c>
      <c r="M12743" s="3">
        <v>152</v>
      </c>
    </row>
    <row r="12744" spans="1:13" x14ac:dyDescent="0.25">
      <c r="A12744" s="1" t="str">
        <f>HYPERLINK("http://www.rosaceae.org/Prunus/Prunus_persica/p.persica_gdr_reftransV1_0048591","p.persica_gdr_reftransV1_0048591")</f>
        <v>p.persica_gdr_reftransV1_0048591</v>
      </c>
      <c r="B12744" s="3">
        <v>4380</v>
      </c>
      <c r="C12744" s="1" t="str">
        <f>HYPERLINK("http://www.uniprot.org/uniprot/CTR1_ARATH","CTR1_ARATH")</f>
        <v>CTR1_ARATH</v>
      </c>
      <c r="D12744" t="s">
        <v>3566</v>
      </c>
      <c r="E12744" s="3" t="s">
        <v>3</v>
      </c>
      <c r="F12744" s="4">
        <v>2.9800000000000002E-47</v>
      </c>
      <c r="G12744" s="3">
        <v>474</v>
      </c>
      <c r="H12744" s="3">
        <v>40</v>
      </c>
      <c r="I12744" s="3">
        <v>273</v>
      </c>
      <c r="J12744" s="3">
        <v>3242</v>
      </c>
      <c r="K12744" s="3">
        <v>4045</v>
      </c>
      <c r="L12744" s="3">
        <v>550</v>
      </c>
      <c r="M12744" s="3">
        <v>808</v>
      </c>
    </row>
    <row r="12745" spans="1:13" x14ac:dyDescent="0.25">
      <c r="A12745" s="1" t="str">
        <f>HYPERLINK("http://www.rosaceae.org/Prunus/Prunus_persica/p.persica_gdr_reftransV1_0048691","p.persica_gdr_reftransV1_0048691")</f>
        <v>p.persica_gdr_reftransV1_0048691</v>
      </c>
      <c r="B12745" s="3">
        <v>1375</v>
      </c>
      <c r="C12745" s="1" t="str">
        <f>HYPERLINK("http://www.uniprot.org/uniprot/SRG1_ARATH","SRG1_ARATH")</f>
        <v>SRG1_ARATH</v>
      </c>
      <c r="D12745" t="s">
        <v>25</v>
      </c>
      <c r="E12745" s="3" t="s">
        <v>3</v>
      </c>
      <c r="F12745" s="4">
        <v>2.9400000000000001E-71</v>
      </c>
      <c r="G12745" s="3">
        <v>601</v>
      </c>
      <c r="H12745" s="3">
        <v>37</v>
      </c>
      <c r="I12745" s="3">
        <v>331</v>
      </c>
      <c r="J12745" s="3">
        <v>255</v>
      </c>
      <c r="K12745" s="3">
        <v>1247</v>
      </c>
      <c r="L12745" s="3">
        <v>30</v>
      </c>
      <c r="M12745" s="3">
        <v>357</v>
      </c>
    </row>
    <row r="12746" spans="1:13" x14ac:dyDescent="0.25">
      <c r="A12746" s="1" t="str">
        <f>HYPERLINK("http://www.rosaceae.org/Prunus/Prunus_persica/p.persica_gdr_reftransV1_0048741","p.persica_gdr_reftransV1_0048741")</f>
        <v>p.persica_gdr_reftransV1_0048741</v>
      </c>
      <c r="B12746" s="3">
        <v>3341</v>
      </c>
      <c r="C12746" s="1" t="str">
        <f>HYPERLINK("http://www.uniprot.org/uniprot/NOT4_YEAST","NOT4_YEAST")</f>
        <v>NOT4_YEAST</v>
      </c>
      <c r="D12746" t="s">
        <v>7528</v>
      </c>
      <c r="E12746" s="3" t="s">
        <v>34</v>
      </c>
      <c r="F12746" s="4">
        <v>1.9399999999999999E-48</v>
      </c>
      <c r="G12746" s="3">
        <v>475</v>
      </c>
      <c r="H12746" s="3">
        <v>36</v>
      </c>
      <c r="I12746" s="3">
        <v>299</v>
      </c>
      <c r="J12746" s="3">
        <v>2415</v>
      </c>
      <c r="K12746" s="3">
        <v>3200</v>
      </c>
      <c r="L12746" s="3">
        <v>20</v>
      </c>
      <c r="M12746" s="3">
        <v>313</v>
      </c>
    </row>
    <row r="12747" spans="1:13" x14ac:dyDescent="0.25">
      <c r="A12747" s="1" t="str">
        <f>HYPERLINK("http://www.rosaceae.org/Prunus/Prunus_persica/p.persica_gdr_reftransV1_0048791","p.persica_gdr_reftransV1_0048791")</f>
        <v>p.persica_gdr_reftransV1_0048791</v>
      </c>
      <c r="B12747" s="3">
        <v>929</v>
      </c>
      <c r="C12747" s="1" t="str">
        <f>HYPERLINK("http://www.uniprot.org/uniprot/MFT_ARATH","MFT_ARATH")</f>
        <v>MFT_ARATH</v>
      </c>
      <c r="D12747" t="s">
        <v>8726</v>
      </c>
      <c r="E12747" s="3" t="s">
        <v>3</v>
      </c>
      <c r="F12747" s="4">
        <v>6.5799999999999997E-93</v>
      </c>
      <c r="G12747" s="3">
        <v>716</v>
      </c>
      <c r="H12747" s="3">
        <v>78</v>
      </c>
      <c r="I12747" s="3">
        <v>169</v>
      </c>
      <c r="J12747" s="3">
        <v>84</v>
      </c>
      <c r="K12747" s="3">
        <v>587</v>
      </c>
      <c r="L12747" s="3">
        <v>5</v>
      </c>
      <c r="M12747" s="3">
        <v>173</v>
      </c>
    </row>
    <row r="12748" spans="1:13" x14ac:dyDescent="0.25">
      <c r="A12748" s="1" t="str">
        <f>HYPERLINK("http://www.rosaceae.org/Prunus/Prunus_persica/p.persica_gdr_reftransV1_0048841","p.persica_gdr_reftransV1_0048841")</f>
        <v>p.persica_gdr_reftransV1_0048841</v>
      </c>
      <c r="B12748" s="3">
        <v>1421</v>
      </c>
      <c r="C12748" s="1" t="str">
        <f>HYPERLINK("http://www.uniprot.org/uniprot/IX15L_ARATH","IX15L_ARATH")</f>
        <v>IX15L_ARATH</v>
      </c>
      <c r="D12748" t="s">
        <v>162</v>
      </c>
      <c r="E12748" s="3" t="s">
        <v>3</v>
      </c>
      <c r="F12748" s="4">
        <v>3.0800000000000001E-148</v>
      </c>
      <c r="G12748" s="3">
        <v>1113</v>
      </c>
      <c r="H12748" s="3">
        <v>65</v>
      </c>
      <c r="I12748" s="3">
        <v>302</v>
      </c>
      <c r="J12748" s="3">
        <v>193</v>
      </c>
      <c r="K12748" s="3">
        <v>1098</v>
      </c>
      <c r="L12748" s="3">
        <v>7</v>
      </c>
      <c r="M12748" s="3">
        <v>306</v>
      </c>
    </row>
    <row r="12749" spans="1:13" x14ac:dyDescent="0.25">
      <c r="A12749" s="1" t="str">
        <f>HYPERLINK("http://www.rosaceae.org/Prunus/Prunus_persica/p.persica_gdr_reftransV1_0048891","p.persica_gdr_reftransV1_0048891")</f>
        <v>p.persica_gdr_reftransV1_0048891</v>
      </c>
      <c r="B12749" s="3">
        <v>1580</v>
      </c>
      <c r="C12749" s="1" t="str">
        <f>HYPERLINK("http://www.uniprot.org/uniprot/RMD5A_XENLA","RMD5A_XENLA")</f>
        <v>RMD5A_XENLA</v>
      </c>
      <c r="D12749" t="s">
        <v>3695</v>
      </c>
      <c r="E12749" s="3" t="s">
        <v>475</v>
      </c>
      <c r="F12749" s="4">
        <v>7.6300000000000007E-65</v>
      </c>
      <c r="G12749" s="3">
        <v>565</v>
      </c>
      <c r="H12749" s="3">
        <v>34</v>
      </c>
      <c r="I12749" s="3">
        <v>402</v>
      </c>
      <c r="J12749" s="3">
        <v>216</v>
      </c>
      <c r="K12749" s="3">
        <v>1376</v>
      </c>
      <c r="L12749" s="3">
        <v>3</v>
      </c>
      <c r="M12749" s="3">
        <v>391</v>
      </c>
    </row>
    <row r="12750" spans="1:13" x14ac:dyDescent="0.25">
      <c r="A12750" s="1" t="str">
        <f>HYPERLINK("http://www.rosaceae.org/Prunus/Prunus_persica/p.persica_gdr_reftransV1_0048991","p.persica_gdr_reftransV1_0048991")</f>
        <v>p.persica_gdr_reftransV1_0048991</v>
      </c>
      <c r="B12750" s="3">
        <v>385</v>
      </c>
      <c r="C12750" s="1" t="str">
        <f>HYPERLINK("http://www.uniprot.org/uniprot/SYLC_ARATH","SYLC_ARATH")</f>
        <v>SYLC_ARATH</v>
      </c>
      <c r="D12750" t="s">
        <v>171</v>
      </c>
      <c r="E12750" s="3" t="s">
        <v>3</v>
      </c>
      <c r="F12750" s="4">
        <v>1.2E-64</v>
      </c>
      <c r="G12750" s="3">
        <v>552</v>
      </c>
      <c r="H12750" s="3">
        <v>78</v>
      </c>
      <c r="I12750" s="3">
        <v>128</v>
      </c>
      <c r="J12750" s="3">
        <v>1</v>
      </c>
      <c r="K12750" s="3">
        <v>384</v>
      </c>
      <c r="L12750" s="3">
        <v>460</v>
      </c>
      <c r="M12750" s="3">
        <v>587</v>
      </c>
    </row>
    <row r="12751" spans="1:13" x14ac:dyDescent="0.25">
      <c r="A12751" s="1" t="str">
        <f>HYPERLINK("http://www.rosaceae.org/Prunus/Prunus_persica/p.persica_gdr_reftransV1_0049041","p.persica_gdr_reftransV1_0049041")</f>
        <v>p.persica_gdr_reftransV1_0049041</v>
      </c>
      <c r="B12751" s="3">
        <v>3969</v>
      </c>
      <c r="C12751" s="1" t="str">
        <f>HYPERLINK("http://www.uniprot.org/uniprot/PEX1_ARATH","PEX1_ARATH")</f>
        <v>PEX1_ARATH</v>
      </c>
      <c r="D12751" t="s">
        <v>5425</v>
      </c>
      <c r="E12751" s="3" t="s">
        <v>3</v>
      </c>
      <c r="F12751" s="4">
        <v>0</v>
      </c>
      <c r="G12751" s="3">
        <v>3251</v>
      </c>
      <c r="H12751" s="3">
        <v>62</v>
      </c>
      <c r="I12751" s="3">
        <v>1142</v>
      </c>
      <c r="J12751" s="3">
        <v>29</v>
      </c>
      <c r="K12751" s="3">
        <v>3433</v>
      </c>
      <c r="L12751" s="3">
        <v>14</v>
      </c>
      <c r="M12751" s="3">
        <v>1130</v>
      </c>
    </row>
    <row r="12752" spans="1:13" x14ac:dyDescent="0.25">
      <c r="A12752" s="1" t="str">
        <f>HYPERLINK("http://www.rosaceae.org/Prunus/Prunus_persica/p.persica_gdr_reftransV1_0049091","p.persica_gdr_reftransV1_0049091")</f>
        <v>p.persica_gdr_reftransV1_0049091</v>
      </c>
      <c r="B12752" s="3">
        <v>306</v>
      </c>
      <c r="C12752" s="1" t="str">
        <f>HYPERLINK("http://www.uniprot.org/uniprot/PP184_ARATH","PP184_ARATH")</f>
        <v>PP184_ARATH</v>
      </c>
      <c r="D12752" t="s">
        <v>2303</v>
      </c>
      <c r="E12752" s="3" t="s">
        <v>3</v>
      </c>
      <c r="F12752" s="4">
        <v>6.0499999999999999E-34</v>
      </c>
      <c r="G12752" s="3">
        <v>319</v>
      </c>
      <c r="H12752" s="3">
        <v>56</v>
      </c>
      <c r="I12752" s="3">
        <v>102</v>
      </c>
      <c r="J12752" s="3">
        <v>1</v>
      </c>
      <c r="K12752" s="3">
        <v>306</v>
      </c>
      <c r="L12752" s="3">
        <v>70</v>
      </c>
      <c r="M12752" s="3">
        <v>171</v>
      </c>
    </row>
    <row r="12753" spans="1:13" x14ac:dyDescent="0.25">
      <c r="A12753" s="1" t="str">
        <f>HYPERLINK("http://www.rosaceae.org/Prunus/Prunus_persica/p.persica_gdr_reftransV1_0049141","p.persica_gdr_reftransV1_0049141")</f>
        <v>p.persica_gdr_reftransV1_0049141</v>
      </c>
      <c r="B12753" s="3">
        <v>1111</v>
      </c>
      <c r="C12753" s="1" t="str">
        <f>HYPERLINK("http://www.uniprot.org/uniprot/Y4213_ARATH","Y4213_ARATH")</f>
        <v>Y4213_ARATH</v>
      </c>
      <c r="D12753" t="s">
        <v>5242</v>
      </c>
      <c r="E12753" s="3" t="s">
        <v>3</v>
      </c>
      <c r="F12753" s="4">
        <v>4.4300000000000003E-75</v>
      </c>
      <c r="G12753" s="3">
        <v>606</v>
      </c>
      <c r="H12753" s="3">
        <v>73</v>
      </c>
      <c r="I12753" s="3">
        <v>181</v>
      </c>
      <c r="J12753" s="3">
        <v>142</v>
      </c>
      <c r="K12753" s="3">
        <v>684</v>
      </c>
      <c r="L12753" s="3">
        <v>23</v>
      </c>
      <c r="M12753" s="3">
        <v>201</v>
      </c>
    </row>
    <row r="12754" spans="1:13" x14ac:dyDescent="0.25">
      <c r="A12754" s="1" t="str">
        <f>HYPERLINK("http://www.rosaceae.org/Prunus/Prunus_persica/p.persica_gdr_reftransV1_0049191","p.persica_gdr_reftransV1_0049191")</f>
        <v>p.persica_gdr_reftransV1_0049191</v>
      </c>
      <c r="B12754" s="3">
        <v>826</v>
      </c>
      <c r="C12754" s="1" t="str">
        <f>HYPERLINK("http://www.uniprot.org/uniprot/PRU1_PRUAR","PRU1_PRUAR")</f>
        <v>PRU1_PRUAR</v>
      </c>
      <c r="D12754" t="s">
        <v>1198</v>
      </c>
      <c r="E12754" s="3" t="s">
        <v>62</v>
      </c>
      <c r="F12754" s="4">
        <v>2.55E-102</v>
      </c>
      <c r="G12754" s="3">
        <v>773</v>
      </c>
      <c r="H12754" s="3">
        <v>94</v>
      </c>
      <c r="I12754" s="3">
        <v>160</v>
      </c>
      <c r="J12754" s="3">
        <v>241</v>
      </c>
      <c r="K12754" s="3">
        <v>720</v>
      </c>
      <c r="L12754" s="3">
        <v>1</v>
      </c>
      <c r="M12754" s="3">
        <v>160</v>
      </c>
    </row>
    <row r="12755" spans="1:13" x14ac:dyDescent="0.25">
      <c r="A12755" s="1" t="str">
        <f>HYPERLINK("http://www.rosaceae.org/Prunus/Prunus_persica/p.persica_gdr_reftransV1_0000042","p.persica_gdr_reftransV1_0000042")</f>
        <v>p.persica_gdr_reftransV1_0000042</v>
      </c>
      <c r="B12755" s="3">
        <v>1556</v>
      </c>
      <c r="C12755" s="1" t="str">
        <f>HYPERLINK("http://www.uniprot.org/uniprot/MED4_ARATH","MED4_ARATH")</f>
        <v>MED4_ARATH</v>
      </c>
      <c r="D12755" t="s">
        <v>8727</v>
      </c>
      <c r="E12755" s="3" t="s">
        <v>3</v>
      </c>
      <c r="F12755" s="4">
        <v>8.2800000000000006E-102</v>
      </c>
      <c r="G12755" s="3">
        <v>818</v>
      </c>
      <c r="H12755" s="3">
        <v>66</v>
      </c>
      <c r="I12755" s="3">
        <v>322</v>
      </c>
      <c r="J12755" s="3">
        <v>381</v>
      </c>
      <c r="K12755" s="3">
        <v>1334</v>
      </c>
      <c r="L12755" s="3">
        <v>92</v>
      </c>
      <c r="M12755" s="3">
        <v>406</v>
      </c>
    </row>
    <row r="12756" spans="1:13" x14ac:dyDescent="0.25">
      <c r="A12756" s="1" t="str">
        <f>HYPERLINK("http://www.rosaceae.org/Prunus/Prunus_persica/p.persica_gdr_reftransV1_0000242","p.persica_gdr_reftransV1_0000242")</f>
        <v>p.persica_gdr_reftransV1_0000242</v>
      </c>
      <c r="B12756" s="3">
        <v>1498</v>
      </c>
      <c r="C12756" s="1" t="str">
        <f>HYPERLINK("http://www.uniprot.org/uniprot/THIC1_ARATH","THIC1_ARATH")</f>
        <v>THIC1_ARATH</v>
      </c>
      <c r="D12756" t="s">
        <v>7259</v>
      </c>
      <c r="E12756" s="3" t="s">
        <v>3</v>
      </c>
      <c r="F12756" s="4">
        <v>0</v>
      </c>
      <c r="G12756" s="3">
        <v>1705</v>
      </c>
      <c r="H12756" s="3">
        <v>85</v>
      </c>
      <c r="I12756" s="3">
        <v>376</v>
      </c>
      <c r="J12756" s="3">
        <v>110</v>
      </c>
      <c r="K12756" s="3">
        <v>1237</v>
      </c>
      <c r="L12756" s="3">
        <v>5</v>
      </c>
      <c r="M12756" s="3">
        <v>380</v>
      </c>
    </row>
    <row r="12757" spans="1:13" x14ac:dyDescent="0.25">
      <c r="A12757" s="1" t="str">
        <f>HYPERLINK("http://www.rosaceae.org/Prunus/Prunus_persica/p.persica_gdr_reftransV1_0000292","p.persica_gdr_reftransV1_0000292")</f>
        <v>p.persica_gdr_reftransV1_0000292</v>
      </c>
      <c r="B12757" s="3">
        <v>1160</v>
      </c>
      <c r="C12757" s="1" t="str">
        <f>HYPERLINK("http://www.uniprot.org/uniprot/GPDL2_ARATH","GPDL2_ARATH")</f>
        <v>GPDL2_ARATH</v>
      </c>
      <c r="D12757" t="s">
        <v>3941</v>
      </c>
      <c r="E12757" s="3" t="s">
        <v>3</v>
      </c>
      <c r="F12757" s="4">
        <v>1.1200000000000001E-96</v>
      </c>
      <c r="G12757" s="3">
        <v>813</v>
      </c>
      <c r="H12757" s="3">
        <v>52</v>
      </c>
      <c r="I12757" s="3">
        <v>327</v>
      </c>
      <c r="J12757" s="3">
        <v>165</v>
      </c>
      <c r="K12757" s="3">
        <v>1124</v>
      </c>
      <c r="L12757" s="3">
        <v>775</v>
      </c>
      <c r="M12757" s="3">
        <v>1092</v>
      </c>
    </row>
    <row r="12758" spans="1:13" x14ac:dyDescent="0.25">
      <c r="A12758" s="1" t="str">
        <f>HYPERLINK("http://www.rosaceae.org/Prunus/Prunus_persica/p.persica_gdr_reftransV1_0000342","p.persica_gdr_reftransV1_0000342")</f>
        <v>p.persica_gdr_reftransV1_0000342</v>
      </c>
      <c r="B12758" s="3">
        <v>2552</v>
      </c>
      <c r="C12758" s="1" t="str">
        <f>HYPERLINK("http://www.uniprot.org/uniprot/DGK2_ARATH","DGK2_ARATH")</f>
        <v>DGK2_ARATH</v>
      </c>
      <c r="D12758" t="s">
        <v>8728</v>
      </c>
      <c r="E12758" s="3" t="s">
        <v>3</v>
      </c>
      <c r="F12758" s="4">
        <v>0</v>
      </c>
      <c r="G12758" s="3">
        <v>2396</v>
      </c>
      <c r="H12758" s="3">
        <v>65</v>
      </c>
      <c r="I12758" s="3">
        <v>720</v>
      </c>
      <c r="J12758" s="3">
        <v>351</v>
      </c>
      <c r="K12758" s="3">
        <v>2354</v>
      </c>
      <c r="L12758" s="3">
        <v>1</v>
      </c>
      <c r="M12758" s="3">
        <v>712</v>
      </c>
    </row>
    <row r="12759" spans="1:13" x14ac:dyDescent="0.25">
      <c r="A12759" s="1" t="str">
        <f>HYPERLINK("http://www.rosaceae.org/Prunus/Prunus_persica/p.persica_gdr_reftransV1_0000392","p.persica_gdr_reftransV1_0000392")</f>
        <v>p.persica_gdr_reftransV1_0000392</v>
      </c>
      <c r="B12759" s="3">
        <v>310</v>
      </c>
      <c r="C12759" s="1" t="str">
        <f>HYPERLINK("http://www.uniprot.org/uniprot/FRS10_ARATH","FRS10_ARATH")</f>
        <v>FRS10_ARATH</v>
      </c>
      <c r="D12759" t="s">
        <v>2208</v>
      </c>
      <c r="E12759" s="3" t="s">
        <v>3</v>
      </c>
      <c r="F12759" s="4">
        <v>4.6699999999999999E-59</v>
      </c>
      <c r="G12759" s="3">
        <v>501</v>
      </c>
      <c r="H12759" s="3">
        <v>93</v>
      </c>
      <c r="I12759" s="3">
        <v>100</v>
      </c>
      <c r="J12759" s="3">
        <v>3</v>
      </c>
      <c r="K12759" s="3">
        <v>302</v>
      </c>
      <c r="L12759" s="3">
        <v>106</v>
      </c>
      <c r="M12759" s="3">
        <v>205</v>
      </c>
    </row>
    <row r="12760" spans="1:13" x14ac:dyDescent="0.25">
      <c r="A12760" s="1" t="str">
        <f>HYPERLINK("http://www.rosaceae.org/Prunus/Prunus_persica/p.persica_gdr_reftransV1_0000442","p.persica_gdr_reftransV1_0000442")</f>
        <v>p.persica_gdr_reftransV1_0000442</v>
      </c>
      <c r="B12760" s="3">
        <v>2142</v>
      </c>
      <c r="C12760" s="1" t="str">
        <f>HYPERLINK("http://www.uniprot.org/uniprot/PIRL3_ARATH","PIRL3_ARATH")</f>
        <v>PIRL3_ARATH</v>
      </c>
      <c r="D12760" t="s">
        <v>8729</v>
      </c>
      <c r="E12760" s="3" t="s">
        <v>3</v>
      </c>
      <c r="F12760" s="4">
        <v>6.7799999999999999E-106</v>
      </c>
      <c r="G12760" s="3">
        <v>865</v>
      </c>
      <c r="H12760" s="3">
        <v>58</v>
      </c>
      <c r="I12760" s="3">
        <v>374</v>
      </c>
      <c r="J12760" s="3">
        <v>937</v>
      </c>
      <c r="K12760" s="3">
        <v>2058</v>
      </c>
      <c r="L12760" s="3">
        <v>8</v>
      </c>
      <c r="M12760" s="3">
        <v>363</v>
      </c>
    </row>
    <row r="12761" spans="1:13" x14ac:dyDescent="0.25">
      <c r="A12761" s="1" t="str">
        <f>HYPERLINK("http://www.rosaceae.org/Prunus/Prunus_persica/p.persica_gdr_reftransV1_0000592","p.persica_gdr_reftransV1_0000592")</f>
        <v>p.persica_gdr_reftransV1_0000592</v>
      </c>
      <c r="B12761" s="3">
        <v>2809</v>
      </c>
      <c r="C12761" s="1" t="str">
        <f>HYPERLINK("http://www.uniprot.org/uniprot/DAPB1_PSEMX","DAPB1_PSEMX")</f>
        <v>DAPB1_PSEMX</v>
      </c>
      <c r="D12761" t="s">
        <v>5907</v>
      </c>
      <c r="E12761" s="3" t="s">
        <v>5908</v>
      </c>
      <c r="F12761" s="4">
        <v>1.7700000000000001E-165</v>
      </c>
      <c r="G12761" s="3">
        <v>1308</v>
      </c>
      <c r="H12761" s="3">
        <v>41</v>
      </c>
      <c r="I12761" s="3">
        <v>704</v>
      </c>
      <c r="J12761" s="3">
        <v>396</v>
      </c>
      <c r="K12761" s="3">
        <v>2486</v>
      </c>
      <c r="L12761" s="3">
        <v>31</v>
      </c>
      <c r="M12761" s="3">
        <v>718</v>
      </c>
    </row>
    <row r="12762" spans="1:13" x14ac:dyDescent="0.25">
      <c r="A12762" s="1" t="str">
        <f>HYPERLINK("http://www.rosaceae.org/Prunus/Prunus_persica/p.persica_gdr_reftransV1_0000642","p.persica_gdr_reftransV1_0000642")</f>
        <v>p.persica_gdr_reftransV1_0000642</v>
      </c>
      <c r="B12762" s="3">
        <v>2436</v>
      </c>
      <c r="C12762" s="1" t="str">
        <f>HYPERLINK("http://www.uniprot.org/uniprot/PP273_ARATH","PP273_ARATH")</f>
        <v>PP273_ARATH</v>
      </c>
      <c r="D12762" t="s">
        <v>8730</v>
      </c>
      <c r="E12762" s="3" t="s">
        <v>3</v>
      </c>
      <c r="F12762" s="4">
        <v>0</v>
      </c>
      <c r="G12762" s="3">
        <v>1909</v>
      </c>
      <c r="H12762" s="3">
        <v>64</v>
      </c>
      <c r="I12762" s="3">
        <v>624</v>
      </c>
      <c r="J12762" s="3">
        <v>151</v>
      </c>
      <c r="K12762" s="3">
        <v>2016</v>
      </c>
      <c r="L12762" s="3">
        <v>1</v>
      </c>
      <c r="M12762" s="3">
        <v>620</v>
      </c>
    </row>
    <row r="12763" spans="1:13" x14ac:dyDescent="0.25">
      <c r="A12763" s="1" t="str">
        <f>HYPERLINK("http://www.rosaceae.org/Prunus/Prunus_persica/p.persica_gdr_reftransV1_0000742","p.persica_gdr_reftransV1_0000742")</f>
        <v>p.persica_gdr_reftransV1_0000742</v>
      </c>
      <c r="B12763" s="3">
        <v>2111</v>
      </c>
      <c r="C12763" s="1" t="str">
        <f>HYPERLINK("http://www.uniprot.org/uniprot/SYWC_ARATH","SYWC_ARATH")</f>
        <v>SYWC_ARATH</v>
      </c>
      <c r="D12763" t="s">
        <v>1112</v>
      </c>
      <c r="E12763" s="3" t="s">
        <v>3</v>
      </c>
      <c r="F12763" s="4">
        <v>0</v>
      </c>
      <c r="G12763" s="3">
        <v>1868</v>
      </c>
      <c r="H12763" s="3">
        <v>88</v>
      </c>
      <c r="I12763" s="3">
        <v>386</v>
      </c>
      <c r="J12763" s="3">
        <v>346</v>
      </c>
      <c r="K12763" s="3">
        <v>1503</v>
      </c>
      <c r="L12763" s="3">
        <v>16</v>
      </c>
      <c r="M12763" s="3">
        <v>401</v>
      </c>
    </row>
    <row r="12764" spans="1:13" x14ac:dyDescent="0.25">
      <c r="A12764" s="1" t="str">
        <f>HYPERLINK("http://www.rosaceae.org/Prunus/Prunus_persica/p.persica_gdr_reftransV1_0000842","p.persica_gdr_reftransV1_0000842")</f>
        <v>p.persica_gdr_reftransV1_0000842</v>
      </c>
      <c r="B12764" s="3">
        <v>1557</v>
      </c>
      <c r="C12764" s="1" t="str">
        <f>HYPERLINK("http://www.uniprot.org/uniprot/DSE1_NICBE","DSE1_NICBE")</f>
        <v>DSE1_NICBE</v>
      </c>
      <c r="D12764" t="s">
        <v>7412</v>
      </c>
      <c r="E12764" s="3" t="s">
        <v>1986</v>
      </c>
      <c r="F12764" s="4">
        <v>5.6999999999999998E-130</v>
      </c>
      <c r="G12764" s="3">
        <v>783</v>
      </c>
      <c r="H12764" s="3">
        <v>73</v>
      </c>
      <c r="I12764" s="3">
        <v>192</v>
      </c>
      <c r="J12764" s="3">
        <v>459</v>
      </c>
      <c r="K12764" s="3">
        <v>1034</v>
      </c>
      <c r="L12764" s="3">
        <v>185</v>
      </c>
      <c r="M12764" s="3">
        <v>375</v>
      </c>
    </row>
    <row r="12765" spans="1:13" x14ac:dyDescent="0.25">
      <c r="A12765" s="1" t="str">
        <f>HYPERLINK("http://www.rosaceae.org/Prunus/Prunus_persica/p.persica_gdr_reftransV1_0000892","p.persica_gdr_reftransV1_0000892")</f>
        <v>p.persica_gdr_reftransV1_0000892</v>
      </c>
      <c r="B12765" s="3">
        <v>3170</v>
      </c>
      <c r="C12765" s="1" t="str">
        <f>HYPERLINK("http://www.uniprot.org/uniprot/Y5389_ARATH","Y5389_ARATH")</f>
        <v>Y5389_ARATH</v>
      </c>
      <c r="D12765" t="s">
        <v>8731</v>
      </c>
      <c r="E12765" s="3" t="s">
        <v>3</v>
      </c>
      <c r="F12765" s="4">
        <v>0</v>
      </c>
      <c r="G12765" s="3">
        <v>1583</v>
      </c>
      <c r="H12765" s="3">
        <v>47</v>
      </c>
      <c r="I12765" s="3">
        <v>837</v>
      </c>
      <c r="J12765" s="3">
        <v>295</v>
      </c>
      <c r="K12765" s="3">
        <v>2754</v>
      </c>
      <c r="L12765" s="3">
        <v>11</v>
      </c>
      <c r="M12765" s="3">
        <v>820</v>
      </c>
    </row>
    <row r="12766" spans="1:13" x14ac:dyDescent="0.25">
      <c r="A12766" s="1" t="str">
        <f>HYPERLINK("http://www.rosaceae.org/Prunus/Prunus_persica/p.persica_gdr_reftransV1_0000942","p.persica_gdr_reftransV1_0000942")</f>
        <v>p.persica_gdr_reftransV1_0000942</v>
      </c>
      <c r="B12766" s="3">
        <v>1807</v>
      </c>
      <c r="C12766" s="1" t="str">
        <f>HYPERLINK("http://www.uniprot.org/uniprot/LONF3_MOUSE","LONF3_MOUSE")</f>
        <v>LONF3_MOUSE</v>
      </c>
      <c r="D12766" t="s">
        <v>8732</v>
      </c>
      <c r="E12766" s="3" t="s">
        <v>157</v>
      </c>
      <c r="F12766" s="4">
        <v>2.3899999999999999E-35</v>
      </c>
      <c r="G12766" s="3">
        <v>366</v>
      </c>
      <c r="H12766" s="3">
        <v>41</v>
      </c>
      <c r="I12766" s="3">
        <v>197</v>
      </c>
      <c r="J12766" s="3">
        <v>401</v>
      </c>
      <c r="K12766" s="3">
        <v>970</v>
      </c>
      <c r="L12766" s="3">
        <v>456</v>
      </c>
      <c r="M12766" s="3">
        <v>650</v>
      </c>
    </row>
    <row r="12767" spans="1:13" x14ac:dyDescent="0.25">
      <c r="A12767" s="1" t="str">
        <f>HYPERLINK("http://www.rosaceae.org/Prunus/Prunus_persica/p.persica_gdr_reftransV1_0001192","p.persica_gdr_reftransV1_0001192")</f>
        <v>p.persica_gdr_reftransV1_0001192</v>
      </c>
      <c r="B12767" s="3">
        <v>569</v>
      </c>
      <c r="C12767" s="1" t="str">
        <f>HYPERLINK("http://www.uniprot.org/uniprot/NCED3_ARATH","NCED3_ARATH")</f>
        <v>NCED3_ARATH</v>
      </c>
      <c r="D12767" t="s">
        <v>8733</v>
      </c>
      <c r="E12767" s="3" t="s">
        <v>3</v>
      </c>
      <c r="F12767" s="4">
        <v>3.4500000000000002E-93</v>
      </c>
      <c r="G12767" s="3">
        <v>741</v>
      </c>
      <c r="H12767" s="3">
        <v>73</v>
      </c>
      <c r="I12767" s="3">
        <v>186</v>
      </c>
      <c r="J12767" s="3">
        <v>3</v>
      </c>
      <c r="K12767" s="3">
        <v>560</v>
      </c>
      <c r="L12767" s="3">
        <v>233</v>
      </c>
      <c r="M12767" s="3">
        <v>418</v>
      </c>
    </row>
    <row r="12768" spans="1:13" x14ac:dyDescent="0.25">
      <c r="A12768" s="1" t="str">
        <f>HYPERLINK("http://www.rosaceae.org/Prunus/Prunus_persica/p.persica_gdr_reftransV1_0001292","p.persica_gdr_reftransV1_0001292")</f>
        <v>p.persica_gdr_reftransV1_0001292</v>
      </c>
      <c r="B12768" s="3">
        <v>1586</v>
      </c>
      <c r="C12768" s="1" t="str">
        <f>HYPERLINK("http://www.uniprot.org/uniprot/B561I_ARATH","B561I_ARATH")</f>
        <v>B561I_ARATH</v>
      </c>
      <c r="D12768" t="s">
        <v>8734</v>
      </c>
      <c r="E12768" s="3" t="s">
        <v>3</v>
      </c>
      <c r="F12768" s="4">
        <v>1.11E-133</v>
      </c>
      <c r="G12768" s="3">
        <v>1029</v>
      </c>
      <c r="H12768" s="3">
        <v>59</v>
      </c>
      <c r="I12768" s="3">
        <v>322</v>
      </c>
      <c r="J12768" s="3">
        <v>403</v>
      </c>
      <c r="K12768" s="3">
        <v>1353</v>
      </c>
      <c r="L12768" s="3">
        <v>35</v>
      </c>
      <c r="M12768" s="3">
        <v>356</v>
      </c>
    </row>
    <row r="12769" spans="1:13" x14ac:dyDescent="0.25">
      <c r="A12769" s="1" t="str">
        <f>HYPERLINK("http://www.rosaceae.org/Prunus/Prunus_persica/p.persica_gdr_reftransV1_0001342","p.persica_gdr_reftransV1_0001342")</f>
        <v>p.persica_gdr_reftransV1_0001342</v>
      </c>
      <c r="B12769" s="3">
        <v>2543</v>
      </c>
      <c r="C12769" s="1" t="str">
        <f>HYPERLINK("http://www.uniprot.org/uniprot/NPK1_TOBAC","NPK1_TOBAC")</f>
        <v>NPK1_TOBAC</v>
      </c>
      <c r="D12769" t="s">
        <v>2474</v>
      </c>
      <c r="E12769" s="3" t="s">
        <v>200</v>
      </c>
      <c r="F12769" s="4">
        <v>0</v>
      </c>
      <c r="G12769" s="3">
        <v>2001</v>
      </c>
      <c r="H12769" s="3">
        <v>64</v>
      </c>
      <c r="I12769" s="3">
        <v>697</v>
      </c>
      <c r="J12769" s="3">
        <v>166</v>
      </c>
      <c r="K12769" s="3">
        <v>2202</v>
      </c>
      <c r="L12769" s="3">
        <v>1</v>
      </c>
      <c r="M12769" s="3">
        <v>690</v>
      </c>
    </row>
    <row r="12770" spans="1:13" x14ac:dyDescent="0.25">
      <c r="A12770" s="1" t="str">
        <f>HYPERLINK("http://www.rosaceae.org/Prunus/Prunus_persica/p.persica_gdr_reftransV1_0001392","p.persica_gdr_reftransV1_0001392")</f>
        <v>p.persica_gdr_reftransV1_0001392</v>
      </c>
      <c r="B12770" s="3">
        <v>1975</v>
      </c>
      <c r="C12770" s="1" t="str">
        <f>HYPERLINK("http://www.uniprot.org/uniprot/PSS1_ARATH","PSS1_ARATH")</f>
        <v>PSS1_ARATH</v>
      </c>
      <c r="D12770" t="s">
        <v>4527</v>
      </c>
      <c r="E12770" s="3" t="s">
        <v>3</v>
      </c>
      <c r="F12770" s="4">
        <v>0</v>
      </c>
      <c r="G12770" s="3">
        <v>1887</v>
      </c>
      <c r="H12770" s="3">
        <v>81</v>
      </c>
      <c r="I12770" s="3">
        <v>427</v>
      </c>
      <c r="J12770" s="3">
        <v>445</v>
      </c>
      <c r="K12770" s="3">
        <v>1722</v>
      </c>
      <c r="L12770" s="3">
        <v>1</v>
      </c>
      <c r="M12770" s="3">
        <v>425</v>
      </c>
    </row>
    <row r="12771" spans="1:13" x14ac:dyDescent="0.25">
      <c r="A12771" s="1" t="str">
        <f>HYPERLINK("http://www.rosaceae.org/Prunus/Prunus_persica/p.persica_gdr_reftransV1_0001442","p.persica_gdr_reftransV1_0001442")</f>
        <v>p.persica_gdr_reftransV1_0001442</v>
      </c>
      <c r="B12771" s="3">
        <v>1165</v>
      </c>
      <c r="C12771" s="1" t="str">
        <f>HYPERLINK("http://www.uniprot.org/uniprot/GCAL1_ARATH","GCAL1_ARATH")</f>
        <v>GCAL1_ARATH</v>
      </c>
      <c r="D12771" t="s">
        <v>8735</v>
      </c>
      <c r="E12771" s="3" t="s">
        <v>3</v>
      </c>
      <c r="F12771" s="4">
        <v>3.3199999999999998E-139</v>
      </c>
      <c r="G12771" s="3">
        <v>1038</v>
      </c>
      <c r="H12771" s="3">
        <v>77</v>
      </c>
      <c r="I12771" s="3">
        <v>256</v>
      </c>
      <c r="J12771" s="3">
        <v>333</v>
      </c>
      <c r="K12771" s="3">
        <v>1073</v>
      </c>
      <c r="L12771" s="3">
        <v>4</v>
      </c>
      <c r="M12771" s="3">
        <v>252</v>
      </c>
    </row>
    <row r="12772" spans="1:13" x14ac:dyDescent="0.25">
      <c r="A12772" s="1" t="str">
        <f>HYPERLINK("http://www.rosaceae.org/Prunus/Prunus_persica/p.persica_gdr_reftransV1_0001492","p.persica_gdr_reftransV1_0001492")</f>
        <v>p.persica_gdr_reftransV1_0001492</v>
      </c>
      <c r="B12772" s="3">
        <v>377</v>
      </c>
      <c r="C12772" s="1" t="str">
        <f>HYPERLINK("http://www.uniprot.org/uniprot/C7A22_PANGI","C7A22_PANGI")</f>
        <v>C7A22_PANGI</v>
      </c>
      <c r="D12772" t="s">
        <v>3096</v>
      </c>
      <c r="E12772" s="3" t="s">
        <v>1477</v>
      </c>
      <c r="F12772" s="4">
        <v>1.5100000000000001E-36</v>
      </c>
      <c r="G12772" s="3">
        <v>338</v>
      </c>
      <c r="H12772" s="3">
        <v>52</v>
      </c>
      <c r="I12772" s="3">
        <v>126</v>
      </c>
      <c r="J12772" s="3">
        <v>2</v>
      </c>
      <c r="K12772" s="3">
        <v>376</v>
      </c>
      <c r="L12772" s="3">
        <v>68</v>
      </c>
      <c r="M12772" s="3">
        <v>191</v>
      </c>
    </row>
    <row r="12773" spans="1:13" x14ac:dyDescent="0.25">
      <c r="A12773" s="1" t="str">
        <f>HYPERLINK("http://www.rosaceae.org/Prunus/Prunus_persica/p.persica_gdr_reftransV1_0001542","p.persica_gdr_reftransV1_0001542")</f>
        <v>p.persica_gdr_reftransV1_0001542</v>
      </c>
      <c r="B12773" s="3">
        <v>674</v>
      </c>
      <c r="C12773" s="1" t="str">
        <f>HYPERLINK("http://www.uniprot.org/uniprot/FD6E2_SOYBN","FD6E2_SOYBN")</f>
        <v>FD6E2_SOYBN</v>
      </c>
      <c r="D12773" t="s">
        <v>3986</v>
      </c>
      <c r="E12773" s="3" t="s">
        <v>307</v>
      </c>
      <c r="F12773" s="4">
        <v>6.3499999999999996E-93</v>
      </c>
      <c r="G12773" s="3">
        <v>726</v>
      </c>
      <c r="H12773" s="3">
        <v>77</v>
      </c>
      <c r="I12773" s="3">
        <v>175</v>
      </c>
      <c r="J12773" s="3">
        <v>1</v>
      </c>
      <c r="K12773" s="3">
        <v>525</v>
      </c>
      <c r="L12773" s="3">
        <v>1</v>
      </c>
      <c r="M12773" s="3">
        <v>175</v>
      </c>
    </row>
    <row r="12774" spans="1:13" x14ac:dyDescent="0.25">
      <c r="A12774" s="1" t="str">
        <f>HYPERLINK("http://www.rosaceae.org/Prunus/Prunus_persica/p.persica_gdr_reftransV1_0001692","p.persica_gdr_reftransV1_0001692")</f>
        <v>p.persica_gdr_reftransV1_0001692</v>
      </c>
      <c r="B12774" s="3">
        <v>2119</v>
      </c>
      <c r="C12774" s="1" t="str">
        <f>HYPERLINK("http://www.uniprot.org/uniprot/P2C56_ARATH","P2C56_ARATH")</f>
        <v>P2C56_ARATH</v>
      </c>
      <c r="D12774" t="s">
        <v>6212</v>
      </c>
      <c r="E12774" s="3" t="s">
        <v>3</v>
      </c>
      <c r="F12774" s="4">
        <v>1.9500000000000002E-61</v>
      </c>
      <c r="G12774" s="3">
        <v>554</v>
      </c>
      <c r="H12774" s="3">
        <v>55</v>
      </c>
      <c r="I12774" s="3">
        <v>199</v>
      </c>
      <c r="J12774" s="3">
        <v>1199</v>
      </c>
      <c r="K12774" s="3">
        <v>1777</v>
      </c>
      <c r="L12774" s="3">
        <v>129</v>
      </c>
      <c r="M12774" s="3">
        <v>316</v>
      </c>
    </row>
    <row r="12775" spans="1:13" x14ac:dyDescent="0.25">
      <c r="A12775" s="1" t="str">
        <f>HYPERLINK("http://www.rosaceae.org/Prunus/Prunus_persica/p.persica_gdr_reftransV1_0001742","p.persica_gdr_reftransV1_0001742")</f>
        <v>p.persica_gdr_reftransV1_0001742</v>
      </c>
      <c r="B12775" s="3">
        <v>2799</v>
      </c>
      <c r="C12775" s="1" t="str">
        <f>HYPERLINK("http://www.uniprot.org/uniprot/PARP3_SOYBN","PARP3_SOYBN")</f>
        <v>PARP3_SOYBN</v>
      </c>
      <c r="D12775" t="s">
        <v>8736</v>
      </c>
      <c r="E12775" s="3" t="s">
        <v>307</v>
      </c>
      <c r="F12775" s="4">
        <v>0</v>
      </c>
      <c r="G12775" s="3">
        <v>3256</v>
      </c>
      <c r="H12775" s="3">
        <v>76</v>
      </c>
      <c r="I12775" s="3">
        <v>804</v>
      </c>
      <c r="J12775" s="3">
        <v>308</v>
      </c>
      <c r="K12775" s="3">
        <v>2719</v>
      </c>
      <c r="L12775" s="3">
        <v>1</v>
      </c>
      <c r="M12775" s="3">
        <v>804</v>
      </c>
    </row>
    <row r="12776" spans="1:13" x14ac:dyDescent="0.25">
      <c r="A12776" s="1" t="str">
        <f>HYPERLINK("http://www.rosaceae.org/Prunus/Prunus_persica/p.persica_gdr_reftransV1_0001792","p.persica_gdr_reftransV1_0001792")</f>
        <v>p.persica_gdr_reftransV1_0001792</v>
      </c>
      <c r="B12776" s="3">
        <v>547</v>
      </c>
      <c r="C12776" s="1" t="str">
        <f>HYPERLINK("http://www.uniprot.org/uniprot/SLD1_ARATH","SLD1_ARATH")</f>
        <v>SLD1_ARATH</v>
      </c>
      <c r="D12776" t="s">
        <v>8737</v>
      </c>
      <c r="E12776" s="3" t="s">
        <v>3</v>
      </c>
      <c r="F12776" s="4">
        <v>6.3599999999999996E-85</v>
      </c>
      <c r="G12776" s="3">
        <v>674</v>
      </c>
      <c r="H12776" s="3">
        <v>65</v>
      </c>
      <c r="I12776" s="3">
        <v>182</v>
      </c>
      <c r="J12776" s="3">
        <v>2</v>
      </c>
      <c r="K12776" s="3">
        <v>547</v>
      </c>
      <c r="L12776" s="3">
        <v>26</v>
      </c>
      <c r="M12776" s="3">
        <v>207</v>
      </c>
    </row>
    <row r="12777" spans="1:13" x14ac:dyDescent="0.25">
      <c r="A12777" s="1" t="str">
        <f>HYPERLINK("http://www.rosaceae.org/Prunus/Prunus_persica/p.persica_gdr_reftransV1_0001842","p.persica_gdr_reftransV1_0001842")</f>
        <v>p.persica_gdr_reftransV1_0001842</v>
      </c>
      <c r="B12777" s="3">
        <v>3592</v>
      </c>
      <c r="C12777" s="1" t="str">
        <f>HYPERLINK("http://www.uniprot.org/uniprot/PHOT2_ARATH","PHOT2_ARATH")</f>
        <v>PHOT2_ARATH</v>
      </c>
      <c r="D12777" t="s">
        <v>4518</v>
      </c>
      <c r="E12777" s="3" t="s">
        <v>3</v>
      </c>
      <c r="F12777" s="4">
        <v>0</v>
      </c>
      <c r="G12777" s="3">
        <v>3354</v>
      </c>
      <c r="H12777" s="3">
        <v>74</v>
      </c>
      <c r="I12777" s="3">
        <v>890</v>
      </c>
      <c r="J12777" s="3">
        <v>405</v>
      </c>
      <c r="K12777" s="3">
        <v>3059</v>
      </c>
      <c r="L12777" s="3">
        <v>62</v>
      </c>
      <c r="M12777" s="3">
        <v>912</v>
      </c>
    </row>
    <row r="12778" spans="1:13" x14ac:dyDescent="0.25">
      <c r="A12778" s="1" t="str">
        <f>HYPERLINK("http://www.rosaceae.org/Prunus/Prunus_persica/p.persica_gdr_reftransV1_0001892","p.persica_gdr_reftransV1_0001892")</f>
        <v>p.persica_gdr_reftransV1_0001892</v>
      </c>
      <c r="B12778" s="3">
        <v>2031</v>
      </c>
      <c r="C12778" s="1" t="str">
        <f>HYPERLINK("http://www.uniprot.org/uniprot/DWA2_ARATH","DWA2_ARATH")</f>
        <v>DWA2_ARATH</v>
      </c>
      <c r="D12778" t="s">
        <v>8738</v>
      </c>
      <c r="E12778" s="3" t="s">
        <v>3</v>
      </c>
      <c r="F12778" s="4">
        <v>0</v>
      </c>
      <c r="G12778" s="3">
        <v>1408</v>
      </c>
      <c r="H12778" s="3">
        <v>76</v>
      </c>
      <c r="I12778" s="3">
        <v>342</v>
      </c>
      <c r="J12778" s="3">
        <v>57</v>
      </c>
      <c r="K12778" s="3">
        <v>1082</v>
      </c>
      <c r="L12778" s="3">
        <v>10</v>
      </c>
      <c r="M12778" s="3">
        <v>350</v>
      </c>
    </row>
    <row r="12779" spans="1:13" x14ac:dyDescent="0.25">
      <c r="A12779" s="1" t="str">
        <f>HYPERLINK("http://www.rosaceae.org/Prunus/Prunus_persica/p.persica_gdr_reftransV1_0001942","p.persica_gdr_reftransV1_0001942")</f>
        <v>p.persica_gdr_reftransV1_0001942</v>
      </c>
      <c r="B12779" s="3">
        <v>305</v>
      </c>
      <c r="C12779" s="1" t="str">
        <f>HYPERLINK("http://www.uniprot.org/uniprot/ACCH3_SOLLC","ACCH3_SOLLC")</f>
        <v>ACCH3_SOLLC</v>
      </c>
      <c r="D12779" t="s">
        <v>3752</v>
      </c>
      <c r="E12779" s="3" t="s">
        <v>64</v>
      </c>
      <c r="F12779" s="4">
        <v>2.6899999999999998E-26</v>
      </c>
      <c r="G12779" s="3">
        <v>258</v>
      </c>
      <c r="H12779" s="3">
        <v>52</v>
      </c>
      <c r="I12779" s="3">
        <v>99</v>
      </c>
      <c r="J12779" s="3">
        <v>3</v>
      </c>
      <c r="K12779" s="3">
        <v>299</v>
      </c>
      <c r="L12779" s="3">
        <v>6</v>
      </c>
      <c r="M12779" s="3">
        <v>98</v>
      </c>
    </row>
    <row r="12780" spans="1:13" x14ac:dyDescent="0.25">
      <c r="A12780" s="1" t="str">
        <f>HYPERLINK("http://www.rosaceae.org/Prunus/Prunus_persica/p.persica_gdr_reftransV1_0001992","p.persica_gdr_reftransV1_0001992")</f>
        <v>p.persica_gdr_reftransV1_0001992</v>
      </c>
      <c r="B12780" s="3">
        <v>1118</v>
      </c>
      <c r="C12780" s="1" t="str">
        <f>HYPERLINK("http://www.uniprot.org/uniprot/ADF2_PETHY","ADF2_PETHY")</f>
        <v>ADF2_PETHY</v>
      </c>
      <c r="D12780" t="s">
        <v>2121</v>
      </c>
      <c r="E12780" s="3" t="s">
        <v>509</v>
      </c>
      <c r="F12780" s="4">
        <v>1.16E-72</v>
      </c>
      <c r="G12780" s="3">
        <v>584</v>
      </c>
      <c r="H12780" s="3">
        <v>84</v>
      </c>
      <c r="I12780" s="3">
        <v>141</v>
      </c>
      <c r="J12780" s="3">
        <v>548</v>
      </c>
      <c r="K12780" s="3">
        <v>970</v>
      </c>
      <c r="L12780" s="3">
        <v>1</v>
      </c>
      <c r="M12780" s="3">
        <v>141</v>
      </c>
    </row>
    <row r="12781" spans="1:13" x14ac:dyDescent="0.25">
      <c r="A12781" s="1" t="str">
        <f>HYPERLINK("http://www.rosaceae.org/Prunus/Prunus_persica/p.persica_gdr_reftransV1_0002142","p.persica_gdr_reftransV1_0002142")</f>
        <v>p.persica_gdr_reftransV1_0002142</v>
      </c>
      <c r="B12781" s="3">
        <v>1577</v>
      </c>
      <c r="C12781" s="1" t="str">
        <f>HYPERLINK("http://www.uniprot.org/uniprot/7SBG2_SOYBN","7SBG2_SOYBN")</f>
        <v>7SBG2_SOYBN</v>
      </c>
      <c r="D12781" t="s">
        <v>6028</v>
      </c>
      <c r="E12781" s="3" t="s">
        <v>307</v>
      </c>
      <c r="F12781" s="4">
        <v>2.9100000000000001E-86</v>
      </c>
      <c r="G12781" s="3">
        <v>714</v>
      </c>
      <c r="H12781" s="3">
        <v>40</v>
      </c>
      <c r="I12781" s="3">
        <v>383</v>
      </c>
      <c r="J12781" s="3">
        <v>164</v>
      </c>
      <c r="K12781" s="3">
        <v>1294</v>
      </c>
      <c r="L12781" s="3">
        <v>41</v>
      </c>
      <c r="M12781" s="3">
        <v>404</v>
      </c>
    </row>
    <row r="12782" spans="1:13" x14ac:dyDescent="0.25">
      <c r="A12782" s="1" t="str">
        <f>HYPERLINK("http://www.rosaceae.org/Prunus/Prunus_persica/p.persica_gdr_reftransV1_0002292","p.persica_gdr_reftransV1_0002292")</f>
        <v>p.persica_gdr_reftransV1_0002292</v>
      </c>
      <c r="B12782" s="3">
        <v>1035</v>
      </c>
      <c r="C12782" s="1" t="str">
        <f>HYPERLINK("http://www.uniprot.org/uniprot/AB1I_ARATH","AB1I_ARATH")</f>
        <v>AB1I_ARATH</v>
      </c>
      <c r="D12782" t="s">
        <v>8739</v>
      </c>
      <c r="E12782" s="3" t="s">
        <v>3</v>
      </c>
      <c r="F12782" s="4">
        <v>6.2300000000000001E-125</v>
      </c>
      <c r="G12782" s="3">
        <v>937</v>
      </c>
      <c r="H12782" s="3">
        <v>85</v>
      </c>
      <c r="I12782" s="3">
        <v>214</v>
      </c>
      <c r="J12782" s="3">
        <v>140</v>
      </c>
      <c r="K12782" s="3">
        <v>781</v>
      </c>
      <c r="L12782" s="3">
        <v>15</v>
      </c>
      <c r="M12782" s="3">
        <v>228</v>
      </c>
    </row>
    <row r="12783" spans="1:13" x14ac:dyDescent="0.25">
      <c r="A12783" s="1" t="str">
        <f>HYPERLINK("http://www.rosaceae.org/Prunus/Prunus_persica/p.persica_gdr_reftransV1_0002342","p.persica_gdr_reftransV1_0002342")</f>
        <v>p.persica_gdr_reftransV1_0002342</v>
      </c>
      <c r="B12783" s="3">
        <v>1835</v>
      </c>
      <c r="C12783" s="1" t="str">
        <f>HYPERLINK("http://www.uniprot.org/uniprot/KO1_ARATH","KO1_ARATH")</f>
        <v>KO1_ARATH</v>
      </c>
      <c r="D12783" t="s">
        <v>8740</v>
      </c>
      <c r="E12783" s="3" t="s">
        <v>3</v>
      </c>
      <c r="F12783" s="4">
        <v>0</v>
      </c>
      <c r="G12783" s="3">
        <v>1744</v>
      </c>
      <c r="H12783" s="3">
        <v>70</v>
      </c>
      <c r="I12783" s="3">
        <v>449</v>
      </c>
      <c r="J12783" s="3">
        <v>268</v>
      </c>
      <c r="K12783" s="3">
        <v>1611</v>
      </c>
      <c r="L12783" s="3">
        <v>60</v>
      </c>
      <c r="M12783" s="3">
        <v>507</v>
      </c>
    </row>
    <row r="12784" spans="1:13" x14ac:dyDescent="0.25">
      <c r="A12784" s="1" t="str">
        <f>HYPERLINK("http://www.rosaceae.org/Prunus/Prunus_persica/p.persica_gdr_reftransV1_0002392","p.persica_gdr_reftransV1_0002392")</f>
        <v>p.persica_gdr_reftransV1_0002392</v>
      </c>
      <c r="B12784" s="3">
        <v>1393</v>
      </c>
      <c r="C12784" s="1" t="str">
        <f>HYPERLINK("http://www.uniprot.org/uniprot/FBK67_ARATH","FBK67_ARATH")</f>
        <v>FBK67_ARATH</v>
      </c>
      <c r="D12784" t="s">
        <v>8741</v>
      </c>
      <c r="E12784" s="3" t="s">
        <v>3</v>
      </c>
      <c r="F12784" s="4">
        <v>1.9899999999999998E-18</v>
      </c>
      <c r="G12784" s="3">
        <v>222</v>
      </c>
      <c r="H12784" s="3">
        <v>27</v>
      </c>
      <c r="I12784" s="3">
        <v>331</v>
      </c>
      <c r="J12784" s="3">
        <v>409</v>
      </c>
      <c r="K12784" s="3">
        <v>1362</v>
      </c>
      <c r="L12784" s="3">
        <v>4</v>
      </c>
      <c r="M12784" s="3">
        <v>301</v>
      </c>
    </row>
    <row r="12785" spans="1:13" x14ac:dyDescent="0.25">
      <c r="A12785" s="1" t="str">
        <f>HYPERLINK("http://www.rosaceae.org/Prunus/Prunus_persica/p.persica_gdr_reftransV1_0002442","p.persica_gdr_reftransV1_0002442")</f>
        <v>p.persica_gdr_reftransV1_0002442</v>
      </c>
      <c r="B12785" s="3">
        <v>638</v>
      </c>
      <c r="C12785" s="1" t="str">
        <f>HYPERLINK("http://www.uniprot.org/uniprot/CSLB4_ARATH","CSLB4_ARATH")</f>
        <v>CSLB4_ARATH</v>
      </c>
      <c r="D12785" t="s">
        <v>6616</v>
      </c>
      <c r="E12785" s="3" t="s">
        <v>3</v>
      </c>
      <c r="F12785" s="4">
        <v>2.9500000000000002E-62</v>
      </c>
      <c r="G12785" s="3">
        <v>538</v>
      </c>
      <c r="H12785" s="3">
        <v>61</v>
      </c>
      <c r="I12785" s="3">
        <v>189</v>
      </c>
      <c r="J12785" s="3">
        <v>56</v>
      </c>
      <c r="K12785" s="3">
        <v>622</v>
      </c>
      <c r="L12785" s="3">
        <v>10</v>
      </c>
      <c r="M12785" s="3">
        <v>194</v>
      </c>
    </row>
    <row r="12786" spans="1:13" x14ac:dyDescent="0.25">
      <c r="A12786" s="1" t="str">
        <f>HYPERLINK("http://www.rosaceae.org/Prunus/Prunus_persica/p.persica_gdr_reftransV1_0002492","p.persica_gdr_reftransV1_0002492")</f>
        <v>p.persica_gdr_reftransV1_0002492</v>
      </c>
      <c r="B12786" s="3">
        <v>2174</v>
      </c>
      <c r="C12786" s="1" t="str">
        <f>HYPERLINK("http://www.uniprot.org/uniprot/E1313_ARATH","E1313_ARATH")</f>
        <v>E1313_ARATH</v>
      </c>
      <c r="D12786" t="s">
        <v>3107</v>
      </c>
      <c r="E12786" s="3" t="s">
        <v>3</v>
      </c>
      <c r="F12786" s="4">
        <v>9.1100000000000002E-113</v>
      </c>
      <c r="G12786" s="3">
        <v>916</v>
      </c>
      <c r="H12786" s="3">
        <v>40</v>
      </c>
      <c r="I12786" s="3">
        <v>444</v>
      </c>
      <c r="J12786" s="3">
        <v>663</v>
      </c>
      <c r="K12786" s="3">
        <v>1988</v>
      </c>
      <c r="L12786" s="3">
        <v>26</v>
      </c>
      <c r="M12786" s="3">
        <v>451</v>
      </c>
    </row>
    <row r="12787" spans="1:13" x14ac:dyDescent="0.25">
      <c r="A12787" s="1" t="str">
        <f>HYPERLINK("http://www.rosaceae.org/Prunus/Prunus_persica/p.persica_gdr_reftransV1_0002642","p.persica_gdr_reftransV1_0002642")</f>
        <v>p.persica_gdr_reftransV1_0002642</v>
      </c>
      <c r="B12787" s="3">
        <v>3479</v>
      </c>
      <c r="C12787" s="1" t="str">
        <f>HYPERLINK("http://www.uniprot.org/uniprot/BAG6_MOUSE","BAG6_MOUSE")</f>
        <v>BAG6_MOUSE</v>
      </c>
      <c r="D12787" t="s">
        <v>7686</v>
      </c>
      <c r="E12787" s="3" t="s">
        <v>157</v>
      </c>
      <c r="F12787" s="4">
        <v>3.6300000000000001E-12</v>
      </c>
      <c r="G12787" s="3">
        <v>183</v>
      </c>
      <c r="H12787" s="3">
        <v>47</v>
      </c>
      <c r="I12787" s="3">
        <v>88</v>
      </c>
      <c r="J12787" s="3">
        <v>2898</v>
      </c>
      <c r="K12787" s="3">
        <v>3161</v>
      </c>
      <c r="L12787" s="3">
        <v>2</v>
      </c>
      <c r="M12787" s="3">
        <v>87</v>
      </c>
    </row>
    <row r="12788" spans="1:13" x14ac:dyDescent="0.25">
      <c r="A12788" s="1" t="str">
        <f>HYPERLINK("http://www.rosaceae.org/Prunus/Prunus_persica/p.persica_gdr_reftransV1_0002742","p.persica_gdr_reftransV1_0002742")</f>
        <v>p.persica_gdr_reftransV1_0002742</v>
      </c>
      <c r="B12788" s="3">
        <v>1257</v>
      </c>
      <c r="C12788" s="1" t="str">
        <f>HYPERLINK("http://www.uniprot.org/uniprot/SMO22_ARATH","SMO22_ARATH")</f>
        <v>SMO22_ARATH</v>
      </c>
      <c r="D12788" t="s">
        <v>8125</v>
      </c>
      <c r="E12788" s="3" t="s">
        <v>3</v>
      </c>
      <c r="F12788" s="4">
        <v>5.9699999999999996E-169</v>
      </c>
      <c r="G12788" s="3">
        <v>1239</v>
      </c>
      <c r="H12788" s="3">
        <v>87</v>
      </c>
      <c r="I12788" s="3">
        <v>261</v>
      </c>
      <c r="J12788" s="3">
        <v>152</v>
      </c>
      <c r="K12788" s="3">
        <v>934</v>
      </c>
      <c r="L12788" s="3">
        <v>1</v>
      </c>
      <c r="M12788" s="3">
        <v>261</v>
      </c>
    </row>
    <row r="12789" spans="1:13" x14ac:dyDescent="0.25">
      <c r="A12789" s="1" t="str">
        <f>HYPERLINK("http://www.rosaceae.org/Prunus/Prunus_persica/p.persica_gdr_reftransV1_0002942","p.persica_gdr_reftransV1_0002942")</f>
        <v>p.persica_gdr_reftransV1_0002942</v>
      </c>
      <c r="B12789" s="3">
        <v>1977</v>
      </c>
      <c r="C12789" s="1" t="str">
        <f>HYPERLINK("http://www.uniprot.org/uniprot/GUX2_ARATH","GUX2_ARATH")</f>
        <v>GUX2_ARATH</v>
      </c>
      <c r="D12789" t="s">
        <v>8742</v>
      </c>
      <c r="E12789" s="3" t="s">
        <v>3</v>
      </c>
      <c r="F12789" s="4">
        <v>0</v>
      </c>
      <c r="G12789" s="3">
        <v>2053</v>
      </c>
      <c r="H12789" s="3">
        <v>69</v>
      </c>
      <c r="I12789" s="3">
        <v>583</v>
      </c>
      <c r="J12789" s="3">
        <v>129</v>
      </c>
      <c r="K12789" s="3">
        <v>1865</v>
      </c>
      <c r="L12789" s="3">
        <v>11</v>
      </c>
      <c r="M12789" s="3">
        <v>590</v>
      </c>
    </row>
    <row r="12790" spans="1:13" x14ac:dyDescent="0.25">
      <c r="A12790" s="1" t="str">
        <f>HYPERLINK("http://www.rosaceae.org/Prunus/Prunus_persica/p.persica_gdr_reftransV1_0002992","p.persica_gdr_reftransV1_0002992")</f>
        <v>p.persica_gdr_reftransV1_0002992</v>
      </c>
      <c r="B12790" s="3">
        <v>2018</v>
      </c>
      <c r="C12790" s="1" t="str">
        <f>HYPERLINK("http://www.uniprot.org/uniprot/BADH1_ARATH","BADH1_ARATH")</f>
        <v>BADH1_ARATH</v>
      </c>
      <c r="D12790" t="s">
        <v>8743</v>
      </c>
      <c r="E12790" s="3" t="s">
        <v>3</v>
      </c>
      <c r="F12790" s="4">
        <v>0</v>
      </c>
      <c r="G12790" s="3">
        <v>2150</v>
      </c>
      <c r="H12790" s="3">
        <v>83</v>
      </c>
      <c r="I12790" s="3">
        <v>501</v>
      </c>
      <c r="J12790" s="3">
        <v>471</v>
      </c>
      <c r="K12790" s="3">
        <v>1973</v>
      </c>
      <c r="L12790" s="3">
        <v>1</v>
      </c>
      <c r="M12790" s="3">
        <v>501</v>
      </c>
    </row>
    <row r="12791" spans="1:13" x14ac:dyDescent="0.25">
      <c r="A12791" s="1" t="str">
        <f>HYPERLINK("http://www.rosaceae.org/Prunus/Prunus_persica/p.persica_gdr_reftransV1_0003142","p.persica_gdr_reftransV1_0003142")</f>
        <v>p.persica_gdr_reftransV1_0003142</v>
      </c>
      <c r="B12791" s="3">
        <v>735</v>
      </c>
      <c r="C12791" s="1" t="str">
        <f>HYPERLINK("http://www.uniprot.org/uniprot/SYMPK_HUMAN","SYMPK_HUMAN")</f>
        <v>SYMPK_HUMAN</v>
      </c>
      <c r="D12791" t="s">
        <v>2039</v>
      </c>
      <c r="E12791" s="3" t="s">
        <v>28</v>
      </c>
      <c r="F12791" s="4">
        <v>1.0100000000000001E-37</v>
      </c>
      <c r="G12791" s="3">
        <v>368</v>
      </c>
      <c r="H12791" s="3">
        <v>49</v>
      </c>
      <c r="I12791" s="3">
        <v>140</v>
      </c>
      <c r="J12791" s="3">
        <v>259</v>
      </c>
      <c r="K12791" s="3">
        <v>672</v>
      </c>
      <c r="L12791" s="3">
        <v>959</v>
      </c>
      <c r="M12791" s="3">
        <v>1098</v>
      </c>
    </row>
    <row r="12792" spans="1:13" x14ac:dyDescent="0.25">
      <c r="A12792" s="1" t="str">
        <f>HYPERLINK("http://www.rosaceae.org/Prunus/Prunus_persica/p.persica_gdr_reftransV1_0003192","p.persica_gdr_reftransV1_0003192")</f>
        <v>p.persica_gdr_reftransV1_0003192</v>
      </c>
      <c r="B12792" s="3">
        <v>1155</v>
      </c>
      <c r="C12792" s="1" t="str">
        <f>HYPERLINK("http://www.uniprot.org/uniprot/UBQ11_ARATH","UBQ11_ARATH")</f>
        <v>UBQ11_ARATH</v>
      </c>
      <c r="D12792" t="s">
        <v>8744</v>
      </c>
      <c r="E12792" s="3" t="s">
        <v>3</v>
      </c>
      <c r="F12792" s="4">
        <v>2.0999999999999999E-134</v>
      </c>
      <c r="G12792" s="3">
        <v>1003</v>
      </c>
      <c r="H12792" s="3">
        <v>100</v>
      </c>
      <c r="I12792" s="3">
        <v>195</v>
      </c>
      <c r="J12792" s="3">
        <v>571</v>
      </c>
      <c r="K12792" s="3">
        <v>1155</v>
      </c>
      <c r="L12792" s="3">
        <v>34</v>
      </c>
      <c r="M12792" s="3">
        <v>228</v>
      </c>
    </row>
    <row r="12793" spans="1:13" x14ac:dyDescent="0.25">
      <c r="A12793" s="1" t="str">
        <f>HYPERLINK("http://www.rosaceae.org/Prunus/Prunus_persica/p.persica_gdr_reftransV1_0003242","p.persica_gdr_reftransV1_0003242")</f>
        <v>p.persica_gdr_reftransV1_0003242</v>
      </c>
      <c r="B12793" s="3">
        <v>1615</v>
      </c>
      <c r="C12793" s="1" t="str">
        <f>HYPERLINK("http://www.uniprot.org/uniprot/P2C59_ARATH","P2C59_ARATH")</f>
        <v>P2C59_ARATH</v>
      </c>
      <c r="D12793" t="s">
        <v>963</v>
      </c>
      <c r="E12793" s="3" t="s">
        <v>3</v>
      </c>
      <c r="F12793" s="4">
        <v>0</v>
      </c>
      <c r="G12793" s="3">
        <v>1409</v>
      </c>
      <c r="H12793" s="3">
        <v>87</v>
      </c>
      <c r="I12793" s="3">
        <v>308</v>
      </c>
      <c r="J12793" s="3">
        <v>352</v>
      </c>
      <c r="K12793" s="3">
        <v>1275</v>
      </c>
      <c r="L12793" s="3">
        <v>1</v>
      </c>
      <c r="M12793" s="3">
        <v>303</v>
      </c>
    </row>
    <row r="12794" spans="1:13" x14ac:dyDescent="0.25">
      <c r="A12794" s="1" t="str">
        <f>HYPERLINK("http://www.rosaceae.org/Prunus/Prunus_persica/p.persica_gdr_reftransV1_0003342","p.persica_gdr_reftransV1_0003342")</f>
        <v>p.persica_gdr_reftransV1_0003342</v>
      </c>
      <c r="B12794" s="3">
        <v>1024</v>
      </c>
      <c r="C12794" s="1" t="str">
        <f>HYPERLINK("http://www.uniprot.org/uniprot/CUCM1_CUCME","CUCM1_CUCME")</f>
        <v>CUCM1_CUCME</v>
      </c>
      <c r="D12794" t="s">
        <v>265</v>
      </c>
      <c r="E12794" s="3" t="s">
        <v>266</v>
      </c>
      <c r="F12794" s="4">
        <v>6.5399999999999996E-100</v>
      </c>
      <c r="G12794" s="3">
        <v>812</v>
      </c>
      <c r="H12794" s="3">
        <v>62</v>
      </c>
      <c r="I12794" s="3">
        <v>287</v>
      </c>
      <c r="J12794" s="3">
        <v>155</v>
      </c>
      <c r="K12794" s="3">
        <v>1009</v>
      </c>
      <c r="L12794" s="3">
        <v>29</v>
      </c>
      <c r="M12794" s="3">
        <v>310</v>
      </c>
    </row>
    <row r="12795" spans="1:13" x14ac:dyDescent="0.25">
      <c r="A12795" s="1" t="str">
        <f>HYPERLINK("http://www.rosaceae.org/Prunus/Prunus_persica/p.persica_gdr_reftransV1_0003392","p.persica_gdr_reftransV1_0003392")</f>
        <v>p.persica_gdr_reftransV1_0003392</v>
      </c>
      <c r="B12795" s="3">
        <v>332</v>
      </c>
      <c r="C12795" s="1" t="str">
        <f>HYPERLINK("http://www.uniprot.org/uniprot/1A1C_MALDO","1A1C_MALDO")</f>
        <v>1A1C_MALDO</v>
      </c>
      <c r="D12795" t="s">
        <v>8745</v>
      </c>
      <c r="E12795" s="3" t="s">
        <v>540</v>
      </c>
      <c r="F12795" s="4">
        <v>2.7300000000000001E-67</v>
      </c>
      <c r="G12795" s="3">
        <v>549</v>
      </c>
      <c r="H12795" s="3">
        <v>93</v>
      </c>
      <c r="I12795" s="3">
        <v>110</v>
      </c>
      <c r="J12795" s="3">
        <v>1</v>
      </c>
      <c r="K12795" s="3">
        <v>330</v>
      </c>
      <c r="L12795" s="3">
        <v>138</v>
      </c>
      <c r="M12795" s="3">
        <v>247</v>
      </c>
    </row>
    <row r="12796" spans="1:13" x14ac:dyDescent="0.25">
      <c r="A12796" s="1" t="str">
        <f>HYPERLINK("http://www.rosaceae.org/Prunus/Prunus_persica/p.persica_gdr_reftransV1_0003442","p.persica_gdr_reftransV1_0003442")</f>
        <v>p.persica_gdr_reftransV1_0003442</v>
      </c>
      <c r="B12796" s="3">
        <v>1132</v>
      </c>
      <c r="C12796" s="1" t="str">
        <f>HYPERLINK("http://www.uniprot.org/uniprot/AHP1_ARATH","AHP1_ARATH")</f>
        <v>AHP1_ARATH</v>
      </c>
      <c r="D12796" t="s">
        <v>254</v>
      </c>
      <c r="E12796" s="3" t="s">
        <v>3</v>
      </c>
      <c r="F12796" s="4">
        <v>3.6199999999999998E-50</v>
      </c>
      <c r="G12796" s="3">
        <v>434</v>
      </c>
      <c r="H12796" s="3">
        <v>63</v>
      </c>
      <c r="I12796" s="3">
        <v>143</v>
      </c>
      <c r="J12796" s="3">
        <v>386</v>
      </c>
      <c r="K12796" s="3">
        <v>814</v>
      </c>
      <c r="L12796" s="3">
        <v>7</v>
      </c>
      <c r="M12796" s="3">
        <v>149</v>
      </c>
    </row>
    <row r="12797" spans="1:13" x14ac:dyDescent="0.25">
      <c r="A12797" s="1" t="str">
        <f>HYPERLINK("http://www.rosaceae.org/Prunus/Prunus_persica/p.persica_gdr_reftransV1_0003592","p.persica_gdr_reftransV1_0003592")</f>
        <v>p.persica_gdr_reftransV1_0003592</v>
      </c>
      <c r="B12797" s="3">
        <v>3240</v>
      </c>
      <c r="C12797" s="1" t="str">
        <f>HYPERLINK("http://www.uniprot.org/uniprot/CLPD_ARATH","CLPD_ARATH")</f>
        <v>CLPD_ARATH</v>
      </c>
      <c r="D12797" t="s">
        <v>4588</v>
      </c>
      <c r="E12797" s="3" t="s">
        <v>3</v>
      </c>
      <c r="F12797" s="4">
        <v>0</v>
      </c>
      <c r="G12797" s="3">
        <v>3243</v>
      </c>
      <c r="H12797" s="3">
        <v>70</v>
      </c>
      <c r="I12797" s="3">
        <v>889</v>
      </c>
      <c r="J12797" s="3">
        <v>411</v>
      </c>
      <c r="K12797" s="3">
        <v>3059</v>
      </c>
      <c r="L12797" s="3">
        <v>63</v>
      </c>
      <c r="M12797" s="3">
        <v>935</v>
      </c>
    </row>
    <row r="12798" spans="1:13" x14ac:dyDescent="0.25">
      <c r="A12798" s="1" t="str">
        <f>HYPERLINK("http://www.rosaceae.org/Prunus/Prunus_persica/p.persica_gdr_reftransV1_0003692","p.persica_gdr_reftransV1_0003692")</f>
        <v>p.persica_gdr_reftransV1_0003692</v>
      </c>
      <c r="B12798" s="3">
        <v>3615</v>
      </c>
      <c r="C12798" s="1" t="str">
        <f>HYPERLINK("http://www.uniprot.org/uniprot/GLGL1_BETVU","GLGL1_BETVU")</f>
        <v>GLGL1_BETVU</v>
      </c>
      <c r="D12798" t="s">
        <v>8746</v>
      </c>
      <c r="E12798" s="3" t="s">
        <v>1123</v>
      </c>
      <c r="F12798" s="4">
        <v>0</v>
      </c>
      <c r="G12798" s="3">
        <v>2134</v>
      </c>
      <c r="H12798" s="3">
        <v>77</v>
      </c>
      <c r="I12798" s="3">
        <v>532</v>
      </c>
      <c r="J12798" s="3">
        <v>438</v>
      </c>
      <c r="K12798" s="3">
        <v>2018</v>
      </c>
      <c r="L12798" s="3">
        <v>1</v>
      </c>
      <c r="M12798" s="3">
        <v>522</v>
      </c>
    </row>
    <row r="12799" spans="1:13" x14ac:dyDescent="0.25">
      <c r="A12799" s="1" t="str">
        <f>HYPERLINK("http://www.rosaceae.org/Prunus/Prunus_persica/p.persica_gdr_reftransV1_0003742","p.persica_gdr_reftransV1_0003742")</f>
        <v>p.persica_gdr_reftransV1_0003742</v>
      </c>
      <c r="B12799" s="3">
        <v>1080</v>
      </c>
      <c r="C12799" s="1" t="str">
        <f>HYPERLINK("http://www.uniprot.org/uniprot/HHL1_ARATH","HHL1_ARATH")</f>
        <v>HHL1_ARATH</v>
      </c>
      <c r="D12799" t="s">
        <v>8747</v>
      </c>
      <c r="E12799" s="3" t="s">
        <v>3</v>
      </c>
      <c r="F12799" s="4">
        <v>5.8899999999999996E-107</v>
      </c>
      <c r="G12799" s="3">
        <v>819</v>
      </c>
      <c r="H12799" s="3">
        <v>74</v>
      </c>
      <c r="I12799" s="3">
        <v>217</v>
      </c>
      <c r="J12799" s="3">
        <v>115</v>
      </c>
      <c r="K12799" s="3">
        <v>759</v>
      </c>
      <c r="L12799" s="3">
        <v>1</v>
      </c>
      <c r="M12799" s="3">
        <v>214</v>
      </c>
    </row>
    <row r="12800" spans="1:13" x14ac:dyDescent="0.25">
      <c r="A12800" s="1" t="str">
        <f>HYPERLINK("http://www.rosaceae.org/Prunus/Prunus_persica/p.persica_gdr_reftransV1_0003892","p.persica_gdr_reftransV1_0003892")</f>
        <v>p.persica_gdr_reftransV1_0003892</v>
      </c>
      <c r="B12800" s="3">
        <v>1695</v>
      </c>
      <c r="C12800" s="1" t="str">
        <f>HYPERLINK("http://www.uniprot.org/uniprot/UVR8_ARATH","UVR8_ARATH")</f>
        <v>UVR8_ARATH</v>
      </c>
      <c r="D12800" t="s">
        <v>2154</v>
      </c>
      <c r="E12800" s="3" t="s">
        <v>3</v>
      </c>
      <c r="F12800" s="4">
        <v>3.0500000000000001E-25</v>
      </c>
      <c r="G12800" s="3">
        <v>279</v>
      </c>
      <c r="H12800" s="3">
        <v>39</v>
      </c>
      <c r="I12800" s="3">
        <v>144</v>
      </c>
      <c r="J12800" s="3">
        <v>917</v>
      </c>
      <c r="K12800" s="3">
        <v>1345</v>
      </c>
      <c r="L12800" s="3">
        <v>99</v>
      </c>
      <c r="M12800" s="3">
        <v>240</v>
      </c>
    </row>
    <row r="12801" spans="1:13" x14ac:dyDescent="0.25">
      <c r="A12801" s="1" t="str">
        <f>HYPERLINK("http://www.rosaceae.org/Prunus/Prunus_persica/p.persica_gdr_reftransV1_0003942","p.persica_gdr_reftransV1_0003942")</f>
        <v>p.persica_gdr_reftransV1_0003942</v>
      </c>
      <c r="B12801" s="3">
        <v>3950</v>
      </c>
      <c r="C12801" s="1" t="str">
        <f>HYPERLINK("http://www.uniprot.org/uniprot/PAP10_ARATH","PAP10_ARATH")</f>
        <v>PAP10_ARATH</v>
      </c>
      <c r="D12801" t="s">
        <v>8313</v>
      </c>
      <c r="E12801" s="3" t="s">
        <v>3</v>
      </c>
      <c r="F12801" s="4">
        <v>8.7399999999999996E-103</v>
      </c>
      <c r="G12801" s="3">
        <v>855</v>
      </c>
      <c r="H12801" s="3">
        <v>77</v>
      </c>
      <c r="I12801" s="3">
        <v>220</v>
      </c>
      <c r="J12801" s="3">
        <v>343</v>
      </c>
      <c r="K12801" s="3">
        <v>996</v>
      </c>
      <c r="L12801" s="3">
        <v>63</v>
      </c>
      <c r="M12801" s="3">
        <v>282</v>
      </c>
    </row>
    <row r="12802" spans="1:13" x14ac:dyDescent="0.25">
      <c r="A12802" s="1" t="str">
        <f>HYPERLINK("http://www.rosaceae.org/Prunus/Prunus_persica/p.persica_gdr_reftransV1_0003992","p.persica_gdr_reftransV1_0003992")</f>
        <v>p.persica_gdr_reftransV1_0003992</v>
      </c>
      <c r="B12802" s="3">
        <v>1628</v>
      </c>
      <c r="C12802" s="1" t="str">
        <f>HYPERLINK("http://www.uniprot.org/uniprot/CSE_ARATH","CSE_ARATH")</f>
        <v>CSE_ARATH</v>
      </c>
      <c r="D12802" t="s">
        <v>584</v>
      </c>
      <c r="E12802" s="3" t="s">
        <v>3</v>
      </c>
      <c r="F12802" s="4">
        <v>1.58E-60</v>
      </c>
      <c r="G12802" s="3">
        <v>531</v>
      </c>
      <c r="H12802" s="3">
        <v>39</v>
      </c>
      <c r="I12802" s="3">
        <v>292</v>
      </c>
      <c r="J12802" s="3">
        <v>448</v>
      </c>
      <c r="K12802" s="3">
        <v>1299</v>
      </c>
      <c r="L12802" s="3">
        <v>32</v>
      </c>
      <c r="M12802" s="3">
        <v>322</v>
      </c>
    </row>
    <row r="12803" spans="1:13" x14ac:dyDescent="0.25">
      <c r="A12803" s="1" t="str">
        <f>HYPERLINK("http://www.rosaceae.org/Prunus/Prunus_persica/p.persica_gdr_reftransV1_0004192","p.persica_gdr_reftransV1_0004192")</f>
        <v>p.persica_gdr_reftransV1_0004192</v>
      </c>
      <c r="B12803" s="3">
        <v>1080</v>
      </c>
      <c r="C12803" s="1" t="str">
        <f>HYPERLINK("http://www.uniprot.org/uniprot/RAX3_ARATH","RAX3_ARATH")</f>
        <v>RAX3_ARATH</v>
      </c>
      <c r="D12803" t="s">
        <v>6230</v>
      </c>
      <c r="E12803" s="3" t="s">
        <v>3</v>
      </c>
      <c r="F12803" s="4">
        <v>3.6100000000000002E-12</v>
      </c>
      <c r="G12803" s="3">
        <v>170</v>
      </c>
      <c r="H12803" s="3">
        <v>94</v>
      </c>
      <c r="I12803" s="3">
        <v>32</v>
      </c>
      <c r="J12803" s="3">
        <v>984</v>
      </c>
      <c r="K12803" s="3">
        <v>1079</v>
      </c>
      <c r="L12803" s="3">
        <v>81</v>
      </c>
      <c r="M12803" s="3">
        <v>112</v>
      </c>
    </row>
    <row r="12804" spans="1:13" x14ac:dyDescent="0.25">
      <c r="A12804" s="1" t="str">
        <f>HYPERLINK("http://www.rosaceae.org/Prunus/Prunus_persica/p.persica_gdr_reftransV1_0004242","p.persica_gdr_reftransV1_0004242")</f>
        <v>p.persica_gdr_reftransV1_0004242</v>
      </c>
      <c r="B12804" s="3">
        <v>1658</v>
      </c>
      <c r="C12804" s="1" t="str">
        <f>HYPERLINK("http://www.uniprot.org/uniprot/TBC5A_DICDI","TBC5A_DICDI")</f>
        <v>TBC5A_DICDI</v>
      </c>
      <c r="D12804" t="s">
        <v>6410</v>
      </c>
      <c r="E12804" s="3" t="s">
        <v>9</v>
      </c>
      <c r="F12804" s="4">
        <v>1.69E-24</v>
      </c>
      <c r="G12804" s="3">
        <v>280</v>
      </c>
      <c r="H12804" s="3">
        <v>23</v>
      </c>
      <c r="I12804" s="3">
        <v>444</v>
      </c>
      <c r="J12804" s="3">
        <v>346</v>
      </c>
      <c r="K12804" s="3">
        <v>1575</v>
      </c>
      <c r="L12804" s="3">
        <v>379</v>
      </c>
      <c r="M12804" s="3">
        <v>782</v>
      </c>
    </row>
    <row r="12805" spans="1:13" x14ac:dyDescent="0.25">
      <c r="A12805" s="1" t="str">
        <f>HYPERLINK("http://www.rosaceae.org/Prunus/Prunus_persica/p.persica_gdr_reftransV1_0004342","p.persica_gdr_reftransV1_0004342")</f>
        <v>p.persica_gdr_reftransV1_0004342</v>
      </c>
      <c r="B12805" s="3">
        <v>1863</v>
      </c>
      <c r="C12805" s="1" t="str">
        <f>HYPERLINK("http://www.uniprot.org/uniprot/Y3589_ARATH","Y3589_ARATH")</f>
        <v>Y3589_ARATH</v>
      </c>
      <c r="D12805" t="s">
        <v>8748</v>
      </c>
      <c r="E12805" s="3" t="s">
        <v>3</v>
      </c>
      <c r="F12805" s="4">
        <v>1.0099999999999999E-146</v>
      </c>
      <c r="G12805" s="3">
        <v>1121</v>
      </c>
      <c r="H12805" s="3">
        <v>63</v>
      </c>
      <c r="I12805" s="3">
        <v>334</v>
      </c>
      <c r="J12805" s="3">
        <v>470</v>
      </c>
      <c r="K12805" s="3">
        <v>1468</v>
      </c>
      <c r="L12805" s="3">
        <v>20</v>
      </c>
      <c r="M12805" s="3">
        <v>350</v>
      </c>
    </row>
    <row r="12806" spans="1:13" x14ac:dyDescent="0.25">
      <c r="A12806" s="1" t="str">
        <f>HYPERLINK("http://www.rosaceae.org/Prunus/Prunus_persica/p.persica_gdr_reftransV1_0004392","p.persica_gdr_reftransV1_0004392")</f>
        <v>p.persica_gdr_reftransV1_0004392</v>
      </c>
      <c r="B12806" s="3">
        <v>1384</v>
      </c>
      <c r="C12806" s="1" t="str">
        <f>HYPERLINK("http://www.uniprot.org/uniprot/HUA2_ARATH","HUA2_ARATH")</f>
        <v>HUA2_ARATH</v>
      </c>
      <c r="D12806" t="s">
        <v>7552</v>
      </c>
      <c r="E12806" s="3" t="s">
        <v>3</v>
      </c>
      <c r="F12806" s="4">
        <v>2.6699999999999998E-25</v>
      </c>
      <c r="G12806" s="3">
        <v>283</v>
      </c>
      <c r="H12806" s="3">
        <v>42</v>
      </c>
      <c r="I12806" s="3">
        <v>223</v>
      </c>
      <c r="J12806" s="3">
        <v>522</v>
      </c>
      <c r="K12806" s="3">
        <v>1145</v>
      </c>
      <c r="L12806" s="3">
        <v>1175</v>
      </c>
      <c r="M12806" s="3">
        <v>1392</v>
      </c>
    </row>
    <row r="12807" spans="1:13" x14ac:dyDescent="0.25">
      <c r="A12807" s="1" t="str">
        <f>HYPERLINK("http://www.rosaceae.org/Prunus/Prunus_persica/p.persica_gdr_reftransV1_0004442","p.persica_gdr_reftransV1_0004442")</f>
        <v>p.persica_gdr_reftransV1_0004442</v>
      </c>
      <c r="B12807" s="3">
        <v>2647</v>
      </c>
      <c r="C12807" s="1" t="str">
        <f>HYPERLINK("http://www.uniprot.org/uniprot/PDAT1_ARATH","PDAT1_ARATH")</f>
        <v>PDAT1_ARATH</v>
      </c>
      <c r="D12807" t="s">
        <v>8749</v>
      </c>
      <c r="E12807" s="3" t="s">
        <v>3</v>
      </c>
      <c r="F12807" s="4">
        <v>0</v>
      </c>
      <c r="G12807" s="3">
        <v>2637</v>
      </c>
      <c r="H12807" s="3">
        <v>75</v>
      </c>
      <c r="I12807" s="3">
        <v>672</v>
      </c>
      <c r="J12807" s="3">
        <v>427</v>
      </c>
      <c r="K12807" s="3">
        <v>2421</v>
      </c>
      <c r="L12807" s="3">
        <v>1</v>
      </c>
      <c r="M12807" s="3">
        <v>671</v>
      </c>
    </row>
    <row r="12808" spans="1:13" x14ac:dyDescent="0.25">
      <c r="A12808" s="1" t="str">
        <f>HYPERLINK("http://www.rosaceae.org/Prunus/Prunus_persica/p.persica_gdr_reftransV1_0004492","p.persica_gdr_reftransV1_0004492")</f>
        <v>p.persica_gdr_reftransV1_0004492</v>
      </c>
      <c r="B12808" s="3">
        <v>791</v>
      </c>
      <c r="C12808" s="1" t="str">
        <f>HYPERLINK("http://www.uniprot.org/uniprot/NDUS6_ARATH","NDUS6_ARATH")</f>
        <v>NDUS6_ARATH</v>
      </c>
      <c r="D12808" t="s">
        <v>8750</v>
      </c>
      <c r="E12808" s="3" t="s">
        <v>3</v>
      </c>
      <c r="F12808" s="4">
        <v>4.4299999999999996E-50</v>
      </c>
      <c r="G12808" s="3">
        <v>421</v>
      </c>
      <c r="H12808" s="3">
        <v>73</v>
      </c>
      <c r="I12808" s="3">
        <v>111</v>
      </c>
      <c r="J12808" s="3">
        <v>387</v>
      </c>
      <c r="K12808" s="3">
        <v>695</v>
      </c>
      <c r="L12808" s="3">
        <v>1</v>
      </c>
      <c r="M12808" s="3">
        <v>110</v>
      </c>
    </row>
    <row r="12809" spans="1:13" x14ac:dyDescent="0.25">
      <c r="A12809" s="1" t="str">
        <f>HYPERLINK("http://www.rosaceae.org/Prunus/Prunus_persica/p.persica_gdr_reftransV1_0004542","p.persica_gdr_reftransV1_0004542")</f>
        <v>p.persica_gdr_reftransV1_0004542</v>
      </c>
      <c r="B12809" s="3">
        <v>999</v>
      </c>
      <c r="C12809" s="1" t="str">
        <f>HYPERLINK("http://www.uniprot.org/uniprot/DBNBT_TAXCA","DBNBT_TAXCA")</f>
        <v>DBNBT_TAXCA</v>
      </c>
      <c r="D12809" t="s">
        <v>8751</v>
      </c>
      <c r="E12809" s="3" t="s">
        <v>8752</v>
      </c>
      <c r="F12809" s="4">
        <v>9.8699999999999997E-40</v>
      </c>
      <c r="G12809" s="3">
        <v>379</v>
      </c>
      <c r="H12809" s="3">
        <v>31</v>
      </c>
      <c r="I12809" s="3">
        <v>294</v>
      </c>
      <c r="J12809" s="3">
        <v>125</v>
      </c>
      <c r="K12809" s="3">
        <v>997</v>
      </c>
      <c r="L12809" s="3">
        <v>154</v>
      </c>
      <c r="M12809" s="3">
        <v>431</v>
      </c>
    </row>
    <row r="12810" spans="1:13" x14ac:dyDescent="0.25">
      <c r="A12810" s="1" t="str">
        <f>HYPERLINK("http://www.rosaceae.org/Prunus/Prunus_persica/p.persica_gdr_reftransV1_0004692","p.persica_gdr_reftransV1_0004692")</f>
        <v>p.persica_gdr_reftransV1_0004692</v>
      </c>
      <c r="B12810" s="3">
        <v>1657</v>
      </c>
      <c r="C12810" s="1" t="str">
        <f>HYPERLINK("http://www.uniprot.org/uniprot/HCAR_ARATH","HCAR_ARATH")</f>
        <v>HCAR_ARATH</v>
      </c>
      <c r="D12810" t="s">
        <v>5313</v>
      </c>
      <c r="E12810" s="3" t="s">
        <v>3</v>
      </c>
      <c r="F12810" s="4">
        <v>0</v>
      </c>
      <c r="G12810" s="3">
        <v>1973</v>
      </c>
      <c r="H12810" s="3">
        <v>81</v>
      </c>
      <c r="I12810" s="3">
        <v>445</v>
      </c>
      <c r="J12810" s="3">
        <v>273</v>
      </c>
      <c r="K12810" s="3">
        <v>1604</v>
      </c>
      <c r="L12810" s="3">
        <v>35</v>
      </c>
      <c r="M12810" s="3">
        <v>462</v>
      </c>
    </row>
    <row r="12811" spans="1:13" x14ac:dyDescent="0.25">
      <c r="A12811" s="1" t="str">
        <f>HYPERLINK("http://www.rosaceae.org/Prunus/Prunus_persica/p.persica_gdr_reftransV1_0004742","p.persica_gdr_reftransV1_0004742")</f>
        <v>p.persica_gdr_reftransV1_0004742</v>
      </c>
      <c r="B12811" s="3">
        <v>604</v>
      </c>
      <c r="C12811" s="1" t="str">
        <f>HYPERLINK("http://www.uniprot.org/uniprot/FAD3E_TOBAC","FAD3E_TOBAC")</f>
        <v>FAD3E_TOBAC</v>
      </c>
      <c r="D12811" t="s">
        <v>7229</v>
      </c>
      <c r="E12811" s="3" t="s">
        <v>200</v>
      </c>
      <c r="F12811" s="4">
        <v>8.7999999999999998E-54</v>
      </c>
      <c r="G12811" s="3">
        <v>461</v>
      </c>
      <c r="H12811" s="3">
        <v>84</v>
      </c>
      <c r="I12811" s="3">
        <v>99</v>
      </c>
      <c r="J12811" s="3">
        <v>54</v>
      </c>
      <c r="K12811" s="3">
        <v>350</v>
      </c>
      <c r="L12811" s="3">
        <v>271</v>
      </c>
      <c r="M12811" s="3">
        <v>369</v>
      </c>
    </row>
    <row r="12812" spans="1:13" x14ac:dyDescent="0.25">
      <c r="A12812" s="1" t="str">
        <f>HYPERLINK("http://www.rosaceae.org/Prunus/Prunus_persica/p.persica_gdr_reftransV1_0004842","p.persica_gdr_reftransV1_0004842")</f>
        <v>p.persica_gdr_reftransV1_0004842</v>
      </c>
      <c r="B12812" s="3">
        <v>2772</v>
      </c>
      <c r="C12812" s="1" t="str">
        <f>HYPERLINK("http://www.uniprot.org/uniprot/NOL10_XENLA","NOL10_XENLA")</f>
        <v>NOL10_XENLA</v>
      </c>
      <c r="D12812" t="s">
        <v>8753</v>
      </c>
      <c r="E12812" s="3" t="s">
        <v>475</v>
      </c>
      <c r="F12812" s="4">
        <v>7.6799999999999996E-142</v>
      </c>
      <c r="G12812" s="3">
        <v>1144</v>
      </c>
      <c r="H12812" s="3">
        <v>45</v>
      </c>
      <c r="I12812" s="3">
        <v>532</v>
      </c>
      <c r="J12812" s="3">
        <v>1054</v>
      </c>
      <c r="K12812" s="3">
        <v>2628</v>
      </c>
      <c r="L12812" s="3">
        <v>1</v>
      </c>
      <c r="M12812" s="3">
        <v>513</v>
      </c>
    </row>
    <row r="12813" spans="1:13" x14ac:dyDescent="0.25">
      <c r="A12813" s="1" t="str">
        <f>HYPERLINK("http://www.rosaceae.org/Prunus/Prunus_persica/p.persica_gdr_reftransV1_0004892","p.persica_gdr_reftransV1_0004892")</f>
        <v>p.persica_gdr_reftransV1_0004892</v>
      </c>
      <c r="B12813" s="3">
        <v>1067</v>
      </c>
      <c r="C12813" s="1" t="str">
        <f>HYPERLINK("http://www.uniprot.org/uniprot/RS71_ARATH","RS71_ARATH")</f>
        <v>RS71_ARATH</v>
      </c>
      <c r="D12813" t="s">
        <v>6424</v>
      </c>
      <c r="E12813" s="3" t="s">
        <v>3</v>
      </c>
      <c r="F12813" s="4">
        <v>1.14E-101</v>
      </c>
      <c r="G12813" s="3">
        <v>780</v>
      </c>
      <c r="H12813" s="3">
        <v>70</v>
      </c>
      <c r="I12813" s="3">
        <v>216</v>
      </c>
      <c r="J12813" s="3">
        <v>276</v>
      </c>
      <c r="K12813" s="3">
        <v>920</v>
      </c>
      <c r="L12813" s="3">
        <v>1</v>
      </c>
      <c r="M12813" s="3">
        <v>191</v>
      </c>
    </row>
    <row r="12814" spans="1:13" x14ac:dyDescent="0.25">
      <c r="A12814" s="1" t="str">
        <f>HYPERLINK("http://www.rosaceae.org/Prunus/Prunus_persica/p.persica_gdr_reftransV1_0004992","p.persica_gdr_reftransV1_0004992")</f>
        <v>p.persica_gdr_reftransV1_0004992</v>
      </c>
      <c r="B12814" s="3">
        <v>3704</v>
      </c>
      <c r="C12814" s="1" t="str">
        <f>HYPERLINK("http://www.uniprot.org/uniprot/CNX1_ARATH","CNX1_ARATH")</f>
        <v>CNX1_ARATH</v>
      </c>
      <c r="D12814" t="s">
        <v>2030</v>
      </c>
      <c r="E12814" s="3" t="s">
        <v>3</v>
      </c>
      <c r="F12814" s="4">
        <v>0</v>
      </c>
      <c r="G12814" s="3">
        <v>2408</v>
      </c>
      <c r="H12814" s="3">
        <v>71</v>
      </c>
      <c r="I12814" s="3">
        <v>663</v>
      </c>
      <c r="J12814" s="3">
        <v>1582</v>
      </c>
      <c r="K12814" s="3">
        <v>3558</v>
      </c>
      <c r="L12814" s="3">
        <v>13</v>
      </c>
      <c r="M12814" s="3">
        <v>670</v>
      </c>
    </row>
    <row r="12815" spans="1:13" x14ac:dyDescent="0.25">
      <c r="A12815" s="1" t="str">
        <f>HYPERLINK("http://www.rosaceae.org/Prunus/Prunus_persica/p.persica_gdr_reftransV1_0005092","p.persica_gdr_reftransV1_0005092")</f>
        <v>p.persica_gdr_reftransV1_0005092</v>
      </c>
      <c r="B12815" s="3">
        <v>2615</v>
      </c>
      <c r="C12815" s="1" t="str">
        <f>HYPERLINK("http://www.uniprot.org/uniprot/P2C04_ORYSJ","P2C04_ORYSJ")</f>
        <v>P2C04_ORYSJ</v>
      </c>
      <c r="D12815" t="s">
        <v>5768</v>
      </c>
      <c r="E12815" s="3" t="s">
        <v>38</v>
      </c>
      <c r="F12815" s="4">
        <v>0</v>
      </c>
      <c r="G12815" s="3">
        <v>2292</v>
      </c>
      <c r="H12815" s="3">
        <v>65</v>
      </c>
      <c r="I12815" s="3">
        <v>709</v>
      </c>
      <c r="J12815" s="3">
        <v>196</v>
      </c>
      <c r="K12815" s="3">
        <v>2301</v>
      </c>
      <c r="L12815" s="3">
        <v>1</v>
      </c>
      <c r="M12815" s="3">
        <v>657</v>
      </c>
    </row>
    <row r="12816" spans="1:13" x14ac:dyDescent="0.25">
      <c r="A12816" s="1" t="str">
        <f>HYPERLINK("http://www.rosaceae.org/Prunus/Prunus_persica/p.persica_gdr_reftransV1_0005192","p.persica_gdr_reftransV1_0005192")</f>
        <v>p.persica_gdr_reftransV1_0005192</v>
      </c>
      <c r="B12816" s="3">
        <v>581</v>
      </c>
      <c r="C12816" s="1" t="str">
        <f>HYPERLINK("http://www.uniprot.org/uniprot/Y5986_ARATH","Y5986_ARATH")</f>
        <v>Y5986_ARATH</v>
      </c>
      <c r="D12816" t="s">
        <v>4689</v>
      </c>
      <c r="E12816" s="3" t="s">
        <v>3</v>
      </c>
      <c r="F12816" s="4">
        <v>1.85E-37</v>
      </c>
      <c r="G12816" s="3">
        <v>349</v>
      </c>
      <c r="H12816" s="3">
        <v>43</v>
      </c>
      <c r="I12816" s="3">
        <v>166</v>
      </c>
      <c r="J12816" s="3">
        <v>77</v>
      </c>
      <c r="K12816" s="3">
        <v>517</v>
      </c>
      <c r="L12816" s="3">
        <v>223</v>
      </c>
      <c r="M12816" s="3">
        <v>388</v>
      </c>
    </row>
    <row r="12817" spans="1:13" x14ac:dyDescent="0.25">
      <c r="A12817" s="1" t="str">
        <f>HYPERLINK("http://www.rosaceae.org/Prunus/Prunus_persica/p.persica_gdr_reftransV1_0005242","p.persica_gdr_reftransV1_0005242")</f>
        <v>p.persica_gdr_reftransV1_0005242</v>
      </c>
      <c r="B12817" s="3">
        <v>3577</v>
      </c>
      <c r="C12817" s="1" t="str">
        <f>HYPERLINK("http://www.uniprot.org/uniprot/NU4M_ARATH","NU4M_ARATH")</f>
        <v>NU4M_ARATH</v>
      </c>
      <c r="D12817" t="s">
        <v>2548</v>
      </c>
      <c r="E12817" s="3" t="s">
        <v>3</v>
      </c>
      <c r="F12817" s="4">
        <v>7.3400000000000007E-80</v>
      </c>
      <c r="G12817" s="3">
        <v>705</v>
      </c>
      <c r="H12817" s="3">
        <v>99</v>
      </c>
      <c r="I12817" s="3">
        <v>140</v>
      </c>
      <c r="J12817" s="3">
        <v>251</v>
      </c>
      <c r="K12817" s="3">
        <v>670</v>
      </c>
      <c r="L12817" s="3">
        <v>327</v>
      </c>
      <c r="M12817" s="3">
        <v>466</v>
      </c>
    </row>
    <row r="12818" spans="1:13" x14ac:dyDescent="0.25">
      <c r="A12818" s="1" t="str">
        <f>HYPERLINK("http://www.rosaceae.org/Prunus/Prunus_persica/p.persica_gdr_reftransV1_0005392","p.persica_gdr_reftransV1_0005392")</f>
        <v>p.persica_gdr_reftransV1_0005392</v>
      </c>
      <c r="B12818" s="3">
        <v>1051</v>
      </c>
      <c r="C12818" s="1" t="str">
        <f>HYPERLINK("http://www.uniprot.org/uniprot/LAC17_ARATH","LAC17_ARATH")</f>
        <v>LAC17_ARATH</v>
      </c>
      <c r="D12818" t="s">
        <v>20</v>
      </c>
      <c r="E12818" s="3" t="s">
        <v>3</v>
      </c>
      <c r="F12818" s="4">
        <v>0</v>
      </c>
      <c r="G12818" s="3">
        <v>1367</v>
      </c>
      <c r="H12818" s="3">
        <v>78</v>
      </c>
      <c r="I12818" s="3">
        <v>342</v>
      </c>
      <c r="J12818" s="3">
        <v>44</v>
      </c>
      <c r="K12818" s="3">
        <v>1051</v>
      </c>
      <c r="L12818" s="3">
        <v>142</v>
      </c>
      <c r="M12818" s="3">
        <v>483</v>
      </c>
    </row>
    <row r="12819" spans="1:13" x14ac:dyDescent="0.25">
      <c r="A12819" s="1" t="str">
        <f>HYPERLINK("http://www.rosaceae.org/Prunus/Prunus_persica/p.persica_gdr_reftransV1_0005442","p.persica_gdr_reftransV1_0005442")</f>
        <v>p.persica_gdr_reftransV1_0005442</v>
      </c>
      <c r="B12819" s="3">
        <v>508</v>
      </c>
      <c r="C12819" s="1" t="str">
        <f>HYPERLINK("http://www.uniprot.org/uniprot/SBT12_ARATH","SBT12_ARATH")</f>
        <v>SBT12_ARATH</v>
      </c>
      <c r="D12819" t="s">
        <v>3140</v>
      </c>
      <c r="E12819" s="3" t="s">
        <v>3</v>
      </c>
      <c r="F12819" s="4">
        <v>1.0299999999999999E-80</v>
      </c>
      <c r="G12819" s="3">
        <v>664</v>
      </c>
      <c r="H12819" s="3">
        <v>71</v>
      </c>
      <c r="I12819" s="3">
        <v>169</v>
      </c>
      <c r="J12819" s="3">
        <v>1</v>
      </c>
      <c r="K12819" s="3">
        <v>507</v>
      </c>
      <c r="L12819" s="3">
        <v>329</v>
      </c>
      <c r="M12819" s="3">
        <v>497</v>
      </c>
    </row>
    <row r="12820" spans="1:13" x14ac:dyDescent="0.25">
      <c r="A12820" s="1" t="str">
        <f>HYPERLINK("http://www.rosaceae.org/Prunus/Prunus_persica/p.persica_gdr_reftransV1_0005492","p.persica_gdr_reftransV1_0005492")</f>
        <v>p.persica_gdr_reftransV1_0005492</v>
      </c>
      <c r="B12820" s="3">
        <v>1245</v>
      </c>
      <c r="C12820" s="1" t="str">
        <f>HYPERLINK("http://www.uniprot.org/uniprot/Y1839_ARATH","Y1839_ARATH")</f>
        <v>Y1839_ARATH</v>
      </c>
      <c r="D12820" t="s">
        <v>3075</v>
      </c>
      <c r="E12820" s="3" t="s">
        <v>3</v>
      </c>
      <c r="F12820" s="4">
        <v>2.6800000000000002E-7</v>
      </c>
      <c r="G12820" s="3">
        <v>135</v>
      </c>
      <c r="H12820" s="3">
        <v>27</v>
      </c>
      <c r="I12820" s="3">
        <v>247</v>
      </c>
      <c r="J12820" s="3">
        <v>471</v>
      </c>
      <c r="K12820" s="3">
        <v>1154</v>
      </c>
      <c r="L12820" s="3">
        <v>5</v>
      </c>
      <c r="M12820" s="3">
        <v>229</v>
      </c>
    </row>
    <row r="12821" spans="1:13" x14ac:dyDescent="0.25">
      <c r="A12821" s="1" t="str">
        <f>HYPERLINK("http://www.rosaceae.org/Prunus/Prunus_persica/p.persica_gdr_reftransV1_0005592","p.persica_gdr_reftransV1_0005592")</f>
        <v>p.persica_gdr_reftransV1_0005592</v>
      </c>
      <c r="B12821" s="3">
        <v>400</v>
      </c>
      <c r="C12821" s="1" t="str">
        <f>HYPERLINK("http://www.uniprot.org/uniprot/TMVRN_NICGU","TMVRN_NICGU")</f>
        <v>TMVRN_NICGU</v>
      </c>
      <c r="D12821" t="s">
        <v>151</v>
      </c>
      <c r="E12821" s="3" t="s">
        <v>152</v>
      </c>
      <c r="F12821" s="4">
        <v>3.8600000000000002E-28</v>
      </c>
      <c r="G12821" s="3">
        <v>284</v>
      </c>
      <c r="H12821" s="3">
        <v>46</v>
      </c>
      <c r="I12821" s="3">
        <v>132</v>
      </c>
      <c r="J12821" s="3">
        <v>3</v>
      </c>
      <c r="K12821" s="3">
        <v>398</v>
      </c>
      <c r="L12821" s="3">
        <v>93</v>
      </c>
      <c r="M12821" s="3">
        <v>223</v>
      </c>
    </row>
    <row r="12822" spans="1:13" x14ac:dyDescent="0.25">
      <c r="A12822" s="1" t="str">
        <f>HYPERLINK("http://www.rosaceae.org/Prunus/Prunus_persica/p.persica_gdr_reftransV1_0005792","p.persica_gdr_reftransV1_0005792")</f>
        <v>p.persica_gdr_reftransV1_0005792</v>
      </c>
      <c r="B12822" s="3">
        <v>577</v>
      </c>
      <c r="C12822" s="1" t="str">
        <f>HYPERLINK("http://www.uniprot.org/uniprot/SAU24_ARATH","SAU24_ARATH")</f>
        <v>SAU24_ARATH</v>
      </c>
      <c r="D12822" t="s">
        <v>8754</v>
      </c>
      <c r="E12822" s="3" t="s">
        <v>3</v>
      </c>
      <c r="F12822" s="4">
        <v>1.6600000000000001E-29</v>
      </c>
      <c r="G12822" s="3">
        <v>275</v>
      </c>
      <c r="H12822" s="3">
        <v>64</v>
      </c>
      <c r="I12822" s="3">
        <v>81</v>
      </c>
      <c r="J12822" s="3">
        <v>81</v>
      </c>
      <c r="K12822" s="3">
        <v>320</v>
      </c>
      <c r="L12822" s="3">
        <v>9</v>
      </c>
      <c r="M12822" s="3">
        <v>89</v>
      </c>
    </row>
    <row r="12823" spans="1:13" x14ac:dyDescent="0.25">
      <c r="A12823" s="1" t="str">
        <f>HYPERLINK("http://www.rosaceae.org/Prunus/Prunus_persica/p.persica_gdr_reftransV1_0005992","p.persica_gdr_reftransV1_0005992")</f>
        <v>p.persica_gdr_reftransV1_0005992</v>
      </c>
      <c r="B12823" s="3">
        <v>1932</v>
      </c>
      <c r="C12823" s="1" t="str">
        <f>HYPERLINK("http://www.uniprot.org/uniprot/MDL1_PRUDU","MDL1_PRUDU")</f>
        <v>MDL1_PRUDU</v>
      </c>
      <c r="D12823" t="s">
        <v>8755</v>
      </c>
      <c r="E12823" s="3" t="s">
        <v>418</v>
      </c>
      <c r="F12823" s="4">
        <v>0</v>
      </c>
      <c r="G12823" s="3">
        <v>2690</v>
      </c>
      <c r="H12823" s="3">
        <v>98</v>
      </c>
      <c r="I12823" s="3">
        <v>558</v>
      </c>
      <c r="J12823" s="3">
        <v>171</v>
      </c>
      <c r="K12823" s="3">
        <v>1844</v>
      </c>
      <c r="L12823" s="3">
        <v>1</v>
      </c>
      <c r="M12823" s="3">
        <v>558</v>
      </c>
    </row>
    <row r="12824" spans="1:13" x14ac:dyDescent="0.25">
      <c r="A12824" s="1" t="str">
        <f>HYPERLINK("http://www.rosaceae.org/Prunus/Prunus_persica/p.persica_gdr_reftransV1_0006242","p.persica_gdr_reftransV1_0006242")</f>
        <v>p.persica_gdr_reftransV1_0006242</v>
      </c>
      <c r="B12824" s="3">
        <v>497</v>
      </c>
      <c r="C12824" s="1" t="str">
        <f>HYPERLINK("http://www.uniprot.org/uniprot/PP157_ARATH","PP157_ARATH")</f>
        <v>PP157_ARATH</v>
      </c>
      <c r="D12824" t="s">
        <v>8756</v>
      </c>
      <c r="E12824" s="3" t="s">
        <v>3</v>
      </c>
      <c r="F12824" s="4">
        <v>4.5999999999999997E-30</v>
      </c>
      <c r="G12824" s="3">
        <v>295</v>
      </c>
      <c r="H12824" s="3">
        <v>55</v>
      </c>
      <c r="I12824" s="3">
        <v>122</v>
      </c>
      <c r="J12824" s="3">
        <v>137</v>
      </c>
      <c r="K12824" s="3">
        <v>496</v>
      </c>
      <c r="L12824" s="3">
        <v>91</v>
      </c>
      <c r="M12824" s="3">
        <v>212</v>
      </c>
    </row>
    <row r="12825" spans="1:13" x14ac:dyDescent="0.25">
      <c r="A12825" s="1" t="str">
        <f>HYPERLINK("http://www.rosaceae.org/Prunus/Prunus_persica/p.persica_gdr_reftransV1_0006292","p.persica_gdr_reftransV1_0006292")</f>
        <v>p.persica_gdr_reftransV1_0006292</v>
      </c>
      <c r="B12825" s="3">
        <v>1906</v>
      </c>
      <c r="C12825" s="1" t="str">
        <f>HYPERLINK("http://www.uniprot.org/uniprot/U1125_ARATH","U1125_ARATH")</f>
        <v>U1125_ARATH</v>
      </c>
      <c r="D12825" t="s">
        <v>8757</v>
      </c>
      <c r="E12825" s="3" t="s">
        <v>3</v>
      </c>
      <c r="F12825" s="4">
        <v>6.6799999999999998E-12</v>
      </c>
      <c r="G12825" s="3">
        <v>167</v>
      </c>
      <c r="H12825" s="3">
        <v>41</v>
      </c>
      <c r="I12825" s="3">
        <v>95</v>
      </c>
      <c r="J12825" s="3">
        <v>520</v>
      </c>
      <c r="K12825" s="3">
        <v>792</v>
      </c>
      <c r="L12825" s="3">
        <v>52</v>
      </c>
      <c r="M12825" s="3">
        <v>146</v>
      </c>
    </row>
    <row r="12826" spans="1:13" x14ac:dyDescent="0.25">
      <c r="A12826" s="1" t="str">
        <f>HYPERLINK("http://www.rosaceae.org/Prunus/Prunus_persica/p.persica_gdr_reftransV1_0006392","p.persica_gdr_reftransV1_0006392")</f>
        <v>p.persica_gdr_reftransV1_0006392</v>
      </c>
      <c r="B12826" s="3">
        <v>752</v>
      </c>
      <c r="C12826" s="1" t="str">
        <f>HYPERLINK("http://www.uniprot.org/uniprot/RN217_XENLA","RN217_XENLA")</f>
        <v>RN217_XENLA</v>
      </c>
      <c r="D12826" t="s">
        <v>8758</v>
      </c>
      <c r="E12826" s="3" t="s">
        <v>475</v>
      </c>
      <c r="F12826" s="4">
        <v>1.9400000000000001E-13</v>
      </c>
      <c r="G12826" s="3">
        <v>174</v>
      </c>
      <c r="H12826" s="3">
        <v>27</v>
      </c>
      <c r="I12826" s="3">
        <v>169</v>
      </c>
      <c r="J12826" s="3">
        <v>1</v>
      </c>
      <c r="K12826" s="3">
        <v>486</v>
      </c>
      <c r="L12826" s="3">
        <v>27</v>
      </c>
      <c r="M12826" s="3">
        <v>193</v>
      </c>
    </row>
    <row r="12827" spans="1:13" x14ac:dyDescent="0.25">
      <c r="A12827" s="1" t="str">
        <f>HYPERLINK("http://www.rosaceae.org/Prunus/Prunus_persica/p.persica_gdr_reftransV1_0006442","p.persica_gdr_reftransV1_0006442")</f>
        <v>p.persica_gdr_reftransV1_0006442</v>
      </c>
      <c r="B12827" s="3">
        <v>707</v>
      </c>
      <c r="C12827" s="1" t="str">
        <f>HYPERLINK("http://www.uniprot.org/uniprot/ANTR3_ARATH","ANTR3_ARATH")</f>
        <v>ANTR3_ARATH</v>
      </c>
      <c r="D12827" t="s">
        <v>5152</v>
      </c>
      <c r="E12827" s="3" t="s">
        <v>3</v>
      </c>
      <c r="F12827" s="4">
        <v>4.9099999999999997E-61</v>
      </c>
      <c r="G12827" s="3">
        <v>522</v>
      </c>
      <c r="H12827" s="3">
        <v>84</v>
      </c>
      <c r="I12827" s="3">
        <v>122</v>
      </c>
      <c r="J12827" s="3">
        <v>340</v>
      </c>
      <c r="K12827" s="3">
        <v>705</v>
      </c>
      <c r="L12827" s="3">
        <v>391</v>
      </c>
      <c r="M12827" s="3">
        <v>512</v>
      </c>
    </row>
    <row r="12828" spans="1:13" x14ac:dyDescent="0.25">
      <c r="A12828" s="1" t="str">
        <f>HYPERLINK("http://www.rosaceae.org/Prunus/Prunus_persica/p.persica_gdr_reftransV1_0006692","p.persica_gdr_reftransV1_0006692")</f>
        <v>p.persica_gdr_reftransV1_0006692</v>
      </c>
      <c r="B12828" s="3">
        <v>691</v>
      </c>
      <c r="C12828" s="1" t="str">
        <f>HYPERLINK("http://www.uniprot.org/uniprot/DBR_TOBAC","DBR_TOBAC")</f>
        <v>DBR_TOBAC</v>
      </c>
      <c r="D12828" t="s">
        <v>199</v>
      </c>
      <c r="E12828" s="3" t="s">
        <v>200</v>
      </c>
      <c r="F12828" s="4">
        <v>2.9000000000000001E-91</v>
      </c>
      <c r="G12828" s="3">
        <v>712</v>
      </c>
      <c r="H12828" s="3">
        <v>73</v>
      </c>
      <c r="I12828" s="3">
        <v>176</v>
      </c>
      <c r="J12828" s="3">
        <v>162</v>
      </c>
      <c r="K12828" s="3">
        <v>689</v>
      </c>
      <c r="L12828" s="3">
        <v>168</v>
      </c>
      <c r="M12828" s="3">
        <v>343</v>
      </c>
    </row>
    <row r="12829" spans="1:13" x14ac:dyDescent="0.25">
      <c r="A12829" s="1" t="str">
        <f>HYPERLINK("http://www.rosaceae.org/Prunus/Prunus_persica/p.persica_gdr_reftransV1_0006792","p.persica_gdr_reftransV1_0006792")</f>
        <v>p.persica_gdr_reftransV1_0006792</v>
      </c>
      <c r="B12829" s="3">
        <v>1374</v>
      </c>
      <c r="C12829" s="1" t="str">
        <f>HYPERLINK("http://www.uniprot.org/uniprot/PER44_ARATH","PER44_ARATH")</f>
        <v>PER44_ARATH</v>
      </c>
      <c r="D12829" t="s">
        <v>8759</v>
      </c>
      <c r="E12829" s="3" t="s">
        <v>3</v>
      </c>
      <c r="F12829" s="4">
        <v>4.88E-129</v>
      </c>
      <c r="G12829" s="3">
        <v>983</v>
      </c>
      <c r="H12829" s="3">
        <v>60</v>
      </c>
      <c r="I12829" s="3">
        <v>295</v>
      </c>
      <c r="J12829" s="3">
        <v>291</v>
      </c>
      <c r="K12829" s="3">
        <v>1172</v>
      </c>
      <c r="L12829" s="3">
        <v>23</v>
      </c>
      <c r="M12829" s="3">
        <v>309</v>
      </c>
    </row>
    <row r="12830" spans="1:13" x14ac:dyDescent="0.25">
      <c r="A12830" s="1" t="str">
        <f>HYPERLINK("http://www.rosaceae.org/Prunus/Prunus_persica/p.persica_gdr_reftransV1_0006992","p.persica_gdr_reftransV1_0006992")</f>
        <v>p.persica_gdr_reftransV1_0006992</v>
      </c>
      <c r="B12830" s="3">
        <v>569</v>
      </c>
      <c r="C12830" s="1" t="str">
        <f>HYPERLINK("http://www.uniprot.org/uniprot/FMO1_ARATH","FMO1_ARATH")</f>
        <v>FMO1_ARATH</v>
      </c>
      <c r="D12830" t="s">
        <v>8760</v>
      </c>
      <c r="E12830" s="3" t="s">
        <v>3</v>
      </c>
      <c r="F12830" s="4">
        <v>1.7400000000000001E-64</v>
      </c>
      <c r="G12830" s="3">
        <v>542</v>
      </c>
      <c r="H12830" s="3">
        <v>69</v>
      </c>
      <c r="I12830" s="3">
        <v>135</v>
      </c>
      <c r="J12830" s="3">
        <v>1</v>
      </c>
      <c r="K12830" s="3">
        <v>405</v>
      </c>
      <c r="L12830" s="3">
        <v>384</v>
      </c>
      <c r="M12830" s="3">
        <v>518</v>
      </c>
    </row>
    <row r="12831" spans="1:13" x14ac:dyDescent="0.25">
      <c r="A12831" s="1" t="str">
        <f>HYPERLINK("http://www.rosaceae.org/Prunus/Prunus_persica/p.persica_gdr_reftransV1_0007042","p.persica_gdr_reftransV1_0007042")</f>
        <v>p.persica_gdr_reftransV1_0007042</v>
      </c>
      <c r="B12831" s="3">
        <v>595</v>
      </c>
      <c r="C12831" s="1" t="str">
        <f>HYPERLINK("http://www.uniprot.org/uniprot/PGLR_PRUPE","PGLR_PRUPE")</f>
        <v>PGLR_PRUPE</v>
      </c>
      <c r="D12831" t="s">
        <v>783</v>
      </c>
      <c r="E12831" s="3" t="s">
        <v>784</v>
      </c>
      <c r="F12831" s="4">
        <v>1.5200000000000001E-51</v>
      </c>
      <c r="G12831" s="3">
        <v>446</v>
      </c>
      <c r="H12831" s="3">
        <v>47</v>
      </c>
      <c r="I12831" s="3">
        <v>210</v>
      </c>
      <c r="J12831" s="3">
        <v>2</v>
      </c>
      <c r="K12831" s="3">
        <v>595</v>
      </c>
      <c r="L12831" s="3">
        <v>154</v>
      </c>
      <c r="M12831" s="3">
        <v>348</v>
      </c>
    </row>
    <row r="12832" spans="1:13" x14ac:dyDescent="0.25">
      <c r="A12832" s="1" t="str">
        <f>HYPERLINK("http://www.rosaceae.org/Prunus/Prunus_persica/p.persica_gdr_reftransV1_0007142","p.persica_gdr_reftransV1_0007142")</f>
        <v>p.persica_gdr_reftransV1_0007142</v>
      </c>
      <c r="B12832" s="3">
        <v>973</v>
      </c>
      <c r="C12832" s="1" t="str">
        <f>HYPERLINK("http://www.uniprot.org/uniprot/SAU36_ARATH","SAU36_ARATH")</f>
        <v>SAU36_ARATH</v>
      </c>
      <c r="D12832" t="s">
        <v>4708</v>
      </c>
      <c r="E12832" s="3" t="s">
        <v>3</v>
      </c>
      <c r="F12832" s="4">
        <v>1.6300000000000001E-47</v>
      </c>
      <c r="G12832" s="3">
        <v>413</v>
      </c>
      <c r="H12832" s="3">
        <v>51</v>
      </c>
      <c r="I12832" s="3">
        <v>169</v>
      </c>
      <c r="J12832" s="3">
        <v>55</v>
      </c>
      <c r="K12832" s="3">
        <v>558</v>
      </c>
      <c r="L12832" s="3">
        <v>1</v>
      </c>
      <c r="M12832" s="3">
        <v>158</v>
      </c>
    </row>
    <row r="12833" spans="1:13" x14ac:dyDescent="0.25">
      <c r="A12833" s="1" t="str">
        <f>HYPERLINK("http://www.rosaceae.org/Prunus/Prunus_persica/p.persica_gdr_reftransV1_0007192","p.persica_gdr_reftransV1_0007192")</f>
        <v>p.persica_gdr_reftransV1_0007192</v>
      </c>
      <c r="B12833" s="3">
        <v>615</v>
      </c>
      <c r="C12833" s="1" t="str">
        <f>HYPERLINK("http://www.uniprot.org/uniprot/KYNB_SALRD","KYNB_SALRD")</f>
        <v>KYNB_SALRD</v>
      </c>
      <c r="D12833" t="s">
        <v>8761</v>
      </c>
      <c r="E12833" s="3" t="s">
        <v>8762</v>
      </c>
      <c r="F12833" s="4">
        <v>2.9999999999999997E-8</v>
      </c>
      <c r="G12833" s="3">
        <v>131</v>
      </c>
      <c r="H12833" s="3">
        <v>35</v>
      </c>
      <c r="I12833" s="3">
        <v>114</v>
      </c>
      <c r="J12833" s="3">
        <v>71</v>
      </c>
      <c r="K12833" s="3">
        <v>409</v>
      </c>
      <c r="L12833" s="3">
        <v>104</v>
      </c>
      <c r="M12833" s="3">
        <v>212</v>
      </c>
    </row>
    <row r="12834" spans="1:13" x14ac:dyDescent="0.25">
      <c r="A12834" s="1" t="str">
        <f>HYPERLINK("http://www.rosaceae.org/Prunus/Prunus_persica/p.persica_gdr_reftransV1_0007242","p.persica_gdr_reftransV1_0007242")</f>
        <v>p.persica_gdr_reftransV1_0007242</v>
      </c>
      <c r="B12834" s="3">
        <v>3146</v>
      </c>
      <c r="C12834" s="1" t="str">
        <f>HYPERLINK("http://www.uniprot.org/uniprot/PLI1_SCHPO","PLI1_SCHPO")</f>
        <v>PLI1_SCHPO</v>
      </c>
      <c r="D12834" t="s">
        <v>8763</v>
      </c>
      <c r="E12834" s="3" t="s">
        <v>464</v>
      </c>
      <c r="F12834" s="4">
        <v>8.7700000000000003E-19</v>
      </c>
      <c r="G12834" s="3">
        <v>237</v>
      </c>
      <c r="H12834" s="3">
        <v>38</v>
      </c>
      <c r="I12834" s="3">
        <v>112</v>
      </c>
      <c r="J12834" s="3">
        <v>1008</v>
      </c>
      <c r="K12834" s="3">
        <v>1343</v>
      </c>
      <c r="L12834" s="3">
        <v>294</v>
      </c>
      <c r="M12834" s="3">
        <v>404</v>
      </c>
    </row>
    <row r="12835" spans="1:13" x14ac:dyDescent="0.25">
      <c r="A12835" s="1" t="str">
        <f>HYPERLINK("http://www.rosaceae.org/Prunus/Prunus_persica/p.persica_gdr_reftransV1_0007342","p.persica_gdr_reftransV1_0007342")</f>
        <v>p.persica_gdr_reftransV1_0007342</v>
      </c>
      <c r="B12835" s="3">
        <v>2192</v>
      </c>
      <c r="C12835" s="1" t="str">
        <f>HYPERLINK("http://www.uniprot.org/uniprot/METL2_ARATH","METL2_ARATH")</f>
        <v>METL2_ARATH</v>
      </c>
      <c r="D12835" t="s">
        <v>6291</v>
      </c>
      <c r="E12835" s="3" t="s">
        <v>3</v>
      </c>
      <c r="F12835" s="4">
        <v>3.5899999999999997E-33</v>
      </c>
      <c r="G12835" s="3">
        <v>236</v>
      </c>
      <c r="H12835" s="3">
        <v>41</v>
      </c>
      <c r="I12835" s="3">
        <v>145</v>
      </c>
      <c r="J12835" s="3">
        <v>96</v>
      </c>
      <c r="K12835" s="3">
        <v>503</v>
      </c>
      <c r="L12835" s="3">
        <v>4</v>
      </c>
      <c r="M12835" s="3">
        <v>145</v>
      </c>
    </row>
    <row r="12836" spans="1:13" x14ac:dyDescent="0.25">
      <c r="A12836" s="1" t="str">
        <f>HYPERLINK("http://www.rosaceae.org/Prunus/Prunus_persica/p.persica_gdr_reftransV1_0007542","p.persica_gdr_reftransV1_0007542")</f>
        <v>p.persica_gdr_reftransV1_0007542</v>
      </c>
      <c r="B12836" s="3">
        <v>2417</v>
      </c>
      <c r="C12836" s="1" t="str">
        <f>HYPERLINK("http://www.uniprot.org/uniprot/SYT4_ARATH","SYT4_ARATH")</f>
        <v>SYT4_ARATH</v>
      </c>
      <c r="D12836" t="s">
        <v>318</v>
      </c>
      <c r="E12836" s="3" t="s">
        <v>3</v>
      </c>
      <c r="F12836" s="4">
        <v>1.7700000000000001E-93</v>
      </c>
      <c r="G12836" s="3">
        <v>795</v>
      </c>
      <c r="H12836" s="3">
        <v>41</v>
      </c>
      <c r="I12836" s="3">
        <v>405</v>
      </c>
      <c r="J12836" s="3">
        <v>403</v>
      </c>
      <c r="K12836" s="3">
        <v>1596</v>
      </c>
      <c r="L12836" s="3">
        <v>1</v>
      </c>
      <c r="M12836" s="3">
        <v>399</v>
      </c>
    </row>
    <row r="12837" spans="1:13" x14ac:dyDescent="0.25">
      <c r="A12837" s="1" t="str">
        <f>HYPERLINK("http://www.rosaceae.org/Prunus/Prunus_persica/p.persica_gdr_reftransV1_0007692","p.persica_gdr_reftransV1_0007692")</f>
        <v>p.persica_gdr_reftransV1_0007692</v>
      </c>
      <c r="B12837" s="3">
        <v>845</v>
      </c>
      <c r="C12837" s="1" t="str">
        <f>HYPERLINK("http://www.uniprot.org/uniprot/PAR2_ARATH","PAR2_ARATH")</f>
        <v>PAR2_ARATH</v>
      </c>
      <c r="D12837" t="s">
        <v>8764</v>
      </c>
      <c r="E12837" s="3" t="s">
        <v>3</v>
      </c>
      <c r="F12837" s="4">
        <v>2.0300000000000001E-17</v>
      </c>
      <c r="G12837" s="3">
        <v>197</v>
      </c>
      <c r="H12837" s="3">
        <v>66</v>
      </c>
      <c r="I12837" s="3">
        <v>56</v>
      </c>
      <c r="J12837" s="3">
        <v>319</v>
      </c>
      <c r="K12837" s="3">
        <v>486</v>
      </c>
      <c r="L12837" s="3">
        <v>63</v>
      </c>
      <c r="M12837" s="3">
        <v>118</v>
      </c>
    </row>
    <row r="12838" spans="1:13" x14ac:dyDescent="0.25">
      <c r="A12838" s="1" t="str">
        <f>HYPERLINK("http://www.rosaceae.org/Prunus/Prunus_persica/p.persica_gdr_reftransV1_0007792","p.persica_gdr_reftransV1_0007792")</f>
        <v>p.persica_gdr_reftransV1_0007792</v>
      </c>
      <c r="B12838" s="3">
        <v>2457</v>
      </c>
      <c r="C12838" s="1" t="str">
        <f>HYPERLINK("http://www.uniprot.org/uniprot/2A5I_ARATH","2A5I_ARATH")</f>
        <v>2A5I_ARATH</v>
      </c>
      <c r="D12838" t="s">
        <v>591</v>
      </c>
      <c r="E12838" s="3" t="s">
        <v>3</v>
      </c>
      <c r="F12838" s="4">
        <v>0</v>
      </c>
      <c r="G12838" s="3">
        <v>2050</v>
      </c>
      <c r="H12838" s="3">
        <v>77</v>
      </c>
      <c r="I12838" s="3">
        <v>509</v>
      </c>
      <c r="J12838" s="3">
        <v>613</v>
      </c>
      <c r="K12838" s="3">
        <v>2139</v>
      </c>
      <c r="L12838" s="3">
        <v>1</v>
      </c>
      <c r="M12838" s="3">
        <v>500</v>
      </c>
    </row>
    <row r="12839" spans="1:13" x14ac:dyDescent="0.25">
      <c r="A12839" s="1" t="str">
        <f>HYPERLINK("http://www.rosaceae.org/Prunus/Prunus_persica/p.persica_gdr_reftransV1_0007892","p.persica_gdr_reftransV1_0007892")</f>
        <v>p.persica_gdr_reftransV1_0007892</v>
      </c>
      <c r="B12839" s="3">
        <v>2356</v>
      </c>
      <c r="C12839" s="1" t="str">
        <f>HYPERLINK("http://www.uniprot.org/uniprot/FDL3_ARATH","FDL3_ARATH")</f>
        <v>FDL3_ARATH</v>
      </c>
      <c r="D12839" t="s">
        <v>8765</v>
      </c>
      <c r="E12839" s="3" t="s">
        <v>3</v>
      </c>
      <c r="F12839" s="4">
        <v>1.24E-15</v>
      </c>
      <c r="G12839" s="3">
        <v>206</v>
      </c>
      <c r="H12839" s="3">
        <v>27</v>
      </c>
      <c r="I12839" s="3">
        <v>209</v>
      </c>
      <c r="J12839" s="3">
        <v>1317</v>
      </c>
      <c r="K12839" s="3">
        <v>1937</v>
      </c>
      <c r="L12839" s="3">
        <v>3</v>
      </c>
      <c r="M12839" s="3">
        <v>197</v>
      </c>
    </row>
    <row r="12840" spans="1:13" x14ac:dyDescent="0.25">
      <c r="A12840" s="1" t="str">
        <f>HYPERLINK("http://www.rosaceae.org/Prunus/Prunus_persica/p.persica_gdr_reftransV1_0007942","p.persica_gdr_reftransV1_0007942")</f>
        <v>p.persica_gdr_reftransV1_0007942</v>
      </c>
      <c r="B12840" s="3">
        <v>2266</v>
      </c>
      <c r="C12840" s="1" t="str">
        <f>HYPERLINK("http://www.uniprot.org/uniprot/PP115_ARATH","PP115_ARATH")</f>
        <v>PP115_ARATH</v>
      </c>
      <c r="D12840" t="s">
        <v>8766</v>
      </c>
      <c r="E12840" s="3" t="s">
        <v>3</v>
      </c>
      <c r="F12840" s="4">
        <v>0</v>
      </c>
      <c r="G12840" s="3">
        <v>2321</v>
      </c>
      <c r="H12840" s="3">
        <v>67</v>
      </c>
      <c r="I12840" s="3">
        <v>634</v>
      </c>
      <c r="J12840" s="3">
        <v>178</v>
      </c>
      <c r="K12840" s="3">
        <v>2061</v>
      </c>
      <c r="L12840" s="3">
        <v>45</v>
      </c>
      <c r="M12840" s="3">
        <v>678</v>
      </c>
    </row>
    <row r="12841" spans="1:13" x14ac:dyDescent="0.25">
      <c r="A12841" s="1" t="str">
        <f>HYPERLINK("http://www.rosaceae.org/Prunus/Prunus_persica/p.persica_gdr_reftransV1_0008042","p.persica_gdr_reftransV1_0008042")</f>
        <v>p.persica_gdr_reftransV1_0008042</v>
      </c>
      <c r="B12841" s="3">
        <v>2925</v>
      </c>
      <c r="C12841" s="1" t="str">
        <f>HYPERLINK("http://www.uniprot.org/uniprot/POT2_ARATH","POT2_ARATH")</f>
        <v>POT2_ARATH</v>
      </c>
      <c r="D12841" t="s">
        <v>3114</v>
      </c>
      <c r="E12841" s="3" t="s">
        <v>3</v>
      </c>
      <c r="F12841" s="4">
        <v>0</v>
      </c>
      <c r="G12841" s="3">
        <v>3373</v>
      </c>
      <c r="H12841" s="3">
        <v>81</v>
      </c>
      <c r="I12841" s="3">
        <v>805</v>
      </c>
      <c r="J12841" s="3">
        <v>361</v>
      </c>
      <c r="K12841" s="3">
        <v>2724</v>
      </c>
      <c r="L12841" s="3">
        <v>1</v>
      </c>
      <c r="M12841" s="3">
        <v>794</v>
      </c>
    </row>
    <row r="12842" spans="1:13" x14ac:dyDescent="0.25">
      <c r="A12842" s="1" t="str">
        <f>HYPERLINK("http://www.rosaceae.org/Prunus/Prunus_persica/p.persica_gdr_reftransV1_0008092","p.persica_gdr_reftransV1_0008092")</f>
        <v>p.persica_gdr_reftransV1_0008092</v>
      </c>
      <c r="B12842" s="3">
        <v>1468</v>
      </c>
      <c r="C12842" s="1" t="str">
        <f>HYPERLINK("http://www.uniprot.org/uniprot/RER2_ARATH","RER2_ARATH")</f>
        <v>RER2_ARATH</v>
      </c>
      <c r="D12842" t="s">
        <v>8767</v>
      </c>
      <c r="E12842" s="3" t="s">
        <v>3</v>
      </c>
      <c r="F12842" s="4">
        <v>2.09E-103</v>
      </c>
      <c r="G12842" s="3">
        <v>818</v>
      </c>
      <c r="H12842" s="3">
        <v>73</v>
      </c>
      <c r="I12842" s="3">
        <v>244</v>
      </c>
      <c r="J12842" s="3">
        <v>359</v>
      </c>
      <c r="K12842" s="3">
        <v>1084</v>
      </c>
      <c r="L12842" s="3">
        <v>98</v>
      </c>
      <c r="M12842" s="3">
        <v>337</v>
      </c>
    </row>
    <row r="12843" spans="1:13" x14ac:dyDescent="0.25">
      <c r="A12843" s="1" t="str">
        <f>HYPERLINK("http://www.rosaceae.org/Prunus/Prunus_persica/p.persica_gdr_reftransV1_0008142","p.persica_gdr_reftransV1_0008142")</f>
        <v>p.persica_gdr_reftransV1_0008142</v>
      </c>
      <c r="B12843" s="3">
        <v>928</v>
      </c>
      <c r="C12843" s="1" t="str">
        <f>HYPERLINK("http://www.uniprot.org/uniprot/RL171_ARATH","RL171_ARATH")</f>
        <v>RL171_ARATH</v>
      </c>
      <c r="D12843" t="s">
        <v>8768</v>
      </c>
      <c r="E12843" s="3" t="s">
        <v>3</v>
      </c>
      <c r="F12843" s="4">
        <v>1.13E-94</v>
      </c>
      <c r="G12843" s="3">
        <v>728</v>
      </c>
      <c r="H12843" s="3">
        <v>87</v>
      </c>
      <c r="I12843" s="3">
        <v>174</v>
      </c>
      <c r="J12843" s="3">
        <v>102</v>
      </c>
      <c r="K12843" s="3">
        <v>623</v>
      </c>
      <c r="L12843" s="3">
        <v>1</v>
      </c>
      <c r="M12843" s="3">
        <v>173</v>
      </c>
    </row>
    <row r="12844" spans="1:13" x14ac:dyDescent="0.25">
      <c r="A12844" s="1" t="str">
        <f>HYPERLINK("http://www.rosaceae.org/Prunus/Prunus_persica/p.persica_gdr_reftransV1_0008242","p.persica_gdr_reftransV1_0008242")</f>
        <v>p.persica_gdr_reftransV1_0008242</v>
      </c>
      <c r="B12844" s="3">
        <v>1629</v>
      </c>
      <c r="C12844" s="1" t="str">
        <f>HYPERLINK("http://www.uniprot.org/uniprot/LGUC_ARATH","LGUC_ARATH")</f>
        <v>LGUC_ARATH</v>
      </c>
      <c r="D12844" t="s">
        <v>6069</v>
      </c>
      <c r="E12844" s="3" t="s">
        <v>3</v>
      </c>
      <c r="F12844" s="4">
        <v>0</v>
      </c>
      <c r="G12844" s="3">
        <v>1442</v>
      </c>
      <c r="H12844" s="3">
        <v>80</v>
      </c>
      <c r="I12844" s="3">
        <v>354</v>
      </c>
      <c r="J12844" s="3">
        <v>382</v>
      </c>
      <c r="K12844" s="3">
        <v>1440</v>
      </c>
      <c r="L12844" s="3">
        <v>1</v>
      </c>
      <c r="M12844" s="3">
        <v>343</v>
      </c>
    </row>
    <row r="12845" spans="1:13" x14ac:dyDescent="0.25">
      <c r="A12845" s="1" t="str">
        <f>HYPERLINK("http://www.rosaceae.org/Prunus/Prunus_persica/p.persica_gdr_reftransV1_0008292","p.persica_gdr_reftransV1_0008292")</f>
        <v>p.persica_gdr_reftransV1_0008292</v>
      </c>
      <c r="B12845" s="3">
        <v>2645</v>
      </c>
      <c r="C12845" s="1" t="str">
        <f>HYPERLINK("http://www.uniprot.org/uniprot/RPT3_ARATH","RPT3_ARATH")</f>
        <v>RPT3_ARATH</v>
      </c>
      <c r="D12845" t="s">
        <v>8769</v>
      </c>
      <c r="E12845" s="3" t="s">
        <v>3</v>
      </c>
      <c r="F12845" s="4">
        <v>0</v>
      </c>
      <c r="G12845" s="3">
        <v>2502</v>
      </c>
      <c r="H12845" s="3">
        <v>71</v>
      </c>
      <c r="I12845" s="3">
        <v>746</v>
      </c>
      <c r="J12845" s="3">
        <v>317</v>
      </c>
      <c r="K12845" s="3">
        <v>2344</v>
      </c>
      <c r="L12845" s="3">
        <v>1</v>
      </c>
      <c r="M12845" s="3">
        <v>746</v>
      </c>
    </row>
    <row r="12846" spans="1:13" x14ac:dyDescent="0.25">
      <c r="A12846" s="1" t="str">
        <f>HYPERLINK("http://www.rosaceae.org/Prunus/Prunus_persica/p.persica_gdr_reftransV1_0008392","p.persica_gdr_reftransV1_0008392")</f>
        <v>p.persica_gdr_reftransV1_0008392</v>
      </c>
      <c r="B12846" s="3">
        <v>1368</v>
      </c>
      <c r="C12846" s="1" t="str">
        <f>HYPERLINK("http://www.uniprot.org/uniprot/GATL4_ARATH","GATL4_ARATH")</f>
        <v>GATL4_ARATH</v>
      </c>
      <c r="D12846" t="s">
        <v>8770</v>
      </c>
      <c r="E12846" s="3" t="s">
        <v>3</v>
      </c>
      <c r="F12846" s="4">
        <v>0</v>
      </c>
      <c r="G12846" s="3">
        <v>1387</v>
      </c>
      <c r="H12846" s="3">
        <v>77</v>
      </c>
      <c r="I12846" s="3">
        <v>325</v>
      </c>
      <c r="J12846" s="3">
        <v>188</v>
      </c>
      <c r="K12846" s="3">
        <v>1153</v>
      </c>
      <c r="L12846" s="3">
        <v>27</v>
      </c>
      <c r="M12846" s="3">
        <v>351</v>
      </c>
    </row>
    <row r="12847" spans="1:13" x14ac:dyDescent="0.25">
      <c r="A12847" s="1" t="str">
        <f>HYPERLINK("http://www.rosaceae.org/Prunus/Prunus_persica/p.persica_gdr_reftransV1_0008492","p.persica_gdr_reftransV1_0008492")</f>
        <v>p.persica_gdr_reftransV1_0008492</v>
      </c>
      <c r="B12847" s="3">
        <v>1996</v>
      </c>
      <c r="C12847" s="1" t="str">
        <f>HYPERLINK("http://www.uniprot.org/uniprot/ARLY_ARATH","ARLY_ARATH")</f>
        <v>ARLY_ARATH</v>
      </c>
      <c r="D12847" t="s">
        <v>8771</v>
      </c>
      <c r="E12847" s="3" t="s">
        <v>3</v>
      </c>
      <c r="F12847" s="4">
        <v>0</v>
      </c>
      <c r="G12847" s="3">
        <v>2029</v>
      </c>
      <c r="H12847" s="3">
        <v>81</v>
      </c>
      <c r="I12847" s="3">
        <v>460</v>
      </c>
      <c r="J12847" s="3">
        <v>233</v>
      </c>
      <c r="K12847" s="3">
        <v>1612</v>
      </c>
      <c r="L12847" s="3">
        <v>56</v>
      </c>
      <c r="M12847" s="3">
        <v>515</v>
      </c>
    </row>
    <row r="12848" spans="1:13" x14ac:dyDescent="0.25">
      <c r="A12848" s="1" t="str">
        <f>HYPERLINK("http://www.rosaceae.org/Prunus/Prunus_persica/p.persica_gdr_reftransV1_0008692","p.persica_gdr_reftransV1_0008692")</f>
        <v>p.persica_gdr_reftransV1_0008692</v>
      </c>
      <c r="B12848" s="3">
        <v>897</v>
      </c>
      <c r="C12848" s="1" t="str">
        <f>HYPERLINK("http://www.uniprot.org/uniprot/VA726_ARATH","VA726_ARATH")</f>
        <v>VA726_ARATH</v>
      </c>
      <c r="D12848" t="s">
        <v>8772</v>
      </c>
      <c r="E12848" s="3" t="s">
        <v>3</v>
      </c>
      <c r="F12848" s="4">
        <v>2.0200000000000001E-98</v>
      </c>
      <c r="G12848" s="3">
        <v>756</v>
      </c>
      <c r="H12848" s="3">
        <v>83</v>
      </c>
      <c r="I12848" s="3">
        <v>180</v>
      </c>
      <c r="J12848" s="3">
        <v>3</v>
      </c>
      <c r="K12848" s="3">
        <v>542</v>
      </c>
      <c r="L12848" s="3">
        <v>41</v>
      </c>
      <c r="M12848" s="3">
        <v>220</v>
      </c>
    </row>
    <row r="12849" spans="1:13" x14ac:dyDescent="0.25">
      <c r="A12849" s="1" t="str">
        <f>HYPERLINK("http://www.rosaceae.org/Prunus/Prunus_persica/p.persica_gdr_reftransV1_0008842","p.persica_gdr_reftransV1_0008842")</f>
        <v>p.persica_gdr_reftransV1_0008842</v>
      </c>
      <c r="B12849" s="3">
        <v>792</v>
      </c>
      <c r="C12849" s="1" t="str">
        <f>HYPERLINK("http://www.uniprot.org/uniprot/KCS7_ARATH","KCS7_ARATH")</f>
        <v>KCS7_ARATH</v>
      </c>
      <c r="D12849" t="s">
        <v>8773</v>
      </c>
      <c r="E12849" s="3" t="s">
        <v>3</v>
      </c>
      <c r="F12849" s="4">
        <v>1.1E-61</v>
      </c>
      <c r="G12849" s="3">
        <v>526</v>
      </c>
      <c r="H12849" s="3">
        <v>66</v>
      </c>
      <c r="I12849" s="3">
        <v>143</v>
      </c>
      <c r="J12849" s="3">
        <v>233</v>
      </c>
      <c r="K12849" s="3">
        <v>661</v>
      </c>
      <c r="L12849" s="3">
        <v>306</v>
      </c>
      <c r="M12849" s="3">
        <v>446</v>
      </c>
    </row>
    <row r="12850" spans="1:13" x14ac:dyDescent="0.25">
      <c r="A12850" s="1" t="str">
        <f>HYPERLINK("http://www.rosaceae.org/Prunus/Prunus_persica/p.persica_gdr_reftransV1_0008992","p.persica_gdr_reftransV1_0008992")</f>
        <v>p.persica_gdr_reftransV1_0008992</v>
      </c>
      <c r="B12850" s="3">
        <v>1787</v>
      </c>
      <c r="C12850" s="1" t="str">
        <f>HYPERLINK("http://www.uniprot.org/uniprot/PPR19_ARATH","PPR19_ARATH")</f>
        <v>PPR19_ARATH</v>
      </c>
      <c r="D12850" t="s">
        <v>8774</v>
      </c>
      <c r="E12850" s="3" t="s">
        <v>3</v>
      </c>
      <c r="F12850" s="4">
        <v>0</v>
      </c>
      <c r="G12850" s="3">
        <v>1749</v>
      </c>
      <c r="H12850" s="3">
        <v>64</v>
      </c>
      <c r="I12850" s="3">
        <v>534</v>
      </c>
      <c r="J12850" s="3">
        <v>37</v>
      </c>
      <c r="K12850" s="3">
        <v>1617</v>
      </c>
      <c r="L12850" s="3">
        <v>1</v>
      </c>
      <c r="M12850" s="3">
        <v>533</v>
      </c>
    </row>
    <row r="12851" spans="1:13" x14ac:dyDescent="0.25">
      <c r="A12851" s="1" t="str">
        <f>HYPERLINK("http://www.rosaceae.org/Prunus/Prunus_persica/p.persica_gdr_reftransV1_0009042","p.persica_gdr_reftransV1_0009042")</f>
        <v>p.persica_gdr_reftransV1_0009042</v>
      </c>
      <c r="B12851" s="3">
        <v>644</v>
      </c>
      <c r="C12851" s="1" t="str">
        <f>HYPERLINK("http://www.uniprot.org/uniprot/PP205_ARATH","PP205_ARATH")</f>
        <v>PP205_ARATH</v>
      </c>
      <c r="D12851" t="s">
        <v>7126</v>
      </c>
      <c r="E12851" s="3" t="s">
        <v>3</v>
      </c>
      <c r="F12851" s="4">
        <v>9.6599999999999998E-49</v>
      </c>
      <c r="G12851" s="3">
        <v>439</v>
      </c>
      <c r="H12851" s="3">
        <v>51</v>
      </c>
      <c r="I12851" s="3">
        <v>151</v>
      </c>
      <c r="J12851" s="3">
        <v>3</v>
      </c>
      <c r="K12851" s="3">
        <v>455</v>
      </c>
      <c r="L12851" s="3">
        <v>6</v>
      </c>
      <c r="M12851" s="3">
        <v>152</v>
      </c>
    </row>
    <row r="12852" spans="1:13" x14ac:dyDescent="0.25">
      <c r="A12852" s="1" t="str">
        <f>HYPERLINK("http://www.rosaceae.org/Prunus/Prunus_persica/p.persica_gdr_reftransV1_0009142","p.persica_gdr_reftransV1_0009142")</f>
        <v>p.persica_gdr_reftransV1_0009142</v>
      </c>
      <c r="B12852" s="3">
        <v>860</v>
      </c>
      <c r="C12852" s="1" t="str">
        <f>HYPERLINK("http://www.uniprot.org/uniprot/RS92_ARATH","RS92_ARATH")</f>
        <v>RS92_ARATH</v>
      </c>
      <c r="D12852" t="s">
        <v>5321</v>
      </c>
      <c r="E12852" s="3" t="s">
        <v>3</v>
      </c>
      <c r="F12852" s="4">
        <v>3.8899999999999999E-113</v>
      </c>
      <c r="G12852" s="3">
        <v>849</v>
      </c>
      <c r="H12852" s="3">
        <v>90</v>
      </c>
      <c r="I12852" s="3">
        <v>178</v>
      </c>
      <c r="J12852" s="3">
        <v>48</v>
      </c>
      <c r="K12852" s="3">
        <v>581</v>
      </c>
      <c r="L12852" s="3">
        <v>1</v>
      </c>
      <c r="M12852" s="3">
        <v>178</v>
      </c>
    </row>
    <row r="12853" spans="1:13" x14ac:dyDescent="0.25">
      <c r="A12853" s="1" t="str">
        <f>HYPERLINK("http://www.rosaceae.org/Prunus/Prunus_persica/p.persica_gdr_reftransV1_0009342","p.persica_gdr_reftransV1_0009342")</f>
        <v>p.persica_gdr_reftransV1_0009342</v>
      </c>
      <c r="B12853" s="3">
        <v>3054</v>
      </c>
      <c r="C12853" s="1" t="str">
        <f>HYPERLINK("http://www.uniprot.org/uniprot/RH37_ARATH","RH37_ARATH")</f>
        <v>RH37_ARATH</v>
      </c>
      <c r="D12853" t="s">
        <v>8775</v>
      </c>
      <c r="E12853" s="3" t="s">
        <v>3</v>
      </c>
      <c r="F12853" s="4">
        <v>0</v>
      </c>
      <c r="G12853" s="3">
        <v>2016</v>
      </c>
      <c r="H12853" s="3">
        <v>78</v>
      </c>
      <c r="I12853" s="3">
        <v>534</v>
      </c>
      <c r="J12853" s="3">
        <v>393</v>
      </c>
      <c r="K12853" s="3">
        <v>1943</v>
      </c>
      <c r="L12853" s="3">
        <v>25</v>
      </c>
      <c r="M12853" s="3">
        <v>553</v>
      </c>
    </row>
    <row r="12854" spans="1:13" x14ac:dyDescent="0.25">
      <c r="A12854" s="1" t="str">
        <f>HYPERLINK("http://www.rosaceae.org/Prunus/Prunus_persica/p.persica_gdr_reftransV1_0009392","p.persica_gdr_reftransV1_0009392")</f>
        <v>p.persica_gdr_reftransV1_0009392</v>
      </c>
      <c r="B12854" s="3">
        <v>4240</v>
      </c>
      <c r="C12854" s="1" t="str">
        <f>HYPERLINK("http://www.uniprot.org/uniprot/MCU6_ARATH","MCU6_ARATH")</f>
        <v>MCU6_ARATH</v>
      </c>
      <c r="D12854" t="s">
        <v>8561</v>
      </c>
      <c r="E12854" s="3" t="s">
        <v>3</v>
      </c>
      <c r="F12854" s="4">
        <v>6.8800000000000002E-55</v>
      </c>
      <c r="G12854" s="3">
        <v>507</v>
      </c>
      <c r="H12854" s="3">
        <v>61</v>
      </c>
      <c r="I12854" s="3">
        <v>162</v>
      </c>
      <c r="J12854" s="3">
        <v>1169</v>
      </c>
      <c r="K12854" s="3">
        <v>1648</v>
      </c>
      <c r="L12854" s="3">
        <v>127</v>
      </c>
      <c r="M12854" s="3">
        <v>288</v>
      </c>
    </row>
    <row r="12855" spans="1:13" x14ac:dyDescent="0.25">
      <c r="A12855" s="1" t="str">
        <f>HYPERLINK("http://www.rosaceae.org/Prunus/Prunus_persica/p.persica_gdr_reftransV1_0009492","p.persica_gdr_reftransV1_0009492")</f>
        <v>p.persica_gdr_reftransV1_0009492</v>
      </c>
      <c r="B12855" s="3">
        <v>1345</v>
      </c>
      <c r="C12855" s="1" t="str">
        <f>HYPERLINK("http://www.uniprot.org/uniprot/GPN3_USTMA","GPN3_USTMA")</f>
        <v>GPN3_USTMA</v>
      </c>
      <c r="D12855" t="s">
        <v>2493</v>
      </c>
      <c r="E12855" s="3" t="s">
        <v>833</v>
      </c>
      <c r="F12855" s="4">
        <v>3.28E-60</v>
      </c>
      <c r="G12855" s="3">
        <v>454</v>
      </c>
      <c r="H12855" s="3">
        <v>57</v>
      </c>
      <c r="I12855" s="3">
        <v>184</v>
      </c>
      <c r="J12855" s="3">
        <v>235</v>
      </c>
      <c r="K12855" s="3">
        <v>780</v>
      </c>
      <c r="L12855" s="3">
        <v>1</v>
      </c>
      <c r="M12855" s="3">
        <v>182</v>
      </c>
    </row>
    <row r="12856" spans="1:13" x14ac:dyDescent="0.25">
      <c r="A12856" s="1" t="str">
        <f>HYPERLINK("http://www.rosaceae.org/Prunus/Prunus_persica/p.persica_gdr_reftransV1_0009642","p.persica_gdr_reftransV1_0009642")</f>
        <v>p.persica_gdr_reftransV1_0009642</v>
      </c>
      <c r="B12856" s="3">
        <v>1784</v>
      </c>
      <c r="C12856" s="1" t="str">
        <f>HYPERLINK("http://www.uniprot.org/uniprot/U91C1_ARATH","U91C1_ARATH")</f>
        <v>U91C1_ARATH</v>
      </c>
      <c r="D12856" t="s">
        <v>39</v>
      </c>
      <c r="E12856" s="3" t="s">
        <v>3</v>
      </c>
      <c r="F12856" s="4">
        <v>2.81E-146</v>
      </c>
      <c r="G12856" s="3">
        <v>1125</v>
      </c>
      <c r="H12856" s="3">
        <v>49</v>
      </c>
      <c r="I12856" s="3">
        <v>469</v>
      </c>
      <c r="J12856" s="3">
        <v>133</v>
      </c>
      <c r="K12856" s="3">
        <v>1524</v>
      </c>
      <c r="L12856" s="3">
        <v>1</v>
      </c>
      <c r="M12856" s="3">
        <v>453</v>
      </c>
    </row>
    <row r="12857" spans="1:13" x14ac:dyDescent="0.25">
      <c r="A12857" s="1" t="str">
        <f>HYPERLINK("http://www.rosaceae.org/Prunus/Prunus_persica/p.persica_gdr_reftransV1_0009692","p.persica_gdr_reftransV1_0009692")</f>
        <v>p.persica_gdr_reftransV1_0009692</v>
      </c>
      <c r="B12857" s="3">
        <v>1758</v>
      </c>
      <c r="C12857" s="1" t="str">
        <f>HYPERLINK("http://www.uniprot.org/uniprot/RPD1_ARATH","RPD1_ARATH")</f>
        <v>RPD1_ARATH</v>
      </c>
      <c r="D12857" t="s">
        <v>1883</v>
      </c>
      <c r="E12857" s="3" t="s">
        <v>3</v>
      </c>
      <c r="F12857" s="4">
        <v>1.3400000000000001E-32</v>
      </c>
      <c r="G12857" s="3">
        <v>334</v>
      </c>
      <c r="H12857" s="3">
        <v>29</v>
      </c>
      <c r="I12857" s="3">
        <v>367</v>
      </c>
      <c r="J12857" s="3">
        <v>511</v>
      </c>
      <c r="K12857" s="3">
        <v>1557</v>
      </c>
      <c r="L12857" s="3">
        <v>34</v>
      </c>
      <c r="M12857" s="3">
        <v>395</v>
      </c>
    </row>
    <row r="12858" spans="1:13" x14ac:dyDescent="0.25">
      <c r="A12858" s="1" t="str">
        <f>HYPERLINK("http://www.rosaceae.org/Prunus/Prunus_persica/p.persica_gdr_reftransV1_0009792","p.persica_gdr_reftransV1_0009792")</f>
        <v>p.persica_gdr_reftransV1_0009792</v>
      </c>
      <c r="B12858" s="3">
        <v>1346</v>
      </c>
      <c r="C12858" s="1" t="str">
        <f>HYPERLINK("http://www.uniprot.org/uniprot/TRNHF_ARATH","TRNHF_ARATH")</f>
        <v>TRNHF_ARATH</v>
      </c>
      <c r="D12858" t="s">
        <v>2185</v>
      </c>
      <c r="E12858" s="3" t="s">
        <v>3</v>
      </c>
      <c r="F12858" s="4">
        <v>3.13E-93</v>
      </c>
      <c r="G12858" s="3">
        <v>740</v>
      </c>
      <c r="H12858" s="3">
        <v>58</v>
      </c>
      <c r="I12858" s="3">
        <v>242</v>
      </c>
      <c r="J12858" s="3">
        <v>504</v>
      </c>
      <c r="K12858" s="3">
        <v>1229</v>
      </c>
      <c r="L12858" s="3">
        <v>4</v>
      </c>
      <c r="M12858" s="3">
        <v>203</v>
      </c>
    </row>
    <row r="12859" spans="1:13" x14ac:dyDescent="0.25">
      <c r="A12859" s="1" t="str">
        <f>HYPERLINK("http://www.rosaceae.org/Prunus/Prunus_persica/p.persica_gdr_reftransV1_0009892","p.persica_gdr_reftransV1_0009892")</f>
        <v>p.persica_gdr_reftransV1_0009892</v>
      </c>
      <c r="B12859" s="3">
        <v>1032</v>
      </c>
      <c r="C12859" s="1" t="str">
        <f>HYPERLINK("http://www.uniprot.org/uniprot/RDR4_ARATH","RDR4_ARATH")</f>
        <v>RDR4_ARATH</v>
      </c>
      <c r="D12859" t="s">
        <v>8776</v>
      </c>
      <c r="E12859" s="3" t="s">
        <v>3</v>
      </c>
      <c r="F12859" s="4">
        <v>4.3600000000000003E-54</v>
      </c>
      <c r="G12859" s="3">
        <v>495</v>
      </c>
      <c r="H12859" s="3">
        <v>47</v>
      </c>
      <c r="I12859" s="3">
        <v>232</v>
      </c>
      <c r="J12859" s="3">
        <v>336</v>
      </c>
      <c r="K12859" s="3">
        <v>1028</v>
      </c>
      <c r="L12859" s="3">
        <v>698</v>
      </c>
      <c r="M12859" s="3">
        <v>924</v>
      </c>
    </row>
    <row r="12860" spans="1:13" x14ac:dyDescent="0.25">
      <c r="A12860" s="1" t="str">
        <f>HYPERLINK("http://www.rosaceae.org/Prunus/Prunus_persica/p.persica_gdr_reftransV1_0009992","p.persica_gdr_reftransV1_0009992")</f>
        <v>p.persica_gdr_reftransV1_0009992</v>
      </c>
      <c r="B12860" s="3">
        <v>981</v>
      </c>
      <c r="C12860" s="1" t="str">
        <f>HYPERLINK("http://www.uniprot.org/uniprot/PEN2_ARATH","PEN2_ARATH")</f>
        <v>PEN2_ARATH</v>
      </c>
      <c r="D12860" t="s">
        <v>8777</v>
      </c>
      <c r="E12860" s="3" t="s">
        <v>3</v>
      </c>
      <c r="F12860" s="4">
        <v>6.6700000000000003E-56</v>
      </c>
      <c r="G12860" s="3">
        <v>468</v>
      </c>
      <c r="H12860" s="3">
        <v>75</v>
      </c>
      <c r="I12860" s="3">
        <v>111</v>
      </c>
      <c r="J12860" s="3">
        <v>462</v>
      </c>
      <c r="K12860" s="3">
        <v>794</v>
      </c>
      <c r="L12860" s="3">
        <v>34</v>
      </c>
      <c r="M12860" s="3">
        <v>144</v>
      </c>
    </row>
    <row r="12861" spans="1:13" x14ac:dyDescent="0.25">
      <c r="A12861" s="1" t="str">
        <f>HYPERLINK("http://www.rosaceae.org/Prunus/Prunus_persica/p.persica_gdr_reftransV1_0010042","p.persica_gdr_reftransV1_0010042")</f>
        <v>p.persica_gdr_reftransV1_0010042</v>
      </c>
      <c r="B12861" s="3">
        <v>1472</v>
      </c>
      <c r="C12861" s="1" t="str">
        <f>HYPERLINK("http://www.uniprot.org/uniprot/OTU_ARATH","OTU_ARATH")</f>
        <v>OTU_ARATH</v>
      </c>
      <c r="D12861" t="s">
        <v>2595</v>
      </c>
      <c r="E12861" s="3" t="s">
        <v>3</v>
      </c>
      <c r="F12861" s="4">
        <v>8.7300000000000002E-89</v>
      </c>
      <c r="G12861" s="3">
        <v>718</v>
      </c>
      <c r="H12861" s="3">
        <v>52</v>
      </c>
      <c r="I12861" s="3">
        <v>324</v>
      </c>
      <c r="J12861" s="3">
        <v>241</v>
      </c>
      <c r="K12861" s="3">
        <v>1197</v>
      </c>
      <c r="L12861" s="3">
        <v>3</v>
      </c>
      <c r="M12861" s="3">
        <v>303</v>
      </c>
    </row>
    <row r="12862" spans="1:13" x14ac:dyDescent="0.25">
      <c r="A12862" s="1" t="str">
        <f>HYPERLINK("http://www.rosaceae.org/Prunus/Prunus_persica/p.persica_gdr_reftransV1_0010142","p.persica_gdr_reftransV1_0010142")</f>
        <v>p.persica_gdr_reftransV1_0010142</v>
      </c>
      <c r="B12862" s="3">
        <v>2201</v>
      </c>
      <c r="C12862" s="1" t="str">
        <f>HYPERLINK("http://www.uniprot.org/uniprot/CAX2_ORYSJ","CAX2_ORYSJ")</f>
        <v>CAX2_ORYSJ</v>
      </c>
      <c r="D12862" t="s">
        <v>8778</v>
      </c>
      <c r="E12862" s="3" t="s">
        <v>38</v>
      </c>
      <c r="F12862" s="4">
        <v>0</v>
      </c>
      <c r="G12862" s="3">
        <v>1630</v>
      </c>
      <c r="H12862" s="3">
        <v>78</v>
      </c>
      <c r="I12862" s="3">
        <v>421</v>
      </c>
      <c r="J12862" s="3">
        <v>461</v>
      </c>
      <c r="K12862" s="3">
        <v>1723</v>
      </c>
      <c r="L12862" s="3">
        <v>25</v>
      </c>
      <c r="M12862" s="3">
        <v>436</v>
      </c>
    </row>
    <row r="12863" spans="1:13" x14ac:dyDescent="0.25">
      <c r="A12863" s="1" t="str">
        <f>HYPERLINK("http://www.rosaceae.org/Prunus/Prunus_persica/p.persica_gdr_reftransV1_0010192","p.persica_gdr_reftransV1_0010192")</f>
        <v>p.persica_gdr_reftransV1_0010192</v>
      </c>
      <c r="B12863" s="3">
        <v>3293</v>
      </c>
      <c r="C12863" s="1" t="str">
        <f>HYPERLINK("http://www.uniprot.org/uniprot/PP6R3_MOUSE","PP6R3_MOUSE")</f>
        <v>PP6R3_MOUSE</v>
      </c>
      <c r="D12863" t="s">
        <v>8779</v>
      </c>
      <c r="E12863" s="3" t="s">
        <v>157</v>
      </c>
      <c r="F12863" s="4">
        <v>4.5999999999999998E-61</v>
      </c>
      <c r="G12863" s="3">
        <v>582</v>
      </c>
      <c r="H12863" s="3">
        <v>31</v>
      </c>
      <c r="I12863" s="3">
        <v>530</v>
      </c>
      <c r="J12863" s="3">
        <v>1345</v>
      </c>
      <c r="K12863" s="3">
        <v>2814</v>
      </c>
      <c r="L12863" s="3">
        <v>1</v>
      </c>
      <c r="M12863" s="3">
        <v>517</v>
      </c>
    </row>
    <row r="12864" spans="1:13" x14ac:dyDescent="0.25">
      <c r="A12864" s="1" t="str">
        <f>HYPERLINK("http://www.rosaceae.org/Prunus/Prunus_persica/p.persica_gdr_reftransV1_0010492","p.persica_gdr_reftransV1_0010492")</f>
        <v>p.persica_gdr_reftransV1_0010492</v>
      </c>
      <c r="B12864" s="3">
        <v>3935</v>
      </c>
      <c r="C12864" s="1" t="str">
        <f>HYPERLINK("http://www.uniprot.org/uniprot/ARid2_ARATH","ARid2_ARATH")</f>
        <v>ARid2_ARATH</v>
      </c>
      <c r="D12864" t="s">
        <v>6986</v>
      </c>
      <c r="E12864" s="3" t="s">
        <v>3</v>
      </c>
      <c r="F12864" s="4">
        <v>3.9299999999999999E-25</v>
      </c>
      <c r="G12864" s="3">
        <v>288</v>
      </c>
      <c r="H12864" s="3">
        <v>34</v>
      </c>
      <c r="I12864" s="3">
        <v>201</v>
      </c>
      <c r="J12864" s="3">
        <v>2075</v>
      </c>
      <c r="K12864" s="3">
        <v>2671</v>
      </c>
      <c r="L12864" s="3">
        <v>370</v>
      </c>
      <c r="M12864" s="3">
        <v>539</v>
      </c>
    </row>
    <row r="12865" spans="1:13" x14ac:dyDescent="0.25">
      <c r="A12865" s="1" t="str">
        <f>HYPERLINK("http://www.rosaceae.org/Prunus/Prunus_persica/p.persica_gdr_reftransV1_0010542","p.persica_gdr_reftransV1_0010542")</f>
        <v>p.persica_gdr_reftransV1_0010542</v>
      </c>
      <c r="B12865" s="3">
        <v>3431</v>
      </c>
      <c r="C12865" s="1" t="str">
        <f>HYPERLINK("http://www.uniprot.org/uniprot/LIN_MEDTR","LIN_MEDTR")</f>
        <v>LIN_MEDTR</v>
      </c>
      <c r="D12865" t="s">
        <v>835</v>
      </c>
      <c r="E12865" s="3" t="s">
        <v>91</v>
      </c>
      <c r="F12865" s="4">
        <v>1.8199999999999998E-42</v>
      </c>
      <c r="G12865" s="3">
        <v>439</v>
      </c>
      <c r="H12865" s="3">
        <v>31</v>
      </c>
      <c r="I12865" s="3">
        <v>529</v>
      </c>
      <c r="J12865" s="3">
        <v>437</v>
      </c>
      <c r="K12865" s="3">
        <v>1975</v>
      </c>
      <c r="L12865" s="3">
        <v>617</v>
      </c>
      <c r="M12865" s="3">
        <v>1137</v>
      </c>
    </row>
    <row r="12866" spans="1:13" x14ac:dyDescent="0.25">
      <c r="A12866" s="1" t="str">
        <f>HYPERLINK("http://www.rosaceae.org/Prunus/Prunus_persica/p.persica_gdr_reftransV1_0010742","p.persica_gdr_reftransV1_0010742")</f>
        <v>p.persica_gdr_reftransV1_0010742</v>
      </c>
      <c r="B12866" s="3">
        <v>909</v>
      </c>
      <c r="C12866" s="1" t="str">
        <f>HYPERLINK("http://www.uniprot.org/uniprot/ZFP7_ARATH","ZFP7_ARATH")</f>
        <v>ZFP7_ARATH</v>
      </c>
      <c r="D12866" t="s">
        <v>8780</v>
      </c>
      <c r="E12866" s="3" t="s">
        <v>3</v>
      </c>
      <c r="F12866" s="4">
        <v>7.2099999999999996E-19</v>
      </c>
      <c r="G12866" s="3">
        <v>213</v>
      </c>
      <c r="H12866" s="3">
        <v>42</v>
      </c>
      <c r="I12866" s="3">
        <v>169</v>
      </c>
      <c r="J12866" s="3">
        <v>78</v>
      </c>
      <c r="K12866" s="3">
        <v>545</v>
      </c>
      <c r="L12866" s="3">
        <v>23</v>
      </c>
      <c r="M12866" s="3">
        <v>188</v>
      </c>
    </row>
    <row r="12867" spans="1:13" x14ac:dyDescent="0.25">
      <c r="A12867" s="1" t="str">
        <f>HYPERLINK("http://www.rosaceae.org/Prunus/Prunus_persica/p.persica_gdr_reftransV1_0010842","p.persica_gdr_reftransV1_0010842")</f>
        <v>p.persica_gdr_reftransV1_0010842</v>
      </c>
      <c r="B12867" s="3">
        <v>2460</v>
      </c>
      <c r="C12867" s="1" t="str">
        <f>HYPERLINK("http://www.uniprot.org/uniprot/TBR_ARATH","TBR_ARATH")</f>
        <v>TBR_ARATH</v>
      </c>
      <c r="D12867" t="s">
        <v>7150</v>
      </c>
      <c r="E12867" s="3" t="s">
        <v>3</v>
      </c>
      <c r="F12867" s="4">
        <v>0</v>
      </c>
      <c r="G12867" s="3">
        <v>1614</v>
      </c>
      <c r="H12867" s="3">
        <v>58</v>
      </c>
      <c r="I12867" s="3">
        <v>596</v>
      </c>
      <c r="J12867" s="3">
        <v>203</v>
      </c>
      <c r="K12867" s="3">
        <v>1945</v>
      </c>
      <c r="L12867" s="3">
        <v>23</v>
      </c>
      <c r="M12867" s="3">
        <v>593</v>
      </c>
    </row>
    <row r="12868" spans="1:13" x14ac:dyDescent="0.25">
      <c r="A12868" s="1" t="str">
        <f>HYPERLINK("http://www.rosaceae.org/Prunus/Prunus_persica/p.persica_gdr_reftransV1_0010942","p.persica_gdr_reftransV1_0010942")</f>
        <v>p.persica_gdr_reftransV1_0010942</v>
      </c>
      <c r="B12868" s="3">
        <v>651</v>
      </c>
      <c r="C12868" s="1" t="str">
        <f>HYPERLINK("http://www.uniprot.org/uniprot/NCS_THLFG","NCS_THLFG")</f>
        <v>NCS_THLFG</v>
      </c>
      <c r="D12868" t="s">
        <v>8781</v>
      </c>
      <c r="E12868" s="3" t="s">
        <v>3017</v>
      </c>
      <c r="F12868" s="4">
        <v>9.8099999999999994E-17</v>
      </c>
      <c r="G12868" s="3">
        <v>194</v>
      </c>
      <c r="H12868" s="3">
        <v>38</v>
      </c>
      <c r="I12868" s="3">
        <v>155</v>
      </c>
      <c r="J12868" s="3">
        <v>119</v>
      </c>
      <c r="K12868" s="3">
        <v>577</v>
      </c>
      <c r="L12868" s="3">
        <v>48</v>
      </c>
      <c r="M12868" s="3">
        <v>196</v>
      </c>
    </row>
    <row r="12869" spans="1:13" x14ac:dyDescent="0.25">
      <c r="A12869" s="1" t="str">
        <f>HYPERLINK("http://www.rosaceae.org/Prunus/Prunus_persica/p.persica_gdr_reftransV1_0010992","p.persica_gdr_reftransV1_0010992")</f>
        <v>p.persica_gdr_reftransV1_0010992</v>
      </c>
      <c r="B12869" s="3">
        <v>1010</v>
      </c>
      <c r="C12869" s="1" t="str">
        <f>HYPERLINK("http://www.uniprot.org/uniprot/PRU1_PRUAR","PRU1_PRUAR")</f>
        <v>PRU1_PRUAR</v>
      </c>
      <c r="D12869" t="s">
        <v>1198</v>
      </c>
      <c r="E12869" s="3" t="s">
        <v>62</v>
      </c>
      <c r="F12869" s="4">
        <v>3.6700000000000003E-42</v>
      </c>
      <c r="G12869" s="3">
        <v>377</v>
      </c>
      <c r="H12869" s="3">
        <v>44</v>
      </c>
      <c r="I12869" s="3">
        <v>162</v>
      </c>
      <c r="J12869" s="3">
        <v>308</v>
      </c>
      <c r="K12869" s="3">
        <v>793</v>
      </c>
      <c r="L12869" s="3">
        <v>1</v>
      </c>
      <c r="M12869" s="3">
        <v>159</v>
      </c>
    </row>
    <row r="12870" spans="1:13" x14ac:dyDescent="0.25">
      <c r="A12870" s="1" t="str">
        <f>HYPERLINK("http://www.rosaceae.org/Prunus/Prunus_persica/p.persica_gdr_reftransV1_0011242","p.persica_gdr_reftransV1_0011242")</f>
        <v>p.persica_gdr_reftransV1_0011242</v>
      </c>
      <c r="B12870" s="3">
        <v>2677</v>
      </c>
      <c r="C12870" s="1" t="str">
        <f>HYPERLINK("http://www.uniprot.org/uniprot/C7A22_PANGI","C7A22_PANGI")</f>
        <v>C7A22_PANGI</v>
      </c>
      <c r="D12870" t="s">
        <v>3096</v>
      </c>
      <c r="E12870" s="3" t="s">
        <v>1477</v>
      </c>
      <c r="F12870" s="4">
        <v>0</v>
      </c>
      <c r="G12870" s="3">
        <v>1552</v>
      </c>
      <c r="H12870" s="3">
        <v>59</v>
      </c>
      <c r="I12870" s="3">
        <v>490</v>
      </c>
      <c r="J12870" s="3">
        <v>710</v>
      </c>
      <c r="K12870" s="3">
        <v>2173</v>
      </c>
      <c r="L12870" s="3">
        <v>36</v>
      </c>
      <c r="M12870" s="3">
        <v>524</v>
      </c>
    </row>
    <row r="12871" spans="1:13" x14ac:dyDescent="0.25">
      <c r="A12871" s="1" t="str">
        <f>HYPERLINK("http://www.rosaceae.org/Prunus/Prunus_persica/p.persica_gdr_reftransV1_0011292","p.persica_gdr_reftransV1_0011292")</f>
        <v>p.persica_gdr_reftransV1_0011292</v>
      </c>
      <c r="B12871" s="3">
        <v>1034</v>
      </c>
      <c r="C12871" s="1" t="str">
        <f>HYPERLINK("http://www.uniprot.org/uniprot/MYCBP_BOVIN","MYCBP_BOVIN")</f>
        <v>MYCBP_BOVIN</v>
      </c>
      <c r="D12871" t="s">
        <v>8782</v>
      </c>
      <c r="E12871" s="3" t="s">
        <v>184</v>
      </c>
      <c r="F12871" s="4">
        <v>5.2499999999999997E-15</v>
      </c>
      <c r="G12871" s="3">
        <v>181</v>
      </c>
      <c r="H12871" s="3">
        <v>49</v>
      </c>
      <c r="I12871" s="3">
        <v>81</v>
      </c>
      <c r="J12871" s="3">
        <v>463</v>
      </c>
      <c r="K12871" s="3">
        <v>699</v>
      </c>
      <c r="L12871" s="3">
        <v>1</v>
      </c>
      <c r="M12871" s="3">
        <v>80</v>
      </c>
    </row>
    <row r="12872" spans="1:13" x14ac:dyDescent="0.25">
      <c r="A12872" s="1" t="str">
        <f>HYPERLINK("http://www.rosaceae.org/Prunus/Prunus_persica/p.persica_gdr_reftransV1_0011692","p.persica_gdr_reftransV1_0011692")</f>
        <v>p.persica_gdr_reftransV1_0011692</v>
      </c>
      <c r="B12872" s="3">
        <v>4502</v>
      </c>
      <c r="C12872" s="1" t="str">
        <f>HYPERLINK("http://www.uniprot.org/uniprot/RNHX1_ARATH","RNHX1_ARATH")</f>
        <v>RNHX1_ARATH</v>
      </c>
      <c r="D12872" t="s">
        <v>124</v>
      </c>
      <c r="E12872" s="3" t="s">
        <v>3</v>
      </c>
      <c r="F12872" s="4">
        <v>1.79E-43</v>
      </c>
      <c r="G12872" s="3">
        <v>439</v>
      </c>
      <c r="H12872" s="3">
        <v>32</v>
      </c>
      <c r="I12872" s="3">
        <v>402</v>
      </c>
      <c r="J12872" s="3">
        <v>2436</v>
      </c>
      <c r="K12872" s="3">
        <v>3608</v>
      </c>
      <c r="L12872" s="3">
        <v>16</v>
      </c>
      <c r="M12872" s="3">
        <v>393</v>
      </c>
    </row>
    <row r="12873" spans="1:13" x14ac:dyDescent="0.25">
      <c r="A12873" s="1" t="str">
        <f>HYPERLINK("http://www.rosaceae.org/Prunus/Prunus_persica/p.persica_gdr_reftransV1_0011842","p.persica_gdr_reftransV1_0011842")</f>
        <v>p.persica_gdr_reftransV1_0011842</v>
      </c>
      <c r="B12873" s="3">
        <v>1612</v>
      </c>
      <c r="C12873" s="1" t="str">
        <f>HYPERLINK("http://www.uniprot.org/uniprot/HARB1_DANRE","HARB1_DANRE")</f>
        <v>HARB1_DANRE</v>
      </c>
      <c r="D12873" t="s">
        <v>1233</v>
      </c>
      <c r="E12873" s="3" t="s">
        <v>704</v>
      </c>
      <c r="F12873" s="4">
        <v>1.3500000000000001E-9</v>
      </c>
      <c r="G12873" s="3">
        <v>153</v>
      </c>
      <c r="H12873" s="3">
        <v>24</v>
      </c>
      <c r="I12873" s="3">
        <v>299</v>
      </c>
      <c r="J12873" s="3">
        <v>472</v>
      </c>
      <c r="K12873" s="3">
        <v>1293</v>
      </c>
      <c r="L12873" s="3">
        <v>29</v>
      </c>
      <c r="M12873" s="3">
        <v>301</v>
      </c>
    </row>
    <row r="12874" spans="1:13" x14ac:dyDescent="0.25">
      <c r="A12874" s="1" t="str">
        <f>HYPERLINK("http://www.rosaceae.org/Prunus/Prunus_persica/p.persica_gdr_reftransV1_0011942","p.persica_gdr_reftransV1_0011942")</f>
        <v>p.persica_gdr_reftransV1_0011942</v>
      </c>
      <c r="B12874" s="3">
        <v>1285</v>
      </c>
      <c r="C12874" s="1" t="str">
        <f>HYPERLINK("http://www.uniprot.org/uniprot/PDR2_NICPL","PDR2_NICPL")</f>
        <v>PDR2_NICPL</v>
      </c>
      <c r="D12874" t="s">
        <v>2532</v>
      </c>
      <c r="E12874" s="3" t="s">
        <v>1450</v>
      </c>
      <c r="F12874" s="4">
        <v>0</v>
      </c>
      <c r="G12874" s="3">
        <v>1835</v>
      </c>
      <c r="H12874" s="3">
        <v>86</v>
      </c>
      <c r="I12874" s="3">
        <v>428</v>
      </c>
      <c r="J12874" s="3">
        <v>1</v>
      </c>
      <c r="K12874" s="3">
        <v>1284</v>
      </c>
      <c r="L12874" s="3">
        <v>861</v>
      </c>
      <c r="M12874" s="3">
        <v>1288</v>
      </c>
    </row>
    <row r="12875" spans="1:13" x14ac:dyDescent="0.25">
      <c r="A12875" s="1" t="str">
        <f>HYPERLINK("http://www.rosaceae.org/Prunus/Prunus_persica/p.persica_gdr_reftransV1_0012742","p.persica_gdr_reftransV1_0012742")</f>
        <v>p.persica_gdr_reftransV1_0012742</v>
      </c>
      <c r="B12875" s="3">
        <v>6415</v>
      </c>
      <c r="C12875" s="1" t="str">
        <f>HYPERLINK("http://www.uniprot.org/uniprot/EMB8_PICGL","EMB8_PICGL")</f>
        <v>EMB8_PICGL</v>
      </c>
      <c r="D12875" t="s">
        <v>469</v>
      </c>
      <c r="E12875" s="3" t="s">
        <v>470</v>
      </c>
      <c r="F12875" s="4">
        <v>4.16E-38</v>
      </c>
      <c r="G12875" s="3">
        <v>393</v>
      </c>
      <c r="H12875" s="3">
        <v>31</v>
      </c>
      <c r="I12875" s="3">
        <v>321</v>
      </c>
      <c r="J12875" s="3">
        <v>649</v>
      </c>
      <c r="K12875" s="3">
        <v>1578</v>
      </c>
      <c r="L12875" s="3">
        <v>113</v>
      </c>
      <c r="M12875" s="3">
        <v>431</v>
      </c>
    </row>
    <row r="12876" spans="1:13" x14ac:dyDescent="0.25">
      <c r="A12876" s="1" t="str">
        <f>HYPERLINK("http://www.rosaceae.org/Prunus/Prunus_persica/p.persica_gdr_reftransV1_0012792","p.persica_gdr_reftransV1_0012792")</f>
        <v>p.persica_gdr_reftransV1_0012792</v>
      </c>
      <c r="B12876" s="3">
        <v>2133</v>
      </c>
      <c r="C12876" s="1" t="str">
        <f>HYPERLINK("http://www.uniprot.org/uniprot/TIC55_PEA","TIC55_PEA")</f>
        <v>TIC55_PEA</v>
      </c>
      <c r="D12876" t="s">
        <v>8362</v>
      </c>
      <c r="E12876" s="3" t="s">
        <v>60</v>
      </c>
      <c r="F12876" s="4">
        <v>0</v>
      </c>
      <c r="G12876" s="3">
        <v>2242</v>
      </c>
      <c r="H12876" s="3">
        <v>83</v>
      </c>
      <c r="I12876" s="3">
        <v>481</v>
      </c>
      <c r="J12876" s="3">
        <v>391</v>
      </c>
      <c r="K12876" s="3">
        <v>1833</v>
      </c>
      <c r="L12876" s="3">
        <v>73</v>
      </c>
      <c r="M12876" s="3">
        <v>553</v>
      </c>
    </row>
    <row r="12877" spans="1:13" x14ac:dyDescent="0.25">
      <c r="A12877" s="1" t="str">
        <f>HYPERLINK("http://www.rosaceae.org/Prunus/Prunus_persica/p.persica_gdr_reftransV1_0012992","p.persica_gdr_reftransV1_0012992")</f>
        <v>p.persica_gdr_reftransV1_0012992</v>
      </c>
      <c r="B12877" s="3">
        <v>1003</v>
      </c>
      <c r="C12877" s="1" t="str">
        <f>HYPERLINK("http://www.uniprot.org/uniprot/GL11_ARATH","GL11_ARATH")</f>
        <v>GL11_ARATH</v>
      </c>
      <c r="D12877" t="s">
        <v>8783</v>
      </c>
      <c r="E12877" s="3" t="s">
        <v>3</v>
      </c>
      <c r="F12877" s="4">
        <v>3.4500000000000001E-82</v>
      </c>
      <c r="G12877" s="3">
        <v>651</v>
      </c>
      <c r="H12877" s="3">
        <v>60</v>
      </c>
      <c r="I12877" s="3">
        <v>200</v>
      </c>
      <c r="J12877" s="3">
        <v>68</v>
      </c>
      <c r="K12877" s="3">
        <v>664</v>
      </c>
      <c r="L12877" s="3">
        <v>13</v>
      </c>
      <c r="M12877" s="3">
        <v>212</v>
      </c>
    </row>
    <row r="12878" spans="1:13" x14ac:dyDescent="0.25">
      <c r="A12878" s="1" t="str">
        <f>HYPERLINK("http://www.rosaceae.org/Prunus/Prunus_persica/p.persica_gdr_reftransV1_0013092","p.persica_gdr_reftransV1_0013092")</f>
        <v>p.persica_gdr_reftransV1_0013092</v>
      </c>
      <c r="B12878" s="3">
        <v>2854</v>
      </c>
      <c r="C12878" s="1" t="str">
        <f>HYPERLINK("http://www.uniprot.org/uniprot/AP2_ARATH","AP2_ARATH")</f>
        <v>AP2_ARATH</v>
      </c>
      <c r="D12878" t="s">
        <v>2653</v>
      </c>
      <c r="E12878" s="3" t="s">
        <v>3</v>
      </c>
      <c r="F12878" s="4">
        <v>1.19E-55</v>
      </c>
      <c r="G12878" s="3">
        <v>451</v>
      </c>
      <c r="H12878" s="3">
        <v>88</v>
      </c>
      <c r="I12878" s="3">
        <v>106</v>
      </c>
      <c r="J12878" s="3">
        <v>1102</v>
      </c>
      <c r="K12878" s="3">
        <v>1419</v>
      </c>
      <c r="L12878" s="3">
        <v>157</v>
      </c>
      <c r="M12878" s="3">
        <v>262</v>
      </c>
    </row>
    <row r="12879" spans="1:13" x14ac:dyDescent="0.25">
      <c r="A12879" s="1" t="str">
        <f>HYPERLINK("http://www.rosaceae.org/Prunus/Prunus_persica/p.persica_gdr_reftransV1_0013142","p.persica_gdr_reftransV1_0013142")</f>
        <v>p.persica_gdr_reftransV1_0013142</v>
      </c>
      <c r="B12879" s="3">
        <v>1291</v>
      </c>
      <c r="C12879" s="1" t="str">
        <f>HYPERLINK("http://www.uniprot.org/uniprot/DHB4_RAT","DHB4_RAT")</f>
        <v>DHB4_RAT</v>
      </c>
      <c r="D12879" t="s">
        <v>8784</v>
      </c>
      <c r="E12879" s="3" t="s">
        <v>161</v>
      </c>
      <c r="F12879" s="4">
        <v>3.74E-10</v>
      </c>
      <c r="G12879" s="3">
        <v>159</v>
      </c>
      <c r="H12879" s="3">
        <v>39</v>
      </c>
      <c r="I12879" s="3">
        <v>93</v>
      </c>
      <c r="J12879" s="3">
        <v>262</v>
      </c>
      <c r="K12879" s="3">
        <v>534</v>
      </c>
      <c r="L12879" s="3">
        <v>636</v>
      </c>
      <c r="M12879" s="3">
        <v>725</v>
      </c>
    </row>
    <row r="12880" spans="1:13" x14ac:dyDescent="0.25">
      <c r="A12880" s="1" t="str">
        <f>HYPERLINK("http://www.rosaceae.org/Prunus/Prunus_persica/p.persica_gdr_reftransV1_0013292","p.persica_gdr_reftransV1_0013292")</f>
        <v>p.persica_gdr_reftransV1_0013292</v>
      </c>
      <c r="B12880" s="3">
        <v>1150</v>
      </c>
      <c r="C12880" s="1" t="str">
        <f>HYPERLINK("http://www.uniprot.org/uniprot/R15A5_ARATH","R15A5_ARATH")</f>
        <v>R15A5_ARATH</v>
      </c>
      <c r="D12880" t="s">
        <v>3884</v>
      </c>
      <c r="E12880" s="3" t="s">
        <v>3</v>
      </c>
      <c r="F12880" s="4">
        <v>1.17E-73</v>
      </c>
      <c r="G12880" s="3">
        <v>590</v>
      </c>
      <c r="H12880" s="3">
        <v>83</v>
      </c>
      <c r="I12880" s="3">
        <v>129</v>
      </c>
      <c r="J12880" s="3">
        <v>470</v>
      </c>
      <c r="K12880" s="3">
        <v>856</v>
      </c>
      <c r="L12880" s="3">
        <v>1</v>
      </c>
      <c r="M12880" s="3">
        <v>129</v>
      </c>
    </row>
    <row r="12881" spans="1:13" x14ac:dyDescent="0.25">
      <c r="A12881" s="1" t="str">
        <f>HYPERLINK("http://www.rosaceae.org/Prunus/Prunus_persica/p.persica_gdr_reftransV1_0013442","p.persica_gdr_reftransV1_0013442")</f>
        <v>p.persica_gdr_reftransV1_0013442</v>
      </c>
      <c r="B12881" s="3">
        <v>1028</v>
      </c>
      <c r="C12881" s="1" t="str">
        <f>HYPERLINK("http://www.uniprot.org/uniprot/HA22G_ARATH","HA22G_ARATH")</f>
        <v>HA22G_ARATH</v>
      </c>
      <c r="D12881" t="s">
        <v>8785</v>
      </c>
      <c r="E12881" s="3" t="s">
        <v>3</v>
      </c>
      <c r="F12881" s="4">
        <v>7.6400000000000004E-44</v>
      </c>
      <c r="G12881" s="3">
        <v>391</v>
      </c>
      <c r="H12881" s="3">
        <v>49</v>
      </c>
      <c r="I12881" s="3">
        <v>154</v>
      </c>
      <c r="J12881" s="3">
        <v>515</v>
      </c>
      <c r="K12881" s="3">
        <v>958</v>
      </c>
      <c r="L12881" s="3">
        <v>1</v>
      </c>
      <c r="M12881" s="3">
        <v>153</v>
      </c>
    </row>
    <row r="12882" spans="1:13" x14ac:dyDescent="0.25">
      <c r="A12882" s="1" t="str">
        <f>HYPERLINK("http://www.rosaceae.org/Prunus/Prunus_persica/p.persica_gdr_reftransV1_0013542","p.persica_gdr_reftransV1_0013542")</f>
        <v>p.persica_gdr_reftransV1_0013542</v>
      </c>
      <c r="B12882" s="3">
        <v>2748</v>
      </c>
      <c r="C12882" s="1" t="str">
        <f>HYPERLINK("http://www.uniprot.org/uniprot/P2C52_ARATH","P2C52_ARATH")</f>
        <v>P2C52_ARATH</v>
      </c>
      <c r="D12882" t="s">
        <v>8786</v>
      </c>
      <c r="E12882" s="3" t="s">
        <v>3</v>
      </c>
      <c r="F12882" s="4">
        <v>0</v>
      </c>
      <c r="G12882" s="3">
        <v>1693</v>
      </c>
      <c r="H12882" s="3">
        <v>76</v>
      </c>
      <c r="I12882" s="3">
        <v>473</v>
      </c>
      <c r="J12882" s="3">
        <v>1056</v>
      </c>
      <c r="K12882" s="3">
        <v>2465</v>
      </c>
      <c r="L12882" s="3">
        <v>1</v>
      </c>
      <c r="M12882" s="3">
        <v>465</v>
      </c>
    </row>
    <row r="12883" spans="1:13" x14ac:dyDescent="0.25">
      <c r="A12883" s="1" t="str">
        <f>HYPERLINK("http://www.rosaceae.org/Prunus/Prunus_persica/p.persica_gdr_reftransV1_0013592","p.persica_gdr_reftransV1_0013592")</f>
        <v>p.persica_gdr_reftransV1_0013592</v>
      </c>
      <c r="B12883" s="3">
        <v>2338</v>
      </c>
      <c r="C12883" s="1" t="str">
        <f>HYPERLINK("http://www.uniprot.org/uniprot/AMPP1_NEUCR","AMPP1_NEUCR")</f>
        <v>AMPP1_NEUCR</v>
      </c>
      <c r="D12883" t="s">
        <v>8787</v>
      </c>
      <c r="E12883" s="3" t="s">
        <v>435</v>
      </c>
      <c r="F12883" s="4">
        <v>3.55E-160</v>
      </c>
      <c r="G12883" s="3">
        <v>1044</v>
      </c>
      <c r="H12883" s="3">
        <v>43</v>
      </c>
      <c r="I12883" s="3">
        <v>539</v>
      </c>
      <c r="J12883" s="3">
        <v>694</v>
      </c>
      <c r="K12883" s="3">
        <v>2304</v>
      </c>
      <c r="L12883" s="3">
        <v>12</v>
      </c>
      <c r="M12883" s="3">
        <v>515</v>
      </c>
    </row>
    <row r="12884" spans="1:13" x14ac:dyDescent="0.25">
      <c r="A12884" s="1" t="str">
        <f>HYPERLINK("http://www.rosaceae.org/Prunus/Prunus_persica/p.persica_gdr_reftransV1_0013642","p.persica_gdr_reftransV1_0013642")</f>
        <v>p.persica_gdr_reftransV1_0013642</v>
      </c>
      <c r="B12884" s="3">
        <v>3125</v>
      </c>
      <c r="C12884" s="1" t="str">
        <f>HYPERLINK("http://www.uniprot.org/uniprot/TTL1_ARATH","TTL1_ARATH")</f>
        <v>TTL1_ARATH</v>
      </c>
      <c r="D12884" t="s">
        <v>2136</v>
      </c>
      <c r="E12884" s="3" t="s">
        <v>3</v>
      </c>
      <c r="F12884" s="4">
        <v>8.9100000000000001E-121</v>
      </c>
      <c r="G12884" s="3">
        <v>1009</v>
      </c>
      <c r="H12884" s="3">
        <v>43</v>
      </c>
      <c r="I12884" s="3">
        <v>481</v>
      </c>
      <c r="J12884" s="3">
        <v>530</v>
      </c>
      <c r="K12884" s="3">
        <v>1942</v>
      </c>
      <c r="L12884" s="3">
        <v>218</v>
      </c>
      <c r="M12884" s="3">
        <v>698</v>
      </c>
    </row>
    <row r="12885" spans="1:13" x14ac:dyDescent="0.25">
      <c r="A12885" s="1" t="str">
        <f>HYPERLINK("http://www.rosaceae.org/Prunus/Prunus_persica/p.persica_gdr_reftransV1_0013942","p.persica_gdr_reftransV1_0013942")</f>
        <v>p.persica_gdr_reftransV1_0013942</v>
      </c>
      <c r="B12885" s="3">
        <v>4184</v>
      </c>
      <c r="C12885" s="1" t="str">
        <f>HYPERLINK("http://www.uniprot.org/uniprot/FPP6_ARATH","FPP6_ARATH")</f>
        <v>FPP6_ARATH</v>
      </c>
      <c r="D12885" t="s">
        <v>8788</v>
      </c>
      <c r="E12885" s="3" t="s">
        <v>3</v>
      </c>
      <c r="F12885" s="4">
        <v>0</v>
      </c>
      <c r="G12885" s="3">
        <v>2312</v>
      </c>
      <c r="H12885" s="3">
        <v>52</v>
      </c>
      <c r="I12885" s="3">
        <v>1144</v>
      </c>
      <c r="J12885" s="3">
        <v>409</v>
      </c>
      <c r="K12885" s="3">
        <v>3678</v>
      </c>
      <c r="L12885" s="3">
        <v>1</v>
      </c>
      <c r="M12885" s="3">
        <v>1054</v>
      </c>
    </row>
    <row r="12886" spans="1:13" x14ac:dyDescent="0.25">
      <c r="A12886" s="1" t="str">
        <f>HYPERLINK("http://www.rosaceae.org/Prunus/Prunus_persica/p.persica_gdr_reftransV1_0014042","p.persica_gdr_reftransV1_0014042")</f>
        <v>p.persica_gdr_reftransV1_0014042</v>
      </c>
      <c r="B12886" s="3">
        <v>1712</v>
      </c>
      <c r="C12886" s="1" t="str">
        <f>HYPERLINK("http://www.uniprot.org/uniprot/UGDH5_ORYSJ","UGDH5_ORYSJ")</f>
        <v>UGDH5_ORYSJ</v>
      </c>
      <c r="D12886" t="s">
        <v>8789</v>
      </c>
      <c r="E12886" s="3" t="s">
        <v>38</v>
      </c>
      <c r="F12886" s="4">
        <v>0</v>
      </c>
      <c r="G12886" s="3">
        <v>2379</v>
      </c>
      <c r="H12886" s="3">
        <v>91</v>
      </c>
      <c r="I12886" s="3">
        <v>480</v>
      </c>
      <c r="J12886" s="3">
        <v>62</v>
      </c>
      <c r="K12886" s="3">
        <v>1501</v>
      </c>
      <c r="L12886" s="3">
        <v>1</v>
      </c>
      <c r="M12886" s="3">
        <v>480</v>
      </c>
    </row>
    <row r="12887" spans="1:13" x14ac:dyDescent="0.25">
      <c r="A12887" s="1" t="str">
        <f>HYPERLINK("http://www.rosaceae.org/Prunus/Prunus_persica/p.persica_gdr_reftransV1_0014242","p.persica_gdr_reftransV1_0014242")</f>
        <v>p.persica_gdr_reftransV1_0014242</v>
      </c>
      <c r="B12887" s="3">
        <v>979</v>
      </c>
      <c r="C12887" s="1" t="str">
        <f>HYPERLINK("http://www.uniprot.org/uniprot/RN181_XENLA","RN181_XENLA")</f>
        <v>RN181_XENLA</v>
      </c>
      <c r="D12887" t="s">
        <v>8790</v>
      </c>
      <c r="E12887" s="3" t="s">
        <v>475</v>
      </c>
      <c r="F12887" s="4">
        <v>9.9800000000000007E-12</v>
      </c>
      <c r="G12887" s="3">
        <v>160</v>
      </c>
      <c r="H12887" s="3">
        <v>48</v>
      </c>
      <c r="I12887" s="3">
        <v>62</v>
      </c>
      <c r="J12887" s="3">
        <v>541</v>
      </c>
      <c r="K12887" s="3">
        <v>714</v>
      </c>
      <c r="L12887" s="3">
        <v>63</v>
      </c>
      <c r="M12887" s="3">
        <v>124</v>
      </c>
    </row>
    <row r="12888" spans="1:13" x14ac:dyDescent="0.25">
      <c r="A12888" s="1" t="str">
        <f>HYPERLINK("http://www.rosaceae.org/Prunus/Prunus_persica/p.persica_gdr_reftransV1_0014442","p.persica_gdr_reftransV1_0014442")</f>
        <v>p.persica_gdr_reftransV1_0014442</v>
      </c>
      <c r="B12888" s="3">
        <v>2458</v>
      </c>
      <c r="C12888" s="1" t="str">
        <f>HYPERLINK("http://www.uniprot.org/uniprot/CB60E_ARATH","CB60E_ARATH")</f>
        <v>CB60E_ARATH</v>
      </c>
      <c r="D12888" t="s">
        <v>3057</v>
      </c>
      <c r="E12888" s="3" t="s">
        <v>3</v>
      </c>
      <c r="F12888" s="4">
        <v>0</v>
      </c>
      <c r="G12888" s="3">
        <v>1924</v>
      </c>
      <c r="H12888" s="3">
        <v>64</v>
      </c>
      <c r="I12888" s="3">
        <v>613</v>
      </c>
      <c r="J12888" s="3">
        <v>296</v>
      </c>
      <c r="K12888" s="3">
        <v>2107</v>
      </c>
      <c r="L12888" s="3">
        <v>3</v>
      </c>
      <c r="M12888" s="3">
        <v>599</v>
      </c>
    </row>
    <row r="12889" spans="1:13" x14ac:dyDescent="0.25">
      <c r="A12889" s="1" t="str">
        <f>HYPERLINK("http://www.rosaceae.org/Prunus/Prunus_persica/p.persica_gdr_reftransV1_0014792","p.persica_gdr_reftransV1_0014792")</f>
        <v>p.persica_gdr_reftransV1_0014792</v>
      </c>
      <c r="B12889" s="3">
        <v>1104</v>
      </c>
      <c r="C12889" s="1" t="str">
        <f>HYPERLINK("http://www.uniprot.org/uniprot/SBT12_ARATH","SBT12_ARATH")</f>
        <v>SBT12_ARATH</v>
      </c>
      <c r="D12889" t="s">
        <v>3140</v>
      </c>
      <c r="E12889" s="3" t="s">
        <v>3</v>
      </c>
      <c r="F12889" s="4">
        <v>3.78E-21</v>
      </c>
      <c r="G12889" s="3">
        <v>245</v>
      </c>
      <c r="H12889" s="3">
        <v>36</v>
      </c>
      <c r="I12889" s="3">
        <v>173</v>
      </c>
      <c r="J12889" s="3">
        <v>97</v>
      </c>
      <c r="K12889" s="3">
        <v>591</v>
      </c>
      <c r="L12889" s="3">
        <v>7</v>
      </c>
      <c r="M12889" s="3">
        <v>165</v>
      </c>
    </row>
    <row r="12890" spans="1:13" x14ac:dyDescent="0.25">
      <c r="A12890" s="1" t="str">
        <f>HYPERLINK("http://www.rosaceae.org/Prunus/Prunus_persica/p.persica_gdr_reftransV1_0014892","p.persica_gdr_reftransV1_0014892")</f>
        <v>p.persica_gdr_reftransV1_0014892</v>
      </c>
      <c r="B12890" s="3">
        <v>4600</v>
      </c>
      <c r="C12890" s="1" t="str">
        <f>HYPERLINK("http://www.uniprot.org/uniprot/IKU2_ARATH","IKU2_ARATH")</f>
        <v>IKU2_ARATH</v>
      </c>
      <c r="D12890" t="s">
        <v>1920</v>
      </c>
      <c r="E12890" s="3" t="s">
        <v>3</v>
      </c>
      <c r="F12890" s="4">
        <v>0</v>
      </c>
      <c r="G12890" s="3">
        <v>1547</v>
      </c>
      <c r="H12890" s="3">
        <v>40</v>
      </c>
      <c r="I12890" s="3">
        <v>972</v>
      </c>
      <c r="J12890" s="3">
        <v>1017</v>
      </c>
      <c r="K12890" s="3">
        <v>3797</v>
      </c>
      <c r="L12890" s="3">
        <v>26</v>
      </c>
      <c r="M12890" s="3">
        <v>969</v>
      </c>
    </row>
    <row r="12891" spans="1:13" x14ac:dyDescent="0.25">
      <c r="A12891" s="1" t="str">
        <f>HYPERLINK("http://www.rosaceae.org/Prunus/Prunus_persica/p.persica_gdr_reftransV1_0014942","p.persica_gdr_reftransV1_0014942")</f>
        <v>p.persica_gdr_reftransV1_0014942</v>
      </c>
      <c r="B12891" s="3">
        <v>1071</v>
      </c>
      <c r="C12891" s="1" t="str">
        <f>HYPERLINK("http://www.uniprot.org/uniprot/PP157_ARATH","PP157_ARATH")</f>
        <v>PP157_ARATH</v>
      </c>
      <c r="D12891" t="s">
        <v>8756</v>
      </c>
      <c r="E12891" s="3" t="s">
        <v>3</v>
      </c>
      <c r="F12891" s="4">
        <v>5.0100000000000002E-126</v>
      </c>
      <c r="G12891" s="3">
        <v>971</v>
      </c>
      <c r="H12891" s="3">
        <v>61</v>
      </c>
      <c r="I12891" s="3">
        <v>293</v>
      </c>
      <c r="J12891" s="3">
        <v>1</v>
      </c>
      <c r="K12891" s="3">
        <v>879</v>
      </c>
      <c r="L12891" s="3">
        <v>212</v>
      </c>
      <c r="M12891" s="3">
        <v>504</v>
      </c>
    </row>
    <row r="12892" spans="1:13" x14ac:dyDescent="0.25">
      <c r="A12892" s="1" t="str">
        <f>HYPERLINK("http://www.rosaceae.org/Prunus/Prunus_persica/p.persica_gdr_reftransV1_0014992","p.persica_gdr_reftransV1_0014992")</f>
        <v>p.persica_gdr_reftransV1_0014992</v>
      </c>
      <c r="B12892" s="3">
        <v>1357</v>
      </c>
      <c r="C12892" s="1" t="str">
        <f>HYPERLINK("http://www.uniprot.org/uniprot/PR1A1_ARATH","PR1A1_ARATH")</f>
        <v>PR1A1_ARATH</v>
      </c>
      <c r="D12892" t="s">
        <v>8791</v>
      </c>
      <c r="E12892" s="3" t="s">
        <v>3</v>
      </c>
      <c r="F12892" s="4">
        <v>8.5999999999999995E-88</v>
      </c>
      <c r="G12892" s="3">
        <v>698</v>
      </c>
      <c r="H12892" s="3">
        <v>77</v>
      </c>
      <c r="I12892" s="3">
        <v>209</v>
      </c>
      <c r="J12892" s="3">
        <v>236</v>
      </c>
      <c r="K12892" s="3">
        <v>862</v>
      </c>
      <c r="L12892" s="3">
        <v>1</v>
      </c>
      <c r="M12892" s="3">
        <v>209</v>
      </c>
    </row>
    <row r="12893" spans="1:13" x14ac:dyDescent="0.25">
      <c r="A12893" s="1" t="str">
        <f>HYPERLINK("http://www.rosaceae.org/Prunus/Prunus_persica/p.persica_gdr_reftransV1_0015092","p.persica_gdr_reftransV1_0015092")</f>
        <v>p.persica_gdr_reftransV1_0015092</v>
      </c>
      <c r="B12893" s="3">
        <v>2109</v>
      </c>
      <c r="C12893" s="1" t="str">
        <f>HYPERLINK("http://www.uniprot.org/uniprot/TMVRN_NICGU","TMVRN_NICGU")</f>
        <v>TMVRN_NICGU</v>
      </c>
      <c r="D12893" t="s">
        <v>151</v>
      </c>
      <c r="E12893" s="3" t="s">
        <v>152</v>
      </c>
      <c r="F12893" s="4">
        <v>4.61E-53</v>
      </c>
      <c r="G12893" s="3">
        <v>514</v>
      </c>
      <c r="H12893" s="3">
        <v>29</v>
      </c>
      <c r="I12893" s="3">
        <v>554</v>
      </c>
      <c r="J12893" s="3">
        <v>607</v>
      </c>
      <c r="K12893" s="3">
        <v>2109</v>
      </c>
      <c r="L12893" s="3">
        <v>480</v>
      </c>
      <c r="M12893" s="3">
        <v>1018</v>
      </c>
    </row>
    <row r="12894" spans="1:13" x14ac:dyDescent="0.25">
      <c r="A12894" s="1" t="str">
        <f>HYPERLINK("http://www.rosaceae.org/Prunus/Prunus_persica/p.persica_gdr_reftransV1_0015192","p.persica_gdr_reftransV1_0015192")</f>
        <v>p.persica_gdr_reftransV1_0015192</v>
      </c>
      <c r="B12894" s="3">
        <v>2716</v>
      </c>
      <c r="C12894" s="1" t="str">
        <f>HYPERLINK("http://www.uniprot.org/uniprot/HSP7C_PETHY","HSP7C_PETHY")</f>
        <v>HSP7C_PETHY</v>
      </c>
      <c r="D12894" t="s">
        <v>804</v>
      </c>
      <c r="E12894" s="3" t="s">
        <v>509</v>
      </c>
      <c r="F12894" s="4">
        <v>0</v>
      </c>
      <c r="G12894" s="3">
        <v>2905</v>
      </c>
      <c r="H12894" s="3">
        <v>89</v>
      </c>
      <c r="I12894" s="3">
        <v>654</v>
      </c>
      <c r="J12894" s="3">
        <v>303</v>
      </c>
      <c r="K12894" s="3">
        <v>2258</v>
      </c>
      <c r="L12894" s="3">
        <v>1</v>
      </c>
      <c r="M12894" s="3">
        <v>651</v>
      </c>
    </row>
    <row r="12895" spans="1:13" x14ac:dyDescent="0.25">
      <c r="A12895" s="1" t="str">
        <f>HYPERLINK("http://www.rosaceae.org/Prunus/Prunus_persica/p.persica_gdr_reftransV1_0015242","p.persica_gdr_reftransV1_0015242")</f>
        <v>p.persica_gdr_reftransV1_0015242</v>
      </c>
      <c r="B12895" s="3">
        <v>2833</v>
      </c>
      <c r="C12895" s="1" t="str">
        <f>HYPERLINK("http://www.uniprot.org/uniprot/KPYC_TOBAC","KPYC_TOBAC")</f>
        <v>KPYC_TOBAC</v>
      </c>
      <c r="D12895" t="s">
        <v>1984</v>
      </c>
      <c r="E12895" s="3" t="s">
        <v>200</v>
      </c>
      <c r="F12895" s="4">
        <v>6.8200000000000007E-167</v>
      </c>
      <c r="G12895" s="3">
        <v>1298</v>
      </c>
      <c r="H12895" s="3">
        <v>91</v>
      </c>
      <c r="I12895" s="3">
        <v>270</v>
      </c>
      <c r="J12895" s="3">
        <v>1704</v>
      </c>
      <c r="K12895" s="3">
        <v>2513</v>
      </c>
      <c r="L12895" s="3">
        <v>239</v>
      </c>
      <c r="M12895" s="3">
        <v>508</v>
      </c>
    </row>
    <row r="12896" spans="1:13" x14ac:dyDescent="0.25">
      <c r="A12896" s="1" t="str">
        <f>HYPERLINK("http://www.rosaceae.org/Prunus/Prunus_persica/p.persica_gdr_reftransV1_0015442","p.persica_gdr_reftransV1_0015442")</f>
        <v>p.persica_gdr_reftransV1_0015442</v>
      </c>
      <c r="B12896" s="3">
        <v>1802</v>
      </c>
      <c r="C12896" s="1" t="str">
        <f>HYPERLINK("http://www.uniprot.org/uniprot/BSN1_BACAM","BSN1_BACAM")</f>
        <v>BSN1_BACAM</v>
      </c>
      <c r="D12896" t="s">
        <v>8792</v>
      </c>
      <c r="E12896" s="3" t="s">
        <v>8793</v>
      </c>
      <c r="F12896" s="4">
        <v>4.0199999999999998E-47</v>
      </c>
      <c r="G12896" s="3">
        <v>436</v>
      </c>
      <c r="H12896" s="3">
        <v>42</v>
      </c>
      <c r="I12896" s="3">
        <v>252</v>
      </c>
      <c r="J12896" s="3">
        <v>697</v>
      </c>
      <c r="K12896" s="3">
        <v>1440</v>
      </c>
      <c r="L12896" s="3">
        <v>53</v>
      </c>
      <c r="M12896" s="3">
        <v>289</v>
      </c>
    </row>
    <row r="12897" spans="1:13" x14ac:dyDescent="0.25">
      <c r="A12897" s="1" t="str">
        <f>HYPERLINK("http://www.rosaceae.org/Prunus/Prunus_persica/p.persica_gdr_reftransV1_0015792","p.persica_gdr_reftransV1_0015792")</f>
        <v>p.persica_gdr_reftransV1_0015792</v>
      </c>
      <c r="B12897" s="3">
        <v>3562</v>
      </c>
      <c r="C12897" s="1" t="str">
        <f>HYPERLINK("http://www.uniprot.org/uniprot/TNPO1_ORYSJ","TNPO1_ORYSJ")</f>
        <v>TNPO1_ORYSJ</v>
      </c>
      <c r="D12897" t="s">
        <v>8794</v>
      </c>
      <c r="E12897" s="3" t="s">
        <v>38</v>
      </c>
      <c r="F12897" s="4">
        <v>0</v>
      </c>
      <c r="G12897" s="3">
        <v>2614</v>
      </c>
      <c r="H12897" s="3">
        <v>77</v>
      </c>
      <c r="I12897" s="3">
        <v>680</v>
      </c>
      <c r="J12897" s="3">
        <v>868</v>
      </c>
      <c r="K12897" s="3">
        <v>2904</v>
      </c>
      <c r="L12897" s="3">
        <v>213</v>
      </c>
      <c r="M12897" s="3">
        <v>891</v>
      </c>
    </row>
    <row r="12898" spans="1:13" x14ac:dyDescent="0.25">
      <c r="A12898" s="1" t="str">
        <f>HYPERLINK("http://www.rosaceae.org/Prunus/Prunus_persica/p.persica_gdr_reftransV1_0015842","p.persica_gdr_reftransV1_0015842")</f>
        <v>p.persica_gdr_reftransV1_0015842</v>
      </c>
      <c r="B12898" s="3">
        <v>1503</v>
      </c>
      <c r="C12898" s="1" t="str">
        <f>HYPERLINK("http://www.uniprot.org/uniprot/SFH3_ARATH","SFH3_ARATH")</f>
        <v>SFH3_ARATH</v>
      </c>
      <c r="D12898" t="s">
        <v>1881</v>
      </c>
      <c r="E12898" s="3" t="s">
        <v>3</v>
      </c>
      <c r="F12898" s="4">
        <v>0</v>
      </c>
      <c r="G12898" s="3">
        <v>1362</v>
      </c>
      <c r="H12898" s="3">
        <v>78</v>
      </c>
      <c r="I12898" s="3">
        <v>317</v>
      </c>
      <c r="J12898" s="3">
        <v>402</v>
      </c>
      <c r="K12898" s="3">
        <v>1337</v>
      </c>
      <c r="L12898" s="3">
        <v>18</v>
      </c>
      <c r="M12898" s="3">
        <v>334</v>
      </c>
    </row>
    <row r="12899" spans="1:13" x14ac:dyDescent="0.25">
      <c r="A12899" s="1" t="str">
        <f>HYPERLINK("http://www.rosaceae.org/Prunus/Prunus_persica/p.persica_gdr_reftransV1_0015892","p.persica_gdr_reftransV1_0015892")</f>
        <v>p.persica_gdr_reftransV1_0015892</v>
      </c>
      <c r="B12899" s="3">
        <v>4060</v>
      </c>
      <c r="C12899" s="1" t="str">
        <f>HYPERLINK("http://www.uniprot.org/uniprot/ACO2M_ARATH","ACO2M_ARATH")</f>
        <v>ACO2M_ARATH</v>
      </c>
      <c r="D12899" t="s">
        <v>8795</v>
      </c>
      <c r="E12899" s="3" t="s">
        <v>3</v>
      </c>
      <c r="F12899" s="4">
        <v>0</v>
      </c>
      <c r="G12899" s="3">
        <v>2237</v>
      </c>
      <c r="H12899" s="3">
        <v>88</v>
      </c>
      <c r="I12899" s="3">
        <v>484</v>
      </c>
      <c r="J12899" s="3">
        <v>2144</v>
      </c>
      <c r="K12899" s="3">
        <v>3595</v>
      </c>
      <c r="L12899" s="3">
        <v>68</v>
      </c>
      <c r="M12899" s="3">
        <v>551</v>
      </c>
    </row>
    <row r="12900" spans="1:13" x14ac:dyDescent="0.25">
      <c r="A12900" s="1" t="str">
        <f>HYPERLINK("http://www.rosaceae.org/Prunus/Prunus_persica/p.persica_gdr_reftransV1_0015942","p.persica_gdr_reftransV1_0015942")</f>
        <v>p.persica_gdr_reftransV1_0015942</v>
      </c>
      <c r="B12900" s="3">
        <v>1655</v>
      </c>
      <c r="C12900" s="1" t="str">
        <f>HYPERLINK("http://www.uniprot.org/uniprot/GUAA_HELHP","GUAA_HELHP")</f>
        <v>GUAA_HELHP</v>
      </c>
      <c r="D12900" t="s">
        <v>5027</v>
      </c>
      <c r="E12900" s="3" t="s">
        <v>5028</v>
      </c>
      <c r="F12900" s="4">
        <v>3.7899999999999999E-45</v>
      </c>
      <c r="G12900" s="3">
        <v>447</v>
      </c>
      <c r="H12900" s="3">
        <v>46</v>
      </c>
      <c r="I12900" s="3">
        <v>184</v>
      </c>
      <c r="J12900" s="3">
        <v>475</v>
      </c>
      <c r="K12900" s="3">
        <v>1017</v>
      </c>
      <c r="L12900" s="3">
        <v>787</v>
      </c>
      <c r="M12900" s="3">
        <v>970</v>
      </c>
    </row>
    <row r="12901" spans="1:13" x14ac:dyDescent="0.25">
      <c r="A12901" s="1" t="str">
        <f>HYPERLINK("http://www.rosaceae.org/Prunus/Prunus_persica/p.persica_gdr_reftransV1_0015992","p.persica_gdr_reftransV1_0015992")</f>
        <v>p.persica_gdr_reftransV1_0015992</v>
      </c>
      <c r="B12901" s="3">
        <v>1851</v>
      </c>
      <c r="C12901" s="1" t="str">
        <f>HYPERLINK("http://www.uniprot.org/uniprot/U71D1_ARATH","U71D1_ARATH")</f>
        <v>U71D1_ARATH</v>
      </c>
      <c r="D12901" t="s">
        <v>6419</v>
      </c>
      <c r="E12901" s="3" t="s">
        <v>3</v>
      </c>
      <c r="F12901" s="4">
        <v>2.9200000000000001E-146</v>
      </c>
      <c r="G12901" s="3">
        <v>1128</v>
      </c>
      <c r="H12901" s="3">
        <v>49</v>
      </c>
      <c r="I12901" s="3">
        <v>480</v>
      </c>
      <c r="J12901" s="3">
        <v>301</v>
      </c>
      <c r="K12901" s="3">
        <v>1719</v>
      </c>
      <c r="L12901" s="3">
        <v>4</v>
      </c>
      <c r="M12901" s="3">
        <v>464</v>
      </c>
    </row>
    <row r="12902" spans="1:13" x14ac:dyDescent="0.25">
      <c r="A12902" s="1" t="str">
        <f>HYPERLINK("http://www.rosaceae.org/Prunus/Prunus_persica/p.persica_gdr_reftransV1_0016742","p.persica_gdr_reftransV1_0016742")</f>
        <v>p.persica_gdr_reftransV1_0016742</v>
      </c>
      <c r="B12902" s="3">
        <v>422</v>
      </c>
      <c r="C12902" s="1" t="str">
        <f>HYPERLINK("http://www.uniprot.org/uniprot/PP284_ARATH","PP284_ARATH")</f>
        <v>PP284_ARATH</v>
      </c>
      <c r="D12902" t="s">
        <v>3432</v>
      </c>
      <c r="E12902" s="3" t="s">
        <v>3</v>
      </c>
      <c r="F12902" s="4">
        <v>3.2800000000000003E-33</v>
      </c>
      <c r="G12902" s="3">
        <v>317</v>
      </c>
      <c r="H12902" s="3">
        <v>58</v>
      </c>
      <c r="I12902" s="3">
        <v>98</v>
      </c>
      <c r="J12902" s="3">
        <v>7</v>
      </c>
      <c r="K12902" s="3">
        <v>300</v>
      </c>
      <c r="L12902" s="3">
        <v>4</v>
      </c>
      <c r="M12902" s="3">
        <v>101</v>
      </c>
    </row>
    <row r="12903" spans="1:13" x14ac:dyDescent="0.25">
      <c r="A12903" s="1" t="str">
        <f>HYPERLINK("http://www.rosaceae.org/Prunus/Prunus_persica/p.persica_gdr_reftransV1_0016842","p.persica_gdr_reftransV1_0016842")</f>
        <v>p.persica_gdr_reftransV1_0016842</v>
      </c>
      <c r="B12903" s="3">
        <v>3492</v>
      </c>
      <c r="C12903" s="1" t="str">
        <f>HYPERLINK("http://www.uniprot.org/uniprot/P2C11_ARATH","P2C11_ARATH")</f>
        <v>P2C11_ARATH</v>
      </c>
      <c r="D12903" t="s">
        <v>8796</v>
      </c>
      <c r="E12903" s="3" t="s">
        <v>3</v>
      </c>
      <c r="F12903" s="4">
        <v>4.23E-110</v>
      </c>
      <c r="G12903" s="3">
        <v>911</v>
      </c>
      <c r="H12903" s="3">
        <v>75</v>
      </c>
      <c r="I12903" s="3">
        <v>239</v>
      </c>
      <c r="J12903" s="3">
        <v>74</v>
      </c>
      <c r="K12903" s="3">
        <v>790</v>
      </c>
      <c r="L12903" s="3">
        <v>96</v>
      </c>
      <c r="M12903" s="3">
        <v>334</v>
      </c>
    </row>
    <row r="12904" spans="1:13" x14ac:dyDescent="0.25">
      <c r="A12904" s="1" t="str">
        <f>HYPERLINK("http://www.rosaceae.org/Prunus/Prunus_persica/p.persica_gdr_reftransV1_0016892","p.persica_gdr_reftransV1_0016892")</f>
        <v>p.persica_gdr_reftransV1_0016892</v>
      </c>
      <c r="B12904" s="3">
        <v>4135</v>
      </c>
      <c r="C12904" s="1" t="str">
        <f>HYPERLINK("http://www.uniprot.org/uniprot/TRA1_MAIZE","TRA1_MAIZE")</f>
        <v>TRA1_MAIZE</v>
      </c>
      <c r="D12904" t="s">
        <v>3264</v>
      </c>
      <c r="E12904" s="3" t="s">
        <v>72</v>
      </c>
      <c r="F12904" s="4">
        <v>3.2300000000000001E-85</v>
      </c>
      <c r="G12904" s="3">
        <v>771</v>
      </c>
      <c r="H12904" s="3">
        <v>31</v>
      </c>
      <c r="I12904" s="3">
        <v>717</v>
      </c>
      <c r="J12904" s="3">
        <v>1763</v>
      </c>
      <c r="K12904" s="3">
        <v>3859</v>
      </c>
      <c r="L12904" s="3">
        <v>134</v>
      </c>
      <c r="M12904" s="3">
        <v>780</v>
      </c>
    </row>
    <row r="12905" spans="1:13" x14ac:dyDescent="0.25">
      <c r="A12905" s="1" t="str">
        <f>HYPERLINK("http://www.rosaceae.org/Prunus/Prunus_persica/p.persica_gdr_reftransV1_0016942","p.persica_gdr_reftransV1_0016942")</f>
        <v>p.persica_gdr_reftransV1_0016942</v>
      </c>
      <c r="B12905" s="3">
        <v>1406</v>
      </c>
      <c r="C12905" s="1" t="str">
        <f>HYPERLINK("http://www.uniprot.org/uniprot/RMA1_CAPAN","RMA1_CAPAN")</f>
        <v>RMA1_CAPAN</v>
      </c>
      <c r="D12905" t="s">
        <v>587</v>
      </c>
      <c r="E12905" s="3" t="s">
        <v>588</v>
      </c>
      <c r="F12905" s="4">
        <v>4.8400000000000001E-14</v>
      </c>
      <c r="G12905" s="3">
        <v>184</v>
      </c>
      <c r="H12905" s="3">
        <v>28</v>
      </c>
      <c r="I12905" s="3">
        <v>200</v>
      </c>
      <c r="J12905" s="3">
        <v>857</v>
      </c>
      <c r="K12905" s="3">
        <v>1405</v>
      </c>
      <c r="L12905" s="3">
        <v>45</v>
      </c>
      <c r="M12905" s="3">
        <v>227</v>
      </c>
    </row>
    <row r="12906" spans="1:13" x14ac:dyDescent="0.25">
      <c r="A12906" s="1" t="str">
        <f>HYPERLINK("http://www.rosaceae.org/Prunus/Prunus_persica/p.persica_gdr_reftransV1_0017042","p.persica_gdr_reftransV1_0017042")</f>
        <v>p.persica_gdr_reftransV1_0017042</v>
      </c>
      <c r="B12906" s="3">
        <v>2178</v>
      </c>
      <c r="C12906" s="1" t="str">
        <f>HYPERLINK("http://www.uniprot.org/uniprot/OBGM_ARATH","OBGM_ARATH")</f>
        <v>OBGM_ARATH</v>
      </c>
      <c r="D12906" t="s">
        <v>8797</v>
      </c>
      <c r="E12906" s="3" t="s">
        <v>3</v>
      </c>
      <c r="F12906" s="4">
        <v>4.8200000000000005E-165</v>
      </c>
      <c r="G12906" s="3">
        <v>1266</v>
      </c>
      <c r="H12906" s="3">
        <v>59</v>
      </c>
      <c r="I12906" s="3">
        <v>504</v>
      </c>
      <c r="J12906" s="3">
        <v>359</v>
      </c>
      <c r="K12906" s="3">
        <v>1783</v>
      </c>
      <c r="L12906" s="3">
        <v>12</v>
      </c>
      <c r="M12906" s="3">
        <v>493</v>
      </c>
    </row>
    <row r="12907" spans="1:13" x14ac:dyDescent="0.25">
      <c r="A12907" s="1" t="str">
        <f>HYPERLINK("http://www.rosaceae.org/Prunus/Prunus_persica/p.persica_gdr_reftransV1_0017142","p.persica_gdr_reftransV1_0017142")</f>
        <v>p.persica_gdr_reftransV1_0017142</v>
      </c>
      <c r="B12907" s="3">
        <v>596</v>
      </c>
      <c r="C12907" s="1" t="str">
        <f>HYPERLINK("http://www.uniprot.org/uniprot/CRL_ARATH","CRL_ARATH")</f>
        <v>CRL_ARATH</v>
      </c>
      <c r="D12907" t="s">
        <v>7048</v>
      </c>
      <c r="E12907" s="3" t="s">
        <v>3</v>
      </c>
      <c r="F12907" s="4">
        <v>1.3700000000000001E-59</v>
      </c>
      <c r="G12907" s="3">
        <v>492</v>
      </c>
      <c r="H12907" s="3">
        <v>72</v>
      </c>
      <c r="I12907" s="3">
        <v>121</v>
      </c>
      <c r="J12907" s="3">
        <v>233</v>
      </c>
      <c r="K12907" s="3">
        <v>595</v>
      </c>
      <c r="L12907" s="3">
        <v>149</v>
      </c>
      <c r="M12907" s="3">
        <v>269</v>
      </c>
    </row>
    <row r="12908" spans="1:13" x14ac:dyDescent="0.25">
      <c r="A12908" s="1" t="str">
        <f>HYPERLINK("http://www.rosaceae.org/Prunus/Prunus_persica/p.persica_gdr_reftransV1_0017242","p.persica_gdr_reftransV1_0017242")</f>
        <v>p.persica_gdr_reftransV1_0017242</v>
      </c>
      <c r="B12908" s="3">
        <v>503</v>
      </c>
      <c r="C12908" s="1" t="str">
        <f>HYPERLINK("http://www.uniprot.org/uniprot/TLPH_ARATH","TLPH_ARATH")</f>
        <v>TLPH_ARATH</v>
      </c>
      <c r="D12908" t="s">
        <v>790</v>
      </c>
      <c r="E12908" s="3" t="s">
        <v>3</v>
      </c>
      <c r="F12908" s="4">
        <v>3.1400000000000001E-28</v>
      </c>
      <c r="G12908" s="3">
        <v>275</v>
      </c>
      <c r="H12908" s="3">
        <v>51</v>
      </c>
      <c r="I12908" s="3">
        <v>121</v>
      </c>
      <c r="J12908" s="3">
        <v>16</v>
      </c>
      <c r="K12908" s="3">
        <v>375</v>
      </c>
      <c r="L12908" s="3">
        <v>119</v>
      </c>
      <c r="M12908" s="3">
        <v>239</v>
      </c>
    </row>
    <row r="12909" spans="1:13" x14ac:dyDescent="0.25">
      <c r="A12909" s="1" t="str">
        <f>HYPERLINK("http://www.rosaceae.org/Prunus/Prunus_persica/p.persica_gdr_reftransV1_0017742","p.persica_gdr_reftransV1_0017742")</f>
        <v>p.persica_gdr_reftransV1_0017742</v>
      </c>
      <c r="B12909" s="3">
        <v>1978</v>
      </c>
      <c r="C12909" s="1" t="str">
        <f>HYPERLINK("http://www.uniprot.org/uniprot/RBK2_ARATH","RBK2_ARATH")</f>
        <v>RBK2_ARATH</v>
      </c>
      <c r="D12909" t="s">
        <v>1395</v>
      </c>
      <c r="E12909" s="3" t="s">
        <v>3</v>
      </c>
      <c r="F12909" s="4">
        <v>4.0800000000000001E-141</v>
      </c>
      <c r="G12909" s="3">
        <v>1097</v>
      </c>
      <c r="H12909" s="3">
        <v>51</v>
      </c>
      <c r="I12909" s="3">
        <v>436</v>
      </c>
      <c r="J12909" s="3">
        <v>232</v>
      </c>
      <c r="K12909" s="3">
        <v>1470</v>
      </c>
      <c r="L12909" s="3">
        <v>16</v>
      </c>
      <c r="M12909" s="3">
        <v>441</v>
      </c>
    </row>
    <row r="12910" spans="1:13" x14ac:dyDescent="0.25">
      <c r="A12910" s="1" t="str">
        <f>HYPERLINK("http://www.rosaceae.org/Prunus/Prunus_persica/p.persica_gdr_reftransV1_0017792","p.persica_gdr_reftransV1_0017792")</f>
        <v>p.persica_gdr_reftransV1_0017792</v>
      </c>
      <c r="B12910" s="3">
        <v>997</v>
      </c>
      <c r="C12910" s="1" t="str">
        <f>HYPERLINK("http://www.uniprot.org/uniprot/PP159_ARATH","PP159_ARATH")</f>
        <v>PP159_ARATH</v>
      </c>
      <c r="D12910" t="s">
        <v>8798</v>
      </c>
      <c r="E12910" s="3" t="s">
        <v>3</v>
      </c>
      <c r="F12910" s="4">
        <v>8.4800000000000003E-103</v>
      </c>
      <c r="G12910" s="3">
        <v>831</v>
      </c>
      <c r="H12910" s="3">
        <v>53</v>
      </c>
      <c r="I12910" s="3">
        <v>328</v>
      </c>
      <c r="J12910" s="3">
        <v>22</v>
      </c>
      <c r="K12910" s="3">
        <v>996</v>
      </c>
      <c r="L12910" s="3">
        <v>413</v>
      </c>
      <c r="M12910" s="3">
        <v>729</v>
      </c>
    </row>
    <row r="12911" spans="1:13" x14ac:dyDescent="0.25">
      <c r="A12911" s="1" t="str">
        <f>HYPERLINK("http://www.rosaceae.org/Prunus/Prunus_persica/p.persica_gdr_reftransV1_0017842","p.persica_gdr_reftransV1_0017842")</f>
        <v>p.persica_gdr_reftransV1_0017842</v>
      </c>
      <c r="B12911" s="3">
        <v>2786</v>
      </c>
      <c r="C12911" s="1" t="str">
        <f>HYPERLINK("http://www.uniprot.org/uniprot/CDKC1_ORYSJ","CDKC1_ORYSJ")</f>
        <v>CDKC1_ORYSJ</v>
      </c>
      <c r="D12911" t="s">
        <v>8799</v>
      </c>
      <c r="E12911" s="3" t="s">
        <v>38</v>
      </c>
      <c r="F12911" s="4">
        <v>0</v>
      </c>
      <c r="G12911" s="3">
        <v>1413</v>
      </c>
      <c r="H12911" s="3">
        <v>88</v>
      </c>
      <c r="I12911" s="3">
        <v>292</v>
      </c>
      <c r="J12911" s="3">
        <v>598</v>
      </c>
      <c r="K12911" s="3">
        <v>1470</v>
      </c>
      <c r="L12911" s="3">
        <v>1</v>
      </c>
      <c r="M12911" s="3">
        <v>292</v>
      </c>
    </row>
    <row r="12912" spans="1:13" x14ac:dyDescent="0.25">
      <c r="A12912" s="1" t="str">
        <f>HYPERLINK("http://www.rosaceae.org/Prunus/Prunus_persica/p.persica_gdr_reftransV1_0017992","p.persica_gdr_reftransV1_0017992")</f>
        <v>p.persica_gdr_reftransV1_0017992</v>
      </c>
      <c r="B12912" s="3">
        <v>2336</v>
      </c>
      <c r="C12912" s="1" t="str">
        <f>HYPERLINK("http://www.uniprot.org/uniprot/Y5158_ARATH","Y5158_ARATH")</f>
        <v>Y5158_ARATH</v>
      </c>
      <c r="D12912" t="s">
        <v>2423</v>
      </c>
      <c r="E12912" s="3" t="s">
        <v>3</v>
      </c>
      <c r="F12912" s="4">
        <v>1.9399999999999999E-88</v>
      </c>
      <c r="G12912" s="3">
        <v>581</v>
      </c>
      <c r="H12912" s="3">
        <v>82</v>
      </c>
      <c r="I12912" s="3">
        <v>133</v>
      </c>
      <c r="J12912" s="3">
        <v>1149</v>
      </c>
      <c r="K12912" s="3">
        <v>1544</v>
      </c>
      <c r="L12912" s="3">
        <v>195</v>
      </c>
      <c r="M12912" s="3">
        <v>327</v>
      </c>
    </row>
    <row r="12913" spans="1:13" x14ac:dyDescent="0.25">
      <c r="A12913" s="1" t="str">
        <f>HYPERLINK("http://www.rosaceae.org/Prunus/Prunus_persica/p.persica_gdr_reftransV1_0018092","p.persica_gdr_reftransV1_0018092")</f>
        <v>p.persica_gdr_reftransV1_0018092</v>
      </c>
      <c r="B12913" s="3">
        <v>4120</v>
      </c>
      <c r="C12913" s="1" t="str">
        <f>HYPERLINK("http://www.uniprot.org/uniprot/NIPA_PONAB","NIPA_PONAB")</f>
        <v>NIPA_PONAB</v>
      </c>
      <c r="D12913" t="s">
        <v>1188</v>
      </c>
      <c r="E12913" s="3" t="s">
        <v>176</v>
      </c>
      <c r="F12913" s="4">
        <v>6.5000000000000003E-10</v>
      </c>
      <c r="G12913" s="3">
        <v>162</v>
      </c>
      <c r="H12913" s="3">
        <v>32</v>
      </c>
      <c r="I12913" s="3">
        <v>122</v>
      </c>
      <c r="J12913" s="3">
        <v>3468</v>
      </c>
      <c r="K12913" s="3">
        <v>3821</v>
      </c>
      <c r="L12913" s="3">
        <v>78</v>
      </c>
      <c r="M12913" s="3">
        <v>199</v>
      </c>
    </row>
    <row r="12914" spans="1:13" x14ac:dyDescent="0.25">
      <c r="A12914" s="1" t="str">
        <f>HYPERLINK("http://www.rosaceae.org/Prunus/Prunus_persica/p.persica_gdr_reftransV1_0018442","p.persica_gdr_reftransV1_0018442")</f>
        <v>p.persica_gdr_reftransV1_0018442</v>
      </c>
      <c r="B12914" s="3">
        <v>912</v>
      </c>
      <c r="C12914" s="1" t="str">
        <f>HYPERLINK("http://www.uniprot.org/uniprot/TECR_DICDI","TECR_DICDI")</f>
        <v>TECR_DICDI</v>
      </c>
      <c r="D12914" t="s">
        <v>8061</v>
      </c>
      <c r="E12914" s="3" t="s">
        <v>9</v>
      </c>
      <c r="F12914" s="4">
        <v>5.5199999999999995E-22</v>
      </c>
      <c r="G12914" s="3">
        <v>241</v>
      </c>
      <c r="H12914" s="3">
        <v>35</v>
      </c>
      <c r="I12914" s="3">
        <v>178</v>
      </c>
      <c r="J12914" s="3">
        <v>377</v>
      </c>
      <c r="K12914" s="3">
        <v>901</v>
      </c>
      <c r="L12914" s="3">
        <v>127</v>
      </c>
      <c r="M12914" s="3">
        <v>300</v>
      </c>
    </row>
    <row r="12915" spans="1:13" x14ac:dyDescent="0.25">
      <c r="A12915" s="1" t="str">
        <f>HYPERLINK("http://www.rosaceae.org/Prunus/Prunus_persica/p.persica_gdr_reftransV1_0018942","p.persica_gdr_reftransV1_0018942")</f>
        <v>p.persica_gdr_reftransV1_0018942</v>
      </c>
      <c r="B12915" s="3">
        <v>1788</v>
      </c>
      <c r="C12915" s="1" t="str">
        <f>HYPERLINK("http://www.uniprot.org/uniprot/PEX32_ARATH","PEX32_ARATH")</f>
        <v>PEX32_ARATH</v>
      </c>
      <c r="D12915" t="s">
        <v>8800</v>
      </c>
      <c r="E12915" s="3" t="s">
        <v>3</v>
      </c>
      <c r="F12915" s="4">
        <v>1.01E-147</v>
      </c>
      <c r="G12915" s="3">
        <v>1126</v>
      </c>
      <c r="H12915" s="3">
        <v>60</v>
      </c>
      <c r="I12915" s="3">
        <v>365</v>
      </c>
      <c r="J12915" s="3">
        <v>372</v>
      </c>
      <c r="K12915" s="3">
        <v>1439</v>
      </c>
      <c r="L12915" s="3">
        <v>4</v>
      </c>
      <c r="M12915" s="3">
        <v>362</v>
      </c>
    </row>
    <row r="12916" spans="1:13" x14ac:dyDescent="0.25">
      <c r="A12916" s="1" t="str">
        <f>HYPERLINK("http://www.rosaceae.org/Prunus/Prunus_persica/p.persica_gdr_reftransV1_0019042","p.persica_gdr_reftransV1_0019042")</f>
        <v>p.persica_gdr_reftransV1_0019042</v>
      </c>
      <c r="B12916" s="3">
        <v>1654</v>
      </c>
      <c r="C12916" s="1" t="str">
        <f>HYPERLINK("http://www.uniprot.org/uniprot/PME13_ARATH","PME13_ARATH")</f>
        <v>PME13_ARATH</v>
      </c>
      <c r="D12916" t="s">
        <v>8801</v>
      </c>
      <c r="E12916" s="3" t="s">
        <v>3</v>
      </c>
      <c r="F12916" s="4">
        <v>2.5600000000000001E-52</v>
      </c>
      <c r="G12916" s="3">
        <v>458</v>
      </c>
      <c r="H12916" s="3">
        <v>36</v>
      </c>
      <c r="I12916" s="3">
        <v>318</v>
      </c>
      <c r="J12916" s="3">
        <v>612</v>
      </c>
      <c r="K12916" s="3">
        <v>1544</v>
      </c>
      <c r="L12916" s="3">
        <v>79</v>
      </c>
      <c r="M12916" s="3">
        <v>350</v>
      </c>
    </row>
    <row r="12917" spans="1:13" x14ac:dyDescent="0.25">
      <c r="A12917" s="1" t="str">
        <f>HYPERLINK("http://www.rosaceae.org/Prunus/Prunus_persica/p.persica_gdr_reftransV1_0019192","p.persica_gdr_reftransV1_0019192")</f>
        <v>p.persica_gdr_reftransV1_0019192</v>
      </c>
      <c r="B12917" s="3">
        <v>1487</v>
      </c>
      <c r="C12917" s="1" t="str">
        <f>HYPERLINK("http://www.uniprot.org/uniprot/NFD4_ARATH","NFD4_ARATH")</f>
        <v>NFD4_ARATH</v>
      </c>
      <c r="D12917" t="s">
        <v>404</v>
      </c>
      <c r="E12917" s="3" t="s">
        <v>3</v>
      </c>
      <c r="F12917" s="4">
        <v>5.0600000000000004E-16</v>
      </c>
      <c r="G12917" s="3">
        <v>207</v>
      </c>
      <c r="H12917" s="3">
        <v>29</v>
      </c>
      <c r="I12917" s="3">
        <v>186</v>
      </c>
      <c r="J12917" s="3">
        <v>758</v>
      </c>
      <c r="K12917" s="3">
        <v>1309</v>
      </c>
      <c r="L12917" s="3">
        <v>24</v>
      </c>
      <c r="M12917" s="3">
        <v>196</v>
      </c>
    </row>
    <row r="12918" spans="1:13" x14ac:dyDescent="0.25">
      <c r="A12918" s="1" t="str">
        <f>HYPERLINK("http://www.rosaceae.org/Prunus/Prunus_persica/p.persica_gdr_reftransV1_0019242","p.persica_gdr_reftransV1_0019242")</f>
        <v>p.persica_gdr_reftransV1_0019242</v>
      </c>
      <c r="B12918" s="3">
        <v>543</v>
      </c>
      <c r="C12918" s="1" t="str">
        <f>HYPERLINK("http://www.uniprot.org/uniprot/Y1534_ARATH","Y1534_ARATH")</f>
        <v>Y1534_ARATH</v>
      </c>
      <c r="D12918" t="s">
        <v>5111</v>
      </c>
      <c r="E12918" s="3" t="s">
        <v>3</v>
      </c>
      <c r="F12918" s="4">
        <v>6.0500000000000003E-25</v>
      </c>
      <c r="G12918" s="3">
        <v>264</v>
      </c>
      <c r="H12918" s="3">
        <v>38</v>
      </c>
      <c r="I12918" s="3">
        <v>177</v>
      </c>
      <c r="J12918" s="3">
        <v>3</v>
      </c>
      <c r="K12918" s="3">
        <v>527</v>
      </c>
      <c r="L12918" s="3">
        <v>298</v>
      </c>
      <c r="M12918" s="3">
        <v>457</v>
      </c>
    </row>
    <row r="12919" spans="1:13" x14ac:dyDescent="0.25">
      <c r="A12919" s="1" t="str">
        <f>HYPERLINK("http://www.rosaceae.org/Prunus/Prunus_persica/p.persica_gdr_reftransV1_0019342","p.persica_gdr_reftransV1_0019342")</f>
        <v>p.persica_gdr_reftransV1_0019342</v>
      </c>
      <c r="B12919" s="3">
        <v>2653</v>
      </c>
      <c r="C12919" s="1" t="str">
        <f>HYPERLINK("http://www.uniprot.org/uniprot/BH140_ARATH","BH140_ARATH")</f>
        <v>BH140_ARATH</v>
      </c>
      <c r="D12919" t="s">
        <v>8802</v>
      </c>
      <c r="E12919" s="3" t="s">
        <v>3</v>
      </c>
      <c r="F12919" s="4">
        <v>0</v>
      </c>
      <c r="G12919" s="3">
        <v>2260</v>
      </c>
      <c r="H12919" s="3">
        <v>59</v>
      </c>
      <c r="I12919" s="3">
        <v>765</v>
      </c>
      <c r="J12919" s="3">
        <v>203</v>
      </c>
      <c r="K12919" s="3">
        <v>2470</v>
      </c>
      <c r="L12919" s="3">
        <v>200</v>
      </c>
      <c r="M12919" s="3">
        <v>907</v>
      </c>
    </row>
    <row r="12920" spans="1:13" x14ac:dyDescent="0.25">
      <c r="A12920" s="1" t="str">
        <f>HYPERLINK("http://www.rosaceae.org/Prunus/Prunus_persica/p.persica_gdr_reftransV1_0019842","p.persica_gdr_reftransV1_0019842")</f>
        <v>p.persica_gdr_reftransV1_0019842</v>
      </c>
      <c r="B12920" s="3">
        <v>1208</v>
      </c>
      <c r="C12920" s="1" t="str">
        <f>HYPERLINK("http://www.uniprot.org/uniprot/CXE2_ARATH","CXE2_ARATH")</f>
        <v>CXE2_ARATH</v>
      </c>
      <c r="D12920" t="s">
        <v>682</v>
      </c>
      <c r="E12920" s="3" t="s">
        <v>3</v>
      </c>
      <c r="F12920" s="4">
        <v>1.4599999999999999E-87</v>
      </c>
      <c r="G12920" s="3">
        <v>702</v>
      </c>
      <c r="H12920" s="3">
        <v>45</v>
      </c>
      <c r="I12920" s="3">
        <v>316</v>
      </c>
      <c r="J12920" s="3">
        <v>242</v>
      </c>
      <c r="K12920" s="3">
        <v>1141</v>
      </c>
      <c r="L12920" s="3">
        <v>2</v>
      </c>
      <c r="M12920" s="3">
        <v>311</v>
      </c>
    </row>
    <row r="12921" spans="1:13" x14ac:dyDescent="0.25">
      <c r="A12921" s="1" t="str">
        <f>HYPERLINK("http://www.rosaceae.org/Prunus/Prunus_persica/p.persica_gdr_reftransV1_0019892","p.persica_gdr_reftransV1_0019892")</f>
        <v>p.persica_gdr_reftransV1_0019892</v>
      </c>
      <c r="B12921" s="3">
        <v>3676</v>
      </c>
      <c r="C12921" s="1" t="str">
        <f>HYPERLINK("http://www.uniprot.org/uniprot/YUGF_BACSU","YUGF_BACSU")</f>
        <v>YUGF_BACSU</v>
      </c>
      <c r="D12921" t="s">
        <v>8803</v>
      </c>
      <c r="E12921" s="3" t="s">
        <v>1630</v>
      </c>
      <c r="F12921" s="4">
        <v>1.0700000000000001E-7</v>
      </c>
      <c r="G12921" s="3">
        <v>140</v>
      </c>
      <c r="H12921" s="3">
        <v>25</v>
      </c>
      <c r="I12921" s="3">
        <v>276</v>
      </c>
      <c r="J12921" s="3">
        <v>1556</v>
      </c>
      <c r="K12921" s="3">
        <v>2380</v>
      </c>
      <c r="L12921" s="3">
        <v>23</v>
      </c>
      <c r="M12921" s="3">
        <v>272</v>
      </c>
    </row>
    <row r="12922" spans="1:13" x14ac:dyDescent="0.25">
      <c r="A12922" s="1" t="str">
        <f>HYPERLINK("http://www.rosaceae.org/Prunus/Prunus_persica/p.persica_gdr_reftransV1_0020242","p.persica_gdr_reftransV1_0020242")</f>
        <v>p.persica_gdr_reftransV1_0020242</v>
      </c>
      <c r="B12922" s="3">
        <v>1538</v>
      </c>
      <c r="C12922" s="1" t="str">
        <f>HYPERLINK("http://www.uniprot.org/uniprot/PP136_ARATH","PP136_ARATH")</f>
        <v>PP136_ARATH</v>
      </c>
      <c r="D12922" t="s">
        <v>2218</v>
      </c>
      <c r="E12922" s="3" t="s">
        <v>3</v>
      </c>
      <c r="F12922" s="4">
        <v>1.1700000000000001E-101</v>
      </c>
      <c r="G12922" s="3">
        <v>818</v>
      </c>
      <c r="H12922" s="3">
        <v>67</v>
      </c>
      <c r="I12922" s="3">
        <v>223</v>
      </c>
      <c r="J12922" s="3">
        <v>1</v>
      </c>
      <c r="K12922" s="3">
        <v>669</v>
      </c>
      <c r="L12922" s="3">
        <v>216</v>
      </c>
      <c r="M12922" s="3">
        <v>438</v>
      </c>
    </row>
    <row r="12923" spans="1:13" x14ac:dyDescent="0.25">
      <c r="A12923" s="1" t="str">
        <f>HYPERLINK("http://www.rosaceae.org/Prunus/Prunus_persica/p.persica_gdr_reftransV1_0020292","p.persica_gdr_reftransV1_0020292")</f>
        <v>p.persica_gdr_reftransV1_0020292</v>
      </c>
      <c r="B12923" s="3">
        <v>1579</v>
      </c>
      <c r="C12923" s="1" t="str">
        <f>HYPERLINK("http://www.uniprot.org/uniprot/OLEE1_BETPN","OLEE1_BETPN")</f>
        <v>OLEE1_BETPN</v>
      </c>
      <c r="D12923" t="s">
        <v>6288</v>
      </c>
      <c r="E12923" s="3" t="s">
        <v>5635</v>
      </c>
      <c r="F12923" s="4">
        <v>8.3899999999999999E-21</v>
      </c>
      <c r="G12923" s="3">
        <v>233</v>
      </c>
      <c r="H12923" s="3">
        <v>40</v>
      </c>
      <c r="I12923" s="3">
        <v>112</v>
      </c>
      <c r="J12923" s="3">
        <v>258</v>
      </c>
      <c r="K12923" s="3">
        <v>584</v>
      </c>
      <c r="L12923" s="3">
        <v>46</v>
      </c>
      <c r="M12923" s="3">
        <v>157</v>
      </c>
    </row>
    <row r="12924" spans="1:13" x14ac:dyDescent="0.25">
      <c r="A12924" s="1" t="str">
        <f>HYPERLINK("http://www.rosaceae.org/Prunus/Prunus_persica/p.persica_gdr_reftransV1_0020342","p.persica_gdr_reftransV1_0020342")</f>
        <v>p.persica_gdr_reftransV1_0020342</v>
      </c>
      <c r="B12924" s="3">
        <v>1166</v>
      </c>
      <c r="C12924" s="1" t="str">
        <f>HYPERLINK("http://www.uniprot.org/uniprot/MOG1_BOVIN","MOG1_BOVIN")</f>
        <v>MOG1_BOVIN</v>
      </c>
      <c r="D12924" t="s">
        <v>8804</v>
      </c>
      <c r="E12924" s="3" t="s">
        <v>184</v>
      </c>
      <c r="F12924" s="4">
        <v>3.2400000000000002E-19</v>
      </c>
      <c r="G12924" s="3">
        <v>218</v>
      </c>
      <c r="H12924" s="3">
        <v>35</v>
      </c>
      <c r="I12924" s="3">
        <v>194</v>
      </c>
      <c r="J12924" s="3">
        <v>220</v>
      </c>
      <c r="K12924" s="3">
        <v>795</v>
      </c>
      <c r="L12924" s="3">
        <v>6</v>
      </c>
      <c r="M12924" s="3">
        <v>184</v>
      </c>
    </row>
    <row r="12925" spans="1:13" x14ac:dyDescent="0.25">
      <c r="A12925" s="1" t="str">
        <f>HYPERLINK("http://www.rosaceae.org/Prunus/Prunus_persica/p.persica_gdr_reftransV1_0020392","p.persica_gdr_reftransV1_0020392")</f>
        <v>p.persica_gdr_reftransV1_0020392</v>
      </c>
      <c r="B12925" s="3">
        <v>1746</v>
      </c>
      <c r="C12925" s="1" t="str">
        <f>HYPERLINK("http://www.uniprot.org/uniprot/Y3136_ARATH","Y3136_ARATH")</f>
        <v>Y3136_ARATH</v>
      </c>
      <c r="D12925" t="s">
        <v>8805</v>
      </c>
      <c r="E12925" s="3" t="s">
        <v>3</v>
      </c>
      <c r="F12925" s="4">
        <v>8.5399999999999998E-138</v>
      </c>
      <c r="G12925" s="3">
        <v>881</v>
      </c>
      <c r="H12925" s="3">
        <v>76</v>
      </c>
      <c r="I12925" s="3">
        <v>206</v>
      </c>
      <c r="J12925" s="3">
        <v>266</v>
      </c>
      <c r="K12925" s="3">
        <v>880</v>
      </c>
      <c r="L12925" s="3">
        <v>125</v>
      </c>
      <c r="M12925" s="3">
        <v>330</v>
      </c>
    </row>
    <row r="12926" spans="1:13" x14ac:dyDescent="0.25">
      <c r="A12926" s="1" t="str">
        <f>HYPERLINK("http://www.rosaceae.org/Prunus/Prunus_persica/p.persica_gdr_reftransV1_0020492","p.persica_gdr_reftransV1_0020492")</f>
        <v>p.persica_gdr_reftransV1_0020492</v>
      </c>
      <c r="B12926" s="3">
        <v>8591</v>
      </c>
      <c r="C12926" s="1" t="str">
        <f>HYPERLINK("http://www.uniprot.org/uniprot/GRV2_ARATH","GRV2_ARATH")</f>
        <v>GRV2_ARATH</v>
      </c>
      <c r="D12926" t="s">
        <v>8806</v>
      </c>
      <c r="E12926" s="3" t="s">
        <v>3</v>
      </c>
      <c r="F12926" s="4">
        <v>0</v>
      </c>
      <c r="G12926" s="3">
        <v>9486</v>
      </c>
      <c r="H12926" s="3">
        <v>78</v>
      </c>
      <c r="I12926" s="3">
        <v>2549</v>
      </c>
      <c r="J12926" s="3">
        <v>499</v>
      </c>
      <c r="K12926" s="3">
        <v>8124</v>
      </c>
      <c r="L12926" s="3">
        <v>17</v>
      </c>
      <c r="M12926" s="3">
        <v>2546</v>
      </c>
    </row>
    <row r="12927" spans="1:13" x14ac:dyDescent="0.25">
      <c r="A12927" s="1" t="str">
        <f>HYPERLINK("http://www.rosaceae.org/Prunus/Prunus_persica/p.persica_gdr_reftransV1_0020642","p.persica_gdr_reftransV1_0020642")</f>
        <v>p.persica_gdr_reftransV1_0020642</v>
      </c>
      <c r="B12927" s="3">
        <v>1453</v>
      </c>
      <c r="C12927" s="1" t="str">
        <f>HYPERLINK("http://www.uniprot.org/uniprot/LPXA_ARATH","LPXA_ARATH")</f>
        <v>LPXA_ARATH</v>
      </c>
      <c r="D12927" t="s">
        <v>3421</v>
      </c>
      <c r="E12927" s="3" t="s">
        <v>3</v>
      </c>
      <c r="F12927" s="4">
        <v>2.1699999999999999E-87</v>
      </c>
      <c r="G12927" s="3">
        <v>710</v>
      </c>
      <c r="H12927" s="3">
        <v>77</v>
      </c>
      <c r="I12927" s="3">
        <v>218</v>
      </c>
      <c r="J12927" s="3">
        <v>3</v>
      </c>
      <c r="K12927" s="3">
        <v>653</v>
      </c>
      <c r="L12927" s="3">
        <v>114</v>
      </c>
      <c r="M12927" s="3">
        <v>331</v>
      </c>
    </row>
    <row r="12928" spans="1:13" x14ac:dyDescent="0.25">
      <c r="A12928" s="1" t="str">
        <f>HYPERLINK("http://www.rosaceae.org/Prunus/Prunus_persica/p.persica_gdr_reftransV1_0020742","p.persica_gdr_reftransV1_0020742")</f>
        <v>p.persica_gdr_reftransV1_0020742</v>
      </c>
      <c r="B12928" s="3">
        <v>755</v>
      </c>
      <c r="C12928" s="1" t="str">
        <f>HYPERLINK("http://www.uniprot.org/uniprot/SC61B_ARATH","SC61B_ARATH")</f>
        <v>SC61B_ARATH</v>
      </c>
      <c r="D12928" t="s">
        <v>1773</v>
      </c>
      <c r="E12928" s="3" t="s">
        <v>3</v>
      </c>
      <c r="F12928" s="4">
        <v>6.3199999999999997E-17</v>
      </c>
      <c r="G12928" s="3">
        <v>190</v>
      </c>
      <c r="H12928" s="3">
        <v>62</v>
      </c>
      <c r="I12928" s="3">
        <v>82</v>
      </c>
      <c r="J12928" s="3">
        <v>355</v>
      </c>
      <c r="K12928" s="3">
        <v>597</v>
      </c>
      <c r="L12928" s="3">
        <v>3</v>
      </c>
      <c r="M12928" s="3">
        <v>79</v>
      </c>
    </row>
    <row r="12929" spans="1:13" x14ac:dyDescent="0.25">
      <c r="A12929" s="1" t="str">
        <f>HYPERLINK("http://www.rosaceae.org/Prunus/Prunus_persica/p.persica_gdr_reftransV1_0020892","p.persica_gdr_reftransV1_0020892")</f>
        <v>p.persica_gdr_reftransV1_0020892</v>
      </c>
      <c r="B12929" s="3">
        <v>2552</v>
      </c>
      <c r="C12929" s="1" t="str">
        <f>HYPERLINK("http://www.uniprot.org/uniprot/GSHRP_TOBAC","GSHRP_TOBAC")</f>
        <v>GSHRP_TOBAC</v>
      </c>
      <c r="D12929" t="s">
        <v>8807</v>
      </c>
      <c r="E12929" s="3" t="s">
        <v>200</v>
      </c>
      <c r="F12929" s="4">
        <v>0</v>
      </c>
      <c r="G12929" s="3">
        <v>1701</v>
      </c>
      <c r="H12929" s="3">
        <v>76</v>
      </c>
      <c r="I12929" s="3">
        <v>430</v>
      </c>
      <c r="J12929" s="3">
        <v>1198</v>
      </c>
      <c r="K12929" s="3">
        <v>2478</v>
      </c>
      <c r="L12929" s="3">
        <v>1</v>
      </c>
      <c r="M12929" s="3">
        <v>430</v>
      </c>
    </row>
    <row r="12930" spans="1:13" x14ac:dyDescent="0.25">
      <c r="A12930" s="1" t="str">
        <f>HYPERLINK("http://www.rosaceae.org/Prunus/Prunus_persica/p.persica_gdr_reftransV1_0020992","p.persica_gdr_reftransV1_0020992")</f>
        <v>p.persica_gdr_reftransV1_0020992</v>
      </c>
      <c r="B12930" s="3">
        <v>2000</v>
      </c>
      <c r="C12930" s="1" t="str">
        <f>HYPERLINK("http://www.uniprot.org/uniprot/LEA14_SOYBN","LEA14_SOYBN")</f>
        <v>LEA14_SOYBN</v>
      </c>
      <c r="D12930" t="s">
        <v>8222</v>
      </c>
      <c r="E12930" s="3" t="s">
        <v>307</v>
      </c>
      <c r="F12930" s="4">
        <v>4.34E-17</v>
      </c>
      <c r="G12930" s="3">
        <v>206</v>
      </c>
      <c r="H12930" s="3">
        <v>29</v>
      </c>
      <c r="I12930" s="3">
        <v>153</v>
      </c>
      <c r="J12930" s="3">
        <v>1200</v>
      </c>
      <c r="K12930" s="3">
        <v>1658</v>
      </c>
      <c r="L12930" s="3">
        <v>4</v>
      </c>
      <c r="M12930" s="3">
        <v>150</v>
      </c>
    </row>
    <row r="12931" spans="1:13" x14ac:dyDescent="0.25">
      <c r="A12931" s="1" t="str">
        <f>HYPERLINK("http://www.rosaceae.org/Prunus/Prunus_persica/p.persica_gdr_reftransV1_0021142","p.persica_gdr_reftransV1_0021142")</f>
        <v>p.persica_gdr_reftransV1_0021142</v>
      </c>
      <c r="B12931" s="3">
        <v>943</v>
      </c>
      <c r="C12931" s="1" t="str">
        <f>HYPERLINK("http://www.uniprot.org/uniprot/PAE10_ARATH","PAE10_ARATH")</f>
        <v>PAE10_ARATH</v>
      </c>
      <c r="D12931" t="s">
        <v>3038</v>
      </c>
      <c r="E12931" s="3" t="s">
        <v>3</v>
      </c>
      <c r="F12931" s="4">
        <v>2.66E-70</v>
      </c>
      <c r="G12931" s="3">
        <v>587</v>
      </c>
      <c r="H12931" s="3">
        <v>62</v>
      </c>
      <c r="I12931" s="3">
        <v>189</v>
      </c>
      <c r="J12931" s="3">
        <v>1</v>
      </c>
      <c r="K12931" s="3">
        <v>552</v>
      </c>
      <c r="L12931" s="3">
        <v>1</v>
      </c>
      <c r="M12931" s="3">
        <v>187</v>
      </c>
    </row>
    <row r="12932" spans="1:13" x14ac:dyDescent="0.25">
      <c r="A12932" s="1" t="str">
        <f>HYPERLINK("http://www.rosaceae.org/Prunus/Prunus_persica/p.persica_gdr_reftransV1_0021192","p.persica_gdr_reftransV1_0021192")</f>
        <v>p.persica_gdr_reftransV1_0021192</v>
      </c>
      <c r="B12932" s="3">
        <v>1735</v>
      </c>
      <c r="C12932" s="1" t="str">
        <f>HYPERLINK("http://www.uniprot.org/uniprot/MHCKB_DICDI","MHCKB_DICDI")</f>
        <v>MHCKB_DICDI</v>
      </c>
      <c r="D12932" t="s">
        <v>8808</v>
      </c>
      <c r="E12932" s="3" t="s">
        <v>9</v>
      </c>
      <c r="F12932" s="4">
        <v>2.5700000000000002E-21</v>
      </c>
      <c r="G12932" s="3">
        <v>253</v>
      </c>
      <c r="H12932" s="3">
        <v>34</v>
      </c>
      <c r="I12932" s="3">
        <v>183</v>
      </c>
      <c r="J12932" s="3">
        <v>397</v>
      </c>
      <c r="K12932" s="3">
        <v>945</v>
      </c>
      <c r="L12932" s="3">
        <v>501</v>
      </c>
      <c r="M12932" s="3">
        <v>669</v>
      </c>
    </row>
    <row r="12933" spans="1:13" x14ac:dyDescent="0.25">
      <c r="A12933" s="1" t="str">
        <f>HYPERLINK("http://www.rosaceae.org/Prunus/Prunus_persica/p.persica_gdr_reftransV1_0021642","p.persica_gdr_reftransV1_0021642")</f>
        <v>p.persica_gdr_reftransV1_0021642</v>
      </c>
      <c r="B12933" s="3">
        <v>1909</v>
      </c>
      <c r="C12933" s="1" t="str">
        <f>HYPERLINK("http://www.uniprot.org/uniprot/ACY1_PIG","ACY1_PIG")</f>
        <v>ACY1_PIG</v>
      </c>
      <c r="D12933" t="s">
        <v>8809</v>
      </c>
      <c r="E12933" s="3" t="s">
        <v>1126</v>
      </c>
      <c r="F12933" s="4">
        <v>1.5099999999999999E-93</v>
      </c>
      <c r="G12933" s="3">
        <v>770</v>
      </c>
      <c r="H12933" s="3">
        <v>42</v>
      </c>
      <c r="I12933" s="3">
        <v>404</v>
      </c>
      <c r="J12933" s="3">
        <v>459</v>
      </c>
      <c r="K12933" s="3">
        <v>1667</v>
      </c>
      <c r="L12933" s="3">
        <v>13</v>
      </c>
      <c r="M12933" s="3">
        <v>400</v>
      </c>
    </row>
    <row r="12934" spans="1:13" x14ac:dyDescent="0.25">
      <c r="A12934" s="1" t="str">
        <f>HYPERLINK("http://www.rosaceae.org/Prunus/Prunus_persica/p.persica_gdr_reftransV1_0021692","p.persica_gdr_reftransV1_0021692")</f>
        <v>p.persica_gdr_reftransV1_0021692</v>
      </c>
      <c r="B12934" s="3">
        <v>921</v>
      </c>
      <c r="C12934" s="1" t="str">
        <f>HYPERLINK("http://www.uniprot.org/uniprot/RH24_ORYSJ","RH24_ORYSJ")</f>
        <v>RH24_ORYSJ</v>
      </c>
      <c r="D12934" t="s">
        <v>8810</v>
      </c>
      <c r="E12934" s="3" t="s">
        <v>38</v>
      </c>
      <c r="F12934" s="4">
        <v>7.8499999999999999E-13</v>
      </c>
      <c r="G12934" s="3">
        <v>176</v>
      </c>
      <c r="H12934" s="3">
        <v>49</v>
      </c>
      <c r="I12934" s="3">
        <v>111</v>
      </c>
      <c r="J12934" s="3">
        <v>71</v>
      </c>
      <c r="K12934" s="3">
        <v>391</v>
      </c>
      <c r="L12934" s="3">
        <v>645</v>
      </c>
      <c r="M12934" s="3">
        <v>748</v>
      </c>
    </row>
    <row r="12935" spans="1:13" x14ac:dyDescent="0.25">
      <c r="A12935" s="1" t="str">
        <f>HYPERLINK("http://www.rosaceae.org/Prunus/Prunus_persica/p.persica_gdr_reftransV1_0021892","p.persica_gdr_reftransV1_0021892")</f>
        <v>p.persica_gdr_reftransV1_0021892</v>
      </c>
      <c r="B12935" s="3">
        <v>1600</v>
      </c>
      <c r="C12935" s="1" t="str">
        <f>HYPERLINK("http://www.uniprot.org/uniprot/YCF2_MORIN","YCF2_MORIN")</f>
        <v>YCF2_MORIN</v>
      </c>
      <c r="D12935" t="s">
        <v>531</v>
      </c>
      <c r="E12935" s="3" t="s">
        <v>69</v>
      </c>
      <c r="F12935" s="4">
        <v>0</v>
      </c>
      <c r="G12935" s="3">
        <v>2325</v>
      </c>
      <c r="H12935" s="3">
        <v>94</v>
      </c>
      <c r="I12935" s="3">
        <v>507</v>
      </c>
      <c r="J12935" s="3">
        <v>87</v>
      </c>
      <c r="K12935" s="3">
        <v>1598</v>
      </c>
      <c r="L12935" s="3">
        <v>1175</v>
      </c>
      <c r="M12935" s="3">
        <v>1681</v>
      </c>
    </row>
    <row r="12936" spans="1:13" x14ac:dyDescent="0.25">
      <c r="A12936" s="1" t="str">
        <f>HYPERLINK("http://www.rosaceae.org/Prunus/Prunus_persica/p.persica_gdr_reftransV1_0022092","p.persica_gdr_reftransV1_0022092")</f>
        <v>p.persica_gdr_reftransV1_0022092</v>
      </c>
      <c r="B12936" s="3">
        <v>950</v>
      </c>
      <c r="C12936" s="1" t="str">
        <f>HYPERLINK("http://www.uniprot.org/uniprot/RTNLI_ARATH","RTNLI_ARATH")</f>
        <v>RTNLI_ARATH</v>
      </c>
      <c r="D12936" t="s">
        <v>8811</v>
      </c>
      <c r="E12936" s="3" t="s">
        <v>3</v>
      </c>
      <c r="F12936" s="4">
        <v>2.6299999999999999E-86</v>
      </c>
      <c r="G12936" s="3">
        <v>678</v>
      </c>
      <c r="H12936" s="3">
        <v>55</v>
      </c>
      <c r="I12936" s="3">
        <v>215</v>
      </c>
      <c r="J12936" s="3">
        <v>96</v>
      </c>
      <c r="K12936" s="3">
        <v>740</v>
      </c>
      <c r="L12936" s="3">
        <v>8</v>
      </c>
      <c r="M12936" s="3">
        <v>222</v>
      </c>
    </row>
    <row r="12937" spans="1:13" x14ac:dyDescent="0.25">
      <c r="A12937" s="1" t="str">
        <f>HYPERLINK("http://www.rosaceae.org/Prunus/Prunus_persica/p.persica_gdr_reftransV1_0022142","p.persica_gdr_reftransV1_0022142")</f>
        <v>p.persica_gdr_reftransV1_0022142</v>
      </c>
      <c r="B12937" s="3">
        <v>3569</v>
      </c>
      <c r="C12937" s="1" t="str">
        <f>HYPERLINK("http://www.uniprot.org/uniprot/YLS8_ARATH","YLS8_ARATH")</f>
        <v>YLS8_ARATH</v>
      </c>
      <c r="D12937" t="s">
        <v>3393</v>
      </c>
      <c r="E12937" s="3" t="s">
        <v>3</v>
      </c>
      <c r="F12937" s="4">
        <v>1.5300000000000001E-60</v>
      </c>
      <c r="G12937" s="3">
        <v>532</v>
      </c>
      <c r="H12937" s="3">
        <v>97</v>
      </c>
      <c r="I12937" s="3">
        <v>102</v>
      </c>
      <c r="J12937" s="3">
        <v>920</v>
      </c>
      <c r="K12937" s="3">
        <v>1225</v>
      </c>
      <c r="L12937" s="3">
        <v>41</v>
      </c>
      <c r="M12937" s="3">
        <v>142</v>
      </c>
    </row>
    <row r="12938" spans="1:13" x14ac:dyDescent="0.25">
      <c r="A12938" s="1" t="str">
        <f>HYPERLINK("http://www.rosaceae.org/Prunus/Prunus_persica/p.persica_gdr_reftransV1_0022392","p.persica_gdr_reftransV1_0022392")</f>
        <v>p.persica_gdr_reftransV1_0022392</v>
      </c>
      <c r="B12938" s="3">
        <v>577</v>
      </c>
      <c r="C12938" s="1" t="str">
        <f>HYPERLINK("http://www.uniprot.org/uniprot/KPSS1_ORYSJ","KPSS1_ORYSJ")</f>
        <v>KPSS1_ORYSJ</v>
      </c>
      <c r="D12938" t="s">
        <v>8812</v>
      </c>
      <c r="E12938" s="3" t="s">
        <v>38</v>
      </c>
      <c r="F12938" s="4">
        <v>3.0599999999999999E-62</v>
      </c>
      <c r="G12938" s="3">
        <v>524</v>
      </c>
      <c r="H12938" s="3">
        <v>65</v>
      </c>
      <c r="I12938" s="3">
        <v>147</v>
      </c>
      <c r="J12938" s="3">
        <v>68</v>
      </c>
      <c r="K12938" s="3">
        <v>508</v>
      </c>
      <c r="L12938" s="3">
        <v>1</v>
      </c>
      <c r="M12938" s="3">
        <v>147</v>
      </c>
    </row>
    <row r="12939" spans="1:13" x14ac:dyDescent="0.25">
      <c r="A12939" s="1" t="str">
        <f>HYPERLINK("http://www.rosaceae.org/Prunus/Prunus_persica/p.persica_gdr_reftransV1_0022642","p.persica_gdr_reftransV1_0022642")</f>
        <v>p.persica_gdr_reftransV1_0022642</v>
      </c>
      <c r="B12939" s="3">
        <v>2537</v>
      </c>
      <c r="C12939" s="1" t="str">
        <f>HYPERLINK("http://www.uniprot.org/uniprot/DDI1_PHANO","DDI1_PHANO")</f>
        <v>DDI1_PHANO</v>
      </c>
      <c r="D12939" t="s">
        <v>8813</v>
      </c>
      <c r="E12939" s="3" t="s">
        <v>8814</v>
      </c>
      <c r="F12939" s="4">
        <v>2.3599999999999998E-62</v>
      </c>
      <c r="G12939" s="3">
        <v>565</v>
      </c>
      <c r="H12939" s="3">
        <v>40</v>
      </c>
      <c r="I12939" s="3">
        <v>298</v>
      </c>
      <c r="J12939" s="3">
        <v>208</v>
      </c>
      <c r="K12939" s="3">
        <v>1095</v>
      </c>
      <c r="L12939" s="3">
        <v>15</v>
      </c>
      <c r="M12939" s="3">
        <v>310</v>
      </c>
    </row>
    <row r="12940" spans="1:13" x14ac:dyDescent="0.25">
      <c r="A12940" s="1" t="str">
        <f>HYPERLINK("http://www.rosaceae.org/Prunus/Prunus_persica/p.persica_gdr_reftransV1_0022942","p.persica_gdr_reftransV1_0022942")</f>
        <v>p.persica_gdr_reftransV1_0022942</v>
      </c>
      <c r="B12940" s="3">
        <v>2719</v>
      </c>
      <c r="C12940" s="1" t="str">
        <f>HYPERLINK("http://www.uniprot.org/uniprot/SSY1_SOLTU","SSY1_SOLTU")</f>
        <v>SSY1_SOLTU</v>
      </c>
      <c r="D12940" t="s">
        <v>8815</v>
      </c>
      <c r="E12940" s="3" t="s">
        <v>11</v>
      </c>
      <c r="F12940" s="4">
        <v>0</v>
      </c>
      <c r="G12940" s="3">
        <v>2306</v>
      </c>
      <c r="H12940" s="3">
        <v>71</v>
      </c>
      <c r="I12940" s="3">
        <v>614</v>
      </c>
      <c r="J12940" s="3">
        <v>554</v>
      </c>
      <c r="K12940" s="3">
        <v>2389</v>
      </c>
      <c r="L12940" s="3">
        <v>34</v>
      </c>
      <c r="M12940" s="3">
        <v>640</v>
      </c>
    </row>
    <row r="12941" spans="1:13" x14ac:dyDescent="0.25">
      <c r="A12941" s="1" t="str">
        <f>HYPERLINK("http://www.rosaceae.org/Prunus/Prunus_persica/p.persica_gdr_reftransV1_0022992","p.persica_gdr_reftransV1_0022992")</f>
        <v>p.persica_gdr_reftransV1_0022992</v>
      </c>
      <c r="B12941" s="3">
        <v>860</v>
      </c>
      <c r="C12941" s="1" t="str">
        <f>HYPERLINK("http://www.uniprot.org/uniprot/RS23_FRAAN","RS23_FRAAN")</f>
        <v>RS23_FRAAN</v>
      </c>
      <c r="D12941" t="s">
        <v>8816</v>
      </c>
      <c r="E12941" s="3" t="s">
        <v>15</v>
      </c>
      <c r="F12941" s="4">
        <v>2.8999999999999999E-96</v>
      </c>
      <c r="G12941" s="3">
        <v>733</v>
      </c>
      <c r="H12941" s="3">
        <v>99</v>
      </c>
      <c r="I12941" s="3">
        <v>141</v>
      </c>
      <c r="J12941" s="3">
        <v>88</v>
      </c>
      <c r="K12941" s="3">
        <v>510</v>
      </c>
      <c r="L12941" s="3">
        <v>1</v>
      </c>
      <c r="M12941" s="3">
        <v>141</v>
      </c>
    </row>
    <row r="12942" spans="1:13" x14ac:dyDescent="0.25">
      <c r="A12942" s="1" t="str">
        <f>HYPERLINK("http://www.rosaceae.org/Prunus/Prunus_persica/p.persica_gdr_reftransV1_0023292","p.persica_gdr_reftransV1_0023292")</f>
        <v>p.persica_gdr_reftransV1_0023292</v>
      </c>
      <c r="B12942" s="3">
        <v>6966</v>
      </c>
      <c r="C12942" s="1" t="str">
        <f>HYPERLINK("http://www.uniprot.org/uniprot/UMPS_TOBAC","UMPS_TOBAC")</f>
        <v>UMPS_TOBAC</v>
      </c>
      <c r="D12942" t="s">
        <v>8817</v>
      </c>
      <c r="E12942" s="3" t="s">
        <v>200</v>
      </c>
      <c r="F12942" s="4">
        <v>0</v>
      </c>
      <c r="G12942" s="3">
        <v>1936</v>
      </c>
      <c r="H12942" s="3">
        <v>81</v>
      </c>
      <c r="I12942" s="3">
        <v>464</v>
      </c>
      <c r="J12942" s="3">
        <v>277</v>
      </c>
      <c r="K12942" s="3">
        <v>1668</v>
      </c>
      <c r="L12942" s="3">
        <v>1</v>
      </c>
      <c r="M12942" s="3">
        <v>460</v>
      </c>
    </row>
    <row r="12943" spans="1:13" x14ac:dyDescent="0.25">
      <c r="A12943" s="1" t="str">
        <f>HYPERLINK("http://www.rosaceae.org/Prunus/Prunus_persica/p.persica_gdr_reftransV1_0023442","p.persica_gdr_reftransV1_0023442")</f>
        <v>p.persica_gdr_reftransV1_0023442</v>
      </c>
      <c r="B12943" s="3">
        <v>2151</v>
      </c>
      <c r="C12943" s="1" t="str">
        <f>HYPERLINK("http://www.uniprot.org/uniprot/VP282_ARATH","VP282_ARATH")</f>
        <v>VP282_ARATH</v>
      </c>
      <c r="D12943" t="s">
        <v>8818</v>
      </c>
      <c r="E12943" s="3" t="s">
        <v>3</v>
      </c>
      <c r="F12943" s="4">
        <v>7.7100000000000001E-102</v>
      </c>
      <c r="G12943" s="3">
        <v>813</v>
      </c>
      <c r="H12943" s="3">
        <v>80</v>
      </c>
      <c r="I12943" s="3">
        <v>208</v>
      </c>
      <c r="J12943" s="3">
        <v>1199</v>
      </c>
      <c r="K12943" s="3">
        <v>1822</v>
      </c>
      <c r="L12943" s="3">
        <v>2</v>
      </c>
      <c r="M12943" s="3">
        <v>209</v>
      </c>
    </row>
    <row r="12944" spans="1:13" x14ac:dyDescent="0.25">
      <c r="A12944" s="1" t="str">
        <f>HYPERLINK("http://www.rosaceae.org/Prunus/Prunus_persica/p.persica_gdr_reftransV1_0023692","p.persica_gdr_reftransV1_0023692")</f>
        <v>p.persica_gdr_reftransV1_0023692</v>
      </c>
      <c r="B12944" s="3">
        <v>1498</v>
      </c>
      <c r="C12944" s="1" t="str">
        <f>HYPERLINK("http://www.uniprot.org/uniprot/RGA3_SOLBU","RGA3_SOLBU")</f>
        <v>RGA3_SOLBU</v>
      </c>
      <c r="D12944" t="s">
        <v>1884</v>
      </c>
      <c r="E12944" s="3" t="s">
        <v>560</v>
      </c>
      <c r="F12944" s="4">
        <v>1.4000000000000001E-73</v>
      </c>
      <c r="G12944" s="3">
        <v>654</v>
      </c>
      <c r="H12944" s="3">
        <v>36</v>
      </c>
      <c r="I12944" s="3">
        <v>459</v>
      </c>
      <c r="J12944" s="3">
        <v>16</v>
      </c>
      <c r="K12944" s="3">
        <v>1374</v>
      </c>
      <c r="L12944" s="3">
        <v>6</v>
      </c>
      <c r="M12944" s="3">
        <v>433</v>
      </c>
    </row>
    <row r="12945" spans="1:13" x14ac:dyDescent="0.25">
      <c r="A12945" s="1" t="str">
        <f>HYPERLINK("http://www.rosaceae.org/Prunus/Prunus_persica/p.persica_gdr_reftransV1_0023892","p.persica_gdr_reftransV1_0023892")</f>
        <v>p.persica_gdr_reftransV1_0023892</v>
      </c>
      <c r="B12945" s="3">
        <v>767</v>
      </c>
      <c r="C12945" s="1" t="str">
        <f>HYPERLINK("http://www.uniprot.org/uniprot/HMGCL_ARATH","HMGCL_ARATH")</f>
        <v>HMGCL_ARATH</v>
      </c>
      <c r="D12945" t="s">
        <v>3047</v>
      </c>
      <c r="E12945" s="3" t="s">
        <v>3</v>
      </c>
      <c r="F12945" s="4">
        <v>1.9699999999999998E-43</v>
      </c>
      <c r="G12945" s="3">
        <v>400</v>
      </c>
      <c r="H12945" s="3">
        <v>56</v>
      </c>
      <c r="I12945" s="3">
        <v>163</v>
      </c>
      <c r="J12945" s="3">
        <v>284</v>
      </c>
      <c r="K12945" s="3">
        <v>760</v>
      </c>
      <c r="L12945" s="3">
        <v>25</v>
      </c>
      <c r="M12945" s="3">
        <v>186</v>
      </c>
    </row>
    <row r="12946" spans="1:13" x14ac:dyDescent="0.25">
      <c r="A12946" s="1" t="str">
        <f>HYPERLINK("http://www.rosaceae.org/Prunus/Prunus_persica/p.persica_gdr_reftransV1_0023942","p.persica_gdr_reftransV1_0023942")</f>
        <v>p.persica_gdr_reftransV1_0023942</v>
      </c>
      <c r="B12946" s="3">
        <v>1071</v>
      </c>
      <c r="C12946" s="1" t="str">
        <f>HYPERLINK("http://www.uniprot.org/uniprot/RPB7_SOYBN","RPB7_SOYBN")</f>
        <v>RPB7_SOYBN</v>
      </c>
      <c r="D12946" t="s">
        <v>8819</v>
      </c>
      <c r="E12946" s="3" t="s">
        <v>307</v>
      </c>
      <c r="F12946" s="4">
        <v>4.8499999999999996E-121</v>
      </c>
      <c r="G12946" s="3">
        <v>907</v>
      </c>
      <c r="H12946" s="3">
        <v>96</v>
      </c>
      <c r="I12946" s="3">
        <v>176</v>
      </c>
      <c r="J12946" s="3">
        <v>202</v>
      </c>
      <c r="K12946" s="3">
        <v>729</v>
      </c>
      <c r="L12946" s="3">
        <v>1</v>
      </c>
      <c r="M12946" s="3">
        <v>176</v>
      </c>
    </row>
    <row r="12947" spans="1:13" x14ac:dyDescent="0.25">
      <c r="A12947" s="1" t="str">
        <f>HYPERLINK("http://www.rosaceae.org/Prunus/Prunus_persica/p.persica_gdr_reftransV1_0024192","p.persica_gdr_reftransV1_0024192")</f>
        <v>p.persica_gdr_reftransV1_0024192</v>
      </c>
      <c r="B12947" s="3">
        <v>3659</v>
      </c>
      <c r="C12947" s="1" t="str">
        <f>HYPERLINK("http://www.uniprot.org/uniprot/CLPC_PEA","CLPC_PEA")</f>
        <v>CLPC_PEA</v>
      </c>
      <c r="D12947" t="s">
        <v>8820</v>
      </c>
      <c r="E12947" s="3" t="s">
        <v>60</v>
      </c>
      <c r="F12947" s="4">
        <v>0</v>
      </c>
      <c r="G12947" s="3">
        <v>3957</v>
      </c>
      <c r="H12947" s="3">
        <v>90</v>
      </c>
      <c r="I12947" s="3">
        <v>922</v>
      </c>
      <c r="J12947" s="3">
        <v>414</v>
      </c>
      <c r="K12947" s="3">
        <v>3176</v>
      </c>
      <c r="L12947" s="3">
        <v>1</v>
      </c>
      <c r="M12947" s="3">
        <v>922</v>
      </c>
    </row>
    <row r="12948" spans="1:13" x14ac:dyDescent="0.25">
      <c r="A12948" s="1" t="str">
        <f>HYPERLINK("http://www.rosaceae.org/Prunus/Prunus_persica/p.persica_gdr_reftransV1_0024342","p.persica_gdr_reftransV1_0024342")</f>
        <v>p.persica_gdr_reftransV1_0024342</v>
      </c>
      <c r="B12948" s="3">
        <v>3122</v>
      </c>
      <c r="C12948" s="1" t="str">
        <f>HYPERLINK("http://www.uniprot.org/uniprot/TOC90_ARATH","TOC90_ARATH")</f>
        <v>TOC90_ARATH</v>
      </c>
      <c r="D12948" t="s">
        <v>8821</v>
      </c>
      <c r="E12948" s="3" t="s">
        <v>3</v>
      </c>
      <c r="F12948" s="4">
        <v>0</v>
      </c>
      <c r="G12948" s="3">
        <v>2163</v>
      </c>
      <c r="H12948" s="3">
        <v>58</v>
      </c>
      <c r="I12948" s="3">
        <v>787</v>
      </c>
      <c r="J12948" s="3">
        <v>532</v>
      </c>
      <c r="K12948" s="3">
        <v>2886</v>
      </c>
      <c r="L12948" s="3">
        <v>1</v>
      </c>
      <c r="M12948" s="3">
        <v>773</v>
      </c>
    </row>
    <row r="12949" spans="1:13" x14ac:dyDescent="0.25">
      <c r="A12949" s="1" t="str">
        <f>HYPERLINK("http://www.rosaceae.org/Prunus/Prunus_persica/p.persica_gdr_reftransV1_0024392","p.persica_gdr_reftransV1_0024392")</f>
        <v>p.persica_gdr_reftransV1_0024392</v>
      </c>
      <c r="B12949" s="3">
        <v>2415</v>
      </c>
      <c r="C12949" s="1" t="str">
        <f>HYPERLINK("http://www.uniprot.org/uniprot/KPRS3_SPIOL","KPRS3_SPIOL")</f>
        <v>KPRS3_SPIOL</v>
      </c>
      <c r="D12949" t="s">
        <v>8822</v>
      </c>
      <c r="E12949" s="3" t="s">
        <v>131</v>
      </c>
      <c r="F12949" s="4">
        <v>1.59E-145</v>
      </c>
      <c r="G12949" s="3">
        <v>1133</v>
      </c>
      <c r="H12949" s="3">
        <v>75</v>
      </c>
      <c r="I12949" s="3">
        <v>291</v>
      </c>
      <c r="J12949" s="3">
        <v>1358</v>
      </c>
      <c r="K12949" s="3">
        <v>2215</v>
      </c>
      <c r="L12949" s="3">
        <v>42</v>
      </c>
      <c r="M12949" s="3">
        <v>329</v>
      </c>
    </row>
    <row r="12950" spans="1:13" x14ac:dyDescent="0.25">
      <c r="A12950" s="1" t="str">
        <f>HYPERLINK("http://www.rosaceae.org/Prunus/Prunus_persica/p.persica_gdr_reftransV1_0024542","p.persica_gdr_reftransV1_0024542")</f>
        <v>p.persica_gdr_reftransV1_0024542</v>
      </c>
      <c r="B12950" s="3">
        <v>4602</v>
      </c>
      <c r="C12950" s="1" t="str">
        <f>HYPERLINK("http://www.uniprot.org/uniprot/SMG8_HUMAN","SMG8_HUMAN")</f>
        <v>SMG8_HUMAN</v>
      </c>
      <c r="D12950" t="s">
        <v>8823</v>
      </c>
      <c r="E12950" s="3" t="s">
        <v>28</v>
      </c>
      <c r="F12950" s="4">
        <v>2.5800000000000001E-22</v>
      </c>
      <c r="G12950" s="3">
        <v>270</v>
      </c>
      <c r="H12950" s="3">
        <v>30</v>
      </c>
      <c r="I12950" s="3">
        <v>213</v>
      </c>
      <c r="J12950" s="3">
        <v>1567</v>
      </c>
      <c r="K12950" s="3">
        <v>2193</v>
      </c>
      <c r="L12950" s="3">
        <v>441</v>
      </c>
      <c r="M12950" s="3">
        <v>633</v>
      </c>
    </row>
    <row r="12951" spans="1:13" x14ac:dyDescent="0.25">
      <c r="A12951" s="1" t="str">
        <f>HYPERLINK("http://www.rosaceae.org/Prunus/Prunus_persica/p.persica_gdr_reftransV1_0024592","p.persica_gdr_reftransV1_0024592")</f>
        <v>p.persica_gdr_reftransV1_0024592</v>
      </c>
      <c r="B12951" s="3">
        <v>2460</v>
      </c>
      <c r="C12951" s="1" t="str">
        <f>HYPERLINK("http://www.uniprot.org/uniprot/PP176_ARATH","PP176_ARATH")</f>
        <v>PP176_ARATH</v>
      </c>
      <c r="D12951" t="s">
        <v>8824</v>
      </c>
      <c r="E12951" s="3" t="s">
        <v>3</v>
      </c>
      <c r="F12951" s="4">
        <v>0</v>
      </c>
      <c r="G12951" s="3">
        <v>1380</v>
      </c>
      <c r="H12951" s="3">
        <v>61</v>
      </c>
      <c r="I12951" s="3">
        <v>510</v>
      </c>
      <c r="J12951" s="3">
        <v>421</v>
      </c>
      <c r="K12951" s="3">
        <v>1920</v>
      </c>
      <c r="L12951" s="3">
        <v>1</v>
      </c>
      <c r="M12951" s="3">
        <v>503</v>
      </c>
    </row>
    <row r="12952" spans="1:13" x14ac:dyDescent="0.25">
      <c r="A12952" s="1" t="str">
        <f>HYPERLINK("http://www.rosaceae.org/Prunus/Prunus_persica/p.persica_gdr_reftransV1_0024642","p.persica_gdr_reftransV1_0024642")</f>
        <v>p.persica_gdr_reftransV1_0024642</v>
      </c>
      <c r="B12952" s="3">
        <v>322</v>
      </c>
      <c r="C12952" s="1" t="str">
        <f>HYPERLINK("http://www.uniprot.org/uniprot/UGT2_GARJA","UGT2_GARJA")</f>
        <v>UGT2_GARJA</v>
      </c>
      <c r="D12952" t="s">
        <v>927</v>
      </c>
      <c r="E12952" s="3" t="s">
        <v>624</v>
      </c>
      <c r="F12952" s="4">
        <v>4.3099999999999999E-58</v>
      </c>
      <c r="G12952" s="3">
        <v>486</v>
      </c>
      <c r="H12952" s="3">
        <v>80</v>
      </c>
      <c r="I12952" s="3">
        <v>106</v>
      </c>
      <c r="J12952" s="3">
        <v>1</v>
      </c>
      <c r="K12952" s="3">
        <v>318</v>
      </c>
      <c r="L12952" s="3">
        <v>284</v>
      </c>
      <c r="M12952" s="3">
        <v>389</v>
      </c>
    </row>
    <row r="12953" spans="1:13" x14ac:dyDescent="0.25">
      <c r="A12953" s="1" t="str">
        <f>HYPERLINK("http://www.rosaceae.org/Prunus/Prunus_persica/p.persica_gdr_reftransV1_0024792","p.persica_gdr_reftransV1_0024792")</f>
        <v>p.persica_gdr_reftransV1_0024792</v>
      </c>
      <c r="B12953" s="3">
        <v>4932</v>
      </c>
      <c r="C12953" s="1" t="str">
        <f>HYPERLINK("http://www.uniprot.org/uniprot/CLCD_ARATH","CLCD_ARATH")</f>
        <v>CLCD_ARATH</v>
      </c>
      <c r="D12953" t="s">
        <v>52</v>
      </c>
      <c r="E12953" s="3" t="s">
        <v>3</v>
      </c>
      <c r="F12953" s="4">
        <v>0</v>
      </c>
      <c r="G12953" s="3">
        <v>2108</v>
      </c>
      <c r="H12953" s="3">
        <v>86</v>
      </c>
      <c r="I12953" s="3">
        <v>508</v>
      </c>
      <c r="J12953" s="3">
        <v>1991</v>
      </c>
      <c r="K12953" s="3">
        <v>3508</v>
      </c>
      <c r="L12953" s="3">
        <v>264</v>
      </c>
      <c r="M12953" s="3">
        <v>770</v>
      </c>
    </row>
    <row r="12954" spans="1:13" x14ac:dyDescent="0.25">
      <c r="A12954" s="1" t="str">
        <f>HYPERLINK("http://www.rosaceae.org/Prunus/Prunus_persica/p.persica_gdr_reftransV1_0025192","p.persica_gdr_reftransV1_0025192")</f>
        <v>p.persica_gdr_reftransV1_0025192</v>
      </c>
      <c r="B12954" s="3">
        <v>2046</v>
      </c>
      <c r="C12954" s="1" t="str">
        <f>HYPERLINK("http://www.uniprot.org/uniprot/CDC1_YEAST","CDC1_YEAST")</f>
        <v>CDC1_YEAST</v>
      </c>
      <c r="D12954" t="s">
        <v>8825</v>
      </c>
      <c r="E12954" s="3" t="s">
        <v>34</v>
      </c>
      <c r="F12954" s="4">
        <v>3.9399999999999998E-29</v>
      </c>
      <c r="G12954" s="3">
        <v>313</v>
      </c>
      <c r="H12954" s="3">
        <v>29</v>
      </c>
      <c r="I12954" s="3">
        <v>294</v>
      </c>
      <c r="J12954" s="3">
        <v>1068</v>
      </c>
      <c r="K12954" s="3">
        <v>1946</v>
      </c>
      <c r="L12954" s="3">
        <v>48</v>
      </c>
      <c r="M12954" s="3">
        <v>323</v>
      </c>
    </row>
    <row r="12955" spans="1:13" x14ac:dyDescent="0.25">
      <c r="A12955" s="1" t="str">
        <f>HYPERLINK("http://www.rosaceae.org/Prunus/Prunus_persica/p.persica_gdr_reftransV1_0025292","p.persica_gdr_reftransV1_0025292")</f>
        <v>p.persica_gdr_reftransV1_0025292</v>
      </c>
      <c r="B12955" s="3">
        <v>1710</v>
      </c>
      <c r="C12955" s="1" t="str">
        <f>HYPERLINK("http://www.uniprot.org/uniprot/RPD1_ARATH","RPD1_ARATH")</f>
        <v>RPD1_ARATH</v>
      </c>
      <c r="D12955" t="s">
        <v>1883</v>
      </c>
      <c r="E12955" s="3" t="s">
        <v>3</v>
      </c>
      <c r="F12955" s="4">
        <v>3.6299999999999997E-30</v>
      </c>
      <c r="G12955" s="3">
        <v>316</v>
      </c>
      <c r="H12955" s="3">
        <v>29</v>
      </c>
      <c r="I12955" s="3">
        <v>326</v>
      </c>
      <c r="J12955" s="3">
        <v>605</v>
      </c>
      <c r="K12955" s="3">
        <v>1543</v>
      </c>
      <c r="L12955" s="3">
        <v>47</v>
      </c>
      <c r="M12955" s="3">
        <v>366</v>
      </c>
    </row>
    <row r="12956" spans="1:13" x14ac:dyDescent="0.25">
      <c r="A12956" s="1" t="str">
        <f>HYPERLINK("http://www.rosaceae.org/Prunus/Prunus_persica/p.persica_gdr_reftransV1_0025342","p.persica_gdr_reftransV1_0025342")</f>
        <v>p.persica_gdr_reftransV1_0025342</v>
      </c>
      <c r="B12956" s="3">
        <v>5329</v>
      </c>
      <c r="C12956" s="1" t="str">
        <f>HYPERLINK("http://www.uniprot.org/uniprot/CAPPC_FLATR","CAPPC_FLATR")</f>
        <v>CAPPC_FLATR</v>
      </c>
      <c r="D12956" t="s">
        <v>8826</v>
      </c>
      <c r="E12956" s="3" t="s">
        <v>8827</v>
      </c>
      <c r="F12956" s="4">
        <v>5.0599999999999999E-176</v>
      </c>
      <c r="G12956" s="3">
        <v>1456</v>
      </c>
      <c r="H12956" s="3">
        <v>93</v>
      </c>
      <c r="I12956" s="3">
        <v>294</v>
      </c>
      <c r="J12956" s="3">
        <v>1</v>
      </c>
      <c r="K12956" s="3">
        <v>882</v>
      </c>
      <c r="L12956" s="3">
        <v>1</v>
      </c>
      <c r="M12956" s="3">
        <v>294</v>
      </c>
    </row>
    <row r="12957" spans="1:13" x14ac:dyDescent="0.25">
      <c r="A12957" s="1" t="str">
        <f>HYPERLINK("http://www.rosaceae.org/Prunus/Prunus_persica/p.persica_gdr_reftransV1_0025392","p.persica_gdr_reftransV1_0025392")</f>
        <v>p.persica_gdr_reftransV1_0025392</v>
      </c>
      <c r="B12957" s="3">
        <v>858</v>
      </c>
      <c r="C12957" s="1" t="str">
        <f>HYPERLINK("http://www.uniprot.org/uniprot/PLA1_PLAAC","PLA1_PLAAC")</f>
        <v>PLA1_PLAAC</v>
      </c>
      <c r="D12957" t="s">
        <v>3329</v>
      </c>
      <c r="E12957" s="3" t="s">
        <v>3330</v>
      </c>
      <c r="F12957" s="4">
        <v>2.0700000000000001E-44</v>
      </c>
      <c r="G12957" s="3">
        <v>390</v>
      </c>
      <c r="H12957" s="3">
        <v>49</v>
      </c>
      <c r="I12957" s="3">
        <v>177</v>
      </c>
      <c r="J12957" s="3">
        <v>191</v>
      </c>
      <c r="K12957" s="3">
        <v>721</v>
      </c>
      <c r="L12957" s="3">
        <v>4</v>
      </c>
      <c r="M12957" s="3">
        <v>179</v>
      </c>
    </row>
    <row r="12958" spans="1:13" x14ac:dyDescent="0.25">
      <c r="A12958" s="1" t="str">
        <f>HYPERLINK("http://www.rosaceae.org/Prunus/Prunus_persica/p.persica_gdr_reftransV1_0025492","p.persica_gdr_reftransV1_0025492")</f>
        <v>p.persica_gdr_reftransV1_0025492</v>
      </c>
      <c r="B12958" s="3">
        <v>2223</v>
      </c>
      <c r="C12958" s="1" t="str">
        <f>HYPERLINK("http://www.uniprot.org/uniprot/PPR91_ARATH","PPR91_ARATH")</f>
        <v>PPR91_ARATH</v>
      </c>
      <c r="D12958" t="s">
        <v>8828</v>
      </c>
      <c r="E12958" s="3" t="s">
        <v>3</v>
      </c>
      <c r="F12958" s="4">
        <v>4.9899999999999997E-103</v>
      </c>
      <c r="G12958" s="3">
        <v>861</v>
      </c>
      <c r="H12958" s="3">
        <v>35</v>
      </c>
      <c r="I12958" s="3">
        <v>576</v>
      </c>
      <c r="J12958" s="3">
        <v>325</v>
      </c>
      <c r="K12958" s="3">
        <v>2052</v>
      </c>
      <c r="L12958" s="3">
        <v>11</v>
      </c>
      <c r="M12958" s="3">
        <v>570</v>
      </c>
    </row>
    <row r="12959" spans="1:13" x14ac:dyDescent="0.25">
      <c r="A12959" s="1" t="str">
        <f>HYPERLINK("http://www.rosaceae.org/Prunus/Prunus_persica/p.persica_gdr_reftransV1_0025792","p.persica_gdr_reftransV1_0025792")</f>
        <v>p.persica_gdr_reftransV1_0025792</v>
      </c>
      <c r="B12959" s="3">
        <v>2102</v>
      </c>
      <c r="C12959" s="1" t="str">
        <f>HYPERLINK("http://www.uniprot.org/uniprot/LSD1_ARATH","LSD1_ARATH")</f>
        <v>LSD1_ARATH</v>
      </c>
      <c r="D12959" t="s">
        <v>8829</v>
      </c>
      <c r="E12959" s="3" t="s">
        <v>3</v>
      </c>
      <c r="F12959" s="4">
        <v>3.06E-61</v>
      </c>
      <c r="G12959" s="3">
        <v>531</v>
      </c>
      <c r="H12959" s="3">
        <v>67</v>
      </c>
      <c r="I12959" s="3">
        <v>176</v>
      </c>
      <c r="J12959" s="3">
        <v>418</v>
      </c>
      <c r="K12959" s="3">
        <v>903</v>
      </c>
      <c r="L12959" s="3">
        <v>4</v>
      </c>
      <c r="M12959" s="3">
        <v>179</v>
      </c>
    </row>
    <row r="12960" spans="1:13" x14ac:dyDescent="0.25">
      <c r="A12960" s="1" t="str">
        <f>HYPERLINK("http://www.rosaceae.org/Prunus/Prunus_persica/p.persica_gdr_reftransV1_0026142","p.persica_gdr_reftransV1_0026142")</f>
        <v>p.persica_gdr_reftransV1_0026142</v>
      </c>
      <c r="B12960" s="3">
        <v>1957</v>
      </c>
      <c r="C12960" s="1" t="str">
        <f>HYPERLINK("http://www.uniprot.org/uniprot/PP1_MEDSV","PP1_MEDSV")</f>
        <v>PP1_MEDSV</v>
      </c>
      <c r="D12960" t="s">
        <v>8830</v>
      </c>
      <c r="E12960" s="3" t="s">
        <v>515</v>
      </c>
      <c r="F12960" s="4">
        <v>0</v>
      </c>
      <c r="G12960" s="3">
        <v>1589</v>
      </c>
      <c r="H12960" s="3">
        <v>90</v>
      </c>
      <c r="I12960" s="3">
        <v>318</v>
      </c>
      <c r="J12960" s="3">
        <v>672</v>
      </c>
      <c r="K12960" s="3">
        <v>1625</v>
      </c>
      <c r="L12960" s="3">
        <v>1</v>
      </c>
      <c r="M12960" s="3">
        <v>318</v>
      </c>
    </row>
    <row r="12961" spans="1:13" x14ac:dyDescent="0.25">
      <c r="A12961" s="1" t="str">
        <f>HYPERLINK("http://www.rosaceae.org/Prunus/Prunus_persica/p.persica_gdr_reftransV1_0026242","p.persica_gdr_reftransV1_0026242")</f>
        <v>p.persica_gdr_reftransV1_0026242</v>
      </c>
      <c r="B12961" s="3">
        <v>2159</v>
      </c>
      <c r="C12961" s="1" t="str">
        <f>HYPERLINK("http://www.uniprot.org/uniprot/NDT1_ARATH","NDT1_ARATH")</f>
        <v>NDT1_ARATH</v>
      </c>
      <c r="D12961" t="s">
        <v>7840</v>
      </c>
      <c r="E12961" s="3" t="s">
        <v>3</v>
      </c>
      <c r="F12961" s="4">
        <v>2.0699999999999998E-108</v>
      </c>
      <c r="G12961" s="3">
        <v>868</v>
      </c>
      <c r="H12961" s="3">
        <v>83</v>
      </c>
      <c r="I12961" s="3">
        <v>216</v>
      </c>
      <c r="J12961" s="3">
        <v>954</v>
      </c>
      <c r="K12961" s="3">
        <v>1601</v>
      </c>
      <c r="L12961" s="3">
        <v>92</v>
      </c>
      <c r="M12961" s="3">
        <v>305</v>
      </c>
    </row>
    <row r="12962" spans="1:13" x14ac:dyDescent="0.25">
      <c r="A12962" s="1" t="str">
        <f>HYPERLINK("http://www.rosaceae.org/Prunus/Prunus_persica/p.persica_gdr_reftransV1_0026342","p.persica_gdr_reftransV1_0026342")</f>
        <v>p.persica_gdr_reftransV1_0026342</v>
      </c>
      <c r="B12962" s="3">
        <v>4224</v>
      </c>
      <c r="C12962" s="1" t="str">
        <f>HYPERLINK("http://www.uniprot.org/uniprot/ALA3_ARATH","ALA3_ARATH")</f>
        <v>ALA3_ARATH</v>
      </c>
      <c r="D12962" t="s">
        <v>8831</v>
      </c>
      <c r="E12962" s="3" t="s">
        <v>3</v>
      </c>
      <c r="F12962" s="4">
        <v>0</v>
      </c>
      <c r="G12962" s="3">
        <v>5029</v>
      </c>
      <c r="H12962" s="3">
        <v>79</v>
      </c>
      <c r="I12962" s="3">
        <v>1211</v>
      </c>
      <c r="J12962" s="3">
        <v>336</v>
      </c>
      <c r="K12962" s="3">
        <v>3956</v>
      </c>
      <c r="L12962" s="3">
        <v>3</v>
      </c>
      <c r="M12962" s="3">
        <v>1204</v>
      </c>
    </row>
    <row r="12963" spans="1:13" x14ac:dyDescent="0.25">
      <c r="A12963" s="1" t="str">
        <f>HYPERLINK("http://www.rosaceae.org/Prunus/Prunus_persica/p.persica_gdr_reftransV1_0026392","p.persica_gdr_reftransV1_0026392")</f>
        <v>p.persica_gdr_reftransV1_0026392</v>
      </c>
      <c r="B12963" s="3">
        <v>3267</v>
      </c>
      <c r="C12963" s="1" t="str">
        <f>HYPERLINK("http://www.uniprot.org/uniprot/VHAA3_ARATH","VHAA3_ARATH")</f>
        <v>VHAA3_ARATH</v>
      </c>
      <c r="D12963" t="s">
        <v>7746</v>
      </c>
      <c r="E12963" s="3" t="s">
        <v>3</v>
      </c>
      <c r="F12963" s="4">
        <v>0</v>
      </c>
      <c r="G12963" s="3">
        <v>3336</v>
      </c>
      <c r="H12963" s="3">
        <v>79</v>
      </c>
      <c r="I12963" s="3">
        <v>809</v>
      </c>
      <c r="J12963" s="3">
        <v>588</v>
      </c>
      <c r="K12963" s="3">
        <v>3008</v>
      </c>
      <c r="L12963" s="3">
        <v>14</v>
      </c>
      <c r="M12963" s="3">
        <v>821</v>
      </c>
    </row>
    <row r="12964" spans="1:13" x14ac:dyDescent="0.25">
      <c r="A12964" s="1" t="str">
        <f>HYPERLINK("http://www.rosaceae.org/Prunus/Prunus_persica/p.persica_gdr_reftransV1_0026492","p.persica_gdr_reftransV1_0026492")</f>
        <v>p.persica_gdr_reftransV1_0026492</v>
      </c>
      <c r="B12964" s="3">
        <v>2542</v>
      </c>
      <c r="C12964" s="1" t="str">
        <f>HYPERLINK("http://www.uniprot.org/uniprot/CALM_LILLO","CALM_LILLO")</f>
        <v>CALM_LILLO</v>
      </c>
      <c r="D12964" t="s">
        <v>3886</v>
      </c>
      <c r="E12964" s="3" t="s">
        <v>3887</v>
      </c>
      <c r="F12964" s="4">
        <v>6.9100000000000006E-77</v>
      </c>
      <c r="G12964" s="3">
        <v>643</v>
      </c>
      <c r="H12964" s="3">
        <v>100</v>
      </c>
      <c r="I12964" s="3">
        <v>124</v>
      </c>
      <c r="J12964" s="3">
        <v>1574</v>
      </c>
      <c r="K12964" s="3">
        <v>1945</v>
      </c>
      <c r="L12964" s="3">
        <v>26</v>
      </c>
      <c r="M12964" s="3">
        <v>149</v>
      </c>
    </row>
    <row r="12965" spans="1:13" x14ac:dyDescent="0.25">
      <c r="A12965" s="1" t="str">
        <f>HYPERLINK("http://www.rosaceae.org/Prunus/Prunus_persica/p.persica_gdr_reftransV1_0026742","p.persica_gdr_reftransV1_0026742")</f>
        <v>p.persica_gdr_reftransV1_0026742</v>
      </c>
      <c r="B12965" s="3">
        <v>3502</v>
      </c>
      <c r="C12965" s="1" t="str">
        <f>HYPERLINK("http://www.uniprot.org/uniprot/LIMYB_ARATH","LIMYB_ARATH")</f>
        <v>LIMYB_ARATH</v>
      </c>
      <c r="D12965" t="s">
        <v>1896</v>
      </c>
      <c r="E12965" s="3" t="s">
        <v>3</v>
      </c>
      <c r="F12965" s="4">
        <v>1.6700000000000001E-75</v>
      </c>
      <c r="G12965" s="3">
        <v>669</v>
      </c>
      <c r="H12965" s="3">
        <v>48</v>
      </c>
      <c r="I12965" s="3">
        <v>282</v>
      </c>
      <c r="J12965" s="3">
        <v>1493</v>
      </c>
      <c r="K12965" s="3">
        <v>2224</v>
      </c>
      <c r="L12965" s="3">
        <v>164</v>
      </c>
      <c r="M12965" s="3">
        <v>445</v>
      </c>
    </row>
    <row r="12966" spans="1:13" x14ac:dyDescent="0.25">
      <c r="A12966" s="1" t="str">
        <f>HYPERLINK("http://www.rosaceae.org/Prunus/Prunus_persica/p.persica_gdr_reftransV1_0027192","p.persica_gdr_reftransV1_0027192")</f>
        <v>p.persica_gdr_reftransV1_0027192</v>
      </c>
      <c r="B12966" s="3">
        <v>1070</v>
      </c>
      <c r="C12966" s="1" t="str">
        <f>HYPERLINK("http://www.uniprot.org/uniprot/CML38_ARATH","CML38_ARATH")</f>
        <v>CML38_ARATH</v>
      </c>
      <c r="D12966" t="s">
        <v>5063</v>
      </c>
      <c r="E12966" s="3" t="s">
        <v>3</v>
      </c>
      <c r="F12966" s="4">
        <v>1.11E-38</v>
      </c>
      <c r="G12966" s="3">
        <v>356</v>
      </c>
      <c r="H12966" s="3">
        <v>49</v>
      </c>
      <c r="I12966" s="3">
        <v>176</v>
      </c>
      <c r="J12966" s="3">
        <v>242</v>
      </c>
      <c r="K12966" s="3">
        <v>769</v>
      </c>
      <c r="L12966" s="3">
        <v>9</v>
      </c>
      <c r="M12966" s="3">
        <v>177</v>
      </c>
    </row>
    <row r="12967" spans="1:13" x14ac:dyDescent="0.25">
      <c r="A12967" s="1" t="str">
        <f>HYPERLINK("http://www.rosaceae.org/Prunus/Prunus_persica/p.persica_gdr_reftransV1_0027742","p.persica_gdr_reftransV1_0027742")</f>
        <v>p.persica_gdr_reftransV1_0027742</v>
      </c>
      <c r="B12967" s="3">
        <v>2157</v>
      </c>
      <c r="C12967" s="1" t="str">
        <f>HYPERLINK("http://www.uniprot.org/uniprot/PRH_PETCR","PRH_PETCR")</f>
        <v>PRH_PETCR</v>
      </c>
      <c r="D12967" t="s">
        <v>7971</v>
      </c>
      <c r="E12967" s="3" t="s">
        <v>1040</v>
      </c>
      <c r="F12967" s="4">
        <v>1.6499999999999999E-14</v>
      </c>
      <c r="G12967" s="3">
        <v>200</v>
      </c>
      <c r="H12967" s="3">
        <v>77</v>
      </c>
      <c r="I12967" s="3">
        <v>43</v>
      </c>
      <c r="J12967" s="3">
        <v>3</v>
      </c>
      <c r="K12967" s="3">
        <v>131</v>
      </c>
      <c r="L12967" s="3">
        <v>487</v>
      </c>
      <c r="M12967" s="3">
        <v>529</v>
      </c>
    </row>
    <row r="12968" spans="1:13" x14ac:dyDescent="0.25">
      <c r="A12968" s="1" t="str">
        <f>HYPERLINK("http://www.rosaceae.org/Prunus/Prunus_persica/p.persica_gdr_reftransV1_0027892","p.persica_gdr_reftransV1_0027892")</f>
        <v>p.persica_gdr_reftransV1_0027892</v>
      </c>
      <c r="B12968" s="3">
        <v>5242</v>
      </c>
      <c r="C12968" s="1" t="str">
        <f>HYPERLINK("http://www.uniprot.org/uniprot/STIP1_ARATH","STIP1_ARATH")</f>
        <v>STIP1_ARATH</v>
      </c>
      <c r="D12968" t="s">
        <v>3034</v>
      </c>
      <c r="E12968" s="3" t="s">
        <v>3</v>
      </c>
      <c r="F12968" s="4">
        <v>0</v>
      </c>
      <c r="G12968" s="3">
        <v>2263</v>
      </c>
      <c r="H12968" s="3">
        <v>54</v>
      </c>
      <c r="I12968" s="3">
        <v>892</v>
      </c>
      <c r="J12968" s="3">
        <v>2476</v>
      </c>
      <c r="K12968" s="3">
        <v>5127</v>
      </c>
      <c r="L12968" s="3">
        <v>1</v>
      </c>
      <c r="M12968" s="3">
        <v>843</v>
      </c>
    </row>
    <row r="12969" spans="1:13" x14ac:dyDescent="0.25">
      <c r="A12969" s="1" t="str">
        <f>HYPERLINK("http://www.rosaceae.org/Prunus/Prunus_persica/p.persica_gdr_reftransV1_0028192","p.persica_gdr_reftransV1_0028192")</f>
        <v>p.persica_gdr_reftransV1_0028192</v>
      </c>
      <c r="B12969" s="3">
        <v>5427</v>
      </c>
      <c r="C12969" s="1" t="str">
        <f>HYPERLINK("http://www.uniprot.org/uniprot/MIP2_ARATH","MIP2_ARATH")</f>
        <v>MIP2_ARATH</v>
      </c>
      <c r="D12969" t="s">
        <v>3040</v>
      </c>
      <c r="E12969" s="3" t="s">
        <v>3</v>
      </c>
      <c r="F12969" s="4">
        <v>0</v>
      </c>
      <c r="G12969" s="3">
        <v>3680</v>
      </c>
      <c r="H12969" s="3">
        <v>59</v>
      </c>
      <c r="I12969" s="3">
        <v>1220</v>
      </c>
      <c r="J12969" s="3">
        <v>1325</v>
      </c>
      <c r="K12969" s="3">
        <v>4957</v>
      </c>
      <c r="L12969" s="3">
        <v>247</v>
      </c>
      <c r="M12969" s="3">
        <v>1418</v>
      </c>
    </row>
    <row r="12970" spans="1:13" x14ac:dyDescent="0.25">
      <c r="A12970" s="1" t="str">
        <f>HYPERLINK("http://www.rosaceae.org/Prunus/Prunus_persica/p.persica_gdr_reftransV1_0028342","p.persica_gdr_reftransV1_0028342")</f>
        <v>p.persica_gdr_reftransV1_0028342</v>
      </c>
      <c r="B12970" s="3">
        <v>2518</v>
      </c>
      <c r="C12970" s="1" t="str">
        <f>HYPERLINK("http://www.uniprot.org/uniprot/RT4I1_MOUSE","RT4I1_MOUSE")</f>
        <v>RT4I1_MOUSE</v>
      </c>
      <c r="D12970" t="s">
        <v>3606</v>
      </c>
      <c r="E12970" s="3" t="s">
        <v>157</v>
      </c>
      <c r="F12970" s="4">
        <v>9.3000000000000006E-19</v>
      </c>
      <c r="G12970" s="3">
        <v>230</v>
      </c>
      <c r="H12970" s="3">
        <v>35</v>
      </c>
      <c r="I12970" s="3">
        <v>175</v>
      </c>
      <c r="J12970" s="3">
        <v>406</v>
      </c>
      <c r="K12970" s="3">
        <v>915</v>
      </c>
      <c r="L12970" s="3">
        <v>222</v>
      </c>
      <c r="M12970" s="3">
        <v>394</v>
      </c>
    </row>
    <row r="12971" spans="1:13" x14ac:dyDescent="0.25">
      <c r="A12971" s="1" t="str">
        <f>HYPERLINK("http://www.rosaceae.org/Prunus/Prunus_persica/p.persica_gdr_reftransV1_0028492","p.persica_gdr_reftransV1_0028492")</f>
        <v>p.persica_gdr_reftransV1_0028492</v>
      </c>
      <c r="B12971" s="3">
        <v>3037</v>
      </c>
      <c r="C12971" s="1" t="str">
        <f>HYPERLINK("http://www.uniprot.org/uniprot/ZIP4_ARATH","ZIP4_ARATH")</f>
        <v>ZIP4_ARATH</v>
      </c>
      <c r="D12971" t="s">
        <v>8832</v>
      </c>
      <c r="E12971" s="3" t="s">
        <v>3</v>
      </c>
      <c r="F12971" s="4">
        <v>1.68E-79</v>
      </c>
      <c r="G12971" s="3">
        <v>689</v>
      </c>
      <c r="H12971" s="3">
        <v>86</v>
      </c>
      <c r="I12971" s="3">
        <v>155</v>
      </c>
      <c r="J12971" s="3">
        <v>184</v>
      </c>
      <c r="K12971" s="3">
        <v>648</v>
      </c>
      <c r="L12971" s="3">
        <v>220</v>
      </c>
      <c r="M12971" s="3">
        <v>374</v>
      </c>
    </row>
    <row r="12972" spans="1:13" x14ac:dyDescent="0.25">
      <c r="A12972" s="1" t="str">
        <f>HYPERLINK("http://www.rosaceae.org/Prunus/Prunus_persica/p.persica_gdr_reftransV1_0029342","p.persica_gdr_reftransV1_0029342")</f>
        <v>p.persica_gdr_reftransV1_0029342</v>
      </c>
      <c r="B12972" s="3">
        <v>1746</v>
      </c>
      <c r="C12972" s="1" t="str">
        <f>HYPERLINK("http://www.uniprot.org/uniprot/ASP1_ORYSJ","ASP1_ORYSJ")</f>
        <v>ASP1_ORYSJ</v>
      </c>
      <c r="D12972" t="s">
        <v>8833</v>
      </c>
      <c r="E12972" s="3" t="s">
        <v>38</v>
      </c>
      <c r="F12972" s="4">
        <v>2.55E-102</v>
      </c>
      <c r="G12972" s="3">
        <v>825</v>
      </c>
      <c r="H12972" s="3">
        <v>48</v>
      </c>
      <c r="I12972" s="3">
        <v>388</v>
      </c>
      <c r="J12972" s="3">
        <v>288</v>
      </c>
      <c r="K12972" s="3">
        <v>1412</v>
      </c>
      <c r="L12972" s="3">
        <v>21</v>
      </c>
      <c r="M12972" s="3">
        <v>404</v>
      </c>
    </row>
    <row r="12973" spans="1:13" x14ac:dyDescent="0.25">
      <c r="A12973" s="1" t="str">
        <f>HYPERLINK("http://www.rosaceae.org/Prunus/Prunus_persica/p.persica_gdr_reftransV1_0029392","p.persica_gdr_reftransV1_0029392")</f>
        <v>p.persica_gdr_reftransV1_0029392</v>
      </c>
      <c r="B12973" s="3">
        <v>1567</v>
      </c>
      <c r="C12973" s="1" t="str">
        <f>HYPERLINK("http://www.uniprot.org/uniprot/DHX57_MOUSE","DHX57_MOUSE")</f>
        <v>DHX57_MOUSE</v>
      </c>
      <c r="D12973" t="s">
        <v>8834</v>
      </c>
      <c r="E12973" s="3" t="s">
        <v>157</v>
      </c>
      <c r="F12973" s="4">
        <v>5.2299999999999998E-52</v>
      </c>
      <c r="G12973" s="3">
        <v>499</v>
      </c>
      <c r="H12973" s="3">
        <v>58</v>
      </c>
      <c r="I12973" s="3">
        <v>163</v>
      </c>
      <c r="J12973" s="3">
        <v>1079</v>
      </c>
      <c r="K12973" s="3">
        <v>1567</v>
      </c>
      <c r="L12973" s="3">
        <v>527</v>
      </c>
      <c r="M12973" s="3">
        <v>689</v>
      </c>
    </row>
    <row r="12974" spans="1:13" x14ac:dyDescent="0.25">
      <c r="A12974" s="1" t="str">
        <f>HYPERLINK("http://www.rosaceae.org/Prunus/Prunus_persica/p.persica_gdr_reftransV1_0029442","p.persica_gdr_reftransV1_0029442")</f>
        <v>p.persica_gdr_reftransV1_0029442</v>
      </c>
      <c r="B12974" s="3">
        <v>2060</v>
      </c>
      <c r="C12974" s="1" t="str">
        <f>HYPERLINK("http://www.uniprot.org/uniprot/PP354_ARATH","PP354_ARATH")</f>
        <v>PP354_ARATH</v>
      </c>
      <c r="D12974" t="s">
        <v>7670</v>
      </c>
      <c r="E12974" s="3" t="s">
        <v>3</v>
      </c>
      <c r="F12974" s="4">
        <v>0</v>
      </c>
      <c r="G12974" s="3">
        <v>2072</v>
      </c>
      <c r="H12974" s="3">
        <v>61</v>
      </c>
      <c r="I12974" s="3">
        <v>610</v>
      </c>
      <c r="J12974" s="3">
        <v>61</v>
      </c>
      <c r="K12974" s="3">
        <v>1875</v>
      </c>
      <c r="L12974" s="3">
        <v>25</v>
      </c>
      <c r="M12974" s="3">
        <v>632</v>
      </c>
    </row>
    <row r="12975" spans="1:13" x14ac:dyDescent="0.25">
      <c r="A12975" s="1" t="str">
        <f>HYPERLINK("http://www.rosaceae.org/Prunus/Prunus_persica/p.persica_gdr_reftransV1_0029992","p.persica_gdr_reftransV1_0029992")</f>
        <v>p.persica_gdr_reftransV1_0029992</v>
      </c>
      <c r="B12975" s="3">
        <v>2124</v>
      </c>
      <c r="C12975" s="1" t="str">
        <f>HYPERLINK("http://www.uniprot.org/uniprot/LPA3_ARATH","LPA3_ARATH")</f>
        <v>LPA3_ARATH</v>
      </c>
      <c r="D12975" t="s">
        <v>3059</v>
      </c>
      <c r="E12975" s="3" t="s">
        <v>3</v>
      </c>
      <c r="F12975" s="4">
        <v>2.0199999999999998E-157</v>
      </c>
      <c r="G12975" s="3">
        <v>1200</v>
      </c>
      <c r="H12975" s="3">
        <v>83</v>
      </c>
      <c r="I12975" s="3">
        <v>263</v>
      </c>
      <c r="J12975" s="3">
        <v>550</v>
      </c>
      <c r="K12975" s="3">
        <v>1338</v>
      </c>
      <c r="L12975" s="3">
        <v>96</v>
      </c>
      <c r="M12975" s="3">
        <v>358</v>
      </c>
    </row>
    <row r="12976" spans="1:13" x14ac:dyDescent="0.25">
      <c r="A12976" s="1" t="str">
        <f>HYPERLINK("http://www.rosaceae.org/Prunus/Prunus_persica/p.persica_gdr_reftransV1_0030342","p.persica_gdr_reftransV1_0030342")</f>
        <v>p.persica_gdr_reftransV1_0030342</v>
      </c>
      <c r="B12976" s="3">
        <v>4153</v>
      </c>
      <c r="C12976" s="1" t="str">
        <f>HYPERLINK("http://www.uniprot.org/uniprot/HERC1_HUMAN","HERC1_HUMAN")</f>
        <v>HERC1_HUMAN</v>
      </c>
      <c r="D12976" t="s">
        <v>8134</v>
      </c>
      <c r="E12976" s="3" t="s">
        <v>28</v>
      </c>
      <c r="F12976" s="4">
        <v>2.22E-50</v>
      </c>
      <c r="G12976" s="3">
        <v>510</v>
      </c>
      <c r="H12976" s="3">
        <v>34</v>
      </c>
      <c r="I12976" s="3">
        <v>391</v>
      </c>
      <c r="J12976" s="3">
        <v>1809</v>
      </c>
      <c r="K12976" s="3">
        <v>2957</v>
      </c>
      <c r="L12976" s="3">
        <v>3998</v>
      </c>
      <c r="M12976" s="3">
        <v>4357</v>
      </c>
    </row>
    <row r="12977" spans="1:13" x14ac:dyDescent="0.25">
      <c r="A12977" s="1" t="str">
        <f>HYPERLINK("http://www.rosaceae.org/Prunus/Prunus_persica/p.persica_gdr_reftransV1_0030392","p.persica_gdr_reftransV1_0030392")</f>
        <v>p.persica_gdr_reftransV1_0030392</v>
      </c>
      <c r="B12977" s="3">
        <v>5852</v>
      </c>
      <c r="C12977" s="1" t="str">
        <f>HYPERLINK("http://www.uniprot.org/uniprot/Y1181_ARATH","Y1181_ARATH")</f>
        <v>Y1181_ARATH</v>
      </c>
      <c r="D12977" t="s">
        <v>6281</v>
      </c>
      <c r="E12977" s="3" t="s">
        <v>3</v>
      </c>
      <c r="F12977" s="4">
        <v>1.42E-92</v>
      </c>
      <c r="G12977" s="3">
        <v>827</v>
      </c>
      <c r="H12977" s="3">
        <v>74</v>
      </c>
      <c r="I12977" s="3">
        <v>205</v>
      </c>
      <c r="J12977" s="3">
        <v>4285</v>
      </c>
      <c r="K12977" s="3">
        <v>4899</v>
      </c>
      <c r="L12977" s="3">
        <v>265</v>
      </c>
      <c r="M12977" s="3">
        <v>453</v>
      </c>
    </row>
    <row r="12978" spans="1:13" x14ac:dyDescent="0.25">
      <c r="A12978" s="1" t="str">
        <f>HYPERLINK("http://www.rosaceae.org/Prunus/Prunus_persica/p.persica_gdr_reftransV1_0030542","p.persica_gdr_reftransV1_0030542")</f>
        <v>p.persica_gdr_reftransV1_0030542</v>
      </c>
      <c r="B12978" s="3">
        <v>1686</v>
      </c>
      <c r="C12978" s="1" t="str">
        <f>HYPERLINK("http://www.uniprot.org/uniprot/PPA22_ARATH","PPA22_ARATH")</f>
        <v>PPA22_ARATH</v>
      </c>
      <c r="D12978" t="s">
        <v>8835</v>
      </c>
      <c r="E12978" s="3" t="s">
        <v>3</v>
      </c>
      <c r="F12978" s="4">
        <v>0</v>
      </c>
      <c r="G12978" s="3">
        <v>1650</v>
      </c>
      <c r="H12978" s="3">
        <v>72</v>
      </c>
      <c r="I12978" s="3">
        <v>418</v>
      </c>
      <c r="J12978" s="3">
        <v>192</v>
      </c>
      <c r="K12978" s="3">
        <v>1445</v>
      </c>
      <c r="L12978" s="3">
        <v>17</v>
      </c>
      <c r="M12978" s="3">
        <v>434</v>
      </c>
    </row>
    <row r="12979" spans="1:13" x14ac:dyDescent="0.25">
      <c r="A12979" s="1" t="str">
        <f>HYPERLINK("http://www.rosaceae.org/Prunus/Prunus_persica/p.persica_gdr_reftransV1_0030692","p.persica_gdr_reftransV1_0030692")</f>
        <v>p.persica_gdr_reftransV1_0030692</v>
      </c>
      <c r="B12979" s="3">
        <v>1524</v>
      </c>
      <c r="C12979" s="1" t="str">
        <f>HYPERLINK("http://www.uniprot.org/uniprot/PHF5B_ARATH","PHF5B_ARATH")</f>
        <v>PHF5B_ARATH</v>
      </c>
      <c r="D12979" t="s">
        <v>8836</v>
      </c>
      <c r="E12979" s="3" t="s">
        <v>3</v>
      </c>
      <c r="F12979" s="4">
        <v>5.1799999999999997E-69</v>
      </c>
      <c r="G12979" s="3">
        <v>567</v>
      </c>
      <c r="H12979" s="3">
        <v>99</v>
      </c>
      <c r="I12979" s="3">
        <v>110</v>
      </c>
      <c r="J12979" s="3">
        <v>928</v>
      </c>
      <c r="K12979" s="3">
        <v>1257</v>
      </c>
      <c r="L12979" s="3">
        <v>1</v>
      </c>
      <c r="M12979" s="3">
        <v>110</v>
      </c>
    </row>
    <row r="12980" spans="1:13" x14ac:dyDescent="0.25">
      <c r="A12980" s="1" t="str">
        <f>HYPERLINK("http://www.rosaceae.org/Prunus/Prunus_persica/p.persica_gdr_reftransV1_0031042","p.persica_gdr_reftransV1_0031042")</f>
        <v>p.persica_gdr_reftransV1_0031042</v>
      </c>
      <c r="B12980" s="3">
        <v>1698</v>
      </c>
      <c r="C12980" s="1" t="str">
        <f>HYPERLINK("http://www.uniprot.org/uniprot/DAPA2_ARATH","DAPA2_ARATH")</f>
        <v>DAPA2_ARATH</v>
      </c>
      <c r="D12980" t="s">
        <v>8837</v>
      </c>
      <c r="E12980" s="3" t="s">
        <v>3</v>
      </c>
      <c r="F12980" s="4">
        <v>0</v>
      </c>
      <c r="G12980" s="3">
        <v>1436</v>
      </c>
      <c r="H12980" s="3">
        <v>78</v>
      </c>
      <c r="I12980" s="3">
        <v>348</v>
      </c>
      <c r="J12980" s="3">
        <v>321</v>
      </c>
      <c r="K12980" s="3">
        <v>1364</v>
      </c>
      <c r="L12980" s="3">
        <v>1</v>
      </c>
      <c r="M12980" s="3">
        <v>348</v>
      </c>
    </row>
    <row r="12981" spans="1:13" x14ac:dyDescent="0.25">
      <c r="A12981" s="1" t="str">
        <f>HYPERLINK("http://www.rosaceae.org/Prunus/Prunus_persica/p.persica_gdr_reftransV1_0031092","p.persica_gdr_reftransV1_0031092")</f>
        <v>p.persica_gdr_reftransV1_0031092</v>
      </c>
      <c r="B12981" s="3">
        <v>625</v>
      </c>
      <c r="C12981" s="1" t="str">
        <f>HYPERLINK("http://www.uniprot.org/uniprot/BRL2_ARATH","BRL2_ARATH")</f>
        <v>BRL2_ARATH</v>
      </c>
      <c r="D12981" t="s">
        <v>3231</v>
      </c>
      <c r="E12981" s="3" t="s">
        <v>3</v>
      </c>
      <c r="F12981" s="4">
        <v>2.1500000000000001E-82</v>
      </c>
      <c r="G12981" s="3">
        <v>690</v>
      </c>
      <c r="H12981" s="3">
        <v>75</v>
      </c>
      <c r="I12981" s="3">
        <v>178</v>
      </c>
      <c r="J12981" s="3">
        <v>68</v>
      </c>
      <c r="K12981" s="3">
        <v>583</v>
      </c>
      <c r="L12981" s="3">
        <v>963</v>
      </c>
      <c r="M12981" s="3">
        <v>1140</v>
      </c>
    </row>
    <row r="12982" spans="1:13" x14ac:dyDescent="0.25">
      <c r="A12982" s="1" t="str">
        <f>HYPERLINK("http://www.rosaceae.org/Prunus/Prunus_persica/p.persica_gdr_reftransV1_0031392","p.persica_gdr_reftransV1_0031392")</f>
        <v>p.persica_gdr_reftransV1_0031392</v>
      </c>
      <c r="B12982" s="3">
        <v>2775</v>
      </c>
      <c r="C12982" s="1" t="str">
        <f>HYPERLINK("http://www.uniprot.org/uniprot/DET1_SOLLC","DET1_SOLLC")</f>
        <v>DET1_SOLLC</v>
      </c>
      <c r="D12982" t="s">
        <v>1413</v>
      </c>
      <c r="E12982" s="3" t="s">
        <v>64</v>
      </c>
      <c r="F12982" s="4">
        <v>0</v>
      </c>
      <c r="G12982" s="3">
        <v>1268</v>
      </c>
      <c r="H12982" s="3">
        <v>71</v>
      </c>
      <c r="I12982" s="3">
        <v>325</v>
      </c>
      <c r="J12982" s="3">
        <v>1568</v>
      </c>
      <c r="K12982" s="3">
        <v>2536</v>
      </c>
      <c r="L12982" s="3">
        <v>1</v>
      </c>
      <c r="M12982" s="3">
        <v>312</v>
      </c>
    </row>
    <row r="12983" spans="1:13" x14ac:dyDescent="0.25">
      <c r="A12983" s="1" t="str">
        <f>HYPERLINK("http://www.rosaceae.org/Prunus/Prunus_persica/p.persica_gdr_reftransV1_0031642","p.persica_gdr_reftransV1_0031642")</f>
        <v>p.persica_gdr_reftransV1_0031642</v>
      </c>
      <c r="B12983" s="3">
        <v>641</v>
      </c>
      <c r="C12983" s="1" t="str">
        <f>HYPERLINK("http://www.uniprot.org/uniprot/DEGP9_ARATH","DEGP9_ARATH")</f>
        <v>DEGP9_ARATH</v>
      </c>
      <c r="D12983" t="s">
        <v>1437</v>
      </c>
      <c r="E12983" s="3" t="s">
        <v>3</v>
      </c>
      <c r="F12983" s="4">
        <v>4.1299999999999999E-54</v>
      </c>
      <c r="G12983" s="3">
        <v>476</v>
      </c>
      <c r="H12983" s="3">
        <v>77</v>
      </c>
      <c r="I12983" s="3">
        <v>110</v>
      </c>
      <c r="J12983" s="3">
        <v>317</v>
      </c>
      <c r="K12983" s="3">
        <v>640</v>
      </c>
      <c r="L12983" s="3">
        <v>92</v>
      </c>
      <c r="M12983" s="3">
        <v>201</v>
      </c>
    </row>
    <row r="12984" spans="1:13" x14ac:dyDescent="0.25">
      <c r="A12984" s="1" t="str">
        <f>HYPERLINK("http://www.rosaceae.org/Prunus/Prunus_persica/p.persica_gdr_reftransV1_0032392","p.persica_gdr_reftransV1_0032392")</f>
        <v>p.persica_gdr_reftransV1_0032392</v>
      </c>
      <c r="B12984" s="3">
        <v>2237</v>
      </c>
      <c r="C12984" s="1" t="str">
        <f>HYPERLINK("http://www.uniprot.org/uniprot/TLP14_ORYSJ","TLP14_ORYSJ")</f>
        <v>TLP14_ORYSJ</v>
      </c>
      <c r="D12984" t="s">
        <v>8838</v>
      </c>
      <c r="E12984" s="3" t="s">
        <v>38</v>
      </c>
      <c r="F12984" s="4">
        <v>8.0899999999999999E-137</v>
      </c>
      <c r="G12984" s="3">
        <v>1074</v>
      </c>
      <c r="H12984" s="3">
        <v>75</v>
      </c>
      <c r="I12984" s="3">
        <v>295</v>
      </c>
      <c r="J12984" s="3">
        <v>20</v>
      </c>
      <c r="K12984" s="3">
        <v>865</v>
      </c>
      <c r="L12984" s="3">
        <v>151</v>
      </c>
      <c r="M12984" s="3">
        <v>445</v>
      </c>
    </row>
    <row r="12985" spans="1:13" x14ac:dyDescent="0.25">
      <c r="A12985" s="1" t="str">
        <f>HYPERLINK("http://www.rosaceae.org/Prunus/Prunus_persica/p.persica_gdr_reftransV1_0032442","p.persica_gdr_reftransV1_0032442")</f>
        <v>p.persica_gdr_reftransV1_0032442</v>
      </c>
      <c r="B12985" s="3">
        <v>2124</v>
      </c>
      <c r="C12985" s="1" t="str">
        <f>HYPERLINK("http://www.uniprot.org/uniprot/ASO_TOBAC","ASO_TOBAC")</f>
        <v>ASO_TOBAC</v>
      </c>
      <c r="D12985" t="s">
        <v>3343</v>
      </c>
      <c r="E12985" s="3" t="s">
        <v>200</v>
      </c>
      <c r="F12985" s="4">
        <v>0</v>
      </c>
      <c r="G12985" s="3">
        <v>1458</v>
      </c>
      <c r="H12985" s="3">
        <v>75</v>
      </c>
      <c r="I12985" s="3">
        <v>386</v>
      </c>
      <c r="J12985" s="3">
        <v>840</v>
      </c>
      <c r="K12985" s="3">
        <v>1997</v>
      </c>
      <c r="L12985" s="3">
        <v>195</v>
      </c>
      <c r="M12985" s="3">
        <v>578</v>
      </c>
    </row>
    <row r="12986" spans="1:13" x14ac:dyDescent="0.25">
      <c r="A12986" s="1" t="str">
        <f>HYPERLINK("http://www.rosaceae.org/Prunus/Prunus_persica/p.persica_gdr_reftransV1_0032642","p.persica_gdr_reftransV1_0032642")</f>
        <v>p.persica_gdr_reftransV1_0032642</v>
      </c>
      <c r="B12986" s="3">
        <v>2363</v>
      </c>
      <c r="C12986" s="1" t="str">
        <f>HYPERLINK("http://www.uniprot.org/uniprot/DGK6_ARATH","DGK6_ARATH")</f>
        <v>DGK6_ARATH</v>
      </c>
      <c r="D12986" t="s">
        <v>2723</v>
      </c>
      <c r="E12986" s="3" t="s">
        <v>3</v>
      </c>
      <c r="F12986" s="4">
        <v>4.0200000000000001E-159</v>
      </c>
      <c r="G12986" s="3">
        <v>932</v>
      </c>
      <c r="H12986" s="3">
        <v>75</v>
      </c>
      <c r="I12986" s="3">
        <v>228</v>
      </c>
      <c r="J12986" s="3">
        <v>569</v>
      </c>
      <c r="K12986" s="3">
        <v>1252</v>
      </c>
      <c r="L12986" s="3">
        <v>222</v>
      </c>
      <c r="M12986" s="3">
        <v>449</v>
      </c>
    </row>
    <row r="12987" spans="1:13" x14ac:dyDescent="0.25">
      <c r="A12987" s="1" t="str">
        <f>HYPERLINK("http://www.rosaceae.org/Prunus/Prunus_persica/p.persica_gdr_reftransV1_0032742","p.persica_gdr_reftransV1_0032742")</f>
        <v>p.persica_gdr_reftransV1_0032742</v>
      </c>
      <c r="B12987" s="3">
        <v>1457</v>
      </c>
      <c r="C12987" s="1" t="str">
        <f>HYPERLINK("http://www.uniprot.org/uniprot/TOPRS_MOUSE","TOPRS_MOUSE")</f>
        <v>TOPRS_MOUSE</v>
      </c>
      <c r="D12987" t="s">
        <v>8839</v>
      </c>
      <c r="E12987" s="3" t="s">
        <v>157</v>
      </c>
      <c r="F12987" s="4">
        <v>9.7399999999999999E-8</v>
      </c>
      <c r="G12987" s="3">
        <v>140</v>
      </c>
      <c r="H12987" s="3">
        <v>40</v>
      </c>
      <c r="I12987" s="3">
        <v>67</v>
      </c>
      <c r="J12987" s="3">
        <v>126</v>
      </c>
      <c r="K12987" s="3">
        <v>314</v>
      </c>
      <c r="L12987" s="3">
        <v>97</v>
      </c>
      <c r="M12987" s="3">
        <v>153</v>
      </c>
    </row>
    <row r="12988" spans="1:13" x14ac:dyDescent="0.25">
      <c r="A12988" s="1" t="str">
        <f>HYPERLINK("http://www.rosaceae.org/Prunus/Prunus_persica/p.persica_gdr_reftransV1_0032942","p.persica_gdr_reftransV1_0032942")</f>
        <v>p.persica_gdr_reftransV1_0032942</v>
      </c>
      <c r="B12988" s="3">
        <v>1075</v>
      </c>
      <c r="C12988" s="1" t="str">
        <f>HYPERLINK("http://www.uniprot.org/uniprot/PUB16_ARATH","PUB16_ARATH")</f>
        <v>PUB16_ARATH</v>
      </c>
      <c r="D12988" t="s">
        <v>2551</v>
      </c>
      <c r="E12988" s="3" t="s">
        <v>3</v>
      </c>
      <c r="F12988" s="4">
        <v>2.5400000000000001E-41</v>
      </c>
      <c r="G12988" s="3">
        <v>397</v>
      </c>
      <c r="H12988" s="3">
        <v>49</v>
      </c>
      <c r="I12988" s="3">
        <v>184</v>
      </c>
      <c r="J12988" s="3">
        <v>532</v>
      </c>
      <c r="K12988" s="3">
        <v>1071</v>
      </c>
      <c r="L12988" s="3">
        <v>10</v>
      </c>
      <c r="M12988" s="3">
        <v>191</v>
      </c>
    </row>
    <row r="12989" spans="1:13" x14ac:dyDescent="0.25">
      <c r="A12989" s="1" t="str">
        <f>HYPERLINK("http://www.rosaceae.org/Prunus/Prunus_persica/p.persica_gdr_reftransV1_0033142","p.persica_gdr_reftransV1_0033142")</f>
        <v>p.persica_gdr_reftransV1_0033142</v>
      </c>
      <c r="B12989" s="3">
        <v>1745</v>
      </c>
      <c r="C12989" s="1" t="str">
        <f>HYPERLINK("http://www.uniprot.org/uniprot/MSBP2_ARATH","MSBP2_ARATH")</f>
        <v>MSBP2_ARATH</v>
      </c>
      <c r="D12989" t="s">
        <v>6787</v>
      </c>
      <c r="E12989" s="3" t="s">
        <v>3</v>
      </c>
      <c r="F12989" s="4">
        <v>2.2300000000000001E-32</v>
      </c>
      <c r="G12989" s="3">
        <v>323</v>
      </c>
      <c r="H12989" s="3">
        <v>91</v>
      </c>
      <c r="I12989" s="3">
        <v>66</v>
      </c>
      <c r="J12989" s="3">
        <v>384</v>
      </c>
      <c r="K12989" s="3">
        <v>581</v>
      </c>
      <c r="L12989" s="3">
        <v>102</v>
      </c>
      <c r="M12989" s="3">
        <v>167</v>
      </c>
    </row>
    <row r="12990" spans="1:13" x14ac:dyDescent="0.25">
      <c r="A12990" s="1" t="str">
        <f>HYPERLINK("http://www.rosaceae.org/Prunus/Prunus_persica/p.persica_gdr_reftransV1_0033292","p.persica_gdr_reftransV1_0033292")</f>
        <v>p.persica_gdr_reftransV1_0033292</v>
      </c>
      <c r="B12990" s="3">
        <v>3320</v>
      </c>
      <c r="C12990" s="1" t="str">
        <f>HYPERLINK("http://www.uniprot.org/uniprot/Y3985_ARATH","Y3985_ARATH")</f>
        <v>Y3985_ARATH</v>
      </c>
      <c r="D12990" t="s">
        <v>8840</v>
      </c>
      <c r="E12990" s="3" t="s">
        <v>3</v>
      </c>
      <c r="F12990" s="4">
        <v>5.3599999999999997E-130</v>
      </c>
      <c r="G12990" s="3">
        <v>1064</v>
      </c>
      <c r="H12990" s="3">
        <v>53</v>
      </c>
      <c r="I12990" s="3">
        <v>433</v>
      </c>
      <c r="J12990" s="3">
        <v>1742</v>
      </c>
      <c r="K12990" s="3">
        <v>2989</v>
      </c>
      <c r="L12990" s="3">
        <v>1</v>
      </c>
      <c r="M12990" s="3">
        <v>420</v>
      </c>
    </row>
    <row r="12991" spans="1:13" x14ac:dyDescent="0.25">
      <c r="A12991" s="1" t="str">
        <f>HYPERLINK("http://www.rosaceae.org/Prunus/Prunus_persica/p.persica_gdr_reftransV1_0033342","p.persica_gdr_reftransV1_0033342")</f>
        <v>p.persica_gdr_reftransV1_0033342</v>
      </c>
      <c r="B12991" s="3">
        <v>3402</v>
      </c>
      <c r="C12991" s="1" t="str">
        <f>HYPERLINK("http://www.uniprot.org/uniprot/C3H31_ARATH","C3H31_ARATH")</f>
        <v>C3H31_ARATH</v>
      </c>
      <c r="D12991" t="s">
        <v>8841</v>
      </c>
      <c r="E12991" s="3" t="s">
        <v>3</v>
      </c>
      <c r="F12991" s="4">
        <v>0</v>
      </c>
      <c r="G12991" s="3">
        <v>3170</v>
      </c>
      <c r="H12991" s="3">
        <v>64</v>
      </c>
      <c r="I12991" s="3">
        <v>999</v>
      </c>
      <c r="J12991" s="3">
        <v>134</v>
      </c>
      <c r="K12991" s="3">
        <v>3115</v>
      </c>
      <c r="L12991" s="3">
        <v>23</v>
      </c>
      <c r="M12991" s="3">
        <v>1015</v>
      </c>
    </row>
    <row r="12992" spans="1:13" x14ac:dyDescent="0.25">
      <c r="A12992" s="1" t="str">
        <f>HYPERLINK("http://www.rosaceae.org/Prunus/Prunus_persica/p.persica_gdr_reftransV1_0033392","p.persica_gdr_reftransV1_0033392")</f>
        <v>p.persica_gdr_reftransV1_0033392</v>
      </c>
      <c r="B12992" s="3">
        <v>1523</v>
      </c>
      <c r="C12992" s="1" t="str">
        <f>HYPERLINK("http://www.uniprot.org/uniprot/SYM1_NEUCR","SYM1_NEUCR")</f>
        <v>SYM1_NEUCR</v>
      </c>
      <c r="D12992" t="s">
        <v>8842</v>
      </c>
      <c r="E12992" s="3" t="s">
        <v>435</v>
      </c>
      <c r="F12992" s="4">
        <v>1.1899999999999999E-24</v>
      </c>
      <c r="G12992" s="3">
        <v>260</v>
      </c>
      <c r="H12992" s="3">
        <v>38</v>
      </c>
      <c r="I12992" s="3">
        <v>170</v>
      </c>
      <c r="J12992" s="3">
        <v>552</v>
      </c>
      <c r="K12992" s="3">
        <v>1049</v>
      </c>
      <c r="L12992" s="3">
        <v>1</v>
      </c>
      <c r="M12992" s="3">
        <v>168</v>
      </c>
    </row>
    <row r="12993" spans="1:13" x14ac:dyDescent="0.25">
      <c r="A12993" s="1" t="str">
        <f>HYPERLINK("http://www.rosaceae.org/Prunus/Prunus_persica/p.persica_gdr_reftransV1_0033442","p.persica_gdr_reftransV1_0033442")</f>
        <v>p.persica_gdr_reftransV1_0033442</v>
      </c>
      <c r="B12993" s="3">
        <v>1002</v>
      </c>
      <c r="C12993" s="1" t="str">
        <f>HYPERLINK("http://www.uniprot.org/uniprot/UBC35_ARATH","UBC35_ARATH")</f>
        <v>UBC35_ARATH</v>
      </c>
      <c r="D12993" t="s">
        <v>8843</v>
      </c>
      <c r="E12993" s="3" t="s">
        <v>3</v>
      </c>
      <c r="F12993" s="4">
        <v>3.8100000000000001E-105</v>
      </c>
      <c r="G12993" s="3">
        <v>797</v>
      </c>
      <c r="H12993" s="3">
        <v>99</v>
      </c>
      <c r="I12993" s="3">
        <v>153</v>
      </c>
      <c r="J12993" s="3">
        <v>96</v>
      </c>
      <c r="K12993" s="3">
        <v>554</v>
      </c>
      <c r="L12993" s="3">
        <v>1</v>
      </c>
      <c r="M12993" s="3">
        <v>153</v>
      </c>
    </row>
    <row r="12994" spans="1:13" x14ac:dyDescent="0.25">
      <c r="A12994" s="1" t="str">
        <f>HYPERLINK("http://www.rosaceae.org/Prunus/Prunus_persica/p.persica_gdr_reftransV1_0033542","p.persica_gdr_reftransV1_0033542")</f>
        <v>p.persica_gdr_reftransV1_0033542</v>
      </c>
      <c r="B12994" s="3">
        <v>2518</v>
      </c>
      <c r="C12994" s="1" t="str">
        <f>HYPERLINK("http://www.uniprot.org/uniprot/LACB2_XENTR","LACB2_XENTR")</f>
        <v>LACB2_XENTR</v>
      </c>
      <c r="D12994" t="s">
        <v>6622</v>
      </c>
      <c r="E12994" s="3" t="s">
        <v>173</v>
      </c>
      <c r="F12994" s="4">
        <v>5.3999999999999997E-14</v>
      </c>
      <c r="G12994" s="3">
        <v>188</v>
      </c>
      <c r="H12994" s="3">
        <v>31</v>
      </c>
      <c r="I12994" s="3">
        <v>150</v>
      </c>
      <c r="J12994" s="3">
        <v>1125</v>
      </c>
      <c r="K12994" s="3">
        <v>1565</v>
      </c>
      <c r="L12994" s="3">
        <v>131</v>
      </c>
      <c r="M12994" s="3">
        <v>275</v>
      </c>
    </row>
    <row r="12995" spans="1:13" x14ac:dyDescent="0.25">
      <c r="A12995" s="1" t="str">
        <f>HYPERLINK("http://www.rosaceae.org/Prunus/Prunus_persica/p.persica_gdr_reftransV1_0033642","p.persica_gdr_reftransV1_0033642")</f>
        <v>p.persica_gdr_reftransV1_0033642</v>
      </c>
      <c r="B12995" s="3">
        <v>4813</v>
      </c>
      <c r="C12995" s="1" t="str">
        <f>HYPERLINK("http://www.uniprot.org/uniprot/MOB1A_MEDSF","MOB1A_MEDSF")</f>
        <v>MOB1A_MEDSF</v>
      </c>
      <c r="D12995" t="s">
        <v>8844</v>
      </c>
      <c r="E12995" s="3" t="s">
        <v>515</v>
      </c>
      <c r="F12995" s="4">
        <v>2.8700000000000001E-121</v>
      </c>
      <c r="G12995" s="3">
        <v>987</v>
      </c>
      <c r="H12995" s="3">
        <v>92</v>
      </c>
      <c r="I12995" s="3">
        <v>192</v>
      </c>
      <c r="J12995" s="3">
        <v>291</v>
      </c>
      <c r="K12995" s="3">
        <v>866</v>
      </c>
      <c r="L12995" s="3">
        <v>1</v>
      </c>
      <c r="M12995" s="3">
        <v>192</v>
      </c>
    </row>
    <row r="12996" spans="1:13" x14ac:dyDescent="0.25">
      <c r="A12996" s="1" t="str">
        <f>HYPERLINK("http://www.rosaceae.org/Prunus/Prunus_persica/p.persica_gdr_reftransV1_0033692","p.persica_gdr_reftransV1_0033692")</f>
        <v>p.persica_gdr_reftransV1_0033692</v>
      </c>
      <c r="B12996" s="3">
        <v>3599</v>
      </c>
      <c r="C12996" s="1" t="str">
        <f>HYPERLINK("http://www.uniprot.org/uniprot/UBC10_ARATH","UBC10_ARATH")</f>
        <v>UBC10_ARATH</v>
      </c>
      <c r="D12996" t="s">
        <v>2226</v>
      </c>
      <c r="E12996" s="3" t="s">
        <v>3</v>
      </c>
      <c r="F12996" s="4">
        <v>6.0400000000000002E-47</v>
      </c>
      <c r="G12996" s="3">
        <v>432</v>
      </c>
      <c r="H12996" s="3">
        <v>98</v>
      </c>
      <c r="I12996" s="3">
        <v>82</v>
      </c>
      <c r="J12996" s="3">
        <v>2260</v>
      </c>
      <c r="K12996" s="3">
        <v>2505</v>
      </c>
      <c r="L12996" s="3">
        <v>67</v>
      </c>
      <c r="M12996" s="3">
        <v>148</v>
      </c>
    </row>
    <row r="12997" spans="1:13" x14ac:dyDescent="0.25">
      <c r="A12997" s="1" t="str">
        <f>HYPERLINK("http://www.rosaceae.org/Prunus/Prunus_persica/p.persica_gdr_reftransV1_0034142","p.persica_gdr_reftransV1_0034142")</f>
        <v>p.persica_gdr_reftransV1_0034142</v>
      </c>
      <c r="B12997" s="3">
        <v>2512</v>
      </c>
      <c r="C12997" s="1" t="str">
        <f>HYPERLINK("http://www.uniprot.org/uniprot/DHQSD_ARATH","DHQSD_ARATH")</f>
        <v>DHQSD_ARATH</v>
      </c>
      <c r="D12997" t="s">
        <v>451</v>
      </c>
      <c r="E12997" s="3" t="s">
        <v>3</v>
      </c>
      <c r="F12997" s="4">
        <v>0</v>
      </c>
      <c r="G12997" s="3">
        <v>1539</v>
      </c>
      <c r="H12997" s="3">
        <v>57</v>
      </c>
      <c r="I12997" s="3">
        <v>587</v>
      </c>
      <c r="J12997" s="3">
        <v>410</v>
      </c>
      <c r="K12997" s="3">
        <v>2170</v>
      </c>
      <c r="L12997" s="3">
        <v>79</v>
      </c>
      <c r="M12997" s="3">
        <v>603</v>
      </c>
    </row>
    <row r="12998" spans="1:13" x14ac:dyDescent="0.25">
      <c r="A12998" s="1" t="str">
        <f>HYPERLINK("http://www.rosaceae.org/Prunus/Prunus_persica/p.persica_gdr_reftransV1_0034192","p.persica_gdr_reftransV1_0034192")</f>
        <v>p.persica_gdr_reftransV1_0034192</v>
      </c>
      <c r="B12998" s="3">
        <v>2317</v>
      </c>
      <c r="C12998" s="1" t="str">
        <f>HYPERLINK("http://www.uniprot.org/uniprot/EME1B_ARATH","EME1B_ARATH")</f>
        <v>EME1B_ARATH</v>
      </c>
      <c r="D12998" t="s">
        <v>8845</v>
      </c>
      <c r="E12998" s="3" t="s">
        <v>3</v>
      </c>
      <c r="F12998" s="4">
        <v>5.7000000000000002E-161</v>
      </c>
      <c r="G12998" s="3">
        <v>1248</v>
      </c>
      <c r="H12998" s="3">
        <v>53</v>
      </c>
      <c r="I12998" s="3">
        <v>572</v>
      </c>
      <c r="J12998" s="3">
        <v>502</v>
      </c>
      <c r="K12998" s="3">
        <v>2172</v>
      </c>
      <c r="L12998" s="3">
        <v>1</v>
      </c>
      <c r="M12998" s="3">
        <v>544</v>
      </c>
    </row>
    <row r="12999" spans="1:13" x14ac:dyDescent="0.25">
      <c r="A12999" s="1" t="str">
        <f>HYPERLINK("http://www.rosaceae.org/Prunus/Prunus_persica/p.persica_gdr_reftransV1_0034392","p.persica_gdr_reftransV1_0034392")</f>
        <v>p.persica_gdr_reftransV1_0034392</v>
      </c>
      <c r="B12999" s="3">
        <v>890</v>
      </c>
      <c r="C12999" s="1" t="str">
        <f>HYPERLINK("http://www.uniprot.org/uniprot/U161_ARATH","U161_ARATH")</f>
        <v>U161_ARATH</v>
      </c>
      <c r="D12999" t="s">
        <v>8846</v>
      </c>
      <c r="E12999" s="3" t="s">
        <v>3</v>
      </c>
      <c r="F12999" s="4">
        <v>3.5799999999999998E-44</v>
      </c>
      <c r="G12999" s="3">
        <v>389</v>
      </c>
      <c r="H12999" s="3">
        <v>50</v>
      </c>
      <c r="I12999" s="3">
        <v>149</v>
      </c>
      <c r="J12999" s="3">
        <v>387</v>
      </c>
      <c r="K12999" s="3">
        <v>815</v>
      </c>
      <c r="L12999" s="3">
        <v>1</v>
      </c>
      <c r="M12999" s="3">
        <v>149</v>
      </c>
    </row>
    <row r="13000" spans="1:13" x14ac:dyDescent="0.25">
      <c r="A13000" s="1" t="str">
        <f>HYPERLINK("http://www.rosaceae.org/Prunus/Prunus_persica/p.persica_gdr_reftransV1_0034492","p.persica_gdr_reftransV1_0034492")</f>
        <v>p.persica_gdr_reftransV1_0034492</v>
      </c>
      <c r="B13000" s="3">
        <v>3218</v>
      </c>
      <c r="C13000" s="1" t="str">
        <f>HYPERLINK("http://www.uniprot.org/uniprot/PLDA1_RICCO","PLDA1_RICCO")</f>
        <v>PLDA1_RICCO</v>
      </c>
      <c r="D13000" t="s">
        <v>6173</v>
      </c>
      <c r="E13000" s="3" t="s">
        <v>421</v>
      </c>
      <c r="F13000" s="4">
        <v>0</v>
      </c>
      <c r="G13000" s="3">
        <v>3778</v>
      </c>
      <c r="H13000" s="3">
        <v>85</v>
      </c>
      <c r="I13000" s="3">
        <v>803</v>
      </c>
      <c r="J13000" s="3">
        <v>329</v>
      </c>
      <c r="K13000" s="3">
        <v>2734</v>
      </c>
      <c r="L13000" s="3">
        <v>6</v>
      </c>
      <c r="M13000" s="3">
        <v>808</v>
      </c>
    </row>
    <row r="13001" spans="1:13" x14ac:dyDescent="0.25">
      <c r="A13001" s="1" t="str">
        <f>HYPERLINK("http://www.rosaceae.org/Prunus/Prunus_persica/p.persica_gdr_reftransV1_0034892","p.persica_gdr_reftransV1_0034892")</f>
        <v>p.persica_gdr_reftransV1_0034892</v>
      </c>
      <c r="B13001" s="3">
        <v>2870</v>
      </c>
      <c r="C13001" s="1" t="str">
        <f>HYPERLINK("http://www.uniprot.org/uniprot/MD26C_ARATH","MD26C_ARATH")</f>
        <v>MD26C_ARATH</v>
      </c>
      <c r="D13001" t="s">
        <v>8847</v>
      </c>
      <c r="E13001" s="3" t="s">
        <v>3</v>
      </c>
      <c r="F13001" s="4">
        <v>6.61E-78</v>
      </c>
      <c r="G13001" s="3">
        <v>674</v>
      </c>
      <c r="H13001" s="3">
        <v>54</v>
      </c>
      <c r="I13001" s="3">
        <v>291</v>
      </c>
      <c r="J13001" s="3">
        <v>1081</v>
      </c>
      <c r="K13001" s="3">
        <v>1845</v>
      </c>
      <c r="L13001" s="3">
        <v>1</v>
      </c>
      <c r="M13001" s="3">
        <v>288</v>
      </c>
    </row>
    <row r="13002" spans="1:13" x14ac:dyDescent="0.25">
      <c r="A13002" s="1" t="str">
        <f>HYPERLINK("http://www.rosaceae.org/Prunus/Prunus_persica/p.persica_gdr_reftransV1_0035642","p.persica_gdr_reftransV1_0035642")</f>
        <v>p.persica_gdr_reftransV1_0035642</v>
      </c>
      <c r="B13002" s="3">
        <v>1303</v>
      </c>
      <c r="C13002" s="1" t="str">
        <f>HYPERLINK("http://www.uniprot.org/uniprot/TSJT1_TOBAC","TSJT1_TOBAC")</f>
        <v>TSJT1_TOBAC</v>
      </c>
      <c r="D13002" t="s">
        <v>1570</v>
      </c>
      <c r="E13002" s="3" t="s">
        <v>200</v>
      </c>
      <c r="F13002" s="4">
        <v>1.7899999999999999E-23</v>
      </c>
      <c r="G13002" s="3">
        <v>248</v>
      </c>
      <c r="H13002" s="3">
        <v>39</v>
      </c>
      <c r="I13002" s="3">
        <v>155</v>
      </c>
      <c r="J13002" s="3">
        <v>715</v>
      </c>
      <c r="K13002" s="3">
        <v>1167</v>
      </c>
      <c r="L13002" s="3">
        <v>1</v>
      </c>
      <c r="M13002" s="3">
        <v>148</v>
      </c>
    </row>
    <row r="13003" spans="1:13" x14ac:dyDescent="0.25">
      <c r="A13003" s="1" t="str">
        <f>HYPERLINK("http://www.rosaceae.org/Prunus/Prunus_persica/p.persica_gdr_reftransV1_0035742","p.persica_gdr_reftransV1_0035742")</f>
        <v>p.persica_gdr_reftransV1_0035742</v>
      </c>
      <c r="B13003" s="3">
        <v>1896</v>
      </c>
      <c r="C13003" s="1" t="str">
        <f>HYPERLINK("http://www.uniprot.org/uniprot/BAT1_ARATH","BAT1_ARATH")</f>
        <v>BAT1_ARATH</v>
      </c>
      <c r="D13003" t="s">
        <v>8107</v>
      </c>
      <c r="E13003" s="3" t="s">
        <v>3</v>
      </c>
      <c r="F13003" s="4">
        <v>5.7899999999999996E-135</v>
      </c>
      <c r="G13003" s="3">
        <v>1058</v>
      </c>
      <c r="H13003" s="3">
        <v>44</v>
      </c>
      <c r="I13003" s="3">
        <v>512</v>
      </c>
      <c r="J13003" s="3">
        <v>250</v>
      </c>
      <c r="K13003" s="3">
        <v>1785</v>
      </c>
      <c r="L13003" s="3">
        <v>6</v>
      </c>
      <c r="M13003" s="3">
        <v>514</v>
      </c>
    </row>
    <row r="13004" spans="1:13" x14ac:dyDescent="0.25">
      <c r="A13004" s="1" t="str">
        <f>HYPERLINK("http://www.rosaceae.org/Prunus/Prunus_persica/p.persica_gdr_reftransV1_0035792","p.persica_gdr_reftransV1_0035792")</f>
        <v>p.persica_gdr_reftransV1_0035792</v>
      </c>
      <c r="B13004" s="3">
        <v>1483</v>
      </c>
      <c r="C13004" s="1" t="str">
        <f>HYPERLINK("http://www.uniprot.org/uniprot/MCCA_SOYBN","MCCA_SOYBN")</f>
        <v>MCCA_SOYBN</v>
      </c>
      <c r="D13004" t="s">
        <v>8848</v>
      </c>
      <c r="E13004" s="3" t="s">
        <v>307</v>
      </c>
      <c r="F13004" s="4">
        <v>1.0100000000000001E-37</v>
      </c>
      <c r="G13004" s="3">
        <v>380</v>
      </c>
      <c r="H13004" s="3">
        <v>67</v>
      </c>
      <c r="I13004" s="3">
        <v>144</v>
      </c>
      <c r="J13004" s="3">
        <v>1047</v>
      </c>
      <c r="K13004" s="3">
        <v>1478</v>
      </c>
      <c r="L13004" s="3">
        <v>586</v>
      </c>
      <c r="M13004" s="3">
        <v>729</v>
      </c>
    </row>
    <row r="13005" spans="1:13" x14ac:dyDescent="0.25">
      <c r="A13005" s="1" t="str">
        <f>HYPERLINK("http://www.rosaceae.org/Prunus/Prunus_persica/p.persica_gdr_reftransV1_0035942","p.persica_gdr_reftransV1_0035942")</f>
        <v>p.persica_gdr_reftransV1_0035942</v>
      </c>
      <c r="B13005" s="3">
        <v>3172</v>
      </c>
      <c r="C13005" s="1" t="str">
        <f>HYPERLINK("http://www.uniprot.org/uniprot/PMAT1_ARATH","PMAT1_ARATH")</f>
        <v>PMAT1_ARATH</v>
      </c>
      <c r="D13005" t="s">
        <v>1221</v>
      </c>
      <c r="E13005" s="3" t="s">
        <v>3</v>
      </c>
      <c r="F13005" s="4">
        <v>1.97E-86</v>
      </c>
      <c r="G13005" s="3">
        <v>749</v>
      </c>
      <c r="H13005" s="3">
        <v>39</v>
      </c>
      <c r="I13005" s="3">
        <v>476</v>
      </c>
      <c r="J13005" s="3">
        <v>370</v>
      </c>
      <c r="K13005" s="3">
        <v>1737</v>
      </c>
      <c r="L13005" s="3">
        <v>5</v>
      </c>
      <c r="M13005" s="3">
        <v>469</v>
      </c>
    </row>
    <row r="13006" spans="1:13" x14ac:dyDescent="0.25">
      <c r="A13006" s="1" t="str">
        <f>HYPERLINK("http://www.rosaceae.org/Prunus/Prunus_persica/p.persica_gdr_reftransV1_0036042","p.persica_gdr_reftransV1_0036042")</f>
        <v>p.persica_gdr_reftransV1_0036042</v>
      </c>
      <c r="B13006" s="3">
        <v>1381</v>
      </c>
      <c r="C13006" s="1" t="str">
        <f>HYPERLINK("http://www.uniprot.org/uniprot/Gid8_DICDI","Gid8_DICDI")</f>
        <v>Gid8_DICDI</v>
      </c>
      <c r="D13006" t="s">
        <v>8849</v>
      </c>
      <c r="E13006" s="3" t="s">
        <v>9</v>
      </c>
      <c r="F13006" s="4">
        <v>2.02E-83</v>
      </c>
      <c r="G13006" s="3">
        <v>672</v>
      </c>
      <c r="H13006" s="3">
        <v>63</v>
      </c>
      <c r="I13006" s="3">
        <v>220</v>
      </c>
      <c r="J13006" s="3">
        <v>349</v>
      </c>
      <c r="K13006" s="3">
        <v>1008</v>
      </c>
      <c r="L13006" s="3">
        <v>9</v>
      </c>
      <c r="M13006" s="3">
        <v>228</v>
      </c>
    </row>
    <row r="13007" spans="1:13" x14ac:dyDescent="0.25">
      <c r="A13007" s="1" t="str">
        <f>HYPERLINK("http://www.rosaceae.org/Prunus/Prunus_persica/p.persica_gdr_reftransV1_0036292","p.persica_gdr_reftransV1_0036292")</f>
        <v>p.persica_gdr_reftransV1_0036292</v>
      </c>
      <c r="B13007" s="3">
        <v>1556</v>
      </c>
      <c r="C13007" s="1" t="str">
        <f>HYPERLINK("http://www.uniprot.org/uniprot/ATL22_ARATH","ATL22_ARATH")</f>
        <v>ATL22_ARATH</v>
      </c>
      <c r="D13007" t="s">
        <v>8850</v>
      </c>
      <c r="E13007" s="3" t="s">
        <v>3</v>
      </c>
      <c r="F13007" s="4">
        <v>4.0400000000000001E-44</v>
      </c>
      <c r="G13007" s="3">
        <v>417</v>
      </c>
      <c r="H13007" s="3">
        <v>34</v>
      </c>
      <c r="I13007" s="3">
        <v>363</v>
      </c>
      <c r="J13007" s="3">
        <v>329</v>
      </c>
      <c r="K13007" s="3">
        <v>1363</v>
      </c>
      <c r="L13007" s="3">
        <v>41</v>
      </c>
      <c r="M13007" s="3">
        <v>372</v>
      </c>
    </row>
    <row r="13008" spans="1:13" x14ac:dyDescent="0.25">
      <c r="A13008" s="1" t="str">
        <f>HYPERLINK("http://www.rosaceae.org/Prunus/Prunus_persica/p.persica_gdr_reftransV1_0036442","p.persica_gdr_reftransV1_0036442")</f>
        <v>p.persica_gdr_reftransV1_0036442</v>
      </c>
      <c r="B13008" s="3">
        <v>2458</v>
      </c>
      <c r="C13008" s="1" t="str">
        <f>HYPERLINK("http://www.uniprot.org/uniprot/TLP1_PRUPE","TLP1_PRUPE")</f>
        <v>TLP1_PRUPE</v>
      </c>
      <c r="D13008" t="s">
        <v>3178</v>
      </c>
      <c r="E13008" s="3" t="s">
        <v>784</v>
      </c>
      <c r="F13008" s="4">
        <v>3.1600000000000001E-81</v>
      </c>
      <c r="G13008" s="3">
        <v>682</v>
      </c>
      <c r="H13008" s="3">
        <v>57</v>
      </c>
      <c r="I13008" s="3">
        <v>231</v>
      </c>
      <c r="J13008" s="3">
        <v>196</v>
      </c>
      <c r="K13008" s="3">
        <v>885</v>
      </c>
      <c r="L13008" s="3">
        <v>18</v>
      </c>
      <c r="M13008" s="3">
        <v>246</v>
      </c>
    </row>
    <row r="13009" spans="1:13" x14ac:dyDescent="0.25">
      <c r="A13009" s="1" t="str">
        <f>HYPERLINK("http://www.rosaceae.org/Prunus/Prunus_persica/p.persica_gdr_reftransV1_0036842","p.persica_gdr_reftransV1_0036842")</f>
        <v>p.persica_gdr_reftransV1_0036842</v>
      </c>
      <c r="B13009" s="3">
        <v>2044</v>
      </c>
      <c r="C13009" s="1" t="str">
        <f>HYPERLINK("http://www.uniprot.org/uniprot/Y5161_ARATH","Y5161_ARATH")</f>
        <v>Y5161_ARATH</v>
      </c>
      <c r="D13009" t="s">
        <v>2905</v>
      </c>
      <c r="E13009" s="3" t="s">
        <v>3</v>
      </c>
      <c r="F13009" s="4">
        <v>1.8400000000000001E-52</v>
      </c>
      <c r="G13009" s="3">
        <v>466</v>
      </c>
      <c r="H13009" s="3">
        <v>66</v>
      </c>
      <c r="I13009" s="3">
        <v>123</v>
      </c>
      <c r="J13009" s="3">
        <v>312</v>
      </c>
      <c r="K13009" s="3">
        <v>680</v>
      </c>
      <c r="L13009" s="3">
        <v>48</v>
      </c>
      <c r="M13009" s="3">
        <v>170</v>
      </c>
    </row>
    <row r="13010" spans="1:13" x14ac:dyDescent="0.25">
      <c r="A13010" s="1" t="str">
        <f>HYPERLINK("http://www.rosaceae.org/Prunus/Prunus_persica/p.persica_gdr_reftransV1_0037192","p.persica_gdr_reftransV1_0037192")</f>
        <v>p.persica_gdr_reftransV1_0037192</v>
      </c>
      <c r="B13010" s="3">
        <v>2585</v>
      </c>
      <c r="C13010" s="1" t="str">
        <f>HYPERLINK("http://www.uniprot.org/uniprot/TLC1_SOLTU","TLC1_SOLTU")</f>
        <v>TLC1_SOLTU</v>
      </c>
      <c r="D13010" t="s">
        <v>8851</v>
      </c>
      <c r="E13010" s="3" t="s">
        <v>11</v>
      </c>
      <c r="F13010" s="4">
        <v>0</v>
      </c>
      <c r="G13010" s="3">
        <v>2405</v>
      </c>
      <c r="H13010" s="3">
        <v>82</v>
      </c>
      <c r="I13010" s="3">
        <v>631</v>
      </c>
      <c r="J13010" s="3">
        <v>433</v>
      </c>
      <c r="K13010" s="3">
        <v>2292</v>
      </c>
      <c r="L13010" s="3">
        <v>1</v>
      </c>
      <c r="M13010" s="3">
        <v>631</v>
      </c>
    </row>
    <row r="13011" spans="1:13" x14ac:dyDescent="0.25">
      <c r="A13011" s="1" t="str">
        <f>HYPERLINK("http://www.rosaceae.org/Prunus/Prunus_persica/p.persica_gdr_reftransV1_0037742","p.persica_gdr_reftransV1_0037742")</f>
        <v>p.persica_gdr_reftransV1_0037742</v>
      </c>
      <c r="B13011" s="3">
        <v>3556</v>
      </c>
      <c r="C13011" s="1" t="str">
        <f>HYPERLINK("http://www.uniprot.org/uniprot/PUM8_ARATH","PUM8_ARATH")</f>
        <v>PUM8_ARATH</v>
      </c>
      <c r="D13011" t="s">
        <v>8852</v>
      </c>
      <c r="E13011" s="3" t="s">
        <v>3</v>
      </c>
      <c r="F13011" s="4">
        <v>2.9599999999999999E-33</v>
      </c>
      <c r="G13011" s="3">
        <v>352</v>
      </c>
      <c r="H13011" s="3">
        <v>48</v>
      </c>
      <c r="I13011" s="3">
        <v>148</v>
      </c>
      <c r="J13011" s="3">
        <v>719</v>
      </c>
      <c r="K13011" s="3">
        <v>1162</v>
      </c>
      <c r="L13011" s="3">
        <v>196</v>
      </c>
      <c r="M13011" s="3">
        <v>341</v>
      </c>
    </row>
    <row r="13012" spans="1:13" x14ac:dyDescent="0.25">
      <c r="A13012" s="1" t="str">
        <f>HYPERLINK("http://www.rosaceae.org/Prunus/Prunus_persica/p.persica_gdr_reftransV1_0037892","p.persica_gdr_reftransV1_0037892")</f>
        <v>p.persica_gdr_reftransV1_0037892</v>
      </c>
      <c r="B13012" s="3">
        <v>3358</v>
      </c>
      <c r="C13012" s="1" t="str">
        <f>HYPERLINK("http://www.uniprot.org/uniprot/YC22_ARATH","YC22_ARATH")</f>
        <v>YC22_ARATH</v>
      </c>
      <c r="D13012" t="s">
        <v>8676</v>
      </c>
      <c r="E13012" s="3" t="s">
        <v>3</v>
      </c>
      <c r="F13012" s="4">
        <v>1.8200000000000001E-89</v>
      </c>
      <c r="G13012" s="3">
        <v>774</v>
      </c>
      <c r="H13012" s="3">
        <v>80</v>
      </c>
      <c r="I13012" s="3">
        <v>171</v>
      </c>
      <c r="J13012" s="3">
        <v>1358</v>
      </c>
      <c r="K13012" s="3">
        <v>1870</v>
      </c>
      <c r="L13012" s="3">
        <v>167</v>
      </c>
      <c r="M13012" s="3">
        <v>337</v>
      </c>
    </row>
    <row r="13013" spans="1:13" x14ac:dyDescent="0.25">
      <c r="A13013" s="1" t="str">
        <f>HYPERLINK("http://www.rosaceae.org/Prunus/Prunus_persica/p.persica_gdr_reftransV1_0038042","p.persica_gdr_reftransV1_0038042")</f>
        <v>p.persica_gdr_reftransV1_0038042</v>
      </c>
      <c r="B13013" s="3">
        <v>1825</v>
      </c>
      <c r="C13013" s="1" t="str">
        <f>HYPERLINK("http://www.uniprot.org/uniprot/RTNLP_ARATH","RTNLP_ARATH")</f>
        <v>RTNLP_ARATH</v>
      </c>
      <c r="D13013" t="s">
        <v>8853</v>
      </c>
      <c r="E13013" s="3" t="s">
        <v>3</v>
      </c>
      <c r="F13013" s="4">
        <v>9.4600000000000005E-49</v>
      </c>
      <c r="G13013" s="3">
        <v>299</v>
      </c>
      <c r="H13013" s="3">
        <v>74</v>
      </c>
      <c r="I13013" s="3">
        <v>73</v>
      </c>
      <c r="J13013" s="3">
        <v>757</v>
      </c>
      <c r="K13013" s="3">
        <v>975</v>
      </c>
      <c r="L13013" s="3">
        <v>100</v>
      </c>
      <c r="M13013" s="3">
        <v>172</v>
      </c>
    </row>
    <row r="13014" spans="1:13" x14ac:dyDescent="0.25">
      <c r="A13014" s="1" t="str">
        <f>HYPERLINK("http://www.rosaceae.org/Prunus/Prunus_persica/p.persica_gdr_reftransV1_0038692","p.persica_gdr_reftransV1_0038692")</f>
        <v>p.persica_gdr_reftransV1_0038692</v>
      </c>
      <c r="B13014" s="3">
        <v>7157</v>
      </c>
      <c r="C13014" s="1" t="str">
        <f>HYPERLINK("http://www.uniprot.org/uniprot/ASHH2_ARATH","ASHH2_ARATH")</f>
        <v>ASHH2_ARATH</v>
      </c>
      <c r="D13014" t="s">
        <v>8854</v>
      </c>
      <c r="E13014" s="3" t="s">
        <v>3</v>
      </c>
      <c r="F13014" s="4">
        <v>0</v>
      </c>
      <c r="G13014" s="3">
        <v>1881</v>
      </c>
      <c r="H13014" s="3">
        <v>44</v>
      </c>
      <c r="I13014" s="3">
        <v>1024</v>
      </c>
      <c r="J13014" s="3">
        <v>787</v>
      </c>
      <c r="K13014" s="3">
        <v>3804</v>
      </c>
      <c r="L13014" s="3">
        <v>760</v>
      </c>
      <c r="M13014" s="3">
        <v>1654</v>
      </c>
    </row>
    <row r="13015" spans="1:13" x14ac:dyDescent="0.25">
      <c r="A13015" s="1" t="str">
        <f>HYPERLINK("http://www.rosaceae.org/Prunus/Prunus_persica/p.persica_gdr_reftransV1_0038842","p.persica_gdr_reftransV1_0038842")</f>
        <v>p.persica_gdr_reftransV1_0038842</v>
      </c>
      <c r="B13015" s="3">
        <v>1866</v>
      </c>
      <c r="C13015" s="1" t="str">
        <f>HYPERLINK("http://www.uniprot.org/uniprot/LHWL1_ARATH","LHWL1_ARATH")</f>
        <v>LHWL1_ARATH</v>
      </c>
      <c r="D13015" t="s">
        <v>8855</v>
      </c>
      <c r="E13015" s="3" t="s">
        <v>3</v>
      </c>
      <c r="F13015" s="4">
        <v>1.25E-14</v>
      </c>
      <c r="G13015" s="3">
        <v>124</v>
      </c>
      <c r="H13015" s="3">
        <v>31</v>
      </c>
      <c r="I13015" s="3">
        <v>94</v>
      </c>
      <c r="J13015" s="3">
        <v>386</v>
      </c>
      <c r="K13015" s="3">
        <v>655</v>
      </c>
      <c r="L13015" s="3">
        <v>4</v>
      </c>
      <c r="M13015" s="3">
        <v>82</v>
      </c>
    </row>
    <row r="13016" spans="1:13" x14ac:dyDescent="0.25">
      <c r="A13016" s="1" t="str">
        <f>HYPERLINK("http://www.rosaceae.org/Prunus/Prunus_persica/p.persica_gdr_reftransV1_0039142","p.persica_gdr_reftransV1_0039142")</f>
        <v>p.persica_gdr_reftransV1_0039142</v>
      </c>
      <c r="B13016" s="3">
        <v>2075</v>
      </c>
      <c r="C13016" s="1" t="str">
        <f>HYPERLINK("http://www.uniprot.org/uniprot/NUCL2_ORYSJ","NUCL2_ORYSJ")</f>
        <v>NUCL2_ORYSJ</v>
      </c>
      <c r="D13016" t="s">
        <v>2434</v>
      </c>
      <c r="E13016" s="3" t="s">
        <v>38</v>
      </c>
      <c r="F13016" s="4">
        <v>1.24E-57</v>
      </c>
      <c r="G13016" s="3">
        <v>541</v>
      </c>
      <c r="H13016" s="3">
        <v>60</v>
      </c>
      <c r="I13016" s="3">
        <v>188</v>
      </c>
      <c r="J13016" s="3">
        <v>1236</v>
      </c>
      <c r="K13016" s="3">
        <v>1784</v>
      </c>
      <c r="L13016" s="3">
        <v>408</v>
      </c>
      <c r="M13016" s="3">
        <v>595</v>
      </c>
    </row>
    <row r="13017" spans="1:13" x14ac:dyDescent="0.25">
      <c r="A13017" s="1" t="str">
        <f>HYPERLINK("http://www.rosaceae.org/Prunus/Prunus_persica/p.persica_gdr_reftransV1_0039192","p.persica_gdr_reftransV1_0039192")</f>
        <v>p.persica_gdr_reftransV1_0039192</v>
      </c>
      <c r="B13017" s="3">
        <v>1332</v>
      </c>
      <c r="C13017" s="1" t="str">
        <f>HYPERLINK("http://www.uniprot.org/uniprot/CDA1_ARATH","CDA1_ARATH")</f>
        <v>CDA1_ARATH</v>
      </c>
      <c r="D13017" t="s">
        <v>8856</v>
      </c>
      <c r="E13017" s="3" t="s">
        <v>3</v>
      </c>
      <c r="F13017" s="4">
        <v>8.5699999999999995E-129</v>
      </c>
      <c r="G13017" s="3">
        <v>979</v>
      </c>
      <c r="H13017" s="3">
        <v>65</v>
      </c>
      <c r="I13017" s="3">
        <v>298</v>
      </c>
      <c r="J13017" s="3">
        <v>98</v>
      </c>
      <c r="K13017" s="3">
        <v>979</v>
      </c>
      <c r="L13017" s="3">
        <v>1</v>
      </c>
      <c r="M13017" s="3">
        <v>298</v>
      </c>
    </row>
    <row r="13018" spans="1:13" x14ac:dyDescent="0.25">
      <c r="A13018" s="1" t="str">
        <f>HYPERLINK("http://www.rosaceae.org/Prunus/Prunus_persica/p.persica_gdr_reftransV1_0039342","p.persica_gdr_reftransV1_0039342")</f>
        <v>p.persica_gdr_reftransV1_0039342</v>
      </c>
      <c r="B13018" s="3">
        <v>2513</v>
      </c>
      <c r="C13018" s="1" t="str">
        <f>HYPERLINK("http://www.uniprot.org/uniprot/CASP_ARATH","CASP_ARATH")</f>
        <v>CASP_ARATH</v>
      </c>
      <c r="D13018" t="s">
        <v>8857</v>
      </c>
      <c r="E13018" s="3" t="s">
        <v>3</v>
      </c>
      <c r="F13018" s="4">
        <v>0</v>
      </c>
      <c r="G13018" s="3">
        <v>1464</v>
      </c>
      <c r="H13018" s="3">
        <v>80</v>
      </c>
      <c r="I13018" s="3">
        <v>411</v>
      </c>
      <c r="J13018" s="3">
        <v>1075</v>
      </c>
      <c r="K13018" s="3">
        <v>2307</v>
      </c>
      <c r="L13018" s="3">
        <v>279</v>
      </c>
      <c r="M13018" s="3">
        <v>689</v>
      </c>
    </row>
    <row r="13019" spans="1:13" x14ac:dyDescent="0.25">
      <c r="A13019" s="1" t="str">
        <f>HYPERLINK("http://www.rosaceae.org/Prunus/Prunus_persica/p.persica_gdr_reftransV1_0039392","p.persica_gdr_reftransV1_0039392")</f>
        <v>p.persica_gdr_reftransV1_0039392</v>
      </c>
      <c r="B13019" s="3">
        <v>3008</v>
      </c>
      <c r="C13019" s="1" t="str">
        <f>HYPERLINK("http://www.uniprot.org/uniprot/MACP2_ARATH","MACP2_ARATH")</f>
        <v>MACP2_ARATH</v>
      </c>
      <c r="D13019" t="s">
        <v>8472</v>
      </c>
      <c r="E13019" s="3" t="s">
        <v>3</v>
      </c>
      <c r="F13019" s="4">
        <v>1.0799999999999999E-164</v>
      </c>
      <c r="G13019" s="3">
        <v>1297</v>
      </c>
      <c r="H13019" s="3">
        <v>68</v>
      </c>
      <c r="I13019" s="3">
        <v>375</v>
      </c>
      <c r="J13019" s="3">
        <v>244</v>
      </c>
      <c r="K13019" s="3">
        <v>1362</v>
      </c>
      <c r="L13019" s="3">
        <v>15</v>
      </c>
      <c r="M13019" s="3">
        <v>379</v>
      </c>
    </row>
    <row r="13020" spans="1:13" x14ac:dyDescent="0.25">
      <c r="A13020" s="1" t="str">
        <f>HYPERLINK("http://www.rosaceae.org/Prunus/Prunus_persica/p.persica_gdr_reftransV1_0039592","p.persica_gdr_reftransV1_0039592")</f>
        <v>p.persica_gdr_reftransV1_0039592</v>
      </c>
      <c r="B13020" s="3">
        <v>1863</v>
      </c>
      <c r="C13020" s="1" t="str">
        <f>HYPERLINK("http://www.uniprot.org/uniprot/SK3_ORYSJ","SK3_ORYSJ")</f>
        <v>SK3_ORYSJ</v>
      </c>
      <c r="D13020" t="s">
        <v>8858</v>
      </c>
      <c r="E13020" s="3" t="s">
        <v>38</v>
      </c>
      <c r="F13020" s="4">
        <v>1.24E-67</v>
      </c>
      <c r="G13020" s="3">
        <v>581</v>
      </c>
      <c r="H13020" s="3">
        <v>68</v>
      </c>
      <c r="I13020" s="3">
        <v>161</v>
      </c>
      <c r="J13020" s="3">
        <v>359</v>
      </c>
      <c r="K13020" s="3">
        <v>841</v>
      </c>
      <c r="L13020" s="3">
        <v>122</v>
      </c>
      <c r="M13020" s="3">
        <v>282</v>
      </c>
    </row>
    <row r="13021" spans="1:13" x14ac:dyDescent="0.25">
      <c r="A13021" s="1" t="str">
        <f>HYPERLINK("http://www.rosaceae.org/Prunus/Prunus_persica/p.persica_gdr_reftransV1_0039642","p.persica_gdr_reftransV1_0039642")</f>
        <v>p.persica_gdr_reftransV1_0039642</v>
      </c>
      <c r="B13021" s="3">
        <v>2630</v>
      </c>
      <c r="C13021" s="1" t="str">
        <f>HYPERLINK("http://www.uniprot.org/uniprot/YCF36_PORPU","YCF36_PORPU")</f>
        <v>YCF36_PORPU</v>
      </c>
      <c r="D13021" t="s">
        <v>8859</v>
      </c>
      <c r="E13021" s="3" t="s">
        <v>694</v>
      </c>
      <c r="F13021" s="4">
        <v>2.9000000000000002E-22</v>
      </c>
      <c r="G13021" s="3">
        <v>248</v>
      </c>
      <c r="H13021" s="3">
        <v>41</v>
      </c>
      <c r="I13021" s="3">
        <v>122</v>
      </c>
      <c r="J13021" s="3">
        <v>413</v>
      </c>
      <c r="K13021" s="3">
        <v>778</v>
      </c>
      <c r="L13021" s="3">
        <v>5</v>
      </c>
      <c r="M13021" s="3">
        <v>125</v>
      </c>
    </row>
    <row r="13022" spans="1:13" x14ac:dyDescent="0.25">
      <c r="A13022" s="1" t="str">
        <f>HYPERLINK("http://www.rosaceae.org/Prunus/Prunus_persica/p.persica_gdr_reftransV1_0040042","p.persica_gdr_reftransV1_0040042")</f>
        <v>p.persica_gdr_reftransV1_0040042</v>
      </c>
      <c r="B13022" s="3">
        <v>4472</v>
      </c>
      <c r="C13022" s="1" t="str">
        <f>HYPERLINK("http://www.uniprot.org/uniprot/TCPG_ARATH","TCPG_ARATH")</f>
        <v>TCPG_ARATH</v>
      </c>
      <c r="D13022" t="s">
        <v>8860</v>
      </c>
      <c r="E13022" s="3" t="s">
        <v>3</v>
      </c>
      <c r="F13022" s="4">
        <v>8.3400000000000004E-107</v>
      </c>
      <c r="G13022" s="3">
        <v>914</v>
      </c>
      <c r="H13022" s="3">
        <v>85</v>
      </c>
      <c r="I13022" s="3">
        <v>209</v>
      </c>
      <c r="J13022" s="3">
        <v>357</v>
      </c>
      <c r="K13022" s="3">
        <v>983</v>
      </c>
      <c r="L13022" s="3">
        <v>348</v>
      </c>
      <c r="M13022" s="3">
        <v>555</v>
      </c>
    </row>
    <row r="13023" spans="1:13" x14ac:dyDescent="0.25">
      <c r="A13023" s="1" t="str">
        <f>HYPERLINK("http://www.rosaceae.org/Prunus/Prunus_persica/p.persica_gdr_reftransV1_0040092","p.persica_gdr_reftransV1_0040092")</f>
        <v>p.persica_gdr_reftransV1_0040092</v>
      </c>
      <c r="B13023" s="3">
        <v>2294</v>
      </c>
      <c r="C13023" s="1" t="str">
        <f>HYPERLINK("http://www.uniprot.org/uniprot/DCN1L_DROME","DCN1L_DROME")</f>
        <v>DCN1L_DROME</v>
      </c>
      <c r="D13023" t="s">
        <v>5451</v>
      </c>
      <c r="E13023" s="3" t="s">
        <v>5</v>
      </c>
      <c r="F13023" s="4">
        <v>1.92E-21</v>
      </c>
      <c r="G13023" s="3">
        <v>247</v>
      </c>
      <c r="H13023" s="3">
        <v>48</v>
      </c>
      <c r="I13023" s="3">
        <v>92</v>
      </c>
      <c r="J13023" s="3">
        <v>310</v>
      </c>
      <c r="K13023" s="3">
        <v>585</v>
      </c>
      <c r="L13023" s="3">
        <v>165</v>
      </c>
      <c r="M13023" s="3">
        <v>255</v>
      </c>
    </row>
    <row r="13024" spans="1:13" x14ac:dyDescent="0.25">
      <c r="A13024" s="1" t="str">
        <f>HYPERLINK("http://www.rosaceae.org/Prunus/Prunus_persica/p.persica_gdr_reftransV1_0040142","p.persica_gdr_reftransV1_0040142")</f>
        <v>p.persica_gdr_reftransV1_0040142</v>
      </c>
      <c r="B13024" s="3">
        <v>2027</v>
      </c>
      <c r="C13024" s="1" t="str">
        <f>HYPERLINK("http://www.uniprot.org/uniprot/CSN4_ARATH","CSN4_ARATH")</f>
        <v>CSN4_ARATH</v>
      </c>
      <c r="D13024" t="s">
        <v>8861</v>
      </c>
      <c r="E13024" s="3" t="s">
        <v>3</v>
      </c>
      <c r="F13024" s="4">
        <v>0</v>
      </c>
      <c r="G13024" s="3">
        <v>1559</v>
      </c>
      <c r="H13024" s="3">
        <v>84</v>
      </c>
      <c r="I13024" s="3">
        <v>353</v>
      </c>
      <c r="J13024" s="3">
        <v>809</v>
      </c>
      <c r="K13024" s="3">
        <v>1861</v>
      </c>
      <c r="L13024" s="3">
        <v>1</v>
      </c>
      <c r="M13024" s="3">
        <v>353</v>
      </c>
    </row>
    <row r="13025" spans="1:13" x14ac:dyDescent="0.25">
      <c r="A13025" s="1" t="str">
        <f>HYPERLINK("http://www.rosaceae.org/Prunus/Prunus_persica/p.persica_gdr_reftransV1_0040342","p.persica_gdr_reftransV1_0040342")</f>
        <v>p.persica_gdr_reftransV1_0040342</v>
      </c>
      <c r="B13025" s="3">
        <v>2764</v>
      </c>
      <c r="C13025" s="1" t="str">
        <f>HYPERLINK("http://www.uniprot.org/uniprot/RING1_ARATH","RING1_ARATH")</f>
        <v>RING1_ARATH</v>
      </c>
      <c r="D13025" t="s">
        <v>3472</v>
      </c>
      <c r="E13025" s="3" t="s">
        <v>3</v>
      </c>
      <c r="F13025" s="4">
        <v>1.34E-11</v>
      </c>
      <c r="G13025" s="3">
        <v>173</v>
      </c>
      <c r="H13025" s="3">
        <v>65</v>
      </c>
      <c r="I13025" s="3">
        <v>48</v>
      </c>
      <c r="J13025" s="3">
        <v>556</v>
      </c>
      <c r="K13025" s="3">
        <v>699</v>
      </c>
      <c r="L13025" s="3">
        <v>353</v>
      </c>
      <c r="M13025" s="3">
        <v>400</v>
      </c>
    </row>
    <row r="13026" spans="1:13" x14ac:dyDescent="0.25">
      <c r="A13026" s="1" t="str">
        <f>HYPERLINK("http://www.rosaceae.org/Prunus/Prunus_persica/p.persica_gdr_reftransV1_0040392","p.persica_gdr_reftransV1_0040392")</f>
        <v>p.persica_gdr_reftransV1_0040392</v>
      </c>
      <c r="B13026" s="3">
        <v>2837</v>
      </c>
      <c r="C13026" s="1" t="str">
        <f>HYPERLINK("http://www.uniprot.org/uniprot/MD26B_ARATH","MD26B_ARATH")</f>
        <v>MD26B_ARATH</v>
      </c>
      <c r="D13026" t="s">
        <v>8862</v>
      </c>
      <c r="E13026" s="3" t="s">
        <v>3</v>
      </c>
      <c r="F13026" s="4">
        <v>3.1699999999999999E-92</v>
      </c>
      <c r="G13026" s="3">
        <v>782</v>
      </c>
      <c r="H13026" s="3">
        <v>44</v>
      </c>
      <c r="I13026" s="3">
        <v>489</v>
      </c>
      <c r="J13026" s="3">
        <v>673</v>
      </c>
      <c r="K13026" s="3">
        <v>2100</v>
      </c>
      <c r="L13026" s="3">
        <v>4</v>
      </c>
      <c r="M13026" s="3">
        <v>434</v>
      </c>
    </row>
    <row r="13027" spans="1:13" x14ac:dyDescent="0.25">
      <c r="A13027" s="1" t="str">
        <f>HYPERLINK("http://www.rosaceae.org/Prunus/Prunus_persica/p.persica_gdr_reftransV1_0040442","p.persica_gdr_reftransV1_0040442")</f>
        <v>p.persica_gdr_reftransV1_0040442</v>
      </c>
      <c r="B13027" s="3">
        <v>1490</v>
      </c>
      <c r="C13027" s="1" t="str">
        <f>HYPERLINK("http://www.uniprot.org/uniprot/ARF1_BRARP","ARF1_BRARP")</f>
        <v>ARF1_BRARP</v>
      </c>
      <c r="D13027" t="s">
        <v>8863</v>
      </c>
      <c r="E13027" s="3" t="s">
        <v>3967</v>
      </c>
      <c r="F13027" s="4">
        <v>1.7699999999999999E-114</v>
      </c>
      <c r="G13027" s="3">
        <v>877</v>
      </c>
      <c r="H13027" s="3">
        <v>92</v>
      </c>
      <c r="I13027" s="3">
        <v>174</v>
      </c>
      <c r="J13027" s="3">
        <v>692</v>
      </c>
      <c r="K13027" s="3">
        <v>1213</v>
      </c>
      <c r="L13027" s="3">
        <v>1</v>
      </c>
      <c r="M13027" s="3">
        <v>174</v>
      </c>
    </row>
    <row r="13028" spans="1:13" x14ac:dyDescent="0.25">
      <c r="A13028" s="1" t="str">
        <f>HYPERLINK("http://www.rosaceae.org/Prunus/Prunus_persica/p.persica_gdr_reftransV1_0040742","p.persica_gdr_reftransV1_0040742")</f>
        <v>p.persica_gdr_reftransV1_0040742</v>
      </c>
      <c r="B13028" s="3">
        <v>2462</v>
      </c>
      <c r="C13028" s="1" t="str">
        <f>HYPERLINK("http://www.uniprot.org/uniprot/Y1491_ARATH","Y1491_ARATH")</f>
        <v>Y1491_ARATH</v>
      </c>
      <c r="D13028" t="s">
        <v>310</v>
      </c>
      <c r="E13028" s="3" t="s">
        <v>3</v>
      </c>
      <c r="F13028" s="4">
        <v>0</v>
      </c>
      <c r="G13028" s="3">
        <v>1823</v>
      </c>
      <c r="H13028" s="3">
        <v>84</v>
      </c>
      <c r="I13028" s="3">
        <v>390</v>
      </c>
      <c r="J13028" s="3">
        <v>780</v>
      </c>
      <c r="K13028" s="3">
        <v>1949</v>
      </c>
      <c r="L13028" s="3">
        <v>107</v>
      </c>
      <c r="M13028" s="3">
        <v>496</v>
      </c>
    </row>
    <row r="13029" spans="1:13" x14ac:dyDescent="0.25">
      <c r="A13029" s="1" t="str">
        <f>HYPERLINK("http://www.rosaceae.org/Prunus/Prunus_persica/p.persica_gdr_reftransV1_0040792","p.persica_gdr_reftransV1_0040792")</f>
        <v>p.persica_gdr_reftransV1_0040792</v>
      </c>
      <c r="B13029" s="3">
        <v>5121</v>
      </c>
      <c r="C13029" s="1" t="str">
        <f>HYPERLINK("http://www.uniprot.org/uniprot/PIF1_SCHPO","PIF1_SCHPO")</f>
        <v>PIF1_SCHPO</v>
      </c>
      <c r="D13029" t="s">
        <v>8864</v>
      </c>
      <c r="E13029" s="3" t="s">
        <v>464</v>
      </c>
      <c r="F13029" s="4">
        <v>1.1500000000000001E-89</v>
      </c>
      <c r="G13029" s="3">
        <v>810</v>
      </c>
      <c r="H13029" s="3">
        <v>38</v>
      </c>
      <c r="I13029" s="3">
        <v>530</v>
      </c>
      <c r="J13029" s="3">
        <v>393</v>
      </c>
      <c r="K13029" s="3">
        <v>1799</v>
      </c>
      <c r="L13029" s="3">
        <v>259</v>
      </c>
      <c r="M13029" s="3">
        <v>783</v>
      </c>
    </row>
    <row r="13030" spans="1:13" x14ac:dyDescent="0.25">
      <c r="A13030" s="1" t="str">
        <f>HYPERLINK("http://www.rosaceae.org/Prunus/Prunus_persica/p.persica_gdr_reftransV1_0041592","p.persica_gdr_reftransV1_0041592")</f>
        <v>p.persica_gdr_reftransV1_0041592</v>
      </c>
      <c r="B13030" s="3">
        <v>2850</v>
      </c>
      <c r="C13030" s="1" t="str">
        <f>HYPERLINK("http://www.uniprot.org/uniprot/P2C76_ARATH","P2C76_ARATH")</f>
        <v>P2C76_ARATH</v>
      </c>
      <c r="D13030" t="s">
        <v>4165</v>
      </c>
      <c r="E13030" s="3" t="s">
        <v>3</v>
      </c>
      <c r="F13030" s="4">
        <v>3.7299999999999999E-59</v>
      </c>
      <c r="G13030" s="3">
        <v>542</v>
      </c>
      <c r="H13030" s="3">
        <v>89</v>
      </c>
      <c r="I13030" s="3">
        <v>112</v>
      </c>
      <c r="J13030" s="3">
        <v>1479</v>
      </c>
      <c r="K13030" s="3">
        <v>1814</v>
      </c>
      <c r="L13030" s="3">
        <v>172</v>
      </c>
      <c r="M13030" s="3">
        <v>283</v>
      </c>
    </row>
    <row r="13031" spans="1:13" x14ac:dyDescent="0.25">
      <c r="A13031" s="1" t="str">
        <f>HYPERLINK("http://www.rosaceae.org/Prunus/Prunus_persica/p.persica_gdr_reftransV1_0041792","p.persica_gdr_reftransV1_0041792")</f>
        <v>p.persica_gdr_reftransV1_0041792</v>
      </c>
      <c r="B13031" s="3">
        <v>3138</v>
      </c>
      <c r="C13031" s="1" t="str">
        <f>HYPERLINK("http://www.uniprot.org/uniprot/RIR1_ARATH","RIR1_ARATH")</f>
        <v>RIR1_ARATH</v>
      </c>
      <c r="D13031" t="s">
        <v>5238</v>
      </c>
      <c r="E13031" s="3" t="s">
        <v>3</v>
      </c>
      <c r="F13031" s="4">
        <v>0</v>
      </c>
      <c r="G13031" s="3">
        <v>3813</v>
      </c>
      <c r="H13031" s="3">
        <v>88</v>
      </c>
      <c r="I13031" s="3">
        <v>816</v>
      </c>
      <c r="J13031" s="3">
        <v>445</v>
      </c>
      <c r="K13031" s="3">
        <v>2868</v>
      </c>
      <c r="L13031" s="3">
        <v>1</v>
      </c>
      <c r="M13031" s="3">
        <v>816</v>
      </c>
    </row>
    <row r="13032" spans="1:13" x14ac:dyDescent="0.25">
      <c r="A13032" s="1" t="str">
        <f>HYPERLINK("http://www.rosaceae.org/Prunus/Prunus_persica/p.persica_gdr_reftransV1_0042092","p.persica_gdr_reftransV1_0042092")</f>
        <v>p.persica_gdr_reftransV1_0042092</v>
      </c>
      <c r="B13032" s="3">
        <v>656</v>
      </c>
      <c r="C13032" s="1" t="str">
        <f>HYPERLINK("http://www.uniprot.org/uniprot/MDHC_MEDSA","MDHC_MEDSA")</f>
        <v>MDHC_MEDSA</v>
      </c>
      <c r="D13032" t="s">
        <v>8200</v>
      </c>
      <c r="E13032" s="3" t="s">
        <v>515</v>
      </c>
      <c r="F13032" s="4">
        <v>2.08E-125</v>
      </c>
      <c r="G13032" s="3">
        <v>936</v>
      </c>
      <c r="H13032" s="3">
        <v>88</v>
      </c>
      <c r="I13032" s="3">
        <v>198</v>
      </c>
      <c r="J13032" s="3">
        <v>2</v>
      </c>
      <c r="K13032" s="3">
        <v>595</v>
      </c>
      <c r="L13032" s="3">
        <v>15</v>
      </c>
      <c r="M13032" s="3">
        <v>212</v>
      </c>
    </row>
    <row r="13033" spans="1:13" x14ac:dyDescent="0.25">
      <c r="A13033" s="1" t="str">
        <f>HYPERLINK("http://www.rosaceae.org/Prunus/Prunus_persica/p.persica_gdr_reftransV1_0042142","p.persica_gdr_reftransV1_0042142")</f>
        <v>p.persica_gdr_reftransV1_0042142</v>
      </c>
      <c r="B13033" s="3">
        <v>432</v>
      </c>
      <c r="C13033" s="1" t="str">
        <f>HYPERLINK("http://www.uniprot.org/uniprot/EFR_ARATH","EFR_ARATH")</f>
        <v>EFR_ARATH</v>
      </c>
      <c r="D13033" t="s">
        <v>692</v>
      </c>
      <c r="E13033" s="3" t="s">
        <v>3</v>
      </c>
      <c r="F13033" s="4">
        <v>1.2100000000000001E-24</v>
      </c>
      <c r="G13033" s="3">
        <v>259</v>
      </c>
      <c r="H13033" s="3">
        <v>40</v>
      </c>
      <c r="I13033" s="3">
        <v>141</v>
      </c>
      <c r="J13033" s="3">
        <v>9</v>
      </c>
      <c r="K13033" s="3">
        <v>431</v>
      </c>
      <c r="L13033" s="3">
        <v>474</v>
      </c>
      <c r="M13033" s="3">
        <v>613</v>
      </c>
    </row>
    <row r="13034" spans="1:13" x14ac:dyDescent="0.25">
      <c r="A13034" s="1" t="str">
        <f>HYPERLINK("http://www.rosaceae.org/Prunus/Prunus_persica/p.persica_gdr_reftransV1_0042192","p.persica_gdr_reftransV1_0042192")</f>
        <v>p.persica_gdr_reftransV1_0042192</v>
      </c>
      <c r="B13034" s="3">
        <v>3883</v>
      </c>
      <c r="C13034" s="1" t="str">
        <f>HYPERLINK("http://www.uniprot.org/uniprot/COV1_ARATH","COV1_ARATH")</f>
        <v>COV1_ARATH</v>
      </c>
      <c r="D13034" t="s">
        <v>6637</v>
      </c>
      <c r="E13034" s="3" t="s">
        <v>3</v>
      </c>
      <c r="F13034" s="4">
        <v>1.0500000000000001E-40</v>
      </c>
      <c r="G13034" s="3">
        <v>397</v>
      </c>
      <c r="H13034" s="3">
        <v>66</v>
      </c>
      <c r="I13034" s="3">
        <v>122</v>
      </c>
      <c r="J13034" s="3">
        <v>1314</v>
      </c>
      <c r="K13034" s="3">
        <v>1679</v>
      </c>
      <c r="L13034" s="3">
        <v>104</v>
      </c>
      <c r="M13034" s="3">
        <v>196</v>
      </c>
    </row>
    <row r="13035" spans="1:13" x14ac:dyDescent="0.25">
      <c r="A13035" s="1" t="str">
        <f>HYPERLINK("http://www.rosaceae.org/Prunus/Prunus_persica/p.persica_gdr_reftransV1_0042592","p.persica_gdr_reftransV1_0042592")</f>
        <v>p.persica_gdr_reftransV1_0042592</v>
      </c>
      <c r="B13035" s="3">
        <v>2724</v>
      </c>
      <c r="C13035" s="1" t="str">
        <f>HYPERLINK("http://www.uniprot.org/uniprot/MGAT1_ARATH","MGAT1_ARATH")</f>
        <v>MGAT1_ARATH</v>
      </c>
      <c r="D13035" t="s">
        <v>8865</v>
      </c>
      <c r="E13035" s="3" t="s">
        <v>3</v>
      </c>
      <c r="F13035" s="4">
        <v>2.9E-121</v>
      </c>
      <c r="G13035" s="3">
        <v>981</v>
      </c>
      <c r="H13035" s="3">
        <v>73</v>
      </c>
      <c r="I13035" s="3">
        <v>256</v>
      </c>
      <c r="J13035" s="3">
        <v>323</v>
      </c>
      <c r="K13035" s="3">
        <v>1090</v>
      </c>
      <c r="L13035" s="3">
        <v>1</v>
      </c>
      <c r="M13035" s="3">
        <v>256</v>
      </c>
    </row>
    <row r="13036" spans="1:13" x14ac:dyDescent="0.25">
      <c r="A13036" s="1" t="str">
        <f>HYPERLINK("http://www.rosaceae.org/Prunus/Prunus_persica/p.persica_gdr_reftransV1_0042792","p.persica_gdr_reftransV1_0042792")</f>
        <v>p.persica_gdr_reftransV1_0042792</v>
      </c>
      <c r="B13036" s="3">
        <v>1816</v>
      </c>
      <c r="C13036" s="1" t="str">
        <f>HYPERLINK("http://www.uniprot.org/uniprot/OPR2_ARATH","OPR2_ARATH")</f>
        <v>OPR2_ARATH</v>
      </c>
      <c r="D13036" t="s">
        <v>6447</v>
      </c>
      <c r="E13036" s="3" t="s">
        <v>3</v>
      </c>
      <c r="F13036" s="4">
        <v>7.6399999999999994E-114</v>
      </c>
      <c r="G13036" s="3">
        <v>901</v>
      </c>
      <c r="H13036" s="3">
        <v>80</v>
      </c>
      <c r="I13036" s="3">
        <v>197</v>
      </c>
      <c r="J13036" s="3">
        <v>278</v>
      </c>
      <c r="K13036" s="3">
        <v>868</v>
      </c>
      <c r="L13036" s="3">
        <v>178</v>
      </c>
      <c r="M13036" s="3">
        <v>374</v>
      </c>
    </row>
    <row r="13037" spans="1:13" x14ac:dyDescent="0.25">
      <c r="A13037" s="1" t="str">
        <f>HYPERLINK("http://www.rosaceae.org/Prunus/Prunus_persica/p.persica_gdr_reftransV1_0042842","p.persica_gdr_reftransV1_0042842")</f>
        <v>p.persica_gdr_reftransV1_0042842</v>
      </c>
      <c r="B13037" s="3">
        <v>5786</v>
      </c>
      <c r="C13037" s="1" t="str">
        <f>HYPERLINK("http://www.uniprot.org/uniprot/OTU_ARATH","OTU_ARATH")</f>
        <v>OTU_ARATH</v>
      </c>
      <c r="D13037" t="s">
        <v>2595</v>
      </c>
      <c r="E13037" s="3" t="s">
        <v>3</v>
      </c>
      <c r="F13037" s="4">
        <v>1.8199999999999999E-39</v>
      </c>
      <c r="G13037" s="3">
        <v>394</v>
      </c>
      <c r="H13037" s="3">
        <v>73</v>
      </c>
      <c r="I13037" s="3">
        <v>92</v>
      </c>
      <c r="J13037" s="3">
        <v>799</v>
      </c>
      <c r="K13037" s="3">
        <v>1074</v>
      </c>
      <c r="L13037" s="3">
        <v>212</v>
      </c>
      <c r="M13037" s="3">
        <v>303</v>
      </c>
    </row>
    <row r="13038" spans="1:13" x14ac:dyDescent="0.25">
      <c r="A13038" s="1" t="str">
        <f>HYPERLINK("http://www.rosaceae.org/Prunus/Prunus_persica/p.persica_gdr_reftransV1_0043042","p.persica_gdr_reftransV1_0043042")</f>
        <v>p.persica_gdr_reftransV1_0043042</v>
      </c>
      <c r="B13038" s="3">
        <v>959</v>
      </c>
      <c r="C13038" s="1" t="str">
        <f>HYPERLINK("http://www.uniprot.org/uniprot/LBP65_ARATH","LBP65_ARATH")</f>
        <v>LBP65_ARATH</v>
      </c>
      <c r="D13038" t="s">
        <v>7990</v>
      </c>
      <c r="E13038" s="3" t="s">
        <v>3</v>
      </c>
      <c r="F13038" s="4">
        <v>3.4200000000000002E-23</v>
      </c>
      <c r="G13038" s="3">
        <v>241</v>
      </c>
      <c r="H13038" s="3">
        <v>56</v>
      </c>
      <c r="I13038" s="3">
        <v>80</v>
      </c>
      <c r="J13038" s="3">
        <v>413</v>
      </c>
      <c r="K13038" s="3">
        <v>652</v>
      </c>
      <c r="L13038" s="3">
        <v>49</v>
      </c>
      <c r="M13038" s="3">
        <v>128</v>
      </c>
    </row>
    <row r="13039" spans="1:13" x14ac:dyDescent="0.25">
      <c r="A13039" s="1" t="str">
        <f>HYPERLINK("http://www.rosaceae.org/Prunus/Prunus_persica/p.persica_gdr_reftransV1_0043142","p.persica_gdr_reftransV1_0043142")</f>
        <v>p.persica_gdr_reftransV1_0043142</v>
      </c>
      <c r="B13039" s="3">
        <v>851</v>
      </c>
      <c r="C13039" s="1" t="str">
        <f>HYPERLINK("http://www.uniprot.org/uniprot/PDR1_TOBAC","PDR1_TOBAC")</f>
        <v>PDR1_TOBAC</v>
      </c>
      <c r="D13039" t="s">
        <v>498</v>
      </c>
      <c r="E13039" s="3" t="s">
        <v>200</v>
      </c>
      <c r="F13039" s="4">
        <v>4.4799999999999998E-142</v>
      </c>
      <c r="G13039" s="3">
        <v>1132</v>
      </c>
      <c r="H13039" s="3">
        <v>79</v>
      </c>
      <c r="I13039" s="3">
        <v>283</v>
      </c>
      <c r="J13039" s="3">
        <v>1</v>
      </c>
      <c r="K13039" s="3">
        <v>849</v>
      </c>
      <c r="L13039" s="3">
        <v>111</v>
      </c>
      <c r="M13039" s="3">
        <v>393</v>
      </c>
    </row>
    <row r="13040" spans="1:13" x14ac:dyDescent="0.25">
      <c r="A13040" s="1" t="str">
        <f>HYPERLINK("http://www.rosaceae.org/Prunus/Prunus_persica/p.persica_gdr_reftransV1_0043192","p.persica_gdr_reftransV1_0043192")</f>
        <v>p.persica_gdr_reftransV1_0043192</v>
      </c>
      <c r="B13040" s="3">
        <v>641</v>
      </c>
      <c r="C13040" s="1" t="str">
        <f>HYPERLINK("http://www.uniprot.org/uniprot/PII2_ARATH","PII2_ARATH")</f>
        <v>PII2_ARATH</v>
      </c>
      <c r="D13040" t="s">
        <v>3670</v>
      </c>
      <c r="E13040" s="3" t="s">
        <v>3</v>
      </c>
      <c r="F13040" s="4">
        <v>1.2399999999999999E-37</v>
      </c>
      <c r="G13040" s="3">
        <v>353</v>
      </c>
      <c r="H13040" s="3">
        <v>52</v>
      </c>
      <c r="I13040" s="3">
        <v>150</v>
      </c>
      <c r="J13040" s="3">
        <v>1</v>
      </c>
      <c r="K13040" s="3">
        <v>432</v>
      </c>
      <c r="L13040" s="3">
        <v>274</v>
      </c>
      <c r="M13040" s="3">
        <v>423</v>
      </c>
    </row>
    <row r="13041" spans="1:13" x14ac:dyDescent="0.25">
      <c r="A13041" s="1" t="str">
        <f>HYPERLINK("http://www.rosaceae.org/Prunus/Prunus_persica/p.persica_gdr_reftransV1_0043292","p.persica_gdr_reftransV1_0043292")</f>
        <v>p.persica_gdr_reftransV1_0043292</v>
      </c>
      <c r="B13041" s="3">
        <v>911</v>
      </c>
      <c r="C13041" s="1" t="str">
        <f>HYPERLINK("http://www.uniprot.org/uniprot/MSL8_ARATH","MSL8_ARATH")</f>
        <v>MSL8_ARATH</v>
      </c>
      <c r="D13041" t="s">
        <v>4178</v>
      </c>
      <c r="E13041" s="3" t="s">
        <v>3</v>
      </c>
      <c r="F13041" s="4">
        <v>3.68E-64</v>
      </c>
      <c r="G13041" s="3">
        <v>564</v>
      </c>
      <c r="H13041" s="3">
        <v>60</v>
      </c>
      <c r="I13041" s="3">
        <v>195</v>
      </c>
      <c r="J13041" s="3">
        <v>3</v>
      </c>
      <c r="K13041" s="3">
        <v>581</v>
      </c>
      <c r="L13041" s="3">
        <v>222</v>
      </c>
      <c r="M13041" s="3">
        <v>416</v>
      </c>
    </row>
    <row r="13042" spans="1:13" x14ac:dyDescent="0.25">
      <c r="A13042" s="1" t="str">
        <f>HYPERLINK("http://www.rosaceae.org/Prunus/Prunus_persica/p.persica_gdr_reftransV1_0043392","p.persica_gdr_reftransV1_0043392")</f>
        <v>p.persica_gdr_reftransV1_0043392</v>
      </c>
      <c r="B13042" s="3">
        <v>333</v>
      </c>
      <c r="C13042" s="1" t="str">
        <f>HYPERLINK("http://www.uniprot.org/uniprot/Y4845_ARATH","Y4845_ARATH")</f>
        <v>Y4845_ARATH</v>
      </c>
      <c r="D13042" t="s">
        <v>466</v>
      </c>
      <c r="E13042" s="3" t="s">
        <v>3</v>
      </c>
      <c r="F13042" s="4">
        <v>1.9899999999999999E-24</v>
      </c>
      <c r="G13042" s="3">
        <v>243</v>
      </c>
      <c r="H13042" s="3">
        <v>49</v>
      </c>
      <c r="I13042" s="3">
        <v>115</v>
      </c>
      <c r="J13042" s="3">
        <v>3</v>
      </c>
      <c r="K13042" s="3">
        <v>320</v>
      </c>
      <c r="L13042" s="3">
        <v>14</v>
      </c>
      <c r="M13042" s="3">
        <v>122</v>
      </c>
    </row>
    <row r="13043" spans="1:13" x14ac:dyDescent="0.25">
      <c r="A13043" s="1" t="str">
        <f>HYPERLINK("http://www.rosaceae.org/Prunus/Prunus_persica/p.persica_gdr_reftransV1_0043442","p.persica_gdr_reftransV1_0043442")</f>
        <v>p.persica_gdr_reftransV1_0043442</v>
      </c>
      <c r="B13043" s="3">
        <v>1743</v>
      </c>
      <c r="C13043" s="1" t="str">
        <f>HYPERLINK("http://www.uniprot.org/uniprot/RLP12_ARATH","RLP12_ARATH")</f>
        <v>RLP12_ARATH</v>
      </c>
      <c r="D13043" t="s">
        <v>1219</v>
      </c>
      <c r="E13043" s="3" t="s">
        <v>3</v>
      </c>
      <c r="F13043" s="4">
        <v>5.9399999999999998E-19</v>
      </c>
      <c r="G13043" s="3">
        <v>234</v>
      </c>
      <c r="H13043" s="3">
        <v>38</v>
      </c>
      <c r="I13043" s="3">
        <v>185</v>
      </c>
      <c r="J13043" s="3">
        <v>703</v>
      </c>
      <c r="K13043" s="3">
        <v>1251</v>
      </c>
      <c r="L13043" s="3">
        <v>106</v>
      </c>
      <c r="M13043" s="3">
        <v>289</v>
      </c>
    </row>
    <row r="13044" spans="1:13" x14ac:dyDescent="0.25">
      <c r="A13044" s="1" t="str">
        <f>HYPERLINK("http://www.rosaceae.org/Prunus/Prunus_persica/p.persica_gdr_reftransV1_0043492","p.persica_gdr_reftransV1_0043492")</f>
        <v>p.persica_gdr_reftransV1_0043492</v>
      </c>
      <c r="B13044" s="3">
        <v>723</v>
      </c>
      <c r="C13044" s="1" t="str">
        <f>HYPERLINK("http://www.uniprot.org/uniprot/HERC2_HUMAN","HERC2_HUMAN")</f>
        <v>HERC2_HUMAN</v>
      </c>
      <c r="D13044" t="s">
        <v>6699</v>
      </c>
      <c r="E13044" s="3" t="s">
        <v>28</v>
      </c>
      <c r="F13044" s="4">
        <v>1.13E-23</v>
      </c>
      <c r="G13044" s="3">
        <v>261</v>
      </c>
      <c r="H13044" s="3">
        <v>42</v>
      </c>
      <c r="I13044" s="3">
        <v>149</v>
      </c>
      <c r="J13044" s="3">
        <v>264</v>
      </c>
      <c r="K13044" s="3">
        <v>704</v>
      </c>
      <c r="L13044" s="3">
        <v>3043</v>
      </c>
      <c r="M13044" s="3">
        <v>3188</v>
      </c>
    </row>
    <row r="13045" spans="1:13" x14ac:dyDescent="0.25">
      <c r="A13045" s="1" t="str">
        <f>HYPERLINK("http://www.rosaceae.org/Prunus/Prunus_persica/p.persica_gdr_reftransV1_0043542","p.persica_gdr_reftransV1_0043542")</f>
        <v>p.persica_gdr_reftransV1_0043542</v>
      </c>
      <c r="B13045" s="3">
        <v>919</v>
      </c>
      <c r="C13045" s="1" t="str">
        <f>HYPERLINK("http://www.uniprot.org/uniprot/MT21C_BOVIN","MT21C_BOVIN")</f>
        <v>MT21C_BOVIN</v>
      </c>
      <c r="D13045" t="s">
        <v>8866</v>
      </c>
      <c r="E13045" s="3" t="s">
        <v>184</v>
      </c>
      <c r="F13045" s="4">
        <v>1.1600000000000001E-14</v>
      </c>
      <c r="G13045" s="3">
        <v>184</v>
      </c>
      <c r="H13045" s="3">
        <v>29</v>
      </c>
      <c r="I13045" s="3">
        <v>230</v>
      </c>
      <c r="J13045" s="3">
        <v>78</v>
      </c>
      <c r="K13045" s="3">
        <v>746</v>
      </c>
      <c r="L13045" s="3">
        <v>36</v>
      </c>
      <c r="M13045" s="3">
        <v>239</v>
      </c>
    </row>
    <row r="13046" spans="1:13" x14ac:dyDescent="0.25">
      <c r="A13046" s="1" t="str">
        <f>HYPERLINK("http://www.rosaceae.org/Prunus/Prunus_persica/p.persica_gdr_reftransV1_0043592","p.persica_gdr_reftransV1_0043592")</f>
        <v>p.persica_gdr_reftransV1_0043592</v>
      </c>
      <c r="B13046" s="3">
        <v>342</v>
      </c>
      <c r="C13046" s="1" t="str">
        <f>HYPERLINK("http://www.uniprot.org/uniprot/BEBT_TOBAC","BEBT_TOBAC")</f>
        <v>BEBT_TOBAC</v>
      </c>
      <c r="D13046" t="s">
        <v>6564</v>
      </c>
      <c r="E13046" s="3" t="s">
        <v>200</v>
      </c>
      <c r="F13046" s="4">
        <v>6.6400000000000003E-30</v>
      </c>
      <c r="G13046" s="3">
        <v>287</v>
      </c>
      <c r="H13046" s="3">
        <v>48</v>
      </c>
      <c r="I13046" s="3">
        <v>107</v>
      </c>
      <c r="J13046" s="3">
        <v>4</v>
      </c>
      <c r="K13046" s="3">
        <v>324</v>
      </c>
      <c r="L13046" s="3">
        <v>256</v>
      </c>
      <c r="M13046" s="3">
        <v>360</v>
      </c>
    </row>
    <row r="13047" spans="1:13" x14ac:dyDescent="0.25">
      <c r="A13047" s="1" t="str">
        <f>HYPERLINK("http://www.rosaceae.org/Prunus/Prunus_persica/p.persica_gdr_reftransV1_0043642","p.persica_gdr_reftransV1_0043642")</f>
        <v>p.persica_gdr_reftransV1_0043642</v>
      </c>
      <c r="B13047" s="3">
        <v>594</v>
      </c>
      <c r="C13047" s="1" t="str">
        <f>HYPERLINK("http://www.uniprot.org/uniprot/GSXL8_ARATH","GSXL8_ARATH")</f>
        <v>GSXL8_ARATH</v>
      </c>
      <c r="D13047" t="s">
        <v>8867</v>
      </c>
      <c r="E13047" s="3" t="s">
        <v>3</v>
      </c>
      <c r="F13047" s="4">
        <v>2.4600000000000001E-78</v>
      </c>
      <c r="G13047" s="3">
        <v>632</v>
      </c>
      <c r="H13047" s="3">
        <v>70</v>
      </c>
      <c r="I13047" s="3">
        <v>175</v>
      </c>
      <c r="J13047" s="3">
        <v>2</v>
      </c>
      <c r="K13047" s="3">
        <v>526</v>
      </c>
      <c r="L13047" s="3">
        <v>12</v>
      </c>
      <c r="M13047" s="3">
        <v>180</v>
      </c>
    </row>
    <row r="13048" spans="1:13" x14ac:dyDescent="0.25">
      <c r="A13048" s="1" t="str">
        <f>HYPERLINK("http://www.rosaceae.org/Prunus/Prunus_persica/p.persica_gdr_reftransV1_0043742","p.persica_gdr_reftransV1_0043742")</f>
        <v>p.persica_gdr_reftransV1_0043742</v>
      </c>
      <c r="B13048" s="3">
        <v>1120</v>
      </c>
      <c r="C13048" s="1" t="str">
        <f>HYPERLINK("http://www.uniprot.org/uniprot/CCD1_PEA","CCD1_PEA")</f>
        <v>CCD1_PEA</v>
      </c>
      <c r="D13048" t="s">
        <v>8868</v>
      </c>
      <c r="E13048" s="3" t="s">
        <v>60</v>
      </c>
      <c r="F13048" s="4">
        <v>1.4E-44</v>
      </c>
      <c r="G13048" s="3">
        <v>420</v>
      </c>
      <c r="H13048" s="3">
        <v>32</v>
      </c>
      <c r="I13048" s="3">
        <v>348</v>
      </c>
      <c r="J13048" s="3">
        <v>7</v>
      </c>
      <c r="K13048" s="3">
        <v>1029</v>
      </c>
      <c r="L13048" s="3">
        <v>227</v>
      </c>
      <c r="M13048" s="3">
        <v>531</v>
      </c>
    </row>
    <row r="13049" spans="1:13" x14ac:dyDescent="0.25">
      <c r="A13049" s="1" t="str">
        <f>HYPERLINK("http://www.rosaceae.org/Prunus/Prunus_persica/p.persica_gdr_reftransV1_0043892","p.persica_gdr_reftransV1_0043892")</f>
        <v>p.persica_gdr_reftransV1_0043892</v>
      </c>
      <c r="B13049" s="3">
        <v>814</v>
      </c>
      <c r="C13049" s="1" t="str">
        <f>HYPERLINK("http://www.uniprot.org/uniprot/NDA8B_ARATH","NDA8B_ARATH")</f>
        <v>NDA8B_ARATH</v>
      </c>
      <c r="D13049" t="s">
        <v>8869</v>
      </c>
      <c r="E13049" s="3" t="s">
        <v>3</v>
      </c>
      <c r="F13049" s="4">
        <v>6.1999999999999999E-55</v>
      </c>
      <c r="G13049" s="3">
        <v>453</v>
      </c>
      <c r="H13049" s="3">
        <v>80</v>
      </c>
      <c r="I13049" s="3">
        <v>105</v>
      </c>
      <c r="J13049" s="3">
        <v>121</v>
      </c>
      <c r="K13049" s="3">
        <v>435</v>
      </c>
      <c r="L13049" s="3">
        <v>1</v>
      </c>
      <c r="M13049" s="3">
        <v>105</v>
      </c>
    </row>
    <row r="13050" spans="1:13" x14ac:dyDescent="0.25">
      <c r="A13050" s="1" t="str">
        <f>HYPERLINK("http://www.rosaceae.org/Prunus/Prunus_persica/p.persica_gdr_reftransV1_0043942","p.persica_gdr_reftransV1_0043942")</f>
        <v>p.persica_gdr_reftransV1_0043942</v>
      </c>
      <c r="B13050" s="3">
        <v>1386</v>
      </c>
      <c r="C13050" s="1" t="str">
        <f>HYPERLINK("http://www.uniprot.org/uniprot/RN168_HUMAN","RN168_HUMAN")</f>
        <v>RN168_HUMAN</v>
      </c>
      <c r="D13050" t="s">
        <v>8870</v>
      </c>
      <c r="E13050" s="3" t="s">
        <v>28</v>
      </c>
      <c r="F13050" s="4">
        <v>6.75E-11</v>
      </c>
      <c r="G13050" s="3">
        <v>165</v>
      </c>
      <c r="H13050" s="3">
        <v>38</v>
      </c>
      <c r="I13050" s="3">
        <v>95</v>
      </c>
      <c r="J13050" s="3">
        <v>553</v>
      </c>
      <c r="K13050" s="3">
        <v>819</v>
      </c>
      <c r="L13050" s="3">
        <v>4</v>
      </c>
      <c r="M13050" s="3">
        <v>94</v>
      </c>
    </row>
    <row r="13051" spans="1:13" x14ac:dyDescent="0.25">
      <c r="A13051" s="1" t="str">
        <f>HYPERLINK("http://www.rosaceae.org/Prunus/Prunus_persica/p.persica_gdr_reftransV1_0043992","p.persica_gdr_reftransV1_0043992")</f>
        <v>p.persica_gdr_reftransV1_0043992</v>
      </c>
      <c r="B13051" s="3">
        <v>821</v>
      </c>
      <c r="C13051" s="1" t="str">
        <f>HYPERLINK("http://www.uniprot.org/uniprot/YUid_BACSU","YUid_BACSU")</f>
        <v>YUid_BACSU</v>
      </c>
      <c r="D13051" t="s">
        <v>1629</v>
      </c>
      <c r="E13051" s="3" t="s">
        <v>1630</v>
      </c>
      <c r="F13051" s="4">
        <v>2.8700000000000003E-17</v>
      </c>
      <c r="G13051" s="3">
        <v>198</v>
      </c>
      <c r="H13051" s="3">
        <v>44</v>
      </c>
      <c r="I13051" s="3">
        <v>96</v>
      </c>
      <c r="J13051" s="3">
        <v>116</v>
      </c>
      <c r="K13051" s="3">
        <v>403</v>
      </c>
      <c r="L13051" s="3">
        <v>3</v>
      </c>
      <c r="M13051" s="3">
        <v>98</v>
      </c>
    </row>
    <row r="13052" spans="1:13" x14ac:dyDescent="0.25">
      <c r="A13052" s="1" t="str">
        <f>HYPERLINK("http://www.rosaceae.org/Prunus/Prunus_persica/p.persica_gdr_reftransV1_0044042","p.persica_gdr_reftransV1_0044042")</f>
        <v>p.persica_gdr_reftransV1_0044042</v>
      </c>
      <c r="B13052" s="3">
        <v>714</v>
      </c>
      <c r="C13052" s="1" t="str">
        <f>HYPERLINK("http://www.uniprot.org/uniprot/SDH7B_ARATH","SDH7B_ARATH")</f>
        <v>SDH7B_ARATH</v>
      </c>
      <c r="D13052" t="s">
        <v>8871</v>
      </c>
      <c r="E13052" s="3" t="s">
        <v>3</v>
      </c>
      <c r="F13052" s="4">
        <v>1.8400000000000001E-33</v>
      </c>
      <c r="G13052" s="3">
        <v>306</v>
      </c>
      <c r="H13052" s="3">
        <v>67</v>
      </c>
      <c r="I13052" s="3">
        <v>93</v>
      </c>
      <c r="J13052" s="3">
        <v>367</v>
      </c>
      <c r="K13052" s="3">
        <v>642</v>
      </c>
      <c r="L13052" s="3">
        <v>1</v>
      </c>
      <c r="M13052" s="3">
        <v>93</v>
      </c>
    </row>
    <row r="13053" spans="1:13" x14ac:dyDescent="0.25">
      <c r="A13053" s="1" t="str">
        <f>HYPERLINK("http://www.rosaceae.org/Prunus/Prunus_persica/p.persica_gdr_reftransV1_0044092","p.persica_gdr_reftransV1_0044092")</f>
        <v>p.persica_gdr_reftransV1_0044092</v>
      </c>
      <c r="B13053" s="3">
        <v>1792</v>
      </c>
      <c r="C13053" s="1" t="str">
        <f>HYPERLINK("http://www.uniprot.org/uniprot/TF3C5_DICDI","TF3C5_DICDI")</f>
        <v>TF3C5_DICDI</v>
      </c>
      <c r="D13053" t="s">
        <v>8872</v>
      </c>
      <c r="E13053" s="3" t="s">
        <v>9</v>
      </c>
      <c r="F13053" s="4">
        <v>9.2299999999999994E-11</v>
      </c>
      <c r="G13053" s="3">
        <v>167</v>
      </c>
      <c r="H13053" s="3">
        <v>29</v>
      </c>
      <c r="I13053" s="3">
        <v>182</v>
      </c>
      <c r="J13053" s="3">
        <v>1216</v>
      </c>
      <c r="K13053" s="3">
        <v>1719</v>
      </c>
      <c r="L13053" s="3">
        <v>227</v>
      </c>
      <c r="M13053" s="3">
        <v>388</v>
      </c>
    </row>
    <row r="13054" spans="1:13" x14ac:dyDescent="0.25">
      <c r="A13054" s="1" t="str">
        <f>HYPERLINK("http://www.rosaceae.org/Prunus/Prunus_persica/p.persica_gdr_reftransV1_0044292","p.persica_gdr_reftransV1_0044292")</f>
        <v>p.persica_gdr_reftransV1_0044292</v>
      </c>
      <c r="B13054" s="3">
        <v>472</v>
      </c>
      <c r="C13054" s="1" t="str">
        <f>HYPERLINK("http://www.uniprot.org/uniprot/TSS_ARATH","TSS_ARATH")</f>
        <v>TSS_ARATH</v>
      </c>
      <c r="D13054" t="s">
        <v>2404</v>
      </c>
      <c r="E13054" s="3" t="s">
        <v>3</v>
      </c>
      <c r="F13054" s="4">
        <v>2.12E-36</v>
      </c>
      <c r="G13054" s="3">
        <v>350</v>
      </c>
      <c r="H13054" s="3">
        <v>79</v>
      </c>
      <c r="I13054" s="3">
        <v>107</v>
      </c>
      <c r="J13054" s="3">
        <v>55</v>
      </c>
      <c r="K13054" s="3">
        <v>375</v>
      </c>
      <c r="L13054" s="3">
        <v>1</v>
      </c>
      <c r="M13054" s="3">
        <v>107</v>
      </c>
    </row>
    <row r="13055" spans="1:13" x14ac:dyDescent="0.25">
      <c r="A13055" s="1" t="str">
        <f>HYPERLINK("http://www.rosaceae.org/Prunus/Prunus_persica/p.persica_gdr_reftransV1_0044342","p.persica_gdr_reftransV1_0044342")</f>
        <v>p.persica_gdr_reftransV1_0044342</v>
      </c>
      <c r="B13055" s="3">
        <v>1396</v>
      </c>
      <c r="C13055" s="1" t="str">
        <f>HYPERLINK("http://www.uniprot.org/uniprot/APX1_PEA","APX1_PEA")</f>
        <v>APX1_PEA</v>
      </c>
      <c r="D13055" t="s">
        <v>320</v>
      </c>
      <c r="E13055" s="3" t="s">
        <v>60</v>
      </c>
      <c r="F13055" s="4">
        <v>8.8499999999999998E-110</v>
      </c>
      <c r="G13055" s="3">
        <v>653</v>
      </c>
      <c r="H13055" s="3">
        <v>88</v>
      </c>
      <c r="I13055" s="3">
        <v>137</v>
      </c>
      <c r="J13055" s="3">
        <v>839</v>
      </c>
      <c r="K13055" s="3">
        <v>1249</v>
      </c>
      <c r="L13055" s="3">
        <v>1</v>
      </c>
      <c r="M13055" s="3">
        <v>137</v>
      </c>
    </row>
    <row r="13056" spans="1:13" x14ac:dyDescent="0.25">
      <c r="A13056" s="1" t="str">
        <f>HYPERLINK("http://www.rosaceae.org/Prunus/Prunus_persica/p.persica_gdr_reftransV1_0044442","p.persica_gdr_reftransV1_0044442")</f>
        <v>p.persica_gdr_reftransV1_0044442</v>
      </c>
      <c r="B13056" s="3">
        <v>2047</v>
      </c>
      <c r="C13056" s="1" t="str">
        <f>HYPERLINK("http://www.uniprot.org/uniprot/IP5P8_ARATH","IP5P8_ARATH")</f>
        <v>IP5P8_ARATH</v>
      </c>
      <c r="D13056" t="s">
        <v>479</v>
      </c>
      <c r="E13056" s="3" t="s">
        <v>3</v>
      </c>
      <c r="F13056" s="4">
        <v>0</v>
      </c>
      <c r="G13056" s="3">
        <v>1376</v>
      </c>
      <c r="H13056" s="3">
        <v>58</v>
      </c>
      <c r="I13056" s="3">
        <v>505</v>
      </c>
      <c r="J13056" s="3">
        <v>535</v>
      </c>
      <c r="K13056" s="3">
        <v>2040</v>
      </c>
      <c r="L13056" s="3">
        <v>28</v>
      </c>
      <c r="M13056" s="3">
        <v>474</v>
      </c>
    </row>
    <row r="13057" spans="1:13" x14ac:dyDescent="0.25">
      <c r="A13057" s="1" t="str">
        <f>HYPERLINK("http://www.rosaceae.org/Prunus/Prunus_persica/p.persica_gdr_reftransV1_0044492","p.persica_gdr_reftransV1_0044492")</f>
        <v>p.persica_gdr_reftransV1_0044492</v>
      </c>
      <c r="B13057" s="3">
        <v>781</v>
      </c>
      <c r="C13057" s="1" t="str">
        <f>HYPERLINK("http://www.uniprot.org/uniprot/MYB08_ANTMA","MYB08_ANTMA")</f>
        <v>MYB08_ANTMA</v>
      </c>
      <c r="D13057" t="s">
        <v>5549</v>
      </c>
      <c r="E13057" s="3" t="s">
        <v>1408</v>
      </c>
      <c r="F13057" s="4">
        <v>8.3700000000000004E-71</v>
      </c>
      <c r="G13057" s="3">
        <v>570</v>
      </c>
      <c r="H13057" s="3">
        <v>58</v>
      </c>
      <c r="I13057" s="3">
        <v>188</v>
      </c>
      <c r="J13057" s="3">
        <v>11</v>
      </c>
      <c r="K13057" s="3">
        <v>562</v>
      </c>
      <c r="L13057" s="3">
        <v>3</v>
      </c>
      <c r="M13057" s="3">
        <v>187</v>
      </c>
    </row>
    <row r="13058" spans="1:13" x14ac:dyDescent="0.25">
      <c r="A13058" s="1" t="str">
        <f>HYPERLINK("http://www.rosaceae.org/Prunus/Prunus_persica/p.persica_gdr_reftransV1_0044592","p.persica_gdr_reftransV1_0044592")</f>
        <v>p.persica_gdr_reftransV1_0044592</v>
      </c>
      <c r="B13058" s="3">
        <v>1390</v>
      </c>
      <c r="C13058" s="1" t="str">
        <f>HYPERLINK("http://www.uniprot.org/uniprot/SHH2_ARATH","SHH2_ARATH")</f>
        <v>SHH2_ARATH</v>
      </c>
      <c r="D13058" t="s">
        <v>5777</v>
      </c>
      <c r="E13058" s="3" t="s">
        <v>3</v>
      </c>
      <c r="F13058" s="4">
        <v>3.8500000000000002E-36</v>
      </c>
      <c r="G13058" s="3">
        <v>308</v>
      </c>
      <c r="H13058" s="3">
        <v>61</v>
      </c>
      <c r="I13058" s="3">
        <v>84</v>
      </c>
      <c r="J13058" s="3">
        <v>674</v>
      </c>
      <c r="K13058" s="3">
        <v>925</v>
      </c>
      <c r="L13058" s="3">
        <v>178</v>
      </c>
      <c r="M13058" s="3">
        <v>261</v>
      </c>
    </row>
    <row r="13059" spans="1:13" x14ac:dyDescent="0.25">
      <c r="A13059" s="1" t="str">
        <f>HYPERLINK("http://www.rosaceae.org/Prunus/Prunus_persica/p.persica_gdr_reftransV1_0044642","p.persica_gdr_reftransV1_0044642")</f>
        <v>p.persica_gdr_reftransV1_0044642</v>
      </c>
      <c r="B13059" s="3">
        <v>494</v>
      </c>
      <c r="C13059" s="1" t="str">
        <f>HYPERLINK("http://www.uniprot.org/uniprot/BH113_ARATH","BH113_ARATH")</f>
        <v>BH113_ARATH</v>
      </c>
      <c r="D13059" t="s">
        <v>1287</v>
      </c>
      <c r="E13059" s="3" t="s">
        <v>3</v>
      </c>
      <c r="F13059" s="4">
        <v>5.14E-41</v>
      </c>
      <c r="G13059" s="3">
        <v>363</v>
      </c>
      <c r="H13059" s="3">
        <v>68</v>
      </c>
      <c r="I13059" s="3">
        <v>109</v>
      </c>
      <c r="J13059" s="3">
        <v>95</v>
      </c>
      <c r="K13059" s="3">
        <v>403</v>
      </c>
      <c r="L13059" s="3">
        <v>148</v>
      </c>
      <c r="M13059" s="3">
        <v>256</v>
      </c>
    </row>
    <row r="13060" spans="1:13" x14ac:dyDescent="0.25">
      <c r="A13060" s="1" t="str">
        <f>HYPERLINK("http://www.rosaceae.org/Prunus/Prunus_persica/p.persica_gdr_reftransV1_0044792","p.persica_gdr_reftransV1_0044792")</f>
        <v>p.persica_gdr_reftransV1_0044792</v>
      </c>
      <c r="B13060" s="3">
        <v>1068</v>
      </c>
      <c r="C13060" s="1" t="str">
        <f>HYPERLINK("http://www.uniprot.org/uniprot/NPY3_ARATH","NPY3_ARATH")</f>
        <v>NPY3_ARATH</v>
      </c>
      <c r="D13060" t="s">
        <v>8873</v>
      </c>
      <c r="E13060" s="3" t="s">
        <v>3</v>
      </c>
      <c r="F13060" s="4">
        <v>6.5500000000000003E-52</v>
      </c>
      <c r="G13060" s="3">
        <v>473</v>
      </c>
      <c r="H13060" s="3">
        <v>76</v>
      </c>
      <c r="I13060" s="3">
        <v>117</v>
      </c>
      <c r="J13060" s="3">
        <v>727</v>
      </c>
      <c r="K13060" s="3">
        <v>1068</v>
      </c>
      <c r="L13060" s="3">
        <v>1</v>
      </c>
      <c r="M13060" s="3">
        <v>117</v>
      </c>
    </row>
    <row r="13061" spans="1:13" x14ac:dyDescent="0.25">
      <c r="A13061" s="1" t="str">
        <f>HYPERLINK("http://www.rosaceae.org/Prunus/Prunus_persica/p.persica_gdr_reftransV1_0044842","p.persica_gdr_reftransV1_0044842")</f>
        <v>p.persica_gdr_reftransV1_0044842</v>
      </c>
      <c r="B13061" s="3">
        <v>2157</v>
      </c>
      <c r="C13061" s="1" t="str">
        <f>HYPERLINK("http://www.uniprot.org/uniprot/ASOL_BRANA","ASOL_BRANA")</f>
        <v>ASOL_BRANA</v>
      </c>
      <c r="D13061" t="s">
        <v>1327</v>
      </c>
      <c r="E13061" s="3" t="s">
        <v>776</v>
      </c>
      <c r="F13061" s="4">
        <v>0</v>
      </c>
      <c r="G13061" s="3">
        <v>1460</v>
      </c>
      <c r="H13061" s="3">
        <v>55</v>
      </c>
      <c r="I13061" s="3">
        <v>522</v>
      </c>
      <c r="J13061" s="3">
        <v>307</v>
      </c>
      <c r="K13061" s="3">
        <v>1845</v>
      </c>
      <c r="L13061" s="3">
        <v>24</v>
      </c>
      <c r="M13061" s="3">
        <v>543</v>
      </c>
    </row>
    <row r="13062" spans="1:13" x14ac:dyDescent="0.25">
      <c r="A13062" s="1" t="str">
        <f>HYPERLINK("http://www.rosaceae.org/Prunus/Prunus_persica/p.persica_gdr_reftransV1_0044892","p.persica_gdr_reftransV1_0044892")</f>
        <v>p.persica_gdr_reftransV1_0044892</v>
      </c>
      <c r="B13062" s="3">
        <v>1196</v>
      </c>
      <c r="C13062" s="1" t="str">
        <f>HYPERLINK("http://www.uniprot.org/uniprot/GASAE_ARATH","GASAE_ARATH")</f>
        <v>GASAE_ARATH</v>
      </c>
      <c r="D13062" t="s">
        <v>8874</v>
      </c>
      <c r="E13062" s="3" t="s">
        <v>3</v>
      </c>
      <c r="F13062" s="4">
        <v>1.15E-21</v>
      </c>
      <c r="G13062" s="3">
        <v>240</v>
      </c>
      <c r="H13062" s="3">
        <v>69</v>
      </c>
      <c r="I13062" s="3">
        <v>61</v>
      </c>
      <c r="J13062" s="3">
        <v>341</v>
      </c>
      <c r="K13062" s="3">
        <v>523</v>
      </c>
      <c r="L13062" s="3">
        <v>215</v>
      </c>
      <c r="M13062" s="3">
        <v>275</v>
      </c>
    </row>
    <row r="13063" spans="1:13" x14ac:dyDescent="0.25">
      <c r="A13063" s="1" t="str">
        <f>HYPERLINK("http://www.rosaceae.org/Prunus/Prunus_persica/p.persica_gdr_reftransV1_0045042","p.persica_gdr_reftransV1_0045042")</f>
        <v>p.persica_gdr_reftransV1_0045042</v>
      </c>
      <c r="B13063" s="3">
        <v>685</v>
      </c>
      <c r="C13063" s="1" t="str">
        <f>HYPERLINK("http://www.uniprot.org/uniprot/PHL1_ARATH","PHL1_ARATH")</f>
        <v>PHL1_ARATH</v>
      </c>
      <c r="D13063" t="s">
        <v>2239</v>
      </c>
      <c r="E13063" s="3" t="s">
        <v>3</v>
      </c>
      <c r="F13063" s="4">
        <v>1.1099999999999999E-13</v>
      </c>
      <c r="G13063" s="3">
        <v>178</v>
      </c>
      <c r="H13063" s="3">
        <v>38</v>
      </c>
      <c r="I13063" s="3">
        <v>152</v>
      </c>
      <c r="J13063" s="3">
        <v>230</v>
      </c>
      <c r="K13063" s="3">
        <v>673</v>
      </c>
      <c r="L13063" s="3">
        <v>104</v>
      </c>
      <c r="M13063" s="3">
        <v>250</v>
      </c>
    </row>
    <row r="13064" spans="1:13" x14ac:dyDescent="0.25">
      <c r="A13064" s="1" t="str">
        <f>HYPERLINK("http://www.rosaceae.org/Prunus/Prunus_persica/p.persica_gdr_reftransV1_0045142","p.persica_gdr_reftransV1_0045142")</f>
        <v>p.persica_gdr_reftransV1_0045142</v>
      </c>
      <c r="B13064" s="3">
        <v>663</v>
      </c>
      <c r="C13064" s="1" t="str">
        <f>HYPERLINK("http://www.uniprot.org/uniprot/DIR21_ARATH","DIR21_ARATH")</f>
        <v>DIR21_ARATH</v>
      </c>
      <c r="D13064" t="s">
        <v>8875</v>
      </c>
      <c r="E13064" s="3" t="s">
        <v>3</v>
      </c>
      <c r="F13064" s="4">
        <v>2.5799999999999999E-54</v>
      </c>
      <c r="G13064" s="3">
        <v>452</v>
      </c>
      <c r="H13064" s="3">
        <v>58</v>
      </c>
      <c r="I13064" s="3">
        <v>142</v>
      </c>
      <c r="J13064" s="3">
        <v>63</v>
      </c>
      <c r="K13064" s="3">
        <v>488</v>
      </c>
      <c r="L13064" s="3">
        <v>39</v>
      </c>
      <c r="M13064" s="3">
        <v>180</v>
      </c>
    </row>
    <row r="13065" spans="1:13" x14ac:dyDescent="0.25">
      <c r="A13065" s="1" t="str">
        <f>HYPERLINK("http://www.rosaceae.org/Prunus/Prunus_persica/p.persica_gdr_reftransV1_0045292","p.persica_gdr_reftransV1_0045292")</f>
        <v>p.persica_gdr_reftransV1_0045292</v>
      </c>
      <c r="B13065" s="3">
        <v>2585</v>
      </c>
      <c r="C13065" s="1" t="str">
        <f>HYPERLINK("http://www.uniprot.org/uniprot/ATK3_ARATH","ATK3_ARATH")</f>
        <v>ATK3_ARATH</v>
      </c>
      <c r="D13065" t="s">
        <v>8876</v>
      </c>
      <c r="E13065" s="3" t="s">
        <v>3</v>
      </c>
      <c r="F13065" s="4">
        <v>0</v>
      </c>
      <c r="G13065" s="3">
        <v>1818</v>
      </c>
      <c r="H13065" s="3">
        <v>76</v>
      </c>
      <c r="I13065" s="3">
        <v>443</v>
      </c>
      <c r="J13065" s="3">
        <v>207</v>
      </c>
      <c r="K13065" s="3">
        <v>1535</v>
      </c>
      <c r="L13065" s="3">
        <v>315</v>
      </c>
      <c r="M13065" s="3">
        <v>754</v>
      </c>
    </row>
    <row r="13066" spans="1:13" x14ac:dyDescent="0.25">
      <c r="A13066" s="1" t="str">
        <f>HYPERLINK("http://www.rosaceae.org/Prunus/Prunus_persica/p.persica_gdr_reftransV1_0045342","p.persica_gdr_reftransV1_0045342")</f>
        <v>p.persica_gdr_reftransV1_0045342</v>
      </c>
      <c r="B13066" s="3">
        <v>1053</v>
      </c>
      <c r="C13066" s="1" t="str">
        <f>HYPERLINK("http://www.uniprot.org/uniprot/BABA1_XENTR","BABA1_XENTR")</f>
        <v>BABA1_XENTR</v>
      </c>
      <c r="D13066" t="s">
        <v>8877</v>
      </c>
      <c r="E13066" s="3" t="s">
        <v>173</v>
      </c>
      <c r="F13066" s="4">
        <v>9.0999999999999997E-7</v>
      </c>
      <c r="G13066" s="3">
        <v>127</v>
      </c>
      <c r="H13066" s="3">
        <v>25</v>
      </c>
      <c r="I13066" s="3">
        <v>229</v>
      </c>
      <c r="J13066" s="3">
        <v>116</v>
      </c>
      <c r="K13066" s="3">
        <v>757</v>
      </c>
      <c r="L13066" s="3">
        <v>72</v>
      </c>
      <c r="M13066" s="3">
        <v>294</v>
      </c>
    </row>
    <row r="13067" spans="1:13" x14ac:dyDescent="0.25">
      <c r="A13067" s="1" t="str">
        <f>HYPERLINK("http://www.rosaceae.org/Prunus/Prunus_persica/p.persica_gdr_reftransV1_0045392","p.persica_gdr_reftransV1_0045392")</f>
        <v>p.persica_gdr_reftransV1_0045392</v>
      </c>
      <c r="B13067" s="3">
        <v>1971</v>
      </c>
      <c r="C13067" s="1" t="str">
        <f>HYPERLINK("http://www.uniprot.org/uniprot/C94A1_VICSA","C94A1_VICSA")</f>
        <v>C94A1_VICSA</v>
      </c>
      <c r="D13067" t="s">
        <v>5512</v>
      </c>
      <c r="E13067" s="3" t="s">
        <v>395</v>
      </c>
      <c r="F13067" s="4">
        <v>0</v>
      </c>
      <c r="G13067" s="3">
        <v>1658</v>
      </c>
      <c r="H13067" s="3">
        <v>63</v>
      </c>
      <c r="I13067" s="3">
        <v>491</v>
      </c>
      <c r="J13067" s="3">
        <v>234</v>
      </c>
      <c r="K13067" s="3">
        <v>1685</v>
      </c>
      <c r="L13067" s="3">
        <v>29</v>
      </c>
      <c r="M13067" s="3">
        <v>512</v>
      </c>
    </row>
    <row r="13068" spans="1:13" x14ac:dyDescent="0.25">
      <c r="A13068" s="1" t="str">
        <f>HYPERLINK("http://www.rosaceae.org/Prunus/Prunus_persica/p.persica_gdr_reftransV1_0045442","p.persica_gdr_reftransV1_0045442")</f>
        <v>p.persica_gdr_reftransV1_0045442</v>
      </c>
      <c r="B13068" s="3">
        <v>1570</v>
      </c>
      <c r="C13068" s="1" t="str">
        <f>HYPERLINK("http://www.uniprot.org/uniprot/RER1_ARATH","RER1_ARATH")</f>
        <v>RER1_ARATH</v>
      </c>
      <c r="D13068" t="s">
        <v>1369</v>
      </c>
      <c r="E13068" s="3" t="s">
        <v>3</v>
      </c>
      <c r="F13068" s="4">
        <v>2.8900000000000002E-168</v>
      </c>
      <c r="G13068" s="3">
        <v>1262</v>
      </c>
      <c r="H13068" s="3">
        <v>79</v>
      </c>
      <c r="I13068" s="3">
        <v>287</v>
      </c>
      <c r="J13068" s="3">
        <v>241</v>
      </c>
      <c r="K13068" s="3">
        <v>1098</v>
      </c>
      <c r="L13068" s="3">
        <v>147</v>
      </c>
      <c r="M13068" s="3">
        <v>433</v>
      </c>
    </row>
    <row r="13069" spans="1:13" x14ac:dyDescent="0.25">
      <c r="A13069" s="1" t="str">
        <f>HYPERLINK("http://www.rosaceae.org/Prunus/Prunus_persica/p.persica_gdr_reftransV1_0045492","p.persica_gdr_reftransV1_0045492")</f>
        <v>p.persica_gdr_reftransV1_0045492</v>
      </c>
      <c r="B13069" s="3">
        <v>1694</v>
      </c>
      <c r="C13069" s="1" t="str">
        <f>HYPERLINK("http://www.uniprot.org/uniprot/ATOX1_ARATH","ATOX1_ARATH")</f>
        <v>ATOX1_ARATH</v>
      </c>
      <c r="D13069" t="s">
        <v>1423</v>
      </c>
      <c r="E13069" s="3" t="s">
        <v>3</v>
      </c>
      <c r="F13069" s="4">
        <v>5.5299999999999995E-10</v>
      </c>
      <c r="G13069" s="3">
        <v>148</v>
      </c>
      <c r="H13069" s="3">
        <v>42</v>
      </c>
      <c r="I13069" s="3">
        <v>65</v>
      </c>
      <c r="J13069" s="3">
        <v>314</v>
      </c>
      <c r="K13069" s="3">
        <v>508</v>
      </c>
      <c r="L13069" s="3">
        <v>33</v>
      </c>
      <c r="M13069" s="3">
        <v>97</v>
      </c>
    </row>
    <row r="13070" spans="1:13" x14ac:dyDescent="0.25">
      <c r="A13070" s="1" t="str">
        <f>HYPERLINK("http://www.rosaceae.org/Prunus/Prunus_persica/p.persica_gdr_reftransV1_0045542","p.persica_gdr_reftransV1_0045542")</f>
        <v>p.persica_gdr_reftransV1_0045542</v>
      </c>
      <c r="B13070" s="3">
        <v>480</v>
      </c>
      <c r="C13070" s="1" t="str">
        <f>HYPERLINK("http://www.uniprot.org/uniprot/ADF2_PETHY","ADF2_PETHY")</f>
        <v>ADF2_PETHY</v>
      </c>
      <c r="D13070" t="s">
        <v>2121</v>
      </c>
      <c r="E13070" s="3" t="s">
        <v>509</v>
      </c>
      <c r="F13070" s="4">
        <v>8.2599999999999998E-63</v>
      </c>
      <c r="G13070" s="3">
        <v>498</v>
      </c>
      <c r="H13070" s="3">
        <v>87</v>
      </c>
      <c r="I13070" s="3">
        <v>106</v>
      </c>
      <c r="J13070" s="3">
        <v>161</v>
      </c>
      <c r="K13070" s="3">
        <v>478</v>
      </c>
      <c r="L13070" s="3">
        <v>1</v>
      </c>
      <c r="M13070" s="3">
        <v>106</v>
      </c>
    </row>
    <row r="13071" spans="1:13" x14ac:dyDescent="0.25">
      <c r="A13071" s="1" t="str">
        <f>HYPERLINK("http://www.rosaceae.org/Prunus/Prunus_persica/p.persica_gdr_reftransV1_0045592","p.persica_gdr_reftransV1_0045592")</f>
        <v>p.persica_gdr_reftransV1_0045592</v>
      </c>
      <c r="B13071" s="3">
        <v>320</v>
      </c>
      <c r="C13071" s="1" t="str">
        <f>HYPERLINK("http://www.uniprot.org/uniprot/DOF53_ARATH","DOF53_ARATH")</f>
        <v>DOF53_ARATH</v>
      </c>
      <c r="D13071" t="s">
        <v>8878</v>
      </c>
      <c r="E13071" s="3" t="s">
        <v>3</v>
      </c>
      <c r="F13071" s="4">
        <v>7.0799999999999999E-15</v>
      </c>
      <c r="G13071" s="3">
        <v>174</v>
      </c>
      <c r="H13071" s="3">
        <v>88</v>
      </c>
      <c r="I13071" s="3">
        <v>33</v>
      </c>
      <c r="J13071" s="3">
        <v>1</v>
      </c>
      <c r="K13071" s="3">
        <v>99</v>
      </c>
      <c r="L13071" s="3">
        <v>50</v>
      </c>
      <c r="M13071" s="3">
        <v>82</v>
      </c>
    </row>
    <row r="13072" spans="1:13" x14ac:dyDescent="0.25">
      <c r="A13072" s="1" t="str">
        <f>HYPERLINK("http://www.rosaceae.org/Prunus/Prunus_persica/p.persica_gdr_reftransV1_0045692","p.persica_gdr_reftransV1_0045692")</f>
        <v>p.persica_gdr_reftransV1_0045692</v>
      </c>
      <c r="B13072" s="3">
        <v>1165</v>
      </c>
      <c r="C13072" s="1" t="str">
        <f>HYPERLINK("http://www.uniprot.org/uniprot/ZHD1_ORYSI","ZHD1_ORYSI")</f>
        <v>ZHD1_ORYSI</v>
      </c>
      <c r="D13072" t="s">
        <v>8879</v>
      </c>
      <c r="E13072" s="3" t="s">
        <v>38</v>
      </c>
      <c r="F13072" s="4">
        <v>4.35E-59</v>
      </c>
      <c r="G13072" s="3">
        <v>506</v>
      </c>
      <c r="H13072" s="3">
        <v>53</v>
      </c>
      <c r="I13072" s="3">
        <v>232</v>
      </c>
      <c r="J13072" s="3">
        <v>246</v>
      </c>
      <c r="K13072" s="3">
        <v>881</v>
      </c>
      <c r="L13072" s="3">
        <v>56</v>
      </c>
      <c r="M13072" s="3">
        <v>278</v>
      </c>
    </row>
    <row r="13073" spans="1:13" x14ac:dyDescent="0.25">
      <c r="A13073" s="1" t="str">
        <f>HYPERLINK("http://www.rosaceae.org/Prunus/Prunus_persica/p.persica_gdr_reftransV1_0045742","p.persica_gdr_reftransV1_0045742")</f>
        <v>p.persica_gdr_reftransV1_0045742</v>
      </c>
      <c r="B13073" s="3">
        <v>1157</v>
      </c>
      <c r="C13073" s="1" t="str">
        <f>HYPERLINK("http://www.uniprot.org/uniprot/CPR49_ARATH","CPR49_ARATH")</f>
        <v>CPR49_ARATH</v>
      </c>
      <c r="D13073" t="s">
        <v>6703</v>
      </c>
      <c r="E13073" s="3" t="s">
        <v>3</v>
      </c>
      <c r="F13073" s="4">
        <v>3.5699999999999998E-140</v>
      </c>
      <c r="G13073" s="3">
        <v>1044</v>
      </c>
      <c r="H13073" s="3">
        <v>72</v>
      </c>
      <c r="I13073" s="3">
        <v>256</v>
      </c>
      <c r="J13073" s="3">
        <v>264</v>
      </c>
      <c r="K13073" s="3">
        <v>1031</v>
      </c>
      <c r="L13073" s="3">
        <v>1</v>
      </c>
      <c r="M13073" s="3">
        <v>256</v>
      </c>
    </row>
    <row r="13074" spans="1:13" x14ac:dyDescent="0.25">
      <c r="A13074" s="1" t="str">
        <f>HYPERLINK("http://www.rosaceae.org/Prunus/Prunus_persica/p.persica_gdr_reftransV1_0045842","p.persica_gdr_reftransV1_0045842")</f>
        <v>p.persica_gdr_reftransV1_0045842</v>
      </c>
      <c r="B13074" s="3">
        <v>1754</v>
      </c>
      <c r="C13074" s="1" t="str">
        <f>HYPERLINK("http://www.uniprot.org/uniprot/Y1710_ARATH","Y1710_ARATH")</f>
        <v>Y1710_ARATH</v>
      </c>
      <c r="D13074" t="s">
        <v>4644</v>
      </c>
      <c r="E13074" s="3" t="s">
        <v>3</v>
      </c>
      <c r="F13074" s="4">
        <v>7.7599999999999999E-16</v>
      </c>
      <c r="G13074" s="3">
        <v>206</v>
      </c>
      <c r="H13074" s="3">
        <v>41</v>
      </c>
      <c r="I13074" s="3">
        <v>116</v>
      </c>
      <c r="J13074" s="3">
        <v>906</v>
      </c>
      <c r="K13074" s="3">
        <v>1250</v>
      </c>
      <c r="L13074" s="3">
        <v>360</v>
      </c>
      <c r="M13074" s="3">
        <v>446</v>
      </c>
    </row>
    <row r="13075" spans="1:13" x14ac:dyDescent="0.25">
      <c r="A13075" s="1" t="str">
        <f>HYPERLINK("http://www.rosaceae.org/Prunus/Prunus_persica/p.persica_gdr_reftransV1_0045942","p.persica_gdr_reftransV1_0045942")</f>
        <v>p.persica_gdr_reftransV1_0045942</v>
      </c>
      <c r="B13075" s="3">
        <v>2622</v>
      </c>
      <c r="C13075" s="1" t="str">
        <f>HYPERLINK("http://www.uniprot.org/uniprot/C3H22_ORYSJ","C3H22_ORYSJ")</f>
        <v>C3H22_ORYSJ</v>
      </c>
      <c r="D13075" t="s">
        <v>3815</v>
      </c>
      <c r="E13075" s="3" t="s">
        <v>38</v>
      </c>
      <c r="F13075" s="4">
        <v>8.7799999999999998E-97</v>
      </c>
      <c r="G13075" s="3">
        <v>831</v>
      </c>
      <c r="H13075" s="3">
        <v>47</v>
      </c>
      <c r="I13075" s="3">
        <v>439</v>
      </c>
      <c r="J13075" s="3">
        <v>678</v>
      </c>
      <c r="K13075" s="3">
        <v>1913</v>
      </c>
      <c r="L13075" s="3">
        <v>224</v>
      </c>
      <c r="M13075" s="3">
        <v>626</v>
      </c>
    </row>
    <row r="13076" spans="1:13" x14ac:dyDescent="0.25">
      <c r="A13076" s="1" t="str">
        <f>HYPERLINK("http://www.rosaceae.org/Prunus/Prunus_persica/p.persica_gdr_reftransV1_0045992","p.persica_gdr_reftransV1_0045992")</f>
        <v>p.persica_gdr_reftransV1_0045992</v>
      </c>
      <c r="B13076" s="3">
        <v>1035</v>
      </c>
      <c r="C13076" s="1" t="str">
        <f>HYPERLINK("http://www.uniprot.org/uniprot/ITPK1_ARATH","ITPK1_ARATH")</f>
        <v>ITPK1_ARATH</v>
      </c>
      <c r="D13076" t="s">
        <v>2194</v>
      </c>
      <c r="E13076" s="3" t="s">
        <v>3</v>
      </c>
      <c r="F13076" s="4">
        <v>3.4300000000000001E-60</v>
      </c>
      <c r="G13076" s="3">
        <v>513</v>
      </c>
      <c r="H13076" s="3">
        <v>52</v>
      </c>
      <c r="I13076" s="3">
        <v>197</v>
      </c>
      <c r="J13076" s="3">
        <v>401</v>
      </c>
      <c r="K13076" s="3">
        <v>988</v>
      </c>
      <c r="L13076" s="3">
        <v>136</v>
      </c>
      <c r="M13076" s="3">
        <v>318</v>
      </c>
    </row>
    <row r="13077" spans="1:13" x14ac:dyDescent="0.25">
      <c r="A13077" s="1" t="str">
        <f>HYPERLINK("http://www.rosaceae.org/Prunus/Prunus_persica/p.persica_gdr_reftransV1_0046042","p.persica_gdr_reftransV1_0046042")</f>
        <v>p.persica_gdr_reftransV1_0046042</v>
      </c>
      <c r="B13077" s="3">
        <v>1014</v>
      </c>
      <c r="C13077" s="1" t="str">
        <f>HYPERLINK("http://www.uniprot.org/uniprot/AUX22_SOYBN","AUX22_SOYBN")</f>
        <v>AUX22_SOYBN</v>
      </c>
      <c r="D13077" t="s">
        <v>8880</v>
      </c>
      <c r="E13077" s="3" t="s">
        <v>307</v>
      </c>
      <c r="F13077" s="4">
        <v>2.0000000000000001E-89</v>
      </c>
      <c r="G13077" s="3">
        <v>697</v>
      </c>
      <c r="H13077" s="3">
        <v>71</v>
      </c>
      <c r="I13077" s="3">
        <v>196</v>
      </c>
      <c r="J13077" s="3">
        <v>119</v>
      </c>
      <c r="K13077" s="3">
        <v>688</v>
      </c>
      <c r="L13077" s="3">
        <v>1</v>
      </c>
      <c r="M13077" s="3">
        <v>195</v>
      </c>
    </row>
    <row r="13078" spans="1:13" x14ac:dyDescent="0.25">
      <c r="A13078" s="1" t="str">
        <f>HYPERLINK("http://www.rosaceae.org/Prunus/Prunus_persica/p.persica_gdr_reftransV1_0046092","p.persica_gdr_reftransV1_0046092")</f>
        <v>p.persica_gdr_reftransV1_0046092</v>
      </c>
      <c r="B13078" s="3">
        <v>1766</v>
      </c>
      <c r="C13078" s="1" t="str">
        <f>HYPERLINK("http://www.uniprot.org/uniprot/EIF3E_NEMVE","EIF3E_NEMVE")</f>
        <v>EIF3E_NEMVE</v>
      </c>
      <c r="D13078" t="s">
        <v>8881</v>
      </c>
      <c r="E13078" s="3" t="s">
        <v>1392</v>
      </c>
      <c r="F13078" s="4">
        <v>1.09E-171</v>
      </c>
      <c r="G13078" s="3">
        <v>1292</v>
      </c>
      <c r="H13078" s="3">
        <v>57</v>
      </c>
      <c r="I13078" s="3">
        <v>432</v>
      </c>
      <c r="J13078" s="3">
        <v>359</v>
      </c>
      <c r="K13078" s="3">
        <v>1639</v>
      </c>
      <c r="L13078" s="3">
        <v>1</v>
      </c>
      <c r="M13078" s="3">
        <v>420</v>
      </c>
    </row>
    <row r="13079" spans="1:13" x14ac:dyDescent="0.25">
      <c r="A13079" s="1" t="str">
        <f>HYPERLINK("http://www.rosaceae.org/Prunus/Prunus_persica/p.persica_gdr_reftransV1_0046142","p.persica_gdr_reftransV1_0046142")</f>
        <v>p.persica_gdr_reftransV1_0046142</v>
      </c>
      <c r="B13079" s="3">
        <v>1444</v>
      </c>
      <c r="C13079" s="1" t="str">
        <f>HYPERLINK("http://www.uniprot.org/uniprot/BAME3_ARATH","BAME3_ARATH")</f>
        <v>BAME3_ARATH</v>
      </c>
      <c r="D13079" t="s">
        <v>6697</v>
      </c>
      <c r="E13079" s="3" t="s">
        <v>3</v>
      </c>
      <c r="F13079" s="4">
        <v>1.48E-114</v>
      </c>
      <c r="G13079" s="3">
        <v>942</v>
      </c>
      <c r="H13079" s="3">
        <v>50</v>
      </c>
      <c r="I13079" s="3">
        <v>426</v>
      </c>
      <c r="J13079" s="3">
        <v>1</v>
      </c>
      <c r="K13079" s="3">
        <v>1248</v>
      </c>
      <c r="L13079" s="3">
        <v>9</v>
      </c>
      <c r="M13079" s="3">
        <v>434</v>
      </c>
    </row>
    <row r="13080" spans="1:13" x14ac:dyDescent="0.25">
      <c r="A13080" s="1" t="str">
        <f>HYPERLINK("http://www.rosaceae.org/Prunus/Prunus_persica/p.persica_gdr_reftransV1_0046192","p.persica_gdr_reftransV1_0046192")</f>
        <v>p.persica_gdr_reftransV1_0046192</v>
      </c>
      <c r="B13080" s="3">
        <v>1931</v>
      </c>
      <c r="C13080" s="1" t="str">
        <f>HYPERLINK("http://www.uniprot.org/uniprot/TIC55_PEA","TIC55_PEA")</f>
        <v>TIC55_PEA</v>
      </c>
      <c r="D13080" t="s">
        <v>8362</v>
      </c>
      <c r="E13080" s="3" t="s">
        <v>60</v>
      </c>
      <c r="F13080" s="4">
        <v>0</v>
      </c>
      <c r="G13080" s="3">
        <v>2162</v>
      </c>
      <c r="H13080" s="3">
        <v>75</v>
      </c>
      <c r="I13080" s="3">
        <v>531</v>
      </c>
      <c r="J13080" s="3">
        <v>108</v>
      </c>
      <c r="K13080" s="3">
        <v>1685</v>
      </c>
      <c r="L13080" s="3">
        <v>24</v>
      </c>
      <c r="M13080" s="3">
        <v>553</v>
      </c>
    </row>
    <row r="13081" spans="1:13" x14ac:dyDescent="0.25">
      <c r="A13081" s="1" t="str">
        <f>HYPERLINK("http://www.rosaceae.org/Prunus/Prunus_persica/p.persica_gdr_reftransV1_0046242","p.persica_gdr_reftransV1_0046242")</f>
        <v>p.persica_gdr_reftransV1_0046242</v>
      </c>
      <c r="B13081" s="3">
        <v>303</v>
      </c>
      <c r="C13081" s="1" t="str">
        <f>HYPERLINK("http://www.uniprot.org/uniprot/YBQ2_SCHPO","YBQ2_SCHPO")</f>
        <v>YBQ2_SCHPO</v>
      </c>
      <c r="D13081" t="s">
        <v>8882</v>
      </c>
      <c r="E13081" s="3" t="s">
        <v>464</v>
      </c>
      <c r="F13081" s="4">
        <v>8.78E-7</v>
      </c>
      <c r="G13081" s="3">
        <v>117</v>
      </c>
      <c r="H13081" s="3">
        <v>39</v>
      </c>
      <c r="I13081" s="3">
        <v>54</v>
      </c>
      <c r="J13081" s="3">
        <v>92</v>
      </c>
      <c r="K13081" s="3">
        <v>253</v>
      </c>
      <c r="L13081" s="3">
        <v>300</v>
      </c>
      <c r="M13081" s="3">
        <v>353</v>
      </c>
    </row>
    <row r="13082" spans="1:13" x14ac:dyDescent="0.25">
      <c r="A13082" s="1" t="str">
        <f>HYPERLINK("http://www.rosaceae.org/Prunus/Prunus_persica/p.persica_gdr_reftransV1_0046392","p.persica_gdr_reftransV1_0046392")</f>
        <v>p.persica_gdr_reftransV1_0046392</v>
      </c>
      <c r="B13082" s="3">
        <v>625</v>
      </c>
      <c r="C13082" s="1" t="str">
        <f>HYPERLINK("http://www.uniprot.org/uniprot/CHAC2_RAT","CHAC2_RAT")</f>
        <v>CHAC2_RAT</v>
      </c>
      <c r="D13082" t="s">
        <v>3061</v>
      </c>
      <c r="E13082" s="3" t="s">
        <v>161</v>
      </c>
      <c r="F13082" s="4">
        <v>1.2E-16</v>
      </c>
      <c r="G13082" s="3">
        <v>192</v>
      </c>
      <c r="H13082" s="3">
        <v>42</v>
      </c>
      <c r="I13082" s="3">
        <v>99</v>
      </c>
      <c r="J13082" s="3">
        <v>3</v>
      </c>
      <c r="K13082" s="3">
        <v>299</v>
      </c>
      <c r="L13082" s="3">
        <v>1</v>
      </c>
      <c r="M13082" s="3">
        <v>97</v>
      </c>
    </row>
    <row r="13083" spans="1:13" x14ac:dyDescent="0.25">
      <c r="A13083" s="1" t="str">
        <f>HYPERLINK("http://www.rosaceae.org/Prunus/Prunus_persica/p.persica_gdr_reftransV1_0046442","p.persica_gdr_reftransV1_0046442")</f>
        <v>p.persica_gdr_reftransV1_0046442</v>
      </c>
      <c r="B13083" s="3">
        <v>1414</v>
      </c>
      <c r="C13083" s="1" t="str">
        <f>HYPERLINK("http://www.uniprot.org/uniprot/ATB15_ARATH","ATB15_ARATH")</f>
        <v>ATB15_ARATH</v>
      </c>
      <c r="D13083" t="s">
        <v>8883</v>
      </c>
      <c r="E13083" s="3" t="s">
        <v>3</v>
      </c>
      <c r="F13083" s="4">
        <v>4.1099999999999999E-125</v>
      </c>
      <c r="G13083" s="3">
        <v>1003</v>
      </c>
      <c r="H13083" s="3">
        <v>91</v>
      </c>
      <c r="I13083" s="3">
        <v>207</v>
      </c>
      <c r="J13083" s="3">
        <v>797</v>
      </c>
      <c r="K13083" s="3">
        <v>1414</v>
      </c>
      <c r="L13083" s="3">
        <v>1</v>
      </c>
      <c r="M13083" s="3">
        <v>207</v>
      </c>
    </row>
    <row r="13084" spans="1:13" x14ac:dyDescent="0.25">
      <c r="A13084" s="1" t="str">
        <f>HYPERLINK("http://www.rosaceae.org/Prunus/Prunus_persica/p.persica_gdr_reftransV1_0046492","p.persica_gdr_reftransV1_0046492")</f>
        <v>p.persica_gdr_reftransV1_0046492</v>
      </c>
      <c r="B13084" s="3">
        <v>2982</v>
      </c>
      <c r="C13084" s="1" t="str">
        <f>HYPERLINK("http://www.uniprot.org/uniprot/APM1_ARATH","APM1_ARATH")</f>
        <v>APM1_ARATH</v>
      </c>
      <c r="D13084" t="s">
        <v>5990</v>
      </c>
      <c r="E13084" s="3" t="s">
        <v>3</v>
      </c>
      <c r="F13084" s="4">
        <v>0</v>
      </c>
      <c r="G13084" s="3">
        <v>3643</v>
      </c>
      <c r="H13084" s="3">
        <v>77</v>
      </c>
      <c r="I13084" s="3">
        <v>882</v>
      </c>
      <c r="J13084" s="3">
        <v>293</v>
      </c>
      <c r="K13084" s="3">
        <v>2935</v>
      </c>
      <c r="L13084" s="3">
        <v>1</v>
      </c>
      <c r="M13084" s="3">
        <v>877</v>
      </c>
    </row>
    <row r="13085" spans="1:13" x14ac:dyDescent="0.25">
      <c r="A13085" s="1" t="str">
        <f>HYPERLINK("http://www.rosaceae.org/Prunus/Prunus_persica/p.persica_gdr_reftransV1_0046592","p.persica_gdr_reftransV1_0046592")</f>
        <v>p.persica_gdr_reftransV1_0046592</v>
      </c>
      <c r="B13085" s="3">
        <v>2224</v>
      </c>
      <c r="C13085" s="1" t="str">
        <f>HYPERLINK("http://www.uniprot.org/uniprot/PATL3_ARATH","PATL3_ARATH")</f>
        <v>PATL3_ARATH</v>
      </c>
      <c r="D13085" t="s">
        <v>2746</v>
      </c>
      <c r="E13085" s="3" t="s">
        <v>3</v>
      </c>
      <c r="F13085" s="4">
        <v>5.8199999999999997E-152</v>
      </c>
      <c r="G13085" s="3">
        <v>1179</v>
      </c>
      <c r="H13085" s="3">
        <v>66</v>
      </c>
      <c r="I13085" s="3">
        <v>322</v>
      </c>
      <c r="J13085" s="3">
        <v>603</v>
      </c>
      <c r="K13085" s="3">
        <v>1559</v>
      </c>
      <c r="L13085" s="3">
        <v>152</v>
      </c>
      <c r="M13085" s="3">
        <v>473</v>
      </c>
    </row>
    <row r="13086" spans="1:13" x14ac:dyDescent="0.25">
      <c r="A13086" s="1" t="str">
        <f>HYPERLINK("http://www.rosaceae.org/Prunus/Prunus_persica/p.persica_gdr_reftransV1_0046642","p.persica_gdr_reftransV1_0046642")</f>
        <v>p.persica_gdr_reftransV1_0046642</v>
      </c>
      <c r="B13086" s="3">
        <v>761</v>
      </c>
      <c r="C13086" s="1" t="str">
        <f>HYPERLINK("http://www.uniprot.org/uniprot/WRK12_ARATH","WRK12_ARATH")</f>
        <v>WRK12_ARATH</v>
      </c>
      <c r="D13086" t="s">
        <v>8884</v>
      </c>
      <c r="E13086" s="3" t="s">
        <v>3</v>
      </c>
      <c r="F13086" s="4">
        <v>3.34E-49</v>
      </c>
      <c r="G13086" s="3">
        <v>423</v>
      </c>
      <c r="H13086" s="3">
        <v>95</v>
      </c>
      <c r="I13086" s="3">
        <v>79</v>
      </c>
      <c r="J13086" s="3">
        <v>473</v>
      </c>
      <c r="K13086" s="3">
        <v>709</v>
      </c>
      <c r="L13086" s="3">
        <v>128</v>
      </c>
      <c r="M13086" s="3">
        <v>206</v>
      </c>
    </row>
    <row r="13087" spans="1:13" x14ac:dyDescent="0.25">
      <c r="A13087" s="1" t="str">
        <f>HYPERLINK("http://www.rosaceae.org/Prunus/Prunus_persica/p.persica_gdr_reftransV1_0046742","p.persica_gdr_reftransV1_0046742")</f>
        <v>p.persica_gdr_reftransV1_0046742</v>
      </c>
      <c r="B13087" s="3">
        <v>705</v>
      </c>
      <c r="C13087" s="1" t="str">
        <f>HYPERLINK("http://www.uniprot.org/uniprot/RLA1_MAIZE","RLA1_MAIZE")</f>
        <v>RLA1_MAIZE</v>
      </c>
      <c r="D13087" t="s">
        <v>2430</v>
      </c>
      <c r="E13087" s="3" t="s">
        <v>72</v>
      </c>
      <c r="F13087" s="4">
        <v>1.25E-26</v>
      </c>
      <c r="G13087" s="3">
        <v>260</v>
      </c>
      <c r="H13087" s="3">
        <v>75</v>
      </c>
      <c r="I13087" s="3">
        <v>110</v>
      </c>
      <c r="J13087" s="3">
        <v>266</v>
      </c>
      <c r="K13087" s="3">
        <v>595</v>
      </c>
      <c r="L13087" s="3">
        <v>1</v>
      </c>
      <c r="M13087" s="3">
        <v>109</v>
      </c>
    </row>
    <row r="13088" spans="1:13" x14ac:dyDescent="0.25">
      <c r="A13088" s="1" t="str">
        <f>HYPERLINK("http://www.rosaceae.org/Prunus/Prunus_persica/p.persica_gdr_reftransV1_0046792","p.persica_gdr_reftransV1_0046792")</f>
        <v>p.persica_gdr_reftransV1_0046792</v>
      </c>
      <c r="B13088" s="3">
        <v>1099</v>
      </c>
      <c r="C13088" s="1" t="str">
        <f>HYPERLINK("http://www.uniprot.org/uniprot/ISOA2_ARATH","ISOA2_ARATH")</f>
        <v>ISOA2_ARATH</v>
      </c>
      <c r="D13088" t="s">
        <v>7419</v>
      </c>
      <c r="E13088" s="3" t="s">
        <v>3</v>
      </c>
      <c r="F13088" s="4">
        <v>6.0599999999999998E-116</v>
      </c>
      <c r="G13088" s="3">
        <v>933</v>
      </c>
      <c r="H13088" s="3">
        <v>63</v>
      </c>
      <c r="I13088" s="3">
        <v>291</v>
      </c>
      <c r="J13088" s="3">
        <v>202</v>
      </c>
      <c r="K13088" s="3">
        <v>1044</v>
      </c>
      <c r="L13088" s="3">
        <v>593</v>
      </c>
      <c r="M13088" s="3">
        <v>877</v>
      </c>
    </row>
    <row r="13089" spans="1:13" x14ac:dyDescent="0.25">
      <c r="A13089" s="1" t="str">
        <f>HYPERLINK("http://www.rosaceae.org/Prunus/Prunus_persica/p.persica_gdr_reftransV1_0046842","p.persica_gdr_reftransV1_0046842")</f>
        <v>p.persica_gdr_reftransV1_0046842</v>
      </c>
      <c r="B13089" s="3">
        <v>592</v>
      </c>
      <c r="C13089" s="1" t="str">
        <f>HYPERLINK("http://www.uniprot.org/uniprot/Y1583_ARATH","Y1583_ARATH")</f>
        <v>Y1583_ARATH</v>
      </c>
      <c r="D13089" t="s">
        <v>8885</v>
      </c>
      <c r="E13089" s="3" t="s">
        <v>3</v>
      </c>
      <c r="F13089" s="4">
        <v>6.3199999999999997E-30</v>
      </c>
      <c r="G13089" s="3">
        <v>281</v>
      </c>
      <c r="H13089" s="3">
        <v>51</v>
      </c>
      <c r="I13089" s="3">
        <v>107</v>
      </c>
      <c r="J13089" s="3">
        <v>110</v>
      </c>
      <c r="K13089" s="3">
        <v>421</v>
      </c>
      <c r="L13089" s="3">
        <v>21</v>
      </c>
      <c r="M13089" s="3">
        <v>127</v>
      </c>
    </row>
    <row r="13090" spans="1:13" x14ac:dyDescent="0.25">
      <c r="A13090" s="1" t="str">
        <f>HYPERLINK("http://www.rosaceae.org/Prunus/Prunus_persica/p.persica_gdr_reftransV1_0046942","p.persica_gdr_reftransV1_0046942")</f>
        <v>p.persica_gdr_reftransV1_0046942</v>
      </c>
      <c r="B13090" s="3">
        <v>895</v>
      </c>
      <c r="C13090" s="1" t="str">
        <f>HYPERLINK("http://www.uniprot.org/uniprot/SCP18_ARATH","SCP18_ARATH")</f>
        <v>SCP18_ARATH</v>
      </c>
      <c r="D13090" t="s">
        <v>2438</v>
      </c>
      <c r="E13090" s="3" t="s">
        <v>3</v>
      </c>
      <c r="F13090" s="4">
        <v>9.270000000000001E-75</v>
      </c>
      <c r="G13090" s="3">
        <v>619</v>
      </c>
      <c r="H13090" s="3">
        <v>47</v>
      </c>
      <c r="I13090" s="3">
        <v>267</v>
      </c>
      <c r="J13090" s="3">
        <v>4</v>
      </c>
      <c r="K13090" s="3">
        <v>792</v>
      </c>
      <c r="L13090" s="3">
        <v>205</v>
      </c>
      <c r="M13090" s="3">
        <v>464</v>
      </c>
    </row>
    <row r="13091" spans="1:13" x14ac:dyDescent="0.25">
      <c r="A13091" s="1" t="str">
        <f>HYPERLINK("http://www.rosaceae.org/Prunus/Prunus_persica/p.persica_gdr_reftransV1_0047042","p.persica_gdr_reftransV1_0047042")</f>
        <v>p.persica_gdr_reftransV1_0047042</v>
      </c>
      <c r="B13091" s="3">
        <v>1371</v>
      </c>
      <c r="C13091" s="1" t="str">
        <f>HYPERLINK("http://www.uniprot.org/uniprot/TRXO1_ARATH","TRXO1_ARATH")</f>
        <v>TRXO1_ARATH</v>
      </c>
      <c r="D13091" t="s">
        <v>8886</v>
      </c>
      <c r="E13091" s="3" t="s">
        <v>3</v>
      </c>
      <c r="F13091" s="4">
        <v>2.98E-9</v>
      </c>
      <c r="G13091" s="3">
        <v>127</v>
      </c>
      <c r="H13091" s="3">
        <v>29</v>
      </c>
      <c r="I13091" s="3">
        <v>98</v>
      </c>
      <c r="J13091" s="3">
        <v>552</v>
      </c>
      <c r="K13091" s="3">
        <v>839</v>
      </c>
      <c r="L13091" s="3">
        <v>111</v>
      </c>
      <c r="M13091" s="3">
        <v>193</v>
      </c>
    </row>
    <row r="13092" spans="1:13" x14ac:dyDescent="0.25">
      <c r="A13092" s="1" t="str">
        <f>HYPERLINK("http://www.rosaceae.org/Prunus/Prunus_persica/p.persica_gdr_reftransV1_0047342","p.persica_gdr_reftransV1_0047342")</f>
        <v>p.persica_gdr_reftransV1_0047342</v>
      </c>
      <c r="B13092" s="3">
        <v>849</v>
      </c>
      <c r="C13092" s="1" t="str">
        <f>HYPERLINK("http://www.uniprot.org/uniprot/RL24_PRUAV","RL24_PRUAV")</f>
        <v>RL24_PRUAV</v>
      </c>
      <c r="D13092" t="s">
        <v>1403</v>
      </c>
      <c r="E13092" s="3" t="s">
        <v>1404</v>
      </c>
      <c r="F13092" s="4">
        <v>1.3100000000000001E-77</v>
      </c>
      <c r="G13092" s="3">
        <v>613</v>
      </c>
      <c r="H13092" s="3">
        <v>98</v>
      </c>
      <c r="I13092" s="3">
        <v>147</v>
      </c>
      <c r="J13092" s="3">
        <v>335</v>
      </c>
      <c r="K13092" s="3">
        <v>775</v>
      </c>
      <c r="L13092" s="3">
        <v>1</v>
      </c>
      <c r="M13092" s="3">
        <v>147</v>
      </c>
    </row>
    <row r="13093" spans="1:13" x14ac:dyDescent="0.25">
      <c r="A13093" s="1" t="str">
        <f>HYPERLINK("http://www.rosaceae.org/Prunus/Prunus_persica/p.persica_gdr_reftransV1_0047392","p.persica_gdr_reftransV1_0047392")</f>
        <v>p.persica_gdr_reftransV1_0047392</v>
      </c>
      <c r="B13093" s="3">
        <v>1436</v>
      </c>
      <c r="C13093" s="1" t="str">
        <f>HYPERLINK("http://www.uniprot.org/uniprot/CHIT1_HUMAN","CHIT1_HUMAN")</f>
        <v>CHIT1_HUMAN</v>
      </c>
      <c r="D13093" t="s">
        <v>2954</v>
      </c>
      <c r="E13093" s="3" t="s">
        <v>28</v>
      </c>
      <c r="F13093" s="4">
        <v>1.2999999999999999E-45</v>
      </c>
      <c r="G13093" s="3">
        <v>431</v>
      </c>
      <c r="H13093" s="3">
        <v>34</v>
      </c>
      <c r="I13093" s="3">
        <v>335</v>
      </c>
      <c r="J13093" s="3">
        <v>165</v>
      </c>
      <c r="K13093" s="3">
        <v>1118</v>
      </c>
      <c r="L13093" s="3">
        <v>38</v>
      </c>
      <c r="M13093" s="3">
        <v>364</v>
      </c>
    </row>
    <row r="13094" spans="1:13" x14ac:dyDescent="0.25">
      <c r="A13094" s="1" t="str">
        <f>HYPERLINK("http://www.rosaceae.org/Prunus/Prunus_persica/p.persica_gdr_reftransV1_0047492","p.persica_gdr_reftransV1_0047492")</f>
        <v>p.persica_gdr_reftransV1_0047492</v>
      </c>
      <c r="B13094" s="3">
        <v>1580</v>
      </c>
      <c r="C13094" s="1" t="str">
        <f>HYPERLINK("http://www.uniprot.org/uniprot/UBC32_ARATH","UBC32_ARATH")</f>
        <v>UBC32_ARATH</v>
      </c>
      <c r="D13094" t="s">
        <v>3698</v>
      </c>
      <c r="E13094" s="3" t="s">
        <v>3</v>
      </c>
      <c r="F13094" s="4">
        <v>5.5900000000000002E-58</v>
      </c>
      <c r="G13094" s="3">
        <v>511</v>
      </c>
      <c r="H13094" s="3">
        <v>59</v>
      </c>
      <c r="I13094" s="3">
        <v>168</v>
      </c>
      <c r="J13094" s="3">
        <v>379</v>
      </c>
      <c r="K13094" s="3">
        <v>870</v>
      </c>
      <c r="L13094" s="3">
        <v>12</v>
      </c>
      <c r="M13094" s="3">
        <v>179</v>
      </c>
    </row>
    <row r="13095" spans="1:13" x14ac:dyDescent="0.25">
      <c r="A13095" s="1" t="str">
        <f>HYPERLINK("http://www.rosaceae.org/Prunus/Prunus_persica/p.persica_gdr_reftransV1_0047542","p.persica_gdr_reftransV1_0047542")</f>
        <v>p.persica_gdr_reftransV1_0047542</v>
      </c>
      <c r="B13095" s="3">
        <v>357</v>
      </c>
      <c r="C13095" s="1" t="str">
        <f>HYPERLINK("http://www.uniprot.org/uniprot/HFB4B_ORYSJ","HFB4B_ORYSJ")</f>
        <v>HFB4B_ORYSJ</v>
      </c>
      <c r="D13095" t="s">
        <v>8887</v>
      </c>
      <c r="E13095" s="3" t="s">
        <v>38</v>
      </c>
      <c r="F13095" s="4">
        <v>7.0199999999999996E-38</v>
      </c>
      <c r="G13095" s="3">
        <v>340</v>
      </c>
      <c r="H13095" s="3">
        <v>70</v>
      </c>
      <c r="I13095" s="3">
        <v>91</v>
      </c>
      <c r="J13095" s="3">
        <v>2</v>
      </c>
      <c r="K13095" s="3">
        <v>244</v>
      </c>
      <c r="L13095" s="3">
        <v>1</v>
      </c>
      <c r="M13095" s="3">
        <v>91</v>
      </c>
    </row>
    <row r="13096" spans="1:13" x14ac:dyDescent="0.25">
      <c r="A13096" s="1" t="str">
        <f>HYPERLINK("http://www.rosaceae.org/Prunus/Prunus_persica/p.persica_gdr_reftransV1_0047592","p.persica_gdr_reftransV1_0047592")</f>
        <v>p.persica_gdr_reftransV1_0047592</v>
      </c>
      <c r="B13096" s="3">
        <v>1495</v>
      </c>
      <c r="C13096" s="1" t="str">
        <f>HYPERLINK("http://www.uniprot.org/uniprot/TCP2_ARATH","TCP2_ARATH")</f>
        <v>TCP2_ARATH</v>
      </c>
      <c r="D13096" t="s">
        <v>1584</v>
      </c>
      <c r="E13096" s="3" t="s">
        <v>3</v>
      </c>
      <c r="F13096" s="4">
        <v>1.5700000000000001E-40</v>
      </c>
      <c r="G13096" s="3">
        <v>390</v>
      </c>
      <c r="H13096" s="3">
        <v>83</v>
      </c>
      <c r="I13096" s="3">
        <v>92</v>
      </c>
      <c r="J13096" s="3">
        <v>991</v>
      </c>
      <c r="K13096" s="3">
        <v>1257</v>
      </c>
      <c r="L13096" s="3">
        <v>18</v>
      </c>
      <c r="M13096" s="3">
        <v>109</v>
      </c>
    </row>
    <row r="13097" spans="1:13" x14ac:dyDescent="0.25">
      <c r="A13097" s="1" t="str">
        <f>HYPERLINK("http://www.rosaceae.org/Prunus/Prunus_persica/p.persica_gdr_reftransV1_0047642","p.persica_gdr_reftransV1_0047642")</f>
        <v>p.persica_gdr_reftransV1_0047642</v>
      </c>
      <c r="B13097" s="3">
        <v>4106</v>
      </c>
      <c r="C13097" s="1" t="str">
        <f>HYPERLINK("http://www.uniprot.org/uniprot/SEC8_ARATH","SEC8_ARATH")</f>
        <v>SEC8_ARATH</v>
      </c>
      <c r="D13097" t="s">
        <v>206</v>
      </c>
      <c r="E13097" s="3" t="s">
        <v>3</v>
      </c>
      <c r="F13097" s="4">
        <v>0</v>
      </c>
      <c r="G13097" s="3">
        <v>3886</v>
      </c>
      <c r="H13097" s="3">
        <v>75</v>
      </c>
      <c r="I13097" s="3">
        <v>1065</v>
      </c>
      <c r="J13097" s="3">
        <v>381</v>
      </c>
      <c r="K13097" s="3">
        <v>3566</v>
      </c>
      <c r="L13097" s="3">
        <v>1</v>
      </c>
      <c r="M13097" s="3">
        <v>1052</v>
      </c>
    </row>
    <row r="13098" spans="1:13" x14ac:dyDescent="0.25">
      <c r="A13098" s="1" t="str">
        <f>HYPERLINK("http://www.rosaceae.org/Prunus/Prunus_persica/p.persica_gdr_reftransV1_0047692","p.persica_gdr_reftransV1_0047692")</f>
        <v>p.persica_gdr_reftransV1_0047692</v>
      </c>
      <c r="B13098" s="3">
        <v>2011</v>
      </c>
      <c r="C13098" s="1" t="str">
        <f>HYPERLINK("http://www.uniprot.org/uniprot/AB8G_ARATH","AB8G_ARATH")</f>
        <v>AB8G_ARATH</v>
      </c>
      <c r="D13098" t="s">
        <v>8888</v>
      </c>
      <c r="E13098" s="3" t="s">
        <v>3</v>
      </c>
      <c r="F13098" s="4">
        <v>0</v>
      </c>
      <c r="G13098" s="3">
        <v>1848</v>
      </c>
      <c r="H13098" s="3">
        <v>69</v>
      </c>
      <c r="I13098" s="3">
        <v>606</v>
      </c>
      <c r="J13098" s="3">
        <v>126</v>
      </c>
      <c r="K13098" s="3">
        <v>1943</v>
      </c>
      <c r="L13098" s="3">
        <v>5</v>
      </c>
      <c r="M13098" s="3">
        <v>589</v>
      </c>
    </row>
    <row r="13099" spans="1:13" x14ac:dyDescent="0.25">
      <c r="A13099" s="1" t="str">
        <f>HYPERLINK("http://www.rosaceae.org/Prunus/Prunus_persica/p.persica_gdr_reftransV1_0047742","p.persica_gdr_reftransV1_0047742")</f>
        <v>p.persica_gdr_reftransV1_0047742</v>
      </c>
      <c r="B13099" s="3">
        <v>1862</v>
      </c>
      <c r="C13099" s="1" t="str">
        <f>HYPERLINK("http://www.uniprot.org/uniprot/UBQ10_ARATH","UBQ10_ARATH")</f>
        <v>UBQ10_ARATH</v>
      </c>
      <c r="D13099" t="s">
        <v>8889</v>
      </c>
      <c r="E13099" s="3" t="s">
        <v>3</v>
      </c>
      <c r="F13099" s="4">
        <v>0</v>
      </c>
      <c r="G13099" s="3">
        <v>2336</v>
      </c>
      <c r="H13099" s="3">
        <v>100</v>
      </c>
      <c r="I13099" s="3">
        <v>457</v>
      </c>
      <c r="J13099" s="3">
        <v>64</v>
      </c>
      <c r="K13099" s="3">
        <v>1434</v>
      </c>
      <c r="L13099" s="3">
        <v>1</v>
      </c>
      <c r="M13099" s="3">
        <v>457</v>
      </c>
    </row>
    <row r="13100" spans="1:13" x14ac:dyDescent="0.25">
      <c r="A13100" s="1" t="str">
        <f>HYPERLINK("http://www.rosaceae.org/Prunus/Prunus_persica/p.persica_gdr_reftransV1_0047792","p.persica_gdr_reftransV1_0047792")</f>
        <v>p.persica_gdr_reftransV1_0047792</v>
      </c>
      <c r="B13100" s="3">
        <v>1211</v>
      </c>
      <c r="C13100" s="1" t="str">
        <f>HYPERLINK("http://www.uniprot.org/uniprot/CSC1_ARATH","CSC1_ARATH")</f>
        <v>CSC1_ARATH</v>
      </c>
      <c r="D13100" t="s">
        <v>3197</v>
      </c>
      <c r="E13100" s="3" t="s">
        <v>3</v>
      </c>
      <c r="F13100" s="4">
        <v>0</v>
      </c>
      <c r="G13100" s="3">
        <v>1377</v>
      </c>
      <c r="H13100" s="3">
        <v>72</v>
      </c>
      <c r="I13100" s="3">
        <v>346</v>
      </c>
      <c r="J13100" s="3">
        <v>181</v>
      </c>
      <c r="K13100" s="3">
        <v>1206</v>
      </c>
      <c r="L13100" s="3">
        <v>1</v>
      </c>
      <c r="M13100" s="3">
        <v>346</v>
      </c>
    </row>
    <row r="13101" spans="1:13" x14ac:dyDescent="0.25">
      <c r="A13101" s="1" t="str">
        <f>HYPERLINK("http://www.rosaceae.org/Prunus/Prunus_persica/p.persica_gdr_reftransV1_0047842","p.persica_gdr_reftransV1_0047842")</f>
        <v>p.persica_gdr_reftransV1_0047842</v>
      </c>
      <c r="B13101" s="3">
        <v>1526</v>
      </c>
      <c r="C13101" s="1" t="str">
        <f>HYPERLINK("http://www.uniprot.org/uniprot/TLP1_PRUPE","TLP1_PRUPE")</f>
        <v>TLP1_PRUPE</v>
      </c>
      <c r="D13101" t="s">
        <v>3178</v>
      </c>
      <c r="E13101" s="3" t="s">
        <v>784</v>
      </c>
      <c r="F13101" s="4">
        <v>1.07E-72</v>
      </c>
      <c r="G13101" s="3">
        <v>605</v>
      </c>
      <c r="H13101" s="3">
        <v>52</v>
      </c>
      <c r="I13101" s="3">
        <v>248</v>
      </c>
      <c r="J13101" s="3">
        <v>627</v>
      </c>
      <c r="K13101" s="3">
        <v>1364</v>
      </c>
      <c r="L13101" s="3">
        <v>1</v>
      </c>
      <c r="M13101" s="3">
        <v>246</v>
      </c>
    </row>
    <row r="13102" spans="1:13" x14ac:dyDescent="0.25">
      <c r="A13102" s="1" t="str">
        <f>HYPERLINK("http://www.rosaceae.org/Prunus/Prunus_persica/p.persica_gdr_reftransV1_0048042","p.persica_gdr_reftransV1_0048042")</f>
        <v>p.persica_gdr_reftransV1_0048042</v>
      </c>
      <c r="B13102" s="3">
        <v>958</v>
      </c>
      <c r="C13102" s="1" t="str">
        <f>HYPERLINK("http://www.uniprot.org/uniprot/AB26B_ARATH","AB26B_ARATH")</f>
        <v>AB26B_ARATH</v>
      </c>
      <c r="D13102" t="s">
        <v>4065</v>
      </c>
      <c r="E13102" s="3" t="s">
        <v>3</v>
      </c>
      <c r="F13102" s="4">
        <v>4.9600000000000001E-142</v>
      </c>
      <c r="G13102" s="3">
        <v>1090</v>
      </c>
      <c r="H13102" s="3">
        <v>65</v>
      </c>
      <c r="I13102" s="3">
        <v>302</v>
      </c>
      <c r="J13102" s="3">
        <v>2</v>
      </c>
      <c r="K13102" s="3">
        <v>907</v>
      </c>
      <c r="L13102" s="3">
        <v>237</v>
      </c>
      <c r="M13102" s="3">
        <v>538</v>
      </c>
    </row>
    <row r="13103" spans="1:13" x14ac:dyDescent="0.25">
      <c r="A13103" s="1" t="str">
        <f>HYPERLINK("http://www.rosaceae.org/Prunus/Prunus_persica/p.persica_gdr_reftransV1_0048192","p.persica_gdr_reftransV1_0048192")</f>
        <v>p.persica_gdr_reftransV1_0048192</v>
      </c>
      <c r="B13103" s="3">
        <v>667</v>
      </c>
      <c r="C13103" s="1" t="str">
        <f>HYPERLINK("http://www.uniprot.org/uniprot/FAHD1_DICDI","FAHD1_DICDI")</f>
        <v>FAHD1_DICDI</v>
      </c>
      <c r="D13103" t="s">
        <v>8890</v>
      </c>
      <c r="E13103" s="3" t="s">
        <v>9</v>
      </c>
      <c r="F13103" s="4">
        <v>3.4799999999999999E-47</v>
      </c>
      <c r="G13103" s="3">
        <v>407</v>
      </c>
      <c r="H13103" s="3">
        <v>59</v>
      </c>
      <c r="I13103" s="3">
        <v>127</v>
      </c>
      <c r="J13103" s="3">
        <v>112</v>
      </c>
      <c r="K13103" s="3">
        <v>489</v>
      </c>
      <c r="L13103" s="3">
        <v>1</v>
      </c>
      <c r="M13103" s="3">
        <v>127</v>
      </c>
    </row>
    <row r="13104" spans="1:13" x14ac:dyDescent="0.25">
      <c r="A13104" s="1" t="str">
        <f>HYPERLINK("http://www.rosaceae.org/Prunus/Prunus_persica/p.persica_gdr_reftransV1_0048242","p.persica_gdr_reftransV1_0048242")</f>
        <v>p.persica_gdr_reftransV1_0048242</v>
      </c>
      <c r="B13104" s="3">
        <v>406</v>
      </c>
      <c r="C13104" s="1" t="str">
        <f>HYPERLINK("http://www.uniprot.org/uniprot/ANX2_ARATH","ANX2_ARATH")</f>
        <v>ANX2_ARATH</v>
      </c>
      <c r="D13104" t="s">
        <v>8891</v>
      </c>
      <c r="E13104" s="3" t="s">
        <v>3</v>
      </c>
      <c r="F13104" s="4">
        <v>1.3700000000000001E-35</v>
      </c>
      <c r="G13104" s="3">
        <v>338</v>
      </c>
      <c r="H13104" s="3">
        <v>76</v>
      </c>
      <c r="I13104" s="3">
        <v>76</v>
      </c>
      <c r="J13104" s="3">
        <v>3</v>
      </c>
      <c r="K13104" s="3">
        <v>230</v>
      </c>
      <c r="L13104" s="3">
        <v>731</v>
      </c>
      <c r="M13104" s="3">
        <v>806</v>
      </c>
    </row>
    <row r="13105" spans="1:13" x14ac:dyDescent="0.25">
      <c r="A13105" s="1" t="str">
        <f>HYPERLINK("http://www.rosaceae.org/Prunus/Prunus_persica/p.persica_gdr_reftransV1_0048292","p.persica_gdr_reftransV1_0048292")</f>
        <v>p.persica_gdr_reftransV1_0048292</v>
      </c>
      <c r="B13105" s="3">
        <v>1960</v>
      </c>
      <c r="C13105" s="1" t="str">
        <f>HYPERLINK("http://www.uniprot.org/uniprot/XYNC_ASPFU","XYNC_ASPFU")</f>
        <v>XYNC_ASPFU</v>
      </c>
      <c r="D13105" t="s">
        <v>8892</v>
      </c>
      <c r="E13105" s="3" t="s">
        <v>4665</v>
      </c>
      <c r="F13105" s="4">
        <v>2.0500000000000001E-24</v>
      </c>
      <c r="G13105" s="3">
        <v>271</v>
      </c>
      <c r="H13105" s="3">
        <v>29</v>
      </c>
      <c r="I13105" s="3">
        <v>262</v>
      </c>
      <c r="J13105" s="3">
        <v>350</v>
      </c>
      <c r="K13105" s="3">
        <v>1111</v>
      </c>
      <c r="L13105" s="3">
        <v>42</v>
      </c>
      <c r="M13105" s="3">
        <v>291</v>
      </c>
    </row>
    <row r="13106" spans="1:13" x14ac:dyDescent="0.25">
      <c r="A13106" s="1" t="str">
        <f>HYPERLINK("http://www.rosaceae.org/Prunus/Prunus_persica/p.persica_gdr_reftransV1_0048442","p.persica_gdr_reftransV1_0048442")</f>
        <v>p.persica_gdr_reftransV1_0048442</v>
      </c>
      <c r="B13106" s="3">
        <v>1361</v>
      </c>
      <c r="C13106" s="1" t="str">
        <f>HYPERLINK("http://www.uniprot.org/uniprot/BURP5_ORYSJ","BURP5_ORYSJ")</f>
        <v>BURP5_ORYSJ</v>
      </c>
      <c r="D13106" t="s">
        <v>8893</v>
      </c>
      <c r="E13106" s="3" t="s">
        <v>38</v>
      </c>
      <c r="F13106" s="4">
        <v>1.2600000000000001E-71</v>
      </c>
      <c r="G13106" s="3">
        <v>600</v>
      </c>
      <c r="H13106" s="3">
        <v>40</v>
      </c>
      <c r="I13106" s="3">
        <v>310</v>
      </c>
      <c r="J13106" s="3">
        <v>160</v>
      </c>
      <c r="K13106" s="3">
        <v>1086</v>
      </c>
      <c r="L13106" s="3">
        <v>45</v>
      </c>
      <c r="M13106" s="3">
        <v>320</v>
      </c>
    </row>
    <row r="13107" spans="1:13" x14ac:dyDescent="0.25">
      <c r="A13107" s="1" t="str">
        <f>HYPERLINK("http://www.rosaceae.org/Prunus/Prunus_persica/p.persica_gdr_reftransV1_0048492","p.persica_gdr_reftransV1_0048492")</f>
        <v>p.persica_gdr_reftransV1_0048492</v>
      </c>
      <c r="B13107" s="3">
        <v>551</v>
      </c>
      <c r="C13107" s="1" t="str">
        <f>HYPERLINK("http://www.uniprot.org/uniprot/GERS_RHISY","GERS_RHISY")</f>
        <v>GERS_RHISY</v>
      </c>
      <c r="D13107" t="s">
        <v>8894</v>
      </c>
      <c r="E13107" s="3" t="s">
        <v>8895</v>
      </c>
      <c r="F13107" s="4">
        <v>2.9599999999999998E-51</v>
      </c>
      <c r="G13107" s="3">
        <v>455</v>
      </c>
      <c r="H13107" s="3">
        <v>71</v>
      </c>
      <c r="I13107" s="3">
        <v>129</v>
      </c>
      <c r="J13107" s="3">
        <v>164</v>
      </c>
      <c r="K13107" s="3">
        <v>550</v>
      </c>
      <c r="L13107" s="3">
        <v>1</v>
      </c>
      <c r="M13107" s="3">
        <v>129</v>
      </c>
    </row>
    <row r="13108" spans="1:13" x14ac:dyDescent="0.25">
      <c r="A13108" s="1" t="str">
        <f>HYPERLINK("http://www.rosaceae.org/Prunus/Prunus_persica/p.persica_gdr_reftransV1_0048642","p.persica_gdr_reftransV1_0048642")</f>
        <v>p.persica_gdr_reftransV1_0048642</v>
      </c>
      <c r="B13108" s="3">
        <v>1772</v>
      </c>
      <c r="C13108" s="1" t="str">
        <f>HYPERLINK("http://www.uniprot.org/uniprot/DRL4_ARATH","DRL4_ARATH")</f>
        <v>DRL4_ARATH</v>
      </c>
      <c r="D13108" t="s">
        <v>2765</v>
      </c>
      <c r="E13108" s="3" t="s">
        <v>3</v>
      </c>
      <c r="F13108" s="4">
        <v>3.5600000000000001E-101</v>
      </c>
      <c r="G13108" s="3">
        <v>726</v>
      </c>
      <c r="H13108" s="3">
        <v>42</v>
      </c>
      <c r="I13108" s="3">
        <v>426</v>
      </c>
      <c r="J13108" s="3">
        <v>29</v>
      </c>
      <c r="K13108" s="3">
        <v>1291</v>
      </c>
      <c r="L13108" s="3">
        <v>1</v>
      </c>
      <c r="M13108" s="3">
        <v>397</v>
      </c>
    </row>
    <row r="13109" spans="1:13" x14ac:dyDescent="0.25">
      <c r="A13109" s="1" t="str">
        <f>HYPERLINK("http://www.rosaceae.org/Prunus/Prunus_persica/p.persica_gdr_reftransV1_0048742","p.persica_gdr_reftransV1_0048742")</f>
        <v>p.persica_gdr_reftransV1_0048742</v>
      </c>
      <c r="B13109" s="3">
        <v>1975</v>
      </c>
      <c r="C13109" s="1" t="str">
        <f>HYPERLINK("http://www.uniprot.org/uniprot/UTP20_HUMAN","UTP20_HUMAN")</f>
        <v>UTP20_HUMAN</v>
      </c>
      <c r="D13109" t="s">
        <v>8896</v>
      </c>
      <c r="E13109" s="3" t="s">
        <v>28</v>
      </c>
      <c r="F13109" s="4">
        <v>2.4499999999999998E-10</v>
      </c>
      <c r="G13109" s="3">
        <v>165</v>
      </c>
      <c r="H13109" s="3">
        <v>30</v>
      </c>
      <c r="I13109" s="3">
        <v>118</v>
      </c>
      <c r="J13109" s="3">
        <v>27</v>
      </c>
      <c r="K13109" s="3">
        <v>377</v>
      </c>
      <c r="L13109" s="3">
        <v>948</v>
      </c>
      <c r="M13109" s="3">
        <v>1065</v>
      </c>
    </row>
    <row r="13110" spans="1:13" x14ac:dyDescent="0.25">
      <c r="A13110" s="1" t="str">
        <f>HYPERLINK("http://www.rosaceae.org/Prunus/Prunus_persica/p.persica_gdr_reftransV1_0048792","p.persica_gdr_reftransV1_0048792")</f>
        <v>p.persica_gdr_reftransV1_0048792</v>
      </c>
      <c r="B13110" s="3">
        <v>1118</v>
      </c>
      <c r="C13110" s="1" t="str">
        <f>HYPERLINK("http://www.uniprot.org/uniprot/FQRL1_ARATH","FQRL1_ARATH")</f>
        <v>FQRL1_ARATH</v>
      </c>
      <c r="D13110" t="s">
        <v>8074</v>
      </c>
      <c r="E13110" s="3" t="s">
        <v>3</v>
      </c>
      <c r="F13110" s="4">
        <v>4.3200000000000003E-120</v>
      </c>
      <c r="G13110" s="3">
        <v>905</v>
      </c>
      <c r="H13110" s="3">
        <v>91</v>
      </c>
      <c r="I13110" s="3">
        <v>203</v>
      </c>
      <c r="J13110" s="3">
        <v>132</v>
      </c>
      <c r="K13110" s="3">
        <v>740</v>
      </c>
      <c r="L13110" s="3">
        <v>1</v>
      </c>
      <c r="M13110" s="3">
        <v>203</v>
      </c>
    </row>
    <row r="13111" spans="1:13" x14ac:dyDescent="0.25">
      <c r="A13111" s="1" t="str">
        <f>HYPERLINK("http://www.rosaceae.org/Prunus/Prunus_persica/p.persica_gdr_reftransV1_0048842","p.persica_gdr_reftransV1_0048842")</f>
        <v>p.persica_gdr_reftransV1_0048842</v>
      </c>
      <c r="B13111" s="3">
        <v>2396</v>
      </c>
      <c r="C13111" s="1" t="str">
        <f>HYPERLINK("http://www.uniprot.org/uniprot/ARP5_ARATH","ARP5_ARATH")</f>
        <v>ARP5_ARATH</v>
      </c>
      <c r="D13111" t="s">
        <v>2886</v>
      </c>
      <c r="E13111" s="3" t="s">
        <v>3</v>
      </c>
      <c r="F13111" s="4">
        <v>0</v>
      </c>
      <c r="G13111" s="3">
        <v>2584</v>
      </c>
      <c r="H13111" s="3">
        <v>75</v>
      </c>
      <c r="I13111" s="3">
        <v>725</v>
      </c>
      <c r="J13111" s="3">
        <v>171</v>
      </c>
      <c r="K13111" s="3">
        <v>2342</v>
      </c>
      <c r="L13111" s="3">
        <v>1</v>
      </c>
      <c r="M13111" s="3">
        <v>724</v>
      </c>
    </row>
    <row r="13112" spans="1:13" x14ac:dyDescent="0.25">
      <c r="A13112" s="1" t="str">
        <f>HYPERLINK("http://www.rosaceae.org/Prunus/Prunus_persica/p.persica_gdr_reftransV1_0048992","p.persica_gdr_reftransV1_0048992")</f>
        <v>p.persica_gdr_reftransV1_0048992</v>
      </c>
      <c r="B13112" s="3">
        <v>1442</v>
      </c>
      <c r="C13112" s="1" t="str">
        <f>HYPERLINK("http://www.uniprot.org/uniprot/CLH1_ARATH","CLH1_ARATH")</f>
        <v>CLH1_ARATH</v>
      </c>
      <c r="D13112" t="s">
        <v>8897</v>
      </c>
      <c r="E13112" s="3" t="s">
        <v>3</v>
      </c>
      <c r="F13112" s="4">
        <v>1.6000000000000001E-114</v>
      </c>
      <c r="G13112" s="3">
        <v>890</v>
      </c>
      <c r="H13112" s="3">
        <v>57</v>
      </c>
      <c r="I13112" s="3">
        <v>319</v>
      </c>
      <c r="J13112" s="3">
        <v>308</v>
      </c>
      <c r="K13112" s="3">
        <v>1258</v>
      </c>
      <c r="L13112" s="3">
        <v>1</v>
      </c>
      <c r="M13112" s="3">
        <v>312</v>
      </c>
    </row>
    <row r="13113" spans="1:13" x14ac:dyDescent="0.25">
      <c r="A13113" s="1" t="str">
        <f>HYPERLINK("http://www.rosaceae.org/Prunus/Prunus_persica/p.persica_gdr_reftransV1_0049042","p.persica_gdr_reftransV1_0049042")</f>
        <v>p.persica_gdr_reftransV1_0049042</v>
      </c>
      <c r="B13113" s="3">
        <v>613</v>
      </c>
      <c r="C13113" s="1" t="str">
        <f>HYPERLINK("http://www.uniprot.org/uniprot/RL211_ARATH","RL211_ARATH")</f>
        <v>RL211_ARATH</v>
      </c>
      <c r="D13113" t="s">
        <v>4131</v>
      </c>
      <c r="E13113" s="3" t="s">
        <v>3</v>
      </c>
      <c r="F13113" s="4">
        <v>3.6599999999999997E-97</v>
      </c>
      <c r="G13113" s="3">
        <v>732</v>
      </c>
      <c r="H13113" s="3">
        <v>80</v>
      </c>
      <c r="I13113" s="3">
        <v>164</v>
      </c>
      <c r="J13113" s="3">
        <v>45</v>
      </c>
      <c r="K13113" s="3">
        <v>536</v>
      </c>
      <c r="L13113" s="3">
        <v>1</v>
      </c>
      <c r="M13113" s="3">
        <v>164</v>
      </c>
    </row>
    <row r="13114" spans="1:13" x14ac:dyDescent="0.25">
      <c r="A13114" s="1" t="str">
        <f>HYPERLINK("http://www.rosaceae.org/Prunus/Prunus_persica/p.persica_gdr_reftransV1_0049092","p.persica_gdr_reftransV1_0049092")</f>
        <v>p.persica_gdr_reftransV1_0049092</v>
      </c>
      <c r="B13114" s="3">
        <v>1295</v>
      </c>
      <c r="C13114" s="1" t="str">
        <f>HYPERLINK("http://www.uniprot.org/uniprot/XPP3_RAT","XPP3_RAT")</f>
        <v>XPP3_RAT</v>
      </c>
      <c r="D13114" t="s">
        <v>7199</v>
      </c>
      <c r="E13114" s="3" t="s">
        <v>161</v>
      </c>
      <c r="F13114" s="4">
        <v>5.7700000000000005E-85</v>
      </c>
      <c r="G13114" s="3">
        <v>703</v>
      </c>
      <c r="H13114" s="3">
        <v>41</v>
      </c>
      <c r="I13114" s="3">
        <v>337</v>
      </c>
      <c r="J13114" s="3">
        <v>311</v>
      </c>
      <c r="K13114" s="3">
        <v>1294</v>
      </c>
      <c r="L13114" s="3">
        <v>165</v>
      </c>
      <c r="M13114" s="3">
        <v>501</v>
      </c>
    </row>
    <row r="13115" spans="1:13" x14ac:dyDescent="0.25">
      <c r="A13115" s="1" t="str">
        <f>HYPERLINK("http://www.rosaceae.org/Prunus/Prunus_persica/p.persica_gdr_reftransV1_0049142","p.persica_gdr_reftransV1_0049142")</f>
        <v>p.persica_gdr_reftransV1_0049142</v>
      </c>
      <c r="B13115" s="3">
        <v>1491</v>
      </c>
      <c r="C13115" s="1" t="str">
        <f>HYPERLINK("http://www.uniprot.org/uniprot/TSJT1_TOBAC","TSJT1_TOBAC")</f>
        <v>TSJT1_TOBAC</v>
      </c>
      <c r="D13115" t="s">
        <v>1570</v>
      </c>
      <c r="E13115" s="3" t="s">
        <v>200</v>
      </c>
      <c r="F13115" s="4">
        <v>6.8199999999999997E-34</v>
      </c>
      <c r="G13115" s="3">
        <v>325</v>
      </c>
      <c r="H13115" s="3">
        <v>41</v>
      </c>
      <c r="I13115" s="3">
        <v>148</v>
      </c>
      <c r="J13115" s="3">
        <v>469</v>
      </c>
      <c r="K13115" s="3">
        <v>906</v>
      </c>
      <c r="L13115" s="3">
        <v>1</v>
      </c>
      <c r="M13115" s="3">
        <v>148</v>
      </c>
    </row>
    <row r="13116" spans="1:13" x14ac:dyDescent="0.25">
      <c r="A13116" s="1" t="str">
        <f>HYPERLINK("http://www.rosaceae.org/Prunus/Prunus_persica/p.persica_gdr_reftransV1_0000043","p.persica_gdr_reftransV1_0000043")</f>
        <v>p.persica_gdr_reftransV1_0000043</v>
      </c>
      <c r="B13116" s="3">
        <v>2264</v>
      </c>
      <c r="C13116" s="1" t="str">
        <f>HYPERLINK("http://www.uniprot.org/uniprot/RAGP1_ARATH","RAGP1_ARATH")</f>
        <v>RAGP1_ARATH</v>
      </c>
      <c r="D13116" t="s">
        <v>8898</v>
      </c>
      <c r="E13116" s="3" t="s">
        <v>3</v>
      </c>
      <c r="F13116" s="4">
        <v>0</v>
      </c>
      <c r="G13116" s="3">
        <v>1805</v>
      </c>
      <c r="H13116" s="3">
        <v>69</v>
      </c>
      <c r="I13116" s="3">
        <v>507</v>
      </c>
      <c r="J13116" s="3">
        <v>322</v>
      </c>
      <c r="K13116" s="3">
        <v>1839</v>
      </c>
      <c r="L13116" s="3">
        <v>1</v>
      </c>
      <c r="M13116" s="3">
        <v>499</v>
      </c>
    </row>
    <row r="13117" spans="1:13" x14ac:dyDescent="0.25">
      <c r="A13117" s="1" t="str">
        <f>HYPERLINK("http://www.rosaceae.org/Prunus/Prunus_persica/p.persica_gdr_reftransV1_0000093","p.persica_gdr_reftransV1_0000093")</f>
        <v>p.persica_gdr_reftransV1_0000093</v>
      </c>
      <c r="B13117" s="3">
        <v>2712</v>
      </c>
      <c r="C13117" s="1" t="str">
        <f>HYPERLINK("http://www.uniprot.org/uniprot/NCASE_ARATH","NCASE_ARATH")</f>
        <v>NCASE_ARATH</v>
      </c>
      <c r="D13117" t="s">
        <v>4341</v>
      </c>
      <c r="E13117" s="3" t="s">
        <v>3</v>
      </c>
      <c r="F13117" s="4">
        <v>0</v>
      </c>
      <c r="G13117" s="3">
        <v>2871</v>
      </c>
      <c r="H13117" s="3">
        <v>76</v>
      </c>
      <c r="I13117" s="3">
        <v>725</v>
      </c>
      <c r="J13117" s="3">
        <v>226</v>
      </c>
      <c r="K13117" s="3">
        <v>2391</v>
      </c>
      <c r="L13117" s="3">
        <v>26</v>
      </c>
      <c r="M13117" s="3">
        <v>740</v>
      </c>
    </row>
    <row r="13118" spans="1:13" x14ac:dyDescent="0.25">
      <c r="A13118" s="1" t="str">
        <f>HYPERLINK("http://www.rosaceae.org/Prunus/Prunus_persica/p.persica_gdr_reftransV1_0000143","p.persica_gdr_reftransV1_0000143")</f>
        <v>p.persica_gdr_reftransV1_0000143</v>
      </c>
      <c r="B13118" s="3">
        <v>1737</v>
      </c>
      <c r="C13118" s="1" t="str">
        <f>HYPERLINK("http://www.uniprot.org/uniprot/HSFA8_ARATH","HSFA8_ARATH")</f>
        <v>HSFA8_ARATH</v>
      </c>
      <c r="D13118" t="s">
        <v>8899</v>
      </c>
      <c r="E13118" s="3" t="s">
        <v>3</v>
      </c>
      <c r="F13118" s="4">
        <v>8.3500000000000002E-96</v>
      </c>
      <c r="G13118" s="3">
        <v>778</v>
      </c>
      <c r="H13118" s="3">
        <v>48</v>
      </c>
      <c r="I13118" s="3">
        <v>385</v>
      </c>
      <c r="J13118" s="3">
        <v>285</v>
      </c>
      <c r="K13118" s="3">
        <v>1418</v>
      </c>
      <c r="L13118" s="3">
        <v>19</v>
      </c>
      <c r="M13118" s="3">
        <v>373</v>
      </c>
    </row>
    <row r="13119" spans="1:13" x14ac:dyDescent="0.25">
      <c r="A13119" s="1" t="str">
        <f>HYPERLINK("http://www.rosaceae.org/Prunus/Prunus_persica/p.persica_gdr_reftransV1_0000243","p.persica_gdr_reftransV1_0000243")</f>
        <v>p.persica_gdr_reftransV1_0000243</v>
      </c>
      <c r="B13119" s="3">
        <v>3388</v>
      </c>
      <c r="C13119" s="1" t="str">
        <f>HYPERLINK("http://www.uniprot.org/uniprot/CNGC1_ARATH","CNGC1_ARATH")</f>
        <v>CNGC1_ARATH</v>
      </c>
      <c r="D13119" t="s">
        <v>241</v>
      </c>
      <c r="E13119" s="3" t="s">
        <v>3</v>
      </c>
      <c r="F13119" s="4">
        <v>1.8599999999999999E-88</v>
      </c>
      <c r="G13119" s="3">
        <v>785</v>
      </c>
      <c r="H13119" s="3">
        <v>39</v>
      </c>
      <c r="I13119" s="3">
        <v>551</v>
      </c>
      <c r="J13119" s="3">
        <v>1486</v>
      </c>
      <c r="K13119" s="3">
        <v>3099</v>
      </c>
      <c r="L13119" s="3">
        <v>94</v>
      </c>
      <c r="M13119" s="3">
        <v>604</v>
      </c>
    </row>
    <row r="13120" spans="1:13" x14ac:dyDescent="0.25">
      <c r="A13120" s="1" t="str">
        <f>HYPERLINK("http://www.rosaceae.org/Prunus/Prunus_persica/p.persica_gdr_reftransV1_0000293","p.persica_gdr_reftransV1_0000293")</f>
        <v>p.persica_gdr_reftransV1_0000293</v>
      </c>
      <c r="B13120" s="3">
        <v>482</v>
      </c>
      <c r="C13120" s="1" t="str">
        <f>HYPERLINK("http://www.uniprot.org/uniprot/Y1723_ARATH","Y1723_ARATH")</f>
        <v>Y1723_ARATH</v>
      </c>
      <c r="D13120" t="s">
        <v>4688</v>
      </c>
      <c r="E13120" s="3" t="s">
        <v>3</v>
      </c>
      <c r="F13120" s="4">
        <v>1.1399999999999999E-51</v>
      </c>
      <c r="G13120" s="3">
        <v>461</v>
      </c>
      <c r="H13120" s="3">
        <v>65</v>
      </c>
      <c r="I13120" s="3">
        <v>160</v>
      </c>
      <c r="J13120" s="3">
        <v>2</v>
      </c>
      <c r="K13120" s="3">
        <v>481</v>
      </c>
      <c r="L13120" s="3">
        <v>502</v>
      </c>
      <c r="M13120" s="3">
        <v>661</v>
      </c>
    </row>
    <row r="13121" spans="1:13" x14ac:dyDescent="0.25">
      <c r="A13121" s="1" t="str">
        <f>HYPERLINK("http://www.rosaceae.org/Prunus/Prunus_persica/p.persica_gdr_reftransV1_0000343","p.persica_gdr_reftransV1_0000343")</f>
        <v>p.persica_gdr_reftransV1_0000343</v>
      </c>
      <c r="B13121" s="3">
        <v>1189</v>
      </c>
      <c r="C13121" s="1" t="str">
        <f>HYPERLINK("http://www.uniprot.org/uniprot/SMYD4_HUMAN","SMYD4_HUMAN")</f>
        <v>SMYD4_HUMAN</v>
      </c>
      <c r="D13121" t="s">
        <v>8900</v>
      </c>
      <c r="E13121" s="3" t="s">
        <v>28</v>
      </c>
      <c r="F13121" s="4">
        <v>2.8699999999999999E-8</v>
      </c>
      <c r="G13121" s="3">
        <v>143</v>
      </c>
      <c r="H13121" s="3">
        <v>32</v>
      </c>
      <c r="I13121" s="3">
        <v>87</v>
      </c>
      <c r="J13121" s="3">
        <v>71</v>
      </c>
      <c r="K13121" s="3">
        <v>331</v>
      </c>
      <c r="L13121" s="3">
        <v>516</v>
      </c>
      <c r="M13121" s="3">
        <v>602</v>
      </c>
    </row>
    <row r="13122" spans="1:13" x14ac:dyDescent="0.25">
      <c r="A13122" s="1" t="str">
        <f>HYPERLINK("http://www.rosaceae.org/Prunus/Prunus_persica/p.persica_gdr_reftransV1_0000393","p.persica_gdr_reftransV1_0000393")</f>
        <v>p.persica_gdr_reftransV1_0000393</v>
      </c>
      <c r="B13122" s="3">
        <v>2333</v>
      </c>
      <c r="C13122" s="1" t="str">
        <f>HYPERLINK("http://www.uniprot.org/uniprot/DBP2_DEBHA","DBP2_DEBHA")</f>
        <v>DBP2_DEBHA</v>
      </c>
      <c r="D13122" t="s">
        <v>2827</v>
      </c>
      <c r="E13122" s="3" t="s">
        <v>351</v>
      </c>
      <c r="F13122" s="4">
        <v>8.0300000000000002E-113</v>
      </c>
      <c r="G13122" s="3">
        <v>923</v>
      </c>
      <c r="H13122" s="3">
        <v>48</v>
      </c>
      <c r="I13122" s="3">
        <v>375</v>
      </c>
      <c r="J13122" s="3">
        <v>482</v>
      </c>
      <c r="K13122" s="3">
        <v>1603</v>
      </c>
      <c r="L13122" s="3">
        <v>104</v>
      </c>
      <c r="M13122" s="3">
        <v>471</v>
      </c>
    </row>
    <row r="13123" spans="1:13" x14ac:dyDescent="0.25">
      <c r="A13123" s="1" t="str">
        <f>HYPERLINK("http://www.rosaceae.org/Prunus/Prunus_persica/p.persica_gdr_reftransV1_0000443","p.persica_gdr_reftransV1_0000443")</f>
        <v>p.persica_gdr_reftransV1_0000443</v>
      </c>
      <c r="B13123" s="3">
        <v>1076</v>
      </c>
      <c r="C13123" s="1" t="str">
        <f>HYPERLINK("http://www.uniprot.org/uniprot/DHX8_ARATH","DHX8_ARATH")</f>
        <v>DHX8_ARATH</v>
      </c>
      <c r="D13123" t="s">
        <v>653</v>
      </c>
      <c r="E13123" s="3" t="s">
        <v>3</v>
      </c>
      <c r="F13123" s="4">
        <v>2.3700000000000001E-70</v>
      </c>
      <c r="G13123" s="3">
        <v>619</v>
      </c>
      <c r="H13123" s="3">
        <v>73</v>
      </c>
      <c r="I13123" s="3">
        <v>186</v>
      </c>
      <c r="J13123" s="3">
        <v>3</v>
      </c>
      <c r="K13123" s="3">
        <v>560</v>
      </c>
      <c r="L13123" s="3">
        <v>407</v>
      </c>
      <c r="M13123" s="3">
        <v>589</v>
      </c>
    </row>
    <row r="13124" spans="1:13" x14ac:dyDescent="0.25">
      <c r="A13124" s="1" t="str">
        <f>HYPERLINK("http://www.rosaceae.org/Prunus/Prunus_persica/p.persica_gdr_reftransV1_0000543","p.persica_gdr_reftransV1_0000543")</f>
        <v>p.persica_gdr_reftransV1_0000543</v>
      </c>
      <c r="B13124" s="3">
        <v>543</v>
      </c>
      <c r="C13124" s="1" t="str">
        <f>HYPERLINK("http://www.uniprot.org/uniprot/PP2B5_ARATH","PP2B5_ARATH")</f>
        <v>PP2B5_ARATH</v>
      </c>
      <c r="D13124" t="s">
        <v>8901</v>
      </c>
      <c r="E13124" s="3" t="s">
        <v>3</v>
      </c>
      <c r="F13124" s="4">
        <v>2.0599999999999999E-7</v>
      </c>
      <c r="G13124" s="3">
        <v>126</v>
      </c>
      <c r="H13124" s="3">
        <v>31</v>
      </c>
      <c r="I13124" s="3">
        <v>118</v>
      </c>
      <c r="J13124" s="3">
        <v>217</v>
      </c>
      <c r="K13124" s="3">
        <v>543</v>
      </c>
      <c r="L13124" s="3">
        <v>181</v>
      </c>
      <c r="M13124" s="3">
        <v>284</v>
      </c>
    </row>
    <row r="13125" spans="1:13" x14ac:dyDescent="0.25">
      <c r="A13125" s="1" t="str">
        <f>HYPERLINK("http://www.rosaceae.org/Prunus/Prunus_persica/p.persica_gdr_reftransV1_0000593","p.persica_gdr_reftransV1_0000593")</f>
        <v>p.persica_gdr_reftransV1_0000593</v>
      </c>
      <c r="B13125" s="3">
        <v>981</v>
      </c>
      <c r="C13125" s="1" t="str">
        <f>HYPERLINK("http://www.uniprot.org/uniprot/ATM_ARATH","ATM_ARATH")</f>
        <v>ATM_ARATH</v>
      </c>
      <c r="D13125" t="s">
        <v>2500</v>
      </c>
      <c r="E13125" s="3" t="s">
        <v>3</v>
      </c>
      <c r="F13125" s="4">
        <v>8.2799999999999996E-109</v>
      </c>
      <c r="G13125" s="3">
        <v>912</v>
      </c>
      <c r="H13125" s="3">
        <v>53</v>
      </c>
      <c r="I13125" s="3">
        <v>361</v>
      </c>
      <c r="J13125" s="3">
        <v>3</v>
      </c>
      <c r="K13125" s="3">
        <v>980</v>
      </c>
      <c r="L13125" s="3">
        <v>2193</v>
      </c>
      <c r="M13125" s="3">
        <v>2553</v>
      </c>
    </row>
    <row r="13126" spans="1:13" x14ac:dyDescent="0.25">
      <c r="A13126" s="1" t="str">
        <f>HYPERLINK("http://www.rosaceae.org/Prunus/Prunus_persica/p.persica_gdr_reftransV1_0000643","p.persica_gdr_reftransV1_0000643")</f>
        <v>p.persica_gdr_reftransV1_0000643</v>
      </c>
      <c r="B13126" s="3">
        <v>1533</v>
      </c>
      <c r="C13126" s="1" t="str">
        <f>HYPERLINK("http://www.uniprot.org/uniprot/Y5986_ARATH","Y5986_ARATH")</f>
        <v>Y5986_ARATH</v>
      </c>
      <c r="D13126" t="s">
        <v>4689</v>
      </c>
      <c r="E13126" s="3" t="s">
        <v>3</v>
      </c>
      <c r="F13126" s="4">
        <v>1.09E-29</v>
      </c>
      <c r="G13126" s="3">
        <v>309</v>
      </c>
      <c r="H13126" s="3">
        <v>44</v>
      </c>
      <c r="I13126" s="3">
        <v>167</v>
      </c>
      <c r="J13126" s="3">
        <v>294</v>
      </c>
      <c r="K13126" s="3">
        <v>755</v>
      </c>
      <c r="L13126" s="3">
        <v>223</v>
      </c>
      <c r="M13126" s="3">
        <v>388</v>
      </c>
    </row>
    <row r="13127" spans="1:13" x14ac:dyDescent="0.25">
      <c r="A13127" s="1" t="str">
        <f>HYPERLINK("http://www.rosaceae.org/Prunus/Prunus_persica/p.persica_gdr_reftransV1_0000893","p.persica_gdr_reftransV1_0000893")</f>
        <v>p.persica_gdr_reftransV1_0000893</v>
      </c>
      <c r="B13127" s="3">
        <v>1894</v>
      </c>
      <c r="C13127" s="1" t="str">
        <f>HYPERLINK("http://www.uniprot.org/uniprot/ATL46_ARATH","ATL46_ARATH")</f>
        <v>ATL46_ARATH</v>
      </c>
      <c r="D13127" t="s">
        <v>890</v>
      </c>
      <c r="E13127" s="3" t="s">
        <v>3</v>
      </c>
      <c r="F13127" s="4">
        <v>3.5500000000000002E-105</v>
      </c>
      <c r="G13127" s="3">
        <v>845</v>
      </c>
      <c r="H13127" s="3">
        <v>61</v>
      </c>
      <c r="I13127" s="3">
        <v>388</v>
      </c>
      <c r="J13127" s="3">
        <v>291</v>
      </c>
      <c r="K13127" s="3">
        <v>1379</v>
      </c>
      <c r="L13127" s="3">
        <v>1</v>
      </c>
      <c r="M13127" s="3">
        <v>365</v>
      </c>
    </row>
    <row r="13128" spans="1:13" x14ac:dyDescent="0.25">
      <c r="A13128" s="1" t="str">
        <f>HYPERLINK("http://www.rosaceae.org/Prunus/Prunus_persica/p.persica_gdr_reftransV1_0000943","p.persica_gdr_reftransV1_0000943")</f>
        <v>p.persica_gdr_reftransV1_0000943</v>
      </c>
      <c r="B13128" s="3">
        <v>3970</v>
      </c>
      <c r="C13128" s="1" t="str">
        <f>HYPERLINK("http://www.uniprot.org/uniprot/M030_ARATH","M030_ARATH")</f>
        <v>M030_ARATH</v>
      </c>
      <c r="D13128" t="s">
        <v>8902</v>
      </c>
      <c r="E13128" s="3" t="s">
        <v>3</v>
      </c>
      <c r="F13128" s="4">
        <v>2.7100000000000001E-33</v>
      </c>
      <c r="G13128" s="3">
        <v>328</v>
      </c>
      <c r="H13128" s="3">
        <v>95</v>
      </c>
      <c r="I13128" s="3">
        <v>63</v>
      </c>
      <c r="J13128" s="3">
        <v>263</v>
      </c>
      <c r="K13128" s="3">
        <v>451</v>
      </c>
      <c r="L13128" s="3">
        <v>1</v>
      </c>
      <c r="M13128" s="3">
        <v>63</v>
      </c>
    </row>
    <row r="13129" spans="1:13" x14ac:dyDescent="0.25">
      <c r="A13129" s="1" t="str">
        <f>HYPERLINK("http://www.rosaceae.org/Prunus/Prunus_persica/p.persica_gdr_reftransV1_0000993","p.persica_gdr_reftransV1_0000993")</f>
        <v>p.persica_gdr_reftransV1_0000993</v>
      </c>
      <c r="B13129" s="3">
        <v>1475</v>
      </c>
      <c r="C13129" s="1" t="str">
        <f>HYPERLINK("http://www.uniprot.org/uniprot/UPTG_PEA","UPTG_PEA")</f>
        <v>UPTG_PEA</v>
      </c>
      <c r="D13129" t="s">
        <v>6725</v>
      </c>
      <c r="E13129" s="3" t="s">
        <v>60</v>
      </c>
      <c r="F13129" s="4">
        <v>0</v>
      </c>
      <c r="G13129" s="3">
        <v>1744</v>
      </c>
      <c r="H13129" s="3">
        <v>89</v>
      </c>
      <c r="I13129" s="3">
        <v>361</v>
      </c>
      <c r="J13129" s="3">
        <v>294</v>
      </c>
      <c r="K13129" s="3">
        <v>1376</v>
      </c>
      <c r="L13129" s="3">
        <v>1</v>
      </c>
      <c r="M13129" s="3">
        <v>357</v>
      </c>
    </row>
    <row r="13130" spans="1:13" x14ac:dyDescent="0.25">
      <c r="A13130" s="1" t="str">
        <f>HYPERLINK("http://www.rosaceae.org/Prunus/Prunus_persica/p.persica_gdr_reftransV1_0001193","p.persica_gdr_reftransV1_0001193")</f>
        <v>p.persica_gdr_reftransV1_0001193</v>
      </c>
      <c r="B13130" s="3">
        <v>1180</v>
      </c>
      <c r="C13130" s="1" t="str">
        <f>HYPERLINK("http://www.uniprot.org/uniprot/KPRO_MAIZE","KPRO_MAIZE")</f>
        <v>KPRO_MAIZE</v>
      </c>
      <c r="D13130" t="s">
        <v>4928</v>
      </c>
      <c r="E13130" s="3" t="s">
        <v>72</v>
      </c>
      <c r="F13130" s="4">
        <v>7.3900000000000001E-120</v>
      </c>
      <c r="G13130" s="3">
        <v>958</v>
      </c>
      <c r="H13130" s="3">
        <v>56</v>
      </c>
      <c r="I13130" s="3">
        <v>344</v>
      </c>
      <c r="J13130" s="3">
        <v>2</v>
      </c>
      <c r="K13130" s="3">
        <v>1018</v>
      </c>
      <c r="L13130" s="3">
        <v>475</v>
      </c>
      <c r="M13130" s="3">
        <v>817</v>
      </c>
    </row>
    <row r="13131" spans="1:13" x14ac:dyDescent="0.25">
      <c r="A13131" s="1" t="str">
        <f>HYPERLINK("http://www.rosaceae.org/Prunus/Prunus_persica/p.persica_gdr_reftransV1_0001343","p.persica_gdr_reftransV1_0001343")</f>
        <v>p.persica_gdr_reftransV1_0001343</v>
      </c>
      <c r="B13131" s="3">
        <v>1368</v>
      </c>
      <c r="C13131" s="1" t="str">
        <f>HYPERLINK("http://www.uniprot.org/uniprot/GLIP1_ARATH","GLIP1_ARATH")</f>
        <v>GLIP1_ARATH</v>
      </c>
      <c r="D13131" t="s">
        <v>7672</v>
      </c>
      <c r="E13131" s="3" t="s">
        <v>3</v>
      </c>
      <c r="F13131" s="4">
        <v>2.2199999999999999E-119</v>
      </c>
      <c r="G13131" s="3">
        <v>925</v>
      </c>
      <c r="H13131" s="3">
        <v>50</v>
      </c>
      <c r="I13131" s="3">
        <v>375</v>
      </c>
      <c r="J13131" s="3">
        <v>259</v>
      </c>
      <c r="K13131" s="3">
        <v>1332</v>
      </c>
      <c r="L13131" s="3">
        <v>2</v>
      </c>
      <c r="M13131" s="3">
        <v>373</v>
      </c>
    </row>
    <row r="13132" spans="1:13" x14ac:dyDescent="0.25">
      <c r="A13132" s="1" t="str">
        <f>HYPERLINK("http://www.rosaceae.org/Prunus/Prunus_persica/p.persica_gdr_reftransV1_0001393","p.persica_gdr_reftransV1_0001393")</f>
        <v>p.persica_gdr_reftransV1_0001393</v>
      </c>
      <c r="B13132" s="3">
        <v>500</v>
      </c>
      <c r="C13132" s="1" t="str">
        <f>HYPERLINK("http://www.uniprot.org/uniprot/2A5E_ARATH","2A5E_ARATH")</f>
        <v>2A5E_ARATH</v>
      </c>
      <c r="D13132" t="s">
        <v>8903</v>
      </c>
      <c r="E13132" s="3" t="s">
        <v>3</v>
      </c>
      <c r="F13132" s="4">
        <v>9.8199999999999993E-35</v>
      </c>
      <c r="G13132" s="3">
        <v>329</v>
      </c>
      <c r="H13132" s="3">
        <v>45</v>
      </c>
      <c r="I13132" s="3">
        <v>154</v>
      </c>
      <c r="J13132" s="3">
        <v>33</v>
      </c>
      <c r="K13132" s="3">
        <v>494</v>
      </c>
      <c r="L13132" s="3">
        <v>340</v>
      </c>
      <c r="M13132" s="3">
        <v>493</v>
      </c>
    </row>
    <row r="13133" spans="1:13" x14ac:dyDescent="0.25">
      <c r="A13133" s="1" t="str">
        <f>HYPERLINK("http://www.rosaceae.org/Prunus/Prunus_persica/p.persica_gdr_reftransV1_0001443","p.persica_gdr_reftransV1_0001443")</f>
        <v>p.persica_gdr_reftransV1_0001443</v>
      </c>
      <c r="B13133" s="3">
        <v>1186</v>
      </c>
      <c r="C13133" s="1" t="str">
        <f>HYPERLINK("http://www.uniprot.org/uniprot/RBK1_ARATH","RBK1_ARATH")</f>
        <v>RBK1_ARATH</v>
      </c>
      <c r="D13133" t="s">
        <v>5499</v>
      </c>
      <c r="E13133" s="3" t="s">
        <v>3</v>
      </c>
      <c r="F13133" s="4">
        <v>2.1700000000000001E-63</v>
      </c>
      <c r="G13133" s="3">
        <v>550</v>
      </c>
      <c r="H13133" s="3">
        <v>38</v>
      </c>
      <c r="I13133" s="3">
        <v>333</v>
      </c>
      <c r="J13133" s="3">
        <v>139</v>
      </c>
      <c r="K13133" s="3">
        <v>1104</v>
      </c>
      <c r="L13133" s="3">
        <v>122</v>
      </c>
      <c r="M13133" s="3">
        <v>451</v>
      </c>
    </row>
    <row r="13134" spans="1:13" x14ac:dyDescent="0.25">
      <c r="A13134" s="1" t="str">
        <f>HYPERLINK("http://www.rosaceae.org/Prunus/Prunus_persica/p.persica_gdr_reftransV1_0001543","p.persica_gdr_reftransV1_0001543")</f>
        <v>p.persica_gdr_reftransV1_0001543</v>
      </c>
      <c r="B13134" s="3">
        <v>738</v>
      </c>
      <c r="C13134" s="1" t="str">
        <f>HYPERLINK("http://www.uniprot.org/uniprot/TBL31_ARATH","TBL31_ARATH")</f>
        <v>TBL31_ARATH</v>
      </c>
      <c r="D13134" t="s">
        <v>8904</v>
      </c>
      <c r="E13134" s="3" t="s">
        <v>3</v>
      </c>
      <c r="F13134" s="4">
        <v>2.38E-106</v>
      </c>
      <c r="G13134" s="3">
        <v>820</v>
      </c>
      <c r="H13134" s="3">
        <v>71</v>
      </c>
      <c r="I13134" s="3">
        <v>204</v>
      </c>
      <c r="J13134" s="3">
        <v>3</v>
      </c>
      <c r="K13134" s="3">
        <v>608</v>
      </c>
      <c r="L13134" s="3">
        <v>210</v>
      </c>
      <c r="M13134" s="3">
        <v>413</v>
      </c>
    </row>
    <row r="13135" spans="1:13" x14ac:dyDescent="0.25">
      <c r="A13135" s="1" t="str">
        <f>HYPERLINK("http://www.rosaceae.org/Prunus/Prunus_persica/p.persica_gdr_reftransV1_0001643","p.persica_gdr_reftransV1_0001643")</f>
        <v>p.persica_gdr_reftransV1_0001643</v>
      </c>
      <c r="B13135" s="3">
        <v>2969</v>
      </c>
      <c r="C13135" s="1" t="str">
        <f>HYPERLINK("http://www.uniprot.org/uniprot/BLH1_ARATH","BLH1_ARATH")</f>
        <v>BLH1_ARATH</v>
      </c>
      <c r="D13135" t="s">
        <v>896</v>
      </c>
      <c r="E13135" s="3" t="s">
        <v>3</v>
      </c>
      <c r="F13135" s="4">
        <v>2.08E-161</v>
      </c>
      <c r="G13135" s="3">
        <v>1281</v>
      </c>
      <c r="H13135" s="3">
        <v>51</v>
      </c>
      <c r="I13135" s="3">
        <v>775</v>
      </c>
      <c r="J13135" s="3">
        <v>444</v>
      </c>
      <c r="K13135" s="3">
        <v>2564</v>
      </c>
      <c r="L13135" s="3">
        <v>1</v>
      </c>
      <c r="M13135" s="3">
        <v>680</v>
      </c>
    </row>
    <row r="13136" spans="1:13" x14ac:dyDescent="0.25">
      <c r="A13136" s="1" t="str">
        <f>HYPERLINK("http://www.rosaceae.org/Prunus/Prunus_persica/p.persica_gdr_reftransV1_0001693","p.persica_gdr_reftransV1_0001693")</f>
        <v>p.persica_gdr_reftransV1_0001693</v>
      </c>
      <c r="B13136" s="3">
        <v>635</v>
      </c>
      <c r="C13136" s="1" t="str">
        <f>HYPERLINK("http://www.uniprot.org/uniprot/PMA1_AJECA","PMA1_AJECA")</f>
        <v>PMA1_AJECA</v>
      </c>
      <c r="D13136" t="s">
        <v>8905</v>
      </c>
      <c r="E13136" s="3" t="s">
        <v>8906</v>
      </c>
      <c r="F13136" s="4">
        <v>3.0000000000000001E-95</v>
      </c>
      <c r="G13136" s="3">
        <v>776</v>
      </c>
      <c r="H13136" s="3">
        <v>86</v>
      </c>
      <c r="I13136" s="3">
        <v>211</v>
      </c>
      <c r="J13136" s="3">
        <v>1</v>
      </c>
      <c r="K13136" s="3">
        <v>633</v>
      </c>
      <c r="L13136" s="3">
        <v>128</v>
      </c>
      <c r="M13136" s="3">
        <v>338</v>
      </c>
    </row>
    <row r="13137" spans="1:13" x14ac:dyDescent="0.25">
      <c r="A13137" s="1" t="str">
        <f>HYPERLINK("http://www.rosaceae.org/Prunus/Prunus_persica/p.persica_gdr_reftransV1_0001893","p.persica_gdr_reftransV1_0001893")</f>
        <v>p.persica_gdr_reftransV1_0001893</v>
      </c>
      <c r="B13137" s="3">
        <v>363</v>
      </c>
      <c r="C13137" s="1" t="str">
        <f>HYPERLINK("http://www.uniprot.org/uniprot/KP1_ARATH","KP1_ARATH")</f>
        <v>KP1_ARATH</v>
      </c>
      <c r="D13137" t="s">
        <v>8355</v>
      </c>
      <c r="E13137" s="3" t="s">
        <v>3</v>
      </c>
      <c r="F13137" s="4">
        <v>8.02E-45</v>
      </c>
      <c r="G13137" s="3">
        <v>406</v>
      </c>
      <c r="H13137" s="3">
        <v>59</v>
      </c>
      <c r="I13137" s="3">
        <v>123</v>
      </c>
      <c r="J13137" s="3">
        <v>1</v>
      </c>
      <c r="K13137" s="3">
        <v>363</v>
      </c>
      <c r="L13137" s="3">
        <v>372</v>
      </c>
      <c r="M13137" s="3">
        <v>494</v>
      </c>
    </row>
    <row r="13138" spans="1:13" x14ac:dyDescent="0.25">
      <c r="A13138" s="1" t="str">
        <f>HYPERLINK("http://www.rosaceae.org/Prunus/Prunus_persica/p.persica_gdr_reftransV1_0001993","p.persica_gdr_reftransV1_0001993")</f>
        <v>p.persica_gdr_reftransV1_0001993</v>
      </c>
      <c r="B13138" s="3">
        <v>366</v>
      </c>
      <c r="C13138" s="1" t="str">
        <f>HYPERLINK("http://www.uniprot.org/uniprot/MYB4_ORYSJ","MYB4_ORYSJ")</f>
        <v>MYB4_ORYSJ</v>
      </c>
      <c r="D13138" t="s">
        <v>2801</v>
      </c>
      <c r="E13138" s="3" t="s">
        <v>38</v>
      </c>
      <c r="F13138" s="4">
        <v>4.2599999999999997E-24</v>
      </c>
      <c r="G13138" s="3">
        <v>242</v>
      </c>
      <c r="H13138" s="3">
        <v>71</v>
      </c>
      <c r="I13138" s="3">
        <v>65</v>
      </c>
      <c r="J13138" s="3">
        <v>2</v>
      </c>
      <c r="K13138" s="3">
        <v>196</v>
      </c>
      <c r="L13138" s="3">
        <v>63</v>
      </c>
      <c r="M13138" s="3">
        <v>125</v>
      </c>
    </row>
    <row r="13139" spans="1:13" x14ac:dyDescent="0.25">
      <c r="A13139" s="1" t="str">
        <f>HYPERLINK("http://www.rosaceae.org/Prunus/Prunus_persica/p.persica_gdr_reftransV1_0002043","p.persica_gdr_reftransV1_0002043")</f>
        <v>p.persica_gdr_reftransV1_0002043</v>
      </c>
      <c r="B13139" s="3">
        <v>452</v>
      </c>
      <c r="C13139" s="1" t="str">
        <f>HYPERLINK("http://www.uniprot.org/uniprot/PME20_ARATH","PME20_ARATH")</f>
        <v>PME20_ARATH</v>
      </c>
      <c r="D13139" t="s">
        <v>8907</v>
      </c>
      <c r="E13139" s="3" t="s">
        <v>3</v>
      </c>
      <c r="F13139" s="4">
        <v>1.2600000000000001E-51</v>
      </c>
      <c r="G13139" s="3">
        <v>450</v>
      </c>
      <c r="H13139" s="3">
        <v>80</v>
      </c>
      <c r="I13139" s="3">
        <v>100</v>
      </c>
      <c r="J13139" s="3">
        <v>6</v>
      </c>
      <c r="K13139" s="3">
        <v>305</v>
      </c>
      <c r="L13139" s="3">
        <v>460</v>
      </c>
      <c r="M13139" s="3">
        <v>559</v>
      </c>
    </row>
    <row r="13140" spans="1:13" x14ac:dyDescent="0.25">
      <c r="A13140" s="1" t="str">
        <f>HYPERLINK("http://www.rosaceae.org/Prunus/Prunus_persica/p.persica_gdr_reftransV1_0002093","p.persica_gdr_reftransV1_0002093")</f>
        <v>p.persica_gdr_reftransV1_0002093</v>
      </c>
      <c r="B13140" s="3">
        <v>1940</v>
      </c>
      <c r="C13140" s="1" t="str">
        <f>HYPERLINK("http://www.uniprot.org/uniprot/HPXO_KLEPN","HPXO_KLEPN")</f>
        <v>HPXO_KLEPN</v>
      </c>
      <c r="D13140" t="s">
        <v>8908</v>
      </c>
      <c r="E13140" s="3" t="s">
        <v>8909</v>
      </c>
      <c r="F13140" s="4">
        <v>7.3199999999999998E-24</v>
      </c>
      <c r="G13140" s="3">
        <v>268</v>
      </c>
      <c r="H13140" s="3">
        <v>24</v>
      </c>
      <c r="I13140" s="3">
        <v>390</v>
      </c>
      <c r="J13140" s="3">
        <v>729</v>
      </c>
      <c r="K13140" s="3">
        <v>1886</v>
      </c>
      <c r="L13140" s="3">
        <v>4</v>
      </c>
      <c r="M13140" s="3">
        <v>337</v>
      </c>
    </row>
    <row r="13141" spans="1:13" x14ac:dyDescent="0.25">
      <c r="A13141" s="1" t="str">
        <f>HYPERLINK("http://www.rosaceae.org/Prunus/Prunus_persica/p.persica_gdr_reftransV1_0002143","p.persica_gdr_reftransV1_0002143")</f>
        <v>p.persica_gdr_reftransV1_0002143</v>
      </c>
      <c r="B13141" s="3">
        <v>310</v>
      </c>
      <c r="C13141" s="1" t="str">
        <f>HYPERLINK("http://www.uniprot.org/uniprot/CASL1_CANSA","CASL1_CANSA")</f>
        <v>CASL1_CANSA</v>
      </c>
      <c r="D13141" t="s">
        <v>4667</v>
      </c>
      <c r="E13141" s="3" t="s">
        <v>3291</v>
      </c>
      <c r="F13141" s="4">
        <v>3.0300000000000001E-9</v>
      </c>
      <c r="G13141" s="3">
        <v>137</v>
      </c>
      <c r="H13141" s="3">
        <v>47</v>
      </c>
      <c r="I13141" s="3">
        <v>73</v>
      </c>
      <c r="J13141" s="3">
        <v>93</v>
      </c>
      <c r="K13141" s="3">
        <v>308</v>
      </c>
      <c r="L13141" s="3">
        <v>32</v>
      </c>
      <c r="M13141" s="3">
        <v>104</v>
      </c>
    </row>
    <row r="13142" spans="1:13" x14ac:dyDescent="0.25">
      <c r="A13142" s="1" t="str">
        <f>HYPERLINK("http://www.rosaceae.org/Prunus/Prunus_persica/p.persica_gdr_reftransV1_0002193","p.persica_gdr_reftransV1_0002193")</f>
        <v>p.persica_gdr_reftransV1_0002193</v>
      </c>
      <c r="B13142" s="3">
        <v>3515</v>
      </c>
      <c r="C13142" s="1" t="str">
        <f>HYPERLINK("http://www.uniprot.org/uniprot/idM1_ARATH","idM1_ARATH")</f>
        <v>idM1_ARATH</v>
      </c>
      <c r="D13142" t="s">
        <v>1345</v>
      </c>
      <c r="E13142" s="3" t="s">
        <v>3</v>
      </c>
      <c r="F13142" s="4">
        <v>4.7899999999999996E-37</v>
      </c>
      <c r="G13142" s="3">
        <v>393</v>
      </c>
      <c r="H13142" s="3">
        <v>28</v>
      </c>
      <c r="I13142" s="3">
        <v>442</v>
      </c>
      <c r="J13142" s="3">
        <v>1987</v>
      </c>
      <c r="K13142" s="3">
        <v>3264</v>
      </c>
      <c r="L13142" s="3">
        <v>657</v>
      </c>
      <c r="M13142" s="3">
        <v>1032</v>
      </c>
    </row>
    <row r="13143" spans="1:13" x14ac:dyDescent="0.25">
      <c r="A13143" s="1" t="str">
        <f>HYPERLINK("http://www.rosaceae.org/Prunus/Prunus_persica/p.persica_gdr_reftransV1_0002243","p.persica_gdr_reftransV1_0002243")</f>
        <v>p.persica_gdr_reftransV1_0002243</v>
      </c>
      <c r="B13143" s="3">
        <v>695</v>
      </c>
      <c r="C13143" s="1" t="str">
        <f>HYPERLINK("http://www.uniprot.org/uniprot/CRIPT_RAT","CRIPT_RAT")</f>
        <v>CRIPT_RAT</v>
      </c>
      <c r="D13143" t="s">
        <v>8910</v>
      </c>
      <c r="E13143" s="3" t="s">
        <v>161</v>
      </c>
      <c r="F13143" s="4">
        <v>8.5099999999999996E-38</v>
      </c>
      <c r="G13143" s="3">
        <v>335</v>
      </c>
      <c r="H13143" s="3">
        <v>68</v>
      </c>
      <c r="I13143" s="3">
        <v>101</v>
      </c>
      <c r="J13143" s="3">
        <v>276</v>
      </c>
      <c r="K13143" s="3">
        <v>563</v>
      </c>
      <c r="L13143" s="3">
        <v>1</v>
      </c>
      <c r="M13143" s="3">
        <v>101</v>
      </c>
    </row>
    <row r="13144" spans="1:13" x14ac:dyDescent="0.25">
      <c r="A13144" s="1" t="str">
        <f>HYPERLINK("http://www.rosaceae.org/Prunus/Prunus_persica/p.persica_gdr_reftransV1_0002293","p.persica_gdr_reftransV1_0002293")</f>
        <v>p.persica_gdr_reftransV1_0002293</v>
      </c>
      <c r="B13144" s="3">
        <v>420</v>
      </c>
      <c r="C13144" s="1" t="str">
        <f>HYPERLINK("http://www.uniprot.org/uniprot/MYBF_ARATH","MYBF_ARATH")</f>
        <v>MYBF_ARATH</v>
      </c>
      <c r="D13144" t="s">
        <v>2783</v>
      </c>
      <c r="E13144" s="3" t="s">
        <v>3</v>
      </c>
      <c r="F13144" s="4">
        <v>8.8299999999999999E-28</v>
      </c>
      <c r="G13144" s="3">
        <v>270</v>
      </c>
      <c r="H13144" s="3">
        <v>74</v>
      </c>
      <c r="I13144" s="3">
        <v>68</v>
      </c>
      <c r="J13144" s="3">
        <v>19</v>
      </c>
      <c r="K13144" s="3">
        <v>222</v>
      </c>
      <c r="L13144" s="3">
        <v>13</v>
      </c>
      <c r="M13144" s="3">
        <v>80</v>
      </c>
    </row>
    <row r="13145" spans="1:13" x14ac:dyDescent="0.25">
      <c r="A13145" s="1" t="str">
        <f>HYPERLINK("http://www.rosaceae.org/Prunus/Prunus_persica/p.persica_gdr_reftransV1_0002393","p.persica_gdr_reftransV1_0002393")</f>
        <v>p.persica_gdr_reftransV1_0002393</v>
      </c>
      <c r="B13145" s="3">
        <v>1220</v>
      </c>
      <c r="C13145" s="1" t="str">
        <f>HYPERLINK("http://www.uniprot.org/uniprot/P2C15_ARATH","P2C15_ARATH")</f>
        <v>P2C15_ARATH</v>
      </c>
      <c r="D13145" t="s">
        <v>8911</v>
      </c>
      <c r="E13145" s="3" t="s">
        <v>3</v>
      </c>
      <c r="F13145" s="4">
        <v>4.7899999999999999E-169</v>
      </c>
      <c r="G13145" s="3">
        <v>1255</v>
      </c>
      <c r="H13145" s="3">
        <v>83</v>
      </c>
      <c r="I13145" s="3">
        <v>306</v>
      </c>
      <c r="J13145" s="3">
        <v>117</v>
      </c>
      <c r="K13145" s="3">
        <v>1025</v>
      </c>
      <c r="L13145" s="3">
        <v>131</v>
      </c>
      <c r="M13145" s="3">
        <v>435</v>
      </c>
    </row>
    <row r="13146" spans="1:13" x14ac:dyDescent="0.25">
      <c r="A13146" s="1" t="str">
        <f>HYPERLINK("http://www.rosaceae.org/Prunus/Prunus_persica/p.persica_gdr_reftransV1_0002443","p.persica_gdr_reftransV1_0002443")</f>
        <v>p.persica_gdr_reftransV1_0002443</v>
      </c>
      <c r="B13146" s="3">
        <v>463</v>
      </c>
      <c r="C13146" s="1" t="str">
        <f>HYPERLINK("http://www.uniprot.org/uniprot/MYB4_ORYSJ","MYB4_ORYSJ")</f>
        <v>MYB4_ORYSJ</v>
      </c>
      <c r="D13146" t="s">
        <v>2801</v>
      </c>
      <c r="E13146" s="3" t="s">
        <v>38</v>
      </c>
      <c r="F13146" s="4">
        <v>1.4899999999999999E-57</v>
      </c>
      <c r="G13146" s="3">
        <v>472</v>
      </c>
      <c r="H13146" s="3">
        <v>71</v>
      </c>
      <c r="I13146" s="3">
        <v>117</v>
      </c>
      <c r="J13146" s="3">
        <v>61</v>
      </c>
      <c r="K13146" s="3">
        <v>411</v>
      </c>
      <c r="L13146" s="3">
        <v>1</v>
      </c>
      <c r="M13146" s="3">
        <v>117</v>
      </c>
    </row>
    <row r="13147" spans="1:13" x14ac:dyDescent="0.25">
      <c r="A13147" s="1" t="str">
        <f>HYPERLINK("http://www.rosaceae.org/Prunus/Prunus_persica/p.persica_gdr_reftransV1_0002543","p.persica_gdr_reftransV1_0002543")</f>
        <v>p.persica_gdr_reftransV1_0002543</v>
      </c>
      <c r="B13147" s="3">
        <v>558</v>
      </c>
      <c r="C13147" s="1" t="str">
        <f>HYPERLINK("http://www.uniprot.org/uniprot/YHDC_SCHPO","YHDC_SCHPO")</f>
        <v>YHDC_SCHPO</v>
      </c>
      <c r="D13147" t="s">
        <v>6673</v>
      </c>
      <c r="E13147" s="3" t="s">
        <v>464</v>
      </c>
      <c r="F13147" s="4">
        <v>2.2200000000000001E-25</v>
      </c>
      <c r="G13147" s="3">
        <v>263</v>
      </c>
      <c r="H13147" s="3">
        <v>33</v>
      </c>
      <c r="I13147" s="3">
        <v>144</v>
      </c>
      <c r="J13147" s="3">
        <v>5</v>
      </c>
      <c r="K13147" s="3">
        <v>436</v>
      </c>
      <c r="L13147" s="3">
        <v>32</v>
      </c>
      <c r="M13147" s="3">
        <v>175</v>
      </c>
    </row>
    <row r="13148" spans="1:13" x14ac:dyDescent="0.25">
      <c r="A13148" s="1" t="str">
        <f>HYPERLINK("http://www.rosaceae.org/Prunus/Prunus_persica/p.persica_gdr_reftransV1_0002593","p.persica_gdr_reftransV1_0002593")</f>
        <v>p.persica_gdr_reftransV1_0002593</v>
      </c>
      <c r="B13148" s="3">
        <v>635</v>
      </c>
      <c r="C13148" s="1" t="str">
        <f>HYPERLINK("http://www.uniprot.org/uniprot/ALOX1_PICPG","ALOX1_PICPG")</f>
        <v>ALOX1_PICPG</v>
      </c>
      <c r="D13148" t="s">
        <v>4903</v>
      </c>
      <c r="E13148" s="3" t="s">
        <v>4904</v>
      </c>
      <c r="F13148" s="4">
        <v>5.1299999999999997E-111</v>
      </c>
      <c r="G13148" s="3">
        <v>868</v>
      </c>
      <c r="H13148" s="3">
        <v>73</v>
      </c>
      <c r="I13148" s="3">
        <v>211</v>
      </c>
      <c r="J13148" s="3">
        <v>3</v>
      </c>
      <c r="K13148" s="3">
        <v>635</v>
      </c>
      <c r="L13148" s="3">
        <v>80</v>
      </c>
      <c r="M13148" s="3">
        <v>290</v>
      </c>
    </row>
    <row r="13149" spans="1:13" x14ac:dyDescent="0.25">
      <c r="A13149" s="1" t="str">
        <f>HYPERLINK("http://www.rosaceae.org/Prunus/Prunus_persica/p.persica_gdr_reftransV1_0002643","p.persica_gdr_reftransV1_0002643")</f>
        <v>p.persica_gdr_reftransV1_0002643</v>
      </c>
      <c r="B13149" s="3">
        <v>794</v>
      </c>
      <c r="C13149" s="1" t="str">
        <f>HYPERLINK("http://www.uniprot.org/uniprot/GLNA_VIGAC","GLNA_VIGAC")</f>
        <v>GLNA_VIGAC</v>
      </c>
      <c r="D13149" t="s">
        <v>2701</v>
      </c>
      <c r="E13149" s="3" t="s">
        <v>2702</v>
      </c>
      <c r="F13149" s="4">
        <v>7.7800000000000004E-125</v>
      </c>
      <c r="G13149" s="3">
        <v>940</v>
      </c>
      <c r="H13149" s="3">
        <v>89</v>
      </c>
      <c r="I13149" s="3">
        <v>216</v>
      </c>
      <c r="J13149" s="3">
        <v>1</v>
      </c>
      <c r="K13149" s="3">
        <v>648</v>
      </c>
      <c r="L13149" s="3">
        <v>16</v>
      </c>
      <c r="M13149" s="3">
        <v>231</v>
      </c>
    </row>
    <row r="13150" spans="1:13" x14ac:dyDescent="0.25">
      <c r="A13150" s="1" t="str">
        <f>HYPERLINK("http://www.rosaceae.org/Prunus/Prunus_persica/p.persica_gdr_reftransV1_0002743","p.persica_gdr_reftransV1_0002743")</f>
        <v>p.persica_gdr_reftransV1_0002743</v>
      </c>
      <c r="B13150" s="3">
        <v>1524</v>
      </c>
      <c r="C13150" s="1" t="str">
        <f>HYPERLINK("http://www.uniprot.org/uniprot/UXS5_ARATH","UXS5_ARATH")</f>
        <v>UXS5_ARATH</v>
      </c>
      <c r="D13150" t="s">
        <v>1315</v>
      </c>
      <c r="E13150" s="3" t="s">
        <v>3</v>
      </c>
      <c r="F13150" s="4">
        <v>0</v>
      </c>
      <c r="G13150" s="3">
        <v>1619</v>
      </c>
      <c r="H13150" s="3">
        <v>91</v>
      </c>
      <c r="I13150" s="3">
        <v>340</v>
      </c>
      <c r="J13150" s="3">
        <v>343</v>
      </c>
      <c r="K13150" s="3">
        <v>1362</v>
      </c>
      <c r="L13150" s="3">
        <v>2</v>
      </c>
      <c r="M13150" s="3">
        <v>341</v>
      </c>
    </row>
    <row r="13151" spans="1:13" x14ac:dyDescent="0.25">
      <c r="A13151" s="1" t="str">
        <f>HYPERLINK("http://www.rosaceae.org/Prunus/Prunus_persica/p.persica_gdr_reftransV1_0002843","p.persica_gdr_reftransV1_0002843")</f>
        <v>p.persica_gdr_reftransV1_0002843</v>
      </c>
      <c r="B13151" s="3">
        <v>2744</v>
      </c>
      <c r="C13151" s="1" t="str">
        <f>HYPERLINK("http://www.uniprot.org/uniprot/EIN3_ARATH","EIN3_ARATH")</f>
        <v>EIN3_ARATH</v>
      </c>
      <c r="D13151" t="s">
        <v>5348</v>
      </c>
      <c r="E13151" s="3" t="s">
        <v>3</v>
      </c>
      <c r="F13151" s="4">
        <v>0</v>
      </c>
      <c r="G13151" s="3">
        <v>1541</v>
      </c>
      <c r="H13151" s="3">
        <v>63</v>
      </c>
      <c r="I13151" s="3">
        <v>506</v>
      </c>
      <c r="J13151" s="3">
        <v>890</v>
      </c>
      <c r="K13151" s="3">
        <v>2383</v>
      </c>
      <c r="L13151" s="3">
        <v>2</v>
      </c>
      <c r="M13151" s="3">
        <v>495</v>
      </c>
    </row>
    <row r="13152" spans="1:13" x14ac:dyDescent="0.25">
      <c r="A13152" s="1" t="str">
        <f>HYPERLINK("http://www.rosaceae.org/Prunus/Prunus_persica/p.persica_gdr_reftransV1_0002943","p.persica_gdr_reftransV1_0002943")</f>
        <v>p.persica_gdr_reftransV1_0002943</v>
      </c>
      <c r="B13152" s="3">
        <v>1828</v>
      </c>
      <c r="C13152" s="1" t="str">
        <f>HYPERLINK("http://www.uniprot.org/uniprot/Y5158_ARATH","Y5158_ARATH")</f>
        <v>Y5158_ARATH</v>
      </c>
      <c r="D13152" t="s">
        <v>2423</v>
      </c>
      <c r="E13152" s="3" t="s">
        <v>3</v>
      </c>
      <c r="F13152" s="4">
        <v>2.52E-104</v>
      </c>
      <c r="G13152" s="3">
        <v>848</v>
      </c>
      <c r="H13152" s="3">
        <v>55</v>
      </c>
      <c r="I13152" s="3">
        <v>318</v>
      </c>
      <c r="J13152" s="3">
        <v>524</v>
      </c>
      <c r="K13152" s="3">
        <v>1465</v>
      </c>
      <c r="L13152" s="3">
        <v>125</v>
      </c>
      <c r="M13152" s="3">
        <v>436</v>
      </c>
    </row>
    <row r="13153" spans="1:13" x14ac:dyDescent="0.25">
      <c r="A13153" s="1" t="str">
        <f>HYPERLINK("http://www.rosaceae.org/Prunus/Prunus_persica/p.persica_gdr_reftransV1_0002993","p.persica_gdr_reftransV1_0002993")</f>
        <v>p.persica_gdr_reftransV1_0002993</v>
      </c>
      <c r="B13153" s="3">
        <v>1350</v>
      </c>
      <c r="C13153" s="1" t="str">
        <f>HYPERLINK("http://www.uniprot.org/uniprot/RS18_ARATH","RS18_ARATH")</f>
        <v>RS18_ARATH</v>
      </c>
      <c r="D13153" t="s">
        <v>6431</v>
      </c>
      <c r="E13153" s="3" t="s">
        <v>3</v>
      </c>
      <c r="F13153" s="4">
        <v>2.07E-91</v>
      </c>
      <c r="G13153" s="3">
        <v>717</v>
      </c>
      <c r="H13153" s="3">
        <v>98</v>
      </c>
      <c r="I13153" s="3">
        <v>152</v>
      </c>
      <c r="J13153" s="3">
        <v>108</v>
      </c>
      <c r="K13153" s="3">
        <v>563</v>
      </c>
      <c r="L13153" s="3">
        <v>1</v>
      </c>
      <c r="M13153" s="3">
        <v>152</v>
      </c>
    </row>
    <row r="13154" spans="1:13" x14ac:dyDescent="0.25">
      <c r="A13154" s="1" t="str">
        <f>HYPERLINK("http://www.rosaceae.org/Prunus/Prunus_persica/p.persica_gdr_reftransV1_0003043","p.persica_gdr_reftransV1_0003043")</f>
        <v>p.persica_gdr_reftransV1_0003043</v>
      </c>
      <c r="B13154" s="3">
        <v>928</v>
      </c>
      <c r="C13154" s="1" t="str">
        <f>HYPERLINK("http://www.uniprot.org/uniprot/ILVH2_ARATH","ILVH2_ARATH")</f>
        <v>ILVH2_ARATH</v>
      </c>
      <c r="D13154" t="s">
        <v>8912</v>
      </c>
      <c r="E13154" s="3" t="s">
        <v>3</v>
      </c>
      <c r="F13154" s="4">
        <v>1.35E-78</v>
      </c>
      <c r="G13154" s="3">
        <v>648</v>
      </c>
      <c r="H13154" s="3">
        <v>85</v>
      </c>
      <c r="I13154" s="3">
        <v>141</v>
      </c>
      <c r="J13154" s="3">
        <v>180</v>
      </c>
      <c r="K13154" s="3">
        <v>602</v>
      </c>
      <c r="L13154" s="3">
        <v>349</v>
      </c>
      <c r="M13154" s="3">
        <v>489</v>
      </c>
    </row>
    <row r="13155" spans="1:13" x14ac:dyDescent="0.25">
      <c r="A13155" s="1" t="str">
        <f>HYPERLINK("http://www.rosaceae.org/Prunus/Prunus_persica/p.persica_gdr_reftransV1_0003093","p.persica_gdr_reftransV1_0003093")</f>
        <v>p.persica_gdr_reftransV1_0003093</v>
      </c>
      <c r="B13155" s="3">
        <v>1031</v>
      </c>
      <c r="C13155" s="1" t="str">
        <f>HYPERLINK("http://www.uniprot.org/uniprot/GRDP2_ARATH","GRDP2_ARATH")</f>
        <v>GRDP2_ARATH</v>
      </c>
      <c r="D13155" t="s">
        <v>6376</v>
      </c>
      <c r="E13155" s="3" t="s">
        <v>3</v>
      </c>
      <c r="F13155" s="4">
        <v>4.6600000000000002E-87</v>
      </c>
      <c r="G13155" s="3">
        <v>727</v>
      </c>
      <c r="H13155" s="3">
        <v>53</v>
      </c>
      <c r="I13155" s="3">
        <v>298</v>
      </c>
      <c r="J13155" s="3">
        <v>99</v>
      </c>
      <c r="K13155" s="3">
        <v>953</v>
      </c>
      <c r="L13155" s="3">
        <v>4</v>
      </c>
      <c r="M13155" s="3">
        <v>300</v>
      </c>
    </row>
    <row r="13156" spans="1:13" x14ac:dyDescent="0.25">
      <c r="A13156" s="1" t="str">
        <f>HYPERLINK("http://www.rosaceae.org/Prunus/Prunus_persica/p.persica_gdr_reftransV1_0003143","p.persica_gdr_reftransV1_0003143")</f>
        <v>p.persica_gdr_reftransV1_0003143</v>
      </c>
      <c r="B13156" s="3">
        <v>2045</v>
      </c>
      <c r="C13156" s="1" t="str">
        <f>HYPERLINK("http://www.uniprot.org/uniprot/PCid2_HUMAN","PCid2_HUMAN")</f>
        <v>PCid2_HUMAN</v>
      </c>
      <c r="D13156" t="s">
        <v>7255</v>
      </c>
      <c r="E13156" s="3" t="s">
        <v>28</v>
      </c>
      <c r="F13156" s="4">
        <v>1.1000000000000001E-65</v>
      </c>
      <c r="G13156" s="3">
        <v>580</v>
      </c>
      <c r="H13156" s="3">
        <v>36</v>
      </c>
      <c r="I13156" s="3">
        <v>411</v>
      </c>
      <c r="J13156" s="3">
        <v>88</v>
      </c>
      <c r="K13156" s="3">
        <v>1284</v>
      </c>
      <c r="L13156" s="3">
        <v>2</v>
      </c>
      <c r="M13156" s="3">
        <v>396</v>
      </c>
    </row>
    <row r="13157" spans="1:13" x14ac:dyDescent="0.25">
      <c r="A13157" s="1" t="str">
        <f>HYPERLINK("http://www.rosaceae.org/Prunus/Prunus_persica/p.persica_gdr_reftransV1_0003293","p.persica_gdr_reftransV1_0003293")</f>
        <v>p.persica_gdr_reftransV1_0003293</v>
      </c>
      <c r="B13157" s="3">
        <v>1892</v>
      </c>
      <c r="C13157" s="1" t="str">
        <f>HYPERLINK("http://www.uniprot.org/uniprot/YGI3_SCHPO","YGI3_SCHPO")</f>
        <v>YGI3_SCHPO</v>
      </c>
      <c r="D13157" t="s">
        <v>567</v>
      </c>
      <c r="E13157" s="3" t="s">
        <v>464</v>
      </c>
      <c r="F13157" s="4">
        <v>1.3E-34</v>
      </c>
      <c r="G13157" s="3">
        <v>352</v>
      </c>
      <c r="H13157" s="3">
        <v>29</v>
      </c>
      <c r="I13157" s="3">
        <v>377</v>
      </c>
      <c r="J13157" s="3">
        <v>453</v>
      </c>
      <c r="K13157" s="3">
        <v>1568</v>
      </c>
      <c r="L13157" s="3">
        <v>66</v>
      </c>
      <c r="M13157" s="3">
        <v>416</v>
      </c>
    </row>
    <row r="13158" spans="1:13" x14ac:dyDescent="0.25">
      <c r="A13158" s="1" t="str">
        <f>HYPERLINK("http://www.rosaceae.org/Prunus/Prunus_persica/p.persica_gdr_reftransV1_0003343","p.persica_gdr_reftransV1_0003343")</f>
        <v>p.persica_gdr_reftransV1_0003343</v>
      </c>
      <c r="B13158" s="3">
        <v>467</v>
      </c>
      <c r="C13158" s="1" t="str">
        <f>HYPERLINK("http://www.uniprot.org/uniprot/PER39_ARATH","PER39_ARATH")</f>
        <v>PER39_ARATH</v>
      </c>
      <c r="D13158" t="s">
        <v>8913</v>
      </c>
      <c r="E13158" s="3" t="s">
        <v>3</v>
      </c>
      <c r="F13158" s="4">
        <v>8.27E-76</v>
      </c>
      <c r="G13158" s="3">
        <v>600</v>
      </c>
      <c r="H13158" s="3">
        <v>76</v>
      </c>
      <c r="I13158" s="3">
        <v>156</v>
      </c>
      <c r="J13158" s="3">
        <v>1</v>
      </c>
      <c r="K13158" s="3">
        <v>465</v>
      </c>
      <c r="L13158" s="3">
        <v>61</v>
      </c>
      <c r="M13158" s="3">
        <v>216</v>
      </c>
    </row>
    <row r="13159" spans="1:13" x14ac:dyDescent="0.25">
      <c r="A13159" s="1" t="str">
        <f>HYPERLINK("http://www.rosaceae.org/Prunus/Prunus_persica/p.persica_gdr_reftransV1_0003393","p.persica_gdr_reftransV1_0003393")</f>
        <v>p.persica_gdr_reftransV1_0003393</v>
      </c>
      <c r="B13159" s="3">
        <v>1455</v>
      </c>
      <c r="C13159" s="1" t="str">
        <f>HYPERLINK("http://www.uniprot.org/uniprot/HHT1_ARATH","HHT1_ARATH")</f>
        <v>HHT1_ARATH</v>
      </c>
      <c r="D13159" t="s">
        <v>1756</v>
      </c>
      <c r="E13159" s="3" t="s">
        <v>3</v>
      </c>
      <c r="F13159" s="4">
        <v>0</v>
      </c>
      <c r="G13159" s="3">
        <v>1707</v>
      </c>
      <c r="H13159" s="3">
        <v>73</v>
      </c>
      <c r="I13159" s="3">
        <v>434</v>
      </c>
      <c r="J13159" s="3">
        <v>53</v>
      </c>
      <c r="K13159" s="3">
        <v>1339</v>
      </c>
      <c r="L13159" s="3">
        <v>24</v>
      </c>
      <c r="M13159" s="3">
        <v>457</v>
      </c>
    </row>
    <row r="13160" spans="1:13" x14ac:dyDescent="0.25">
      <c r="A13160" s="1" t="str">
        <f>HYPERLINK("http://www.rosaceae.org/Prunus/Prunus_persica/p.persica_gdr_reftransV1_0003443","p.persica_gdr_reftransV1_0003443")</f>
        <v>p.persica_gdr_reftransV1_0003443</v>
      </c>
      <c r="B13160" s="3">
        <v>440</v>
      </c>
      <c r="C13160" s="1" t="str">
        <f>HYPERLINK("http://www.uniprot.org/uniprot/TAR4_ARATH","TAR4_ARATH")</f>
        <v>TAR4_ARATH</v>
      </c>
      <c r="D13160" t="s">
        <v>2545</v>
      </c>
      <c r="E13160" s="3" t="s">
        <v>3</v>
      </c>
      <c r="F13160" s="4">
        <v>3.0299999999999999E-34</v>
      </c>
      <c r="G13160" s="3">
        <v>323</v>
      </c>
      <c r="H13160" s="3">
        <v>56</v>
      </c>
      <c r="I13160" s="3">
        <v>111</v>
      </c>
      <c r="J13160" s="3">
        <v>117</v>
      </c>
      <c r="K13160" s="3">
        <v>440</v>
      </c>
      <c r="L13160" s="3">
        <v>11</v>
      </c>
      <c r="M13160" s="3">
        <v>121</v>
      </c>
    </row>
    <row r="13161" spans="1:13" x14ac:dyDescent="0.25">
      <c r="A13161" s="1" t="str">
        <f>HYPERLINK("http://www.rosaceae.org/Prunus/Prunus_persica/p.persica_gdr_reftransV1_0003493","p.persica_gdr_reftransV1_0003493")</f>
        <v>p.persica_gdr_reftransV1_0003493</v>
      </c>
      <c r="B13161" s="3">
        <v>2398</v>
      </c>
      <c r="C13161" s="1" t="str">
        <f>HYPERLINK("http://www.uniprot.org/uniprot/WSD1_ARATH","WSD1_ARATH")</f>
        <v>WSD1_ARATH</v>
      </c>
      <c r="D13161" t="s">
        <v>84</v>
      </c>
      <c r="E13161" s="3" t="s">
        <v>3</v>
      </c>
      <c r="F13161" s="4">
        <v>2.16E-126</v>
      </c>
      <c r="G13161" s="3">
        <v>1011</v>
      </c>
      <c r="H13161" s="3">
        <v>46</v>
      </c>
      <c r="I13161" s="3">
        <v>447</v>
      </c>
      <c r="J13161" s="3">
        <v>329</v>
      </c>
      <c r="K13161" s="3">
        <v>1666</v>
      </c>
      <c r="L13161" s="3">
        <v>19</v>
      </c>
      <c r="M13161" s="3">
        <v>454</v>
      </c>
    </row>
    <row r="13162" spans="1:13" x14ac:dyDescent="0.25">
      <c r="A13162" s="1" t="str">
        <f>HYPERLINK("http://www.rosaceae.org/Prunus/Prunus_persica/p.persica_gdr_reftransV1_0003543","p.persica_gdr_reftransV1_0003543")</f>
        <v>p.persica_gdr_reftransV1_0003543</v>
      </c>
      <c r="B13162" s="3">
        <v>483</v>
      </c>
      <c r="C13162" s="1" t="str">
        <f>HYPERLINK("http://www.uniprot.org/uniprot/Y3720_ARATH","Y3720_ARATH")</f>
        <v>Y3720_ARATH</v>
      </c>
      <c r="D13162" t="s">
        <v>104</v>
      </c>
      <c r="E13162" s="3" t="s">
        <v>3</v>
      </c>
      <c r="F13162" s="4">
        <v>2.0999999999999999E-24</v>
      </c>
      <c r="G13162" s="3">
        <v>253</v>
      </c>
      <c r="H13162" s="3">
        <v>37</v>
      </c>
      <c r="I13162" s="3">
        <v>144</v>
      </c>
      <c r="J13162" s="3">
        <v>2</v>
      </c>
      <c r="K13162" s="3">
        <v>433</v>
      </c>
      <c r="L13162" s="3">
        <v>47</v>
      </c>
      <c r="M13162" s="3">
        <v>188</v>
      </c>
    </row>
    <row r="13163" spans="1:13" x14ac:dyDescent="0.25">
      <c r="A13163" s="1" t="str">
        <f>HYPERLINK("http://www.rosaceae.org/Prunus/Prunus_persica/p.persica_gdr_reftransV1_0003593","p.persica_gdr_reftransV1_0003593")</f>
        <v>p.persica_gdr_reftransV1_0003593</v>
      </c>
      <c r="B13163" s="3">
        <v>537</v>
      </c>
      <c r="C13163" s="1" t="str">
        <f>HYPERLINK("http://www.uniprot.org/uniprot/RPOB_VITVI","RPOB_VITVI")</f>
        <v>RPOB_VITVI</v>
      </c>
      <c r="D13163" t="s">
        <v>8914</v>
      </c>
      <c r="E13163" s="3" t="s">
        <v>362</v>
      </c>
      <c r="F13163" s="4">
        <v>1.1699999999999999E-113</v>
      </c>
      <c r="G13163" s="3">
        <v>907</v>
      </c>
      <c r="H13163" s="3">
        <v>93</v>
      </c>
      <c r="I13163" s="3">
        <v>179</v>
      </c>
      <c r="J13163" s="3">
        <v>1</v>
      </c>
      <c r="K13163" s="3">
        <v>537</v>
      </c>
      <c r="L13163" s="3">
        <v>497</v>
      </c>
      <c r="M13163" s="3">
        <v>675</v>
      </c>
    </row>
    <row r="13164" spans="1:13" x14ac:dyDescent="0.25">
      <c r="A13164" s="1" t="str">
        <f>HYPERLINK("http://www.rosaceae.org/Prunus/Prunus_persica/p.persica_gdr_reftransV1_0003643","p.persica_gdr_reftransV1_0003643")</f>
        <v>p.persica_gdr_reftransV1_0003643</v>
      </c>
      <c r="B13164" s="3">
        <v>3557</v>
      </c>
      <c r="C13164" s="1" t="str">
        <f>HYPERLINK("http://www.uniprot.org/uniprot/NRDE2_HUMAN","NRDE2_HUMAN")</f>
        <v>NRDE2_HUMAN</v>
      </c>
      <c r="D13164" t="s">
        <v>3785</v>
      </c>
      <c r="E13164" s="3" t="s">
        <v>28</v>
      </c>
      <c r="F13164" s="4">
        <v>1.7600000000000001E-30</v>
      </c>
      <c r="G13164" s="3">
        <v>229</v>
      </c>
      <c r="H13164" s="3">
        <v>26</v>
      </c>
      <c r="I13164" s="3">
        <v>324</v>
      </c>
      <c r="J13164" s="3">
        <v>413</v>
      </c>
      <c r="K13164" s="3">
        <v>1285</v>
      </c>
      <c r="L13164" s="3">
        <v>141</v>
      </c>
      <c r="M13164" s="3">
        <v>450</v>
      </c>
    </row>
    <row r="13165" spans="1:13" x14ac:dyDescent="0.25">
      <c r="A13165" s="1" t="str">
        <f>HYPERLINK("http://www.rosaceae.org/Prunus/Prunus_persica/p.persica_gdr_reftransV1_0003693","p.persica_gdr_reftransV1_0003693")</f>
        <v>p.persica_gdr_reftransV1_0003693</v>
      </c>
      <c r="B13165" s="3">
        <v>1494</v>
      </c>
      <c r="C13165" s="1" t="str">
        <f>HYPERLINK("http://www.uniprot.org/uniprot/C94B3_ARATH","C94B3_ARATH")</f>
        <v>C94B3_ARATH</v>
      </c>
      <c r="D13165" t="s">
        <v>8153</v>
      </c>
      <c r="E13165" s="3" t="s">
        <v>3</v>
      </c>
      <c r="F13165" s="4">
        <v>0</v>
      </c>
      <c r="G13165" s="3">
        <v>1554</v>
      </c>
      <c r="H13165" s="3">
        <v>66</v>
      </c>
      <c r="I13165" s="3">
        <v>448</v>
      </c>
      <c r="J13165" s="3">
        <v>12</v>
      </c>
      <c r="K13165" s="3">
        <v>1352</v>
      </c>
      <c r="L13165" s="3">
        <v>32</v>
      </c>
      <c r="M13165" s="3">
        <v>473</v>
      </c>
    </row>
    <row r="13166" spans="1:13" x14ac:dyDescent="0.25">
      <c r="A13166" s="1" t="str">
        <f>HYPERLINK("http://www.rosaceae.org/Prunus/Prunus_persica/p.persica_gdr_reftransV1_0003793","p.persica_gdr_reftransV1_0003793")</f>
        <v>p.persica_gdr_reftransV1_0003793</v>
      </c>
      <c r="B13166" s="3">
        <v>1413</v>
      </c>
      <c r="C13166" s="1" t="str">
        <f>HYPERLINK("http://www.uniprot.org/uniprot/DAPB3_ARATH","DAPB3_ARATH")</f>
        <v>DAPB3_ARATH</v>
      </c>
      <c r="D13166" t="s">
        <v>8915</v>
      </c>
      <c r="E13166" s="3" t="s">
        <v>3</v>
      </c>
      <c r="F13166" s="4">
        <v>1.4899999999999999E-121</v>
      </c>
      <c r="G13166" s="3">
        <v>849</v>
      </c>
      <c r="H13166" s="3">
        <v>68</v>
      </c>
      <c r="I13166" s="3">
        <v>252</v>
      </c>
      <c r="J13166" s="3">
        <v>87</v>
      </c>
      <c r="K13166" s="3">
        <v>839</v>
      </c>
      <c r="L13166" s="3">
        <v>4</v>
      </c>
      <c r="M13166" s="3">
        <v>225</v>
      </c>
    </row>
    <row r="13167" spans="1:13" x14ac:dyDescent="0.25">
      <c r="A13167" s="1" t="str">
        <f>HYPERLINK("http://www.rosaceae.org/Prunus/Prunus_persica/p.persica_gdr_reftransV1_0003893","p.persica_gdr_reftransV1_0003893")</f>
        <v>p.persica_gdr_reftransV1_0003893</v>
      </c>
      <c r="B13167" s="3">
        <v>895</v>
      </c>
      <c r="C13167" s="1" t="str">
        <f>HYPERLINK("http://www.uniprot.org/uniprot/BH120_ARATH","BH120_ARATH")</f>
        <v>BH120_ARATH</v>
      </c>
      <c r="D13167" t="s">
        <v>8916</v>
      </c>
      <c r="E13167" s="3" t="s">
        <v>3</v>
      </c>
      <c r="F13167" s="4">
        <v>7.0700000000000003E-43</v>
      </c>
      <c r="G13167" s="3">
        <v>383</v>
      </c>
      <c r="H13167" s="3">
        <v>52</v>
      </c>
      <c r="I13167" s="3">
        <v>180</v>
      </c>
      <c r="J13167" s="3">
        <v>195</v>
      </c>
      <c r="K13167" s="3">
        <v>722</v>
      </c>
      <c r="L13167" s="3">
        <v>18</v>
      </c>
      <c r="M13167" s="3">
        <v>197</v>
      </c>
    </row>
    <row r="13168" spans="1:13" x14ac:dyDescent="0.25">
      <c r="A13168" s="1" t="str">
        <f>HYPERLINK("http://www.rosaceae.org/Prunus/Prunus_persica/p.persica_gdr_reftransV1_0003943","p.persica_gdr_reftransV1_0003943")</f>
        <v>p.persica_gdr_reftransV1_0003943</v>
      </c>
      <c r="B13168" s="3">
        <v>3984</v>
      </c>
      <c r="C13168" s="1" t="str">
        <f>HYPERLINK("http://www.uniprot.org/uniprot/METL1_ARATH","METL1_ARATH")</f>
        <v>METL1_ARATH</v>
      </c>
      <c r="D13168" t="s">
        <v>7092</v>
      </c>
      <c r="E13168" s="3" t="s">
        <v>3</v>
      </c>
      <c r="F13168" s="4">
        <v>0</v>
      </c>
      <c r="G13168" s="3">
        <v>1523</v>
      </c>
      <c r="H13168" s="3">
        <v>52</v>
      </c>
      <c r="I13168" s="3">
        <v>887</v>
      </c>
      <c r="J13168" s="3">
        <v>587</v>
      </c>
      <c r="K13168" s="3">
        <v>3247</v>
      </c>
      <c r="L13168" s="3">
        <v>16</v>
      </c>
      <c r="M13168" s="3">
        <v>775</v>
      </c>
    </row>
    <row r="13169" spans="1:13" x14ac:dyDescent="0.25">
      <c r="A13169" s="1" t="str">
        <f>HYPERLINK("http://www.rosaceae.org/Prunus/Prunus_persica/p.persica_gdr_reftransV1_0003993","p.persica_gdr_reftransV1_0003993")</f>
        <v>p.persica_gdr_reftransV1_0003993</v>
      </c>
      <c r="B13169" s="3">
        <v>3959</v>
      </c>
      <c r="C13169" s="1" t="str">
        <f>HYPERLINK("http://www.uniprot.org/uniprot/NU1M_CITLA","NU1M_CITLA")</f>
        <v>NU1M_CITLA</v>
      </c>
      <c r="D13169" t="s">
        <v>7618</v>
      </c>
      <c r="E13169" s="3" t="s">
        <v>1259</v>
      </c>
      <c r="F13169" s="4">
        <v>3.31E-65</v>
      </c>
      <c r="G13169" s="3">
        <v>585</v>
      </c>
      <c r="H13169" s="3">
        <v>70</v>
      </c>
      <c r="I13169" s="3">
        <v>187</v>
      </c>
      <c r="J13169" s="3">
        <v>566</v>
      </c>
      <c r="K13169" s="3">
        <v>1123</v>
      </c>
      <c r="L13169" s="3">
        <v>50</v>
      </c>
      <c r="M13169" s="3">
        <v>217</v>
      </c>
    </row>
    <row r="13170" spans="1:13" x14ac:dyDescent="0.25">
      <c r="A13170" s="1" t="str">
        <f>HYPERLINK("http://www.rosaceae.org/Prunus/Prunus_persica/p.persica_gdr_reftransV1_0004043","p.persica_gdr_reftransV1_0004043")</f>
        <v>p.persica_gdr_reftransV1_0004043</v>
      </c>
      <c r="B13170" s="3">
        <v>3611</v>
      </c>
      <c r="C13170" s="1" t="str">
        <f>HYPERLINK("http://www.uniprot.org/uniprot/AGL2_BACTQ","AGL2_BACTQ")</f>
        <v>AGL2_BACTQ</v>
      </c>
      <c r="D13170" t="s">
        <v>8622</v>
      </c>
      <c r="E13170" s="3" t="s">
        <v>8623</v>
      </c>
      <c r="F13170" s="4">
        <v>1.7100000000000001E-130</v>
      </c>
      <c r="G13170" s="3">
        <v>1093</v>
      </c>
      <c r="H13170" s="3">
        <v>39</v>
      </c>
      <c r="I13170" s="3">
        <v>608</v>
      </c>
      <c r="J13170" s="3">
        <v>1157</v>
      </c>
      <c r="K13170" s="3">
        <v>2938</v>
      </c>
      <c r="L13170" s="3">
        <v>149</v>
      </c>
      <c r="M13170" s="3">
        <v>746</v>
      </c>
    </row>
    <row r="13171" spans="1:13" x14ac:dyDescent="0.25">
      <c r="A13171" s="1" t="str">
        <f>HYPERLINK("http://www.rosaceae.org/Prunus/Prunus_persica/p.persica_gdr_reftransV1_0004143","p.persica_gdr_reftransV1_0004143")</f>
        <v>p.persica_gdr_reftransV1_0004143</v>
      </c>
      <c r="B13171" s="3">
        <v>657</v>
      </c>
      <c r="C13171" s="1" t="str">
        <f>HYPERLINK("http://www.uniprot.org/uniprot/RS18B_YEAST","RS18B_YEAST")</f>
        <v>RS18B_YEAST</v>
      </c>
      <c r="D13171" t="s">
        <v>8917</v>
      </c>
      <c r="E13171" s="3" t="s">
        <v>34</v>
      </c>
      <c r="F13171" s="4">
        <v>5.6300000000000004E-76</v>
      </c>
      <c r="G13171" s="3">
        <v>592</v>
      </c>
      <c r="H13171" s="3">
        <v>82</v>
      </c>
      <c r="I13171" s="3">
        <v>137</v>
      </c>
      <c r="J13171" s="3">
        <v>200</v>
      </c>
      <c r="K13171" s="3">
        <v>610</v>
      </c>
      <c r="L13171" s="3">
        <v>1</v>
      </c>
      <c r="M13171" s="3">
        <v>137</v>
      </c>
    </row>
    <row r="13172" spans="1:13" x14ac:dyDescent="0.25">
      <c r="A13172" s="1" t="str">
        <f>HYPERLINK("http://www.rosaceae.org/Prunus/Prunus_persica/p.persica_gdr_reftransV1_0004243","p.persica_gdr_reftransV1_0004243")</f>
        <v>p.persica_gdr_reftransV1_0004243</v>
      </c>
      <c r="B13172" s="3">
        <v>1209</v>
      </c>
      <c r="C13172" s="1" t="str">
        <f>HYPERLINK("http://www.uniprot.org/uniprot/UBP12_ARATH","UBP12_ARATH")</f>
        <v>UBP12_ARATH</v>
      </c>
      <c r="D13172" t="s">
        <v>5651</v>
      </c>
      <c r="E13172" s="3" t="s">
        <v>3</v>
      </c>
      <c r="F13172" s="4">
        <v>4.5099999999999999E-10</v>
      </c>
      <c r="G13172" s="3">
        <v>158</v>
      </c>
      <c r="H13172" s="3">
        <v>32</v>
      </c>
      <c r="I13172" s="3">
        <v>124</v>
      </c>
      <c r="J13172" s="3">
        <v>623</v>
      </c>
      <c r="K13172" s="3">
        <v>985</v>
      </c>
      <c r="L13172" s="3">
        <v>65</v>
      </c>
      <c r="M13172" s="3">
        <v>186</v>
      </c>
    </row>
    <row r="13173" spans="1:13" x14ac:dyDescent="0.25">
      <c r="A13173" s="1" t="str">
        <f>HYPERLINK("http://www.rosaceae.org/Prunus/Prunus_persica/p.persica_gdr_reftransV1_0004343","p.persica_gdr_reftransV1_0004343")</f>
        <v>p.persica_gdr_reftransV1_0004343</v>
      </c>
      <c r="B13173" s="3">
        <v>1290</v>
      </c>
      <c r="C13173" s="1" t="str">
        <f>HYPERLINK("http://www.uniprot.org/uniprot/NSA2_ASHGO","NSA2_ASHGO")</f>
        <v>NSA2_ASHGO</v>
      </c>
      <c r="D13173" t="s">
        <v>8918</v>
      </c>
      <c r="E13173" s="3" t="s">
        <v>6510</v>
      </c>
      <c r="F13173" s="4">
        <v>3.5700000000000002E-84</v>
      </c>
      <c r="G13173" s="3">
        <v>578</v>
      </c>
      <c r="H13173" s="3">
        <v>72</v>
      </c>
      <c r="I13173" s="3">
        <v>153</v>
      </c>
      <c r="J13173" s="3">
        <v>378</v>
      </c>
      <c r="K13173" s="3">
        <v>836</v>
      </c>
      <c r="L13173" s="3">
        <v>109</v>
      </c>
      <c r="M13173" s="3">
        <v>261</v>
      </c>
    </row>
    <row r="13174" spans="1:13" x14ac:dyDescent="0.25">
      <c r="A13174" s="1" t="str">
        <f>HYPERLINK("http://www.rosaceae.org/Prunus/Prunus_persica/p.persica_gdr_reftransV1_0004393","p.persica_gdr_reftransV1_0004393")</f>
        <v>p.persica_gdr_reftransV1_0004393</v>
      </c>
      <c r="B13174" s="3">
        <v>842</v>
      </c>
      <c r="C13174" s="1" t="str">
        <f>HYPERLINK("http://www.uniprot.org/uniprot/PP325_ARATH","PP325_ARATH")</f>
        <v>PP325_ARATH</v>
      </c>
      <c r="D13174" t="s">
        <v>303</v>
      </c>
      <c r="E13174" s="3" t="s">
        <v>3</v>
      </c>
      <c r="F13174" s="4">
        <v>4.5900000000000002E-91</v>
      </c>
      <c r="G13174" s="3">
        <v>751</v>
      </c>
      <c r="H13174" s="3">
        <v>54</v>
      </c>
      <c r="I13174" s="3">
        <v>280</v>
      </c>
      <c r="J13174" s="3">
        <v>1</v>
      </c>
      <c r="K13174" s="3">
        <v>840</v>
      </c>
      <c r="L13174" s="3">
        <v>117</v>
      </c>
      <c r="M13174" s="3">
        <v>396</v>
      </c>
    </row>
    <row r="13175" spans="1:13" x14ac:dyDescent="0.25">
      <c r="A13175" s="1" t="str">
        <f>HYPERLINK("http://www.rosaceae.org/Prunus/Prunus_persica/p.persica_gdr_reftransV1_0004493","p.persica_gdr_reftransV1_0004493")</f>
        <v>p.persica_gdr_reftransV1_0004493</v>
      </c>
      <c r="B13175" s="3">
        <v>1647</v>
      </c>
      <c r="C13175" s="1" t="str">
        <f>HYPERLINK("http://www.uniprot.org/uniprot/RDH11_HUMAN","RDH11_HUMAN")</f>
        <v>RDH11_HUMAN</v>
      </c>
      <c r="D13175" t="s">
        <v>8919</v>
      </c>
      <c r="E13175" s="3" t="s">
        <v>28</v>
      </c>
      <c r="F13175" s="4">
        <v>1.0399999999999999E-36</v>
      </c>
      <c r="G13175" s="3">
        <v>360</v>
      </c>
      <c r="H13175" s="3">
        <v>34</v>
      </c>
      <c r="I13175" s="3">
        <v>296</v>
      </c>
      <c r="J13175" s="3">
        <v>416</v>
      </c>
      <c r="K13175" s="3">
        <v>1303</v>
      </c>
      <c r="L13175" s="3">
        <v>45</v>
      </c>
      <c r="M13175" s="3">
        <v>318</v>
      </c>
    </row>
    <row r="13176" spans="1:13" x14ac:dyDescent="0.25">
      <c r="A13176" s="1" t="str">
        <f>HYPERLINK("http://www.rosaceae.org/Prunus/Prunus_persica/p.persica_gdr_reftransV1_0004793","p.persica_gdr_reftransV1_0004793")</f>
        <v>p.persica_gdr_reftransV1_0004793</v>
      </c>
      <c r="B13176" s="3">
        <v>2970</v>
      </c>
      <c r="C13176" s="1" t="str">
        <f>HYPERLINK("http://www.uniprot.org/uniprot/CHD1L_BOVIN","CHD1L_BOVIN")</f>
        <v>CHD1L_BOVIN</v>
      </c>
      <c r="D13176" t="s">
        <v>8920</v>
      </c>
      <c r="E13176" s="3" t="s">
        <v>184</v>
      </c>
      <c r="F13176" s="4">
        <v>1.2000000000000001E-113</v>
      </c>
      <c r="G13176" s="3">
        <v>970</v>
      </c>
      <c r="H13176" s="3">
        <v>45</v>
      </c>
      <c r="I13176" s="3">
        <v>508</v>
      </c>
      <c r="J13176" s="3">
        <v>119</v>
      </c>
      <c r="K13176" s="3">
        <v>1624</v>
      </c>
      <c r="L13176" s="3">
        <v>32</v>
      </c>
      <c r="M13176" s="3">
        <v>496</v>
      </c>
    </row>
    <row r="13177" spans="1:13" x14ac:dyDescent="0.25">
      <c r="A13177" s="1" t="str">
        <f>HYPERLINK("http://www.rosaceae.org/Prunus/Prunus_persica/p.persica_gdr_reftransV1_0004843","p.persica_gdr_reftransV1_0004843")</f>
        <v>p.persica_gdr_reftransV1_0004843</v>
      </c>
      <c r="B13177" s="3">
        <v>1470</v>
      </c>
      <c r="C13177" s="1" t="str">
        <f>HYPERLINK("http://www.uniprot.org/uniprot/S17P_ARATH","S17P_ARATH")</f>
        <v>S17P_ARATH</v>
      </c>
      <c r="D13177" t="s">
        <v>1878</v>
      </c>
      <c r="E13177" s="3" t="s">
        <v>3</v>
      </c>
      <c r="F13177" s="4">
        <v>0</v>
      </c>
      <c r="G13177" s="3">
        <v>1690</v>
      </c>
      <c r="H13177" s="3">
        <v>84</v>
      </c>
      <c r="I13177" s="3">
        <v>395</v>
      </c>
      <c r="J13177" s="3">
        <v>195</v>
      </c>
      <c r="K13177" s="3">
        <v>1373</v>
      </c>
      <c r="L13177" s="3">
        <v>1</v>
      </c>
      <c r="M13177" s="3">
        <v>393</v>
      </c>
    </row>
    <row r="13178" spans="1:13" x14ac:dyDescent="0.25">
      <c r="A13178" s="1" t="str">
        <f>HYPERLINK("http://www.rosaceae.org/Prunus/Prunus_persica/p.persica_gdr_reftransV1_0004893","p.persica_gdr_reftransV1_0004893")</f>
        <v>p.persica_gdr_reftransV1_0004893</v>
      </c>
      <c r="B13178" s="3">
        <v>1630</v>
      </c>
      <c r="C13178" s="1" t="str">
        <f>HYPERLINK("http://www.uniprot.org/uniprot/RKF1_ARATH","RKF1_ARATH")</f>
        <v>RKF1_ARATH</v>
      </c>
      <c r="D13178" t="s">
        <v>4071</v>
      </c>
      <c r="E13178" s="3" t="s">
        <v>3</v>
      </c>
      <c r="F13178" s="4">
        <v>1.8600000000000001E-172</v>
      </c>
      <c r="G13178" s="3">
        <v>1343</v>
      </c>
      <c r="H13178" s="3">
        <v>61</v>
      </c>
      <c r="I13178" s="3">
        <v>438</v>
      </c>
      <c r="J13178" s="3">
        <v>3</v>
      </c>
      <c r="K13178" s="3">
        <v>1310</v>
      </c>
      <c r="L13178" s="3">
        <v>551</v>
      </c>
      <c r="M13178" s="3">
        <v>988</v>
      </c>
    </row>
    <row r="13179" spans="1:13" x14ac:dyDescent="0.25">
      <c r="A13179" s="1" t="str">
        <f>HYPERLINK("http://www.rosaceae.org/Prunus/Prunus_persica/p.persica_gdr_reftransV1_0005143","p.persica_gdr_reftransV1_0005143")</f>
        <v>p.persica_gdr_reftransV1_0005143</v>
      </c>
      <c r="B13179" s="3">
        <v>1085</v>
      </c>
      <c r="C13179" s="1" t="str">
        <f>HYPERLINK("http://www.uniprot.org/uniprot/GATA8_ARATH","GATA8_ARATH")</f>
        <v>GATA8_ARATH</v>
      </c>
      <c r="D13179" t="s">
        <v>6265</v>
      </c>
      <c r="E13179" s="3" t="s">
        <v>3</v>
      </c>
      <c r="F13179" s="4">
        <v>4.8600000000000004E-34</v>
      </c>
      <c r="G13179" s="3">
        <v>334</v>
      </c>
      <c r="H13179" s="3">
        <v>73</v>
      </c>
      <c r="I13179" s="3">
        <v>78</v>
      </c>
      <c r="J13179" s="3">
        <v>753</v>
      </c>
      <c r="K13179" s="3">
        <v>986</v>
      </c>
      <c r="L13179" s="3">
        <v>224</v>
      </c>
      <c r="M13179" s="3">
        <v>301</v>
      </c>
    </row>
    <row r="13180" spans="1:13" x14ac:dyDescent="0.25">
      <c r="A13180" s="1" t="str">
        <f>HYPERLINK("http://www.rosaceae.org/Prunus/Prunus_persica/p.persica_gdr_reftransV1_0005193","p.persica_gdr_reftransV1_0005193")</f>
        <v>p.persica_gdr_reftransV1_0005193</v>
      </c>
      <c r="B13180" s="3">
        <v>2794</v>
      </c>
      <c r="C13180" s="1" t="str">
        <f>HYPERLINK("http://www.uniprot.org/uniprot/AKT1_ARATH","AKT1_ARATH")</f>
        <v>AKT1_ARATH</v>
      </c>
      <c r="D13180" t="s">
        <v>8921</v>
      </c>
      <c r="E13180" s="3" t="s">
        <v>3</v>
      </c>
      <c r="F13180" s="4">
        <v>0</v>
      </c>
      <c r="G13180" s="3">
        <v>3181</v>
      </c>
      <c r="H13180" s="3">
        <v>70</v>
      </c>
      <c r="I13180" s="3">
        <v>868</v>
      </c>
      <c r="J13180" s="3">
        <v>122</v>
      </c>
      <c r="K13180" s="3">
        <v>2695</v>
      </c>
      <c r="L13180" s="3">
        <v>7</v>
      </c>
      <c r="M13180" s="3">
        <v>855</v>
      </c>
    </row>
    <row r="13181" spans="1:13" x14ac:dyDescent="0.25">
      <c r="A13181" s="1" t="str">
        <f>HYPERLINK("http://www.rosaceae.org/Prunus/Prunus_persica/p.persica_gdr_reftransV1_0005293","p.persica_gdr_reftransV1_0005293")</f>
        <v>p.persica_gdr_reftransV1_0005293</v>
      </c>
      <c r="B13181" s="3">
        <v>1416</v>
      </c>
      <c r="C13181" s="1" t="str">
        <f>HYPERLINK("http://www.uniprot.org/uniprot/APK1_ARATH","APK1_ARATH")</f>
        <v>APK1_ARATH</v>
      </c>
      <c r="D13181" t="s">
        <v>7566</v>
      </c>
      <c r="E13181" s="3" t="s">
        <v>3</v>
      </c>
      <c r="F13181" s="4">
        <v>2.7600000000000001E-89</v>
      </c>
      <c r="G13181" s="3">
        <v>716</v>
      </c>
      <c r="H13181" s="3">
        <v>80</v>
      </c>
      <c r="I13181" s="3">
        <v>166</v>
      </c>
      <c r="J13181" s="3">
        <v>470</v>
      </c>
      <c r="K13181" s="3">
        <v>967</v>
      </c>
      <c r="L13181" s="3">
        <v>113</v>
      </c>
      <c r="M13181" s="3">
        <v>276</v>
      </c>
    </row>
    <row r="13182" spans="1:13" x14ac:dyDescent="0.25">
      <c r="A13182" s="1" t="str">
        <f>HYPERLINK("http://www.rosaceae.org/Prunus/Prunus_persica/p.persica_gdr_reftransV1_0005343","p.persica_gdr_reftransV1_0005343")</f>
        <v>p.persica_gdr_reftransV1_0005343</v>
      </c>
      <c r="B13182" s="3">
        <v>1882</v>
      </c>
      <c r="C13182" s="1" t="str">
        <f>HYPERLINK("http://www.uniprot.org/uniprot/PTR28_ARATH","PTR28_ARATH")</f>
        <v>PTR28_ARATH</v>
      </c>
      <c r="D13182" t="s">
        <v>3133</v>
      </c>
      <c r="E13182" s="3" t="s">
        <v>3</v>
      </c>
      <c r="F13182" s="4">
        <v>0</v>
      </c>
      <c r="G13182" s="3">
        <v>1969</v>
      </c>
      <c r="H13182" s="3">
        <v>68</v>
      </c>
      <c r="I13182" s="3">
        <v>560</v>
      </c>
      <c r="J13182" s="3">
        <v>86</v>
      </c>
      <c r="K13182" s="3">
        <v>1756</v>
      </c>
      <c r="L13182" s="3">
        <v>16</v>
      </c>
      <c r="M13182" s="3">
        <v>569</v>
      </c>
    </row>
    <row r="13183" spans="1:13" x14ac:dyDescent="0.25">
      <c r="A13183" s="1" t="str">
        <f>HYPERLINK("http://www.rosaceae.org/Prunus/Prunus_persica/p.persica_gdr_reftransV1_0005443","p.persica_gdr_reftransV1_0005443")</f>
        <v>p.persica_gdr_reftransV1_0005443</v>
      </c>
      <c r="B13183" s="3">
        <v>1264</v>
      </c>
      <c r="C13183" s="1" t="str">
        <f>HYPERLINK("http://www.uniprot.org/uniprot/NUD10_ARATH","NUD10_ARATH")</f>
        <v>NUD10_ARATH</v>
      </c>
      <c r="D13183" t="s">
        <v>8922</v>
      </c>
      <c r="E13183" s="3" t="s">
        <v>3</v>
      </c>
      <c r="F13183" s="4">
        <v>3.8600000000000002E-114</v>
      </c>
      <c r="G13183" s="3">
        <v>878</v>
      </c>
      <c r="H13183" s="3">
        <v>61</v>
      </c>
      <c r="I13183" s="3">
        <v>266</v>
      </c>
      <c r="J13183" s="3">
        <v>230</v>
      </c>
      <c r="K13183" s="3">
        <v>1021</v>
      </c>
      <c r="L13183" s="3">
        <v>10</v>
      </c>
      <c r="M13183" s="3">
        <v>270</v>
      </c>
    </row>
    <row r="13184" spans="1:13" x14ac:dyDescent="0.25">
      <c r="A13184" s="1" t="str">
        <f>HYPERLINK("http://www.rosaceae.org/Prunus/Prunus_persica/p.persica_gdr_reftransV1_0005543","p.persica_gdr_reftransV1_0005543")</f>
        <v>p.persica_gdr_reftransV1_0005543</v>
      </c>
      <c r="B13184" s="3">
        <v>1066</v>
      </c>
      <c r="C13184" s="1" t="str">
        <f>HYPERLINK("http://www.uniprot.org/uniprot/AX22D_VIGRR","AX22D_VIGRR")</f>
        <v>AX22D_VIGRR</v>
      </c>
      <c r="D13184" t="s">
        <v>8923</v>
      </c>
      <c r="E13184" s="3" t="s">
        <v>2261</v>
      </c>
      <c r="F13184" s="4">
        <v>3.55E-71</v>
      </c>
      <c r="G13184" s="3">
        <v>577</v>
      </c>
      <c r="H13184" s="3">
        <v>63</v>
      </c>
      <c r="I13184" s="3">
        <v>189</v>
      </c>
      <c r="J13184" s="3">
        <v>162</v>
      </c>
      <c r="K13184" s="3">
        <v>710</v>
      </c>
      <c r="L13184" s="3">
        <v>9</v>
      </c>
      <c r="M13184" s="3">
        <v>193</v>
      </c>
    </row>
    <row r="13185" spans="1:13" x14ac:dyDescent="0.25">
      <c r="A13185" s="1" t="str">
        <f>HYPERLINK("http://www.rosaceae.org/Prunus/Prunus_persica/p.persica_gdr_reftransV1_0005643","p.persica_gdr_reftransV1_0005643")</f>
        <v>p.persica_gdr_reftransV1_0005643</v>
      </c>
      <c r="B13185" s="3">
        <v>461</v>
      </c>
      <c r="C13185" s="1" t="str">
        <f>HYPERLINK("http://www.uniprot.org/uniprot/SBT4E_ARATH","SBT4E_ARATH")</f>
        <v>SBT4E_ARATH</v>
      </c>
      <c r="D13185" t="s">
        <v>4212</v>
      </c>
      <c r="E13185" s="3" t="s">
        <v>3</v>
      </c>
      <c r="F13185" s="4">
        <v>2.1800000000000002E-22</v>
      </c>
      <c r="G13185" s="3">
        <v>242</v>
      </c>
      <c r="H13185" s="3">
        <v>40</v>
      </c>
      <c r="I13185" s="3">
        <v>154</v>
      </c>
      <c r="J13185" s="3">
        <v>1</v>
      </c>
      <c r="K13185" s="3">
        <v>459</v>
      </c>
      <c r="L13185" s="3">
        <v>349</v>
      </c>
      <c r="M13185" s="3">
        <v>500</v>
      </c>
    </row>
    <row r="13186" spans="1:13" x14ac:dyDescent="0.25">
      <c r="A13186" s="1" t="str">
        <f>HYPERLINK("http://www.rosaceae.org/Prunus/Prunus_persica/p.persica_gdr_reftransV1_0006093","p.persica_gdr_reftransV1_0006093")</f>
        <v>p.persica_gdr_reftransV1_0006093</v>
      </c>
      <c r="B13186" s="3">
        <v>1472</v>
      </c>
      <c r="C13186" s="1" t="str">
        <f>HYPERLINK("http://www.uniprot.org/uniprot/CSLC8_ARATH","CSLC8_ARATH")</f>
        <v>CSLC8_ARATH</v>
      </c>
      <c r="D13186" t="s">
        <v>8924</v>
      </c>
      <c r="E13186" s="3" t="s">
        <v>3</v>
      </c>
      <c r="F13186" s="4">
        <v>5.92E-171</v>
      </c>
      <c r="G13186" s="3">
        <v>1300</v>
      </c>
      <c r="H13186" s="3">
        <v>85</v>
      </c>
      <c r="I13186" s="3">
        <v>333</v>
      </c>
      <c r="J13186" s="3">
        <v>477</v>
      </c>
      <c r="K13186" s="3">
        <v>1472</v>
      </c>
      <c r="L13186" s="3">
        <v>361</v>
      </c>
      <c r="M13186" s="3">
        <v>690</v>
      </c>
    </row>
    <row r="13187" spans="1:13" x14ac:dyDescent="0.25">
      <c r="A13187" s="1" t="str">
        <f>HYPERLINK("http://www.rosaceae.org/Prunus/Prunus_persica/p.persica_gdr_reftransV1_0006243","p.persica_gdr_reftransV1_0006243")</f>
        <v>p.persica_gdr_reftransV1_0006243</v>
      </c>
      <c r="B13187" s="3">
        <v>1835</v>
      </c>
      <c r="C13187" s="1" t="str">
        <f>HYPERLINK("http://www.uniprot.org/uniprot/C90D1_ARATH","C90D1_ARATH")</f>
        <v>C90D1_ARATH</v>
      </c>
      <c r="D13187" t="s">
        <v>8925</v>
      </c>
      <c r="E13187" s="3" t="s">
        <v>3</v>
      </c>
      <c r="F13187" s="4">
        <v>0</v>
      </c>
      <c r="G13187" s="3">
        <v>1647</v>
      </c>
      <c r="H13187" s="3">
        <v>70</v>
      </c>
      <c r="I13187" s="3">
        <v>427</v>
      </c>
      <c r="J13187" s="3">
        <v>165</v>
      </c>
      <c r="K13187" s="3">
        <v>1439</v>
      </c>
      <c r="L13187" s="3">
        <v>51</v>
      </c>
      <c r="M13187" s="3">
        <v>477</v>
      </c>
    </row>
    <row r="13188" spans="1:13" x14ac:dyDescent="0.25">
      <c r="A13188" s="1" t="str">
        <f>HYPERLINK("http://www.rosaceae.org/Prunus/Prunus_persica/p.persica_gdr_reftransV1_0006443","p.persica_gdr_reftransV1_0006443")</f>
        <v>p.persica_gdr_reftransV1_0006443</v>
      </c>
      <c r="B13188" s="3">
        <v>1108</v>
      </c>
      <c r="C13188" s="1" t="str">
        <f>HYPERLINK("http://www.uniprot.org/uniprot/ADT1_SOLTU","ADT1_SOLTU")</f>
        <v>ADT1_SOLTU</v>
      </c>
      <c r="D13188" t="s">
        <v>8926</v>
      </c>
      <c r="E13188" s="3" t="s">
        <v>11</v>
      </c>
      <c r="F13188" s="4">
        <v>1.4699999999999999E-173</v>
      </c>
      <c r="G13188" s="3">
        <v>1276</v>
      </c>
      <c r="H13188" s="3">
        <v>94</v>
      </c>
      <c r="I13188" s="3">
        <v>281</v>
      </c>
      <c r="J13188" s="3">
        <v>264</v>
      </c>
      <c r="K13188" s="3">
        <v>1106</v>
      </c>
      <c r="L13188" s="3">
        <v>106</v>
      </c>
      <c r="M13188" s="3">
        <v>386</v>
      </c>
    </row>
    <row r="13189" spans="1:13" x14ac:dyDescent="0.25">
      <c r="A13189" s="1" t="str">
        <f>HYPERLINK("http://www.rosaceae.org/Prunus/Prunus_persica/p.persica_gdr_reftransV1_0006493","p.persica_gdr_reftransV1_0006493")</f>
        <v>p.persica_gdr_reftransV1_0006493</v>
      </c>
      <c r="B13189" s="3">
        <v>1181</v>
      </c>
      <c r="C13189" s="1" t="str">
        <f>HYPERLINK("http://www.uniprot.org/uniprot/Y1670_ARATH","Y1670_ARATH")</f>
        <v>Y1670_ARATH</v>
      </c>
      <c r="D13189" t="s">
        <v>3135</v>
      </c>
      <c r="E13189" s="3" t="s">
        <v>3</v>
      </c>
      <c r="F13189" s="4">
        <v>2.7300000000000001E-94</v>
      </c>
      <c r="G13189" s="3">
        <v>788</v>
      </c>
      <c r="H13189" s="3">
        <v>50</v>
      </c>
      <c r="I13189" s="3">
        <v>298</v>
      </c>
      <c r="J13189" s="3">
        <v>323</v>
      </c>
      <c r="K13189" s="3">
        <v>1177</v>
      </c>
      <c r="L13189" s="3">
        <v>557</v>
      </c>
      <c r="M13189" s="3">
        <v>852</v>
      </c>
    </row>
    <row r="13190" spans="1:13" x14ac:dyDescent="0.25">
      <c r="A13190" s="1" t="str">
        <f>HYPERLINK("http://www.rosaceae.org/Prunus/Prunus_persica/p.persica_gdr_reftransV1_0006593","p.persica_gdr_reftransV1_0006593")</f>
        <v>p.persica_gdr_reftransV1_0006593</v>
      </c>
      <c r="B13190" s="3">
        <v>811</v>
      </c>
      <c r="C13190" s="1" t="str">
        <f>HYPERLINK("http://www.uniprot.org/uniprot/ATL36_ARATH","ATL36_ARATH")</f>
        <v>ATL36_ARATH</v>
      </c>
      <c r="D13190" t="s">
        <v>8927</v>
      </c>
      <c r="E13190" s="3" t="s">
        <v>3</v>
      </c>
      <c r="F13190" s="4">
        <v>7.3700000000000004E-14</v>
      </c>
      <c r="G13190" s="3">
        <v>180</v>
      </c>
      <c r="H13190" s="3">
        <v>64</v>
      </c>
      <c r="I13190" s="3">
        <v>64</v>
      </c>
      <c r="J13190" s="3">
        <v>443</v>
      </c>
      <c r="K13190" s="3">
        <v>631</v>
      </c>
      <c r="L13190" s="3">
        <v>223</v>
      </c>
      <c r="M13190" s="3">
        <v>281</v>
      </c>
    </row>
    <row r="13191" spans="1:13" x14ac:dyDescent="0.25">
      <c r="A13191" s="1" t="str">
        <f>HYPERLINK("http://www.rosaceae.org/Prunus/Prunus_persica/p.persica_gdr_reftransV1_0006693","p.persica_gdr_reftransV1_0006693")</f>
        <v>p.persica_gdr_reftransV1_0006693</v>
      </c>
      <c r="B13191" s="3">
        <v>2263</v>
      </c>
      <c r="C13191" s="1" t="str">
        <f>HYPERLINK("http://www.uniprot.org/uniprot/PTR3_ARATH","PTR3_ARATH")</f>
        <v>PTR3_ARATH</v>
      </c>
      <c r="D13191" t="s">
        <v>8928</v>
      </c>
      <c r="E13191" s="3" t="s">
        <v>3</v>
      </c>
      <c r="F13191" s="4">
        <v>0</v>
      </c>
      <c r="G13191" s="3">
        <v>2136</v>
      </c>
      <c r="H13191" s="3">
        <v>72</v>
      </c>
      <c r="I13191" s="3">
        <v>585</v>
      </c>
      <c r="J13191" s="3">
        <v>110</v>
      </c>
      <c r="K13191" s="3">
        <v>1858</v>
      </c>
      <c r="L13191" s="3">
        <v>1</v>
      </c>
      <c r="M13191" s="3">
        <v>581</v>
      </c>
    </row>
    <row r="13192" spans="1:13" x14ac:dyDescent="0.25">
      <c r="A13192" s="1" t="str">
        <f>HYPERLINK("http://www.rosaceae.org/Prunus/Prunus_persica/p.persica_gdr_reftransV1_0006743","p.persica_gdr_reftransV1_0006743")</f>
        <v>p.persica_gdr_reftransV1_0006743</v>
      </c>
      <c r="B13192" s="3">
        <v>834</v>
      </c>
      <c r="C13192" s="1" t="str">
        <f>HYPERLINK("http://www.uniprot.org/uniprot/GSTUA_ARATH","GSTUA_ARATH")</f>
        <v>GSTUA_ARATH</v>
      </c>
      <c r="D13192" t="s">
        <v>3644</v>
      </c>
      <c r="E13192" s="3" t="s">
        <v>3</v>
      </c>
      <c r="F13192" s="4">
        <v>1.08E-48</v>
      </c>
      <c r="G13192" s="3">
        <v>423</v>
      </c>
      <c r="H13192" s="3">
        <v>48</v>
      </c>
      <c r="I13192" s="3">
        <v>181</v>
      </c>
      <c r="J13192" s="3">
        <v>293</v>
      </c>
      <c r="K13192" s="3">
        <v>832</v>
      </c>
      <c r="L13192" s="3">
        <v>52</v>
      </c>
      <c r="M13192" s="3">
        <v>230</v>
      </c>
    </row>
    <row r="13193" spans="1:13" x14ac:dyDescent="0.25">
      <c r="A13193" s="1" t="str">
        <f>HYPERLINK("http://www.rosaceae.org/Prunus/Prunus_persica/p.persica_gdr_reftransV1_0006893","p.persica_gdr_reftransV1_0006893")</f>
        <v>p.persica_gdr_reftransV1_0006893</v>
      </c>
      <c r="B13193" s="3">
        <v>870</v>
      </c>
      <c r="C13193" s="1" t="str">
        <f>HYPERLINK("http://www.uniprot.org/uniprot/RPM1_ARATH","RPM1_ARATH")</f>
        <v>RPM1_ARATH</v>
      </c>
      <c r="D13193" t="s">
        <v>453</v>
      </c>
      <c r="E13193" s="3" t="s">
        <v>3</v>
      </c>
      <c r="F13193" s="4">
        <v>7.9700000000000004E-25</v>
      </c>
      <c r="G13193" s="3">
        <v>272</v>
      </c>
      <c r="H13193" s="3">
        <v>32</v>
      </c>
      <c r="I13193" s="3">
        <v>198</v>
      </c>
      <c r="J13193" s="3">
        <v>8</v>
      </c>
      <c r="K13193" s="3">
        <v>601</v>
      </c>
      <c r="L13193" s="3">
        <v>731</v>
      </c>
      <c r="M13193" s="3">
        <v>926</v>
      </c>
    </row>
    <row r="13194" spans="1:13" x14ac:dyDescent="0.25">
      <c r="A13194" s="1" t="str">
        <f>HYPERLINK("http://www.rosaceae.org/Prunus/Prunus_persica/p.persica_gdr_reftransV1_0006993","p.persica_gdr_reftransV1_0006993")</f>
        <v>p.persica_gdr_reftransV1_0006993</v>
      </c>
      <c r="B13194" s="3">
        <v>585</v>
      </c>
      <c r="C13194" s="1" t="str">
        <f>HYPERLINK("http://www.uniprot.org/uniprot/UMEC_ARMRU","UMEC_ARMRU")</f>
        <v>UMEC_ARMRU</v>
      </c>
      <c r="D13194" t="s">
        <v>1358</v>
      </c>
      <c r="E13194" s="3" t="s">
        <v>1359</v>
      </c>
      <c r="F13194" s="4">
        <v>2.4000000000000002E-19</v>
      </c>
      <c r="G13194" s="3">
        <v>207</v>
      </c>
      <c r="H13194" s="3">
        <v>43</v>
      </c>
      <c r="I13194" s="3">
        <v>101</v>
      </c>
      <c r="J13194" s="3">
        <v>128</v>
      </c>
      <c r="K13194" s="3">
        <v>430</v>
      </c>
      <c r="L13194" s="3">
        <v>2</v>
      </c>
      <c r="M13194" s="3">
        <v>102</v>
      </c>
    </row>
    <row r="13195" spans="1:13" x14ac:dyDescent="0.25">
      <c r="A13195" s="1" t="str">
        <f>HYPERLINK("http://www.rosaceae.org/Prunus/Prunus_persica/p.persica_gdr_reftransV1_0007093","p.persica_gdr_reftransV1_0007093")</f>
        <v>p.persica_gdr_reftransV1_0007093</v>
      </c>
      <c r="B13195" s="3">
        <v>501</v>
      </c>
      <c r="C13195" s="1" t="str">
        <f>HYPERLINK("http://www.uniprot.org/uniprot/WRK49_ARATH","WRK49_ARATH")</f>
        <v>WRK49_ARATH</v>
      </c>
      <c r="D13195" t="s">
        <v>8929</v>
      </c>
      <c r="E13195" s="3" t="s">
        <v>3</v>
      </c>
      <c r="F13195" s="4">
        <v>7.2999999999999996E-28</v>
      </c>
      <c r="G13195" s="3">
        <v>274</v>
      </c>
      <c r="H13195" s="3">
        <v>47</v>
      </c>
      <c r="I13195" s="3">
        <v>135</v>
      </c>
      <c r="J13195" s="3">
        <v>10</v>
      </c>
      <c r="K13195" s="3">
        <v>405</v>
      </c>
      <c r="L13195" s="3">
        <v>5</v>
      </c>
      <c r="M13195" s="3">
        <v>137</v>
      </c>
    </row>
    <row r="13196" spans="1:13" x14ac:dyDescent="0.25">
      <c r="A13196" s="1" t="str">
        <f>HYPERLINK("http://www.rosaceae.org/Prunus/Prunus_persica/p.persica_gdr_reftransV1_0007293","p.persica_gdr_reftransV1_0007293")</f>
        <v>p.persica_gdr_reftransV1_0007293</v>
      </c>
      <c r="B13196" s="3">
        <v>811</v>
      </c>
      <c r="C13196" s="1" t="str">
        <f>HYPERLINK("http://www.uniprot.org/uniprot/Y1461_ARATH","Y1461_ARATH")</f>
        <v>Y1461_ARATH</v>
      </c>
      <c r="D13196" t="s">
        <v>392</v>
      </c>
      <c r="E13196" s="3" t="s">
        <v>3</v>
      </c>
      <c r="F13196" s="4">
        <v>1.1E-36</v>
      </c>
      <c r="G13196" s="3">
        <v>354</v>
      </c>
      <c r="H13196" s="3">
        <v>57</v>
      </c>
      <c r="I13196" s="3">
        <v>159</v>
      </c>
      <c r="J13196" s="3">
        <v>1</v>
      </c>
      <c r="K13196" s="3">
        <v>474</v>
      </c>
      <c r="L13196" s="3">
        <v>1</v>
      </c>
      <c r="M13196" s="3">
        <v>159</v>
      </c>
    </row>
    <row r="13197" spans="1:13" x14ac:dyDescent="0.25">
      <c r="A13197" s="1" t="str">
        <f>HYPERLINK("http://www.rosaceae.org/Prunus/Prunus_persica/p.persica_gdr_reftransV1_0007443","p.persica_gdr_reftransV1_0007443")</f>
        <v>p.persica_gdr_reftransV1_0007443</v>
      </c>
      <c r="B13197" s="3">
        <v>1177</v>
      </c>
      <c r="C13197" s="1" t="str">
        <f>HYPERLINK("http://www.uniprot.org/uniprot/RNF5_CAEEL","RNF5_CAEEL")</f>
        <v>RNF5_CAEEL</v>
      </c>
      <c r="D13197" t="s">
        <v>8930</v>
      </c>
      <c r="E13197" s="3" t="s">
        <v>281</v>
      </c>
      <c r="F13197" s="4">
        <v>4.3999999999999999E-28</v>
      </c>
      <c r="G13197" s="3">
        <v>286</v>
      </c>
      <c r="H13197" s="3">
        <v>55</v>
      </c>
      <c r="I13197" s="3">
        <v>95</v>
      </c>
      <c r="J13197" s="3">
        <v>687</v>
      </c>
      <c r="K13197" s="3">
        <v>971</v>
      </c>
      <c r="L13197" s="3">
        <v>20</v>
      </c>
      <c r="M13197" s="3">
        <v>106</v>
      </c>
    </row>
    <row r="13198" spans="1:13" x14ac:dyDescent="0.25">
      <c r="A13198" s="1" t="str">
        <f>HYPERLINK("http://www.rosaceae.org/Prunus/Prunus_persica/p.persica_gdr_reftransV1_0007493","p.persica_gdr_reftransV1_0007493")</f>
        <v>p.persica_gdr_reftransV1_0007493</v>
      </c>
      <c r="B13198" s="3">
        <v>1717</v>
      </c>
      <c r="C13198" s="1" t="str">
        <f>HYPERLINK("http://www.uniprot.org/uniprot/GLYT6_ARATH","GLYT6_ARATH")</f>
        <v>GLYT6_ARATH</v>
      </c>
      <c r="D13198" t="s">
        <v>2193</v>
      </c>
      <c r="E13198" s="3" t="s">
        <v>3</v>
      </c>
      <c r="F13198" s="4">
        <v>5.0200000000000001E-32</v>
      </c>
      <c r="G13198" s="3">
        <v>332</v>
      </c>
      <c r="H13198" s="3">
        <v>28</v>
      </c>
      <c r="I13198" s="3">
        <v>349</v>
      </c>
      <c r="J13198" s="3">
        <v>335</v>
      </c>
      <c r="K13198" s="3">
        <v>1267</v>
      </c>
      <c r="L13198" s="3">
        <v>134</v>
      </c>
      <c r="M13198" s="3">
        <v>478</v>
      </c>
    </row>
    <row r="13199" spans="1:13" x14ac:dyDescent="0.25">
      <c r="A13199" s="1" t="str">
        <f>HYPERLINK("http://www.rosaceae.org/Prunus/Prunus_persica/p.persica_gdr_reftransV1_0007593","p.persica_gdr_reftransV1_0007593")</f>
        <v>p.persica_gdr_reftransV1_0007593</v>
      </c>
      <c r="B13199" s="3">
        <v>1481</v>
      </c>
      <c r="C13199" s="1" t="str">
        <f>HYPERLINK("http://www.uniprot.org/uniprot/PPR2_ARATH","PPR2_ARATH")</f>
        <v>PPR2_ARATH</v>
      </c>
      <c r="D13199" t="s">
        <v>8931</v>
      </c>
      <c r="E13199" s="3" t="s">
        <v>3</v>
      </c>
      <c r="F13199" s="4">
        <v>1.6499999999999999E-138</v>
      </c>
      <c r="G13199" s="3">
        <v>1086</v>
      </c>
      <c r="H13199" s="3">
        <v>59</v>
      </c>
      <c r="I13199" s="3">
        <v>359</v>
      </c>
      <c r="J13199" s="3">
        <v>6</v>
      </c>
      <c r="K13199" s="3">
        <v>1067</v>
      </c>
      <c r="L13199" s="3">
        <v>339</v>
      </c>
      <c r="M13199" s="3">
        <v>697</v>
      </c>
    </row>
    <row r="13200" spans="1:13" x14ac:dyDescent="0.25">
      <c r="A13200" s="1" t="str">
        <f>HYPERLINK("http://www.rosaceae.org/Prunus/Prunus_persica/p.persica_gdr_reftransV1_0007943","p.persica_gdr_reftransV1_0007943")</f>
        <v>p.persica_gdr_reftransV1_0007943</v>
      </c>
      <c r="B13200" s="3">
        <v>1249</v>
      </c>
      <c r="C13200" s="1" t="str">
        <f>HYPERLINK("http://www.uniprot.org/uniprot/VATO1_ARATH","VATO1_ARATH")</f>
        <v>VATO1_ARATH</v>
      </c>
      <c r="D13200" t="s">
        <v>8932</v>
      </c>
      <c r="E13200" s="3" t="s">
        <v>3</v>
      </c>
      <c r="F13200" s="4">
        <v>3.1700000000000001E-95</v>
      </c>
      <c r="G13200" s="3">
        <v>742</v>
      </c>
      <c r="H13200" s="3">
        <v>90</v>
      </c>
      <c r="I13200" s="3">
        <v>180</v>
      </c>
      <c r="J13200" s="3">
        <v>365</v>
      </c>
      <c r="K13200" s="3">
        <v>904</v>
      </c>
      <c r="L13200" s="3">
        <v>1</v>
      </c>
      <c r="M13200" s="3">
        <v>180</v>
      </c>
    </row>
    <row r="13201" spans="1:13" x14ac:dyDescent="0.25">
      <c r="A13201" s="1" t="str">
        <f>HYPERLINK("http://www.rosaceae.org/Prunus/Prunus_persica/p.persica_gdr_reftransV1_0007993","p.persica_gdr_reftransV1_0007993")</f>
        <v>p.persica_gdr_reftransV1_0007993</v>
      </c>
      <c r="B13201" s="3">
        <v>1071</v>
      </c>
      <c r="C13201" s="1" t="str">
        <f>HYPERLINK("http://www.uniprot.org/uniprot/Y232_RICCO","Y232_RICCO")</f>
        <v>Y232_RICCO</v>
      </c>
      <c r="D13201" t="s">
        <v>7171</v>
      </c>
      <c r="E13201" s="3" t="s">
        <v>421</v>
      </c>
      <c r="F13201" s="4">
        <v>4.5800000000000005E-16</v>
      </c>
      <c r="G13201" s="3">
        <v>203</v>
      </c>
      <c r="H13201" s="3">
        <v>38</v>
      </c>
      <c r="I13201" s="3">
        <v>178</v>
      </c>
      <c r="J13201" s="3">
        <v>466</v>
      </c>
      <c r="K13201" s="3">
        <v>990</v>
      </c>
      <c r="L13201" s="3">
        <v>3</v>
      </c>
      <c r="M13201" s="3">
        <v>155</v>
      </c>
    </row>
    <row r="13202" spans="1:13" x14ac:dyDescent="0.25">
      <c r="A13202" s="1" t="str">
        <f>HYPERLINK("http://www.rosaceae.org/Prunus/Prunus_persica/p.persica_gdr_reftransV1_0008093","p.persica_gdr_reftransV1_0008093")</f>
        <v>p.persica_gdr_reftransV1_0008093</v>
      </c>
      <c r="B13202" s="3">
        <v>1870</v>
      </c>
      <c r="C13202" s="1" t="str">
        <f>HYPERLINK("http://www.uniprot.org/uniprot/Y3210_ARATH","Y3210_ARATH")</f>
        <v>Y3210_ARATH</v>
      </c>
      <c r="D13202" t="s">
        <v>2517</v>
      </c>
      <c r="E13202" s="3" t="s">
        <v>3</v>
      </c>
      <c r="F13202" s="4">
        <v>5.2299999999999998E-100</v>
      </c>
      <c r="G13202" s="3">
        <v>821</v>
      </c>
      <c r="H13202" s="3">
        <v>39</v>
      </c>
      <c r="I13202" s="3">
        <v>509</v>
      </c>
      <c r="J13202" s="3">
        <v>169</v>
      </c>
      <c r="K13202" s="3">
        <v>1677</v>
      </c>
      <c r="L13202" s="3">
        <v>18</v>
      </c>
      <c r="M13202" s="3">
        <v>486</v>
      </c>
    </row>
    <row r="13203" spans="1:13" x14ac:dyDescent="0.25">
      <c r="A13203" s="1" t="str">
        <f>HYPERLINK("http://www.rosaceae.org/Prunus/Prunus_persica/p.persica_gdr_reftransV1_0008143","p.persica_gdr_reftransV1_0008143")</f>
        <v>p.persica_gdr_reftransV1_0008143</v>
      </c>
      <c r="B13203" s="3">
        <v>1658</v>
      </c>
      <c r="C13203" s="1" t="str">
        <f>HYPERLINK("http://www.uniprot.org/uniprot/UQCC1_XENLA","UQCC1_XENLA")</f>
        <v>UQCC1_XENLA</v>
      </c>
      <c r="D13203" t="s">
        <v>8933</v>
      </c>
      <c r="E13203" s="3" t="s">
        <v>475</v>
      </c>
      <c r="F13203" s="4">
        <v>2.3299999999999999E-14</v>
      </c>
      <c r="G13203" s="3">
        <v>186</v>
      </c>
      <c r="H13203" s="3">
        <v>28</v>
      </c>
      <c r="I13203" s="3">
        <v>172</v>
      </c>
      <c r="J13203" s="3">
        <v>728</v>
      </c>
      <c r="K13203" s="3">
        <v>1240</v>
      </c>
      <c r="L13203" s="3">
        <v>7</v>
      </c>
      <c r="M13203" s="3">
        <v>169</v>
      </c>
    </row>
    <row r="13204" spans="1:13" x14ac:dyDescent="0.25">
      <c r="A13204" s="1" t="str">
        <f>HYPERLINK("http://www.rosaceae.org/Prunus/Prunus_persica/p.persica_gdr_reftransV1_0008243","p.persica_gdr_reftransV1_0008243")</f>
        <v>p.persica_gdr_reftransV1_0008243</v>
      </c>
      <c r="B13204" s="3">
        <v>524</v>
      </c>
      <c r="C13204" s="1" t="str">
        <f>HYPERLINK("http://www.uniprot.org/uniprot/H2B1_MEDTR","H2B1_MEDTR")</f>
        <v>H2B1_MEDTR</v>
      </c>
      <c r="D13204" t="s">
        <v>3333</v>
      </c>
      <c r="E13204" s="3" t="s">
        <v>91</v>
      </c>
      <c r="F13204" s="4">
        <v>6.6399999999999995E-55</v>
      </c>
      <c r="G13204" s="3">
        <v>448</v>
      </c>
      <c r="H13204" s="3">
        <v>100</v>
      </c>
      <c r="I13204" s="3">
        <v>85</v>
      </c>
      <c r="J13204" s="3">
        <v>249</v>
      </c>
      <c r="K13204" s="3">
        <v>503</v>
      </c>
      <c r="L13204" s="3">
        <v>64</v>
      </c>
      <c r="M13204" s="3">
        <v>148</v>
      </c>
    </row>
    <row r="13205" spans="1:13" x14ac:dyDescent="0.25">
      <c r="A13205" s="1" t="str">
        <f>HYPERLINK("http://www.rosaceae.org/Prunus/Prunus_persica/p.persica_gdr_reftransV1_0008343","p.persica_gdr_reftransV1_0008343")</f>
        <v>p.persica_gdr_reftransV1_0008343</v>
      </c>
      <c r="B13205" s="3">
        <v>2924</v>
      </c>
      <c r="C13205" s="1" t="str">
        <f>HYPERLINK("http://www.uniprot.org/uniprot/DNJB5_MOUSE","DNJB5_MOUSE")</f>
        <v>DNJB5_MOUSE</v>
      </c>
      <c r="D13205" t="s">
        <v>528</v>
      </c>
      <c r="E13205" s="3" t="s">
        <v>157</v>
      </c>
      <c r="F13205" s="4">
        <v>8.9100000000000004E-13</v>
      </c>
      <c r="G13205" s="3">
        <v>182</v>
      </c>
      <c r="H13205" s="3">
        <v>55</v>
      </c>
      <c r="I13205" s="3">
        <v>62</v>
      </c>
      <c r="J13205" s="3">
        <v>683</v>
      </c>
      <c r="K13205" s="3">
        <v>868</v>
      </c>
      <c r="L13205" s="3">
        <v>4</v>
      </c>
      <c r="M13205" s="3">
        <v>65</v>
      </c>
    </row>
    <row r="13206" spans="1:13" x14ac:dyDescent="0.25">
      <c r="A13206" s="1" t="str">
        <f>HYPERLINK("http://www.rosaceae.org/Prunus/Prunus_persica/p.persica_gdr_reftransV1_0008443","p.persica_gdr_reftransV1_0008443")</f>
        <v>p.persica_gdr_reftransV1_0008443</v>
      </c>
      <c r="B13206" s="3">
        <v>1885</v>
      </c>
      <c r="C13206" s="1" t="str">
        <f>HYPERLINK("http://www.uniprot.org/uniprot/TBA_PRUDU","TBA_PRUDU")</f>
        <v>TBA_PRUDU</v>
      </c>
      <c r="D13206" t="s">
        <v>5106</v>
      </c>
      <c r="E13206" s="3" t="s">
        <v>418</v>
      </c>
      <c r="F13206" s="4">
        <v>0</v>
      </c>
      <c r="G13206" s="3">
        <v>2204</v>
      </c>
      <c r="H13206" s="3">
        <v>99</v>
      </c>
      <c r="I13206" s="3">
        <v>432</v>
      </c>
      <c r="J13206" s="3">
        <v>118</v>
      </c>
      <c r="K13206" s="3">
        <v>1413</v>
      </c>
      <c r="L13206" s="3">
        <v>1</v>
      </c>
      <c r="M13206" s="3">
        <v>432</v>
      </c>
    </row>
    <row r="13207" spans="1:13" x14ac:dyDescent="0.25">
      <c r="A13207" s="1" t="str">
        <f>HYPERLINK("http://www.rosaceae.org/Prunus/Prunus_persica/p.persica_gdr_reftransV1_0008493","p.persica_gdr_reftransV1_0008493")</f>
        <v>p.persica_gdr_reftransV1_0008493</v>
      </c>
      <c r="B13207" s="3">
        <v>1056</v>
      </c>
      <c r="C13207" s="1" t="str">
        <f>HYPERLINK("http://www.uniprot.org/uniprot/TRXX_ARATH","TRXX_ARATH")</f>
        <v>TRXX_ARATH</v>
      </c>
      <c r="D13207" t="s">
        <v>8934</v>
      </c>
      <c r="E13207" s="3" t="s">
        <v>3</v>
      </c>
      <c r="F13207" s="4">
        <v>1.8000000000000001E-57</v>
      </c>
      <c r="G13207" s="3">
        <v>484</v>
      </c>
      <c r="H13207" s="3">
        <v>54</v>
      </c>
      <c r="I13207" s="3">
        <v>191</v>
      </c>
      <c r="J13207" s="3">
        <v>384</v>
      </c>
      <c r="K13207" s="3">
        <v>953</v>
      </c>
      <c r="L13207" s="3">
        <v>1</v>
      </c>
      <c r="M13207" s="3">
        <v>182</v>
      </c>
    </row>
    <row r="13208" spans="1:13" x14ac:dyDescent="0.25">
      <c r="A13208" s="1" t="str">
        <f>HYPERLINK("http://www.rosaceae.org/Prunus/Prunus_persica/p.persica_gdr_reftransV1_0008543","p.persica_gdr_reftransV1_0008543")</f>
        <v>p.persica_gdr_reftransV1_0008543</v>
      </c>
      <c r="B13208" s="3">
        <v>1452</v>
      </c>
      <c r="C13208" s="1" t="str">
        <f>HYPERLINK("http://www.uniprot.org/uniprot/RNG1L_ARATH","RNG1L_ARATH")</f>
        <v>RNG1L_ARATH</v>
      </c>
      <c r="D13208" t="s">
        <v>189</v>
      </c>
      <c r="E13208" s="3" t="s">
        <v>3</v>
      </c>
      <c r="F13208" s="4">
        <v>9.2599999999999994E-37</v>
      </c>
      <c r="G13208" s="3">
        <v>359</v>
      </c>
      <c r="H13208" s="3">
        <v>35</v>
      </c>
      <c r="I13208" s="3">
        <v>248</v>
      </c>
      <c r="J13208" s="3">
        <v>601</v>
      </c>
      <c r="K13208" s="3">
        <v>1260</v>
      </c>
      <c r="L13208" s="3">
        <v>22</v>
      </c>
      <c r="M13208" s="3">
        <v>261</v>
      </c>
    </row>
    <row r="13209" spans="1:13" x14ac:dyDescent="0.25">
      <c r="A13209" s="1" t="str">
        <f>HYPERLINK("http://www.rosaceae.org/Prunus/Prunus_persica/p.persica_gdr_reftransV1_0008643","p.persica_gdr_reftransV1_0008643")</f>
        <v>p.persica_gdr_reftransV1_0008643</v>
      </c>
      <c r="B13209" s="3">
        <v>2581</v>
      </c>
      <c r="C13209" s="1" t="str">
        <f>HYPERLINK("http://www.uniprot.org/uniprot/P4KG3_ARATH","P4KG3_ARATH")</f>
        <v>P4KG3_ARATH</v>
      </c>
      <c r="D13209" t="s">
        <v>8935</v>
      </c>
      <c r="E13209" s="3" t="s">
        <v>3</v>
      </c>
      <c r="F13209" s="4">
        <v>0</v>
      </c>
      <c r="G13209" s="3">
        <v>2007</v>
      </c>
      <c r="H13209" s="3">
        <v>67</v>
      </c>
      <c r="I13209" s="3">
        <v>580</v>
      </c>
      <c r="J13209" s="3">
        <v>348</v>
      </c>
      <c r="K13209" s="3">
        <v>2075</v>
      </c>
      <c r="L13209" s="3">
        <v>1</v>
      </c>
      <c r="M13209" s="3">
        <v>570</v>
      </c>
    </row>
    <row r="13210" spans="1:13" x14ac:dyDescent="0.25">
      <c r="A13210" s="1" t="str">
        <f>HYPERLINK("http://www.rosaceae.org/Prunus/Prunus_persica/p.persica_gdr_reftransV1_0008693","p.persica_gdr_reftransV1_0008693")</f>
        <v>p.persica_gdr_reftransV1_0008693</v>
      </c>
      <c r="B13210" s="3">
        <v>3018</v>
      </c>
      <c r="C13210" s="1" t="str">
        <f>HYPERLINK("http://www.uniprot.org/uniprot/ATR_ARATH","ATR_ARATH")</f>
        <v>ATR_ARATH</v>
      </c>
      <c r="D13210" t="s">
        <v>761</v>
      </c>
      <c r="E13210" s="3" t="s">
        <v>3</v>
      </c>
      <c r="F13210" s="4">
        <v>0</v>
      </c>
      <c r="G13210" s="3">
        <v>3200</v>
      </c>
      <c r="H13210" s="3">
        <v>78</v>
      </c>
      <c r="I13210" s="3">
        <v>784</v>
      </c>
      <c r="J13210" s="3">
        <v>3</v>
      </c>
      <c r="K13210" s="3">
        <v>2354</v>
      </c>
      <c r="L13210" s="3">
        <v>1930</v>
      </c>
      <c r="M13210" s="3">
        <v>2702</v>
      </c>
    </row>
    <row r="13211" spans="1:13" x14ac:dyDescent="0.25">
      <c r="A13211" s="1" t="str">
        <f>HYPERLINK("http://www.rosaceae.org/Prunus/Prunus_persica/p.persica_gdr_reftransV1_0008843","p.persica_gdr_reftransV1_0008843")</f>
        <v>p.persica_gdr_reftransV1_0008843</v>
      </c>
      <c r="B13211" s="3">
        <v>1183</v>
      </c>
      <c r="C13211" s="1" t="str">
        <f>HYPERLINK("http://www.uniprot.org/uniprot/SD11_ARATH","SD11_ARATH")</f>
        <v>SD11_ARATH</v>
      </c>
      <c r="D13211" t="s">
        <v>1753</v>
      </c>
      <c r="E13211" s="3" t="s">
        <v>3</v>
      </c>
      <c r="F13211" s="4">
        <v>1.23E-102</v>
      </c>
      <c r="G13211" s="3">
        <v>841</v>
      </c>
      <c r="H13211" s="3">
        <v>63</v>
      </c>
      <c r="I13211" s="3">
        <v>252</v>
      </c>
      <c r="J13211" s="3">
        <v>431</v>
      </c>
      <c r="K13211" s="3">
        <v>1183</v>
      </c>
      <c r="L13211" s="3">
        <v>564</v>
      </c>
      <c r="M13211" s="3">
        <v>815</v>
      </c>
    </row>
    <row r="13212" spans="1:13" x14ac:dyDescent="0.25">
      <c r="A13212" s="1" t="str">
        <f>HYPERLINK("http://www.rosaceae.org/Prunus/Prunus_persica/p.persica_gdr_reftransV1_0008893","p.persica_gdr_reftransV1_0008893")</f>
        <v>p.persica_gdr_reftransV1_0008893</v>
      </c>
      <c r="B13212" s="3">
        <v>4392</v>
      </c>
      <c r="C13212" s="1" t="str">
        <f>HYPERLINK("http://www.uniprot.org/uniprot/TMVRN_NICGU","TMVRN_NICGU")</f>
        <v>TMVRN_NICGU</v>
      </c>
      <c r="D13212" t="s">
        <v>151</v>
      </c>
      <c r="E13212" s="3" t="s">
        <v>152</v>
      </c>
      <c r="F13212" s="4">
        <v>2.49E-90</v>
      </c>
      <c r="G13212" s="3">
        <v>828</v>
      </c>
      <c r="H13212" s="3">
        <v>31</v>
      </c>
      <c r="I13212" s="3">
        <v>897</v>
      </c>
      <c r="J13212" s="3">
        <v>966</v>
      </c>
      <c r="K13212" s="3">
        <v>3374</v>
      </c>
      <c r="L13212" s="3">
        <v>160</v>
      </c>
      <c r="M13212" s="3">
        <v>998</v>
      </c>
    </row>
    <row r="13213" spans="1:13" x14ac:dyDescent="0.25">
      <c r="A13213" s="1" t="str">
        <f>HYPERLINK("http://www.rosaceae.org/Prunus/Prunus_persica/p.persica_gdr_reftransV1_0008943","p.persica_gdr_reftransV1_0008943")</f>
        <v>p.persica_gdr_reftransV1_0008943</v>
      </c>
      <c r="B13213" s="3">
        <v>2142</v>
      </c>
      <c r="C13213" s="1" t="str">
        <f>HYPERLINK("http://www.uniprot.org/uniprot/DNJ16_ARATH","DNJ16_ARATH")</f>
        <v>DNJ16_ARATH</v>
      </c>
      <c r="D13213" t="s">
        <v>8936</v>
      </c>
      <c r="E13213" s="3" t="s">
        <v>3</v>
      </c>
      <c r="F13213" s="4">
        <v>5.3699999999999998E-162</v>
      </c>
      <c r="G13213" s="3">
        <v>1083</v>
      </c>
      <c r="H13213" s="3">
        <v>82</v>
      </c>
      <c r="I13213" s="3">
        <v>271</v>
      </c>
      <c r="J13213" s="3">
        <v>1046</v>
      </c>
      <c r="K13213" s="3">
        <v>1858</v>
      </c>
      <c r="L13213" s="3">
        <v>1</v>
      </c>
      <c r="M13213" s="3">
        <v>271</v>
      </c>
    </row>
    <row r="13214" spans="1:13" x14ac:dyDescent="0.25">
      <c r="A13214" s="1" t="str">
        <f>HYPERLINK("http://www.rosaceae.org/Prunus/Prunus_persica/p.persica_gdr_reftransV1_0009043","p.persica_gdr_reftransV1_0009043")</f>
        <v>p.persica_gdr_reftransV1_0009043</v>
      </c>
      <c r="B13214" s="3">
        <v>1214</v>
      </c>
      <c r="C13214" s="1" t="str">
        <f>HYPERLINK("http://www.uniprot.org/uniprot/CHI1_GOSHI","CHI1_GOSHI")</f>
        <v>CHI1_GOSHI</v>
      </c>
      <c r="D13214" t="s">
        <v>8937</v>
      </c>
      <c r="E13214" s="3" t="s">
        <v>816</v>
      </c>
      <c r="F13214" s="4">
        <v>9.6999999999999999E-167</v>
      </c>
      <c r="G13214" s="3">
        <v>1229</v>
      </c>
      <c r="H13214" s="3">
        <v>76</v>
      </c>
      <c r="I13214" s="3">
        <v>306</v>
      </c>
      <c r="J13214" s="3">
        <v>99</v>
      </c>
      <c r="K13214" s="3">
        <v>1001</v>
      </c>
      <c r="L13214" s="3">
        <v>20</v>
      </c>
      <c r="M13214" s="3">
        <v>324</v>
      </c>
    </row>
    <row r="13215" spans="1:13" x14ac:dyDescent="0.25">
      <c r="A13215" s="1" t="str">
        <f>HYPERLINK("http://www.rosaceae.org/Prunus/Prunus_persica/p.persica_gdr_reftransV1_0009093","p.persica_gdr_reftransV1_0009093")</f>
        <v>p.persica_gdr_reftransV1_0009093</v>
      </c>
      <c r="B13215" s="3">
        <v>875</v>
      </c>
      <c r="C13215" s="1" t="str">
        <f>HYPERLINK("http://www.uniprot.org/uniprot/MATE9_ARATH","MATE9_ARATH")</f>
        <v>MATE9_ARATH</v>
      </c>
      <c r="D13215" t="s">
        <v>1205</v>
      </c>
      <c r="E13215" s="3" t="s">
        <v>3</v>
      </c>
      <c r="F13215" s="4">
        <v>1.8299999999999999E-72</v>
      </c>
      <c r="G13215" s="3">
        <v>604</v>
      </c>
      <c r="H13215" s="3">
        <v>50</v>
      </c>
      <c r="I13215" s="3">
        <v>260</v>
      </c>
      <c r="J13215" s="3">
        <v>94</v>
      </c>
      <c r="K13215" s="3">
        <v>873</v>
      </c>
      <c r="L13215" s="3">
        <v>27</v>
      </c>
      <c r="M13215" s="3">
        <v>286</v>
      </c>
    </row>
    <row r="13216" spans="1:13" x14ac:dyDescent="0.25">
      <c r="A13216" s="1" t="str">
        <f>HYPERLINK("http://www.rosaceae.org/Prunus/Prunus_persica/p.persica_gdr_reftransV1_0009143","p.persica_gdr_reftransV1_0009143")</f>
        <v>p.persica_gdr_reftransV1_0009143</v>
      </c>
      <c r="B13216" s="3">
        <v>1783</v>
      </c>
      <c r="C13216" s="1" t="str">
        <f>HYPERLINK("http://www.uniprot.org/uniprot/PMA4_NICPL","PMA4_NICPL")</f>
        <v>PMA4_NICPL</v>
      </c>
      <c r="D13216" t="s">
        <v>8938</v>
      </c>
      <c r="E13216" s="3" t="s">
        <v>1450</v>
      </c>
      <c r="F13216" s="4">
        <v>0</v>
      </c>
      <c r="G13216" s="3">
        <v>2348</v>
      </c>
      <c r="H13216" s="3">
        <v>91</v>
      </c>
      <c r="I13216" s="3">
        <v>525</v>
      </c>
      <c r="J13216" s="3">
        <v>2</v>
      </c>
      <c r="K13216" s="3">
        <v>1576</v>
      </c>
      <c r="L13216" s="3">
        <v>3</v>
      </c>
      <c r="M13216" s="3">
        <v>527</v>
      </c>
    </row>
    <row r="13217" spans="1:13" x14ac:dyDescent="0.25">
      <c r="A13217" s="1" t="str">
        <f>HYPERLINK("http://www.rosaceae.org/Prunus/Prunus_persica/p.persica_gdr_reftransV1_0009393","p.persica_gdr_reftransV1_0009393")</f>
        <v>p.persica_gdr_reftransV1_0009393</v>
      </c>
      <c r="B13217" s="3">
        <v>1117</v>
      </c>
      <c r="C13217" s="1" t="str">
        <f>HYPERLINK("http://www.uniprot.org/uniprot/FABZ_THEEB","FABZ_THEEB")</f>
        <v>FABZ_THEEB</v>
      </c>
      <c r="D13217" t="s">
        <v>8939</v>
      </c>
      <c r="E13217" s="3" t="s">
        <v>5446</v>
      </c>
      <c r="F13217" s="4">
        <v>2.5699999999999998E-47</v>
      </c>
      <c r="G13217" s="3">
        <v>414</v>
      </c>
      <c r="H13217" s="3">
        <v>56</v>
      </c>
      <c r="I13217" s="3">
        <v>144</v>
      </c>
      <c r="J13217" s="3">
        <v>356</v>
      </c>
      <c r="K13217" s="3">
        <v>781</v>
      </c>
      <c r="L13217" s="3">
        <v>11</v>
      </c>
      <c r="M13217" s="3">
        <v>150</v>
      </c>
    </row>
    <row r="13218" spans="1:13" x14ac:dyDescent="0.25">
      <c r="A13218" s="1" t="str">
        <f>HYPERLINK("http://www.rosaceae.org/Prunus/Prunus_persica/p.persica_gdr_reftransV1_0009443","p.persica_gdr_reftransV1_0009443")</f>
        <v>p.persica_gdr_reftransV1_0009443</v>
      </c>
      <c r="B13218" s="3">
        <v>2500</v>
      </c>
      <c r="C13218" s="1" t="str">
        <f>HYPERLINK("http://www.uniprot.org/uniprot/RLK6_ARATH","RLK6_ARATH")</f>
        <v>RLK6_ARATH</v>
      </c>
      <c r="D13218" t="s">
        <v>8940</v>
      </c>
      <c r="E13218" s="3" t="s">
        <v>3</v>
      </c>
      <c r="F13218" s="4">
        <v>9.1999999999999999E-36</v>
      </c>
      <c r="G13218" s="3">
        <v>377</v>
      </c>
      <c r="H13218" s="3">
        <v>30</v>
      </c>
      <c r="I13218" s="3">
        <v>445</v>
      </c>
      <c r="J13218" s="3">
        <v>427</v>
      </c>
      <c r="K13218" s="3">
        <v>1719</v>
      </c>
      <c r="L13218" s="3">
        <v>77</v>
      </c>
      <c r="M13218" s="3">
        <v>489</v>
      </c>
    </row>
    <row r="13219" spans="1:13" x14ac:dyDescent="0.25">
      <c r="A13219" s="1" t="str">
        <f>HYPERLINK("http://www.rosaceae.org/Prunus/Prunus_persica/p.persica_gdr_reftransV1_0009493","p.persica_gdr_reftransV1_0009493")</f>
        <v>p.persica_gdr_reftransV1_0009493</v>
      </c>
      <c r="B13219" s="3">
        <v>506</v>
      </c>
      <c r="C13219" s="1" t="str">
        <f>HYPERLINK("http://www.uniprot.org/uniprot/BCB3_ARATH","BCB3_ARATH")</f>
        <v>BCB3_ARATH</v>
      </c>
      <c r="D13219" t="s">
        <v>8941</v>
      </c>
      <c r="E13219" s="3" t="s">
        <v>3</v>
      </c>
      <c r="F13219" s="4">
        <v>3.7700000000000002E-30</v>
      </c>
      <c r="G13219" s="3">
        <v>287</v>
      </c>
      <c r="H13219" s="3">
        <v>52</v>
      </c>
      <c r="I13219" s="3">
        <v>102</v>
      </c>
      <c r="J13219" s="3">
        <v>103</v>
      </c>
      <c r="K13219" s="3">
        <v>408</v>
      </c>
      <c r="L13219" s="3">
        <v>20</v>
      </c>
      <c r="M13219" s="3">
        <v>121</v>
      </c>
    </row>
    <row r="13220" spans="1:13" x14ac:dyDescent="0.25">
      <c r="A13220" s="1" t="str">
        <f>HYPERLINK("http://www.rosaceae.org/Prunus/Prunus_persica/p.persica_gdr_reftransV1_0009643","p.persica_gdr_reftransV1_0009643")</f>
        <v>p.persica_gdr_reftransV1_0009643</v>
      </c>
      <c r="B13220" s="3">
        <v>1247</v>
      </c>
      <c r="C13220" s="1" t="str">
        <f>HYPERLINK("http://www.uniprot.org/uniprot/PPA1_SOLLC","PPA1_SOLLC")</f>
        <v>PPA1_SOLLC</v>
      </c>
      <c r="D13220" t="s">
        <v>4322</v>
      </c>
      <c r="E13220" s="3" t="s">
        <v>64</v>
      </c>
      <c r="F13220" s="4">
        <v>1.0800000000000001E-78</v>
      </c>
      <c r="G13220" s="3">
        <v>639</v>
      </c>
      <c r="H13220" s="3">
        <v>53</v>
      </c>
      <c r="I13220" s="3">
        <v>229</v>
      </c>
      <c r="J13220" s="3">
        <v>335</v>
      </c>
      <c r="K13220" s="3">
        <v>1021</v>
      </c>
      <c r="L13220" s="3">
        <v>29</v>
      </c>
      <c r="M13220" s="3">
        <v>254</v>
      </c>
    </row>
    <row r="13221" spans="1:13" x14ac:dyDescent="0.25">
      <c r="A13221" s="1" t="str">
        <f>HYPERLINK("http://www.rosaceae.org/Prunus/Prunus_persica/p.persica_gdr_reftransV1_0009993","p.persica_gdr_reftransV1_0009993")</f>
        <v>p.persica_gdr_reftransV1_0009993</v>
      </c>
      <c r="B13221" s="3">
        <v>1251</v>
      </c>
      <c r="C13221" s="1" t="str">
        <f>HYPERLINK("http://www.uniprot.org/uniprot/SY132_ARATH","SY132_ARATH")</f>
        <v>SY132_ARATH</v>
      </c>
      <c r="D13221" t="s">
        <v>6707</v>
      </c>
      <c r="E13221" s="3" t="s">
        <v>3</v>
      </c>
      <c r="F13221" s="4">
        <v>4.55E-98</v>
      </c>
      <c r="G13221" s="3">
        <v>550</v>
      </c>
      <c r="H13221" s="3">
        <v>83</v>
      </c>
      <c r="I13221" s="3">
        <v>166</v>
      </c>
      <c r="J13221" s="3">
        <v>222</v>
      </c>
      <c r="K13221" s="3">
        <v>719</v>
      </c>
      <c r="L13221" s="3">
        <v>140</v>
      </c>
      <c r="M13221" s="3">
        <v>304</v>
      </c>
    </row>
    <row r="13222" spans="1:13" x14ac:dyDescent="0.25">
      <c r="A13222" s="1" t="str">
        <f>HYPERLINK("http://www.rosaceae.org/Prunus/Prunus_persica/p.persica_gdr_reftransV1_0010043","p.persica_gdr_reftransV1_0010043")</f>
        <v>p.persica_gdr_reftransV1_0010043</v>
      </c>
      <c r="B13222" s="3">
        <v>421</v>
      </c>
      <c r="C13222" s="1" t="str">
        <f>HYPERLINK("http://www.uniprot.org/uniprot/BGL12_ORYSJ","BGL12_ORYSJ")</f>
        <v>BGL12_ORYSJ</v>
      </c>
      <c r="D13222" t="s">
        <v>8371</v>
      </c>
      <c r="E13222" s="3" t="s">
        <v>38</v>
      </c>
      <c r="F13222" s="4">
        <v>3.5300000000000001E-53</v>
      </c>
      <c r="G13222" s="3">
        <v>458</v>
      </c>
      <c r="H13222" s="3">
        <v>66</v>
      </c>
      <c r="I13222" s="3">
        <v>126</v>
      </c>
      <c r="J13222" s="3">
        <v>43</v>
      </c>
      <c r="K13222" s="3">
        <v>420</v>
      </c>
      <c r="L13222" s="3">
        <v>219</v>
      </c>
      <c r="M13222" s="3">
        <v>344</v>
      </c>
    </row>
    <row r="13223" spans="1:13" x14ac:dyDescent="0.25">
      <c r="A13223" s="1" t="str">
        <f>HYPERLINK("http://www.rosaceae.org/Prunus/Prunus_persica/p.persica_gdr_reftransV1_0010093","p.persica_gdr_reftransV1_0010093")</f>
        <v>p.persica_gdr_reftransV1_0010093</v>
      </c>
      <c r="B13223" s="3">
        <v>1714</v>
      </c>
      <c r="C13223" s="1" t="str">
        <f>HYPERLINK("http://www.uniprot.org/uniprot/BH121_ARATH","BH121_ARATH")</f>
        <v>BH121_ARATH</v>
      </c>
      <c r="D13223" t="s">
        <v>3814</v>
      </c>
      <c r="E13223" s="3" t="s">
        <v>3</v>
      </c>
      <c r="F13223" s="4">
        <v>2.3300000000000001E-80</v>
      </c>
      <c r="G13223" s="3">
        <v>670</v>
      </c>
      <c r="H13223" s="3">
        <v>56</v>
      </c>
      <c r="I13223" s="3">
        <v>266</v>
      </c>
      <c r="J13223" s="3">
        <v>584</v>
      </c>
      <c r="K13223" s="3">
        <v>1375</v>
      </c>
      <c r="L13223" s="3">
        <v>39</v>
      </c>
      <c r="M13223" s="3">
        <v>296</v>
      </c>
    </row>
    <row r="13224" spans="1:13" x14ac:dyDescent="0.25">
      <c r="A13224" s="1" t="str">
        <f>HYPERLINK("http://www.rosaceae.org/Prunus/Prunus_persica/p.persica_gdr_reftransV1_0010193","p.persica_gdr_reftransV1_0010193")</f>
        <v>p.persica_gdr_reftransV1_0010193</v>
      </c>
      <c r="B13224" s="3">
        <v>2270</v>
      </c>
      <c r="C13224" s="1" t="str">
        <f>HYPERLINK("http://www.uniprot.org/uniprot/BAM3_ARATH","BAM3_ARATH")</f>
        <v>BAM3_ARATH</v>
      </c>
      <c r="D13224" t="s">
        <v>1989</v>
      </c>
      <c r="E13224" s="3" t="s">
        <v>3</v>
      </c>
      <c r="F13224" s="4">
        <v>4.1399999999999998E-144</v>
      </c>
      <c r="G13224" s="3">
        <v>1133</v>
      </c>
      <c r="H13224" s="3">
        <v>73</v>
      </c>
      <c r="I13224" s="3">
        <v>288</v>
      </c>
      <c r="J13224" s="3">
        <v>1286</v>
      </c>
      <c r="K13224" s="3">
        <v>2143</v>
      </c>
      <c r="L13224" s="3">
        <v>1</v>
      </c>
      <c r="M13224" s="3">
        <v>287</v>
      </c>
    </row>
    <row r="13225" spans="1:13" x14ac:dyDescent="0.25">
      <c r="A13225" s="1" t="str">
        <f>HYPERLINK("http://www.rosaceae.org/Prunus/Prunus_persica/p.persica_gdr_reftransV1_0010293","p.persica_gdr_reftransV1_0010293")</f>
        <v>p.persica_gdr_reftransV1_0010293</v>
      </c>
      <c r="B13225" s="3">
        <v>979</v>
      </c>
      <c r="C13225" s="1" t="str">
        <f>HYPERLINK("http://www.uniprot.org/uniprot/MIRA_SYNDU","MIRA_SYNDU")</f>
        <v>MIRA_SYNDU</v>
      </c>
      <c r="D13225" t="s">
        <v>6666</v>
      </c>
      <c r="E13225" s="3" t="s">
        <v>6667</v>
      </c>
      <c r="F13225" s="4">
        <v>4.8700000000000001E-68</v>
      </c>
      <c r="G13225" s="3">
        <v>556</v>
      </c>
      <c r="H13225" s="3">
        <v>62</v>
      </c>
      <c r="I13225" s="3">
        <v>187</v>
      </c>
      <c r="J13225" s="3">
        <v>300</v>
      </c>
      <c r="K13225" s="3">
        <v>839</v>
      </c>
      <c r="L13225" s="3">
        <v>30</v>
      </c>
      <c r="M13225" s="3">
        <v>216</v>
      </c>
    </row>
    <row r="13226" spans="1:13" x14ac:dyDescent="0.25">
      <c r="A13226" s="1" t="str">
        <f>HYPERLINK("http://www.rosaceae.org/Prunus/Prunus_persica/p.persica_gdr_reftransV1_0010393","p.persica_gdr_reftransV1_0010393")</f>
        <v>p.persica_gdr_reftransV1_0010393</v>
      </c>
      <c r="B13226" s="3">
        <v>1206</v>
      </c>
      <c r="C13226" s="1" t="str">
        <f>HYPERLINK("http://www.uniprot.org/uniprot/GGR_ARATH","GGR_ARATH")</f>
        <v>GGR_ARATH</v>
      </c>
      <c r="D13226" t="s">
        <v>1600</v>
      </c>
      <c r="E13226" s="3" t="s">
        <v>3</v>
      </c>
      <c r="F13226" s="4">
        <v>2.2600000000000001E-135</v>
      </c>
      <c r="G13226" s="3">
        <v>1021</v>
      </c>
      <c r="H13226" s="3">
        <v>63</v>
      </c>
      <c r="I13226" s="3">
        <v>337</v>
      </c>
      <c r="J13226" s="3">
        <v>71</v>
      </c>
      <c r="K13226" s="3">
        <v>1060</v>
      </c>
      <c r="L13226" s="3">
        <v>3</v>
      </c>
      <c r="M13226" s="3">
        <v>324</v>
      </c>
    </row>
    <row r="13227" spans="1:13" x14ac:dyDescent="0.25">
      <c r="A13227" s="1" t="str">
        <f>HYPERLINK("http://www.rosaceae.org/Prunus/Prunus_persica/p.persica_gdr_reftransV1_0010443","p.persica_gdr_reftransV1_0010443")</f>
        <v>p.persica_gdr_reftransV1_0010443</v>
      </c>
      <c r="B13227" s="3">
        <v>1747</v>
      </c>
      <c r="C13227" s="1" t="str">
        <f>HYPERLINK("http://www.uniprot.org/uniprot/Y788_ARCFU","Y788_ARCFU")</f>
        <v>Y788_ARCFU</v>
      </c>
      <c r="D13227" t="s">
        <v>8942</v>
      </c>
      <c r="E13227" s="3" t="s">
        <v>8943</v>
      </c>
      <c r="F13227" s="4">
        <v>2.3600000000000001E-10</v>
      </c>
      <c r="G13227" s="3">
        <v>159</v>
      </c>
      <c r="H13227" s="3">
        <v>31</v>
      </c>
      <c r="I13227" s="3">
        <v>165</v>
      </c>
      <c r="J13227" s="3">
        <v>793</v>
      </c>
      <c r="K13227" s="3">
        <v>1281</v>
      </c>
      <c r="L13227" s="3">
        <v>39</v>
      </c>
      <c r="M13227" s="3">
        <v>196</v>
      </c>
    </row>
    <row r="13228" spans="1:13" x14ac:dyDescent="0.25">
      <c r="A13228" s="1" t="str">
        <f>HYPERLINK("http://www.rosaceae.org/Prunus/Prunus_persica/p.persica_gdr_reftransV1_0010543","p.persica_gdr_reftransV1_0010543")</f>
        <v>p.persica_gdr_reftransV1_0010543</v>
      </c>
      <c r="B13228" s="3">
        <v>4292</v>
      </c>
      <c r="C13228" s="1" t="str">
        <f>HYPERLINK("http://www.uniprot.org/uniprot/SMG7_ARATH","SMG7_ARATH")</f>
        <v>SMG7_ARATH</v>
      </c>
      <c r="D13228" t="s">
        <v>8944</v>
      </c>
      <c r="E13228" s="3" t="s">
        <v>3</v>
      </c>
      <c r="F13228" s="4">
        <v>0</v>
      </c>
      <c r="G13228" s="3">
        <v>2324</v>
      </c>
      <c r="H13228" s="3">
        <v>49</v>
      </c>
      <c r="I13228" s="3">
        <v>1090</v>
      </c>
      <c r="J13228" s="3">
        <v>273</v>
      </c>
      <c r="K13228" s="3">
        <v>3311</v>
      </c>
      <c r="L13228" s="3">
        <v>2</v>
      </c>
      <c r="M13228" s="3">
        <v>1059</v>
      </c>
    </row>
    <row r="13229" spans="1:13" x14ac:dyDescent="0.25">
      <c r="A13229" s="1" t="str">
        <f>HYPERLINK("http://www.rosaceae.org/Prunus/Prunus_persica/p.persica_gdr_reftransV1_0010693","p.persica_gdr_reftransV1_0010693")</f>
        <v>p.persica_gdr_reftransV1_0010693</v>
      </c>
      <c r="B13229" s="3">
        <v>2677</v>
      </c>
      <c r="C13229" s="1" t="str">
        <f>HYPERLINK("http://www.uniprot.org/uniprot/CPSF_ARATH","CPSF_ARATH")</f>
        <v>CPSF_ARATH</v>
      </c>
      <c r="D13229" t="s">
        <v>8945</v>
      </c>
      <c r="E13229" s="3" t="s">
        <v>3</v>
      </c>
      <c r="F13229" s="4">
        <v>0</v>
      </c>
      <c r="G13229" s="3">
        <v>1506</v>
      </c>
      <c r="H13229" s="3">
        <v>69</v>
      </c>
      <c r="I13229" s="3">
        <v>543</v>
      </c>
      <c r="J13229" s="3">
        <v>291</v>
      </c>
      <c r="K13229" s="3">
        <v>1910</v>
      </c>
      <c r="L13229" s="3">
        <v>1</v>
      </c>
      <c r="M13229" s="3">
        <v>518</v>
      </c>
    </row>
    <row r="13230" spans="1:13" x14ac:dyDescent="0.25">
      <c r="A13230" s="1" t="str">
        <f>HYPERLINK("http://www.rosaceae.org/Prunus/Prunus_persica/p.persica_gdr_reftransV1_0010793","p.persica_gdr_reftransV1_0010793")</f>
        <v>p.persica_gdr_reftransV1_0010793</v>
      </c>
      <c r="B13230" s="3">
        <v>2739</v>
      </c>
      <c r="C13230" s="1" t="str">
        <f>HYPERLINK("http://www.uniprot.org/uniprot/P5CS_ACTDE","P5CS_ACTDE")</f>
        <v>P5CS_ACTDE</v>
      </c>
      <c r="D13230" t="s">
        <v>4442</v>
      </c>
      <c r="E13230" s="3" t="s">
        <v>2188</v>
      </c>
      <c r="F13230" s="4">
        <v>0</v>
      </c>
      <c r="G13230" s="3">
        <v>2563</v>
      </c>
      <c r="H13230" s="3">
        <v>80</v>
      </c>
      <c r="I13230" s="3">
        <v>644</v>
      </c>
      <c r="J13230" s="3">
        <v>703</v>
      </c>
      <c r="K13230" s="3">
        <v>2634</v>
      </c>
      <c r="L13230" s="3">
        <v>1</v>
      </c>
      <c r="M13230" s="3">
        <v>644</v>
      </c>
    </row>
    <row r="13231" spans="1:13" x14ac:dyDescent="0.25">
      <c r="A13231" s="1" t="str">
        <f>HYPERLINK("http://www.rosaceae.org/Prunus/Prunus_persica/p.persica_gdr_reftransV1_0010843","p.persica_gdr_reftransV1_0010843")</f>
        <v>p.persica_gdr_reftransV1_0010843</v>
      </c>
      <c r="B13231" s="3">
        <v>449</v>
      </c>
      <c r="C13231" s="1" t="str">
        <f>HYPERLINK("http://www.uniprot.org/uniprot/NU98A_ARATH","NU98A_ARATH")</f>
        <v>NU98A_ARATH</v>
      </c>
      <c r="D13231" t="s">
        <v>2674</v>
      </c>
      <c r="E13231" s="3" t="s">
        <v>3</v>
      </c>
      <c r="F13231" s="4">
        <v>3.2099999999999998E-23</v>
      </c>
      <c r="G13231" s="3">
        <v>249</v>
      </c>
      <c r="H13231" s="3">
        <v>50</v>
      </c>
      <c r="I13231" s="3">
        <v>153</v>
      </c>
      <c r="J13231" s="3">
        <v>1</v>
      </c>
      <c r="K13231" s="3">
        <v>447</v>
      </c>
      <c r="L13231" s="3">
        <v>257</v>
      </c>
      <c r="M13231" s="3">
        <v>403</v>
      </c>
    </row>
    <row r="13232" spans="1:13" x14ac:dyDescent="0.25">
      <c r="A13232" s="1" t="str">
        <f>HYPERLINK("http://www.rosaceae.org/Prunus/Prunus_persica/p.persica_gdr_reftransV1_0011143","p.persica_gdr_reftransV1_0011143")</f>
        <v>p.persica_gdr_reftransV1_0011143</v>
      </c>
      <c r="B13232" s="3">
        <v>3270</v>
      </c>
      <c r="C13232" s="1" t="str">
        <f>HYPERLINK("http://www.uniprot.org/uniprot/RPM1_ARATH","RPM1_ARATH")</f>
        <v>RPM1_ARATH</v>
      </c>
      <c r="D13232" t="s">
        <v>453</v>
      </c>
      <c r="E13232" s="3" t="s">
        <v>3</v>
      </c>
      <c r="F13232" s="4">
        <v>2.5799999999999999E-145</v>
      </c>
      <c r="G13232" s="3">
        <v>1199</v>
      </c>
      <c r="H13232" s="3">
        <v>34</v>
      </c>
      <c r="I13232" s="3">
        <v>948</v>
      </c>
      <c r="J13232" s="3">
        <v>358</v>
      </c>
      <c r="K13232" s="3">
        <v>3135</v>
      </c>
      <c r="L13232" s="3">
        <v>1</v>
      </c>
      <c r="M13232" s="3">
        <v>926</v>
      </c>
    </row>
    <row r="13233" spans="1:13" x14ac:dyDescent="0.25">
      <c r="A13233" s="1" t="str">
        <f>HYPERLINK("http://www.rosaceae.org/Prunus/Prunus_persica/p.persica_gdr_reftransV1_0011193","p.persica_gdr_reftransV1_0011193")</f>
        <v>p.persica_gdr_reftransV1_0011193</v>
      </c>
      <c r="B13233" s="3">
        <v>2927</v>
      </c>
      <c r="C13233" s="1" t="str">
        <f>HYPERLINK("http://www.uniprot.org/uniprot/NPY2_ARATH","NPY2_ARATH")</f>
        <v>NPY2_ARATH</v>
      </c>
      <c r="D13233" t="s">
        <v>856</v>
      </c>
      <c r="E13233" s="3" t="s">
        <v>3</v>
      </c>
      <c r="F13233" s="4">
        <v>0</v>
      </c>
      <c r="G13233" s="3">
        <v>1766</v>
      </c>
      <c r="H13233" s="3">
        <v>59</v>
      </c>
      <c r="I13233" s="3">
        <v>595</v>
      </c>
      <c r="J13233" s="3">
        <v>726</v>
      </c>
      <c r="K13233" s="3">
        <v>2480</v>
      </c>
      <c r="L13233" s="3">
        <v>1</v>
      </c>
      <c r="M13233" s="3">
        <v>581</v>
      </c>
    </row>
    <row r="13234" spans="1:13" x14ac:dyDescent="0.25">
      <c r="A13234" s="1" t="str">
        <f>HYPERLINK("http://www.rosaceae.org/Prunus/Prunus_persica/p.persica_gdr_reftransV1_0011493","p.persica_gdr_reftransV1_0011493")</f>
        <v>p.persica_gdr_reftransV1_0011493</v>
      </c>
      <c r="B13234" s="3">
        <v>505</v>
      </c>
      <c r="C13234" s="1" t="str">
        <f>HYPERLINK("http://www.uniprot.org/uniprot/BBX22_ARATH","BBX22_ARATH")</f>
        <v>BBX22_ARATH</v>
      </c>
      <c r="D13234" t="s">
        <v>8946</v>
      </c>
      <c r="E13234" s="3" t="s">
        <v>3</v>
      </c>
      <c r="F13234" s="4">
        <v>2.9200000000000001E-56</v>
      </c>
      <c r="G13234" s="3">
        <v>469</v>
      </c>
      <c r="H13234" s="3">
        <v>83</v>
      </c>
      <c r="I13234" s="3">
        <v>107</v>
      </c>
      <c r="J13234" s="3">
        <v>72</v>
      </c>
      <c r="K13234" s="3">
        <v>386</v>
      </c>
      <c r="L13234" s="3">
        <v>1</v>
      </c>
      <c r="M13234" s="3">
        <v>107</v>
      </c>
    </row>
    <row r="13235" spans="1:13" x14ac:dyDescent="0.25">
      <c r="A13235" s="1" t="str">
        <f>HYPERLINK("http://www.rosaceae.org/Prunus/Prunus_persica/p.persica_gdr_reftransV1_0011593","p.persica_gdr_reftransV1_0011593")</f>
        <v>p.persica_gdr_reftransV1_0011593</v>
      </c>
      <c r="B13235" s="3">
        <v>1620</v>
      </c>
      <c r="C13235" s="1" t="str">
        <f>HYPERLINK("http://www.uniprot.org/uniprot/ARL8A_CHICK","ARL8A_CHICK")</f>
        <v>ARL8A_CHICK</v>
      </c>
      <c r="D13235" t="s">
        <v>2859</v>
      </c>
      <c r="E13235" s="3" t="s">
        <v>1278</v>
      </c>
      <c r="F13235" s="4">
        <v>1.0600000000000001E-42</v>
      </c>
      <c r="G13235" s="3">
        <v>393</v>
      </c>
      <c r="H13235" s="3">
        <v>71</v>
      </c>
      <c r="I13235" s="3">
        <v>94</v>
      </c>
      <c r="J13235" s="3">
        <v>88</v>
      </c>
      <c r="K13235" s="3">
        <v>369</v>
      </c>
      <c r="L13235" s="3">
        <v>1</v>
      </c>
      <c r="M13235" s="3">
        <v>94</v>
      </c>
    </row>
    <row r="13236" spans="1:13" x14ac:dyDescent="0.25">
      <c r="A13236" s="1" t="str">
        <f>HYPERLINK("http://www.rosaceae.org/Prunus/Prunus_persica/p.persica_gdr_reftransV1_0011743","p.persica_gdr_reftransV1_0011743")</f>
        <v>p.persica_gdr_reftransV1_0011743</v>
      </c>
      <c r="B13236" s="3">
        <v>1456</v>
      </c>
      <c r="C13236" s="1" t="str">
        <f>HYPERLINK("http://www.uniprot.org/uniprot/WAK2_ARATH","WAK2_ARATH")</f>
        <v>WAK2_ARATH</v>
      </c>
      <c r="D13236" t="s">
        <v>2792</v>
      </c>
      <c r="E13236" s="3" t="s">
        <v>3</v>
      </c>
      <c r="F13236" s="4">
        <v>2.8900000000000003E-38</v>
      </c>
      <c r="G13236" s="3">
        <v>383</v>
      </c>
      <c r="H13236" s="3">
        <v>33</v>
      </c>
      <c r="I13236" s="3">
        <v>443</v>
      </c>
      <c r="J13236" s="3">
        <v>4</v>
      </c>
      <c r="K13236" s="3">
        <v>1317</v>
      </c>
      <c r="L13236" s="3">
        <v>29</v>
      </c>
      <c r="M13236" s="3">
        <v>423</v>
      </c>
    </row>
    <row r="13237" spans="1:13" x14ac:dyDescent="0.25">
      <c r="A13237" s="1" t="str">
        <f>HYPERLINK("http://www.rosaceae.org/Prunus/Prunus_persica/p.persica_gdr_reftransV1_0011793","p.persica_gdr_reftransV1_0011793")</f>
        <v>p.persica_gdr_reftransV1_0011793</v>
      </c>
      <c r="B13237" s="3">
        <v>2446</v>
      </c>
      <c r="C13237" s="1" t="str">
        <f>HYPERLINK("http://www.uniprot.org/uniprot/TBCC1_XENTR","TBCC1_XENTR")</f>
        <v>TBCC1_XENTR</v>
      </c>
      <c r="D13237" t="s">
        <v>8947</v>
      </c>
      <c r="E13237" s="3" t="s">
        <v>173</v>
      </c>
      <c r="F13237" s="4">
        <v>7.8100000000000001E-33</v>
      </c>
      <c r="G13237" s="3">
        <v>346</v>
      </c>
      <c r="H13237" s="3">
        <v>27</v>
      </c>
      <c r="I13237" s="3">
        <v>457</v>
      </c>
      <c r="J13237" s="3">
        <v>623</v>
      </c>
      <c r="K13237" s="3">
        <v>1957</v>
      </c>
      <c r="L13237" s="3">
        <v>120</v>
      </c>
      <c r="M13237" s="3">
        <v>542</v>
      </c>
    </row>
    <row r="13238" spans="1:13" x14ac:dyDescent="0.25">
      <c r="A13238" s="1" t="str">
        <f>HYPERLINK("http://www.rosaceae.org/Prunus/Prunus_persica/p.persica_gdr_reftransV1_0011943","p.persica_gdr_reftransV1_0011943")</f>
        <v>p.persica_gdr_reftransV1_0011943</v>
      </c>
      <c r="B13238" s="3">
        <v>1124</v>
      </c>
      <c r="C13238" s="1" t="str">
        <f>HYPERLINK("http://www.uniprot.org/uniprot/INVE_ARATH","INVE_ARATH")</f>
        <v>INVE_ARATH</v>
      </c>
      <c r="D13238" t="s">
        <v>3007</v>
      </c>
      <c r="E13238" s="3" t="s">
        <v>3</v>
      </c>
      <c r="F13238" s="4">
        <v>7.7200000000000006E-57</v>
      </c>
      <c r="G13238" s="3">
        <v>511</v>
      </c>
      <c r="H13238" s="3">
        <v>46</v>
      </c>
      <c r="I13238" s="3">
        <v>257</v>
      </c>
      <c r="J13238" s="3">
        <v>353</v>
      </c>
      <c r="K13238" s="3">
        <v>1123</v>
      </c>
      <c r="L13238" s="3">
        <v>1</v>
      </c>
      <c r="M13238" s="3">
        <v>219</v>
      </c>
    </row>
    <row r="13239" spans="1:13" x14ac:dyDescent="0.25">
      <c r="A13239" s="1" t="str">
        <f>HYPERLINK("http://www.rosaceae.org/Prunus/Prunus_persica/p.persica_gdr_reftransV1_0012343","p.persica_gdr_reftransV1_0012343")</f>
        <v>p.persica_gdr_reftransV1_0012343</v>
      </c>
      <c r="B13239" s="3">
        <v>2596</v>
      </c>
      <c r="C13239" s="1" t="str">
        <f>HYPERLINK("http://www.uniprot.org/uniprot/Y1500_ARATH","Y1500_ARATH")</f>
        <v>Y1500_ARATH</v>
      </c>
      <c r="D13239" t="s">
        <v>8948</v>
      </c>
      <c r="E13239" s="3" t="s">
        <v>3</v>
      </c>
      <c r="F13239" s="4">
        <v>5.8000000000000005E-29</v>
      </c>
      <c r="G13239" s="3">
        <v>302</v>
      </c>
      <c r="H13239" s="3">
        <v>76</v>
      </c>
      <c r="I13239" s="3">
        <v>68</v>
      </c>
      <c r="J13239" s="3">
        <v>2055</v>
      </c>
      <c r="K13239" s="3">
        <v>2258</v>
      </c>
      <c r="L13239" s="3">
        <v>53</v>
      </c>
      <c r="M13239" s="3">
        <v>120</v>
      </c>
    </row>
    <row r="13240" spans="1:13" x14ac:dyDescent="0.25">
      <c r="A13240" s="1" t="str">
        <f>HYPERLINK("http://www.rosaceae.org/Prunus/Prunus_persica/p.persica_gdr_reftransV1_0012443","p.persica_gdr_reftransV1_0012443")</f>
        <v>p.persica_gdr_reftransV1_0012443</v>
      </c>
      <c r="B13240" s="3">
        <v>1983</v>
      </c>
      <c r="C13240" s="1" t="str">
        <f>HYPERLINK("http://www.uniprot.org/uniprot/BH028_ARATH","BH028_ARATH")</f>
        <v>BH028_ARATH</v>
      </c>
      <c r="D13240" t="s">
        <v>8949</v>
      </c>
      <c r="E13240" s="3" t="s">
        <v>3</v>
      </c>
      <c r="F13240" s="4">
        <v>2.9100000000000002E-66</v>
      </c>
      <c r="G13240" s="3">
        <v>591</v>
      </c>
      <c r="H13240" s="3">
        <v>36</v>
      </c>
      <c r="I13240" s="3">
        <v>503</v>
      </c>
      <c r="J13240" s="3">
        <v>237</v>
      </c>
      <c r="K13240" s="3">
        <v>1637</v>
      </c>
      <c r="L13240" s="3">
        <v>33</v>
      </c>
      <c r="M13240" s="3">
        <v>507</v>
      </c>
    </row>
    <row r="13241" spans="1:13" x14ac:dyDescent="0.25">
      <c r="A13241" s="1" t="str">
        <f>HYPERLINK("http://www.rosaceae.org/Prunus/Prunus_persica/p.persica_gdr_reftransV1_0012493","p.persica_gdr_reftransV1_0012493")</f>
        <v>p.persica_gdr_reftransV1_0012493</v>
      </c>
      <c r="B13241" s="3">
        <v>2370</v>
      </c>
      <c r="C13241" s="1" t="str">
        <f>HYPERLINK("http://www.uniprot.org/uniprot/LUT1_ARATH","LUT1_ARATH")</f>
        <v>LUT1_ARATH</v>
      </c>
      <c r="D13241" t="s">
        <v>1448</v>
      </c>
      <c r="E13241" s="3" t="s">
        <v>3</v>
      </c>
      <c r="F13241" s="4">
        <v>0</v>
      </c>
      <c r="G13241" s="3">
        <v>1683</v>
      </c>
      <c r="H13241" s="3">
        <v>82</v>
      </c>
      <c r="I13241" s="3">
        <v>373</v>
      </c>
      <c r="J13241" s="3">
        <v>263</v>
      </c>
      <c r="K13241" s="3">
        <v>1381</v>
      </c>
      <c r="L13241" s="3">
        <v>167</v>
      </c>
      <c r="M13241" s="3">
        <v>539</v>
      </c>
    </row>
    <row r="13242" spans="1:13" x14ac:dyDescent="0.25">
      <c r="A13242" s="1" t="str">
        <f>HYPERLINK("http://www.rosaceae.org/Prunus/Prunus_persica/p.persica_gdr_reftransV1_0012843","p.persica_gdr_reftransV1_0012843")</f>
        <v>p.persica_gdr_reftransV1_0012843</v>
      </c>
      <c r="B13242" s="3">
        <v>4334</v>
      </c>
      <c r="C13242" s="1" t="str">
        <f>HYPERLINK("http://www.uniprot.org/uniprot/WD66_PHYPO","WD66_PHYPO")</f>
        <v>WD66_PHYPO</v>
      </c>
      <c r="D13242" t="s">
        <v>8560</v>
      </c>
      <c r="E13242" s="3" t="s">
        <v>8414</v>
      </c>
      <c r="F13242" s="4">
        <v>3.7999999999999997E-132</v>
      </c>
      <c r="G13242" s="3">
        <v>1100</v>
      </c>
      <c r="H13242" s="3">
        <v>43</v>
      </c>
      <c r="I13242" s="3">
        <v>545</v>
      </c>
      <c r="J13242" s="3">
        <v>132</v>
      </c>
      <c r="K13242" s="3">
        <v>1757</v>
      </c>
      <c r="L13242" s="3">
        <v>5</v>
      </c>
      <c r="M13242" s="3">
        <v>536</v>
      </c>
    </row>
    <row r="13243" spans="1:13" x14ac:dyDescent="0.25">
      <c r="A13243" s="1" t="str">
        <f>HYPERLINK("http://www.rosaceae.org/Prunus/Prunus_persica/p.persica_gdr_reftransV1_0013143","p.persica_gdr_reftransV1_0013143")</f>
        <v>p.persica_gdr_reftransV1_0013143</v>
      </c>
      <c r="B13243" s="3">
        <v>2669</v>
      </c>
      <c r="C13243" s="1" t="str">
        <f>HYPERLINK("http://www.uniprot.org/uniprot/GAUTB_ARATH","GAUTB_ARATH")</f>
        <v>GAUTB_ARATH</v>
      </c>
      <c r="D13243" t="s">
        <v>8950</v>
      </c>
      <c r="E13243" s="3" t="s">
        <v>3</v>
      </c>
      <c r="F13243" s="4">
        <v>0</v>
      </c>
      <c r="G13243" s="3">
        <v>2171</v>
      </c>
      <c r="H13243" s="3">
        <v>78</v>
      </c>
      <c r="I13243" s="3">
        <v>522</v>
      </c>
      <c r="J13243" s="3">
        <v>667</v>
      </c>
      <c r="K13243" s="3">
        <v>2223</v>
      </c>
      <c r="L13243" s="3">
        <v>16</v>
      </c>
      <c r="M13243" s="3">
        <v>537</v>
      </c>
    </row>
    <row r="13244" spans="1:13" x14ac:dyDescent="0.25">
      <c r="A13244" s="1" t="str">
        <f>HYPERLINK("http://www.rosaceae.org/Prunus/Prunus_persica/p.persica_gdr_reftransV1_0013393","p.persica_gdr_reftransV1_0013393")</f>
        <v>p.persica_gdr_reftransV1_0013393</v>
      </c>
      <c r="B13244" s="3">
        <v>1618</v>
      </c>
      <c r="C13244" s="1" t="str">
        <f>HYPERLINK("http://www.uniprot.org/uniprot/YUid_BACSU","YUid_BACSU")</f>
        <v>YUid_BACSU</v>
      </c>
      <c r="D13244" t="s">
        <v>1629</v>
      </c>
      <c r="E13244" s="3" t="s">
        <v>1630</v>
      </c>
      <c r="F13244" s="4">
        <v>1.5999999999999999E-20</v>
      </c>
      <c r="G13244" s="3">
        <v>230</v>
      </c>
      <c r="H13244" s="3">
        <v>40</v>
      </c>
      <c r="I13244" s="3">
        <v>146</v>
      </c>
      <c r="J13244" s="3">
        <v>748</v>
      </c>
      <c r="K13244" s="3">
        <v>1155</v>
      </c>
      <c r="L13244" s="3">
        <v>3</v>
      </c>
      <c r="M13244" s="3">
        <v>148</v>
      </c>
    </row>
    <row r="13245" spans="1:13" x14ac:dyDescent="0.25">
      <c r="A13245" s="1" t="str">
        <f>HYPERLINK("http://www.rosaceae.org/Prunus/Prunus_persica/p.persica_gdr_reftransV1_0013743","p.persica_gdr_reftransV1_0013743")</f>
        <v>p.persica_gdr_reftransV1_0013743</v>
      </c>
      <c r="B13245" s="3">
        <v>4944</v>
      </c>
      <c r="C13245" s="1" t="str">
        <f>HYPERLINK("http://www.uniprot.org/uniprot/DHX29_XENLA","DHX29_XENLA")</f>
        <v>DHX29_XENLA</v>
      </c>
      <c r="D13245" t="s">
        <v>8951</v>
      </c>
      <c r="E13245" s="3" t="s">
        <v>475</v>
      </c>
      <c r="F13245" s="4">
        <v>0</v>
      </c>
      <c r="G13245" s="3">
        <v>1571</v>
      </c>
      <c r="H13245" s="3">
        <v>38</v>
      </c>
      <c r="I13245" s="3">
        <v>1001</v>
      </c>
      <c r="J13245" s="3">
        <v>620</v>
      </c>
      <c r="K13245" s="3">
        <v>3577</v>
      </c>
      <c r="L13245" s="3">
        <v>426</v>
      </c>
      <c r="M13245" s="3">
        <v>1362</v>
      </c>
    </row>
    <row r="13246" spans="1:13" x14ac:dyDescent="0.25">
      <c r="A13246" s="1" t="str">
        <f>HYPERLINK("http://www.rosaceae.org/Prunus/Prunus_persica/p.persica_gdr_reftransV1_0013793","p.persica_gdr_reftransV1_0013793")</f>
        <v>p.persica_gdr_reftransV1_0013793</v>
      </c>
      <c r="B13246" s="3">
        <v>2263</v>
      </c>
      <c r="C13246" s="1" t="str">
        <f>HYPERLINK("http://www.uniprot.org/uniprot/HXK2_TOBAC","HXK2_TOBAC")</f>
        <v>HXK2_TOBAC</v>
      </c>
      <c r="D13246" t="s">
        <v>8952</v>
      </c>
      <c r="E13246" s="3" t="s">
        <v>200</v>
      </c>
      <c r="F13246" s="4">
        <v>0</v>
      </c>
      <c r="G13246" s="3">
        <v>1990</v>
      </c>
      <c r="H13246" s="3">
        <v>75</v>
      </c>
      <c r="I13246" s="3">
        <v>527</v>
      </c>
      <c r="J13246" s="3">
        <v>334</v>
      </c>
      <c r="K13246" s="3">
        <v>1905</v>
      </c>
      <c r="L13246" s="3">
        <v>1</v>
      </c>
      <c r="M13246" s="3">
        <v>495</v>
      </c>
    </row>
    <row r="13247" spans="1:13" x14ac:dyDescent="0.25">
      <c r="A13247" s="1" t="str">
        <f>HYPERLINK("http://www.rosaceae.org/Prunus/Prunus_persica/p.persica_gdr_reftransV1_0013843","p.persica_gdr_reftransV1_0013843")</f>
        <v>p.persica_gdr_reftransV1_0013843</v>
      </c>
      <c r="B13247" s="3">
        <v>2728</v>
      </c>
      <c r="C13247" s="1" t="str">
        <f>HYPERLINK("http://www.uniprot.org/uniprot/RAB7_SOYBN","RAB7_SOYBN")</f>
        <v>RAB7_SOYBN</v>
      </c>
      <c r="D13247" t="s">
        <v>8953</v>
      </c>
      <c r="E13247" s="3" t="s">
        <v>307</v>
      </c>
      <c r="F13247" s="4">
        <v>7.6999999999999993E-136</v>
      </c>
      <c r="G13247" s="3">
        <v>1056</v>
      </c>
      <c r="H13247" s="3">
        <v>95</v>
      </c>
      <c r="I13247" s="3">
        <v>206</v>
      </c>
      <c r="J13247" s="3">
        <v>1909</v>
      </c>
      <c r="K13247" s="3">
        <v>2523</v>
      </c>
      <c r="L13247" s="3">
        <v>1</v>
      </c>
      <c r="M13247" s="3">
        <v>206</v>
      </c>
    </row>
    <row r="13248" spans="1:13" x14ac:dyDescent="0.25">
      <c r="A13248" s="1" t="str">
        <f>HYPERLINK("http://www.rosaceae.org/Prunus/Prunus_persica/p.persica_gdr_reftransV1_0013943","p.persica_gdr_reftransV1_0013943")</f>
        <v>p.persica_gdr_reftransV1_0013943</v>
      </c>
      <c r="B13248" s="3">
        <v>1765</v>
      </c>
      <c r="C13248" s="1" t="str">
        <f>HYPERLINK("http://www.uniprot.org/uniprot/HMGCL_ARATH","HMGCL_ARATH")</f>
        <v>HMGCL_ARATH</v>
      </c>
      <c r="D13248" t="s">
        <v>3047</v>
      </c>
      <c r="E13248" s="3" t="s">
        <v>3</v>
      </c>
      <c r="F13248" s="4">
        <v>3.1500000000000003E-157</v>
      </c>
      <c r="G13248" s="3">
        <v>1198</v>
      </c>
      <c r="H13248" s="3">
        <v>69</v>
      </c>
      <c r="I13248" s="3">
        <v>368</v>
      </c>
      <c r="J13248" s="3">
        <v>138</v>
      </c>
      <c r="K13248" s="3">
        <v>1238</v>
      </c>
      <c r="L13248" s="3">
        <v>110</v>
      </c>
      <c r="M13248" s="3">
        <v>468</v>
      </c>
    </row>
    <row r="13249" spans="1:13" x14ac:dyDescent="0.25">
      <c r="A13249" s="1" t="str">
        <f>HYPERLINK("http://www.rosaceae.org/Prunus/Prunus_persica/p.persica_gdr_reftransV1_0014193","p.persica_gdr_reftransV1_0014193")</f>
        <v>p.persica_gdr_reftransV1_0014193</v>
      </c>
      <c r="B13249" s="3">
        <v>2970</v>
      </c>
      <c r="C13249" s="1" t="str">
        <f>HYPERLINK("http://www.uniprot.org/uniprot/DAPB3_PSEMX","DAPB3_PSEMX")</f>
        <v>DAPB3_PSEMX</v>
      </c>
      <c r="D13249" t="s">
        <v>8954</v>
      </c>
      <c r="E13249" s="3" t="s">
        <v>5908</v>
      </c>
      <c r="F13249" s="4">
        <v>6.1199999999999998E-12</v>
      </c>
      <c r="G13249" s="3">
        <v>179</v>
      </c>
      <c r="H13249" s="3">
        <v>26</v>
      </c>
      <c r="I13249" s="3">
        <v>189</v>
      </c>
      <c r="J13249" s="3">
        <v>611</v>
      </c>
      <c r="K13249" s="3">
        <v>1147</v>
      </c>
      <c r="L13249" s="3">
        <v>461</v>
      </c>
      <c r="M13249" s="3">
        <v>649</v>
      </c>
    </row>
    <row r="13250" spans="1:13" x14ac:dyDescent="0.25">
      <c r="A13250" s="1" t="str">
        <f>HYPERLINK("http://www.rosaceae.org/Prunus/Prunus_persica/p.persica_gdr_reftransV1_0014243","p.persica_gdr_reftransV1_0014243")</f>
        <v>p.persica_gdr_reftransV1_0014243</v>
      </c>
      <c r="B13250" s="3">
        <v>1670</v>
      </c>
      <c r="C13250" s="1" t="str">
        <f>HYPERLINK("http://www.uniprot.org/uniprot/PMM_WHEAT","PMM_WHEAT")</f>
        <v>PMM_WHEAT</v>
      </c>
      <c r="D13250" t="s">
        <v>8955</v>
      </c>
      <c r="E13250" s="3" t="s">
        <v>710</v>
      </c>
      <c r="F13250" s="4">
        <v>7.3500000000000007E-136</v>
      </c>
      <c r="G13250" s="3">
        <v>1032</v>
      </c>
      <c r="H13250" s="3">
        <v>64</v>
      </c>
      <c r="I13250" s="3">
        <v>321</v>
      </c>
      <c r="J13250" s="3">
        <v>473</v>
      </c>
      <c r="K13250" s="3">
        <v>1435</v>
      </c>
      <c r="L13250" s="3">
        <v>4</v>
      </c>
      <c r="M13250" s="3">
        <v>248</v>
      </c>
    </row>
    <row r="13251" spans="1:13" x14ac:dyDescent="0.25">
      <c r="A13251" s="1" t="str">
        <f>HYPERLINK("http://www.rosaceae.org/Prunus/Prunus_persica/p.persica_gdr_reftransV1_0014443","p.persica_gdr_reftransV1_0014443")</f>
        <v>p.persica_gdr_reftransV1_0014443</v>
      </c>
      <c r="B13251" s="3">
        <v>946</v>
      </c>
      <c r="C13251" s="1" t="str">
        <f>HYPERLINK("http://www.uniprot.org/uniprot/NDR1_ARATH","NDR1_ARATH")</f>
        <v>NDR1_ARATH</v>
      </c>
      <c r="D13251" t="s">
        <v>8956</v>
      </c>
      <c r="E13251" s="3" t="s">
        <v>3</v>
      </c>
      <c r="F13251" s="4">
        <v>2.5500000000000002E-44</v>
      </c>
      <c r="G13251" s="3">
        <v>395</v>
      </c>
      <c r="H13251" s="3">
        <v>52</v>
      </c>
      <c r="I13251" s="3">
        <v>175</v>
      </c>
      <c r="J13251" s="3">
        <v>338</v>
      </c>
      <c r="K13251" s="3">
        <v>838</v>
      </c>
      <c r="L13251" s="3">
        <v>9</v>
      </c>
      <c r="M13251" s="3">
        <v>181</v>
      </c>
    </row>
    <row r="13252" spans="1:13" x14ac:dyDescent="0.25">
      <c r="A13252" s="1" t="str">
        <f>HYPERLINK("http://www.rosaceae.org/Prunus/Prunus_persica/p.persica_gdr_reftransV1_0014593","p.persica_gdr_reftransV1_0014593")</f>
        <v>p.persica_gdr_reftransV1_0014593</v>
      </c>
      <c r="B13252" s="3">
        <v>2647</v>
      </c>
      <c r="C13252" s="1" t="str">
        <f>HYPERLINK("http://www.uniprot.org/uniprot/SCD2_ARATH","SCD2_ARATH")</f>
        <v>SCD2_ARATH</v>
      </c>
      <c r="D13252" t="s">
        <v>8957</v>
      </c>
      <c r="E13252" s="3" t="s">
        <v>3</v>
      </c>
      <c r="F13252" s="4">
        <v>7.4000000000000003E-110</v>
      </c>
      <c r="G13252" s="3">
        <v>833</v>
      </c>
      <c r="H13252" s="3">
        <v>55</v>
      </c>
      <c r="I13252" s="3">
        <v>411</v>
      </c>
      <c r="J13252" s="3">
        <v>1306</v>
      </c>
      <c r="K13252" s="3">
        <v>2481</v>
      </c>
      <c r="L13252" s="3">
        <v>1</v>
      </c>
      <c r="M13252" s="3">
        <v>405</v>
      </c>
    </row>
    <row r="13253" spans="1:13" x14ac:dyDescent="0.25">
      <c r="A13253" s="1" t="str">
        <f>HYPERLINK("http://www.rosaceae.org/Prunus/Prunus_persica/p.persica_gdr_reftransV1_0014643","p.persica_gdr_reftransV1_0014643")</f>
        <v>p.persica_gdr_reftransV1_0014643</v>
      </c>
      <c r="B13253" s="3">
        <v>4145</v>
      </c>
      <c r="C13253" s="1" t="str">
        <f>HYPERLINK("http://www.uniprot.org/uniprot/ISE2_ARATH","ISE2_ARATH")</f>
        <v>ISE2_ARATH</v>
      </c>
      <c r="D13253" t="s">
        <v>8958</v>
      </c>
      <c r="E13253" s="3" t="s">
        <v>3</v>
      </c>
      <c r="F13253" s="4">
        <v>0</v>
      </c>
      <c r="G13253" s="3">
        <v>3008</v>
      </c>
      <c r="H13253" s="3">
        <v>72</v>
      </c>
      <c r="I13253" s="3">
        <v>750</v>
      </c>
      <c r="J13253" s="3">
        <v>375</v>
      </c>
      <c r="K13253" s="3">
        <v>2612</v>
      </c>
      <c r="L13253" s="3">
        <v>422</v>
      </c>
      <c r="M13253" s="3">
        <v>1171</v>
      </c>
    </row>
    <row r="13254" spans="1:13" x14ac:dyDescent="0.25">
      <c r="A13254" s="1" t="str">
        <f>HYPERLINK("http://www.rosaceae.org/Prunus/Prunus_persica/p.persica_gdr_reftransV1_0014843","p.persica_gdr_reftransV1_0014843")</f>
        <v>p.persica_gdr_reftransV1_0014843</v>
      </c>
      <c r="B13254" s="3">
        <v>3546</v>
      </c>
      <c r="C13254" s="1" t="str">
        <f>HYPERLINK("http://www.uniprot.org/uniprot/NAA16_MOUSE","NAA16_MOUSE")</f>
        <v>NAA16_MOUSE</v>
      </c>
      <c r="D13254" t="s">
        <v>8959</v>
      </c>
      <c r="E13254" s="3" t="s">
        <v>157</v>
      </c>
      <c r="F13254" s="4">
        <v>0</v>
      </c>
      <c r="G13254" s="3">
        <v>1457</v>
      </c>
      <c r="H13254" s="3">
        <v>44</v>
      </c>
      <c r="I13254" s="3">
        <v>719</v>
      </c>
      <c r="J13254" s="3">
        <v>221</v>
      </c>
      <c r="K13254" s="3">
        <v>2332</v>
      </c>
      <c r="L13254" s="3">
        <v>6</v>
      </c>
      <c r="M13254" s="3">
        <v>709</v>
      </c>
    </row>
    <row r="13255" spans="1:13" x14ac:dyDescent="0.25">
      <c r="A13255" s="1" t="str">
        <f>HYPERLINK("http://www.rosaceae.org/Prunus/Prunus_persica/p.persica_gdr_reftransV1_0014943","p.persica_gdr_reftransV1_0014943")</f>
        <v>p.persica_gdr_reftransV1_0014943</v>
      </c>
      <c r="B13255" s="3">
        <v>2033</v>
      </c>
      <c r="C13255" s="1" t="str">
        <f>HYPERLINK("http://www.uniprot.org/uniprot/POP1_HUMAN","POP1_HUMAN")</f>
        <v>POP1_HUMAN</v>
      </c>
      <c r="D13255" t="s">
        <v>5835</v>
      </c>
      <c r="E13255" s="3" t="s">
        <v>28</v>
      </c>
      <c r="F13255" s="4">
        <v>1.8400000000000001E-10</v>
      </c>
      <c r="G13255" s="3">
        <v>165</v>
      </c>
      <c r="H13255" s="3">
        <v>34</v>
      </c>
      <c r="I13255" s="3">
        <v>122</v>
      </c>
      <c r="J13255" s="3">
        <v>946</v>
      </c>
      <c r="K13255" s="3">
        <v>1275</v>
      </c>
      <c r="L13255" s="3">
        <v>590</v>
      </c>
      <c r="M13255" s="3">
        <v>711</v>
      </c>
    </row>
    <row r="13256" spans="1:13" x14ac:dyDescent="0.25">
      <c r="A13256" s="1" t="str">
        <f>HYPERLINK("http://www.rosaceae.org/Prunus/Prunus_persica/p.persica_gdr_reftransV1_0015143","p.persica_gdr_reftransV1_0015143")</f>
        <v>p.persica_gdr_reftransV1_0015143</v>
      </c>
      <c r="B13256" s="3">
        <v>854</v>
      </c>
      <c r="C13256" s="1" t="str">
        <f>HYPERLINK("http://www.uniprot.org/uniprot/HS181_ARATH","HS181_ARATH")</f>
        <v>HS181_ARATH</v>
      </c>
      <c r="D13256" t="s">
        <v>8960</v>
      </c>
      <c r="E13256" s="3" t="s">
        <v>3</v>
      </c>
      <c r="F13256" s="4">
        <v>1.8100000000000001E-62</v>
      </c>
      <c r="G13256" s="3">
        <v>510</v>
      </c>
      <c r="H13256" s="3">
        <v>73</v>
      </c>
      <c r="I13256" s="3">
        <v>155</v>
      </c>
      <c r="J13256" s="3">
        <v>222</v>
      </c>
      <c r="K13256" s="3">
        <v>674</v>
      </c>
      <c r="L13256" s="3">
        <v>6</v>
      </c>
      <c r="M13256" s="3">
        <v>159</v>
      </c>
    </row>
    <row r="13257" spans="1:13" x14ac:dyDescent="0.25">
      <c r="A13257" s="1" t="str">
        <f>HYPERLINK("http://www.rosaceae.org/Prunus/Prunus_persica/p.persica_gdr_reftransV1_0015193","p.persica_gdr_reftransV1_0015193")</f>
        <v>p.persica_gdr_reftransV1_0015193</v>
      </c>
      <c r="B13257" s="3">
        <v>1821</v>
      </c>
      <c r="C13257" s="1" t="str">
        <f>HYPERLINK("http://www.uniprot.org/uniprot/MORF2_ARATH","MORF2_ARATH")</f>
        <v>MORF2_ARATH</v>
      </c>
      <c r="D13257" t="s">
        <v>5933</v>
      </c>
      <c r="E13257" s="3" t="s">
        <v>3</v>
      </c>
      <c r="F13257" s="4">
        <v>6.47E-26</v>
      </c>
      <c r="G13257" s="3">
        <v>276</v>
      </c>
      <c r="H13257" s="3">
        <v>38</v>
      </c>
      <c r="I13257" s="3">
        <v>165</v>
      </c>
      <c r="J13257" s="3">
        <v>563</v>
      </c>
      <c r="K13257" s="3">
        <v>1057</v>
      </c>
      <c r="L13257" s="3">
        <v>37</v>
      </c>
      <c r="M13257" s="3">
        <v>192</v>
      </c>
    </row>
    <row r="13258" spans="1:13" x14ac:dyDescent="0.25">
      <c r="A13258" s="1" t="str">
        <f>HYPERLINK("http://www.rosaceae.org/Prunus/Prunus_persica/p.persica_gdr_reftransV1_0015343","p.persica_gdr_reftransV1_0015343")</f>
        <v>p.persica_gdr_reftransV1_0015343</v>
      </c>
      <c r="B13258" s="3">
        <v>1614</v>
      </c>
      <c r="C13258" s="1" t="str">
        <f>HYPERLINK("http://www.uniprot.org/uniprot/FL3H_MALDO","FL3H_MALDO")</f>
        <v>FL3H_MALDO</v>
      </c>
      <c r="D13258" t="s">
        <v>7955</v>
      </c>
      <c r="E13258" s="3" t="s">
        <v>540</v>
      </c>
      <c r="F13258" s="4">
        <v>5.4500000000000003E-69</v>
      </c>
      <c r="G13258" s="3">
        <v>592</v>
      </c>
      <c r="H13258" s="3">
        <v>37</v>
      </c>
      <c r="I13258" s="3">
        <v>343</v>
      </c>
      <c r="J13258" s="3">
        <v>209</v>
      </c>
      <c r="K13258" s="3">
        <v>1210</v>
      </c>
      <c r="L13258" s="3">
        <v>7</v>
      </c>
      <c r="M13258" s="3">
        <v>345</v>
      </c>
    </row>
    <row r="13259" spans="1:13" x14ac:dyDescent="0.25">
      <c r="A13259" s="1" t="str">
        <f>HYPERLINK("http://www.rosaceae.org/Prunus/Prunus_persica/p.persica_gdr_reftransV1_0015393","p.persica_gdr_reftransV1_0015393")</f>
        <v>p.persica_gdr_reftransV1_0015393</v>
      </c>
      <c r="B13259" s="3">
        <v>3158</v>
      </c>
      <c r="C13259" s="1" t="str">
        <f>HYPERLINK("http://www.uniprot.org/uniprot/MCE1_HUMAN","MCE1_HUMAN")</f>
        <v>MCE1_HUMAN</v>
      </c>
      <c r="D13259" t="s">
        <v>8961</v>
      </c>
      <c r="E13259" s="3" t="s">
        <v>28</v>
      </c>
      <c r="F13259" s="4">
        <v>1.46E-79</v>
      </c>
      <c r="G13259" s="3">
        <v>709</v>
      </c>
      <c r="H13259" s="3">
        <v>35</v>
      </c>
      <c r="I13259" s="3">
        <v>597</v>
      </c>
      <c r="J13259" s="3">
        <v>761</v>
      </c>
      <c r="K13259" s="3">
        <v>2470</v>
      </c>
      <c r="L13259" s="3">
        <v>4</v>
      </c>
      <c r="M13259" s="3">
        <v>562</v>
      </c>
    </row>
    <row r="13260" spans="1:13" x14ac:dyDescent="0.25">
      <c r="A13260" s="1" t="str">
        <f>HYPERLINK("http://www.rosaceae.org/Prunus/Prunus_persica/p.persica_gdr_reftransV1_0015643","p.persica_gdr_reftransV1_0015643")</f>
        <v>p.persica_gdr_reftransV1_0015643</v>
      </c>
      <c r="B13260" s="3">
        <v>1213</v>
      </c>
      <c r="C13260" s="1" t="str">
        <f>HYPERLINK("http://www.uniprot.org/uniprot/MORF3_ARATH","MORF3_ARATH")</f>
        <v>MORF3_ARATH</v>
      </c>
      <c r="D13260" t="s">
        <v>8962</v>
      </c>
      <c r="E13260" s="3" t="s">
        <v>3</v>
      </c>
      <c r="F13260" s="4">
        <v>1.1199999999999999E-71</v>
      </c>
      <c r="G13260" s="3">
        <v>380</v>
      </c>
      <c r="H13260" s="3">
        <v>86</v>
      </c>
      <c r="I13260" s="3">
        <v>104</v>
      </c>
      <c r="J13260" s="3">
        <v>416</v>
      </c>
      <c r="K13260" s="3">
        <v>727</v>
      </c>
      <c r="L13260" s="3">
        <v>127</v>
      </c>
      <c r="M13260" s="3">
        <v>229</v>
      </c>
    </row>
    <row r="13261" spans="1:13" x14ac:dyDescent="0.25">
      <c r="A13261" s="1" t="str">
        <f>HYPERLINK("http://www.rosaceae.org/Prunus/Prunus_persica/p.persica_gdr_reftransV1_0015743","p.persica_gdr_reftransV1_0015743")</f>
        <v>p.persica_gdr_reftransV1_0015743</v>
      </c>
      <c r="B13261" s="3">
        <v>903</v>
      </c>
      <c r="C13261" s="1" t="str">
        <f>HYPERLINK("http://www.uniprot.org/uniprot/OSTC_CHICK","OSTC_CHICK")</f>
        <v>OSTC_CHICK</v>
      </c>
      <c r="D13261" t="s">
        <v>8963</v>
      </c>
      <c r="E13261" s="3" t="s">
        <v>1278</v>
      </c>
      <c r="F13261" s="4">
        <v>3.3599999999999999E-30</v>
      </c>
      <c r="G13261" s="3">
        <v>292</v>
      </c>
      <c r="H13261" s="3">
        <v>50</v>
      </c>
      <c r="I13261" s="3">
        <v>118</v>
      </c>
      <c r="J13261" s="3">
        <v>276</v>
      </c>
      <c r="K13261" s="3">
        <v>629</v>
      </c>
      <c r="L13261" s="3">
        <v>31</v>
      </c>
      <c r="M13261" s="3">
        <v>147</v>
      </c>
    </row>
    <row r="13262" spans="1:13" x14ac:dyDescent="0.25">
      <c r="A13262" s="1" t="str">
        <f>HYPERLINK("http://www.rosaceae.org/Prunus/Prunus_persica/p.persica_gdr_reftransV1_0016093","p.persica_gdr_reftransV1_0016093")</f>
        <v>p.persica_gdr_reftransV1_0016093</v>
      </c>
      <c r="B13262" s="3">
        <v>1062</v>
      </c>
      <c r="C13262" s="1" t="str">
        <f>HYPERLINK("http://www.uniprot.org/uniprot/E70A1_ARATH","E70A1_ARATH")</f>
        <v>E70A1_ARATH</v>
      </c>
      <c r="D13262" t="s">
        <v>89</v>
      </c>
      <c r="E13262" s="3" t="s">
        <v>3</v>
      </c>
      <c r="F13262" s="4">
        <v>6.8700000000000001E-35</v>
      </c>
      <c r="G13262" s="3">
        <v>349</v>
      </c>
      <c r="H13262" s="3">
        <v>32</v>
      </c>
      <c r="I13262" s="3">
        <v>276</v>
      </c>
      <c r="J13262" s="3">
        <v>269</v>
      </c>
      <c r="K13262" s="3">
        <v>1057</v>
      </c>
      <c r="L13262" s="3">
        <v>371</v>
      </c>
      <c r="M13262" s="3">
        <v>630</v>
      </c>
    </row>
    <row r="13263" spans="1:13" x14ac:dyDescent="0.25">
      <c r="A13263" s="1" t="str">
        <f>HYPERLINK("http://www.rosaceae.org/Prunus/Prunus_persica/p.persica_gdr_reftransV1_0016243","p.persica_gdr_reftransV1_0016243")</f>
        <v>p.persica_gdr_reftransV1_0016243</v>
      </c>
      <c r="B13263" s="3">
        <v>851</v>
      </c>
      <c r="C13263" s="1" t="str">
        <f>HYPERLINK("http://www.uniprot.org/uniprot/Y1063_ARATH","Y1063_ARATH")</f>
        <v>Y1063_ARATH</v>
      </c>
      <c r="D13263" t="s">
        <v>533</v>
      </c>
      <c r="E13263" s="3" t="s">
        <v>3</v>
      </c>
      <c r="F13263" s="4">
        <v>1.18E-24</v>
      </c>
      <c r="G13263" s="3">
        <v>268</v>
      </c>
      <c r="H13263" s="3">
        <v>39</v>
      </c>
      <c r="I13263" s="3">
        <v>157</v>
      </c>
      <c r="J13263" s="3">
        <v>5</v>
      </c>
      <c r="K13263" s="3">
        <v>472</v>
      </c>
      <c r="L13263" s="3">
        <v>47</v>
      </c>
      <c r="M13263" s="3">
        <v>200</v>
      </c>
    </row>
    <row r="13264" spans="1:13" x14ac:dyDescent="0.25">
      <c r="A13264" s="1" t="str">
        <f>HYPERLINK("http://www.rosaceae.org/Prunus/Prunus_persica/p.persica_gdr_reftransV1_0016293","p.persica_gdr_reftransV1_0016293")</f>
        <v>p.persica_gdr_reftransV1_0016293</v>
      </c>
      <c r="B13264" s="3">
        <v>1409</v>
      </c>
      <c r="C13264" s="1" t="str">
        <f>HYPERLINK("http://www.uniprot.org/uniprot/PAC_ARATH","PAC_ARATH")</f>
        <v>PAC_ARATH</v>
      </c>
      <c r="D13264" t="s">
        <v>8964</v>
      </c>
      <c r="E13264" s="3" t="s">
        <v>3</v>
      </c>
      <c r="F13264" s="4">
        <v>6.0499999999999998E-99</v>
      </c>
      <c r="G13264" s="3">
        <v>784</v>
      </c>
      <c r="H13264" s="3">
        <v>73</v>
      </c>
      <c r="I13264" s="3">
        <v>256</v>
      </c>
      <c r="J13264" s="3">
        <v>388</v>
      </c>
      <c r="K13264" s="3">
        <v>1143</v>
      </c>
      <c r="L13264" s="3">
        <v>58</v>
      </c>
      <c r="M13264" s="3">
        <v>313</v>
      </c>
    </row>
    <row r="13265" spans="1:13" x14ac:dyDescent="0.25">
      <c r="A13265" s="1" t="str">
        <f>HYPERLINK("http://www.rosaceae.org/Prunus/Prunus_persica/p.persica_gdr_reftransV1_0016343","p.persica_gdr_reftransV1_0016343")</f>
        <v>p.persica_gdr_reftransV1_0016343</v>
      </c>
      <c r="B13265" s="3">
        <v>406</v>
      </c>
      <c r="C13265" s="1" t="str">
        <f>HYPERLINK("http://www.uniprot.org/uniprot/ATR_ARATH","ATR_ARATH")</f>
        <v>ATR_ARATH</v>
      </c>
      <c r="D13265" t="s">
        <v>761</v>
      </c>
      <c r="E13265" s="3" t="s">
        <v>3</v>
      </c>
      <c r="F13265" s="4">
        <v>5.4599999999999998E-62</v>
      </c>
      <c r="G13265" s="3">
        <v>539</v>
      </c>
      <c r="H13265" s="3">
        <v>78</v>
      </c>
      <c r="I13265" s="3">
        <v>134</v>
      </c>
      <c r="J13265" s="3">
        <v>3</v>
      </c>
      <c r="K13265" s="3">
        <v>404</v>
      </c>
      <c r="L13265" s="3">
        <v>1802</v>
      </c>
      <c r="M13265" s="3">
        <v>1935</v>
      </c>
    </row>
    <row r="13266" spans="1:13" x14ac:dyDescent="0.25">
      <c r="A13266" s="1" t="str">
        <f>HYPERLINK("http://www.rosaceae.org/Prunus/Prunus_persica/p.persica_gdr_reftransV1_0016593","p.persica_gdr_reftransV1_0016593")</f>
        <v>p.persica_gdr_reftransV1_0016593</v>
      </c>
      <c r="B13266" s="3">
        <v>2854</v>
      </c>
      <c r="C13266" s="1" t="str">
        <f>HYPERLINK("http://www.uniprot.org/uniprot/FAP2_ARATH","FAP2_ARATH")</f>
        <v>FAP2_ARATH</v>
      </c>
      <c r="D13266" t="s">
        <v>8965</v>
      </c>
      <c r="E13266" s="3" t="s">
        <v>3</v>
      </c>
      <c r="F13266" s="4">
        <v>2.1700000000000001E-52</v>
      </c>
      <c r="G13266" s="3">
        <v>385</v>
      </c>
      <c r="H13266" s="3">
        <v>44</v>
      </c>
      <c r="I13266" s="3">
        <v>230</v>
      </c>
      <c r="J13266" s="3">
        <v>1710</v>
      </c>
      <c r="K13266" s="3">
        <v>2357</v>
      </c>
      <c r="L13266" s="3">
        <v>24</v>
      </c>
      <c r="M13266" s="3">
        <v>239</v>
      </c>
    </row>
    <row r="13267" spans="1:13" x14ac:dyDescent="0.25">
      <c r="A13267" s="1" t="str">
        <f>HYPERLINK("http://www.rosaceae.org/Prunus/Prunus_persica/p.persica_gdr_reftransV1_0016943","p.persica_gdr_reftransV1_0016943")</f>
        <v>p.persica_gdr_reftransV1_0016943</v>
      </c>
      <c r="B13267" s="3">
        <v>1718</v>
      </c>
      <c r="C13267" s="1" t="str">
        <f>HYPERLINK("http://www.uniprot.org/uniprot/CALS5_ARATH","CALS5_ARATH")</f>
        <v>CALS5_ARATH</v>
      </c>
      <c r="D13267" t="s">
        <v>932</v>
      </c>
      <c r="E13267" s="3" t="s">
        <v>3</v>
      </c>
      <c r="F13267" s="4">
        <v>0</v>
      </c>
      <c r="G13267" s="3">
        <v>2132</v>
      </c>
      <c r="H13267" s="3">
        <v>80</v>
      </c>
      <c r="I13267" s="3">
        <v>506</v>
      </c>
      <c r="J13267" s="3">
        <v>215</v>
      </c>
      <c r="K13267" s="3">
        <v>1717</v>
      </c>
      <c r="L13267" s="3">
        <v>1418</v>
      </c>
      <c r="M13267" s="3">
        <v>1923</v>
      </c>
    </row>
    <row r="13268" spans="1:13" x14ac:dyDescent="0.25">
      <c r="A13268" s="1" t="str">
        <f>HYPERLINK("http://www.rosaceae.org/Prunus/Prunus_persica/p.persica_gdr_reftransV1_0017143","p.persica_gdr_reftransV1_0017143")</f>
        <v>p.persica_gdr_reftransV1_0017143</v>
      </c>
      <c r="B13268" s="3">
        <v>3880</v>
      </c>
      <c r="C13268" s="1" t="str">
        <f>HYPERLINK("http://www.uniprot.org/uniprot/AGD3_ARATH","AGD3_ARATH")</f>
        <v>AGD3_ARATH</v>
      </c>
      <c r="D13268" t="s">
        <v>8966</v>
      </c>
      <c r="E13268" s="3" t="s">
        <v>3</v>
      </c>
      <c r="F13268" s="4">
        <v>0</v>
      </c>
      <c r="G13268" s="3">
        <v>3071</v>
      </c>
      <c r="H13268" s="3">
        <v>77</v>
      </c>
      <c r="I13268" s="3">
        <v>838</v>
      </c>
      <c r="J13268" s="3">
        <v>797</v>
      </c>
      <c r="K13268" s="3">
        <v>3301</v>
      </c>
      <c r="L13268" s="3">
        <v>1</v>
      </c>
      <c r="M13268" s="3">
        <v>825</v>
      </c>
    </row>
    <row r="13269" spans="1:13" x14ac:dyDescent="0.25">
      <c r="A13269" s="1" t="str">
        <f>HYPERLINK("http://www.rosaceae.org/Prunus/Prunus_persica/p.persica_gdr_reftransV1_0017243","p.persica_gdr_reftransV1_0017243")</f>
        <v>p.persica_gdr_reftransV1_0017243</v>
      </c>
      <c r="B13269" s="3">
        <v>1415</v>
      </c>
      <c r="C13269" s="1" t="str">
        <f>HYPERLINK("http://www.uniprot.org/uniprot/FK126_ARATH","FK126_ARATH")</f>
        <v>FK126_ARATH</v>
      </c>
      <c r="D13269" t="s">
        <v>8967</v>
      </c>
      <c r="E13269" s="3" t="s">
        <v>3</v>
      </c>
      <c r="F13269" s="4">
        <v>5.88E-120</v>
      </c>
      <c r="G13269" s="3">
        <v>929</v>
      </c>
      <c r="H13269" s="3">
        <v>51</v>
      </c>
      <c r="I13269" s="3">
        <v>359</v>
      </c>
      <c r="J13269" s="3">
        <v>260</v>
      </c>
      <c r="K13269" s="3">
        <v>1324</v>
      </c>
      <c r="L13269" s="3">
        <v>1</v>
      </c>
      <c r="M13269" s="3">
        <v>359</v>
      </c>
    </row>
    <row r="13270" spans="1:13" x14ac:dyDescent="0.25">
      <c r="A13270" s="1" t="str">
        <f>HYPERLINK("http://www.rosaceae.org/Prunus/Prunus_persica/p.persica_gdr_reftransV1_0017593","p.persica_gdr_reftransV1_0017593")</f>
        <v>p.persica_gdr_reftransV1_0017593</v>
      </c>
      <c r="B13270" s="3">
        <v>993</v>
      </c>
      <c r="C13270" s="1" t="str">
        <f>HYPERLINK("http://www.uniprot.org/uniprot/U74F2_ARATH","U74F2_ARATH")</f>
        <v>U74F2_ARATH</v>
      </c>
      <c r="D13270" t="s">
        <v>4444</v>
      </c>
      <c r="E13270" s="3" t="s">
        <v>3</v>
      </c>
      <c r="F13270" s="4">
        <v>1.56E-90</v>
      </c>
      <c r="G13270" s="3">
        <v>727</v>
      </c>
      <c r="H13270" s="3">
        <v>48</v>
      </c>
      <c r="I13270" s="3">
        <v>315</v>
      </c>
      <c r="J13270" s="3">
        <v>57</v>
      </c>
      <c r="K13270" s="3">
        <v>992</v>
      </c>
      <c r="L13270" s="3">
        <v>5</v>
      </c>
      <c r="M13270" s="3">
        <v>302</v>
      </c>
    </row>
    <row r="13271" spans="1:13" x14ac:dyDescent="0.25">
      <c r="A13271" s="1" t="str">
        <f>HYPERLINK("http://www.rosaceae.org/Prunus/Prunus_persica/p.persica_gdr_reftransV1_0017743","p.persica_gdr_reftransV1_0017743")</f>
        <v>p.persica_gdr_reftransV1_0017743</v>
      </c>
      <c r="B13271" s="3">
        <v>1161</v>
      </c>
      <c r="C13271" s="1" t="str">
        <f>HYPERLINK("http://www.uniprot.org/uniprot/PPD5_ARATH","PPD5_ARATH")</f>
        <v>PPD5_ARATH</v>
      </c>
      <c r="D13271" t="s">
        <v>8968</v>
      </c>
      <c r="E13271" s="3" t="s">
        <v>3</v>
      </c>
      <c r="F13271" s="4">
        <v>3.9400000000000001E-119</v>
      </c>
      <c r="G13271" s="3">
        <v>909</v>
      </c>
      <c r="H13271" s="3">
        <v>68</v>
      </c>
      <c r="I13271" s="3">
        <v>250</v>
      </c>
      <c r="J13271" s="3">
        <v>427</v>
      </c>
      <c r="K13271" s="3">
        <v>1149</v>
      </c>
      <c r="L13271" s="3">
        <v>49</v>
      </c>
      <c r="M13271" s="3">
        <v>297</v>
      </c>
    </row>
    <row r="13272" spans="1:13" x14ac:dyDescent="0.25">
      <c r="A13272" s="1" t="str">
        <f>HYPERLINK("http://www.rosaceae.org/Prunus/Prunus_persica/p.persica_gdr_reftransV1_0017843","p.persica_gdr_reftransV1_0017843")</f>
        <v>p.persica_gdr_reftransV1_0017843</v>
      </c>
      <c r="B13272" s="3">
        <v>2023</v>
      </c>
      <c r="C13272" s="1" t="str">
        <f>HYPERLINK("http://www.uniprot.org/uniprot/TIPD_DICDI","TIPD_DICDI")</f>
        <v>TIPD_DICDI</v>
      </c>
      <c r="D13272" t="s">
        <v>8969</v>
      </c>
      <c r="E13272" s="3" t="s">
        <v>9</v>
      </c>
      <c r="F13272" s="4">
        <v>9.1999999999999997E-66</v>
      </c>
      <c r="G13272" s="3">
        <v>595</v>
      </c>
      <c r="H13272" s="3">
        <v>34</v>
      </c>
      <c r="I13272" s="3">
        <v>489</v>
      </c>
      <c r="J13272" s="3">
        <v>463</v>
      </c>
      <c r="K13272" s="3">
        <v>1821</v>
      </c>
      <c r="L13272" s="3">
        <v>132</v>
      </c>
      <c r="M13272" s="3">
        <v>611</v>
      </c>
    </row>
    <row r="13273" spans="1:13" x14ac:dyDescent="0.25">
      <c r="A13273" s="1" t="str">
        <f>HYPERLINK("http://www.rosaceae.org/Prunus/Prunus_persica/p.persica_gdr_reftransV1_0018243","p.persica_gdr_reftransV1_0018243")</f>
        <v>p.persica_gdr_reftransV1_0018243</v>
      </c>
      <c r="B13273" s="3">
        <v>2146</v>
      </c>
      <c r="C13273" s="1" t="str">
        <f>HYPERLINK("http://www.uniprot.org/uniprot/ARP4_ARATH","ARP4_ARATH")</f>
        <v>ARP4_ARATH</v>
      </c>
      <c r="D13273" t="s">
        <v>8970</v>
      </c>
      <c r="E13273" s="3" t="s">
        <v>3</v>
      </c>
      <c r="F13273" s="4">
        <v>0</v>
      </c>
      <c r="G13273" s="3">
        <v>1496</v>
      </c>
      <c r="H13273" s="3">
        <v>73</v>
      </c>
      <c r="I13273" s="3">
        <v>367</v>
      </c>
      <c r="J13273" s="3">
        <v>260</v>
      </c>
      <c r="K13273" s="3">
        <v>1348</v>
      </c>
      <c r="L13273" s="3">
        <v>1</v>
      </c>
      <c r="M13273" s="3">
        <v>362</v>
      </c>
    </row>
    <row r="13274" spans="1:13" x14ac:dyDescent="0.25">
      <c r="A13274" s="1" t="str">
        <f>HYPERLINK("http://www.rosaceae.org/Prunus/Prunus_persica/p.persica_gdr_reftransV1_0018393","p.persica_gdr_reftransV1_0018393")</f>
        <v>p.persica_gdr_reftransV1_0018393</v>
      </c>
      <c r="B13274" s="3">
        <v>830</v>
      </c>
      <c r="C13274" s="1" t="str">
        <f>HYPERLINK("http://www.uniprot.org/uniprot/RHD32_ARATH","RHD32_ARATH")</f>
        <v>RHD32_ARATH</v>
      </c>
      <c r="D13274" t="s">
        <v>6627</v>
      </c>
      <c r="E13274" s="3" t="s">
        <v>3</v>
      </c>
      <c r="F13274" s="4">
        <v>1.0499999999999999E-53</v>
      </c>
      <c r="G13274" s="3">
        <v>484</v>
      </c>
      <c r="H13274" s="3">
        <v>59</v>
      </c>
      <c r="I13274" s="3">
        <v>172</v>
      </c>
      <c r="J13274" s="3">
        <v>1</v>
      </c>
      <c r="K13274" s="3">
        <v>507</v>
      </c>
      <c r="L13274" s="3">
        <v>666</v>
      </c>
      <c r="M13274" s="3">
        <v>832</v>
      </c>
    </row>
    <row r="13275" spans="1:13" x14ac:dyDescent="0.25">
      <c r="A13275" s="1" t="str">
        <f>HYPERLINK("http://www.rosaceae.org/Prunus/Prunus_persica/p.persica_gdr_reftransV1_0018443","p.persica_gdr_reftransV1_0018443")</f>
        <v>p.persica_gdr_reftransV1_0018443</v>
      </c>
      <c r="B13275" s="3">
        <v>3402</v>
      </c>
      <c r="C13275" s="1" t="str">
        <f>HYPERLINK("http://www.uniprot.org/uniprot/EIN4_ARATH","EIN4_ARATH")</f>
        <v>EIN4_ARATH</v>
      </c>
      <c r="D13275" t="s">
        <v>8971</v>
      </c>
      <c r="E13275" s="3" t="s">
        <v>3</v>
      </c>
      <c r="F13275" s="4">
        <v>0</v>
      </c>
      <c r="G13275" s="3">
        <v>2429</v>
      </c>
      <c r="H13275" s="3">
        <v>66</v>
      </c>
      <c r="I13275" s="3">
        <v>746</v>
      </c>
      <c r="J13275" s="3">
        <v>268</v>
      </c>
      <c r="K13275" s="3">
        <v>2478</v>
      </c>
      <c r="L13275" s="3">
        <v>21</v>
      </c>
      <c r="M13275" s="3">
        <v>764</v>
      </c>
    </row>
    <row r="13276" spans="1:13" x14ac:dyDescent="0.25">
      <c r="A13276" s="1" t="str">
        <f>HYPERLINK("http://www.rosaceae.org/Prunus/Prunus_persica/p.persica_gdr_reftransV1_0018493","p.persica_gdr_reftransV1_0018493")</f>
        <v>p.persica_gdr_reftransV1_0018493</v>
      </c>
      <c r="B13276" s="3">
        <v>2789</v>
      </c>
      <c r="C13276" s="1" t="str">
        <f>HYPERLINK("http://www.uniprot.org/uniprot/AGAL_COFAR","AGAL_COFAR")</f>
        <v>AGAL_COFAR</v>
      </c>
      <c r="D13276" t="s">
        <v>8972</v>
      </c>
      <c r="E13276" s="3" t="s">
        <v>5450</v>
      </c>
      <c r="F13276" s="4">
        <v>3.4899999999999997E-20</v>
      </c>
      <c r="G13276" s="3">
        <v>241</v>
      </c>
      <c r="H13276" s="3">
        <v>26</v>
      </c>
      <c r="I13276" s="3">
        <v>350</v>
      </c>
      <c r="J13276" s="3">
        <v>1539</v>
      </c>
      <c r="K13276" s="3">
        <v>2579</v>
      </c>
      <c r="L13276" s="3">
        <v>23</v>
      </c>
      <c r="M13276" s="3">
        <v>285</v>
      </c>
    </row>
    <row r="13277" spans="1:13" x14ac:dyDescent="0.25">
      <c r="A13277" s="1" t="str">
        <f>HYPERLINK("http://www.rosaceae.org/Prunus/Prunus_persica/p.persica_gdr_reftransV1_0018793","p.persica_gdr_reftransV1_0018793")</f>
        <v>p.persica_gdr_reftransV1_0018793</v>
      </c>
      <c r="B13277" s="3">
        <v>1390</v>
      </c>
      <c r="C13277" s="1" t="str">
        <f>HYPERLINK("http://www.uniprot.org/uniprot/GDL2_ARATH","GDL2_ARATH")</f>
        <v>GDL2_ARATH</v>
      </c>
      <c r="D13277" t="s">
        <v>8973</v>
      </c>
      <c r="E13277" s="3" t="s">
        <v>3</v>
      </c>
      <c r="F13277" s="4">
        <v>4.7299999999999999E-163</v>
      </c>
      <c r="G13277" s="3">
        <v>1215</v>
      </c>
      <c r="H13277" s="3">
        <v>67</v>
      </c>
      <c r="I13277" s="3">
        <v>364</v>
      </c>
      <c r="J13277" s="3">
        <v>91</v>
      </c>
      <c r="K13277" s="3">
        <v>1155</v>
      </c>
      <c r="L13277" s="3">
        <v>7</v>
      </c>
      <c r="M13277" s="3">
        <v>368</v>
      </c>
    </row>
    <row r="13278" spans="1:13" x14ac:dyDescent="0.25">
      <c r="A13278" s="1" t="str">
        <f>HYPERLINK("http://www.rosaceae.org/Prunus/Prunus_persica/p.persica_gdr_reftransV1_0018943","p.persica_gdr_reftransV1_0018943")</f>
        <v>p.persica_gdr_reftransV1_0018943</v>
      </c>
      <c r="B13278" s="3">
        <v>1261</v>
      </c>
      <c r="C13278" s="1" t="str">
        <f>HYPERLINK("http://www.uniprot.org/uniprot/21KD_DAUCA","21KD_DAUCA")</f>
        <v>21KD_DAUCA</v>
      </c>
      <c r="D13278" t="s">
        <v>1280</v>
      </c>
      <c r="E13278" s="3" t="s">
        <v>32</v>
      </c>
      <c r="F13278" s="4">
        <v>4.93E-73</v>
      </c>
      <c r="G13278" s="3">
        <v>595</v>
      </c>
      <c r="H13278" s="3">
        <v>65</v>
      </c>
      <c r="I13278" s="3">
        <v>164</v>
      </c>
      <c r="J13278" s="3">
        <v>296</v>
      </c>
      <c r="K13278" s="3">
        <v>787</v>
      </c>
      <c r="L13278" s="3">
        <v>28</v>
      </c>
      <c r="M13278" s="3">
        <v>191</v>
      </c>
    </row>
    <row r="13279" spans="1:13" x14ac:dyDescent="0.25">
      <c r="A13279" s="1" t="str">
        <f>HYPERLINK("http://www.rosaceae.org/Prunus/Prunus_persica/p.persica_gdr_reftransV1_0019093","p.persica_gdr_reftransV1_0019093")</f>
        <v>p.persica_gdr_reftransV1_0019093</v>
      </c>
      <c r="B13279" s="3">
        <v>2096</v>
      </c>
      <c r="C13279" s="1" t="str">
        <f>HYPERLINK("http://www.uniprot.org/uniprot/CP511_ARATH","CP511_ARATH")</f>
        <v>CP511_ARATH</v>
      </c>
      <c r="D13279" t="s">
        <v>8974</v>
      </c>
      <c r="E13279" s="3" t="s">
        <v>3</v>
      </c>
      <c r="F13279" s="4">
        <v>0</v>
      </c>
      <c r="G13279" s="3">
        <v>2148</v>
      </c>
      <c r="H13279" s="3">
        <v>84</v>
      </c>
      <c r="I13279" s="3">
        <v>486</v>
      </c>
      <c r="J13279" s="3">
        <v>336</v>
      </c>
      <c r="K13279" s="3">
        <v>1787</v>
      </c>
      <c r="L13279" s="3">
        <v>3</v>
      </c>
      <c r="M13279" s="3">
        <v>488</v>
      </c>
    </row>
    <row r="13280" spans="1:13" x14ac:dyDescent="0.25">
      <c r="A13280" s="1" t="str">
        <f>HYPERLINK("http://www.rosaceae.org/Prunus/Prunus_persica/p.persica_gdr_reftransV1_0019143","p.persica_gdr_reftransV1_0019143")</f>
        <v>p.persica_gdr_reftransV1_0019143</v>
      </c>
      <c r="B13280" s="3">
        <v>2810</v>
      </c>
      <c r="C13280" s="1" t="str">
        <f>HYPERLINK("http://www.uniprot.org/uniprot/Y5162_ARATH","Y5162_ARATH")</f>
        <v>Y5162_ARATH</v>
      </c>
      <c r="D13280" t="s">
        <v>3184</v>
      </c>
      <c r="E13280" s="3" t="s">
        <v>3</v>
      </c>
      <c r="F13280" s="4">
        <v>1.8300000000000001E-153</v>
      </c>
      <c r="G13280" s="3">
        <v>1218</v>
      </c>
      <c r="H13280" s="3">
        <v>49</v>
      </c>
      <c r="I13280" s="3">
        <v>634</v>
      </c>
      <c r="J13280" s="3">
        <v>324</v>
      </c>
      <c r="K13280" s="3">
        <v>2156</v>
      </c>
      <c r="L13280" s="3">
        <v>36</v>
      </c>
      <c r="M13280" s="3">
        <v>610</v>
      </c>
    </row>
    <row r="13281" spans="1:13" x14ac:dyDescent="0.25">
      <c r="A13281" s="1" t="str">
        <f>HYPERLINK("http://www.rosaceae.org/Prunus/Prunus_persica/p.persica_gdr_reftransV1_0019193","p.persica_gdr_reftransV1_0019193")</f>
        <v>p.persica_gdr_reftransV1_0019193</v>
      </c>
      <c r="B13281" s="3">
        <v>1047</v>
      </c>
      <c r="C13281" s="1" t="str">
        <f>HYPERLINK("http://www.uniprot.org/uniprot/RL10_VITRI","RL10_VITRI")</f>
        <v>RL10_VITRI</v>
      </c>
      <c r="D13281" t="s">
        <v>8975</v>
      </c>
      <c r="E13281" s="3" t="s">
        <v>4908</v>
      </c>
      <c r="F13281" s="4">
        <v>4.52E-147</v>
      </c>
      <c r="G13281" s="3">
        <v>1082</v>
      </c>
      <c r="H13281" s="3">
        <v>93</v>
      </c>
      <c r="I13281" s="3">
        <v>215</v>
      </c>
      <c r="J13281" s="3">
        <v>310</v>
      </c>
      <c r="K13281" s="3">
        <v>954</v>
      </c>
      <c r="L13281" s="3">
        <v>1</v>
      </c>
      <c r="M13281" s="3">
        <v>215</v>
      </c>
    </row>
    <row r="13282" spans="1:13" x14ac:dyDescent="0.25">
      <c r="A13282" s="1" t="str">
        <f>HYPERLINK("http://www.rosaceae.org/Prunus/Prunus_persica/p.persica_gdr_reftransV1_0019293","p.persica_gdr_reftransV1_0019293")</f>
        <v>p.persica_gdr_reftransV1_0019293</v>
      </c>
      <c r="B13282" s="3">
        <v>1778</v>
      </c>
      <c r="C13282" s="1" t="str">
        <f>HYPERLINK("http://www.uniprot.org/uniprot/ADT1_GOSHI","ADT1_GOSHI")</f>
        <v>ADT1_GOSHI</v>
      </c>
      <c r="D13282" t="s">
        <v>8976</v>
      </c>
      <c r="E13282" s="3" t="s">
        <v>816</v>
      </c>
      <c r="F13282" s="4">
        <v>0</v>
      </c>
      <c r="G13282" s="3">
        <v>1679</v>
      </c>
      <c r="H13282" s="3">
        <v>87</v>
      </c>
      <c r="I13282" s="3">
        <v>390</v>
      </c>
      <c r="J13282" s="3">
        <v>112</v>
      </c>
      <c r="K13282" s="3">
        <v>1260</v>
      </c>
      <c r="L13282" s="3">
        <v>1</v>
      </c>
      <c r="M13282" s="3">
        <v>386</v>
      </c>
    </row>
    <row r="13283" spans="1:13" x14ac:dyDescent="0.25">
      <c r="A13283" s="1" t="str">
        <f>HYPERLINK("http://www.rosaceae.org/Prunus/Prunus_persica/p.persica_gdr_reftransV1_0019493","p.persica_gdr_reftransV1_0019493")</f>
        <v>p.persica_gdr_reftransV1_0019493</v>
      </c>
      <c r="B13283" s="3">
        <v>857</v>
      </c>
      <c r="C13283" s="1" t="str">
        <f>HYPERLINK("http://www.uniprot.org/uniprot/ETO1_ARATH","ETO1_ARATH")</f>
        <v>ETO1_ARATH</v>
      </c>
      <c r="D13283" t="s">
        <v>3949</v>
      </c>
      <c r="E13283" s="3" t="s">
        <v>3</v>
      </c>
      <c r="F13283" s="4">
        <v>3.1400000000000001E-44</v>
      </c>
      <c r="G13283" s="3">
        <v>418</v>
      </c>
      <c r="H13283" s="3">
        <v>45</v>
      </c>
      <c r="I13283" s="3">
        <v>221</v>
      </c>
      <c r="J13283" s="3">
        <v>180</v>
      </c>
      <c r="K13283" s="3">
        <v>767</v>
      </c>
      <c r="L13283" s="3">
        <v>1</v>
      </c>
      <c r="M13283" s="3">
        <v>220</v>
      </c>
    </row>
    <row r="13284" spans="1:13" x14ac:dyDescent="0.25">
      <c r="A13284" s="1" t="str">
        <f>HYPERLINK("http://www.rosaceae.org/Prunus/Prunus_persica/p.persica_gdr_reftransV1_0019593","p.persica_gdr_reftransV1_0019593")</f>
        <v>p.persica_gdr_reftransV1_0019593</v>
      </c>
      <c r="B13284" s="3">
        <v>1303</v>
      </c>
      <c r="C13284" s="1" t="str">
        <f>HYPERLINK("http://www.uniprot.org/uniprot/DNJ72_ARATH","DNJ72_ARATH")</f>
        <v>DNJ72_ARATH</v>
      </c>
      <c r="D13284" t="s">
        <v>8977</v>
      </c>
      <c r="E13284" s="3" t="s">
        <v>3</v>
      </c>
      <c r="F13284" s="4">
        <v>1.2599999999999999E-32</v>
      </c>
      <c r="G13284" s="3">
        <v>317</v>
      </c>
      <c r="H13284" s="3">
        <v>44</v>
      </c>
      <c r="I13284" s="3">
        <v>192</v>
      </c>
      <c r="J13284" s="3">
        <v>232</v>
      </c>
      <c r="K13284" s="3">
        <v>765</v>
      </c>
      <c r="L13284" s="3">
        <v>2</v>
      </c>
      <c r="M13284" s="3">
        <v>183</v>
      </c>
    </row>
    <row r="13285" spans="1:13" x14ac:dyDescent="0.25">
      <c r="A13285" s="1" t="str">
        <f>HYPERLINK("http://www.rosaceae.org/Prunus/Prunus_persica/p.persica_gdr_reftransV1_0019893","p.persica_gdr_reftransV1_0019893")</f>
        <v>p.persica_gdr_reftransV1_0019893</v>
      </c>
      <c r="B13285" s="3">
        <v>806</v>
      </c>
      <c r="C13285" s="1" t="str">
        <f>HYPERLINK("http://www.uniprot.org/uniprot/RK28_ARATH","RK28_ARATH")</f>
        <v>RK28_ARATH</v>
      </c>
      <c r="D13285" t="s">
        <v>8978</v>
      </c>
      <c r="E13285" s="3" t="s">
        <v>3</v>
      </c>
      <c r="F13285" s="4">
        <v>7.6600000000000006E-58</v>
      </c>
      <c r="G13285" s="3">
        <v>476</v>
      </c>
      <c r="H13285" s="3">
        <v>79</v>
      </c>
      <c r="I13285" s="3">
        <v>115</v>
      </c>
      <c r="J13285" s="3">
        <v>248</v>
      </c>
      <c r="K13285" s="3">
        <v>592</v>
      </c>
      <c r="L13285" s="3">
        <v>29</v>
      </c>
      <c r="M13285" s="3">
        <v>142</v>
      </c>
    </row>
    <row r="13286" spans="1:13" x14ac:dyDescent="0.25">
      <c r="A13286" s="1" t="str">
        <f>HYPERLINK("http://www.rosaceae.org/Prunus/Prunus_persica/p.persica_gdr_reftransV1_0019993","p.persica_gdr_reftransV1_0019993")</f>
        <v>p.persica_gdr_reftransV1_0019993</v>
      </c>
      <c r="B13286" s="3">
        <v>6072</v>
      </c>
      <c r="C13286" s="1" t="str">
        <f>HYPERLINK("http://www.uniprot.org/uniprot/UBP53_HUMAN","UBP53_HUMAN")</f>
        <v>UBP53_HUMAN</v>
      </c>
      <c r="D13286" t="s">
        <v>8979</v>
      </c>
      <c r="E13286" s="3" t="s">
        <v>28</v>
      </c>
      <c r="F13286" s="4">
        <v>6.5099999999999998E-36</v>
      </c>
      <c r="G13286" s="3">
        <v>386</v>
      </c>
      <c r="H13286" s="3">
        <v>30</v>
      </c>
      <c r="I13286" s="3">
        <v>341</v>
      </c>
      <c r="J13286" s="3">
        <v>815</v>
      </c>
      <c r="K13286" s="3">
        <v>1801</v>
      </c>
      <c r="L13286" s="3">
        <v>31</v>
      </c>
      <c r="M13286" s="3">
        <v>348</v>
      </c>
    </row>
    <row r="13287" spans="1:13" x14ac:dyDescent="0.25">
      <c r="A13287" s="1" t="str">
        <f>HYPERLINK("http://www.rosaceae.org/Prunus/Prunus_persica/p.persica_gdr_reftransV1_0020043","p.persica_gdr_reftransV1_0020043")</f>
        <v>p.persica_gdr_reftransV1_0020043</v>
      </c>
      <c r="B13287" s="3">
        <v>475</v>
      </c>
      <c r="C13287" s="1" t="str">
        <f>HYPERLINK("http://www.uniprot.org/uniprot/PP311_ARATH","PP311_ARATH")</f>
        <v>PP311_ARATH</v>
      </c>
      <c r="D13287" t="s">
        <v>4246</v>
      </c>
      <c r="E13287" s="3" t="s">
        <v>3</v>
      </c>
      <c r="F13287" s="4">
        <v>1.36E-45</v>
      </c>
      <c r="G13287" s="3">
        <v>411</v>
      </c>
      <c r="H13287" s="3">
        <v>45</v>
      </c>
      <c r="I13287" s="3">
        <v>161</v>
      </c>
      <c r="J13287" s="3">
        <v>1</v>
      </c>
      <c r="K13287" s="3">
        <v>474</v>
      </c>
      <c r="L13287" s="3">
        <v>477</v>
      </c>
      <c r="M13287" s="3">
        <v>637</v>
      </c>
    </row>
    <row r="13288" spans="1:13" x14ac:dyDescent="0.25">
      <c r="A13288" s="1" t="str">
        <f>HYPERLINK("http://www.rosaceae.org/Prunus/Prunus_persica/p.persica_gdr_reftransV1_0020243","p.persica_gdr_reftransV1_0020243")</f>
        <v>p.persica_gdr_reftransV1_0020243</v>
      </c>
      <c r="B13288" s="3">
        <v>2970</v>
      </c>
      <c r="C13288" s="1" t="str">
        <f>HYPERLINK("http://www.uniprot.org/uniprot/LETM1_CHICK","LETM1_CHICK")</f>
        <v>LETM1_CHICK</v>
      </c>
      <c r="D13288" t="s">
        <v>8980</v>
      </c>
      <c r="E13288" s="3" t="s">
        <v>1278</v>
      </c>
      <c r="F13288" s="4">
        <v>9.8400000000000002E-68</v>
      </c>
      <c r="G13288" s="3">
        <v>505</v>
      </c>
      <c r="H13288" s="3">
        <v>56</v>
      </c>
      <c r="I13288" s="3">
        <v>178</v>
      </c>
      <c r="J13288" s="3">
        <v>1550</v>
      </c>
      <c r="K13288" s="3">
        <v>2080</v>
      </c>
      <c r="L13288" s="3">
        <v>154</v>
      </c>
      <c r="M13288" s="3">
        <v>327</v>
      </c>
    </row>
    <row r="13289" spans="1:13" x14ac:dyDescent="0.25">
      <c r="A13289" s="1" t="str">
        <f>HYPERLINK("http://www.rosaceae.org/Prunus/Prunus_persica/p.persica_gdr_reftransV1_0020343","p.persica_gdr_reftransV1_0020343")</f>
        <v>p.persica_gdr_reftransV1_0020343</v>
      </c>
      <c r="B13289" s="3">
        <v>2827</v>
      </c>
      <c r="C13289" s="1" t="str">
        <f>HYPERLINK("http://www.uniprot.org/uniprot/CNG20_ARATH","CNG20_ARATH")</f>
        <v>CNG20_ARATH</v>
      </c>
      <c r="D13289" t="s">
        <v>5586</v>
      </c>
      <c r="E13289" s="3" t="s">
        <v>3</v>
      </c>
      <c r="F13289" s="4">
        <v>0</v>
      </c>
      <c r="G13289" s="3">
        <v>2219</v>
      </c>
      <c r="H13289" s="3">
        <v>65</v>
      </c>
      <c r="I13289" s="3">
        <v>770</v>
      </c>
      <c r="J13289" s="3">
        <v>326</v>
      </c>
      <c r="K13289" s="3">
        <v>2626</v>
      </c>
      <c r="L13289" s="3">
        <v>6</v>
      </c>
      <c r="M13289" s="3">
        <v>760</v>
      </c>
    </row>
    <row r="13290" spans="1:13" x14ac:dyDescent="0.25">
      <c r="A13290" s="1" t="str">
        <f>HYPERLINK("http://www.rosaceae.org/Prunus/Prunus_persica/p.persica_gdr_reftransV1_0020593","p.persica_gdr_reftransV1_0020593")</f>
        <v>p.persica_gdr_reftransV1_0020593</v>
      </c>
      <c r="B13290" s="3">
        <v>3742</v>
      </c>
      <c r="C13290" s="1" t="str">
        <f>HYPERLINK("http://www.uniprot.org/uniprot/PP349_ARATH","PP349_ARATH")</f>
        <v>PP349_ARATH</v>
      </c>
      <c r="D13290" t="s">
        <v>8981</v>
      </c>
      <c r="E13290" s="3" t="s">
        <v>3</v>
      </c>
      <c r="F13290" s="4">
        <v>0</v>
      </c>
      <c r="G13290" s="3">
        <v>2466</v>
      </c>
      <c r="H13290" s="3">
        <v>59</v>
      </c>
      <c r="I13290" s="3">
        <v>817</v>
      </c>
      <c r="J13290" s="3">
        <v>597</v>
      </c>
      <c r="K13290" s="3">
        <v>2969</v>
      </c>
      <c r="L13290" s="3">
        <v>277</v>
      </c>
      <c r="M13290" s="3">
        <v>1089</v>
      </c>
    </row>
    <row r="13291" spans="1:13" x14ac:dyDescent="0.25">
      <c r="A13291" s="1" t="str">
        <f>HYPERLINK("http://www.rosaceae.org/Prunus/Prunus_persica/p.persica_gdr_reftransV1_0020843","p.persica_gdr_reftransV1_0020843")</f>
        <v>p.persica_gdr_reftransV1_0020843</v>
      </c>
      <c r="B13291" s="3">
        <v>3088</v>
      </c>
      <c r="C13291" s="1" t="str">
        <f>HYPERLINK("http://www.uniprot.org/uniprot/PQSH_PSEAB","PQSH_PSEAB")</f>
        <v>PQSH_PSEAB</v>
      </c>
      <c r="D13291" t="s">
        <v>8982</v>
      </c>
      <c r="E13291" s="3" t="s">
        <v>2933</v>
      </c>
      <c r="F13291" s="4">
        <v>1.8999999999999999E-29</v>
      </c>
      <c r="G13291" s="3">
        <v>317</v>
      </c>
      <c r="H13291" s="3">
        <v>30</v>
      </c>
      <c r="I13291" s="3">
        <v>378</v>
      </c>
      <c r="J13291" s="3">
        <v>272</v>
      </c>
      <c r="K13291" s="3">
        <v>1399</v>
      </c>
      <c r="L13291" s="3">
        <v>3</v>
      </c>
      <c r="M13291" s="3">
        <v>361</v>
      </c>
    </row>
    <row r="13292" spans="1:13" x14ac:dyDescent="0.25">
      <c r="A13292" s="1" t="str">
        <f>HYPERLINK("http://www.rosaceae.org/Prunus/Prunus_persica/p.persica_gdr_reftransV1_0021043","p.persica_gdr_reftransV1_0021043")</f>
        <v>p.persica_gdr_reftransV1_0021043</v>
      </c>
      <c r="B13292" s="3">
        <v>2135</v>
      </c>
      <c r="C13292" s="1" t="str">
        <f>HYPERLINK("http://www.uniprot.org/uniprot/MSH6_ARATH","MSH6_ARATH")</f>
        <v>MSH6_ARATH</v>
      </c>
      <c r="D13292" t="s">
        <v>6771</v>
      </c>
      <c r="E13292" s="3" t="s">
        <v>3</v>
      </c>
      <c r="F13292" s="4">
        <v>2.7199999999999999E-8</v>
      </c>
      <c r="G13292" s="3">
        <v>147</v>
      </c>
      <c r="H13292" s="3">
        <v>45</v>
      </c>
      <c r="I13292" s="3">
        <v>53</v>
      </c>
      <c r="J13292" s="3">
        <v>1012</v>
      </c>
      <c r="K13292" s="3">
        <v>1170</v>
      </c>
      <c r="L13292" s="3">
        <v>124</v>
      </c>
      <c r="M13292" s="3">
        <v>176</v>
      </c>
    </row>
    <row r="13293" spans="1:13" x14ac:dyDescent="0.25">
      <c r="A13293" s="1" t="str">
        <f>HYPERLINK("http://www.rosaceae.org/Prunus/Prunus_persica/p.persica_gdr_reftransV1_0021143","p.persica_gdr_reftransV1_0021143")</f>
        <v>p.persica_gdr_reftransV1_0021143</v>
      </c>
      <c r="B13293" s="3">
        <v>1851</v>
      </c>
      <c r="C13293" s="1" t="str">
        <f>HYPERLINK("http://www.uniprot.org/uniprot/PP153_ARATH","PP153_ARATH")</f>
        <v>PP153_ARATH</v>
      </c>
      <c r="D13293" t="s">
        <v>519</v>
      </c>
      <c r="E13293" s="3" t="s">
        <v>3</v>
      </c>
      <c r="F13293" s="4">
        <v>5.4099999999999998E-149</v>
      </c>
      <c r="G13293" s="3">
        <v>1157</v>
      </c>
      <c r="H13293" s="3">
        <v>57</v>
      </c>
      <c r="I13293" s="3">
        <v>370</v>
      </c>
      <c r="J13293" s="3">
        <v>218</v>
      </c>
      <c r="K13293" s="3">
        <v>1327</v>
      </c>
      <c r="L13293" s="3">
        <v>211</v>
      </c>
      <c r="M13293" s="3">
        <v>579</v>
      </c>
    </row>
    <row r="13294" spans="1:13" x14ac:dyDescent="0.25">
      <c r="A13294" s="1" t="str">
        <f>HYPERLINK("http://www.rosaceae.org/Prunus/Prunus_persica/p.persica_gdr_reftransV1_0021193","p.persica_gdr_reftransV1_0021193")</f>
        <v>p.persica_gdr_reftransV1_0021193</v>
      </c>
      <c r="B13294" s="3">
        <v>1086</v>
      </c>
      <c r="C13294" s="1" t="str">
        <f>HYPERLINK("http://www.uniprot.org/uniprot/PNSB1_ARATH","PNSB1_ARATH")</f>
        <v>PNSB1_ARATH</v>
      </c>
      <c r="D13294" t="s">
        <v>6046</v>
      </c>
      <c r="E13294" s="3" t="s">
        <v>3</v>
      </c>
      <c r="F13294" s="4">
        <v>3.02E-60</v>
      </c>
      <c r="G13294" s="3">
        <v>525</v>
      </c>
      <c r="H13294" s="3">
        <v>68</v>
      </c>
      <c r="I13294" s="3">
        <v>195</v>
      </c>
      <c r="J13294" s="3">
        <v>446</v>
      </c>
      <c r="K13294" s="3">
        <v>1030</v>
      </c>
      <c r="L13294" s="3">
        <v>1</v>
      </c>
      <c r="M13294" s="3">
        <v>192</v>
      </c>
    </row>
    <row r="13295" spans="1:13" x14ac:dyDescent="0.25">
      <c r="A13295" s="1" t="str">
        <f>HYPERLINK("http://www.rosaceae.org/Prunus/Prunus_persica/p.persica_gdr_reftransV1_0021243","p.persica_gdr_reftransV1_0021243")</f>
        <v>p.persica_gdr_reftransV1_0021243</v>
      </c>
      <c r="B13295" s="3">
        <v>1911</v>
      </c>
      <c r="C13295" s="1" t="str">
        <f>HYPERLINK("http://www.uniprot.org/uniprot/SYPC_ARATH","SYPC_ARATH")</f>
        <v>SYPC_ARATH</v>
      </c>
      <c r="D13295" t="s">
        <v>8983</v>
      </c>
      <c r="E13295" s="3" t="s">
        <v>3</v>
      </c>
      <c r="F13295" s="4">
        <v>0</v>
      </c>
      <c r="G13295" s="3">
        <v>2186</v>
      </c>
      <c r="H13295" s="3">
        <v>83</v>
      </c>
      <c r="I13295" s="3">
        <v>481</v>
      </c>
      <c r="J13295" s="3">
        <v>251</v>
      </c>
      <c r="K13295" s="3">
        <v>1693</v>
      </c>
      <c r="L13295" s="3">
        <v>51</v>
      </c>
      <c r="M13295" s="3">
        <v>530</v>
      </c>
    </row>
    <row r="13296" spans="1:13" x14ac:dyDescent="0.25">
      <c r="A13296" s="1" t="str">
        <f>HYPERLINK("http://www.rosaceae.org/Prunus/Prunus_persica/p.persica_gdr_reftransV1_0021343","p.persica_gdr_reftransV1_0021343")</f>
        <v>p.persica_gdr_reftransV1_0021343</v>
      </c>
      <c r="B13296" s="3">
        <v>1625</v>
      </c>
      <c r="C13296" s="1" t="str">
        <f>HYPERLINK("http://www.uniprot.org/uniprot/Y875_SYNY3","Y875_SYNY3")</f>
        <v>Y875_SYNY3</v>
      </c>
      <c r="D13296" t="s">
        <v>8984</v>
      </c>
      <c r="E13296" s="3" t="s">
        <v>527</v>
      </c>
      <c r="F13296" s="4">
        <v>5.26E-37</v>
      </c>
      <c r="G13296" s="3">
        <v>357</v>
      </c>
      <c r="H13296" s="3">
        <v>46</v>
      </c>
      <c r="I13296" s="3">
        <v>254</v>
      </c>
      <c r="J13296" s="3">
        <v>626</v>
      </c>
      <c r="K13296" s="3">
        <v>1384</v>
      </c>
      <c r="L13296" s="3">
        <v>3</v>
      </c>
      <c r="M13296" s="3">
        <v>249</v>
      </c>
    </row>
    <row r="13297" spans="1:13" x14ac:dyDescent="0.25">
      <c r="A13297" s="1" t="str">
        <f>HYPERLINK("http://www.rosaceae.org/Prunus/Prunus_persica/p.persica_gdr_reftransV1_0021493","p.persica_gdr_reftransV1_0021493")</f>
        <v>p.persica_gdr_reftransV1_0021493</v>
      </c>
      <c r="B13297" s="3">
        <v>309</v>
      </c>
      <c r="C13297" s="1" t="str">
        <f>HYPERLINK("http://www.uniprot.org/uniprot/PSYR1_ARATH","PSYR1_ARATH")</f>
        <v>PSYR1_ARATH</v>
      </c>
      <c r="D13297" t="s">
        <v>177</v>
      </c>
      <c r="E13297" s="3" t="s">
        <v>3</v>
      </c>
      <c r="F13297" s="4">
        <v>2.02E-23</v>
      </c>
      <c r="G13297" s="3">
        <v>245</v>
      </c>
      <c r="H13297" s="3">
        <v>44</v>
      </c>
      <c r="I13297" s="3">
        <v>100</v>
      </c>
      <c r="J13297" s="3">
        <v>1</v>
      </c>
      <c r="K13297" s="3">
        <v>300</v>
      </c>
      <c r="L13297" s="3">
        <v>426</v>
      </c>
      <c r="M13297" s="3">
        <v>525</v>
      </c>
    </row>
    <row r="13298" spans="1:13" x14ac:dyDescent="0.25">
      <c r="A13298" s="1" t="str">
        <f>HYPERLINK("http://www.rosaceae.org/Prunus/Prunus_persica/p.persica_gdr_reftransV1_0021893","p.persica_gdr_reftransV1_0021893")</f>
        <v>p.persica_gdr_reftransV1_0021893</v>
      </c>
      <c r="B13298" s="3">
        <v>451</v>
      </c>
      <c r="C13298" s="1" t="str">
        <f>HYPERLINK("http://www.uniprot.org/uniprot/GSTUH_ARATH","GSTUH_ARATH")</f>
        <v>GSTUH_ARATH</v>
      </c>
      <c r="D13298" t="s">
        <v>6430</v>
      </c>
      <c r="E13298" s="3" t="s">
        <v>3</v>
      </c>
      <c r="F13298" s="4">
        <v>1.6399999999999999E-54</v>
      </c>
      <c r="G13298" s="3">
        <v>449</v>
      </c>
      <c r="H13298" s="3">
        <v>70</v>
      </c>
      <c r="I13298" s="3">
        <v>144</v>
      </c>
      <c r="J13298" s="3">
        <v>1</v>
      </c>
      <c r="K13298" s="3">
        <v>429</v>
      </c>
      <c r="L13298" s="3">
        <v>32</v>
      </c>
      <c r="M13298" s="3">
        <v>175</v>
      </c>
    </row>
    <row r="13299" spans="1:13" x14ac:dyDescent="0.25">
      <c r="A13299" s="1" t="str">
        <f>HYPERLINK("http://www.rosaceae.org/Prunus/Prunus_persica/p.persica_gdr_reftransV1_0022393","p.persica_gdr_reftransV1_0022393")</f>
        <v>p.persica_gdr_reftransV1_0022393</v>
      </c>
      <c r="B13299" s="3">
        <v>1443</v>
      </c>
      <c r="C13299" s="1" t="str">
        <f>HYPERLINK("http://www.uniprot.org/uniprot/DJB13_MOUSE","DJB13_MOUSE")</f>
        <v>DJB13_MOUSE</v>
      </c>
      <c r="D13299" t="s">
        <v>8321</v>
      </c>
      <c r="E13299" s="3" t="s">
        <v>157</v>
      </c>
      <c r="F13299" s="4">
        <v>3.1699999999999999E-48</v>
      </c>
      <c r="G13299" s="3">
        <v>441</v>
      </c>
      <c r="H13299" s="3">
        <v>36</v>
      </c>
      <c r="I13299" s="3">
        <v>340</v>
      </c>
      <c r="J13299" s="3">
        <v>147</v>
      </c>
      <c r="K13299" s="3">
        <v>1109</v>
      </c>
      <c r="L13299" s="3">
        <v>1</v>
      </c>
      <c r="M13299" s="3">
        <v>312</v>
      </c>
    </row>
    <row r="13300" spans="1:13" x14ac:dyDescent="0.25">
      <c r="A13300" s="1" t="str">
        <f>HYPERLINK("http://www.rosaceae.org/Prunus/Prunus_persica/p.persica_gdr_reftransV1_0022843","p.persica_gdr_reftransV1_0022843")</f>
        <v>p.persica_gdr_reftransV1_0022843</v>
      </c>
      <c r="B13300" s="3">
        <v>3248</v>
      </c>
      <c r="C13300" s="1" t="str">
        <f>HYPERLINK("http://www.uniprot.org/uniprot/MBR1_ARATH","MBR1_ARATH")</f>
        <v>MBR1_ARATH</v>
      </c>
      <c r="D13300" t="s">
        <v>2017</v>
      </c>
      <c r="E13300" s="3" t="s">
        <v>3</v>
      </c>
      <c r="F13300" s="4">
        <v>6.5399999999999999E-98</v>
      </c>
      <c r="G13300" s="3">
        <v>851</v>
      </c>
      <c r="H13300" s="3">
        <v>38</v>
      </c>
      <c r="I13300" s="3">
        <v>768</v>
      </c>
      <c r="J13300" s="3">
        <v>510</v>
      </c>
      <c r="K13300" s="3">
        <v>2708</v>
      </c>
      <c r="L13300" s="3">
        <v>4</v>
      </c>
      <c r="M13300" s="3">
        <v>703</v>
      </c>
    </row>
    <row r="13301" spans="1:13" x14ac:dyDescent="0.25">
      <c r="A13301" s="1" t="str">
        <f>HYPERLINK("http://www.rosaceae.org/Prunus/Prunus_persica/p.persica_gdr_reftransV1_0023193","p.persica_gdr_reftransV1_0023193")</f>
        <v>p.persica_gdr_reftransV1_0023193</v>
      </c>
      <c r="B13301" s="3">
        <v>1479</v>
      </c>
      <c r="C13301" s="1" t="str">
        <f>HYPERLINK("http://www.uniprot.org/uniprot/AVT1_YEAST","AVT1_YEAST")</f>
        <v>AVT1_YEAST</v>
      </c>
      <c r="D13301" t="s">
        <v>80</v>
      </c>
      <c r="E13301" s="3" t="s">
        <v>34</v>
      </c>
      <c r="F13301" s="4">
        <v>2.4099999999999999E-29</v>
      </c>
      <c r="G13301" s="3">
        <v>313</v>
      </c>
      <c r="H13301" s="3">
        <v>28</v>
      </c>
      <c r="I13301" s="3">
        <v>419</v>
      </c>
      <c r="J13301" s="3">
        <v>143</v>
      </c>
      <c r="K13301" s="3">
        <v>1315</v>
      </c>
      <c r="L13301" s="3">
        <v>191</v>
      </c>
      <c r="M13301" s="3">
        <v>601</v>
      </c>
    </row>
    <row r="13302" spans="1:13" x14ac:dyDescent="0.25">
      <c r="A13302" s="1" t="str">
        <f>HYPERLINK("http://www.rosaceae.org/Prunus/Prunus_persica/p.persica_gdr_reftransV1_0023243","p.persica_gdr_reftransV1_0023243")</f>
        <v>p.persica_gdr_reftransV1_0023243</v>
      </c>
      <c r="B13302" s="3">
        <v>2753</v>
      </c>
      <c r="C13302" s="1" t="str">
        <f>HYPERLINK("http://www.uniprot.org/uniprot/Y2910_ARATH","Y2910_ARATH")</f>
        <v>Y2910_ARATH</v>
      </c>
      <c r="D13302" t="s">
        <v>8479</v>
      </c>
      <c r="E13302" s="3" t="s">
        <v>3</v>
      </c>
      <c r="F13302" s="4">
        <v>1.44E-44</v>
      </c>
      <c r="G13302" s="3">
        <v>416</v>
      </c>
      <c r="H13302" s="3">
        <v>51</v>
      </c>
      <c r="I13302" s="3">
        <v>176</v>
      </c>
      <c r="J13302" s="3">
        <v>2196</v>
      </c>
      <c r="K13302" s="3">
        <v>2690</v>
      </c>
      <c r="L13302" s="3">
        <v>9</v>
      </c>
      <c r="M13302" s="3">
        <v>183</v>
      </c>
    </row>
    <row r="13303" spans="1:13" x14ac:dyDescent="0.25">
      <c r="A13303" s="1" t="str">
        <f>HYPERLINK("http://www.rosaceae.org/Prunus/Prunus_persica/p.persica_gdr_reftransV1_0023443","p.persica_gdr_reftransV1_0023443")</f>
        <v>p.persica_gdr_reftransV1_0023443</v>
      </c>
      <c r="B13303" s="3">
        <v>1289</v>
      </c>
      <c r="C13303" s="1" t="str">
        <f>HYPERLINK("http://www.uniprot.org/uniprot/VP202_ARATH","VP202_ARATH")</f>
        <v>VP202_ARATH</v>
      </c>
      <c r="D13303" t="s">
        <v>8985</v>
      </c>
      <c r="E13303" s="3" t="s">
        <v>3</v>
      </c>
      <c r="F13303" s="4">
        <v>4.7199999999999999E-97</v>
      </c>
      <c r="G13303" s="3">
        <v>759</v>
      </c>
      <c r="H13303" s="3">
        <v>78</v>
      </c>
      <c r="I13303" s="3">
        <v>221</v>
      </c>
      <c r="J13303" s="3">
        <v>391</v>
      </c>
      <c r="K13303" s="3">
        <v>1053</v>
      </c>
      <c r="L13303" s="3">
        <v>1</v>
      </c>
      <c r="M13303" s="3">
        <v>216</v>
      </c>
    </row>
    <row r="13304" spans="1:13" x14ac:dyDescent="0.25">
      <c r="A13304" s="1" t="str">
        <f>HYPERLINK("http://www.rosaceae.org/Prunus/Prunus_persica/p.persica_gdr_reftransV1_0023543","p.persica_gdr_reftransV1_0023543")</f>
        <v>p.persica_gdr_reftransV1_0023543</v>
      </c>
      <c r="B13304" s="3">
        <v>1045</v>
      </c>
      <c r="C13304" s="1" t="str">
        <f>HYPERLINK("http://www.uniprot.org/uniprot/PR1F2_ARATH","PR1F2_ARATH")</f>
        <v>PR1F2_ARATH</v>
      </c>
      <c r="D13304" t="s">
        <v>7702</v>
      </c>
      <c r="E13304" s="3" t="s">
        <v>3</v>
      </c>
      <c r="F13304" s="4">
        <v>7.1499999999999998E-13</v>
      </c>
      <c r="G13304" s="3">
        <v>170</v>
      </c>
      <c r="H13304" s="3">
        <v>39</v>
      </c>
      <c r="I13304" s="3">
        <v>148</v>
      </c>
      <c r="J13304" s="3">
        <v>441</v>
      </c>
      <c r="K13304" s="3">
        <v>875</v>
      </c>
      <c r="L13304" s="3">
        <v>35</v>
      </c>
      <c r="M13304" s="3">
        <v>179</v>
      </c>
    </row>
    <row r="13305" spans="1:13" x14ac:dyDescent="0.25">
      <c r="A13305" s="1" t="str">
        <f>HYPERLINK("http://www.rosaceae.org/Prunus/Prunus_persica/p.persica_gdr_reftransV1_0024143","p.persica_gdr_reftransV1_0024143")</f>
        <v>p.persica_gdr_reftransV1_0024143</v>
      </c>
      <c r="B13305" s="3">
        <v>1157</v>
      </c>
      <c r="C13305" s="1" t="str">
        <f>HYPERLINK("http://www.uniprot.org/uniprot/CAMK3_ARATH","CAMK3_ARATH")</f>
        <v>CAMK3_ARATH</v>
      </c>
      <c r="D13305" t="s">
        <v>8986</v>
      </c>
      <c r="E13305" s="3" t="s">
        <v>3</v>
      </c>
      <c r="F13305" s="4">
        <v>2.1100000000000001E-152</v>
      </c>
      <c r="G13305" s="3">
        <v>1158</v>
      </c>
      <c r="H13305" s="3">
        <v>87</v>
      </c>
      <c r="I13305" s="3">
        <v>260</v>
      </c>
      <c r="J13305" s="3">
        <v>2</v>
      </c>
      <c r="K13305" s="3">
        <v>778</v>
      </c>
      <c r="L13305" s="3">
        <v>65</v>
      </c>
      <c r="M13305" s="3">
        <v>324</v>
      </c>
    </row>
    <row r="13306" spans="1:13" x14ac:dyDescent="0.25">
      <c r="A13306" s="1" t="str">
        <f>HYPERLINK("http://www.rosaceae.org/Prunus/Prunus_persica/p.persica_gdr_reftransV1_0024193","p.persica_gdr_reftransV1_0024193")</f>
        <v>p.persica_gdr_reftransV1_0024193</v>
      </c>
      <c r="B13306" s="3">
        <v>1627</v>
      </c>
      <c r="C13306" s="1" t="str">
        <f>HYPERLINK("http://www.uniprot.org/uniprot/HLS1_ARATH","HLS1_ARATH")</f>
        <v>HLS1_ARATH</v>
      </c>
      <c r="D13306" t="s">
        <v>8987</v>
      </c>
      <c r="E13306" s="3" t="s">
        <v>3</v>
      </c>
      <c r="F13306" s="4">
        <v>2.7499999999999999E-112</v>
      </c>
      <c r="G13306" s="3">
        <v>888</v>
      </c>
      <c r="H13306" s="3">
        <v>49</v>
      </c>
      <c r="I13306" s="3">
        <v>408</v>
      </c>
      <c r="J13306" s="3">
        <v>250</v>
      </c>
      <c r="K13306" s="3">
        <v>1413</v>
      </c>
      <c r="L13306" s="3">
        <v>3</v>
      </c>
      <c r="M13306" s="3">
        <v>402</v>
      </c>
    </row>
    <row r="13307" spans="1:13" x14ac:dyDescent="0.25">
      <c r="A13307" s="1" t="str">
        <f>HYPERLINK("http://www.rosaceae.org/Prunus/Prunus_persica/p.persica_gdr_reftransV1_0024243","p.persica_gdr_reftransV1_0024243")</f>
        <v>p.persica_gdr_reftransV1_0024243</v>
      </c>
      <c r="B13307" s="3">
        <v>2575</v>
      </c>
      <c r="C13307" s="1" t="str">
        <f>HYPERLINK("http://www.uniprot.org/uniprot/SCL14_ARATH","SCL14_ARATH")</f>
        <v>SCL14_ARATH</v>
      </c>
      <c r="D13307" t="s">
        <v>797</v>
      </c>
      <c r="E13307" s="3" t="s">
        <v>3</v>
      </c>
      <c r="F13307" s="4">
        <v>0</v>
      </c>
      <c r="G13307" s="3">
        <v>1524</v>
      </c>
      <c r="H13307" s="3">
        <v>50</v>
      </c>
      <c r="I13307" s="3">
        <v>650</v>
      </c>
      <c r="J13307" s="3">
        <v>669</v>
      </c>
      <c r="K13307" s="3">
        <v>2573</v>
      </c>
      <c r="L13307" s="3">
        <v>86</v>
      </c>
      <c r="M13307" s="3">
        <v>713</v>
      </c>
    </row>
    <row r="13308" spans="1:13" x14ac:dyDescent="0.25">
      <c r="A13308" s="1" t="str">
        <f>HYPERLINK("http://www.rosaceae.org/Prunus/Prunus_persica/p.persica_gdr_reftransV1_0024343","p.persica_gdr_reftransV1_0024343")</f>
        <v>p.persica_gdr_reftransV1_0024343</v>
      </c>
      <c r="B13308" s="3">
        <v>2909</v>
      </c>
      <c r="C13308" s="1" t="str">
        <f>HYPERLINK("http://www.uniprot.org/uniprot/APO3_ARATH","APO3_ARATH")</f>
        <v>APO3_ARATH</v>
      </c>
      <c r="D13308" t="s">
        <v>2497</v>
      </c>
      <c r="E13308" s="3" t="s">
        <v>3</v>
      </c>
      <c r="F13308" s="4">
        <v>3.5199999999999998E-163</v>
      </c>
      <c r="G13308" s="3">
        <v>1265</v>
      </c>
      <c r="H13308" s="3">
        <v>61</v>
      </c>
      <c r="I13308" s="3">
        <v>404</v>
      </c>
      <c r="J13308" s="3">
        <v>1286</v>
      </c>
      <c r="K13308" s="3">
        <v>2473</v>
      </c>
      <c r="L13308" s="3">
        <v>24</v>
      </c>
      <c r="M13308" s="3">
        <v>402</v>
      </c>
    </row>
    <row r="13309" spans="1:13" x14ac:dyDescent="0.25">
      <c r="A13309" s="1" t="str">
        <f>HYPERLINK("http://www.rosaceae.org/Prunus/Prunus_persica/p.persica_gdr_reftransV1_0024743","p.persica_gdr_reftransV1_0024743")</f>
        <v>p.persica_gdr_reftransV1_0024743</v>
      </c>
      <c r="B13309" s="3">
        <v>2271</v>
      </c>
      <c r="C13309" s="1" t="str">
        <f>HYPERLINK("http://www.uniprot.org/uniprot/IRX7_ARATH","IRX7_ARATH")</f>
        <v>IRX7_ARATH</v>
      </c>
      <c r="D13309" t="s">
        <v>8988</v>
      </c>
      <c r="E13309" s="3" t="s">
        <v>3</v>
      </c>
      <c r="F13309" s="4">
        <v>1.1400000000000001E-151</v>
      </c>
      <c r="G13309" s="3">
        <v>914</v>
      </c>
      <c r="H13309" s="3">
        <v>74</v>
      </c>
      <c r="I13309" s="3">
        <v>227</v>
      </c>
      <c r="J13309" s="3">
        <v>414</v>
      </c>
      <c r="K13309" s="3">
        <v>1094</v>
      </c>
      <c r="L13309" s="3">
        <v>210</v>
      </c>
      <c r="M13309" s="3">
        <v>436</v>
      </c>
    </row>
    <row r="13310" spans="1:13" x14ac:dyDescent="0.25">
      <c r="A13310" s="1" t="str">
        <f>HYPERLINK("http://www.rosaceae.org/Prunus/Prunus_persica/p.persica_gdr_reftransV1_0024993","p.persica_gdr_reftransV1_0024993")</f>
        <v>p.persica_gdr_reftransV1_0024993</v>
      </c>
      <c r="B13310" s="3">
        <v>2874</v>
      </c>
      <c r="C13310" s="1" t="str">
        <f>HYPERLINK("http://www.uniprot.org/uniprot/PP178_ARATH","PP178_ARATH")</f>
        <v>PP178_ARATH</v>
      </c>
      <c r="D13310" t="s">
        <v>8989</v>
      </c>
      <c r="E13310" s="3" t="s">
        <v>3</v>
      </c>
      <c r="F13310" s="4">
        <v>0</v>
      </c>
      <c r="G13310" s="3">
        <v>2890</v>
      </c>
      <c r="H13310" s="3">
        <v>68</v>
      </c>
      <c r="I13310" s="3">
        <v>775</v>
      </c>
      <c r="J13310" s="3">
        <v>274</v>
      </c>
      <c r="K13310" s="3">
        <v>2592</v>
      </c>
      <c r="L13310" s="3">
        <v>122</v>
      </c>
      <c r="M13310" s="3">
        <v>886</v>
      </c>
    </row>
    <row r="13311" spans="1:13" x14ac:dyDescent="0.25">
      <c r="A13311" s="1" t="str">
        <f>HYPERLINK("http://www.rosaceae.org/Prunus/Prunus_persica/p.persica_gdr_reftransV1_0025393","p.persica_gdr_reftransV1_0025393")</f>
        <v>p.persica_gdr_reftransV1_0025393</v>
      </c>
      <c r="B13311" s="3">
        <v>2512</v>
      </c>
      <c r="C13311" s="1" t="str">
        <f>HYPERLINK("http://www.uniprot.org/uniprot/SR45A_ARATH","SR45A_ARATH")</f>
        <v>SR45A_ARATH</v>
      </c>
      <c r="D13311" t="s">
        <v>6013</v>
      </c>
      <c r="E13311" s="3" t="s">
        <v>3</v>
      </c>
      <c r="F13311" s="4">
        <v>5.65E-28</v>
      </c>
      <c r="G13311" s="3">
        <v>303</v>
      </c>
      <c r="H13311" s="3">
        <v>66</v>
      </c>
      <c r="I13311" s="3">
        <v>83</v>
      </c>
      <c r="J13311" s="3">
        <v>496</v>
      </c>
      <c r="K13311" s="3">
        <v>744</v>
      </c>
      <c r="L13311" s="3">
        <v>69</v>
      </c>
      <c r="M13311" s="3">
        <v>151</v>
      </c>
    </row>
    <row r="13312" spans="1:13" x14ac:dyDescent="0.25">
      <c r="A13312" s="1" t="str">
        <f>HYPERLINK("http://www.rosaceae.org/Prunus/Prunus_persica/p.persica_gdr_reftransV1_0025993","p.persica_gdr_reftransV1_0025993")</f>
        <v>p.persica_gdr_reftransV1_0025993</v>
      </c>
      <c r="B13312" s="3">
        <v>2684</v>
      </c>
      <c r="C13312" s="1" t="str">
        <f>HYPERLINK("http://www.uniprot.org/uniprot/SCAR2_ARATH","SCAR2_ARATH")</f>
        <v>SCAR2_ARATH</v>
      </c>
      <c r="D13312" t="s">
        <v>6700</v>
      </c>
      <c r="E13312" s="3" t="s">
        <v>3</v>
      </c>
      <c r="F13312" s="4">
        <v>1.8700000000000001E-145</v>
      </c>
      <c r="G13312" s="3">
        <v>1215</v>
      </c>
      <c r="H13312" s="3">
        <v>47</v>
      </c>
      <c r="I13312" s="3">
        <v>640</v>
      </c>
      <c r="J13312" s="3">
        <v>224</v>
      </c>
      <c r="K13312" s="3">
        <v>2101</v>
      </c>
      <c r="L13312" s="3">
        <v>1</v>
      </c>
      <c r="M13312" s="3">
        <v>596</v>
      </c>
    </row>
    <row r="13313" spans="1:13" x14ac:dyDescent="0.25">
      <c r="A13313" s="1" t="str">
        <f>HYPERLINK("http://www.rosaceae.org/Prunus/Prunus_persica/p.persica_gdr_reftransV1_0026343","p.persica_gdr_reftransV1_0026343")</f>
        <v>p.persica_gdr_reftransV1_0026343</v>
      </c>
      <c r="B13313" s="3">
        <v>1710</v>
      </c>
      <c r="C13313" s="1" t="str">
        <f>HYPERLINK("http://www.uniprot.org/uniprot/C3H48_ARATH","C3H48_ARATH")</f>
        <v>C3H48_ARATH</v>
      </c>
      <c r="D13313" t="s">
        <v>1976</v>
      </c>
      <c r="E13313" s="3" t="s">
        <v>3</v>
      </c>
      <c r="F13313" s="4">
        <v>1.08E-153</v>
      </c>
      <c r="G13313" s="3">
        <v>1169</v>
      </c>
      <c r="H13313" s="3">
        <v>52</v>
      </c>
      <c r="I13313" s="3">
        <v>419</v>
      </c>
      <c r="J13313" s="3">
        <v>113</v>
      </c>
      <c r="K13313" s="3">
        <v>1369</v>
      </c>
      <c r="L13313" s="3">
        <v>22</v>
      </c>
      <c r="M13313" s="3">
        <v>421</v>
      </c>
    </row>
    <row r="13314" spans="1:13" x14ac:dyDescent="0.25">
      <c r="A13314" s="1" t="str">
        <f>HYPERLINK("http://www.rosaceae.org/Prunus/Prunus_persica/p.persica_gdr_reftransV1_0026993","p.persica_gdr_reftransV1_0026993")</f>
        <v>p.persica_gdr_reftransV1_0026993</v>
      </c>
      <c r="B13314" s="3">
        <v>1309</v>
      </c>
      <c r="C13314" s="1" t="str">
        <f>HYPERLINK("http://www.uniprot.org/uniprot/CP33_ARATH","CP33_ARATH")</f>
        <v>CP33_ARATH</v>
      </c>
      <c r="D13314" t="s">
        <v>4548</v>
      </c>
      <c r="E13314" s="3" t="s">
        <v>3</v>
      </c>
      <c r="F13314" s="4">
        <v>1.8799999999999999E-17</v>
      </c>
      <c r="G13314" s="3">
        <v>213</v>
      </c>
      <c r="H13314" s="3">
        <v>31</v>
      </c>
      <c r="I13314" s="3">
        <v>214</v>
      </c>
      <c r="J13314" s="3">
        <v>326</v>
      </c>
      <c r="K13314" s="3">
        <v>925</v>
      </c>
      <c r="L13314" s="3">
        <v>117</v>
      </c>
      <c r="M13314" s="3">
        <v>328</v>
      </c>
    </row>
    <row r="13315" spans="1:13" x14ac:dyDescent="0.25">
      <c r="A13315" s="1" t="str">
        <f>HYPERLINK("http://www.rosaceae.org/Prunus/Prunus_persica/p.persica_gdr_reftransV1_0027043","p.persica_gdr_reftransV1_0027043")</f>
        <v>p.persica_gdr_reftransV1_0027043</v>
      </c>
      <c r="B13315" s="3">
        <v>4913</v>
      </c>
      <c r="C13315" s="1" t="str">
        <f>HYPERLINK("http://www.uniprot.org/uniprot/EDR1_ARATH","EDR1_ARATH")</f>
        <v>EDR1_ARATH</v>
      </c>
      <c r="D13315" t="s">
        <v>1864</v>
      </c>
      <c r="E13315" s="3" t="s">
        <v>3</v>
      </c>
      <c r="F13315" s="4">
        <v>6.6699999999999998E-137</v>
      </c>
      <c r="G13315" s="3">
        <v>1169</v>
      </c>
      <c r="H13315" s="3">
        <v>78</v>
      </c>
      <c r="I13315" s="3">
        <v>259</v>
      </c>
      <c r="J13315" s="3">
        <v>2003</v>
      </c>
      <c r="K13315" s="3">
        <v>2779</v>
      </c>
      <c r="L13315" s="3">
        <v>657</v>
      </c>
      <c r="M13315" s="3">
        <v>915</v>
      </c>
    </row>
    <row r="13316" spans="1:13" x14ac:dyDescent="0.25">
      <c r="A13316" s="1" t="str">
        <f>HYPERLINK("http://www.rosaceae.org/Prunus/Prunus_persica/p.persica_gdr_reftransV1_0027093","p.persica_gdr_reftransV1_0027093")</f>
        <v>p.persica_gdr_reftransV1_0027093</v>
      </c>
      <c r="B13316" s="3">
        <v>3000</v>
      </c>
      <c r="C13316" s="1" t="str">
        <f>HYPERLINK("http://www.uniprot.org/uniprot/IF4G1_ARATH","IF4G1_ARATH")</f>
        <v>IF4G1_ARATH</v>
      </c>
      <c r="D13316" t="s">
        <v>1905</v>
      </c>
      <c r="E13316" s="3" t="s">
        <v>3</v>
      </c>
      <c r="F13316" s="4">
        <v>0</v>
      </c>
      <c r="G13316" s="3">
        <v>2298</v>
      </c>
      <c r="H13316" s="3">
        <v>63</v>
      </c>
      <c r="I13316" s="3">
        <v>759</v>
      </c>
      <c r="J13316" s="3">
        <v>499</v>
      </c>
      <c r="K13316" s="3">
        <v>2748</v>
      </c>
      <c r="L13316" s="3">
        <v>45</v>
      </c>
      <c r="M13316" s="3">
        <v>780</v>
      </c>
    </row>
    <row r="13317" spans="1:13" x14ac:dyDescent="0.25">
      <c r="A13317" s="1" t="str">
        <f>HYPERLINK("http://www.rosaceae.org/Prunus/Prunus_persica/p.persica_gdr_reftransV1_0027193","p.persica_gdr_reftransV1_0027193")</f>
        <v>p.persica_gdr_reftransV1_0027193</v>
      </c>
      <c r="B13317" s="3">
        <v>666</v>
      </c>
      <c r="C13317" s="1" t="str">
        <f>HYPERLINK("http://www.uniprot.org/uniprot/M1250_ARATH","M1250_ARATH")</f>
        <v>M1250_ARATH</v>
      </c>
      <c r="D13317" t="s">
        <v>8990</v>
      </c>
      <c r="E13317" s="3" t="s">
        <v>3</v>
      </c>
      <c r="F13317" s="4">
        <v>7.5199999999999999E-16</v>
      </c>
      <c r="G13317" s="3">
        <v>184</v>
      </c>
      <c r="H13317" s="3">
        <v>52</v>
      </c>
      <c r="I13317" s="3">
        <v>62</v>
      </c>
      <c r="J13317" s="3">
        <v>4</v>
      </c>
      <c r="K13317" s="3">
        <v>189</v>
      </c>
      <c r="L13317" s="3">
        <v>19</v>
      </c>
      <c r="M13317" s="3">
        <v>80</v>
      </c>
    </row>
    <row r="13318" spans="1:13" x14ac:dyDescent="0.25">
      <c r="A13318" s="1" t="str">
        <f>HYPERLINK("http://www.rosaceae.org/Prunus/Prunus_persica/p.persica_gdr_reftransV1_0027993","p.persica_gdr_reftransV1_0027993")</f>
        <v>p.persica_gdr_reftransV1_0027993</v>
      </c>
      <c r="B13318" s="3">
        <v>6139</v>
      </c>
      <c r="C13318" s="1" t="str">
        <f>HYPERLINK("http://www.uniprot.org/uniprot/THOC2_ARATH","THOC2_ARATH")</f>
        <v>THOC2_ARATH</v>
      </c>
      <c r="D13318" t="s">
        <v>8991</v>
      </c>
      <c r="E13318" s="3" t="s">
        <v>3</v>
      </c>
      <c r="F13318" s="4">
        <v>0</v>
      </c>
      <c r="G13318" s="3">
        <v>5709</v>
      </c>
      <c r="H13318" s="3">
        <v>67</v>
      </c>
      <c r="I13318" s="3">
        <v>1863</v>
      </c>
      <c r="J13318" s="3">
        <v>391</v>
      </c>
      <c r="K13318" s="3">
        <v>5943</v>
      </c>
      <c r="L13318" s="3">
        <v>3</v>
      </c>
      <c r="M13318" s="3">
        <v>1784</v>
      </c>
    </row>
    <row r="13319" spans="1:13" x14ac:dyDescent="0.25">
      <c r="A13319" s="1" t="str">
        <f>HYPERLINK("http://www.rosaceae.org/Prunus/Prunus_persica/p.persica_gdr_reftransV1_0028093","p.persica_gdr_reftransV1_0028093")</f>
        <v>p.persica_gdr_reftransV1_0028093</v>
      </c>
      <c r="B13319" s="3">
        <v>1172</v>
      </c>
      <c r="C13319" s="1" t="str">
        <f>HYPERLINK("http://www.uniprot.org/uniprot/SLX1_SCHJY","SLX1_SCHJY")</f>
        <v>SLX1_SCHJY</v>
      </c>
      <c r="D13319" t="s">
        <v>8992</v>
      </c>
      <c r="E13319" s="3" t="s">
        <v>8993</v>
      </c>
      <c r="F13319" s="4">
        <v>4.5900000000000002E-10</v>
      </c>
      <c r="G13319" s="3">
        <v>153</v>
      </c>
      <c r="H13319" s="3">
        <v>45</v>
      </c>
      <c r="I13319" s="3">
        <v>67</v>
      </c>
      <c r="J13319" s="3">
        <v>685</v>
      </c>
      <c r="K13319" s="3">
        <v>882</v>
      </c>
      <c r="L13319" s="3">
        <v>3</v>
      </c>
      <c r="M13319" s="3">
        <v>69</v>
      </c>
    </row>
    <row r="13320" spans="1:13" x14ac:dyDescent="0.25">
      <c r="A13320" s="1" t="str">
        <f>HYPERLINK("http://www.rosaceae.org/Prunus/Prunus_persica/p.persica_gdr_reftransV1_0028593","p.persica_gdr_reftransV1_0028593")</f>
        <v>p.persica_gdr_reftransV1_0028593</v>
      </c>
      <c r="B13320" s="3">
        <v>1121</v>
      </c>
      <c r="C13320" s="1" t="str">
        <f>HYPERLINK("http://www.uniprot.org/uniprot/SSBP_ARATH","SSBP_ARATH")</f>
        <v>SSBP_ARATH</v>
      </c>
      <c r="D13320" t="s">
        <v>8994</v>
      </c>
      <c r="E13320" s="3" t="s">
        <v>3</v>
      </c>
      <c r="F13320" s="4">
        <v>3.67E-91</v>
      </c>
      <c r="G13320" s="3">
        <v>713</v>
      </c>
      <c r="H13320" s="3">
        <v>65</v>
      </c>
      <c r="I13320" s="3">
        <v>215</v>
      </c>
      <c r="J13320" s="3">
        <v>331</v>
      </c>
      <c r="K13320" s="3">
        <v>975</v>
      </c>
      <c r="L13320" s="3">
        <v>1</v>
      </c>
      <c r="M13320" s="3">
        <v>201</v>
      </c>
    </row>
    <row r="13321" spans="1:13" x14ac:dyDescent="0.25">
      <c r="A13321" s="1" t="str">
        <f>HYPERLINK("http://www.rosaceae.org/Prunus/Prunus_persica/p.persica_gdr_reftransV1_0028643","p.persica_gdr_reftransV1_0028643")</f>
        <v>p.persica_gdr_reftransV1_0028643</v>
      </c>
      <c r="B13321" s="3">
        <v>1235</v>
      </c>
      <c r="C13321" s="1" t="str">
        <f>HYPERLINK("http://www.uniprot.org/uniprot/PHS_MICAN","PHS_MICAN")</f>
        <v>PHS_MICAN</v>
      </c>
      <c r="D13321" t="s">
        <v>8995</v>
      </c>
      <c r="E13321" s="3" t="s">
        <v>8996</v>
      </c>
      <c r="F13321" s="4">
        <v>1.3699999999999999E-10</v>
      </c>
      <c r="G13321" s="3">
        <v>151</v>
      </c>
      <c r="H13321" s="3">
        <v>39</v>
      </c>
      <c r="I13321" s="3">
        <v>90</v>
      </c>
      <c r="J13321" s="3">
        <v>697</v>
      </c>
      <c r="K13321" s="3">
        <v>966</v>
      </c>
      <c r="L13321" s="3">
        <v>22</v>
      </c>
      <c r="M13321" s="3">
        <v>110</v>
      </c>
    </row>
    <row r="13322" spans="1:13" x14ac:dyDescent="0.25">
      <c r="A13322" s="1" t="str">
        <f>HYPERLINK("http://www.rosaceae.org/Prunus/Prunus_persica/p.persica_gdr_reftransV1_0028793","p.persica_gdr_reftransV1_0028793")</f>
        <v>p.persica_gdr_reftransV1_0028793</v>
      </c>
      <c r="B13322" s="3">
        <v>4042</v>
      </c>
      <c r="C13322" s="1" t="str">
        <f>HYPERLINK("http://www.uniprot.org/uniprot/METC_ARATH","METC_ARATH")</f>
        <v>METC_ARATH</v>
      </c>
      <c r="D13322" t="s">
        <v>2414</v>
      </c>
      <c r="E13322" s="3" t="s">
        <v>3</v>
      </c>
      <c r="F13322" s="4">
        <v>1.1300000000000001E-90</v>
      </c>
      <c r="G13322" s="3">
        <v>785</v>
      </c>
      <c r="H13322" s="3">
        <v>66</v>
      </c>
      <c r="I13322" s="3">
        <v>229</v>
      </c>
      <c r="J13322" s="3">
        <v>3180</v>
      </c>
      <c r="K13322" s="3">
        <v>3833</v>
      </c>
      <c r="L13322" s="3">
        <v>10</v>
      </c>
      <c r="M13322" s="3">
        <v>237</v>
      </c>
    </row>
    <row r="13323" spans="1:13" x14ac:dyDescent="0.25">
      <c r="A13323" s="1" t="str">
        <f>HYPERLINK("http://www.rosaceae.org/Prunus/Prunus_persica/p.persica_gdr_reftransV1_0028943","p.persica_gdr_reftransV1_0028943")</f>
        <v>p.persica_gdr_reftransV1_0028943</v>
      </c>
      <c r="B13323" s="3">
        <v>1282</v>
      </c>
      <c r="C13323" s="1" t="str">
        <f>HYPERLINK("http://www.uniprot.org/uniprot/ANXA5_CYNPY","ANXA5_CYNPY")</f>
        <v>ANXA5_CYNPY</v>
      </c>
      <c r="D13323" t="s">
        <v>8997</v>
      </c>
      <c r="E13323" s="3" t="s">
        <v>8998</v>
      </c>
      <c r="F13323" s="4">
        <v>1.7E-28</v>
      </c>
      <c r="G13323" s="3">
        <v>239</v>
      </c>
      <c r="H13323" s="3">
        <v>27</v>
      </c>
      <c r="I13323" s="3">
        <v>229</v>
      </c>
      <c r="J13323" s="3">
        <v>497</v>
      </c>
      <c r="K13323" s="3">
        <v>1183</v>
      </c>
      <c r="L13323" s="3">
        <v>47</v>
      </c>
      <c r="M13323" s="3">
        <v>257</v>
      </c>
    </row>
    <row r="13324" spans="1:13" x14ac:dyDescent="0.25">
      <c r="A13324" s="1" t="str">
        <f>HYPERLINK("http://www.rosaceae.org/Prunus/Prunus_persica/p.persica_gdr_reftransV1_0029143","p.persica_gdr_reftransV1_0029143")</f>
        <v>p.persica_gdr_reftransV1_0029143</v>
      </c>
      <c r="B13324" s="3">
        <v>1769</v>
      </c>
      <c r="C13324" s="1" t="str">
        <f>HYPERLINK("http://www.uniprot.org/uniprot/ROGF7_ARATH","ROGF7_ARATH")</f>
        <v>ROGF7_ARATH</v>
      </c>
      <c r="D13324" t="s">
        <v>8999</v>
      </c>
      <c r="E13324" s="3" t="s">
        <v>3</v>
      </c>
      <c r="F13324" s="4">
        <v>0</v>
      </c>
      <c r="G13324" s="3">
        <v>1697</v>
      </c>
      <c r="H13324" s="3">
        <v>84</v>
      </c>
      <c r="I13324" s="3">
        <v>374</v>
      </c>
      <c r="J13324" s="3">
        <v>3</v>
      </c>
      <c r="K13324" s="3">
        <v>1118</v>
      </c>
      <c r="L13324" s="3">
        <v>63</v>
      </c>
      <c r="M13324" s="3">
        <v>431</v>
      </c>
    </row>
    <row r="13325" spans="1:13" x14ac:dyDescent="0.25">
      <c r="A13325" s="1" t="str">
        <f>HYPERLINK("http://www.rosaceae.org/Prunus/Prunus_persica/p.persica_gdr_reftransV1_0029243","p.persica_gdr_reftransV1_0029243")</f>
        <v>p.persica_gdr_reftransV1_0029243</v>
      </c>
      <c r="B13325" s="3">
        <v>2248</v>
      </c>
      <c r="C13325" s="1" t="str">
        <f>HYPERLINK("http://www.uniprot.org/uniprot/RSMB_BACSU","RSMB_BACSU")</f>
        <v>RSMB_BACSU</v>
      </c>
      <c r="D13325" t="s">
        <v>9000</v>
      </c>
      <c r="E13325" s="3" t="s">
        <v>1630</v>
      </c>
      <c r="F13325" s="4">
        <v>4.1000000000000001E-54</v>
      </c>
      <c r="G13325" s="3">
        <v>503</v>
      </c>
      <c r="H13325" s="3">
        <v>31</v>
      </c>
      <c r="I13325" s="3">
        <v>438</v>
      </c>
      <c r="J13325" s="3">
        <v>189</v>
      </c>
      <c r="K13325" s="3">
        <v>1472</v>
      </c>
      <c r="L13325" s="3">
        <v>7</v>
      </c>
      <c r="M13325" s="3">
        <v>406</v>
      </c>
    </row>
    <row r="13326" spans="1:13" x14ac:dyDescent="0.25">
      <c r="A13326" s="1" t="str">
        <f>HYPERLINK("http://www.rosaceae.org/Prunus/Prunus_persica/p.persica_gdr_reftransV1_0029343","p.persica_gdr_reftransV1_0029343")</f>
        <v>p.persica_gdr_reftransV1_0029343</v>
      </c>
      <c r="B13326" s="3">
        <v>1402</v>
      </c>
      <c r="C13326" s="1" t="str">
        <f>HYPERLINK("http://www.uniprot.org/uniprot/TAF4B_ARATH","TAF4B_ARATH")</f>
        <v>TAF4B_ARATH</v>
      </c>
      <c r="D13326" t="s">
        <v>1135</v>
      </c>
      <c r="E13326" s="3" t="s">
        <v>3</v>
      </c>
      <c r="F13326" s="4">
        <v>7.3100000000000003E-32</v>
      </c>
      <c r="G13326" s="3">
        <v>335</v>
      </c>
      <c r="H13326" s="3">
        <v>54</v>
      </c>
      <c r="I13326" s="3">
        <v>241</v>
      </c>
      <c r="J13326" s="3">
        <v>2</v>
      </c>
      <c r="K13326" s="3">
        <v>652</v>
      </c>
      <c r="L13326" s="3">
        <v>621</v>
      </c>
      <c r="M13326" s="3">
        <v>852</v>
      </c>
    </row>
    <row r="13327" spans="1:13" x14ac:dyDescent="0.25">
      <c r="A13327" s="1" t="str">
        <f>HYPERLINK("http://www.rosaceae.org/Prunus/Prunus_persica/p.persica_gdr_reftransV1_0029443","p.persica_gdr_reftransV1_0029443")</f>
        <v>p.persica_gdr_reftransV1_0029443</v>
      </c>
      <c r="B13327" s="3">
        <v>1785</v>
      </c>
      <c r="C13327" s="1" t="str">
        <f>HYPERLINK("http://www.uniprot.org/uniprot/PP181_ARATH","PP181_ARATH")</f>
        <v>PP181_ARATH</v>
      </c>
      <c r="D13327" t="s">
        <v>5320</v>
      </c>
      <c r="E13327" s="3" t="s">
        <v>3</v>
      </c>
      <c r="F13327" s="4">
        <v>0</v>
      </c>
      <c r="G13327" s="3">
        <v>1711</v>
      </c>
      <c r="H13327" s="3">
        <v>67</v>
      </c>
      <c r="I13327" s="3">
        <v>465</v>
      </c>
      <c r="J13327" s="3">
        <v>2</v>
      </c>
      <c r="K13327" s="3">
        <v>1396</v>
      </c>
      <c r="L13327" s="3">
        <v>240</v>
      </c>
      <c r="M13327" s="3">
        <v>704</v>
      </c>
    </row>
    <row r="13328" spans="1:13" x14ac:dyDescent="0.25">
      <c r="A13328" s="1" t="str">
        <f>HYPERLINK("http://www.rosaceae.org/Prunus/Prunus_persica/p.persica_gdr_reftransV1_0029943","p.persica_gdr_reftransV1_0029943")</f>
        <v>p.persica_gdr_reftransV1_0029943</v>
      </c>
      <c r="B13328" s="3">
        <v>4454</v>
      </c>
      <c r="C13328" s="1" t="str">
        <f>HYPERLINK("http://www.uniprot.org/uniprot/RRNAD_BOVIN","RRNAD_BOVIN")</f>
        <v>RRNAD_BOVIN</v>
      </c>
      <c r="D13328" t="s">
        <v>9001</v>
      </c>
      <c r="E13328" s="3" t="s">
        <v>184</v>
      </c>
      <c r="F13328" s="4">
        <v>2.5900000000000001E-12</v>
      </c>
      <c r="G13328" s="3">
        <v>182</v>
      </c>
      <c r="H13328" s="3">
        <v>41</v>
      </c>
      <c r="I13328" s="3">
        <v>116</v>
      </c>
      <c r="J13328" s="3">
        <v>2319</v>
      </c>
      <c r="K13328" s="3">
        <v>2663</v>
      </c>
      <c r="L13328" s="3">
        <v>250</v>
      </c>
      <c r="M13328" s="3">
        <v>356</v>
      </c>
    </row>
    <row r="13329" spans="1:13" x14ac:dyDescent="0.25">
      <c r="A13329" s="1" t="str">
        <f>HYPERLINK("http://www.rosaceae.org/Prunus/Prunus_persica/p.persica_gdr_reftransV1_0030343","p.persica_gdr_reftransV1_0030343")</f>
        <v>p.persica_gdr_reftransV1_0030343</v>
      </c>
      <c r="B13329" s="3">
        <v>1801</v>
      </c>
      <c r="C13329" s="1" t="str">
        <f>HYPERLINK("http://www.uniprot.org/uniprot/BRG3_ARATH","BRG3_ARATH")</f>
        <v>BRG3_ARATH</v>
      </c>
      <c r="D13329" t="s">
        <v>3940</v>
      </c>
      <c r="E13329" s="3" t="s">
        <v>3</v>
      </c>
      <c r="F13329" s="4">
        <v>1.28E-78</v>
      </c>
      <c r="G13329" s="3">
        <v>660</v>
      </c>
      <c r="H13329" s="3">
        <v>47</v>
      </c>
      <c r="I13329" s="3">
        <v>348</v>
      </c>
      <c r="J13329" s="3">
        <v>335</v>
      </c>
      <c r="K13329" s="3">
        <v>1336</v>
      </c>
      <c r="L13329" s="3">
        <v>16</v>
      </c>
      <c r="M13329" s="3">
        <v>334</v>
      </c>
    </row>
    <row r="13330" spans="1:13" x14ac:dyDescent="0.25">
      <c r="A13330" s="1" t="str">
        <f>HYPERLINK("http://www.rosaceae.org/Prunus/Prunus_persica/p.persica_gdr_reftransV1_0030443","p.persica_gdr_reftransV1_0030443")</f>
        <v>p.persica_gdr_reftransV1_0030443</v>
      </c>
      <c r="B13330" s="3">
        <v>2006</v>
      </c>
      <c r="C13330" s="1" t="str">
        <f>HYPERLINK("http://www.uniprot.org/uniprot/NOG1_ENCCU","NOG1_ENCCU")</f>
        <v>NOG1_ENCCU</v>
      </c>
      <c r="D13330" t="s">
        <v>9002</v>
      </c>
      <c r="E13330" s="3" t="s">
        <v>7897</v>
      </c>
      <c r="F13330" s="4">
        <v>5.0600000000000004E-31</v>
      </c>
      <c r="G13330" s="3">
        <v>329</v>
      </c>
      <c r="H13330" s="3">
        <v>32</v>
      </c>
      <c r="I13330" s="3">
        <v>301</v>
      </c>
      <c r="J13330" s="3">
        <v>345</v>
      </c>
      <c r="K13330" s="3">
        <v>1220</v>
      </c>
      <c r="L13330" s="3">
        <v>4</v>
      </c>
      <c r="M13330" s="3">
        <v>292</v>
      </c>
    </row>
    <row r="13331" spans="1:13" x14ac:dyDescent="0.25">
      <c r="A13331" s="1" t="str">
        <f>HYPERLINK("http://www.rosaceae.org/Prunus/Prunus_persica/p.persica_gdr_reftransV1_0030493","p.persica_gdr_reftransV1_0030493")</f>
        <v>p.persica_gdr_reftransV1_0030493</v>
      </c>
      <c r="B13331" s="3">
        <v>760</v>
      </c>
      <c r="C13331" s="1" t="str">
        <f>HYPERLINK("http://www.uniprot.org/uniprot/Y5986_ARATH","Y5986_ARATH")</f>
        <v>Y5986_ARATH</v>
      </c>
      <c r="D13331" t="s">
        <v>4689</v>
      </c>
      <c r="E13331" s="3" t="s">
        <v>3</v>
      </c>
      <c r="F13331" s="4">
        <v>5.6200000000000003E-30</v>
      </c>
      <c r="G13331" s="3">
        <v>300</v>
      </c>
      <c r="H13331" s="3">
        <v>40</v>
      </c>
      <c r="I13331" s="3">
        <v>167</v>
      </c>
      <c r="J13331" s="3">
        <v>51</v>
      </c>
      <c r="K13331" s="3">
        <v>509</v>
      </c>
      <c r="L13331" s="3">
        <v>223</v>
      </c>
      <c r="M13331" s="3">
        <v>389</v>
      </c>
    </row>
    <row r="13332" spans="1:13" x14ac:dyDescent="0.25">
      <c r="A13332" s="1" t="str">
        <f>HYPERLINK("http://www.rosaceae.org/Prunus/Prunus_persica/p.persica_gdr_reftransV1_0030543","p.persica_gdr_reftransV1_0030543")</f>
        <v>p.persica_gdr_reftransV1_0030543</v>
      </c>
      <c r="B13332" s="3">
        <v>2942</v>
      </c>
      <c r="C13332" s="1" t="str">
        <f>HYPERLINK("http://www.uniprot.org/uniprot/DRL29_ARATH","DRL29_ARATH")</f>
        <v>DRL29_ARATH</v>
      </c>
      <c r="D13332" t="s">
        <v>9003</v>
      </c>
      <c r="E13332" s="3" t="s">
        <v>3</v>
      </c>
      <c r="F13332" s="4">
        <v>0</v>
      </c>
      <c r="G13332" s="3">
        <v>2146</v>
      </c>
      <c r="H13332" s="3">
        <v>53</v>
      </c>
      <c r="I13332" s="3">
        <v>860</v>
      </c>
      <c r="J13332" s="3">
        <v>282</v>
      </c>
      <c r="K13332" s="3">
        <v>2825</v>
      </c>
      <c r="L13332" s="3">
        <v>1</v>
      </c>
      <c r="M13332" s="3">
        <v>816</v>
      </c>
    </row>
    <row r="13333" spans="1:13" x14ac:dyDescent="0.25">
      <c r="A13333" s="1" t="str">
        <f>HYPERLINK("http://www.rosaceae.org/Prunus/Prunus_persica/p.persica_gdr_reftransV1_0030893","p.persica_gdr_reftransV1_0030893")</f>
        <v>p.persica_gdr_reftransV1_0030893</v>
      </c>
      <c r="B13333" s="3">
        <v>2588</v>
      </c>
      <c r="C13333" s="1" t="str">
        <f>HYPERLINK("http://www.uniprot.org/uniprot/GLYK_ARATH","GLYK_ARATH")</f>
        <v>GLYK_ARATH</v>
      </c>
      <c r="D13333" t="s">
        <v>9004</v>
      </c>
      <c r="E13333" s="3" t="s">
        <v>3</v>
      </c>
      <c r="F13333" s="4">
        <v>1.0700000000000001E-99</v>
      </c>
      <c r="G13333" s="3">
        <v>818</v>
      </c>
      <c r="H13333" s="3">
        <v>69</v>
      </c>
      <c r="I13333" s="3">
        <v>216</v>
      </c>
      <c r="J13333" s="3">
        <v>291</v>
      </c>
      <c r="K13333" s="3">
        <v>938</v>
      </c>
      <c r="L13333" s="3">
        <v>80</v>
      </c>
      <c r="M13333" s="3">
        <v>295</v>
      </c>
    </row>
    <row r="13334" spans="1:13" x14ac:dyDescent="0.25">
      <c r="A13334" s="1" t="str">
        <f>HYPERLINK("http://www.rosaceae.org/Prunus/Prunus_persica/p.persica_gdr_reftransV1_0031093","p.persica_gdr_reftransV1_0031093")</f>
        <v>p.persica_gdr_reftransV1_0031093</v>
      </c>
      <c r="B13334" s="3">
        <v>1811</v>
      </c>
      <c r="C13334" s="1" t="str">
        <f>HYPERLINK("http://www.uniprot.org/uniprot/DNJB8_HUMAN","DNJB8_HUMAN")</f>
        <v>DNJB8_HUMAN</v>
      </c>
      <c r="D13334" t="s">
        <v>9005</v>
      </c>
      <c r="E13334" s="3" t="s">
        <v>28</v>
      </c>
      <c r="F13334" s="4">
        <v>4.28E-16</v>
      </c>
      <c r="G13334" s="3">
        <v>202</v>
      </c>
      <c r="H13334" s="3">
        <v>55</v>
      </c>
      <c r="I13334" s="3">
        <v>67</v>
      </c>
      <c r="J13334" s="3">
        <v>1023</v>
      </c>
      <c r="K13334" s="3">
        <v>1223</v>
      </c>
      <c r="L13334" s="3">
        <v>3</v>
      </c>
      <c r="M13334" s="3">
        <v>66</v>
      </c>
    </row>
    <row r="13335" spans="1:13" x14ac:dyDescent="0.25">
      <c r="A13335" s="1" t="str">
        <f>HYPERLINK("http://www.rosaceae.org/Prunus/Prunus_persica/p.persica_gdr_reftransV1_0031293","p.persica_gdr_reftransV1_0031293")</f>
        <v>p.persica_gdr_reftransV1_0031293</v>
      </c>
      <c r="B13335" s="3">
        <v>2250</v>
      </c>
      <c r="C13335" s="1" t="str">
        <f>HYPERLINK("http://www.uniprot.org/uniprot/AOX1_MANIN","AOX1_MANIN")</f>
        <v>AOX1_MANIN</v>
      </c>
      <c r="D13335" t="s">
        <v>7098</v>
      </c>
      <c r="E13335" s="3" t="s">
        <v>7099</v>
      </c>
      <c r="F13335" s="4">
        <v>1.17E-170</v>
      </c>
      <c r="G13335" s="3">
        <v>1288</v>
      </c>
      <c r="H13335" s="3">
        <v>74</v>
      </c>
      <c r="I13335" s="3">
        <v>325</v>
      </c>
      <c r="J13335" s="3">
        <v>1058</v>
      </c>
      <c r="K13335" s="3">
        <v>2032</v>
      </c>
      <c r="L13335" s="3">
        <v>12</v>
      </c>
      <c r="M13335" s="3">
        <v>318</v>
      </c>
    </row>
    <row r="13336" spans="1:13" x14ac:dyDescent="0.25">
      <c r="A13336" s="1" t="str">
        <f>HYPERLINK("http://www.rosaceae.org/Prunus/Prunus_persica/p.persica_gdr_reftransV1_0031343","p.persica_gdr_reftransV1_0031343")</f>
        <v>p.persica_gdr_reftransV1_0031343</v>
      </c>
      <c r="B13336" s="3">
        <v>2810</v>
      </c>
      <c r="C13336" s="1" t="str">
        <f>HYPERLINK("http://www.uniprot.org/uniprot/Y2027_ARATH","Y2027_ARATH")</f>
        <v>Y2027_ARATH</v>
      </c>
      <c r="D13336" t="s">
        <v>2116</v>
      </c>
      <c r="E13336" s="3" t="s">
        <v>3</v>
      </c>
      <c r="F13336" s="4">
        <v>8.1899999999999999E-129</v>
      </c>
      <c r="G13336" s="3">
        <v>1039</v>
      </c>
      <c r="H13336" s="3">
        <v>63</v>
      </c>
      <c r="I13336" s="3">
        <v>306</v>
      </c>
      <c r="J13336" s="3">
        <v>1531</v>
      </c>
      <c r="K13336" s="3">
        <v>2445</v>
      </c>
      <c r="L13336" s="3">
        <v>184</v>
      </c>
      <c r="M13336" s="3">
        <v>487</v>
      </c>
    </row>
    <row r="13337" spans="1:13" x14ac:dyDescent="0.25">
      <c r="A13337" s="1" t="str">
        <f>HYPERLINK("http://www.rosaceae.org/Prunus/Prunus_persica/p.persica_gdr_reftransV1_0031693","p.persica_gdr_reftransV1_0031693")</f>
        <v>p.persica_gdr_reftransV1_0031693</v>
      </c>
      <c r="B13337" s="3">
        <v>889</v>
      </c>
      <c r="C13337" s="1" t="str">
        <f>HYPERLINK("http://www.uniprot.org/uniprot/CALR3_ARATH","CALR3_ARATH")</f>
        <v>CALR3_ARATH</v>
      </c>
      <c r="D13337" t="s">
        <v>1727</v>
      </c>
      <c r="E13337" s="3" t="s">
        <v>3</v>
      </c>
      <c r="F13337" s="4">
        <v>1.35E-127</v>
      </c>
      <c r="G13337" s="3">
        <v>968</v>
      </c>
      <c r="H13337" s="3">
        <v>87</v>
      </c>
      <c r="I13337" s="3">
        <v>208</v>
      </c>
      <c r="J13337" s="3">
        <v>2</v>
      </c>
      <c r="K13337" s="3">
        <v>625</v>
      </c>
      <c r="L13337" s="3">
        <v>138</v>
      </c>
      <c r="M13337" s="3">
        <v>345</v>
      </c>
    </row>
    <row r="13338" spans="1:13" x14ac:dyDescent="0.25">
      <c r="A13338" s="1" t="str">
        <f>HYPERLINK("http://www.rosaceae.org/Prunus/Prunus_persica/p.persica_gdr_reftransV1_0032043","p.persica_gdr_reftransV1_0032043")</f>
        <v>p.persica_gdr_reftransV1_0032043</v>
      </c>
      <c r="B13338" s="3">
        <v>1845</v>
      </c>
      <c r="C13338" s="1" t="str">
        <f>HYPERLINK("http://www.uniprot.org/uniprot/DNLZ_HUMAN","DNLZ_HUMAN")</f>
        <v>DNLZ_HUMAN</v>
      </c>
      <c r="D13338" t="s">
        <v>9006</v>
      </c>
      <c r="E13338" s="3" t="s">
        <v>28</v>
      </c>
      <c r="F13338" s="4">
        <v>1.3200000000000001E-8</v>
      </c>
      <c r="G13338" s="3">
        <v>141</v>
      </c>
      <c r="H13338" s="3">
        <v>37</v>
      </c>
      <c r="I13338" s="3">
        <v>54</v>
      </c>
      <c r="J13338" s="3">
        <v>465</v>
      </c>
      <c r="K13338" s="3">
        <v>626</v>
      </c>
      <c r="L13338" s="3">
        <v>73</v>
      </c>
      <c r="M13338" s="3">
        <v>126</v>
      </c>
    </row>
    <row r="13339" spans="1:13" x14ac:dyDescent="0.25">
      <c r="A13339" s="1" t="str">
        <f>HYPERLINK("http://www.rosaceae.org/Prunus/Prunus_persica/p.persica_gdr_reftransV1_0032143","p.persica_gdr_reftransV1_0032143")</f>
        <v>p.persica_gdr_reftransV1_0032143</v>
      </c>
      <c r="B13339" s="3">
        <v>1711</v>
      </c>
      <c r="C13339" s="1" t="str">
        <f>HYPERLINK("http://www.uniprot.org/uniprot/ERCC1_ARATH","ERCC1_ARATH")</f>
        <v>ERCC1_ARATH</v>
      </c>
      <c r="D13339" t="s">
        <v>9007</v>
      </c>
      <c r="E13339" s="3" t="s">
        <v>3</v>
      </c>
      <c r="F13339" s="4">
        <v>2.6599999999999999E-107</v>
      </c>
      <c r="G13339" s="3">
        <v>858</v>
      </c>
      <c r="H13339" s="3">
        <v>69</v>
      </c>
      <c r="I13339" s="3">
        <v>259</v>
      </c>
      <c r="J13339" s="3">
        <v>82</v>
      </c>
      <c r="K13339" s="3">
        <v>837</v>
      </c>
      <c r="L13339" s="3">
        <v>21</v>
      </c>
      <c r="M13339" s="3">
        <v>277</v>
      </c>
    </row>
    <row r="13340" spans="1:13" x14ac:dyDescent="0.25">
      <c r="A13340" s="1" t="str">
        <f>HYPERLINK("http://www.rosaceae.org/Prunus/Prunus_persica/p.persica_gdr_reftransV1_0032293","p.persica_gdr_reftransV1_0032293")</f>
        <v>p.persica_gdr_reftransV1_0032293</v>
      </c>
      <c r="B13340" s="3">
        <v>2520</v>
      </c>
      <c r="C13340" s="1" t="str">
        <f>HYPERLINK("http://www.uniprot.org/uniprot/ASPL1_ARATH","ASPL1_ARATH")</f>
        <v>ASPL1_ARATH</v>
      </c>
      <c r="D13340" t="s">
        <v>996</v>
      </c>
      <c r="E13340" s="3" t="s">
        <v>3</v>
      </c>
      <c r="F13340" s="4">
        <v>9.8099999999999994E-52</v>
      </c>
      <c r="G13340" s="3">
        <v>491</v>
      </c>
      <c r="H13340" s="3">
        <v>57</v>
      </c>
      <c r="I13340" s="3">
        <v>168</v>
      </c>
      <c r="J13340" s="3">
        <v>969</v>
      </c>
      <c r="K13340" s="3">
        <v>1457</v>
      </c>
      <c r="L13340" s="3">
        <v>132</v>
      </c>
      <c r="M13340" s="3">
        <v>299</v>
      </c>
    </row>
    <row r="13341" spans="1:13" x14ac:dyDescent="0.25">
      <c r="A13341" s="1" t="str">
        <f>HYPERLINK("http://www.rosaceae.org/Prunus/Prunus_persica/p.persica_gdr_reftransV1_0032993","p.persica_gdr_reftransV1_0032993")</f>
        <v>p.persica_gdr_reftransV1_0032993</v>
      </c>
      <c r="B13341" s="3">
        <v>473</v>
      </c>
      <c r="C13341" s="1" t="str">
        <f>HYPERLINK("http://www.uniprot.org/uniprot/SDLCA_SOYBN","SDLCA_SOYBN")</f>
        <v>SDLCA_SOYBN</v>
      </c>
      <c r="D13341" t="s">
        <v>9008</v>
      </c>
      <c r="E13341" s="3" t="s">
        <v>307</v>
      </c>
      <c r="F13341" s="4">
        <v>1.08E-57</v>
      </c>
      <c r="G13341" s="3">
        <v>495</v>
      </c>
      <c r="H13341" s="3">
        <v>92</v>
      </c>
      <c r="I13341" s="3">
        <v>115</v>
      </c>
      <c r="J13341" s="3">
        <v>130</v>
      </c>
      <c r="K13341" s="3">
        <v>471</v>
      </c>
      <c r="L13341" s="3">
        <v>1</v>
      </c>
      <c r="M13341" s="3">
        <v>115</v>
      </c>
    </row>
    <row r="13342" spans="1:13" x14ac:dyDescent="0.25">
      <c r="A13342" s="1" t="str">
        <f>HYPERLINK("http://www.rosaceae.org/Prunus/Prunus_persica/p.persica_gdr_reftransV1_0033143","p.persica_gdr_reftransV1_0033143")</f>
        <v>p.persica_gdr_reftransV1_0033143</v>
      </c>
      <c r="B13342" s="3">
        <v>1030</v>
      </c>
      <c r="C13342" s="1" t="str">
        <f>HYPERLINK("http://www.uniprot.org/uniprot/BRPF3_HUMAN","BRPF3_HUMAN")</f>
        <v>BRPF3_HUMAN</v>
      </c>
      <c r="D13342" t="s">
        <v>647</v>
      </c>
      <c r="E13342" s="3" t="s">
        <v>28</v>
      </c>
      <c r="F13342" s="4">
        <v>9.0899999999999995E-17</v>
      </c>
      <c r="G13342" s="3">
        <v>209</v>
      </c>
      <c r="H13342" s="3">
        <v>39</v>
      </c>
      <c r="I13342" s="3">
        <v>110</v>
      </c>
      <c r="J13342" s="3">
        <v>383</v>
      </c>
      <c r="K13342" s="3">
        <v>712</v>
      </c>
      <c r="L13342" s="3">
        <v>591</v>
      </c>
      <c r="M13342" s="3">
        <v>700</v>
      </c>
    </row>
    <row r="13343" spans="1:13" x14ac:dyDescent="0.25">
      <c r="A13343" s="1" t="str">
        <f>HYPERLINK("http://www.rosaceae.org/Prunus/Prunus_persica/p.persica_gdr_reftransV1_0033743","p.persica_gdr_reftransV1_0033743")</f>
        <v>p.persica_gdr_reftransV1_0033743</v>
      </c>
      <c r="B13343" s="3">
        <v>458</v>
      </c>
      <c r="C13343" s="1" t="str">
        <f>HYPERLINK("http://www.uniprot.org/uniprot/PPR78_ARATH","PPR78_ARATH")</f>
        <v>PPR78_ARATH</v>
      </c>
      <c r="D13343" t="s">
        <v>8507</v>
      </c>
      <c r="E13343" s="3" t="s">
        <v>3</v>
      </c>
      <c r="F13343" s="4">
        <v>4.5699999999999998E-43</v>
      </c>
      <c r="G13343" s="3">
        <v>388</v>
      </c>
      <c r="H13343" s="3">
        <v>62</v>
      </c>
      <c r="I13343" s="3">
        <v>129</v>
      </c>
      <c r="J13343" s="3">
        <v>69</v>
      </c>
      <c r="K13343" s="3">
        <v>455</v>
      </c>
      <c r="L13343" s="3">
        <v>4</v>
      </c>
      <c r="M13343" s="3">
        <v>127</v>
      </c>
    </row>
    <row r="13344" spans="1:13" x14ac:dyDescent="0.25">
      <c r="A13344" s="1" t="str">
        <f>HYPERLINK("http://www.rosaceae.org/Prunus/Prunus_persica/p.persica_gdr_reftransV1_0033843","p.persica_gdr_reftransV1_0033843")</f>
        <v>p.persica_gdr_reftransV1_0033843</v>
      </c>
      <c r="B13344" s="3">
        <v>1919</v>
      </c>
      <c r="C13344" s="1" t="str">
        <f>HYPERLINK("http://www.uniprot.org/uniprot/KDSB_ARATH","KDSB_ARATH")</f>
        <v>KDSB_ARATH</v>
      </c>
      <c r="D13344" t="s">
        <v>9009</v>
      </c>
      <c r="E13344" s="3" t="s">
        <v>3</v>
      </c>
      <c r="F13344" s="4">
        <v>9.7699999999999998E-119</v>
      </c>
      <c r="G13344" s="3">
        <v>929</v>
      </c>
      <c r="H13344" s="3">
        <v>84</v>
      </c>
      <c r="I13344" s="3">
        <v>220</v>
      </c>
      <c r="J13344" s="3">
        <v>1067</v>
      </c>
      <c r="K13344" s="3">
        <v>1726</v>
      </c>
      <c r="L13344" s="3">
        <v>12</v>
      </c>
      <c r="M13344" s="3">
        <v>231</v>
      </c>
    </row>
    <row r="13345" spans="1:13" x14ac:dyDescent="0.25">
      <c r="A13345" s="1" t="str">
        <f>HYPERLINK("http://www.rosaceae.org/Prunus/Prunus_persica/p.persica_gdr_reftransV1_0034343","p.persica_gdr_reftransV1_0034343")</f>
        <v>p.persica_gdr_reftransV1_0034343</v>
      </c>
      <c r="B13345" s="3">
        <v>1878</v>
      </c>
      <c r="C13345" s="1" t="str">
        <f>HYPERLINK("http://www.uniprot.org/uniprot/P2A01_ARATH","P2A01_ARATH")</f>
        <v>P2A01_ARATH</v>
      </c>
      <c r="D13345" t="s">
        <v>9010</v>
      </c>
      <c r="E13345" s="3" t="s">
        <v>3</v>
      </c>
      <c r="F13345" s="4">
        <v>7.9400000000000006E-34</v>
      </c>
      <c r="G13345" s="3">
        <v>335</v>
      </c>
      <c r="H13345" s="3">
        <v>47</v>
      </c>
      <c r="I13345" s="3">
        <v>159</v>
      </c>
      <c r="J13345" s="3">
        <v>954</v>
      </c>
      <c r="K13345" s="3">
        <v>1412</v>
      </c>
      <c r="L13345" s="3">
        <v>92</v>
      </c>
      <c r="M13345" s="3">
        <v>246</v>
      </c>
    </row>
    <row r="13346" spans="1:13" x14ac:dyDescent="0.25">
      <c r="A13346" s="1" t="str">
        <f>HYPERLINK("http://www.rosaceae.org/Prunus/Prunus_persica/p.persica_gdr_reftransV1_0034593","p.persica_gdr_reftransV1_0034593")</f>
        <v>p.persica_gdr_reftransV1_0034593</v>
      </c>
      <c r="B13346" s="3">
        <v>3643</v>
      </c>
      <c r="C13346" s="1" t="str">
        <f>HYPERLINK("http://www.uniprot.org/uniprot/SC35_ARATH","SC35_ARATH")</f>
        <v>SC35_ARATH</v>
      </c>
      <c r="D13346" t="s">
        <v>821</v>
      </c>
      <c r="E13346" s="3" t="s">
        <v>3</v>
      </c>
      <c r="F13346" s="4">
        <v>3.0800000000000001E-24</v>
      </c>
      <c r="G13346" s="3">
        <v>273</v>
      </c>
      <c r="H13346" s="3">
        <v>88</v>
      </c>
      <c r="I13346" s="3">
        <v>56</v>
      </c>
      <c r="J13346" s="3">
        <v>385</v>
      </c>
      <c r="K13346" s="3">
        <v>552</v>
      </c>
      <c r="L13346" s="3">
        <v>1</v>
      </c>
      <c r="M13346" s="3">
        <v>56</v>
      </c>
    </row>
    <row r="13347" spans="1:13" x14ac:dyDescent="0.25">
      <c r="A13347" s="1" t="str">
        <f>HYPERLINK("http://www.rosaceae.org/Prunus/Prunus_persica/p.persica_gdr_reftransV1_0034643","p.persica_gdr_reftransV1_0034643")</f>
        <v>p.persica_gdr_reftransV1_0034643</v>
      </c>
      <c r="B13347" s="3">
        <v>3019</v>
      </c>
      <c r="C13347" s="1" t="str">
        <f>HYPERLINK("http://www.uniprot.org/uniprot/AT18B_ARATH","AT18B_ARATH")</f>
        <v>AT18B_ARATH</v>
      </c>
      <c r="D13347" t="s">
        <v>5384</v>
      </c>
      <c r="E13347" s="3" t="s">
        <v>3</v>
      </c>
      <c r="F13347" s="4">
        <v>7.0299999999999995E-83</v>
      </c>
      <c r="G13347" s="3">
        <v>712</v>
      </c>
      <c r="H13347" s="3">
        <v>77</v>
      </c>
      <c r="I13347" s="3">
        <v>176</v>
      </c>
      <c r="J13347" s="3">
        <v>57</v>
      </c>
      <c r="K13347" s="3">
        <v>584</v>
      </c>
      <c r="L13347" s="3">
        <v>1</v>
      </c>
      <c r="M13347" s="3">
        <v>176</v>
      </c>
    </row>
    <row r="13348" spans="1:13" x14ac:dyDescent="0.25">
      <c r="A13348" s="1" t="str">
        <f>HYPERLINK("http://www.rosaceae.org/Prunus/Prunus_persica/p.persica_gdr_reftransV1_0034743","p.persica_gdr_reftransV1_0034743")</f>
        <v>p.persica_gdr_reftransV1_0034743</v>
      </c>
      <c r="B13348" s="3">
        <v>2554</v>
      </c>
      <c r="C13348" s="1" t="str">
        <f>HYPERLINK("http://www.uniprot.org/uniprot/NICA_ARATH","NICA_ARATH")</f>
        <v>NICA_ARATH</v>
      </c>
      <c r="D13348" t="s">
        <v>9011</v>
      </c>
      <c r="E13348" s="3" t="s">
        <v>3</v>
      </c>
      <c r="F13348" s="4">
        <v>0</v>
      </c>
      <c r="G13348" s="3">
        <v>2155</v>
      </c>
      <c r="H13348" s="3">
        <v>64</v>
      </c>
      <c r="I13348" s="3">
        <v>645</v>
      </c>
      <c r="J13348" s="3">
        <v>280</v>
      </c>
      <c r="K13348" s="3">
        <v>2211</v>
      </c>
      <c r="L13348" s="3">
        <v>34</v>
      </c>
      <c r="M13348" s="3">
        <v>676</v>
      </c>
    </row>
    <row r="13349" spans="1:13" x14ac:dyDescent="0.25">
      <c r="A13349" s="1" t="str">
        <f>HYPERLINK("http://www.rosaceae.org/Prunus/Prunus_persica/p.persica_gdr_reftransV1_0034793","p.persica_gdr_reftransV1_0034793")</f>
        <v>p.persica_gdr_reftransV1_0034793</v>
      </c>
      <c r="B13349" s="3">
        <v>1810</v>
      </c>
      <c r="C13349" s="1" t="str">
        <f>HYPERLINK("http://www.uniprot.org/uniprot/C76B6_CATRO","C76B6_CATRO")</f>
        <v>C76B6_CATRO</v>
      </c>
      <c r="D13349" t="s">
        <v>3655</v>
      </c>
      <c r="E13349" s="3" t="s">
        <v>457</v>
      </c>
      <c r="F13349" s="4">
        <v>0</v>
      </c>
      <c r="G13349" s="3">
        <v>1368</v>
      </c>
      <c r="H13349" s="3">
        <v>55</v>
      </c>
      <c r="I13349" s="3">
        <v>466</v>
      </c>
      <c r="J13349" s="3">
        <v>227</v>
      </c>
      <c r="K13349" s="3">
        <v>1624</v>
      </c>
      <c r="L13349" s="3">
        <v>30</v>
      </c>
      <c r="M13349" s="3">
        <v>492</v>
      </c>
    </row>
    <row r="13350" spans="1:13" x14ac:dyDescent="0.25">
      <c r="A13350" s="1" t="str">
        <f>HYPERLINK("http://www.rosaceae.org/Prunus/Prunus_persica/p.persica_gdr_reftransV1_0034843","p.persica_gdr_reftransV1_0034843")</f>
        <v>p.persica_gdr_reftransV1_0034843</v>
      </c>
      <c r="B13350" s="3">
        <v>1523</v>
      </c>
      <c r="C13350" s="1" t="str">
        <f>HYPERLINK("http://www.uniprot.org/uniprot/PP330_ARATH","PP330_ARATH")</f>
        <v>PP330_ARATH</v>
      </c>
      <c r="D13350" t="s">
        <v>755</v>
      </c>
      <c r="E13350" s="3" t="s">
        <v>3</v>
      </c>
      <c r="F13350" s="4">
        <v>3.2100000000000003E-132</v>
      </c>
      <c r="G13350" s="3">
        <v>1036</v>
      </c>
      <c r="H13350" s="3">
        <v>47</v>
      </c>
      <c r="I13350" s="3">
        <v>420</v>
      </c>
      <c r="J13350" s="3">
        <v>6</v>
      </c>
      <c r="K13350" s="3">
        <v>1262</v>
      </c>
      <c r="L13350" s="3">
        <v>178</v>
      </c>
      <c r="M13350" s="3">
        <v>595</v>
      </c>
    </row>
    <row r="13351" spans="1:13" x14ac:dyDescent="0.25">
      <c r="A13351" s="1" t="str">
        <f>HYPERLINK("http://www.rosaceae.org/Prunus/Prunus_persica/p.persica_gdr_reftransV1_0035243","p.persica_gdr_reftransV1_0035243")</f>
        <v>p.persica_gdr_reftransV1_0035243</v>
      </c>
      <c r="B13351" s="3">
        <v>2071</v>
      </c>
      <c r="C13351" s="1" t="str">
        <f>HYPERLINK("http://www.uniprot.org/uniprot/SCAB2_ARATH","SCAB2_ARATH")</f>
        <v>SCAB2_ARATH</v>
      </c>
      <c r="D13351" t="s">
        <v>9012</v>
      </c>
      <c r="E13351" s="3" t="s">
        <v>3</v>
      </c>
      <c r="F13351" s="4">
        <v>0</v>
      </c>
      <c r="G13351" s="3">
        <v>1608</v>
      </c>
      <c r="H13351" s="3">
        <v>66</v>
      </c>
      <c r="I13351" s="3">
        <v>493</v>
      </c>
      <c r="J13351" s="3">
        <v>344</v>
      </c>
      <c r="K13351" s="3">
        <v>1810</v>
      </c>
      <c r="L13351" s="3">
        <v>1</v>
      </c>
      <c r="M13351" s="3">
        <v>492</v>
      </c>
    </row>
    <row r="13352" spans="1:13" x14ac:dyDescent="0.25">
      <c r="A13352" s="1" t="str">
        <f>HYPERLINK("http://www.rosaceae.org/Prunus/Prunus_persica/p.persica_gdr_reftransV1_0035443","p.persica_gdr_reftransV1_0035443")</f>
        <v>p.persica_gdr_reftransV1_0035443</v>
      </c>
      <c r="B13352" s="3">
        <v>3478</v>
      </c>
      <c r="C13352" s="1" t="str">
        <f>HYPERLINK("http://www.uniprot.org/uniprot/CRS2B_ARATH","CRS2B_ARATH")</f>
        <v>CRS2B_ARATH</v>
      </c>
      <c r="D13352" t="s">
        <v>2426</v>
      </c>
      <c r="E13352" s="3" t="s">
        <v>3</v>
      </c>
      <c r="F13352" s="4">
        <v>1.5800000000000001E-32</v>
      </c>
      <c r="G13352" s="3">
        <v>333</v>
      </c>
      <c r="H13352" s="3">
        <v>75</v>
      </c>
      <c r="I13352" s="3">
        <v>83</v>
      </c>
      <c r="J13352" s="3">
        <v>212</v>
      </c>
      <c r="K13352" s="3">
        <v>460</v>
      </c>
      <c r="L13352" s="3">
        <v>158</v>
      </c>
      <c r="M13352" s="3">
        <v>240</v>
      </c>
    </row>
    <row r="13353" spans="1:13" x14ac:dyDescent="0.25">
      <c r="A13353" s="1" t="str">
        <f>HYPERLINK("http://www.rosaceae.org/Prunus/Prunus_persica/p.persica_gdr_reftransV1_0035543","p.persica_gdr_reftransV1_0035543")</f>
        <v>p.persica_gdr_reftransV1_0035543</v>
      </c>
      <c r="B13353" s="3">
        <v>1885</v>
      </c>
      <c r="C13353" s="1" t="str">
        <f>HYPERLINK("http://www.uniprot.org/uniprot/ATG5_ARATH","ATG5_ARATH")</f>
        <v>ATG5_ARATH</v>
      </c>
      <c r="D13353" t="s">
        <v>9013</v>
      </c>
      <c r="E13353" s="3" t="s">
        <v>3</v>
      </c>
      <c r="F13353" s="4">
        <v>8.4000000000000004E-89</v>
      </c>
      <c r="G13353" s="3">
        <v>731</v>
      </c>
      <c r="H13353" s="3">
        <v>71</v>
      </c>
      <c r="I13353" s="3">
        <v>207</v>
      </c>
      <c r="J13353" s="3">
        <v>1109</v>
      </c>
      <c r="K13353" s="3">
        <v>1705</v>
      </c>
      <c r="L13353" s="3">
        <v>1</v>
      </c>
      <c r="M13353" s="3">
        <v>207</v>
      </c>
    </row>
    <row r="13354" spans="1:13" x14ac:dyDescent="0.25">
      <c r="A13354" s="1" t="str">
        <f>HYPERLINK("http://www.rosaceae.org/Prunus/Prunus_persica/p.persica_gdr_reftransV1_0035943","p.persica_gdr_reftransV1_0035943")</f>
        <v>p.persica_gdr_reftransV1_0035943</v>
      </c>
      <c r="B13354" s="3">
        <v>481</v>
      </c>
      <c r="C13354" s="1" t="str">
        <f>HYPERLINK("http://www.uniprot.org/uniprot/PP449_ARATH","PP449_ARATH")</f>
        <v>PP449_ARATH</v>
      </c>
      <c r="D13354" t="s">
        <v>1725</v>
      </c>
      <c r="E13354" s="3" t="s">
        <v>3</v>
      </c>
      <c r="F13354" s="4">
        <v>9.8199999999999992E-44</v>
      </c>
      <c r="G13354" s="3">
        <v>396</v>
      </c>
      <c r="H13354" s="3">
        <v>46</v>
      </c>
      <c r="I13354" s="3">
        <v>160</v>
      </c>
      <c r="J13354" s="3">
        <v>1</v>
      </c>
      <c r="K13354" s="3">
        <v>477</v>
      </c>
      <c r="L13354" s="3">
        <v>330</v>
      </c>
      <c r="M13354" s="3">
        <v>488</v>
      </c>
    </row>
    <row r="13355" spans="1:13" x14ac:dyDescent="0.25">
      <c r="A13355" s="1" t="str">
        <f>HYPERLINK("http://www.rosaceae.org/Prunus/Prunus_persica/p.persica_gdr_reftransV1_0035993","p.persica_gdr_reftransV1_0035993")</f>
        <v>p.persica_gdr_reftransV1_0035993</v>
      </c>
      <c r="B13355" s="3">
        <v>1212</v>
      </c>
      <c r="C13355" s="1" t="str">
        <f>HYPERLINK("http://www.uniprot.org/uniprot/P24D9_ARATH","P24D9_ARATH")</f>
        <v>P24D9_ARATH</v>
      </c>
      <c r="D13355" t="s">
        <v>9014</v>
      </c>
      <c r="E13355" s="3" t="s">
        <v>3</v>
      </c>
      <c r="F13355" s="4">
        <v>2.3399999999999999E-66</v>
      </c>
      <c r="G13355" s="3">
        <v>551</v>
      </c>
      <c r="H13355" s="3">
        <v>59</v>
      </c>
      <c r="I13355" s="3">
        <v>158</v>
      </c>
      <c r="J13355" s="3">
        <v>619</v>
      </c>
      <c r="K13355" s="3">
        <v>1092</v>
      </c>
      <c r="L13355" s="3">
        <v>10</v>
      </c>
      <c r="M13355" s="3">
        <v>167</v>
      </c>
    </row>
    <row r="13356" spans="1:13" x14ac:dyDescent="0.25">
      <c r="A13356" s="1" t="str">
        <f>HYPERLINK("http://www.rosaceae.org/Prunus/Prunus_persica/p.persica_gdr_reftransV1_0036293","p.persica_gdr_reftransV1_0036293")</f>
        <v>p.persica_gdr_reftransV1_0036293</v>
      </c>
      <c r="B13356" s="3">
        <v>750</v>
      </c>
      <c r="C13356" s="1" t="str">
        <f>HYPERLINK("http://www.uniprot.org/uniprot/ALG14_MOUSE","ALG14_MOUSE")</f>
        <v>ALG14_MOUSE</v>
      </c>
      <c r="D13356" t="s">
        <v>6835</v>
      </c>
      <c r="E13356" s="3" t="s">
        <v>157</v>
      </c>
      <c r="F13356" s="4">
        <v>1.4399999999999999E-28</v>
      </c>
      <c r="G13356" s="3">
        <v>282</v>
      </c>
      <c r="H13356" s="3">
        <v>46</v>
      </c>
      <c r="I13356" s="3">
        <v>131</v>
      </c>
      <c r="J13356" s="3">
        <v>156</v>
      </c>
      <c r="K13356" s="3">
        <v>515</v>
      </c>
      <c r="L13356" s="3">
        <v>33</v>
      </c>
      <c r="M13356" s="3">
        <v>162</v>
      </c>
    </row>
    <row r="13357" spans="1:13" x14ac:dyDescent="0.25">
      <c r="A13357" s="1" t="str">
        <f>HYPERLINK("http://www.rosaceae.org/Prunus/Prunus_persica/p.persica_gdr_reftransV1_0036343","p.persica_gdr_reftransV1_0036343")</f>
        <v>p.persica_gdr_reftransV1_0036343</v>
      </c>
      <c r="B13357" s="3">
        <v>3299</v>
      </c>
      <c r="C13357" s="1" t="str">
        <f>HYPERLINK("http://www.uniprot.org/uniprot/CAPP1_SOYBN","CAPP1_SOYBN")</f>
        <v>CAPP1_SOYBN</v>
      </c>
      <c r="D13357" t="s">
        <v>3857</v>
      </c>
      <c r="E13357" s="3" t="s">
        <v>307</v>
      </c>
      <c r="F13357" s="4">
        <v>0</v>
      </c>
      <c r="G13357" s="3">
        <v>4570</v>
      </c>
      <c r="H13357" s="3">
        <v>90</v>
      </c>
      <c r="I13357" s="3">
        <v>967</v>
      </c>
      <c r="J13357" s="3">
        <v>109</v>
      </c>
      <c r="K13357" s="3">
        <v>3003</v>
      </c>
      <c r="L13357" s="3">
        <v>1</v>
      </c>
      <c r="M13357" s="3">
        <v>967</v>
      </c>
    </row>
    <row r="13358" spans="1:13" x14ac:dyDescent="0.25">
      <c r="A13358" s="1" t="str">
        <f>HYPERLINK("http://www.rosaceae.org/Prunus/Prunus_persica/p.persica_gdr_reftransV1_0036593","p.persica_gdr_reftransV1_0036593")</f>
        <v>p.persica_gdr_reftransV1_0036593</v>
      </c>
      <c r="B13358" s="3">
        <v>1635</v>
      </c>
      <c r="C13358" s="1" t="str">
        <f>HYPERLINK("http://www.uniprot.org/uniprot/BAP2_ARATH","BAP2_ARATH")</f>
        <v>BAP2_ARATH</v>
      </c>
      <c r="D13358" t="s">
        <v>8637</v>
      </c>
      <c r="E13358" s="3" t="s">
        <v>3</v>
      </c>
      <c r="F13358" s="4">
        <v>5.3799999999999998E-11</v>
      </c>
      <c r="G13358" s="3">
        <v>160</v>
      </c>
      <c r="H13358" s="3">
        <v>33</v>
      </c>
      <c r="I13358" s="3">
        <v>138</v>
      </c>
      <c r="J13358" s="3">
        <v>391</v>
      </c>
      <c r="K13358" s="3">
        <v>789</v>
      </c>
      <c r="L13358" s="3">
        <v>8</v>
      </c>
      <c r="M13358" s="3">
        <v>140</v>
      </c>
    </row>
    <row r="13359" spans="1:13" x14ac:dyDescent="0.25">
      <c r="A13359" s="1" t="str">
        <f>HYPERLINK("http://www.rosaceae.org/Prunus/Prunus_persica/p.persica_gdr_reftransV1_0036643","p.persica_gdr_reftransV1_0036643")</f>
        <v>p.persica_gdr_reftransV1_0036643</v>
      </c>
      <c r="B13359" s="3">
        <v>6674</v>
      </c>
      <c r="C13359" s="1" t="str">
        <f>HYPERLINK("http://www.uniprot.org/uniprot/NET1D_ARATH","NET1D_ARATH")</f>
        <v>NET1D_ARATH</v>
      </c>
      <c r="D13359" t="s">
        <v>9015</v>
      </c>
      <c r="E13359" s="3" t="s">
        <v>3</v>
      </c>
      <c r="F13359" s="4">
        <v>0</v>
      </c>
      <c r="G13359" s="3">
        <v>3250</v>
      </c>
      <c r="H13359" s="3">
        <v>53</v>
      </c>
      <c r="I13359" s="3">
        <v>1450</v>
      </c>
      <c r="J13359" s="3">
        <v>377</v>
      </c>
      <c r="K13359" s="3">
        <v>4723</v>
      </c>
      <c r="L13359" s="3">
        <v>1</v>
      </c>
      <c r="M13359" s="3">
        <v>1427</v>
      </c>
    </row>
    <row r="13360" spans="1:13" x14ac:dyDescent="0.25">
      <c r="A13360" s="1" t="str">
        <f>HYPERLINK("http://www.rosaceae.org/Prunus/Prunus_persica/p.persica_gdr_reftransV1_0036743","p.persica_gdr_reftransV1_0036743")</f>
        <v>p.persica_gdr_reftransV1_0036743</v>
      </c>
      <c r="B13360" s="3">
        <v>2458</v>
      </c>
      <c r="C13360" s="1" t="str">
        <f>HYPERLINK("http://www.uniprot.org/uniprot/COL9_ARATH","COL9_ARATH")</f>
        <v>COL9_ARATH</v>
      </c>
      <c r="D13360" t="s">
        <v>9016</v>
      </c>
      <c r="E13360" s="3" t="s">
        <v>3</v>
      </c>
      <c r="F13360" s="4">
        <v>1.9199999999999999E-108</v>
      </c>
      <c r="G13360" s="3">
        <v>881</v>
      </c>
      <c r="H13360" s="3">
        <v>56</v>
      </c>
      <c r="I13360" s="3">
        <v>431</v>
      </c>
      <c r="J13360" s="3">
        <v>345</v>
      </c>
      <c r="K13360" s="3">
        <v>1598</v>
      </c>
      <c r="L13360" s="3">
        <v>1</v>
      </c>
      <c r="M13360" s="3">
        <v>372</v>
      </c>
    </row>
    <row r="13361" spans="1:13" x14ac:dyDescent="0.25">
      <c r="A13361" s="1" t="str">
        <f>HYPERLINK("http://www.rosaceae.org/Prunus/Prunus_persica/p.persica_gdr_reftransV1_0036943","p.persica_gdr_reftransV1_0036943")</f>
        <v>p.persica_gdr_reftransV1_0036943</v>
      </c>
      <c r="B13361" s="3">
        <v>2460</v>
      </c>
      <c r="C13361" s="1" t="str">
        <f>HYPERLINK("http://www.uniprot.org/uniprot/APT1_ARATH","APT1_ARATH")</f>
        <v>APT1_ARATH</v>
      </c>
      <c r="D13361" t="s">
        <v>8006</v>
      </c>
      <c r="E13361" s="3" t="s">
        <v>3</v>
      </c>
      <c r="F13361" s="4">
        <v>4.4299999999999998E-47</v>
      </c>
      <c r="G13361" s="3">
        <v>436</v>
      </c>
      <c r="H13361" s="3">
        <v>78</v>
      </c>
      <c r="I13361" s="3">
        <v>108</v>
      </c>
      <c r="J13361" s="3">
        <v>793</v>
      </c>
      <c r="K13361" s="3">
        <v>1116</v>
      </c>
      <c r="L13361" s="3">
        <v>49</v>
      </c>
      <c r="M13361" s="3">
        <v>156</v>
      </c>
    </row>
    <row r="13362" spans="1:13" x14ac:dyDescent="0.25">
      <c r="A13362" s="1" t="str">
        <f>HYPERLINK("http://www.rosaceae.org/Prunus/Prunus_persica/p.persica_gdr_reftransV1_0036993","p.persica_gdr_reftransV1_0036993")</f>
        <v>p.persica_gdr_reftransV1_0036993</v>
      </c>
      <c r="B13362" s="3">
        <v>2955</v>
      </c>
      <c r="C13362" s="1" t="str">
        <f>HYPERLINK("http://www.uniprot.org/uniprot/RLP12_ARATH","RLP12_ARATH")</f>
        <v>RLP12_ARATH</v>
      </c>
      <c r="D13362" t="s">
        <v>1219</v>
      </c>
      <c r="E13362" s="3" t="s">
        <v>3</v>
      </c>
      <c r="F13362" s="4">
        <v>6.9500000000000003E-113</v>
      </c>
      <c r="G13362" s="3">
        <v>961</v>
      </c>
      <c r="H13362" s="3">
        <v>34</v>
      </c>
      <c r="I13362" s="3">
        <v>751</v>
      </c>
      <c r="J13362" s="3">
        <v>465</v>
      </c>
      <c r="K13362" s="3">
        <v>2564</v>
      </c>
      <c r="L13362" s="3">
        <v>119</v>
      </c>
      <c r="M13362" s="3">
        <v>833</v>
      </c>
    </row>
    <row r="13363" spans="1:13" x14ac:dyDescent="0.25">
      <c r="A13363" s="1" t="str">
        <f>HYPERLINK("http://www.rosaceae.org/Prunus/Prunus_persica/p.persica_gdr_reftransV1_0037093","p.persica_gdr_reftransV1_0037093")</f>
        <v>p.persica_gdr_reftransV1_0037093</v>
      </c>
      <c r="B13363" s="3">
        <v>1355</v>
      </c>
      <c r="C13363" s="1" t="str">
        <f>HYPERLINK("http://www.uniprot.org/uniprot/YLS9_ARATH","YLS9_ARATH")</f>
        <v>YLS9_ARATH</v>
      </c>
      <c r="D13363" t="s">
        <v>607</v>
      </c>
      <c r="E13363" s="3" t="s">
        <v>3</v>
      </c>
      <c r="F13363" s="4">
        <v>4.6100000000000001E-10</v>
      </c>
      <c r="G13363" s="3">
        <v>152</v>
      </c>
      <c r="H13363" s="3">
        <v>32</v>
      </c>
      <c r="I13363" s="3">
        <v>150</v>
      </c>
      <c r="J13363" s="3">
        <v>213</v>
      </c>
      <c r="K13363" s="3">
        <v>656</v>
      </c>
      <c r="L13363" s="3">
        <v>51</v>
      </c>
      <c r="M13363" s="3">
        <v>199</v>
      </c>
    </row>
    <row r="13364" spans="1:13" x14ac:dyDescent="0.25">
      <c r="A13364" s="1" t="str">
        <f>HYPERLINK("http://www.rosaceae.org/Prunus/Prunus_persica/p.persica_gdr_reftransV1_0037143","p.persica_gdr_reftransV1_0037143")</f>
        <v>p.persica_gdr_reftransV1_0037143</v>
      </c>
      <c r="B13364" s="3">
        <v>2483</v>
      </c>
      <c r="C13364" s="1" t="str">
        <f>HYPERLINK("http://www.uniprot.org/uniprot/WDR43_HUMAN","WDR43_HUMAN")</f>
        <v>WDR43_HUMAN</v>
      </c>
      <c r="D13364" t="s">
        <v>9017</v>
      </c>
      <c r="E13364" s="3" t="s">
        <v>28</v>
      </c>
      <c r="F13364" s="4">
        <v>5.1399999999999998E-11</v>
      </c>
      <c r="G13364" s="3">
        <v>170</v>
      </c>
      <c r="H13364" s="3">
        <v>27</v>
      </c>
      <c r="I13364" s="3">
        <v>158</v>
      </c>
      <c r="J13364" s="3">
        <v>548</v>
      </c>
      <c r="K13364" s="3">
        <v>979</v>
      </c>
      <c r="L13364" s="3">
        <v>125</v>
      </c>
      <c r="M13364" s="3">
        <v>282</v>
      </c>
    </row>
    <row r="13365" spans="1:13" x14ac:dyDescent="0.25">
      <c r="A13365" s="1" t="str">
        <f>HYPERLINK("http://www.rosaceae.org/Prunus/Prunus_persica/p.persica_gdr_reftransV1_0037393","p.persica_gdr_reftransV1_0037393")</f>
        <v>p.persica_gdr_reftransV1_0037393</v>
      </c>
      <c r="B13365" s="3">
        <v>1979</v>
      </c>
      <c r="C13365" s="1" t="str">
        <f>HYPERLINK("http://www.uniprot.org/uniprot/MDAR2_ARATH","MDAR2_ARATH")</f>
        <v>MDAR2_ARATH</v>
      </c>
      <c r="D13365" t="s">
        <v>9018</v>
      </c>
      <c r="E13365" s="3" t="s">
        <v>3</v>
      </c>
      <c r="F13365" s="4">
        <v>0</v>
      </c>
      <c r="G13365" s="3">
        <v>1371</v>
      </c>
      <c r="H13365" s="3">
        <v>75</v>
      </c>
      <c r="I13365" s="3">
        <v>364</v>
      </c>
      <c r="J13365" s="3">
        <v>739</v>
      </c>
      <c r="K13365" s="3">
        <v>1800</v>
      </c>
      <c r="L13365" s="3">
        <v>125</v>
      </c>
      <c r="M13365" s="3">
        <v>488</v>
      </c>
    </row>
    <row r="13366" spans="1:13" x14ac:dyDescent="0.25">
      <c r="A13366" s="1" t="str">
        <f>HYPERLINK("http://www.rosaceae.org/Prunus/Prunus_persica/p.persica_gdr_reftransV1_0037543","p.persica_gdr_reftransV1_0037543")</f>
        <v>p.persica_gdr_reftransV1_0037543</v>
      </c>
      <c r="B13366" s="3">
        <v>4587</v>
      </c>
      <c r="C13366" s="1" t="str">
        <f>HYPERLINK("http://www.uniprot.org/uniprot/ARFF_ARATH","ARFF_ARATH")</f>
        <v>ARFF_ARATH</v>
      </c>
      <c r="D13366" t="s">
        <v>9019</v>
      </c>
      <c r="E13366" s="3" t="s">
        <v>3</v>
      </c>
      <c r="F13366" s="4">
        <v>0</v>
      </c>
      <c r="G13366" s="3">
        <v>2095</v>
      </c>
      <c r="H13366" s="3">
        <v>88</v>
      </c>
      <c r="I13366" s="3">
        <v>463</v>
      </c>
      <c r="J13366" s="3">
        <v>1130</v>
      </c>
      <c r="K13366" s="3">
        <v>2500</v>
      </c>
      <c r="L13366" s="3">
        <v>1</v>
      </c>
      <c r="M13366" s="3">
        <v>457</v>
      </c>
    </row>
    <row r="13367" spans="1:13" x14ac:dyDescent="0.25">
      <c r="A13367" s="1" t="str">
        <f>HYPERLINK("http://www.rosaceae.org/Prunus/Prunus_persica/p.persica_gdr_reftransV1_0037793","p.persica_gdr_reftransV1_0037793")</f>
        <v>p.persica_gdr_reftransV1_0037793</v>
      </c>
      <c r="B13367" s="3">
        <v>1439</v>
      </c>
      <c r="C13367" s="1" t="str">
        <f>HYPERLINK("http://www.uniprot.org/uniprot/NEP1_NEPGR","NEP1_NEPGR")</f>
        <v>NEP1_NEPGR</v>
      </c>
      <c r="D13367" t="s">
        <v>6644</v>
      </c>
      <c r="E13367" s="3" t="s">
        <v>6645</v>
      </c>
      <c r="F13367" s="4">
        <v>3.0299999999999999E-36</v>
      </c>
      <c r="G13367" s="3">
        <v>361</v>
      </c>
      <c r="H13367" s="3">
        <v>30</v>
      </c>
      <c r="I13367" s="3">
        <v>380</v>
      </c>
      <c r="J13367" s="3">
        <v>90</v>
      </c>
      <c r="K13367" s="3">
        <v>1196</v>
      </c>
      <c r="L13367" s="3">
        <v>91</v>
      </c>
      <c r="M13367" s="3">
        <v>434</v>
      </c>
    </row>
    <row r="13368" spans="1:13" x14ac:dyDescent="0.25">
      <c r="A13368" s="1" t="str">
        <f>HYPERLINK("http://www.rosaceae.org/Prunus/Prunus_persica/p.persica_gdr_reftransV1_0037943","p.persica_gdr_reftransV1_0037943")</f>
        <v>p.persica_gdr_reftransV1_0037943</v>
      </c>
      <c r="B13368" s="3">
        <v>3700</v>
      </c>
      <c r="C13368" s="1" t="str">
        <f>HYPERLINK("http://www.uniprot.org/uniprot/NAA35_PONAB","NAA35_PONAB")</f>
        <v>NAA35_PONAB</v>
      </c>
      <c r="D13368" t="s">
        <v>9020</v>
      </c>
      <c r="E13368" s="3" t="s">
        <v>176</v>
      </c>
      <c r="F13368" s="4">
        <v>6.5400000000000001E-22</v>
      </c>
      <c r="G13368" s="3">
        <v>264</v>
      </c>
      <c r="H13368" s="3">
        <v>34</v>
      </c>
      <c r="I13368" s="3">
        <v>178</v>
      </c>
      <c r="J13368" s="3">
        <v>281</v>
      </c>
      <c r="K13368" s="3">
        <v>796</v>
      </c>
      <c r="L13368" s="3">
        <v>15</v>
      </c>
      <c r="M13368" s="3">
        <v>183</v>
      </c>
    </row>
    <row r="13369" spans="1:13" x14ac:dyDescent="0.25">
      <c r="A13369" s="1" t="str">
        <f>HYPERLINK("http://www.rosaceae.org/Prunus/Prunus_persica/p.persica_gdr_reftransV1_0038793","p.persica_gdr_reftransV1_0038793")</f>
        <v>p.persica_gdr_reftransV1_0038793</v>
      </c>
      <c r="B13369" s="3">
        <v>3695</v>
      </c>
      <c r="C13369" s="1" t="str">
        <f>HYPERLINK("http://www.uniprot.org/uniprot/FAN1_ARATH","FAN1_ARATH")</f>
        <v>FAN1_ARATH</v>
      </c>
      <c r="D13369" t="s">
        <v>9021</v>
      </c>
      <c r="E13369" s="3" t="s">
        <v>3</v>
      </c>
      <c r="F13369" s="4">
        <v>0</v>
      </c>
      <c r="G13369" s="3">
        <v>2394</v>
      </c>
      <c r="H13369" s="3">
        <v>52</v>
      </c>
      <c r="I13369" s="3">
        <v>1000</v>
      </c>
      <c r="J13369" s="3">
        <v>115</v>
      </c>
      <c r="K13369" s="3">
        <v>3099</v>
      </c>
      <c r="L13369" s="3">
        <v>1</v>
      </c>
      <c r="M13369" s="3">
        <v>885</v>
      </c>
    </row>
    <row r="13370" spans="1:13" x14ac:dyDescent="0.25">
      <c r="A13370" s="1" t="str">
        <f>HYPERLINK("http://www.rosaceae.org/Prunus/Prunus_persica/p.persica_gdr_reftransV1_0038993","p.persica_gdr_reftransV1_0038993")</f>
        <v>p.persica_gdr_reftransV1_0038993</v>
      </c>
      <c r="B13370" s="3">
        <v>427</v>
      </c>
      <c r="C13370" s="1" t="str">
        <f>HYPERLINK("http://www.uniprot.org/uniprot/LIN2_LOTJA","LIN2_LOTJA")</f>
        <v>LIN2_LOTJA</v>
      </c>
      <c r="D13370" t="s">
        <v>9022</v>
      </c>
      <c r="E13370" s="3" t="s">
        <v>880</v>
      </c>
      <c r="F13370" s="4">
        <v>1.77E-54</v>
      </c>
      <c r="G13370" s="3">
        <v>482</v>
      </c>
      <c r="H13370" s="3">
        <v>69</v>
      </c>
      <c r="I13370" s="3">
        <v>136</v>
      </c>
      <c r="J13370" s="3">
        <v>20</v>
      </c>
      <c r="K13370" s="3">
        <v>427</v>
      </c>
      <c r="L13370" s="3">
        <v>472</v>
      </c>
      <c r="M13370" s="3">
        <v>606</v>
      </c>
    </row>
    <row r="13371" spans="1:13" x14ac:dyDescent="0.25">
      <c r="A13371" s="1" t="str">
        <f>HYPERLINK("http://www.rosaceae.org/Prunus/Prunus_persica/p.persica_gdr_reftransV1_0039443","p.persica_gdr_reftransV1_0039443")</f>
        <v>p.persica_gdr_reftransV1_0039443</v>
      </c>
      <c r="B13371" s="3">
        <v>2222</v>
      </c>
      <c r="C13371" s="1" t="str">
        <f>HYPERLINK("http://www.uniprot.org/uniprot/SRG1_ARATH","SRG1_ARATH")</f>
        <v>SRG1_ARATH</v>
      </c>
      <c r="D13371" t="s">
        <v>25</v>
      </c>
      <c r="E13371" s="3" t="s">
        <v>3</v>
      </c>
      <c r="F13371" s="4">
        <v>1.3100000000000001E-51</v>
      </c>
      <c r="G13371" s="3">
        <v>477</v>
      </c>
      <c r="H13371" s="3">
        <v>35</v>
      </c>
      <c r="I13371" s="3">
        <v>265</v>
      </c>
      <c r="J13371" s="3">
        <v>191</v>
      </c>
      <c r="K13371" s="3">
        <v>973</v>
      </c>
      <c r="L13371" s="3">
        <v>16</v>
      </c>
      <c r="M13371" s="3">
        <v>279</v>
      </c>
    </row>
    <row r="13372" spans="1:13" x14ac:dyDescent="0.25">
      <c r="A13372" s="1" t="str">
        <f>HYPERLINK("http://www.rosaceae.org/Prunus/Prunus_persica/p.persica_gdr_reftransV1_0039593","p.persica_gdr_reftransV1_0039593")</f>
        <v>p.persica_gdr_reftransV1_0039593</v>
      </c>
      <c r="B13372" s="3">
        <v>1194</v>
      </c>
      <c r="C13372" s="1" t="str">
        <f>HYPERLINK("http://www.uniprot.org/uniprot/idD2_ARATH","idD2_ARATH")</f>
        <v>idD2_ARATH</v>
      </c>
      <c r="D13372" t="s">
        <v>9023</v>
      </c>
      <c r="E13372" s="3" t="s">
        <v>3</v>
      </c>
      <c r="F13372" s="4">
        <v>3.3700000000000001E-109</v>
      </c>
      <c r="G13372" s="3">
        <v>859</v>
      </c>
      <c r="H13372" s="3">
        <v>78</v>
      </c>
      <c r="I13372" s="3">
        <v>201</v>
      </c>
      <c r="J13372" s="3">
        <v>260</v>
      </c>
      <c r="K13372" s="3">
        <v>862</v>
      </c>
      <c r="L13372" s="3">
        <v>4</v>
      </c>
      <c r="M13372" s="3">
        <v>198</v>
      </c>
    </row>
    <row r="13373" spans="1:13" x14ac:dyDescent="0.25">
      <c r="A13373" s="1" t="str">
        <f>HYPERLINK("http://www.rosaceae.org/Prunus/Prunus_persica/p.persica_gdr_reftransV1_0039893","p.persica_gdr_reftransV1_0039893")</f>
        <v>p.persica_gdr_reftransV1_0039893</v>
      </c>
      <c r="B13373" s="3">
        <v>1745</v>
      </c>
      <c r="C13373" s="1" t="str">
        <f>HYPERLINK("http://www.uniprot.org/uniprot/CNO11_HUMAN","CNO11_HUMAN")</f>
        <v>CNO11_HUMAN</v>
      </c>
      <c r="D13373" t="s">
        <v>9024</v>
      </c>
      <c r="E13373" s="3" t="s">
        <v>28</v>
      </c>
      <c r="F13373" s="4">
        <v>1.0999999999999999E-97</v>
      </c>
      <c r="G13373" s="3">
        <v>803</v>
      </c>
      <c r="H13373" s="3">
        <v>73</v>
      </c>
      <c r="I13373" s="3">
        <v>202</v>
      </c>
      <c r="J13373" s="3">
        <v>909</v>
      </c>
      <c r="K13373" s="3">
        <v>1511</v>
      </c>
      <c r="L13373" s="3">
        <v>297</v>
      </c>
      <c r="M13373" s="3">
        <v>498</v>
      </c>
    </row>
    <row r="13374" spans="1:13" x14ac:dyDescent="0.25">
      <c r="A13374" s="1" t="str">
        <f>HYPERLINK("http://www.rosaceae.org/Prunus/Prunus_persica/p.persica_gdr_reftransV1_0040393","p.persica_gdr_reftransV1_0040393")</f>
        <v>p.persica_gdr_reftransV1_0040393</v>
      </c>
      <c r="B13374" s="3">
        <v>934</v>
      </c>
      <c r="C13374" s="1" t="str">
        <f>HYPERLINK("http://www.uniprot.org/uniprot/PT311_ARATH","PT311_ARATH")</f>
        <v>PT311_ARATH</v>
      </c>
      <c r="D13374" t="s">
        <v>5463</v>
      </c>
      <c r="E13374" s="3" t="s">
        <v>3</v>
      </c>
      <c r="F13374" s="4">
        <v>3.3799999999999998E-73</v>
      </c>
      <c r="G13374" s="3">
        <v>597</v>
      </c>
      <c r="H13374" s="3">
        <v>80</v>
      </c>
      <c r="I13374" s="3">
        <v>153</v>
      </c>
      <c r="J13374" s="3">
        <v>473</v>
      </c>
      <c r="K13374" s="3">
        <v>931</v>
      </c>
      <c r="L13374" s="3">
        <v>11</v>
      </c>
      <c r="M13374" s="3">
        <v>163</v>
      </c>
    </row>
    <row r="13375" spans="1:13" x14ac:dyDescent="0.25">
      <c r="A13375" s="1" t="str">
        <f>HYPERLINK("http://www.rosaceae.org/Prunus/Prunus_persica/p.persica_gdr_reftransV1_0040693","p.persica_gdr_reftransV1_0040693")</f>
        <v>p.persica_gdr_reftransV1_0040693</v>
      </c>
      <c r="B13375" s="3">
        <v>1435</v>
      </c>
      <c r="C13375" s="1" t="str">
        <f>HYPERLINK("http://www.uniprot.org/uniprot/RNHX1_ARATH","RNHX1_ARATH")</f>
        <v>RNHX1_ARATH</v>
      </c>
      <c r="D13375" t="s">
        <v>124</v>
      </c>
      <c r="E13375" s="3" t="s">
        <v>3</v>
      </c>
      <c r="F13375" s="4">
        <v>1.0300000000000001E-12</v>
      </c>
      <c r="G13375" s="3">
        <v>180</v>
      </c>
      <c r="H13375" s="3">
        <v>33</v>
      </c>
      <c r="I13375" s="3">
        <v>111</v>
      </c>
      <c r="J13375" s="3">
        <v>380</v>
      </c>
      <c r="K13375" s="3">
        <v>712</v>
      </c>
      <c r="L13375" s="3">
        <v>508</v>
      </c>
      <c r="M13375" s="3">
        <v>618</v>
      </c>
    </row>
    <row r="13376" spans="1:13" x14ac:dyDescent="0.25">
      <c r="A13376" s="1" t="str">
        <f>HYPERLINK("http://www.rosaceae.org/Prunus/Prunus_persica/p.persica_gdr_reftransV1_0040793","p.persica_gdr_reftransV1_0040793")</f>
        <v>p.persica_gdr_reftransV1_0040793</v>
      </c>
      <c r="B13376" s="3">
        <v>2012</v>
      </c>
      <c r="C13376" s="1" t="str">
        <f>HYPERLINK("http://www.uniprot.org/uniprot/MDA1_ARATH","MDA1_ARATH")</f>
        <v>MDA1_ARATH</v>
      </c>
      <c r="D13376" t="s">
        <v>6793</v>
      </c>
      <c r="E13376" s="3" t="s">
        <v>3</v>
      </c>
      <c r="F13376" s="4">
        <v>2.14E-13</v>
      </c>
      <c r="G13376" s="3">
        <v>185</v>
      </c>
      <c r="H13376" s="3">
        <v>30</v>
      </c>
      <c r="I13376" s="3">
        <v>302</v>
      </c>
      <c r="J13376" s="3">
        <v>663</v>
      </c>
      <c r="K13376" s="3">
        <v>1475</v>
      </c>
      <c r="L13376" s="3">
        <v>82</v>
      </c>
      <c r="M13376" s="3">
        <v>368</v>
      </c>
    </row>
    <row r="13377" spans="1:13" x14ac:dyDescent="0.25">
      <c r="A13377" s="1" t="str">
        <f>HYPERLINK("http://www.rosaceae.org/Prunus/Prunus_persica/p.persica_gdr_reftransV1_0040993","p.persica_gdr_reftransV1_0040993")</f>
        <v>p.persica_gdr_reftransV1_0040993</v>
      </c>
      <c r="B13377" s="3">
        <v>1924</v>
      </c>
      <c r="C13377" s="1" t="str">
        <f>HYPERLINK("http://www.uniprot.org/uniprot/PRS8A_ARATH","PRS8A_ARATH")</f>
        <v>PRS8A_ARATH</v>
      </c>
      <c r="D13377" t="s">
        <v>9025</v>
      </c>
      <c r="E13377" s="3" t="s">
        <v>3</v>
      </c>
      <c r="F13377" s="4">
        <v>0</v>
      </c>
      <c r="G13377" s="3">
        <v>1998</v>
      </c>
      <c r="H13377" s="3">
        <v>93</v>
      </c>
      <c r="I13377" s="3">
        <v>422</v>
      </c>
      <c r="J13377" s="3">
        <v>152</v>
      </c>
      <c r="K13377" s="3">
        <v>1417</v>
      </c>
      <c r="L13377" s="3">
        <v>1</v>
      </c>
      <c r="M13377" s="3">
        <v>419</v>
      </c>
    </row>
    <row r="13378" spans="1:13" x14ac:dyDescent="0.25">
      <c r="A13378" s="1" t="str">
        <f>HYPERLINK("http://www.rosaceae.org/Prunus/Prunus_persica/p.persica_gdr_reftransV1_0041043","p.persica_gdr_reftransV1_0041043")</f>
        <v>p.persica_gdr_reftransV1_0041043</v>
      </c>
      <c r="B13378" s="3">
        <v>4347</v>
      </c>
      <c r="C13378" s="1" t="str">
        <f>HYPERLINK("http://www.uniprot.org/uniprot/TRP5_ARATH","TRP5_ARATH")</f>
        <v>TRP5_ARATH</v>
      </c>
      <c r="D13378" t="s">
        <v>7044</v>
      </c>
      <c r="E13378" s="3" t="s">
        <v>3</v>
      </c>
      <c r="F13378" s="4">
        <v>2.12E-102</v>
      </c>
      <c r="G13378" s="3">
        <v>888</v>
      </c>
      <c r="H13378" s="3">
        <v>58</v>
      </c>
      <c r="I13378" s="3">
        <v>398</v>
      </c>
      <c r="J13378" s="3">
        <v>594</v>
      </c>
      <c r="K13378" s="3">
        <v>1781</v>
      </c>
      <c r="L13378" s="3">
        <v>244</v>
      </c>
      <c r="M13378" s="3">
        <v>609</v>
      </c>
    </row>
    <row r="13379" spans="1:13" x14ac:dyDescent="0.25">
      <c r="A13379" s="1" t="str">
        <f>HYPERLINK("http://www.rosaceae.org/Prunus/Prunus_persica/p.persica_gdr_reftransV1_0041393","p.persica_gdr_reftransV1_0041393")</f>
        <v>p.persica_gdr_reftransV1_0041393</v>
      </c>
      <c r="B13379" s="3">
        <v>3301</v>
      </c>
      <c r="C13379" s="1" t="str">
        <f>HYPERLINK("http://www.uniprot.org/uniprot/IPCS_ORYSJ","IPCS_ORYSJ")</f>
        <v>IPCS_ORYSJ</v>
      </c>
      <c r="D13379" t="s">
        <v>9026</v>
      </c>
      <c r="E13379" s="3" t="s">
        <v>38</v>
      </c>
      <c r="F13379" s="4">
        <v>2.6300000000000001E-62</v>
      </c>
      <c r="G13379" s="3">
        <v>561</v>
      </c>
      <c r="H13379" s="3">
        <v>61</v>
      </c>
      <c r="I13379" s="3">
        <v>175</v>
      </c>
      <c r="J13379" s="3">
        <v>1531</v>
      </c>
      <c r="K13379" s="3">
        <v>2016</v>
      </c>
      <c r="L13379" s="3">
        <v>128</v>
      </c>
      <c r="M13379" s="3">
        <v>298</v>
      </c>
    </row>
    <row r="13380" spans="1:13" x14ac:dyDescent="0.25">
      <c r="A13380" s="1" t="str">
        <f>HYPERLINK("http://www.rosaceae.org/Prunus/Prunus_persica/p.persica_gdr_reftransV1_0041443","p.persica_gdr_reftransV1_0041443")</f>
        <v>p.persica_gdr_reftransV1_0041443</v>
      </c>
      <c r="B13380" s="3">
        <v>4186</v>
      </c>
      <c r="C13380" s="1" t="str">
        <f>HYPERLINK("http://www.uniprot.org/uniprot/EDR1_ARATH","EDR1_ARATH")</f>
        <v>EDR1_ARATH</v>
      </c>
      <c r="D13380" t="s">
        <v>1864</v>
      </c>
      <c r="E13380" s="3" t="s">
        <v>3</v>
      </c>
      <c r="F13380" s="4">
        <v>5.1900000000000001E-176</v>
      </c>
      <c r="G13380" s="3">
        <v>1431</v>
      </c>
      <c r="H13380" s="3">
        <v>49</v>
      </c>
      <c r="I13380" s="3">
        <v>719</v>
      </c>
      <c r="J13380" s="3">
        <v>127</v>
      </c>
      <c r="K13380" s="3">
        <v>2211</v>
      </c>
      <c r="L13380" s="3">
        <v>1</v>
      </c>
      <c r="M13380" s="3">
        <v>691</v>
      </c>
    </row>
    <row r="13381" spans="1:13" x14ac:dyDescent="0.25">
      <c r="A13381" s="1" t="str">
        <f>HYPERLINK("http://www.rosaceae.org/Prunus/Prunus_persica/p.persica_gdr_reftransV1_0041743","p.persica_gdr_reftransV1_0041743")</f>
        <v>p.persica_gdr_reftransV1_0041743</v>
      </c>
      <c r="B13381" s="3">
        <v>3302</v>
      </c>
      <c r="C13381" s="1" t="str">
        <f>HYPERLINK("http://www.uniprot.org/uniprot/PIRL6_ORYSJ","PIRL6_ORYSJ")</f>
        <v>PIRL6_ORYSJ</v>
      </c>
      <c r="D13381" t="s">
        <v>7072</v>
      </c>
      <c r="E13381" s="3" t="s">
        <v>38</v>
      </c>
      <c r="F13381" s="4">
        <v>2.7400000000000002E-120</v>
      </c>
      <c r="G13381" s="3">
        <v>999</v>
      </c>
      <c r="H13381" s="3">
        <v>63</v>
      </c>
      <c r="I13381" s="3">
        <v>376</v>
      </c>
      <c r="J13381" s="3">
        <v>1171</v>
      </c>
      <c r="K13381" s="3">
        <v>2292</v>
      </c>
      <c r="L13381" s="3">
        <v>142</v>
      </c>
      <c r="M13381" s="3">
        <v>517</v>
      </c>
    </row>
    <row r="13382" spans="1:13" x14ac:dyDescent="0.25">
      <c r="A13382" s="1" t="str">
        <f>HYPERLINK("http://www.rosaceae.org/Prunus/Prunus_persica/p.persica_gdr_reftransV1_0041793","p.persica_gdr_reftransV1_0041793")</f>
        <v>p.persica_gdr_reftransV1_0041793</v>
      </c>
      <c r="B13382" s="3">
        <v>1366</v>
      </c>
      <c r="C13382" s="1" t="str">
        <f>HYPERLINK("http://www.uniprot.org/uniprot/GPP2_ARATH","GPP2_ARATH")</f>
        <v>GPP2_ARATH</v>
      </c>
      <c r="D13382" t="s">
        <v>9027</v>
      </c>
      <c r="E13382" s="3" t="s">
        <v>3</v>
      </c>
      <c r="F13382" s="4">
        <v>1.7E-133</v>
      </c>
      <c r="G13382" s="3">
        <v>1005</v>
      </c>
      <c r="H13382" s="3">
        <v>76</v>
      </c>
      <c r="I13382" s="3">
        <v>238</v>
      </c>
      <c r="J13382" s="3">
        <v>498</v>
      </c>
      <c r="K13382" s="3">
        <v>1211</v>
      </c>
      <c r="L13382" s="3">
        <v>1</v>
      </c>
      <c r="M13382" s="3">
        <v>238</v>
      </c>
    </row>
    <row r="13383" spans="1:13" x14ac:dyDescent="0.25">
      <c r="A13383" s="1" t="str">
        <f>HYPERLINK("http://www.rosaceae.org/Prunus/Prunus_persica/p.persica_gdr_reftransV1_0042143","p.persica_gdr_reftransV1_0042143")</f>
        <v>p.persica_gdr_reftransV1_0042143</v>
      </c>
      <c r="B13383" s="3">
        <v>2397</v>
      </c>
      <c r="C13383" s="1" t="str">
        <f>HYPERLINK("http://www.uniprot.org/uniprot/SUCB_ARATH","SUCB_ARATH")</f>
        <v>SUCB_ARATH</v>
      </c>
      <c r="D13383" t="s">
        <v>9028</v>
      </c>
      <c r="E13383" s="3" t="s">
        <v>3</v>
      </c>
      <c r="F13383" s="4">
        <v>1.5599999999999999E-166</v>
      </c>
      <c r="G13383" s="3">
        <v>1275</v>
      </c>
      <c r="H13383" s="3">
        <v>84</v>
      </c>
      <c r="I13383" s="3">
        <v>277</v>
      </c>
      <c r="J13383" s="3">
        <v>145</v>
      </c>
      <c r="K13383" s="3">
        <v>975</v>
      </c>
      <c r="L13383" s="3">
        <v>1</v>
      </c>
      <c r="M13383" s="3">
        <v>277</v>
      </c>
    </row>
    <row r="13384" spans="1:13" x14ac:dyDescent="0.25">
      <c r="A13384" s="1" t="str">
        <f>HYPERLINK("http://www.rosaceae.org/Prunus/Prunus_persica/p.persica_gdr_reftransV1_0042293","p.persica_gdr_reftransV1_0042293")</f>
        <v>p.persica_gdr_reftransV1_0042293</v>
      </c>
      <c r="B13384" s="3">
        <v>5646</v>
      </c>
      <c r="C13384" s="1" t="str">
        <f>HYPERLINK("http://www.uniprot.org/uniprot/PMTL_ARATH","PMTL_ARATH")</f>
        <v>PMTL_ARATH</v>
      </c>
      <c r="D13384" t="s">
        <v>9029</v>
      </c>
      <c r="E13384" s="3" t="s">
        <v>3</v>
      </c>
      <c r="F13384" s="4">
        <v>1.8000000000000001E-118</v>
      </c>
      <c r="G13384" s="3">
        <v>1010</v>
      </c>
      <c r="H13384" s="3">
        <v>79</v>
      </c>
      <c r="I13384" s="3">
        <v>227</v>
      </c>
      <c r="J13384" s="3">
        <v>1311</v>
      </c>
      <c r="K13384" s="3">
        <v>1988</v>
      </c>
      <c r="L13384" s="3">
        <v>273</v>
      </c>
      <c r="M13384" s="3">
        <v>499</v>
      </c>
    </row>
    <row r="13385" spans="1:13" x14ac:dyDescent="0.25">
      <c r="A13385" s="1" t="str">
        <f>HYPERLINK("http://www.rosaceae.org/Prunus/Prunus_persica/p.persica_gdr_reftransV1_0042643","p.persica_gdr_reftransV1_0042643")</f>
        <v>p.persica_gdr_reftransV1_0042643</v>
      </c>
      <c r="B13385" s="3">
        <v>3428</v>
      </c>
      <c r="C13385" s="1" t="str">
        <f>HYPERLINK("http://www.uniprot.org/uniprot/TPR3_ARATH","TPR3_ARATH")</f>
        <v>TPR3_ARATH</v>
      </c>
      <c r="D13385" t="s">
        <v>1524</v>
      </c>
      <c r="E13385" s="3" t="s">
        <v>3</v>
      </c>
      <c r="F13385" s="4">
        <v>0</v>
      </c>
      <c r="G13385" s="3">
        <v>3124</v>
      </c>
      <c r="H13385" s="3">
        <v>76</v>
      </c>
      <c r="I13385" s="3">
        <v>811</v>
      </c>
      <c r="J13385" s="3">
        <v>366</v>
      </c>
      <c r="K13385" s="3">
        <v>2798</v>
      </c>
      <c r="L13385" s="3">
        <v>1</v>
      </c>
      <c r="M13385" s="3">
        <v>797</v>
      </c>
    </row>
    <row r="13386" spans="1:13" x14ac:dyDescent="0.25">
      <c r="A13386" s="1" t="str">
        <f>HYPERLINK("http://www.rosaceae.org/Prunus/Prunus_persica/p.persica_gdr_reftransV1_0042693","p.persica_gdr_reftransV1_0042693")</f>
        <v>p.persica_gdr_reftransV1_0042693</v>
      </c>
      <c r="B13386" s="3">
        <v>2066</v>
      </c>
      <c r="C13386" s="1" t="str">
        <f>HYPERLINK("http://www.uniprot.org/uniprot/CSN7_ARATH","CSN7_ARATH")</f>
        <v>CSN7_ARATH</v>
      </c>
      <c r="D13386" t="s">
        <v>9030</v>
      </c>
      <c r="E13386" s="3" t="s">
        <v>3</v>
      </c>
      <c r="F13386" s="4">
        <v>5.2700000000000003E-91</v>
      </c>
      <c r="G13386" s="3">
        <v>743</v>
      </c>
      <c r="H13386" s="3">
        <v>78</v>
      </c>
      <c r="I13386" s="3">
        <v>201</v>
      </c>
      <c r="J13386" s="3">
        <v>1236</v>
      </c>
      <c r="K13386" s="3">
        <v>1838</v>
      </c>
      <c r="L13386" s="3">
        <v>1</v>
      </c>
      <c r="M13386" s="3">
        <v>201</v>
      </c>
    </row>
    <row r="13387" spans="1:13" x14ac:dyDescent="0.25">
      <c r="A13387" s="1" t="str">
        <f>HYPERLINK("http://www.rosaceae.org/Prunus/Prunus_persica/p.persica_gdr_reftransV1_0043043","p.persica_gdr_reftransV1_0043043")</f>
        <v>p.persica_gdr_reftransV1_0043043</v>
      </c>
      <c r="B13387" s="3">
        <v>439</v>
      </c>
      <c r="C13387" s="1" t="str">
        <f>HYPERLINK("http://www.uniprot.org/uniprot/PP219_ARATH","PP219_ARATH")</f>
        <v>PP219_ARATH</v>
      </c>
      <c r="D13387" t="s">
        <v>1645</v>
      </c>
      <c r="E13387" s="3" t="s">
        <v>3</v>
      </c>
      <c r="F13387" s="4">
        <v>8.1599999999999999E-56</v>
      </c>
      <c r="G13387" s="3">
        <v>483</v>
      </c>
      <c r="H13387" s="3">
        <v>61</v>
      </c>
      <c r="I13387" s="3">
        <v>145</v>
      </c>
      <c r="J13387" s="3">
        <v>2</v>
      </c>
      <c r="K13387" s="3">
        <v>436</v>
      </c>
      <c r="L13387" s="3">
        <v>329</v>
      </c>
      <c r="M13387" s="3">
        <v>473</v>
      </c>
    </row>
    <row r="13388" spans="1:13" x14ac:dyDescent="0.25">
      <c r="A13388" s="1" t="str">
        <f>HYPERLINK("http://www.rosaceae.org/Prunus/Prunus_persica/p.persica_gdr_reftransV1_0043093","p.persica_gdr_reftransV1_0043093")</f>
        <v>p.persica_gdr_reftransV1_0043093</v>
      </c>
      <c r="B13388" s="3">
        <v>1198</v>
      </c>
      <c r="C13388" s="1" t="str">
        <f>HYPERLINK("http://www.uniprot.org/uniprot/DDPS2_ARATH","DDPS2_ARATH")</f>
        <v>DDPS2_ARATH</v>
      </c>
      <c r="D13388" t="s">
        <v>7459</v>
      </c>
      <c r="E13388" s="3" t="s">
        <v>3</v>
      </c>
      <c r="F13388" s="4">
        <v>4.2900000000000001E-114</v>
      </c>
      <c r="G13388" s="3">
        <v>878</v>
      </c>
      <c r="H13388" s="3">
        <v>66</v>
      </c>
      <c r="I13388" s="3">
        <v>234</v>
      </c>
      <c r="J13388" s="3">
        <v>350</v>
      </c>
      <c r="K13388" s="3">
        <v>1051</v>
      </c>
      <c r="L13388" s="3">
        <v>75</v>
      </c>
      <c r="M13388" s="3">
        <v>308</v>
      </c>
    </row>
    <row r="13389" spans="1:13" x14ac:dyDescent="0.25">
      <c r="A13389" s="1" t="str">
        <f>HYPERLINK("http://www.rosaceae.org/Prunus/Prunus_persica/p.persica_gdr_reftransV1_0043243","p.persica_gdr_reftransV1_0043243")</f>
        <v>p.persica_gdr_reftransV1_0043243</v>
      </c>
      <c r="B13389" s="3">
        <v>1047</v>
      </c>
      <c r="C13389" s="1" t="str">
        <f>HYPERLINK("http://www.uniprot.org/uniprot/TSO1_ARATH","TSO1_ARATH")</f>
        <v>TSO1_ARATH</v>
      </c>
      <c r="D13389" t="s">
        <v>9031</v>
      </c>
      <c r="E13389" s="3" t="s">
        <v>3</v>
      </c>
      <c r="F13389" s="4">
        <v>1.19E-40</v>
      </c>
      <c r="G13389" s="3">
        <v>392</v>
      </c>
      <c r="H13389" s="3">
        <v>37</v>
      </c>
      <c r="I13389" s="3">
        <v>275</v>
      </c>
      <c r="J13389" s="3">
        <v>8</v>
      </c>
      <c r="K13389" s="3">
        <v>691</v>
      </c>
      <c r="L13389" s="3">
        <v>428</v>
      </c>
      <c r="M13389" s="3">
        <v>695</v>
      </c>
    </row>
    <row r="13390" spans="1:13" x14ac:dyDescent="0.25">
      <c r="A13390" s="1" t="str">
        <f>HYPERLINK("http://www.rosaceae.org/Prunus/Prunus_persica/p.persica_gdr_reftransV1_0043293","p.persica_gdr_reftransV1_0043293")</f>
        <v>p.persica_gdr_reftransV1_0043293</v>
      </c>
      <c r="B13390" s="3">
        <v>691</v>
      </c>
      <c r="C13390" s="1" t="str">
        <f>HYPERLINK("http://www.uniprot.org/uniprot/Y4891_SELML","Y4891_SELML")</f>
        <v>Y4891_SELML</v>
      </c>
      <c r="D13390" t="s">
        <v>9032</v>
      </c>
      <c r="E13390" s="3" t="s">
        <v>1659</v>
      </c>
      <c r="F13390" s="4">
        <v>2.2900000000000002E-9</v>
      </c>
      <c r="G13390" s="3">
        <v>142</v>
      </c>
      <c r="H13390" s="3">
        <v>31</v>
      </c>
      <c r="I13390" s="3">
        <v>144</v>
      </c>
      <c r="J13390" s="3">
        <v>115</v>
      </c>
      <c r="K13390" s="3">
        <v>537</v>
      </c>
      <c r="L13390" s="3">
        <v>67</v>
      </c>
      <c r="M13390" s="3">
        <v>207</v>
      </c>
    </row>
    <row r="13391" spans="1:13" x14ac:dyDescent="0.25">
      <c r="A13391" s="1" t="str">
        <f>HYPERLINK("http://www.rosaceae.org/Prunus/Prunus_persica/p.persica_gdr_reftransV1_0043343","p.persica_gdr_reftransV1_0043343")</f>
        <v>p.persica_gdr_reftransV1_0043343</v>
      </c>
      <c r="B13391" s="3">
        <v>1822</v>
      </c>
      <c r="C13391" s="1" t="str">
        <f>HYPERLINK("http://www.uniprot.org/uniprot/FZR3_ARATH","FZR3_ARATH")</f>
        <v>FZR3_ARATH</v>
      </c>
      <c r="D13391" t="s">
        <v>7690</v>
      </c>
      <c r="E13391" s="3" t="s">
        <v>3</v>
      </c>
      <c r="F13391" s="4">
        <v>0</v>
      </c>
      <c r="G13391" s="3">
        <v>1850</v>
      </c>
      <c r="H13391" s="3">
        <v>82</v>
      </c>
      <c r="I13391" s="3">
        <v>482</v>
      </c>
      <c r="J13391" s="3">
        <v>201</v>
      </c>
      <c r="K13391" s="3">
        <v>1628</v>
      </c>
      <c r="L13391" s="3">
        <v>1</v>
      </c>
      <c r="M13391" s="3">
        <v>481</v>
      </c>
    </row>
    <row r="13392" spans="1:13" x14ac:dyDescent="0.25">
      <c r="A13392" s="1" t="str">
        <f>HYPERLINK("http://www.rosaceae.org/Prunus/Prunus_persica/p.persica_gdr_reftransV1_0043393","p.persica_gdr_reftransV1_0043393")</f>
        <v>p.persica_gdr_reftransV1_0043393</v>
      </c>
      <c r="B13392" s="3">
        <v>321</v>
      </c>
      <c r="C13392" s="1" t="str">
        <f>HYPERLINK("http://www.uniprot.org/uniprot/SSL6_ARATH","SSL6_ARATH")</f>
        <v>SSL6_ARATH</v>
      </c>
      <c r="D13392" t="s">
        <v>1848</v>
      </c>
      <c r="E13392" s="3" t="s">
        <v>3</v>
      </c>
      <c r="F13392" s="4">
        <v>1.3399999999999999E-46</v>
      </c>
      <c r="G13392" s="3">
        <v>402</v>
      </c>
      <c r="H13392" s="3">
        <v>68</v>
      </c>
      <c r="I13392" s="3">
        <v>105</v>
      </c>
      <c r="J13392" s="3">
        <v>1</v>
      </c>
      <c r="K13392" s="3">
        <v>315</v>
      </c>
      <c r="L13392" s="3">
        <v>175</v>
      </c>
      <c r="M13392" s="3">
        <v>276</v>
      </c>
    </row>
    <row r="13393" spans="1:13" x14ac:dyDescent="0.25">
      <c r="A13393" s="1" t="str">
        <f>HYPERLINK("http://www.rosaceae.org/Prunus/Prunus_persica/p.persica_gdr_reftransV1_0043443","p.persica_gdr_reftransV1_0043443")</f>
        <v>p.persica_gdr_reftransV1_0043443</v>
      </c>
      <c r="B13393" s="3">
        <v>687</v>
      </c>
      <c r="C13393" s="1" t="str">
        <f>HYPERLINK("http://www.uniprot.org/uniprot/PP132_ARATH","PP132_ARATH")</f>
        <v>PP132_ARATH</v>
      </c>
      <c r="D13393" t="s">
        <v>5053</v>
      </c>
      <c r="E13393" s="3" t="s">
        <v>3</v>
      </c>
      <c r="F13393" s="4">
        <v>4.0300000000000004E-96</v>
      </c>
      <c r="G13393" s="3">
        <v>780</v>
      </c>
      <c r="H13393" s="3">
        <v>65</v>
      </c>
      <c r="I13393" s="3">
        <v>234</v>
      </c>
      <c r="J13393" s="3">
        <v>9</v>
      </c>
      <c r="K13393" s="3">
        <v>686</v>
      </c>
      <c r="L13393" s="3">
        <v>39</v>
      </c>
      <c r="M13393" s="3">
        <v>260</v>
      </c>
    </row>
    <row r="13394" spans="1:13" x14ac:dyDescent="0.25">
      <c r="A13394" s="1" t="str">
        <f>HYPERLINK("http://www.rosaceae.org/Prunus/Prunus_persica/p.persica_gdr_reftransV1_0043593","p.persica_gdr_reftransV1_0043593")</f>
        <v>p.persica_gdr_reftransV1_0043593</v>
      </c>
      <c r="B13394" s="3">
        <v>928</v>
      </c>
      <c r="C13394" s="1" t="str">
        <f>HYPERLINK("http://www.uniprot.org/uniprot/WRK13_ARATH","WRK13_ARATH")</f>
        <v>WRK13_ARATH</v>
      </c>
      <c r="D13394" t="s">
        <v>9033</v>
      </c>
      <c r="E13394" s="3" t="s">
        <v>3</v>
      </c>
      <c r="F13394" s="4">
        <v>2.4200000000000002E-56</v>
      </c>
      <c r="G13394" s="3">
        <v>483</v>
      </c>
      <c r="H13394" s="3">
        <v>52</v>
      </c>
      <c r="I13394" s="3">
        <v>208</v>
      </c>
      <c r="J13394" s="3">
        <v>196</v>
      </c>
      <c r="K13394" s="3">
        <v>705</v>
      </c>
      <c r="L13394" s="3">
        <v>99</v>
      </c>
      <c r="M13394" s="3">
        <v>304</v>
      </c>
    </row>
    <row r="13395" spans="1:13" x14ac:dyDescent="0.25">
      <c r="A13395" s="1" t="str">
        <f>HYPERLINK("http://www.rosaceae.org/Prunus/Prunus_persica/p.persica_gdr_reftransV1_0043643","p.persica_gdr_reftransV1_0043643")</f>
        <v>p.persica_gdr_reftransV1_0043643</v>
      </c>
      <c r="B13395" s="3">
        <v>2480</v>
      </c>
      <c r="C13395" s="1" t="str">
        <f>HYPERLINK("http://www.uniprot.org/uniprot/CLPB4_ARATH","CLPB4_ARATH")</f>
        <v>CLPB4_ARATH</v>
      </c>
      <c r="D13395" t="s">
        <v>9034</v>
      </c>
      <c r="E13395" s="3" t="s">
        <v>3</v>
      </c>
      <c r="F13395" s="4">
        <v>0</v>
      </c>
      <c r="G13395" s="3">
        <v>1612</v>
      </c>
      <c r="H13395" s="3">
        <v>87</v>
      </c>
      <c r="I13395" s="3">
        <v>364</v>
      </c>
      <c r="J13395" s="3">
        <v>1387</v>
      </c>
      <c r="K13395" s="3">
        <v>2478</v>
      </c>
      <c r="L13395" s="3">
        <v>368</v>
      </c>
      <c r="M13395" s="3">
        <v>731</v>
      </c>
    </row>
    <row r="13396" spans="1:13" x14ac:dyDescent="0.25">
      <c r="A13396" s="1" t="str">
        <f>HYPERLINK("http://www.rosaceae.org/Prunus/Prunus_persica/p.persica_gdr_reftransV1_0043743","p.persica_gdr_reftransV1_0043743")</f>
        <v>p.persica_gdr_reftransV1_0043743</v>
      </c>
      <c r="B13396" s="3">
        <v>1817</v>
      </c>
      <c r="C13396" s="1" t="str">
        <f>HYPERLINK("http://www.uniprot.org/uniprot/POK1_ARATH","POK1_ARATH")</f>
        <v>POK1_ARATH</v>
      </c>
      <c r="D13396" t="s">
        <v>2570</v>
      </c>
      <c r="E13396" s="3" t="s">
        <v>3</v>
      </c>
      <c r="F13396" s="4">
        <v>6.9599999999999993E-148</v>
      </c>
      <c r="G13396" s="3">
        <v>1226</v>
      </c>
      <c r="H13396" s="3">
        <v>55</v>
      </c>
      <c r="I13396" s="3">
        <v>526</v>
      </c>
      <c r="J13396" s="3">
        <v>3</v>
      </c>
      <c r="K13396" s="3">
        <v>1574</v>
      </c>
      <c r="L13396" s="3">
        <v>1544</v>
      </c>
      <c r="M13396" s="3">
        <v>2052</v>
      </c>
    </row>
    <row r="13397" spans="1:13" x14ac:dyDescent="0.25">
      <c r="A13397" s="1" t="str">
        <f>HYPERLINK("http://www.rosaceae.org/Prunus/Prunus_persica/p.persica_gdr_reftransV1_0043843","p.persica_gdr_reftransV1_0043843")</f>
        <v>p.persica_gdr_reftransV1_0043843</v>
      </c>
      <c r="B13397" s="3">
        <v>1498</v>
      </c>
      <c r="C13397" s="1" t="str">
        <f>HYPERLINK("http://www.uniprot.org/uniprot/VIP3_ARATH","VIP3_ARATH")</f>
        <v>VIP3_ARATH</v>
      </c>
      <c r="D13397" t="s">
        <v>7480</v>
      </c>
      <c r="E13397" s="3" t="s">
        <v>3</v>
      </c>
      <c r="F13397" s="4">
        <v>8.9499999999999995E-166</v>
      </c>
      <c r="G13397" s="3">
        <v>1232</v>
      </c>
      <c r="H13397" s="3">
        <v>75</v>
      </c>
      <c r="I13397" s="3">
        <v>315</v>
      </c>
      <c r="J13397" s="3">
        <v>334</v>
      </c>
      <c r="K13397" s="3">
        <v>1266</v>
      </c>
      <c r="L13397" s="3">
        <v>1</v>
      </c>
      <c r="M13397" s="3">
        <v>315</v>
      </c>
    </row>
    <row r="13398" spans="1:13" x14ac:dyDescent="0.25">
      <c r="A13398" s="1" t="str">
        <f>HYPERLINK("http://www.rosaceae.org/Prunus/Prunus_persica/p.persica_gdr_reftransV1_0043893","p.persica_gdr_reftransV1_0043893")</f>
        <v>p.persica_gdr_reftransV1_0043893</v>
      </c>
      <c r="B13398" s="3">
        <v>723</v>
      </c>
      <c r="C13398" s="1" t="str">
        <f>HYPERLINK("http://www.uniprot.org/uniprot/YIPL7_ARATH","YIPL7_ARATH")</f>
        <v>YIPL7_ARATH</v>
      </c>
      <c r="D13398" t="s">
        <v>8063</v>
      </c>
      <c r="E13398" s="3" t="s">
        <v>3</v>
      </c>
      <c r="F13398" s="4">
        <v>2.5300000000000002E-69</v>
      </c>
      <c r="G13398" s="3">
        <v>548</v>
      </c>
      <c r="H13398" s="3">
        <v>77</v>
      </c>
      <c r="I13398" s="3">
        <v>128</v>
      </c>
      <c r="J13398" s="3">
        <v>179</v>
      </c>
      <c r="K13398" s="3">
        <v>562</v>
      </c>
      <c r="L13398" s="3">
        <v>1</v>
      </c>
      <c r="M13398" s="3">
        <v>128</v>
      </c>
    </row>
    <row r="13399" spans="1:13" x14ac:dyDescent="0.25">
      <c r="A13399" s="1" t="str">
        <f>HYPERLINK("http://www.rosaceae.org/Prunus/Prunus_persica/p.persica_gdr_reftransV1_0043993","p.persica_gdr_reftransV1_0043993")</f>
        <v>p.persica_gdr_reftransV1_0043993</v>
      </c>
      <c r="B13399" s="3">
        <v>2249</v>
      </c>
      <c r="C13399" s="1" t="str">
        <f>HYPERLINK("http://www.uniprot.org/uniprot/NAGS2_ARATH","NAGS2_ARATH")</f>
        <v>NAGS2_ARATH</v>
      </c>
      <c r="D13399" t="s">
        <v>301</v>
      </c>
      <c r="E13399" s="3" t="s">
        <v>3</v>
      </c>
      <c r="F13399" s="4">
        <v>0</v>
      </c>
      <c r="G13399" s="3">
        <v>2119</v>
      </c>
      <c r="H13399" s="3">
        <v>75</v>
      </c>
      <c r="I13399" s="3">
        <v>543</v>
      </c>
      <c r="J13399" s="3">
        <v>396</v>
      </c>
      <c r="K13399" s="3">
        <v>1994</v>
      </c>
      <c r="L13399" s="3">
        <v>72</v>
      </c>
      <c r="M13399" s="3">
        <v>612</v>
      </c>
    </row>
    <row r="13400" spans="1:13" x14ac:dyDescent="0.25">
      <c r="A13400" s="1" t="str">
        <f>HYPERLINK("http://www.rosaceae.org/Prunus/Prunus_persica/p.persica_gdr_reftransV1_0044043","p.persica_gdr_reftransV1_0044043")</f>
        <v>p.persica_gdr_reftransV1_0044043</v>
      </c>
      <c r="B13400" s="3">
        <v>818</v>
      </c>
      <c r="C13400" s="1" t="str">
        <f>HYPERLINK("http://www.uniprot.org/uniprot/LBD21_ARATH","LBD21_ARATH")</f>
        <v>LBD21_ARATH</v>
      </c>
      <c r="D13400" t="s">
        <v>9035</v>
      </c>
      <c r="E13400" s="3" t="s">
        <v>3</v>
      </c>
      <c r="F13400" s="4">
        <v>6.3499999999999997E-58</v>
      </c>
      <c r="G13400" s="3">
        <v>479</v>
      </c>
      <c r="H13400" s="3">
        <v>80</v>
      </c>
      <c r="I13400" s="3">
        <v>111</v>
      </c>
      <c r="J13400" s="3">
        <v>8</v>
      </c>
      <c r="K13400" s="3">
        <v>340</v>
      </c>
      <c r="L13400" s="3">
        <v>1</v>
      </c>
      <c r="M13400" s="3">
        <v>110</v>
      </c>
    </row>
    <row r="13401" spans="1:13" x14ac:dyDescent="0.25">
      <c r="A13401" s="1" t="str">
        <f>HYPERLINK("http://www.rosaceae.org/Prunus/Prunus_persica/p.persica_gdr_reftransV1_0044093","p.persica_gdr_reftransV1_0044093")</f>
        <v>p.persica_gdr_reftransV1_0044093</v>
      </c>
      <c r="B13401" s="3">
        <v>2243</v>
      </c>
      <c r="C13401" s="1" t="str">
        <f>HYPERLINK("http://www.uniprot.org/uniprot/VAD1_ARATH","VAD1_ARATH")</f>
        <v>VAD1_ARATH</v>
      </c>
      <c r="D13401" t="s">
        <v>251</v>
      </c>
      <c r="E13401" s="3" t="s">
        <v>3</v>
      </c>
      <c r="F13401" s="4">
        <v>5.6799999999999999E-21</v>
      </c>
      <c r="G13401" s="3">
        <v>252</v>
      </c>
      <c r="H13401" s="3">
        <v>26</v>
      </c>
      <c r="I13401" s="3">
        <v>370</v>
      </c>
      <c r="J13401" s="3">
        <v>847</v>
      </c>
      <c r="K13401" s="3">
        <v>1803</v>
      </c>
      <c r="L13401" s="3">
        <v>65</v>
      </c>
      <c r="M13401" s="3">
        <v>417</v>
      </c>
    </row>
    <row r="13402" spans="1:13" x14ac:dyDescent="0.25">
      <c r="A13402" s="1" t="str">
        <f>HYPERLINK("http://www.rosaceae.org/Prunus/Prunus_persica/p.persica_gdr_reftransV1_0044193","p.persica_gdr_reftransV1_0044193")</f>
        <v>p.persica_gdr_reftransV1_0044193</v>
      </c>
      <c r="B13402" s="3">
        <v>864</v>
      </c>
      <c r="C13402" s="1" t="str">
        <f>HYPERLINK("http://www.uniprot.org/uniprot/CNGC1_ARATH","CNGC1_ARATH")</f>
        <v>CNGC1_ARATH</v>
      </c>
      <c r="D13402" t="s">
        <v>241</v>
      </c>
      <c r="E13402" s="3" t="s">
        <v>3</v>
      </c>
      <c r="F13402" s="4">
        <v>4.0600000000000001E-23</v>
      </c>
      <c r="G13402" s="3">
        <v>257</v>
      </c>
      <c r="H13402" s="3">
        <v>32</v>
      </c>
      <c r="I13402" s="3">
        <v>217</v>
      </c>
      <c r="J13402" s="3">
        <v>213</v>
      </c>
      <c r="K13402" s="3">
        <v>863</v>
      </c>
      <c r="L13402" s="3">
        <v>399</v>
      </c>
      <c r="M13402" s="3">
        <v>599</v>
      </c>
    </row>
    <row r="13403" spans="1:13" x14ac:dyDescent="0.25">
      <c r="A13403" s="1" t="str">
        <f>HYPERLINK("http://www.rosaceae.org/Prunus/Prunus_persica/p.persica_gdr_reftransV1_0044243","p.persica_gdr_reftransV1_0044243")</f>
        <v>p.persica_gdr_reftransV1_0044243</v>
      </c>
      <c r="B13403" s="3">
        <v>835</v>
      </c>
      <c r="C13403" s="1" t="str">
        <f>HYPERLINK("http://www.uniprot.org/uniprot/RLF34_ARATH","RLF34_ARATH")</f>
        <v>RLF34_ARATH</v>
      </c>
      <c r="D13403" t="s">
        <v>9036</v>
      </c>
      <c r="E13403" s="3" t="s">
        <v>3</v>
      </c>
      <c r="F13403" s="4">
        <v>2.0999999999999999E-24</v>
      </c>
      <c r="G13403" s="3">
        <v>248</v>
      </c>
      <c r="H13403" s="3">
        <v>50</v>
      </c>
      <c r="I13403" s="3">
        <v>107</v>
      </c>
      <c r="J13403" s="3">
        <v>289</v>
      </c>
      <c r="K13403" s="3">
        <v>594</v>
      </c>
      <c r="L13403" s="3">
        <v>17</v>
      </c>
      <c r="M13403" s="3">
        <v>118</v>
      </c>
    </row>
    <row r="13404" spans="1:13" x14ac:dyDescent="0.25">
      <c r="A13404" s="1" t="str">
        <f>HYPERLINK("http://www.rosaceae.org/Prunus/Prunus_persica/p.persica_gdr_reftransV1_0044343","p.persica_gdr_reftransV1_0044343")</f>
        <v>p.persica_gdr_reftransV1_0044343</v>
      </c>
      <c r="B13404" s="3">
        <v>1782</v>
      </c>
      <c r="C13404" s="1" t="str">
        <f>HYPERLINK("http://www.uniprot.org/uniprot/Y1668_ARATH","Y1668_ARATH")</f>
        <v>Y1668_ARATH</v>
      </c>
      <c r="D13404" t="s">
        <v>2846</v>
      </c>
      <c r="E13404" s="3" t="s">
        <v>3</v>
      </c>
      <c r="F13404" s="4">
        <v>1.4499999999999999E-115</v>
      </c>
      <c r="G13404" s="3">
        <v>939</v>
      </c>
      <c r="H13404" s="3">
        <v>40</v>
      </c>
      <c r="I13404" s="3">
        <v>529</v>
      </c>
      <c r="J13404" s="3">
        <v>1</v>
      </c>
      <c r="K13404" s="3">
        <v>1581</v>
      </c>
      <c r="L13404" s="3">
        <v>181</v>
      </c>
      <c r="M13404" s="3">
        <v>683</v>
      </c>
    </row>
    <row r="13405" spans="1:13" x14ac:dyDescent="0.25">
      <c r="A13405" s="1" t="str">
        <f>HYPERLINK("http://www.rosaceae.org/Prunus/Prunus_persica/p.persica_gdr_reftransV1_0044443","p.persica_gdr_reftransV1_0044443")</f>
        <v>p.persica_gdr_reftransV1_0044443</v>
      </c>
      <c r="B13405" s="3">
        <v>1237</v>
      </c>
      <c r="C13405" s="1" t="str">
        <f>HYPERLINK("http://www.uniprot.org/uniprot/BSPA_POPDE","BSPA_POPDE")</f>
        <v>BSPA_POPDE</v>
      </c>
      <c r="D13405" t="s">
        <v>1293</v>
      </c>
      <c r="E13405" s="3" t="s">
        <v>1294</v>
      </c>
      <c r="F13405" s="4">
        <v>1.7299999999999999E-30</v>
      </c>
      <c r="G13405" s="3">
        <v>309</v>
      </c>
      <c r="H13405" s="3">
        <v>30</v>
      </c>
      <c r="I13405" s="3">
        <v>291</v>
      </c>
      <c r="J13405" s="3">
        <v>239</v>
      </c>
      <c r="K13405" s="3">
        <v>1105</v>
      </c>
      <c r="L13405" s="3">
        <v>44</v>
      </c>
      <c r="M13405" s="3">
        <v>304</v>
      </c>
    </row>
    <row r="13406" spans="1:13" x14ac:dyDescent="0.25">
      <c r="A13406" s="1" t="str">
        <f>HYPERLINK("http://www.rosaceae.org/Prunus/Prunus_persica/p.persica_gdr_reftransV1_0044493","p.persica_gdr_reftransV1_0044493")</f>
        <v>p.persica_gdr_reftransV1_0044493</v>
      </c>
      <c r="B13406" s="3">
        <v>542</v>
      </c>
      <c r="C13406" s="1" t="str">
        <f>HYPERLINK("http://www.uniprot.org/uniprot/RS23_FRAAN","RS23_FRAAN")</f>
        <v>RS23_FRAAN</v>
      </c>
      <c r="D13406" t="s">
        <v>8816</v>
      </c>
      <c r="E13406" s="3" t="s">
        <v>15</v>
      </c>
      <c r="F13406" s="4">
        <v>2.8099999999999999E-92</v>
      </c>
      <c r="G13406" s="3">
        <v>695</v>
      </c>
      <c r="H13406" s="3">
        <v>99</v>
      </c>
      <c r="I13406" s="3">
        <v>134</v>
      </c>
      <c r="J13406" s="3">
        <v>98</v>
      </c>
      <c r="K13406" s="3">
        <v>499</v>
      </c>
      <c r="L13406" s="3">
        <v>1</v>
      </c>
      <c r="M13406" s="3">
        <v>134</v>
      </c>
    </row>
    <row r="13407" spans="1:13" x14ac:dyDescent="0.25">
      <c r="A13407" s="1" t="str">
        <f>HYPERLINK("http://www.rosaceae.org/Prunus/Prunus_persica/p.persica_gdr_reftransV1_0044643","p.persica_gdr_reftransV1_0044643")</f>
        <v>p.persica_gdr_reftransV1_0044643</v>
      </c>
      <c r="B13407" s="3">
        <v>388</v>
      </c>
      <c r="C13407" s="1" t="str">
        <f>HYPERLINK("http://www.uniprot.org/uniprot/DPP2_RAT","DPP2_RAT")</f>
        <v>DPP2_RAT</v>
      </c>
      <c r="D13407" t="s">
        <v>9037</v>
      </c>
      <c r="E13407" s="3" t="s">
        <v>161</v>
      </c>
      <c r="F13407" s="4">
        <v>7.0999999999999998E-7</v>
      </c>
      <c r="G13407" s="3">
        <v>120</v>
      </c>
      <c r="H13407" s="3">
        <v>39</v>
      </c>
      <c r="I13407" s="3">
        <v>79</v>
      </c>
      <c r="J13407" s="3">
        <v>4</v>
      </c>
      <c r="K13407" s="3">
        <v>240</v>
      </c>
      <c r="L13407" s="3">
        <v>30</v>
      </c>
      <c r="M13407" s="3">
        <v>105</v>
      </c>
    </row>
    <row r="13408" spans="1:13" x14ac:dyDescent="0.25">
      <c r="A13408" s="1" t="str">
        <f>HYPERLINK("http://www.rosaceae.org/Prunus/Prunus_persica/p.persica_gdr_reftransV1_0044693","p.persica_gdr_reftransV1_0044693")</f>
        <v>p.persica_gdr_reftransV1_0044693</v>
      </c>
      <c r="B13408" s="3">
        <v>963</v>
      </c>
      <c r="C13408" s="1" t="str">
        <f>HYPERLINK("http://www.uniprot.org/uniprot/Y4318_ARATH","Y4318_ARATH")</f>
        <v>Y4318_ARATH</v>
      </c>
      <c r="D13408" t="s">
        <v>9038</v>
      </c>
      <c r="E13408" s="3" t="s">
        <v>3</v>
      </c>
      <c r="F13408" s="4">
        <v>2.1899999999999999E-10</v>
      </c>
      <c r="G13408" s="3">
        <v>150</v>
      </c>
      <c r="H13408" s="3">
        <v>43</v>
      </c>
      <c r="I13408" s="3">
        <v>89</v>
      </c>
      <c r="J13408" s="3">
        <v>493</v>
      </c>
      <c r="K13408" s="3">
        <v>759</v>
      </c>
      <c r="L13408" s="3">
        <v>3</v>
      </c>
      <c r="M13408" s="3">
        <v>76</v>
      </c>
    </row>
    <row r="13409" spans="1:13" x14ac:dyDescent="0.25">
      <c r="A13409" s="1" t="str">
        <f>HYPERLINK("http://www.rosaceae.org/Prunus/Prunus_persica/p.persica_gdr_reftransV1_0044793","p.persica_gdr_reftransV1_0044793")</f>
        <v>p.persica_gdr_reftransV1_0044793</v>
      </c>
      <c r="B13409" s="3">
        <v>2382</v>
      </c>
      <c r="C13409" s="1" t="str">
        <f>HYPERLINK("http://www.uniprot.org/uniprot/NPY1_ARATH","NPY1_ARATH")</f>
        <v>NPY1_ARATH</v>
      </c>
      <c r="D13409" t="s">
        <v>9039</v>
      </c>
      <c r="E13409" s="3" t="s">
        <v>3</v>
      </c>
      <c r="F13409" s="4">
        <v>0</v>
      </c>
      <c r="G13409" s="3">
        <v>1673</v>
      </c>
      <c r="H13409" s="3">
        <v>58</v>
      </c>
      <c r="I13409" s="3">
        <v>581</v>
      </c>
      <c r="J13409" s="3">
        <v>287</v>
      </c>
      <c r="K13409" s="3">
        <v>2020</v>
      </c>
      <c r="L13409" s="3">
        <v>1</v>
      </c>
      <c r="M13409" s="3">
        <v>538</v>
      </c>
    </row>
    <row r="13410" spans="1:13" x14ac:dyDescent="0.25">
      <c r="A13410" s="1" t="str">
        <f>HYPERLINK("http://www.rosaceae.org/Prunus/Prunus_persica/p.persica_gdr_reftransV1_0044843","p.persica_gdr_reftransV1_0044843")</f>
        <v>p.persica_gdr_reftransV1_0044843</v>
      </c>
      <c r="B13410" s="3">
        <v>603</v>
      </c>
      <c r="C13410" s="1" t="str">
        <f>HYPERLINK("http://www.uniprot.org/uniprot/SKU5_ARATH","SKU5_ARATH")</f>
        <v>SKU5_ARATH</v>
      </c>
      <c r="D13410" t="s">
        <v>2966</v>
      </c>
      <c r="E13410" s="3" t="s">
        <v>3</v>
      </c>
      <c r="F13410" s="4">
        <v>7.8800000000000001E-27</v>
      </c>
      <c r="G13410" s="3">
        <v>277</v>
      </c>
      <c r="H13410" s="3">
        <v>55</v>
      </c>
      <c r="I13410" s="3">
        <v>95</v>
      </c>
      <c r="J13410" s="3">
        <v>319</v>
      </c>
      <c r="K13410" s="3">
        <v>603</v>
      </c>
      <c r="L13410" s="3">
        <v>6</v>
      </c>
      <c r="M13410" s="3">
        <v>100</v>
      </c>
    </row>
    <row r="13411" spans="1:13" x14ac:dyDescent="0.25">
      <c r="A13411" s="1" t="str">
        <f>HYPERLINK("http://www.rosaceae.org/Prunus/Prunus_persica/p.persica_gdr_reftransV1_0044893","p.persica_gdr_reftransV1_0044893")</f>
        <v>p.persica_gdr_reftransV1_0044893</v>
      </c>
      <c r="B13411" s="3">
        <v>1768</v>
      </c>
      <c r="C13411" s="1" t="str">
        <f>HYPERLINK("http://www.uniprot.org/uniprot/FACR3_ARATH","FACR3_ARATH")</f>
        <v>FACR3_ARATH</v>
      </c>
      <c r="D13411" t="s">
        <v>6492</v>
      </c>
      <c r="E13411" s="3" t="s">
        <v>3</v>
      </c>
      <c r="F13411" s="4">
        <v>0</v>
      </c>
      <c r="G13411" s="3">
        <v>1693</v>
      </c>
      <c r="H13411" s="3">
        <v>64</v>
      </c>
      <c r="I13411" s="3">
        <v>489</v>
      </c>
      <c r="J13411" s="3">
        <v>103</v>
      </c>
      <c r="K13411" s="3">
        <v>1569</v>
      </c>
      <c r="L13411" s="3">
        <v>5</v>
      </c>
      <c r="M13411" s="3">
        <v>493</v>
      </c>
    </row>
    <row r="13412" spans="1:13" x14ac:dyDescent="0.25">
      <c r="A13412" s="1" t="str">
        <f>HYPERLINK("http://www.rosaceae.org/Prunus/Prunus_persica/p.persica_gdr_reftransV1_0044943","p.persica_gdr_reftransV1_0044943")</f>
        <v>p.persica_gdr_reftransV1_0044943</v>
      </c>
      <c r="B13412" s="3">
        <v>2762</v>
      </c>
      <c r="C13412" s="1" t="str">
        <f>HYPERLINK("http://www.uniprot.org/uniprot/ATK4_ARATH","ATK4_ARATH")</f>
        <v>ATK4_ARATH</v>
      </c>
      <c r="D13412" t="s">
        <v>3593</v>
      </c>
      <c r="E13412" s="3" t="s">
        <v>3</v>
      </c>
      <c r="F13412" s="4">
        <v>5.88E-106</v>
      </c>
      <c r="G13412" s="3">
        <v>917</v>
      </c>
      <c r="H13412" s="3">
        <v>50</v>
      </c>
      <c r="I13412" s="3">
        <v>361</v>
      </c>
      <c r="J13412" s="3">
        <v>1027</v>
      </c>
      <c r="K13412" s="3">
        <v>2085</v>
      </c>
      <c r="L13412" s="3">
        <v>382</v>
      </c>
      <c r="M13412" s="3">
        <v>739</v>
      </c>
    </row>
    <row r="13413" spans="1:13" x14ac:dyDescent="0.25">
      <c r="A13413" s="1" t="str">
        <f>HYPERLINK("http://www.rosaceae.org/Prunus/Prunus_persica/p.persica_gdr_reftransV1_0045043","p.persica_gdr_reftransV1_0045043")</f>
        <v>p.persica_gdr_reftransV1_0045043</v>
      </c>
      <c r="B13413" s="3">
        <v>1892</v>
      </c>
      <c r="C13413" s="1" t="str">
        <f>HYPERLINK("http://www.uniprot.org/uniprot/Y1497_ARATH","Y1497_ARATH")</f>
        <v>Y1497_ARATH</v>
      </c>
      <c r="D13413" t="s">
        <v>4408</v>
      </c>
      <c r="E13413" s="3" t="s">
        <v>3</v>
      </c>
      <c r="F13413" s="4">
        <v>2.3399999999999999E-178</v>
      </c>
      <c r="G13413" s="3">
        <v>1361</v>
      </c>
      <c r="H13413" s="3">
        <v>63</v>
      </c>
      <c r="I13413" s="3">
        <v>485</v>
      </c>
      <c r="J13413" s="3">
        <v>2</v>
      </c>
      <c r="K13413" s="3">
        <v>1441</v>
      </c>
      <c r="L13413" s="3">
        <v>153</v>
      </c>
      <c r="M13413" s="3">
        <v>633</v>
      </c>
    </row>
    <row r="13414" spans="1:13" x14ac:dyDescent="0.25">
      <c r="A13414" s="1" t="str">
        <f>HYPERLINK("http://www.rosaceae.org/Prunus/Prunus_persica/p.persica_gdr_reftransV1_0045193","p.persica_gdr_reftransV1_0045193")</f>
        <v>p.persica_gdr_reftransV1_0045193</v>
      </c>
      <c r="B13414" s="3">
        <v>883</v>
      </c>
      <c r="C13414" s="1" t="str">
        <f>HYPERLINK("http://www.uniprot.org/uniprot/NH2L1_XENTR","NH2L1_XENTR")</f>
        <v>NH2L1_XENTR</v>
      </c>
      <c r="D13414" t="s">
        <v>537</v>
      </c>
      <c r="E13414" s="3" t="s">
        <v>173</v>
      </c>
      <c r="F13414" s="4">
        <v>8.7599999999999996E-57</v>
      </c>
      <c r="G13414" s="3">
        <v>470</v>
      </c>
      <c r="H13414" s="3">
        <v>80</v>
      </c>
      <c r="I13414" s="3">
        <v>128</v>
      </c>
      <c r="J13414" s="3">
        <v>165</v>
      </c>
      <c r="K13414" s="3">
        <v>548</v>
      </c>
      <c r="L13414" s="3">
        <v>1</v>
      </c>
      <c r="M13414" s="3">
        <v>128</v>
      </c>
    </row>
    <row r="13415" spans="1:13" x14ac:dyDescent="0.25">
      <c r="A13415" s="1" t="str">
        <f>HYPERLINK("http://www.rosaceae.org/Prunus/Prunus_persica/p.persica_gdr_reftransV1_0045243","p.persica_gdr_reftransV1_0045243")</f>
        <v>p.persica_gdr_reftransV1_0045243</v>
      </c>
      <c r="B13415" s="3">
        <v>1038</v>
      </c>
      <c r="C13415" s="1" t="str">
        <f>HYPERLINK("http://www.uniprot.org/uniprot/CCH_ARATH","CCH_ARATH")</f>
        <v>CCH_ARATH</v>
      </c>
      <c r="D13415" t="s">
        <v>4510</v>
      </c>
      <c r="E13415" s="3" t="s">
        <v>3</v>
      </c>
      <c r="F13415" s="4">
        <v>1.1400000000000001E-11</v>
      </c>
      <c r="G13415" s="3">
        <v>158</v>
      </c>
      <c r="H13415" s="3">
        <v>42</v>
      </c>
      <c r="I13415" s="3">
        <v>66</v>
      </c>
      <c r="J13415" s="3">
        <v>180</v>
      </c>
      <c r="K13415" s="3">
        <v>377</v>
      </c>
      <c r="L13415" s="3">
        <v>3</v>
      </c>
      <c r="M13415" s="3">
        <v>68</v>
      </c>
    </row>
    <row r="13416" spans="1:13" x14ac:dyDescent="0.25">
      <c r="A13416" s="1" t="str">
        <f>HYPERLINK("http://www.rosaceae.org/Prunus/Prunus_persica/p.persica_gdr_reftransV1_0045293","p.persica_gdr_reftransV1_0045293")</f>
        <v>p.persica_gdr_reftransV1_0045293</v>
      </c>
      <c r="B13416" s="3">
        <v>1211</v>
      </c>
      <c r="C13416" s="1" t="str">
        <f>HYPERLINK("http://www.uniprot.org/uniprot/SILD_FORIN","SILD_FORIN")</f>
        <v>SILD_FORIN</v>
      </c>
      <c r="D13416" t="s">
        <v>2439</v>
      </c>
      <c r="E13416" s="3" t="s">
        <v>2440</v>
      </c>
      <c r="F13416" s="4">
        <v>5.7700000000000001E-101</v>
      </c>
      <c r="G13416" s="3">
        <v>788</v>
      </c>
      <c r="H13416" s="3">
        <v>59</v>
      </c>
      <c r="I13416" s="3">
        <v>260</v>
      </c>
      <c r="J13416" s="3">
        <v>171</v>
      </c>
      <c r="K13416" s="3">
        <v>938</v>
      </c>
      <c r="L13416" s="3">
        <v>14</v>
      </c>
      <c r="M13416" s="3">
        <v>273</v>
      </c>
    </row>
    <row r="13417" spans="1:13" x14ac:dyDescent="0.25">
      <c r="A13417" s="1" t="str">
        <f>HYPERLINK("http://www.rosaceae.org/Prunus/Prunus_persica/p.persica_gdr_reftransV1_0045343","p.persica_gdr_reftransV1_0045343")</f>
        <v>p.persica_gdr_reftransV1_0045343</v>
      </c>
      <c r="B13417" s="3">
        <v>484</v>
      </c>
      <c r="C13417" s="1" t="str">
        <f>HYPERLINK("http://www.uniprot.org/uniprot/PMM_ARATH","PMM_ARATH")</f>
        <v>PMM_ARATH</v>
      </c>
      <c r="D13417" t="s">
        <v>9040</v>
      </c>
      <c r="E13417" s="3" t="s">
        <v>3</v>
      </c>
      <c r="F13417" s="4">
        <v>3.1599999999999998E-45</v>
      </c>
      <c r="G13417" s="3">
        <v>390</v>
      </c>
      <c r="H13417" s="3">
        <v>77</v>
      </c>
      <c r="I13417" s="3">
        <v>98</v>
      </c>
      <c r="J13417" s="3">
        <v>42</v>
      </c>
      <c r="K13417" s="3">
        <v>335</v>
      </c>
      <c r="L13417" s="3">
        <v>1</v>
      </c>
      <c r="M13417" s="3">
        <v>98</v>
      </c>
    </row>
    <row r="13418" spans="1:13" x14ac:dyDescent="0.25">
      <c r="A13418" s="1" t="str">
        <f>HYPERLINK("http://www.rosaceae.org/Prunus/Prunus_persica/p.persica_gdr_reftransV1_0045393","p.persica_gdr_reftransV1_0045393")</f>
        <v>p.persica_gdr_reftransV1_0045393</v>
      </c>
      <c r="B13418" s="3">
        <v>1273</v>
      </c>
      <c r="C13418" s="1" t="str">
        <f>HYPERLINK("http://www.uniprot.org/uniprot/RGA3_SOLBU","RGA3_SOLBU")</f>
        <v>RGA3_SOLBU</v>
      </c>
      <c r="D13418" t="s">
        <v>1884</v>
      </c>
      <c r="E13418" s="3" t="s">
        <v>560</v>
      </c>
      <c r="F13418" s="4">
        <v>6.9699999999999999E-16</v>
      </c>
      <c r="G13418" s="3">
        <v>206</v>
      </c>
      <c r="H13418" s="3">
        <v>34</v>
      </c>
      <c r="I13418" s="3">
        <v>173</v>
      </c>
      <c r="J13418" s="3">
        <v>7</v>
      </c>
      <c r="K13418" s="3">
        <v>510</v>
      </c>
      <c r="L13418" s="3">
        <v>597</v>
      </c>
      <c r="M13418" s="3">
        <v>766</v>
      </c>
    </row>
    <row r="13419" spans="1:13" x14ac:dyDescent="0.25">
      <c r="A13419" s="1" t="str">
        <f>HYPERLINK("http://www.rosaceae.org/Prunus/Prunus_persica/p.persica_gdr_reftransV1_0045443","p.persica_gdr_reftransV1_0045443")</f>
        <v>p.persica_gdr_reftransV1_0045443</v>
      </c>
      <c r="B13419" s="3">
        <v>478</v>
      </c>
      <c r="C13419" s="1" t="str">
        <f>HYPERLINK("http://www.uniprot.org/uniprot/RA51B_ARATH","RA51B_ARATH")</f>
        <v>RA51B_ARATH</v>
      </c>
      <c r="D13419" t="s">
        <v>2984</v>
      </c>
      <c r="E13419" s="3" t="s">
        <v>3</v>
      </c>
      <c r="F13419" s="4">
        <v>1.1100000000000001E-76</v>
      </c>
      <c r="G13419" s="3">
        <v>610</v>
      </c>
      <c r="H13419" s="3">
        <v>72</v>
      </c>
      <c r="I13419" s="3">
        <v>159</v>
      </c>
      <c r="J13419" s="3">
        <v>1</v>
      </c>
      <c r="K13419" s="3">
        <v>477</v>
      </c>
      <c r="L13419" s="3">
        <v>147</v>
      </c>
      <c r="M13419" s="3">
        <v>305</v>
      </c>
    </row>
    <row r="13420" spans="1:13" x14ac:dyDescent="0.25">
      <c r="A13420" s="1" t="str">
        <f>HYPERLINK("http://www.rosaceae.org/Prunus/Prunus_persica/p.persica_gdr_reftransV1_0045543","p.persica_gdr_reftransV1_0045543")</f>
        <v>p.persica_gdr_reftransV1_0045543</v>
      </c>
      <c r="B13420" s="3">
        <v>1017</v>
      </c>
      <c r="C13420" s="1" t="str">
        <f>HYPERLINK("http://www.uniprot.org/uniprot/PSA3_SPIOL","PSA3_SPIOL")</f>
        <v>PSA3_SPIOL</v>
      </c>
      <c r="D13420" t="s">
        <v>3357</v>
      </c>
      <c r="E13420" s="3" t="s">
        <v>131</v>
      </c>
      <c r="F13420" s="4">
        <v>1.8E-156</v>
      </c>
      <c r="G13420" s="3">
        <v>1146</v>
      </c>
      <c r="H13420" s="3">
        <v>91</v>
      </c>
      <c r="I13420" s="3">
        <v>228</v>
      </c>
      <c r="J13420" s="3">
        <v>260</v>
      </c>
      <c r="K13420" s="3">
        <v>943</v>
      </c>
      <c r="L13420" s="3">
        <v>1</v>
      </c>
      <c r="M13420" s="3">
        <v>228</v>
      </c>
    </row>
    <row r="13421" spans="1:13" x14ac:dyDescent="0.25">
      <c r="A13421" s="1" t="str">
        <f>HYPERLINK("http://www.rosaceae.org/Prunus/Prunus_persica/p.persica_gdr_reftransV1_0045643","p.persica_gdr_reftransV1_0045643")</f>
        <v>p.persica_gdr_reftransV1_0045643</v>
      </c>
      <c r="B13421" s="3">
        <v>1815</v>
      </c>
      <c r="C13421" s="1" t="str">
        <f>HYPERLINK("http://www.uniprot.org/uniprot/BGL44_ARATH","BGL44_ARATH")</f>
        <v>BGL44_ARATH</v>
      </c>
      <c r="D13421" t="s">
        <v>9041</v>
      </c>
      <c r="E13421" s="3" t="s">
        <v>3</v>
      </c>
      <c r="F13421" s="4">
        <v>0</v>
      </c>
      <c r="G13421" s="3">
        <v>2081</v>
      </c>
      <c r="H13421" s="3">
        <v>79</v>
      </c>
      <c r="I13421" s="3">
        <v>477</v>
      </c>
      <c r="J13421" s="3">
        <v>146</v>
      </c>
      <c r="K13421" s="3">
        <v>1573</v>
      </c>
      <c r="L13421" s="3">
        <v>27</v>
      </c>
      <c r="M13421" s="3">
        <v>503</v>
      </c>
    </row>
    <row r="13422" spans="1:13" x14ac:dyDescent="0.25">
      <c r="A13422" s="1" t="str">
        <f>HYPERLINK("http://www.rosaceae.org/Prunus/Prunus_persica/p.persica_gdr_reftransV1_0045693","p.persica_gdr_reftransV1_0045693")</f>
        <v>p.persica_gdr_reftransV1_0045693</v>
      </c>
      <c r="B13422" s="3">
        <v>1038</v>
      </c>
      <c r="C13422" s="1" t="str">
        <f>HYPERLINK("http://www.uniprot.org/uniprot/DREB3_ARATH","DREB3_ARATH")</f>
        <v>DREB3_ARATH</v>
      </c>
      <c r="D13422" t="s">
        <v>4853</v>
      </c>
      <c r="E13422" s="3" t="s">
        <v>3</v>
      </c>
      <c r="F13422" s="4">
        <v>4.3699999999999999E-71</v>
      </c>
      <c r="G13422" s="3">
        <v>580</v>
      </c>
      <c r="H13422" s="3">
        <v>68</v>
      </c>
      <c r="I13422" s="3">
        <v>194</v>
      </c>
      <c r="J13422" s="3">
        <v>140</v>
      </c>
      <c r="K13422" s="3">
        <v>709</v>
      </c>
      <c r="L13422" s="3">
        <v>36</v>
      </c>
      <c r="M13422" s="3">
        <v>229</v>
      </c>
    </row>
    <row r="13423" spans="1:13" x14ac:dyDescent="0.25">
      <c r="A13423" s="1" t="str">
        <f>HYPERLINK("http://www.rosaceae.org/Prunus/Prunus_persica/p.persica_gdr_reftransV1_0045743","p.persica_gdr_reftransV1_0045743")</f>
        <v>p.persica_gdr_reftransV1_0045743</v>
      </c>
      <c r="B13423" s="3">
        <v>2231</v>
      </c>
      <c r="C13423" s="1" t="str">
        <f>HYPERLINK("http://www.uniprot.org/uniprot/GUN2_ARATH","GUN2_ARATH")</f>
        <v>GUN2_ARATH</v>
      </c>
      <c r="D13423" t="s">
        <v>6851</v>
      </c>
      <c r="E13423" s="3" t="s">
        <v>3</v>
      </c>
      <c r="F13423" s="4">
        <v>0</v>
      </c>
      <c r="G13423" s="3">
        <v>1779</v>
      </c>
      <c r="H13423" s="3">
        <v>74</v>
      </c>
      <c r="I13423" s="3">
        <v>472</v>
      </c>
      <c r="J13423" s="3">
        <v>279</v>
      </c>
      <c r="K13423" s="3">
        <v>1694</v>
      </c>
      <c r="L13423" s="3">
        <v>46</v>
      </c>
      <c r="M13423" s="3">
        <v>515</v>
      </c>
    </row>
    <row r="13424" spans="1:13" x14ac:dyDescent="0.25">
      <c r="A13424" s="1" t="str">
        <f>HYPERLINK("http://www.rosaceae.org/Prunus/Prunus_persica/p.persica_gdr_reftransV1_0045843","p.persica_gdr_reftransV1_0045843")</f>
        <v>p.persica_gdr_reftransV1_0045843</v>
      </c>
      <c r="B13424" s="3">
        <v>1508</v>
      </c>
      <c r="C13424" s="1" t="str">
        <f>HYPERLINK("http://www.uniprot.org/uniprot/Y4844_ARATH","Y4844_ARATH")</f>
        <v>Y4844_ARATH</v>
      </c>
      <c r="D13424" t="s">
        <v>3914</v>
      </c>
      <c r="E13424" s="3" t="s">
        <v>3</v>
      </c>
      <c r="F13424" s="4">
        <v>2.82E-55</v>
      </c>
      <c r="G13424" s="3">
        <v>477</v>
      </c>
      <c r="H13424" s="3">
        <v>70</v>
      </c>
      <c r="I13424" s="3">
        <v>135</v>
      </c>
      <c r="J13424" s="3">
        <v>332</v>
      </c>
      <c r="K13424" s="3">
        <v>718</v>
      </c>
      <c r="L13424" s="3">
        <v>18</v>
      </c>
      <c r="M13424" s="3">
        <v>152</v>
      </c>
    </row>
    <row r="13425" spans="1:13" x14ac:dyDescent="0.25">
      <c r="A13425" s="1" t="str">
        <f>HYPERLINK("http://www.rosaceae.org/Prunus/Prunus_persica/p.persica_gdr_reftransV1_0045893","p.persica_gdr_reftransV1_0045893")</f>
        <v>p.persica_gdr_reftransV1_0045893</v>
      </c>
      <c r="B13425" s="3">
        <v>1998</v>
      </c>
      <c r="C13425" s="1" t="str">
        <f>HYPERLINK("http://www.uniprot.org/uniprot/ANT_ARATH","ANT_ARATH")</f>
        <v>ANT_ARATH</v>
      </c>
      <c r="D13425" t="s">
        <v>9042</v>
      </c>
      <c r="E13425" s="3" t="s">
        <v>3</v>
      </c>
      <c r="F13425" s="4">
        <v>5.5900000000000001E-131</v>
      </c>
      <c r="G13425" s="3">
        <v>1038</v>
      </c>
      <c r="H13425" s="3">
        <v>89</v>
      </c>
      <c r="I13425" s="3">
        <v>221</v>
      </c>
      <c r="J13425" s="3">
        <v>670</v>
      </c>
      <c r="K13425" s="3">
        <v>1323</v>
      </c>
      <c r="L13425" s="3">
        <v>253</v>
      </c>
      <c r="M13425" s="3">
        <v>473</v>
      </c>
    </row>
    <row r="13426" spans="1:13" x14ac:dyDescent="0.25">
      <c r="A13426" s="1" t="str">
        <f>HYPERLINK("http://www.rosaceae.org/Prunus/Prunus_persica/p.persica_gdr_reftransV1_0045993","p.persica_gdr_reftransV1_0045993")</f>
        <v>p.persica_gdr_reftransV1_0045993</v>
      </c>
      <c r="B13426" s="3">
        <v>1023</v>
      </c>
      <c r="C13426" s="1" t="str">
        <f>HYPERLINK("http://www.uniprot.org/uniprot/HMGB7_ARATH","HMGB7_ARATH")</f>
        <v>HMGB7_ARATH</v>
      </c>
      <c r="D13426" t="s">
        <v>9043</v>
      </c>
      <c r="E13426" s="3" t="s">
        <v>3</v>
      </c>
      <c r="F13426" s="4">
        <v>2.78E-45</v>
      </c>
      <c r="G13426" s="3">
        <v>406</v>
      </c>
      <c r="H13426" s="3">
        <v>58</v>
      </c>
      <c r="I13426" s="3">
        <v>168</v>
      </c>
      <c r="J13426" s="3">
        <v>33</v>
      </c>
      <c r="K13426" s="3">
        <v>512</v>
      </c>
      <c r="L13426" s="3">
        <v>1</v>
      </c>
      <c r="M13426" s="3">
        <v>166</v>
      </c>
    </row>
    <row r="13427" spans="1:13" x14ac:dyDescent="0.25">
      <c r="A13427" s="1" t="str">
        <f>HYPERLINK("http://www.rosaceae.org/Prunus/Prunus_persica/p.persica_gdr_reftransV1_0046043","p.persica_gdr_reftransV1_0046043")</f>
        <v>p.persica_gdr_reftransV1_0046043</v>
      </c>
      <c r="B13427" s="3">
        <v>518</v>
      </c>
      <c r="C13427" s="1" t="str">
        <f>HYPERLINK("http://www.uniprot.org/uniprot/VA712_ARATH","VA712_ARATH")</f>
        <v>VA712_ARATH</v>
      </c>
      <c r="D13427" t="s">
        <v>9044</v>
      </c>
      <c r="E13427" s="3" t="s">
        <v>3</v>
      </c>
      <c r="F13427" s="4">
        <v>7.5700000000000006E-83</v>
      </c>
      <c r="G13427" s="3">
        <v>639</v>
      </c>
      <c r="H13427" s="3">
        <v>84</v>
      </c>
      <c r="I13427" s="3">
        <v>136</v>
      </c>
      <c r="J13427" s="3">
        <v>13</v>
      </c>
      <c r="K13427" s="3">
        <v>420</v>
      </c>
      <c r="L13427" s="3">
        <v>1</v>
      </c>
      <c r="M13427" s="3">
        <v>136</v>
      </c>
    </row>
    <row r="13428" spans="1:13" x14ac:dyDescent="0.25">
      <c r="A13428" s="1" t="str">
        <f>HYPERLINK("http://www.rosaceae.org/Prunus/Prunus_persica/p.persica_gdr_reftransV1_0046093","p.persica_gdr_reftransV1_0046093")</f>
        <v>p.persica_gdr_reftransV1_0046093</v>
      </c>
      <c r="B13428" s="3">
        <v>1036</v>
      </c>
      <c r="C13428" s="1" t="str">
        <f>HYPERLINK("http://www.uniprot.org/uniprot/UBC19_ARATH","UBC19_ARATH")</f>
        <v>UBC19_ARATH</v>
      </c>
      <c r="D13428" t="s">
        <v>9045</v>
      </c>
      <c r="E13428" s="3" t="s">
        <v>3</v>
      </c>
      <c r="F13428" s="4">
        <v>1.2200000000000001E-98</v>
      </c>
      <c r="G13428" s="3">
        <v>758</v>
      </c>
      <c r="H13428" s="3">
        <v>90</v>
      </c>
      <c r="I13428" s="3">
        <v>157</v>
      </c>
      <c r="J13428" s="3">
        <v>247</v>
      </c>
      <c r="K13428" s="3">
        <v>717</v>
      </c>
      <c r="L13428" s="3">
        <v>21</v>
      </c>
      <c r="M13428" s="3">
        <v>177</v>
      </c>
    </row>
    <row r="13429" spans="1:13" x14ac:dyDescent="0.25">
      <c r="A13429" s="1" t="str">
        <f>HYPERLINK("http://www.rosaceae.org/Prunus/Prunus_persica/p.persica_gdr_reftransV1_0046143","p.persica_gdr_reftransV1_0046143")</f>
        <v>p.persica_gdr_reftransV1_0046143</v>
      </c>
      <c r="B13429" s="3">
        <v>1149</v>
      </c>
      <c r="C13429" s="1" t="str">
        <f>HYPERLINK("http://www.uniprot.org/uniprot/YPTM2_MAIZE","YPTM2_MAIZE")</f>
        <v>YPTM2_MAIZE</v>
      </c>
      <c r="D13429" t="s">
        <v>1105</v>
      </c>
      <c r="E13429" s="3" t="s">
        <v>72</v>
      </c>
      <c r="F13429" s="4">
        <v>2.2500000000000002E-134</v>
      </c>
      <c r="G13429" s="3">
        <v>1000</v>
      </c>
      <c r="H13429" s="3">
        <v>93</v>
      </c>
      <c r="I13429" s="3">
        <v>201</v>
      </c>
      <c r="J13429" s="3">
        <v>177</v>
      </c>
      <c r="K13429" s="3">
        <v>776</v>
      </c>
      <c r="L13429" s="3">
        <v>1</v>
      </c>
      <c r="M13429" s="3">
        <v>201</v>
      </c>
    </row>
    <row r="13430" spans="1:13" x14ac:dyDescent="0.25">
      <c r="A13430" s="1" t="str">
        <f>HYPERLINK("http://www.rosaceae.org/Prunus/Prunus_persica/p.persica_gdr_reftransV1_0046193","p.persica_gdr_reftransV1_0046193")</f>
        <v>p.persica_gdr_reftransV1_0046193</v>
      </c>
      <c r="B13430" s="3">
        <v>1101</v>
      </c>
      <c r="C13430" s="1" t="str">
        <f>HYPERLINK("http://www.uniprot.org/uniprot/ASIL2_ARATH","ASIL2_ARATH")</f>
        <v>ASIL2_ARATH</v>
      </c>
      <c r="D13430" t="s">
        <v>1243</v>
      </c>
      <c r="E13430" s="3" t="s">
        <v>3</v>
      </c>
      <c r="F13430" s="4">
        <v>1.3499999999999999E-18</v>
      </c>
      <c r="G13430" s="3">
        <v>222</v>
      </c>
      <c r="H13430" s="3">
        <v>41</v>
      </c>
      <c r="I13430" s="3">
        <v>110</v>
      </c>
      <c r="J13430" s="3">
        <v>231</v>
      </c>
      <c r="K13430" s="3">
        <v>554</v>
      </c>
      <c r="L13430" s="3">
        <v>84</v>
      </c>
      <c r="M13430" s="3">
        <v>189</v>
      </c>
    </row>
    <row r="13431" spans="1:13" x14ac:dyDescent="0.25">
      <c r="A13431" s="1" t="str">
        <f>HYPERLINK("http://www.rosaceae.org/Prunus/Prunus_persica/p.persica_gdr_reftransV1_0046243","p.persica_gdr_reftransV1_0046243")</f>
        <v>p.persica_gdr_reftransV1_0046243</v>
      </c>
      <c r="B13431" s="3">
        <v>383</v>
      </c>
      <c r="C13431" s="1" t="str">
        <f>HYPERLINK("http://www.uniprot.org/uniprot/HSL2_ARATH","HSL2_ARATH")</f>
        <v>HSL2_ARATH</v>
      </c>
      <c r="D13431" t="s">
        <v>634</v>
      </c>
      <c r="E13431" s="3" t="s">
        <v>3</v>
      </c>
      <c r="F13431" s="4">
        <v>6.8500000000000003E-43</v>
      </c>
      <c r="G13431" s="3">
        <v>392</v>
      </c>
      <c r="H13431" s="3">
        <v>71</v>
      </c>
      <c r="I13431" s="3">
        <v>104</v>
      </c>
      <c r="J13431" s="3">
        <v>76</v>
      </c>
      <c r="K13431" s="3">
        <v>381</v>
      </c>
      <c r="L13431" s="3">
        <v>787</v>
      </c>
      <c r="M13431" s="3">
        <v>890</v>
      </c>
    </row>
    <row r="13432" spans="1:13" x14ac:dyDescent="0.25">
      <c r="A13432" s="1" t="str">
        <f>HYPERLINK("http://www.rosaceae.org/Prunus/Prunus_persica/p.persica_gdr_reftransV1_0046293","p.persica_gdr_reftransV1_0046293")</f>
        <v>p.persica_gdr_reftransV1_0046293</v>
      </c>
      <c r="B13432" s="3">
        <v>710</v>
      </c>
      <c r="C13432" s="1" t="str">
        <f>HYPERLINK("http://www.uniprot.org/uniprot/SP1L1_ARATH","SP1L1_ARATH")</f>
        <v>SP1L1_ARATH</v>
      </c>
      <c r="D13432" t="s">
        <v>3348</v>
      </c>
      <c r="E13432" s="3" t="s">
        <v>3</v>
      </c>
      <c r="F13432" s="4">
        <v>8.18E-35</v>
      </c>
      <c r="G13432" s="3">
        <v>316</v>
      </c>
      <c r="H13432" s="3">
        <v>66</v>
      </c>
      <c r="I13432" s="3">
        <v>107</v>
      </c>
      <c r="J13432" s="3">
        <v>41</v>
      </c>
      <c r="K13432" s="3">
        <v>361</v>
      </c>
      <c r="L13432" s="3">
        <v>13</v>
      </c>
      <c r="M13432" s="3">
        <v>113</v>
      </c>
    </row>
    <row r="13433" spans="1:13" x14ac:dyDescent="0.25">
      <c r="A13433" s="1" t="str">
        <f>HYPERLINK("http://www.rosaceae.org/Prunus/Prunus_persica/p.persica_gdr_reftransV1_0046393","p.persica_gdr_reftransV1_0046393")</f>
        <v>p.persica_gdr_reftransV1_0046393</v>
      </c>
      <c r="B13433" s="3">
        <v>4003</v>
      </c>
      <c r="C13433" s="1" t="str">
        <f>HYPERLINK("http://www.uniprot.org/uniprot/TC159_ARATH","TC159_ARATH")</f>
        <v>TC159_ARATH</v>
      </c>
      <c r="D13433" t="s">
        <v>6340</v>
      </c>
      <c r="E13433" s="3" t="s">
        <v>3</v>
      </c>
      <c r="F13433" s="4">
        <v>0</v>
      </c>
      <c r="G13433" s="3">
        <v>2620</v>
      </c>
      <c r="H13433" s="3">
        <v>66</v>
      </c>
      <c r="I13433" s="3">
        <v>870</v>
      </c>
      <c r="J13433" s="3">
        <v>1182</v>
      </c>
      <c r="K13433" s="3">
        <v>3746</v>
      </c>
      <c r="L13433" s="3">
        <v>639</v>
      </c>
      <c r="M13433" s="3">
        <v>1503</v>
      </c>
    </row>
    <row r="13434" spans="1:13" x14ac:dyDescent="0.25">
      <c r="A13434" s="1" t="str">
        <f>HYPERLINK("http://www.rosaceae.org/Prunus/Prunus_persica/p.persica_gdr_reftransV1_0046443","p.persica_gdr_reftransV1_0046443")</f>
        <v>p.persica_gdr_reftransV1_0046443</v>
      </c>
      <c r="B13434" s="3">
        <v>2116</v>
      </c>
      <c r="C13434" s="1" t="str">
        <f>HYPERLINK("http://www.uniprot.org/uniprot/PPO_MALDO","PPO_MALDO")</f>
        <v>PPO_MALDO</v>
      </c>
      <c r="D13434" t="s">
        <v>2145</v>
      </c>
      <c r="E13434" s="3" t="s">
        <v>540</v>
      </c>
      <c r="F13434" s="4">
        <v>0</v>
      </c>
      <c r="G13434" s="3">
        <v>1492</v>
      </c>
      <c r="H13434" s="3">
        <v>55</v>
      </c>
      <c r="I13434" s="3">
        <v>562</v>
      </c>
      <c r="J13434" s="3">
        <v>231</v>
      </c>
      <c r="K13434" s="3">
        <v>1862</v>
      </c>
      <c r="L13434" s="3">
        <v>38</v>
      </c>
      <c r="M13434" s="3">
        <v>591</v>
      </c>
    </row>
    <row r="13435" spans="1:13" x14ac:dyDescent="0.25">
      <c r="A13435" s="1" t="str">
        <f>HYPERLINK("http://www.rosaceae.org/Prunus/Prunus_persica/p.persica_gdr_reftransV1_0046543","p.persica_gdr_reftransV1_0046543")</f>
        <v>p.persica_gdr_reftransV1_0046543</v>
      </c>
      <c r="B13435" s="3">
        <v>313</v>
      </c>
      <c r="C13435" s="1" t="str">
        <f>HYPERLINK("http://www.uniprot.org/uniprot/H32_LILLO","H32_LILLO")</f>
        <v>H32_LILLO</v>
      </c>
      <c r="D13435" t="s">
        <v>9046</v>
      </c>
      <c r="E13435" s="3" t="s">
        <v>3887</v>
      </c>
      <c r="F13435" s="4">
        <v>5.2400000000000001E-41</v>
      </c>
      <c r="G13435" s="3">
        <v>347</v>
      </c>
      <c r="H13435" s="3">
        <v>100</v>
      </c>
      <c r="I13435" s="3">
        <v>69</v>
      </c>
      <c r="J13435" s="3">
        <v>1</v>
      </c>
      <c r="K13435" s="3">
        <v>207</v>
      </c>
      <c r="L13435" s="3">
        <v>1</v>
      </c>
      <c r="M13435" s="3">
        <v>69</v>
      </c>
    </row>
    <row r="13436" spans="1:13" x14ac:dyDescent="0.25">
      <c r="A13436" s="1" t="str">
        <f>HYPERLINK("http://www.rosaceae.org/Prunus/Prunus_persica/p.persica_gdr_reftransV1_0046593","p.persica_gdr_reftransV1_0046593")</f>
        <v>p.persica_gdr_reftransV1_0046593</v>
      </c>
      <c r="B13436" s="3">
        <v>1382</v>
      </c>
      <c r="C13436" s="1" t="str">
        <f>HYPERLINK("http://www.uniprot.org/uniprot/GDL15_ARATH","GDL15_ARATH")</f>
        <v>GDL15_ARATH</v>
      </c>
      <c r="D13436" t="s">
        <v>6233</v>
      </c>
      <c r="E13436" s="3" t="s">
        <v>3</v>
      </c>
      <c r="F13436" s="4">
        <v>1.3600000000000001E-72</v>
      </c>
      <c r="G13436" s="3">
        <v>611</v>
      </c>
      <c r="H13436" s="3">
        <v>39</v>
      </c>
      <c r="I13436" s="3">
        <v>338</v>
      </c>
      <c r="J13436" s="3">
        <v>240</v>
      </c>
      <c r="K13436" s="3">
        <v>1238</v>
      </c>
      <c r="L13436" s="3">
        <v>33</v>
      </c>
      <c r="M13436" s="3">
        <v>362</v>
      </c>
    </row>
    <row r="13437" spans="1:13" x14ac:dyDescent="0.25">
      <c r="A13437" s="1" t="str">
        <f>HYPERLINK("http://www.rosaceae.org/Prunus/Prunus_persica/p.persica_gdr_reftransV1_0046693","p.persica_gdr_reftransV1_0046693")</f>
        <v>p.persica_gdr_reftransV1_0046693</v>
      </c>
      <c r="B13437" s="3">
        <v>1785</v>
      </c>
      <c r="C13437" s="1" t="str">
        <f>HYPERLINK("http://www.uniprot.org/uniprot/C84A1_ARATH","C84A1_ARATH")</f>
        <v>C84A1_ARATH</v>
      </c>
      <c r="D13437" t="s">
        <v>9047</v>
      </c>
      <c r="E13437" s="3" t="s">
        <v>3</v>
      </c>
      <c r="F13437" s="4">
        <v>2.0700000000000001E-96</v>
      </c>
      <c r="G13437" s="3">
        <v>796</v>
      </c>
      <c r="H13437" s="3">
        <v>38</v>
      </c>
      <c r="I13437" s="3">
        <v>466</v>
      </c>
      <c r="J13437" s="3">
        <v>193</v>
      </c>
      <c r="K13437" s="3">
        <v>1551</v>
      </c>
      <c r="L13437" s="3">
        <v>61</v>
      </c>
      <c r="M13437" s="3">
        <v>516</v>
      </c>
    </row>
    <row r="13438" spans="1:13" x14ac:dyDescent="0.25">
      <c r="A13438" s="1" t="str">
        <f>HYPERLINK("http://www.rosaceae.org/Prunus/Prunus_persica/p.persica_gdr_reftransV1_0046793","p.persica_gdr_reftransV1_0046793")</f>
        <v>p.persica_gdr_reftransV1_0046793</v>
      </c>
      <c r="B13438" s="3">
        <v>1331</v>
      </c>
      <c r="C13438" s="1" t="str">
        <f>HYPERLINK("http://www.uniprot.org/uniprot/RIK_ARATH","RIK_ARATH")</f>
        <v>RIK_ARATH</v>
      </c>
      <c r="D13438" t="s">
        <v>8378</v>
      </c>
      <c r="E13438" s="3" t="s">
        <v>3</v>
      </c>
      <c r="F13438" s="4">
        <v>6.6600000000000004E-114</v>
      </c>
      <c r="G13438" s="3">
        <v>905</v>
      </c>
      <c r="H13438" s="3">
        <v>62</v>
      </c>
      <c r="I13438" s="3">
        <v>316</v>
      </c>
      <c r="J13438" s="3">
        <v>113</v>
      </c>
      <c r="K13438" s="3">
        <v>1027</v>
      </c>
      <c r="L13438" s="3">
        <v>1</v>
      </c>
      <c r="M13438" s="3">
        <v>288</v>
      </c>
    </row>
    <row r="13439" spans="1:13" x14ac:dyDescent="0.25">
      <c r="A13439" s="1" t="str">
        <f>HYPERLINK("http://www.rosaceae.org/Prunus/Prunus_persica/p.persica_gdr_reftransV1_0046943","p.persica_gdr_reftransV1_0046943")</f>
        <v>p.persica_gdr_reftransV1_0046943</v>
      </c>
      <c r="B13439" s="3">
        <v>1222</v>
      </c>
      <c r="C13439" s="1" t="str">
        <f>HYPERLINK("http://www.uniprot.org/uniprot/SCP18_ARATH","SCP18_ARATH")</f>
        <v>SCP18_ARATH</v>
      </c>
      <c r="D13439" t="s">
        <v>2438</v>
      </c>
      <c r="E13439" s="3" t="s">
        <v>3</v>
      </c>
      <c r="F13439" s="4">
        <v>9.2799999999999996E-102</v>
      </c>
      <c r="G13439" s="3">
        <v>811</v>
      </c>
      <c r="H13439" s="3">
        <v>50</v>
      </c>
      <c r="I13439" s="3">
        <v>318</v>
      </c>
      <c r="J13439" s="3">
        <v>180</v>
      </c>
      <c r="K13439" s="3">
        <v>1130</v>
      </c>
      <c r="L13439" s="3">
        <v>32</v>
      </c>
      <c r="M13439" s="3">
        <v>342</v>
      </c>
    </row>
    <row r="13440" spans="1:13" x14ac:dyDescent="0.25">
      <c r="A13440" s="1" t="str">
        <f>HYPERLINK("http://www.rosaceae.org/Prunus/Prunus_persica/p.persica_gdr_reftransV1_0046993","p.persica_gdr_reftransV1_0046993")</f>
        <v>p.persica_gdr_reftransV1_0046993</v>
      </c>
      <c r="B13440" s="3">
        <v>733</v>
      </c>
      <c r="C13440" s="1" t="str">
        <f>HYPERLINK("http://www.uniprot.org/uniprot/PP317_ARATH","PP317_ARATH")</f>
        <v>PP317_ARATH</v>
      </c>
      <c r="D13440" t="s">
        <v>1465</v>
      </c>
      <c r="E13440" s="3" t="s">
        <v>3</v>
      </c>
      <c r="F13440" s="4">
        <v>4.3900000000000001E-32</v>
      </c>
      <c r="G13440" s="3">
        <v>305</v>
      </c>
      <c r="H13440" s="3">
        <v>42</v>
      </c>
      <c r="I13440" s="3">
        <v>178</v>
      </c>
      <c r="J13440" s="3">
        <v>240</v>
      </c>
      <c r="K13440" s="3">
        <v>731</v>
      </c>
      <c r="L13440" s="3">
        <v>467</v>
      </c>
      <c r="M13440" s="3">
        <v>633</v>
      </c>
    </row>
    <row r="13441" spans="1:13" x14ac:dyDescent="0.25">
      <c r="A13441" s="1" t="str">
        <f>HYPERLINK("http://www.rosaceae.org/Prunus/Prunus_persica/p.persica_gdr_reftransV1_0047093","p.persica_gdr_reftransV1_0047093")</f>
        <v>p.persica_gdr_reftransV1_0047093</v>
      </c>
      <c r="B13441" s="3">
        <v>575</v>
      </c>
      <c r="C13441" s="1" t="str">
        <f>HYPERLINK("http://www.uniprot.org/uniprot/RGA3_SOLBU","RGA3_SOLBU")</f>
        <v>RGA3_SOLBU</v>
      </c>
      <c r="D13441" t="s">
        <v>1884</v>
      </c>
      <c r="E13441" s="3" t="s">
        <v>560</v>
      </c>
      <c r="F13441" s="4">
        <v>1.29E-12</v>
      </c>
      <c r="G13441" s="3">
        <v>170</v>
      </c>
      <c r="H13441" s="3">
        <v>31</v>
      </c>
      <c r="I13441" s="3">
        <v>141</v>
      </c>
      <c r="J13441" s="3">
        <v>128</v>
      </c>
      <c r="K13441" s="3">
        <v>550</v>
      </c>
      <c r="L13441" s="3">
        <v>17</v>
      </c>
      <c r="M13441" s="3">
        <v>133</v>
      </c>
    </row>
    <row r="13442" spans="1:13" x14ac:dyDescent="0.25">
      <c r="A13442" s="1" t="str">
        <f>HYPERLINK("http://www.rosaceae.org/Prunus/Prunus_persica/p.persica_gdr_reftransV1_0047143","p.persica_gdr_reftransV1_0047143")</f>
        <v>p.persica_gdr_reftransV1_0047143</v>
      </c>
      <c r="B13442" s="3">
        <v>1759</v>
      </c>
      <c r="C13442" s="1" t="str">
        <f>HYPERLINK("http://www.uniprot.org/uniprot/CDC21_ARATH","CDC21_ARATH")</f>
        <v>CDC21_ARATH</v>
      </c>
      <c r="D13442" t="s">
        <v>6361</v>
      </c>
      <c r="E13442" s="3" t="s">
        <v>3</v>
      </c>
      <c r="F13442" s="4">
        <v>0</v>
      </c>
      <c r="G13442" s="3">
        <v>1721</v>
      </c>
      <c r="H13442" s="3">
        <v>75</v>
      </c>
      <c r="I13442" s="3">
        <v>460</v>
      </c>
      <c r="J13442" s="3">
        <v>364</v>
      </c>
      <c r="K13442" s="3">
        <v>1710</v>
      </c>
      <c r="L13442" s="3">
        <v>1</v>
      </c>
      <c r="M13442" s="3">
        <v>457</v>
      </c>
    </row>
    <row r="13443" spans="1:13" x14ac:dyDescent="0.25">
      <c r="A13443" s="1" t="str">
        <f>HYPERLINK("http://www.rosaceae.org/Prunus/Prunus_persica/p.persica_gdr_reftransV1_0047193","p.persica_gdr_reftransV1_0047193")</f>
        <v>p.persica_gdr_reftransV1_0047193</v>
      </c>
      <c r="B13443" s="3">
        <v>1376</v>
      </c>
      <c r="C13443" s="1" t="str">
        <f>HYPERLINK("http://www.uniprot.org/uniprot/BIC1B_XENLA","BIC1B_XENLA")</f>
        <v>BIC1B_XENLA</v>
      </c>
      <c r="D13443" t="s">
        <v>9048</v>
      </c>
      <c r="E13443" s="3" t="s">
        <v>475</v>
      </c>
      <c r="F13443" s="4">
        <v>1.22E-8</v>
      </c>
      <c r="G13443" s="3">
        <v>147</v>
      </c>
      <c r="H13443" s="3">
        <v>41</v>
      </c>
      <c r="I13443" s="3">
        <v>75</v>
      </c>
      <c r="J13443" s="3">
        <v>368</v>
      </c>
      <c r="K13443" s="3">
        <v>589</v>
      </c>
      <c r="L13443" s="3">
        <v>854</v>
      </c>
      <c r="M13443" s="3">
        <v>926</v>
      </c>
    </row>
    <row r="13444" spans="1:13" x14ac:dyDescent="0.25">
      <c r="A13444" s="1" t="str">
        <f>HYPERLINK("http://www.rosaceae.org/Prunus/Prunus_persica/p.persica_gdr_reftransV1_0047243","p.persica_gdr_reftransV1_0047243")</f>
        <v>p.persica_gdr_reftransV1_0047243</v>
      </c>
      <c r="B13444" s="3">
        <v>870</v>
      </c>
      <c r="C13444" s="1" t="str">
        <f>HYPERLINK("http://www.uniprot.org/uniprot/IF1A_ONOVI","IF1A_ONOVI")</f>
        <v>IF1A_ONOVI</v>
      </c>
      <c r="D13444" t="s">
        <v>5031</v>
      </c>
      <c r="E13444" s="3" t="s">
        <v>5032</v>
      </c>
      <c r="F13444" s="4">
        <v>1.2399999999999999E-62</v>
      </c>
      <c r="G13444" s="3">
        <v>510</v>
      </c>
      <c r="H13444" s="3">
        <v>97</v>
      </c>
      <c r="I13444" s="3">
        <v>116</v>
      </c>
      <c r="J13444" s="3">
        <v>199</v>
      </c>
      <c r="K13444" s="3">
        <v>546</v>
      </c>
      <c r="L13444" s="3">
        <v>1</v>
      </c>
      <c r="M13444" s="3">
        <v>116</v>
      </c>
    </row>
    <row r="13445" spans="1:13" x14ac:dyDescent="0.25">
      <c r="A13445" s="1" t="str">
        <f>HYPERLINK("http://www.rosaceae.org/Prunus/Prunus_persica/p.persica_gdr_reftransV1_0047293","p.persica_gdr_reftransV1_0047293")</f>
        <v>p.persica_gdr_reftransV1_0047293</v>
      </c>
      <c r="B13445" s="3">
        <v>1461</v>
      </c>
      <c r="C13445" s="1" t="str">
        <f>HYPERLINK("http://www.uniprot.org/uniprot/CXE13_ARATH","CXE13_ARATH")</f>
        <v>CXE13_ARATH</v>
      </c>
      <c r="D13445" t="s">
        <v>2286</v>
      </c>
      <c r="E13445" s="3" t="s">
        <v>3</v>
      </c>
      <c r="F13445" s="4">
        <v>1.18E-108</v>
      </c>
      <c r="G13445" s="3">
        <v>852</v>
      </c>
      <c r="H13445" s="3">
        <v>52</v>
      </c>
      <c r="I13445" s="3">
        <v>324</v>
      </c>
      <c r="J13445" s="3">
        <v>145</v>
      </c>
      <c r="K13445" s="3">
        <v>1083</v>
      </c>
      <c r="L13445" s="3">
        <v>2</v>
      </c>
      <c r="M13445" s="3">
        <v>325</v>
      </c>
    </row>
    <row r="13446" spans="1:13" x14ac:dyDescent="0.25">
      <c r="A13446" s="1" t="str">
        <f>HYPERLINK("http://www.rosaceae.org/Prunus/Prunus_persica/p.persica_gdr_reftransV1_0047443","p.persica_gdr_reftransV1_0047443")</f>
        <v>p.persica_gdr_reftransV1_0047443</v>
      </c>
      <c r="B13446" s="3">
        <v>2078</v>
      </c>
      <c r="C13446" s="1" t="str">
        <f>HYPERLINK("http://www.uniprot.org/uniprot/RPP8_ARATH","RPP8_ARATH")</f>
        <v>RPP8_ARATH</v>
      </c>
      <c r="D13446" t="s">
        <v>5271</v>
      </c>
      <c r="E13446" s="3" t="s">
        <v>3</v>
      </c>
      <c r="F13446" s="4">
        <v>6.5399999999999999E-34</v>
      </c>
      <c r="G13446" s="3">
        <v>359</v>
      </c>
      <c r="H13446" s="3">
        <v>26</v>
      </c>
      <c r="I13446" s="3">
        <v>632</v>
      </c>
      <c r="J13446" s="3">
        <v>336</v>
      </c>
      <c r="K13446" s="3">
        <v>2060</v>
      </c>
      <c r="L13446" s="3">
        <v>321</v>
      </c>
      <c r="M13446" s="3">
        <v>901</v>
      </c>
    </row>
    <row r="13447" spans="1:13" x14ac:dyDescent="0.25">
      <c r="A13447" s="1" t="str">
        <f>HYPERLINK("http://www.rosaceae.org/Prunus/Prunus_persica/p.persica_gdr_reftransV1_0047643","p.persica_gdr_reftransV1_0047643")</f>
        <v>p.persica_gdr_reftransV1_0047643</v>
      </c>
      <c r="B13447" s="3">
        <v>449</v>
      </c>
      <c r="C13447" s="1" t="str">
        <f>HYPERLINK("http://www.uniprot.org/uniprot/UGT2_GARJA","UGT2_GARJA")</f>
        <v>UGT2_GARJA</v>
      </c>
      <c r="D13447" t="s">
        <v>927</v>
      </c>
      <c r="E13447" s="3" t="s">
        <v>624</v>
      </c>
      <c r="F13447" s="4">
        <v>2.9500000000000001E-28</v>
      </c>
      <c r="G13447" s="3">
        <v>280</v>
      </c>
      <c r="H13447" s="3">
        <v>59</v>
      </c>
      <c r="I13447" s="3">
        <v>87</v>
      </c>
      <c r="J13447" s="3">
        <v>190</v>
      </c>
      <c r="K13447" s="3">
        <v>447</v>
      </c>
      <c r="L13447" s="3">
        <v>389</v>
      </c>
      <c r="M13447" s="3">
        <v>475</v>
      </c>
    </row>
    <row r="13448" spans="1:13" x14ac:dyDescent="0.25">
      <c r="A13448" s="1" t="str">
        <f>HYPERLINK("http://www.rosaceae.org/Prunus/Prunus_persica/p.persica_gdr_reftransV1_0047693","p.persica_gdr_reftransV1_0047693")</f>
        <v>p.persica_gdr_reftransV1_0047693</v>
      </c>
      <c r="B13448" s="3">
        <v>1408</v>
      </c>
      <c r="C13448" s="1" t="str">
        <f>HYPERLINK("http://www.uniprot.org/uniprot/PP129_ARATH","PP129_ARATH")</f>
        <v>PP129_ARATH</v>
      </c>
      <c r="D13448" t="s">
        <v>121</v>
      </c>
      <c r="E13448" s="3" t="s">
        <v>3</v>
      </c>
      <c r="F13448" s="4">
        <v>0</v>
      </c>
      <c r="G13448" s="3">
        <v>1690</v>
      </c>
      <c r="H13448" s="3">
        <v>71</v>
      </c>
      <c r="I13448" s="3">
        <v>428</v>
      </c>
      <c r="J13448" s="3">
        <v>125</v>
      </c>
      <c r="K13448" s="3">
        <v>1408</v>
      </c>
      <c r="L13448" s="3">
        <v>32</v>
      </c>
      <c r="M13448" s="3">
        <v>459</v>
      </c>
    </row>
    <row r="13449" spans="1:13" x14ac:dyDescent="0.25">
      <c r="A13449" s="1" t="str">
        <f>HYPERLINK("http://www.rosaceae.org/Prunus/Prunus_persica/p.persica_gdr_reftransV1_0047743","p.persica_gdr_reftransV1_0047743")</f>
        <v>p.persica_gdr_reftransV1_0047743</v>
      </c>
      <c r="B13449" s="3">
        <v>1916</v>
      </c>
      <c r="C13449" s="1" t="str">
        <f>HYPERLINK("http://www.uniprot.org/uniprot/SEBP2_ARATH","SEBP2_ARATH")</f>
        <v>SEBP2_ARATH</v>
      </c>
      <c r="D13449" t="s">
        <v>9049</v>
      </c>
      <c r="E13449" s="3" t="s">
        <v>3</v>
      </c>
      <c r="F13449" s="4">
        <v>0</v>
      </c>
      <c r="G13449" s="3">
        <v>2164</v>
      </c>
      <c r="H13449" s="3">
        <v>80</v>
      </c>
      <c r="I13449" s="3">
        <v>491</v>
      </c>
      <c r="J13449" s="3">
        <v>152</v>
      </c>
      <c r="K13449" s="3">
        <v>1624</v>
      </c>
      <c r="L13449" s="3">
        <v>1</v>
      </c>
      <c r="M13449" s="3">
        <v>487</v>
      </c>
    </row>
    <row r="13450" spans="1:13" x14ac:dyDescent="0.25">
      <c r="A13450" s="1" t="str">
        <f>HYPERLINK("http://www.rosaceae.org/Prunus/Prunus_persica/p.persica_gdr_reftransV1_0047843","p.persica_gdr_reftransV1_0047843")</f>
        <v>p.persica_gdr_reftransV1_0047843</v>
      </c>
      <c r="B13450" s="3">
        <v>670</v>
      </c>
      <c r="C13450" s="1" t="str">
        <f>HYPERLINK("http://www.uniprot.org/uniprot/Y3351_ARATH","Y3351_ARATH")</f>
        <v>Y3351_ARATH</v>
      </c>
      <c r="D13450" t="s">
        <v>9050</v>
      </c>
      <c r="E13450" s="3" t="s">
        <v>3</v>
      </c>
      <c r="F13450" s="4">
        <v>3.7200000000000001E-44</v>
      </c>
      <c r="G13450" s="3">
        <v>403</v>
      </c>
      <c r="H13450" s="3">
        <v>40</v>
      </c>
      <c r="I13450" s="3">
        <v>225</v>
      </c>
      <c r="J13450" s="3">
        <v>1</v>
      </c>
      <c r="K13450" s="3">
        <v>654</v>
      </c>
      <c r="L13450" s="3">
        <v>284</v>
      </c>
      <c r="M13450" s="3">
        <v>488</v>
      </c>
    </row>
    <row r="13451" spans="1:13" x14ac:dyDescent="0.25">
      <c r="A13451" s="1" t="str">
        <f>HYPERLINK("http://www.rosaceae.org/Prunus/Prunus_persica/p.persica_gdr_reftransV1_0047893","p.persica_gdr_reftransV1_0047893")</f>
        <v>p.persica_gdr_reftransV1_0047893</v>
      </c>
      <c r="B13451" s="3">
        <v>2268</v>
      </c>
      <c r="C13451" s="1" t="str">
        <f>HYPERLINK("http://www.uniprot.org/uniprot/SLU7A_ARATH","SLU7A_ARATH")</f>
        <v>SLU7A_ARATH</v>
      </c>
      <c r="D13451" t="s">
        <v>9051</v>
      </c>
      <c r="E13451" s="3" t="s">
        <v>3</v>
      </c>
      <c r="F13451" s="4">
        <v>0</v>
      </c>
      <c r="G13451" s="3">
        <v>2023</v>
      </c>
      <c r="H13451" s="3">
        <v>81</v>
      </c>
      <c r="I13451" s="3">
        <v>537</v>
      </c>
      <c r="J13451" s="3">
        <v>279</v>
      </c>
      <c r="K13451" s="3">
        <v>1889</v>
      </c>
      <c r="L13451" s="3">
        <v>1</v>
      </c>
      <c r="M13451" s="3">
        <v>535</v>
      </c>
    </row>
    <row r="13452" spans="1:13" x14ac:dyDescent="0.25">
      <c r="A13452" s="1" t="str">
        <f>HYPERLINK("http://www.rosaceae.org/Prunus/Prunus_persica/p.persica_gdr_reftransV1_0047943","p.persica_gdr_reftransV1_0047943")</f>
        <v>p.persica_gdr_reftransV1_0047943</v>
      </c>
      <c r="B13452" s="3">
        <v>1143</v>
      </c>
      <c r="C13452" s="1" t="str">
        <f>HYPERLINK("http://www.uniprot.org/uniprot/APC1_ARATH","APC1_ARATH")</f>
        <v>APC1_ARATH</v>
      </c>
      <c r="D13452" t="s">
        <v>8198</v>
      </c>
      <c r="E13452" s="3" t="s">
        <v>3</v>
      </c>
      <c r="F13452" s="4">
        <v>1.28E-103</v>
      </c>
      <c r="G13452" s="3">
        <v>872</v>
      </c>
      <c r="H13452" s="3">
        <v>55</v>
      </c>
      <c r="I13452" s="3">
        <v>378</v>
      </c>
      <c r="J13452" s="3">
        <v>16</v>
      </c>
      <c r="K13452" s="3">
        <v>1137</v>
      </c>
      <c r="L13452" s="3">
        <v>276</v>
      </c>
      <c r="M13452" s="3">
        <v>642</v>
      </c>
    </row>
    <row r="13453" spans="1:13" x14ac:dyDescent="0.25">
      <c r="A13453" s="1" t="str">
        <f>HYPERLINK("http://www.rosaceae.org/Prunus/Prunus_persica/p.persica_gdr_reftransV1_0048043","p.persica_gdr_reftransV1_0048043")</f>
        <v>p.persica_gdr_reftransV1_0048043</v>
      </c>
      <c r="B13453" s="3">
        <v>3023</v>
      </c>
      <c r="C13453" s="1" t="str">
        <f>HYPERLINK("http://www.uniprot.org/uniprot/DRL4_ARATH","DRL4_ARATH")</f>
        <v>DRL4_ARATH</v>
      </c>
      <c r="D13453" t="s">
        <v>2765</v>
      </c>
      <c r="E13453" s="3" t="s">
        <v>3</v>
      </c>
      <c r="F13453" s="4">
        <v>5.0200000000000002E-148</v>
      </c>
      <c r="G13453" s="3">
        <v>1206</v>
      </c>
      <c r="H13453" s="3">
        <v>35</v>
      </c>
      <c r="I13453" s="3">
        <v>937</v>
      </c>
      <c r="J13453" s="3">
        <v>112</v>
      </c>
      <c r="K13453" s="3">
        <v>2880</v>
      </c>
      <c r="L13453" s="3">
        <v>1</v>
      </c>
      <c r="M13453" s="3">
        <v>854</v>
      </c>
    </row>
    <row r="13454" spans="1:13" x14ac:dyDescent="0.25">
      <c r="A13454" s="1" t="str">
        <f>HYPERLINK("http://www.rosaceae.org/Prunus/Prunus_persica/p.persica_gdr_reftransV1_0048093","p.persica_gdr_reftransV1_0048093")</f>
        <v>p.persica_gdr_reftransV1_0048093</v>
      </c>
      <c r="B13454" s="3">
        <v>451</v>
      </c>
      <c r="C13454" s="1" t="str">
        <f>HYPERLINK("http://www.uniprot.org/uniprot/LIN1_LOTJA","LIN1_LOTJA")</f>
        <v>LIN1_LOTJA</v>
      </c>
      <c r="D13454" t="s">
        <v>2734</v>
      </c>
      <c r="E13454" s="3" t="s">
        <v>880</v>
      </c>
      <c r="F13454" s="4">
        <v>2.7100000000000001E-69</v>
      </c>
      <c r="G13454" s="3">
        <v>592</v>
      </c>
      <c r="H13454" s="3">
        <v>80</v>
      </c>
      <c r="I13454" s="3">
        <v>150</v>
      </c>
      <c r="J13454" s="3">
        <v>1</v>
      </c>
      <c r="K13454" s="3">
        <v>450</v>
      </c>
      <c r="L13454" s="3">
        <v>887</v>
      </c>
      <c r="M13454" s="3">
        <v>1036</v>
      </c>
    </row>
    <row r="13455" spans="1:13" x14ac:dyDescent="0.25">
      <c r="A13455" s="1" t="str">
        <f>HYPERLINK("http://www.rosaceae.org/Prunus/Prunus_persica/p.persica_gdr_reftransV1_0048143","p.persica_gdr_reftransV1_0048143")</f>
        <v>p.persica_gdr_reftransV1_0048143</v>
      </c>
      <c r="B13455" s="3">
        <v>1114</v>
      </c>
      <c r="C13455" s="1" t="str">
        <f>HYPERLINK("http://www.uniprot.org/uniprot/UBC2_MEDSA","UBC2_MEDSA")</f>
        <v>UBC2_MEDSA</v>
      </c>
      <c r="D13455" t="s">
        <v>9052</v>
      </c>
      <c r="E13455" s="3" t="s">
        <v>515</v>
      </c>
      <c r="F13455" s="4">
        <v>1.62E-105</v>
      </c>
      <c r="G13455" s="3">
        <v>803</v>
      </c>
      <c r="H13455" s="3">
        <v>97</v>
      </c>
      <c r="I13455" s="3">
        <v>152</v>
      </c>
      <c r="J13455" s="3">
        <v>320</v>
      </c>
      <c r="K13455" s="3">
        <v>775</v>
      </c>
      <c r="L13455" s="3">
        <v>1</v>
      </c>
      <c r="M13455" s="3">
        <v>152</v>
      </c>
    </row>
    <row r="13456" spans="1:13" x14ac:dyDescent="0.25">
      <c r="A13456" s="1" t="str">
        <f>HYPERLINK("http://www.rosaceae.org/Prunus/Prunus_persica/p.persica_gdr_reftransV1_0048243","p.persica_gdr_reftransV1_0048243")</f>
        <v>p.persica_gdr_reftransV1_0048243</v>
      </c>
      <c r="B13456" s="3">
        <v>693</v>
      </c>
      <c r="C13456" s="1" t="str">
        <f>HYPERLINK("http://www.uniprot.org/uniprot/BZP61_ARATH","BZP61_ARATH")</f>
        <v>BZP61_ARATH</v>
      </c>
      <c r="D13456" t="s">
        <v>1778</v>
      </c>
      <c r="E13456" s="3" t="s">
        <v>3</v>
      </c>
      <c r="F13456" s="4">
        <v>2.2000000000000001E-22</v>
      </c>
      <c r="G13456" s="3">
        <v>241</v>
      </c>
      <c r="H13456" s="3">
        <v>49</v>
      </c>
      <c r="I13456" s="3">
        <v>120</v>
      </c>
      <c r="J13456" s="3">
        <v>231</v>
      </c>
      <c r="K13456" s="3">
        <v>587</v>
      </c>
      <c r="L13456" s="3">
        <v>1</v>
      </c>
      <c r="M13456" s="3">
        <v>100</v>
      </c>
    </row>
    <row r="13457" spans="1:13" x14ac:dyDescent="0.25">
      <c r="A13457" s="1" t="str">
        <f>HYPERLINK("http://www.rosaceae.org/Prunus/Prunus_persica/p.persica_gdr_reftransV1_0048293","p.persica_gdr_reftransV1_0048293")</f>
        <v>p.persica_gdr_reftransV1_0048293</v>
      </c>
      <c r="B13457" s="3">
        <v>448</v>
      </c>
      <c r="C13457" s="1" t="str">
        <f>HYPERLINK("http://www.uniprot.org/uniprot/PCS1_LOTJA","PCS1_LOTJA")</f>
        <v>PCS1_LOTJA</v>
      </c>
      <c r="D13457" t="s">
        <v>2804</v>
      </c>
      <c r="E13457" s="3" t="s">
        <v>880</v>
      </c>
      <c r="F13457" s="4">
        <v>1.2899999999999999E-31</v>
      </c>
      <c r="G13457" s="3">
        <v>304</v>
      </c>
      <c r="H13457" s="3">
        <v>52</v>
      </c>
      <c r="I13457" s="3">
        <v>129</v>
      </c>
      <c r="J13457" s="3">
        <v>3</v>
      </c>
      <c r="K13457" s="3">
        <v>389</v>
      </c>
      <c r="L13457" s="3">
        <v>281</v>
      </c>
      <c r="M13457" s="3">
        <v>407</v>
      </c>
    </row>
    <row r="13458" spans="1:13" x14ac:dyDescent="0.25">
      <c r="A13458" s="1" t="str">
        <f>HYPERLINK("http://www.rosaceae.org/Prunus/Prunus_persica/p.persica_gdr_reftransV1_0048343","p.persica_gdr_reftransV1_0048343")</f>
        <v>p.persica_gdr_reftransV1_0048343</v>
      </c>
      <c r="B13458" s="3">
        <v>2019</v>
      </c>
      <c r="C13458" s="1" t="str">
        <f>HYPERLINK("http://www.uniprot.org/uniprot/Y5126_ARATH","Y5126_ARATH")</f>
        <v>Y5126_ARATH</v>
      </c>
      <c r="D13458" t="s">
        <v>4301</v>
      </c>
      <c r="E13458" s="3" t="s">
        <v>3</v>
      </c>
      <c r="F13458" s="4">
        <v>0</v>
      </c>
      <c r="G13458" s="3">
        <v>1832</v>
      </c>
      <c r="H13458" s="3">
        <v>70</v>
      </c>
      <c r="I13458" s="3">
        <v>485</v>
      </c>
      <c r="J13458" s="3">
        <v>352</v>
      </c>
      <c r="K13458" s="3">
        <v>1803</v>
      </c>
      <c r="L13458" s="3">
        <v>1</v>
      </c>
      <c r="M13458" s="3">
        <v>481</v>
      </c>
    </row>
    <row r="13459" spans="1:13" x14ac:dyDescent="0.25">
      <c r="A13459" s="1" t="str">
        <f>HYPERLINK("http://www.rosaceae.org/Prunus/Prunus_persica/p.persica_gdr_reftransV1_0048443","p.persica_gdr_reftransV1_0048443")</f>
        <v>p.persica_gdr_reftransV1_0048443</v>
      </c>
      <c r="B13459" s="3">
        <v>417</v>
      </c>
      <c r="C13459" s="1" t="str">
        <f>HYPERLINK("http://www.uniprot.org/uniprot/Y3475_ARATH","Y3475_ARATH")</f>
        <v>Y3475_ARATH</v>
      </c>
      <c r="D13459" t="s">
        <v>827</v>
      </c>
      <c r="E13459" s="3" t="s">
        <v>3</v>
      </c>
      <c r="F13459" s="4">
        <v>3.9100000000000002E-48</v>
      </c>
      <c r="G13459" s="3">
        <v>432</v>
      </c>
      <c r="H13459" s="3">
        <v>59</v>
      </c>
      <c r="I13459" s="3">
        <v>132</v>
      </c>
      <c r="J13459" s="3">
        <v>1</v>
      </c>
      <c r="K13459" s="3">
        <v>390</v>
      </c>
      <c r="L13459" s="3">
        <v>732</v>
      </c>
      <c r="M13459" s="3">
        <v>863</v>
      </c>
    </row>
    <row r="13460" spans="1:13" x14ac:dyDescent="0.25">
      <c r="A13460" s="1" t="str">
        <f>HYPERLINK("http://www.rosaceae.org/Prunus/Prunus_persica/p.persica_gdr_reftransV1_0048493","p.persica_gdr_reftransV1_0048493")</f>
        <v>p.persica_gdr_reftransV1_0048493</v>
      </c>
      <c r="B13460" s="3">
        <v>1329</v>
      </c>
      <c r="C13460" s="1" t="str">
        <f>HYPERLINK("http://www.uniprot.org/uniprot/Y3972_ARATH","Y3972_ARATH")</f>
        <v>Y3972_ARATH</v>
      </c>
      <c r="D13460" t="s">
        <v>9053</v>
      </c>
      <c r="E13460" s="3" t="s">
        <v>3</v>
      </c>
      <c r="F13460" s="4">
        <v>2.1900000000000001E-125</v>
      </c>
      <c r="G13460" s="3">
        <v>953</v>
      </c>
      <c r="H13460" s="3">
        <v>74</v>
      </c>
      <c r="I13460" s="3">
        <v>261</v>
      </c>
      <c r="J13460" s="3">
        <v>176</v>
      </c>
      <c r="K13460" s="3">
        <v>958</v>
      </c>
      <c r="L13460" s="3">
        <v>1</v>
      </c>
      <c r="M13460" s="3">
        <v>261</v>
      </c>
    </row>
    <row r="13461" spans="1:13" x14ac:dyDescent="0.25">
      <c r="A13461" s="1" t="str">
        <f>HYPERLINK("http://www.rosaceae.org/Prunus/Prunus_persica/p.persica_gdr_reftransV1_0048543","p.persica_gdr_reftransV1_0048543")</f>
        <v>p.persica_gdr_reftransV1_0048543</v>
      </c>
      <c r="B13461" s="3">
        <v>1293</v>
      </c>
      <c r="C13461" s="1" t="str">
        <f>HYPERLINK("http://www.uniprot.org/uniprot/PHSL2_SOLTU","PHSL2_SOLTU")</f>
        <v>PHSL2_SOLTU</v>
      </c>
      <c r="D13461" t="s">
        <v>297</v>
      </c>
      <c r="E13461" s="3" t="s">
        <v>11</v>
      </c>
      <c r="F13461" s="4">
        <v>0</v>
      </c>
      <c r="G13461" s="3">
        <v>1449</v>
      </c>
      <c r="H13461" s="3">
        <v>80</v>
      </c>
      <c r="I13461" s="3">
        <v>348</v>
      </c>
      <c r="J13461" s="3">
        <v>259</v>
      </c>
      <c r="K13461" s="3">
        <v>1293</v>
      </c>
      <c r="L13461" s="3">
        <v>54</v>
      </c>
      <c r="M13461" s="3">
        <v>401</v>
      </c>
    </row>
    <row r="13462" spans="1:13" x14ac:dyDescent="0.25">
      <c r="A13462" s="1" t="str">
        <f>HYPERLINK("http://www.rosaceae.org/Prunus/Prunus_persica/p.persica_gdr_reftransV1_0048643","p.persica_gdr_reftransV1_0048643")</f>
        <v>p.persica_gdr_reftransV1_0048643</v>
      </c>
      <c r="B13462" s="3">
        <v>2050</v>
      </c>
      <c r="C13462" s="1" t="str">
        <f>HYPERLINK("http://www.uniprot.org/uniprot/BSDC1_DANRE","BSDC1_DANRE")</f>
        <v>BSDC1_DANRE</v>
      </c>
      <c r="D13462" t="s">
        <v>7513</v>
      </c>
      <c r="E13462" s="3" t="s">
        <v>704</v>
      </c>
      <c r="F13462" s="4">
        <v>6.08E-18</v>
      </c>
      <c r="G13462" s="3">
        <v>223</v>
      </c>
      <c r="H13462" s="3">
        <v>31</v>
      </c>
      <c r="I13462" s="3">
        <v>201</v>
      </c>
      <c r="J13462" s="3">
        <v>502</v>
      </c>
      <c r="K13462" s="3">
        <v>1077</v>
      </c>
      <c r="L13462" s="3">
        <v>23</v>
      </c>
      <c r="M13462" s="3">
        <v>219</v>
      </c>
    </row>
    <row r="13463" spans="1:13" x14ac:dyDescent="0.25">
      <c r="A13463" s="1" t="str">
        <f>HYPERLINK("http://www.rosaceae.org/Prunus/Prunus_persica/p.persica_gdr_reftransV1_0048693","p.persica_gdr_reftransV1_0048693")</f>
        <v>p.persica_gdr_reftransV1_0048693</v>
      </c>
      <c r="B13463" s="3">
        <v>4041</v>
      </c>
      <c r="C13463" s="1" t="str">
        <f>HYPERLINK("http://www.uniprot.org/uniprot/CNOT4_HUMAN","CNOT4_HUMAN")</f>
        <v>CNOT4_HUMAN</v>
      </c>
      <c r="D13463" t="s">
        <v>9054</v>
      </c>
      <c r="E13463" s="3" t="s">
        <v>28</v>
      </c>
      <c r="F13463" s="4">
        <v>8.1599999999999999E-55</v>
      </c>
      <c r="G13463" s="3">
        <v>526</v>
      </c>
      <c r="H13463" s="3">
        <v>46</v>
      </c>
      <c r="I13463" s="3">
        <v>223</v>
      </c>
      <c r="J13463" s="3">
        <v>3241</v>
      </c>
      <c r="K13463" s="3">
        <v>3909</v>
      </c>
      <c r="L13463" s="3">
        <v>14</v>
      </c>
      <c r="M13463" s="3">
        <v>228</v>
      </c>
    </row>
    <row r="13464" spans="1:13" x14ac:dyDescent="0.25">
      <c r="A13464" s="1" t="str">
        <f>HYPERLINK("http://www.rosaceae.org/Prunus/Prunus_persica/p.persica_gdr_reftransV1_0048743","p.persica_gdr_reftransV1_0048743")</f>
        <v>p.persica_gdr_reftransV1_0048743</v>
      </c>
      <c r="B13464" s="3">
        <v>801</v>
      </c>
      <c r="C13464" s="1" t="str">
        <f>HYPERLINK("http://www.uniprot.org/uniprot/R13L1_ARATH","R13L1_ARATH")</f>
        <v>R13L1_ARATH</v>
      </c>
      <c r="D13464" t="s">
        <v>100</v>
      </c>
      <c r="E13464" s="3" t="s">
        <v>3</v>
      </c>
      <c r="F13464" s="4">
        <v>3.17E-9</v>
      </c>
      <c r="G13464" s="3">
        <v>146</v>
      </c>
      <c r="H13464" s="3">
        <v>46</v>
      </c>
      <c r="I13464" s="3">
        <v>79</v>
      </c>
      <c r="J13464" s="3">
        <v>6</v>
      </c>
      <c r="K13464" s="3">
        <v>242</v>
      </c>
      <c r="L13464" s="3">
        <v>4</v>
      </c>
      <c r="M13464" s="3">
        <v>82</v>
      </c>
    </row>
    <row r="13465" spans="1:13" x14ac:dyDescent="0.25">
      <c r="A13465" s="1" t="str">
        <f>HYPERLINK("http://www.rosaceae.org/Prunus/Prunus_persica/p.persica_gdr_reftransV1_0048843","p.persica_gdr_reftransV1_0048843")</f>
        <v>p.persica_gdr_reftransV1_0048843</v>
      </c>
      <c r="B13465" s="3">
        <v>2256</v>
      </c>
      <c r="C13465" s="1" t="str">
        <f>HYPERLINK("http://www.uniprot.org/uniprot/CP74_LINUS","CP74_LINUS")</f>
        <v>CP74_LINUS</v>
      </c>
      <c r="D13465" t="s">
        <v>3545</v>
      </c>
      <c r="E13465" s="3" t="s">
        <v>3546</v>
      </c>
      <c r="F13465" s="4">
        <v>0</v>
      </c>
      <c r="G13465" s="3">
        <v>1815</v>
      </c>
      <c r="H13465" s="3">
        <v>68</v>
      </c>
      <c r="I13465" s="3">
        <v>498</v>
      </c>
      <c r="J13465" s="3">
        <v>412</v>
      </c>
      <c r="K13465" s="3">
        <v>1884</v>
      </c>
      <c r="L13465" s="3">
        <v>40</v>
      </c>
      <c r="M13465" s="3">
        <v>536</v>
      </c>
    </row>
    <row r="13466" spans="1:13" x14ac:dyDescent="0.25">
      <c r="A13466" s="1" t="str">
        <f>HYPERLINK("http://www.rosaceae.org/Prunus/Prunus_persica/p.persica_gdr_reftransV1_0048943","p.persica_gdr_reftransV1_0048943")</f>
        <v>p.persica_gdr_reftransV1_0048943</v>
      </c>
      <c r="B13466" s="3">
        <v>1915</v>
      </c>
      <c r="C13466" s="1" t="str">
        <f>HYPERLINK("http://www.uniprot.org/uniprot/PSD11_ARATH","PSD11_ARATH")</f>
        <v>PSD11_ARATH</v>
      </c>
      <c r="D13466" t="s">
        <v>9055</v>
      </c>
      <c r="E13466" s="3" t="s">
        <v>3</v>
      </c>
      <c r="F13466" s="4">
        <v>7.7200000000000002E-14</v>
      </c>
      <c r="G13466" s="3">
        <v>190</v>
      </c>
      <c r="H13466" s="3">
        <v>82</v>
      </c>
      <c r="I13466" s="3">
        <v>49</v>
      </c>
      <c r="J13466" s="3">
        <v>167</v>
      </c>
      <c r="K13466" s="3">
        <v>313</v>
      </c>
      <c r="L13466" s="3">
        <v>117</v>
      </c>
      <c r="M13466" s="3">
        <v>165</v>
      </c>
    </row>
    <row r="13467" spans="1:13" x14ac:dyDescent="0.25">
      <c r="A13467" s="1" t="str">
        <f>HYPERLINK("http://www.rosaceae.org/Prunus/Prunus_persica/p.persica_gdr_reftransV1_0048993","p.persica_gdr_reftransV1_0048993")</f>
        <v>p.persica_gdr_reftransV1_0048993</v>
      </c>
      <c r="B13467" s="3">
        <v>469</v>
      </c>
      <c r="C13467" s="1" t="str">
        <f>HYPERLINK("http://www.uniprot.org/uniprot/CRK10_ARATH","CRK10_ARATH")</f>
        <v>CRK10_ARATH</v>
      </c>
      <c r="D13467" t="s">
        <v>1151</v>
      </c>
      <c r="E13467" s="3" t="s">
        <v>3</v>
      </c>
      <c r="F13467" s="4">
        <v>4.9899999999999999E-56</v>
      </c>
      <c r="G13467" s="3">
        <v>485</v>
      </c>
      <c r="H13467" s="3">
        <v>67</v>
      </c>
      <c r="I13467" s="3">
        <v>135</v>
      </c>
      <c r="J13467" s="3">
        <v>1</v>
      </c>
      <c r="K13467" s="3">
        <v>405</v>
      </c>
      <c r="L13467" s="3">
        <v>301</v>
      </c>
      <c r="M13467" s="3">
        <v>434</v>
      </c>
    </row>
    <row r="13468" spans="1:13" x14ac:dyDescent="0.25">
      <c r="A13468" s="1" t="str">
        <f>HYPERLINK("http://www.rosaceae.org/Prunus/Prunus_persica/p.persica_gdr_reftransV1_0049043","p.persica_gdr_reftransV1_0049043")</f>
        <v>p.persica_gdr_reftransV1_0049043</v>
      </c>
      <c r="B13468" s="3">
        <v>781</v>
      </c>
      <c r="C13468" s="1" t="str">
        <f>HYPERLINK("http://www.uniprot.org/uniprot/OEP16_PEA","OEP16_PEA")</f>
        <v>OEP16_PEA</v>
      </c>
      <c r="D13468" t="s">
        <v>9056</v>
      </c>
      <c r="E13468" s="3" t="s">
        <v>60</v>
      </c>
      <c r="F13468" s="4">
        <v>2.04E-57</v>
      </c>
      <c r="G13468" s="3">
        <v>473</v>
      </c>
      <c r="H13468" s="3">
        <v>75</v>
      </c>
      <c r="I13468" s="3">
        <v>146</v>
      </c>
      <c r="J13468" s="3">
        <v>88</v>
      </c>
      <c r="K13468" s="3">
        <v>525</v>
      </c>
      <c r="L13468" s="3">
        <v>1</v>
      </c>
      <c r="M13468" s="3">
        <v>146</v>
      </c>
    </row>
    <row r="13469" spans="1:13" x14ac:dyDescent="0.25">
      <c r="A13469" s="1" t="str">
        <f>HYPERLINK("http://www.rosaceae.org/Prunus/Prunus_persica/p.persica_gdr_reftransV1_0049093","p.persica_gdr_reftransV1_0049093")</f>
        <v>p.persica_gdr_reftransV1_0049093</v>
      </c>
      <c r="B13469" s="3">
        <v>978</v>
      </c>
      <c r="C13469" s="1" t="str">
        <f>HYPERLINK("http://www.uniprot.org/uniprot/R13A4_ARATH","R13A4_ARATH")</f>
        <v>R13A4_ARATH</v>
      </c>
      <c r="D13469" t="s">
        <v>9057</v>
      </c>
      <c r="E13469" s="3" t="s">
        <v>3</v>
      </c>
      <c r="F13469" s="4">
        <v>1.26E-126</v>
      </c>
      <c r="G13469" s="3">
        <v>944</v>
      </c>
      <c r="H13469" s="3">
        <v>91</v>
      </c>
      <c r="I13469" s="3">
        <v>206</v>
      </c>
      <c r="J13469" s="3">
        <v>264</v>
      </c>
      <c r="K13469" s="3">
        <v>881</v>
      </c>
      <c r="L13469" s="3">
        <v>1</v>
      </c>
      <c r="M13469" s="3">
        <v>206</v>
      </c>
    </row>
    <row r="13470" spans="1:13" x14ac:dyDescent="0.25">
      <c r="A13470" s="1" t="str">
        <f>HYPERLINK("http://www.rosaceae.org/Prunus/Prunus_persica/p.persica_gdr_reftransV1_0049193","p.persica_gdr_reftransV1_0049193")</f>
        <v>p.persica_gdr_reftransV1_0049193</v>
      </c>
      <c r="B13470" s="3">
        <v>1192</v>
      </c>
      <c r="C13470" s="1" t="str">
        <f>HYPERLINK("http://www.uniprot.org/uniprot/Y1124_ARATH","Y1124_ARATH")</f>
        <v>Y1124_ARATH</v>
      </c>
      <c r="D13470" t="s">
        <v>4835</v>
      </c>
      <c r="E13470" s="3" t="s">
        <v>3</v>
      </c>
      <c r="F13470" s="4">
        <v>1.63E-146</v>
      </c>
      <c r="G13470" s="3">
        <v>1143</v>
      </c>
      <c r="H13470" s="3">
        <v>59</v>
      </c>
      <c r="I13470" s="3">
        <v>400</v>
      </c>
      <c r="J13470" s="3">
        <v>3</v>
      </c>
      <c r="K13470" s="3">
        <v>1190</v>
      </c>
      <c r="L13470" s="3">
        <v>204</v>
      </c>
      <c r="M13470" s="3">
        <v>600</v>
      </c>
    </row>
    <row r="13471" spans="1:13" x14ac:dyDescent="0.25">
      <c r="A13471" s="1" t="str">
        <f>HYPERLINK("http://www.rosaceae.org/Prunus/Prunus_persica/p.persica_gdr_reftransV1_0000144","p.persica_gdr_reftransV1_0000144")</f>
        <v>p.persica_gdr_reftransV1_0000144</v>
      </c>
      <c r="B13471" s="3">
        <v>329</v>
      </c>
      <c r="C13471" s="1" t="str">
        <f>HYPERLINK("http://www.uniprot.org/uniprot/CAAT2_ARATH","CAAT2_ARATH")</f>
        <v>CAAT2_ARATH</v>
      </c>
      <c r="D13471" t="s">
        <v>408</v>
      </c>
      <c r="E13471" s="3" t="s">
        <v>3</v>
      </c>
      <c r="F13471" s="4">
        <v>7.6500000000000002E-45</v>
      </c>
      <c r="G13471" s="3">
        <v>398</v>
      </c>
      <c r="H13471" s="3">
        <v>72</v>
      </c>
      <c r="I13471" s="3">
        <v>109</v>
      </c>
      <c r="J13471" s="3">
        <v>1</v>
      </c>
      <c r="K13471" s="3">
        <v>327</v>
      </c>
      <c r="L13471" s="3">
        <v>263</v>
      </c>
      <c r="M13471" s="3">
        <v>371</v>
      </c>
    </row>
    <row r="13472" spans="1:13" x14ac:dyDescent="0.25">
      <c r="A13472" s="1" t="str">
        <f>HYPERLINK("http://www.rosaceae.org/Prunus/Prunus_persica/p.persica_gdr_reftransV1_0000244","p.persica_gdr_reftransV1_0000244")</f>
        <v>p.persica_gdr_reftransV1_0000244</v>
      </c>
      <c r="B13472" s="3">
        <v>1510</v>
      </c>
      <c r="C13472" s="1" t="str">
        <f>HYPERLINK("http://www.uniprot.org/uniprot/CAB39_HUMAN","CAB39_HUMAN")</f>
        <v>CAB39_HUMAN</v>
      </c>
      <c r="D13472" t="s">
        <v>9058</v>
      </c>
      <c r="E13472" s="3" t="s">
        <v>28</v>
      </c>
      <c r="F13472" s="4">
        <v>8.3299999999999995E-81</v>
      </c>
      <c r="G13472" s="3">
        <v>668</v>
      </c>
      <c r="H13472" s="3">
        <v>48</v>
      </c>
      <c r="I13472" s="3">
        <v>309</v>
      </c>
      <c r="J13472" s="3">
        <v>139</v>
      </c>
      <c r="K13472" s="3">
        <v>1065</v>
      </c>
      <c r="L13472" s="3">
        <v>1</v>
      </c>
      <c r="M13472" s="3">
        <v>306</v>
      </c>
    </row>
    <row r="13473" spans="1:13" x14ac:dyDescent="0.25">
      <c r="A13473" s="1" t="str">
        <f>HYPERLINK("http://www.rosaceae.org/Prunus/Prunus_persica/p.persica_gdr_reftransV1_0000444","p.persica_gdr_reftransV1_0000444")</f>
        <v>p.persica_gdr_reftransV1_0000444</v>
      </c>
      <c r="B13473" s="3">
        <v>2516</v>
      </c>
      <c r="C13473" s="1" t="str">
        <f>HYPERLINK("http://www.uniprot.org/uniprot/YQ77_SCHPO","YQ77_SCHPO")</f>
        <v>YQ77_SCHPO</v>
      </c>
      <c r="D13473" t="s">
        <v>9059</v>
      </c>
      <c r="E13473" s="3" t="s">
        <v>464</v>
      </c>
      <c r="F13473" s="4">
        <v>1.02E-25</v>
      </c>
      <c r="G13473" s="3">
        <v>281</v>
      </c>
      <c r="H13473" s="3">
        <v>36</v>
      </c>
      <c r="I13473" s="3">
        <v>169</v>
      </c>
      <c r="J13473" s="3">
        <v>1575</v>
      </c>
      <c r="K13473" s="3">
        <v>2081</v>
      </c>
      <c r="L13473" s="3">
        <v>73</v>
      </c>
      <c r="M13473" s="3">
        <v>231</v>
      </c>
    </row>
    <row r="13474" spans="1:13" x14ac:dyDescent="0.25">
      <c r="A13474" s="1" t="str">
        <f>HYPERLINK("http://www.rosaceae.org/Prunus/Prunus_persica/p.persica_gdr_reftransV1_0000494","p.persica_gdr_reftransV1_0000494")</f>
        <v>p.persica_gdr_reftransV1_0000494</v>
      </c>
      <c r="B13474" s="3">
        <v>1482</v>
      </c>
      <c r="C13474" s="1" t="str">
        <f>HYPERLINK("http://www.uniprot.org/uniprot/CHIP_ARATH","CHIP_ARATH")</f>
        <v>CHIP_ARATH</v>
      </c>
      <c r="D13474" t="s">
        <v>9060</v>
      </c>
      <c r="E13474" s="3" t="s">
        <v>3</v>
      </c>
      <c r="F13474" s="4">
        <v>1.5600000000000001E-119</v>
      </c>
      <c r="G13474" s="3">
        <v>920</v>
      </c>
      <c r="H13474" s="3">
        <v>57</v>
      </c>
      <c r="I13474" s="3">
        <v>320</v>
      </c>
      <c r="J13474" s="3">
        <v>234</v>
      </c>
      <c r="K13474" s="3">
        <v>1187</v>
      </c>
      <c r="L13474" s="3">
        <v>1</v>
      </c>
      <c r="M13474" s="3">
        <v>275</v>
      </c>
    </row>
    <row r="13475" spans="1:13" x14ac:dyDescent="0.25">
      <c r="A13475" s="1" t="str">
        <f>HYPERLINK("http://www.rosaceae.org/Prunus/Prunus_persica/p.persica_gdr_reftransV1_0000544","p.persica_gdr_reftransV1_0000544")</f>
        <v>p.persica_gdr_reftransV1_0000544</v>
      </c>
      <c r="B13475" s="3">
        <v>1770</v>
      </c>
      <c r="C13475" s="1" t="str">
        <f>HYPERLINK("http://www.uniprot.org/uniprot/FRI3_SOYBN","FRI3_SOYBN")</f>
        <v>FRI3_SOYBN</v>
      </c>
      <c r="D13475" t="s">
        <v>1689</v>
      </c>
      <c r="E13475" s="3" t="s">
        <v>307</v>
      </c>
      <c r="F13475" s="4">
        <v>7.6599999999999999E-87</v>
      </c>
      <c r="G13475" s="3">
        <v>707</v>
      </c>
      <c r="H13475" s="3">
        <v>76</v>
      </c>
      <c r="I13475" s="3">
        <v>221</v>
      </c>
      <c r="J13475" s="3">
        <v>876</v>
      </c>
      <c r="K13475" s="3">
        <v>1535</v>
      </c>
      <c r="L13475" s="3">
        <v>31</v>
      </c>
      <c r="M13475" s="3">
        <v>251</v>
      </c>
    </row>
    <row r="13476" spans="1:13" x14ac:dyDescent="0.25">
      <c r="A13476" s="1" t="str">
        <f>HYPERLINK("http://www.rosaceae.org/Prunus/Prunus_persica/p.persica_gdr_reftransV1_0000594","p.persica_gdr_reftransV1_0000594")</f>
        <v>p.persica_gdr_reftransV1_0000594</v>
      </c>
      <c r="B13476" s="3">
        <v>5850</v>
      </c>
      <c r="C13476" s="1" t="str">
        <f>HYPERLINK("http://www.uniprot.org/uniprot/PDS5B_CHICK","PDS5B_CHICK")</f>
        <v>PDS5B_CHICK</v>
      </c>
      <c r="D13476" t="s">
        <v>9061</v>
      </c>
      <c r="E13476" s="3" t="s">
        <v>1278</v>
      </c>
      <c r="F13476" s="4">
        <v>4.3800000000000002E-70</v>
      </c>
      <c r="G13476" s="3">
        <v>676</v>
      </c>
      <c r="H13476" s="3">
        <v>25</v>
      </c>
      <c r="I13476" s="3">
        <v>1092</v>
      </c>
      <c r="J13476" s="3">
        <v>281</v>
      </c>
      <c r="K13476" s="3">
        <v>3442</v>
      </c>
      <c r="L13476" s="3">
        <v>19</v>
      </c>
      <c r="M13476" s="3">
        <v>1075</v>
      </c>
    </row>
    <row r="13477" spans="1:13" x14ac:dyDescent="0.25">
      <c r="A13477" s="1" t="str">
        <f>HYPERLINK("http://www.rosaceae.org/Prunus/Prunus_persica/p.persica_gdr_reftransV1_0000694","p.persica_gdr_reftransV1_0000694")</f>
        <v>p.persica_gdr_reftransV1_0000694</v>
      </c>
      <c r="B13477" s="3">
        <v>369</v>
      </c>
      <c r="C13477" s="1" t="str">
        <f>HYPERLINK("http://www.uniprot.org/uniprot/PP440_ARATH","PP440_ARATH")</f>
        <v>PP440_ARATH</v>
      </c>
      <c r="D13477" t="s">
        <v>97</v>
      </c>
      <c r="E13477" s="3" t="s">
        <v>3</v>
      </c>
      <c r="F13477" s="4">
        <v>2.4199999999999999E-22</v>
      </c>
      <c r="G13477" s="3">
        <v>238</v>
      </c>
      <c r="H13477" s="3">
        <v>44</v>
      </c>
      <c r="I13477" s="3">
        <v>120</v>
      </c>
      <c r="J13477" s="3">
        <v>1</v>
      </c>
      <c r="K13477" s="3">
        <v>360</v>
      </c>
      <c r="L13477" s="3">
        <v>125</v>
      </c>
      <c r="M13477" s="3">
        <v>244</v>
      </c>
    </row>
    <row r="13478" spans="1:13" x14ac:dyDescent="0.25">
      <c r="A13478" s="1" t="str">
        <f>HYPERLINK("http://www.rosaceae.org/Prunus/Prunus_persica/p.persica_gdr_reftransV1_0000744","p.persica_gdr_reftransV1_0000744")</f>
        <v>p.persica_gdr_reftransV1_0000744</v>
      </c>
      <c r="B13478" s="3">
        <v>720</v>
      </c>
      <c r="C13478" s="1" t="str">
        <f>HYPERLINK("http://www.uniprot.org/uniprot/VPS2B_ARATH","VPS2B_ARATH")</f>
        <v>VPS2B_ARATH</v>
      </c>
      <c r="D13478" t="s">
        <v>1117</v>
      </c>
      <c r="E13478" s="3" t="s">
        <v>3</v>
      </c>
      <c r="F13478" s="4">
        <v>1.16E-104</v>
      </c>
      <c r="G13478" s="3">
        <v>791</v>
      </c>
      <c r="H13478" s="3">
        <v>89</v>
      </c>
      <c r="I13478" s="3">
        <v>189</v>
      </c>
      <c r="J13478" s="3">
        <v>62</v>
      </c>
      <c r="K13478" s="3">
        <v>628</v>
      </c>
      <c r="L13478" s="3">
        <v>1</v>
      </c>
      <c r="M13478" s="3">
        <v>189</v>
      </c>
    </row>
    <row r="13479" spans="1:13" x14ac:dyDescent="0.25">
      <c r="A13479" s="1" t="str">
        <f>HYPERLINK("http://www.rosaceae.org/Prunus/Prunus_persica/p.persica_gdr_reftransV1_0000844","p.persica_gdr_reftransV1_0000844")</f>
        <v>p.persica_gdr_reftransV1_0000844</v>
      </c>
      <c r="B13479" s="3">
        <v>860</v>
      </c>
      <c r="C13479" s="1" t="str">
        <f>HYPERLINK("http://www.uniprot.org/uniprot/R13L1_ARATH","R13L1_ARATH")</f>
        <v>R13L1_ARATH</v>
      </c>
      <c r="D13479" t="s">
        <v>100</v>
      </c>
      <c r="E13479" s="3" t="s">
        <v>3</v>
      </c>
      <c r="F13479" s="4">
        <v>3.8700000000000001E-73</v>
      </c>
      <c r="G13479" s="3">
        <v>630</v>
      </c>
      <c r="H13479" s="3">
        <v>52</v>
      </c>
      <c r="I13479" s="3">
        <v>287</v>
      </c>
      <c r="J13479" s="3">
        <v>1</v>
      </c>
      <c r="K13479" s="3">
        <v>858</v>
      </c>
      <c r="L13479" s="3">
        <v>375</v>
      </c>
      <c r="M13479" s="3">
        <v>658</v>
      </c>
    </row>
    <row r="13480" spans="1:13" x14ac:dyDescent="0.25">
      <c r="A13480" s="1" t="str">
        <f>HYPERLINK("http://www.rosaceae.org/Prunus/Prunus_persica/p.persica_gdr_reftransV1_0000944","p.persica_gdr_reftransV1_0000944")</f>
        <v>p.persica_gdr_reftransV1_0000944</v>
      </c>
      <c r="B13480" s="3">
        <v>1609</v>
      </c>
      <c r="C13480" s="1" t="str">
        <f>HYPERLINK("http://www.uniprot.org/uniprot/PUMP5_ARATH","PUMP5_ARATH")</f>
        <v>PUMP5_ARATH</v>
      </c>
      <c r="D13480" t="s">
        <v>1747</v>
      </c>
      <c r="E13480" s="3" t="s">
        <v>3</v>
      </c>
      <c r="F13480" s="4">
        <v>1.7300000000000001E-129</v>
      </c>
      <c r="G13480" s="3">
        <v>994</v>
      </c>
      <c r="H13480" s="3">
        <v>69</v>
      </c>
      <c r="I13480" s="3">
        <v>327</v>
      </c>
      <c r="J13480" s="3">
        <v>484</v>
      </c>
      <c r="K13480" s="3">
        <v>1440</v>
      </c>
      <c r="L13480" s="3">
        <v>1</v>
      </c>
      <c r="M13480" s="3">
        <v>311</v>
      </c>
    </row>
    <row r="13481" spans="1:13" x14ac:dyDescent="0.25">
      <c r="A13481" s="1" t="str">
        <f>HYPERLINK("http://www.rosaceae.org/Prunus/Prunus_persica/p.persica_gdr_reftransV1_0000994","p.persica_gdr_reftransV1_0000994")</f>
        <v>p.persica_gdr_reftransV1_0000994</v>
      </c>
      <c r="B13481" s="3">
        <v>777</v>
      </c>
      <c r="C13481" s="1" t="str">
        <f>HYPERLINK("http://www.uniprot.org/uniprot/HSP82_TOBAC","HSP82_TOBAC")</f>
        <v>HSP82_TOBAC</v>
      </c>
      <c r="D13481" t="s">
        <v>9062</v>
      </c>
      <c r="E13481" s="3" t="s">
        <v>200</v>
      </c>
      <c r="F13481" s="4">
        <v>2.86E-141</v>
      </c>
      <c r="G13481" s="3">
        <v>1061</v>
      </c>
      <c r="H13481" s="3">
        <v>89</v>
      </c>
      <c r="I13481" s="3">
        <v>255</v>
      </c>
      <c r="J13481" s="3">
        <v>3</v>
      </c>
      <c r="K13481" s="3">
        <v>767</v>
      </c>
      <c r="L13481" s="3">
        <v>140</v>
      </c>
      <c r="M13481" s="3">
        <v>394</v>
      </c>
    </row>
    <row r="13482" spans="1:13" x14ac:dyDescent="0.25">
      <c r="A13482" s="1" t="str">
        <f>HYPERLINK("http://www.rosaceae.org/Prunus/Prunus_persica/p.persica_gdr_reftransV1_0001144","p.persica_gdr_reftransV1_0001144")</f>
        <v>p.persica_gdr_reftransV1_0001144</v>
      </c>
      <c r="B13482" s="3">
        <v>1251</v>
      </c>
      <c r="C13482" s="1" t="str">
        <f>HYPERLINK("http://www.uniprot.org/uniprot/ADS3_ARATH","ADS3_ARATH")</f>
        <v>ADS3_ARATH</v>
      </c>
      <c r="D13482" t="s">
        <v>2103</v>
      </c>
      <c r="E13482" s="3" t="s">
        <v>3</v>
      </c>
      <c r="F13482" s="4">
        <v>4.6600000000000003E-114</v>
      </c>
      <c r="G13482" s="3">
        <v>886</v>
      </c>
      <c r="H13482" s="3">
        <v>59</v>
      </c>
      <c r="I13482" s="3">
        <v>277</v>
      </c>
      <c r="J13482" s="3">
        <v>124</v>
      </c>
      <c r="K13482" s="3">
        <v>951</v>
      </c>
      <c r="L13482" s="3">
        <v>96</v>
      </c>
      <c r="M13482" s="3">
        <v>371</v>
      </c>
    </row>
    <row r="13483" spans="1:13" x14ac:dyDescent="0.25">
      <c r="A13483" s="1" t="str">
        <f>HYPERLINK("http://www.rosaceae.org/Prunus/Prunus_persica/p.persica_gdr_reftransV1_0001194","p.persica_gdr_reftransV1_0001194")</f>
        <v>p.persica_gdr_reftransV1_0001194</v>
      </c>
      <c r="B13483" s="3">
        <v>2376</v>
      </c>
      <c r="C13483" s="1" t="str">
        <f>HYPERLINK("http://www.uniprot.org/uniprot/MYOB2_ARATH","MYOB2_ARATH")</f>
        <v>MYOB2_ARATH</v>
      </c>
      <c r="D13483" t="s">
        <v>6942</v>
      </c>
      <c r="E13483" s="3" t="s">
        <v>3</v>
      </c>
      <c r="F13483" s="4">
        <v>1.0900000000000001E-68</v>
      </c>
      <c r="G13483" s="3">
        <v>629</v>
      </c>
      <c r="H13483" s="3">
        <v>45</v>
      </c>
      <c r="I13483" s="3">
        <v>515</v>
      </c>
      <c r="J13483" s="3">
        <v>733</v>
      </c>
      <c r="K13483" s="3">
        <v>2262</v>
      </c>
      <c r="L13483" s="3">
        <v>308</v>
      </c>
      <c r="M13483" s="3">
        <v>749</v>
      </c>
    </row>
    <row r="13484" spans="1:13" x14ac:dyDescent="0.25">
      <c r="A13484" s="1" t="str">
        <f>HYPERLINK("http://www.rosaceae.org/Prunus/Prunus_persica/p.persica_gdr_reftransV1_0001244","p.persica_gdr_reftransV1_0001244")</f>
        <v>p.persica_gdr_reftransV1_0001244</v>
      </c>
      <c r="B13484" s="3">
        <v>1483</v>
      </c>
      <c r="C13484" s="1" t="str">
        <f>HYPERLINK("http://www.uniprot.org/uniprot/NEP1_NEPGR","NEP1_NEPGR")</f>
        <v>NEP1_NEPGR</v>
      </c>
      <c r="D13484" t="s">
        <v>6644</v>
      </c>
      <c r="E13484" s="3" t="s">
        <v>6645</v>
      </c>
      <c r="F13484" s="4">
        <v>1.05E-44</v>
      </c>
      <c r="G13484" s="3">
        <v>424</v>
      </c>
      <c r="H13484" s="3">
        <v>31</v>
      </c>
      <c r="I13484" s="3">
        <v>441</v>
      </c>
      <c r="J13484" s="3">
        <v>56</v>
      </c>
      <c r="K13484" s="3">
        <v>1327</v>
      </c>
      <c r="L13484" s="3">
        <v>47</v>
      </c>
      <c r="M13484" s="3">
        <v>434</v>
      </c>
    </row>
    <row r="13485" spans="1:13" x14ac:dyDescent="0.25">
      <c r="A13485" s="1" t="str">
        <f>HYPERLINK("http://www.rosaceae.org/Prunus/Prunus_persica/p.persica_gdr_reftransV1_0001294","p.persica_gdr_reftransV1_0001294")</f>
        <v>p.persica_gdr_reftransV1_0001294</v>
      </c>
      <c r="B13485" s="3">
        <v>2396</v>
      </c>
      <c r="C13485" s="1" t="str">
        <f>HYPERLINK("http://www.uniprot.org/uniprot/SETD3_HUMAN","SETD3_HUMAN")</f>
        <v>SETD3_HUMAN</v>
      </c>
      <c r="D13485" t="s">
        <v>9063</v>
      </c>
      <c r="E13485" s="3" t="s">
        <v>28</v>
      </c>
      <c r="F13485" s="4">
        <v>1.26E-16</v>
      </c>
      <c r="G13485" s="3">
        <v>216</v>
      </c>
      <c r="H13485" s="3">
        <v>23</v>
      </c>
      <c r="I13485" s="3">
        <v>395</v>
      </c>
      <c r="J13485" s="3">
        <v>417</v>
      </c>
      <c r="K13485" s="3">
        <v>1541</v>
      </c>
      <c r="L13485" s="3">
        <v>110</v>
      </c>
      <c r="M13485" s="3">
        <v>483</v>
      </c>
    </row>
    <row r="13486" spans="1:13" x14ac:dyDescent="0.25">
      <c r="A13486" s="1" t="str">
        <f>HYPERLINK("http://www.rosaceae.org/Prunus/Prunus_persica/p.persica_gdr_reftransV1_0001344","p.persica_gdr_reftransV1_0001344")</f>
        <v>p.persica_gdr_reftransV1_0001344</v>
      </c>
      <c r="B13486" s="3">
        <v>1477</v>
      </c>
      <c r="C13486" s="1" t="str">
        <f>HYPERLINK("http://www.uniprot.org/uniprot/NEP1_NEPGR","NEP1_NEPGR")</f>
        <v>NEP1_NEPGR</v>
      </c>
      <c r="D13486" t="s">
        <v>6644</v>
      </c>
      <c r="E13486" s="3" t="s">
        <v>6645</v>
      </c>
      <c r="F13486" s="4">
        <v>5.6599999999999997E-123</v>
      </c>
      <c r="G13486" s="3">
        <v>958</v>
      </c>
      <c r="H13486" s="3">
        <v>50</v>
      </c>
      <c r="I13486" s="3">
        <v>436</v>
      </c>
      <c r="J13486" s="3">
        <v>65</v>
      </c>
      <c r="K13486" s="3">
        <v>1366</v>
      </c>
      <c r="L13486" s="3">
        <v>17</v>
      </c>
      <c r="M13486" s="3">
        <v>434</v>
      </c>
    </row>
    <row r="13487" spans="1:13" x14ac:dyDescent="0.25">
      <c r="A13487" s="1" t="str">
        <f>HYPERLINK("http://www.rosaceae.org/Prunus/Prunus_persica/p.persica_gdr_reftransV1_0001394","p.persica_gdr_reftransV1_0001394")</f>
        <v>p.persica_gdr_reftransV1_0001394</v>
      </c>
      <c r="B13487" s="3">
        <v>913</v>
      </c>
      <c r="C13487" s="1" t="str">
        <f>HYPERLINK("http://www.uniprot.org/uniprot/FAX5_ARATH","FAX5_ARATH")</f>
        <v>FAX5_ARATH</v>
      </c>
      <c r="D13487" t="s">
        <v>9064</v>
      </c>
      <c r="E13487" s="3" t="s">
        <v>3</v>
      </c>
      <c r="F13487" s="4">
        <v>2.0399999999999999E-46</v>
      </c>
      <c r="G13487" s="3">
        <v>400</v>
      </c>
      <c r="H13487" s="3">
        <v>72</v>
      </c>
      <c r="I13487" s="3">
        <v>119</v>
      </c>
      <c r="J13487" s="3">
        <v>423</v>
      </c>
      <c r="K13487" s="3">
        <v>779</v>
      </c>
      <c r="L13487" s="3">
        <v>1</v>
      </c>
      <c r="M13487" s="3">
        <v>119</v>
      </c>
    </row>
    <row r="13488" spans="1:13" x14ac:dyDescent="0.25">
      <c r="A13488" s="1" t="str">
        <f>HYPERLINK("http://www.rosaceae.org/Prunus/Prunus_persica/p.persica_gdr_reftransV1_0001444","p.persica_gdr_reftransV1_0001444")</f>
        <v>p.persica_gdr_reftransV1_0001444</v>
      </c>
      <c r="B13488" s="3">
        <v>1334</v>
      </c>
      <c r="C13488" s="1" t="str">
        <f>HYPERLINK("http://www.uniprot.org/uniprot/MYO6_ARATH","MYO6_ARATH")</f>
        <v>MYO6_ARATH</v>
      </c>
      <c r="D13488" t="s">
        <v>2872</v>
      </c>
      <c r="E13488" s="3" t="s">
        <v>3</v>
      </c>
      <c r="F13488" s="4">
        <v>0</v>
      </c>
      <c r="G13488" s="3">
        <v>1583</v>
      </c>
      <c r="H13488" s="3">
        <v>68</v>
      </c>
      <c r="I13488" s="3">
        <v>443</v>
      </c>
      <c r="J13488" s="3">
        <v>6</v>
      </c>
      <c r="K13488" s="3">
        <v>1334</v>
      </c>
      <c r="L13488" s="3">
        <v>514</v>
      </c>
      <c r="M13488" s="3">
        <v>955</v>
      </c>
    </row>
    <row r="13489" spans="1:13" x14ac:dyDescent="0.25">
      <c r="A13489" s="1" t="str">
        <f>HYPERLINK("http://www.rosaceae.org/Prunus/Prunus_persica/p.persica_gdr_reftransV1_0001544","p.persica_gdr_reftransV1_0001544")</f>
        <v>p.persica_gdr_reftransV1_0001544</v>
      </c>
      <c r="B13489" s="3">
        <v>552</v>
      </c>
      <c r="C13489" s="1" t="str">
        <f>HYPERLINK("http://www.uniprot.org/uniprot/AB13B_ARATH","AB13B_ARATH")</f>
        <v>AB13B_ARATH</v>
      </c>
      <c r="D13489" t="s">
        <v>759</v>
      </c>
      <c r="E13489" s="3" t="s">
        <v>3</v>
      </c>
      <c r="F13489" s="4">
        <v>8.3600000000000001E-62</v>
      </c>
      <c r="G13489" s="3">
        <v>540</v>
      </c>
      <c r="H13489" s="3">
        <v>71</v>
      </c>
      <c r="I13489" s="3">
        <v>184</v>
      </c>
      <c r="J13489" s="3">
        <v>3</v>
      </c>
      <c r="K13489" s="3">
        <v>551</v>
      </c>
      <c r="L13489" s="3">
        <v>230</v>
      </c>
      <c r="M13489" s="3">
        <v>413</v>
      </c>
    </row>
    <row r="13490" spans="1:13" x14ac:dyDescent="0.25">
      <c r="A13490" s="1" t="str">
        <f>HYPERLINK("http://www.rosaceae.org/Prunus/Prunus_persica/p.persica_gdr_reftransV1_0001644","p.persica_gdr_reftransV1_0001644")</f>
        <v>p.persica_gdr_reftransV1_0001644</v>
      </c>
      <c r="B13490" s="3">
        <v>2994</v>
      </c>
      <c r="C13490" s="1" t="str">
        <f>HYPERLINK("http://www.uniprot.org/uniprot/RPM1_ARATH","RPM1_ARATH")</f>
        <v>RPM1_ARATH</v>
      </c>
      <c r="D13490" t="s">
        <v>453</v>
      </c>
      <c r="E13490" s="3" t="s">
        <v>3</v>
      </c>
      <c r="F13490" s="4">
        <v>0</v>
      </c>
      <c r="G13490" s="3">
        <v>1810</v>
      </c>
      <c r="H13490" s="3">
        <v>45</v>
      </c>
      <c r="I13490" s="3">
        <v>863</v>
      </c>
      <c r="J13490" s="3">
        <v>2</v>
      </c>
      <c r="K13490" s="3">
        <v>2551</v>
      </c>
      <c r="L13490" s="3">
        <v>71</v>
      </c>
      <c r="M13490" s="3">
        <v>918</v>
      </c>
    </row>
    <row r="13491" spans="1:13" x14ac:dyDescent="0.25">
      <c r="A13491" s="1" t="str">
        <f>HYPERLINK("http://www.rosaceae.org/Prunus/Prunus_persica/p.persica_gdr_reftransV1_0001744","p.persica_gdr_reftransV1_0001744")</f>
        <v>p.persica_gdr_reftransV1_0001744</v>
      </c>
      <c r="B13491" s="3">
        <v>399</v>
      </c>
      <c r="C13491" s="1" t="str">
        <f>HYPERLINK("http://www.uniprot.org/uniprot/R13L1_ARATH","R13L1_ARATH")</f>
        <v>R13L1_ARATH</v>
      </c>
      <c r="D13491" t="s">
        <v>100</v>
      </c>
      <c r="E13491" s="3" t="s">
        <v>3</v>
      </c>
      <c r="F13491" s="4">
        <v>6.5599999999999998E-18</v>
      </c>
      <c r="G13491" s="3">
        <v>207</v>
      </c>
      <c r="H13491" s="3">
        <v>37</v>
      </c>
      <c r="I13491" s="3">
        <v>143</v>
      </c>
      <c r="J13491" s="3">
        <v>1</v>
      </c>
      <c r="K13491" s="3">
        <v>393</v>
      </c>
      <c r="L13491" s="3">
        <v>639</v>
      </c>
      <c r="M13491" s="3">
        <v>780</v>
      </c>
    </row>
    <row r="13492" spans="1:13" x14ac:dyDescent="0.25">
      <c r="A13492" s="1" t="str">
        <f>HYPERLINK("http://www.rosaceae.org/Prunus/Prunus_persica/p.persica_gdr_reftransV1_0001794","p.persica_gdr_reftransV1_0001794")</f>
        <v>p.persica_gdr_reftransV1_0001794</v>
      </c>
      <c r="B13492" s="3">
        <v>534</v>
      </c>
      <c r="C13492" s="1" t="str">
        <f>HYPERLINK("http://www.uniprot.org/uniprot/H4_ASPOR","H4_ASPOR")</f>
        <v>H4_ASPOR</v>
      </c>
      <c r="D13492" t="s">
        <v>9065</v>
      </c>
      <c r="E13492" s="3" t="s">
        <v>262</v>
      </c>
      <c r="F13492" s="4">
        <v>2.17E-50</v>
      </c>
      <c r="G13492" s="3">
        <v>414</v>
      </c>
      <c r="H13492" s="3">
        <v>100</v>
      </c>
      <c r="I13492" s="3">
        <v>82</v>
      </c>
      <c r="J13492" s="3">
        <v>173</v>
      </c>
      <c r="K13492" s="3">
        <v>418</v>
      </c>
      <c r="L13492" s="3">
        <v>22</v>
      </c>
      <c r="M13492" s="3">
        <v>103</v>
      </c>
    </row>
    <row r="13493" spans="1:13" x14ac:dyDescent="0.25">
      <c r="A13493" s="1" t="str">
        <f>HYPERLINK("http://www.rosaceae.org/Prunus/Prunus_persica/p.persica_gdr_reftransV1_0001844","p.persica_gdr_reftransV1_0001844")</f>
        <v>p.persica_gdr_reftransV1_0001844</v>
      </c>
      <c r="B13493" s="3">
        <v>3377</v>
      </c>
      <c r="C13493" s="1" t="str">
        <f>HYPERLINK("http://www.uniprot.org/uniprot/F214B_BOVIN","F214B_BOVIN")</f>
        <v>F214B_BOVIN</v>
      </c>
      <c r="D13493" t="s">
        <v>8392</v>
      </c>
      <c r="E13493" s="3" t="s">
        <v>184</v>
      </c>
      <c r="F13493" s="4">
        <v>1.64E-11</v>
      </c>
      <c r="G13493" s="3">
        <v>175</v>
      </c>
      <c r="H13493" s="3">
        <v>32</v>
      </c>
      <c r="I13493" s="3">
        <v>158</v>
      </c>
      <c r="J13493" s="3">
        <v>1083</v>
      </c>
      <c r="K13493" s="3">
        <v>1556</v>
      </c>
      <c r="L13493" s="3">
        <v>346</v>
      </c>
      <c r="M13493" s="3">
        <v>477</v>
      </c>
    </row>
    <row r="13494" spans="1:13" x14ac:dyDescent="0.25">
      <c r="A13494" s="1" t="str">
        <f>HYPERLINK("http://www.rosaceae.org/Prunus/Prunus_persica/p.persica_gdr_reftransV1_0001894","p.persica_gdr_reftransV1_0001894")</f>
        <v>p.persica_gdr_reftransV1_0001894</v>
      </c>
      <c r="B13494" s="3">
        <v>565</v>
      </c>
      <c r="C13494" s="1" t="str">
        <f>HYPERLINK("http://www.uniprot.org/uniprot/OBGM_ARATH","OBGM_ARATH")</f>
        <v>OBGM_ARATH</v>
      </c>
      <c r="D13494" t="s">
        <v>8797</v>
      </c>
      <c r="E13494" s="3" t="s">
        <v>3</v>
      </c>
      <c r="F13494" s="4">
        <v>5.4500000000000004E-21</v>
      </c>
      <c r="G13494" s="3">
        <v>232</v>
      </c>
      <c r="H13494" s="3">
        <v>61</v>
      </c>
      <c r="I13494" s="3">
        <v>121</v>
      </c>
      <c r="J13494" s="3">
        <v>4</v>
      </c>
      <c r="K13494" s="3">
        <v>366</v>
      </c>
      <c r="L13494" s="3">
        <v>12</v>
      </c>
      <c r="M13494" s="3">
        <v>132</v>
      </c>
    </row>
    <row r="13495" spans="1:13" x14ac:dyDescent="0.25">
      <c r="A13495" s="1" t="str">
        <f>HYPERLINK("http://www.rosaceae.org/Prunus/Prunus_persica/p.persica_gdr_reftransV1_0002094","p.persica_gdr_reftransV1_0002094")</f>
        <v>p.persica_gdr_reftransV1_0002094</v>
      </c>
      <c r="B13495" s="3">
        <v>506</v>
      </c>
      <c r="C13495" s="1" t="str">
        <f>HYPERLINK("http://www.uniprot.org/uniprot/GUN17_ARATH","GUN17_ARATH")</f>
        <v>GUN17_ARATH</v>
      </c>
      <c r="D13495" t="s">
        <v>2177</v>
      </c>
      <c r="E13495" s="3" t="s">
        <v>3</v>
      </c>
      <c r="F13495" s="4">
        <v>5.1000000000000003E-38</v>
      </c>
      <c r="G13495" s="3">
        <v>353</v>
      </c>
      <c r="H13495" s="3">
        <v>71</v>
      </c>
      <c r="I13495" s="3">
        <v>103</v>
      </c>
      <c r="J13495" s="3">
        <v>2</v>
      </c>
      <c r="K13495" s="3">
        <v>310</v>
      </c>
      <c r="L13495" s="3">
        <v>16</v>
      </c>
      <c r="M13495" s="3">
        <v>116</v>
      </c>
    </row>
    <row r="13496" spans="1:13" x14ac:dyDescent="0.25">
      <c r="A13496" s="1" t="str">
        <f>HYPERLINK("http://www.rosaceae.org/Prunus/Prunus_persica/p.persica_gdr_reftransV1_0002144","p.persica_gdr_reftransV1_0002144")</f>
        <v>p.persica_gdr_reftransV1_0002144</v>
      </c>
      <c r="B13496" s="3">
        <v>1523</v>
      </c>
      <c r="C13496" s="1" t="str">
        <f>HYPERLINK("http://www.uniprot.org/uniprot/PHL1_ARATH","PHL1_ARATH")</f>
        <v>PHL1_ARATH</v>
      </c>
      <c r="D13496" t="s">
        <v>2239</v>
      </c>
      <c r="E13496" s="3" t="s">
        <v>3</v>
      </c>
      <c r="F13496" s="4">
        <v>1.8E-31</v>
      </c>
      <c r="G13496" s="3">
        <v>324</v>
      </c>
      <c r="H13496" s="3">
        <v>54</v>
      </c>
      <c r="I13496" s="3">
        <v>156</v>
      </c>
      <c r="J13496" s="3">
        <v>352</v>
      </c>
      <c r="K13496" s="3">
        <v>813</v>
      </c>
      <c r="L13496" s="3">
        <v>212</v>
      </c>
      <c r="M13496" s="3">
        <v>366</v>
      </c>
    </row>
    <row r="13497" spans="1:13" x14ac:dyDescent="0.25">
      <c r="A13497" s="1" t="str">
        <f>HYPERLINK("http://www.rosaceae.org/Prunus/Prunus_persica/p.persica_gdr_reftransV1_0002294","p.persica_gdr_reftransV1_0002294")</f>
        <v>p.persica_gdr_reftransV1_0002294</v>
      </c>
      <c r="B13497" s="3">
        <v>2070</v>
      </c>
      <c r="C13497" s="1" t="str">
        <f>HYPERLINK("http://www.uniprot.org/uniprot/CAX5_ARATH","CAX5_ARATH")</f>
        <v>CAX5_ARATH</v>
      </c>
      <c r="D13497" t="s">
        <v>3939</v>
      </c>
      <c r="E13497" s="3" t="s">
        <v>3</v>
      </c>
      <c r="F13497" s="4">
        <v>0</v>
      </c>
      <c r="G13497" s="3">
        <v>1638</v>
      </c>
      <c r="H13497" s="3">
        <v>73</v>
      </c>
      <c r="I13497" s="3">
        <v>438</v>
      </c>
      <c r="J13497" s="3">
        <v>411</v>
      </c>
      <c r="K13497" s="3">
        <v>1715</v>
      </c>
      <c r="L13497" s="3">
        <v>10</v>
      </c>
      <c r="M13497" s="3">
        <v>440</v>
      </c>
    </row>
    <row r="13498" spans="1:13" x14ac:dyDescent="0.25">
      <c r="A13498" s="1" t="str">
        <f>HYPERLINK("http://www.rosaceae.org/Prunus/Prunus_persica/p.persica_gdr_reftransV1_0002344","p.persica_gdr_reftransV1_0002344")</f>
        <v>p.persica_gdr_reftransV1_0002344</v>
      </c>
      <c r="B13498" s="3">
        <v>643</v>
      </c>
      <c r="C13498" s="1" t="str">
        <f>HYPERLINK("http://www.uniprot.org/uniprot/CHUP1_ARATH","CHUP1_ARATH")</f>
        <v>CHUP1_ARATH</v>
      </c>
      <c r="D13498" t="s">
        <v>3256</v>
      </c>
      <c r="E13498" s="3" t="s">
        <v>3</v>
      </c>
      <c r="F13498" s="4">
        <v>1.56E-27</v>
      </c>
      <c r="G13498" s="3">
        <v>287</v>
      </c>
      <c r="H13498" s="3">
        <v>53</v>
      </c>
      <c r="I13498" s="3">
        <v>112</v>
      </c>
      <c r="J13498" s="3">
        <v>319</v>
      </c>
      <c r="K13498" s="3">
        <v>642</v>
      </c>
      <c r="L13498" s="3">
        <v>274</v>
      </c>
      <c r="M13498" s="3">
        <v>385</v>
      </c>
    </row>
    <row r="13499" spans="1:13" x14ac:dyDescent="0.25">
      <c r="A13499" s="1" t="str">
        <f>HYPERLINK("http://www.rosaceae.org/Prunus/Prunus_persica/p.persica_gdr_reftransV1_0002444","p.persica_gdr_reftransV1_0002444")</f>
        <v>p.persica_gdr_reftransV1_0002444</v>
      </c>
      <c r="B13499" s="3">
        <v>1649</v>
      </c>
      <c r="C13499" s="1" t="str">
        <f>HYPERLINK("http://www.uniprot.org/uniprot/FACR3_ARATH","FACR3_ARATH")</f>
        <v>FACR3_ARATH</v>
      </c>
      <c r="D13499" t="s">
        <v>6492</v>
      </c>
      <c r="E13499" s="3" t="s">
        <v>3</v>
      </c>
      <c r="F13499" s="4">
        <v>0</v>
      </c>
      <c r="G13499" s="3">
        <v>1374</v>
      </c>
      <c r="H13499" s="3">
        <v>51</v>
      </c>
      <c r="I13499" s="3">
        <v>489</v>
      </c>
      <c r="J13499" s="3">
        <v>41</v>
      </c>
      <c r="K13499" s="3">
        <v>1507</v>
      </c>
      <c r="L13499" s="3">
        <v>5</v>
      </c>
      <c r="M13499" s="3">
        <v>492</v>
      </c>
    </row>
    <row r="13500" spans="1:13" x14ac:dyDescent="0.25">
      <c r="A13500" s="1" t="str">
        <f>HYPERLINK("http://www.rosaceae.org/Prunus/Prunus_persica/p.persica_gdr_reftransV1_0002494","p.persica_gdr_reftransV1_0002494")</f>
        <v>p.persica_gdr_reftransV1_0002494</v>
      </c>
      <c r="B13500" s="3">
        <v>2035</v>
      </c>
      <c r="C13500" s="1" t="str">
        <f>HYPERLINK("http://www.uniprot.org/uniprot/AB2E_ARATH","AB2E_ARATH")</f>
        <v>AB2E_ARATH</v>
      </c>
      <c r="D13500" t="s">
        <v>4130</v>
      </c>
      <c r="E13500" s="3" t="s">
        <v>3</v>
      </c>
      <c r="F13500" s="4">
        <v>0</v>
      </c>
      <c r="G13500" s="3">
        <v>2699</v>
      </c>
      <c r="H13500" s="3">
        <v>93</v>
      </c>
      <c r="I13500" s="3">
        <v>541</v>
      </c>
      <c r="J13500" s="3">
        <v>413</v>
      </c>
      <c r="K13500" s="3">
        <v>2035</v>
      </c>
      <c r="L13500" s="3">
        <v>65</v>
      </c>
      <c r="M13500" s="3">
        <v>605</v>
      </c>
    </row>
    <row r="13501" spans="1:13" x14ac:dyDescent="0.25">
      <c r="A13501" s="1" t="str">
        <f>HYPERLINK("http://www.rosaceae.org/Prunus/Prunus_persica/p.persica_gdr_reftransV1_0002544","p.persica_gdr_reftransV1_0002544")</f>
        <v>p.persica_gdr_reftransV1_0002544</v>
      </c>
      <c r="B13501" s="3">
        <v>2222</v>
      </c>
      <c r="C13501" s="1" t="str">
        <f>HYPERLINK("http://www.uniprot.org/uniprot/DGK5_ARATH","DGK5_ARATH")</f>
        <v>DGK5_ARATH</v>
      </c>
      <c r="D13501" t="s">
        <v>9066</v>
      </c>
      <c r="E13501" s="3" t="s">
        <v>3</v>
      </c>
      <c r="F13501" s="4">
        <v>0</v>
      </c>
      <c r="G13501" s="3">
        <v>1716</v>
      </c>
      <c r="H13501" s="3">
        <v>69</v>
      </c>
      <c r="I13501" s="3">
        <v>487</v>
      </c>
      <c r="J13501" s="3">
        <v>516</v>
      </c>
      <c r="K13501" s="3">
        <v>1961</v>
      </c>
      <c r="L13501" s="3">
        <v>1</v>
      </c>
      <c r="M13501" s="3">
        <v>484</v>
      </c>
    </row>
    <row r="13502" spans="1:13" x14ac:dyDescent="0.25">
      <c r="A13502" s="1" t="str">
        <f>HYPERLINK("http://www.rosaceae.org/Prunus/Prunus_persica/p.persica_gdr_reftransV1_0002594","p.persica_gdr_reftransV1_0002594")</f>
        <v>p.persica_gdr_reftransV1_0002594</v>
      </c>
      <c r="B13502" s="3">
        <v>738</v>
      </c>
      <c r="C13502" s="1" t="str">
        <f>HYPERLINK("http://www.uniprot.org/uniprot/PME58_ARATH","PME58_ARATH")</f>
        <v>PME58_ARATH</v>
      </c>
      <c r="D13502" t="s">
        <v>1874</v>
      </c>
      <c r="E13502" s="3" t="s">
        <v>3</v>
      </c>
      <c r="F13502" s="4">
        <v>2.7699999999999999E-66</v>
      </c>
      <c r="G13502" s="3">
        <v>563</v>
      </c>
      <c r="H13502" s="3">
        <v>57</v>
      </c>
      <c r="I13502" s="3">
        <v>190</v>
      </c>
      <c r="J13502" s="3">
        <v>168</v>
      </c>
      <c r="K13502" s="3">
        <v>737</v>
      </c>
      <c r="L13502" s="3">
        <v>378</v>
      </c>
      <c r="M13502" s="3">
        <v>567</v>
      </c>
    </row>
    <row r="13503" spans="1:13" x14ac:dyDescent="0.25">
      <c r="A13503" s="1" t="str">
        <f>HYPERLINK("http://www.rosaceae.org/Prunus/Prunus_persica/p.persica_gdr_reftransV1_0002644","p.persica_gdr_reftransV1_0002644")</f>
        <v>p.persica_gdr_reftransV1_0002644</v>
      </c>
      <c r="B13503" s="3">
        <v>405</v>
      </c>
      <c r="C13503" s="1" t="str">
        <f>HYPERLINK("http://www.uniprot.org/uniprot/PRT1_ARATH","PRT1_ARATH")</f>
        <v>PRT1_ARATH</v>
      </c>
      <c r="D13503" t="s">
        <v>5547</v>
      </c>
      <c r="E13503" s="3" t="s">
        <v>3</v>
      </c>
      <c r="F13503" s="4">
        <v>5.5000000000000002E-32</v>
      </c>
      <c r="G13503" s="3">
        <v>304</v>
      </c>
      <c r="H13503" s="3">
        <v>62</v>
      </c>
      <c r="I13503" s="3">
        <v>85</v>
      </c>
      <c r="J13503" s="3">
        <v>116</v>
      </c>
      <c r="K13503" s="3">
        <v>370</v>
      </c>
      <c r="L13503" s="3">
        <v>14</v>
      </c>
      <c r="M13503" s="3">
        <v>98</v>
      </c>
    </row>
    <row r="13504" spans="1:13" x14ac:dyDescent="0.25">
      <c r="A13504" s="1" t="str">
        <f>HYPERLINK("http://www.rosaceae.org/Prunus/Prunus_persica/p.persica_gdr_reftransV1_0002694","p.persica_gdr_reftransV1_0002694")</f>
        <v>p.persica_gdr_reftransV1_0002694</v>
      </c>
      <c r="B13504" s="3">
        <v>1312</v>
      </c>
      <c r="C13504" s="1" t="str">
        <f>HYPERLINK("http://www.uniprot.org/uniprot/TSJT1_TOBAC","TSJT1_TOBAC")</f>
        <v>TSJT1_TOBAC</v>
      </c>
      <c r="D13504" t="s">
        <v>1570</v>
      </c>
      <c r="E13504" s="3" t="s">
        <v>200</v>
      </c>
      <c r="F13504" s="4">
        <v>1.2E-31</v>
      </c>
      <c r="G13504" s="3">
        <v>307</v>
      </c>
      <c r="H13504" s="3">
        <v>39</v>
      </c>
      <c r="I13504" s="3">
        <v>151</v>
      </c>
      <c r="J13504" s="3">
        <v>93</v>
      </c>
      <c r="K13504" s="3">
        <v>536</v>
      </c>
      <c r="L13504" s="3">
        <v>1</v>
      </c>
      <c r="M13504" s="3">
        <v>148</v>
      </c>
    </row>
    <row r="13505" spans="1:13" x14ac:dyDescent="0.25">
      <c r="A13505" s="1" t="str">
        <f>HYPERLINK("http://www.rosaceae.org/Prunus/Prunus_persica/p.persica_gdr_reftransV1_0002744","p.persica_gdr_reftransV1_0002744")</f>
        <v>p.persica_gdr_reftransV1_0002744</v>
      </c>
      <c r="B13505" s="3">
        <v>370</v>
      </c>
      <c r="C13505" s="1" t="str">
        <f>HYPERLINK("http://www.uniprot.org/uniprot/FRS10_ARATH","FRS10_ARATH")</f>
        <v>FRS10_ARATH</v>
      </c>
      <c r="D13505" t="s">
        <v>2208</v>
      </c>
      <c r="E13505" s="3" t="s">
        <v>3</v>
      </c>
      <c r="F13505" s="4">
        <v>4.8000000000000003E-59</v>
      </c>
      <c r="G13505" s="3">
        <v>503</v>
      </c>
      <c r="H13505" s="3">
        <v>76</v>
      </c>
      <c r="I13505" s="3">
        <v>123</v>
      </c>
      <c r="J13505" s="3">
        <v>2</v>
      </c>
      <c r="K13505" s="3">
        <v>370</v>
      </c>
      <c r="L13505" s="3">
        <v>86</v>
      </c>
      <c r="M13505" s="3">
        <v>208</v>
      </c>
    </row>
    <row r="13506" spans="1:13" x14ac:dyDescent="0.25">
      <c r="A13506" s="1" t="str">
        <f>HYPERLINK("http://www.rosaceae.org/Prunus/Prunus_persica/p.persica_gdr_reftransV1_0002794","p.persica_gdr_reftransV1_0002794")</f>
        <v>p.persica_gdr_reftransV1_0002794</v>
      </c>
      <c r="B13506" s="3">
        <v>2387</v>
      </c>
      <c r="C13506" s="1" t="str">
        <f>HYPERLINK("http://www.uniprot.org/uniprot/Y1839_ARATH","Y1839_ARATH")</f>
        <v>Y1839_ARATH</v>
      </c>
      <c r="D13506" t="s">
        <v>3075</v>
      </c>
      <c r="E13506" s="3" t="s">
        <v>3</v>
      </c>
      <c r="F13506" s="4">
        <v>0</v>
      </c>
      <c r="G13506" s="3">
        <v>1722</v>
      </c>
      <c r="H13506" s="3">
        <v>56</v>
      </c>
      <c r="I13506" s="3">
        <v>617</v>
      </c>
      <c r="J13506" s="3">
        <v>263</v>
      </c>
      <c r="K13506" s="3">
        <v>2068</v>
      </c>
      <c r="L13506" s="3">
        <v>13</v>
      </c>
      <c r="M13506" s="3">
        <v>627</v>
      </c>
    </row>
    <row r="13507" spans="1:13" x14ac:dyDescent="0.25">
      <c r="A13507" s="1" t="str">
        <f>HYPERLINK("http://www.rosaceae.org/Prunus/Prunus_persica/p.persica_gdr_reftransV1_0002844","p.persica_gdr_reftransV1_0002844")</f>
        <v>p.persica_gdr_reftransV1_0002844</v>
      </c>
      <c r="B13507" s="3">
        <v>344</v>
      </c>
      <c r="C13507" s="1" t="str">
        <f>HYPERLINK("http://www.uniprot.org/uniprot/C76A1_SOLME","C76A1_SOLME")</f>
        <v>C76A1_SOLME</v>
      </c>
      <c r="D13507" t="s">
        <v>9067</v>
      </c>
      <c r="E13507" s="3" t="s">
        <v>9068</v>
      </c>
      <c r="F13507" s="4">
        <v>2.6500000000000001E-40</v>
      </c>
      <c r="G13507" s="3">
        <v>363</v>
      </c>
      <c r="H13507" s="3">
        <v>60</v>
      </c>
      <c r="I13507" s="3">
        <v>107</v>
      </c>
      <c r="J13507" s="3">
        <v>3</v>
      </c>
      <c r="K13507" s="3">
        <v>323</v>
      </c>
      <c r="L13507" s="3">
        <v>362</v>
      </c>
      <c r="M13507" s="3">
        <v>467</v>
      </c>
    </row>
    <row r="13508" spans="1:13" x14ac:dyDescent="0.25">
      <c r="A13508" s="1" t="str">
        <f>HYPERLINK("http://www.rosaceae.org/Prunus/Prunus_persica/p.persica_gdr_reftransV1_0002944","p.persica_gdr_reftransV1_0002944")</f>
        <v>p.persica_gdr_reftransV1_0002944</v>
      </c>
      <c r="B13508" s="3">
        <v>366</v>
      </c>
      <c r="C13508" s="1" t="str">
        <f>HYPERLINK("http://www.uniprot.org/uniprot/PLP2_ARATH","PLP2_ARATH")</f>
        <v>PLP2_ARATH</v>
      </c>
      <c r="D13508" t="s">
        <v>2299</v>
      </c>
      <c r="E13508" s="3" t="s">
        <v>3</v>
      </c>
      <c r="F13508" s="4">
        <v>3.8599999999999998E-48</v>
      </c>
      <c r="G13508" s="3">
        <v>416</v>
      </c>
      <c r="H13508" s="3">
        <v>66</v>
      </c>
      <c r="I13508" s="3">
        <v>118</v>
      </c>
      <c r="J13508" s="3">
        <v>8</v>
      </c>
      <c r="K13508" s="3">
        <v>361</v>
      </c>
      <c r="L13508" s="3">
        <v>249</v>
      </c>
      <c r="M13508" s="3">
        <v>366</v>
      </c>
    </row>
    <row r="13509" spans="1:13" x14ac:dyDescent="0.25">
      <c r="A13509" s="1" t="str">
        <f>HYPERLINK("http://www.rosaceae.org/Prunus/Prunus_persica/p.persica_gdr_reftransV1_0003094","p.persica_gdr_reftransV1_0003094")</f>
        <v>p.persica_gdr_reftransV1_0003094</v>
      </c>
      <c r="B13509" s="3">
        <v>1623</v>
      </c>
      <c r="C13509" s="1" t="str">
        <f>HYPERLINK("http://www.uniprot.org/uniprot/RGLG1_ARATH","RGLG1_ARATH")</f>
        <v>RGLG1_ARATH</v>
      </c>
      <c r="D13509" t="s">
        <v>9069</v>
      </c>
      <c r="E13509" s="3" t="s">
        <v>3</v>
      </c>
      <c r="F13509" s="4">
        <v>1E-155</v>
      </c>
      <c r="G13509" s="3">
        <v>1186</v>
      </c>
      <c r="H13509" s="3">
        <v>64</v>
      </c>
      <c r="I13509" s="3">
        <v>367</v>
      </c>
      <c r="J13509" s="3">
        <v>229</v>
      </c>
      <c r="K13509" s="3">
        <v>1305</v>
      </c>
      <c r="L13509" s="3">
        <v>128</v>
      </c>
      <c r="M13509" s="3">
        <v>489</v>
      </c>
    </row>
    <row r="13510" spans="1:13" x14ac:dyDescent="0.25">
      <c r="A13510" s="1" t="str">
        <f>HYPERLINK("http://www.rosaceae.org/Prunus/Prunus_persica/p.persica_gdr_reftransV1_0003244","p.persica_gdr_reftransV1_0003244")</f>
        <v>p.persica_gdr_reftransV1_0003244</v>
      </c>
      <c r="B13510" s="3">
        <v>677</v>
      </c>
      <c r="C13510" s="1" t="str">
        <f>HYPERLINK("http://www.uniprot.org/uniprot/PP168_ARATH","PP168_ARATH")</f>
        <v>PP168_ARATH</v>
      </c>
      <c r="D13510" t="s">
        <v>2164</v>
      </c>
      <c r="E13510" s="3" t="s">
        <v>3</v>
      </c>
      <c r="F13510" s="4">
        <v>3.2400000000000003E-29</v>
      </c>
      <c r="G13510" s="3">
        <v>299</v>
      </c>
      <c r="H13510" s="3">
        <v>33</v>
      </c>
      <c r="I13510" s="3">
        <v>188</v>
      </c>
      <c r="J13510" s="3">
        <v>100</v>
      </c>
      <c r="K13510" s="3">
        <v>663</v>
      </c>
      <c r="L13510" s="3">
        <v>67</v>
      </c>
      <c r="M13510" s="3">
        <v>253</v>
      </c>
    </row>
    <row r="13511" spans="1:13" x14ac:dyDescent="0.25">
      <c r="A13511" s="1" t="str">
        <f>HYPERLINK("http://www.rosaceae.org/Prunus/Prunus_persica/p.persica_gdr_reftransV1_0003294","p.persica_gdr_reftransV1_0003294")</f>
        <v>p.persica_gdr_reftransV1_0003294</v>
      </c>
      <c r="B13511" s="3">
        <v>794</v>
      </c>
      <c r="C13511" s="1" t="str">
        <f>HYPERLINK("http://www.uniprot.org/uniprot/YAOI_SCHPO","YAOI_SCHPO")</f>
        <v>YAOI_SCHPO</v>
      </c>
      <c r="D13511" t="s">
        <v>9070</v>
      </c>
      <c r="E13511" s="3" t="s">
        <v>464</v>
      </c>
      <c r="F13511" s="4">
        <v>2.0700000000000001E-25</v>
      </c>
      <c r="G13511" s="3">
        <v>269</v>
      </c>
      <c r="H13511" s="3">
        <v>28</v>
      </c>
      <c r="I13511" s="3">
        <v>247</v>
      </c>
      <c r="J13511" s="3">
        <v>1</v>
      </c>
      <c r="K13511" s="3">
        <v>732</v>
      </c>
      <c r="L13511" s="3">
        <v>243</v>
      </c>
      <c r="M13511" s="3">
        <v>482</v>
      </c>
    </row>
    <row r="13512" spans="1:13" x14ac:dyDescent="0.25">
      <c r="A13512" s="1" t="str">
        <f>HYPERLINK("http://www.rosaceae.org/Prunus/Prunus_persica/p.persica_gdr_reftransV1_0003344","p.persica_gdr_reftransV1_0003344")</f>
        <v>p.persica_gdr_reftransV1_0003344</v>
      </c>
      <c r="B13512" s="3">
        <v>1585</v>
      </c>
      <c r="C13512" s="1" t="str">
        <f>HYPERLINK("http://www.uniprot.org/uniprot/CTDS1_MOUSE","CTDS1_MOUSE")</f>
        <v>CTDS1_MOUSE</v>
      </c>
      <c r="D13512" t="s">
        <v>9071</v>
      </c>
      <c r="E13512" s="3" t="s">
        <v>157</v>
      </c>
      <c r="F13512" s="4">
        <v>1.02E-15</v>
      </c>
      <c r="G13512" s="3">
        <v>198</v>
      </c>
      <c r="H13512" s="3">
        <v>39</v>
      </c>
      <c r="I13512" s="3">
        <v>121</v>
      </c>
      <c r="J13512" s="3">
        <v>646</v>
      </c>
      <c r="K13512" s="3">
        <v>996</v>
      </c>
      <c r="L13512" s="3">
        <v>119</v>
      </c>
      <c r="M13512" s="3">
        <v>236</v>
      </c>
    </row>
    <row r="13513" spans="1:13" x14ac:dyDescent="0.25">
      <c r="A13513" s="1" t="str">
        <f>HYPERLINK("http://www.rosaceae.org/Prunus/Prunus_persica/p.persica_gdr_reftransV1_0003394","p.persica_gdr_reftransV1_0003394")</f>
        <v>p.persica_gdr_reftransV1_0003394</v>
      </c>
      <c r="B13513" s="3">
        <v>360</v>
      </c>
      <c r="C13513" s="1" t="str">
        <f>HYPERLINK("http://www.uniprot.org/uniprot/CBL10_ARATH","CBL10_ARATH")</f>
        <v>CBL10_ARATH</v>
      </c>
      <c r="D13513" t="s">
        <v>9072</v>
      </c>
      <c r="E13513" s="3" t="s">
        <v>3</v>
      </c>
      <c r="F13513" s="4">
        <v>6.1600000000000005E-48</v>
      </c>
      <c r="G13513" s="3">
        <v>422</v>
      </c>
      <c r="H13513" s="3">
        <v>64</v>
      </c>
      <c r="I13513" s="3">
        <v>120</v>
      </c>
      <c r="J13513" s="3">
        <v>1</v>
      </c>
      <c r="K13513" s="3">
        <v>360</v>
      </c>
      <c r="L13513" s="3">
        <v>488</v>
      </c>
      <c r="M13513" s="3">
        <v>606</v>
      </c>
    </row>
    <row r="13514" spans="1:13" x14ac:dyDescent="0.25">
      <c r="A13514" s="1" t="str">
        <f>HYPERLINK("http://www.rosaceae.org/Prunus/Prunus_persica/p.persica_gdr_reftransV1_0003444","p.persica_gdr_reftransV1_0003444")</f>
        <v>p.persica_gdr_reftransV1_0003444</v>
      </c>
      <c r="B13514" s="3">
        <v>2596</v>
      </c>
      <c r="C13514" s="1" t="str">
        <f>HYPERLINK("http://www.uniprot.org/uniprot/TTC27_DICDI","TTC27_DICDI")</f>
        <v>TTC27_DICDI</v>
      </c>
      <c r="D13514" t="s">
        <v>9073</v>
      </c>
      <c r="E13514" s="3" t="s">
        <v>9</v>
      </c>
      <c r="F13514" s="4">
        <v>2.4900000000000001E-64</v>
      </c>
      <c r="G13514" s="3">
        <v>603</v>
      </c>
      <c r="H13514" s="3">
        <v>28</v>
      </c>
      <c r="I13514" s="3">
        <v>677</v>
      </c>
      <c r="J13514" s="3">
        <v>135</v>
      </c>
      <c r="K13514" s="3">
        <v>2120</v>
      </c>
      <c r="L13514" s="3">
        <v>185</v>
      </c>
      <c r="M13514" s="3">
        <v>824</v>
      </c>
    </row>
    <row r="13515" spans="1:13" x14ac:dyDescent="0.25">
      <c r="A13515" s="1" t="str">
        <f>HYPERLINK("http://www.rosaceae.org/Prunus/Prunus_persica/p.persica_gdr_reftransV1_0003544","p.persica_gdr_reftransV1_0003544")</f>
        <v>p.persica_gdr_reftransV1_0003544</v>
      </c>
      <c r="B13515" s="3">
        <v>724</v>
      </c>
      <c r="C13515" s="1" t="str">
        <f>HYPERLINK("http://www.uniprot.org/uniprot/XTH16_ARATH","XTH16_ARATH")</f>
        <v>XTH16_ARATH</v>
      </c>
      <c r="D13515" t="s">
        <v>9074</v>
      </c>
      <c r="E13515" s="3" t="s">
        <v>3</v>
      </c>
      <c r="F13515" s="4">
        <v>3.3300000000000002E-97</v>
      </c>
      <c r="G13515" s="3">
        <v>748</v>
      </c>
      <c r="H13515" s="3">
        <v>71</v>
      </c>
      <c r="I13515" s="3">
        <v>194</v>
      </c>
      <c r="J13515" s="3">
        <v>160</v>
      </c>
      <c r="K13515" s="3">
        <v>723</v>
      </c>
      <c r="L13515" s="3">
        <v>97</v>
      </c>
      <c r="M13515" s="3">
        <v>290</v>
      </c>
    </row>
    <row r="13516" spans="1:13" x14ac:dyDescent="0.25">
      <c r="A13516" s="1" t="str">
        <f>HYPERLINK("http://www.rosaceae.org/Prunus/Prunus_persica/p.persica_gdr_reftransV1_0003594","p.persica_gdr_reftransV1_0003594")</f>
        <v>p.persica_gdr_reftransV1_0003594</v>
      </c>
      <c r="B13516" s="3">
        <v>1816</v>
      </c>
      <c r="C13516" s="1" t="str">
        <f>HYPERLINK("http://www.uniprot.org/uniprot/RP8L2_ARATH","RP8L2_ARATH")</f>
        <v>RP8L2_ARATH</v>
      </c>
      <c r="D13516" t="s">
        <v>1701</v>
      </c>
      <c r="E13516" s="3" t="s">
        <v>3</v>
      </c>
      <c r="F13516" s="4">
        <v>5.3400000000000001E-81</v>
      </c>
      <c r="G13516" s="3">
        <v>714</v>
      </c>
      <c r="H13516" s="3">
        <v>37</v>
      </c>
      <c r="I13516" s="3">
        <v>544</v>
      </c>
      <c r="J13516" s="3">
        <v>210</v>
      </c>
      <c r="K13516" s="3">
        <v>1814</v>
      </c>
      <c r="L13516" s="3">
        <v>369</v>
      </c>
      <c r="M13516" s="3">
        <v>888</v>
      </c>
    </row>
    <row r="13517" spans="1:13" x14ac:dyDescent="0.25">
      <c r="A13517" s="1" t="str">
        <f>HYPERLINK("http://www.rosaceae.org/Prunus/Prunus_persica/p.persica_gdr_reftransV1_0003694","p.persica_gdr_reftransV1_0003694")</f>
        <v>p.persica_gdr_reftransV1_0003694</v>
      </c>
      <c r="B13517" s="3">
        <v>1208</v>
      </c>
      <c r="C13517" s="1" t="str">
        <f>HYPERLINK("http://www.uniprot.org/uniprot/HNRPF_BOVIN","HNRPF_BOVIN")</f>
        <v>HNRPF_BOVIN</v>
      </c>
      <c r="D13517" t="s">
        <v>6547</v>
      </c>
      <c r="E13517" s="3" t="s">
        <v>184</v>
      </c>
      <c r="F13517" s="4">
        <v>1.05E-28</v>
      </c>
      <c r="G13517" s="3">
        <v>299</v>
      </c>
      <c r="H13517" s="3">
        <v>35</v>
      </c>
      <c r="I13517" s="3">
        <v>200</v>
      </c>
      <c r="J13517" s="3">
        <v>325</v>
      </c>
      <c r="K13517" s="3">
        <v>909</v>
      </c>
      <c r="L13517" s="3">
        <v>12</v>
      </c>
      <c r="M13517" s="3">
        <v>189</v>
      </c>
    </row>
    <row r="13518" spans="1:13" x14ac:dyDescent="0.25">
      <c r="A13518" s="1" t="str">
        <f>HYPERLINK("http://www.rosaceae.org/Prunus/Prunus_persica/p.persica_gdr_reftransV1_0004044","p.persica_gdr_reftransV1_0004044")</f>
        <v>p.persica_gdr_reftransV1_0004044</v>
      </c>
      <c r="B13518" s="3">
        <v>1975</v>
      </c>
      <c r="C13518" s="1" t="str">
        <f>HYPERLINK("http://www.uniprot.org/uniprot/GUX6_ARATH","GUX6_ARATH")</f>
        <v>GUX6_ARATH</v>
      </c>
      <c r="D13518" t="s">
        <v>9075</v>
      </c>
      <c r="E13518" s="3" t="s">
        <v>3</v>
      </c>
      <c r="F13518" s="4">
        <v>0</v>
      </c>
      <c r="G13518" s="3">
        <v>1730</v>
      </c>
      <c r="H13518" s="3">
        <v>70</v>
      </c>
      <c r="I13518" s="3">
        <v>554</v>
      </c>
      <c r="J13518" s="3">
        <v>115</v>
      </c>
      <c r="K13518" s="3">
        <v>1761</v>
      </c>
      <c r="L13518" s="3">
        <v>1</v>
      </c>
      <c r="M13518" s="3">
        <v>537</v>
      </c>
    </row>
    <row r="13519" spans="1:13" x14ac:dyDescent="0.25">
      <c r="A13519" s="1" t="str">
        <f>HYPERLINK("http://www.rosaceae.org/Prunus/Prunus_persica/p.persica_gdr_reftransV1_0004094","p.persica_gdr_reftransV1_0004094")</f>
        <v>p.persica_gdr_reftransV1_0004094</v>
      </c>
      <c r="B13519" s="3">
        <v>1646</v>
      </c>
      <c r="C13519" s="1" t="str">
        <f>HYPERLINK("http://www.uniprot.org/uniprot/SSUH2_HUMAN","SSUH2_HUMAN")</f>
        <v>SSUH2_HUMAN</v>
      </c>
      <c r="D13519" t="s">
        <v>563</v>
      </c>
      <c r="E13519" s="3" t="s">
        <v>28</v>
      </c>
      <c r="F13519" s="4">
        <v>4.1099999999999998E-26</v>
      </c>
      <c r="G13519" s="3">
        <v>282</v>
      </c>
      <c r="H13519" s="3">
        <v>29</v>
      </c>
      <c r="I13519" s="3">
        <v>325</v>
      </c>
      <c r="J13519" s="3">
        <v>388</v>
      </c>
      <c r="K13519" s="3">
        <v>1332</v>
      </c>
      <c r="L13519" s="3">
        <v>52</v>
      </c>
      <c r="M13519" s="3">
        <v>349</v>
      </c>
    </row>
    <row r="13520" spans="1:13" x14ac:dyDescent="0.25">
      <c r="A13520" s="1" t="str">
        <f>HYPERLINK("http://www.rosaceae.org/Prunus/Prunus_persica/p.persica_gdr_reftransV1_0004144","p.persica_gdr_reftransV1_0004144")</f>
        <v>p.persica_gdr_reftransV1_0004144</v>
      </c>
      <c r="B13520" s="3">
        <v>524</v>
      </c>
      <c r="C13520" s="1" t="str">
        <f>HYPERLINK("http://www.uniprot.org/uniprot/CNGC1_ARATH","CNGC1_ARATH")</f>
        <v>CNGC1_ARATH</v>
      </c>
      <c r="D13520" t="s">
        <v>241</v>
      </c>
      <c r="E13520" s="3" t="s">
        <v>3</v>
      </c>
      <c r="F13520" s="4">
        <v>1.9099999999999999E-17</v>
      </c>
      <c r="G13520" s="3">
        <v>206</v>
      </c>
      <c r="H13520" s="3">
        <v>56</v>
      </c>
      <c r="I13520" s="3">
        <v>63</v>
      </c>
      <c r="J13520" s="3">
        <v>3</v>
      </c>
      <c r="K13520" s="3">
        <v>191</v>
      </c>
      <c r="L13520" s="3">
        <v>86</v>
      </c>
      <c r="M13520" s="3">
        <v>148</v>
      </c>
    </row>
    <row r="13521" spans="1:13" x14ac:dyDescent="0.25">
      <c r="A13521" s="1" t="str">
        <f>HYPERLINK("http://www.rosaceae.org/Prunus/Prunus_persica/p.persica_gdr_reftransV1_0004294","p.persica_gdr_reftransV1_0004294")</f>
        <v>p.persica_gdr_reftransV1_0004294</v>
      </c>
      <c r="B13521" s="3">
        <v>1809</v>
      </c>
      <c r="C13521" s="1" t="str">
        <f>HYPERLINK("http://www.uniprot.org/uniprot/YZ37_SYNY3","YZ37_SYNY3")</f>
        <v>YZ37_SYNY3</v>
      </c>
      <c r="D13521" t="s">
        <v>4205</v>
      </c>
      <c r="E13521" s="3" t="s">
        <v>527</v>
      </c>
      <c r="F13521" s="4">
        <v>1.11E-16</v>
      </c>
      <c r="G13521" s="3">
        <v>209</v>
      </c>
      <c r="H13521" s="3">
        <v>26</v>
      </c>
      <c r="I13521" s="3">
        <v>290</v>
      </c>
      <c r="J13521" s="3">
        <v>347</v>
      </c>
      <c r="K13521" s="3">
        <v>1186</v>
      </c>
      <c r="L13521" s="3">
        <v>57</v>
      </c>
      <c r="M13521" s="3">
        <v>331</v>
      </c>
    </row>
    <row r="13522" spans="1:13" x14ac:dyDescent="0.25">
      <c r="A13522" s="1" t="str">
        <f>HYPERLINK("http://www.rosaceae.org/Prunus/Prunus_persica/p.persica_gdr_reftransV1_0004344","p.persica_gdr_reftransV1_0004344")</f>
        <v>p.persica_gdr_reftransV1_0004344</v>
      </c>
      <c r="B13522" s="3">
        <v>654</v>
      </c>
      <c r="C13522" s="1" t="str">
        <f>HYPERLINK("http://www.uniprot.org/uniprot/NDUB8_ARATH","NDUB8_ARATH")</f>
        <v>NDUB8_ARATH</v>
      </c>
      <c r="D13522" t="s">
        <v>9076</v>
      </c>
      <c r="E13522" s="3" t="s">
        <v>3</v>
      </c>
      <c r="F13522" s="4">
        <v>8.6800000000000003E-54</v>
      </c>
      <c r="G13522" s="3">
        <v>443</v>
      </c>
      <c r="H13522" s="3">
        <v>86</v>
      </c>
      <c r="I13522" s="3">
        <v>125</v>
      </c>
      <c r="J13522" s="3">
        <v>193</v>
      </c>
      <c r="K13522" s="3">
        <v>567</v>
      </c>
      <c r="L13522" s="3">
        <v>1</v>
      </c>
      <c r="M13522" s="3">
        <v>125</v>
      </c>
    </row>
    <row r="13523" spans="1:13" x14ac:dyDescent="0.25">
      <c r="A13523" s="1" t="str">
        <f>HYPERLINK("http://www.rosaceae.org/Prunus/Prunus_persica/p.persica_gdr_reftransV1_0004394","p.persica_gdr_reftransV1_0004394")</f>
        <v>p.persica_gdr_reftransV1_0004394</v>
      </c>
      <c r="B13523" s="3">
        <v>2372</v>
      </c>
      <c r="C13523" s="1" t="str">
        <f>HYPERLINK("http://www.uniprot.org/uniprot/CTSL2_DICDI","CTSL2_DICDI")</f>
        <v>CTSL2_DICDI</v>
      </c>
      <c r="D13523" t="s">
        <v>4332</v>
      </c>
      <c r="E13523" s="3" t="s">
        <v>9</v>
      </c>
      <c r="F13523" s="4">
        <v>6.3699999999999997E-51</v>
      </c>
      <c r="G13523" s="3">
        <v>486</v>
      </c>
      <c r="H13523" s="3">
        <v>52</v>
      </c>
      <c r="I13523" s="3">
        <v>203</v>
      </c>
      <c r="J13523" s="3">
        <v>1064</v>
      </c>
      <c r="K13523" s="3">
        <v>1672</v>
      </c>
      <c r="L13523" s="3">
        <v>360</v>
      </c>
      <c r="M13523" s="3">
        <v>558</v>
      </c>
    </row>
    <row r="13524" spans="1:13" x14ac:dyDescent="0.25">
      <c r="A13524" s="1" t="str">
        <f>HYPERLINK("http://www.rosaceae.org/Prunus/Prunus_persica/p.persica_gdr_reftransV1_0004444","p.persica_gdr_reftransV1_0004444")</f>
        <v>p.persica_gdr_reftransV1_0004444</v>
      </c>
      <c r="B13524" s="3">
        <v>1364</v>
      </c>
      <c r="C13524" s="1" t="str">
        <f>HYPERLINK("http://www.uniprot.org/uniprot/RSZ33_ARATH","RSZ33_ARATH")</f>
        <v>RSZ33_ARATH</v>
      </c>
      <c r="D13524" t="s">
        <v>4329</v>
      </c>
      <c r="E13524" s="3" t="s">
        <v>3</v>
      </c>
      <c r="F13524" s="4">
        <v>1.3699999999999999E-61</v>
      </c>
      <c r="G13524" s="3">
        <v>529</v>
      </c>
      <c r="H13524" s="3">
        <v>80</v>
      </c>
      <c r="I13524" s="3">
        <v>147</v>
      </c>
      <c r="J13524" s="3">
        <v>71</v>
      </c>
      <c r="K13524" s="3">
        <v>511</v>
      </c>
      <c r="L13524" s="3">
        <v>1</v>
      </c>
      <c r="M13524" s="3">
        <v>144</v>
      </c>
    </row>
    <row r="13525" spans="1:13" x14ac:dyDescent="0.25">
      <c r="A13525" s="1" t="str">
        <f>HYPERLINK("http://www.rosaceae.org/Prunus/Prunus_persica/p.persica_gdr_reftransV1_0004494","p.persica_gdr_reftransV1_0004494")</f>
        <v>p.persica_gdr_reftransV1_0004494</v>
      </c>
      <c r="B13525" s="3">
        <v>584</v>
      </c>
      <c r="C13525" s="1" t="str">
        <f>HYPERLINK("http://www.uniprot.org/uniprot/PP207_ARATH","PP207_ARATH")</f>
        <v>PP207_ARATH</v>
      </c>
      <c r="D13525" t="s">
        <v>561</v>
      </c>
      <c r="E13525" s="3" t="s">
        <v>3</v>
      </c>
      <c r="F13525" s="4">
        <v>6.3799999999999998E-62</v>
      </c>
      <c r="G13525" s="3">
        <v>536</v>
      </c>
      <c r="H13525" s="3">
        <v>56</v>
      </c>
      <c r="I13525" s="3">
        <v>181</v>
      </c>
      <c r="J13525" s="3">
        <v>42</v>
      </c>
      <c r="K13525" s="3">
        <v>584</v>
      </c>
      <c r="L13525" s="3">
        <v>51</v>
      </c>
      <c r="M13525" s="3">
        <v>231</v>
      </c>
    </row>
    <row r="13526" spans="1:13" x14ac:dyDescent="0.25">
      <c r="A13526" s="1" t="str">
        <f>HYPERLINK("http://www.rosaceae.org/Prunus/Prunus_persica/p.persica_gdr_reftransV1_0004794","p.persica_gdr_reftransV1_0004794")</f>
        <v>p.persica_gdr_reftransV1_0004794</v>
      </c>
      <c r="B13526" s="3">
        <v>2042</v>
      </c>
      <c r="C13526" s="1" t="str">
        <f>HYPERLINK("http://www.uniprot.org/uniprot/BH111_ARATH","BH111_ARATH")</f>
        <v>BH111_ARATH</v>
      </c>
      <c r="D13526" t="s">
        <v>9077</v>
      </c>
      <c r="E13526" s="3" t="s">
        <v>3</v>
      </c>
      <c r="F13526" s="4">
        <v>1.24E-51</v>
      </c>
      <c r="G13526" s="3">
        <v>473</v>
      </c>
      <c r="H13526" s="3">
        <v>49</v>
      </c>
      <c r="I13526" s="3">
        <v>227</v>
      </c>
      <c r="J13526" s="3">
        <v>175</v>
      </c>
      <c r="K13526" s="3">
        <v>843</v>
      </c>
      <c r="L13526" s="3">
        <v>112</v>
      </c>
      <c r="M13526" s="3">
        <v>319</v>
      </c>
    </row>
    <row r="13527" spans="1:13" x14ac:dyDescent="0.25">
      <c r="A13527" s="1" t="str">
        <f>HYPERLINK("http://www.rosaceae.org/Prunus/Prunus_persica/p.persica_gdr_reftransV1_0004894","p.persica_gdr_reftransV1_0004894")</f>
        <v>p.persica_gdr_reftransV1_0004894</v>
      </c>
      <c r="B13527" s="3">
        <v>2077</v>
      </c>
      <c r="C13527" s="1" t="str">
        <f>HYPERLINK("http://www.uniprot.org/uniprot/MD15A_ARATH","MD15A_ARATH")</f>
        <v>MD15A_ARATH</v>
      </c>
      <c r="D13527" t="s">
        <v>3789</v>
      </c>
      <c r="E13527" s="3" t="s">
        <v>3</v>
      </c>
      <c r="F13527" s="4">
        <v>1.42E-78</v>
      </c>
      <c r="G13527" s="3">
        <v>711</v>
      </c>
      <c r="H13527" s="3">
        <v>60</v>
      </c>
      <c r="I13527" s="3">
        <v>289</v>
      </c>
      <c r="J13527" s="3">
        <v>993</v>
      </c>
      <c r="K13527" s="3">
        <v>1859</v>
      </c>
      <c r="L13527" s="3">
        <v>536</v>
      </c>
      <c r="M13527" s="3">
        <v>816</v>
      </c>
    </row>
    <row r="13528" spans="1:13" x14ac:dyDescent="0.25">
      <c r="A13528" s="1" t="str">
        <f>HYPERLINK("http://www.rosaceae.org/Prunus/Prunus_persica/p.persica_gdr_reftransV1_0004944","p.persica_gdr_reftransV1_0004944")</f>
        <v>p.persica_gdr_reftransV1_0004944</v>
      </c>
      <c r="B13528" s="3">
        <v>872</v>
      </c>
      <c r="C13528" s="1" t="str">
        <f>HYPERLINK("http://www.uniprot.org/uniprot/T2AG_ARATH","T2AG_ARATH")</f>
        <v>T2AG_ARATH</v>
      </c>
      <c r="D13528" t="s">
        <v>4572</v>
      </c>
      <c r="E13528" s="3" t="s">
        <v>3</v>
      </c>
      <c r="F13528" s="4">
        <v>1.7900000000000001E-65</v>
      </c>
      <c r="G13528" s="3">
        <v>525</v>
      </c>
      <c r="H13528" s="3">
        <v>92</v>
      </c>
      <c r="I13528" s="3">
        <v>106</v>
      </c>
      <c r="J13528" s="3">
        <v>445</v>
      </c>
      <c r="K13528" s="3">
        <v>762</v>
      </c>
      <c r="L13528" s="3">
        <v>1</v>
      </c>
      <c r="M13528" s="3">
        <v>106</v>
      </c>
    </row>
    <row r="13529" spans="1:13" x14ac:dyDescent="0.25">
      <c r="A13529" s="1" t="str">
        <f>HYPERLINK("http://www.rosaceae.org/Prunus/Prunus_persica/p.persica_gdr_reftransV1_0005044","p.persica_gdr_reftransV1_0005044")</f>
        <v>p.persica_gdr_reftransV1_0005044</v>
      </c>
      <c r="B13529" s="3">
        <v>2298</v>
      </c>
      <c r="C13529" s="1" t="str">
        <f>HYPERLINK("http://www.uniprot.org/uniprot/TRC_DROME","TRC_DROME")</f>
        <v>TRC_DROME</v>
      </c>
      <c r="D13529" t="s">
        <v>7541</v>
      </c>
      <c r="E13529" s="3" t="s">
        <v>5</v>
      </c>
      <c r="F13529" s="4">
        <v>1.1600000000000001E-143</v>
      </c>
      <c r="G13529" s="3">
        <v>1123</v>
      </c>
      <c r="H13529" s="3">
        <v>50</v>
      </c>
      <c r="I13529" s="3">
        <v>453</v>
      </c>
      <c r="J13529" s="3">
        <v>453</v>
      </c>
      <c r="K13529" s="3">
        <v>1802</v>
      </c>
      <c r="L13529" s="3">
        <v>20</v>
      </c>
      <c r="M13529" s="3">
        <v>463</v>
      </c>
    </row>
    <row r="13530" spans="1:13" x14ac:dyDescent="0.25">
      <c r="A13530" s="1" t="str">
        <f>HYPERLINK("http://www.rosaceae.org/Prunus/Prunus_persica/p.persica_gdr_reftransV1_0005094","p.persica_gdr_reftransV1_0005094")</f>
        <v>p.persica_gdr_reftransV1_0005094</v>
      </c>
      <c r="B13530" s="3">
        <v>986</v>
      </c>
      <c r="C13530" s="1" t="str">
        <f>HYPERLINK("http://www.uniprot.org/uniprot/ERF19_ARATH","ERF19_ARATH")</f>
        <v>ERF19_ARATH</v>
      </c>
      <c r="D13530" t="s">
        <v>9078</v>
      </c>
      <c r="E13530" s="3" t="s">
        <v>3</v>
      </c>
      <c r="F13530" s="4">
        <v>2.9899999999999999E-40</v>
      </c>
      <c r="G13530" s="3">
        <v>362</v>
      </c>
      <c r="H13530" s="3">
        <v>64</v>
      </c>
      <c r="I13530" s="3">
        <v>105</v>
      </c>
      <c r="J13530" s="3">
        <v>575</v>
      </c>
      <c r="K13530" s="3">
        <v>889</v>
      </c>
      <c r="L13530" s="3">
        <v>8</v>
      </c>
      <c r="M13530" s="3">
        <v>112</v>
      </c>
    </row>
    <row r="13531" spans="1:13" x14ac:dyDescent="0.25">
      <c r="A13531" s="1" t="str">
        <f>HYPERLINK("http://www.rosaceae.org/Prunus/Prunus_persica/p.persica_gdr_reftransV1_0005144","p.persica_gdr_reftransV1_0005144")</f>
        <v>p.persica_gdr_reftransV1_0005144</v>
      </c>
      <c r="B13531" s="3">
        <v>795</v>
      </c>
      <c r="C13531" s="1" t="str">
        <f>HYPERLINK("http://www.uniprot.org/uniprot/AP1_ARATH","AP1_ARATH")</f>
        <v>AP1_ARATH</v>
      </c>
      <c r="D13531" t="s">
        <v>6987</v>
      </c>
      <c r="E13531" s="3" t="s">
        <v>3</v>
      </c>
      <c r="F13531" s="4">
        <v>4.7700000000000002E-69</v>
      </c>
      <c r="G13531" s="3">
        <v>560</v>
      </c>
      <c r="H13531" s="3">
        <v>73</v>
      </c>
      <c r="I13531" s="3">
        <v>164</v>
      </c>
      <c r="J13531" s="3">
        <v>74</v>
      </c>
      <c r="K13531" s="3">
        <v>565</v>
      </c>
      <c r="L13531" s="3">
        <v>1</v>
      </c>
      <c r="M13531" s="3">
        <v>164</v>
      </c>
    </row>
    <row r="13532" spans="1:13" x14ac:dyDescent="0.25">
      <c r="A13532" s="1" t="str">
        <f>HYPERLINK("http://www.rosaceae.org/Prunus/Prunus_persica/p.persica_gdr_reftransV1_0005294","p.persica_gdr_reftransV1_0005294")</f>
        <v>p.persica_gdr_reftransV1_0005294</v>
      </c>
      <c r="B13532" s="3">
        <v>711</v>
      </c>
      <c r="C13532" s="1" t="str">
        <f>HYPERLINK("http://www.uniprot.org/uniprot/WRK11_ARATH","WRK11_ARATH")</f>
        <v>WRK11_ARATH</v>
      </c>
      <c r="D13532" t="s">
        <v>7939</v>
      </c>
      <c r="E13532" s="3" t="s">
        <v>3</v>
      </c>
      <c r="F13532" s="4">
        <v>4.9199999999999998E-42</v>
      </c>
      <c r="G13532" s="3">
        <v>381</v>
      </c>
      <c r="H13532" s="3">
        <v>47</v>
      </c>
      <c r="I13532" s="3">
        <v>252</v>
      </c>
      <c r="J13532" s="3">
        <v>2</v>
      </c>
      <c r="K13532" s="3">
        <v>631</v>
      </c>
      <c r="L13532" s="3">
        <v>1</v>
      </c>
      <c r="M13532" s="3">
        <v>247</v>
      </c>
    </row>
    <row r="13533" spans="1:13" x14ac:dyDescent="0.25">
      <c r="A13533" s="1" t="str">
        <f>HYPERLINK("http://www.rosaceae.org/Prunus/Prunus_persica/p.persica_gdr_reftransV1_0005344","p.persica_gdr_reftransV1_0005344")</f>
        <v>p.persica_gdr_reftransV1_0005344</v>
      </c>
      <c r="B13533" s="3">
        <v>1591</v>
      </c>
      <c r="C13533" s="1" t="str">
        <f>HYPERLINK("http://www.uniprot.org/uniprot/IQD1_ARATH","IQD1_ARATH")</f>
        <v>IQD1_ARATH</v>
      </c>
      <c r="D13533" t="s">
        <v>4422</v>
      </c>
      <c r="E13533" s="3" t="s">
        <v>3</v>
      </c>
      <c r="F13533" s="4">
        <v>2.1200000000000001E-15</v>
      </c>
      <c r="G13533" s="3">
        <v>202</v>
      </c>
      <c r="H13533" s="3">
        <v>32</v>
      </c>
      <c r="I13533" s="3">
        <v>211</v>
      </c>
      <c r="J13533" s="3">
        <v>486</v>
      </c>
      <c r="K13533" s="3">
        <v>1088</v>
      </c>
      <c r="L13533" s="3">
        <v>107</v>
      </c>
      <c r="M13533" s="3">
        <v>312</v>
      </c>
    </row>
    <row r="13534" spans="1:13" x14ac:dyDescent="0.25">
      <c r="A13534" s="1" t="str">
        <f>HYPERLINK("http://www.rosaceae.org/Prunus/Prunus_persica/p.persica_gdr_reftransV1_0005394","p.persica_gdr_reftransV1_0005394")</f>
        <v>p.persica_gdr_reftransV1_0005394</v>
      </c>
      <c r="B13534" s="3">
        <v>2391</v>
      </c>
      <c r="C13534" s="1" t="str">
        <f>HYPERLINK("http://www.uniprot.org/uniprot/ASD1_ARATH","ASD1_ARATH")</f>
        <v>ASD1_ARATH</v>
      </c>
      <c r="D13534" t="s">
        <v>9079</v>
      </c>
      <c r="E13534" s="3" t="s">
        <v>3</v>
      </c>
      <c r="F13534" s="4">
        <v>0</v>
      </c>
      <c r="G13534" s="3">
        <v>2523</v>
      </c>
      <c r="H13534" s="3">
        <v>71</v>
      </c>
      <c r="I13534" s="3">
        <v>661</v>
      </c>
      <c r="J13534" s="3">
        <v>237</v>
      </c>
      <c r="K13534" s="3">
        <v>2207</v>
      </c>
      <c r="L13534" s="3">
        <v>22</v>
      </c>
      <c r="M13534" s="3">
        <v>671</v>
      </c>
    </row>
    <row r="13535" spans="1:13" x14ac:dyDescent="0.25">
      <c r="A13535" s="1" t="str">
        <f>HYPERLINK("http://www.rosaceae.org/Prunus/Prunus_persica/p.persica_gdr_reftransV1_0005444","p.persica_gdr_reftransV1_0005444")</f>
        <v>p.persica_gdr_reftransV1_0005444</v>
      </c>
      <c r="B13535" s="3">
        <v>1999</v>
      </c>
      <c r="C13535" s="1" t="str">
        <f>HYPERLINK("http://www.uniprot.org/uniprot/IPCS1_ARATH","IPCS1_ARATH")</f>
        <v>IPCS1_ARATH</v>
      </c>
      <c r="D13535" t="s">
        <v>9080</v>
      </c>
      <c r="E13535" s="3" t="s">
        <v>3</v>
      </c>
      <c r="F13535" s="4">
        <v>5.9500000000000003E-172</v>
      </c>
      <c r="G13535" s="3">
        <v>1287</v>
      </c>
      <c r="H13535" s="3">
        <v>76</v>
      </c>
      <c r="I13535" s="3">
        <v>315</v>
      </c>
      <c r="J13535" s="3">
        <v>414</v>
      </c>
      <c r="K13535" s="3">
        <v>1358</v>
      </c>
      <c r="L13535" s="3">
        <v>1</v>
      </c>
      <c r="M13535" s="3">
        <v>305</v>
      </c>
    </row>
    <row r="13536" spans="1:13" x14ac:dyDescent="0.25">
      <c r="A13536" s="1" t="str">
        <f>HYPERLINK("http://www.rosaceae.org/Prunus/Prunus_persica/p.persica_gdr_reftransV1_0005494","p.persica_gdr_reftransV1_0005494")</f>
        <v>p.persica_gdr_reftransV1_0005494</v>
      </c>
      <c r="B13536" s="3">
        <v>1689</v>
      </c>
      <c r="C13536" s="1" t="str">
        <f>HYPERLINK("http://www.uniprot.org/uniprot/BURP3_ORYSJ","BURP3_ORYSJ")</f>
        <v>BURP3_ORYSJ</v>
      </c>
      <c r="D13536" t="s">
        <v>1863</v>
      </c>
      <c r="E13536" s="3" t="s">
        <v>38</v>
      </c>
      <c r="F13536" s="4">
        <v>8.1400000000000002E-70</v>
      </c>
      <c r="G13536" s="3">
        <v>604</v>
      </c>
      <c r="H13536" s="3">
        <v>49</v>
      </c>
      <c r="I13536" s="3">
        <v>227</v>
      </c>
      <c r="J13536" s="3">
        <v>553</v>
      </c>
      <c r="K13536" s="3">
        <v>1224</v>
      </c>
      <c r="L13536" s="3">
        <v>201</v>
      </c>
      <c r="M13536" s="3">
        <v>425</v>
      </c>
    </row>
    <row r="13537" spans="1:13" x14ac:dyDescent="0.25">
      <c r="A13537" s="1" t="str">
        <f>HYPERLINK("http://www.rosaceae.org/Prunus/Prunus_persica/p.persica_gdr_reftransV1_0005544","p.persica_gdr_reftransV1_0005544")</f>
        <v>p.persica_gdr_reftransV1_0005544</v>
      </c>
      <c r="B13537" s="3">
        <v>1793</v>
      </c>
      <c r="C13537" s="1" t="str">
        <f>HYPERLINK("http://www.uniprot.org/uniprot/AB13B_ARATH","AB13B_ARATH")</f>
        <v>AB13B_ARATH</v>
      </c>
      <c r="D13537" t="s">
        <v>759</v>
      </c>
      <c r="E13537" s="3" t="s">
        <v>3</v>
      </c>
      <c r="F13537" s="4">
        <v>0</v>
      </c>
      <c r="G13537" s="3">
        <v>2042</v>
      </c>
      <c r="H13537" s="3">
        <v>75</v>
      </c>
      <c r="I13537" s="3">
        <v>516</v>
      </c>
      <c r="J13537" s="3">
        <v>2</v>
      </c>
      <c r="K13537" s="3">
        <v>1549</v>
      </c>
      <c r="L13537" s="3">
        <v>728</v>
      </c>
      <c r="M13537" s="3">
        <v>1243</v>
      </c>
    </row>
    <row r="13538" spans="1:13" x14ac:dyDescent="0.25">
      <c r="A13538" s="1" t="str">
        <f>HYPERLINK("http://www.rosaceae.org/Prunus/Prunus_persica/p.persica_gdr_reftransV1_0005644","p.persica_gdr_reftransV1_0005644")</f>
        <v>p.persica_gdr_reftransV1_0005644</v>
      </c>
      <c r="B13538" s="3">
        <v>313</v>
      </c>
      <c r="C13538" s="1" t="str">
        <f>HYPERLINK("http://www.uniprot.org/uniprot/C7A12_PANGI","C7A12_PANGI")</f>
        <v>C7A12_PANGI</v>
      </c>
      <c r="D13538" t="s">
        <v>5987</v>
      </c>
      <c r="E13538" s="3" t="s">
        <v>1477</v>
      </c>
      <c r="F13538" s="4">
        <v>1.7299999999999999E-14</v>
      </c>
      <c r="G13538" s="3">
        <v>176</v>
      </c>
      <c r="H13538" s="3">
        <v>35</v>
      </c>
      <c r="I13538" s="3">
        <v>109</v>
      </c>
      <c r="J13538" s="3">
        <v>3</v>
      </c>
      <c r="K13538" s="3">
        <v>311</v>
      </c>
      <c r="L13538" s="3">
        <v>195</v>
      </c>
      <c r="M13538" s="3">
        <v>300</v>
      </c>
    </row>
    <row r="13539" spans="1:13" x14ac:dyDescent="0.25">
      <c r="A13539" s="1" t="str">
        <f>HYPERLINK("http://www.rosaceae.org/Prunus/Prunus_persica/p.persica_gdr_reftransV1_0005744","p.persica_gdr_reftransV1_0005744")</f>
        <v>p.persica_gdr_reftransV1_0005744</v>
      </c>
      <c r="B13539" s="3">
        <v>2823</v>
      </c>
      <c r="C13539" s="1" t="str">
        <f>HYPERLINK("http://www.uniprot.org/uniprot/M3K1_ARATH","M3K1_ARATH")</f>
        <v>M3K1_ARATH</v>
      </c>
      <c r="D13539" t="s">
        <v>1062</v>
      </c>
      <c r="E13539" s="3" t="s">
        <v>3</v>
      </c>
      <c r="F13539" s="4">
        <v>3.8199999999999999E-16</v>
      </c>
      <c r="G13539" s="3">
        <v>213</v>
      </c>
      <c r="H13539" s="3">
        <v>67</v>
      </c>
      <c r="I13539" s="3">
        <v>60</v>
      </c>
      <c r="J13539" s="3">
        <v>3</v>
      </c>
      <c r="K13539" s="3">
        <v>179</v>
      </c>
      <c r="L13539" s="3">
        <v>483</v>
      </c>
      <c r="M13539" s="3">
        <v>542</v>
      </c>
    </row>
    <row r="13540" spans="1:13" x14ac:dyDescent="0.25">
      <c r="A13540" s="1" t="str">
        <f>HYPERLINK("http://www.rosaceae.org/Prunus/Prunus_persica/p.persica_gdr_reftransV1_0005894","p.persica_gdr_reftransV1_0005894")</f>
        <v>p.persica_gdr_reftransV1_0005894</v>
      </c>
      <c r="B13540" s="3">
        <v>3515</v>
      </c>
      <c r="C13540" s="1" t="str">
        <f>HYPERLINK("http://www.uniprot.org/uniprot/LOX21_SOLTU","LOX21_SOLTU")</f>
        <v>LOX21_SOLTU</v>
      </c>
      <c r="D13540" t="s">
        <v>7410</v>
      </c>
      <c r="E13540" s="3" t="s">
        <v>11</v>
      </c>
      <c r="F13540" s="4">
        <v>0</v>
      </c>
      <c r="G13540" s="3">
        <v>2204</v>
      </c>
      <c r="H13540" s="3">
        <v>76</v>
      </c>
      <c r="I13540" s="3">
        <v>508</v>
      </c>
      <c r="J13540" s="3">
        <v>20</v>
      </c>
      <c r="K13540" s="3">
        <v>1540</v>
      </c>
      <c r="L13540" s="3">
        <v>392</v>
      </c>
      <c r="M13540" s="3">
        <v>899</v>
      </c>
    </row>
    <row r="13541" spans="1:13" x14ac:dyDescent="0.25">
      <c r="A13541" s="1" t="str">
        <f>HYPERLINK("http://www.rosaceae.org/Prunus/Prunus_persica/p.persica_gdr_reftransV1_0006244","p.persica_gdr_reftransV1_0006244")</f>
        <v>p.persica_gdr_reftransV1_0006244</v>
      </c>
      <c r="B13541" s="3">
        <v>367</v>
      </c>
      <c r="C13541" s="1" t="str">
        <f>HYPERLINK("http://www.uniprot.org/uniprot/RLP2_ARATH","RLP2_ARATH")</f>
        <v>RLP2_ARATH</v>
      </c>
      <c r="D13541" t="s">
        <v>7291</v>
      </c>
      <c r="E13541" s="3" t="s">
        <v>3</v>
      </c>
      <c r="F13541" s="4">
        <v>1.75E-22</v>
      </c>
      <c r="G13541" s="3">
        <v>239</v>
      </c>
      <c r="H13541" s="3">
        <v>54</v>
      </c>
      <c r="I13541" s="3">
        <v>95</v>
      </c>
      <c r="J13541" s="3">
        <v>3</v>
      </c>
      <c r="K13541" s="3">
        <v>287</v>
      </c>
      <c r="L13541" s="3">
        <v>611</v>
      </c>
      <c r="M13541" s="3">
        <v>705</v>
      </c>
    </row>
    <row r="13542" spans="1:13" x14ac:dyDescent="0.25">
      <c r="A13542" s="1" t="str">
        <f>HYPERLINK("http://www.rosaceae.org/Prunus/Prunus_persica/p.persica_gdr_reftransV1_0006394","p.persica_gdr_reftransV1_0006394")</f>
        <v>p.persica_gdr_reftransV1_0006394</v>
      </c>
      <c r="B13542" s="3">
        <v>435</v>
      </c>
      <c r="C13542" s="1" t="str">
        <f>HYPERLINK("http://www.uniprot.org/uniprot/R13L1_ARATH","R13L1_ARATH")</f>
        <v>R13L1_ARATH</v>
      </c>
      <c r="D13542" t="s">
        <v>100</v>
      </c>
      <c r="E13542" s="3" t="s">
        <v>3</v>
      </c>
      <c r="F13542" s="4">
        <v>5.0099999999999999E-28</v>
      </c>
      <c r="G13542" s="3">
        <v>284</v>
      </c>
      <c r="H13542" s="3">
        <v>42</v>
      </c>
      <c r="I13542" s="3">
        <v>149</v>
      </c>
      <c r="J13542" s="3">
        <v>6</v>
      </c>
      <c r="K13542" s="3">
        <v>419</v>
      </c>
      <c r="L13542" s="3">
        <v>725</v>
      </c>
      <c r="M13542" s="3">
        <v>873</v>
      </c>
    </row>
    <row r="13543" spans="1:13" x14ac:dyDescent="0.25">
      <c r="A13543" s="1" t="str">
        <f>HYPERLINK("http://www.rosaceae.org/Prunus/Prunus_persica/p.persica_gdr_reftransV1_0006444","p.persica_gdr_reftransV1_0006444")</f>
        <v>p.persica_gdr_reftransV1_0006444</v>
      </c>
      <c r="B13543" s="3">
        <v>529</v>
      </c>
      <c r="C13543" s="1" t="str">
        <f>HYPERLINK("http://www.uniprot.org/uniprot/PGLR_VITVI","PGLR_VITVI")</f>
        <v>PGLR_VITVI</v>
      </c>
      <c r="D13543" t="s">
        <v>2366</v>
      </c>
      <c r="E13543" s="3" t="s">
        <v>362</v>
      </c>
      <c r="F13543" s="4">
        <v>4.9899999999999995E-32</v>
      </c>
      <c r="G13543" s="3">
        <v>310</v>
      </c>
      <c r="H13543" s="3">
        <v>66</v>
      </c>
      <c r="I13543" s="3">
        <v>90</v>
      </c>
      <c r="J13543" s="3">
        <v>259</v>
      </c>
      <c r="K13543" s="3">
        <v>528</v>
      </c>
      <c r="L13543" s="3">
        <v>40</v>
      </c>
      <c r="M13543" s="3">
        <v>129</v>
      </c>
    </row>
    <row r="13544" spans="1:13" x14ac:dyDescent="0.25">
      <c r="A13544" s="1" t="str">
        <f>HYPERLINK("http://www.rosaceae.org/Prunus/Prunus_persica/p.persica_gdr_reftransV1_0006594","p.persica_gdr_reftransV1_0006594")</f>
        <v>p.persica_gdr_reftransV1_0006594</v>
      </c>
      <c r="B13544" s="3">
        <v>3852</v>
      </c>
      <c r="C13544" s="1" t="str">
        <f>HYPERLINK("http://www.uniprot.org/uniprot/RPK1_IPONI","RPK1_IPONI")</f>
        <v>RPK1_IPONI</v>
      </c>
      <c r="D13544" t="s">
        <v>9081</v>
      </c>
      <c r="E13544" s="3" t="s">
        <v>3743</v>
      </c>
      <c r="F13544" s="4">
        <v>0</v>
      </c>
      <c r="G13544" s="3">
        <v>2918</v>
      </c>
      <c r="H13544" s="3">
        <v>58</v>
      </c>
      <c r="I13544" s="3">
        <v>1061</v>
      </c>
      <c r="J13544" s="3">
        <v>446</v>
      </c>
      <c r="K13544" s="3">
        <v>3553</v>
      </c>
      <c r="L13544" s="3">
        <v>36</v>
      </c>
      <c r="M13544" s="3">
        <v>1092</v>
      </c>
    </row>
    <row r="13545" spans="1:13" x14ac:dyDescent="0.25">
      <c r="A13545" s="1" t="str">
        <f>HYPERLINK("http://www.rosaceae.org/Prunus/Prunus_persica/p.persica_gdr_reftransV1_0006644","p.persica_gdr_reftransV1_0006644")</f>
        <v>p.persica_gdr_reftransV1_0006644</v>
      </c>
      <c r="B13545" s="3">
        <v>4278</v>
      </c>
      <c r="C13545" s="1" t="str">
        <f>HYPERLINK("http://www.uniprot.org/uniprot/MYTM1_ARATH","MYTM1_ARATH")</f>
        <v>MYTM1_ARATH</v>
      </c>
      <c r="D13545" t="s">
        <v>9082</v>
      </c>
      <c r="E13545" s="3" t="s">
        <v>3</v>
      </c>
      <c r="F13545" s="4">
        <v>0</v>
      </c>
      <c r="G13545" s="3">
        <v>1842</v>
      </c>
      <c r="H13545" s="3">
        <v>78</v>
      </c>
      <c r="I13545" s="3">
        <v>443</v>
      </c>
      <c r="J13545" s="3">
        <v>2854</v>
      </c>
      <c r="K13545" s="3">
        <v>4179</v>
      </c>
      <c r="L13545" s="3">
        <v>4</v>
      </c>
      <c r="M13545" s="3">
        <v>443</v>
      </c>
    </row>
    <row r="13546" spans="1:13" x14ac:dyDescent="0.25">
      <c r="A13546" s="1" t="str">
        <f>HYPERLINK("http://www.rosaceae.org/Prunus/Prunus_persica/p.persica_gdr_reftransV1_0006744","p.persica_gdr_reftransV1_0006744")</f>
        <v>p.persica_gdr_reftransV1_0006744</v>
      </c>
      <c r="B13546" s="3">
        <v>757</v>
      </c>
      <c r="C13546" s="1" t="str">
        <f>HYPERLINK("http://www.uniprot.org/uniprot/SDR2A_ARATH","SDR2A_ARATH")</f>
        <v>SDR2A_ARATH</v>
      </c>
      <c r="D13546" t="s">
        <v>9083</v>
      </c>
      <c r="E13546" s="3" t="s">
        <v>3</v>
      </c>
      <c r="F13546" s="4">
        <v>3.4299999999999998E-105</v>
      </c>
      <c r="G13546" s="3">
        <v>803</v>
      </c>
      <c r="H13546" s="3">
        <v>78</v>
      </c>
      <c r="I13546" s="3">
        <v>205</v>
      </c>
      <c r="J13546" s="3">
        <v>144</v>
      </c>
      <c r="K13546" s="3">
        <v>755</v>
      </c>
      <c r="L13546" s="3">
        <v>110</v>
      </c>
      <c r="M13546" s="3">
        <v>303</v>
      </c>
    </row>
    <row r="13547" spans="1:13" x14ac:dyDescent="0.25">
      <c r="A13547" s="1" t="str">
        <f>HYPERLINK("http://www.rosaceae.org/Prunus/Prunus_persica/p.persica_gdr_reftransV1_0006944","p.persica_gdr_reftransV1_0006944")</f>
        <v>p.persica_gdr_reftransV1_0006944</v>
      </c>
      <c r="B13547" s="3">
        <v>1239</v>
      </c>
      <c r="C13547" s="1" t="str">
        <f>HYPERLINK("http://www.uniprot.org/uniprot/CXE15_ARATH","CXE15_ARATH")</f>
        <v>CXE15_ARATH</v>
      </c>
      <c r="D13547" t="s">
        <v>4197</v>
      </c>
      <c r="E13547" s="3" t="s">
        <v>3</v>
      </c>
      <c r="F13547" s="4">
        <v>1.2100000000000001E-115</v>
      </c>
      <c r="G13547" s="3">
        <v>892</v>
      </c>
      <c r="H13547" s="3">
        <v>55</v>
      </c>
      <c r="I13547" s="3">
        <v>328</v>
      </c>
      <c r="J13547" s="3">
        <v>105</v>
      </c>
      <c r="K13547" s="3">
        <v>1067</v>
      </c>
      <c r="L13547" s="3">
        <v>1</v>
      </c>
      <c r="M13547" s="3">
        <v>325</v>
      </c>
    </row>
    <row r="13548" spans="1:13" x14ac:dyDescent="0.25">
      <c r="A13548" s="1" t="str">
        <f>HYPERLINK("http://www.rosaceae.org/Prunus/Prunus_persica/p.persica_gdr_reftransV1_0007044","p.persica_gdr_reftransV1_0007044")</f>
        <v>p.persica_gdr_reftransV1_0007044</v>
      </c>
      <c r="B13548" s="3">
        <v>655</v>
      </c>
      <c r="C13548" s="1" t="str">
        <f>HYPERLINK("http://www.uniprot.org/uniprot/PERN_ARMRU","PERN_ARMRU")</f>
        <v>PERN_ARMRU</v>
      </c>
      <c r="D13548" t="s">
        <v>9084</v>
      </c>
      <c r="E13548" s="3" t="s">
        <v>1359</v>
      </c>
      <c r="F13548" s="4">
        <v>9.95E-55</v>
      </c>
      <c r="G13548" s="3">
        <v>466</v>
      </c>
      <c r="H13548" s="3">
        <v>60</v>
      </c>
      <c r="I13548" s="3">
        <v>146</v>
      </c>
      <c r="J13548" s="3">
        <v>214</v>
      </c>
      <c r="K13548" s="3">
        <v>651</v>
      </c>
      <c r="L13548" s="3">
        <v>185</v>
      </c>
      <c r="M13548" s="3">
        <v>327</v>
      </c>
    </row>
    <row r="13549" spans="1:13" x14ac:dyDescent="0.25">
      <c r="A13549" s="1" t="str">
        <f>HYPERLINK("http://www.rosaceae.org/Prunus/Prunus_persica/p.persica_gdr_reftransV1_0007094","p.persica_gdr_reftransV1_0007094")</f>
        <v>p.persica_gdr_reftransV1_0007094</v>
      </c>
      <c r="B13549" s="3">
        <v>701</v>
      </c>
      <c r="C13549" s="1" t="str">
        <f>HYPERLINK("http://www.uniprot.org/uniprot/MD33B_ARATH","MD33B_ARATH")</f>
        <v>MD33B_ARATH</v>
      </c>
      <c r="D13549" t="s">
        <v>723</v>
      </c>
      <c r="E13549" s="3" t="s">
        <v>3</v>
      </c>
      <c r="F13549" s="4">
        <v>3.0299999999999999E-24</v>
      </c>
      <c r="G13549" s="3">
        <v>264</v>
      </c>
      <c r="H13549" s="3">
        <v>36</v>
      </c>
      <c r="I13549" s="3">
        <v>238</v>
      </c>
      <c r="J13549" s="3">
        <v>6</v>
      </c>
      <c r="K13549" s="3">
        <v>698</v>
      </c>
      <c r="L13549" s="3">
        <v>14</v>
      </c>
      <c r="M13549" s="3">
        <v>248</v>
      </c>
    </row>
    <row r="13550" spans="1:13" x14ac:dyDescent="0.25">
      <c r="A13550" s="1" t="str">
        <f>HYPERLINK("http://www.rosaceae.org/Prunus/Prunus_persica/p.persica_gdr_reftransV1_0007144","p.persica_gdr_reftransV1_0007144")</f>
        <v>p.persica_gdr_reftransV1_0007144</v>
      </c>
      <c r="B13550" s="3">
        <v>1395</v>
      </c>
      <c r="C13550" s="1" t="str">
        <f>HYPERLINK("http://www.uniprot.org/uniprot/LEA29_GOSHI","LEA29_GOSHI")</f>
        <v>LEA29_GOSHI</v>
      </c>
      <c r="D13550" t="s">
        <v>9085</v>
      </c>
      <c r="E13550" s="3" t="s">
        <v>816</v>
      </c>
      <c r="F13550" s="4">
        <v>1.81E-9</v>
      </c>
      <c r="G13550" s="3">
        <v>150</v>
      </c>
      <c r="H13550" s="3">
        <v>61</v>
      </c>
      <c r="I13550" s="3">
        <v>57</v>
      </c>
      <c r="J13550" s="3">
        <v>363</v>
      </c>
      <c r="K13550" s="3">
        <v>530</v>
      </c>
      <c r="L13550" s="3">
        <v>104</v>
      </c>
      <c r="M13550" s="3">
        <v>160</v>
      </c>
    </row>
    <row r="13551" spans="1:13" x14ac:dyDescent="0.25">
      <c r="A13551" s="1" t="str">
        <f>HYPERLINK("http://www.rosaceae.org/Prunus/Prunus_persica/p.persica_gdr_reftransV1_0007194","p.persica_gdr_reftransV1_0007194")</f>
        <v>p.persica_gdr_reftransV1_0007194</v>
      </c>
      <c r="B13551" s="3">
        <v>2365</v>
      </c>
      <c r="C13551" s="1" t="str">
        <f>HYPERLINK("http://www.uniprot.org/uniprot/ATL13_ARATH","ATL13_ARATH")</f>
        <v>ATL13_ARATH</v>
      </c>
      <c r="D13551" t="s">
        <v>9086</v>
      </c>
      <c r="E13551" s="3" t="s">
        <v>3</v>
      </c>
      <c r="F13551" s="4">
        <v>1.13E-89</v>
      </c>
      <c r="G13551" s="3">
        <v>759</v>
      </c>
      <c r="H13551" s="3">
        <v>50</v>
      </c>
      <c r="I13551" s="3">
        <v>429</v>
      </c>
      <c r="J13551" s="3">
        <v>554</v>
      </c>
      <c r="K13551" s="3">
        <v>1795</v>
      </c>
      <c r="L13551" s="3">
        <v>78</v>
      </c>
      <c r="M13551" s="3">
        <v>465</v>
      </c>
    </row>
    <row r="13552" spans="1:13" x14ac:dyDescent="0.25">
      <c r="A13552" s="1" t="str">
        <f>HYPERLINK("http://www.rosaceae.org/Prunus/Prunus_persica/p.persica_gdr_reftransV1_0007244","p.persica_gdr_reftransV1_0007244")</f>
        <v>p.persica_gdr_reftransV1_0007244</v>
      </c>
      <c r="B13552" s="3">
        <v>3056</v>
      </c>
      <c r="C13552" s="1" t="str">
        <f>HYPERLINK("http://www.uniprot.org/uniprot/CHR25_ARATH","CHR25_ARATH")</f>
        <v>CHR25_ARATH</v>
      </c>
      <c r="D13552" t="s">
        <v>9087</v>
      </c>
      <c r="E13552" s="3" t="s">
        <v>3</v>
      </c>
      <c r="F13552" s="4">
        <v>0</v>
      </c>
      <c r="G13552" s="3">
        <v>3377</v>
      </c>
      <c r="H13552" s="3">
        <v>73</v>
      </c>
      <c r="I13552" s="3">
        <v>892</v>
      </c>
      <c r="J13552" s="3">
        <v>209</v>
      </c>
      <c r="K13552" s="3">
        <v>2878</v>
      </c>
      <c r="L13552" s="3">
        <v>47</v>
      </c>
      <c r="M13552" s="3">
        <v>910</v>
      </c>
    </row>
    <row r="13553" spans="1:13" x14ac:dyDescent="0.25">
      <c r="A13553" s="1" t="str">
        <f>HYPERLINK("http://www.rosaceae.org/Prunus/Prunus_persica/p.persica_gdr_reftransV1_0007294","p.persica_gdr_reftransV1_0007294")</f>
        <v>p.persica_gdr_reftransV1_0007294</v>
      </c>
      <c r="B13553" s="3">
        <v>1893</v>
      </c>
      <c r="C13553" s="1" t="str">
        <f>HYPERLINK("http://www.uniprot.org/uniprot/STC_RICCO","STC_RICCO")</f>
        <v>STC_RICCO</v>
      </c>
      <c r="D13553" t="s">
        <v>9088</v>
      </c>
      <c r="E13553" s="3" t="s">
        <v>421</v>
      </c>
      <c r="F13553" s="4">
        <v>0</v>
      </c>
      <c r="G13553" s="3">
        <v>2247</v>
      </c>
      <c r="H13553" s="3">
        <v>84</v>
      </c>
      <c r="I13553" s="3">
        <v>524</v>
      </c>
      <c r="J13553" s="3">
        <v>138</v>
      </c>
      <c r="K13553" s="3">
        <v>1703</v>
      </c>
      <c r="L13553" s="3">
        <v>1</v>
      </c>
      <c r="M13553" s="3">
        <v>523</v>
      </c>
    </row>
    <row r="13554" spans="1:13" x14ac:dyDescent="0.25">
      <c r="A13554" s="1" t="str">
        <f>HYPERLINK("http://www.rosaceae.org/Prunus/Prunus_persica/p.persica_gdr_reftransV1_0007394","p.persica_gdr_reftransV1_0007394")</f>
        <v>p.persica_gdr_reftransV1_0007394</v>
      </c>
      <c r="B13554" s="3">
        <v>1249</v>
      </c>
      <c r="C13554" s="1" t="str">
        <f>HYPERLINK("http://www.uniprot.org/uniprot/EBP2_ARATH","EBP2_ARATH")</f>
        <v>EBP2_ARATH</v>
      </c>
      <c r="D13554" t="s">
        <v>9089</v>
      </c>
      <c r="E13554" s="3" t="s">
        <v>3</v>
      </c>
      <c r="F13554" s="4">
        <v>1.7399999999999999E-104</v>
      </c>
      <c r="G13554" s="3">
        <v>814</v>
      </c>
      <c r="H13554" s="3">
        <v>67</v>
      </c>
      <c r="I13554" s="3">
        <v>257</v>
      </c>
      <c r="J13554" s="3">
        <v>287</v>
      </c>
      <c r="K13554" s="3">
        <v>1051</v>
      </c>
      <c r="L13554" s="3">
        <v>41</v>
      </c>
      <c r="M13554" s="3">
        <v>293</v>
      </c>
    </row>
    <row r="13555" spans="1:13" x14ac:dyDescent="0.25">
      <c r="A13555" s="1" t="str">
        <f>HYPERLINK("http://www.rosaceae.org/Prunus/Prunus_persica/p.persica_gdr_reftransV1_0007444","p.persica_gdr_reftransV1_0007444")</f>
        <v>p.persica_gdr_reftransV1_0007444</v>
      </c>
      <c r="B13555" s="3">
        <v>3490</v>
      </c>
      <c r="C13555" s="1" t="str">
        <f>HYPERLINK("http://www.uniprot.org/uniprot/NRPD1_ARATH","NRPD1_ARATH")</f>
        <v>NRPD1_ARATH</v>
      </c>
      <c r="D13555" t="s">
        <v>1546</v>
      </c>
      <c r="E13555" s="3" t="s">
        <v>3</v>
      </c>
      <c r="F13555" s="4">
        <v>0</v>
      </c>
      <c r="G13555" s="3">
        <v>2499</v>
      </c>
      <c r="H13555" s="3">
        <v>52</v>
      </c>
      <c r="I13555" s="3">
        <v>989</v>
      </c>
      <c r="J13555" s="3">
        <v>574</v>
      </c>
      <c r="K13555" s="3">
        <v>3489</v>
      </c>
      <c r="L13555" s="3">
        <v>479</v>
      </c>
      <c r="M13555" s="3">
        <v>1441</v>
      </c>
    </row>
    <row r="13556" spans="1:13" x14ac:dyDescent="0.25">
      <c r="A13556" s="1" t="str">
        <f>HYPERLINK("http://www.rosaceae.org/Prunus/Prunus_persica/p.persica_gdr_reftransV1_0007544","p.persica_gdr_reftransV1_0007544")</f>
        <v>p.persica_gdr_reftransV1_0007544</v>
      </c>
      <c r="B13556" s="3">
        <v>1853</v>
      </c>
      <c r="C13556" s="1" t="str">
        <f>HYPERLINK("http://www.uniprot.org/uniprot/RLMN_ACAM1","RLMN_ACAM1")</f>
        <v>RLMN_ACAM1</v>
      </c>
      <c r="D13556" t="s">
        <v>9090</v>
      </c>
      <c r="E13556" s="3" t="s">
        <v>9091</v>
      </c>
      <c r="F13556" s="4">
        <v>9.6700000000000002E-122</v>
      </c>
      <c r="G13556" s="3">
        <v>953</v>
      </c>
      <c r="H13556" s="3">
        <v>56</v>
      </c>
      <c r="I13556" s="3">
        <v>340</v>
      </c>
      <c r="J13556" s="3">
        <v>636</v>
      </c>
      <c r="K13556" s="3">
        <v>1649</v>
      </c>
      <c r="L13556" s="3">
        <v>13</v>
      </c>
      <c r="M13556" s="3">
        <v>341</v>
      </c>
    </row>
    <row r="13557" spans="1:13" x14ac:dyDescent="0.25">
      <c r="A13557" s="1" t="str">
        <f>HYPERLINK("http://www.rosaceae.org/Prunus/Prunus_persica/p.persica_gdr_reftransV1_0007594","p.persica_gdr_reftransV1_0007594")</f>
        <v>p.persica_gdr_reftransV1_0007594</v>
      </c>
      <c r="B13557" s="3">
        <v>2008</v>
      </c>
      <c r="C13557" s="1" t="str">
        <f>HYPERLINK("http://www.uniprot.org/uniprot/DDL_ARATH","DDL_ARATH")</f>
        <v>DDL_ARATH</v>
      </c>
      <c r="D13557" t="s">
        <v>9092</v>
      </c>
      <c r="E13557" s="3" t="s">
        <v>3</v>
      </c>
      <c r="F13557" s="4">
        <v>4.2100000000000002E-88</v>
      </c>
      <c r="G13557" s="3">
        <v>727</v>
      </c>
      <c r="H13557" s="3">
        <v>71</v>
      </c>
      <c r="I13557" s="3">
        <v>196</v>
      </c>
      <c r="J13557" s="3">
        <v>880</v>
      </c>
      <c r="K13557" s="3">
        <v>1467</v>
      </c>
      <c r="L13557" s="3">
        <v>125</v>
      </c>
      <c r="M13557" s="3">
        <v>312</v>
      </c>
    </row>
    <row r="13558" spans="1:13" x14ac:dyDescent="0.25">
      <c r="A13558" s="1" t="str">
        <f>HYPERLINK("http://www.rosaceae.org/Prunus/Prunus_persica/p.persica_gdr_reftransV1_0007694","p.persica_gdr_reftransV1_0007694")</f>
        <v>p.persica_gdr_reftransV1_0007694</v>
      </c>
      <c r="B13558" s="3">
        <v>4085</v>
      </c>
      <c r="C13558" s="1" t="str">
        <f>HYPERLINK("http://www.uniprot.org/uniprot/Y3307_ARATH","Y3307_ARATH")</f>
        <v>Y3307_ARATH</v>
      </c>
      <c r="D13558" t="s">
        <v>9093</v>
      </c>
      <c r="E13558" s="3" t="s">
        <v>3</v>
      </c>
      <c r="F13558" s="4">
        <v>0</v>
      </c>
      <c r="G13558" s="3">
        <v>1462</v>
      </c>
      <c r="H13558" s="3">
        <v>71</v>
      </c>
      <c r="I13558" s="3">
        <v>440</v>
      </c>
      <c r="J13558" s="3">
        <v>501</v>
      </c>
      <c r="K13558" s="3">
        <v>1811</v>
      </c>
      <c r="L13558" s="3">
        <v>4</v>
      </c>
      <c r="M13558" s="3">
        <v>435</v>
      </c>
    </row>
    <row r="13559" spans="1:13" x14ac:dyDescent="0.25">
      <c r="A13559" s="1" t="str">
        <f>HYPERLINK("http://www.rosaceae.org/Prunus/Prunus_persica/p.persica_gdr_reftransV1_0007794","p.persica_gdr_reftransV1_0007794")</f>
        <v>p.persica_gdr_reftransV1_0007794</v>
      </c>
      <c r="B13559" s="3">
        <v>2409</v>
      </c>
      <c r="C13559" s="1" t="str">
        <f>HYPERLINK("http://www.uniprot.org/uniprot/PRRP2_ARATH","PRRP2_ARATH")</f>
        <v>PRRP2_ARATH</v>
      </c>
      <c r="D13559" t="s">
        <v>9094</v>
      </c>
      <c r="E13559" s="3" t="s">
        <v>3</v>
      </c>
      <c r="F13559" s="4">
        <v>0</v>
      </c>
      <c r="G13559" s="3">
        <v>1482</v>
      </c>
      <c r="H13559" s="3">
        <v>61</v>
      </c>
      <c r="I13559" s="3">
        <v>493</v>
      </c>
      <c r="J13559" s="3">
        <v>385</v>
      </c>
      <c r="K13559" s="3">
        <v>1815</v>
      </c>
      <c r="L13559" s="3">
        <v>36</v>
      </c>
      <c r="M13559" s="3">
        <v>527</v>
      </c>
    </row>
    <row r="13560" spans="1:13" x14ac:dyDescent="0.25">
      <c r="A13560" s="1" t="str">
        <f>HYPERLINK("http://www.rosaceae.org/Prunus/Prunus_persica/p.persica_gdr_reftransV1_0007844","p.persica_gdr_reftransV1_0007844")</f>
        <v>p.persica_gdr_reftransV1_0007844</v>
      </c>
      <c r="B13560" s="3">
        <v>2020</v>
      </c>
      <c r="C13560" s="1" t="str">
        <f>HYPERLINK("http://www.uniprot.org/uniprot/TIF6B_ARATH","TIF6B_ARATH")</f>
        <v>TIF6B_ARATH</v>
      </c>
      <c r="D13560" t="s">
        <v>9095</v>
      </c>
      <c r="E13560" s="3" t="s">
        <v>3</v>
      </c>
      <c r="F13560" s="4">
        <v>2.71E-35</v>
      </c>
      <c r="G13560" s="3">
        <v>354</v>
      </c>
      <c r="H13560" s="3">
        <v>43</v>
      </c>
      <c r="I13560" s="3">
        <v>354</v>
      </c>
      <c r="J13560" s="3">
        <v>417</v>
      </c>
      <c r="K13560" s="3">
        <v>1439</v>
      </c>
      <c r="L13560" s="3">
        <v>1</v>
      </c>
      <c r="M13560" s="3">
        <v>332</v>
      </c>
    </row>
    <row r="13561" spans="1:13" x14ac:dyDescent="0.25">
      <c r="A13561" s="1" t="str">
        <f>HYPERLINK("http://www.rosaceae.org/Prunus/Prunus_persica/p.persica_gdr_reftransV1_0007994","p.persica_gdr_reftransV1_0007994")</f>
        <v>p.persica_gdr_reftransV1_0007994</v>
      </c>
      <c r="B13561" s="3">
        <v>1689</v>
      </c>
      <c r="C13561" s="1" t="str">
        <f>HYPERLINK("http://www.uniprot.org/uniprot/KPRS4_SPIOL","KPRS4_SPIOL")</f>
        <v>KPRS4_SPIOL</v>
      </c>
      <c r="D13561" t="s">
        <v>9096</v>
      </c>
      <c r="E13561" s="3" t="s">
        <v>131</v>
      </c>
      <c r="F13561" s="4">
        <v>0</v>
      </c>
      <c r="G13561" s="3">
        <v>1498</v>
      </c>
      <c r="H13561" s="3">
        <v>87</v>
      </c>
      <c r="I13561" s="3">
        <v>318</v>
      </c>
      <c r="J13561" s="3">
        <v>324</v>
      </c>
      <c r="K13561" s="3">
        <v>1277</v>
      </c>
      <c r="L13561" s="3">
        <v>1</v>
      </c>
      <c r="M13561" s="3">
        <v>318</v>
      </c>
    </row>
    <row r="13562" spans="1:13" x14ac:dyDescent="0.25">
      <c r="A13562" s="1" t="str">
        <f>HYPERLINK("http://www.rosaceae.org/Prunus/Prunus_persica/p.persica_gdr_reftransV1_0008094","p.persica_gdr_reftransV1_0008094")</f>
        <v>p.persica_gdr_reftransV1_0008094</v>
      </c>
      <c r="B13562" s="3">
        <v>1468</v>
      </c>
      <c r="C13562" s="1" t="str">
        <f>HYPERLINK("http://www.uniprot.org/uniprot/B3GLT_MOUSE","B3GLT_MOUSE")</f>
        <v>B3GLT_MOUSE</v>
      </c>
      <c r="D13562" t="s">
        <v>6422</v>
      </c>
      <c r="E13562" s="3" t="s">
        <v>157</v>
      </c>
      <c r="F13562" s="4">
        <v>2.03E-7</v>
      </c>
      <c r="G13562" s="3">
        <v>136</v>
      </c>
      <c r="H13562" s="3">
        <v>33</v>
      </c>
      <c r="I13562" s="3">
        <v>108</v>
      </c>
      <c r="J13562" s="3">
        <v>9</v>
      </c>
      <c r="K13562" s="3">
        <v>332</v>
      </c>
      <c r="L13562" s="3">
        <v>332</v>
      </c>
      <c r="M13562" s="3">
        <v>434</v>
      </c>
    </row>
    <row r="13563" spans="1:13" x14ac:dyDescent="0.25">
      <c r="A13563" s="1" t="str">
        <f>HYPERLINK("http://www.rosaceae.org/Prunus/Prunus_persica/p.persica_gdr_reftransV1_0008194","p.persica_gdr_reftransV1_0008194")</f>
        <v>p.persica_gdr_reftransV1_0008194</v>
      </c>
      <c r="B13563" s="3">
        <v>946</v>
      </c>
      <c r="C13563" s="1" t="str">
        <f>HYPERLINK("http://www.uniprot.org/uniprot/Y1926_ARATH","Y1926_ARATH")</f>
        <v>Y1926_ARATH</v>
      </c>
      <c r="D13563" t="s">
        <v>9097</v>
      </c>
      <c r="E13563" s="3" t="s">
        <v>3</v>
      </c>
      <c r="F13563" s="4">
        <v>3.2600000000000002E-76</v>
      </c>
      <c r="G13563" s="3">
        <v>605</v>
      </c>
      <c r="H13563" s="3">
        <v>68</v>
      </c>
      <c r="I13563" s="3">
        <v>162</v>
      </c>
      <c r="J13563" s="3">
        <v>378</v>
      </c>
      <c r="K13563" s="3">
        <v>863</v>
      </c>
      <c r="L13563" s="3">
        <v>5</v>
      </c>
      <c r="M13563" s="3">
        <v>166</v>
      </c>
    </row>
    <row r="13564" spans="1:13" x14ac:dyDescent="0.25">
      <c r="A13564" s="1" t="str">
        <f>HYPERLINK("http://www.rosaceae.org/Prunus/Prunus_persica/p.persica_gdr_reftransV1_0008294","p.persica_gdr_reftransV1_0008294")</f>
        <v>p.persica_gdr_reftransV1_0008294</v>
      </c>
      <c r="B13564" s="3">
        <v>1578</v>
      </c>
      <c r="C13564" s="1" t="str">
        <f>HYPERLINK("http://www.uniprot.org/uniprot/UNCL_ARATH","UNCL_ARATH")</f>
        <v>UNCL_ARATH</v>
      </c>
      <c r="D13564" t="s">
        <v>9098</v>
      </c>
      <c r="E13564" s="3" t="s">
        <v>3</v>
      </c>
      <c r="F13564" s="4">
        <v>7.5199999999999996E-171</v>
      </c>
      <c r="G13564" s="3">
        <v>1277</v>
      </c>
      <c r="H13564" s="3">
        <v>66</v>
      </c>
      <c r="I13564" s="3">
        <v>385</v>
      </c>
      <c r="J13564" s="3">
        <v>313</v>
      </c>
      <c r="K13564" s="3">
        <v>1461</v>
      </c>
      <c r="L13564" s="3">
        <v>16</v>
      </c>
      <c r="M13564" s="3">
        <v>391</v>
      </c>
    </row>
    <row r="13565" spans="1:13" x14ac:dyDescent="0.25">
      <c r="A13565" s="1" t="str">
        <f>HYPERLINK("http://www.rosaceae.org/Prunus/Prunus_persica/p.persica_gdr_reftransV1_0008444","p.persica_gdr_reftransV1_0008444")</f>
        <v>p.persica_gdr_reftransV1_0008444</v>
      </c>
      <c r="B13565" s="3">
        <v>2388</v>
      </c>
      <c r="C13565" s="1" t="str">
        <f>HYPERLINK("http://www.uniprot.org/uniprot/TOP6B_ARATH","TOP6B_ARATH")</f>
        <v>TOP6B_ARATH</v>
      </c>
      <c r="D13565" t="s">
        <v>9099</v>
      </c>
      <c r="E13565" s="3" t="s">
        <v>3</v>
      </c>
      <c r="F13565" s="4">
        <v>0</v>
      </c>
      <c r="G13565" s="3">
        <v>2818</v>
      </c>
      <c r="H13565" s="3">
        <v>78</v>
      </c>
      <c r="I13565" s="3">
        <v>680</v>
      </c>
      <c r="J13565" s="3">
        <v>161</v>
      </c>
      <c r="K13565" s="3">
        <v>2200</v>
      </c>
      <c r="L13565" s="3">
        <v>8</v>
      </c>
      <c r="M13565" s="3">
        <v>669</v>
      </c>
    </row>
    <row r="13566" spans="1:13" x14ac:dyDescent="0.25">
      <c r="A13566" s="1" t="str">
        <f>HYPERLINK("http://www.rosaceae.org/Prunus/Prunus_persica/p.persica_gdr_reftransV1_0008594","p.persica_gdr_reftransV1_0008594")</f>
        <v>p.persica_gdr_reftransV1_0008594</v>
      </c>
      <c r="B13566" s="3">
        <v>2212</v>
      </c>
      <c r="C13566" s="1" t="str">
        <f>HYPERLINK("http://www.uniprot.org/uniprot/DI191_ORYSJ","DI191_ORYSJ")</f>
        <v>DI191_ORYSJ</v>
      </c>
      <c r="D13566" t="s">
        <v>9100</v>
      </c>
      <c r="E13566" s="3" t="s">
        <v>38</v>
      </c>
      <c r="F13566" s="4">
        <v>3.7600000000000002E-49</v>
      </c>
      <c r="G13566" s="3">
        <v>319</v>
      </c>
      <c r="H13566" s="3">
        <v>57</v>
      </c>
      <c r="I13566" s="3">
        <v>106</v>
      </c>
      <c r="J13566" s="3">
        <v>1504</v>
      </c>
      <c r="K13566" s="3">
        <v>1821</v>
      </c>
      <c r="L13566" s="3">
        <v>1</v>
      </c>
      <c r="M13566" s="3">
        <v>102</v>
      </c>
    </row>
    <row r="13567" spans="1:13" x14ac:dyDescent="0.25">
      <c r="A13567" s="1" t="str">
        <f>HYPERLINK("http://www.rosaceae.org/Prunus/Prunus_persica/p.persica_gdr_reftransV1_0008644","p.persica_gdr_reftransV1_0008644")</f>
        <v>p.persica_gdr_reftransV1_0008644</v>
      </c>
      <c r="B13567" s="3">
        <v>715</v>
      </c>
      <c r="C13567" s="1" t="str">
        <f>HYPERLINK("http://www.uniprot.org/uniprot/MD37C_ARATH","MD37C_ARATH")</f>
        <v>MD37C_ARATH</v>
      </c>
      <c r="D13567" t="s">
        <v>1010</v>
      </c>
      <c r="E13567" s="3" t="s">
        <v>3</v>
      </c>
      <c r="F13567" s="4">
        <v>8.9500000000000004E-62</v>
      </c>
      <c r="G13567" s="3">
        <v>534</v>
      </c>
      <c r="H13567" s="3">
        <v>63</v>
      </c>
      <c r="I13567" s="3">
        <v>192</v>
      </c>
      <c r="J13567" s="3">
        <v>143</v>
      </c>
      <c r="K13567" s="3">
        <v>715</v>
      </c>
      <c r="L13567" s="3">
        <v>329</v>
      </c>
      <c r="M13567" s="3">
        <v>513</v>
      </c>
    </row>
    <row r="13568" spans="1:13" x14ac:dyDescent="0.25">
      <c r="A13568" s="1" t="str">
        <f>HYPERLINK("http://www.rosaceae.org/Prunus/Prunus_persica/p.persica_gdr_reftransV1_0008694","p.persica_gdr_reftransV1_0008694")</f>
        <v>p.persica_gdr_reftransV1_0008694</v>
      </c>
      <c r="B13568" s="3">
        <v>2316</v>
      </c>
      <c r="C13568" s="1" t="str">
        <f>HYPERLINK("http://www.uniprot.org/uniprot/CNGC1_ARATH","CNGC1_ARATH")</f>
        <v>CNGC1_ARATH</v>
      </c>
      <c r="D13568" t="s">
        <v>241</v>
      </c>
      <c r="E13568" s="3" t="s">
        <v>3</v>
      </c>
      <c r="F13568" s="4">
        <v>9.46E-151</v>
      </c>
      <c r="G13568" s="3">
        <v>1194</v>
      </c>
      <c r="H13568" s="3">
        <v>44</v>
      </c>
      <c r="I13568" s="3">
        <v>558</v>
      </c>
      <c r="J13568" s="3">
        <v>232</v>
      </c>
      <c r="K13568" s="3">
        <v>1878</v>
      </c>
      <c r="L13568" s="3">
        <v>72</v>
      </c>
      <c r="M13568" s="3">
        <v>602</v>
      </c>
    </row>
    <row r="13569" spans="1:13" x14ac:dyDescent="0.25">
      <c r="A13569" s="1" t="str">
        <f>HYPERLINK("http://www.rosaceae.org/Prunus/Prunus_persica/p.persica_gdr_reftransV1_0008744","p.persica_gdr_reftransV1_0008744")</f>
        <v>p.persica_gdr_reftransV1_0008744</v>
      </c>
      <c r="B13569" s="3">
        <v>851</v>
      </c>
      <c r="C13569" s="1" t="str">
        <f>HYPERLINK("http://www.uniprot.org/uniprot/PPR7_ARATH","PPR7_ARATH")</f>
        <v>PPR7_ARATH</v>
      </c>
      <c r="D13569" t="s">
        <v>9101</v>
      </c>
      <c r="E13569" s="3" t="s">
        <v>3</v>
      </c>
      <c r="F13569" s="4">
        <v>5.05E-126</v>
      </c>
      <c r="G13569" s="3">
        <v>957</v>
      </c>
      <c r="H13569" s="3">
        <v>63</v>
      </c>
      <c r="I13569" s="3">
        <v>283</v>
      </c>
      <c r="J13569" s="3">
        <v>3</v>
      </c>
      <c r="K13569" s="3">
        <v>851</v>
      </c>
      <c r="L13569" s="3">
        <v>136</v>
      </c>
      <c r="M13569" s="3">
        <v>417</v>
      </c>
    </row>
    <row r="13570" spans="1:13" x14ac:dyDescent="0.25">
      <c r="A13570" s="1" t="str">
        <f>HYPERLINK("http://www.rosaceae.org/Prunus/Prunus_persica/p.persica_gdr_reftransV1_0008994","p.persica_gdr_reftransV1_0008994")</f>
        <v>p.persica_gdr_reftransV1_0008994</v>
      </c>
      <c r="B13570" s="3">
        <v>968</v>
      </c>
      <c r="C13570" s="1" t="str">
        <f>HYPERLINK("http://www.uniprot.org/uniprot/ERG28_ARATH","ERG28_ARATH")</f>
        <v>ERG28_ARATH</v>
      </c>
      <c r="D13570" t="s">
        <v>9102</v>
      </c>
      <c r="E13570" s="3" t="s">
        <v>3</v>
      </c>
      <c r="F13570" s="4">
        <v>7.0199999999999999E-61</v>
      </c>
      <c r="G13570" s="3">
        <v>500</v>
      </c>
      <c r="H13570" s="3">
        <v>83</v>
      </c>
      <c r="I13570" s="3">
        <v>129</v>
      </c>
      <c r="J13570" s="3">
        <v>185</v>
      </c>
      <c r="K13570" s="3">
        <v>568</v>
      </c>
      <c r="L13570" s="3">
        <v>1</v>
      </c>
      <c r="M13570" s="3">
        <v>129</v>
      </c>
    </row>
    <row r="13571" spans="1:13" x14ac:dyDescent="0.25">
      <c r="A13571" s="1" t="str">
        <f>HYPERLINK("http://www.rosaceae.org/Prunus/Prunus_persica/p.persica_gdr_reftransV1_0009044","p.persica_gdr_reftransV1_0009044")</f>
        <v>p.persica_gdr_reftransV1_0009044</v>
      </c>
      <c r="B13571" s="3">
        <v>797</v>
      </c>
      <c r="C13571" s="1" t="str">
        <f>HYPERLINK("http://www.uniprot.org/uniprot/ENL1_ARATH","ENL1_ARATH")</f>
        <v>ENL1_ARATH</v>
      </c>
      <c r="D13571" t="s">
        <v>4552</v>
      </c>
      <c r="E13571" s="3" t="s">
        <v>3</v>
      </c>
      <c r="F13571" s="4">
        <v>1.5200000000000001E-29</v>
      </c>
      <c r="G13571" s="3">
        <v>287</v>
      </c>
      <c r="H13571" s="3">
        <v>39</v>
      </c>
      <c r="I13571" s="3">
        <v>169</v>
      </c>
      <c r="J13571" s="3">
        <v>163</v>
      </c>
      <c r="K13571" s="3">
        <v>657</v>
      </c>
      <c r="L13571" s="3">
        <v>17</v>
      </c>
      <c r="M13571" s="3">
        <v>180</v>
      </c>
    </row>
    <row r="13572" spans="1:13" x14ac:dyDescent="0.25">
      <c r="A13572" s="1" t="str">
        <f>HYPERLINK("http://www.rosaceae.org/Prunus/Prunus_persica/p.persica_gdr_reftransV1_0009094","p.persica_gdr_reftransV1_0009094")</f>
        <v>p.persica_gdr_reftransV1_0009094</v>
      </c>
      <c r="B13572" s="3">
        <v>903</v>
      </c>
      <c r="C13572" s="1" t="str">
        <f>HYPERLINK("http://www.uniprot.org/uniprot/NILP3_ARATH","NILP3_ARATH")</f>
        <v>NILP3_ARATH</v>
      </c>
      <c r="D13572" t="s">
        <v>712</v>
      </c>
      <c r="E13572" s="3" t="s">
        <v>3</v>
      </c>
      <c r="F13572" s="4">
        <v>3.2400000000000003E-86</v>
      </c>
      <c r="G13572" s="3">
        <v>688</v>
      </c>
      <c r="H13572" s="3">
        <v>73</v>
      </c>
      <c r="I13572" s="3">
        <v>178</v>
      </c>
      <c r="J13572" s="3">
        <v>27</v>
      </c>
      <c r="K13572" s="3">
        <v>548</v>
      </c>
      <c r="L13572" s="3">
        <v>87</v>
      </c>
      <c r="M13572" s="3">
        <v>264</v>
      </c>
    </row>
    <row r="13573" spans="1:13" x14ac:dyDescent="0.25">
      <c r="A13573" s="1" t="str">
        <f>HYPERLINK("http://www.rosaceae.org/Prunus/Prunus_persica/p.persica_gdr_reftransV1_0009144","p.persica_gdr_reftransV1_0009144")</f>
        <v>p.persica_gdr_reftransV1_0009144</v>
      </c>
      <c r="B13573" s="3">
        <v>2120</v>
      </c>
      <c r="C13573" s="1" t="str">
        <f>HYPERLINK("http://www.uniprot.org/uniprot/PRP19_ORYSJ","PRP19_ORYSJ")</f>
        <v>PRP19_ORYSJ</v>
      </c>
      <c r="D13573" t="s">
        <v>9103</v>
      </c>
      <c r="E13573" s="3" t="s">
        <v>38</v>
      </c>
      <c r="F13573" s="4">
        <v>0</v>
      </c>
      <c r="G13573" s="3">
        <v>2070</v>
      </c>
      <c r="H13573" s="3">
        <v>73</v>
      </c>
      <c r="I13573" s="3">
        <v>522</v>
      </c>
      <c r="J13573" s="3">
        <v>144</v>
      </c>
      <c r="K13573" s="3">
        <v>1709</v>
      </c>
      <c r="L13573" s="3">
        <v>1</v>
      </c>
      <c r="M13573" s="3">
        <v>520</v>
      </c>
    </row>
    <row r="13574" spans="1:13" x14ac:dyDescent="0.25">
      <c r="A13574" s="1" t="str">
        <f>HYPERLINK("http://www.rosaceae.org/Prunus/Prunus_persica/p.persica_gdr_reftransV1_0009244","p.persica_gdr_reftransV1_0009244")</f>
        <v>p.persica_gdr_reftransV1_0009244</v>
      </c>
      <c r="B13574" s="3">
        <v>2419</v>
      </c>
      <c r="C13574" s="1" t="str">
        <f>HYPERLINK("http://www.uniprot.org/uniprot/Y5102_ARATH","Y5102_ARATH")</f>
        <v>Y5102_ARATH</v>
      </c>
      <c r="D13574" t="s">
        <v>968</v>
      </c>
      <c r="E13574" s="3" t="s">
        <v>3</v>
      </c>
      <c r="F13574" s="4">
        <v>6.3099999999999997E-146</v>
      </c>
      <c r="G13574" s="3">
        <v>1137</v>
      </c>
      <c r="H13574" s="3">
        <v>82</v>
      </c>
      <c r="I13574" s="3">
        <v>263</v>
      </c>
      <c r="J13574" s="3">
        <v>476</v>
      </c>
      <c r="K13574" s="3">
        <v>1264</v>
      </c>
      <c r="L13574" s="3">
        <v>1</v>
      </c>
      <c r="M13574" s="3">
        <v>251</v>
      </c>
    </row>
    <row r="13575" spans="1:13" x14ac:dyDescent="0.25">
      <c r="A13575" s="1" t="str">
        <f>HYPERLINK("http://www.rosaceae.org/Prunus/Prunus_persica/p.persica_gdr_reftransV1_0009394","p.persica_gdr_reftransV1_0009394")</f>
        <v>p.persica_gdr_reftransV1_0009394</v>
      </c>
      <c r="B13575" s="3">
        <v>1180</v>
      </c>
      <c r="C13575" s="1" t="str">
        <f>HYPERLINK("http://www.uniprot.org/uniprot/ABIL2_ARATH","ABIL2_ARATH")</f>
        <v>ABIL2_ARATH</v>
      </c>
      <c r="D13575" t="s">
        <v>9104</v>
      </c>
      <c r="E13575" s="3" t="s">
        <v>3</v>
      </c>
      <c r="F13575" s="4">
        <v>3.22E-80</v>
      </c>
      <c r="G13575" s="3">
        <v>652</v>
      </c>
      <c r="H13575" s="3">
        <v>49</v>
      </c>
      <c r="I13575" s="3">
        <v>311</v>
      </c>
      <c r="J13575" s="3">
        <v>187</v>
      </c>
      <c r="K13575" s="3">
        <v>1050</v>
      </c>
      <c r="L13575" s="3">
        <v>3</v>
      </c>
      <c r="M13575" s="3">
        <v>311</v>
      </c>
    </row>
    <row r="13576" spans="1:13" x14ac:dyDescent="0.25">
      <c r="A13576" s="1" t="str">
        <f>HYPERLINK("http://www.rosaceae.org/Prunus/Prunus_persica/p.persica_gdr_reftransV1_0009494","p.persica_gdr_reftransV1_0009494")</f>
        <v>p.persica_gdr_reftransV1_0009494</v>
      </c>
      <c r="B13576" s="3">
        <v>1179</v>
      </c>
      <c r="C13576" s="1" t="str">
        <f>HYPERLINK("http://www.uniprot.org/uniprot/Y1461_ARATH","Y1461_ARATH")</f>
        <v>Y1461_ARATH</v>
      </c>
      <c r="D13576" t="s">
        <v>392</v>
      </c>
      <c r="E13576" s="3" t="s">
        <v>3</v>
      </c>
      <c r="F13576" s="4">
        <v>9.7699999999999995E-69</v>
      </c>
      <c r="G13576" s="3">
        <v>594</v>
      </c>
      <c r="H13576" s="3">
        <v>62</v>
      </c>
      <c r="I13576" s="3">
        <v>200</v>
      </c>
      <c r="J13576" s="3">
        <v>581</v>
      </c>
      <c r="K13576" s="3">
        <v>1177</v>
      </c>
      <c r="L13576" s="3">
        <v>318</v>
      </c>
      <c r="M13576" s="3">
        <v>515</v>
      </c>
    </row>
    <row r="13577" spans="1:13" x14ac:dyDescent="0.25">
      <c r="A13577" s="1" t="str">
        <f>HYPERLINK("http://www.rosaceae.org/Prunus/Prunus_persica/p.persica_gdr_reftransV1_0009544","p.persica_gdr_reftransV1_0009544")</f>
        <v>p.persica_gdr_reftransV1_0009544</v>
      </c>
      <c r="B13577" s="3">
        <v>1782</v>
      </c>
      <c r="C13577" s="1" t="str">
        <f>HYPERLINK("http://www.uniprot.org/uniprot/PP352_ARATH","PP352_ARATH")</f>
        <v>PP352_ARATH</v>
      </c>
      <c r="D13577" t="s">
        <v>9105</v>
      </c>
      <c r="E13577" s="3" t="s">
        <v>3</v>
      </c>
      <c r="F13577" s="4">
        <v>0</v>
      </c>
      <c r="G13577" s="3">
        <v>1352</v>
      </c>
      <c r="H13577" s="3">
        <v>69</v>
      </c>
      <c r="I13577" s="3">
        <v>358</v>
      </c>
      <c r="J13577" s="3">
        <v>517</v>
      </c>
      <c r="K13577" s="3">
        <v>1587</v>
      </c>
      <c r="L13577" s="3">
        <v>40</v>
      </c>
      <c r="M13577" s="3">
        <v>397</v>
      </c>
    </row>
    <row r="13578" spans="1:13" x14ac:dyDescent="0.25">
      <c r="A13578" s="1" t="str">
        <f>HYPERLINK("http://www.rosaceae.org/Prunus/Prunus_persica/p.persica_gdr_reftransV1_0009644","p.persica_gdr_reftransV1_0009644")</f>
        <v>p.persica_gdr_reftransV1_0009644</v>
      </c>
      <c r="B13578" s="3">
        <v>2947</v>
      </c>
      <c r="C13578" s="1" t="str">
        <f>HYPERLINK("http://www.uniprot.org/uniprot/PMI2_ARATH","PMI2_ARATH")</f>
        <v>PMI2_ARATH</v>
      </c>
      <c r="D13578" t="s">
        <v>5143</v>
      </c>
      <c r="E13578" s="3" t="s">
        <v>3</v>
      </c>
      <c r="F13578" s="4">
        <v>5E-74</v>
      </c>
      <c r="G13578" s="3">
        <v>667</v>
      </c>
      <c r="H13578" s="3">
        <v>41</v>
      </c>
      <c r="I13578" s="3">
        <v>590</v>
      </c>
      <c r="J13578" s="3">
        <v>285</v>
      </c>
      <c r="K13578" s="3">
        <v>2042</v>
      </c>
      <c r="L13578" s="3">
        <v>30</v>
      </c>
      <c r="M13578" s="3">
        <v>600</v>
      </c>
    </row>
    <row r="13579" spans="1:13" x14ac:dyDescent="0.25">
      <c r="A13579" s="1" t="str">
        <f>HYPERLINK("http://www.rosaceae.org/Prunus/Prunus_persica/p.persica_gdr_reftransV1_0009744","p.persica_gdr_reftransV1_0009744")</f>
        <v>p.persica_gdr_reftransV1_0009744</v>
      </c>
      <c r="B13579" s="3">
        <v>2883</v>
      </c>
      <c r="C13579" s="1" t="str">
        <f>HYPERLINK("http://www.uniprot.org/uniprot/TPS1_ORYSJ","TPS1_ORYSJ")</f>
        <v>TPS1_ORYSJ</v>
      </c>
      <c r="D13579" t="s">
        <v>9106</v>
      </c>
      <c r="E13579" s="3" t="s">
        <v>38</v>
      </c>
      <c r="F13579" s="4">
        <v>6.9999999999999997E-123</v>
      </c>
      <c r="G13579" s="3">
        <v>1005</v>
      </c>
      <c r="H13579" s="3">
        <v>71</v>
      </c>
      <c r="I13579" s="3">
        <v>258</v>
      </c>
      <c r="J13579" s="3">
        <v>404</v>
      </c>
      <c r="K13579" s="3">
        <v>1177</v>
      </c>
      <c r="L13579" s="3">
        <v>289</v>
      </c>
      <c r="M13579" s="3">
        <v>546</v>
      </c>
    </row>
    <row r="13580" spans="1:13" x14ac:dyDescent="0.25">
      <c r="A13580" s="1" t="str">
        <f>HYPERLINK("http://www.rosaceae.org/Prunus/Prunus_persica/p.persica_gdr_reftransV1_0009794","p.persica_gdr_reftransV1_0009794")</f>
        <v>p.persica_gdr_reftransV1_0009794</v>
      </c>
      <c r="B13580" s="3">
        <v>3308</v>
      </c>
      <c r="C13580" s="1" t="str">
        <f>HYPERLINK("http://www.uniprot.org/uniprot/1A_AMVLE","1A_AMVLE")</f>
        <v>1A_AMVLE</v>
      </c>
      <c r="D13580" t="s">
        <v>9107</v>
      </c>
      <c r="E13580" s="3" t="s">
        <v>3145</v>
      </c>
      <c r="F13580" s="4">
        <v>0</v>
      </c>
      <c r="G13580" s="3">
        <v>2187</v>
      </c>
      <c r="H13580" s="3">
        <v>44</v>
      </c>
      <c r="I13580" s="3">
        <v>1110</v>
      </c>
      <c r="J13580" s="3">
        <v>25</v>
      </c>
      <c r="K13580" s="3">
        <v>3087</v>
      </c>
      <c r="L13580" s="3">
        <v>22</v>
      </c>
      <c r="M13580" s="3">
        <v>1108</v>
      </c>
    </row>
    <row r="13581" spans="1:13" x14ac:dyDescent="0.25">
      <c r="A13581" s="1" t="str">
        <f>HYPERLINK("http://www.rosaceae.org/Prunus/Prunus_persica/p.persica_gdr_reftransV1_0009844","p.persica_gdr_reftransV1_0009844")</f>
        <v>p.persica_gdr_reftransV1_0009844</v>
      </c>
      <c r="B13581" s="3">
        <v>3295</v>
      </c>
      <c r="C13581" s="1" t="str">
        <f>HYPERLINK("http://www.uniprot.org/uniprot/LCBK1_ARATH","LCBK1_ARATH")</f>
        <v>LCBK1_ARATH</v>
      </c>
      <c r="D13581" t="s">
        <v>9108</v>
      </c>
      <c r="E13581" s="3" t="s">
        <v>3</v>
      </c>
      <c r="F13581" s="4">
        <v>0</v>
      </c>
      <c r="G13581" s="3">
        <v>2730</v>
      </c>
      <c r="H13581" s="3">
        <v>72</v>
      </c>
      <c r="I13581" s="3">
        <v>777</v>
      </c>
      <c r="J13581" s="3">
        <v>517</v>
      </c>
      <c r="K13581" s="3">
        <v>2826</v>
      </c>
      <c r="L13581" s="3">
        <v>1</v>
      </c>
      <c r="M13581" s="3">
        <v>758</v>
      </c>
    </row>
    <row r="13582" spans="1:13" x14ac:dyDescent="0.25">
      <c r="A13582" s="1" t="str">
        <f>HYPERLINK("http://www.rosaceae.org/Prunus/Prunus_persica/p.persica_gdr_reftransV1_0009994","p.persica_gdr_reftransV1_0009994")</f>
        <v>p.persica_gdr_reftransV1_0009994</v>
      </c>
      <c r="B13582" s="3">
        <v>1593</v>
      </c>
      <c r="C13582" s="1" t="str">
        <f>HYPERLINK("http://www.uniprot.org/uniprot/BH048_ARATH","BH048_ARATH")</f>
        <v>BH048_ARATH</v>
      </c>
      <c r="D13582" t="s">
        <v>9109</v>
      </c>
      <c r="E13582" s="3" t="s">
        <v>3</v>
      </c>
      <c r="F13582" s="4">
        <v>1.9699999999999999E-96</v>
      </c>
      <c r="G13582" s="3">
        <v>774</v>
      </c>
      <c r="H13582" s="3">
        <v>53</v>
      </c>
      <c r="I13582" s="3">
        <v>354</v>
      </c>
      <c r="J13582" s="3">
        <v>264</v>
      </c>
      <c r="K13582" s="3">
        <v>1289</v>
      </c>
      <c r="L13582" s="3">
        <v>12</v>
      </c>
      <c r="M13582" s="3">
        <v>327</v>
      </c>
    </row>
    <row r="13583" spans="1:13" x14ac:dyDescent="0.25">
      <c r="A13583" s="1" t="str">
        <f>HYPERLINK("http://www.rosaceae.org/Prunus/Prunus_persica/p.persica_gdr_reftransV1_0010144","p.persica_gdr_reftransV1_0010144")</f>
        <v>p.persica_gdr_reftransV1_0010144</v>
      </c>
      <c r="B13583" s="3">
        <v>2165</v>
      </c>
      <c r="C13583" s="1" t="str">
        <f>HYPERLINK("http://www.uniprot.org/uniprot/Y2837_ARATH","Y2837_ARATH")</f>
        <v>Y2837_ARATH</v>
      </c>
      <c r="D13583" t="s">
        <v>9110</v>
      </c>
      <c r="E13583" s="3" t="s">
        <v>3</v>
      </c>
      <c r="F13583" s="4">
        <v>2.9800000000000002E-82</v>
      </c>
      <c r="G13583" s="3">
        <v>708</v>
      </c>
      <c r="H13583" s="3">
        <v>44</v>
      </c>
      <c r="I13583" s="3">
        <v>552</v>
      </c>
      <c r="J13583" s="3">
        <v>191</v>
      </c>
      <c r="K13583" s="3">
        <v>1804</v>
      </c>
      <c r="L13583" s="3">
        <v>12</v>
      </c>
      <c r="M13583" s="3">
        <v>504</v>
      </c>
    </row>
    <row r="13584" spans="1:13" x14ac:dyDescent="0.25">
      <c r="A13584" s="1" t="str">
        <f>HYPERLINK("http://www.rosaceae.org/Prunus/Prunus_persica/p.persica_gdr_reftransV1_0010894","p.persica_gdr_reftransV1_0010894")</f>
        <v>p.persica_gdr_reftransV1_0010894</v>
      </c>
      <c r="B13584" s="3">
        <v>2209</v>
      </c>
      <c r="C13584" s="1" t="str">
        <f>HYPERLINK("http://www.uniprot.org/uniprot/T184A_HUMAN","T184A_HUMAN")</f>
        <v>T184A_HUMAN</v>
      </c>
      <c r="D13584" t="s">
        <v>9111</v>
      </c>
      <c r="E13584" s="3" t="s">
        <v>28</v>
      </c>
      <c r="F13584" s="4">
        <v>1.7200000000000001E-64</v>
      </c>
      <c r="G13584" s="3">
        <v>575</v>
      </c>
      <c r="H13584" s="3">
        <v>44</v>
      </c>
      <c r="I13584" s="3">
        <v>310</v>
      </c>
      <c r="J13584" s="3">
        <v>404</v>
      </c>
      <c r="K13584" s="3">
        <v>1273</v>
      </c>
      <c r="L13584" s="3">
        <v>66</v>
      </c>
      <c r="M13584" s="3">
        <v>375</v>
      </c>
    </row>
    <row r="13585" spans="1:13" x14ac:dyDescent="0.25">
      <c r="A13585" s="1" t="str">
        <f>HYPERLINK("http://www.rosaceae.org/Prunus/Prunus_persica/p.persica_gdr_reftransV1_0010944","p.persica_gdr_reftransV1_0010944")</f>
        <v>p.persica_gdr_reftransV1_0010944</v>
      </c>
      <c r="B13585" s="3">
        <v>1941</v>
      </c>
      <c r="C13585" s="1" t="str">
        <f>HYPERLINK("http://www.uniprot.org/uniprot/PER1_ARAHY","PER1_ARAHY")</f>
        <v>PER1_ARAHY</v>
      </c>
      <c r="D13585" t="s">
        <v>4426</v>
      </c>
      <c r="E13585" s="3" t="s">
        <v>4427</v>
      </c>
      <c r="F13585" s="4">
        <v>1.7500000000000001E-115</v>
      </c>
      <c r="G13585" s="3">
        <v>910</v>
      </c>
      <c r="H13585" s="3">
        <v>70</v>
      </c>
      <c r="I13585" s="3">
        <v>257</v>
      </c>
      <c r="J13585" s="3">
        <v>1039</v>
      </c>
      <c r="K13585" s="3">
        <v>1803</v>
      </c>
      <c r="L13585" s="3">
        <v>60</v>
      </c>
      <c r="M13585" s="3">
        <v>316</v>
      </c>
    </row>
    <row r="13586" spans="1:13" x14ac:dyDescent="0.25">
      <c r="A13586" s="1" t="str">
        <f>HYPERLINK("http://www.rosaceae.org/Prunus/Prunus_persica/p.persica_gdr_reftransV1_0010994","p.persica_gdr_reftransV1_0010994")</f>
        <v>p.persica_gdr_reftransV1_0010994</v>
      </c>
      <c r="B13586" s="3">
        <v>865</v>
      </c>
      <c r="C13586" s="1" t="str">
        <f>HYPERLINK("http://www.uniprot.org/uniprot/SPT41_ARATH","SPT41_ARATH")</f>
        <v>SPT41_ARATH</v>
      </c>
      <c r="D13586" t="s">
        <v>9112</v>
      </c>
      <c r="E13586" s="3" t="s">
        <v>3</v>
      </c>
      <c r="F13586" s="4">
        <v>6.29E-63</v>
      </c>
      <c r="G13586" s="3">
        <v>509</v>
      </c>
      <c r="H13586" s="3">
        <v>83</v>
      </c>
      <c r="I13586" s="3">
        <v>111</v>
      </c>
      <c r="J13586" s="3">
        <v>247</v>
      </c>
      <c r="K13586" s="3">
        <v>579</v>
      </c>
      <c r="L13586" s="3">
        <v>5</v>
      </c>
      <c r="M13586" s="3">
        <v>115</v>
      </c>
    </row>
    <row r="13587" spans="1:13" x14ac:dyDescent="0.25">
      <c r="A13587" s="1" t="str">
        <f>HYPERLINK("http://www.rosaceae.org/Prunus/Prunus_persica/p.persica_gdr_reftransV1_0011194","p.persica_gdr_reftransV1_0011194")</f>
        <v>p.persica_gdr_reftransV1_0011194</v>
      </c>
      <c r="B13587" s="3">
        <v>1829</v>
      </c>
      <c r="C13587" s="1" t="str">
        <f>HYPERLINK("http://www.uniprot.org/uniprot/PP240_ARATH","PP240_ARATH")</f>
        <v>PP240_ARATH</v>
      </c>
      <c r="D13587" t="s">
        <v>7889</v>
      </c>
      <c r="E13587" s="3" t="s">
        <v>3</v>
      </c>
      <c r="F13587" s="4">
        <v>0</v>
      </c>
      <c r="G13587" s="3">
        <v>1572</v>
      </c>
      <c r="H13587" s="3">
        <v>62</v>
      </c>
      <c r="I13587" s="3">
        <v>460</v>
      </c>
      <c r="J13587" s="3">
        <v>4</v>
      </c>
      <c r="K13587" s="3">
        <v>1383</v>
      </c>
      <c r="L13587" s="3">
        <v>210</v>
      </c>
      <c r="M13587" s="3">
        <v>669</v>
      </c>
    </row>
    <row r="13588" spans="1:13" x14ac:dyDescent="0.25">
      <c r="A13588" s="1" t="str">
        <f>HYPERLINK("http://www.rosaceae.org/Prunus/Prunus_persica/p.persica_gdr_reftransV1_0011444","p.persica_gdr_reftransV1_0011444")</f>
        <v>p.persica_gdr_reftransV1_0011444</v>
      </c>
      <c r="B13588" s="3">
        <v>1858</v>
      </c>
      <c r="C13588" s="1" t="str">
        <f>HYPERLINK("http://www.uniprot.org/uniprot/SWI3B_ARATH","SWI3B_ARATH")</f>
        <v>SWI3B_ARATH</v>
      </c>
      <c r="D13588" t="s">
        <v>4733</v>
      </c>
      <c r="E13588" s="3" t="s">
        <v>3</v>
      </c>
      <c r="F13588" s="4">
        <v>6.3499999999999999E-133</v>
      </c>
      <c r="G13588" s="3">
        <v>1039</v>
      </c>
      <c r="H13588" s="3">
        <v>54</v>
      </c>
      <c r="I13588" s="3">
        <v>397</v>
      </c>
      <c r="J13588" s="3">
        <v>312</v>
      </c>
      <c r="K13588" s="3">
        <v>1484</v>
      </c>
      <c r="L13588" s="3">
        <v>39</v>
      </c>
      <c r="M13588" s="3">
        <v>418</v>
      </c>
    </row>
    <row r="13589" spans="1:13" x14ac:dyDescent="0.25">
      <c r="A13589" s="1" t="str">
        <f>HYPERLINK("http://www.rosaceae.org/Prunus/Prunus_persica/p.persica_gdr_reftransV1_0011544","p.persica_gdr_reftransV1_0011544")</f>
        <v>p.persica_gdr_reftransV1_0011544</v>
      </c>
      <c r="B13589" s="3">
        <v>2940</v>
      </c>
      <c r="C13589" s="1" t="str">
        <f>HYPERLINK("http://www.uniprot.org/uniprot/NAT12_ARATH","NAT12_ARATH")</f>
        <v>NAT12_ARATH</v>
      </c>
      <c r="D13589" t="s">
        <v>9113</v>
      </c>
      <c r="E13589" s="3" t="s">
        <v>3</v>
      </c>
      <c r="F13589" s="4">
        <v>0</v>
      </c>
      <c r="G13589" s="3">
        <v>2519</v>
      </c>
      <c r="H13589" s="3">
        <v>76</v>
      </c>
      <c r="I13589" s="3">
        <v>690</v>
      </c>
      <c r="J13589" s="3">
        <v>594</v>
      </c>
      <c r="K13589" s="3">
        <v>2615</v>
      </c>
      <c r="L13589" s="3">
        <v>31</v>
      </c>
      <c r="M13589" s="3">
        <v>709</v>
      </c>
    </row>
    <row r="13590" spans="1:13" x14ac:dyDescent="0.25">
      <c r="A13590" s="1" t="str">
        <f>HYPERLINK("http://www.rosaceae.org/Prunus/Prunus_persica/p.persica_gdr_reftransV1_0011644","p.persica_gdr_reftransV1_0011644")</f>
        <v>p.persica_gdr_reftransV1_0011644</v>
      </c>
      <c r="B13590" s="3">
        <v>1773</v>
      </c>
      <c r="C13590" s="1" t="str">
        <f>HYPERLINK("http://www.uniprot.org/uniprot/OCP3_ARATH","OCP3_ARATH")</f>
        <v>OCP3_ARATH</v>
      </c>
      <c r="D13590" t="s">
        <v>2094</v>
      </c>
      <c r="E13590" s="3" t="s">
        <v>3</v>
      </c>
      <c r="F13590" s="4">
        <v>2.5699999999999999E-58</v>
      </c>
      <c r="G13590" s="3">
        <v>520</v>
      </c>
      <c r="H13590" s="3">
        <v>61</v>
      </c>
      <c r="I13590" s="3">
        <v>175</v>
      </c>
      <c r="J13590" s="3">
        <v>64</v>
      </c>
      <c r="K13590" s="3">
        <v>588</v>
      </c>
      <c r="L13590" s="3">
        <v>183</v>
      </c>
      <c r="M13590" s="3">
        <v>353</v>
      </c>
    </row>
    <row r="13591" spans="1:13" x14ac:dyDescent="0.25">
      <c r="A13591" s="1" t="str">
        <f>HYPERLINK("http://www.rosaceae.org/Prunus/Prunus_persica/p.persica_gdr_reftransV1_0011744","p.persica_gdr_reftransV1_0011744")</f>
        <v>p.persica_gdr_reftransV1_0011744</v>
      </c>
      <c r="B13591" s="3">
        <v>1556</v>
      </c>
      <c r="C13591" s="1" t="str">
        <f>HYPERLINK("http://www.uniprot.org/uniprot/MAG1_SCHPO","MAG1_SCHPO")</f>
        <v>MAG1_SCHPO</v>
      </c>
      <c r="D13591" t="s">
        <v>9114</v>
      </c>
      <c r="E13591" s="3" t="s">
        <v>464</v>
      </c>
      <c r="F13591" s="4">
        <v>2.7400000000000002E-29</v>
      </c>
      <c r="G13591" s="3">
        <v>298</v>
      </c>
      <c r="H13591" s="3">
        <v>32</v>
      </c>
      <c r="I13591" s="3">
        <v>201</v>
      </c>
      <c r="J13591" s="3">
        <v>711</v>
      </c>
      <c r="K13591" s="3">
        <v>1310</v>
      </c>
      <c r="L13591" s="3">
        <v>12</v>
      </c>
      <c r="M13591" s="3">
        <v>212</v>
      </c>
    </row>
    <row r="13592" spans="1:13" x14ac:dyDescent="0.25">
      <c r="A13592" s="1" t="str">
        <f>HYPERLINK("http://www.rosaceae.org/Prunus/Prunus_persica/p.persica_gdr_reftransV1_0011794","p.persica_gdr_reftransV1_0011794")</f>
        <v>p.persica_gdr_reftransV1_0011794</v>
      </c>
      <c r="B13592" s="3">
        <v>1403</v>
      </c>
      <c r="C13592" s="1" t="str">
        <f>HYPERLINK("http://www.uniprot.org/uniprot/MYB4_ARATH","MYB4_ARATH")</f>
        <v>MYB4_ARATH</v>
      </c>
      <c r="D13592" t="s">
        <v>2063</v>
      </c>
      <c r="E13592" s="3" t="s">
        <v>3</v>
      </c>
      <c r="F13592" s="4">
        <v>3.9600000000000002E-71</v>
      </c>
      <c r="G13592" s="3">
        <v>594</v>
      </c>
      <c r="H13592" s="3">
        <v>57</v>
      </c>
      <c r="I13592" s="3">
        <v>206</v>
      </c>
      <c r="J13592" s="3">
        <v>125</v>
      </c>
      <c r="K13592" s="3">
        <v>721</v>
      </c>
      <c r="L13592" s="3">
        <v>3</v>
      </c>
      <c r="M13592" s="3">
        <v>207</v>
      </c>
    </row>
    <row r="13593" spans="1:13" x14ac:dyDescent="0.25">
      <c r="A13593" s="1" t="str">
        <f>HYPERLINK("http://www.rosaceae.org/Prunus/Prunus_persica/p.persica_gdr_reftransV1_0011994","p.persica_gdr_reftransV1_0011994")</f>
        <v>p.persica_gdr_reftransV1_0011994</v>
      </c>
      <c r="B13593" s="3">
        <v>1095</v>
      </c>
      <c r="C13593" s="1" t="str">
        <f>HYPERLINK("http://www.uniprot.org/uniprot/PRRP1_ARATH","PRRP1_ARATH")</f>
        <v>PRRP1_ARATH</v>
      </c>
      <c r="D13593" t="s">
        <v>3130</v>
      </c>
      <c r="E13593" s="3" t="s">
        <v>3</v>
      </c>
      <c r="F13593" s="4">
        <v>2.8099999999999998E-25</v>
      </c>
      <c r="G13593" s="3">
        <v>276</v>
      </c>
      <c r="H13593" s="3">
        <v>87</v>
      </c>
      <c r="I13593" s="3">
        <v>54</v>
      </c>
      <c r="J13593" s="3">
        <v>6</v>
      </c>
      <c r="K13593" s="3">
        <v>167</v>
      </c>
      <c r="L13593" s="3">
        <v>464</v>
      </c>
      <c r="M13593" s="3">
        <v>517</v>
      </c>
    </row>
    <row r="13594" spans="1:13" x14ac:dyDescent="0.25">
      <c r="A13594" s="1" t="str">
        <f>HYPERLINK("http://www.rosaceae.org/Prunus/Prunus_persica/p.persica_gdr_reftransV1_0012094","p.persica_gdr_reftransV1_0012094")</f>
        <v>p.persica_gdr_reftransV1_0012094</v>
      </c>
      <c r="B13594" s="3">
        <v>1175</v>
      </c>
      <c r="C13594" s="1" t="str">
        <f>HYPERLINK("http://www.uniprot.org/uniprot/ELMOA_DICDI","ELMOA_DICDI")</f>
        <v>ELMOA_DICDI</v>
      </c>
      <c r="D13594" t="s">
        <v>4111</v>
      </c>
      <c r="E13594" s="3" t="s">
        <v>9</v>
      </c>
      <c r="F13594" s="4">
        <v>5.2900000000000001E-24</v>
      </c>
      <c r="G13594" s="3">
        <v>269</v>
      </c>
      <c r="H13594" s="3">
        <v>31</v>
      </c>
      <c r="I13594" s="3">
        <v>182</v>
      </c>
      <c r="J13594" s="3">
        <v>305</v>
      </c>
      <c r="K13594" s="3">
        <v>793</v>
      </c>
      <c r="L13594" s="3">
        <v>375</v>
      </c>
      <c r="M13594" s="3">
        <v>554</v>
      </c>
    </row>
    <row r="13595" spans="1:13" x14ac:dyDescent="0.25">
      <c r="A13595" s="1" t="str">
        <f>HYPERLINK("http://www.rosaceae.org/Prunus/Prunus_persica/p.persica_gdr_reftransV1_0012444","p.persica_gdr_reftransV1_0012444")</f>
        <v>p.persica_gdr_reftransV1_0012444</v>
      </c>
      <c r="B13595" s="3">
        <v>2054</v>
      </c>
      <c r="C13595" s="1" t="str">
        <f>HYPERLINK("http://www.uniprot.org/uniprot/RH39_ORYSJ","RH39_ORYSJ")</f>
        <v>RH39_ORYSJ</v>
      </c>
      <c r="D13595" t="s">
        <v>5585</v>
      </c>
      <c r="E13595" s="3" t="s">
        <v>38</v>
      </c>
      <c r="F13595" s="4">
        <v>0</v>
      </c>
      <c r="G13595" s="3">
        <v>1828</v>
      </c>
      <c r="H13595" s="3">
        <v>68</v>
      </c>
      <c r="I13595" s="3">
        <v>527</v>
      </c>
      <c r="J13595" s="3">
        <v>160</v>
      </c>
      <c r="K13595" s="3">
        <v>1713</v>
      </c>
      <c r="L13595" s="3">
        <v>99</v>
      </c>
      <c r="M13595" s="3">
        <v>625</v>
      </c>
    </row>
    <row r="13596" spans="1:13" x14ac:dyDescent="0.25">
      <c r="A13596" s="1" t="str">
        <f>HYPERLINK("http://www.rosaceae.org/Prunus/Prunus_persica/p.persica_gdr_reftransV1_0012644","p.persica_gdr_reftransV1_0012644")</f>
        <v>p.persica_gdr_reftransV1_0012644</v>
      </c>
      <c r="B13596" s="3">
        <v>715</v>
      </c>
      <c r="C13596" s="1" t="str">
        <f>HYPERLINK("http://www.uniprot.org/uniprot/SUI1_SALBA","SUI1_SALBA")</f>
        <v>SUI1_SALBA</v>
      </c>
      <c r="D13596" t="s">
        <v>9115</v>
      </c>
      <c r="E13596" s="3" t="s">
        <v>9116</v>
      </c>
      <c r="F13596" s="4">
        <v>1.74E-62</v>
      </c>
      <c r="G13596" s="3">
        <v>501</v>
      </c>
      <c r="H13596" s="3">
        <v>94</v>
      </c>
      <c r="I13596" s="3">
        <v>100</v>
      </c>
      <c r="J13596" s="3">
        <v>1</v>
      </c>
      <c r="K13596" s="3">
        <v>300</v>
      </c>
      <c r="L13596" s="3">
        <v>14</v>
      </c>
      <c r="M13596" s="3">
        <v>113</v>
      </c>
    </row>
    <row r="13597" spans="1:13" x14ac:dyDescent="0.25">
      <c r="A13597" s="1" t="str">
        <f>HYPERLINK("http://www.rosaceae.org/Prunus/Prunus_persica/p.persica_gdr_reftransV1_0012694","p.persica_gdr_reftransV1_0012694")</f>
        <v>p.persica_gdr_reftransV1_0012694</v>
      </c>
      <c r="B13597" s="3">
        <v>6074</v>
      </c>
      <c r="C13597" s="1" t="str">
        <f>HYPERLINK("http://www.uniprot.org/uniprot/MYO17_ARATH","MYO17_ARATH")</f>
        <v>MYO17_ARATH</v>
      </c>
      <c r="D13597" t="s">
        <v>9117</v>
      </c>
      <c r="E13597" s="3" t="s">
        <v>3</v>
      </c>
      <c r="F13597" s="4">
        <v>0</v>
      </c>
      <c r="G13597" s="3">
        <v>3089</v>
      </c>
      <c r="H13597" s="3">
        <v>86</v>
      </c>
      <c r="I13597" s="3">
        <v>664</v>
      </c>
      <c r="J13597" s="3">
        <v>3751</v>
      </c>
      <c r="K13597" s="3">
        <v>5727</v>
      </c>
      <c r="L13597" s="3">
        <v>1</v>
      </c>
      <c r="M13597" s="3">
        <v>664</v>
      </c>
    </row>
    <row r="13598" spans="1:13" x14ac:dyDescent="0.25">
      <c r="A13598" s="1" t="str">
        <f>HYPERLINK("http://www.rosaceae.org/Prunus/Prunus_persica/p.persica_gdr_reftransV1_0013044","p.persica_gdr_reftransV1_0013044")</f>
        <v>p.persica_gdr_reftransV1_0013044</v>
      </c>
      <c r="B13598" s="3">
        <v>2048</v>
      </c>
      <c r="C13598" s="1" t="str">
        <f>HYPERLINK("http://www.uniprot.org/uniprot/PP268_ARATH","PP268_ARATH")</f>
        <v>PP268_ARATH</v>
      </c>
      <c r="D13598" t="s">
        <v>9118</v>
      </c>
      <c r="E13598" s="3" t="s">
        <v>3</v>
      </c>
      <c r="F13598" s="4">
        <v>2.48E-61</v>
      </c>
      <c r="G13598" s="3">
        <v>568</v>
      </c>
      <c r="H13598" s="3">
        <v>60</v>
      </c>
      <c r="I13598" s="3">
        <v>162</v>
      </c>
      <c r="J13598" s="3">
        <v>1563</v>
      </c>
      <c r="K13598" s="3">
        <v>2048</v>
      </c>
      <c r="L13598" s="3">
        <v>528</v>
      </c>
      <c r="M13598" s="3">
        <v>689</v>
      </c>
    </row>
    <row r="13599" spans="1:13" x14ac:dyDescent="0.25">
      <c r="A13599" s="1" t="str">
        <f>HYPERLINK("http://www.rosaceae.org/Prunus/Prunus_persica/p.persica_gdr_reftransV1_0013244","p.persica_gdr_reftransV1_0013244")</f>
        <v>p.persica_gdr_reftransV1_0013244</v>
      </c>
      <c r="B13599" s="3">
        <v>2574</v>
      </c>
      <c r="C13599" s="1" t="str">
        <f>HYPERLINK("http://www.uniprot.org/uniprot/C3H45_ORYSJ","C3H45_ORYSJ")</f>
        <v>C3H45_ORYSJ</v>
      </c>
      <c r="D13599" t="s">
        <v>9119</v>
      </c>
      <c r="E13599" s="3" t="s">
        <v>38</v>
      </c>
      <c r="F13599" s="4">
        <v>5.6299999999999996E-29</v>
      </c>
      <c r="G13599" s="3">
        <v>319</v>
      </c>
      <c r="H13599" s="3">
        <v>43</v>
      </c>
      <c r="I13599" s="3">
        <v>164</v>
      </c>
      <c r="J13599" s="3">
        <v>392</v>
      </c>
      <c r="K13599" s="3">
        <v>880</v>
      </c>
      <c r="L13599" s="3">
        <v>260</v>
      </c>
      <c r="M13599" s="3">
        <v>395</v>
      </c>
    </row>
    <row r="13600" spans="1:13" x14ac:dyDescent="0.25">
      <c r="A13600" s="1" t="str">
        <f>HYPERLINK("http://www.rosaceae.org/Prunus/Prunus_persica/p.persica_gdr_reftransV1_0013294","p.persica_gdr_reftransV1_0013294")</f>
        <v>p.persica_gdr_reftransV1_0013294</v>
      </c>
      <c r="B13600" s="3">
        <v>1222</v>
      </c>
      <c r="C13600" s="1" t="str">
        <f>HYPERLINK("http://www.uniprot.org/uniprot/PYL4_ARATH","PYL4_ARATH")</f>
        <v>PYL4_ARATH</v>
      </c>
      <c r="D13600" t="s">
        <v>3930</v>
      </c>
      <c r="E13600" s="3" t="s">
        <v>3</v>
      </c>
      <c r="F13600" s="4">
        <v>1.94E-75</v>
      </c>
      <c r="G13600" s="3">
        <v>612</v>
      </c>
      <c r="H13600" s="3">
        <v>81</v>
      </c>
      <c r="I13600" s="3">
        <v>156</v>
      </c>
      <c r="J13600" s="3">
        <v>381</v>
      </c>
      <c r="K13600" s="3">
        <v>845</v>
      </c>
      <c r="L13600" s="3">
        <v>41</v>
      </c>
      <c r="M13600" s="3">
        <v>196</v>
      </c>
    </row>
    <row r="13601" spans="1:13" x14ac:dyDescent="0.25">
      <c r="A13601" s="1" t="str">
        <f>HYPERLINK("http://www.rosaceae.org/Prunus/Prunus_persica/p.persica_gdr_reftransV1_0013394","p.persica_gdr_reftransV1_0013394")</f>
        <v>p.persica_gdr_reftransV1_0013394</v>
      </c>
      <c r="B13601" s="3">
        <v>1405</v>
      </c>
      <c r="C13601" s="1" t="str">
        <f>HYPERLINK("http://www.uniprot.org/uniprot/E134_MAIZE","E134_MAIZE")</f>
        <v>E134_MAIZE</v>
      </c>
      <c r="D13601" t="s">
        <v>849</v>
      </c>
      <c r="E13601" s="3" t="s">
        <v>72</v>
      </c>
      <c r="F13601" s="4">
        <v>4.0999999999999998E-38</v>
      </c>
      <c r="G13601" s="3">
        <v>367</v>
      </c>
      <c r="H13601" s="3">
        <v>42</v>
      </c>
      <c r="I13601" s="3">
        <v>196</v>
      </c>
      <c r="J13601" s="3">
        <v>727</v>
      </c>
      <c r="K13601" s="3">
        <v>1293</v>
      </c>
      <c r="L13601" s="3">
        <v>28</v>
      </c>
      <c r="M13601" s="3">
        <v>219</v>
      </c>
    </row>
    <row r="13602" spans="1:13" x14ac:dyDescent="0.25">
      <c r="A13602" s="1" t="str">
        <f>HYPERLINK("http://www.rosaceae.org/Prunus/Prunus_persica/p.persica_gdr_reftransV1_0013444","p.persica_gdr_reftransV1_0013444")</f>
        <v>p.persica_gdr_reftransV1_0013444</v>
      </c>
      <c r="B13602" s="3">
        <v>2111</v>
      </c>
      <c r="C13602" s="1" t="str">
        <f>HYPERLINK("http://www.uniprot.org/uniprot/ERF3_TOBAC","ERF3_TOBAC")</f>
        <v>ERF3_TOBAC</v>
      </c>
      <c r="D13602" t="s">
        <v>9120</v>
      </c>
      <c r="E13602" s="3" t="s">
        <v>200</v>
      </c>
      <c r="F13602" s="4">
        <v>4.3100000000000001E-22</v>
      </c>
      <c r="G13602" s="3">
        <v>249</v>
      </c>
      <c r="H13602" s="3">
        <v>83</v>
      </c>
      <c r="I13602" s="3">
        <v>77</v>
      </c>
      <c r="J13602" s="3">
        <v>391</v>
      </c>
      <c r="K13602" s="3">
        <v>621</v>
      </c>
      <c r="L13602" s="3">
        <v>22</v>
      </c>
      <c r="M13602" s="3">
        <v>97</v>
      </c>
    </row>
    <row r="13603" spans="1:13" x14ac:dyDescent="0.25">
      <c r="A13603" s="1" t="str">
        <f>HYPERLINK("http://www.rosaceae.org/Prunus/Prunus_persica/p.persica_gdr_reftransV1_0013594","p.persica_gdr_reftransV1_0013594")</f>
        <v>p.persica_gdr_reftransV1_0013594</v>
      </c>
      <c r="B13603" s="3">
        <v>1359</v>
      </c>
      <c r="C13603" s="1" t="str">
        <f>HYPERLINK("http://www.uniprot.org/uniprot/SPG1_SCHPO","SPG1_SCHPO")</f>
        <v>SPG1_SCHPO</v>
      </c>
      <c r="D13603" t="s">
        <v>8423</v>
      </c>
      <c r="E13603" s="3" t="s">
        <v>464</v>
      </c>
      <c r="F13603" s="4">
        <v>3.29E-59</v>
      </c>
      <c r="G13603" s="3">
        <v>505</v>
      </c>
      <c r="H13603" s="3">
        <v>49</v>
      </c>
      <c r="I13603" s="3">
        <v>187</v>
      </c>
      <c r="J13603" s="3">
        <v>448</v>
      </c>
      <c r="K13603" s="3">
        <v>1008</v>
      </c>
      <c r="L13603" s="3">
        <v>9</v>
      </c>
      <c r="M13603" s="3">
        <v>195</v>
      </c>
    </row>
    <row r="13604" spans="1:13" x14ac:dyDescent="0.25">
      <c r="A13604" s="1" t="str">
        <f>HYPERLINK("http://www.rosaceae.org/Prunus/Prunus_persica/p.persica_gdr_reftransV1_0013744","p.persica_gdr_reftransV1_0013744")</f>
        <v>p.persica_gdr_reftransV1_0013744</v>
      </c>
      <c r="B13604" s="3">
        <v>2013</v>
      </c>
      <c r="C13604" s="1" t="str">
        <f>HYPERLINK("http://www.uniprot.org/uniprot/MT799_ARATH","MT799_ARATH")</f>
        <v>MT799_ARATH</v>
      </c>
      <c r="D13604" t="s">
        <v>7664</v>
      </c>
      <c r="E13604" s="3" t="s">
        <v>3</v>
      </c>
      <c r="F13604" s="4">
        <v>2.1599999999999999E-64</v>
      </c>
      <c r="G13604" s="3">
        <v>568</v>
      </c>
      <c r="H13604" s="3">
        <v>43</v>
      </c>
      <c r="I13604" s="3">
        <v>292</v>
      </c>
      <c r="J13604" s="3">
        <v>589</v>
      </c>
      <c r="K13604" s="3">
        <v>1437</v>
      </c>
      <c r="L13604" s="3">
        <v>6</v>
      </c>
      <c r="M13604" s="3">
        <v>291</v>
      </c>
    </row>
    <row r="13605" spans="1:13" x14ac:dyDescent="0.25">
      <c r="A13605" s="1" t="str">
        <f>HYPERLINK("http://www.rosaceae.org/Prunus/Prunus_persica/p.persica_gdr_reftransV1_0013994","p.persica_gdr_reftransV1_0013994")</f>
        <v>p.persica_gdr_reftransV1_0013994</v>
      </c>
      <c r="B13605" s="3">
        <v>1903</v>
      </c>
      <c r="C13605" s="1" t="str">
        <f>HYPERLINK("http://www.uniprot.org/uniprot/RPN13_ARATH","RPN13_ARATH")</f>
        <v>RPN13_ARATH</v>
      </c>
      <c r="D13605" t="s">
        <v>9121</v>
      </c>
      <c r="E13605" s="3" t="s">
        <v>3</v>
      </c>
      <c r="F13605" s="4">
        <v>3.9700000000000002E-86</v>
      </c>
      <c r="G13605" s="3">
        <v>710</v>
      </c>
      <c r="H13605" s="3">
        <v>70</v>
      </c>
      <c r="I13605" s="3">
        <v>199</v>
      </c>
      <c r="J13605" s="3">
        <v>1181</v>
      </c>
      <c r="K13605" s="3">
        <v>1771</v>
      </c>
      <c r="L13605" s="3">
        <v>2</v>
      </c>
      <c r="M13605" s="3">
        <v>198</v>
      </c>
    </row>
    <row r="13606" spans="1:13" x14ac:dyDescent="0.25">
      <c r="A13606" s="1" t="str">
        <f>HYPERLINK("http://www.rosaceae.org/Prunus/Prunus_persica/p.persica_gdr_reftransV1_0014294","p.persica_gdr_reftransV1_0014294")</f>
        <v>p.persica_gdr_reftransV1_0014294</v>
      </c>
      <c r="B13606" s="3">
        <v>1285</v>
      </c>
      <c r="C13606" s="1" t="str">
        <f>HYPERLINK("http://www.uniprot.org/uniprot/PX11A_ARATH","PX11A_ARATH")</f>
        <v>PX11A_ARATH</v>
      </c>
      <c r="D13606" t="s">
        <v>9122</v>
      </c>
      <c r="E13606" s="3" t="s">
        <v>3</v>
      </c>
      <c r="F13606" s="4">
        <v>8.6699999999999996E-103</v>
      </c>
      <c r="G13606" s="3">
        <v>800</v>
      </c>
      <c r="H13606" s="3">
        <v>68</v>
      </c>
      <c r="I13606" s="3">
        <v>236</v>
      </c>
      <c r="J13606" s="3">
        <v>166</v>
      </c>
      <c r="K13606" s="3">
        <v>873</v>
      </c>
      <c r="L13606" s="3">
        <v>13</v>
      </c>
      <c r="M13606" s="3">
        <v>248</v>
      </c>
    </row>
    <row r="13607" spans="1:13" x14ac:dyDescent="0.25">
      <c r="A13607" s="1" t="str">
        <f>HYPERLINK("http://www.rosaceae.org/Prunus/Prunus_persica/p.persica_gdr_reftransV1_0014544","p.persica_gdr_reftransV1_0014544")</f>
        <v>p.persica_gdr_reftransV1_0014544</v>
      </c>
      <c r="B13607" s="3">
        <v>1521</v>
      </c>
      <c r="C13607" s="1" t="str">
        <f>HYPERLINK("http://www.uniprot.org/uniprot/RPI3_ARATH","RPI3_ARATH")</f>
        <v>RPI3_ARATH</v>
      </c>
      <c r="D13607" t="s">
        <v>9123</v>
      </c>
      <c r="E13607" s="3" t="s">
        <v>3</v>
      </c>
      <c r="F13607" s="4">
        <v>4.1999999999999997E-138</v>
      </c>
      <c r="G13607" s="3">
        <v>1045</v>
      </c>
      <c r="H13607" s="3">
        <v>75</v>
      </c>
      <c r="I13607" s="3">
        <v>271</v>
      </c>
      <c r="J13607" s="3">
        <v>388</v>
      </c>
      <c r="K13607" s="3">
        <v>1185</v>
      </c>
      <c r="L13607" s="3">
        <v>8</v>
      </c>
      <c r="M13607" s="3">
        <v>276</v>
      </c>
    </row>
    <row r="13608" spans="1:13" x14ac:dyDescent="0.25">
      <c r="A13608" s="1" t="str">
        <f>HYPERLINK("http://www.rosaceae.org/Prunus/Prunus_persica/p.persica_gdr_reftransV1_0014694","p.persica_gdr_reftransV1_0014694")</f>
        <v>p.persica_gdr_reftransV1_0014694</v>
      </c>
      <c r="B13608" s="3">
        <v>750</v>
      </c>
      <c r="C13608" s="1" t="str">
        <f>HYPERLINK("http://www.uniprot.org/uniprot/CX32_ARATH","CX32_ARATH")</f>
        <v>CX32_ARATH</v>
      </c>
      <c r="D13608" t="s">
        <v>1141</v>
      </c>
      <c r="E13608" s="3" t="s">
        <v>3</v>
      </c>
      <c r="F13608" s="4">
        <v>3.41E-37</v>
      </c>
      <c r="G13608" s="3">
        <v>353</v>
      </c>
      <c r="H13608" s="3">
        <v>61</v>
      </c>
      <c r="I13608" s="3">
        <v>103</v>
      </c>
      <c r="J13608" s="3">
        <v>1</v>
      </c>
      <c r="K13608" s="3">
        <v>309</v>
      </c>
      <c r="L13608" s="3">
        <v>260</v>
      </c>
      <c r="M13608" s="3">
        <v>362</v>
      </c>
    </row>
    <row r="13609" spans="1:13" x14ac:dyDescent="0.25">
      <c r="A13609" s="1" t="str">
        <f>HYPERLINK("http://www.rosaceae.org/Prunus/Prunus_persica/p.persica_gdr_reftransV1_0014844","p.persica_gdr_reftransV1_0014844")</f>
        <v>p.persica_gdr_reftransV1_0014844</v>
      </c>
      <c r="B13609" s="3">
        <v>3028</v>
      </c>
      <c r="C13609" s="1" t="str">
        <f>HYPERLINK("http://www.uniprot.org/uniprot/PP118_ARATH","PP118_ARATH")</f>
        <v>PP118_ARATH</v>
      </c>
      <c r="D13609" t="s">
        <v>9124</v>
      </c>
      <c r="E13609" s="3" t="s">
        <v>3</v>
      </c>
      <c r="F13609" s="4">
        <v>0</v>
      </c>
      <c r="G13609" s="3">
        <v>3071</v>
      </c>
      <c r="H13609" s="3">
        <v>62</v>
      </c>
      <c r="I13609" s="3">
        <v>928</v>
      </c>
      <c r="J13609" s="3">
        <v>24</v>
      </c>
      <c r="K13609" s="3">
        <v>2777</v>
      </c>
      <c r="L13609" s="3">
        <v>49</v>
      </c>
      <c r="M13609" s="3">
        <v>973</v>
      </c>
    </row>
    <row r="13610" spans="1:13" x14ac:dyDescent="0.25">
      <c r="A13610" s="1" t="str">
        <f>HYPERLINK("http://www.rosaceae.org/Prunus/Prunus_persica/p.persica_gdr_reftransV1_0014894","p.persica_gdr_reftransV1_0014894")</f>
        <v>p.persica_gdr_reftransV1_0014894</v>
      </c>
      <c r="B13610" s="3">
        <v>2380</v>
      </c>
      <c r="C13610" s="1" t="str">
        <f>HYPERLINK("http://www.uniprot.org/uniprot/UBP1B_ARATH","UBP1B_ARATH")</f>
        <v>UBP1B_ARATH</v>
      </c>
      <c r="D13610" t="s">
        <v>6001</v>
      </c>
      <c r="E13610" s="3" t="s">
        <v>3</v>
      </c>
      <c r="F13610" s="4">
        <v>4.61E-16</v>
      </c>
      <c r="G13610" s="3">
        <v>209</v>
      </c>
      <c r="H13610" s="3">
        <v>64</v>
      </c>
      <c r="I13610" s="3">
        <v>101</v>
      </c>
      <c r="J13610" s="3">
        <v>2076</v>
      </c>
      <c r="K13610" s="3">
        <v>2375</v>
      </c>
      <c r="L13610" s="3">
        <v>322</v>
      </c>
      <c r="M13610" s="3">
        <v>419</v>
      </c>
    </row>
    <row r="13611" spans="1:13" x14ac:dyDescent="0.25">
      <c r="A13611" s="1" t="str">
        <f>HYPERLINK("http://www.rosaceae.org/Prunus/Prunus_persica/p.persica_gdr_reftransV1_0014944","p.persica_gdr_reftransV1_0014944")</f>
        <v>p.persica_gdr_reftransV1_0014944</v>
      </c>
      <c r="B13611" s="3">
        <v>1259</v>
      </c>
      <c r="C13611" s="1" t="str">
        <f>HYPERLINK("http://www.uniprot.org/uniprot/CCP31_ORYSJ","CCP31_ORYSJ")</f>
        <v>CCP31_ORYSJ</v>
      </c>
      <c r="D13611" t="s">
        <v>9125</v>
      </c>
      <c r="E13611" s="3" t="s">
        <v>38</v>
      </c>
      <c r="F13611" s="4">
        <v>2.17E-69</v>
      </c>
      <c r="G13611" s="3">
        <v>575</v>
      </c>
      <c r="H13611" s="3">
        <v>56</v>
      </c>
      <c r="I13611" s="3">
        <v>197</v>
      </c>
      <c r="J13611" s="3">
        <v>386</v>
      </c>
      <c r="K13611" s="3">
        <v>970</v>
      </c>
      <c r="L13611" s="3">
        <v>3</v>
      </c>
      <c r="M13611" s="3">
        <v>199</v>
      </c>
    </row>
    <row r="13612" spans="1:13" x14ac:dyDescent="0.25">
      <c r="A13612" s="1" t="str">
        <f>HYPERLINK("http://www.rosaceae.org/Prunus/Prunus_persica/p.persica_gdr_reftransV1_0015094","p.persica_gdr_reftransV1_0015094")</f>
        <v>p.persica_gdr_reftransV1_0015094</v>
      </c>
      <c r="B13612" s="3">
        <v>2925</v>
      </c>
      <c r="C13612" s="1" t="str">
        <f>HYPERLINK("http://www.uniprot.org/uniprot/SCY2_ARATH","SCY2_ARATH")</f>
        <v>SCY2_ARATH</v>
      </c>
      <c r="D13612" t="s">
        <v>9126</v>
      </c>
      <c r="E13612" s="3" t="s">
        <v>3</v>
      </c>
      <c r="F13612" s="4">
        <v>1.2100000000000001E-159</v>
      </c>
      <c r="G13612" s="3">
        <v>856</v>
      </c>
      <c r="H13612" s="3">
        <v>78</v>
      </c>
      <c r="I13612" s="3">
        <v>220</v>
      </c>
      <c r="J13612" s="3">
        <v>1454</v>
      </c>
      <c r="K13612" s="3">
        <v>2113</v>
      </c>
      <c r="L13612" s="3">
        <v>252</v>
      </c>
      <c r="M13612" s="3">
        <v>471</v>
      </c>
    </row>
    <row r="13613" spans="1:13" x14ac:dyDescent="0.25">
      <c r="A13613" s="1" t="str">
        <f>HYPERLINK("http://www.rosaceae.org/Prunus/Prunus_persica/p.persica_gdr_reftransV1_0015394","p.persica_gdr_reftransV1_0015394")</f>
        <v>p.persica_gdr_reftransV1_0015394</v>
      </c>
      <c r="B13613" s="3">
        <v>1459</v>
      </c>
      <c r="C13613" s="1" t="str">
        <f>HYPERLINK("http://www.uniprot.org/uniprot/TPC6B_HUMAN","TPC6B_HUMAN")</f>
        <v>TPC6B_HUMAN</v>
      </c>
      <c r="D13613" t="s">
        <v>6848</v>
      </c>
      <c r="E13613" s="3" t="s">
        <v>28</v>
      </c>
      <c r="F13613" s="4">
        <v>7.9600000000000002E-35</v>
      </c>
      <c r="G13613" s="3">
        <v>332</v>
      </c>
      <c r="H13613" s="3">
        <v>44</v>
      </c>
      <c r="I13613" s="3">
        <v>135</v>
      </c>
      <c r="J13613" s="3">
        <v>915</v>
      </c>
      <c r="K13613" s="3">
        <v>1319</v>
      </c>
      <c r="L13613" s="3">
        <v>34</v>
      </c>
      <c r="M13613" s="3">
        <v>150</v>
      </c>
    </row>
    <row r="13614" spans="1:13" x14ac:dyDescent="0.25">
      <c r="A13614" s="1" t="str">
        <f>HYPERLINK("http://www.rosaceae.org/Prunus/Prunus_persica/p.persica_gdr_reftransV1_0015444","p.persica_gdr_reftransV1_0015444")</f>
        <v>p.persica_gdr_reftransV1_0015444</v>
      </c>
      <c r="B13614" s="3">
        <v>2747</v>
      </c>
      <c r="C13614" s="1" t="str">
        <f>HYPERLINK("http://www.uniprot.org/uniprot/Y5830_ARATH","Y5830_ARATH")</f>
        <v>Y5830_ARATH</v>
      </c>
      <c r="D13614" t="s">
        <v>6316</v>
      </c>
      <c r="E13614" s="3" t="s">
        <v>3</v>
      </c>
      <c r="F13614" s="4">
        <v>0</v>
      </c>
      <c r="G13614" s="3">
        <v>1895</v>
      </c>
      <c r="H13614" s="3">
        <v>68</v>
      </c>
      <c r="I13614" s="3">
        <v>631</v>
      </c>
      <c r="J13614" s="3">
        <v>561</v>
      </c>
      <c r="K13614" s="3">
        <v>2435</v>
      </c>
      <c r="L13614" s="3">
        <v>27</v>
      </c>
      <c r="M13614" s="3">
        <v>653</v>
      </c>
    </row>
    <row r="13615" spans="1:13" x14ac:dyDescent="0.25">
      <c r="A13615" s="1" t="str">
        <f>HYPERLINK("http://www.rosaceae.org/Prunus/Prunus_persica/p.persica_gdr_reftransV1_0015494","p.persica_gdr_reftransV1_0015494")</f>
        <v>p.persica_gdr_reftransV1_0015494</v>
      </c>
      <c r="B13615" s="3">
        <v>1948</v>
      </c>
      <c r="C13615" s="1" t="str">
        <f>HYPERLINK("http://www.uniprot.org/uniprot/THCAS_CANSA","THCAS_CANSA")</f>
        <v>THCAS_CANSA</v>
      </c>
      <c r="D13615" t="s">
        <v>3290</v>
      </c>
      <c r="E13615" s="3" t="s">
        <v>3291</v>
      </c>
      <c r="F13615" s="4">
        <v>2.2399999999999999E-166</v>
      </c>
      <c r="G13615" s="3">
        <v>1272</v>
      </c>
      <c r="H13615" s="3">
        <v>50</v>
      </c>
      <c r="I13615" s="3">
        <v>513</v>
      </c>
      <c r="J13615" s="3">
        <v>165</v>
      </c>
      <c r="K13615" s="3">
        <v>1658</v>
      </c>
      <c r="L13615" s="3">
        <v>32</v>
      </c>
      <c r="M13615" s="3">
        <v>541</v>
      </c>
    </row>
    <row r="13616" spans="1:13" x14ac:dyDescent="0.25">
      <c r="A13616" s="1" t="str">
        <f>HYPERLINK("http://www.rosaceae.org/Prunus/Prunus_persica/p.persica_gdr_reftransV1_0015744","p.persica_gdr_reftransV1_0015744")</f>
        <v>p.persica_gdr_reftransV1_0015744</v>
      </c>
      <c r="B13616" s="3">
        <v>365</v>
      </c>
      <c r="C13616" s="1" t="str">
        <f>HYPERLINK("http://www.uniprot.org/uniprot/PP151_ARATH","PP151_ARATH")</f>
        <v>PP151_ARATH</v>
      </c>
      <c r="D13616" t="s">
        <v>1204</v>
      </c>
      <c r="E13616" s="3" t="s">
        <v>3</v>
      </c>
      <c r="F13616" s="4">
        <v>5.8500000000000002E-32</v>
      </c>
      <c r="G13616" s="3">
        <v>308</v>
      </c>
      <c r="H13616" s="3">
        <v>50</v>
      </c>
      <c r="I13616" s="3">
        <v>113</v>
      </c>
      <c r="J13616" s="3">
        <v>3</v>
      </c>
      <c r="K13616" s="3">
        <v>341</v>
      </c>
      <c r="L13616" s="3">
        <v>460</v>
      </c>
      <c r="M13616" s="3">
        <v>572</v>
      </c>
    </row>
    <row r="13617" spans="1:13" x14ac:dyDescent="0.25">
      <c r="A13617" s="1" t="str">
        <f>HYPERLINK("http://www.rosaceae.org/Prunus/Prunus_persica/p.persica_gdr_reftransV1_0015994","p.persica_gdr_reftransV1_0015994")</f>
        <v>p.persica_gdr_reftransV1_0015994</v>
      </c>
      <c r="B13617" s="3">
        <v>2276</v>
      </c>
      <c r="C13617" s="1" t="str">
        <f>HYPERLINK("http://www.uniprot.org/uniprot/C3H32_ARATH","C3H32_ARATH")</f>
        <v>C3H32_ARATH</v>
      </c>
      <c r="D13617" t="s">
        <v>7967</v>
      </c>
      <c r="E13617" s="3" t="s">
        <v>3</v>
      </c>
      <c r="F13617" s="4">
        <v>4.3199999999999996E-143</v>
      </c>
      <c r="G13617" s="3">
        <v>1119</v>
      </c>
      <c r="H13617" s="3">
        <v>57</v>
      </c>
      <c r="I13617" s="3">
        <v>406</v>
      </c>
      <c r="J13617" s="3">
        <v>132</v>
      </c>
      <c r="K13617" s="3">
        <v>1349</v>
      </c>
      <c r="L13617" s="3">
        <v>9</v>
      </c>
      <c r="M13617" s="3">
        <v>402</v>
      </c>
    </row>
    <row r="13618" spans="1:13" x14ac:dyDescent="0.25">
      <c r="A13618" s="1" t="str">
        <f>HYPERLINK("http://www.rosaceae.org/Prunus/Prunus_persica/p.persica_gdr_reftransV1_0016044","p.persica_gdr_reftransV1_0016044")</f>
        <v>p.persica_gdr_reftransV1_0016044</v>
      </c>
      <c r="B13618" s="3">
        <v>901</v>
      </c>
      <c r="C13618" s="1" t="str">
        <f>HYPERLINK("http://www.uniprot.org/uniprot/PIN4_BOVIN","PIN4_BOVIN")</f>
        <v>PIN4_BOVIN</v>
      </c>
      <c r="D13618" t="s">
        <v>4099</v>
      </c>
      <c r="E13618" s="3" t="s">
        <v>184</v>
      </c>
      <c r="F13618" s="4">
        <v>8.5599999999999993E-24</v>
      </c>
      <c r="G13618" s="3">
        <v>245</v>
      </c>
      <c r="H13618" s="3">
        <v>50</v>
      </c>
      <c r="I13618" s="3">
        <v>110</v>
      </c>
      <c r="J13618" s="3">
        <v>325</v>
      </c>
      <c r="K13618" s="3">
        <v>636</v>
      </c>
      <c r="L13618" s="3">
        <v>33</v>
      </c>
      <c r="M13618" s="3">
        <v>131</v>
      </c>
    </row>
    <row r="13619" spans="1:13" x14ac:dyDescent="0.25">
      <c r="A13619" s="1" t="str">
        <f>HYPERLINK("http://www.rosaceae.org/Prunus/Prunus_persica/p.persica_gdr_reftransV1_0016194","p.persica_gdr_reftransV1_0016194")</f>
        <v>p.persica_gdr_reftransV1_0016194</v>
      </c>
      <c r="B13619" s="3">
        <v>1715</v>
      </c>
      <c r="C13619" s="1" t="str">
        <f>HYPERLINK("http://www.uniprot.org/uniprot/PPBD_BACSU","PPBD_BACSU")</f>
        <v>PPBD_BACSU</v>
      </c>
      <c r="D13619" t="s">
        <v>9127</v>
      </c>
      <c r="E13619" s="3" t="s">
        <v>1630</v>
      </c>
      <c r="F13619" s="4">
        <v>4.4000000000000002E-7</v>
      </c>
      <c r="G13619" s="3">
        <v>135</v>
      </c>
      <c r="H13619" s="3">
        <v>24</v>
      </c>
      <c r="I13619" s="3">
        <v>208</v>
      </c>
      <c r="J13619" s="3">
        <v>819</v>
      </c>
      <c r="K13619" s="3">
        <v>1364</v>
      </c>
      <c r="L13619" s="3">
        <v>234</v>
      </c>
      <c r="M13619" s="3">
        <v>438</v>
      </c>
    </row>
    <row r="13620" spans="1:13" x14ac:dyDescent="0.25">
      <c r="A13620" s="1" t="str">
        <f>HYPERLINK("http://www.rosaceae.org/Prunus/Prunus_persica/p.persica_gdr_reftransV1_0016244","p.persica_gdr_reftransV1_0016244")</f>
        <v>p.persica_gdr_reftransV1_0016244</v>
      </c>
      <c r="B13620" s="3">
        <v>1527</v>
      </c>
      <c r="C13620" s="1" t="str">
        <f>HYPERLINK("http://www.uniprot.org/uniprot/FB135_ARATH","FB135_ARATH")</f>
        <v>FB135_ARATH</v>
      </c>
      <c r="D13620" t="s">
        <v>6152</v>
      </c>
      <c r="E13620" s="3" t="s">
        <v>3</v>
      </c>
      <c r="F13620" s="4">
        <v>2.3E-14</v>
      </c>
      <c r="G13620" s="3">
        <v>193</v>
      </c>
      <c r="H13620" s="3">
        <v>28</v>
      </c>
      <c r="I13620" s="3">
        <v>237</v>
      </c>
      <c r="J13620" s="3">
        <v>510</v>
      </c>
      <c r="K13620" s="3">
        <v>1133</v>
      </c>
      <c r="L13620" s="3">
        <v>117</v>
      </c>
      <c r="M13620" s="3">
        <v>349</v>
      </c>
    </row>
    <row r="13621" spans="1:13" x14ac:dyDescent="0.25">
      <c r="A13621" s="1" t="str">
        <f>HYPERLINK("http://www.rosaceae.org/Prunus/Prunus_persica/p.persica_gdr_reftransV1_0016644","p.persica_gdr_reftransV1_0016644")</f>
        <v>p.persica_gdr_reftransV1_0016644</v>
      </c>
      <c r="B13621" s="3">
        <v>2444</v>
      </c>
      <c r="C13621" s="1" t="str">
        <f>HYPERLINK("http://www.uniprot.org/uniprot/2AB2B_ARATH","2AB2B_ARATH")</f>
        <v>2AB2B_ARATH</v>
      </c>
      <c r="D13621" t="s">
        <v>9128</v>
      </c>
      <c r="E13621" s="3" t="s">
        <v>3</v>
      </c>
      <c r="F13621" s="4">
        <v>5.8800000000000005E-178</v>
      </c>
      <c r="G13621" s="3">
        <v>1364</v>
      </c>
      <c r="H13621" s="3">
        <v>91</v>
      </c>
      <c r="I13621" s="3">
        <v>275</v>
      </c>
      <c r="J13621" s="3">
        <v>373</v>
      </c>
      <c r="K13621" s="3">
        <v>1194</v>
      </c>
      <c r="L13621" s="3">
        <v>262</v>
      </c>
      <c r="M13621" s="3">
        <v>536</v>
      </c>
    </row>
    <row r="13622" spans="1:13" x14ac:dyDescent="0.25">
      <c r="A13622" s="1" t="str">
        <f>HYPERLINK("http://www.rosaceae.org/Prunus/Prunus_persica/p.persica_gdr_reftransV1_0016744","p.persica_gdr_reftransV1_0016744")</f>
        <v>p.persica_gdr_reftransV1_0016744</v>
      </c>
      <c r="B13622" s="3">
        <v>921</v>
      </c>
      <c r="C13622" s="1" t="str">
        <f>HYPERLINK("http://www.uniprot.org/uniprot/Y5698_ARATH","Y5698_ARATH")</f>
        <v>Y5698_ARATH</v>
      </c>
      <c r="D13622" t="s">
        <v>6338</v>
      </c>
      <c r="E13622" s="3" t="s">
        <v>3</v>
      </c>
      <c r="F13622" s="4">
        <v>8.72E-12</v>
      </c>
      <c r="G13622" s="3">
        <v>166</v>
      </c>
      <c r="H13622" s="3">
        <v>25</v>
      </c>
      <c r="I13622" s="3">
        <v>210</v>
      </c>
      <c r="J13622" s="3">
        <v>414</v>
      </c>
      <c r="K13622" s="3">
        <v>920</v>
      </c>
      <c r="L13622" s="3">
        <v>66</v>
      </c>
      <c r="M13622" s="3">
        <v>265</v>
      </c>
    </row>
    <row r="13623" spans="1:13" x14ac:dyDescent="0.25">
      <c r="A13623" s="1" t="str">
        <f>HYPERLINK("http://www.rosaceae.org/Prunus/Prunus_persica/p.persica_gdr_reftransV1_0017044","p.persica_gdr_reftransV1_0017044")</f>
        <v>p.persica_gdr_reftransV1_0017044</v>
      </c>
      <c r="B13623" s="3">
        <v>1492</v>
      </c>
      <c r="C13623" s="1" t="str">
        <f>HYPERLINK("http://www.uniprot.org/uniprot/LIMYB_ARATH","LIMYB_ARATH")</f>
        <v>LIMYB_ARATH</v>
      </c>
      <c r="D13623" t="s">
        <v>1896</v>
      </c>
      <c r="E13623" s="3" t="s">
        <v>3</v>
      </c>
      <c r="F13623" s="4">
        <v>4.4400000000000001E-7</v>
      </c>
      <c r="G13623" s="3">
        <v>133</v>
      </c>
      <c r="H13623" s="3">
        <v>24</v>
      </c>
      <c r="I13623" s="3">
        <v>135</v>
      </c>
      <c r="J13623" s="3">
        <v>828</v>
      </c>
      <c r="K13623" s="3">
        <v>1211</v>
      </c>
      <c r="L13623" s="3">
        <v>170</v>
      </c>
      <c r="M13623" s="3">
        <v>303</v>
      </c>
    </row>
    <row r="13624" spans="1:13" x14ac:dyDescent="0.25">
      <c r="A13624" s="1" t="str">
        <f>HYPERLINK("http://www.rosaceae.org/Prunus/Prunus_persica/p.persica_gdr_reftransV1_0017294","p.persica_gdr_reftransV1_0017294")</f>
        <v>p.persica_gdr_reftransV1_0017294</v>
      </c>
      <c r="B13624" s="3">
        <v>6023</v>
      </c>
      <c r="C13624" s="1" t="str">
        <f>HYPERLINK("http://www.uniprot.org/uniprot/Y1743_ARATH","Y1743_ARATH")</f>
        <v>Y1743_ARATH</v>
      </c>
      <c r="D13624" t="s">
        <v>9129</v>
      </c>
      <c r="E13624" s="3" t="s">
        <v>3</v>
      </c>
      <c r="F13624" s="4">
        <v>0</v>
      </c>
      <c r="G13624" s="3">
        <v>3349</v>
      </c>
      <c r="H13624" s="3">
        <v>65</v>
      </c>
      <c r="I13624" s="3">
        <v>1071</v>
      </c>
      <c r="J13624" s="3">
        <v>291</v>
      </c>
      <c r="K13624" s="3">
        <v>3488</v>
      </c>
      <c r="L13624" s="3">
        <v>30</v>
      </c>
      <c r="M13624" s="3">
        <v>1096</v>
      </c>
    </row>
    <row r="13625" spans="1:13" x14ac:dyDescent="0.25">
      <c r="A13625" s="1" t="str">
        <f>HYPERLINK("http://www.rosaceae.org/Prunus/Prunus_persica/p.persica_gdr_reftransV1_0017444","p.persica_gdr_reftransV1_0017444")</f>
        <v>p.persica_gdr_reftransV1_0017444</v>
      </c>
      <c r="B13625" s="3">
        <v>2790</v>
      </c>
      <c r="C13625" s="1" t="str">
        <f>HYPERLINK("http://www.uniprot.org/uniprot/Y2168_ARATH","Y2168_ARATH")</f>
        <v>Y2168_ARATH</v>
      </c>
      <c r="D13625" t="s">
        <v>1132</v>
      </c>
      <c r="E13625" s="3" t="s">
        <v>3</v>
      </c>
      <c r="F13625" s="4">
        <v>7.2200000000000003E-130</v>
      </c>
      <c r="G13625" s="3">
        <v>1049</v>
      </c>
      <c r="H13625" s="3">
        <v>72</v>
      </c>
      <c r="I13625" s="3">
        <v>294</v>
      </c>
      <c r="J13625" s="3">
        <v>330</v>
      </c>
      <c r="K13625" s="3">
        <v>1211</v>
      </c>
      <c r="L13625" s="3">
        <v>244</v>
      </c>
      <c r="M13625" s="3">
        <v>532</v>
      </c>
    </row>
    <row r="13626" spans="1:13" x14ac:dyDescent="0.25">
      <c r="A13626" s="1" t="str">
        <f>HYPERLINK("http://www.rosaceae.org/Prunus/Prunus_persica/p.persica_gdr_reftransV1_0017594","p.persica_gdr_reftransV1_0017594")</f>
        <v>p.persica_gdr_reftransV1_0017594</v>
      </c>
      <c r="B13626" s="3">
        <v>1174</v>
      </c>
      <c r="C13626" s="1" t="str">
        <f>HYPERLINK("http://www.uniprot.org/uniprot/PR1F2_ARATH","PR1F2_ARATH")</f>
        <v>PR1F2_ARATH</v>
      </c>
      <c r="D13626" t="s">
        <v>7702</v>
      </c>
      <c r="E13626" s="3" t="s">
        <v>3</v>
      </c>
      <c r="F13626" s="4">
        <v>1.7E-33</v>
      </c>
      <c r="G13626" s="3">
        <v>322</v>
      </c>
      <c r="H13626" s="3">
        <v>59</v>
      </c>
      <c r="I13626" s="3">
        <v>177</v>
      </c>
      <c r="J13626" s="3">
        <v>512</v>
      </c>
      <c r="K13626" s="3">
        <v>1039</v>
      </c>
      <c r="L13626" s="3">
        <v>1</v>
      </c>
      <c r="M13626" s="3">
        <v>177</v>
      </c>
    </row>
    <row r="13627" spans="1:13" x14ac:dyDescent="0.25">
      <c r="A13627" s="1" t="str">
        <f>HYPERLINK("http://www.rosaceae.org/Prunus/Prunus_persica/p.persica_gdr_reftransV1_0017644","p.persica_gdr_reftransV1_0017644")</f>
        <v>p.persica_gdr_reftransV1_0017644</v>
      </c>
      <c r="B13627" s="3">
        <v>3039</v>
      </c>
      <c r="C13627" s="1" t="str">
        <f>HYPERLINK("http://www.uniprot.org/uniprot/VP35A_ARATH","VP35A_ARATH")</f>
        <v>VP35A_ARATH</v>
      </c>
      <c r="D13627" t="s">
        <v>9130</v>
      </c>
      <c r="E13627" s="3" t="s">
        <v>3</v>
      </c>
      <c r="F13627" s="4">
        <v>0</v>
      </c>
      <c r="G13627" s="3">
        <v>3291</v>
      </c>
      <c r="H13627" s="3">
        <v>79</v>
      </c>
      <c r="I13627" s="3">
        <v>790</v>
      </c>
      <c r="J13627" s="3">
        <v>579</v>
      </c>
      <c r="K13627" s="3">
        <v>2948</v>
      </c>
      <c r="L13627" s="3">
        <v>1</v>
      </c>
      <c r="M13627" s="3">
        <v>787</v>
      </c>
    </row>
    <row r="13628" spans="1:13" x14ac:dyDescent="0.25">
      <c r="A13628" s="1" t="str">
        <f>HYPERLINK("http://www.rosaceae.org/Prunus/Prunus_persica/p.persica_gdr_reftransV1_0017694","p.persica_gdr_reftransV1_0017694")</f>
        <v>p.persica_gdr_reftransV1_0017694</v>
      </c>
      <c r="B13628" s="3">
        <v>360</v>
      </c>
      <c r="C13628" s="1" t="str">
        <f>HYPERLINK("http://www.uniprot.org/uniprot/MSL6_ARATH","MSL6_ARATH")</f>
        <v>MSL6_ARATH</v>
      </c>
      <c r="D13628" t="s">
        <v>9131</v>
      </c>
      <c r="E13628" s="3" t="s">
        <v>3</v>
      </c>
      <c r="F13628" s="4">
        <v>9.1899999999999996E-39</v>
      </c>
      <c r="G13628" s="3">
        <v>360</v>
      </c>
      <c r="H13628" s="3">
        <v>54</v>
      </c>
      <c r="I13628" s="3">
        <v>122</v>
      </c>
      <c r="J13628" s="3">
        <v>1</v>
      </c>
      <c r="K13628" s="3">
        <v>357</v>
      </c>
      <c r="L13628" s="3">
        <v>296</v>
      </c>
      <c r="M13628" s="3">
        <v>417</v>
      </c>
    </row>
    <row r="13629" spans="1:13" x14ac:dyDescent="0.25">
      <c r="A13629" s="1" t="str">
        <f>HYPERLINK("http://www.rosaceae.org/Prunus/Prunus_persica/p.persica_gdr_reftransV1_0017744","p.persica_gdr_reftransV1_0017744")</f>
        <v>p.persica_gdr_reftransV1_0017744</v>
      </c>
      <c r="B13629" s="3">
        <v>1215</v>
      </c>
      <c r="C13629" s="1" t="str">
        <f>HYPERLINK("http://www.uniprot.org/uniprot/SBT33_ARATH","SBT33_ARATH")</f>
        <v>SBT33_ARATH</v>
      </c>
      <c r="D13629" t="s">
        <v>3104</v>
      </c>
      <c r="E13629" s="3" t="s">
        <v>3</v>
      </c>
      <c r="F13629" s="4">
        <v>4.7699999999999999E-161</v>
      </c>
      <c r="G13629" s="3">
        <v>1233</v>
      </c>
      <c r="H13629" s="3">
        <v>67</v>
      </c>
      <c r="I13629" s="3">
        <v>363</v>
      </c>
      <c r="J13629" s="3">
        <v>4</v>
      </c>
      <c r="K13629" s="3">
        <v>1092</v>
      </c>
      <c r="L13629" s="3">
        <v>415</v>
      </c>
      <c r="M13629" s="3">
        <v>777</v>
      </c>
    </row>
    <row r="13630" spans="1:13" x14ac:dyDescent="0.25">
      <c r="A13630" s="1" t="str">
        <f>HYPERLINK("http://www.rosaceae.org/Prunus/Prunus_persica/p.persica_gdr_reftransV1_0017794","p.persica_gdr_reftransV1_0017794")</f>
        <v>p.persica_gdr_reftransV1_0017794</v>
      </c>
      <c r="B13630" s="3">
        <v>3614</v>
      </c>
      <c r="C13630" s="1" t="str">
        <f>HYPERLINK("http://www.uniprot.org/uniprot/DHX15_ARATH","DHX15_ARATH")</f>
        <v>DHX15_ARATH</v>
      </c>
      <c r="D13630" t="s">
        <v>6432</v>
      </c>
      <c r="E13630" s="3" t="s">
        <v>3</v>
      </c>
      <c r="F13630" s="4">
        <v>0</v>
      </c>
      <c r="G13630" s="3">
        <v>2332</v>
      </c>
      <c r="H13630" s="3">
        <v>86</v>
      </c>
      <c r="I13630" s="3">
        <v>536</v>
      </c>
      <c r="J13630" s="3">
        <v>1846</v>
      </c>
      <c r="K13630" s="3">
        <v>3453</v>
      </c>
      <c r="L13630" s="3">
        <v>1</v>
      </c>
      <c r="M13630" s="3">
        <v>534</v>
      </c>
    </row>
    <row r="13631" spans="1:13" x14ac:dyDescent="0.25">
      <c r="A13631" s="1" t="str">
        <f>HYPERLINK("http://www.rosaceae.org/Prunus/Prunus_persica/p.persica_gdr_reftransV1_0017994","p.persica_gdr_reftransV1_0017994")</f>
        <v>p.persica_gdr_reftransV1_0017994</v>
      </c>
      <c r="B13631" s="3">
        <v>2156</v>
      </c>
      <c r="C13631" s="1" t="str">
        <f>HYPERLINK("http://www.uniprot.org/uniprot/Y3720_ARATH","Y3720_ARATH")</f>
        <v>Y3720_ARATH</v>
      </c>
      <c r="D13631" t="s">
        <v>104</v>
      </c>
      <c r="E13631" s="3" t="s">
        <v>3</v>
      </c>
      <c r="F13631" s="4">
        <v>1.71E-83</v>
      </c>
      <c r="G13631" s="3">
        <v>713</v>
      </c>
      <c r="H13631" s="3">
        <v>38</v>
      </c>
      <c r="I13631" s="3">
        <v>444</v>
      </c>
      <c r="J13631" s="3">
        <v>515</v>
      </c>
      <c r="K13631" s="3">
        <v>1822</v>
      </c>
      <c r="L13631" s="3">
        <v>36</v>
      </c>
      <c r="M13631" s="3">
        <v>458</v>
      </c>
    </row>
    <row r="13632" spans="1:13" x14ac:dyDescent="0.25">
      <c r="A13632" s="1" t="str">
        <f>HYPERLINK("http://www.rosaceae.org/Prunus/Prunus_persica/p.persica_gdr_reftransV1_0018144","p.persica_gdr_reftransV1_0018144")</f>
        <v>p.persica_gdr_reftransV1_0018144</v>
      </c>
      <c r="B13632" s="3">
        <v>2227</v>
      </c>
      <c r="C13632" s="1" t="str">
        <f>HYPERLINK("http://www.uniprot.org/uniprot/ACR11_ARATH","ACR11_ARATH")</f>
        <v>ACR11_ARATH</v>
      </c>
      <c r="D13632" t="s">
        <v>6844</v>
      </c>
      <c r="E13632" s="3" t="s">
        <v>3</v>
      </c>
      <c r="F13632" s="4">
        <v>6.4200000000000003E-19</v>
      </c>
      <c r="G13632" s="3">
        <v>227</v>
      </c>
      <c r="H13632" s="3">
        <v>60</v>
      </c>
      <c r="I13632" s="3">
        <v>73</v>
      </c>
      <c r="J13632" s="3">
        <v>751</v>
      </c>
      <c r="K13632" s="3">
        <v>954</v>
      </c>
      <c r="L13632" s="3">
        <v>122</v>
      </c>
      <c r="M13632" s="3">
        <v>194</v>
      </c>
    </row>
    <row r="13633" spans="1:13" x14ac:dyDescent="0.25">
      <c r="A13633" s="1" t="str">
        <f>HYPERLINK("http://www.rosaceae.org/Prunus/Prunus_persica/p.persica_gdr_reftransV1_0018344","p.persica_gdr_reftransV1_0018344")</f>
        <v>p.persica_gdr_reftransV1_0018344</v>
      </c>
      <c r="B13633" s="3">
        <v>2226</v>
      </c>
      <c r="C13633" s="1" t="str">
        <f>HYPERLINK("http://www.uniprot.org/uniprot/SKI32_ARATH","SKI32_ARATH")</f>
        <v>SKI32_ARATH</v>
      </c>
      <c r="D13633" t="s">
        <v>9132</v>
      </c>
      <c r="E13633" s="3" t="s">
        <v>3</v>
      </c>
      <c r="F13633" s="4">
        <v>0</v>
      </c>
      <c r="G13633" s="3">
        <v>1443</v>
      </c>
      <c r="H13633" s="3">
        <v>79</v>
      </c>
      <c r="I13633" s="3">
        <v>329</v>
      </c>
      <c r="J13633" s="3">
        <v>230</v>
      </c>
      <c r="K13633" s="3">
        <v>1210</v>
      </c>
      <c r="L13633" s="3">
        <v>1</v>
      </c>
      <c r="M13633" s="3">
        <v>328</v>
      </c>
    </row>
    <row r="13634" spans="1:13" x14ac:dyDescent="0.25">
      <c r="A13634" s="1" t="str">
        <f>HYPERLINK("http://www.rosaceae.org/Prunus/Prunus_persica/p.persica_gdr_reftransV1_0018394","p.persica_gdr_reftransV1_0018394")</f>
        <v>p.persica_gdr_reftransV1_0018394</v>
      </c>
      <c r="B13634" s="3">
        <v>1848</v>
      </c>
      <c r="C13634" s="1" t="str">
        <f>HYPERLINK("http://www.uniprot.org/uniprot/Y1648_ARATH","Y1648_ARATH")</f>
        <v>Y1648_ARATH</v>
      </c>
      <c r="D13634" t="s">
        <v>1892</v>
      </c>
      <c r="E13634" s="3" t="s">
        <v>3</v>
      </c>
      <c r="F13634" s="4">
        <v>4.26E-36</v>
      </c>
      <c r="G13634" s="3">
        <v>350</v>
      </c>
      <c r="H13634" s="3">
        <v>48</v>
      </c>
      <c r="I13634" s="3">
        <v>184</v>
      </c>
      <c r="J13634" s="3">
        <v>153</v>
      </c>
      <c r="K13634" s="3">
        <v>671</v>
      </c>
      <c r="L13634" s="3">
        <v>1</v>
      </c>
      <c r="M13634" s="3">
        <v>175</v>
      </c>
    </row>
    <row r="13635" spans="1:13" x14ac:dyDescent="0.25">
      <c r="A13635" s="1" t="str">
        <f>HYPERLINK("http://www.rosaceae.org/Prunus/Prunus_persica/p.persica_gdr_reftransV1_0018644","p.persica_gdr_reftransV1_0018644")</f>
        <v>p.persica_gdr_reftransV1_0018644</v>
      </c>
      <c r="B13635" s="3">
        <v>2351</v>
      </c>
      <c r="C13635" s="1" t="str">
        <f>HYPERLINK("http://www.uniprot.org/uniprot/FBL74_ARATH","FBL74_ARATH")</f>
        <v>FBL74_ARATH</v>
      </c>
      <c r="D13635" t="s">
        <v>8163</v>
      </c>
      <c r="E13635" s="3" t="s">
        <v>3</v>
      </c>
      <c r="F13635" s="4">
        <v>1.3999999999999999E-17</v>
      </c>
      <c r="G13635" s="3">
        <v>222</v>
      </c>
      <c r="H13635" s="3">
        <v>26</v>
      </c>
      <c r="I13635" s="3">
        <v>352</v>
      </c>
      <c r="J13635" s="3">
        <v>182</v>
      </c>
      <c r="K13635" s="3">
        <v>1195</v>
      </c>
      <c r="L13635" s="3">
        <v>29</v>
      </c>
      <c r="M13635" s="3">
        <v>356</v>
      </c>
    </row>
    <row r="13636" spans="1:13" x14ac:dyDescent="0.25">
      <c r="A13636" s="1" t="str">
        <f>HYPERLINK("http://www.rosaceae.org/Prunus/Prunus_persica/p.persica_gdr_reftransV1_0018844","p.persica_gdr_reftransV1_0018844")</f>
        <v>p.persica_gdr_reftransV1_0018844</v>
      </c>
      <c r="B13636" s="3">
        <v>2742</v>
      </c>
      <c r="C13636" s="1" t="str">
        <f>HYPERLINK("http://www.uniprot.org/uniprot/WIT2_ARATH","WIT2_ARATH")</f>
        <v>WIT2_ARATH</v>
      </c>
      <c r="D13636" t="s">
        <v>9133</v>
      </c>
      <c r="E13636" s="3" t="s">
        <v>3</v>
      </c>
      <c r="F13636" s="4">
        <v>1.5899999999999999E-150</v>
      </c>
      <c r="G13636" s="3">
        <v>1197</v>
      </c>
      <c r="H13636" s="3">
        <v>51</v>
      </c>
      <c r="I13636" s="3">
        <v>596</v>
      </c>
      <c r="J13636" s="3">
        <v>537</v>
      </c>
      <c r="K13636" s="3">
        <v>2315</v>
      </c>
      <c r="L13636" s="3">
        <v>24</v>
      </c>
      <c r="M13636" s="3">
        <v>589</v>
      </c>
    </row>
    <row r="13637" spans="1:13" x14ac:dyDescent="0.25">
      <c r="A13637" s="1" t="str">
        <f>HYPERLINK("http://www.rosaceae.org/Prunus/Prunus_persica/p.persica_gdr_reftransV1_0018894","p.persica_gdr_reftransV1_0018894")</f>
        <v>p.persica_gdr_reftransV1_0018894</v>
      </c>
      <c r="B13637" s="3">
        <v>1383</v>
      </c>
      <c r="C13637" s="1" t="str">
        <f>HYPERLINK("http://www.uniprot.org/uniprot/MYB05_ANTMA","MYB05_ANTMA")</f>
        <v>MYB05_ANTMA</v>
      </c>
      <c r="D13637" t="s">
        <v>9134</v>
      </c>
      <c r="E13637" s="3" t="s">
        <v>1408</v>
      </c>
      <c r="F13637" s="4">
        <v>7.0399999999999996E-58</v>
      </c>
      <c r="G13637" s="3">
        <v>497</v>
      </c>
      <c r="H13637" s="3">
        <v>75</v>
      </c>
      <c r="I13637" s="3">
        <v>118</v>
      </c>
      <c r="J13637" s="3">
        <v>770</v>
      </c>
      <c r="K13637" s="3">
        <v>1123</v>
      </c>
      <c r="L13637" s="3">
        <v>2</v>
      </c>
      <c r="M13637" s="3">
        <v>119</v>
      </c>
    </row>
    <row r="13638" spans="1:13" x14ac:dyDescent="0.25">
      <c r="A13638" s="1" t="str">
        <f>HYPERLINK("http://www.rosaceae.org/Prunus/Prunus_persica/p.persica_gdr_reftransV1_0019044","p.persica_gdr_reftransV1_0019044")</f>
        <v>p.persica_gdr_reftransV1_0019044</v>
      </c>
      <c r="B13638" s="3">
        <v>533</v>
      </c>
      <c r="C13638" s="1" t="str">
        <f>HYPERLINK("http://www.uniprot.org/uniprot/TDT_ARATH","TDT_ARATH")</f>
        <v>TDT_ARATH</v>
      </c>
      <c r="D13638" t="s">
        <v>2864</v>
      </c>
      <c r="E13638" s="3" t="s">
        <v>3</v>
      </c>
      <c r="F13638" s="4">
        <v>4.3299999999999997E-78</v>
      </c>
      <c r="G13638" s="3">
        <v>634</v>
      </c>
      <c r="H13638" s="3">
        <v>77</v>
      </c>
      <c r="I13638" s="3">
        <v>176</v>
      </c>
      <c r="J13638" s="3">
        <v>1</v>
      </c>
      <c r="K13638" s="3">
        <v>528</v>
      </c>
      <c r="L13638" s="3">
        <v>344</v>
      </c>
      <c r="M13638" s="3">
        <v>518</v>
      </c>
    </row>
    <row r="13639" spans="1:13" x14ac:dyDescent="0.25">
      <c r="A13639" s="1" t="str">
        <f>HYPERLINK("http://www.rosaceae.org/Prunus/Prunus_persica/p.persica_gdr_reftransV1_0019194","p.persica_gdr_reftransV1_0019194")</f>
        <v>p.persica_gdr_reftransV1_0019194</v>
      </c>
      <c r="B13639" s="3">
        <v>2309</v>
      </c>
      <c r="C13639" s="1" t="str">
        <f>HYPERLINK("http://www.uniprot.org/uniprot/XYLB_MOUSE","XYLB_MOUSE")</f>
        <v>XYLB_MOUSE</v>
      </c>
      <c r="D13639" t="s">
        <v>9135</v>
      </c>
      <c r="E13639" s="3" t="s">
        <v>157</v>
      </c>
      <c r="F13639" s="4">
        <v>2.4000000000000002E-155</v>
      </c>
      <c r="G13639" s="3">
        <v>1210</v>
      </c>
      <c r="H13639" s="3">
        <v>46</v>
      </c>
      <c r="I13639" s="3">
        <v>549</v>
      </c>
      <c r="J13639" s="3">
        <v>186</v>
      </c>
      <c r="K13639" s="3">
        <v>1808</v>
      </c>
      <c r="L13639" s="3">
        <v>26</v>
      </c>
      <c r="M13639" s="3">
        <v>551</v>
      </c>
    </row>
    <row r="13640" spans="1:13" x14ac:dyDescent="0.25">
      <c r="A13640" s="1" t="str">
        <f>HYPERLINK("http://www.rosaceae.org/Prunus/Prunus_persica/p.persica_gdr_reftransV1_0019594","p.persica_gdr_reftransV1_0019594")</f>
        <v>p.persica_gdr_reftransV1_0019594</v>
      </c>
      <c r="B13640" s="3">
        <v>2934</v>
      </c>
      <c r="C13640" s="1" t="str">
        <f>HYPERLINK("http://www.uniprot.org/uniprot/OBE4_ARATH","OBE4_ARATH")</f>
        <v>OBE4_ARATH</v>
      </c>
      <c r="D13640" t="s">
        <v>9136</v>
      </c>
      <c r="E13640" s="3" t="s">
        <v>3</v>
      </c>
      <c r="F13640" s="4">
        <v>0</v>
      </c>
      <c r="G13640" s="3">
        <v>1717</v>
      </c>
      <c r="H13640" s="3">
        <v>54</v>
      </c>
      <c r="I13640" s="3">
        <v>781</v>
      </c>
      <c r="J13640" s="3">
        <v>157</v>
      </c>
      <c r="K13640" s="3">
        <v>2460</v>
      </c>
      <c r="L13640" s="3">
        <v>419</v>
      </c>
      <c r="M13640" s="3">
        <v>1162</v>
      </c>
    </row>
    <row r="13641" spans="1:13" x14ac:dyDescent="0.25">
      <c r="A13641" s="1" t="str">
        <f>HYPERLINK("http://www.rosaceae.org/Prunus/Prunus_persica/p.persica_gdr_reftransV1_0019644","p.persica_gdr_reftransV1_0019644")</f>
        <v>p.persica_gdr_reftransV1_0019644</v>
      </c>
      <c r="B13641" s="3">
        <v>540</v>
      </c>
      <c r="C13641" s="1" t="str">
        <f>HYPERLINK("http://www.uniprot.org/uniprot/JMJ30_ARATH","JMJ30_ARATH")</f>
        <v>JMJ30_ARATH</v>
      </c>
      <c r="D13641" t="s">
        <v>3766</v>
      </c>
      <c r="E13641" s="3" t="s">
        <v>3</v>
      </c>
      <c r="F13641" s="4">
        <v>9.8900000000000005E-8</v>
      </c>
      <c r="G13641" s="3">
        <v>129</v>
      </c>
      <c r="H13641" s="3">
        <v>62</v>
      </c>
      <c r="I13641" s="3">
        <v>37</v>
      </c>
      <c r="J13641" s="3">
        <v>295</v>
      </c>
      <c r="K13641" s="3">
        <v>405</v>
      </c>
      <c r="L13641" s="3">
        <v>244</v>
      </c>
      <c r="M13641" s="3">
        <v>280</v>
      </c>
    </row>
    <row r="13642" spans="1:13" x14ac:dyDescent="0.25">
      <c r="A13642" s="1" t="str">
        <f>HYPERLINK("http://www.rosaceae.org/Prunus/Prunus_persica/p.persica_gdr_reftransV1_0019794","p.persica_gdr_reftransV1_0019794")</f>
        <v>p.persica_gdr_reftransV1_0019794</v>
      </c>
      <c r="B13642" s="3">
        <v>3707</v>
      </c>
      <c r="C13642" s="1" t="str">
        <f>HYPERLINK("http://www.uniprot.org/uniprot/HMA2_ARATH","HMA2_ARATH")</f>
        <v>HMA2_ARATH</v>
      </c>
      <c r="D13642" t="s">
        <v>6656</v>
      </c>
      <c r="E13642" s="3" t="s">
        <v>3</v>
      </c>
      <c r="F13642" s="4">
        <v>0</v>
      </c>
      <c r="G13642" s="3">
        <v>2642</v>
      </c>
      <c r="H13642" s="3">
        <v>68</v>
      </c>
      <c r="I13642" s="3">
        <v>761</v>
      </c>
      <c r="J13642" s="3">
        <v>1228</v>
      </c>
      <c r="K13642" s="3">
        <v>3462</v>
      </c>
      <c r="L13642" s="3">
        <v>9</v>
      </c>
      <c r="M13642" s="3">
        <v>768</v>
      </c>
    </row>
    <row r="13643" spans="1:13" x14ac:dyDescent="0.25">
      <c r="A13643" s="1" t="str">
        <f>HYPERLINK("http://www.rosaceae.org/Prunus/Prunus_persica/p.persica_gdr_reftransV1_0019894","p.persica_gdr_reftransV1_0019894")</f>
        <v>p.persica_gdr_reftransV1_0019894</v>
      </c>
      <c r="B13643" s="3">
        <v>2141</v>
      </c>
      <c r="C13643" s="1" t="str">
        <f>HYPERLINK("http://www.uniprot.org/uniprot/SCL23_ARATH","SCL23_ARATH")</f>
        <v>SCL23_ARATH</v>
      </c>
      <c r="D13643" t="s">
        <v>9137</v>
      </c>
      <c r="E13643" s="3" t="s">
        <v>3</v>
      </c>
      <c r="F13643" s="4">
        <v>0</v>
      </c>
      <c r="G13643" s="3">
        <v>1370</v>
      </c>
      <c r="H13643" s="3">
        <v>67</v>
      </c>
      <c r="I13643" s="3">
        <v>425</v>
      </c>
      <c r="J13643" s="3">
        <v>310</v>
      </c>
      <c r="K13643" s="3">
        <v>1569</v>
      </c>
      <c r="L13643" s="3">
        <v>1</v>
      </c>
      <c r="M13643" s="3">
        <v>405</v>
      </c>
    </row>
    <row r="13644" spans="1:13" x14ac:dyDescent="0.25">
      <c r="A13644" s="1" t="str">
        <f>HYPERLINK("http://www.rosaceae.org/Prunus/Prunus_persica/p.persica_gdr_reftransV1_0020044","p.persica_gdr_reftransV1_0020044")</f>
        <v>p.persica_gdr_reftransV1_0020044</v>
      </c>
      <c r="B13644" s="3">
        <v>1752</v>
      </c>
      <c r="C13644" s="1" t="str">
        <f>HYPERLINK("http://www.uniprot.org/uniprot/U90A1_ARATH","U90A1_ARATH")</f>
        <v>U90A1_ARATH</v>
      </c>
      <c r="D13644" t="s">
        <v>9138</v>
      </c>
      <c r="E13644" s="3" t="s">
        <v>3</v>
      </c>
      <c r="F13644" s="4">
        <v>3.0899999999999999E-150</v>
      </c>
      <c r="G13644" s="3">
        <v>1152</v>
      </c>
      <c r="H13644" s="3">
        <v>55</v>
      </c>
      <c r="I13644" s="3">
        <v>470</v>
      </c>
      <c r="J13644" s="3">
        <v>280</v>
      </c>
      <c r="K13644" s="3">
        <v>1659</v>
      </c>
      <c r="L13644" s="3">
        <v>9</v>
      </c>
      <c r="M13644" s="3">
        <v>467</v>
      </c>
    </row>
    <row r="13645" spans="1:13" x14ac:dyDescent="0.25">
      <c r="A13645" s="1" t="str">
        <f>HYPERLINK("http://www.rosaceae.org/Prunus/Prunus_persica/p.persica_gdr_reftransV1_0020344","p.persica_gdr_reftransV1_0020344")</f>
        <v>p.persica_gdr_reftransV1_0020344</v>
      </c>
      <c r="B13645" s="3">
        <v>2098</v>
      </c>
      <c r="C13645" s="1" t="str">
        <f>HYPERLINK("http://www.uniprot.org/uniprot/PTI13_ARATH","PTI13_ARATH")</f>
        <v>PTI13_ARATH</v>
      </c>
      <c r="D13645" t="s">
        <v>9139</v>
      </c>
      <c r="E13645" s="3" t="s">
        <v>3</v>
      </c>
      <c r="F13645" s="4">
        <v>0</v>
      </c>
      <c r="G13645" s="3">
        <v>1626</v>
      </c>
      <c r="H13645" s="3">
        <v>82</v>
      </c>
      <c r="I13645" s="3">
        <v>383</v>
      </c>
      <c r="J13645" s="3">
        <v>394</v>
      </c>
      <c r="K13645" s="3">
        <v>1542</v>
      </c>
      <c r="L13645" s="3">
        <v>6</v>
      </c>
      <c r="M13645" s="3">
        <v>388</v>
      </c>
    </row>
    <row r="13646" spans="1:13" x14ac:dyDescent="0.25">
      <c r="A13646" s="1" t="str">
        <f>HYPERLINK("http://www.rosaceae.org/Prunus/Prunus_persica/p.persica_gdr_reftransV1_0020394","p.persica_gdr_reftransV1_0020394")</f>
        <v>p.persica_gdr_reftransV1_0020394</v>
      </c>
      <c r="B13646" s="3">
        <v>1218</v>
      </c>
      <c r="C13646" s="1" t="str">
        <f>HYPERLINK("http://www.uniprot.org/uniprot/RHA1B_ARATH","RHA1B_ARATH")</f>
        <v>RHA1B_ARATH</v>
      </c>
      <c r="D13646" t="s">
        <v>9140</v>
      </c>
      <c r="E13646" s="3" t="s">
        <v>3</v>
      </c>
      <c r="F13646" s="4">
        <v>1.4100000000000001E-27</v>
      </c>
      <c r="G13646" s="3">
        <v>277</v>
      </c>
      <c r="H13646" s="3">
        <v>38</v>
      </c>
      <c r="I13646" s="3">
        <v>152</v>
      </c>
      <c r="J13646" s="3">
        <v>719</v>
      </c>
      <c r="K13646" s="3">
        <v>1171</v>
      </c>
      <c r="L13646" s="3">
        <v>1</v>
      </c>
      <c r="M13646" s="3">
        <v>147</v>
      </c>
    </row>
    <row r="13647" spans="1:13" x14ac:dyDescent="0.25">
      <c r="A13647" s="1" t="str">
        <f>HYPERLINK("http://www.rosaceae.org/Prunus/Prunus_persica/p.persica_gdr_reftransV1_0020444","p.persica_gdr_reftransV1_0020444")</f>
        <v>p.persica_gdr_reftransV1_0020444</v>
      </c>
      <c r="B13647" s="3">
        <v>1481</v>
      </c>
      <c r="C13647" s="1" t="str">
        <f>HYPERLINK("http://www.uniprot.org/uniprot/PPD2_ARATH","PPD2_ARATH")</f>
        <v>PPD2_ARATH</v>
      </c>
      <c r="D13647" t="s">
        <v>7810</v>
      </c>
      <c r="E13647" s="3" t="s">
        <v>3</v>
      </c>
      <c r="F13647" s="4">
        <v>1.9100000000000001E-55</v>
      </c>
      <c r="G13647" s="3">
        <v>467</v>
      </c>
      <c r="H13647" s="3">
        <v>75</v>
      </c>
      <c r="I13647" s="3">
        <v>139</v>
      </c>
      <c r="J13647" s="3">
        <v>550</v>
      </c>
      <c r="K13647" s="3">
        <v>966</v>
      </c>
      <c r="L13647" s="3">
        <v>95</v>
      </c>
      <c r="M13647" s="3">
        <v>232</v>
      </c>
    </row>
    <row r="13648" spans="1:13" x14ac:dyDescent="0.25">
      <c r="A13648" s="1" t="str">
        <f>HYPERLINK("http://www.rosaceae.org/Prunus/Prunus_persica/p.persica_gdr_reftransV1_0020594","p.persica_gdr_reftransV1_0020594")</f>
        <v>p.persica_gdr_reftransV1_0020594</v>
      </c>
      <c r="B13648" s="3">
        <v>1971</v>
      </c>
      <c r="C13648" s="1" t="str">
        <f>HYPERLINK("http://www.uniprot.org/uniprot/LDOX_MALDO","LDOX_MALDO")</f>
        <v>LDOX_MALDO</v>
      </c>
      <c r="D13648" t="s">
        <v>9141</v>
      </c>
      <c r="E13648" s="3" t="s">
        <v>540</v>
      </c>
      <c r="F13648" s="4">
        <v>0</v>
      </c>
      <c r="G13648" s="3">
        <v>1475</v>
      </c>
      <c r="H13648" s="3">
        <v>92</v>
      </c>
      <c r="I13648" s="3">
        <v>357</v>
      </c>
      <c r="J13648" s="3">
        <v>546</v>
      </c>
      <c r="K13648" s="3">
        <v>1616</v>
      </c>
      <c r="L13648" s="3">
        <v>1</v>
      </c>
      <c r="M13648" s="3">
        <v>357</v>
      </c>
    </row>
    <row r="13649" spans="1:13" x14ac:dyDescent="0.25">
      <c r="A13649" s="1" t="str">
        <f>HYPERLINK("http://www.rosaceae.org/Prunus/Prunus_persica/p.persica_gdr_reftransV1_0020644","p.persica_gdr_reftransV1_0020644")</f>
        <v>p.persica_gdr_reftransV1_0020644</v>
      </c>
      <c r="B13649" s="3">
        <v>4494</v>
      </c>
      <c r="C13649" s="1" t="str">
        <f>HYPERLINK("http://www.uniprot.org/uniprot/HT1_ARATH","HT1_ARATH")</f>
        <v>HT1_ARATH</v>
      </c>
      <c r="D13649" t="s">
        <v>1169</v>
      </c>
      <c r="E13649" s="3" t="s">
        <v>3</v>
      </c>
      <c r="F13649" s="4">
        <v>8.8400000000000002E-26</v>
      </c>
      <c r="G13649" s="3">
        <v>290</v>
      </c>
      <c r="H13649" s="3">
        <v>59</v>
      </c>
      <c r="I13649" s="3">
        <v>86</v>
      </c>
      <c r="J13649" s="3">
        <v>626</v>
      </c>
      <c r="K13649" s="3">
        <v>883</v>
      </c>
      <c r="L13649" s="3">
        <v>256</v>
      </c>
      <c r="M13649" s="3">
        <v>341</v>
      </c>
    </row>
    <row r="13650" spans="1:13" x14ac:dyDescent="0.25">
      <c r="A13650" s="1" t="str">
        <f>HYPERLINK("http://www.rosaceae.org/Prunus/Prunus_persica/p.persica_gdr_reftransV1_0020694","p.persica_gdr_reftransV1_0020694")</f>
        <v>p.persica_gdr_reftransV1_0020694</v>
      </c>
      <c r="B13650" s="3">
        <v>2195</v>
      </c>
      <c r="C13650" s="1" t="str">
        <f>HYPERLINK("http://www.uniprot.org/uniprot/PUM7_ARATH","PUM7_ARATH")</f>
        <v>PUM7_ARATH</v>
      </c>
      <c r="D13650" t="s">
        <v>9142</v>
      </c>
      <c r="E13650" s="3" t="s">
        <v>3</v>
      </c>
      <c r="F13650" s="4">
        <v>1.5699999999999998E-157</v>
      </c>
      <c r="G13650" s="3">
        <v>1231</v>
      </c>
      <c r="H13650" s="3">
        <v>67</v>
      </c>
      <c r="I13650" s="3">
        <v>324</v>
      </c>
      <c r="J13650" s="3">
        <v>349</v>
      </c>
      <c r="K13650" s="3">
        <v>1320</v>
      </c>
      <c r="L13650" s="3">
        <v>327</v>
      </c>
      <c r="M13650" s="3">
        <v>650</v>
      </c>
    </row>
    <row r="13651" spans="1:13" x14ac:dyDescent="0.25">
      <c r="A13651" s="1" t="str">
        <f>HYPERLINK("http://www.rosaceae.org/Prunus/Prunus_persica/p.persica_gdr_reftransV1_0020894","p.persica_gdr_reftransV1_0020894")</f>
        <v>p.persica_gdr_reftransV1_0020894</v>
      </c>
      <c r="B13651" s="3">
        <v>1964</v>
      </c>
      <c r="C13651" s="1" t="str">
        <f>HYPERLINK("http://www.uniprot.org/uniprot/1A110_ARATH","1A110_ARATH")</f>
        <v>1A110_ARATH</v>
      </c>
      <c r="D13651" t="s">
        <v>9143</v>
      </c>
      <c r="E13651" s="3" t="s">
        <v>3</v>
      </c>
      <c r="F13651" s="4">
        <v>0</v>
      </c>
      <c r="G13651" s="3">
        <v>1647</v>
      </c>
      <c r="H13651" s="3">
        <v>66</v>
      </c>
      <c r="I13651" s="3">
        <v>539</v>
      </c>
      <c r="J13651" s="3">
        <v>333</v>
      </c>
      <c r="K13651" s="3">
        <v>1886</v>
      </c>
      <c r="L13651" s="3">
        <v>24</v>
      </c>
      <c r="M13651" s="3">
        <v>557</v>
      </c>
    </row>
    <row r="13652" spans="1:13" x14ac:dyDescent="0.25">
      <c r="A13652" s="1" t="str">
        <f>HYPERLINK("http://www.rosaceae.org/Prunus/Prunus_persica/p.persica_gdr_reftransV1_0020944","p.persica_gdr_reftransV1_0020944")</f>
        <v>p.persica_gdr_reftransV1_0020944</v>
      </c>
      <c r="B13652" s="3">
        <v>2613</v>
      </c>
      <c r="C13652" s="1" t="str">
        <f>HYPERLINK("http://www.uniprot.org/uniprot/SG101_ARATH","SG101_ARATH")</f>
        <v>SG101_ARATH</v>
      </c>
      <c r="D13652" t="s">
        <v>9144</v>
      </c>
      <c r="E13652" s="3" t="s">
        <v>3</v>
      </c>
      <c r="F13652" s="4">
        <v>6.7899999999999998E-49</v>
      </c>
      <c r="G13652" s="3">
        <v>471</v>
      </c>
      <c r="H13652" s="3">
        <v>41</v>
      </c>
      <c r="I13652" s="3">
        <v>255</v>
      </c>
      <c r="J13652" s="3">
        <v>434</v>
      </c>
      <c r="K13652" s="3">
        <v>1177</v>
      </c>
      <c r="L13652" s="3">
        <v>295</v>
      </c>
      <c r="M13652" s="3">
        <v>536</v>
      </c>
    </row>
    <row r="13653" spans="1:13" x14ac:dyDescent="0.25">
      <c r="A13653" s="1" t="str">
        <f>HYPERLINK("http://www.rosaceae.org/Prunus/Prunus_persica/p.persica_gdr_reftransV1_0020994","p.persica_gdr_reftransV1_0020994")</f>
        <v>p.persica_gdr_reftransV1_0020994</v>
      </c>
      <c r="B13653" s="3">
        <v>1325</v>
      </c>
      <c r="C13653" s="1" t="str">
        <f>HYPERLINK("http://www.uniprot.org/uniprot/CHIT1_HUMAN","CHIT1_HUMAN")</f>
        <v>CHIT1_HUMAN</v>
      </c>
      <c r="D13653" t="s">
        <v>2954</v>
      </c>
      <c r="E13653" s="3" t="s">
        <v>28</v>
      </c>
      <c r="F13653" s="4">
        <v>3.6100000000000001E-45</v>
      </c>
      <c r="G13653" s="3">
        <v>426</v>
      </c>
      <c r="H13653" s="3">
        <v>34</v>
      </c>
      <c r="I13653" s="3">
        <v>338</v>
      </c>
      <c r="J13653" s="3">
        <v>243</v>
      </c>
      <c r="K13653" s="3">
        <v>1226</v>
      </c>
      <c r="L13653" s="3">
        <v>38</v>
      </c>
      <c r="M13653" s="3">
        <v>364</v>
      </c>
    </row>
    <row r="13654" spans="1:13" x14ac:dyDescent="0.25">
      <c r="A13654" s="1" t="str">
        <f>HYPERLINK("http://www.rosaceae.org/Prunus/Prunus_persica/p.persica_gdr_reftransV1_0021244","p.persica_gdr_reftransV1_0021244")</f>
        <v>p.persica_gdr_reftransV1_0021244</v>
      </c>
      <c r="B13654" s="3">
        <v>1863</v>
      </c>
      <c r="C13654" s="1" t="str">
        <f>HYPERLINK("http://www.uniprot.org/uniprot/KEA3_ARATH","KEA3_ARATH")</f>
        <v>KEA3_ARATH</v>
      </c>
      <c r="D13654" t="s">
        <v>7465</v>
      </c>
      <c r="E13654" s="3" t="s">
        <v>3</v>
      </c>
      <c r="F13654" s="4">
        <v>1.1299999999999999E-133</v>
      </c>
      <c r="G13654" s="3">
        <v>1071</v>
      </c>
      <c r="H13654" s="3">
        <v>74</v>
      </c>
      <c r="I13654" s="3">
        <v>310</v>
      </c>
      <c r="J13654" s="3">
        <v>545</v>
      </c>
      <c r="K13654" s="3">
        <v>1474</v>
      </c>
      <c r="L13654" s="3">
        <v>406</v>
      </c>
      <c r="M13654" s="3">
        <v>711</v>
      </c>
    </row>
    <row r="13655" spans="1:13" x14ac:dyDescent="0.25">
      <c r="A13655" s="1" t="str">
        <f>HYPERLINK("http://www.rosaceae.org/Prunus/Prunus_persica/p.persica_gdr_reftransV1_0021294","p.persica_gdr_reftransV1_0021294")</f>
        <v>p.persica_gdr_reftransV1_0021294</v>
      </c>
      <c r="B13655" s="3">
        <v>2107</v>
      </c>
      <c r="C13655" s="1" t="str">
        <f>HYPERLINK("http://www.uniprot.org/uniprot/SP13B_ARATH","SP13B_ARATH")</f>
        <v>SP13B_ARATH</v>
      </c>
      <c r="D13655" t="s">
        <v>3600</v>
      </c>
      <c r="E13655" s="3" t="s">
        <v>3</v>
      </c>
      <c r="F13655" s="4">
        <v>1.4600000000000001E-32</v>
      </c>
      <c r="G13655" s="3">
        <v>336</v>
      </c>
      <c r="H13655" s="3">
        <v>42</v>
      </c>
      <c r="I13655" s="3">
        <v>157</v>
      </c>
      <c r="J13655" s="3">
        <v>857</v>
      </c>
      <c r="K13655" s="3">
        <v>1327</v>
      </c>
      <c r="L13655" s="3">
        <v>94</v>
      </c>
      <c r="M13655" s="3">
        <v>199</v>
      </c>
    </row>
    <row r="13656" spans="1:13" x14ac:dyDescent="0.25">
      <c r="A13656" s="1" t="str">
        <f>HYPERLINK("http://www.rosaceae.org/Prunus/Prunus_persica/p.persica_gdr_reftransV1_0021694","p.persica_gdr_reftransV1_0021694")</f>
        <v>p.persica_gdr_reftransV1_0021694</v>
      </c>
      <c r="B13656" s="3">
        <v>5937</v>
      </c>
      <c r="C13656" s="1" t="str">
        <f>HYPERLINK("http://www.uniprot.org/uniprot/NU2M_ARATH","NU2M_ARATH")</f>
        <v>NU2M_ARATH</v>
      </c>
      <c r="D13656" t="s">
        <v>4182</v>
      </c>
      <c r="E13656" s="3" t="s">
        <v>3</v>
      </c>
      <c r="F13656" s="4">
        <v>4.4799999999999997E-127</v>
      </c>
      <c r="G13656" s="3">
        <v>1065</v>
      </c>
      <c r="H13656" s="3">
        <v>98</v>
      </c>
      <c r="I13656" s="3">
        <v>210</v>
      </c>
      <c r="J13656" s="3">
        <v>5306</v>
      </c>
      <c r="K13656" s="3">
        <v>5935</v>
      </c>
      <c r="L13656" s="3">
        <v>247</v>
      </c>
      <c r="M13656" s="3">
        <v>456</v>
      </c>
    </row>
    <row r="13657" spans="1:13" x14ac:dyDescent="0.25">
      <c r="A13657" s="1" t="str">
        <f>HYPERLINK("http://www.rosaceae.org/Prunus/Prunus_persica/p.persica_gdr_reftransV1_0021744","p.persica_gdr_reftransV1_0021744")</f>
        <v>p.persica_gdr_reftransV1_0021744</v>
      </c>
      <c r="B13657" s="3">
        <v>2162</v>
      </c>
      <c r="C13657" s="1" t="str">
        <f>HYPERLINK("http://www.uniprot.org/uniprot/ABAH1_ARATH","ABAH1_ARATH")</f>
        <v>ABAH1_ARATH</v>
      </c>
      <c r="D13657" t="s">
        <v>8419</v>
      </c>
      <c r="E13657" s="3" t="s">
        <v>3</v>
      </c>
      <c r="F13657" s="4">
        <v>5.5299999999999997E-154</v>
      </c>
      <c r="G13657" s="3">
        <v>640</v>
      </c>
      <c r="H13657" s="3">
        <v>72</v>
      </c>
      <c r="I13657" s="3">
        <v>163</v>
      </c>
      <c r="J13657" s="3">
        <v>400</v>
      </c>
      <c r="K13657" s="3">
        <v>888</v>
      </c>
      <c r="L13657" s="3">
        <v>304</v>
      </c>
      <c r="M13657" s="3">
        <v>465</v>
      </c>
    </row>
    <row r="13658" spans="1:13" x14ac:dyDescent="0.25">
      <c r="A13658" s="1" t="str">
        <f>HYPERLINK("http://www.rosaceae.org/Prunus/Prunus_persica/p.persica_gdr_reftransV1_0021794","p.persica_gdr_reftransV1_0021794")</f>
        <v>p.persica_gdr_reftransV1_0021794</v>
      </c>
      <c r="B13658" s="3">
        <v>2169</v>
      </c>
      <c r="C13658" s="1" t="str">
        <f>HYPERLINK("http://www.uniprot.org/uniprot/GP107_MOUSE","GP107_MOUSE")</f>
        <v>GP107_MOUSE</v>
      </c>
      <c r="D13658" t="s">
        <v>9145</v>
      </c>
      <c r="E13658" s="3" t="s">
        <v>157</v>
      </c>
      <c r="F13658" s="4">
        <v>5.1099999999999998E-68</v>
      </c>
      <c r="G13658" s="3">
        <v>610</v>
      </c>
      <c r="H13658" s="3">
        <v>42</v>
      </c>
      <c r="I13658" s="3">
        <v>327</v>
      </c>
      <c r="J13658" s="3">
        <v>824</v>
      </c>
      <c r="K13658" s="3">
        <v>1786</v>
      </c>
      <c r="L13658" s="3">
        <v>180</v>
      </c>
      <c r="M13658" s="3">
        <v>506</v>
      </c>
    </row>
    <row r="13659" spans="1:13" x14ac:dyDescent="0.25">
      <c r="A13659" s="1" t="str">
        <f>HYPERLINK("http://www.rosaceae.org/Prunus/Prunus_persica/p.persica_gdr_reftransV1_0021844","p.persica_gdr_reftransV1_0021844")</f>
        <v>p.persica_gdr_reftransV1_0021844</v>
      </c>
      <c r="B13659" s="3">
        <v>941</v>
      </c>
      <c r="C13659" s="1" t="str">
        <f>HYPERLINK("http://www.uniprot.org/uniprot/HTR12_ARATH","HTR12_ARATH")</f>
        <v>HTR12_ARATH</v>
      </c>
      <c r="D13659" t="s">
        <v>9146</v>
      </c>
      <c r="E13659" s="3" t="s">
        <v>3</v>
      </c>
      <c r="F13659" s="4">
        <v>1.7299999999999999E-45</v>
      </c>
      <c r="G13659" s="3">
        <v>400</v>
      </c>
      <c r="H13659" s="3">
        <v>52</v>
      </c>
      <c r="I13659" s="3">
        <v>180</v>
      </c>
      <c r="J13659" s="3">
        <v>191</v>
      </c>
      <c r="K13659" s="3">
        <v>706</v>
      </c>
      <c r="L13659" s="3">
        <v>1</v>
      </c>
      <c r="M13659" s="3">
        <v>178</v>
      </c>
    </row>
    <row r="13660" spans="1:13" x14ac:dyDescent="0.25">
      <c r="A13660" s="1" t="str">
        <f>HYPERLINK("http://www.rosaceae.org/Prunus/Prunus_persica/p.persica_gdr_reftransV1_0022094","p.persica_gdr_reftransV1_0022094")</f>
        <v>p.persica_gdr_reftransV1_0022094</v>
      </c>
      <c r="B13660" s="3">
        <v>2387</v>
      </c>
      <c r="C13660" s="1" t="str">
        <f>HYPERLINK("http://www.uniprot.org/uniprot/SURF1_ARATH","SURF1_ARATH")</f>
        <v>SURF1_ARATH</v>
      </c>
      <c r="D13660" t="s">
        <v>9147</v>
      </c>
      <c r="E13660" s="3" t="s">
        <v>3</v>
      </c>
      <c r="F13660" s="4">
        <v>6.9099999999999996E-66</v>
      </c>
      <c r="G13660" s="3">
        <v>583</v>
      </c>
      <c r="H13660" s="3">
        <v>62</v>
      </c>
      <c r="I13660" s="3">
        <v>177</v>
      </c>
      <c r="J13660" s="3">
        <v>434</v>
      </c>
      <c r="K13660" s="3">
        <v>964</v>
      </c>
      <c r="L13660" s="3">
        <v>179</v>
      </c>
      <c r="M13660" s="3">
        <v>354</v>
      </c>
    </row>
    <row r="13661" spans="1:13" x14ac:dyDescent="0.25">
      <c r="A13661" s="1" t="str">
        <f>HYPERLINK("http://www.rosaceae.org/Prunus/Prunus_persica/p.persica_gdr_reftransV1_0022444","p.persica_gdr_reftransV1_0022444")</f>
        <v>p.persica_gdr_reftransV1_0022444</v>
      </c>
      <c r="B13661" s="3">
        <v>3663</v>
      </c>
      <c r="C13661" s="1" t="str">
        <f>HYPERLINK("http://www.uniprot.org/uniprot/Y1677_ARATH","Y1677_ARATH")</f>
        <v>Y1677_ARATH</v>
      </c>
      <c r="D13661" t="s">
        <v>5613</v>
      </c>
      <c r="E13661" s="3" t="s">
        <v>3</v>
      </c>
      <c r="F13661" s="4">
        <v>0</v>
      </c>
      <c r="G13661" s="3">
        <v>1620</v>
      </c>
      <c r="H13661" s="3">
        <v>69</v>
      </c>
      <c r="I13661" s="3">
        <v>434</v>
      </c>
      <c r="J13661" s="3">
        <v>232</v>
      </c>
      <c r="K13661" s="3">
        <v>1530</v>
      </c>
      <c r="L13661" s="3">
        <v>10</v>
      </c>
      <c r="M13661" s="3">
        <v>443</v>
      </c>
    </row>
    <row r="13662" spans="1:13" x14ac:dyDescent="0.25">
      <c r="A13662" s="1" t="str">
        <f>HYPERLINK("http://www.rosaceae.org/Prunus/Prunus_persica/p.persica_gdr_reftransV1_0022644","p.persica_gdr_reftransV1_0022644")</f>
        <v>p.persica_gdr_reftransV1_0022644</v>
      </c>
      <c r="B13662" s="3">
        <v>1911</v>
      </c>
      <c r="C13662" s="1" t="str">
        <f>HYPERLINK("http://www.uniprot.org/uniprot/Y5994_ARATH","Y5994_ARATH")</f>
        <v>Y5994_ARATH</v>
      </c>
      <c r="D13662" t="s">
        <v>9148</v>
      </c>
      <c r="E13662" s="3" t="s">
        <v>3</v>
      </c>
      <c r="F13662" s="4">
        <v>2.0899999999999999E-162</v>
      </c>
      <c r="G13662" s="3">
        <v>1239</v>
      </c>
      <c r="H13662" s="3">
        <v>69</v>
      </c>
      <c r="I13662" s="3">
        <v>390</v>
      </c>
      <c r="J13662" s="3">
        <v>332</v>
      </c>
      <c r="K13662" s="3">
        <v>1480</v>
      </c>
      <c r="L13662" s="3">
        <v>96</v>
      </c>
      <c r="M13662" s="3">
        <v>479</v>
      </c>
    </row>
    <row r="13663" spans="1:13" x14ac:dyDescent="0.25">
      <c r="A13663" s="1" t="str">
        <f>HYPERLINK("http://www.rosaceae.org/Prunus/Prunus_persica/p.persica_gdr_reftransV1_0022744","p.persica_gdr_reftransV1_0022744")</f>
        <v>p.persica_gdr_reftransV1_0022744</v>
      </c>
      <c r="B13663" s="3">
        <v>461</v>
      </c>
      <c r="C13663" s="1" t="str">
        <f>HYPERLINK("http://www.uniprot.org/uniprot/GSTXA_TOBAC","GSTXA_TOBAC")</f>
        <v>GSTXA_TOBAC</v>
      </c>
      <c r="D13663" t="s">
        <v>4421</v>
      </c>
      <c r="E13663" s="3" t="s">
        <v>200</v>
      </c>
      <c r="F13663" s="4">
        <v>1.73E-82</v>
      </c>
      <c r="G13663" s="3">
        <v>635</v>
      </c>
      <c r="H13663" s="3">
        <v>76</v>
      </c>
      <c r="I13663" s="3">
        <v>153</v>
      </c>
      <c r="J13663" s="3">
        <v>2</v>
      </c>
      <c r="K13663" s="3">
        <v>460</v>
      </c>
      <c r="L13663" s="3">
        <v>4</v>
      </c>
      <c r="M13663" s="3">
        <v>156</v>
      </c>
    </row>
    <row r="13664" spans="1:13" x14ac:dyDescent="0.25">
      <c r="A13664" s="1" t="str">
        <f>HYPERLINK("http://www.rosaceae.org/Prunus/Prunus_persica/p.persica_gdr_reftransV1_0022944","p.persica_gdr_reftransV1_0022944")</f>
        <v>p.persica_gdr_reftransV1_0022944</v>
      </c>
      <c r="B13664" s="3">
        <v>950</v>
      </c>
      <c r="C13664" s="1" t="str">
        <f>HYPERLINK("http://www.uniprot.org/uniprot/TAF13_ARATH","TAF13_ARATH")</f>
        <v>TAF13_ARATH</v>
      </c>
      <c r="D13664" t="s">
        <v>9149</v>
      </c>
      <c r="E13664" s="3" t="s">
        <v>3</v>
      </c>
      <c r="F13664" s="4">
        <v>1.5099999999999999E-51</v>
      </c>
      <c r="G13664" s="3">
        <v>436</v>
      </c>
      <c r="H13664" s="3">
        <v>80</v>
      </c>
      <c r="I13664" s="3">
        <v>99</v>
      </c>
      <c r="J13664" s="3">
        <v>402</v>
      </c>
      <c r="K13664" s="3">
        <v>698</v>
      </c>
      <c r="L13664" s="3">
        <v>26</v>
      </c>
      <c r="M13664" s="3">
        <v>124</v>
      </c>
    </row>
    <row r="13665" spans="1:13" x14ac:dyDescent="0.25">
      <c r="A13665" s="1" t="str">
        <f>HYPERLINK("http://www.rosaceae.org/Prunus/Prunus_persica/p.persica_gdr_reftransV1_0022994","p.persica_gdr_reftransV1_0022994")</f>
        <v>p.persica_gdr_reftransV1_0022994</v>
      </c>
      <c r="B13665" s="3">
        <v>1856</v>
      </c>
      <c r="C13665" s="1" t="str">
        <f>HYPERLINK("http://www.uniprot.org/uniprot/Y1491_ARATH","Y1491_ARATH")</f>
        <v>Y1491_ARATH</v>
      </c>
      <c r="D13665" t="s">
        <v>310</v>
      </c>
      <c r="E13665" s="3" t="s">
        <v>3</v>
      </c>
      <c r="F13665" s="4">
        <v>1.0900000000000001E-41</v>
      </c>
      <c r="G13665" s="3">
        <v>409</v>
      </c>
      <c r="H13665" s="3">
        <v>29</v>
      </c>
      <c r="I13665" s="3">
        <v>399</v>
      </c>
      <c r="J13665" s="3">
        <v>427</v>
      </c>
      <c r="K13665" s="3">
        <v>1527</v>
      </c>
      <c r="L13665" s="3">
        <v>84</v>
      </c>
      <c r="M13665" s="3">
        <v>476</v>
      </c>
    </row>
    <row r="13666" spans="1:13" x14ac:dyDescent="0.25">
      <c r="A13666" s="1" t="str">
        <f>HYPERLINK("http://www.rosaceae.org/Prunus/Prunus_persica/p.persica_gdr_reftransV1_0023094","p.persica_gdr_reftransV1_0023094")</f>
        <v>p.persica_gdr_reftransV1_0023094</v>
      </c>
      <c r="B13666" s="3">
        <v>2631</v>
      </c>
      <c r="C13666" s="1" t="str">
        <f>HYPERLINK("http://www.uniprot.org/uniprot/Y5185_ARATH","Y5185_ARATH")</f>
        <v>Y5185_ARATH</v>
      </c>
      <c r="D13666" t="s">
        <v>7640</v>
      </c>
      <c r="E13666" s="3" t="s">
        <v>3</v>
      </c>
      <c r="F13666" s="4">
        <v>7.9300000000000002E-146</v>
      </c>
      <c r="G13666" s="3">
        <v>1149</v>
      </c>
      <c r="H13666" s="3">
        <v>66</v>
      </c>
      <c r="I13666" s="3">
        <v>355</v>
      </c>
      <c r="J13666" s="3">
        <v>540</v>
      </c>
      <c r="K13666" s="3">
        <v>1589</v>
      </c>
      <c r="L13666" s="3">
        <v>1</v>
      </c>
      <c r="M13666" s="3">
        <v>335</v>
      </c>
    </row>
    <row r="13667" spans="1:13" x14ac:dyDescent="0.25">
      <c r="A13667" s="1" t="str">
        <f>HYPERLINK("http://www.rosaceae.org/Prunus/Prunus_persica/p.persica_gdr_reftransV1_0023544","p.persica_gdr_reftransV1_0023544")</f>
        <v>p.persica_gdr_reftransV1_0023544</v>
      </c>
      <c r="B13667" s="3">
        <v>5759</v>
      </c>
      <c r="C13667" s="1" t="str">
        <f>HYPERLINK("http://www.uniprot.org/uniprot/SUVR5_ARATH","SUVR5_ARATH")</f>
        <v>SUVR5_ARATH</v>
      </c>
      <c r="D13667" t="s">
        <v>9150</v>
      </c>
      <c r="E13667" s="3" t="s">
        <v>3</v>
      </c>
      <c r="F13667" s="4">
        <v>0</v>
      </c>
      <c r="G13667" s="3">
        <v>3676</v>
      </c>
      <c r="H13667" s="3">
        <v>54</v>
      </c>
      <c r="I13667" s="3">
        <v>1366</v>
      </c>
      <c r="J13667" s="3">
        <v>980</v>
      </c>
      <c r="K13667" s="3">
        <v>5005</v>
      </c>
      <c r="L13667" s="3">
        <v>53</v>
      </c>
      <c r="M13667" s="3">
        <v>1345</v>
      </c>
    </row>
    <row r="13668" spans="1:13" x14ac:dyDescent="0.25">
      <c r="A13668" s="1" t="str">
        <f>HYPERLINK("http://www.rosaceae.org/Prunus/Prunus_persica/p.persica_gdr_reftransV1_0023994","p.persica_gdr_reftransV1_0023994")</f>
        <v>p.persica_gdr_reftransV1_0023994</v>
      </c>
      <c r="B13668" s="3">
        <v>1047</v>
      </c>
      <c r="C13668" s="1" t="str">
        <f>HYPERLINK("http://www.uniprot.org/uniprot/YDR2_SCHPO","YDR2_SCHPO")</f>
        <v>YDR2_SCHPO</v>
      </c>
      <c r="D13668" t="s">
        <v>5614</v>
      </c>
      <c r="E13668" s="3" t="s">
        <v>464</v>
      </c>
      <c r="F13668" s="4">
        <v>5.36E-18</v>
      </c>
      <c r="G13668" s="3">
        <v>209</v>
      </c>
      <c r="H13668" s="3">
        <v>33</v>
      </c>
      <c r="I13668" s="3">
        <v>191</v>
      </c>
      <c r="J13668" s="3">
        <v>397</v>
      </c>
      <c r="K13668" s="3">
        <v>960</v>
      </c>
      <c r="L13668" s="3">
        <v>4</v>
      </c>
      <c r="M13668" s="3">
        <v>181</v>
      </c>
    </row>
    <row r="13669" spans="1:13" x14ac:dyDescent="0.25">
      <c r="A13669" s="1" t="str">
        <f>HYPERLINK("http://www.rosaceae.org/Prunus/Prunus_persica/p.persica_gdr_reftransV1_0024244","p.persica_gdr_reftransV1_0024244")</f>
        <v>p.persica_gdr_reftransV1_0024244</v>
      </c>
      <c r="B13669" s="3">
        <v>3517</v>
      </c>
      <c r="C13669" s="1" t="str">
        <f>HYPERLINK("http://www.uniprot.org/uniprot/SPA3_ARATH","SPA3_ARATH")</f>
        <v>SPA3_ARATH</v>
      </c>
      <c r="D13669" t="s">
        <v>2150</v>
      </c>
      <c r="E13669" s="3" t="s">
        <v>3</v>
      </c>
      <c r="F13669" s="4">
        <v>0</v>
      </c>
      <c r="G13669" s="3">
        <v>2848</v>
      </c>
      <c r="H13669" s="3">
        <v>65</v>
      </c>
      <c r="I13669" s="3">
        <v>902</v>
      </c>
      <c r="J13669" s="3">
        <v>497</v>
      </c>
      <c r="K13669" s="3">
        <v>3169</v>
      </c>
      <c r="L13669" s="3">
        <v>1</v>
      </c>
      <c r="M13669" s="3">
        <v>844</v>
      </c>
    </row>
    <row r="13670" spans="1:13" x14ac:dyDescent="0.25">
      <c r="A13670" s="1" t="str">
        <f>HYPERLINK("http://www.rosaceae.org/Prunus/Prunus_persica/p.persica_gdr_reftransV1_0024394","p.persica_gdr_reftransV1_0024394")</f>
        <v>p.persica_gdr_reftransV1_0024394</v>
      </c>
      <c r="B13670" s="3">
        <v>1188</v>
      </c>
      <c r="C13670" s="1" t="str">
        <f>HYPERLINK("http://www.uniprot.org/uniprot/NDHS_ARATH","NDHS_ARATH")</f>
        <v>NDHS_ARATH</v>
      </c>
      <c r="D13670" t="s">
        <v>9151</v>
      </c>
      <c r="E13670" s="3" t="s">
        <v>3</v>
      </c>
      <c r="F13670" s="4">
        <v>3.2099999999999998E-70</v>
      </c>
      <c r="G13670" s="3">
        <v>580</v>
      </c>
      <c r="H13670" s="3">
        <v>53</v>
      </c>
      <c r="I13670" s="3">
        <v>247</v>
      </c>
      <c r="J13670" s="3">
        <v>235</v>
      </c>
      <c r="K13670" s="3">
        <v>966</v>
      </c>
      <c r="L13670" s="3">
        <v>3</v>
      </c>
      <c r="M13670" s="3">
        <v>242</v>
      </c>
    </row>
    <row r="13671" spans="1:13" x14ac:dyDescent="0.25">
      <c r="A13671" s="1" t="str">
        <f>HYPERLINK("http://www.rosaceae.org/Prunus/Prunus_persica/p.persica_gdr_reftransV1_0024444","p.persica_gdr_reftransV1_0024444")</f>
        <v>p.persica_gdr_reftransV1_0024444</v>
      </c>
      <c r="B13671" s="3">
        <v>3611</v>
      </c>
      <c r="C13671" s="1" t="str">
        <f>HYPERLINK("http://www.uniprot.org/uniprot/Y1689_ARATH","Y1689_ARATH")</f>
        <v>Y1689_ARATH</v>
      </c>
      <c r="D13671" t="s">
        <v>7456</v>
      </c>
      <c r="E13671" s="3" t="s">
        <v>3</v>
      </c>
      <c r="F13671" s="4">
        <v>9.3099999999999995E-83</v>
      </c>
      <c r="G13671" s="3">
        <v>714</v>
      </c>
      <c r="H13671" s="3">
        <v>66</v>
      </c>
      <c r="I13671" s="3">
        <v>224</v>
      </c>
      <c r="J13671" s="3">
        <v>331</v>
      </c>
      <c r="K13671" s="3">
        <v>963</v>
      </c>
      <c r="L13671" s="3">
        <v>135</v>
      </c>
      <c r="M13671" s="3">
        <v>357</v>
      </c>
    </row>
    <row r="13672" spans="1:13" x14ac:dyDescent="0.25">
      <c r="A13672" s="1" t="str">
        <f>HYPERLINK("http://www.rosaceae.org/Prunus/Prunus_persica/p.persica_gdr_reftransV1_0025044","p.persica_gdr_reftransV1_0025044")</f>
        <v>p.persica_gdr_reftransV1_0025044</v>
      </c>
      <c r="B13672" s="3">
        <v>2496</v>
      </c>
      <c r="C13672" s="1" t="str">
        <f>HYPERLINK("http://www.uniprot.org/uniprot/PME_PRUPE","PME_PRUPE")</f>
        <v>PME_PRUPE</v>
      </c>
      <c r="D13672" t="s">
        <v>9152</v>
      </c>
      <c r="E13672" s="3" t="s">
        <v>784</v>
      </c>
      <c r="F13672" s="4">
        <v>1.65E-180</v>
      </c>
      <c r="G13672" s="3">
        <v>1381</v>
      </c>
      <c r="H13672" s="3">
        <v>100</v>
      </c>
      <c r="I13672" s="3">
        <v>289</v>
      </c>
      <c r="J13672" s="3">
        <v>184</v>
      </c>
      <c r="K13672" s="3">
        <v>1050</v>
      </c>
      <c r="L13672" s="3">
        <v>1</v>
      </c>
      <c r="M13672" s="3">
        <v>289</v>
      </c>
    </row>
    <row r="13673" spans="1:13" x14ac:dyDescent="0.25">
      <c r="A13673" s="1" t="str">
        <f>HYPERLINK("http://www.rosaceae.org/Prunus/Prunus_persica/p.persica_gdr_reftransV1_0025194","p.persica_gdr_reftransV1_0025194")</f>
        <v>p.persica_gdr_reftransV1_0025194</v>
      </c>
      <c r="B13673" s="3">
        <v>2862</v>
      </c>
      <c r="C13673" s="1" t="str">
        <f>HYPERLINK("http://www.uniprot.org/uniprot/FRS5_ARATH","FRS5_ARATH")</f>
        <v>FRS5_ARATH</v>
      </c>
      <c r="D13673" t="s">
        <v>908</v>
      </c>
      <c r="E13673" s="3" t="s">
        <v>3</v>
      </c>
      <c r="F13673" s="4">
        <v>6.0599999999999998E-104</v>
      </c>
      <c r="G13673" s="3">
        <v>893</v>
      </c>
      <c r="H13673" s="3">
        <v>34</v>
      </c>
      <c r="I13673" s="3">
        <v>637</v>
      </c>
      <c r="J13673" s="3">
        <v>585</v>
      </c>
      <c r="K13673" s="3">
        <v>2468</v>
      </c>
      <c r="L13673" s="3">
        <v>73</v>
      </c>
      <c r="M13673" s="3">
        <v>701</v>
      </c>
    </row>
    <row r="13674" spans="1:13" x14ac:dyDescent="0.25">
      <c r="A13674" s="1" t="str">
        <f>HYPERLINK("http://www.rosaceae.org/Prunus/Prunus_persica/p.persica_gdr_reftransV1_0025344","p.persica_gdr_reftransV1_0025344")</f>
        <v>p.persica_gdr_reftransV1_0025344</v>
      </c>
      <c r="B13674" s="3">
        <v>1327</v>
      </c>
      <c r="C13674" s="1" t="str">
        <f>HYPERLINK("http://www.uniprot.org/uniprot/RLK1_ARATH","RLK1_ARATH")</f>
        <v>RLK1_ARATH</v>
      </c>
      <c r="D13674" t="s">
        <v>806</v>
      </c>
      <c r="E13674" s="3" t="s">
        <v>3</v>
      </c>
      <c r="F13674" s="4">
        <v>5.1399999999999998E-103</v>
      </c>
      <c r="G13674" s="3">
        <v>849</v>
      </c>
      <c r="H13674" s="3">
        <v>43</v>
      </c>
      <c r="I13674" s="3">
        <v>415</v>
      </c>
      <c r="J13674" s="3">
        <v>3</v>
      </c>
      <c r="K13674" s="3">
        <v>1205</v>
      </c>
      <c r="L13674" s="3">
        <v>420</v>
      </c>
      <c r="M13674" s="3">
        <v>811</v>
      </c>
    </row>
    <row r="13675" spans="1:13" x14ac:dyDescent="0.25">
      <c r="A13675" s="1" t="str">
        <f>HYPERLINK("http://www.rosaceae.org/Prunus/Prunus_persica/p.persica_gdr_reftransV1_0025694","p.persica_gdr_reftransV1_0025694")</f>
        <v>p.persica_gdr_reftransV1_0025694</v>
      </c>
      <c r="B13675" s="3">
        <v>3745</v>
      </c>
      <c r="C13675" s="1" t="str">
        <f>HYPERLINK("http://www.uniprot.org/uniprot/DOLK_HUMAN","DOLK_HUMAN")</f>
        <v>DOLK_HUMAN</v>
      </c>
      <c r="D13675" t="s">
        <v>9153</v>
      </c>
      <c r="E13675" s="3" t="s">
        <v>28</v>
      </c>
      <c r="F13675" s="4">
        <v>2.0500000000000002E-34</v>
      </c>
      <c r="G13675" s="3">
        <v>362</v>
      </c>
      <c r="H13675" s="3">
        <v>39</v>
      </c>
      <c r="I13675" s="3">
        <v>234</v>
      </c>
      <c r="J13675" s="3">
        <v>495</v>
      </c>
      <c r="K13675" s="3">
        <v>1145</v>
      </c>
      <c r="L13675" s="3">
        <v>297</v>
      </c>
      <c r="M13675" s="3">
        <v>525</v>
      </c>
    </row>
    <row r="13676" spans="1:13" x14ac:dyDescent="0.25">
      <c r="A13676" s="1" t="str">
        <f>HYPERLINK("http://www.rosaceae.org/Prunus/Prunus_persica/p.persica_gdr_reftransV1_0025844","p.persica_gdr_reftransV1_0025844")</f>
        <v>p.persica_gdr_reftransV1_0025844</v>
      </c>
      <c r="B13676" s="3">
        <v>1180</v>
      </c>
      <c r="C13676" s="1" t="str">
        <f>HYPERLINK("http://www.uniprot.org/uniprot/ICLN_ARATH","ICLN_ARATH")</f>
        <v>ICLN_ARATH</v>
      </c>
      <c r="D13676" t="s">
        <v>9154</v>
      </c>
      <c r="E13676" s="3" t="s">
        <v>3</v>
      </c>
      <c r="F13676" s="4">
        <v>6.4800000000000003E-84</v>
      </c>
      <c r="G13676" s="3">
        <v>669</v>
      </c>
      <c r="H13676" s="3">
        <v>64</v>
      </c>
      <c r="I13676" s="3">
        <v>232</v>
      </c>
      <c r="J13676" s="3">
        <v>216</v>
      </c>
      <c r="K13676" s="3">
        <v>899</v>
      </c>
      <c r="L13676" s="3">
        <v>1</v>
      </c>
      <c r="M13676" s="3">
        <v>229</v>
      </c>
    </row>
    <row r="13677" spans="1:13" x14ac:dyDescent="0.25">
      <c r="A13677" s="1" t="str">
        <f>HYPERLINK("http://www.rosaceae.org/Prunus/Prunus_persica/p.persica_gdr_reftransV1_0025944","p.persica_gdr_reftransV1_0025944")</f>
        <v>p.persica_gdr_reftransV1_0025944</v>
      </c>
      <c r="B13677" s="3">
        <v>2979</v>
      </c>
      <c r="C13677" s="1" t="str">
        <f>HYPERLINK("http://www.uniprot.org/uniprot/TM136_HUMAN","TM136_HUMAN")</f>
        <v>TM136_HUMAN</v>
      </c>
      <c r="D13677" t="s">
        <v>9155</v>
      </c>
      <c r="E13677" s="3" t="s">
        <v>28</v>
      </c>
      <c r="F13677" s="4">
        <v>3.5199999999999999E-19</v>
      </c>
      <c r="G13677" s="3">
        <v>230</v>
      </c>
      <c r="H13677" s="3">
        <v>28</v>
      </c>
      <c r="I13677" s="3">
        <v>237</v>
      </c>
      <c r="J13677" s="3">
        <v>306</v>
      </c>
      <c r="K13677" s="3">
        <v>1010</v>
      </c>
      <c r="L13677" s="3">
        <v>9</v>
      </c>
      <c r="M13677" s="3">
        <v>240</v>
      </c>
    </row>
    <row r="13678" spans="1:13" x14ac:dyDescent="0.25">
      <c r="A13678" s="1" t="str">
        <f>HYPERLINK("http://www.rosaceae.org/Prunus/Prunus_persica/p.persica_gdr_reftransV1_0026144","p.persica_gdr_reftransV1_0026144")</f>
        <v>p.persica_gdr_reftransV1_0026144</v>
      </c>
      <c r="B13678" s="3">
        <v>1571</v>
      </c>
      <c r="C13678" s="1" t="str">
        <f>HYPERLINK("http://www.uniprot.org/uniprot/PUS5_ARATH","PUS5_ARATH")</f>
        <v>PUS5_ARATH</v>
      </c>
      <c r="D13678" t="s">
        <v>4160</v>
      </c>
      <c r="E13678" s="3" t="s">
        <v>3</v>
      </c>
      <c r="F13678" s="4">
        <v>1.7400000000000001E-175</v>
      </c>
      <c r="G13678" s="3">
        <v>1303</v>
      </c>
      <c r="H13678" s="3">
        <v>69</v>
      </c>
      <c r="I13678" s="3">
        <v>366</v>
      </c>
      <c r="J13678" s="3">
        <v>214</v>
      </c>
      <c r="K13678" s="3">
        <v>1296</v>
      </c>
      <c r="L13678" s="3">
        <v>5</v>
      </c>
      <c r="M13678" s="3">
        <v>369</v>
      </c>
    </row>
    <row r="13679" spans="1:13" x14ac:dyDescent="0.25">
      <c r="A13679" s="1" t="str">
        <f>HYPERLINK("http://www.rosaceae.org/Prunus/Prunus_persica/p.persica_gdr_reftransV1_0026294","p.persica_gdr_reftransV1_0026294")</f>
        <v>p.persica_gdr_reftransV1_0026294</v>
      </c>
      <c r="B13679" s="3">
        <v>2954</v>
      </c>
      <c r="C13679" s="1" t="str">
        <f>HYPERLINK("http://www.uniprot.org/uniprot/HIBC6_ARATH","HIBC6_ARATH")</f>
        <v>HIBC6_ARATH</v>
      </c>
      <c r="D13679" t="s">
        <v>9156</v>
      </c>
      <c r="E13679" s="3" t="s">
        <v>3</v>
      </c>
      <c r="F13679" s="4">
        <v>4.73E-148</v>
      </c>
      <c r="G13679" s="3">
        <v>1166</v>
      </c>
      <c r="H13679" s="3">
        <v>76</v>
      </c>
      <c r="I13679" s="3">
        <v>295</v>
      </c>
      <c r="J13679" s="3">
        <v>242</v>
      </c>
      <c r="K13679" s="3">
        <v>1126</v>
      </c>
      <c r="L13679" s="3">
        <v>127</v>
      </c>
      <c r="M13679" s="3">
        <v>421</v>
      </c>
    </row>
    <row r="13680" spans="1:13" x14ac:dyDescent="0.25">
      <c r="A13680" s="1" t="str">
        <f>HYPERLINK("http://www.rosaceae.org/Prunus/Prunus_persica/p.persica_gdr_reftransV1_0026394","p.persica_gdr_reftransV1_0026394")</f>
        <v>p.persica_gdr_reftransV1_0026394</v>
      </c>
      <c r="B13680" s="3">
        <v>356</v>
      </c>
      <c r="C13680" s="1" t="str">
        <f>HYPERLINK("http://www.uniprot.org/uniprot/ATM_ARATH","ATM_ARATH")</f>
        <v>ATM_ARATH</v>
      </c>
      <c r="D13680" t="s">
        <v>2500</v>
      </c>
      <c r="E13680" s="3" t="s">
        <v>3</v>
      </c>
      <c r="F13680" s="4">
        <v>2.0400000000000001E-39</v>
      </c>
      <c r="G13680" s="3">
        <v>368</v>
      </c>
      <c r="H13680" s="3">
        <v>62</v>
      </c>
      <c r="I13680" s="3">
        <v>118</v>
      </c>
      <c r="J13680" s="3">
        <v>2</v>
      </c>
      <c r="K13680" s="3">
        <v>355</v>
      </c>
      <c r="L13680" s="3">
        <v>1042</v>
      </c>
      <c r="M13680" s="3">
        <v>1158</v>
      </c>
    </row>
    <row r="13681" spans="1:13" x14ac:dyDescent="0.25">
      <c r="A13681" s="1" t="str">
        <f>HYPERLINK("http://www.rosaceae.org/Prunus/Prunus_persica/p.persica_gdr_reftransV1_0026444","p.persica_gdr_reftransV1_0026444")</f>
        <v>p.persica_gdr_reftransV1_0026444</v>
      </c>
      <c r="B13681" s="3">
        <v>2906</v>
      </c>
      <c r="C13681" s="1" t="str">
        <f>HYPERLINK("http://www.uniprot.org/uniprot/EMF2_ARATH","EMF2_ARATH")</f>
        <v>EMF2_ARATH</v>
      </c>
      <c r="D13681" t="s">
        <v>9157</v>
      </c>
      <c r="E13681" s="3" t="s">
        <v>3</v>
      </c>
      <c r="F13681" s="4">
        <v>8.2400000000000004E-59</v>
      </c>
      <c r="G13681" s="3">
        <v>553</v>
      </c>
      <c r="H13681" s="3">
        <v>71</v>
      </c>
      <c r="I13681" s="3">
        <v>168</v>
      </c>
      <c r="J13681" s="3">
        <v>2123</v>
      </c>
      <c r="K13681" s="3">
        <v>2626</v>
      </c>
      <c r="L13681" s="3">
        <v>460</v>
      </c>
      <c r="M13681" s="3">
        <v>627</v>
      </c>
    </row>
    <row r="13682" spans="1:13" x14ac:dyDescent="0.25">
      <c r="A13682" s="1" t="str">
        <f>HYPERLINK("http://www.rosaceae.org/Prunus/Prunus_persica/p.persica_gdr_reftransV1_0026494","p.persica_gdr_reftransV1_0026494")</f>
        <v>p.persica_gdr_reftransV1_0026494</v>
      </c>
      <c r="B13682" s="3">
        <v>408</v>
      </c>
      <c r="C13682" s="1" t="str">
        <f>HYPERLINK("http://www.uniprot.org/uniprot/TB22B_HUMAN","TB22B_HUMAN")</f>
        <v>TB22B_HUMAN</v>
      </c>
      <c r="D13682" t="s">
        <v>2375</v>
      </c>
      <c r="E13682" s="3" t="s">
        <v>28</v>
      </c>
      <c r="F13682" s="4">
        <v>3.3699999999999996E-27</v>
      </c>
      <c r="G13682" s="3">
        <v>272</v>
      </c>
      <c r="H13682" s="3">
        <v>45</v>
      </c>
      <c r="I13682" s="3">
        <v>124</v>
      </c>
      <c r="J13682" s="3">
        <v>4</v>
      </c>
      <c r="K13682" s="3">
        <v>375</v>
      </c>
      <c r="L13682" s="3">
        <v>182</v>
      </c>
      <c r="M13682" s="3">
        <v>302</v>
      </c>
    </row>
    <row r="13683" spans="1:13" x14ac:dyDescent="0.25">
      <c r="A13683" s="1" t="str">
        <f>HYPERLINK("http://www.rosaceae.org/Prunus/Prunus_persica/p.persica_gdr_reftransV1_0026594","p.persica_gdr_reftransV1_0026594")</f>
        <v>p.persica_gdr_reftransV1_0026594</v>
      </c>
      <c r="B13683" s="3">
        <v>1357</v>
      </c>
      <c r="C13683" s="1" t="str">
        <f>HYPERLINK("http://www.uniprot.org/uniprot/CXE6_ARATH","CXE6_ARATH")</f>
        <v>CXE6_ARATH</v>
      </c>
      <c r="D13683" t="s">
        <v>1879</v>
      </c>
      <c r="E13683" s="3" t="s">
        <v>3</v>
      </c>
      <c r="F13683" s="4">
        <v>8.2400000000000001E-53</v>
      </c>
      <c r="G13683" s="3">
        <v>472</v>
      </c>
      <c r="H13683" s="3">
        <v>39</v>
      </c>
      <c r="I13683" s="3">
        <v>262</v>
      </c>
      <c r="J13683" s="3">
        <v>243</v>
      </c>
      <c r="K13683" s="3">
        <v>1004</v>
      </c>
      <c r="L13683" s="3">
        <v>24</v>
      </c>
      <c r="M13683" s="3">
        <v>280</v>
      </c>
    </row>
    <row r="13684" spans="1:13" x14ac:dyDescent="0.25">
      <c r="A13684" s="1" t="str">
        <f>HYPERLINK("http://www.rosaceae.org/Prunus/Prunus_persica/p.persica_gdr_reftransV1_0026944","p.persica_gdr_reftransV1_0026944")</f>
        <v>p.persica_gdr_reftransV1_0026944</v>
      </c>
      <c r="B13684" s="3">
        <v>1722</v>
      </c>
      <c r="C13684" s="1" t="str">
        <f>HYPERLINK("http://www.uniprot.org/uniprot/ABIL5_ORYSJ","ABIL5_ORYSJ")</f>
        <v>ABIL5_ORYSJ</v>
      </c>
      <c r="D13684" t="s">
        <v>9158</v>
      </c>
      <c r="E13684" s="3" t="s">
        <v>38</v>
      </c>
      <c r="F13684" s="4">
        <v>2.12E-20</v>
      </c>
      <c r="G13684" s="3">
        <v>235</v>
      </c>
      <c r="H13684" s="3">
        <v>35</v>
      </c>
      <c r="I13684" s="3">
        <v>154</v>
      </c>
      <c r="J13684" s="3">
        <v>161</v>
      </c>
      <c r="K13684" s="3">
        <v>622</v>
      </c>
      <c r="L13684" s="3">
        <v>33</v>
      </c>
      <c r="M13684" s="3">
        <v>152</v>
      </c>
    </row>
    <row r="13685" spans="1:13" x14ac:dyDescent="0.25">
      <c r="A13685" s="1" t="str">
        <f>HYPERLINK("http://www.rosaceae.org/Prunus/Prunus_persica/p.persica_gdr_reftransV1_0027094","p.persica_gdr_reftransV1_0027094")</f>
        <v>p.persica_gdr_reftransV1_0027094</v>
      </c>
      <c r="B13685" s="3">
        <v>4076</v>
      </c>
      <c r="C13685" s="1" t="str">
        <f>HYPERLINK("http://www.uniprot.org/uniprot/YG42_SCHPO","YG42_SCHPO")</f>
        <v>YG42_SCHPO</v>
      </c>
      <c r="D13685" t="s">
        <v>6290</v>
      </c>
      <c r="E13685" s="3" t="s">
        <v>464</v>
      </c>
      <c r="F13685" s="4">
        <v>5.1799999999999998E-70</v>
      </c>
      <c r="G13685" s="3">
        <v>663</v>
      </c>
      <c r="H13685" s="3">
        <v>28</v>
      </c>
      <c r="I13685" s="3">
        <v>705</v>
      </c>
      <c r="J13685" s="3">
        <v>1049</v>
      </c>
      <c r="K13685" s="3">
        <v>3103</v>
      </c>
      <c r="L13685" s="3">
        <v>367</v>
      </c>
      <c r="M13685" s="3">
        <v>940</v>
      </c>
    </row>
    <row r="13686" spans="1:13" x14ac:dyDescent="0.25">
      <c r="A13686" s="1" t="str">
        <f>HYPERLINK("http://www.rosaceae.org/Prunus/Prunus_persica/p.persica_gdr_reftransV1_0027144","p.persica_gdr_reftransV1_0027144")</f>
        <v>p.persica_gdr_reftransV1_0027144</v>
      </c>
      <c r="B13686" s="3">
        <v>1721</v>
      </c>
      <c r="C13686" s="1" t="str">
        <f>HYPERLINK("http://www.uniprot.org/uniprot/HYES_RAT","HYES_RAT")</f>
        <v>HYES_RAT</v>
      </c>
      <c r="D13686" t="s">
        <v>9159</v>
      </c>
      <c r="E13686" s="3" t="s">
        <v>161</v>
      </c>
      <c r="F13686" s="4">
        <v>4.4200000000000001E-12</v>
      </c>
      <c r="G13686" s="3">
        <v>176</v>
      </c>
      <c r="H13686" s="3">
        <v>47</v>
      </c>
      <c r="I13686" s="3">
        <v>74</v>
      </c>
      <c r="J13686" s="3">
        <v>202</v>
      </c>
      <c r="K13686" s="3">
        <v>423</v>
      </c>
      <c r="L13686" s="3">
        <v>236</v>
      </c>
      <c r="M13686" s="3">
        <v>305</v>
      </c>
    </row>
    <row r="13687" spans="1:13" x14ac:dyDescent="0.25">
      <c r="A13687" s="1" t="str">
        <f>HYPERLINK("http://www.rosaceae.org/Prunus/Prunus_persica/p.persica_gdr_reftransV1_0027194","p.persica_gdr_reftransV1_0027194")</f>
        <v>p.persica_gdr_reftransV1_0027194</v>
      </c>
      <c r="B13687" s="3">
        <v>2495</v>
      </c>
      <c r="C13687" s="1" t="str">
        <f>HYPERLINK("http://www.uniprot.org/uniprot/UBP13_ARATH","UBP13_ARATH")</f>
        <v>UBP13_ARATH</v>
      </c>
      <c r="D13687" t="s">
        <v>3696</v>
      </c>
      <c r="E13687" s="3" t="s">
        <v>3</v>
      </c>
      <c r="F13687" s="4">
        <v>1.03E-39</v>
      </c>
      <c r="G13687" s="3">
        <v>411</v>
      </c>
      <c r="H13687" s="3">
        <v>56</v>
      </c>
      <c r="I13687" s="3">
        <v>138</v>
      </c>
      <c r="J13687" s="3">
        <v>1988</v>
      </c>
      <c r="K13687" s="3">
        <v>2398</v>
      </c>
      <c r="L13687" s="3">
        <v>53</v>
      </c>
      <c r="M13687" s="3">
        <v>186</v>
      </c>
    </row>
    <row r="13688" spans="1:13" x14ac:dyDescent="0.25">
      <c r="A13688" s="1" t="str">
        <f>HYPERLINK("http://www.rosaceae.org/Prunus/Prunus_persica/p.persica_gdr_reftransV1_0027744","p.persica_gdr_reftransV1_0027744")</f>
        <v>p.persica_gdr_reftransV1_0027744</v>
      </c>
      <c r="B13688" s="3">
        <v>1566</v>
      </c>
      <c r="C13688" s="1" t="str">
        <f>HYPERLINK("http://www.uniprot.org/uniprot/Y3544_ARATH","Y3544_ARATH")</f>
        <v>Y3544_ARATH</v>
      </c>
      <c r="D13688" t="s">
        <v>3150</v>
      </c>
      <c r="E13688" s="3" t="s">
        <v>3</v>
      </c>
      <c r="F13688" s="4">
        <v>4.4400000000000001E-45</v>
      </c>
      <c r="G13688" s="3">
        <v>428</v>
      </c>
      <c r="H13688" s="3">
        <v>49</v>
      </c>
      <c r="I13688" s="3">
        <v>184</v>
      </c>
      <c r="J13688" s="3">
        <v>407</v>
      </c>
      <c r="K13688" s="3">
        <v>952</v>
      </c>
      <c r="L13688" s="3">
        <v>127</v>
      </c>
      <c r="M13688" s="3">
        <v>310</v>
      </c>
    </row>
    <row r="13689" spans="1:13" x14ac:dyDescent="0.25">
      <c r="A13689" s="1" t="str">
        <f>HYPERLINK("http://www.rosaceae.org/Prunus/Prunus_persica/p.persica_gdr_reftransV1_0027844","p.persica_gdr_reftransV1_0027844")</f>
        <v>p.persica_gdr_reftransV1_0027844</v>
      </c>
      <c r="B13689" s="3">
        <v>1726</v>
      </c>
      <c r="C13689" s="1" t="str">
        <f>HYPERLINK("http://www.uniprot.org/uniprot/PDX2_ARATH","PDX2_ARATH")</f>
        <v>PDX2_ARATH</v>
      </c>
      <c r="D13689" t="s">
        <v>9160</v>
      </c>
      <c r="E13689" s="3" t="s">
        <v>3</v>
      </c>
      <c r="F13689" s="4">
        <v>5.5899999999999998E-89</v>
      </c>
      <c r="G13689" s="3">
        <v>721</v>
      </c>
      <c r="H13689" s="3">
        <v>71</v>
      </c>
      <c r="I13689" s="3">
        <v>195</v>
      </c>
      <c r="J13689" s="3">
        <v>348</v>
      </c>
      <c r="K13689" s="3">
        <v>920</v>
      </c>
      <c r="L13689" s="3">
        <v>61</v>
      </c>
      <c r="M13689" s="3">
        <v>255</v>
      </c>
    </row>
    <row r="13690" spans="1:13" x14ac:dyDescent="0.25">
      <c r="A13690" s="1" t="str">
        <f>HYPERLINK("http://www.rosaceae.org/Prunus/Prunus_persica/p.persica_gdr_reftransV1_0028294","p.persica_gdr_reftransV1_0028294")</f>
        <v>p.persica_gdr_reftransV1_0028294</v>
      </c>
      <c r="B13690" s="3">
        <v>2491</v>
      </c>
      <c r="C13690" s="1" t="str">
        <f>HYPERLINK("http://www.uniprot.org/uniprot/MED34_ARATH","MED34_ARATH")</f>
        <v>MED34_ARATH</v>
      </c>
      <c r="D13690" t="s">
        <v>9161</v>
      </c>
      <c r="E13690" s="3" t="s">
        <v>3</v>
      </c>
      <c r="F13690" s="4">
        <v>0</v>
      </c>
      <c r="G13690" s="3">
        <v>2707</v>
      </c>
      <c r="H13690" s="3">
        <v>73</v>
      </c>
      <c r="I13690" s="3">
        <v>697</v>
      </c>
      <c r="J13690" s="3">
        <v>232</v>
      </c>
      <c r="K13690" s="3">
        <v>2310</v>
      </c>
      <c r="L13690" s="3">
        <v>12</v>
      </c>
      <c r="M13690" s="3">
        <v>703</v>
      </c>
    </row>
    <row r="13691" spans="1:13" x14ac:dyDescent="0.25">
      <c r="A13691" s="1" t="str">
        <f>HYPERLINK("http://www.rosaceae.org/Prunus/Prunus_persica/p.persica_gdr_reftransV1_0028394","p.persica_gdr_reftransV1_0028394")</f>
        <v>p.persica_gdr_reftransV1_0028394</v>
      </c>
      <c r="B13691" s="3">
        <v>1320</v>
      </c>
      <c r="C13691" s="1" t="str">
        <f>HYPERLINK("http://www.uniprot.org/uniprot/TCP14_ARATH","TCP14_ARATH")</f>
        <v>TCP14_ARATH</v>
      </c>
      <c r="D13691" t="s">
        <v>6521</v>
      </c>
      <c r="E13691" s="3" t="s">
        <v>3</v>
      </c>
      <c r="F13691" s="4">
        <v>1.63E-22</v>
      </c>
      <c r="G13691" s="3">
        <v>256</v>
      </c>
      <c r="H13691" s="3">
        <v>40</v>
      </c>
      <c r="I13691" s="3">
        <v>301</v>
      </c>
      <c r="J13691" s="3">
        <v>1</v>
      </c>
      <c r="K13691" s="3">
        <v>807</v>
      </c>
      <c r="L13691" s="3">
        <v>139</v>
      </c>
      <c r="M13691" s="3">
        <v>405</v>
      </c>
    </row>
    <row r="13692" spans="1:13" x14ac:dyDescent="0.25">
      <c r="A13692" s="1" t="str">
        <f>HYPERLINK("http://www.rosaceae.org/Prunus/Prunus_persica/p.persica_gdr_reftransV1_0028744","p.persica_gdr_reftransV1_0028744")</f>
        <v>p.persica_gdr_reftransV1_0028744</v>
      </c>
      <c r="B13692" s="3">
        <v>4749</v>
      </c>
      <c r="C13692" s="1" t="str">
        <f>HYPERLINK("http://www.uniprot.org/uniprot/RBM25_HUMAN","RBM25_HUMAN")</f>
        <v>RBM25_HUMAN</v>
      </c>
      <c r="D13692" t="s">
        <v>9162</v>
      </c>
      <c r="E13692" s="3" t="s">
        <v>28</v>
      </c>
      <c r="F13692" s="4">
        <v>1.4499999999999999E-24</v>
      </c>
      <c r="G13692" s="3">
        <v>288</v>
      </c>
      <c r="H13692" s="3">
        <v>47</v>
      </c>
      <c r="I13692" s="3">
        <v>104</v>
      </c>
      <c r="J13692" s="3">
        <v>376</v>
      </c>
      <c r="K13692" s="3">
        <v>687</v>
      </c>
      <c r="L13692" s="3">
        <v>739</v>
      </c>
      <c r="M13692" s="3">
        <v>842</v>
      </c>
    </row>
    <row r="13693" spans="1:13" x14ac:dyDescent="0.25">
      <c r="A13693" s="1" t="str">
        <f>HYPERLINK("http://www.rosaceae.org/Prunus/Prunus_persica/p.persica_gdr_reftransV1_0028794","p.persica_gdr_reftransV1_0028794")</f>
        <v>p.persica_gdr_reftransV1_0028794</v>
      </c>
      <c r="B13693" s="3">
        <v>355</v>
      </c>
      <c r="C13693" s="1" t="str">
        <f>HYPERLINK("http://www.uniprot.org/uniprot/APO4_ARATH","APO4_ARATH")</f>
        <v>APO4_ARATH</v>
      </c>
      <c r="D13693" t="s">
        <v>7194</v>
      </c>
      <c r="E13693" s="3" t="s">
        <v>3</v>
      </c>
      <c r="F13693" s="4">
        <v>2.17E-34</v>
      </c>
      <c r="G13693" s="3">
        <v>317</v>
      </c>
      <c r="H13693" s="3">
        <v>52</v>
      </c>
      <c r="I13693" s="3">
        <v>130</v>
      </c>
      <c r="J13693" s="3">
        <v>2</v>
      </c>
      <c r="K13693" s="3">
        <v>355</v>
      </c>
      <c r="L13693" s="3">
        <v>153</v>
      </c>
      <c r="M13693" s="3">
        <v>279</v>
      </c>
    </row>
    <row r="13694" spans="1:13" x14ac:dyDescent="0.25">
      <c r="A13694" s="1" t="str">
        <f>HYPERLINK("http://www.rosaceae.org/Prunus/Prunus_persica/p.persica_gdr_reftransV1_0028844","p.persica_gdr_reftransV1_0028844")</f>
        <v>p.persica_gdr_reftransV1_0028844</v>
      </c>
      <c r="B13694" s="3">
        <v>1976</v>
      </c>
      <c r="C13694" s="1" t="str">
        <f>HYPERLINK("http://www.uniprot.org/uniprot/MES17_ARATH","MES17_ARATH")</f>
        <v>MES17_ARATH</v>
      </c>
      <c r="D13694" t="s">
        <v>9163</v>
      </c>
      <c r="E13694" s="3" t="s">
        <v>3</v>
      </c>
      <c r="F13694" s="4">
        <v>8.1500000000000004E-53</v>
      </c>
      <c r="G13694" s="3">
        <v>478</v>
      </c>
      <c r="H13694" s="3">
        <v>55</v>
      </c>
      <c r="I13694" s="3">
        <v>146</v>
      </c>
      <c r="J13694" s="3">
        <v>1355</v>
      </c>
      <c r="K13694" s="3">
        <v>1792</v>
      </c>
      <c r="L13694" s="3">
        <v>31</v>
      </c>
      <c r="M13694" s="3">
        <v>176</v>
      </c>
    </row>
    <row r="13695" spans="1:13" x14ac:dyDescent="0.25">
      <c r="A13695" s="1" t="str">
        <f>HYPERLINK("http://www.rosaceae.org/Prunus/Prunus_persica/p.persica_gdr_reftransV1_0029444","p.persica_gdr_reftransV1_0029444")</f>
        <v>p.persica_gdr_reftransV1_0029444</v>
      </c>
      <c r="B13695" s="3">
        <v>2789</v>
      </c>
      <c r="C13695" s="1" t="str">
        <f>HYPERLINK("http://www.uniprot.org/uniprot/MLH1_ARATH","MLH1_ARATH")</f>
        <v>MLH1_ARATH</v>
      </c>
      <c r="D13695" t="s">
        <v>9164</v>
      </c>
      <c r="E13695" s="3" t="s">
        <v>3</v>
      </c>
      <c r="F13695" s="4">
        <v>0</v>
      </c>
      <c r="G13695" s="3">
        <v>2816</v>
      </c>
      <c r="H13695" s="3">
        <v>75</v>
      </c>
      <c r="I13695" s="3">
        <v>716</v>
      </c>
      <c r="J13695" s="3">
        <v>195</v>
      </c>
      <c r="K13695" s="3">
        <v>2342</v>
      </c>
      <c r="L13695" s="3">
        <v>26</v>
      </c>
      <c r="M13695" s="3">
        <v>737</v>
      </c>
    </row>
    <row r="13696" spans="1:13" x14ac:dyDescent="0.25">
      <c r="A13696" s="1" t="str">
        <f>HYPERLINK("http://www.rosaceae.org/Prunus/Prunus_persica/p.persica_gdr_reftransV1_0029594","p.persica_gdr_reftransV1_0029594")</f>
        <v>p.persica_gdr_reftransV1_0029594</v>
      </c>
      <c r="B13696" s="3">
        <v>3883</v>
      </c>
      <c r="C13696" s="1" t="str">
        <f>HYPERLINK("http://www.uniprot.org/uniprot/KP1_ARATH","KP1_ARATH")</f>
        <v>KP1_ARATH</v>
      </c>
      <c r="D13696" t="s">
        <v>8355</v>
      </c>
      <c r="E13696" s="3" t="s">
        <v>3</v>
      </c>
      <c r="F13696" s="4">
        <v>0</v>
      </c>
      <c r="G13696" s="3">
        <v>1480</v>
      </c>
      <c r="H13696" s="3">
        <v>63</v>
      </c>
      <c r="I13696" s="3">
        <v>433</v>
      </c>
      <c r="J13696" s="3">
        <v>1393</v>
      </c>
      <c r="K13696" s="3">
        <v>2691</v>
      </c>
      <c r="L13696" s="3">
        <v>311</v>
      </c>
      <c r="M13696" s="3">
        <v>743</v>
      </c>
    </row>
    <row r="13697" spans="1:13" x14ac:dyDescent="0.25">
      <c r="A13697" s="1" t="str">
        <f>HYPERLINK("http://www.rosaceae.org/Prunus/Prunus_persica/p.persica_gdr_reftransV1_0029694","p.persica_gdr_reftransV1_0029694")</f>
        <v>p.persica_gdr_reftransV1_0029694</v>
      </c>
      <c r="B13697" s="3">
        <v>4720</v>
      </c>
      <c r="C13697" s="1" t="str">
        <f>HYPERLINK("http://www.uniprot.org/uniprot/ALIS3_ARATH","ALIS3_ARATH")</f>
        <v>ALIS3_ARATH</v>
      </c>
      <c r="D13697" t="s">
        <v>9165</v>
      </c>
      <c r="E13697" s="3" t="s">
        <v>3</v>
      </c>
      <c r="F13697" s="4">
        <v>4.6600000000000002E-171</v>
      </c>
      <c r="G13697" s="3">
        <v>1351</v>
      </c>
      <c r="H13697" s="3">
        <v>77</v>
      </c>
      <c r="I13697" s="3">
        <v>315</v>
      </c>
      <c r="J13697" s="3">
        <v>3292</v>
      </c>
      <c r="K13697" s="3">
        <v>4236</v>
      </c>
      <c r="L13697" s="3">
        <v>22</v>
      </c>
      <c r="M13697" s="3">
        <v>332</v>
      </c>
    </row>
    <row r="13698" spans="1:13" x14ac:dyDescent="0.25">
      <c r="A13698" s="1" t="str">
        <f>HYPERLINK("http://www.rosaceae.org/Prunus/Prunus_persica/p.persica_gdr_reftransV1_0029744","p.persica_gdr_reftransV1_0029744")</f>
        <v>p.persica_gdr_reftransV1_0029744</v>
      </c>
      <c r="B13698" s="3">
        <v>4546</v>
      </c>
      <c r="C13698" s="1" t="str">
        <f>HYPERLINK("http://www.uniprot.org/uniprot/DHE1_ARATH","DHE1_ARATH")</f>
        <v>DHE1_ARATH</v>
      </c>
      <c r="D13698" t="s">
        <v>9166</v>
      </c>
      <c r="E13698" s="3" t="s">
        <v>3</v>
      </c>
      <c r="F13698" s="4">
        <v>0</v>
      </c>
      <c r="G13698" s="3">
        <v>976</v>
      </c>
      <c r="H13698" s="3">
        <v>80</v>
      </c>
      <c r="I13698" s="3">
        <v>234</v>
      </c>
      <c r="J13698" s="3">
        <v>732</v>
      </c>
      <c r="K13698" s="3">
        <v>1433</v>
      </c>
      <c r="L13698" s="3">
        <v>143</v>
      </c>
      <c r="M13698" s="3">
        <v>372</v>
      </c>
    </row>
    <row r="13699" spans="1:13" x14ac:dyDescent="0.25">
      <c r="A13699" s="1" t="str">
        <f>HYPERLINK("http://www.rosaceae.org/Prunus/Prunus_persica/p.persica_gdr_reftransV1_0029844","p.persica_gdr_reftransV1_0029844")</f>
        <v>p.persica_gdr_reftransV1_0029844</v>
      </c>
      <c r="B13699" s="3">
        <v>2435</v>
      </c>
      <c r="C13699" s="1" t="str">
        <f>HYPERLINK("http://www.uniprot.org/uniprot/PUR6_VIGAC","PUR6_VIGAC")</f>
        <v>PUR6_VIGAC</v>
      </c>
      <c r="D13699" t="s">
        <v>9167</v>
      </c>
      <c r="E13699" s="3" t="s">
        <v>2702</v>
      </c>
      <c r="F13699" s="4">
        <v>0</v>
      </c>
      <c r="G13699" s="3">
        <v>1691</v>
      </c>
      <c r="H13699" s="3">
        <v>75</v>
      </c>
      <c r="I13699" s="3">
        <v>446</v>
      </c>
      <c r="J13699" s="3">
        <v>392</v>
      </c>
      <c r="K13699" s="3">
        <v>1726</v>
      </c>
      <c r="L13699" s="3">
        <v>17</v>
      </c>
      <c r="M13699" s="3">
        <v>459</v>
      </c>
    </row>
    <row r="13700" spans="1:13" x14ac:dyDescent="0.25">
      <c r="A13700" s="1" t="str">
        <f>HYPERLINK("http://www.rosaceae.org/Prunus/Prunus_persica/p.persica_gdr_reftransV1_0029994","p.persica_gdr_reftransV1_0029994")</f>
        <v>p.persica_gdr_reftransV1_0029994</v>
      </c>
      <c r="B13700" s="3">
        <v>3914</v>
      </c>
      <c r="C13700" s="1" t="str">
        <f>HYPERLINK("http://www.uniprot.org/uniprot/TPPII_ARATH","TPPII_ARATH")</f>
        <v>TPPII_ARATH</v>
      </c>
      <c r="D13700" t="s">
        <v>6857</v>
      </c>
      <c r="E13700" s="3" t="s">
        <v>3</v>
      </c>
      <c r="F13700" s="4">
        <v>0</v>
      </c>
      <c r="G13700" s="3">
        <v>4280</v>
      </c>
      <c r="H13700" s="3">
        <v>76</v>
      </c>
      <c r="I13700" s="3">
        <v>1075</v>
      </c>
      <c r="J13700" s="3">
        <v>501</v>
      </c>
      <c r="K13700" s="3">
        <v>3719</v>
      </c>
      <c r="L13700" s="3">
        <v>101</v>
      </c>
      <c r="M13700" s="3">
        <v>1170</v>
      </c>
    </row>
    <row r="13701" spans="1:13" x14ac:dyDescent="0.25">
      <c r="A13701" s="1" t="str">
        <f>HYPERLINK("http://www.rosaceae.org/Prunus/Prunus_persica/p.persica_gdr_reftransV1_0030094","p.persica_gdr_reftransV1_0030094")</f>
        <v>p.persica_gdr_reftransV1_0030094</v>
      </c>
      <c r="B13701" s="3">
        <v>3456</v>
      </c>
      <c r="C13701" s="1" t="str">
        <f>HYPERLINK("http://www.uniprot.org/uniprot/ARIA_ARATH","ARIA_ARATH")</f>
        <v>ARIA_ARATH</v>
      </c>
      <c r="D13701" t="s">
        <v>2658</v>
      </c>
      <c r="E13701" s="3" t="s">
        <v>3</v>
      </c>
      <c r="F13701" s="4">
        <v>0</v>
      </c>
      <c r="G13701" s="3">
        <v>1101</v>
      </c>
      <c r="H13701" s="3">
        <v>79</v>
      </c>
      <c r="I13701" s="3">
        <v>291</v>
      </c>
      <c r="J13701" s="3">
        <v>88</v>
      </c>
      <c r="K13701" s="3">
        <v>951</v>
      </c>
      <c r="L13701" s="3">
        <v>6</v>
      </c>
      <c r="M13701" s="3">
        <v>296</v>
      </c>
    </row>
    <row r="13702" spans="1:13" x14ac:dyDescent="0.25">
      <c r="A13702" s="1" t="str">
        <f>HYPERLINK("http://www.rosaceae.org/Prunus/Prunus_persica/p.persica_gdr_reftransV1_0030194","p.persica_gdr_reftransV1_0030194")</f>
        <v>p.persica_gdr_reftransV1_0030194</v>
      </c>
      <c r="B13702" s="3">
        <v>2705</v>
      </c>
      <c r="C13702" s="1" t="str">
        <f>HYPERLINK("http://www.uniprot.org/uniprot/CCD1_PEA","CCD1_PEA")</f>
        <v>CCD1_PEA</v>
      </c>
      <c r="D13702" t="s">
        <v>8868</v>
      </c>
      <c r="E13702" s="3" t="s">
        <v>60</v>
      </c>
      <c r="F13702" s="4">
        <v>0</v>
      </c>
      <c r="G13702" s="3">
        <v>1574</v>
      </c>
      <c r="H13702" s="3">
        <v>84</v>
      </c>
      <c r="I13702" s="3">
        <v>338</v>
      </c>
      <c r="J13702" s="3">
        <v>1065</v>
      </c>
      <c r="K13702" s="3">
        <v>2078</v>
      </c>
      <c r="L13702" s="3">
        <v>194</v>
      </c>
      <c r="M13702" s="3">
        <v>531</v>
      </c>
    </row>
    <row r="13703" spans="1:13" x14ac:dyDescent="0.25">
      <c r="A13703" s="1" t="str">
        <f>HYPERLINK("http://www.rosaceae.org/Prunus/Prunus_persica/p.persica_gdr_reftransV1_0030294","p.persica_gdr_reftransV1_0030294")</f>
        <v>p.persica_gdr_reftransV1_0030294</v>
      </c>
      <c r="B13703" s="3">
        <v>4853</v>
      </c>
      <c r="C13703" s="1" t="str">
        <f>HYPERLINK("http://www.uniprot.org/uniprot/PLAP_HUMAN","PLAP_HUMAN")</f>
        <v>PLAP_HUMAN</v>
      </c>
      <c r="D13703" t="s">
        <v>9168</v>
      </c>
      <c r="E13703" s="3" t="s">
        <v>28</v>
      </c>
      <c r="F13703" s="4">
        <v>2.8300000000000001E-91</v>
      </c>
      <c r="G13703" s="3">
        <v>820</v>
      </c>
      <c r="H13703" s="3">
        <v>38</v>
      </c>
      <c r="I13703" s="3">
        <v>488</v>
      </c>
      <c r="J13703" s="3">
        <v>3349</v>
      </c>
      <c r="K13703" s="3">
        <v>4767</v>
      </c>
      <c r="L13703" s="3">
        <v>8</v>
      </c>
      <c r="M13703" s="3">
        <v>493</v>
      </c>
    </row>
    <row r="13704" spans="1:13" x14ac:dyDescent="0.25">
      <c r="A13704" s="1" t="str">
        <f>HYPERLINK("http://www.rosaceae.org/Prunus/Prunus_persica/p.persica_gdr_reftransV1_0030694","p.persica_gdr_reftransV1_0030694")</f>
        <v>p.persica_gdr_reftransV1_0030694</v>
      </c>
      <c r="B13704" s="3">
        <v>3709</v>
      </c>
      <c r="C13704" s="1" t="str">
        <f>HYPERLINK("http://www.uniprot.org/uniprot/GBA2_RAT","GBA2_RAT")</f>
        <v>GBA2_RAT</v>
      </c>
      <c r="D13704" t="s">
        <v>257</v>
      </c>
      <c r="E13704" s="3" t="s">
        <v>161</v>
      </c>
      <c r="F13704" s="4">
        <v>4.0200000000000002E-65</v>
      </c>
      <c r="G13704" s="3">
        <v>619</v>
      </c>
      <c r="H13704" s="3">
        <v>38</v>
      </c>
      <c r="I13704" s="3">
        <v>411</v>
      </c>
      <c r="J13704" s="3">
        <v>259</v>
      </c>
      <c r="K13704" s="3">
        <v>1476</v>
      </c>
      <c r="L13704" s="3">
        <v>96</v>
      </c>
      <c r="M13704" s="3">
        <v>488</v>
      </c>
    </row>
    <row r="13705" spans="1:13" x14ac:dyDescent="0.25">
      <c r="A13705" s="1" t="str">
        <f>HYPERLINK("http://www.rosaceae.org/Prunus/Prunus_persica/p.persica_gdr_reftransV1_0030944","p.persica_gdr_reftransV1_0030944")</f>
        <v>p.persica_gdr_reftransV1_0030944</v>
      </c>
      <c r="B13705" s="3">
        <v>1397</v>
      </c>
      <c r="C13705" s="1" t="str">
        <f>HYPERLINK("http://www.uniprot.org/uniprot/P4H1_ARATH","P4H1_ARATH")</f>
        <v>P4H1_ARATH</v>
      </c>
      <c r="D13705" t="s">
        <v>8381</v>
      </c>
      <c r="E13705" s="3" t="s">
        <v>3</v>
      </c>
      <c r="F13705" s="4">
        <v>6.6000000000000003E-159</v>
      </c>
      <c r="G13705" s="3">
        <v>1179</v>
      </c>
      <c r="H13705" s="3">
        <v>76</v>
      </c>
      <c r="I13705" s="3">
        <v>286</v>
      </c>
      <c r="J13705" s="3">
        <v>375</v>
      </c>
      <c r="K13705" s="3">
        <v>1232</v>
      </c>
      <c r="L13705" s="3">
        <v>1</v>
      </c>
      <c r="M13705" s="3">
        <v>283</v>
      </c>
    </row>
    <row r="13706" spans="1:13" x14ac:dyDescent="0.25">
      <c r="A13706" s="1" t="str">
        <f>HYPERLINK("http://www.rosaceae.org/Prunus/Prunus_persica/p.persica_gdr_reftransV1_0031044","p.persica_gdr_reftransV1_0031044")</f>
        <v>p.persica_gdr_reftransV1_0031044</v>
      </c>
      <c r="B13706" s="3">
        <v>1977</v>
      </c>
      <c r="C13706" s="1" t="str">
        <f>HYPERLINK("http://www.uniprot.org/uniprot/PP133_ARATH","PP133_ARATH")</f>
        <v>PP133_ARATH</v>
      </c>
      <c r="D13706" t="s">
        <v>3611</v>
      </c>
      <c r="E13706" s="3" t="s">
        <v>3</v>
      </c>
      <c r="F13706" s="4">
        <v>3.1000000000000002E-80</v>
      </c>
      <c r="G13706" s="3">
        <v>706</v>
      </c>
      <c r="H13706" s="3">
        <v>55</v>
      </c>
      <c r="I13706" s="3">
        <v>250</v>
      </c>
      <c r="J13706" s="3">
        <v>3</v>
      </c>
      <c r="K13706" s="3">
        <v>752</v>
      </c>
      <c r="L13706" s="3">
        <v>516</v>
      </c>
      <c r="M13706" s="3">
        <v>763</v>
      </c>
    </row>
    <row r="13707" spans="1:13" x14ac:dyDescent="0.25">
      <c r="A13707" s="1" t="str">
        <f>HYPERLINK("http://www.rosaceae.org/Prunus/Prunus_persica/p.persica_gdr_reftransV1_0031194","p.persica_gdr_reftransV1_0031194")</f>
        <v>p.persica_gdr_reftransV1_0031194</v>
      </c>
      <c r="B13707" s="3">
        <v>1677</v>
      </c>
      <c r="C13707" s="1" t="str">
        <f>HYPERLINK("http://www.uniprot.org/uniprot/PANB2_ARATH","PANB2_ARATH")</f>
        <v>PANB2_ARATH</v>
      </c>
      <c r="D13707" t="s">
        <v>9169</v>
      </c>
      <c r="E13707" s="3" t="s">
        <v>3</v>
      </c>
      <c r="F13707" s="4">
        <v>0</v>
      </c>
      <c r="G13707" s="3">
        <v>1415</v>
      </c>
      <c r="H13707" s="3">
        <v>81</v>
      </c>
      <c r="I13707" s="3">
        <v>353</v>
      </c>
      <c r="J13707" s="3">
        <v>199</v>
      </c>
      <c r="K13707" s="3">
        <v>1257</v>
      </c>
      <c r="L13707" s="3">
        <v>14</v>
      </c>
      <c r="M13707" s="3">
        <v>352</v>
      </c>
    </row>
    <row r="13708" spans="1:13" x14ac:dyDescent="0.25">
      <c r="A13708" s="1" t="str">
        <f>HYPERLINK("http://www.rosaceae.org/Prunus/Prunus_persica/p.persica_gdr_reftransV1_0031394","p.persica_gdr_reftransV1_0031394")</f>
        <v>p.persica_gdr_reftransV1_0031394</v>
      </c>
      <c r="B13708" s="3">
        <v>349</v>
      </c>
      <c r="C13708" s="1" t="str">
        <f>HYPERLINK("http://www.uniprot.org/uniprot/PPR43_ARATH","PPR43_ARATH")</f>
        <v>PPR43_ARATH</v>
      </c>
      <c r="D13708" t="s">
        <v>6503</v>
      </c>
      <c r="E13708" s="3" t="s">
        <v>3</v>
      </c>
      <c r="F13708" s="4">
        <v>7.4799999999999996E-39</v>
      </c>
      <c r="G13708" s="3">
        <v>354</v>
      </c>
      <c r="H13708" s="3">
        <v>62</v>
      </c>
      <c r="I13708" s="3">
        <v>107</v>
      </c>
      <c r="J13708" s="3">
        <v>27</v>
      </c>
      <c r="K13708" s="3">
        <v>347</v>
      </c>
      <c r="L13708" s="3">
        <v>434</v>
      </c>
      <c r="M13708" s="3">
        <v>539</v>
      </c>
    </row>
    <row r="13709" spans="1:13" x14ac:dyDescent="0.25">
      <c r="A13709" s="1" t="str">
        <f>HYPERLINK("http://www.rosaceae.org/Prunus/Prunus_persica/p.persica_gdr_reftransV1_0031744","p.persica_gdr_reftransV1_0031744")</f>
        <v>p.persica_gdr_reftransV1_0031744</v>
      </c>
      <c r="B13709" s="3">
        <v>1697</v>
      </c>
      <c r="C13709" s="1" t="str">
        <f>HYPERLINK("http://www.uniprot.org/uniprot/TTC33_HUMAN","TTC33_HUMAN")</f>
        <v>TTC33_HUMAN</v>
      </c>
      <c r="D13709" t="s">
        <v>9170</v>
      </c>
      <c r="E13709" s="3" t="s">
        <v>28</v>
      </c>
      <c r="F13709" s="4">
        <v>2.3999999999999998E-7</v>
      </c>
      <c r="G13709" s="3">
        <v>133</v>
      </c>
      <c r="H13709" s="3">
        <v>51</v>
      </c>
      <c r="I13709" s="3">
        <v>57</v>
      </c>
      <c r="J13709" s="3">
        <v>1017</v>
      </c>
      <c r="K13709" s="3">
        <v>1187</v>
      </c>
      <c r="L13709" s="3">
        <v>65</v>
      </c>
      <c r="M13709" s="3">
        <v>121</v>
      </c>
    </row>
    <row r="13710" spans="1:13" x14ac:dyDescent="0.25">
      <c r="A13710" s="1" t="str">
        <f>HYPERLINK("http://www.rosaceae.org/Prunus/Prunus_persica/p.persica_gdr_reftransV1_0031944","p.persica_gdr_reftransV1_0031944")</f>
        <v>p.persica_gdr_reftransV1_0031944</v>
      </c>
      <c r="B13710" s="3">
        <v>2391</v>
      </c>
      <c r="C13710" s="1" t="str">
        <f>HYPERLINK("http://www.uniprot.org/uniprot/U2AFA_ORYSJ","U2AFA_ORYSJ")</f>
        <v>U2AFA_ORYSJ</v>
      </c>
      <c r="D13710" t="s">
        <v>7794</v>
      </c>
      <c r="E13710" s="3" t="s">
        <v>38</v>
      </c>
      <c r="F13710" s="4">
        <v>4.5199999999999999E-107</v>
      </c>
      <c r="G13710" s="3">
        <v>862</v>
      </c>
      <c r="H13710" s="3">
        <v>82</v>
      </c>
      <c r="I13710" s="3">
        <v>186</v>
      </c>
      <c r="J13710" s="3">
        <v>1694</v>
      </c>
      <c r="K13710" s="3">
        <v>2251</v>
      </c>
      <c r="L13710" s="3">
        <v>1</v>
      </c>
      <c r="M13710" s="3">
        <v>186</v>
      </c>
    </row>
    <row r="13711" spans="1:13" x14ac:dyDescent="0.25">
      <c r="A13711" s="1" t="str">
        <f>HYPERLINK("http://www.rosaceae.org/Prunus/Prunus_persica/p.persica_gdr_reftransV1_0031994","p.persica_gdr_reftransV1_0031994")</f>
        <v>p.persica_gdr_reftransV1_0031994</v>
      </c>
      <c r="B13711" s="3">
        <v>3696</v>
      </c>
      <c r="C13711" s="1" t="str">
        <f>HYPERLINK("http://www.uniprot.org/uniprot/MANA_CANEN","MANA_CANEN")</f>
        <v>MANA_CANEN</v>
      </c>
      <c r="D13711" t="s">
        <v>614</v>
      </c>
      <c r="E13711" s="3" t="s">
        <v>615</v>
      </c>
      <c r="F13711" s="4">
        <v>0</v>
      </c>
      <c r="G13711" s="3">
        <v>1691</v>
      </c>
      <c r="H13711" s="3">
        <v>58</v>
      </c>
      <c r="I13711" s="3">
        <v>556</v>
      </c>
      <c r="J13711" s="3">
        <v>1726</v>
      </c>
      <c r="K13711" s="3">
        <v>3393</v>
      </c>
      <c r="L13711" s="3">
        <v>1</v>
      </c>
      <c r="M13711" s="3">
        <v>556</v>
      </c>
    </row>
    <row r="13712" spans="1:13" x14ac:dyDescent="0.25">
      <c r="A13712" s="1" t="str">
        <f>HYPERLINK("http://www.rosaceae.org/Prunus/Prunus_persica/p.persica_gdr_reftransV1_0032044","p.persica_gdr_reftransV1_0032044")</f>
        <v>p.persica_gdr_reftransV1_0032044</v>
      </c>
      <c r="B13712" s="3">
        <v>1091</v>
      </c>
      <c r="C13712" s="1" t="str">
        <f>HYPERLINK("http://www.uniprot.org/uniprot/DG783_ARATH","DG783_ARATH")</f>
        <v>DG783_ARATH</v>
      </c>
      <c r="D13712" t="s">
        <v>9171</v>
      </c>
      <c r="E13712" s="3" t="s">
        <v>3</v>
      </c>
      <c r="F13712" s="4">
        <v>1.26E-98</v>
      </c>
      <c r="G13712" s="3">
        <v>770</v>
      </c>
      <c r="H13712" s="3">
        <v>62</v>
      </c>
      <c r="I13712" s="3">
        <v>264</v>
      </c>
      <c r="J13712" s="3">
        <v>229</v>
      </c>
      <c r="K13712" s="3">
        <v>996</v>
      </c>
      <c r="L13712" s="3">
        <v>30</v>
      </c>
      <c r="M13712" s="3">
        <v>293</v>
      </c>
    </row>
    <row r="13713" spans="1:13" x14ac:dyDescent="0.25">
      <c r="A13713" s="1" t="str">
        <f>HYPERLINK("http://www.rosaceae.org/Prunus/Prunus_persica/p.persica_gdr_reftransV1_0032244","p.persica_gdr_reftransV1_0032244")</f>
        <v>p.persica_gdr_reftransV1_0032244</v>
      </c>
      <c r="B13713" s="3">
        <v>2510</v>
      </c>
      <c r="C13713" s="1" t="str">
        <f>HYPERLINK("http://www.uniprot.org/uniprot/RNP1_ARATH","RNP1_ARATH")</f>
        <v>RNP1_ARATH</v>
      </c>
      <c r="D13713" t="s">
        <v>2083</v>
      </c>
      <c r="E13713" s="3" t="s">
        <v>3</v>
      </c>
      <c r="F13713" s="4">
        <v>5.6200000000000001E-70</v>
      </c>
      <c r="G13713" s="3">
        <v>618</v>
      </c>
      <c r="H13713" s="3">
        <v>56</v>
      </c>
      <c r="I13713" s="3">
        <v>193</v>
      </c>
      <c r="J13713" s="3">
        <v>1505</v>
      </c>
      <c r="K13713" s="3">
        <v>2068</v>
      </c>
      <c r="L13713" s="3">
        <v>1</v>
      </c>
      <c r="M13713" s="3">
        <v>192</v>
      </c>
    </row>
    <row r="13714" spans="1:13" x14ac:dyDescent="0.25">
      <c r="A13714" s="1" t="str">
        <f>HYPERLINK("http://www.rosaceae.org/Prunus/Prunus_persica/p.persica_gdr_reftransV1_0032344","p.persica_gdr_reftransV1_0032344")</f>
        <v>p.persica_gdr_reftransV1_0032344</v>
      </c>
      <c r="B13714" s="3">
        <v>2852</v>
      </c>
      <c r="C13714" s="1" t="str">
        <f>HYPERLINK("http://www.uniprot.org/uniprot/SRR1_ARATH","SRR1_ARATH")</f>
        <v>SRR1_ARATH</v>
      </c>
      <c r="D13714" t="s">
        <v>8004</v>
      </c>
      <c r="E13714" s="3" t="s">
        <v>3</v>
      </c>
      <c r="F13714" s="4">
        <v>9.5899999999999994E-92</v>
      </c>
      <c r="G13714" s="3">
        <v>764</v>
      </c>
      <c r="H13714" s="3">
        <v>53</v>
      </c>
      <c r="I13714" s="3">
        <v>270</v>
      </c>
      <c r="J13714" s="3">
        <v>946</v>
      </c>
      <c r="K13714" s="3">
        <v>1749</v>
      </c>
      <c r="L13714" s="3">
        <v>4</v>
      </c>
      <c r="M13714" s="3">
        <v>271</v>
      </c>
    </row>
    <row r="13715" spans="1:13" x14ac:dyDescent="0.25">
      <c r="A13715" s="1" t="str">
        <f>HYPERLINK("http://www.rosaceae.org/Prunus/Prunus_persica/p.persica_gdr_reftransV1_0032394","p.persica_gdr_reftransV1_0032394")</f>
        <v>p.persica_gdr_reftransV1_0032394</v>
      </c>
      <c r="B13715" s="3">
        <v>891</v>
      </c>
      <c r="C13715" s="1" t="str">
        <f>HYPERLINK("http://www.uniprot.org/uniprot/ERF11_ARATH","ERF11_ARATH")</f>
        <v>ERF11_ARATH</v>
      </c>
      <c r="D13715" t="s">
        <v>9172</v>
      </c>
      <c r="E13715" s="3" t="s">
        <v>3</v>
      </c>
      <c r="F13715" s="4">
        <v>2.11E-47</v>
      </c>
      <c r="G13715" s="3">
        <v>409</v>
      </c>
      <c r="H13715" s="3">
        <v>61</v>
      </c>
      <c r="I13715" s="3">
        <v>138</v>
      </c>
      <c r="J13715" s="3">
        <v>144</v>
      </c>
      <c r="K13715" s="3">
        <v>539</v>
      </c>
      <c r="L13715" s="3">
        <v>16</v>
      </c>
      <c r="M13715" s="3">
        <v>149</v>
      </c>
    </row>
    <row r="13716" spans="1:13" x14ac:dyDescent="0.25">
      <c r="A13716" s="1" t="str">
        <f>HYPERLINK("http://www.rosaceae.org/Prunus/Prunus_persica/p.persica_gdr_reftransV1_0032444","p.persica_gdr_reftransV1_0032444")</f>
        <v>p.persica_gdr_reftransV1_0032444</v>
      </c>
      <c r="B13716" s="3">
        <v>2658</v>
      </c>
      <c r="C13716" s="1" t="str">
        <f>HYPERLINK("http://www.uniprot.org/uniprot/PBS1_ARATH","PBS1_ARATH")</f>
        <v>PBS1_ARATH</v>
      </c>
      <c r="D13716" t="s">
        <v>2502</v>
      </c>
      <c r="E13716" s="3" t="s">
        <v>3</v>
      </c>
      <c r="F13716" s="4">
        <v>2.4000000000000002E-153</v>
      </c>
      <c r="G13716" s="3">
        <v>1197</v>
      </c>
      <c r="H13716" s="3">
        <v>75</v>
      </c>
      <c r="I13716" s="3">
        <v>305</v>
      </c>
      <c r="J13716" s="3">
        <v>1386</v>
      </c>
      <c r="K13716" s="3">
        <v>2291</v>
      </c>
      <c r="L13716" s="3">
        <v>2</v>
      </c>
      <c r="M13716" s="3">
        <v>305</v>
      </c>
    </row>
    <row r="13717" spans="1:13" x14ac:dyDescent="0.25">
      <c r="A13717" s="1" t="str">
        <f>HYPERLINK("http://www.rosaceae.org/Prunus/Prunus_persica/p.persica_gdr_reftransV1_0032494","p.persica_gdr_reftransV1_0032494")</f>
        <v>p.persica_gdr_reftransV1_0032494</v>
      </c>
      <c r="B13717" s="3">
        <v>2054</v>
      </c>
      <c r="C13717" s="1" t="str">
        <f>HYPERLINK("http://www.uniprot.org/uniprot/MGDG2_ARATH","MGDG2_ARATH")</f>
        <v>MGDG2_ARATH</v>
      </c>
      <c r="D13717" t="s">
        <v>9173</v>
      </c>
      <c r="E13717" s="3" t="s">
        <v>3</v>
      </c>
      <c r="F13717" s="4">
        <v>0</v>
      </c>
      <c r="G13717" s="3">
        <v>1803</v>
      </c>
      <c r="H13717" s="3">
        <v>85</v>
      </c>
      <c r="I13717" s="3">
        <v>413</v>
      </c>
      <c r="J13717" s="3">
        <v>319</v>
      </c>
      <c r="K13717" s="3">
        <v>1557</v>
      </c>
      <c r="L13717" s="3">
        <v>56</v>
      </c>
      <c r="M13717" s="3">
        <v>468</v>
      </c>
    </row>
    <row r="13718" spans="1:13" x14ac:dyDescent="0.25">
      <c r="A13718" s="1" t="str">
        <f>HYPERLINK("http://www.rosaceae.org/Prunus/Prunus_persica/p.persica_gdr_reftransV1_0032844","p.persica_gdr_reftransV1_0032844")</f>
        <v>p.persica_gdr_reftransV1_0032844</v>
      </c>
      <c r="B13718" s="3">
        <v>1936</v>
      </c>
      <c r="C13718" s="1" t="str">
        <f>HYPERLINK("http://www.uniprot.org/uniprot/ADAT3_MOUSE","ADAT3_MOUSE")</f>
        <v>ADAT3_MOUSE</v>
      </c>
      <c r="D13718" t="s">
        <v>9174</v>
      </c>
      <c r="E13718" s="3" t="s">
        <v>157</v>
      </c>
      <c r="F13718" s="4">
        <v>4.7400000000000004E-19</v>
      </c>
      <c r="G13718" s="3">
        <v>229</v>
      </c>
      <c r="H13718" s="3">
        <v>54</v>
      </c>
      <c r="I13718" s="3">
        <v>69</v>
      </c>
      <c r="J13718" s="3">
        <v>1173</v>
      </c>
      <c r="K13718" s="3">
        <v>1379</v>
      </c>
      <c r="L13718" s="3">
        <v>274</v>
      </c>
      <c r="M13718" s="3">
        <v>341</v>
      </c>
    </row>
    <row r="13719" spans="1:13" x14ac:dyDescent="0.25">
      <c r="A13719" s="1" t="str">
        <f>HYPERLINK("http://www.rosaceae.org/Prunus/Prunus_persica/p.persica_gdr_reftransV1_0032894","p.persica_gdr_reftransV1_0032894")</f>
        <v>p.persica_gdr_reftransV1_0032894</v>
      </c>
      <c r="B13719" s="3">
        <v>2288</v>
      </c>
      <c r="C13719" s="1" t="str">
        <f>HYPERLINK("http://www.uniprot.org/uniprot/PESC_CHLRE","PESC_CHLRE")</f>
        <v>PESC_CHLRE</v>
      </c>
      <c r="D13719" t="s">
        <v>2090</v>
      </c>
      <c r="E13719" s="3" t="s">
        <v>2091</v>
      </c>
      <c r="F13719" s="4">
        <v>7.6699999999999993E-127</v>
      </c>
      <c r="G13719" s="3">
        <v>1029</v>
      </c>
      <c r="H13719" s="3">
        <v>47</v>
      </c>
      <c r="I13719" s="3">
        <v>451</v>
      </c>
      <c r="J13719" s="3">
        <v>132</v>
      </c>
      <c r="K13719" s="3">
        <v>1406</v>
      </c>
      <c r="L13719" s="3">
        <v>13</v>
      </c>
      <c r="M13719" s="3">
        <v>462</v>
      </c>
    </row>
    <row r="13720" spans="1:13" x14ac:dyDescent="0.25">
      <c r="A13720" s="1" t="str">
        <f>HYPERLINK("http://www.rosaceae.org/Prunus/Prunus_persica/p.persica_gdr_reftransV1_0033144","p.persica_gdr_reftransV1_0033144")</f>
        <v>p.persica_gdr_reftransV1_0033144</v>
      </c>
      <c r="B13720" s="3">
        <v>2775</v>
      </c>
      <c r="C13720" s="1" t="str">
        <f>HYPERLINK("http://www.uniprot.org/uniprot/UBR7_HUMAN","UBR7_HUMAN")</f>
        <v>UBR7_HUMAN</v>
      </c>
      <c r="D13720" t="s">
        <v>1421</v>
      </c>
      <c r="E13720" s="3" t="s">
        <v>28</v>
      </c>
      <c r="F13720" s="4">
        <v>1.3300000000000001E-64</v>
      </c>
      <c r="G13720" s="3">
        <v>582</v>
      </c>
      <c r="H13720" s="3">
        <v>36</v>
      </c>
      <c r="I13720" s="3">
        <v>403</v>
      </c>
      <c r="J13720" s="3">
        <v>374</v>
      </c>
      <c r="K13720" s="3">
        <v>1528</v>
      </c>
      <c r="L13720" s="3">
        <v>33</v>
      </c>
      <c r="M13720" s="3">
        <v>418</v>
      </c>
    </row>
    <row r="13721" spans="1:13" x14ac:dyDescent="0.25">
      <c r="A13721" s="1" t="str">
        <f>HYPERLINK("http://www.rosaceae.org/Prunus/Prunus_persica/p.persica_gdr_reftransV1_0033294","p.persica_gdr_reftransV1_0033294")</f>
        <v>p.persica_gdr_reftransV1_0033294</v>
      </c>
      <c r="B13721" s="3">
        <v>2409</v>
      </c>
      <c r="C13721" s="1" t="str">
        <f>HYPERLINK("http://www.uniprot.org/uniprot/FB341_ARATH","FB341_ARATH")</f>
        <v>FB341_ARATH</v>
      </c>
      <c r="D13721" t="s">
        <v>1245</v>
      </c>
      <c r="E13721" s="3" t="s">
        <v>3</v>
      </c>
      <c r="F13721" s="4">
        <v>2.64E-14</v>
      </c>
      <c r="G13721" s="3">
        <v>193</v>
      </c>
      <c r="H13721" s="3">
        <v>29</v>
      </c>
      <c r="I13721" s="3">
        <v>263</v>
      </c>
      <c r="J13721" s="3">
        <v>564</v>
      </c>
      <c r="K13721" s="3">
        <v>1283</v>
      </c>
      <c r="L13721" s="3">
        <v>11</v>
      </c>
      <c r="M13721" s="3">
        <v>264</v>
      </c>
    </row>
    <row r="13722" spans="1:13" x14ac:dyDescent="0.25">
      <c r="A13722" s="1" t="str">
        <f>HYPERLINK("http://www.rosaceae.org/Prunus/Prunus_persica/p.persica_gdr_reftransV1_0033344","p.persica_gdr_reftransV1_0033344")</f>
        <v>p.persica_gdr_reftransV1_0033344</v>
      </c>
      <c r="B13722" s="3">
        <v>2101</v>
      </c>
      <c r="C13722" s="1" t="str">
        <f>HYPERLINK("http://www.uniprot.org/uniprot/PP168_ARATH","PP168_ARATH")</f>
        <v>PP168_ARATH</v>
      </c>
      <c r="D13722" t="s">
        <v>2164</v>
      </c>
      <c r="E13722" s="3" t="s">
        <v>3</v>
      </c>
      <c r="F13722" s="4">
        <v>0</v>
      </c>
      <c r="G13722" s="3">
        <v>1624</v>
      </c>
      <c r="H13722" s="3">
        <v>73</v>
      </c>
      <c r="I13722" s="3">
        <v>415</v>
      </c>
      <c r="J13722" s="3">
        <v>855</v>
      </c>
      <c r="K13722" s="3">
        <v>2099</v>
      </c>
      <c r="L13722" s="3">
        <v>372</v>
      </c>
      <c r="M13722" s="3">
        <v>786</v>
      </c>
    </row>
    <row r="13723" spans="1:13" x14ac:dyDescent="0.25">
      <c r="A13723" s="1" t="str">
        <f>HYPERLINK("http://www.rosaceae.org/Prunus/Prunus_persica/p.persica_gdr_reftransV1_0033394","p.persica_gdr_reftransV1_0033394")</f>
        <v>p.persica_gdr_reftransV1_0033394</v>
      </c>
      <c r="B13723" s="3">
        <v>2398</v>
      </c>
      <c r="C13723" s="1" t="str">
        <f>HYPERLINK("http://www.uniprot.org/uniprot/ARFR_ORYSJ","ARFR_ORYSJ")</f>
        <v>ARFR_ORYSJ</v>
      </c>
      <c r="D13723" t="s">
        <v>5025</v>
      </c>
      <c r="E13723" s="3" t="s">
        <v>38</v>
      </c>
      <c r="F13723" s="4">
        <v>0</v>
      </c>
      <c r="G13723" s="3">
        <v>1900</v>
      </c>
      <c r="H13723" s="3">
        <v>58</v>
      </c>
      <c r="I13723" s="3">
        <v>688</v>
      </c>
      <c r="J13723" s="3">
        <v>347</v>
      </c>
      <c r="K13723" s="3">
        <v>2317</v>
      </c>
      <c r="L13723" s="3">
        <v>1</v>
      </c>
      <c r="M13723" s="3">
        <v>687</v>
      </c>
    </row>
    <row r="13724" spans="1:13" x14ac:dyDescent="0.25">
      <c r="A13724" s="1" t="str">
        <f>HYPERLINK("http://www.rosaceae.org/Prunus/Prunus_persica/p.persica_gdr_reftransV1_0033444","p.persica_gdr_reftransV1_0033444")</f>
        <v>p.persica_gdr_reftransV1_0033444</v>
      </c>
      <c r="B13724" s="3">
        <v>1427</v>
      </c>
      <c r="C13724" s="1" t="str">
        <f>HYPERLINK("http://www.uniprot.org/uniprot/USPAL_ARATH","USPAL_ARATH")</f>
        <v>USPAL_ARATH</v>
      </c>
      <c r="D13724" t="s">
        <v>430</v>
      </c>
      <c r="E13724" s="3" t="s">
        <v>3</v>
      </c>
      <c r="F13724" s="4">
        <v>3.4999999999999998E-10</v>
      </c>
      <c r="G13724" s="3">
        <v>152</v>
      </c>
      <c r="H13724" s="3">
        <v>31</v>
      </c>
      <c r="I13724" s="3">
        <v>143</v>
      </c>
      <c r="J13724" s="3">
        <v>570</v>
      </c>
      <c r="K13724" s="3">
        <v>974</v>
      </c>
      <c r="L13724" s="3">
        <v>30</v>
      </c>
      <c r="M13724" s="3">
        <v>163</v>
      </c>
    </row>
    <row r="13725" spans="1:13" x14ac:dyDescent="0.25">
      <c r="A13725" s="1" t="str">
        <f>HYPERLINK("http://www.rosaceae.org/Prunus/Prunus_persica/p.persica_gdr_reftransV1_0033494","p.persica_gdr_reftransV1_0033494")</f>
        <v>p.persica_gdr_reftransV1_0033494</v>
      </c>
      <c r="B13725" s="3">
        <v>2266</v>
      </c>
      <c r="C13725" s="1" t="str">
        <f>HYPERLINK("http://www.uniprot.org/uniprot/TIM50_ARATH","TIM50_ARATH")</f>
        <v>TIM50_ARATH</v>
      </c>
      <c r="D13725" t="s">
        <v>9175</v>
      </c>
      <c r="E13725" s="3" t="s">
        <v>3</v>
      </c>
      <c r="F13725" s="4">
        <v>8.1300000000000001E-41</v>
      </c>
      <c r="G13725" s="3">
        <v>399</v>
      </c>
      <c r="H13725" s="3">
        <v>45</v>
      </c>
      <c r="I13725" s="3">
        <v>211</v>
      </c>
      <c r="J13725" s="3">
        <v>104</v>
      </c>
      <c r="K13725" s="3">
        <v>697</v>
      </c>
      <c r="L13725" s="3">
        <v>1</v>
      </c>
      <c r="M13725" s="3">
        <v>211</v>
      </c>
    </row>
    <row r="13726" spans="1:13" x14ac:dyDescent="0.25">
      <c r="A13726" s="1" t="str">
        <f>HYPERLINK("http://www.rosaceae.org/Prunus/Prunus_persica/p.persica_gdr_reftransV1_0033594","p.persica_gdr_reftransV1_0033594")</f>
        <v>p.persica_gdr_reftransV1_0033594</v>
      </c>
      <c r="B13726" s="3">
        <v>2594</v>
      </c>
      <c r="C13726" s="1" t="str">
        <f>HYPERLINK("http://www.uniprot.org/uniprot/idM1_ARATH","idM1_ARATH")</f>
        <v>idM1_ARATH</v>
      </c>
      <c r="D13726" t="s">
        <v>1345</v>
      </c>
      <c r="E13726" s="3" t="s">
        <v>3</v>
      </c>
      <c r="F13726" s="4">
        <v>3.8399999999999999E-20</v>
      </c>
      <c r="G13726" s="3">
        <v>248</v>
      </c>
      <c r="H13726" s="3">
        <v>26</v>
      </c>
      <c r="I13726" s="3">
        <v>360</v>
      </c>
      <c r="J13726" s="3">
        <v>1191</v>
      </c>
      <c r="K13726" s="3">
        <v>2249</v>
      </c>
      <c r="L13726" s="3">
        <v>739</v>
      </c>
      <c r="M13726" s="3">
        <v>1032</v>
      </c>
    </row>
    <row r="13727" spans="1:13" x14ac:dyDescent="0.25">
      <c r="A13727" s="1" t="str">
        <f>HYPERLINK("http://www.rosaceae.org/Prunus/Prunus_persica/p.persica_gdr_reftransV1_0033694","p.persica_gdr_reftransV1_0033694")</f>
        <v>p.persica_gdr_reftransV1_0033694</v>
      </c>
      <c r="B13727" s="3">
        <v>1517</v>
      </c>
      <c r="C13727" s="1" t="str">
        <f>HYPERLINK("http://www.uniprot.org/uniprot/PP295_ARATH","PP295_ARATH")</f>
        <v>PP295_ARATH</v>
      </c>
      <c r="D13727" t="s">
        <v>1324</v>
      </c>
      <c r="E13727" s="3" t="s">
        <v>3</v>
      </c>
      <c r="F13727" s="4">
        <v>5.0399999999999999E-138</v>
      </c>
      <c r="G13727" s="3">
        <v>1072</v>
      </c>
      <c r="H13727" s="3">
        <v>50</v>
      </c>
      <c r="I13727" s="3">
        <v>395</v>
      </c>
      <c r="J13727" s="3">
        <v>352</v>
      </c>
      <c r="K13727" s="3">
        <v>1515</v>
      </c>
      <c r="L13727" s="3">
        <v>179</v>
      </c>
      <c r="M13727" s="3">
        <v>573</v>
      </c>
    </row>
    <row r="13728" spans="1:13" x14ac:dyDescent="0.25">
      <c r="A13728" s="1" t="str">
        <f>HYPERLINK("http://www.rosaceae.org/Prunus/Prunus_persica/p.persica_gdr_reftransV1_0033794","p.persica_gdr_reftransV1_0033794")</f>
        <v>p.persica_gdr_reftransV1_0033794</v>
      </c>
      <c r="B13728" s="3">
        <v>394</v>
      </c>
      <c r="C13728" s="1" t="str">
        <f>HYPERLINK("http://www.uniprot.org/uniprot/MSH3_ARATH","MSH3_ARATH")</f>
        <v>MSH3_ARATH</v>
      </c>
      <c r="D13728" t="s">
        <v>6227</v>
      </c>
      <c r="E13728" s="3" t="s">
        <v>3</v>
      </c>
      <c r="F13728" s="4">
        <v>3.2800000000000003E-29</v>
      </c>
      <c r="G13728" s="3">
        <v>292</v>
      </c>
      <c r="H13728" s="3">
        <v>61</v>
      </c>
      <c r="I13728" s="3">
        <v>122</v>
      </c>
      <c r="J13728" s="3">
        <v>10</v>
      </c>
      <c r="K13728" s="3">
        <v>375</v>
      </c>
      <c r="L13728" s="3">
        <v>38</v>
      </c>
      <c r="M13728" s="3">
        <v>152</v>
      </c>
    </row>
    <row r="13729" spans="1:13" x14ac:dyDescent="0.25">
      <c r="A13729" s="1" t="str">
        <f>HYPERLINK("http://www.rosaceae.org/Prunus/Prunus_persica/p.persica_gdr_reftransV1_0033844","p.persica_gdr_reftransV1_0033844")</f>
        <v>p.persica_gdr_reftransV1_0033844</v>
      </c>
      <c r="B13729" s="3">
        <v>1535</v>
      </c>
      <c r="C13729" s="1" t="str">
        <f>HYPERLINK("http://www.uniprot.org/uniprot/MES3_ARATH","MES3_ARATH")</f>
        <v>MES3_ARATH</v>
      </c>
      <c r="D13729" t="s">
        <v>2826</v>
      </c>
      <c r="E13729" s="3" t="s">
        <v>3</v>
      </c>
      <c r="F13729" s="4">
        <v>2.84E-63</v>
      </c>
      <c r="G13729" s="3">
        <v>542</v>
      </c>
      <c r="H13729" s="3">
        <v>47</v>
      </c>
      <c r="I13729" s="3">
        <v>250</v>
      </c>
      <c r="J13729" s="3">
        <v>813</v>
      </c>
      <c r="K13729" s="3">
        <v>1535</v>
      </c>
      <c r="L13729" s="3">
        <v>16</v>
      </c>
      <c r="M13729" s="3">
        <v>263</v>
      </c>
    </row>
    <row r="13730" spans="1:13" x14ac:dyDescent="0.25">
      <c r="A13730" s="1" t="str">
        <f>HYPERLINK("http://www.rosaceae.org/Prunus/Prunus_persica/p.persica_gdr_reftransV1_0033894","p.persica_gdr_reftransV1_0033894")</f>
        <v>p.persica_gdr_reftransV1_0033894</v>
      </c>
      <c r="B13730" s="3">
        <v>5189</v>
      </c>
      <c r="C13730" s="1" t="str">
        <f>HYPERLINK("http://www.uniprot.org/uniprot/SYVM1_ARATH","SYVM1_ARATH")</f>
        <v>SYVM1_ARATH</v>
      </c>
      <c r="D13730" t="s">
        <v>6884</v>
      </c>
      <c r="E13730" s="3" t="s">
        <v>3</v>
      </c>
      <c r="F13730" s="4">
        <v>0</v>
      </c>
      <c r="G13730" s="3">
        <v>1993</v>
      </c>
      <c r="H13730" s="3">
        <v>68</v>
      </c>
      <c r="I13730" s="3">
        <v>533</v>
      </c>
      <c r="J13730" s="3">
        <v>1304</v>
      </c>
      <c r="K13730" s="3">
        <v>2881</v>
      </c>
      <c r="L13730" s="3">
        <v>545</v>
      </c>
      <c r="M13730" s="3">
        <v>1077</v>
      </c>
    </row>
    <row r="13731" spans="1:13" x14ac:dyDescent="0.25">
      <c r="A13731" s="1" t="str">
        <f>HYPERLINK("http://www.rosaceae.org/Prunus/Prunus_persica/p.persica_gdr_reftransV1_0034094","p.persica_gdr_reftransV1_0034094")</f>
        <v>p.persica_gdr_reftransV1_0034094</v>
      </c>
      <c r="B13731" s="3">
        <v>1584</v>
      </c>
      <c r="C13731" s="1" t="str">
        <f>HYPERLINK("http://www.uniprot.org/uniprot/Y1280_ARATH","Y1280_ARATH")</f>
        <v>Y1280_ARATH</v>
      </c>
      <c r="D13731" t="s">
        <v>9176</v>
      </c>
      <c r="E13731" s="3" t="s">
        <v>3</v>
      </c>
      <c r="F13731" s="4">
        <v>1.79E-164</v>
      </c>
      <c r="G13731" s="3">
        <v>1229</v>
      </c>
      <c r="H13731" s="3">
        <v>72</v>
      </c>
      <c r="I13731" s="3">
        <v>326</v>
      </c>
      <c r="J13731" s="3">
        <v>342</v>
      </c>
      <c r="K13731" s="3">
        <v>1316</v>
      </c>
      <c r="L13731" s="3">
        <v>63</v>
      </c>
      <c r="M13731" s="3">
        <v>355</v>
      </c>
    </row>
    <row r="13732" spans="1:13" x14ac:dyDescent="0.25">
      <c r="A13732" s="1" t="str">
        <f>HYPERLINK("http://www.rosaceae.org/Prunus/Prunus_persica/p.persica_gdr_reftransV1_0034744","p.persica_gdr_reftransV1_0034744")</f>
        <v>p.persica_gdr_reftransV1_0034744</v>
      </c>
      <c r="B13732" s="3">
        <v>4830</v>
      </c>
      <c r="C13732" s="1" t="str">
        <f>HYPERLINK("http://www.uniprot.org/uniprot/JM703_ORYSJ","JM703_ORYSJ")</f>
        <v>JM703_ORYSJ</v>
      </c>
      <c r="D13732" t="s">
        <v>9177</v>
      </c>
      <c r="E13732" s="3" t="s">
        <v>38</v>
      </c>
      <c r="F13732" s="4">
        <v>0</v>
      </c>
      <c r="G13732" s="3">
        <v>1510</v>
      </c>
      <c r="H13732" s="3">
        <v>50</v>
      </c>
      <c r="I13732" s="3">
        <v>606</v>
      </c>
      <c r="J13732" s="3">
        <v>2362</v>
      </c>
      <c r="K13732" s="3">
        <v>4176</v>
      </c>
      <c r="L13732" s="3">
        <v>120</v>
      </c>
      <c r="M13732" s="3">
        <v>678</v>
      </c>
    </row>
    <row r="13733" spans="1:13" x14ac:dyDescent="0.25">
      <c r="A13733" s="1" t="str">
        <f>HYPERLINK("http://www.rosaceae.org/Prunus/Prunus_persica/p.persica_gdr_reftransV1_0034844","p.persica_gdr_reftransV1_0034844")</f>
        <v>p.persica_gdr_reftransV1_0034844</v>
      </c>
      <c r="B13733" s="3">
        <v>671</v>
      </c>
      <c r="C13733" s="1" t="str">
        <f>HYPERLINK("http://www.uniprot.org/uniprot/PP133_ARATH","PP133_ARATH")</f>
        <v>PP133_ARATH</v>
      </c>
      <c r="D13733" t="s">
        <v>3611</v>
      </c>
      <c r="E13733" s="3" t="s">
        <v>3</v>
      </c>
      <c r="F13733" s="4">
        <v>1.5999999999999999E-76</v>
      </c>
      <c r="G13733" s="3">
        <v>641</v>
      </c>
      <c r="H13733" s="3">
        <v>55</v>
      </c>
      <c r="I13733" s="3">
        <v>223</v>
      </c>
      <c r="J13733" s="3">
        <v>2</v>
      </c>
      <c r="K13733" s="3">
        <v>670</v>
      </c>
      <c r="L13733" s="3">
        <v>183</v>
      </c>
      <c r="M13733" s="3">
        <v>405</v>
      </c>
    </row>
    <row r="13734" spans="1:13" x14ac:dyDescent="0.25">
      <c r="A13734" s="1" t="str">
        <f>HYPERLINK("http://www.rosaceae.org/Prunus/Prunus_persica/p.persica_gdr_reftransV1_0034994","p.persica_gdr_reftransV1_0034994")</f>
        <v>p.persica_gdr_reftransV1_0034994</v>
      </c>
      <c r="B13734" s="3">
        <v>592</v>
      </c>
      <c r="C13734" s="1" t="str">
        <f>HYPERLINK("http://www.uniprot.org/uniprot/SPO11_ARATH","SPO11_ARATH")</f>
        <v>SPO11_ARATH</v>
      </c>
      <c r="D13734" t="s">
        <v>1430</v>
      </c>
      <c r="E13734" s="3" t="s">
        <v>3</v>
      </c>
      <c r="F13734" s="4">
        <v>4.1400000000000001E-40</v>
      </c>
      <c r="G13734" s="3">
        <v>366</v>
      </c>
      <c r="H13734" s="3">
        <v>67</v>
      </c>
      <c r="I13734" s="3">
        <v>101</v>
      </c>
      <c r="J13734" s="3">
        <v>4</v>
      </c>
      <c r="K13734" s="3">
        <v>306</v>
      </c>
      <c r="L13734" s="3">
        <v>259</v>
      </c>
      <c r="M13734" s="3">
        <v>359</v>
      </c>
    </row>
    <row r="13735" spans="1:13" x14ac:dyDescent="0.25">
      <c r="A13735" s="1" t="str">
        <f>HYPERLINK("http://www.rosaceae.org/Prunus/Prunus_persica/p.persica_gdr_reftransV1_0035194","p.persica_gdr_reftransV1_0035194")</f>
        <v>p.persica_gdr_reftransV1_0035194</v>
      </c>
      <c r="B13735" s="3">
        <v>5003</v>
      </c>
      <c r="C13735" s="1" t="str">
        <f>HYPERLINK("http://www.uniprot.org/uniprot/CSCLA_ARATH","CSCLA_ARATH")</f>
        <v>CSCLA_ARATH</v>
      </c>
      <c r="D13735" t="s">
        <v>2135</v>
      </c>
      <c r="E13735" s="3" t="s">
        <v>3</v>
      </c>
      <c r="F13735" s="4">
        <v>1.1000000000000001E-158</v>
      </c>
      <c r="G13735" s="3">
        <v>1309</v>
      </c>
      <c r="H13735" s="3">
        <v>66</v>
      </c>
      <c r="I13735" s="3">
        <v>422</v>
      </c>
      <c r="J13735" s="3">
        <v>3072</v>
      </c>
      <c r="K13735" s="3">
        <v>4334</v>
      </c>
      <c r="L13735" s="3">
        <v>299</v>
      </c>
      <c r="M13735" s="3">
        <v>720</v>
      </c>
    </row>
    <row r="13736" spans="1:13" x14ac:dyDescent="0.25">
      <c r="A13736" s="1" t="str">
        <f>HYPERLINK("http://www.rosaceae.org/Prunus/Prunus_persica/p.persica_gdr_reftransV1_0035394","p.persica_gdr_reftransV1_0035394")</f>
        <v>p.persica_gdr_reftransV1_0035394</v>
      </c>
      <c r="B13736" s="3">
        <v>1725</v>
      </c>
      <c r="C13736" s="1" t="str">
        <f>HYPERLINK("http://www.uniprot.org/uniprot/KTHY_HUMAN","KTHY_HUMAN")</f>
        <v>KTHY_HUMAN</v>
      </c>
      <c r="D13736" t="s">
        <v>9178</v>
      </c>
      <c r="E13736" s="3" t="s">
        <v>28</v>
      </c>
      <c r="F13736" s="4">
        <v>6.2499999999999999E-47</v>
      </c>
      <c r="G13736" s="3">
        <v>427</v>
      </c>
      <c r="H13736" s="3">
        <v>58</v>
      </c>
      <c r="I13736" s="3">
        <v>131</v>
      </c>
      <c r="J13736" s="3">
        <v>319</v>
      </c>
      <c r="K13736" s="3">
        <v>708</v>
      </c>
      <c r="L13736" s="3">
        <v>5</v>
      </c>
      <c r="M13736" s="3">
        <v>135</v>
      </c>
    </row>
    <row r="13737" spans="1:13" x14ac:dyDescent="0.25">
      <c r="A13737" s="1" t="str">
        <f>HYPERLINK("http://www.rosaceae.org/Prunus/Prunus_persica/p.persica_gdr_reftransV1_0036294","p.persica_gdr_reftransV1_0036294")</f>
        <v>p.persica_gdr_reftransV1_0036294</v>
      </c>
      <c r="B13737" s="3">
        <v>1897</v>
      </c>
      <c r="C13737" s="1" t="str">
        <f>HYPERLINK("http://www.uniprot.org/uniprot/LEU3_BRANA","LEU3_BRANA")</f>
        <v>LEU3_BRANA</v>
      </c>
      <c r="D13737" t="s">
        <v>8565</v>
      </c>
      <c r="E13737" s="3" t="s">
        <v>776</v>
      </c>
      <c r="F13737" s="4">
        <v>0</v>
      </c>
      <c r="G13737" s="3">
        <v>1710</v>
      </c>
      <c r="H13737" s="3">
        <v>83</v>
      </c>
      <c r="I13737" s="3">
        <v>401</v>
      </c>
      <c r="J13737" s="3">
        <v>251</v>
      </c>
      <c r="K13737" s="3">
        <v>1423</v>
      </c>
      <c r="L13737" s="3">
        <v>1</v>
      </c>
      <c r="M13737" s="3">
        <v>393</v>
      </c>
    </row>
    <row r="13738" spans="1:13" x14ac:dyDescent="0.25">
      <c r="A13738" s="1" t="str">
        <f>HYPERLINK("http://www.rosaceae.org/Prunus/Prunus_persica/p.persica_gdr_reftransV1_0036644","p.persica_gdr_reftransV1_0036644")</f>
        <v>p.persica_gdr_reftransV1_0036644</v>
      </c>
      <c r="B13738" s="3">
        <v>1359</v>
      </c>
      <c r="C13738" s="1" t="str">
        <f>HYPERLINK("http://www.uniprot.org/uniprot/NDUS7_BRAOL","NDUS7_BRAOL")</f>
        <v>NDUS7_BRAOL</v>
      </c>
      <c r="D13738" t="s">
        <v>6007</v>
      </c>
      <c r="E13738" s="3" t="s">
        <v>1308</v>
      </c>
      <c r="F13738" s="4">
        <v>2.5600000000000001E-95</v>
      </c>
      <c r="G13738" s="3">
        <v>749</v>
      </c>
      <c r="H13738" s="3">
        <v>83</v>
      </c>
      <c r="I13738" s="3">
        <v>216</v>
      </c>
      <c r="J13738" s="3">
        <v>630</v>
      </c>
      <c r="K13738" s="3">
        <v>1271</v>
      </c>
      <c r="L13738" s="3">
        <v>1</v>
      </c>
      <c r="M13738" s="3">
        <v>215</v>
      </c>
    </row>
    <row r="13739" spans="1:13" x14ac:dyDescent="0.25">
      <c r="A13739" s="1" t="str">
        <f>HYPERLINK("http://www.rosaceae.org/Prunus/Prunus_persica/p.persica_gdr_reftransV1_0037294","p.persica_gdr_reftransV1_0037294")</f>
        <v>p.persica_gdr_reftransV1_0037294</v>
      </c>
      <c r="B13739" s="3">
        <v>2745</v>
      </c>
      <c r="C13739" s="1" t="str">
        <f>HYPERLINK("http://www.uniprot.org/uniprot/FK117_ARATH","FK117_ARATH")</f>
        <v>FK117_ARATH</v>
      </c>
      <c r="D13739" t="s">
        <v>3860</v>
      </c>
      <c r="E13739" s="3" t="s">
        <v>3</v>
      </c>
      <c r="F13739" s="4">
        <v>0</v>
      </c>
      <c r="G13739" s="3">
        <v>1913</v>
      </c>
      <c r="H13739" s="3">
        <v>63</v>
      </c>
      <c r="I13739" s="3">
        <v>579</v>
      </c>
      <c r="J13739" s="3">
        <v>541</v>
      </c>
      <c r="K13739" s="3">
        <v>2268</v>
      </c>
      <c r="L13739" s="3">
        <v>2</v>
      </c>
      <c r="M13739" s="3">
        <v>559</v>
      </c>
    </row>
    <row r="13740" spans="1:13" x14ac:dyDescent="0.25">
      <c r="A13740" s="1" t="str">
        <f>HYPERLINK("http://www.rosaceae.org/Prunus/Prunus_persica/p.persica_gdr_reftransV1_0037394","p.persica_gdr_reftransV1_0037394")</f>
        <v>p.persica_gdr_reftransV1_0037394</v>
      </c>
      <c r="B13740" s="3">
        <v>1240</v>
      </c>
      <c r="C13740" s="1" t="str">
        <f>HYPERLINK("http://www.uniprot.org/uniprot/M810_ARATH","M810_ARATH")</f>
        <v>M810_ARATH</v>
      </c>
      <c r="D13740" t="s">
        <v>92</v>
      </c>
      <c r="E13740" s="3" t="s">
        <v>3</v>
      </c>
      <c r="F13740" s="4">
        <v>4.8600000000000001E-40</v>
      </c>
      <c r="G13740" s="3">
        <v>271</v>
      </c>
      <c r="H13740" s="3">
        <v>52</v>
      </c>
      <c r="I13740" s="3">
        <v>108</v>
      </c>
      <c r="J13740" s="3">
        <v>727</v>
      </c>
      <c r="K13740" s="3">
        <v>1050</v>
      </c>
      <c r="L13740" s="3">
        <v>23</v>
      </c>
      <c r="M13740" s="3">
        <v>129</v>
      </c>
    </row>
    <row r="13741" spans="1:13" x14ac:dyDescent="0.25">
      <c r="A13741" s="1" t="str">
        <f>HYPERLINK("http://www.rosaceae.org/Prunus/Prunus_persica/p.persica_gdr_reftransV1_0037544","p.persica_gdr_reftransV1_0037544")</f>
        <v>p.persica_gdr_reftransV1_0037544</v>
      </c>
      <c r="B13741" s="3">
        <v>1395</v>
      </c>
      <c r="C13741" s="1" t="str">
        <f>HYPERLINK("http://www.uniprot.org/uniprot/BIP5_TOBAC","BIP5_TOBAC")</f>
        <v>BIP5_TOBAC</v>
      </c>
      <c r="D13741" t="s">
        <v>1518</v>
      </c>
      <c r="E13741" s="3" t="s">
        <v>200</v>
      </c>
      <c r="F13741" s="4">
        <v>0</v>
      </c>
      <c r="G13741" s="3">
        <v>1594</v>
      </c>
      <c r="H13741" s="3">
        <v>83</v>
      </c>
      <c r="I13741" s="3">
        <v>415</v>
      </c>
      <c r="J13741" s="3">
        <v>2</v>
      </c>
      <c r="K13741" s="3">
        <v>1237</v>
      </c>
      <c r="L13741" s="3">
        <v>254</v>
      </c>
      <c r="M13741" s="3">
        <v>668</v>
      </c>
    </row>
    <row r="13742" spans="1:13" x14ac:dyDescent="0.25">
      <c r="A13742" s="1" t="str">
        <f>HYPERLINK("http://www.rosaceae.org/Prunus/Prunus_persica/p.persica_gdr_reftransV1_0037794","p.persica_gdr_reftransV1_0037794")</f>
        <v>p.persica_gdr_reftransV1_0037794</v>
      </c>
      <c r="B13742" s="3">
        <v>779</v>
      </c>
      <c r="C13742" s="1" t="str">
        <f>HYPERLINK("http://www.uniprot.org/uniprot/AGC15_ARATH","AGC15_ARATH")</f>
        <v>AGC15_ARATH</v>
      </c>
      <c r="D13742" t="s">
        <v>9179</v>
      </c>
      <c r="E13742" s="3" t="s">
        <v>3</v>
      </c>
      <c r="F13742" s="4">
        <v>5.7400000000000003E-116</v>
      </c>
      <c r="G13742" s="3">
        <v>900</v>
      </c>
      <c r="H13742" s="3">
        <v>86</v>
      </c>
      <c r="I13742" s="3">
        <v>192</v>
      </c>
      <c r="J13742" s="3">
        <v>13</v>
      </c>
      <c r="K13742" s="3">
        <v>585</v>
      </c>
      <c r="L13742" s="3">
        <v>156</v>
      </c>
      <c r="M13742" s="3">
        <v>347</v>
      </c>
    </row>
    <row r="13743" spans="1:13" x14ac:dyDescent="0.25">
      <c r="A13743" s="1" t="str">
        <f>HYPERLINK("http://www.rosaceae.org/Prunus/Prunus_persica/p.persica_gdr_reftransV1_0037994","p.persica_gdr_reftransV1_0037994")</f>
        <v>p.persica_gdr_reftransV1_0037994</v>
      </c>
      <c r="B13743" s="3">
        <v>3349</v>
      </c>
      <c r="C13743" s="1" t="str">
        <f>HYPERLINK("http://www.uniprot.org/uniprot/PWP2_YEAST","PWP2_YEAST")</f>
        <v>PWP2_YEAST</v>
      </c>
      <c r="D13743" t="s">
        <v>9180</v>
      </c>
      <c r="E13743" s="3" t="s">
        <v>34</v>
      </c>
      <c r="F13743" s="4">
        <v>0</v>
      </c>
      <c r="G13743" s="3">
        <v>1880</v>
      </c>
      <c r="H13743" s="3">
        <v>43</v>
      </c>
      <c r="I13743" s="3">
        <v>893</v>
      </c>
      <c r="J13743" s="3">
        <v>134</v>
      </c>
      <c r="K13743" s="3">
        <v>2794</v>
      </c>
      <c r="L13743" s="3">
        <v>4</v>
      </c>
      <c r="M13743" s="3">
        <v>851</v>
      </c>
    </row>
    <row r="13744" spans="1:13" x14ac:dyDescent="0.25">
      <c r="A13744" s="1" t="str">
        <f>HYPERLINK("http://www.rosaceae.org/Prunus/Prunus_persica/p.persica_gdr_reftransV1_0038494","p.persica_gdr_reftransV1_0038494")</f>
        <v>p.persica_gdr_reftransV1_0038494</v>
      </c>
      <c r="B13744" s="3">
        <v>2098</v>
      </c>
      <c r="C13744" s="1" t="str">
        <f>HYPERLINK("http://www.uniprot.org/uniprot/ROG1_YEAST","ROG1_YEAST")</f>
        <v>ROG1_YEAST</v>
      </c>
      <c r="D13744" t="s">
        <v>6462</v>
      </c>
      <c r="E13744" s="3" t="s">
        <v>34</v>
      </c>
      <c r="F13744" s="4">
        <v>3.55E-13</v>
      </c>
      <c r="G13744" s="3">
        <v>187</v>
      </c>
      <c r="H13744" s="3">
        <v>32</v>
      </c>
      <c r="I13744" s="3">
        <v>227</v>
      </c>
      <c r="J13744" s="3">
        <v>234</v>
      </c>
      <c r="K13744" s="3">
        <v>899</v>
      </c>
      <c r="L13744" s="3">
        <v>189</v>
      </c>
      <c r="M13744" s="3">
        <v>382</v>
      </c>
    </row>
    <row r="13745" spans="1:13" x14ac:dyDescent="0.25">
      <c r="A13745" s="1" t="str">
        <f>HYPERLINK("http://www.rosaceae.org/Prunus/Prunus_persica/p.persica_gdr_reftransV1_0038644","p.persica_gdr_reftransV1_0038644")</f>
        <v>p.persica_gdr_reftransV1_0038644</v>
      </c>
      <c r="B13745" s="3">
        <v>2606</v>
      </c>
      <c r="C13745" s="1" t="str">
        <f>HYPERLINK("http://www.uniprot.org/uniprot/XYLT_ARATH","XYLT_ARATH")</f>
        <v>XYLT_ARATH</v>
      </c>
      <c r="D13745" t="s">
        <v>9181</v>
      </c>
      <c r="E13745" s="3" t="s">
        <v>3</v>
      </c>
      <c r="F13745" s="4">
        <v>5.5900000000000003E-164</v>
      </c>
      <c r="G13745" s="3">
        <v>1167</v>
      </c>
      <c r="H13745" s="3">
        <v>73</v>
      </c>
      <c r="I13745" s="3">
        <v>303</v>
      </c>
      <c r="J13745" s="3">
        <v>851</v>
      </c>
      <c r="K13745" s="3">
        <v>1723</v>
      </c>
      <c r="L13745" s="3">
        <v>232</v>
      </c>
      <c r="M13745" s="3">
        <v>534</v>
      </c>
    </row>
    <row r="13746" spans="1:13" x14ac:dyDescent="0.25">
      <c r="A13746" s="1" t="str">
        <f>HYPERLINK("http://www.rosaceae.org/Prunus/Prunus_persica/p.persica_gdr_reftransV1_0039094","p.persica_gdr_reftransV1_0039094")</f>
        <v>p.persica_gdr_reftransV1_0039094</v>
      </c>
      <c r="B13746" s="3">
        <v>2194</v>
      </c>
      <c r="C13746" s="1" t="str">
        <f>HYPERLINK("http://www.uniprot.org/uniprot/SARED_ESCCA","SARED_ESCCA")</f>
        <v>SARED_ESCCA</v>
      </c>
      <c r="D13746" t="s">
        <v>9182</v>
      </c>
      <c r="E13746" s="3" t="s">
        <v>9183</v>
      </c>
      <c r="F13746" s="4">
        <v>5.7100000000000002E-7</v>
      </c>
      <c r="G13746" s="3">
        <v>132</v>
      </c>
      <c r="H13746" s="3">
        <v>34</v>
      </c>
      <c r="I13746" s="3">
        <v>111</v>
      </c>
      <c r="J13746" s="3">
        <v>278</v>
      </c>
      <c r="K13746" s="3">
        <v>598</v>
      </c>
      <c r="L13746" s="3">
        <v>171</v>
      </c>
      <c r="M13746" s="3">
        <v>266</v>
      </c>
    </row>
    <row r="13747" spans="1:13" x14ac:dyDescent="0.25">
      <c r="A13747" s="1" t="str">
        <f>HYPERLINK("http://www.rosaceae.org/Prunus/Prunus_persica/p.persica_gdr_reftransV1_0039194","p.persica_gdr_reftransV1_0039194")</f>
        <v>p.persica_gdr_reftransV1_0039194</v>
      </c>
      <c r="B13747" s="3">
        <v>3119</v>
      </c>
      <c r="C13747" s="1" t="str">
        <f>HYPERLINK("http://www.uniprot.org/uniprot/GBF1_ARATH","GBF1_ARATH")</f>
        <v>GBF1_ARATH</v>
      </c>
      <c r="D13747" t="s">
        <v>1052</v>
      </c>
      <c r="E13747" s="3" t="s">
        <v>3</v>
      </c>
      <c r="F13747" s="4">
        <v>6.2500000000000002E-12</v>
      </c>
      <c r="G13747" s="3">
        <v>174</v>
      </c>
      <c r="H13747" s="3">
        <v>40</v>
      </c>
      <c r="I13747" s="3">
        <v>201</v>
      </c>
      <c r="J13747" s="3">
        <v>2114</v>
      </c>
      <c r="K13747" s="3">
        <v>2686</v>
      </c>
      <c r="L13747" s="3">
        <v>128</v>
      </c>
      <c r="M13747" s="3">
        <v>311</v>
      </c>
    </row>
    <row r="13748" spans="1:13" x14ac:dyDescent="0.25">
      <c r="A13748" s="1" t="str">
        <f>HYPERLINK("http://www.rosaceae.org/Prunus/Prunus_persica/p.persica_gdr_reftransV1_0039544","p.persica_gdr_reftransV1_0039544")</f>
        <v>p.persica_gdr_reftransV1_0039544</v>
      </c>
      <c r="B13748" s="3">
        <v>1849</v>
      </c>
      <c r="C13748" s="1" t="str">
        <f>HYPERLINK("http://www.uniprot.org/uniprot/U1159_ARATH","U1159_ARATH")</f>
        <v>U1159_ARATH</v>
      </c>
      <c r="D13748" t="s">
        <v>9184</v>
      </c>
      <c r="E13748" s="3" t="s">
        <v>3</v>
      </c>
      <c r="F13748" s="4">
        <v>2.1899999999999999E-57</v>
      </c>
      <c r="G13748" s="3">
        <v>517</v>
      </c>
      <c r="H13748" s="3">
        <v>52</v>
      </c>
      <c r="I13748" s="3">
        <v>354</v>
      </c>
      <c r="J13748" s="3">
        <v>621</v>
      </c>
      <c r="K13748" s="3">
        <v>1670</v>
      </c>
      <c r="L13748" s="3">
        <v>29</v>
      </c>
      <c r="M13748" s="3">
        <v>351</v>
      </c>
    </row>
    <row r="13749" spans="1:13" x14ac:dyDescent="0.25">
      <c r="A13749" s="1" t="str">
        <f>HYPERLINK("http://www.rosaceae.org/Prunus/Prunus_persica/p.persica_gdr_reftransV1_0039594","p.persica_gdr_reftransV1_0039594")</f>
        <v>p.persica_gdr_reftransV1_0039594</v>
      </c>
      <c r="B13749" s="3">
        <v>1715</v>
      </c>
      <c r="C13749" s="1" t="str">
        <f>HYPERLINK("http://www.uniprot.org/uniprot/BETL1_ARATH","BETL1_ARATH")</f>
        <v>BETL1_ARATH</v>
      </c>
      <c r="D13749" t="s">
        <v>9185</v>
      </c>
      <c r="E13749" s="3" t="s">
        <v>3</v>
      </c>
      <c r="F13749" s="4">
        <v>1.43E-56</v>
      </c>
      <c r="G13749" s="3">
        <v>488</v>
      </c>
      <c r="H13749" s="3">
        <v>69</v>
      </c>
      <c r="I13749" s="3">
        <v>122</v>
      </c>
      <c r="J13749" s="3">
        <v>1013</v>
      </c>
      <c r="K13749" s="3">
        <v>1378</v>
      </c>
      <c r="L13749" s="3">
        <v>15</v>
      </c>
      <c r="M13749" s="3">
        <v>136</v>
      </c>
    </row>
    <row r="13750" spans="1:13" x14ac:dyDescent="0.25">
      <c r="A13750" s="1" t="str">
        <f>HYPERLINK("http://www.rosaceae.org/Prunus/Prunus_persica/p.persica_gdr_reftransV1_0039644","p.persica_gdr_reftransV1_0039644")</f>
        <v>p.persica_gdr_reftransV1_0039644</v>
      </c>
      <c r="B13750" s="3">
        <v>1344</v>
      </c>
      <c r="C13750" s="1" t="str">
        <f>HYPERLINK("http://www.uniprot.org/uniprot/AB20I_ARATH","AB20I_ARATH")</f>
        <v>AB20I_ARATH</v>
      </c>
      <c r="D13750" t="s">
        <v>9186</v>
      </c>
      <c r="E13750" s="3" t="s">
        <v>3</v>
      </c>
      <c r="F13750" s="4">
        <v>1.2599999999999999E-172</v>
      </c>
      <c r="G13750" s="3">
        <v>1272</v>
      </c>
      <c r="H13750" s="3">
        <v>85</v>
      </c>
      <c r="I13750" s="3">
        <v>316</v>
      </c>
      <c r="J13750" s="3">
        <v>249</v>
      </c>
      <c r="K13750" s="3">
        <v>1184</v>
      </c>
      <c r="L13750" s="3">
        <v>13</v>
      </c>
      <c r="M13750" s="3">
        <v>328</v>
      </c>
    </row>
    <row r="13751" spans="1:13" x14ac:dyDescent="0.25">
      <c r="A13751" s="1" t="str">
        <f>HYPERLINK("http://www.rosaceae.org/Prunus/Prunus_persica/p.persica_gdr_reftransV1_0039694","p.persica_gdr_reftransV1_0039694")</f>
        <v>p.persica_gdr_reftransV1_0039694</v>
      </c>
      <c r="B13751" s="3">
        <v>4382</v>
      </c>
      <c r="C13751" s="1" t="str">
        <f>HYPERLINK("http://www.uniprot.org/uniprot/SCAI_HUMAN","SCAI_HUMAN")</f>
        <v>SCAI_HUMAN</v>
      </c>
      <c r="D13751" t="s">
        <v>401</v>
      </c>
      <c r="E13751" s="3" t="s">
        <v>28</v>
      </c>
      <c r="F13751" s="4">
        <v>1.7199999999999999E-63</v>
      </c>
      <c r="G13751" s="3">
        <v>596</v>
      </c>
      <c r="H13751" s="3">
        <v>36</v>
      </c>
      <c r="I13751" s="3">
        <v>411</v>
      </c>
      <c r="J13751" s="3">
        <v>866</v>
      </c>
      <c r="K13751" s="3">
        <v>2077</v>
      </c>
      <c r="L13751" s="3">
        <v>59</v>
      </c>
      <c r="M13751" s="3">
        <v>442</v>
      </c>
    </row>
    <row r="13752" spans="1:13" x14ac:dyDescent="0.25">
      <c r="A13752" s="1" t="str">
        <f>HYPERLINK("http://www.rosaceae.org/Prunus/Prunus_persica/p.persica_gdr_reftransV1_0039744","p.persica_gdr_reftransV1_0039744")</f>
        <v>p.persica_gdr_reftransV1_0039744</v>
      </c>
      <c r="B13752" s="3">
        <v>4594</v>
      </c>
      <c r="C13752" s="1" t="str">
        <f>HYPERLINK("http://www.uniprot.org/uniprot/FAR1_ARATH","FAR1_ARATH")</f>
        <v>FAR1_ARATH</v>
      </c>
      <c r="D13752" t="s">
        <v>9187</v>
      </c>
      <c r="E13752" s="3" t="s">
        <v>3</v>
      </c>
      <c r="F13752" s="4">
        <v>0</v>
      </c>
      <c r="G13752" s="3">
        <v>2122</v>
      </c>
      <c r="H13752" s="3">
        <v>52</v>
      </c>
      <c r="I13752" s="3">
        <v>777</v>
      </c>
      <c r="J13752" s="3">
        <v>337</v>
      </c>
      <c r="K13752" s="3">
        <v>2655</v>
      </c>
      <c r="L13752" s="3">
        <v>40</v>
      </c>
      <c r="M13752" s="3">
        <v>794</v>
      </c>
    </row>
    <row r="13753" spans="1:13" x14ac:dyDescent="0.25">
      <c r="A13753" s="1" t="str">
        <f>HYPERLINK("http://www.rosaceae.org/Prunus/Prunus_persica/p.persica_gdr_reftransV1_0039844","p.persica_gdr_reftransV1_0039844")</f>
        <v>p.persica_gdr_reftransV1_0039844</v>
      </c>
      <c r="B13753" s="3">
        <v>3978</v>
      </c>
      <c r="C13753" s="1" t="str">
        <f>HYPERLINK("http://www.uniprot.org/uniprot/YERG_SCHPO","YERG_SCHPO")</f>
        <v>YERG_SCHPO</v>
      </c>
      <c r="D13753" t="s">
        <v>1673</v>
      </c>
      <c r="E13753" s="3" t="s">
        <v>464</v>
      </c>
      <c r="F13753" s="4">
        <v>7.73E-59</v>
      </c>
      <c r="G13753" s="3">
        <v>547</v>
      </c>
      <c r="H13753" s="3">
        <v>38</v>
      </c>
      <c r="I13753" s="3">
        <v>306</v>
      </c>
      <c r="J13753" s="3">
        <v>121</v>
      </c>
      <c r="K13753" s="3">
        <v>1026</v>
      </c>
      <c r="L13753" s="3">
        <v>74</v>
      </c>
      <c r="M13753" s="3">
        <v>376</v>
      </c>
    </row>
    <row r="13754" spans="1:13" x14ac:dyDescent="0.25">
      <c r="A13754" s="1" t="str">
        <f>HYPERLINK("http://www.rosaceae.org/Prunus/Prunus_persica/p.persica_gdr_reftransV1_0039994","p.persica_gdr_reftransV1_0039994")</f>
        <v>p.persica_gdr_reftransV1_0039994</v>
      </c>
      <c r="B13754" s="3">
        <v>2258</v>
      </c>
      <c r="C13754" s="1" t="str">
        <f>HYPERLINK("http://www.uniprot.org/uniprot/BEM46_SCHPO","BEM46_SCHPO")</f>
        <v>BEM46_SCHPO</v>
      </c>
      <c r="D13754" t="s">
        <v>9188</v>
      </c>
      <c r="E13754" s="3" t="s">
        <v>464</v>
      </c>
      <c r="F13754" s="4">
        <v>2.4600000000000001E-46</v>
      </c>
      <c r="G13754" s="3">
        <v>434</v>
      </c>
      <c r="H13754" s="3">
        <v>33</v>
      </c>
      <c r="I13754" s="3">
        <v>326</v>
      </c>
      <c r="J13754" s="3">
        <v>187</v>
      </c>
      <c r="K13754" s="3">
        <v>1155</v>
      </c>
      <c r="L13754" s="3">
        <v>35</v>
      </c>
      <c r="M13754" s="3">
        <v>292</v>
      </c>
    </row>
    <row r="13755" spans="1:13" x14ac:dyDescent="0.25">
      <c r="A13755" s="1" t="str">
        <f>HYPERLINK("http://www.rosaceae.org/Prunus/Prunus_persica/p.persica_gdr_reftransV1_0040094","p.persica_gdr_reftransV1_0040094")</f>
        <v>p.persica_gdr_reftransV1_0040094</v>
      </c>
      <c r="B13755" s="3">
        <v>4191</v>
      </c>
      <c r="C13755" s="1" t="str">
        <f>HYPERLINK("http://www.uniprot.org/uniprot/RTEL1_DANRE","RTEL1_DANRE")</f>
        <v>RTEL1_DANRE</v>
      </c>
      <c r="D13755" t="s">
        <v>9189</v>
      </c>
      <c r="E13755" s="3" t="s">
        <v>704</v>
      </c>
      <c r="F13755" s="4">
        <v>0</v>
      </c>
      <c r="G13755" s="3">
        <v>1504</v>
      </c>
      <c r="H13755" s="3">
        <v>40</v>
      </c>
      <c r="I13755" s="3">
        <v>788</v>
      </c>
      <c r="J13755" s="3">
        <v>1850</v>
      </c>
      <c r="K13755" s="3">
        <v>4057</v>
      </c>
      <c r="L13755" s="3">
        <v>1</v>
      </c>
      <c r="M13755" s="3">
        <v>760</v>
      </c>
    </row>
    <row r="13756" spans="1:13" x14ac:dyDescent="0.25">
      <c r="A13756" s="1" t="str">
        <f>HYPERLINK("http://www.rosaceae.org/Prunus/Prunus_persica/p.persica_gdr_reftransV1_0040544","p.persica_gdr_reftransV1_0040544")</f>
        <v>p.persica_gdr_reftransV1_0040544</v>
      </c>
      <c r="B13756" s="3">
        <v>2937</v>
      </c>
      <c r="C13756" s="1" t="str">
        <f>HYPERLINK("http://www.uniprot.org/uniprot/RB47B_ARATH","RB47B_ARATH")</f>
        <v>RB47B_ARATH</v>
      </c>
      <c r="D13756" t="s">
        <v>7243</v>
      </c>
      <c r="E13756" s="3" t="s">
        <v>3</v>
      </c>
      <c r="F13756" s="4">
        <v>8.4499999999999997E-94</v>
      </c>
      <c r="G13756" s="3">
        <v>795</v>
      </c>
      <c r="H13756" s="3">
        <v>73</v>
      </c>
      <c r="I13756" s="3">
        <v>193</v>
      </c>
      <c r="J13756" s="3">
        <v>2257</v>
      </c>
      <c r="K13756" s="3">
        <v>2832</v>
      </c>
      <c r="L13756" s="3">
        <v>105</v>
      </c>
      <c r="M13756" s="3">
        <v>297</v>
      </c>
    </row>
    <row r="13757" spans="1:13" x14ac:dyDescent="0.25">
      <c r="A13757" s="1" t="str">
        <f>HYPERLINK("http://www.rosaceae.org/Prunus/Prunus_persica/p.persica_gdr_reftransV1_0040694","p.persica_gdr_reftransV1_0040694")</f>
        <v>p.persica_gdr_reftransV1_0040694</v>
      </c>
      <c r="B13757" s="3">
        <v>2592</v>
      </c>
      <c r="C13757" s="1" t="str">
        <f>HYPERLINK("http://www.uniprot.org/uniprot/PDK_ARATH","PDK_ARATH")</f>
        <v>PDK_ARATH</v>
      </c>
      <c r="D13757" t="s">
        <v>2476</v>
      </c>
      <c r="E13757" s="3" t="s">
        <v>3</v>
      </c>
      <c r="F13757" s="4">
        <v>0</v>
      </c>
      <c r="G13757" s="3">
        <v>1592</v>
      </c>
      <c r="H13757" s="3">
        <v>84</v>
      </c>
      <c r="I13757" s="3">
        <v>352</v>
      </c>
      <c r="J13757" s="3">
        <v>1209</v>
      </c>
      <c r="K13757" s="3">
        <v>2261</v>
      </c>
      <c r="L13757" s="3">
        <v>1</v>
      </c>
      <c r="M13757" s="3">
        <v>348</v>
      </c>
    </row>
    <row r="13758" spans="1:13" x14ac:dyDescent="0.25">
      <c r="A13758" s="1" t="str">
        <f>HYPERLINK("http://www.rosaceae.org/Prunus/Prunus_persica/p.persica_gdr_reftransV1_0040744","p.persica_gdr_reftransV1_0040744")</f>
        <v>p.persica_gdr_reftransV1_0040744</v>
      </c>
      <c r="B13758" s="3">
        <v>1593</v>
      </c>
      <c r="C13758" s="1" t="str">
        <f>HYPERLINK("http://www.uniprot.org/uniprot/ARG7_VIGRR","ARG7_VIGRR")</f>
        <v>ARG7_VIGRR</v>
      </c>
      <c r="D13758" t="s">
        <v>3937</v>
      </c>
      <c r="E13758" s="3" t="s">
        <v>2261</v>
      </c>
      <c r="F13758" s="4">
        <v>2.9700000000000001E-30</v>
      </c>
      <c r="G13758" s="3">
        <v>294</v>
      </c>
      <c r="H13758" s="3">
        <v>62</v>
      </c>
      <c r="I13758" s="3">
        <v>100</v>
      </c>
      <c r="J13758" s="3">
        <v>640</v>
      </c>
      <c r="K13758" s="3">
        <v>939</v>
      </c>
      <c r="L13758" s="3">
        <v>1</v>
      </c>
      <c r="M13758" s="3">
        <v>91</v>
      </c>
    </row>
    <row r="13759" spans="1:13" x14ac:dyDescent="0.25">
      <c r="A13759" s="1" t="str">
        <f>HYPERLINK("http://www.rosaceae.org/Prunus/Prunus_persica/p.persica_gdr_reftransV1_0040944","p.persica_gdr_reftransV1_0040944")</f>
        <v>p.persica_gdr_reftransV1_0040944</v>
      </c>
      <c r="B13759" s="3">
        <v>1775</v>
      </c>
      <c r="C13759" s="1" t="str">
        <f>HYPERLINK("http://www.uniprot.org/uniprot/ABRD_ABRPR","ABRD_ABRPR")</f>
        <v>ABRD_ABRPR</v>
      </c>
      <c r="D13759" t="s">
        <v>9190</v>
      </c>
      <c r="E13759" s="3" t="s">
        <v>4136</v>
      </c>
      <c r="F13759" s="4">
        <v>1.03E-34</v>
      </c>
      <c r="G13759" s="3">
        <v>355</v>
      </c>
      <c r="H13759" s="3">
        <v>36</v>
      </c>
      <c r="I13759" s="3">
        <v>284</v>
      </c>
      <c r="J13759" s="3">
        <v>325</v>
      </c>
      <c r="K13759" s="3">
        <v>1173</v>
      </c>
      <c r="L13759" s="3">
        <v>4</v>
      </c>
      <c r="M13759" s="3">
        <v>249</v>
      </c>
    </row>
    <row r="13760" spans="1:13" x14ac:dyDescent="0.25">
      <c r="A13760" s="1" t="str">
        <f>HYPERLINK("http://www.rosaceae.org/Prunus/Prunus_persica/p.persica_gdr_reftransV1_0041494","p.persica_gdr_reftransV1_0041494")</f>
        <v>p.persica_gdr_reftransV1_0041494</v>
      </c>
      <c r="B13760" s="3">
        <v>1926</v>
      </c>
      <c r="C13760" s="1" t="str">
        <f>HYPERLINK("http://www.uniprot.org/uniprot/PP213_ARATH","PP213_ARATH")</f>
        <v>PP213_ARATH</v>
      </c>
      <c r="D13760" t="s">
        <v>1026</v>
      </c>
      <c r="E13760" s="3" t="s">
        <v>3</v>
      </c>
      <c r="F13760" s="4">
        <v>6.5199999999999998E-19</v>
      </c>
      <c r="G13760" s="3">
        <v>234</v>
      </c>
      <c r="H13760" s="3">
        <v>28</v>
      </c>
      <c r="I13760" s="3">
        <v>218</v>
      </c>
      <c r="J13760" s="3">
        <v>289</v>
      </c>
      <c r="K13760" s="3">
        <v>939</v>
      </c>
      <c r="L13760" s="3">
        <v>139</v>
      </c>
      <c r="M13760" s="3">
        <v>355</v>
      </c>
    </row>
    <row r="13761" spans="1:13" x14ac:dyDescent="0.25">
      <c r="A13761" s="1" t="str">
        <f>HYPERLINK("http://www.rosaceae.org/Prunus/Prunus_persica/p.persica_gdr_reftransV1_0041594","p.persica_gdr_reftransV1_0041594")</f>
        <v>p.persica_gdr_reftransV1_0041594</v>
      </c>
      <c r="B13761" s="3">
        <v>1540</v>
      </c>
      <c r="C13761" s="1" t="str">
        <f>HYPERLINK("http://www.uniprot.org/uniprot/CSN7_ARATH","CSN7_ARATH")</f>
        <v>CSN7_ARATH</v>
      </c>
      <c r="D13761" t="s">
        <v>9030</v>
      </c>
      <c r="E13761" s="3" t="s">
        <v>3</v>
      </c>
      <c r="F13761" s="4">
        <v>1.33E-105</v>
      </c>
      <c r="G13761" s="3">
        <v>827</v>
      </c>
      <c r="H13761" s="3">
        <v>60</v>
      </c>
      <c r="I13761" s="3">
        <v>261</v>
      </c>
      <c r="J13761" s="3">
        <v>609</v>
      </c>
      <c r="K13761" s="3">
        <v>1391</v>
      </c>
      <c r="L13761" s="3">
        <v>1</v>
      </c>
      <c r="M13761" s="3">
        <v>258</v>
      </c>
    </row>
    <row r="13762" spans="1:13" x14ac:dyDescent="0.25">
      <c r="A13762" s="1" t="str">
        <f>HYPERLINK("http://www.rosaceae.org/Prunus/Prunus_persica/p.persica_gdr_reftransV1_0041694","p.persica_gdr_reftransV1_0041694")</f>
        <v>p.persica_gdr_reftransV1_0041694</v>
      </c>
      <c r="B13762" s="3">
        <v>1319</v>
      </c>
      <c r="C13762" s="1" t="str">
        <f>HYPERLINK("http://www.uniprot.org/uniprot/SDI1_ARATH","SDI1_ARATH")</f>
        <v>SDI1_ARATH</v>
      </c>
      <c r="D13762" t="s">
        <v>9191</v>
      </c>
      <c r="E13762" s="3" t="s">
        <v>3</v>
      </c>
      <c r="F13762" s="4">
        <v>1.32E-132</v>
      </c>
      <c r="G13762" s="3">
        <v>1005</v>
      </c>
      <c r="H13762" s="3">
        <v>70</v>
      </c>
      <c r="I13762" s="3">
        <v>285</v>
      </c>
      <c r="J13762" s="3">
        <v>159</v>
      </c>
      <c r="K13762" s="3">
        <v>998</v>
      </c>
      <c r="L13762" s="3">
        <v>24</v>
      </c>
      <c r="M13762" s="3">
        <v>306</v>
      </c>
    </row>
    <row r="13763" spans="1:13" x14ac:dyDescent="0.25">
      <c r="A13763" s="1" t="str">
        <f>HYPERLINK("http://www.rosaceae.org/Prunus/Prunus_persica/p.persica_gdr_reftransV1_0041994","p.persica_gdr_reftransV1_0041994")</f>
        <v>p.persica_gdr_reftransV1_0041994</v>
      </c>
      <c r="B13763" s="3">
        <v>2014</v>
      </c>
      <c r="C13763" s="1" t="str">
        <f>HYPERLINK("http://www.uniprot.org/uniprot/RING1_ARATH","RING1_ARATH")</f>
        <v>RING1_ARATH</v>
      </c>
      <c r="D13763" t="s">
        <v>3472</v>
      </c>
      <c r="E13763" s="3" t="s">
        <v>3</v>
      </c>
      <c r="F13763" s="4">
        <v>1.32E-115</v>
      </c>
      <c r="G13763" s="3">
        <v>846</v>
      </c>
      <c r="H13763" s="3">
        <v>70</v>
      </c>
      <c r="I13763" s="3">
        <v>305</v>
      </c>
      <c r="J13763" s="3">
        <v>805</v>
      </c>
      <c r="K13763" s="3">
        <v>1689</v>
      </c>
      <c r="L13763" s="3">
        <v>49</v>
      </c>
      <c r="M13763" s="3">
        <v>351</v>
      </c>
    </row>
    <row r="13764" spans="1:13" x14ac:dyDescent="0.25">
      <c r="A13764" s="1" t="str">
        <f>HYPERLINK("http://www.rosaceae.org/Prunus/Prunus_persica/p.persica_gdr_reftransV1_0042044","p.persica_gdr_reftransV1_0042044")</f>
        <v>p.persica_gdr_reftransV1_0042044</v>
      </c>
      <c r="B13764" s="3">
        <v>2052</v>
      </c>
      <c r="C13764" s="1" t="str">
        <f>HYPERLINK("http://www.uniprot.org/uniprot/FPG_ARATH","FPG_ARATH")</f>
        <v>FPG_ARATH</v>
      </c>
      <c r="D13764" t="s">
        <v>9192</v>
      </c>
      <c r="E13764" s="3" t="s">
        <v>3</v>
      </c>
      <c r="F13764" s="4">
        <v>2.2700000000000002E-131</v>
      </c>
      <c r="G13764" s="3">
        <v>1027</v>
      </c>
      <c r="H13764" s="3">
        <v>66</v>
      </c>
      <c r="I13764" s="3">
        <v>323</v>
      </c>
      <c r="J13764" s="3">
        <v>1028</v>
      </c>
      <c r="K13764" s="3">
        <v>1963</v>
      </c>
      <c r="L13764" s="3">
        <v>1</v>
      </c>
      <c r="M13764" s="3">
        <v>279</v>
      </c>
    </row>
    <row r="13765" spans="1:13" x14ac:dyDescent="0.25">
      <c r="A13765" s="1" t="str">
        <f>HYPERLINK("http://www.rosaceae.org/Prunus/Prunus_persica/p.persica_gdr_reftransV1_0042094","p.persica_gdr_reftransV1_0042094")</f>
        <v>p.persica_gdr_reftransV1_0042094</v>
      </c>
      <c r="B13765" s="3">
        <v>3926</v>
      </c>
      <c r="C13765" s="1" t="str">
        <f>HYPERLINK("http://www.uniprot.org/uniprot/RMR2_ARATH","RMR2_ARATH")</f>
        <v>RMR2_ARATH</v>
      </c>
      <c r="D13765" t="s">
        <v>6313</v>
      </c>
      <c r="E13765" s="3" t="s">
        <v>3</v>
      </c>
      <c r="F13765" s="4">
        <v>7.1299999999999998E-128</v>
      </c>
      <c r="G13765" s="3">
        <v>1049</v>
      </c>
      <c r="H13765" s="3">
        <v>74</v>
      </c>
      <c r="I13765" s="3">
        <v>267</v>
      </c>
      <c r="J13765" s="3">
        <v>321</v>
      </c>
      <c r="K13765" s="3">
        <v>1121</v>
      </c>
      <c r="L13765" s="3">
        <v>17</v>
      </c>
      <c r="M13765" s="3">
        <v>283</v>
      </c>
    </row>
    <row r="13766" spans="1:13" x14ac:dyDescent="0.25">
      <c r="A13766" s="1" t="str">
        <f>HYPERLINK("http://www.rosaceae.org/Prunus/Prunus_persica/p.persica_gdr_reftransV1_0042744","p.persica_gdr_reftransV1_0042744")</f>
        <v>p.persica_gdr_reftransV1_0042744</v>
      </c>
      <c r="B13766" s="3">
        <v>2930</v>
      </c>
      <c r="C13766" s="1" t="str">
        <f>HYPERLINK("http://www.uniprot.org/uniprot/C3H3_ARATH","C3H3_ARATH")</f>
        <v>C3H3_ARATH</v>
      </c>
      <c r="D13766" t="s">
        <v>9193</v>
      </c>
      <c r="E13766" s="3" t="s">
        <v>3</v>
      </c>
      <c r="F13766" s="4">
        <v>7.9100000000000003E-70</v>
      </c>
      <c r="G13766" s="3">
        <v>620</v>
      </c>
      <c r="H13766" s="3">
        <v>43</v>
      </c>
      <c r="I13766" s="3">
        <v>328</v>
      </c>
      <c r="J13766" s="3">
        <v>1495</v>
      </c>
      <c r="K13766" s="3">
        <v>2454</v>
      </c>
      <c r="L13766" s="3">
        <v>97</v>
      </c>
      <c r="M13766" s="3">
        <v>401</v>
      </c>
    </row>
    <row r="13767" spans="1:13" x14ac:dyDescent="0.25">
      <c r="A13767" s="1" t="str">
        <f>HYPERLINK("http://www.rosaceae.org/Prunus/Prunus_persica/p.persica_gdr_reftransV1_0042844","p.persica_gdr_reftransV1_0042844")</f>
        <v>p.persica_gdr_reftransV1_0042844</v>
      </c>
      <c r="B13767" s="3">
        <v>5157</v>
      </c>
      <c r="C13767" s="1" t="str">
        <f>HYPERLINK("http://www.uniprot.org/uniprot/Y1049_ARATH","Y1049_ARATH")</f>
        <v>Y1049_ARATH</v>
      </c>
      <c r="D13767" t="s">
        <v>5282</v>
      </c>
      <c r="E13767" s="3" t="s">
        <v>3</v>
      </c>
      <c r="F13767" s="4">
        <v>2.8199999999999999E-112</v>
      </c>
      <c r="G13767" s="3">
        <v>951</v>
      </c>
      <c r="H13767" s="3">
        <v>51</v>
      </c>
      <c r="I13767" s="3">
        <v>352</v>
      </c>
      <c r="J13767" s="3">
        <v>1459</v>
      </c>
      <c r="K13767" s="3">
        <v>2514</v>
      </c>
      <c r="L13767" s="3">
        <v>131</v>
      </c>
      <c r="M13767" s="3">
        <v>482</v>
      </c>
    </row>
    <row r="13768" spans="1:13" x14ac:dyDescent="0.25">
      <c r="A13768" s="1" t="str">
        <f>HYPERLINK("http://www.rosaceae.org/Prunus/Prunus_persica/p.persica_gdr_reftransV1_0043044","p.persica_gdr_reftransV1_0043044")</f>
        <v>p.persica_gdr_reftransV1_0043044</v>
      </c>
      <c r="B13768" s="3">
        <v>529</v>
      </c>
      <c r="C13768" s="1" t="str">
        <f>HYPERLINK("http://www.uniprot.org/uniprot/TT12_ARATH","TT12_ARATH")</f>
        <v>TT12_ARATH</v>
      </c>
      <c r="D13768" t="s">
        <v>353</v>
      </c>
      <c r="E13768" s="3" t="s">
        <v>3</v>
      </c>
      <c r="F13768" s="4">
        <v>2.93E-30</v>
      </c>
      <c r="G13768" s="3">
        <v>297</v>
      </c>
      <c r="H13768" s="3">
        <v>53</v>
      </c>
      <c r="I13768" s="3">
        <v>160</v>
      </c>
      <c r="J13768" s="3">
        <v>3</v>
      </c>
      <c r="K13768" s="3">
        <v>482</v>
      </c>
      <c r="L13768" s="3">
        <v>91</v>
      </c>
      <c r="M13768" s="3">
        <v>250</v>
      </c>
    </row>
    <row r="13769" spans="1:13" x14ac:dyDescent="0.25">
      <c r="A13769" s="1" t="str">
        <f>HYPERLINK("http://www.rosaceae.org/Prunus/Prunus_persica/p.persica_gdr_reftransV1_0043094","p.persica_gdr_reftransV1_0043094")</f>
        <v>p.persica_gdr_reftransV1_0043094</v>
      </c>
      <c r="B13769" s="3">
        <v>1468</v>
      </c>
      <c r="C13769" s="1" t="str">
        <f>HYPERLINK("http://www.uniprot.org/uniprot/U83A1_ARATH","U83A1_ARATH")</f>
        <v>U83A1_ARATH</v>
      </c>
      <c r="D13769" t="s">
        <v>6133</v>
      </c>
      <c r="E13769" s="3" t="s">
        <v>3</v>
      </c>
      <c r="F13769" s="4">
        <v>2.26E-147</v>
      </c>
      <c r="G13769" s="3">
        <v>1123</v>
      </c>
      <c r="H13769" s="3">
        <v>46</v>
      </c>
      <c r="I13769" s="3">
        <v>469</v>
      </c>
      <c r="J13769" s="3">
        <v>7</v>
      </c>
      <c r="K13769" s="3">
        <v>1383</v>
      </c>
      <c r="L13769" s="3">
        <v>5</v>
      </c>
      <c r="M13769" s="3">
        <v>461</v>
      </c>
    </row>
    <row r="13770" spans="1:13" x14ac:dyDescent="0.25">
      <c r="A13770" s="1" t="str">
        <f>HYPERLINK("http://www.rosaceae.org/Prunus/Prunus_persica/p.persica_gdr_reftransV1_0043244","p.persica_gdr_reftransV1_0043244")</f>
        <v>p.persica_gdr_reftransV1_0043244</v>
      </c>
      <c r="B13770" s="3">
        <v>774</v>
      </c>
      <c r="C13770" s="1" t="str">
        <f>HYPERLINK("http://www.uniprot.org/uniprot/RL142_ARATH","RL142_ARATH")</f>
        <v>RL142_ARATH</v>
      </c>
      <c r="D13770" t="s">
        <v>9194</v>
      </c>
      <c r="E13770" s="3" t="s">
        <v>3</v>
      </c>
      <c r="F13770" s="4">
        <v>2.0299999999999998E-65</v>
      </c>
      <c r="G13770" s="3">
        <v>525</v>
      </c>
      <c r="H13770" s="3">
        <v>83</v>
      </c>
      <c r="I13770" s="3">
        <v>134</v>
      </c>
      <c r="J13770" s="3">
        <v>250</v>
      </c>
      <c r="K13770" s="3">
        <v>651</v>
      </c>
      <c r="L13770" s="3">
        <v>1</v>
      </c>
      <c r="M13770" s="3">
        <v>134</v>
      </c>
    </row>
    <row r="13771" spans="1:13" x14ac:dyDescent="0.25">
      <c r="A13771" s="1" t="str">
        <f>HYPERLINK("http://www.rosaceae.org/Prunus/Prunus_persica/p.persica_gdr_reftransV1_0043294","p.persica_gdr_reftransV1_0043294")</f>
        <v>p.persica_gdr_reftransV1_0043294</v>
      </c>
      <c r="B13771" s="3">
        <v>797</v>
      </c>
      <c r="C13771" s="1" t="str">
        <f>HYPERLINK("http://www.uniprot.org/uniprot/RLA32_ARATH","RLA32_ARATH")</f>
        <v>RLA32_ARATH</v>
      </c>
      <c r="D13771" t="s">
        <v>9195</v>
      </c>
      <c r="E13771" s="3" t="s">
        <v>3</v>
      </c>
      <c r="F13771" s="4">
        <v>1.08E-27</v>
      </c>
      <c r="G13771" s="3">
        <v>270</v>
      </c>
      <c r="H13771" s="3">
        <v>72</v>
      </c>
      <c r="I13771" s="3">
        <v>69</v>
      </c>
      <c r="J13771" s="3">
        <v>178</v>
      </c>
      <c r="K13771" s="3">
        <v>384</v>
      </c>
      <c r="L13771" s="3">
        <v>1</v>
      </c>
      <c r="M13771" s="3">
        <v>69</v>
      </c>
    </row>
    <row r="13772" spans="1:13" x14ac:dyDescent="0.25">
      <c r="A13772" s="1" t="str">
        <f>HYPERLINK("http://www.rosaceae.org/Prunus/Prunus_persica/p.persica_gdr_reftransV1_0043344","p.persica_gdr_reftransV1_0043344")</f>
        <v>p.persica_gdr_reftransV1_0043344</v>
      </c>
      <c r="B13772" s="3">
        <v>852</v>
      </c>
      <c r="C13772" s="1" t="str">
        <f>HYPERLINK("http://www.uniprot.org/uniprot/RL281_ARATH","RL281_ARATH")</f>
        <v>RL281_ARATH</v>
      </c>
      <c r="D13772" t="s">
        <v>9196</v>
      </c>
      <c r="E13772" s="3" t="s">
        <v>3</v>
      </c>
      <c r="F13772" s="4">
        <v>7.8299999999999999E-73</v>
      </c>
      <c r="G13772" s="3">
        <v>577</v>
      </c>
      <c r="H13772" s="3">
        <v>75</v>
      </c>
      <c r="I13772" s="3">
        <v>143</v>
      </c>
      <c r="J13772" s="3">
        <v>68</v>
      </c>
      <c r="K13772" s="3">
        <v>496</v>
      </c>
      <c r="L13772" s="3">
        <v>1</v>
      </c>
      <c r="M13772" s="3">
        <v>143</v>
      </c>
    </row>
    <row r="13773" spans="1:13" x14ac:dyDescent="0.25">
      <c r="A13773" s="1" t="str">
        <f>HYPERLINK("http://www.rosaceae.org/Prunus/Prunus_persica/p.persica_gdr_reftransV1_0043494","p.persica_gdr_reftransV1_0043494")</f>
        <v>p.persica_gdr_reftransV1_0043494</v>
      </c>
      <c r="B13773" s="3">
        <v>501</v>
      </c>
      <c r="C13773" s="1" t="str">
        <f>HYPERLINK("http://www.uniprot.org/uniprot/GRF5_ARATH","GRF5_ARATH")</f>
        <v>GRF5_ARATH</v>
      </c>
      <c r="D13773" t="s">
        <v>9197</v>
      </c>
      <c r="E13773" s="3" t="s">
        <v>3</v>
      </c>
      <c r="F13773" s="4">
        <v>4.6199999999999998E-17</v>
      </c>
      <c r="G13773" s="3">
        <v>199</v>
      </c>
      <c r="H13773" s="3">
        <v>47</v>
      </c>
      <c r="I13773" s="3">
        <v>96</v>
      </c>
      <c r="J13773" s="3">
        <v>2</v>
      </c>
      <c r="K13773" s="3">
        <v>277</v>
      </c>
      <c r="L13773" s="3">
        <v>2</v>
      </c>
      <c r="M13773" s="3">
        <v>94</v>
      </c>
    </row>
    <row r="13774" spans="1:13" x14ac:dyDescent="0.25">
      <c r="A13774" s="1" t="str">
        <f>HYPERLINK("http://www.rosaceae.org/Prunus/Prunus_persica/p.persica_gdr_reftransV1_0043544","p.persica_gdr_reftransV1_0043544")</f>
        <v>p.persica_gdr_reftransV1_0043544</v>
      </c>
      <c r="B13774" s="3">
        <v>2472</v>
      </c>
      <c r="C13774" s="1" t="str">
        <f>HYPERLINK("http://www.uniprot.org/uniprot/ASPM_COLGU","ASPM_COLGU")</f>
        <v>ASPM_COLGU</v>
      </c>
      <c r="D13774" t="s">
        <v>9198</v>
      </c>
      <c r="E13774" s="3" t="s">
        <v>9199</v>
      </c>
      <c r="F13774" s="4">
        <v>3.1900000000000001E-28</v>
      </c>
      <c r="G13774" s="3">
        <v>317</v>
      </c>
      <c r="H13774" s="3">
        <v>27</v>
      </c>
      <c r="I13774" s="3">
        <v>528</v>
      </c>
      <c r="J13774" s="3">
        <v>547</v>
      </c>
      <c r="K13774" s="3">
        <v>1938</v>
      </c>
      <c r="L13774" s="3">
        <v>2851</v>
      </c>
      <c r="M13774" s="3">
        <v>3347</v>
      </c>
    </row>
    <row r="13775" spans="1:13" x14ac:dyDescent="0.25">
      <c r="A13775" s="1" t="str">
        <f>HYPERLINK("http://www.rosaceae.org/Prunus/Prunus_persica/p.persica_gdr_reftransV1_0043594","p.persica_gdr_reftransV1_0043594")</f>
        <v>p.persica_gdr_reftransV1_0043594</v>
      </c>
      <c r="B13775" s="3">
        <v>1644</v>
      </c>
      <c r="C13775" s="1" t="str">
        <f>HYPERLINK("http://www.uniprot.org/uniprot/CALR3_ARATH","CALR3_ARATH")</f>
        <v>CALR3_ARATH</v>
      </c>
      <c r="D13775" t="s">
        <v>1727</v>
      </c>
      <c r="E13775" s="3" t="s">
        <v>3</v>
      </c>
      <c r="F13775" s="4">
        <v>0</v>
      </c>
      <c r="G13775" s="3">
        <v>1526</v>
      </c>
      <c r="H13775" s="3">
        <v>84</v>
      </c>
      <c r="I13775" s="3">
        <v>331</v>
      </c>
      <c r="J13775" s="3">
        <v>521</v>
      </c>
      <c r="K13775" s="3">
        <v>1513</v>
      </c>
      <c r="L13775" s="3">
        <v>28</v>
      </c>
      <c r="M13775" s="3">
        <v>358</v>
      </c>
    </row>
    <row r="13776" spans="1:13" x14ac:dyDescent="0.25">
      <c r="A13776" s="1" t="str">
        <f>HYPERLINK("http://www.rosaceae.org/Prunus/Prunus_persica/p.persica_gdr_reftransV1_0043744","p.persica_gdr_reftransV1_0043744")</f>
        <v>p.persica_gdr_reftransV1_0043744</v>
      </c>
      <c r="B13776" s="3">
        <v>1056</v>
      </c>
      <c r="C13776" s="1" t="str">
        <f>HYPERLINK("http://www.uniprot.org/uniprot/PP258_ARATH","PP258_ARATH")</f>
        <v>PP258_ARATH</v>
      </c>
      <c r="D13776" t="s">
        <v>45</v>
      </c>
      <c r="E13776" s="3" t="s">
        <v>3</v>
      </c>
      <c r="F13776" s="4">
        <v>1.72E-107</v>
      </c>
      <c r="G13776" s="3">
        <v>859</v>
      </c>
      <c r="H13776" s="3">
        <v>55</v>
      </c>
      <c r="I13776" s="3">
        <v>273</v>
      </c>
      <c r="J13776" s="3">
        <v>2</v>
      </c>
      <c r="K13776" s="3">
        <v>820</v>
      </c>
      <c r="L13776" s="3">
        <v>387</v>
      </c>
      <c r="M13776" s="3">
        <v>659</v>
      </c>
    </row>
    <row r="13777" spans="1:13" x14ac:dyDescent="0.25">
      <c r="A13777" s="1" t="str">
        <f>HYPERLINK("http://www.rosaceae.org/Prunus/Prunus_persica/p.persica_gdr_reftransV1_0043794","p.persica_gdr_reftransV1_0043794")</f>
        <v>p.persica_gdr_reftransV1_0043794</v>
      </c>
      <c r="B13777" s="3">
        <v>2803</v>
      </c>
      <c r="C13777" s="1" t="str">
        <f>HYPERLINK("http://www.uniprot.org/uniprot/SBT17_ARATH","SBT17_ARATH")</f>
        <v>SBT17_ARATH</v>
      </c>
      <c r="D13777" t="s">
        <v>218</v>
      </c>
      <c r="E13777" s="3" t="s">
        <v>3</v>
      </c>
      <c r="F13777" s="4">
        <v>0</v>
      </c>
      <c r="G13777" s="3">
        <v>2726</v>
      </c>
      <c r="H13777" s="3">
        <v>71</v>
      </c>
      <c r="I13777" s="3">
        <v>771</v>
      </c>
      <c r="J13777" s="3">
        <v>164</v>
      </c>
      <c r="K13777" s="3">
        <v>2473</v>
      </c>
      <c r="L13777" s="3">
        <v>9</v>
      </c>
      <c r="M13777" s="3">
        <v>756</v>
      </c>
    </row>
    <row r="13778" spans="1:13" x14ac:dyDescent="0.25">
      <c r="A13778" s="1" t="str">
        <f>HYPERLINK("http://www.rosaceae.org/Prunus/Prunus_persica/p.persica_gdr_reftransV1_0043844","p.persica_gdr_reftransV1_0043844")</f>
        <v>p.persica_gdr_reftransV1_0043844</v>
      </c>
      <c r="B13778" s="3">
        <v>1481</v>
      </c>
      <c r="C13778" s="1" t="str">
        <f>HYPERLINK("http://www.uniprot.org/uniprot/FB2_ARATH","FB2_ARATH")</f>
        <v>FB2_ARATH</v>
      </c>
      <c r="D13778" t="s">
        <v>9200</v>
      </c>
      <c r="E13778" s="3" t="s">
        <v>3</v>
      </c>
      <c r="F13778" s="4">
        <v>0</v>
      </c>
      <c r="G13778" s="3">
        <v>1519</v>
      </c>
      <c r="H13778" s="3">
        <v>67</v>
      </c>
      <c r="I13778" s="3">
        <v>419</v>
      </c>
      <c r="J13778" s="3">
        <v>94</v>
      </c>
      <c r="K13778" s="3">
        <v>1350</v>
      </c>
      <c r="L13778" s="3">
        <v>1</v>
      </c>
      <c r="M13778" s="3">
        <v>418</v>
      </c>
    </row>
    <row r="13779" spans="1:13" x14ac:dyDescent="0.25">
      <c r="A13779" s="1" t="str">
        <f>HYPERLINK("http://www.rosaceae.org/Prunus/Prunus_persica/p.persica_gdr_reftransV1_0043894","p.persica_gdr_reftransV1_0043894")</f>
        <v>p.persica_gdr_reftransV1_0043894</v>
      </c>
      <c r="B13779" s="3">
        <v>2272</v>
      </c>
      <c r="C13779" s="1" t="str">
        <f>HYPERLINK("http://www.uniprot.org/uniprot/ACA9_ARATH","ACA9_ARATH")</f>
        <v>ACA9_ARATH</v>
      </c>
      <c r="D13779" t="s">
        <v>4750</v>
      </c>
      <c r="E13779" s="3" t="s">
        <v>3</v>
      </c>
      <c r="F13779" s="4">
        <v>0</v>
      </c>
      <c r="G13779" s="3">
        <v>2338</v>
      </c>
      <c r="H13779" s="3">
        <v>77</v>
      </c>
      <c r="I13779" s="3">
        <v>593</v>
      </c>
      <c r="J13779" s="3">
        <v>1</v>
      </c>
      <c r="K13779" s="3">
        <v>1776</v>
      </c>
      <c r="L13779" s="3">
        <v>494</v>
      </c>
      <c r="M13779" s="3">
        <v>1086</v>
      </c>
    </row>
    <row r="13780" spans="1:13" x14ac:dyDescent="0.25">
      <c r="A13780" s="1" t="str">
        <f>HYPERLINK("http://www.rosaceae.org/Prunus/Prunus_persica/p.persica_gdr_reftransV1_0043944","p.persica_gdr_reftransV1_0043944")</f>
        <v>p.persica_gdr_reftransV1_0043944</v>
      </c>
      <c r="B13780" s="3">
        <v>880</v>
      </c>
      <c r="C13780" s="1" t="str">
        <f>HYPERLINK("http://www.uniprot.org/uniprot/RGA3_SOLBU","RGA3_SOLBU")</f>
        <v>RGA3_SOLBU</v>
      </c>
      <c r="D13780" t="s">
        <v>1884</v>
      </c>
      <c r="E13780" s="3" t="s">
        <v>560</v>
      </c>
      <c r="F13780" s="4">
        <v>4.1700000000000003E-76</v>
      </c>
      <c r="G13780" s="3">
        <v>652</v>
      </c>
      <c r="H13780" s="3">
        <v>46</v>
      </c>
      <c r="I13780" s="3">
        <v>283</v>
      </c>
      <c r="J13780" s="3">
        <v>24</v>
      </c>
      <c r="K13780" s="3">
        <v>872</v>
      </c>
      <c r="L13780" s="3">
        <v>172</v>
      </c>
      <c r="M13780" s="3">
        <v>452</v>
      </c>
    </row>
    <row r="13781" spans="1:13" x14ac:dyDescent="0.25">
      <c r="A13781" s="1" t="str">
        <f>HYPERLINK("http://www.rosaceae.org/Prunus/Prunus_persica/p.persica_gdr_reftransV1_0043994","p.persica_gdr_reftransV1_0043994")</f>
        <v>p.persica_gdr_reftransV1_0043994</v>
      </c>
      <c r="B13781" s="3">
        <v>1336</v>
      </c>
      <c r="C13781" s="1" t="str">
        <f>HYPERLINK("http://www.uniprot.org/uniprot/PER4_VITVI","PER4_VITVI")</f>
        <v>PER4_VITVI</v>
      </c>
      <c r="D13781" t="s">
        <v>1069</v>
      </c>
      <c r="E13781" s="3" t="s">
        <v>362</v>
      </c>
      <c r="F13781" s="4">
        <v>2.9799999999999998E-119</v>
      </c>
      <c r="G13781" s="3">
        <v>918</v>
      </c>
      <c r="H13781" s="3">
        <v>62</v>
      </c>
      <c r="I13781" s="3">
        <v>323</v>
      </c>
      <c r="J13781" s="3">
        <v>347</v>
      </c>
      <c r="K13781" s="3">
        <v>1297</v>
      </c>
      <c r="L13781" s="3">
        <v>3</v>
      </c>
      <c r="M13781" s="3">
        <v>321</v>
      </c>
    </row>
    <row r="13782" spans="1:13" x14ac:dyDescent="0.25">
      <c r="A13782" s="1" t="str">
        <f>HYPERLINK("http://www.rosaceae.org/Prunus/Prunus_persica/p.persica_gdr_reftransV1_0044044","p.persica_gdr_reftransV1_0044044")</f>
        <v>p.persica_gdr_reftransV1_0044044</v>
      </c>
      <c r="B13782" s="3">
        <v>1734</v>
      </c>
      <c r="C13782" s="1" t="str">
        <f>HYPERLINK("http://www.uniprot.org/uniprot/ENL1_ARATH","ENL1_ARATH")</f>
        <v>ENL1_ARATH</v>
      </c>
      <c r="D13782" t="s">
        <v>4552</v>
      </c>
      <c r="E13782" s="3" t="s">
        <v>3</v>
      </c>
      <c r="F13782" s="4">
        <v>1.21E-48</v>
      </c>
      <c r="G13782" s="3">
        <v>437</v>
      </c>
      <c r="H13782" s="3">
        <v>56</v>
      </c>
      <c r="I13782" s="3">
        <v>153</v>
      </c>
      <c r="J13782" s="3">
        <v>201</v>
      </c>
      <c r="K13782" s="3">
        <v>656</v>
      </c>
      <c r="L13782" s="3">
        <v>28</v>
      </c>
      <c r="M13782" s="3">
        <v>178</v>
      </c>
    </row>
    <row r="13783" spans="1:13" x14ac:dyDescent="0.25">
      <c r="A13783" s="1" t="str">
        <f>HYPERLINK("http://www.rosaceae.org/Prunus/Prunus_persica/p.persica_gdr_reftransV1_0044094","p.persica_gdr_reftransV1_0044094")</f>
        <v>p.persica_gdr_reftransV1_0044094</v>
      </c>
      <c r="B13783" s="3">
        <v>617</v>
      </c>
      <c r="C13783" s="1" t="str">
        <f>HYPERLINK("http://www.uniprot.org/uniprot/PGK_PROM4","PGK_PROM4")</f>
        <v>PGK_PROM4</v>
      </c>
      <c r="D13783" t="s">
        <v>7507</v>
      </c>
      <c r="E13783" s="3" t="s">
        <v>3990</v>
      </c>
      <c r="F13783" s="4">
        <v>1.3700000000000001E-28</v>
      </c>
      <c r="G13783" s="3">
        <v>286</v>
      </c>
      <c r="H13783" s="3">
        <v>36</v>
      </c>
      <c r="I13783" s="3">
        <v>184</v>
      </c>
      <c r="J13783" s="3">
        <v>67</v>
      </c>
      <c r="K13783" s="3">
        <v>615</v>
      </c>
      <c r="L13783" s="3">
        <v>80</v>
      </c>
      <c r="M13783" s="3">
        <v>263</v>
      </c>
    </row>
    <row r="13784" spans="1:13" x14ac:dyDescent="0.25">
      <c r="A13784" s="1" t="str">
        <f>HYPERLINK("http://www.rosaceae.org/Prunus/Prunus_persica/p.persica_gdr_reftransV1_0044144","p.persica_gdr_reftransV1_0044144")</f>
        <v>p.persica_gdr_reftransV1_0044144</v>
      </c>
      <c r="B13784" s="3">
        <v>353</v>
      </c>
      <c r="C13784" s="1" t="str">
        <f>HYPERLINK("http://www.uniprot.org/uniprot/C94C1_ARATH","C94C1_ARATH")</f>
        <v>C94C1_ARATH</v>
      </c>
      <c r="D13784" t="s">
        <v>1850</v>
      </c>
      <c r="E13784" s="3" t="s">
        <v>3</v>
      </c>
      <c r="F13784" s="4">
        <v>3.4500000000000001E-36</v>
      </c>
      <c r="G13784" s="3">
        <v>334</v>
      </c>
      <c r="H13784" s="3">
        <v>63</v>
      </c>
      <c r="I13784" s="3">
        <v>117</v>
      </c>
      <c r="J13784" s="3">
        <v>2</v>
      </c>
      <c r="K13784" s="3">
        <v>352</v>
      </c>
      <c r="L13784" s="3">
        <v>123</v>
      </c>
      <c r="M13784" s="3">
        <v>236</v>
      </c>
    </row>
    <row r="13785" spans="1:13" x14ac:dyDescent="0.25">
      <c r="A13785" s="1" t="str">
        <f>HYPERLINK("http://www.rosaceae.org/Prunus/Prunus_persica/p.persica_gdr_reftransV1_0044194","p.persica_gdr_reftransV1_0044194")</f>
        <v>p.persica_gdr_reftransV1_0044194</v>
      </c>
      <c r="B13785" s="3">
        <v>1543</v>
      </c>
      <c r="C13785" s="1" t="str">
        <f>HYPERLINK("http://www.uniprot.org/uniprot/NOP14_MOUSE","NOP14_MOUSE")</f>
        <v>NOP14_MOUSE</v>
      </c>
      <c r="D13785" t="s">
        <v>7639</v>
      </c>
      <c r="E13785" s="3" t="s">
        <v>157</v>
      </c>
      <c r="F13785" s="4">
        <v>4.2300000000000001E-24</v>
      </c>
      <c r="G13785" s="3">
        <v>274</v>
      </c>
      <c r="H13785" s="3">
        <v>34</v>
      </c>
      <c r="I13785" s="3">
        <v>265</v>
      </c>
      <c r="J13785" s="3">
        <v>318</v>
      </c>
      <c r="K13785" s="3">
        <v>1094</v>
      </c>
      <c r="L13785" s="3">
        <v>29</v>
      </c>
      <c r="M13785" s="3">
        <v>272</v>
      </c>
    </row>
    <row r="13786" spans="1:13" x14ac:dyDescent="0.25">
      <c r="A13786" s="1" t="str">
        <f>HYPERLINK("http://www.rosaceae.org/Prunus/Prunus_persica/p.persica_gdr_reftransV1_0044244","p.persica_gdr_reftransV1_0044244")</f>
        <v>p.persica_gdr_reftransV1_0044244</v>
      </c>
      <c r="B13786" s="3">
        <v>1854</v>
      </c>
      <c r="C13786" s="1" t="str">
        <f>HYPERLINK("http://www.uniprot.org/uniprot/DCR_ARATH","DCR_ARATH")</f>
        <v>DCR_ARATH</v>
      </c>
      <c r="D13786" t="s">
        <v>9201</v>
      </c>
      <c r="E13786" s="3" t="s">
        <v>3</v>
      </c>
      <c r="F13786" s="4">
        <v>0</v>
      </c>
      <c r="G13786" s="3">
        <v>1533</v>
      </c>
      <c r="H13786" s="3">
        <v>67</v>
      </c>
      <c r="I13786" s="3">
        <v>449</v>
      </c>
      <c r="J13786" s="3">
        <v>439</v>
      </c>
      <c r="K13786" s="3">
        <v>1728</v>
      </c>
      <c r="L13786" s="3">
        <v>1</v>
      </c>
      <c r="M13786" s="3">
        <v>449</v>
      </c>
    </row>
    <row r="13787" spans="1:13" x14ac:dyDescent="0.25">
      <c r="A13787" s="1" t="str">
        <f>HYPERLINK("http://www.rosaceae.org/Prunus/Prunus_persica/p.persica_gdr_reftransV1_0044344","p.persica_gdr_reftransV1_0044344")</f>
        <v>p.persica_gdr_reftransV1_0044344</v>
      </c>
      <c r="B13787" s="3">
        <v>1576</v>
      </c>
      <c r="C13787" s="1" t="str">
        <f>HYPERLINK("http://www.uniprot.org/uniprot/SR45_ARATH","SR45_ARATH")</f>
        <v>SR45_ARATH</v>
      </c>
      <c r="D13787" t="s">
        <v>5509</v>
      </c>
      <c r="E13787" s="3" t="s">
        <v>3</v>
      </c>
      <c r="F13787" s="4">
        <v>5.6800000000000002E-42</v>
      </c>
      <c r="G13787" s="3">
        <v>404</v>
      </c>
      <c r="H13787" s="3">
        <v>74</v>
      </c>
      <c r="I13787" s="3">
        <v>117</v>
      </c>
      <c r="J13787" s="3">
        <v>355</v>
      </c>
      <c r="K13787" s="3">
        <v>699</v>
      </c>
      <c r="L13787" s="3">
        <v>94</v>
      </c>
      <c r="M13787" s="3">
        <v>210</v>
      </c>
    </row>
    <row r="13788" spans="1:13" x14ac:dyDescent="0.25">
      <c r="A13788" s="1" t="str">
        <f>HYPERLINK("http://www.rosaceae.org/Prunus/Prunus_persica/p.persica_gdr_reftransV1_0044494","p.persica_gdr_reftransV1_0044494")</f>
        <v>p.persica_gdr_reftransV1_0044494</v>
      </c>
      <c r="B13788" s="3">
        <v>1108</v>
      </c>
      <c r="C13788" s="1" t="str">
        <f>HYPERLINK("http://www.uniprot.org/uniprot/Y5161_ARATH","Y5161_ARATH")</f>
        <v>Y5161_ARATH</v>
      </c>
      <c r="D13788" t="s">
        <v>2905</v>
      </c>
      <c r="E13788" s="3" t="s">
        <v>3</v>
      </c>
      <c r="F13788" s="4">
        <v>7.0100000000000002E-84</v>
      </c>
      <c r="G13788" s="3">
        <v>661</v>
      </c>
      <c r="H13788" s="3">
        <v>68</v>
      </c>
      <c r="I13788" s="3">
        <v>170</v>
      </c>
      <c r="J13788" s="3">
        <v>292</v>
      </c>
      <c r="K13788" s="3">
        <v>801</v>
      </c>
      <c r="L13788" s="3">
        <v>1</v>
      </c>
      <c r="M13788" s="3">
        <v>170</v>
      </c>
    </row>
    <row r="13789" spans="1:13" x14ac:dyDescent="0.25">
      <c r="A13789" s="1" t="str">
        <f>HYPERLINK("http://www.rosaceae.org/Prunus/Prunus_persica/p.persica_gdr_reftransV1_0044544","p.persica_gdr_reftransV1_0044544")</f>
        <v>p.persica_gdr_reftransV1_0044544</v>
      </c>
      <c r="B13789" s="3">
        <v>488</v>
      </c>
      <c r="C13789" s="1" t="str">
        <f>HYPERLINK("http://www.uniprot.org/uniprot/IQD1_ARATH","IQD1_ARATH")</f>
        <v>IQD1_ARATH</v>
      </c>
      <c r="D13789" t="s">
        <v>4422</v>
      </c>
      <c r="E13789" s="3" t="s">
        <v>3</v>
      </c>
      <c r="F13789" s="4">
        <v>8.4000000000000003E-23</v>
      </c>
      <c r="G13789" s="3">
        <v>241</v>
      </c>
      <c r="H13789" s="3">
        <v>63</v>
      </c>
      <c r="I13789" s="3">
        <v>96</v>
      </c>
      <c r="J13789" s="3">
        <v>82</v>
      </c>
      <c r="K13789" s="3">
        <v>369</v>
      </c>
      <c r="L13789" s="3">
        <v>101</v>
      </c>
      <c r="M13789" s="3">
        <v>196</v>
      </c>
    </row>
    <row r="13790" spans="1:13" x14ac:dyDescent="0.25">
      <c r="A13790" s="1" t="str">
        <f>HYPERLINK("http://www.rosaceae.org/Prunus/Prunus_persica/p.persica_gdr_reftransV1_0044644","p.persica_gdr_reftransV1_0044644")</f>
        <v>p.persica_gdr_reftransV1_0044644</v>
      </c>
      <c r="B13790" s="3">
        <v>586</v>
      </c>
      <c r="C13790" s="1" t="str">
        <f>HYPERLINK("http://www.uniprot.org/uniprot/ZN593_XENTR","ZN593_XENTR")</f>
        <v>ZN593_XENTR</v>
      </c>
      <c r="D13790" t="s">
        <v>9202</v>
      </c>
      <c r="E13790" s="3" t="s">
        <v>173</v>
      </c>
      <c r="F13790" s="4">
        <v>1.65E-15</v>
      </c>
      <c r="G13790" s="3">
        <v>181</v>
      </c>
      <c r="H13790" s="3">
        <v>45</v>
      </c>
      <c r="I13790" s="3">
        <v>103</v>
      </c>
      <c r="J13790" s="3">
        <v>175</v>
      </c>
      <c r="K13790" s="3">
        <v>477</v>
      </c>
      <c r="L13790" s="3">
        <v>10</v>
      </c>
      <c r="M13790" s="3">
        <v>109</v>
      </c>
    </row>
    <row r="13791" spans="1:13" x14ac:dyDescent="0.25">
      <c r="A13791" s="1" t="str">
        <f>HYPERLINK("http://www.rosaceae.org/Prunus/Prunus_persica/p.persica_gdr_reftransV1_0044694","p.persica_gdr_reftransV1_0044694")</f>
        <v>p.persica_gdr_reftransV1_0044694</v>
      </c>
      <c r="B13791" s="3">
        <v>1415</v>
      </c>
      <c r="C13791" s="1" t="str">
        <f>HYPERLINK("http://www.uniprot.org/uniprot/RCD1_XENTR","RCD1_XENTR")</f>
        <v>RCD1_XENTR</v>
      </c>
      <c r="D13791" t="s">
        <v>5145</v>
      </c>
      <c r="E13791" s="3" t="s">
        <v>173</v>
      </c>
      <c r="F13791" s="4">
        <v>3.8900000000000001E-130</v>
      </c>
      <c r="G13791" s="3">
        <v>991</v>
      </c>
      <c r="H13791" s="3">
        <v>66</v>
      </c>
      <c r="I13791" s="3">
        <v>286</v>
      </c>
      <c r="J13791" s="3">
        <v>213</v>
      </c>
      <c r="K13791" s="3">
        <v>1070</v>
      </c>
      <c r="L13791" s="3">
        <v>5</v>
      </c>
      <c r="M13791" s="3">
        <v>288</v>
      </c>
    </row>
    <row r="13792" spans="1:13" x14ac:dyDescent="0.25">
      <c r="A13792" s="1" t="str">
        <f>HYPERLINK("http://www.rosaceae.org/Prunus/Prunus_persica/p.persica_gdr_reftransV1_0044844","p.persica_gdr_reftransV1_0044844")</f>
        <v>p.persica_gdr_reftransV1_0044844</v>
      </c>
      <c r="B13792" s="3">
        <v>1348</v>
      </c>
      <c r="C13792" s="1" t="str">
        <f>HYPERLINK("http://www.uniprot.org/uniprot/ASOL_BRANA","ASOL_BRANA")</f>
        <v>ASOL_BRANA</v>
      </c>
      <c r="D13792" t="s">
        <v>1327</v>
      </c>
      <c r="E13792" s="3" t="s">
        <v>776</v>
      </c>
      <c r="F13792" s="4">
        <v>9.2899999999999998E-110</v>
      </c>
      <c r="G13792" s="3">
        <v>876</v>
      </c>
      <c r="H13792" s="3">
        <v>55</v>
      </c>
      <c r="I13792" s="3">
        <v>323</v>
      </c>
      <c r="J13792" s="3">
        <v>390</v>
      </c>
      <c r="K13792" s="3">
        <v>1346</v>
      </c>
      <c r="L13792" s="3">
        <v>219</v>
      </c>
      <c r="M13792" s="3">
        <v>540</v>
      </c>
    </row>
    <row r="13793" spans="1:13" x14ac:dyDescent="0.25">
      <c r="A13793" s="1" t="str">
        <f>HYPERLINK("http://www.rosaceae.org/Prunus/Prunus_persica/p.persica_gdr_reftransV1_0044894","p.persica_gdr_reftransV1_0044894")</f>
        <v>p.persica_gdr_reftransV1_0044894</v>
      </c>
      <c r="B13793" s="3">
        <v>839</v>
      </c>
      <c r="C13793" s="1" t="str">
        <f>HYPERLINK("http://www.uniprot.org/uniprot/SLK2_ARATH","SLK2_ARATH")</f>
        <v>SLK2_ARATH</v>
      </c>
      <c r="D13793" t="s">
        <v>795</v>
      </c>
      <c r="E13793" s="3" t="s">
        <v>3</v>
      </c>
      <c r="F13793" s="4">
        <v>5.0199999999999999E-67</v>
      </c>
      <c r="G13793" s="3">
        <v>581</v>
      </c>
      <c r="H13793" s="3">
        <v>47</v>
      </c>
      <c r="I13793" s="3">
        <v>280</v>
      </c>
      <c r="J13793" s="3">
        <v>1</v>
      </c>
      <c r="K13793" s="3">
        <v>819</v>
      </c>
      <c r="L13793" s="3">
        <v>387</v>
      </c>
      <c r="M13793" s="3">
        <v>660</v>
      </c>
    </row>
    <row r="13794" spans="1:13" x14ac:dyDescent="0.25">
      <c r="A13794" s="1" t="str">
        <f>HYPERLINK("http://www.rosaceae.org/Prunus/Prunus_persica/p.persica_gdr_reftransV1_0045044","p.persica_gdr_reftransV1_0045044")</f>
        <v>p.persica_gdr_reftransV1_0045044</v>
      </c>
      <c r="B13794" s="3">
        <v>1767</v>
      </c>
      <c r="C13794" s="1" t="str">
        <f>HYPERLINK("http://www.uniprot.org/uniprot/MAP22_ARATH","MAP22_ARATH")</f>
        <v>MAP22_ARATH</v>
      </c>
      <c r="D13794" t="s">
        <v>7950</v>
      </c>
      <c r="E13794" s="3" t="s">
        <v>3</v>
      </c>
      <c r="F13794" s="4">
        <v>0</v>
      </c>
      <c r="G13794" s="3">
        <v>1844</v>
      </c>
      <c r="H13794" s="3">
        <v>81</v>
      </c>
      <c r="I13794" s="3">
        <v>424</v>
      </c>
      <c r="J13794" s="3">
        <v>263</v>
      </c>
      <c r="K13794" s="3">
        <v>1528</v>
      </c>
      <c r="L13794" s="3">
        <v>16</v>
      </c>
      <c r="M13794" s="3">
        <v>439</v>
      </c>
    </row>
    <row r="13795" spans="1:13" x14ac:dyDescent="0.25">
      <c r="A13795" s="1" t="str">
        <f>HYPERLINK("http://www.rosaceae.org/Prunus/Prunus_persica/p.persica_gdr_reftransV1_0045244","p.persica_gdr_reftransV1_0045244")</f>
        <v>p.persica_gdr_reftransV1_0045244</v>
      </c>
      <c r="B13795" s="3">
        <v>593</v>
      </c>
      <c r="C13795" s="1" t="str">
        <f>HYPERLINK("http://www.uniprot.org/uniprot/FLS_MALDO","FLS_MALDO")</f>
        <v>FLS_MALDO</v>
      </c>
      <c r="D13795" t="s">
        <v>9203</v>
      </c>
      <c r="E13795" s="3" t="s">
        <v>540</v>
      </c>
      <c r="F13795" s="4">
        <v>4.4100000000000003E-108</v>
      </c>
      <c r="G13795" s="3">
        <v>820</v>
      </c>
      <c r="H13795" s="3">
        <v>84</v>
      </c>
      <c r="I13795" s="3">
        <v>201</v>
      </c>
      <c r="J13795" s="3">
        <v>1</v>
      </c>
      <c r="K13795" s="3">
        <v>591</v>
      </c>
      <c r="L13795" s="3">
        <v>70</v>
      </c>
      <c r="M13795" s="3">
        <v>270</v>
      </c>
    </row>
    <row r="13796" spans="1:13" x14ac:dyDescent="0.25">
      <c r="A13796" s="1" t="str">
        <f>HYPERLINK("http://www.rosaceae.org/Prunus/Prunus_persica/p.persica_gdr_reftransV1_0045344","p.persica_gdr_reftransV1_0045344")</f>
        <v>p.persica_gdr_reftransV1_0045344</v>
      </c>
      <c r="B13796" s="3">
        <v>2669</v>
      </c>
      <c r="C13796" s="1" t="str">
        <f>HYPERLINK("http://www.uniprot.org/uniprot/NDUS1_SOLTU","NDUS1_SOLTU")</f>
        <v>NDUS1_SOLTU</v>
      </c>
      <c r="D13796" t="s">
        <v>9204</v>
      </c>
      <c r="E13796" s="3" t="s">
        <v>11</v>
      </c>
      <c r="F13796" s="4">
        <v>0</v>
      </c>
      <c r="G13796" s="3">
        <v>3291</v>
      </c>
      <c r="H13796" s="3">
        <v>84</v>
      </c>
      <c r="I13796" s="3">
        <v>747</v>
      </c>
      <c r="J13796" s="3">
        <v>128</v>
      </c>
      <c r="K13796" s="3">
        <v>2368</v>
      </c>
      <c r="L13796" s="3">
        <v>1</v>
      </c>
      <c r="M13796" s="3">
        <v>738</v>
      </c>
    </row>
    <row r="13797" spans="1:13" x14ac:dyDescent="0.25">
      <c r="A13797" s="1" t="str">
        <f>HYPERLINK("http://www.rosaceae.org/Prunus/Prunus_persica/p.persica_gdr_reftransV1_0045394","p.persica_gdr_reftransV1_0045394")</f>
        <v>p.persica_gdr_reftransV1_0045394</v>
      </c>
      <c r="B13797" s="3">
        <v>1547</v>
      </c>
      <c r="C13797" s="1" t="str">
        <f>HYPERLINK("http://www.uniprot.org/uniprot/AB17B_CHICK","AB17B_CHICK")</f>
        <v>AB17B_CHICK</v>
      </c>
      <c r="D13797" t="s">
        <v>7799</v>
      </c>
      <c r="E13797" s="3" t="s">
        <v>1278</v>
      </c>
      <c r="F13797" s="4">
        <v>9.4599999999999993E-65</v>
      </c>
      <c r="G13797" s="3">
        <v>555</v>
      </c>
      <c r="H13797" s="3">
        <v>52</v>
      </c>
      <c r="I13797" s="3">
        <v>221</v>
      </c>
      <c r="J13797" s="3">
        <v>586</v>
      </c>
      <c r="K13797" s="3">
        <v>1242</v>
      </c>
      <c r="L13797" s="3">
        <v>63</v>
      </c>
      <c r="M13797" s="3">
        <v>282</v>
      </c>
    </row>
    <row r="13798" spans="1:13" x14ac:dyDescent="0.25">
      <c r="A13798" s="1" t="str">
        <f>HYPERLINK("http://www.rosaceae.org/Prunus/Prunus_persica/p.persica_gdr_reftransV1_0045544","p.persica_gdr_reftransV1_0045544")</f>
        <v>p.persica_gdr_reftransV1_0045544</v>
      </c>
      <c r="B13798" s="3">
        <v>1719</v>
      </c>
      <c r="C13798" s="1" t="str">
        <f>HYPERLINK("http://www.uniprot.org/uniprot/Y3990_ARATH","Y3990_ARATH")</f>
        <v>Y3990_ARATH</v>
      </c>
      <c r="D13798" t="s">
        <v>9205</v>
      </c>
      <c r="E13798" s="3" t="s">
        <v>3</v>
      </c>
      <c r="F13798" s="4">
        <v>3.6800000000000002E-108</v>
      </c>
      <c r="G13798" s="3">
        <v>873</v>
      </c>
      <c r="H13798" s="3">
        <v>45</v>
      </c>
      <c r="I13798" s="3">
        <v>504</v>
      </c>
      <c r="J13798" s="3">
        <v>42</v>
      </c>
      <c r="K13798" s="3">
        <v>1472</v>
      </c>
      <c r="L13798" s="3">
        <v>1</v>
      </c>
      <c r="M13798" s="3">
        <v>480</v>
      </c>
    </row>
    <row r="13799" spans="1:13" x14ac:dyDescent="0.25">
      <c r="A13799" s="1" t="str">
        <f>HYPERLINK("http://www.rosaceae.org/Prunus/Prunus_persica/p.persica_gdr_reftransV1_0045594","p.persica_gdr_reftransV1_0045594")</f>
        <v>p.persica_gdr_reftransV1_0045594</v>
      </c>
      <c r="B13799" s="3">
        <v>1125</v>
      </c>
      <c r="C13799" s="1" t="str">
        <f>HYPERLINK("http://www.uniprot.org/uniprot/GPTC8_MOUSE","GPTC8_MOUSE")</f>
        <v>GPTC8_MOUSE</v>
      </c>
      <c r="D13799" t="s">
        <v>9206</v>
      </c>
      <c r="E13799" s="3" t="s">
        <v>157</v>
      </c>
      <c r="F13799" s="4">
        <v>3.9799999999999996E-12</v>
      </c>
      <c r="G13799" s="3">
        <v>174</v>
      </c>
      <c r="H13799" s="3">
        <v>55</v>
      </c>
      <c r="I13799" s="3">
        <v>84</v>
      </c>
      <c r="J13799" s="3">
        <v>339</v>
      </c>
      <c r="K13799" s="3">
        <v>581</v>
      </c>
      <c r="L13799" s="3">
        <v>29</v>
      </c>
      <c r="M13799" s="3">
        <v>110</v>
      </c>
    </row>
    <row r="13800" spans="1:13" x14ac:dyDescent="0.25">
      <c r="A13800" s="1" t="str">
        <f>HYPERLINK("http://www.rosaceae.org/Prunus/Prunus_persica/p.persica_gdr_reftransV1_0045694","p.persica_gdr_reftransV1_0045694")</f>
        <v>p.persica_gdr_reftransV1_0045694</v>
      </c>
      <c r="B13800" s="3">
        <v>1041</v>
      </c>
      <c r="C13800" s="1" t="str">
        <f>HYPERLINK("http://www.uniprot.org/uniprot/WEX_ARATH","WEX_ARATH")</f>
        <v>WEX_ARATH</v>
      </c>
      <c r="D13800" t="s">
        <v>6708</v>
      </c>
      <c r="E13800" s="3" t="s">
        <v>3</v>
      </c>
      <c r="F13800" s="4">
        <v>3.1999999999999999E-22</v>
      </c>
      <c r="G13800" s="3">
        <v>244</v>
      </c>
      <c r="H13800" s="3">
        <v>35</v>
      </c>
      <c r="I13800" s="3">
        <v>154</v>
      </c>
      <c r="J13800" s="3">
        <v>220</v>
      </c>
      <c r="K13800" s="3">
        <v>675</v>
      </c>
      <c r="L13800" s="3">
        <v>129</v>
      </c>
      <c r="M13800" s="3">
        <v>279</v>
      </c>
    </row>
    <row r="13801" spans="1:13" x14ac:dyDescent="0.25">
      <c r="A13801" s="1" t="str">
        <f>HYPERLINK("http://www.rosaceae.org/Prunus/Prunus_persica/p.persica_gdr_reftransV1_0045794","p.persica_gdr_reftransV1_0045794")</f>
        <v>p.persica_gdr_reftransV1_0045794</v>
      </c>
      <c r="B13801" s="3">
        <v>2464</v>
      </c>
      <c r="C13801" s="1" t="str">
        <f>HYPERLINK("http://www.uniprot.org/uniprot/U2A2B_NICPL","U2A2B_NICPL")</f>
        <v>U2A2B_NICPL</v>
      </c>
      <c r="D13801" t="s">
        <v>5797</v>
      </c>
      <c r="E13801" s="3" t="s">
        <v>1450</v>
      </c>
      <c r="F13801" s="4">
        <v>0</v>
      </c>
      <c r="G13801" s="3">
        <v>1466</v>
      </c>
      <c r="H13801" s="3">
        <v>87</v>
      </c>
      <c r="I13801" s="3">
        <v>318</v>
      </c>
      <c r="J13801" s="3">
        <v>937</v>
      </c>
      <c r="K13801" s="3">
        <v>1890</v>
      </c>
      <c r="L13801" s="3">
        <v>195</v>
      </c>
      <c r="M13801" s="3">
        <v>509</v>
      </c>
    </row>
    <row r="13802" spans="1:13" x14ac:dyDescent="0.25">
      <c r="A13802" s="1" t="str">
        <f>HYPERLINK("http://www.rosaceae.org/Prunus/Prunus_persica/p.persica_gdr_reftransV1_0045894","p.persica_gdr_reftransV1_0045894")</f>
        <v>p.persica_gdr_reftransV1_0045894</v>
      </c>
      <c r="B13802" s="3">
        <v>1264</v>
      </c>
      <c r="C13802" s="1" t="str">
        <f>HYPERLINK("http://www.uniprot.org/uniprot/EXPA3_ARATH","EXPA3_ARATH")</f>
        <v>EXPA3_ARATH</v>
      </c>
      <c r="D13802" t="s">
        <v>9207</v>
      </c>
      <c r="E13802" s="3" t="s">
        <v>3</v>
      </c>
      <c r="F13802" s="4">
        <v>1.5300000000000001E-151</v>
      </c>
      <c r="G13802" s="3">
        <v>1124</v>
      </c>
      <c r="H13802" s="3">
        <v>80</v>
      </c>
      <c r="I13802" s="3">
        <v>260</v>
      </c>
      <c r="J13802" s="3">
        <v>417</v>
      </c>
      <c r="K13802" s="3">
        <v>1193</v>
      </c>
      <c r="L13802" s="3">
        <v>3</v>
      </c>
      <c r="M13802" s="3">
        <v>262</v>
      </c>
    </row>
    <row r="13803" spans="1:13" x14ac:dyDescent="0.25">
      <c r="A13803" s="1" t="str">
        <f>HYPERLINK("http://www.rosaceae.org/Prunus/Prunus_persica/p.persica_gdr_reftransV1_0045944","p.persica_gdr_reftransV1_0045944")</f>
        <v>p.persica_gdr_reftransV1_0045944</v>
      </c>
      <c r="B13803" s="3">
        <v>4395</v>
      </c>
      <c r="C13803" s="1" t="str">
        <f>HYPERLINK("http://www.uniprot.org/uniprot/FRA1_ARATH","FRA1_ARATH")</f>
        <v>FRA1_ARATH</v>
      </c>
      <c r="D13803" t="s">
        <v>49</v>
      </c>
      <c r="E13803" s="3" t="s">
        <v>3</v>
      </c>
      <c r="F13803" s="4">
        <v>0</v>
      </c>
      <c r="G13803" s="3">
        <v>2308</v>
      </c>
      <c r="H13803" s="3">
        <v>55</v>
      </c>
      <c r="I13803" s="3">
        <v>930</v>
      </c>
      <c r="J13803" s="3">
        <v>1470</v>
      </c>
      <c r="K13803" s="3">
        <v>4202</v>
      </c>
      <c r="L13803" s="3">
        <v>12</v>
      </c>
      <c r="M13803" s="3">
        <v>875</v>
      </c>
    </row>
    <row r="13804" spans="1:13" x14ac:dyDescent="0.25">
      <c r="A13804" s="1" t="str">
        <f>HYPERLINK("http://www.rosaceae.org/Prunus/Prunus_persica/p.persica_gdr_reftransV1_0045994","p.persica_gdr_reftransV1_0045994")</f>
        <v>p.persica_gdr_reftransV1_0045994</v>
      </c>
      <c r="B13804" s="3">
        <v>441</v>
      </c>
      <c r="C13804" s="1" t="str">
        <f>HYPERLINK("http://www.uniprot.org/uniprot/TCP9_ARATH","TCP9_ARATH")</f>
        <v>TCP9_ARATH</v>
      </c>
      <c r="D13804" t="s">
        <v>1841</v>
      </c>
      <c r="E13804" s="3" t="s">
        <v>3</v>
      </c>
      <c r="F13804" s="4">
        <v>7.7400000000000003E-52</v>
      </c>
      <c r="G13804" s="3">
        <v>441</v>
      </c>
      <c r="H13804" s="3">
        <v>58</v>
      </c>
      <c r="I13804" s="3">
        <v>160</v>
      </c>
      <c r="J13804" s="3">
        <v>2</v>
      </c>
      <c r="K13804" s="3">
        <v>439</v>
      </c>
      <c r="L13804" s="3">
        <v>81</v>
      </c>
      <c r="M13804" s="3">
        <v>238</v>
      </c>
    </row>
    <row r="13805" spans="1:13" x14ac:dyDescent="0.25">
      <c r="A13805" s="1" t="str">
        <f>HYPERLINK("http://www.rosaceae.org/Prunus/Prunus_persica/p.persica_gdr_reftransV1_0046044","p.persica_gdr_reftransV1_0046044")</f>
        <v>p.persica_gdr_reftransV1_0046044</v>
      </c>
      <c r="B13805" s="3">
        <v>2431</v>
      </c>
      <c r="C13805" s="1" t="str">
        <f>HYPERLINK("http://www.uniprot.org/uniprot/SFH8_ARATH","SFH8_ARATH")</f>
        <v>SFH8_ARATH</v>
      </c>
      <c r="D13805" t="s">
        <v>4020</v>
      </c>
      <c r="E13805" s="3" t="s">
        <v>3</v>
      </c>
      <c r="F13805" s="4">
        <v>0</v>
      </c>
      <c r="G13805" s="3">
        <v>2129</v>
      </c>
      <c r="H13805" s="3">
        <v>68</v>
      </c>
      <c r="I13805" s="3">
        <v>626</v>
      </c>
      <c r="J13805" s="3">
        <v>363</v>
      </c>
      <c r="K13805" s="3">
        <v>2216</v>
      </c>
      <c r="L13805" s="3">
        <v>1</v>
      </c>
      <c r="M13805" s="3">
        <v>620</v>
      </c>
    </row>
    <row r="13806" spans="1:13" x14ac:dyDescent="0.25">
      <c r="A13806" s="1" t="str">
        <f>HYPERLINK("http://www.rosaceae.org/Prunus/Prunus_persica/p.persica_gdr_reftransV1_0046094","p.persica_gdr_reftransV1_0046094")</f>
        <v>p.persica_gdr_reftransV1_0046094</v>
      </c>
      <c r="B13806" s="3">
        <v>3083</v>
      </c>
      <c r="C13806" s="1" t="str">
        <f>HYPERLINK("http://www.uniprot.org/uniprot/LOX21_SOLTU","LOX21_SOLTU")</f>
        <v>LOX21_SOLTU</v>
      </c>
      <c r="D13806" t="s">
        <v>7410</v>
      </c>
      <c r="E13806" s="3" t="s">
        <v>11</v>
      </c>
      <c r="F13806" s="4">
        <v>0</v>
      </c>
      <c r="G13806" s="3">
        <v>3026</v>
      </c>
      <c r="H13806" s="3">
        <v>70</v>
      </c>
      <c r="I13806" s="3">
        <v>835</v>
      </c>
      <c r="J13806" s="3">
        <v>367</v>
      </c>
      <c r="K13806" s="3">
        <v>2859</v>
      </c>
      <c r="L13806" s="3">
        <v>68</v>
      </c>
      <c r="M13806" s="3">
        <v>899</v>
      </c>
    </row>
    <row r="13807" spans="1:13" x14ac:dyDescent="0.25">
      <c r="A13807" s="1" t="str">
        <f>HYPERLINK("http://www.rosaceae.org/Prunus/Prunus_persica/p.persica_gdr_reftransV1_0046194","p.persica_gdr_reftransV1_0046194")</f>
        <v>p.persica_gdr_reftransV1_0046194</v>
      </c>
      <c r="B13807" s="3">
        <v>1310</v>
      </c>
      <c r="C13807" s="1" t="str">
        <f>HYPERLINK("http://www.uniprot.org/uniprot/MDL1_PRUDU","MDL1_PRUDU")</f>
        <v>MDL1_PRUDU</v>
      </c>
      <c r="D13807" t="s">
        <v>8755</v>
      </c>
      <c r="E13807" s="3" t="s">
        <v>418</v>
      </c>
      <c r="F13807" s="4">
        <v>0</v>
      </c>
      <c r="G13807" s="3">
        <v>1471</v>
      </c>
      <c r="H13807" s="3">
        <v>93</v>
      </c>
      <c r="I13807" s="3">
        <v>329</v>
      </c>
      <c r="J13807" s="3">
        <v>323</v>
      </c>
      <c r="K13807" s="3">
        <v>1309</v>
      </c>
      <c r="L13807" s="3">
        <v>233</v>
      </c>
      <c r="M13807" s="3">
        <v>558</v>
      </c>
    </row>
    <row r="13808" spans="1:13" x14ac:dyDescent="0.25">
      <c r="A13808" s="1" t="str">
        <f>HYPERLINK("http://www.rosaceae.org/Prunus/Prunus_persica/p.persica_gdr_reftransV1_0046244","p.persica_gdr_reftransV1_0046244")</f>
        <v>p.persica_gdr_reftransV1_0046244</v>
      </c>
      <c r="B13808" s="3">
        <v>573</v>
      </c>
      <c r="C13808" s="1" t="str">
        <f>HYPERLINK("http://www.uniprot.org/uniprot/Y4757_DICDI","Y4757_DICDI")</f>
        <v>Y4757_DICDI</v>
      </c>
      <c r="D13808" t="s">
        <v>6481</v>
      </c>
      <c r="E13808" s="3" t="s">
        <v>9</v>
      </c>
      <c r="F13808" s="4">
        <v>8.7200000000000004E-17</v>
      </c>
      <c r="G13808" s="3">
        <v>202</v>
      </c>
      <c r="H13808" s="3">
        <v>39</v>
      </c>
      <c r="I13808" s="3">
        <v>146</v>
      </c>
      <c r="J13808" s="3">
        <v>158</v>
      </c>
      <c r="K13808" s="3">
        <v>562</v>
      </c>
      <c r="L13808" s="3">
        <v>621</v>
      </c>
      <c r="M13808" s="3">
        <v>766</v>
      </c>
    </row>
    <row r="13809" spans="1:13" x14ac:dyDescent="0.25">
      <c r="A13809" s="1" t="str">
        <f>HYPERLINK("http://www.rosaceae.org/Prunus/Prunus_persica/p.persica_gdr_reftransV1_0046444","p.persica_gdr_reftransV1_0046444")</f>
        <v>p.persica_gdr_reftransV1_0046444</v>
      </c>
      <c r="B13809" s="3">
        <v>362</v>
      </c>
      <c r="C13809" s="1" t="str">
        <f>HYPERLINK("http://www.uniprot.org/uniprot/RGA2_SOLBU","RGA2_SOLBU")</f>
        <v>RGA2_SOLBU</v>
      </c>
      <c r="D13809" t="s">
        <v>925</v>
      </c>
      <c r="E13809" s="3" t="s">
        <v>560</v>
      </c>
      <c r="F13809" s="4">
        <v>1.8899999999999999E-9</v>
      </c>
      <c r="G13809" s="3">
        <v>141</v>
      </c>
      <c r="H13809" s="3">
        <v>37</v>
      </c>
      <c r="I13809" s="3">
        <v>113</v>
      </c>
      <c r="J13809" s="3">
        <v>4</v>
      </c>
      <c r="K13809" s="3">
        <v>339</v>
      </c>
      <c r="L13809" s="3">
        <v>859</v>
      </c>
      <c r="M13809" s="3">
        <v>968</v>
      </c>
    </row>
    <row r="13810" spans="1:13" x14ac:dyDescent="0.25">
      <c r="A13810" s="1" t="str">
        <f>HYPERLINK("http://www.rosaceae.org/Prunus/Prunus_persica/p.persica_gdr_reftransV1_0046494","p.persica_gdr_reftransV1_0046494")</f>
        <v>p.persica_gdr_reftransV1_0046494</v>
      </c>
      <c r="B13810" s="3">
        <v>1260</v>
      </c>
      <c r="C13810" s="1" t="str">
        <f>HYPERLINK("http://www.uniprot.org/uniprot/LCV2_ARATH","LCV2_ARATH")</f>
        <v>LCV2_ARATH</v>
      </c>
      <c r="D13810" t="s">
        <v>396</v>
      </c>
      <c r="E13810" s="3" t="s">
        <v>3</v>
      </c>
      <c r="F13810" s="4">
        <v>3.3200000000000002E-112</v>
      </c>
      <c r="G13810" s="3">
        <v>863</v>
      </c>
      <c r="H13810" s="3">
        <v>74</v>
      </c>
      <c r="I13810" s="3">
        <v>261</v>
      </c>
      <c r="J13810" s="3">
        <v>269</v>
      </c>
      <c r="K13810" s="3">
        <v>1036</v>
      </c>
      <c r="L13810" s="3">
        <v>1</v>
      </c>
      <c r="M13810" s="3">
        <v>261</v>
      </c>
    </row>
    <row r="13811" spans="1:13" x14ac:dyDescent="0.25">
      <c r="A13811" s="1" t="str">
        <f>HYPERLINK("http://www.rosaceae.org/Prunus/Prunus_persica/p.persica_gdr_reftransV1_0046544","p.persica_gdr_reftransV1_0046544")</f>
        <v>p.persica_gdr_reftransV1_0046544</v>
      </c>
      <c r="B13811" s="3">
        <v>1020</v>
      </c>
      <c r="C13811" s="1" t="str">
        <f>HYPERLINK("http://www.uniprot.org/uniprot/CB24_TOBAC","CB24_TOBAC")</f>
        <v>CB24_TOBAC</v>
      </c>
      <c r="D13811" t="s">
        <v>7047</v>
      </c>
      <c r="E13811" s="3" t="s">
        <v>200</v>
      </c>
      <c r="F13811" s="4">
        <v>1.21E-178</v>
      </c>
      <c r="G13811" s="3">
        <v>1294</v>
      </c>
      <c r="H13811" s="3">
        <v>91</v>
      </c>
      <c r="I13811" s="3">
        <v>267</v>
      </c>
      <c r="J13811" s="3">
        <v>156</v>
      </c>
      <c r="K13811" s="3">
        <v>950</v>
      </c>
      <c r="L13811" s="3">
        <v>1</v>
      </c>
      <c r="M13811" s="3">
        <v>267</v>
      </c>
    </row>
    <row r="13812" spans="1:13" x14ac:dyDescent="0.25">
      <c r="A13812" s="1" t="str">
        <f>HYPERLINK("http://www.rosaceae.org/Prunus/Prunus_persica/p.persica_gdr_reftransV1_0046644","p.persica_gdr_reftransV1_0046644")</f>
        <v>p.persica_gdr_reftransV1_0046644</v>
      </c>
      <c r="B13812" s="3">
        <v>1734</v>
      </c>
      <c r="C13812" s="1" t="str">
        <f>HYPERLINK("http://www.uniprot.org/uniprot/MSL6_ARATH","MSL6_ARATH")</f>
        <v>MSL6_ARATH</v>
      </c>
      <c r="D13812" t="s">
        <v>9131</v>
      </c>
      <c r="E13812" s="3" t="s">
        <v>3</v>
      </c>
      <c r="F13812" s="4">
        <v>5.9199999999999996E-168</v>
      </c>
      <c r="G13812" s="3">
        <v>1304</v>
      </c>
      <c r="H13812" s="3">
        <v>58</v>
      </c>
      <c r="I13812" s="3">
        <v>501</v>
      </c>
      <c r="J13812" s="3">
        <v>1</v>
      </c>
      <c r="K13812" s="3">
        <v>1470</v>
      </c>
      <c r="L13812" s="3">
        <v>367</v>
      </c>
      <c r="M13812" s="3">
        <v>850</v>
      </c>
    </row>
    <row r="13813" spans="1:13" x14ac:dyDescent="0.25">
      <c r="A13813" s="1" t="str">
        <f>HYPERLINK("http://www.rosaceae.org/Prunus/Prunus_persica/p.persica_gdr_reftransV1_0046794","p.persica_gdr_reftransV1_0046794")</f>
        <v>p.persica_gdr_reftransV1_0046794</v>
      </c>
      <c r="B13813" s="3">
        <v>997</v>
      </c>
      <c r="C13813" s="1" t="str">
        <f>HYPERLINK("http://www.uniprot.org/uniprot/GRXC4_ARATH","GRXC4_ARATH")</f>
        <v>GRXC4_ARATH</v>
      </c>
      <c r="D13813" t="s">
        <v>9208</v>
      </c>
      <c r="E13813" s="3" t="s">
        <v>3</v>
      </c>
      <c r="F13813" s="4">
        <v>4.3800000000000004E-47</v>
      </c>
      <c r="G13813" s="3">
        <v>408</v>
      </c>
      <c r="H13813" s="3">
        <v>74</v>
      </c>
      <c r="I13813" s="3">
        <v>101</v>
      </c>
      <c r="J13813" s="3">
        <v>257</v>
      </c>
      <c r="K13813" s="3">
        <v>559</v>
      </c>
      <c r="L13813" s="3">
        <v>35</v>
      </c>
      <c r="M13813" s="3">
        <v>135</v>
      </c>
    </row>
    <row r="13814" spans="1:13" x14ac:dyDescent="0.25">
      <c r="A13814" s="1" t="str">
        <f>HYPERLINK("http://www.rosaceae.org/Prunus/Prunus_persica/p.persica_gdr_reftransV1_0046844","p.persica_gdr_reftransV1_0046844")</f>
        <v>p.persica_gdr_reftransV1_0046844</v>
      </c>
      <c r="B13814" s="3">
        <v>490</v>
      </c>
      <c r="C13814" s="1" t="str">
        <f>HYPERLINK("http://www.uniprot.org/uniprot/TMVRN_NICGU","TMVRN_NICGU")</f>
        <v>TMVRN_NICGU</v>
      </c>
      <c r="D13814" t="s">
        <v>151</v>
      </c>
      <c r="E13814" s="3" t="s">
        <v>152</v>
      </c>
      <c r="F13814" s="4">
        <v>1.8E-25</v>
      </c>
      <c r="G13814" s="3">
        <v>267</v>
      </c>
      <c r="H13814" s="3">
        <v>39</v>
      </c>
      <c r="I13814" s="3">
        <v>140</v>
      </c>
      <c r="J13814" s="3">
        <v>33</v>
      </c>
      <c r="K13814" s="3">
        <v>452</v>
      </c>
      <c r="L13814" s="3">
        <v>342</v>
      </c>
      <c r="M13814" s="3">
        <v>480</v>
      </c>
    </row>
    <row r="13815" spans="1:13" x14ac:dyDescent="0.25">
      <c r="A13815" s="1" t="str">
        <f>HYPERLINK("http://www.rosaceae.org/Prunus/Prunus_persica/p.persica_gdr_reftransV1_0046894","p.persica_gdr_reftransV1_0046894")</f>
        <v>p.persica_gdr_reftransV1_0046894</v>
      </c>
      <c r="B13815" s="3">
        <v>632</v>
      </c>
      <c r="C13815" s="1" t="str">
        <f>HYPERLINK("http://www.uniprot.org/uniprot/PUX1_ARATH","PUX1_ARATH")</f>
        <v>PUX1_ARATH</v>
      </c>
      <c r="D13815" t="s">
        <v>1058</v>
      </c>
      <c r="E13815" s="3" t="s">
        <v>3</v>
      </c>
      <c r="F13815" s="4">
        <v>2.62E-53</v>
      </c>
      <c r="G13815" s="3">
        <v>449</v>
      </c>
      <c r="H13815" s="3">
        <v>69</v>
      </c>
      <c r="I13815" s="3">
        <v>121</v>
      </c>
      <c r="J13815" s="3">
        <v>105</v>
      </c>
      <c r="K13815" s="3">
        <v>467</v>
      </c>
      <c r="L13815" s="3">
        <v>65</v>
      </c>
      <c r="M13815" s="3">
        <v>185</v>
      </c>
    </row>
    <row r="13816" spans="1:13" x14ac:dyDescent="0.25">
      <c r="A13816" s="1" t="str">
        <f>HYPERLINK("http://www.rosaceae.org/Prunus/Prunus_persica/p.persica_gdr_reftransV1_0046944","p.persica_gdr_reftransV1_0046944")</f>
        <v>p.persica_gdr_reftransV1_0046944</v>
      </c>
      <c r="B13816" s="3">
        <v>1633</v>
      </c>
      <c r="C13816" s="1" t="str">
        <f>HYPERLINK("http://www.uniprot.org/uniprot/KCS21_ARATH","KCS21_ARATH")</f>
        <v>KCS21_ARATH</v>
      </c>
      <c r="D13816" t="s">
        <v>2738</v>
      </c>
      <c r="E13816" s="3" t="s">
        <v>3</v>
      </c>
      <c r="F13816" s="4">
        <v>0</v>
      </c>
      <c r="G13816" s="3">
        <v>1487</v>
      </c>
      <c r="H13816" s="3">
        <v>64</v>
      </c>
      <c r="I13816" s="3">
        <v>439</v>
      </c>
      <c r="J13816" s="3">
        <v>172</v>
      </c>
      <c r="K13816" s="3">
        <v>1470</v>
      </c>
      <c r="L13816" s="3">
        <v>26</v>
      </c>
      <c r="M13816" s="3">
        <v>464</v>
      </c>
    </row>
    <row r="13817" spans="1:13" x14ac:dyDescent="0.25">
      <c r="A13817" s="1" t="str">
        <f>HYPERLINK("http://www.rosaceae.org/Prunus/Prunus_persica/p.persica_gdr_reftransV1_0046994","p.persica_gdr_reftransV1_0046994")</f>
        <v>p.persica_gdr_reftransV1_0046994</v>
      </c>
      <c r="B13817" s="3">
        <v>3588</v>
      </c>
      <c r="C13817" s="1" t="str">
        <f>HYPERLINK("http://www.uniprot.org/uniprot/SPAST_CHICK","SPAST_CHICK")</f>
        <v>SPAST_CHICK</v>
      </c>
      <c r="D13817" t="s">
        <v>8120</v>
      </c>
      <c r="E13817" s="3" t="s">
        <v>1278</v>
      </c>
      <c r="F13817" s="4">
        <v>2.8899999999999999E-68</v>
      </c>
      <c r="G13817" s="3">
        <v>628</v>
      </c>
      <c r="H13817" s="3">
        <v>42</v>
      </c>
      <c r="I13817" s="3">
        <v>348</v>
      </c>
      <c r="J13817" s="3">
        <v>1162</v>
      </c>
      <c r="K13817" s="3">
        <v>2175</v>
      </c>
      <c r="L13817" s="3">
        <v>231</v>
      </c>
      <c r="M13817" s="3">
        <v>569</v>
      </c>
    </row>
    <row r="13818" spans="1:13" x14ac:dyDescent="0.25">
      <c r="A13818" s="1" t="str">
        <f>HYPERLINK("http://www.rosaceae.org/Prunus/Prunus_persica/p.persica_gdr_reftransV1_0047044","p.persica_gdr_reftransV1_0047044")</f>
        <v>p.persica_gdr_reftransV1_0047044</v>
      </c>
      <c r="B13818" s="3">
        <v>782</v>
      </c>
      <c r="C13818" s="1" t="str">
        <f>HYPERLINK("http://www.uniprot.org/uniprot/IP5P7_ARATH","IP5P7_ARATH")</f>
        <v>IP5P7_ARATH</v>
      </c>
      <c r="D13818" t="s">
        <v>2071</v>
      </c>
      <c r="E13818" s="3" t="s">
        <v>3</v>
      </c>
      <c r="F13818" s="4">
        <v>7.6900000000000002E-128</v>
      </c>
      <c r="G13818" s="3">
        <v>981</v>
      </c>
      <c r="H13818" s="3">
        <v>67</v>
      </c>
      <c r="I13818" s="3">
        <v>297</v>
      </c>
      <c r="J13818" s="3">
        <v>2</v>
      </c>
      <c r="K13818" s="3">
        <v>781</v>
      </c>
      <c r="L13818" s="3">
        <v>109</v>
      </c>
      <c r="M13818" s="3">
        <v>405</v>
      </c>
    </row>
    <row r="13819" spans="1:13" x14ac:dyDescent="0.25">
      <c r="A13819" s="1" t="str">
        <f>HYPERLINK("http://www.rosaceae.org/Prunus/Prunus_persica/p.persica_gdr_reftransV1_0047144","p.persica_gdr_reftransV1_0047144")</f>
        <v>p.persica_gdr_reftransV1_0047144</v>
      </c>
      <c r="B13819" s="3">
        <v>2894</v>
      </c>
      <c r="C13819" s="1" t="str">
        <f>HYPERLINK("http://www.uniprot.org/uniprot/RCD1_ARATH","RCD1_ARATH")</f>
        <v>RCD1_ARATH</v>
      </c>
      <c r="D13819" t="s">
        <v>4220</v>
      </c>
      <c r="E13819" s="3" t="s">
        <v>3</v>
      </c>
      <c r="F13819" s="4">
        <v>2.8899999999999999E-138</v>
      </c>
      <c r="G13819" s="3">
        <v>1114</v>
      </c>
      <c r="H13819" s="3">
        <v>44</v>
      </c>
      <c r="I13819" s="3">
        <v>626</v>
      </c>
      <c r="J13819" s="3">
        <v>448</v>
      </c>
      <c r="K13819" s="3">
        <v>2289</v>
      </c>
      <c r="L13819" s="3">
        <v>1</v>
      </c>
      <c r="M13819" s="3">
        <v>581</v>
      </c>
    </row>
    <row r="13820" spans="1:13" x14ac:dyDescent="0.25">
      <c r="A13820" s="1" t="str">
        <f>HYPERLINK("http://www.rosaceae.org/Prunus/Prunus_persica/p.persica_gdr_reftransV1_0047194","p.persica_gdr_reftransV1_0047194")</f>
        <v>p.persica_gdr_reftransV1_0047194</v>
      </c>
      <c r="B13820" s="3">
        <v>954</v>
      </c>
      <c r="C13820" s="1" t="str">
        <f>HYPERLINK("http://www.uniprot.org/uniprot/SPCS2_ARATH","SPCS2_ARATH")</f>
        <v>SPCS2_ARATH</v>
      </c>
      <c r="D13820" t="s">
        <v>7906</v>
      </c>
      <c r="E13820" s="3" t="s">
        <v>3</v>
      </c>
      <c r="F13820" s="4">
        <v>2.27E-89</v>
      </c>
      <c r="G13820" s="3">
        <v>695</v>
      </c>
      <c r="H13820" s="3">
        <v>74</v>
      </c>
      <c r="I13820" s="3">
        <v>192</v>
      </c>
      <c r="J13820" s="3">
        <v>322</v>
      </c>
      <c r="K13820" s="3">
        <v>891</v>
      </c>
      <c r="L13820" s="3">
        <v>1</v>
      </c>
      <c r="M13820" s="3">
        <v>192</v>
      </c>
    </row>
    <row r="13821" spans="1:13" x14ac:dyDescent="0.25">
      <c r="A13821" s="1" t="str">
        <f>HYPERLINK("http://www.rosaceae.org/Prunus/Prunus_persica/p.persica_gdr_reftransV1_0047244","p.persica_gdr_reftransV1_0047244")</f>
        <v>p.persica_gdr_reftransV1_0047244</v>
      </c>
      <c r="B13821" s="3">
        <v>717</v>
      </c>
      <c r="C13821" s="1" t="str">
        <f>HYPERLINK("http://www.uniprot.org/uniprot/6PGD2_ARATH","6PGD2_ARATH")</f>
        <v>6PGD2_ARATH</v>
      </c>
      <c r="D13821" t="s">
        <v>4317</v>
      </c>
      <c r="E13821" s="3" t="s">
        <v>3</v>
      </c>
      <c r="F13821" s="4">
        <v>1.1899999999999999E-77</v>
      </c>
      <c r="G13821" s="3">
        <v>634</v>
      </c>
      <c r="H13821" s="3">
        <v>90</v>
      </c>
      <c r="I13821" s="3">
        <v>127</v>
      </c>
      <c r="J13821" s="3">
        <v>2</v>
      </c>
      <c r="K13821" s="3">
        <v>382</v>
      </c>
      <c r="L13821" s="3">
        <v>360</v>
      </c>
      <c r="M13821" s="3">
        <v>486</v>
      </c>
    </row>
    <row r="13822" spans="1:13" x14ac:dyDescent="0.25">
      <c r="A13822" s="1" t="str">
        <f>HYPERLINK("http://www.rosaceae.org/Prunus/Prunus_persica/p.persica_gdr_reftransV1_0047294","p.persica_gdr_reftransV1_0047294")</f>
        <v>p.persica_gdr_reftransV1_0047294</v>
      </c>
      <c r="B13822" s="3">
        <v>1059</v>
      </c>
      <c r="C13822" s="1" t="str">
        <f>HYPERLINK("http://www.uniprot.org/uniprot/MAD2_ARATH","MAD2_ARATH")</f>
        <v>MAD2_ARATH</v>
      </c>
      <c r="D13822" t="s">
        <v>9209</v>
      </c>
      <c r="E13822" s="3" t="s">
        <v>3</v>
      </c>
      <c r="F13822" s="4">
        <v>1.43E-128</v>
      </c>
      <c r="G13822" s="3">
        <v>959</v>
      </c>
      <c r="H13822" s="3">
        <v>85</v>
      </c>
      <c r="I13822" s="3">
        <v>208</v>
      </c>
      <c r="J13822" s="3">
        <v>159</v>
      </c>
      <c r="K13822" s="3">
        <v>779</v>
      </c>
      <c r="L13822" s="3">
        <v>1</v>
      </c>
      <c r="M13822" s="3">
        <v>208</v>
      </c>
    </row>
    <row r="13823" spans="1:13" x14ac:dyDescent="0.25">
      <c r="A13823" s="1" t="str">
        <f>HYPERLINK("http://www.rosaceae.org/Prunus/Prunus_persica/p.persica_gdr_reftransV1_0047344","p.persica_gdr_reftransV1_0047344")</f>
        <v>p.persica_gdr_reftransV1_0047344</v>
      </c>
      <c r="B13823" s="3">
        <v>540</v>
      </c>
      <c r="C13823" s="1" t="str">
        <f>HYPERLINK("http://www.uniprot.org/uniprot/EPFL8_ARATH","EPFL8_ARATH")</f>
        <v>EPFL8_ARATH</v>
      </c>
      <c r="D13823" t="s">
        <v>9210</v>
      </c>
      <c r="E13823" s="3" t="s">
        <v>3</v>
      </c>
      <c r="F13823" s="4">
        <v>5.2599999999999996E-9</v>
      </c>
      <c r="G13823" s="3">
        <v>130</v>
      </c>
      <c r="H13823" s="3">
        <v>39</v>
      </c>
      <c r="I13823" s="3">
        <v>69</v>
      </c>
      <c r="J13823" s="3">
        <v>97</v>
      </c>
      <c r="K13823" s="3">
        <v>294</v>
      </c>
      <c r="L13823" s="3">
        <v>40</v>
      </c>
      <c r="M13823" s="3">
        <v>99</v>
      </c>
    </row>
    <row r="13824" spans="1:13" x14ac:dyDescent="0.25">
      <c r="A13824" s="1" t="str">
        <f>HYPERLINK("http://www.rosaceae.org/Prunus/Prunus_persica/p.persica_gdr_reftransV1_0047444","p.persica_gdr_reftransV1_0047444")</f>
        <v>p.persica_gdr_reftransV1_0047444</v>
      </c>
      <c r="B13824" s="3">
        <v>349</v>
      </c>
      <c r="C13824" s="1" t="str">
        <f>HYPERLINK("http://www.uniprot.org/uniprot/STIL2_ARATH","STIL2_ARATH")</f>
        <v>STIL2_ARATH</v>
      </c>
      <c r="D13824" t="s">
        <v>720</v>
      </c>
      <c r="E13824" s="3" t="s">
        <v>3</v>
      </c>
      <c r="F13824" s="4">
        <v>4.5600000000000003E-49</v>
      </c>
      <c r="G13824" s="3">
        <v>434</v>
      </c>
      <c r="H13824" s="3">
        <v>71</v>
      </c>
      <c r="I13824" s="3">
        <v>114</v>
      </c>
      <c r="J13824" s="3">
        <v>11</v>
      </c>
      <c r="K13824" s="3">
        <v>349</v>
      </c>
      <c r="L13824" s="3">
        <v>263</v>
      </c>
      <c r="M13824" s="3">
        <v>376</v>
      </c>
    </row>
    <row r="13825" spans="1:13" x14ac:dyDescent="0.25">
      <c r="A13825" s="1" t="str">
        <f>HYPERLINK("http://www.rosaceae.org/Prunus/Prunus_persica/p.persica_gdr_reftransV1_0047544","p.persica_gdr_reftransV1_0047544")</f>
        <v>p.persica_gdr_reftransV1_0047544</v>
      </c>
      <c r="B13825" s="3">
        <v>1497</v>
      </c>
      <c r="C13825" s="1" t="str">
        <f>HYPERLINK("http://www.uniprot.org/uniprot/VP26B_ARATH","VP26B_ARATH")</f>
        <v>VP26B_ARATH</v>
      </c>
      <c r="D13825" t="s">
        <v>9211</v>
      </c>
      <c r="E13825" s="3" t="s">
        <v>3</v>
      </c>
      <c r="F13825" s="4">
        <v>0</v>
      </c>
      <c r="G13825" s="3">
        <v>1435</v>
      </c>
      <c r="H13825" s="3">
        <v>88</v>
      </c>
      <c r="I13825" s="3">
        <v>299</v>
      </c>
      <c r="J13825" s="3">
        <v>148</v>
      </c>
      <c r="K13825" s="3">
        <v>1044</v>
      </c>
      <c r="L13825" s="3">
        <v>1</v>
      </c>
      <c r="M13825" s="3">
        <v>299</v>
      </c>
    </row>
    <row r="13826" spans="1:13" x14ac:dyDescent="0.25">
      <c r="A13826" s="1" t="str">
        <f>HYPERLINK("http://www.rosaceae.org/Prunus/Prunus_persica/p.persica_gdr_reftransV1_0047594","p.persica_gdr_reftransV1_0047594")</f>
        <v>p.persica_gdr_reftransV1_0047594</v>
      </c>
      <c r="B13826" s="3">
        <v>1282</v>
      </c>
      <c r="C13826" s="1" t="str">
        <f>HYPERLINK("http://www.uniprot.org/uniprot/MY108_ARATH","MY108_ARATH")</f>
        <v>MY108_ARATH</v>
      </c>
      <c r="D13826" t="s">
        <v>8582</v>
      </c>
      <c r="E13826" s="3" t="s">
        <v>3</v>
      </c>
      <c r="F13826" s="4">
        <v>1.8800000000000001E-80</v>
      </c>
      <c r="G13826" s="3">
        <v>658</v>
      </c>
      <c r="H13826" s="3">
        <v>91</v>
      </c>
      <c r="I13826" s="3">
        <v>139</v>
      </c>
      <c r="J13826" s="3">
        <v>719</v>
      </c>
      <c r="K13826" s="3">
        <v>1135</v>
      </c>
      <c r="L13826" s="3">
        <v>14</v>
      </c>
      <c r="M13826" s="3">
        <v>152</v>
      </c>
    </row>
    <row r="13827" spans="1:13" x14ac:dyDescent="0.25">
      <c r="A13827" s="1" t="str">
        <f>HYPERLINK("http://www.rosaceae.org/Prunus/Prunus_persica/p.persica_gdr_reftransV1_0047644","p.persica_gdr_reftransV1_0047644")</f>
        <v>p.persica_gdr_reftransV1_0047644</v>
      </c>
      <c r="B13827" s="3">
        <v>1093</v>
      </c>
      <c r="C13827" s="1" t="str">
        <f>HYPERLINK("http://www.uniprot.org/uniprot/C82A4_SOYBN","C82A4_SOYBN")</f>
        <v>C82A4_SOYBN</v>
      </c>
      <c r="D13827" t="s">
        <v>3834</v>
      </c>
      <c r="E13827" s="3" t="s">
        <v>307</v>
      </c>
      <c r="F13827" s="4">
        <v>1.8699999999999999E-89</v>
      </c>
      <c r="G13827" s="3">
        <v>729</v>
      </c>
      <c r="H13827" s="3">
        <v>49</v>
      </c>
      <c r="I13827" s="3">
        <v>306</v>
      </c>
      <c r="J13827" s="3">
        <v>199</v>
      </c>
      <c r="K13827" s="3">
        <v>1092</v>
      </c>
      <c r="L13827" s="3">
        <v>1</v>
      </c>
      <c r="M13827" s="3">
        <v>300</v>
      </c>
    </row>
    <row r="13828" spans="1:13" x14ac:dyDescent="0.25">
      <c r="A13828" s="1" t="str">
        <f>HYPERLINK("http://www.rosaceae.org/Prunus/Prunus_persica/p.persica_gdr_reftransV1_0047694","p.persica_gdr_reftransV1_0047694")</f>
        <v>p.persica_gdr_reftransV1_0047694</v>
      </c>
      <c r="B13828" s="3">
        <v>529</v>
      </c>
      <c r="C13828" s="1" t="str">
        <f>HYPERLINK("http://www.uniprot.org/uniprot/FDL1_ARATH","FDL1_ARATH")</f>
        <v>FDL1_ARATH</v>
      </c>
      <c r="D13828" t="s">
        <v>275</v>
      </c>
      <c r="E13828" s="3" t="s">
        <v>3</v>
      </c>
      <c r="F13828" s="4">
        <v>1.31E-33</v>
      </c>
      <c r="G13828" s="3">
        <v>320</v>
      </c>
      <c r="H13828" s="3">
        <v>42</v>
      </c>
      <c r="I13828" s="3">
        <v>175</v>
      </c>
      <c r="J13828" s="3">
        <v>12</v>
      </c>
      <c r="K13828" s="3">
        <v>527</v>
      </c>
      <c r="L13828" s="3">
        <v>98</v>
      </c>
      <c r="M13828" s="3">
        <v>271</v>
      </c>
    </row>
    <row r="13829" spans="1:13" x14ac:dyDescent="0.25">
      <c r="A13829" s="1" t="str">
        <f>HYPERLINK("http://www.rosaceae.org/Prunus/Prunus_persica/p.persica_gdr_reftransV1_0047944","p.persica_gdr_reftransV1_0047944")</f>
        <v>p.persica_gdr_reftransV1_0047944</v>
      </c>
      <c r="B13829" s="3">
        <v>3259</v>
      </c>
      <c r="C13829" s="1" t="str">
        <f>HYPERLINK("http://www.uniprot.org/uniprot/CSLD3_ARATH","CSLD3_ARATH")</f>
        <v>CSLD3_ARATH</v>
      </c>
      <c r="D13829" t="s">
        <v>9212</v>
      </c>
      <c r="E13829" s="3" t="s">
        <v>3</v>
      </c>
      <c r="F13829" s="4">
        <v>0</v>
      </c>
      <c r="G13829" s="3">
        <v>4474</v>
      </c>
      <c r="H13829" s="3">
        <v>86</v>
      </c>
      <c r="I13829" s="3">
        <v>971</v>
      </c>
      <c r="J13829" s="3">
        <v>3</v>
      </c>
      <c r="K13829" s="3">
        <v>2903</v>
      </c>
      <c r="L13829" s="3">
        <v>180</v>
      </c>
      <c r="M13829" s="3">
        <v>1145</v>
      </c>
    </row>
    <row r="13830" spans="1:13" x14ac:dyDescent="0.25">
      <c r="A13830" s="1" t="str">
        <f>HYPERLINK("http://www.rosaceae.org/Prunus/Prunus_persica/p.persica_gdr_reftransV1_0048044","p.persica_gdr_reftransV1_0048044")</f>
        <v>p.persica_gdr_reftransV1_0048044</v>
      </c>
      <c r="B13830" s="3">
        <v>2506</v>
      </c>
      <c r="C13830" s="1" t="str">
        <f>HYPERLINK("http://www.uniprot.org/uniprot/MFP1_TOBAC","MFP1_TOBAC")</f>
        <v>MFP1_TOBAC</v>
      </c>
      <c r="D13830" t="s">
        <v>1609</v>
      </c>
      <c r="E13830" s="3" t="s">
        <v>200</v>
      </c>
      <c r="F13830" s="4">
        <v>1.99E-164</v>
      </c>
      <c r="G13830" s="3">
        <v>1292</v>
      </c>
      <c r="H13830" s="3">
        <v>51</v>
      </c>
      <c r="I13830" s="3">
        <v>683</v>
      </c>
      <c r="J13830" s="3">
        <v>186</v>
      </c>
      <c r="K13830" s="3">
        <v>2225</v>
      </c>
      <c r="L13830" s="3">
        <v>34</v>
      </c>
      <c r="M13830" s="3">
        <v>715</v>
      </c>
    </row>
    <row r="13831" spans="1:13" x14ac:dyDescent="0.25">
      <c r="A13831" s="1" t="str">
        <f>HYPERLINK("http://www.rosaceae.org/Prunus/Prunus_persica/p.persica_gdr_reftransV1_0048094","p.persica_gdr_reftransV1_0048094")</f>
        <v>p.persica_gdr_reftransV1_0048094</v>
      </c>
      <c r="B13831" s="3">
        <v>1859</v>
      </c>
      <c r="C13831" s="1" t="str">
        <f>HYPERLINK("http://www.uniprot.org/uniprot/ORP3A_ARATH","ORP3A_ARATH")</f>
        <v>ORP3A_ARATH</v>
      </c>
      <c r="D13831" t="s">
        <v>9213</v>
      </c>
      <c r="E13831" s="3" t="s">
        <v>3</v>
      </c>
      <c r="F13831" s="4">
        <v>0</v>
      </c>
      <c r="G13831" s="3">
        <v>2043</v>
      </c>
      <c r="H13831" s="3">
        <v>80</v>
      </c>
      <c r="I13831" s="3">
        <v>455</v>
      </c>
      <c r="J13831" s="3">
        <v>235</v>
      </c>
      <c r="K13831" s="3">
        <v>1599</v>
      </c>
      <c r="L13831" s="3">
        <v>1</v>
      </c>
      <c r="M13831" s="3">
        <v>453</v>
      </c>
    </row>
    <row r="13832" spans="1:13" x14ac:dyDescent="0.25">
      <c r="A13832" s="1" t="str">
        <f>HYPERLINK("http://www.rosaceae.org/Prunus/Prunus_persica/p.persica_gdr_reftransV1_0048144","p.persica_gdr_reftransV1_0048144")</f>
        <v>p.persica_gdr_reftransV1_0048144</v>
      </c>
      <c r="B13832" s="3">
        <v>2008</v>
      </c>
      <c r="C13832" s="1" t="str">
        <f>HYPERLINK("http://www.uniprot.org/uniprot/WRK33_ARATH","WRK33_ARATH")</f>
        <v>WRK33_ARATH</v>
      </c>
      <c r="D13832" t="s">
        <v>5005</v>
      </c>
      <c r="E13832" s="3" t="s">
        <v>3</v>
      </c>
      <c r="F13832" s="4">
        <v>3.8500000000000001E-104</v>
      </c>
      <c r="G13832" s="3">
        <v>854</v>
      </c>
      <c r="H13832" s="3">
        <v>58</v>
      </c>
      <c r="I13832" s="3">
        <v>323</v>
      </c>
      <c r="J13832" s="3">
        <v>282</v>
      </c>
      <c r="K13832" s="3">
        <v>1193</v>
      </c>
      <c r="L13832" s="3">
        <v>178</v>
      </c>
      <c r="M13832" s="3">
        <v>478</v>
      </c>
    </row>
    <row r="13833" spans="1:13" x14ac:dyDescent="0.25">
      <c r="A13833" s="1" t="str">
        <f>HYPERLINK("http://www.rosaceae.org/Prunus/Prunus_persica/p.persica_gdr_reftransV1_0048194","p.persica_gdr_reftransV1_0048194")</f>
        <v>p.persica_gdr_reftransV1_0048194</v>
      </c>
      <c r="B13833" s="3">
        <v>555</v>
      </c>
      <c r="C13833" s="1" t="str">
        <f>HYPERLINK("http://www.uniprot.org/uniprot/RIBA3_ARATH","RIBA3_ARATH")</f>
        <v>RIBA3_ARATH</v>
      </c>
      <c r="D13833" t="s">
        <v>1549</v>
      </c>
      <c r="E13833" s="3" t="s">
        <v>3</v>
      </c>
      <c r="F13833" s="4">
        <v>2.6300000000000001E-102</v>
      </c>
      <c r="G13833" s="3">
        <v>795</v>
      </c>
      <c r="H13833" s="3">
        <v>82</v>
      </c>
      <c r="I13833" s="3">
        <v>184</v>
      </c>
      <c r="J13833" s="3">
        <v>2</v>
      </c>
      <c r="K13833" s="3">
        <v>553</v>
      </c>
      <c r="L13833" s="3">
        <v>71</v>
      </c>
      <c r="M13833" s="3">
        <v>254</v>
      </c>
    </row>
    <row r="13834" spans="1:13" x14ac:dyDescent="0.25">
      <c r="A13834" s="1" t="str">
        <f>HYPERLINK("http://www.rosaceae.org/Prunus/Prunus_persica/p.persica_gdr_reftransV1_0048294","p.persica_gdr_reftransV1_0048294")</f>
        <v>p.persica_gdr_reftransV1_0048294</v>
      </c>
      <c r="B13834" s="3">
        <v>1583</v>
      </c>
      <c r="C13834" s="1" t="str">
        <f>HYPERLINK("http://www.uniprot.org/uniprot/CPRF2_PETCR","CPRF2_PETCR")</f>
        <v>CPRF2_PETCR</v>
      </c>
      <c r="D13834" t="s">
        <v>1039</v>
      </c>
      <c r="E13834" s="3" t="s">
        <v>1040</v>
      </c>
      <c r="F13834" s="4">
        <v>1.55E-61</v>
      </c>
      <c r="G13834" s="3">
        <v>543</v>
      </c>
      <c r="H13834" s="3">
        <v>51</v>
      </c>
      <c r="I13834" s="3">
        <v>319</v>
      </c>
      <c r="J13834" s="3">
        <v>302</v>
      </c>
      <c r="K13834" s="3">
        <v>1243</v>
      </c>
      <c r="L13834" s="3">
        <v>74</v>
      </c>
      <c r="M13834" s="3">
        <v>382</v>
      </c>
    </row>
    <row r="13835" spans="1:13" x14ac:dyDescent="0.25">
      <c r="A13835" s="1" t="str">
        <f>HYPERLINK("http://www.rosaceae.org/Prunus/Prunus_persica/p.persica_gdr_reftransV1_0048394","p.persica_gdr_reftransV1_0048394")</f>
        <v>p.persica_gdr_reftransV1_0048394</v>
      </c>
      <c r="B13835" s="3">
        <v>2357</v>
      </c>
      <c r="C13835" s="1" t="str">
        <f>HYPERLINK("http://www.uniprot.org/uniprot/RUS5_ARATH","RUS5_ARATH")</f>
        <v>RUS5_ARATH</v>
      </c>
      <c r="D13835" t="s">
        <v>9214</v>
      </c>
      <c r="E13835" s="3" t="s">
        <v>3</v>
      </c>
      <c r="F13835" s="4">
        <v>8.8099999999999997E-131</v>
      </c>
      <c r="G13835" s="3">
        <v>1043</v>
      </c>
      <c r="H13835" s="3">
        <v>68</v>
      </c>
      <c r="I13835" s="3">
        <v>356</v>
      </c>
      <c r="J13835" s="3">
        <v>581</v>
      </c>
      <c r="K13835" s="3">
        <v>1633</v>
      </c>
      <c r="L13835" s="3">
        <v>61</v>
      </c>
      <c r="M13835" s="3">
        <v>412</v>
      </c>
    </row>
    <row r="13836" spans="1:13" x14ac:dyDescent="0.25">
      <c r="A13836" s="1" t="str">
        <f>HYPERLINK("http://www.rosaceae.org/Prunus/Prunus_persica/p.persica_gdr_reftransV1_0048494","p.persica_gdr_reftransV1_0048494")</f>
        <v>p.persica_gdr_reftransV1_0048494</v>
      </c>
      <c r="B13836" s="3">
        <v>2207</v>
      </c>
      <c r="C13836" s="1" t="str">
        <f>HYPERLINK("http://www.uniprot.org/uniprot/UGT2_GARJA","UGT2_GARJA")</f>
        <v>UGT2_GARJA</v>
      </c>
      <c r="D13836" t="s">
        <v>927</v>
      </c>
      <c r="E13836" s="3" t="s">
        <v>624</v>
      </c>
      <c r="F13836" s="4">
        <v>0</v>
      </c>
      <c r="G13836" s="3">
        <v>1780</v>
      </c>
      <c r="H13836" s="3">
        <v>69</v>
      </c>
      <c r="I13836" s="3">
        <v>483</v>
      </c>
      <c r="J13836" s="3">
        <v>172</v>
      </c>
      <c r="K13836" s="3">
        <v>1614</v>
      </c>
      <c r="L13836" s="3">
        <v>1</v>
      </c>
      <c r="M13836" s="3">
        <v>481</v>
      </c>
    </row>
    <row r="13837" spans="1:13" x14ac:dyDescent="0.25">
      <c r="A13837" s="1" t="str">
        <f>HYPERLINK("http://www.rosaceae.org/Prunus/Prunus_persica/p.persica_gdr_reftransV1_0048544","p.persica_gdr_reftransV1_0048544")</f>
        <v>p.persica_gdr_reftransV1_0048544</v>
      </c>
      <c r="B13837" s="3">
        <v>360</v>
      </c>
      <c r="C13837" s="1" t="str">
        <f>HYPERLINK("http://www.uniprot.org/uniprot/PP228_ARATH","PP228_ARATH")</f>
        <v>PP228_ARATH</v>
      </c>
      <c r="D13837" t="s">
        <v>4215</v>
      </c>
      <c r="E13837" s="3" t="s">
        <v>3</v>
      </c>
      <c r="F13837" s="4">
        <v>1.54E-25</v>
      </c>
      <c r="G13837" s="3">
        <v>262</v>
      </c>
      <c r="H13837" s="3">
        <v>54</v>
      </c>
      <c r="I13837" s="3">
        <v>122</v>
      </c>
      <c r="J13837" s="3">
        <v>3</v>
      </c>
      <c r="K13837" s="3">
        <v>359</v>
      </c>
      <c r="L13837" s="3">
        <v>247</v>
      </c>
      <c r="M13837" s="3">
        <v>366</v>
      </c>
    </row>
    <row r="13838" spans="1:13" x14ac:dyDescent="0.25">
      <c r="A13838" s="1" t="str">
        <f>HYPERLINK("http://www.rosaceae.org/Prunus/Prunus_persica/p.persica_gdr_reftransV1_0048694","p.persica_gdr_reftransV1_0048694")</f>
        <v>p.persica_gdr_reftransV1_0048694</v>
      </c>
      <c r="B13838" s="3">
        <v>3254</v>
      </c>
      <c r="C13838" s="1" t="str">
        <f>HYPERLINK("http://www.uniprot.org/uniprot/LMBD2_ARATH","LMBD2_ARATH")</f>
        <v>LMBD2_ARATH</v>
      </c>
      <c r="D13838" t="s">
        <v>9215</v>
      </c>
      <c r="E13838" s="3" t="s">
        <v>3</v>
      </c>
      <c r="F13838" s="4">
        <v>0</v>
      </c>
      <c r="G13838" s="3">
        <v>1946</v>
      </c>
      <c r="H13838" s="3">
        <v>87</v>
      </c>
      <c r="I13838" s="3">
        <v>509</v>
      </c>
      <c r="J13838" s="3">
        <v>1510</v>
      </c>
      <c r="K13838" s="3">
        <v>3033</v>
      </c>
      <c r="L13838" s="3">
        <v>1</v>
      </c>
      <c r="M13838" s="3">
        <v>509</v>
      </c>
    </row>
    <row r="13839" spans="1:13" x14ac:dyDescent="0.25">
      <c r="A13839" s="1" t="str">
        <f>HYPERLINK("http://www.rosaceae.org/Prunus/Prunus_persica/p.persica_gdr_reftransV1_0048744","p.persica_gdr_reftransV1_0048744")</f>
        <v>p.persica_gdr_reftransV1_0048744</v>
      </c>
      <c r="B13839" s="3">
        <v>1318</v>
      </c>
      <c r="C13839" s="1" t="str">
        <f>HYPERLINK("http://www.uniprot.org/uniprot/HYES_HUMAN","HYES_HUMAN")</f>
        <v>HYES_HUMAN</v>
      </c>
      <c r="D13839" t="s">
        <v>960</v>
      </c>
      <c r="E13839" s="3" t="s">
        <v>28</v>
      </c>
      <c r="F13839" s="4">
        <v>3.8700000000000001E-52</v>
      </c>
      <c r="G13839" s="3">
        <v>480</v>
      </c>
      <c r="H13839" s="3">
        <v>34</v>
      </c>
      <c r="I13839" s="3">
        <v>302</v>
      </c>
      <c r="J13839" s="3">
        <v>210</v>
      </c>
      <c r="K13839" s="3">
        <v>1100</v>
      </c>
      <c r="L13839" s="3">
        <v>248</v>
      </c>
      <c r="M13839" s="3">
        <v>536</v>
      </c>
    </row>
    <row r="13840" spans="1:13" x14ac:dyDescent="0.25">
      <c r="A13840" s="1" t="str">
        <f>HYPERLINK("http://www.rosaceae.org/Prunus/Prunus_persica/p.persica_gdr_reftransV1_0048794","p.persica_gdr_reftransV1_0048794")</f>
        <v>p.persica_gdr_reftransV1_0048794</v>
      </c>
      <c r="B13840" s="3">
        <v>1135</v>
      </c>
      <c r="C13840" s="1" t="str">
        <f>HYPERLINK("http://www.uniprot.org/uniprot/PUS6_ARATH","PUS6_ARATH")</f>
        <v>PUS6_ARATH</v>
      </c>
      <c r="D13840" t="s">
        <v>9216</v>
      </c>
      <c r="E13840" s="3" t="s">
        <v>3</v>
      </c>
      <c r="F13840" s="4">
        <v>1.7500000000000001E-173</v>
      </c>
      <c r="G13840" s="3">
        <v>1285</v>
      </c>
      <c r="H13840" s="3">
        <v>77</v>
      </c>
      <c r="I13840" s="3">
        <v>316</v>
      </c>
      <c r="J13840" s="3">
        <v>1</v>
      </c>
      <c r="K13840" s="3">
        <v>939</v>
      </c>
      <c r="L13840" s="3">
        <v>157</v>
      </c>
      <c r="M13840" s="3">
        <v>472</v>
      </c>
    </row>
    <row r="13841" spans="1:13" x14ac:dyDescent="0.25">
      <c r="A13841" s="1" t="str">
        <f>HYPERLINK("http://www.rosaceae.org/Prunus/Prunus_persica/p.persica_gdr_reftransV1_0048894","p.persica_gdr_reftransV1_0048894")</f>
        <v>p.persica_gdr_reftransV1_0048894</v>
      </c>
      <c r="B13841" s="3">
        <v>316</v>
      </c>
      <c r="C13841" s="1" t="str">
        <f>HYPERLINK("http://www.uniprot.org/uniprot/RLM3_ARATH","RLM3_ARATH")</f>
        <v>RLM3_ARATH</v>
      </c>
      <c r="D13841" t="s">
        <v>9217</v>
      </c>
      <c r="E13841" s="3" t="s">
        <v>3</v>
      </c>
      <c r="F13841" s="4">
        <v>1.67E-16</v>
      </c>
      <c r="G13841" s="3">
        <v>193</v>
      </c>
      <c r="H13841" s="3">
        <v>57</v>
      </c>
      <c r="I13841" s="3">
        <v>65</v>
      </c>
      <c r="J13841" s="3">
        <v>120</v>
      </c>
      <c r="K13841" s="3">
        <v>314</v>
      </c>
      <c r="L13841" s="3">
        <v>7</v>
      </c>
      <c r="M13841" s="3">
        <v>71</v>
      </c>
    </row>
    <row r="13842" spans="1:13" x14ac:dyDescent="0.25">
      <c r="A13842" s="1" t="str">
        <f>HYPERLINK("http://www.rosaceae.org/Prunus/Prunus_persica/p.persica_gdr_reftransV1_0048944","p.persica_gdr_reftransV1_0048944")</f>
        <v>p.persica_gdr_reftransV1_0048944</v>
      </c>
      <c r="B13842" s="3">
        <v>3944</v>
      </c>
      <c r="C13842" s="1" t="str">
        <f>HYPERLINK("http://www.uniprot.org/uniprot/PSD11_ARATH","PSD11_ARATH")</f>
        <v>PSD11_ARATH</v>
      </c>
      <c r="D13842" t="s">
        <v>9055</v>
      </c>
      <c r="E13842" s="3" t="s">
        <v>3</v>
      </c>
      <c r="F13842" s="4">
        <v>4.6999999999999997E-8</v>
      </c>
      <c r="G13842" s="3">
        <v>146</v>
      </c>
      <c r="H13842" s="3">
        <v>76</v>
      </c>
      <c r="I13842" s="3">
        <v>38</v>
      </c>
      <c r="J13842" s="3">
        <v>49</v>
      </c>
      <c r="K13842" s="3">
        <v>162</v>
      </c>
      <c r="L13842" s="3">
        <v>117</v>
      </c>
      <c r="M13842" s="3">
        <v>154</v>
      </c>
    </row>
    <row r="13843" spans="1:13" x14ac:dyDescent="0.25">
      <c r="A13843" s="1" t="str">
        <f>HYPERLINK("http://www.rosaceae.org/Prunus/Prunus_persica/p.persica_gdr_reftransV1_0048994","p.persica_gdr_reftransV1_0048994")</f>
        <v>p.persica_gdr_reftransV1_0048994</v>
      </c>
      <c r="B13843" s="3">
        <v>3903</v>
      </c>
      <c r="C13843" s="1" t="str">
        <f>HYPERLINK("http://www.uniprot.org/uniprot/HIRA_ORYSJ","HIRA_ORYSJ")</f>
        <v>HIRA_ORYSJ</v>
      </c>
      <c r="D13843" t="s">
        <v>9218</v>
      </c>
      <c r="E13843" s="3" t="s">
        <v>38</v>
      </c>
      <c r="F13843" s="4">
        <v>0</v>
      </c>
      <c r="G13843" s="3">
        <v>3651</v>
      </c>
      <c r="H13843" s="3">
        <v>71</v>
      </c>
      <c r="I13843" s="3">
        <v>968</v>
      </c>
      <c r="J13843" s="3">
        <v>313</v>
      </c>
      <c r="K13843" s="3">
        <v>3150</v>
      </c>
      <c r="L13843" s="3">
        <v>1</v>
      </c>
      <c r="M13843" s="3">
        <v>951</v>
      </c>
    </row>
    <row r="13844" spans="1:13" x14ac:dyDescent="0.25">
      <c r="A13844" s="1" t="str">
        <f>HYPERLINK("http://www.rosaceae.org/Prunus/Prunus_persica/p.persica_gdr_reftransV1_0049044","p.persica_gdr_reftransV1_0049044")</f>
        <v>p.persica_gdr_reftransV1_0049044</v>
      </c>
      <c r="B13844" s="3">
        <v>1450</v>
      </c>
      <c r="C13844" s="1" t="str">
        <f>HYPERLINK("http://www.uniprot.org/uniprot/MY1R1_SOLTU","MY1R1_SOLTU")</f>
        <v>MY1R1_SOLTU</v>
      </c>
      <c r="D13844" t="s">
        <v>2616</v>
      </c>
      <c r="E13844" s="3" t="s">
        <v>11</v>
      </c>
      <c r="F13844" s="4">
        <v>8.1199999999999999E-64</v>
      </c>
      <c r="G13844" s="3">
        <v>547</v>
      </c>
      <c r="H13844" s="3">
        <v>55</v>
      </c>
      <c r="I13844" s="3">
        <v>292</v>
      </c>
      <c r="J13844" s="3">
        <v>453</v>
      </c>
      <c r="K13844" s="3">
        <v>1310</v>
      </c>
      <c r="L13844" s="3">
        <v>21</v>
      </c>
      <c r="M13844" s="3">
        <v>297</v>
      </c>
    </row>
    <row r="13845" spans="1:13" x14ac:dyDescent="0.25">
      <c r="A13845" s="1" t="str">
        <f>HYPERLINK("http://www.rosaceae.org/Prunus/Prunus_persica/p.persica_gdr_reftransV1_0049094","p.persica_gdr_reftransV1_0049094")</f>
        <v>p.persica_gdr_reftransV1_0049094</v>
      </c>
      <c r="B13845" s="3">
        <v>1595</v>
      </c>
      <c r="C13845" s="1" t="str">
        <f>HYPERLINK("http://www.uniprot.org/uniprot/Y4920_ARATH","Y4920_ARATH")</f>
        <v>Y4920_ARATH</v>
      </c>
      <c r="D13845" t="s">
        <v>9219</v>
      </c>
      <c r="E13845" s="3" t="s">
        <v>3</v>
      </c>
      <c r="F13845" s="4">
        <v>0</v>
      </c>
      <c r="G13845" s="3">
        <v>1396</v>
      </c>
      <c r="H13845" s="3">
        <v>75</v>
      </c>
      <c r="I13845" s="3">
        <v>346</v>
      </c>
      <c r="J13845" s="3">
        <v>237</v>
      </c>
      <c r="K13845" s="3">
        <v>1259</v>
      </c>
      <c r="L13845" s="3">
        <v>80</v>
      </c>
      <c r="M13845" s="3">
        <v>425</v>
      </c>
    </row>
    <row r="13846" spans="1:13" x14ac:dyDescent="0.25">
      <c r="A13846" s="1" t="str">
        <f>HYPERLINK("http://www.rosaceae.org/Prunus/Prunus_persica/p.persica_gdr_reftransV1_0049144","p.persica_gdr_reftransV1_0049144")</f>
        <v>p.persica_gdr_reftransV1_0049144</v>
      </c>
      <c r="B13846" s="3">
        <v>779</v>
      </c>
      <c r="C13846" s="1" t="str">
        <f>HYPERLINK("http://www.uniprot.org/uniprot/IKU2_ARATH","IKU2_ARATH")</f>
        <v>IKU2_ARATH</v>
      </c>
      <c r="D13846" t="s">
        <v>1920</v>
      </c>
      <c r="E13846" s="3" t="s">
        <v>3</v>
      </c>
      <c r="F13846" s="4">
        <v>3.7099999999999997E-48</v>
      </c>
      <c r="G13846" s="3">
        <v>445</v>
      </c>
      <c r="H13846" s="3">
        <v>60</v>
      </c>
      <c r="I13846" s="3">
        <v>146</v>
      </c>
      <c r="J13846" s="3">
        <v>362</v>
      </c>
      <c r="K13846" s="3">
        <v>775</v>
      </c>
      <c r="L13846" s="3">
        <v>825</v>
      </c>
      <c r="M13846" s="3">
        <v>968</v>
      </c>
    </row>
    <row r="13847" spans="1:13" x14ac:dyDescent="0.25">
      <c r="A13847" s="1" t="str">
        <f>HYPERLINK("http://www.rosaceae.org/Prunus/Prunus_persica/p.persica_gdr_reftransV1_0049194","p.persica_gdr_reftransV1_0049194")</f>
        <v>p.persica_gdr_reftransV1_0049194</v>
      </c>
      <c r="B13847" s="3">
        <v>1754</v>
      </c>
      <c r="C13847" s="1" t="str">
        <f>HYPERLINK("http://www.uniprot.org/uniprot/FMO1_ARATH","FMO1_ARATH")</f>
        <v>FMO1_ARATH</v>
      </c>
      <c r="D13847" t="s">
        <v>8760</v>
      </c>
      <c r="E13847" s="3" t="s">
        <v>3</v>
      </c>
      <c r="F13847" s="4">
        <v>1.41E-129</v>
      </c>
      <c r="G13847" s="3">
        <v>1019</v>
      </c>
      <c r="H13847" s="3">
        <v>42</v>
      </c>
      <c r="I13847" s="3">
        <v>523</v>
      </c>
      <c r="J13847" s="3">
        <v>1</v>
      </c>
      <c r="K13847" s="3">
        <v>1557</v>
      </c>
      <c r="L13847" s="3">
        <v>17</v>
      </c>
      <c r="M13847" s="3">
        <v>527</v>
      </c>
    </row>
    <row r="13848" spans="1:13" x14ac:dyDescent="0.25">
      <c r="A13848" s="1" t="str">
        <f>HYPERLINK("http://www.rosaceae.org/Prunus/Prunus_persica/p.persica_gdr_reftransV1_0000045","p.persica_gdr_reftransV1_0000045")</f>
        <v>p.persica_gdr_reftransV1_0000045</v>
      </c>
      <c r="B13848" s="3">
        <v>1431</v>
      </c>
      <c r="C13848" s="1" t="str">
        <f>HYPERLINK("http://www.uniprot.org/uniprot/PGLR_OENOR","PGLR_OENOR")</f>
        <v>PGLR_OENOR</v>
      </c>
      <c r="D13848" t="s">
        <v>9220</v>
      </c>
      <c r="E13848" s="3" t="s">
        <v>9221</v>
      </c>
      <c r="F13848" s="4">
        <v>3.2800000000000002E-133</v>
      </c>
      <c r="G13848" s="3">
        <v>1018</v>
      </c>
      <c r="H13848" s="3">
        <v>59</v>
      </c>
      <c r="I13848" s="3">
        <v>347</v>
      </c>
      <c r="J13848" s="3">
        <v>244</v>
      </c>
      <c r="K13848" s="3">
        <v>1281</v>
      </c>
      <c r="L13848" s="3">
        <v>1</v>
      </c>
      <c r="M13848" s="3">
        <v>345</v>
      </c>
    </row>
    <row r="13849" spans="1:13" x14ac:dyDescent="0.25">
      <c r="A13849" s="1" t="str">
        <f>HYPERLINK("http://www.rosaceae.org/Prunus/Prunus_persica/p.persica_gdr_reftransV1_0000145","p.persica_gdr_reftransV1_0000145")</f>
        <v>p.persica_gdr_reftransV1_0000145</v>
      </c>
      <c r="B13849" s="3">
        <v>933</v>
      </c>
      <c r="C13849" s="1" t="str">
        <f>HYPERLINK("http://www.uniprot.org/uniprot/LOR12_ARATH","LOR12_ARATH")</f>
        <v>LOR12_ARATH</v>
      </c>
      <c r="D13849" t="s">
        <v>1270</v>
      </c>
      <c r="E13849" s="3" t="s">
        <v>3</v>
      </c>
      <c r="F13849" s="4">
        <v>2.6199999999999998E-81</v>
      </c>
      <c r="G13849" s="3">
        <v>643</v>
      </c>
      <c r="H13849" s="3">
        <v>68</v>
      </c>
      <c r="I13849" s="3">
        <v>192</v>
      </c>
      <c r="J13849" s="3">
        <v>224</v>
      </c>
      <c r="K13849" s="3">
        <v>799</v>
      </c>
      <c r="L13849" s="3">
        <v>14</v>
      </c>
      <c r="M13849" s="3">
        <v>205</v>
      </c>
    </row>
    <row r="13850" spans="1:13" x14ac:dyDescent="0.25">
      <c r="A13850" s="1" t="str">
        <f>HYPERLINK("http://www.rosaceae.org/Prunus/Prunus_persica/p.persica_gdr_reftransV1_0000195","p.persica_gdr_reftransV1_0000195")</f>
        <v>p.persica_gdr_reftransV1_0000195</v>
      </c>
      <c r="B13850" s="3">
        <v>2894</v>
      </c>
      <c r="C13850" s="1" t="str">
        <f>HYPERLINK("http://www.uniprot.org/uniprot/INVC_ARATH","INVC_ARATH")</f>
        <v>INVC_ARATH</v>
      </c>
      <c r="D13850" t="s">
        <v>5731</v>
      </c>
      <c r="E13850" s="3" t="s">
        <v>3</v>
      </c>
      <c r="F13850" s="4">
        <v>0</v>
      </c>
      <c r="G13850" s="3">
        <v>2291</v>
      </c>
      <c r="H13850" s="3">
        <v>67</v>
      </c>
      <c r="I13850" s="3">
        <v>679</v>
      </c>
      <c r="J13850" s="3">
        <v>534</v>
      </c>
      <c r="K13850" s="3">
        <v>2549</v>
      </c>
      <c r="L13850" s="3">
        <v>1</v>
      </c>
      <c r="M13850" s="3">
        <v>659</v>
      </c>
    </row>
    <row r="13851" spans="1:13" x14ac:dyDescent="0.25">
      <c r="A13851" s="1" t="str">
        <f>HYPERLINK("http://www.rosaceae.org/Prunus/Prunus_persica/p.persica_gdr_reftransV1_0000245","p.persica_gdr_reftransV1_0000245")</f>
        <v>p.persica_gdr_reftransV1_0000245</v>
      </c>
      <c r="B13851" s="3">
        <v>2555</v>
      </c>
      <c r="C13851" s="1" t="str">
        <f>HYPERLINK("http://www.uniprot.org/uniprot/TBCE_ARATH","TBCE_ARATH")</f>
        <v>TBCE_ARATH</v>
      </c>
      <c r="D13851" t="s">
        <v>6598</v>
      </c>
      <c r="E13851" s="3" t="s">
        <v>3</v>
      </c>
      <c r="F13851" s="4">
        <v>0</v>
      </c>
      <c r="G13851" s="3">
        <v>1660</v>
      </c>
      <c r="H13851" s="3">
        <v>67</v>
      </c>
      <c r="I13851" s="3">
        <v>530</v>
      </c>
      <c r="J13851" s="3">
        <v>419</v>
      </c>
      <c r="K13851" s="3">
        <v>2005</v>
      </c>
      <c r="L13851" s="3">
        <v>10</v>
      </c>
      <c r="M13851" s="3">
        <v>531</v>
      </c>
    </row>
    <row r="13852" spans="1:13" x14ac:dyDescent="0.25">
      <c r="A13852" s="1" t="str">
        <f>HYPERLINK("http://www.rosaceae.org/Prunus/Prunus_persica/p.persica_gdr_reftransV1_0000295","p.persica_gdr_reftransV1_0000295")</f>
        <v>p.persica_gdr_reftransV1_0000295</v>
      </c>
      <c r="B13852" s="3">
        <v>475</v>
      </c>
      <c r="C13852" s="1" t="str">
        <f>HYPERLINK("http://www.uniprot.org/uniprot/PP345_ARATH","PP345_ARATH")</f>
        <v>PP345_ARATH</v>
      </c>
      <c r="D13852" t="s">
        <v>714</v>
      </c>
      <c r="E13852" s="3" t="s">
        <v>3</v>
      </c>
      <c r="F13852" s="4">
        <v>1.31E-26</v>
      </c>
      <c r="G13852" s="3">
        <v>274</v>
      </c>
      <c r="H13852" s="3">
        <v>50</v>
      </c>
      <c r="I13852" s="3">
        <v>111</v>
      </c>
      <c r="J13852" s="3">
        <v>149</v>
      </c>
      <c r="K13852" s="3">
        <v>475</v>
      </c>
      <c r="L13852" s="3">
        <v>20</v>
      </c>
      <c r="M13852" s="3">
        <v>130</v>
      </c>
    </row>
    <row r="13853" spans="1:13" x14ac:dyDescent="0.25">
      <c r="A13853" s="1" t="str">
        <f>HYPERLINK("http://www.rosaceae.org/Prunus/Prunus_persica/p.persica_gdr_reftransV1_0000495","p.persica_gdr_reftransV1_0000495")</f>
        <v>p.persica_gdr_reftransV1_0000495</v>
      </c>
      <c r="B13853" s="3">
        <v>973</v>
      </c>
      <c r="C13853" s="1" t="str">
        <f>HYPERLINK("http://www.uniprot.org/uniprot/ERG3_ORYSJ","ERG3_ORYSJ")</f>
        <v>ERG3_ORYSJ</v>
      </c>
      <c r="D13853" t="s">
        <v>1897</v>
      </c>
      <c r="E13853" s="3" t="s">
        <v>38</v>
      </c>
      <c r="F13853" s="4">
        <v>4.7600000000000002E-53</v>
      </c>
      <c r="G13853" s="3">
        <v>449</v>
      </c>
      <c r="H13853" s="3">
        <v>62</v>
      </c>
      <c r="I13853" s="3">
        <v>151</v>
      </c>
      <c r="J13853" s="3">
        <v>275</v>
      </c>
      <c r="K13853" s="3">
        <v>727</v>
      </c>
      <c r="L13853" s="3">
        <v>1</v>
      </c>
      <c r="M13853" s="3">
        <v>144</v>
      </c>
    </row>
    <row r="13854" spans="1:13" x14ac:dyDescent="0.25">
      <c r="A13854" s="1" t="str">
        <f>HYPERLINK("http://www.rosaceae.org/Prunus/Prunus_persica/p.persica_gdr_reftransV1_0000545","p.persica_gdr_reftransV1_0000545")</f>
        <v>p.persica_gdr_reftransV1_0000545</v>
      </c>
      <c r="B13854" s="3">
        <v>2909</v>
      </c>
      <c r="C13854" s="1" t="str">
        <f>HYPERLINK("http://www.uniprot.org/uniprot/RLP12_ARATH","RLP12_ARATH")</f>
        <v>RLP12_ARATH</v>
      </c>
      <c r="D13854" t="s">
        <v>1219</v>
      </c>
      <c r="E13854" s="3" t="s">
        <v>3</v>
      </c>
      <c r="F13854" s="4">
        <v>6.8500000000000002E-76</v>
      </c>
      <c r="G13854" s="3">
        <v>694</v>
      </c>
      <c r="H13854" s="3">
        <v>32</v>
      </c>
      <c r="I13854" s="3">
        <v>833</v>
      </c>
      <c r="J13854" s="3">
        <v>291</v>
      </c>
      <c r="K13854" s="3">
        <v>2720</v>
      </c>
      <c r="L13854" s="3">
        <v>65</v>
      </c>
      <c r="M13854" s="3">
        <v>834</v>
      </c>
    </row>
    <row r="13855" spans="1:13" x14ac:dyDescent="0.25">
      <c r="A13855" s="1" t="str">
        <f>HYPERLINK("http://www.rosaceae.org/Prunus/Prunus_persica/p.persica_gdr_reftransV1_0000595","p.persica_gdr_reftransV1_0000595")</f>
        <v>p.persica_gdr_reftransV1_0000595</v>
      </c>
      <c r="B13855" s="3">
        <v>463</v>
      </c>
      <c r="C13855" s="1" t="str">
        <f>HYPERLINK("http://www.uniprot.org/uniprot/GAST1_SOLLC","GAST1_SOLLC")</f>
        <v>GAST1_SOLLC</v>
      </c>
      <c r="D13855" t="s">
        <v>5096</v>
      </c>
      <c r="E13855" s="3" t="s">
        <v>64</v>
      </c>
      <c r="F13855" s="4">
        <v>1.4299999999999999E-35</v>
      </c>
      <c r="G13855" s="3">
        <v>314</v>
      </c>
      <c r="H13855" s="3">
        <v>78</v>
      </c>
      <c r="I13855" s="3">
        <v>72</v>
      </c>
      <c r="J13855" s="3">
        <v>228</v>
      </c>
      <c r="K13855" s="3">
        <v>443</v>
      </c>
      <c r="L13855" s="3">
        <v>41</v>
      </c>
      <c r="M13855" s="3">
        <v>112</v>
      </c>
    </row>
    <row r="13856" spans="1:13" x14ac:dyDescent="0.25">
      <c r="A13856" s="1" t="str">
        <f>HYPERLINK("http://www.rosaceae.org/Prunus/Prunus_persica/p.persica_gdr_reftransV1_0000645","p.persica_gdr_reftransV1_0000645")</f>
        <v>p.persica_gdr_reftransV1_0000645</v>
      </c>
      <c r="B13856" s="3">
        <v>458</v>
      </c>
      <c r="C13856" s="1" t="str">
        <f>HYPERLINK("http://www.uniprot.org/uniprot/AKR1_SOYBN","AKR1_SOYBN")</f>
        <v>AKR1_SOYBN</v>
      </c>
      <c r="D13856" t="s">
        <v>796</v>
      </c>
      <c r="E13856" s="3" t="s">
        <v>307</v>
      </c>
      <c r="F13856" s="4">
        <v>1.9399999999999999E-63</v>
      </c>
      <c r="G13856" s="3">
        <v>519</v>
      </c>
      <c r="H13856" s="3">
        <v>74</v>
      </c>
      <c r="I13856" s="3">
        <v>126</v>
      </c>
      <c r="J13856" s="3">
        <v>1</v>
      </c>
      <c r="K13856" s="3">
        <v>378</v>
      </c>
      <c r="L13856" s="3">
        <v>158</v>
      </c>
      <c r="M13856" s="3">
        <v>283</v>
      </c>
    </row>
    <row r="13857" spans="1:13" x14ac:dyDescent="0.25">
      <c r="A13857" s="1" t="str">
        <f>HYPERLINK("http://www.rosaceae.org/Prunus/Prunus_persica/p.persica_gdr_reftransV1_0000695","p.persica_gdr_reftransV1_0000695")</f>
        <v>p.persica_gdr_reftransV1_0000695</v>
      </c>
      <c r="B13857" s="3">
        <v>2275</v>
      </c>
      <c r="C13857" s="1" t="str">
        <f>HYPERLINK("http://www.uniprot.org/uniprot/2A5I_ARATH","2A5I_ARATH")</f>
        <v>2A5I_ARATH</v>
      </c>
      <c r="D13857" t="s">
        <v>591</v>
      </c>
      <c r="E13857" s="3" t="s">
        <v>3</v>
      </c>
      <c r="F13857" s="4">
        <v>0</v>
      </c>
      <c r="G13857" s="3">
        <v>1653</v>
      </c>
      <c r="H13857" s="3">
        <v>80</v>
      </c>
      <c r="I13857" s="3">
        <v>378</v>
      </c>
      <c r="J13857" s="3">
        <v>837</v>
      </c>
      <c r="K13857" s="3">
        <v>1970</v>
      </c>
      <c r="L13857" s="3">
        <v>123</v>
      </c>
      <c r="M13857" s="3">
        <v>500</v>
      </c>
    </row>
    <row r="13858" spans="1:13" x14ac:dyDescent="0.25">
      <c r="A13858" s="1" t="str">
        <f>HYPERLINK("http://www.rosaceae.org/Prunus/Prunus_persica/p.persica_gdr_reftransV1_0000745","p.persica_gdr_reftransV1_0000745")</f>
        <v>p.persica_gdr_reftransV1_0000745</v>
      </c>
      <c r="B13858" s="3">
        <v>3828</v>
      </c>
      <c r="C13858" s="1" t="str">
        <f>HYPERLINK("http://www.uniprot.org/uniprot/UBC24_ARATH","UBC24_ARATH")</f>
        <v>UBC24_ARATH</v>
      </c>
      <c r="D13858" t="s">
        <v>7892</v>
      </c>
      <c r="E13858" s="3" t="s">
        <v>3</v>
      </c>
      <c r="F13858" s="4">
        <v>0</v>
      </c>
      <c r="G13858" s="3">
        <v>2225</v>
      </c>
      <c r="H13858" s="3">
        <v>54</v>
      </c>
      <c r="I13858" s="3">
        <v>913</v>
      </c>
      <c r="J13858" s="3">
        <v>859</v>
      </c>
      <c r="K13858" s="3">
        <v>3579</v>
      </c>
      <c r="L13858" s="3">
        <v>20</v>
      </c>
      <c r="M13858" s="3">
        <v>906</v>
      </c>
    </row>
    <row r="13859" spans="1:13" x14ac:dyDescent="0.25">
      <c r="A13859" s="1" t="str">
        <f>HYPERLINK("http://www.rosaceae.org/Prunus/Prunus_persica/p.persica_gdr_reftransV1_0000795","p.persica_gdr_reftransV1_0000795")</f>
        <v>p.persica_gdr_reftransV1_0000795</v>
      </c>
      <c r="B13859" s="3">
        <v>2405</v>
      </c>
      <c r="C13859" s="1" t="str">
        <f>HYPERLINK("http://www.uniprot.org/uniprot/RPF1_MOUSE","RPF1_MOUSE")</f>
        <v>RPF1_MOUSE</v>
      </c>
      <c r="D13859" t="s">
        <v>4502</v>
      </c>
      <c r="E13859" s="3" t="s">
        <v>157</v>
      </c>
      <c r="F13859" s="4">
        <v>2.3699999999999999E-84</v>
      </c>
      <c r="G13859" s="3">
        <v>712</v>
      </c>
      <c r="H13859" s="3">
        <v>51</v>
      </c>
      <c r="I13859" s="3">
        <v>282</v>
      </c>
      <c r="J13859" s="3">
        <v>1268</v>
      </c>
      <c r="K13859" s="3">
        <v>2107</v>
      </c>
      <c r="L13859" s="3">
        <v>92</v>
      </c>
      <c r="M13859" s="3">
        <v>349</v>
      </c>
    </row>
    <row r="13860" spans="1:13" x14ac:dyDescent="0.25">
      <c r="A13860" s="1" t="str">
        <f>HYPERLINK("http://www.rosaceae.org/Prunus/Prunus_persica/p.persica_gdr_reftransV1_0000845","p.persica_gdr_reftransV1_0000845")</f>
        <v>p.persica_gdr_reftransV1_0000845</v>
      </c>
      <c r="B13860" s="3">
        <v>3390</v>
      </c>
      <c r="C13860" s="1" t="str">
        <f>HYPERLINK("http://www.uniprot.org/uniprot/RAD7_SCHPO","RAD7_SCHPO")</f>
        <v>RAD7_SCHPO</v>
      </c>
      <c r="D13860" t="s">
        <v>9222</v>
      </c>
      <c r="E13860" s="3" t="s">
        <v>464</v>
      </c>
      <c r="F13860" s="4">
        <v>1.2200000000000001E-16</v>
      </c>
      <c r="G13860" s="3">
        <v>218</v>
      </c>
      <c r="H13860" s="3">
        <v>28</v>
      </c>
      <c r="I13860" s="3">
        <v>356</v>
      </c>
      <c r="J13860" s="3">
        <v>696</v>
      </c>
      <c r="K13860" s="3">
        <v>1712</v>
      </c>
      <c r="L13860" s="3">
        <v>188</v>
      </c>
      <c r="M13860" s="3">
        <v>525</v>
      </c>
    </row>
    <row r="13861" spans="1:13" x14ac:dyDescent="0.25">
      <c r="A13861" s="1" t="str">
        <f>HYPERLINK("http://www.rosaceae.org/Prunus/Prunus_persica/p.persica_gdr_reftransV1_0000945","p.persica_gdr_reftransV1_0000945")</f>
        <v>p.persica_gdr_reftransV1_0000945</v>
      </c>
      <c r="B13861" s="3">
        <v>561</v>
      </c>
      <c r="C13861" s="1" t="str">
        <f>HYPERLINK("http://www.uniprot.org/uniprot/5BPOR_DIGLA","5BPOR_DIGLA")</f>
        <v>5BPOR_DIGLA</v>
      </c>
      <c r="D13861" t="s">
        <v>1647</v>
      </c>
      <c r="E13861" s="3" t="s">
        <v>1648</v>
      </c>
      <c r="F13861" s="4">
        <v>1.0300000000000001E-56</v>
      </c>
      <c r="G13861" s="3">
        <v>480</v>
      </c>
      <c r="H13861" s="3">
        <v>69</v>
      </c>
      <c r="I13861" s="3">
        <v>140</v>
      </c>
      <c r="J13861" s="3">
        <v>1</v>
      </c>
      <c r="K13861" s="3">
        <v>420</v>
      </c>
      <c r="L13861" s="3">
        <v>254</v>
      </c>
      <c r="M13861" s="3">
        <v>389</v>
      </c>
    </row>
    <row r="13862" spans="1:13" x14ac:dyDescent="0.25">
      <c r="A13862" s="1" t="str">
        <f>HYPERLINK("http://www.rosaceae.org/Prunus/Prunus_persica/p.persica_gdr_reftransV1_0000995","p.persica_gdr_reftransV1_0000995")</f>
        <v>p.persica_gdr_reftransV1_0000995</v>
      </c>
      <c r="B13862" s="3">
        <v>950</v>
      </c>
      <c r="C13862" s="1" t="str">
        <f>HYPERLINK("http://www.uniprot.org/uniprot/PTHM_ARATH","PTHM_ARATH")</f>
        <v>PTHM_ARATH</v>
      </c>
      <c r="D13862" t="s">
        <v>9223</v>
      </c>
      <c r="E13862" s="3" t="s">
        <v>3</v>
      </c>
      <c r="F13862" s="4">
        <v>3.7100000000000001E-92</v>
      </c>
      <c r="G13862" s="3">
        <v>716</v>
      </c>
      <c r="H13862" s="3">
        <v>63</v>
      </c>
      <c r="I13862" s="3">
        <v>219</v>
      </c>
      <c r="J13862" s="3">
        <v>369</v>
      </c>
      <c r="K13862" s="3">
        <v>950</v>
      </c>
      <c r="L13862" s="3">
        <v>1</v>
      </c>
      <c r="M13862" s="3">
        <v>219</v>
      </c>
    </row>
    <row r="13863" spans="1:13" x14ac:dyDescent="0.25">
      <c r="A13863" s="1" t="str">
        <f>HYPERLINK("http://www.rosaceae.org/Prunus/Prunus_persica/p.persica_gdr_reftransV1_0001145","p.persica_gdr_reftransV1_0001145")</f>
        <v>p.persica_gdr_reftransV1_0001145</v>
      </c>
      <c r="B13863" s="3">
        <v>1807</v>
      </c>
      <c r="C13863" s="1" t="str">
        <f>HYPERLINK("http://www.uniprot.org/uniprot/ASPG2_ARATH","ASPG2_ARATH")</f>
        <v>ASPG2_ARATH</v>
      </c>
      <c r="D13863" t="s">
        <v>437</v>
      </c>
      <c r="E13863" s="3" t="s">
        <v>3</v>
      </c>
      <c r="F13863" s="4">
        <v>2.38E-39</v>
      </c>
      <c r="G13863" s="3">
        <v>389</v>
      </c>
      <c r="H13863" s="3">
        <v>33</v>
      </c>
      <c r="I13863" s="3">
        <v>348</v>
      </c>
      <c r="J13863" s="3">
        <v>412</v>
      </c>
      <c r="K13863" s="3">
        <v>1425</v>
      </c>
      <c r="L13863" s="3">
        <v>128</v>
      </c>
      <c r="M13863" s="3">
        <v>470</v>
      </c>
    </row>
    <row r="13864" spans="1:13" x14ac:dyDescent="0.25">
      <c r="A13864" s="1" t="str">
        <f>HYPERLINK("http://www.rosaceae.org/Prunus/Prunus_persica/p.persica_gdr_reftransV1_0001245","p.persica_gdr_reftransV1_0001245")</f>
        <v>p.persica_gdr_reftransV1_0001245</v>
      </c>
      <c r="B13864" s="3">
        <v>1923</v>
      </c>
      <c r="C13864" s="1" t="str">
        <f>HYPERLINK("http://www.uniprot.org/uniprot/TADA2_ORYSJ","TADA2_ORYSJ")</f>
        <v>TADA2_ORYSJ</v>
      </c>
      <c r="D13864" t="s">
        <v>2563</v>
      </c>
      <c r="E13864" s="3" t="s">
        <v>38</v>
      </c>
      <c r="F13864" s="4">
        <v>0</v>
      </c>
      <c r="G13864" s="3">
        <v>1553</v>
      </c>
      <c r="H13864" s="3">
        <v>56</v>
      </c>
      <c r="I13864" s="3">
        <v>570</v>
      </c>
      <c r="J13864" s="3">
        <v>164</v>
      </c>
      <c r="K13864" s="3">
        <v>1825</v>
      </c>
      <c r="L13864" s="3">
        <v>1</v>
      </c>
      <c r="M13864" s="3">
        <v>557</v>
      </c>
    </row>
    <row r="13865" spans="1:13" x14ac:dyDescent="0.25">
      <c r="A13865" s="1" t="str">
        <f>HYPERLINK("http://www.rosaceae.org/Prunus/Prunus_persica/p.persica_gdr_reftransV1_0001295","p.persica_gdr_reftransV1_0001295")</f>
        <v>p.persica_gdr_reftransV1_0001295</v>
      </c>
      <c r="B13865" s="3">
        <v>5205</v>
      </c>
      <c r="C13865" s="1" t="str">
        <f>HYPERLINK("http://www.uniprot.org/uniprot/RDM3_ARATH","RDM3_ARATH")</f>
        <v>RDM3_ARATH</v>
      </c>
      <c r="D13865" t="s">
        <v>7234</v>
      </c>
      <c r="E13865" s="3" t="s">
        <v>3</v>
      </c>
      <c r="F13865" s="4">
        <v>2.0399999999999999E-102</v>
      </c>
      <c r="G13865" s="3">
        <v>938</v>
      </c>
      <c r="H13865" s="3">
        <v>56</v>
      </c>
      <c r="I13865" s="3">
        <v>302</v>
      </c>
      <c r="J13865" s="3">
        <v>3929</v>
      </c>
      <c r="K13865" s="3">
        <v>4834</v>
      </c>
      <c r="L13865" s="3">
        <v>87</v>
      </c>
      <c r="M13865" s="3">
        <v>384</v>
      </c>
    </row>
    <row r="13866" spans="1:13" x14ac:dyDescent="0.25">
      <c r="A13866" s="1" t="str">
        <f>HYPERLINK("http://www.rosaceae.org/Prunus/Prunus_persica/p.persica_gdr_reftransV1_0001495","p.persica_gdr_reftransV1_0001495")</f>
        <v>p.persica_gdr_reftransV1_0001495</v>
      </c>
      <c r="B13866" s="3">
        <v>1141</v>
      </c>
      <c r="C13866" s="1" t="str">
        <f>HYPERLINK("http://www.uniprot.org/uniprot/PHYLO_ARATH","PHYLO_ARATH")</f>
        <v>PHYLO_ARATH</v>
      </c>
      <c r="D13866" t="s">
        <v>6655</v>
      </c>
      <c r="E13866" s="3" t="s">
        <v>3</v>
      </c>
      <c r="F13866" s="4">
        <v>1.11E-161</v>
      </c>
      <c r="G13866" s="3">
        <v>1291</v>
      </c>
      <c r="H13866" s="3">
        <v>74</v>
      </c>
      <c r="I13866" s="3">
        <v>325</v>
      </c>
      <c r="J13866" s="3">
        <v>164</v>
      </c>
      <c r="K13866" s="3">
        <v>1138</v>
      </c>
      <c r="L13866" s="3">
        <v>358</v>
      </c>
      <c r="M13866" s="3">
        <v>681</v>
      </c>
    </row>
    <row r="13867" spans="1:13" x14ac:dyDescent="0.25">
      <c r="A13867" s="1" t="str">
        <f>HYPERLINK("http://www.rosaceae.org/Prunus/Prunus_persica/p.persica_gdr_reftransV1_0001545","p.persica_gdr_reftransV1_0001545")</f>
        <v>p.persica_gdr_reftransV1_0001545</v>
      </c>
      <c r="B13867" s="3">
        <v>407</v>
      </c>
      <c r="C13867" s="1" t="str">
        <f>HYPERLINK("http://www.uniprot.org/uniprot/MYB59_ARATH","MYB59_ARATH")</f>
        <v>MYB59_ARATH</v>
      </c>
      <c r="D13867" t="s">
        <v>9224</v>
      </c>
      <c r="E13867" s="3" t="s">
        <v>3</v>
      </c>
      <c r="F13867" s="4">
        <v>3.3499999999999999E-48</v>
      </c>
      <c r="G13867" s="3">
        <v>406</v>
      </c>
      <c r="H13867" s="3">
        <v>71</v>
      </c>
      <c r="I13867" s="3">
        <v>103</v>
      </c>
      <c r="J13867" s="3">
        <v>97</v>
      </c>
      <c r="K13867" s="3">
        <v>405</v>
      </c>
      <c r="L13867" s="3">
        <v>5</v>
      </c>
      <c r="M13867" s="3">
        <v>107</v>
      </c>
    </row>
    <row r="13868" spans="1:13" x14ac:dyDescent="0.25">
      <c r="A13868" s="1" t="str">
        <f>HYPERLINK("http://www.rosaceae.org/Prunus/Prunus_persica/p.persica_gdr_reftransV1_0001595","p.persica_gdr_reftransV1_0001595")</f>
        <v>p.persica_gdr_reftransV1_0001595</v>
      </c>
      <c r="B13868" s="3">
        <v>1164</v>
      </c>
      <c r="C13868" s="1" t="str">
        <f>HYPERLINK("http://www.uniprot.org/uniprot/CASL1_CANSA","CASL1_CANSA")</f>
        <v>CASL1_CANSA</v>
      </c>
      <c r="D13868" t="s">
        <v>4667</v>
      </c>
      <c r="E13868" s="3" t="s">
        <v>3291</v>
      </c>
      <c r="F13868" s="4">
        <v>9.2799999999999996E-102</v>
      </c>
      <c r="G13868" s="3">
        <v>816</v>
      </c>
      <c r="H13868" s="3">
        <v>51</v>
      </c>
      <c r="I13868" s="3">
        <v>353</v>
      </c>
      <c r="J13868" s="3">
        <v>35</v>
      </c>
      <c r="K13868" s="3">
        <v>1045</v>
      </c>
      <c r="L13868" s="3">
        <v>192</v>
      </c>
      <c r="M13868" s="3">
        <v>541</v>
      </c>
    </row>
    <row r="13869" spans="1:13" x14ac:dyDescent="0.25">
      <c r="A13869" s="1" t="str">
        <f>HYPERLINK("http://www.rosaceae.org/Prunus/Prunus_persica/p.persica_gdr_reftransV1_0001645","p.persica_gdr_reftransV1_0001645")</f>
        <v>p.persica_gdr_reftransV1_0001645</v>
      </c>
      <c r="B13869" s="3">
        <v>466</v>
      </c>
      <c r="C13869" s="1" t="str">
        <f>HYPERLINK("http://www.uniprot.org/uniprot/Y3028_ARATH","Y3028_ARATH")</f>
        <v>Y3028_ARATH</v>
      </c>
      <c r="D13869" t="s">
        <v>919</v>
      </c>
      <c r="E13869" s="3" t="s">
        <v>3</v>
      </c>
      <c r="F13869" s="4">
        <v>1.4000000000000001E-26</v>
      </c>
      <c r="G13869" s="3">
        <v>267</v>
      </c>
      <c r="H13869" s="3">
        <v>42</v>
      </c>
      <c r="I13869" s="3">
        <v>158</v>
      </c>
      <c r="J13869" s="3">
        <v>1</v>
      </c>
      <c r="K13869" s="3">
        <v>465</v>
      </c>
      <c r="L13869" s="3">
        <v>110</v>
      </c>
      <c r="M13869" s="3">
        <v>261</v>
      </c>
    </row>
    <row r="13870" spans="1:13" x14ac:dyDescent="0.25">
      <c r="A13870" s="1" t="str">
        <f>HYPERLINK("http://www.rosaceae.org/Prunus/Prunus_persica/p.persica_gdr_reftransV1_0001695","p.persica_gdr_reftransV1_0001695")</f>
        <v>p.persica_gdr_reftransV1_0001695</v>
      </c>
      <c r="B13870" s="3">
        <v>893</v>
      </c>
      <c r="C13870" s="1" t="str">
        <f>HYPERLINK("http://www.uniprot.org/uniprot/GDL49_ARATH","GDL49_ARATH")</f>
        <v>GDL49_ARATH</v>
      </c>
      <c r="D13870" t="s">
        <v>9225</v>
      </c>
      <c r="E13870" s="3" t="s">
        <v>3</v>
      </c>
      <c r="F13870" s="4">
        <v>9.01E-94</v>
      </c>
      <c r="G13870" s="3">
        <v>739</v>
      </c>
      <c r="H13870" s="3">
        <v>53</v>
      </c>
      <c r="I13870" s="3">
        <v>237</v>
      </c>
      <c r="J13870" s="3">
        <v>1</v>
      </c>
      <c r="K13870" s="3">
        <v>711</v>
      </c>
      <c r="L13870" s="3">
        <v>137</v>
      </c>
      <c r="M13870" s="3">
        <v>373</v>
      </c>
    </row>
    <row r="13871" spans="1:13" x14ac:dyDescent="0.25">
      <c r="A13871" s="1" t="str">
        <f>HYPERLINK("http://www.rosaceae.org/Prunus/Prunus_persica/p.persica_gdr_reftransV1_0001795","p.persica_gdr_reftransV1_0001795")</f>
        <v>p.persica_gdr_reftransV1_0001795</v>
      </c>
      <c r="B13871" s="3">
        <v>1880</v>
      </c>
      <c r="C13871" s="1" t="str">
        <f>HYPERLINK("http://www.uniprot.org/uniprot/NIPA6_ARATH","NIPA6_ARATH")</f>
        <v>NIPA6_ARATH</v>
      </c>
      <c r="D13871" t="s">
        <v>9226</v>
      </c>
      <c r="E13871" s="3" t="s">
        <v>3</v>
      </c>
      <c r="F13871" s="4">
        <v>1.3999999999999999E-69</v>
      </c>
      <c r="G13871" s="3">
        <v>599</v>
      </c>
      <c r="H13871" s="3">
        <v>81</v>
      </c>
      <c r="I13871" s="3">
        <v>187</v>
      </c>
      <c r="J13871" s="3">
        <v>197</v>
      </c>
      <c r="K13871" s="3">
        <v>757</v>
      </c>
      <c r="L13871" s="3">
        <v>3</v>
      </c>
      <c r="M13871" s="3">
        <v>189</v>
      </c>
    </row>
    <row r="13872" spans="1:13" x14ac:dyDescent="0.25">
      <c r="A13872" s="1" t="str">
        <f>HYPERLINK("http://www.rosaceae.org/Prunus/Prunus_persica/p.persica_gdr_reftransV1_0001895","p.persica_gdr_reftransV1_0001895")</f>
        <v>p.persica_gdr_reftransV1_0001895</v>
      </c>
      <c r="B13872" s="3">
        <v>2148</v>
      </c>
      <c r="C13872" s="1" t="str">
        <f>HYPERLINK("http://www.uniprot.org/uniprot/PER64_ARATH","PER64_ARATH")</f>
        <v>PER64_ARATH</v>
      </c>
      <c r="D13872" t="s">
        <v>9227</v>
      </c>
      <c r="E13872" s="3" t="s">
        <v>3</v>
      </c>
      <c r="F13872" s="4">
        <v>3.1500000000000003E-157</v>
      </c>
      <c r="G13872" s="3">
        <v>1195</v>
      </c>
      <c r="H13872" s="3">
        <v>69</v>
      </c>
      <c r="I13872" s="3">
        <v>316</v>
      </c>
      <c r="J13872" s="3">
        <v>1162</v>
      </c>
      <c r="K13872" s="3">
        <v>2106</v>
      </c>
      <c r="L13872" s="3">
        <v>1</v>
      </c>
      <c r="M13872" s="3">
        <v>316</v>
      </c>
    </row>
    <row r="13873" spans="1:13" x14ac:dyDescent="0.25">
      <c r="A13873" s="1" t="str">
        <f>HYPERLINK("http://www.rosaceae.org/Prunus/Prunus_persica/p.persica_gdr_reftransV1_0001945","p.persica_gdr_reftransV1_0001945")</f>
        <v>p.persica_gdr_reftransV1_0001945</v>
      </c>
      <c r="B13873" s="3">
        <v>1337</v>
      </c>
      <c r="C13873" s="1" t="str">
        <f>HYPERLINK("http://www.uniprot.org/uniprot/14336_SOLLC","14336_SOLLC")</f>
        <v>14336_SOLLC</v>
      </c>
      <c r="D13873" t="s">
        <v>9228</v>
      </c>
      <c r="E13873" s="3" t="s">
        <v>64</v>
      </c>
      <c r="F13873" s="4">
        <v>8.5100000000000001E-158</v>
      </c>
      <c r="G13873" s="3">
        <v>1167</v>
      </c>
      <c r="H13873" s="3">
        <v>89</v>
      </c>
      <c r="I13873" s="3">
        <v>245</v>
      </c>
      <c r="J13873" s="3">
        <v>119</v>
      </c>
      <c r="K13873" s="3">
        <v>853</v>
      </c>
      <c r="L13873" s="3">
        <v>3</v>
      </c>
      <c r="M13873" s="3">
        <v>247</v>
      </c>
    </row>
    <row r="13874" spans="1:13" x14ac:dyDescent="0.25">
      <c r="A13874" s="1" t="str">
        <f>HYPERLINK("http://www.rosaceae.org/Prunus/Prunus_persica/p.persica_gdr_reftransV1_0002045","p.persica_gdr_reftransV1_0002045")</f>
        <v>p.persica_gdr_reftransV1_0002045</v>
      </c>
      <c r="B13874" s="3">
        <v>3077</v>
      </c>
      <c r="C13874" s="1" t="str">
        <f>HYPERLINK("http://www.uniprot.org/uniprot/PPCE_MOUSE","PPCE_MOUSE")</f>
        <v>PPCE_MOUSE</v>
      </c>
      <c r="D13874" t="s">
        <v>6796</v>
      </c>
      <c r="E13874" s="3" t="s">
        <v>157</v>
      </c>
      <c r="F13874" s="4">
        <v>0</v>
      </c>
      <c r="G13874" s="3">
        <v>2224</v>
      </c>
      <c r="H13874" s="3">
        <v>56</v>
      </c>
      <c r="I13874" s="3">
        <v>725</v>
      </c>
      <c r="J13874" s="3">
        <v>387</v>
      </c>
      <c r="K13874" s="3">
        <v>2555</v>
      </c>
      <c r="L13874" s="3">
        <v>2</v>
      </c>
      <c r="M13874" s="3">
        <v>710</v>
      </c>
    </row>
    <row r="13875" spans="1:13" x14ac:dyDescent="0.25">
      <c r="A13875" s="1" t="str">
        <f>HYPERLINK("http://www.rosaceae.org/Prunus/Prunus_persica/p.persica_gdr_reftransV1_0002095","p.persica_gdr_reftransV1_0002095")</f>
        <v>p.persica_gdr_reftransV1_0002095</v>
      </c>
      <c r="B13875" s="3">
        <v>907</v>
      </c>
      <c r="C13875" s="1" t="str">
        <f>HYPERLINK("http://www.uniprot.org/uniprot/PP272_ARATH","PP272_ARATH")</f>
        <v>PP272_ARATH</v>
      </c>
      <c r="D13875" t="s">
        <v>658</v>
      </c>
      <c r="E13875" s="3" t="s">
        <v>3</v>
      </c>
      <c r="F13875" s="4">
        <v>1.05E-113</v>
      </c>
      <c r="G13875" s="3">
        <v>909</v>
      </c>
      <c r="H13875" s="3">
        <v>59</v>
      </c>
      <c r="I13875" s="3">
        <v>300</v>
      </c>
      <c r="J13875" s="3">
        <v>12</v>
      </c>
      <c r="K13875" s="3">
        <v>902</v>
      </c>
      <c r="L13875" s="3">
        <v>98</v>
      </c>
      <c r="M13875" s="3">
        <v>395</v>
      </c>
    </row>
    <row r="13876" spans="1:13" x14ac:dyDescent="0.25">
      <c r="A13876" s="1" t="str">
        <f>HYPERLINK("http://www.rosaceae.org/Prunus/Prunus_persica/p.persica_gdr_reftransV1_0002145","p.persica_gdr_reftransV1_0002145")</f>
        <v>p.persica_gdr_reftransV1_0002145</v>
      </c>
      <c r="B13876" s="3">
        <v>2455</v>
      </c>
      <c r="C13876" s="1" t="str">
        <f>HYPERLINK("http://www.uniprot.org/uniprot/RBM19_HUMAN","RBM19_HUMAN")</f>
        <v>RBM19_HUMAN</v>
      </c>
      <c r="D13876" t="s">
        <v>9229</v>
      </c>
      <c r="E13876" s="3" t="s">
        <v>28</v>
      </c>
      <c r="F13876" s="4">
        <v>1.1099999999999999E-28</v>
      </c>
      <c r="G13876" s="3">
        <v>319</v>
      </c>
      <c r="H13876" s="3">
        <v>36</v>
      </c>
      <c r="I13876" s="3">
        <v>222</v>
      </c>
      <c r="J13876" s="3">
        <v>1676</v>
      </c>
      <c r="K13876" s="3">
        <v>2302</v>
      </c>
      <c r="L13876" s="3">
        <v>1</v>
      </c>
      <c r="M13876" s="3">
        <v>215</v>
      </c>
    </row>
    <row r="13877" spans="1:13" x14ac:dyDescent="0.25">
      <c r="A13877" s="1" t="str">
        <f>HYPERLINK("http://www.rosaceae.org/Prunus/Prunus_persica/p.persica_gdr_reftransV1_0002195","p.persica_gdr_reftransV1_0002195")</f>
        <v>p.persica_gdr_reftransV1_0002195</v>
      </c>
      <c r="B13877" s="3">
        <v>2494</v>
      </c>
      <c r="C13877" s="1" t="str">
        <f>HYPERLINK("http://www.uniprot.org/uniprot/CDPK8_ARATH","CDPK8_ARATH")</f>
        <v>CDPK8_ARATH</v>
      </c>
      <c r="D13877" t="s">
        <v>3598</v>
      </c>
      <c r="E13877" s="3" t="s">
        <v>3</v>
      </c>
      <c r="F13877" s="4">
        <v>0</v>
      </c>
      <c r="G13877" s="3">
        <v>2183</v>
      </c>
      <c r="H13877" s="3">
        <v>79</v>
      </c>
      <c r="I13877" s="3">
        <v>528</v>
      </c>
      <c r="J13877" s="3">
        <v>506</v>
      </c>
      <c r="K13877" s="3">
        <v>2077</v>
      </c>
      <c r="L13877" s="3">
        <v>1</v>
      </c>
      <c r="M13877" s="3">
        <v>527</v>
      </c>
    </row>
    <row r="13878" spans="1:13" x14ac:dyDescent="0.25">
      <c r="A13878" s="1" t="str">
        <f>HYPERLINK("http://www.rosaceae.org/Prunus/Prunus_persica/p.persica_gdr_reftransV1_0002295","p.persica_gdr_reftransV1_0002295")</f>
        <v>p.persica_gdr_reftransV1_0002295</v>
      </c>
      <c r="B13878" s="3">
        <v>451</v>
      </c>
      <c r="C13878" s="1" t="str">
        <f>HYPERLINK("http://www.uniprot.org/uniprot/KCCS_MALDO","KCCS_MALDO")</f>
        <v>KCCS_MALDO</v>
      </c>
      <c r="D13878" t="s">
        <v>9230</v>
      </c>
      <c r="E13878" s="3" t="s">
        <v>540</v>
      </c>
      <c r="F13878" s="4">
        <v>5.6699999999999995E-76</v>
      </c>
      <c r="G13878" s="3">
        <v>608</v>
      </c>
      <c r="H13878" s="3">
        <v>88</v>
      </c>
      <c r="I13878" s="3">
        <v>153</v>
      </c>
      <c r="J13878" s="3">
        <v>1</v>
      </c>
      <c r="K13878" s="3">
        <v>450</v>
      </c>
      <c r="L13878" s="3">
        <v>4</v>
      </c>
      <c r="M13878" s="3">
        <v>156</v>
      </c>
    </row>
    <row r="13879" spans="1:13" x14ac:dyDescent="0.25">
      <c r="A13879" s="1" t="str">
        <f>HYPERLINK("http://www.rosaceae.org/Prunus/Prunus_persica/p.persica_gdr_reftransV1_0002395","p.persica_gdr_reftransV1_0002395")</f>
        <v>p.persica_gdr_reftransV1_0002395</v>
      </c>
      <c r="B13879" s="3">
        <v>480</v>
      </c>
      <c r="C13879" s="1" t="str">
        <f>HYPERLINK("http://www.uniprot.org/uniprot/PGLR4_ARATH","PGLR4_ARATH")</f>
        <v>PGLR4_ARATH</v>
      </c>
      <c r="D13879" t="s">
        <v>4096</v>
      </c>
      <c r="E13879" s="3" t="s">
        <v>3</v>
      </c>
      <c r="F13879" s="4">
        <v>2.9699999999999998E-44</v>
      </c>
      <c r="G13879" s="3">
        <v>396</v>
      </c>
      <c r="H13879" s="3">
        <v>62</v>
      </c>
      <c r="I13879" s="3">
        <v>113</v>
      </c>
      <c r="J13879" s="3">
        <v>3</v>
      </c>
      <c r="K13879" s="3">
        <v>341</v>
      </c>
      <c r="L13879" s="3">
        <v>351</v>
      </c>
      <c r="M13879" s="3">
        <v>463</v>
      </c>
    </row>
    <row r="13880" spans="1:13" x14ac:dyDescent="0.25">
      <c r="A13880" s="1" t="str">
        <f>HYPERLINK("http://www.rosaceae.org/Prunus/Prunus_persica/p.persica_gdr_reftransV1_0002445","p.persica_gdr_reftransV1_0002445")</f>
        <v>p.persica_gdr_reftransV1_0002445</v>
      </c>
      <c r="B13880" s="3">
        <v>900</v>
      </c>
      <c r="C13880" s="1" t="str">
        <f>HYPERLINK("http://www.uniprot.org/uniprot/RECAC_ARATH","RECAC_ARATH")</f>
        <v>RECAC_ARATH</v>
      </c>
      <c r="D13880" t="s">
        <v>9231</v>
      </c>
      <c r="E13880" s="3" t="s">
        <v>3</v>
      </c>
      <c r="F13880" s="4">
        <v>3.9599999999999998E-59</v>
      </c>
      <c r="G13880" s="3">
        <v>511</v>
      </c>
      <c r="H13880" s="3">
        <v>80</v>
      </c>
      <c r="I13880" s="3">
        <v>136</v>
      </c>
      <c r="J13880" s="3">
        <v>126</v>
      </c>
      <c r="K13880" s="3">
        <v>533</v>
      </c>
      <c r="L13880" s="3">
        <v>273</v>
      </c>
      <c r="M13880" s="3">
        <v>408</v>
      </c>
    </row>
    <row r="13881" spans="1:13" x14ac:dyDescent="0.25">
      <c r="A13881" s="1" t="str">
        <f>HYPERLINK("http://www.rosaceae.org/Prunus/Prunus_persica/p.persica_gdr_reftransV1_0002495","p.persica_gdr_reftransV1_0002495")</f>
        <v>p.persica_gdr_reftransV1_0002495</v>
      </c>
      <c r="B13881" s="3">
        <v>2360</v>
      </c>
      <c r="C13881" s="1" t="str">
        <f>HYPERLINK("http://www.uniprot.org/uniprot/SKIP_ARATH","SKIP_ARATH")</f>
        <v>SKIP_ARATH</v>
      </c>
      <c r="D13881" t="s">
        <v>9232</v>
      </c>
      <c r="E13881" s="3" t="s">
        <v>3</v>
      </c>
      <c r="F13881" s="4">
        <v>0</v>
      </c>
      <c r="G13881" s="3">
        <v>1837</v>
      </c>
      <c r="H13881" s="3">
        <v>76</v>
      </c>
      <c r="I13881" s="3">
        <v>608</v>
      </c>
      <c r="J13881" s="3">
        <v>262</v>
      </c>
      <c r="K13881" s="3">
        <v>2052</v>
      </c>
      <c r="L13881" s="3">
        <v>7</v>
      </c>
      <c r="M13881" s="3">
        <v>609</v>
      </c>
    </row>
    <row r="13882" spans="1:13" x14ac:dyDescent="0.25">
      <c r="A13882" s="1" t="str">
        <f>HYPERLINK("http://www.rosaceae.org/Prunus/Prunus_persica/p.persica_gdr_reftransV1_0002545","p.persica_gdr_reftransV1_0002545")</f>
        <v>p.persica_gdr_reftransV1_0002545</v>
      </c>
      <c r="B13882" s="3">
        <v>1378</v>
      </c>
      <c r="C13882" s="1" t="str">
        <f>HYPERLINK("http://www.uniprot.org/uniprot/UAF30_YEAST","UAF30_YEAST")</f>
        <v>UAF30_YEAST</v>
      </c>
      <c r="D13882" t="s">
        <v>7205</v>
      </c>
      <c r="E13882" s="3" t="s">
        <v>34</v>
      </c>
      <c r="F13882" s="4">
        <v>1.1099999999999999E-13</v>
      </c>
      <c r="G13882" s="3">
        <v>180</v>
      </c>
      <c r="H13882" s="3">
        <v>46</v>
      </c>
      <c r="I13882" s="3">
        <v>69</v>
      </c>
      <c r="J13882" s="3">
        <v>876</v>
      </c>
      <c r="K13882" s="3">
        <v>1082</v>
      </c>
      <c r="L13882" s="3">
        <v>126</v>
      </c>
      <c r="M13882" s="3">
        <v>193</v>
      </c>
    </row>
    <row r="13883" spans="1:13" x14ac:dyDescent="0.25">
      <c r="A13883" s="1" t="str">
        <f>HYPERLINK("http://www.rosaceae.org/Prunus/Prunus_persica/p.persica_gdr_reftransV1_0002595","p.persica_gdr_reftransV1_0002595")</f>
        <v>p.persica_gdr_reftransV1_0002595</v>
      </c>
      <c r="B13883" s="3">
        <v>1529</v>
      </c>
      <c r="C13883" s="1" t="str">
        <f>HYPERLINK("http://www.uniprot.org/uniprot/NAC2_ARATH","NAC2_ARATH")</f>
        <v>NAC2_ARATH</v>
      </c>
      <c r="D13883" t="s">
        <v>1954</v>
      </c>
      <c r="E13883" s="3" t="s">
        <v>3</v>
      </c>
      <c r="F13883" s="4">
        <v>2.3399999999999999E-138</v>
      </c>
      <c r="G13883" s="3">
        <v>1048</v>
      </c>
      <c r="H13883" s="3">
        <v>71</v>
      </c>
      <c r="I13883" s="3">
        <v>303</v>
      </c>
      <c r="J13883" s="3">
        <v>554</v>
      </c>
      <c r="K13883" s="3">
        <v>1432</v>
      </c>
      <c r="L13883" s="3">
        <v>2</v>
      </c>
      <c r="M13883" s="3">
        <v>289</v>
      </c>
    </row>
    <row r="13884" spans="1:13" x14ac:dyDescent="0.25">
      <c r="A13884" s="1" t="str">
        <f>HYPERLINK("http://www.rosaceae.org/Prunus/Prunus_persica/p.persica_gdr_reftransV1_0002645","p.persica_gdr_reftransV1_0002645")</f>
        <v>p.persica_gdr_reftransV1_0002645</v>
      </c>
      <c r="B13884" s="3">
        <v>1613</v>
      </c>
      <c r="C13884" s="1" t="str">
        <f>HYPERLINK("http://www.uniprot.org/uniprot/NIPA4_ARATH","NIPA4_ARATH")</f>
        <v>NIPA4_ARATH</v>
      </c>
      <c r="D13884" t="s">
        <v>524</v>
      </c>
      <c r="E13884" s="3" t="s">
        <v>3</v>
      </c>
      <c r="F13884" s="4">
        <v>0</v>
      </c>
      <c r="G13884" s="3">
        <v>1370</v>
      </c>
      <c r="H13884" s="3">
        <v>82</v>
      </c>
      <c r="I13884" s="3">
        <v>342</v>
      </c>
      <c r="J13884" s="3">
        <v>352</v>
      </c>
      <c r="K13884" s="3">
        <v>1377</v>
      </c>
      <c r="L13884" s="3">
        <v>7</v>
      </c>
      <c r="M13884" s="3">
        <v>343</v>
      </c>
    </row>
    <row r="13885" spans="1:13" x14ac:dyDescent="0.25">
      <c r="A13885" s="1" t="str">
        <f>HYPERLINK("http://www.rosaceae.org/Prunus/Prunus_persica/p.persica_gdr_reftransV1_0002745","p.persica_gdr_reftransV1_0002745")</f>
        <v>p.persica_gdr_reftransV1_0002745</v>
      </c>
      <c r="B13885" s="3">
        <v>1613</v>
      </c>
      <c r="C13885" s="1" t="str">
        <f>HYPERLINK("http://www.uniprot.org/uniprot/HBP1B_WHEAT","HBP1B_WHEAT")</f>
        <v>HBP1B_WHEAT</v>
      </c>
      <c r="D13885" t="s">
        <v>9233</v>
      </c>
      <c r="E13885" s="3" t="s">
        <v>710</v>
      </c>
      <c r="F13885" s="4">
        <v>2.3100000000000001E-14</v>
      </c>
      <c r="G13885" s="3">
        <v>190</v>
      </c>
      <c r="H13885" s="3">
        <v>25</v>
      </c>
      <c r="I13885" s="3">
        <v>242</v>
      </c>
      <c r="J13885" s="3">
        <v>702</v>
      </c>
      <c r="K13885" s="3">
        <v>1382</v>
      </c>
      <c r="L13885" s="3">
        <v>93</v>
      </c>
      <c r="M13885" s="3">
        <v>322</v>
      </c>
    </row>
    <row r="13886" spans="1:13" x14ac:dyDescent="0.25">
      <c r="A13886" s="1" t="str">
        <f>HYPERLINK("http://www.rosaceae.org/Prunus/Prunus_persica/p.persica_gdr_reftransV1_0002945","p.persica_gdr_reftransV1_0002945")</f>
        <v>p.persica_gdr_reftransV1_0002945</v>
      </c>
      <c r="B13886" s="3">
        <v>426</v>
      </c>
      <c r="C13886" s="1" t="str">
        <f>HYPERLINK("http://www.uniprot.org/uniprot/LRX4_ARATH","LRX4_ARATH")</f>
        <v>LRX4_ARATH</v>
      </c>
      <c r="D13886" t="s">
        <v>1969</v>
      </c>
      <c r="E13886" s="3" t="s">
        <v>3</v>
      </c>
      <c r="F13886" s="4">
        <v>1.2700000000000001E-29</v>
      </c>
      <c r="G13886" s="3">
        <v>289</v>
      </c>
      <c r="H13886" s="3">
        <v>50</v>
      </c>
      <c r="I13886" s="3">
        <v>109</v>
      </c>
      <c r="J13886" s="3">
        <v>2</v>
      </c>
      <c r="K13886" s="3">
        <v>325</v>
      </c>
      <c r="L13886" s="3">
        <v>292</v>
      </c>
      <c r="M13886" s="3">
        <v>396</v>
      </c>
    </row>
    <row r="13887" spans="1:13" x14ac:dyDescent="0.25">
      <c r="A13887" s="1" t="str">
        <f>HYPERLINK("http://www.rosaceae.org/Prunus/Prunus_persica/p.persica_gdr_reftransV1_0002995","p.persica_gdr_reftransV1_0002995")</f>
        <v>p.persica_gdr_reftransV1_0002995</v>
      </c>
      <c r="B13887" s="3">
        <v>1462</v>
      </c>
      <c r="C13887" s="1" t="str">
        <f>HYPERLINK("http://www.uniprot.org/uniprot/HGNAT_MOUSE","HGNAT_MOUSE")</f>
        <v>HGNAT_MOUSE</v>
      </c>
      <c r="D13887" t="s">
        <v>885</v>
      </c>
      <c r="E13887" s="3" t="s">
        <v>157</v>
      </c>
      <c r="F13887" s="4">
        <v>1.3800000000000001E-26</v>
      </c>
      <c r="G13887" s="3">
        <v>292</v>
      </c>
      <c r="H13887" s="3">
        <v>28</v>
      </c>
      <c r="I13887" s="3">
        <v>358</v>
      </c>
      <c r="J13887" s="3">
        <v>95</v>
      </c>
      <c r="K13887" s="3">
        <v>1114</v>
      </c>
      <c r="L13887" s="3">
        <v>256</v>
      </c>
      <c r="M13887" s="3">
        <v>579</v>
      </c>
    </row>
    <row r="13888" spans="1:13" x14ac:dyDescent="0.25">
      <c r="A13888" s="1" t="str">
        <f>HYPERLINK("http://www.rosaceae.org/Prunus/Prunus_persica/p.persica_gdr_reftransV1_0003045","p.persica_gdr_reftransV1_0003045")</f>
        <v>p.persica_gdr_reftransV1_0003045</v>
      </c>
      <c r="B13888" s="3">
        <v>371</v>
      </c>
      <c r="C13888" s="1" t="str">
        <f>HYPERLINK("http://www.uniprot.org/uniprot/HHP1_SCHPO","HHP1_SCHPO")</f>
        <v>HHP1_SCHPO</v>
      </c>
      <c r="D13888" t="s">
        <v>6350</v>
      </c>
      <c r="E13888" s="3" t="s">
        <v>464</v>
      </c>
      <c r="F13888" s="4">
        <v>4.87E-80</v>
      </c>
      <c r="G13888" s="3">
        <v>628</v>
      </c>
      <c r="H13888" s="3">
        <v>93</v>
      </c>
      <c r="I13888" s="3">
        <v>123</v>
      </c>
      <c r="J13888" s="3">
        <v>2</v>
      </c>
      <c r="K13888" s="3">
        <v>370</v>
      </c>
      <c r="L13888" s="3">
        <v>63</v>
      </c>
      <c r="M13888" s="3">
        <v>185</v>
      </c>
    </row>
    <row r="13889" spans="1:13" x14ac:dyDescent="0.25">
      <c r="A13889" s="1" t="str">
        <f>HYPERLINK("http://www.rosaceae.org/Prunus/Prunus_persica/p.persica_gdr_reftransV1_0003095","p.persica_gdr_reftransV1_0003095")</f>
        <v>p.persica_gdr_reftransV1_0003095</v>
      </c>
      <c r="B13889" s="3">
        <v>2181</v>
      </c>
      <c r="C13889" s="1" t="str">
        <f>HYPERLINK("http://www.uniprot.org/uniprot/DGDG2_LOTJA","DGDG2_LOTJA")</f>
        <v>DGDG2_LOTJA</v>
      </c>
      <c r="D13889" t="s">
        <v>6351</v>
      </c>
      <c r="E13889" s="3" t="s">
        <v>880</v>
      </c>
      <c r="F13889" s="4">
        <v>0</v>
      </c>
      <c r="G13889" s="3">
        <v>2007</v>
      </c>
      <c r="H13889" s="3">
        <v>80</v>
      </c>
      <c r="I13889" s="3">
        <v>458</v>
      </c>
      <c r="J13889" s="3">
        <v>215</v>
      </c>
      <c r="K13889" s="3">
        <v>1588</v>
      </c>
      <c r="L13889" s="3">
        <v>1</v>
      </c>
      <c r="M13889" s="3">
        <v>457</v>
      </c>
    </row>
    <row r="13890" spans="1:13" x14ac:dyDescent="0.25">
      <c r="A13890" s="1" t="str">
        <f>HYPERLINK("http://www.rosaceae.org/Prunus/Prunus_persica/p.persica_gdr_reftransV1_0003145","p.persica_gdr_reftransV1_0003145")</f>
        <v>p.persica_gdr_reftransV1_0003145</v>
      </c>
      <c r="B13890" s="3">
        <v>1140</v>
      </c>
      <c r="C13890" s="1" t="str">
        <f>HYPERLINK("http://www.uniprot.org/uniprot/PSA2B_ARATH","PSA2B_ARATH")</f>
        <v>PSA2B_ARATH</v>
      </c>
      <c r="D13890" t="s">
        <v>1031</v>
      </c>
      <c r="E13890" s="3" t="s">
        <v>3</v>
      </c>
      <c r="F13890" s="4">
        <v>8.16E-156</v>
      </c>
      <c r="G13890" s="3">
        <v>1145</v>
      </c>
      <c r="H13890" s="3">
        <v>94</v>
      </c>
      <c r="I13890" s="3">
        <v>232</v>
      </c>
      <c r="J13890" s="3">
        <v>159</v>
      </c>
      <c r="K13890" s="3">
        <v>854</v>
      </c>
      <c r="L13890" s="3">
        <v>1</v>
      </c>
      <c r="M13890" s="3">
        <v>232</v>
      </c>
    </row>
    <row r="13891" spans="1:13" x14ac:dyDescent="0.25">
      <c r="A13891" s="1" t="str">
        <f>HYPERLINK("http://www.rosaceae.org/Prunus/Prunus_persica/p.persica_gdr_reftransV1_0003245","p.persica_gdr_reftransV1_0003245")</f>
        <v>p.persica_gdr_reftransV1_0003245</v>
      </c>
      <c r="B13891" s="3">
        <v>2375</v>
      </c>
      <c r="C13891" s="1" t="str">
        <f>HYPERLINK("http://www.uniprot.org/uniprot/ASPL2_ARATH","ASPL2_ARATH")</f>
        <v>ASPL2_ARATH</v>
      </c>
      <c r="D13891" t="s">
        <v>545</v>
      </c>
      <c r="E13891" s="3" t="s">
        <v>3</v>
      </c>
      <c r="F13891" s="4">
        <v>1.21E-28</v>
      </c>
      <c r="G13891" s="3">
        <v>196</v>
      </c>
      <c r="H13891" s="3">
        <v>32</v>
      </c>
      <c r="I13891" s="3">
        <v>190</v>
      </c>
      <c r="J13891" s="3">
        <v>390</v>
      </c>
      <c r="K13891" s="3">
        <v>902</v>
      </c>
      <c r="L13891" s="3">
        <v>72</v>
      </c>
      <c r="M13891" s="3">
        <v>260</v>
      </c>
    </row>
    <row r="13892" spans="1:13" x14ac:dyDescent="0.25">
      <c r="A13892" s="1" t="str">
        <f>HYPERLINK("http://www.rosaceae.org/Prunus/Prunus_persica/p.persica_gdr_reftransV1_0003295","p.persica_gdr_reftransV1_0003295")</f>
        <v>p.persica_gdr_reftransV1_0003295</v>
      </c>
      <c r="B13892" s="3">
        <v>2977</v>
      </c>
      <c r="C13892" s="1" t="str">
        <f>HYPERLINK("http://www.uniprot.org/uniprot/Y4291_ARATH","Y4291_ARATH")</f>
        <v>Y4291_ARATH</v>
      </c>
      <c r="D13892" t="s">
        <v>7890</v>
      </c>
      <c r="E13892" s="3" t="s">
        <v>3</v>
      </c>
      <c r="F13892" s="4">
        <v>0</v>
      </c>
      <c r="G13892" s="3">
        <v>2276</v>
      </c>
      <c r="H13892" s="3">
        <v>56</v>
      </c>
      <c r="I13892" s="3">
        <v>860</v>
      </c>
      <c r="J13892" s="3">
        <v>240</v>
      </c>
      <c r="K13892" s="3">
        <v>2771</v>
      </c>
      <c r="L13892" s="3">
        <v>28</v>
      </c>
      <c r="M13892" s="3">
        <v>882</v>
      </c>
    </row>
    <row r="13893" spans="1:13" x14ac:dyDescent="0.25">
      <c r="A13893" s="1" t="str">
        <f>HYPERLINK("http://www.rosaceae.org/Prunus/Prunus_persica/p.persica_gdr_reftransV1_0003395","p.persica_gdr_reftransV1_0003395")</f>
        <v>p.persica_gdr_reftransV1_0003395</v>
      </c>
      <c r="B13893" s="3">
        <v>1054</v>
      </c>
      <c r="C13893" s="1" t="str">
        <f>HYPERLINK("http://www.uniprot.org/uniprot/BGA13_ARATH","BGA13_ARATH")</f>
        <v>BGA13_ARATH</v>
      </c>
      <c r="D13893" t="s">
        <v>5362</v>
      </c>
      <c r="E13893" s="3" t="s">
        <v>3</v>
      </c>
      <c r="F13893" s="4">
        <v>8.4799999999999998E-154</v>
      </c>
      <c r="G13893" s="3">
        <v>1184</v>
      </c>
      <c r="H13893" s="3">
        <v>61</v>
      </c>
      <c r="I13893" s="3">
        <v>344</v>
      </c>
      <c r="J13893" s="3">
        <v>24</v>
      </c>
      <c r="K13893" s="3">
        <v>1052</v>
      </c>
      <c r="L13893" s="3">
        <v>227</v>
      </c>
      <c r="M13893" s="3">
        <v>568</v>
      </c>
    </row>
    <row r="13894" spans="1:13" x14ac:dyDescent="0.25">
      <c r="A13894" s="1" t="str">
        <f>HYPERLINK("http://www.rosaceae.org/Prunus/Prunus_persica/p.persica_gdr_reftransV1_0003445","p.persica_gdr_reftransV1_0003445")</f>
        <v>p.persica_gdr_reftransV1_0003445</v>
      </c>
      <c r="B13894" s="3">
        <v>690</v>
      </c>
      <c r="C13894" s="1" t="str">
        <f>HYPERLINK("http://www.uniprot.org/uniprot/HSD1B_ARATH","HSD1B_ARATH")</f>
        <v>HSD1B_ARATH</v>
      </c>
      <c r="D13894" t="s">
        <v>9234</v>
      </c>
      <c r="E13894" s="3" t="s">
        <v>3</v>
      </c>
      <c r="F13894" s="4">
        <v>8.5100000000000002E-79</v>
      </c>
      <c r="G13894" s="3">
        <v>630</v>
      </c>
      <c r="H13894" s="3">
        <v>50</v>
      </c>
      <c r="I13894" s="3">
        <v>221</v>
      </c>
      <c r="J13894" s="3">
        <v>30</v>
      </c>
      <c r="K13894" s="3">
        <v>689</v>
      </c>
      <c r="L13894" s="3">
        <v>123</v>
      </c>
      <c r="M13894" s="3">
        <v>342</v>
      </c>
    </row>
    <row r="13895" spans="1:13" x14ac:dyDescent="0.25">
      <c r="A13895" s="1" t="str">
        <f>HYPERLINK("http://www.rosaceae.org/Prunus/Prunus_persica/p.persica_gdr_reftransV1_0003545","p.persica_gdr_reftransV1_0003545")</f>
        <v>p.persica_gdr_reftransV1_0003545</v>
      </c>
      <c r="B13895" s="3">
        <v>1829</v>
      </c>
      <c r="C13895" s="1" t="str">
        <f>HYPERLINK("http://www.uniprot.org/uniprot/SR34_ARATH","SR34_ARATH")</f>
        <v>SR34_ARATH</v>
      </c>
      <c r="D13895" t="s">
        <v>2317</v>
      </c>
      <c r="E13895" s="3" t="s">
        <v>3</v>
      </c>
      <c r="F13895" s="4">
        <v>1.2E-23</v>
      </c>
      <c r="G13895" s="3">
        <v>263</v>
      </c>
      <c r="H13895" s="3">
        <v>76</v>
      </c>
      <c r="I13895" s="3">
        <v>63</v>
      </c>
      <c r="J13895" s="3">
        <v>1641</v>
      </c>
      <c r="K13895" s="3">
        <v>1829</v>
      </c>
      <c r="L13895" s="3">
        <v>134</v>
      </c>
      <c r="M13895" s="3">
        <v>196</v>
      </c>
    </row>
    <row r="13896" spans="1:13" x14ac:dyDescent="0.25">
      <c r="A13896" s="1" t="str">
        <f>HYPERLINK("http://www.rosaceae.org/Prunus/Prunus_persica/p.persica_gdr_reftransV1_0003595","p.persica_gdr_reftransV1_0003595")</f>
        <v>p.persica_gdr_reftransV1_0003595</v>
      </c>
      <c r="B13896" s="3">
        <v>314</v>
      </c>
      <c r="C13896" s="1" t="str">
        <f>HYPERLINK("http://www.uniprot.org/uniprot/RAX3_ARATH","RAX3_ARATH")</f>
        <v>RAX3_ARATH</v>
      </c>
      <c r="D13896" t="s">
        <v>6230</v>
      </c>
      <c r="E13896" s="3" t="s">
        <v>3</v>
      </c>
      <c r="F13896" s="4">
        <v>1.2200000000000001E-50</v>
      </c>
      <c r="G13896" s="3">
        <v>425</v>
      </c>
      <c r="H13896" s="3">
        <v>96</v>
      </c>
      <c r="I13896" s="3">
        <v>79</v>
      </c>
      <c r="J13896" s="3">
        <v>5</v>
      </c>
      <c r="K13896" s="3">
        <v>241</v>
      </c>
      <c r="L13896" s="3">
        <v>33</v>
      </c>
      <c r="M13896" s="3">
        <v>111</v>
      </c>
    </row>
    <row r="13897" spans="1:13" x14ac:dyDescent="0.25">
      <c r="A13897" s="1" t="str">
        <f>HYPERLINK("http://www.rosaceae.org/Prunus/Prunus_persica/p.persica_gdr_reftransV1_0003645","p.persica_gdr_reftransV1_0003645")</f>
        <v>p.persica_gdr_reftransV1_0003645</v>
      </c>
      <c r="B13897" s="3">
        <v>2248</v>
      </c>
      <c r="C13897" s="1" t="str">
        <f>HYPERLINK("http://www.uniprot.org/uniprot/PLST1_ARATH","PLST1_ARATH")</f>
        <v>PLST1_ARATH</v>
      </c>
      <c r="D13897" t="s">
        <v>5720</v>
      </c>
      <c r="E13897" s="3" t="s">
        <v>3</v>
      </c>
      <c r="F13897" s="4">
        <v>7.6599999999999998E-143</v>
      </c>
      <c r="G13897" s="3">
        <v>1122</v>
      </c>
      <c r="H13897" s="3">
        <v>74</v>
      </c>
      <c r="I13897" s="3">
        <v>296</v>
      </c>
      <c r="J13897" s="3">
        <v>265</v>
      </c>
      <c r="K13897" s="3">
        <v>1122</v>
      </c>
      <c r="L13897" s="3">
        <v>51</v>
      </c>
      <c r="M13897" s="3">
        <v>345</v>
      </c>
    </row>
    <row r="13898" spans="1:13" x14ac:dyDescent="0.25">
      <c r="A13898" s="1" t="str">
        <f>HYPERLINK("http://www.rosaceae.org/Prunus/Prunus_persica/p.persica_gdr_reftransV1_0003695","p.persica_gdr_reftransV1_0003695")</f>
        <v>p.persica_gdr_reftransV1_0003695</v>
      </c>
      <c r="B13898" s="3">
        <v>1877</v>
      </c>
      <c r="C13898" s="1" t="str">
        <f>HYPERLINK("http://www.uniprot.org/uniprot/AAP3_ARATH","AAP3_ARATH")</f>
        <v>AAP3_ARATH</v>
      </c>
      <c r="D13898" t="s">
        <v>1759</v>
      </c>
      <c r="E13898" s="3" t="s">
        <v>3</v>
      </c>
      <c r="F13898" s="4">
        <v>0</v>
      </c>
      <c r="G13898" s="3">
        <v>1945</v>
      </c>
      <c r="H13898" s="3">
        <v>79</v>
      </c>
      <c r="I13898" s="3">
        <v>476</v>
      </c>
      <c r="J13898" s="3">
        <v>285</v>
      </c>
      <c r="K13898" s="3">
        <v>1712</v>
      </c>
      <c r="L13898" s="3">
        <v>2</v>
      </c>
      <c r="M13898" s="3">
        <v>476</v>
      </c>
    </row>
    <row r="13899" spans="1:13" x14ac:dyDescent="0.25">
      <c r="A13899" s="1" t="str">
        <f>HYPERLINK("http://www.rosaceae.org/Prunus/Prunus_persica/p.persica_gdr_reftransV1_0003745","p.persica_gdr_reftransV1_0003745")</f>
        <v>p.persica_gdr_reftransV1_0003745</v>
      </c>
      <c r="B13899" s="3">
        <v>2998</v>
      </c>
      <c r="C13899" s="1" t="str">
        <f>HYPERLINK("http://www.uniprot.org/uniprot/SBT25_ARATH","SBT25_ARATH")</f>
        <v>SBT25_ARATH</v>
      </c>
      <c r="D13899" t="s">
        <v>5179</v>
      </c>
      <c r="E13899" s="3" t="s">
        <v>3</v>
      </c>
      <c r="F13899" s="4">
        <v>0</v>
      </c>
      <c r="G13899" s="3">
        <v>3398</v>
      </c>
      <c r="H13899" s="3">
        <v>84</v>
      </c>
      <c r="I13899" s="3">
        <v>797</v>
      </c>
      <c r="J13899" s="3">
        <v>250</v>
      </c>
      <c r="K13899" s="3">
        <v>2637</v>
      </c>
      <c r="L13899" s="3">
        <v>19</v>
      </c>
      <c r="M13899" s="3">
        <v>815</v>
      </c>
    </row>
    <row r="13900" spans="1:13" x14ac:dyDescent="0.25">
      <c r="A13900" s="1" t="str">
        <f>HYPERLINK("http://www.rosaceae.org/Prunus/Prunus_persica/p.persica_gdr_reftransV1_0003795","p.persica_gdr_reftransV1_0003795")</f>
        <v>p.persica_gdr_reftransV1_0003795</v>
      </c>
      <c r="B13900" s="3">
        <v>1428</v>
      </c>
      <c r="C13900" s="1" t="str">
        <f>HYPERLINK("http://www.uniprot.org/uniprot/NTF3_TOBAC","NTF3_TOBAC")</f>
        <v>NTF3_TOBAC</v>
      </c>
      <c r="D13900" t="s">
        <v>9235</v>
      </c>
      <c r="E13900" s="3" t="s">
        <v>200</v>
      </c>
      <c r="F13900" s="4">
        <v>0</v>
      </c>
      <c r="G13900" s="3">
        <v>1643</v>
      </c>
      <c r="H13900" s="3">
        <v>92</v>
      </c>
      <c r="I13900" s="3">
        <v>327</v>
      </c>
      <c r="J13900" s="3">
        <v>447</v>
      </c>
      <c r="K13900" s="3">
        <v>1427</v>
      </c>
      <c r="L13900" s="3">
        <v>1</v>
      </c>
      <c r="M13900" s="3">
        <v>327</v>
      </c>
    </row>
    <row r="13901" spans="1:13" x14ac:dyDescent="0.25">
      <c r="A13901" s="1" t="str">
        <f>HYPERLINK("http://www.rosaceae.org/Prunus/Prunus_persica/p.persica_gdr_reftransV1_0003945","p.persica_gdr_reftransV1_0003945")</f>
        <v>p.persica_gdr_reftransV1_0003945</v>
      </c>
      <c r="B13901" s="3">
        <v>1121</v>
      </c>
      <c r="C13901" s="1" t="str">
        <f>HYPERLINK("http://www.uniprot.org/uniprot/ERD2_PETHY","ERD2_PETHY")</f>
        <v>ERD2_PETHY</v>
      </c>
      <c r="D13901" t="s">
        <v>9236</v>
      </c>
      <c r="E13901" s="3" t="s">
        <v>509</v>
      </c>
      <c r="F13901" s="4">
        <v>8.8999999999999998E-78</v>
      </c>
      <c r="G13901" s="3">
        <v>625</v>
      </c>
      <c r="H13901" s="3">
        <v>68</v>
      </c>
      <c r="I13901" s="3">
        <v>182</v>
      </c>
      <c r="J13901" s="3">
        <v>420</v>
      </c>
      <c r="K13901" s="3">
        <v>965</v>
      </c>
      <c r="L13901" s="3">
        <v>1</v>
      </c>
      <c r="M13901" s="3">
        <v>182</v>
      </c>
    </row>
    <row r="13902" spans="1:13" x14ac:dyDescent="0.25">
      <c r="A13902" s="1" t="str">
        <f>HYPERLINK("http://www.rosaceae.org/Prunus/Prunus_persica/p.persica_gdr_reftransV1_0004045","p.persica_gdr_reftransV1_0004045")</f>
        <v>p.persica_gdr_reftransV1_0004045</v>
      </c>
      <c r="B13902" s="3">
        <v>1567</v>
      </c>
      <c r="C13902" s="1" t="str">
        <f>HYPERLINK("http://www.uniprot.org/uniprot/DCUP_TOBAC","DCUP_TOBAC")</f>
        <v>DCUP_TOBAC</v>
      </c>
      <c r="D13902" t="s">
        <v>9237</v>
      </c>
      <c r="E13902" s="3" t="s">
        <v>200</v>
      </c>
      <c r="F13902" s="4">
        <v>0</v>
      </c>
      <c r="G13902" s="3">
        <v>1699</v>
      </c>
      <c r="H13902" s="3">
        <v>86</v>
      </c>
      <c r="I13902" s="3">
        <v>364</v>
      </c>
      <c r="J13902" s="3">
        <v>195</v>
      </c>
      <c r="K13902" s="3">
        <v>1283</v>
      </c>
      <c r="L13902" s="3">
        <v>28</v>
      </c>
      <c r="M13902" s="3">
        <v>391</v>
      </c>
    </row>
    <row r="13903" spans="1:13" x14ac:dyDescent="0.25">
      <c r="A13903" s="1" t="str">
        <f>HYPERLINK("http://www.rosaceae.org/Prunus/Prunus_persica/p.persica_gdr_reftransV1_0004145","p.persica_gdr_reftransV1_0004145")</f>
        <v>p.persica_gdr_reftransV1_0004145</v>
      </c>
      <c r="B13903" s="3">
        <v>1566</v>
      </c>
      <c r="C13903" s="1" t="str">
        <f>HYPERLINK("http://www.uniprot.org/uniprot/FABG_CUPLA","FABG_CUPLA")</f>
        <v>FABG_CUPLA</v>
      </c>
      <c r="D13903" t="s">
        <v>2949</v>
      </c>
      <c r="E13903" s="3" t="s">
        <v>2950</v>
      </c>
      <c r="F13903" s="4">
        <v>7.0499999999999996E-127</v>
      </c>
      <c r="G13903" s="3">
        <v>976</v>
      </c>
      <c r="H13903" s="3">
        <v>88</v>
      </c>
      <c r="I13903" s="3">
        <v>219</v>
      </c>
      <c r="J13903" s="3">
        <v>516</v>
      </c>
      <c r="K13903" s="3">
        <v>1172</v>
      </c>
      <c r="L13903" s="3">
        <v>102</v>
      </c>
      <c r="M13903" s="3">
        <v>320</v>
      </c>
    </row>
    <row r="13904" spans="1:13" x14ac:dyDescent="0.25">
      <c r="A13904" s="1" t="str">
        <f>HYPERLINK("http://www.rosaceae.org/Prunus/Prunus_persica/p.persica_gdr_reftransV1_0004195","p.persica_gdr_reftransV1_0004195")</f>
        <v>p.persica_gdr_reftransV1_0004195</v>
      </c>
      <c r="B13904" s="3">
        <v>381</v>
      </c>
      <c r="C13904" s="1" t="str">
        <f>HYPERLINK("http://www.uniprot.org/uniprot/IF4A_MAGO7","IF4A_MAGO7")</f>
        <v>IF4A_MAGO7</v>
      </c>
      <c r="D13904" t="s">
        <v>9238</v>
      </c>
      <c r="E13904" s="3" t="s">
        <v>3904</v>
      </c>
      <c r="F13904" s="4">
        <v>9.1300000000000002E-83</v>
      </c>
      <c r="G13904" s="3">
        <v>649</v>
      </c>
      <c r="H13904" s="3">
        <v>99</v>
      </c>
      <c r="I13904" s="3">
        <v>126</v>
      </c>
      <c r="J13904" s="3">
        <v>2</v>
      </c>
      <c r="K13904" s="3">
        <v>379</v>
      </c>
      <c r="L13904" s="3">
        <v>129</v>
      </c>
      <c r="M13904" s="3">
        <v>254</v>
      </c>
    </row>
    <row r="13905" spans="1:13" x14ac:dyDescent="0.25">
      <c r="A13905" s="1" t="str">
        <f>HYPERLINK("http://www.rosaceae.org/Prunus/Prunus_persica/p.persica_gdr_reftransV1_0004245","p.persica_gdr_reftransV1_0004245")</f>
        <v>p.persica_gdr_reftransV1_0004245</v>
      </c>
      <c r="B13905" s="3">
        <v>919</v>
      </c>
      <c r="C13905" s="1" t="str">
        <f>HYPERLINK("http://www.uniprot.org/uniprot/3HidH_ARATH","3HidH_ARATH")</f>
        <v>3HidH_ARATH</v>
      </c>
      <c r="D13905" t="s">
        <v>5659</v>
      </c>
      <c r="E13905" s="3" t="s">
        <v>3</v>
      </c>
      <c r="F13905" s="4">
        <v>5.05E-164</v>
      </c>
      <c r="G13905" s="3">
        <v>1202</v>
      </c>
      <c r="H13905" s="3">
        <v>76</v>
      </c>
      <c r="I13905" s="3">
        <v>295</v>
      </c>
      <c r="J13905" s="3">
        <v>36</v>
      </c>
      <c r="K13905" s="3">
        <v>917</v>
      </c>
      <c r="L13905" s="3">
        <v>40</v>
      </c>
      <c r="M13905" s="3">
        <v>334</v>
      </c>
    </row>
    <row r="13906" spans="1:13" x14ac:dyDescent="0.25">
      <c r="A13906" s="1" t="str">
        <f>HYPERLINK("http://www.rosaceae.org/Prunus/Prunus_persica/p.persica_gdr_reftransV1_0004395","p.persica_gdr_reftransV1_0004395")</f>
        <v>p.persica_gdr_reftransV1_0004395</v>
      </c>
      <c r="B13906" s="3">
        <v>1873</v>
      </c>
      <c r="C13906" s="1" t="str">
        <f>HYPERLINK("http://www.uniprot.org/uniprot/PTC52_ARATH","PTC52_ARATH")</f>
        <v>PTC52_ARATH</v>
      </c>
      <c r="D13906" t="s">
        <v>6331</v>
      </c>
      <c r="E13906" s="3" t="s">
        <v>3</v>
      </c>
      <c r="F13906" s="4">
        <v>0</v>
      </c>
      <c r="G13906" s="3">
        <v>1771</v>
      </c>
      <c r="H13906" s="3">
        <v>62</v>
      </c>
      <c r="I13906" s="3">
        <v>560</v>
      </c>
      <c r="J13906" s="3">
        <v>142</v>
      </c>
      <c r="K13906" s="3">
        <v>1740</v>
      </c>
      <c r="L13906" s="3">
        <v>4</v>
      </c>
      <c r="M13906" s="3">
        <v>558</v>
      </c>
    </row>
    <row r="13907" spans="1:13" x14ac:dyDescent="0.25">
      <c r="A13907" s="1" t="str">
        <f>HYPERLINK("http://www.rosaceae.org/Prunus/Prunus_persica/p.persica_gdr_reftransV1_0004445","p.persica_gdr_reftransV1_0004445")</f>
        <v>p.persica_gdr_reftransV1_0004445</v>
      </c>
      <c r="B13907" s="3">
        <v>2477</v>
      </c>
      <c r="C13907" s="1" t="str">
        <f>HYPERLINK("http://www.uniprot.org/uniprot/DRB4_ARATH","DRB4_ARATH")</f>
        <v>DRB4_ARATH</v>
      </c>
      <c r="D13907" t="s">
        <v>9239</v>
      </c>
      <c r="E13907" s="3" t="s">
        <v>3</v>
      </c>
      <c r="F13907" s="4">
        <v>1.7400000000000001E-44</v>
      </c>
      <c r="G13907" s="3">
        <v>427</v>
      </c>
      <c r="H13907" s="3">
        <v>51</v>
      </c>
      <c r="I13907" s="3">
        <v>156</v>
      </c>
      <c r="J13907" s="3">
        <v>1220</v>
      </c>
      <c r="K13907" s="3">
        <v>1687</v>
      </c>
      <c r="L13907" s="3">
        <v>1</v>
      </c>
      <c r="M13907" s="3">
        <v>155</v>
      </c>
    </row>
    <row r="13908" spans="1:13" x14ac:dyDescent="0.25">
      <c r="A13908" s="1" t="str">
        <f>HYPERLINK("http://www.rosaceae.org/Prunus/Prunus_persica/p.persica_gdr_reftransV1_0004545","p.persica_gdr_reftransV1_0004545")</f>
        <v>p.persica_gdr_reftransV1_0004545</v>
      </c>
      <c r="B13908" s="3">
        <v>450</v>
      </c>
      <c r="C13908" s="1" t="str">
        <f>HYPERLINK("http://www.uniprot.org/uniprot/STIL2_ARATH","STIL2_ARATH")</f>
        <v>STIL2_ARATH</v>
      </c>
      <c r="D13908" t="s">
        <v>720</v>
      </c>
      <c r="E13908" s="3" t="s">
        <v>3</v>
      </c>
      <c r="F13908" s="4">
        <v>1.37E-64</v>
      </c>
      <c r="G13908" s="3">
        <v>550</v>
      </c>
      <c r="H13908" s="3">
        <v>65</v>
      </c>
      <c r="I13908" s="3">
        <v>149</v>
      </c>
      <c r="J13908" s="3">
        <v>2</v>
      </c>
      <c r="K13908" s="3">
        <v>448</v>
      </c>
      <c r="L13908" s="3">
        <v>324</v>
      </c>
      <c r="M13908" s="3">
        <v>472</v>
      </c>
    </row>
    <row r="13909" spans="1:13" x14ac:dyDescent="0.25">
      <c r="A13909" s="1" t="str">
        <f>HYPERLINK("http://www.rosaceae.org/Prunus/Prunus_persica/p.persica_gdr_reftransV1_0004595","p.persica_gdr_reftransV1_0004595")</f>
        <v>p.persica_gdr_reftransV1_0004595</v>
      </c>
      <c r="B13909" s="3">
        <v>2138</v>
      </c>
      <c r="C13909" s="1" t="str">
        <f>HYPERLINK("http://www.uniprot.org/uniprot/ZDS_CAPAN","ZDS_CAPAN")</f>
        <v>ZDS_CAPAN</v>
      </c>
      <c r="D13909" t="s">
        <v>9240</v>
      </c>
      <c r="E13909" s="3" t="s">
        <v>588</v>
      </c>
      <c r="F13909" s="4">
        <v>0</v>
      </c>
      <c r="G13909" s="3">
        <v>2579</v>
      </c>
      <c r="H13909" s="3">
        <v>85</v>
      </c>
      <c r="I13909" s="3">
        <v>558</v>
      </c>
      <c r="J13909" s="3">
        <v>340</v>
      </c>
      <c r="K13909" s="3">
        <v>2013</v>
      </c>
      <c r="L13909" s="3">
        <v>34</v>
      </c>
      <c r="M13909" s="3">
        <v>588</v>
      </c>
    </row>
    <row r="13910" spans="1:13" x14ac:dyDescent="0.25">
      <c r="A13910" s="1" t="str">
        <f>HYPERLINK("http://www.rosaceae.org/Prunus/Prunus_persica/p.persica_gdr_reftransV1_0004745","p.persica_gdr_reftransV1_0004745")</f>
        <v>p.persica_gdr_reftransV1_0004745</v>
      </c>
      <c r="B13910" s="3">
        <v>719</v>
      </c>
      <c r="C13910" s="1" t="str">
        <f>HYPERLINK("http://www.uniprot.org/uniprot/QKIL1_ARATH","QKIL1_ARATH")</f>
        <v>QKIL1_ARATH</v>
      </c>
      <c r="D13910" t="s">
        <v>9241</v>
      </c>
      <c r="E13910" s="3" t="s">
        <v>3</v>
      </c>
      <c r="F13910" s="4">
        <v>1.19E-36</v>
      </c>
      <c r="G13910" s="3">
        <v>343</v>
      </c>
      <c r="H13910" s="3">
        <v>87</v>
      </c>
      <c r="I13910" s="3">
        <v>75</v>
      </c>
      <c r="J13910" s="3">
        <v>424</v>
      </c>
      <c r="K13910" s="3">
        <v>648</v>
      </c>
      <c r="L13910" s="3">
        <v>141</v>
      </c>
      <c r="M13910" s="3">
        <v>215</v>
      </c>
    </row>
    <row r="13911" spans="1:13" x14ac:dyDescent="0.25">
      <c r="A13911" s="1" t="str">
        <f>HYPERLINK("http://www.rosaceae.org/Prunus/Prunus_persica/p.persica_gdr_reftransV1_0004845","p.persica_gdr_reftransV1_0004845")</f>
        <v>p.persica_gdr_reftransV1_0004845</v>
      </c>
      <c r="B13911" s="3">
        <v>1317</v>
      </c>
      <c r="C13911" s="1" t="str">
        <f>HYPERLINK("http://www.uniprot.org/uniprot/NUD20_ARATH","NUD20_ARATH")</f>
        <v>NUD20_ARATH</v>
      </c>
      <c r="D13911" t="s">
        <v>7335</v>
      </c>
      <c r="E13911" s="3" t="s">
        <v>3</v>
      </c>
      <c r="F13911" s="4">
        <v>2.9099999999999998E-125</v>
      </c>
      <c r="G13911" s="3">
        <v>963</v>
      </c>
      <c r="H13911" s="3">
        <v>70</v>
      </c>
      <c r="I13911" s="3">
        <v>283</v>
      </c>
      <c r="J13911" s="3">
        <v>370</v>
      </c>
      <c r="K13911" s="3">
        <v>1209</v>
      </c>
      <c r="L13911" s="3">
        <v>92</v>
      </c>
      <c r="M13911" s="3">
        <v>374</v>
      </c>
    </row>
    <row r="13912" spans="1:13" x14ac:dyDescent="0.25">
      <c r="A13912" s="1" t="str">
        <f>HYPERLINK("http://www.rosaceae.org/Prunus/Prunus_persica/p.persica_gdr_reftransV1_0004945","p.persica_gdr_reftransV1_0004945")</f>
        <v>p.persica_gdr_reftransV1_0004945</v>
      </c>
      <c r="B13912" s="3">
        <v>3679</v>
      </c>
      <c r="C13912" s="1" t="str">
        <f>HYPERLINK("http://www.uniprot.org/uniprot/PHOT1_ARATH","PHOT1_ARATH")</f>
        <v>PHOT1_ARATH</v>
      </c>
      <c r="D13912" t="s">
        <v>9242</v>
      </c>
      <c r="E13912" s="3" t="s">
        <v>3</v>
      </c>
      <c r="F13912" s="4">
        <v>0</v>
      </c>
      <c r="G13912" s="3">
        <v>3604</v>
      </c>
      <c r="H13912" s="3">
        <v>72</v>
      </c>
      <c r="I13912" s="3">
        <v>1018</v>
      </c>
      <c r="J13912" s="3">
        <v>275</v>
      </c>
      <c r="K13912" s="3">
        <v>3289</v>
      </c>
      <c r="L13912" s="3">
        <v>5</v>
      </c>
      <c r="M13912" s="3">
        <v>996</v>
      </c>
    </row>
    <row r="13913" spans="1:13" x14ac:dyDescent="0.25">
      <c r="A13913" s="1" t="str">
        <f>HYPERLINK("http://www.rosaceae.org/Prunus/Prunus_persica/p.persica_gdr_reftransV1_0004995","p.persica_gdr_reftransV1_0004995")</f>
        <v>p.persica_gdr_reftransV1_0004995</v>
      </c>
      <c r="B13913" s="3">
        <v>2635</v>
      </c>
      <c r="C13913" s="1" t="str">
        <f>HYPERLINK("http://www.uniprot.org/uniprot/Cid7_ARATH","Cid7_ARATH")</f>
        <v>Cid7_ARATH</v>
      </c>
      <c r="D13913" t="s">
        <v>9243</v>
      </c>
      <c r="E13913" s="3" t="s">
        <v>3</v>
      </c>
      <c r="F13913" s="4">
        <v>0</v>
      </c>
      <c r="G13913" s="3">
        <v>1699</v>
      </c>
      <c r="H13913" s="3">
        <v>61</v>
      </c>
      <c r="I13913" s="3">
        <v>613</v>
      </c>
      <c r="J13913" s="3">
        <v>489</v>
      </c>
      <c r="K13913" s="3">
        <v>2303</v>
      </c>
      <c r="L13913" s="3">
        <v>1</v>
      </c>
      <c r="M13913" s="3">
        <v>567</v>
      </c>
    </row>
    <row r="13914" spans="1:13" x14ac:dyDescent="0.25">
      <c r="A13914" s="1" t="str">
        <f>HYPERLINK("http://www.rosaceae.org/Prunus/Prunus_persica/p.persica_gdr_reftransV1_0005045","p.persica_gdr_reftransV1_0005045")</f>
        <v>p.persica_gdr_reftransV1_0005045</v>
      </c>
      <c r="B13914" s="3">
        <v>1306</v>
      </c>
      <c r="C13914" s="1" t="str">
        <f>HYPERLINK("http://www.uniprot.org/uniprot/TTF2_HUMAN","TTF2_HUMAN")</f>
        <v>TTF2_HUMAN</v>
      </c>
      <c r="D13914" t="s">
        <v>9244</v>
      </c>
      <c r="E13914" s="3" t="s">
        <v>28</v>
      </c>
      <c r="F13914" s="4">
        <v>7.0700000000000004E-10</v>
      </c>
      <c r="G13914" s="3">
        <v>157</v>
      </c>
      <c r="H13914" s="3">
        <v>55</v>
      </c>
      <c r="I13914" s="3">
        <v>69</v>
      </c>
      <c r="J13914" s="3">
        <v>1008</v>
      </c>
      <c r="K13914" s="3">
        <v>1214</v>
      </c>
      <c r="L13914" s="3">
        <v>549</v>
      </c>
      <c r="M13914" s="3">
        <v>614</v>
      </c>
    </row>
    <row r="13915" spans="1:13" x14ac:dyDescent="0.25">
      <c r="A13915" s="1" t="str">
        <f>HYPERLINK("http://www.rosaceae.org/Prunus/Prunus_persica/p.persica_gdr_reftransV1_0005095","p.persica_gdr_reftransV1_0005095")</f>
        <v>p.persica_gdr_reftransV1_0005095</v>
      </c>
      <c r="B13915" s="3">
        <v>1736</v>
      </c>
      <c r="C13915" s="1" t="str">
        <f>HYPERLINK("http://www.uniprot.org/uniprot/KLC3_PONAB","KLC3_PONAB")</f>
        <v>KLC3_PONAB</v>
      </c>
      <c r="D13915" t="s">
        <v>8528</v>
      </c>
      <c r="E13915" s="3" t="s">
        <v>176</v>
      </c>
      <c r="F13915" s="4">
        <v>5.0100000000000003E-18</v>
      </c>
      <c r="G13915" s="3">
        <v>224</v>
      </c>
      <c r="H13915" s="3">
        <v>33</v>
      </c>
      <c r="I13915" s="3">
        <v>175</v>
      </c>
      <c r="J13915" s="3">
        <v>828</v>
      </c>
      <c r="K13915" s="3">
        <v>1352</v>
      </c>
      <c r="L13915" s="3">
        <v>242</v>
      </c>
      <c r="M13915" s="3">
        <v>416</v>
      </c>
    </row>
    <row r="13916" spans="1:13" x14ac:dyDescent="0.25">
      <c r="A13916" s="1" t="str">
        <f>HYPERLINK("http://www.rosaceae.org/Prunus/Prunus_persica/p.persica_gdr_reftransV1_0005295","p.persica_gdr_reftransV1_0005295")</f>
        <v>p.persica_gdr_reftransV1_0005295</v>
      </c>
      <c r="B13916" s="3">
        <v>498</v>
      </c>
      <c r="C13916" s="1" t="str">
        <f>HYPERLINK("http://www.uniprot.org/uniprot/OPT5_ARATH","OPT5_ARATH")</f>
        <v>OPT5_ARATH</v>
      </c>
      <c r="D13916" t="s">
        <v>7740</v>
      </c>
      <c r="E13916" s="3" t="s">
        <v>3</v>
      </c>
      <c r="F13916" s="4">
        <v>2.9199999999999999E-78</v>
      </c>
      <c r="G13916" s="3">
        <v>646</v>
      </c>
      <c r="H13916" s="3">
        <v>70</v>
      </c>
      <c r="I13916" s="3">
        <v>166</v>
      </c>
      <c r="J13916" s="3">
        <v>2</v>
      </c>
      <c r="K13916" s="3">
        <v>496</v>
      </c>
      <c r="L13916" s="3">
        <v>581</v>
      </c>
      <c r="M13916" s="3">
        <v>746</v>
      </c>
    </row>
    <row r="13917" spans="1:13" x14ac:dyDescent="0.25">
      <c r="A13917" s="1" t="str">
        <f>HYPERLINK("http://www.rosaceae.org/Prunus/Prunus_persica/p.persica_gdr_reftransV1_0005445","p.persica_gdr_reftransV1_0005445")</f>
        <v>p.persica_gdr_reftransV1_0005445</v>
      </c>
      <c r="B13917" s="3">
        <v>1503</v>
      </c>
      <c r="C13917" s="1" t="str">
        <f>HYPERLINK("http://www.uniprot.org/uniprot/SRPRB_DICDI","SRPRB_DICDI")</f>
        <v>SRPRB_DICDI</v>
      </c>
      <c r="D13917" t="s">
        <v>9245</v>
      </c>
      <c r="E13917" s="3" t="s">
        <v>9</v>
      </c>
      <c r="F13917" s="4">
        <v>4.2399999999999999E-25</v>
      </c>
      <c r="G13917" s="3">
        <v>270</v>
      </c>
      <c r="H13917" s="3">
        <v>34</v>
      </c>
      <c r="I13917" s="3">
        <v>206</v>
      </c>
      <c r="J13917" s="3">
        <v>487</v>
      </c>
      <c r="K13917" s="3">
        <v>1077</v>
      </c>
      <c r="L13917" s="3">
        <v>88</v>
      </c>
      <c r="M13917" s="3">
        <v>286</v>
      </c>
    </row>
    <row r="13918" spans="1:13" x14ac:dyDescent="0.25">
      <c r="A13918" s="1" t="str">
        <f>HYPERLINK("http://www.rosaceae.org/Prunus/Prunus_persica/p.persica_gdr_reftransV1_0005545","p.persica_gdr_reftransV1_0005545")</f>
        <v>p.persica_gdr_reftransV1_0005545</v>
      </c>
      <c r="B13918" s="3">
        <v>949</v>
      </c>
      <c r="C13918" s="1" t="str">
        <f>HYPERLINK("http://www.uniprot.org/uniprot/TBL43_ARATH","TBL43_ARATH")</f>
        <v>TBL43_ARATH</v>
      </c>
      <c r="D13918" t="s">
        <v>3846</v>
      </c>
      <c r="E13918" s="3" t="s">
        <v>3</v>
      </c>
      <c r="F13918" s="4">
        <v>6.73E-121</v>
      </c>
      <c r="G13918" s="3">
        <v>920</v>
      </c>
      <c r="H13918" s="3">
        <v>62</v>
      </c>
      <c r="I13918" s="3">
        <v>272</v>
      </c>
      <c r="J13918" s="3">
        <v>141</v>
      </c>
      <c r="K13918" s="3">
        <v>947</v>
      </c>
      <c r="L13918" s="3">
        <v>95</v>
      </c>
      <c r="M13918" s="3">
        <v>366</v>
      </c>
    </row>
    <row r="13919" spans="1:13" x14ac:dyDescent="0.25">
      <c r="A13919" s="1" t="str">
        <f>HYPERLINK("http://www.rosaceae.org/Prunus/Prunus_persica/p.persica_gdr_reftransV1_0005595","p.persica_gdr_reftransV1_0005595")</f>
        <v>p.persica_gdr_reftransV1_0005595</v>
      </c>
      <c r="B13919" s="3">
        <v>721</v>
      </c>
      <c r="C13919" s="1" t="str">
        <f>HYPERLINK("http://www.uniprot.org/uniprot/Y4230_ARATH","Y4230_ARATH")</f>
        <v>Y4230_ARATH</v>
      </c>
      <c r="D13919" t="s">
        <v>3999</v>
      </c>
      <c r="E13919" s="3" t="s">
        <v>3</v>
      </c>
      <c r="F13919" s="4">
        <v>8.3599999999999995E-36</v>
      </c>
      <c r="G13919" s="3">
        <v>351</v>
      </c>
      <c r="H13919" s="3">
        <v>52</v>
      </c>
      <c r="I13919" s="3">
        <v>147</v>
      </c>
      <c r="J13919" s="3">
        <v>290</v>
      </c>
      <c r="K13919" s="3">
        <v>721</v>
      </c>
      <c r="L13919" s="3">
        <v>36</v>
      </c>
      <c r="M13919" s="3">
        <v>174</v>
      </c>
    </row>
    <row r="13920" spans="1:13" x14ac:dyDescent="0.25">
      <c r="A13920" s="1" t="str">
        <f>HYPERLINK("http://www.rosaceae.org/Prunus/Prunus_persica/p.persica_gdr_reftransV1_0005645","p.persica_gdr_reftransV1_0005645")</f>
        <v>p.persica_gdr_reftransV1_0005645</v>
      </c>
      <c r="B13920" s="3">
        <v>377</v>
      </c>
      <c r="C13920" s="1" t="str">
        <f>HYPERLINK("http://www.uniprot.org/uniprot/OPF13_ARATH","OPF13_ARATH")</f>
        <v>OPF13_ARATH</v>
      </c>
      <c r="D13920" t="s">
        <v>4449</v>
      </c>
      <c r="E13920" s="3" t="s">
        <v>3</v>
      </c>
      <c r="F13920" s="4">
        <v>4.1100000000000001E-22</v>
      </c>
      <c r="G13920" s="3">
        <v>228</v>
      </c>
      <c r="H13920" s="3">
        <v>68</v>
      </c>
      <c r="I13920" s="3">
        <v>65</v>
      </c>
      <c r="J13920" s="3">
        <v>158</v>
      </c>
      <c r="K13920" s="3">
        <v>343</v>
      </c>
      <c r="L13920" s="3">
        <v>141</v>
      </c>
      <c r="M13920" s="3">
        <v>205</v>
      </c>
    </row>
    <row r="13921" spans="1:13" x14ac:dyDescent="0.25">
      <c r="A13921" s="1" t="str">
        <f>HYPERLINK("http://www.rosaceae.org/Prunus/Prunus_persica/p.persica_gdr_reftransV1_0005695","p.persica_gdr_reftransV1_0005695")</f>
        <v>p.persica_gdr_reftransV1_0005695</v>
      </c>
      <c r="B13921" s="3">
        <v>684</v>
      </c>
      <c r="C13921" s="1" t="str">
        <f>HYPERLINK("http://www.uniprot.org/uniprot/WER_ARATH","WER_ARATH")</f>
        <v>WER_ARATH</v>
      </c>
      <c r="D13921" t="s">
        <v>926</v>
      </c>
      <c r="E13921" s="3" t="s">
        <v>3</v>
      </c>
      <c r="F13921" s="4">
        <v>3.1299999999999999E-18</v>
      </c>
      <c r="G13921" s="3">
        <v>206</v>
      </c>
      <c r="H13921" s="3">
        <v>66</v>
      </c>
      <c r="I13921" s="3">
        <v>59</v>
      </c>
      <c r="J13921" s="3">
        <v>3</v>
      </c>
      <c r="K13921" s="3">
        <v>170</v>
      </c>
      <c r="L13921" s="3">
        <v>80</v>
      </c>
      <c r="M13921" s="3">
        <v>138</v>
      </c>
    </row>
    <row r="13922" spans="1:13" x14ac:dyDescent="0.25">
      <c r="A13922" s="1" t="str">
        <f>HYPERLINK("http://www.rosaceae.org/Prunus/Prunus_persica/p.persica_gdr_reftransV1_0005845","p.persica_gdr_reftransV1_0005845")</f>
        <v>p.persica_gdr_reftransV1_0005845</v>
      </c>
      <c r="B13922" s="3">
        <v>388</v>
      </c>
      <c r="C13922" s="1" t="str">
        <f>HYPERLINK("http://www.uniprot.org/uniprot/CER1_ARATH","CER1_ARATH")</f>
        <v>CER1_ARATH</v>
      </c>
      <c r="D13922" t="s">
        <v>6231</v>
      </c>
      <c r="E13922" s="3" t="s">
        <v>3</v>
      </c>
      <c r="F13922" s="4">
        <v>5.8199999999999999E-63</v>
      </c>
      <c r="G13922" s="3">
        <v>529</v>
      </c>
      <c r="H13922" s="3">
        <v>82</v>
      </c>
      <c r="I13922" s="3">
        <v>125</v>
      </c>
      <c r="J13922" s="3">
        <v>3</v>
      </c>
      <c r="K13922" s="3">
        <v>377</v>
      </c>
      <c r="L13922" s="3">
        <v>166</v>
      </c>
      <c r="M13922" s="3">
        <v>290</v>
      </c>
    </row>
    <row r="13923" spans="1:13" x14ac:dyDescent="0.25">
      <c r="A13923" s="1" t="str">
        <f>HYPERLINK("http://www.rosaceae.org/Prunus/Prunus_persica/p.persica_gdr_reftransV1_0006095","p.persica_gdr_reftransV1_0006095")</f>
        <v>p.persica_gdr_reftransV1_0006095</v>
      </c>
      <c r="B13923" s="3">
        <v>1318</v>
      </c>
      <c r="C13923" s="1" t="str">
        <f>HYPERLINK("http://www.uniprot.org/uniprot/EXL3_ARATH","EXL3_ARATH")</f>
        <v>EXL3_ARATH</v>
      </c>
      <c r="D13923" t="s">
        <v>30</v>
      </c>
      <c r="E13923" s="3" t="s">
        <v>3</v>
      </c>
      <c r="F13923" s="4">
        <v>4.5300000000000004E-87</v>
      </c>
      <c r="G13923" s="3">
        <v>707</v>
      </c>
      <c r="H13923" s="3">
        <v>57</v>
      </c>
      <c r="I13923" s="3">
        <v>227</v>
      </c>
      <c r="J13923" s="3">
        <v>525</v>
      </c>
      <c r="K13923" s="3">
        <v>1205</v>
      </c>
      <c r="L13923" s="3">
        <v>139</v>
      </c>
      <c r="M13923" s="3">
        <v>363</v>
      </c>
    </row>
    <row r="13924" spans="1:13" x14ac:dyDescent="0.25">
      <c r="A13924" s="1" t="str">
        <f>HYPERLINK("http://www.rosaceae.org/Prunus/Prunus_persica/p.persica_gdr_reftransV1_0006295","p.persica_gdr_reftransV1_0006295")</f>
        <v>p.persica_gdr_reftransV1_0006295</v>
      </c>
      <c r="B13924" s="3">
        <v>735</v>
      </c>
      <c r="C13924" s="1" t="str">
        <f>HYPERLINK("http://www.uniprot.org/uniprot/CBDAS_CANSA","CBDAS_CANSA")</f>
        <v>CBDAS_CANSA</v>
      </c>
      <c r="D13924" t="s">
        <v>9246</v>
      </c>
      <c r="E13924" s="3" t="s">
        <v>3291</v>
      </c>
      <c r="F13924" s="4">
        <v>3.6299999999999998E-43</v>
      </c>
      <c r="G13924" s="3">
        <v>399</v>
      </c>
      <c r="H13924" s="3">
        <v>50</v>
      </c>
      <c r="I13924" s="3">
        <v>183</v>
      </c>
      <c r="J13924" s="3">
        <v>187</v>
      </c>
      <c r="K13924" s="3">
        <v>735</v>
      </c>
      <c r="L13924" s="3">
        <v>25</v>
      </c>
      <c r="M13924" s="3">
        <v>207</v>
      </c>
    </row>
    <row r="13925" spans="1:13" x14ac:dyDescent="0.25">
      <c r="A13925" s="1" t="str">
        <f>HYPERLINK("http://www.rosaceae.org/Prunus/Prunus_persica/p.persica_gdr_reftransV1_0006445","p.persica_gdr_reftransV1_0006445")</f>
        <v>p.persica_gdr_reftransV1_0006445</v>
      </c>
      <c r="B13925" s="3">
        <v>1573</v>
      </c>
      <c r="C13925" s="1" t="str">
        <f>HYPERLINK("http://www.uniprot.org/uniprot/7SBG2_SOYBN","7SBG2_SOYBN")</f>
        <v>7SBG2_SOYBN</v>
      </c>
      <c r="D13925" t="s">
        <v>6028</v>
      </c>
      <c r="E13925" s="3" t="s">
        <v>307</v>
      </c>
      <c r="F13925" s="4">
        <v>3.1999999999999999E-80</v>
      </c>
      <c r="G13925" s="3">
        <v>673</v>
      </c>
      <c r="H13925" s="3">
        <v>40</v>
      </c>
      <c r="I13925" s="3">
        <v>386</v>
      </c>
      <c r="J13925" s="3">
        <v>322</v>
      </c>
      <c r="K13925" s="3">
        <v>1461</v>
      </c>
      <c r="L13925" s="3">
        <v>41</v>
      </c>
      <c r="M13925" s="3">
        <v>406</v>
      </c>
    </row>
    <row r="13926" spans="1:13" x14ac:dyDescent="0.25">
      <c r="A13926" s="1" t="str">
        <f>HYPERLINK("http://www.rosaceae.org/Prunus/Prunus_persica/p.persica_gdr_reftransV1_0006595","p.persica_gdr_reftransV1_0006595")</f>
        <v>p.persica_gdr_reftransV1_0006595</v>
      </c>
      <c r="B13926" s="3">
        <v>540</v>
      </c>
      <c r="C13926" s="1" t="str">
        <f>HYPERLINK("http://www.uniprot.org/uniprot/HBP1B_WHEAT","HBP1B_WHEAT")</f>
        <v>HBP1B_WHEAT</v>
      </c>
      <c r="D13926" t="s">
        <v>9233</v>
      </c>
      <c r="E13926" s="3" t="s">
        <v>710</v>
      </c>
      <c r="F13926" s="4">
        <v>8.9599999999999995E-8</v>
      </c>
      <c r="G13926" s="3">
        <v>129</v>
      </c>
      <c r="H13926" s="3">
        <v>39</v>
      </c>
      <c r="I13926" s="3">
        <v>57</v>
      </c>
      <c r="J13926" s="3">
        <v>294</v>
      </c>
      <c r="K13926" s="3">
        <v>464</v>
      </c>
      <c r="L13926" s="3">
        <v>149</v>
      </c>
      <c r="M13926" s="3">
        <v>205</v>
      </c>
    </row>
    <row r="13927" spans="1:13" x14ac:dyDescent="0.25">
      <c r="A13927" s="1" t="str">
        <f>HYPERLINK("http://www.rosaceae.org/Prunus/Prunus_persica/p.persica_gdr_reftransV1_0006645","p.persica_gdr_reftransV1_0006645")</f>
        <v>p.persica_gdr_reftransV1_0006645</v>
      </c>
      <c r="B13927" s="3">
        <v>884</v>
      </c>
      <c r="C13927" s="1" t="str">
        <f>HYPERLINK("http://www.uniprot.org/uniprot/BH041_ARATH","BH041_ARATH")</f>
        <v>BH041_ARATH</v>
      </c>
      <c r="D13927" t="s">
        <v>8176</v>
      </c>
      <c r="E13927" s="3" t="s">
        <v>3</v>
      </c>
      <c r="F13927" s="4">
        <v>2.3899999999999999E-35</v>
      </c>
      <c r="G13927" s="3">
        <v>345</v>
      </c>
      <c r="H13927" s="3">
        <v>50</v>
      </c>
      <c r="I13927" s="3">
        <v>174</v>
      </c>
      <c r="J13927" s="3">
        <v>3</v>
      </c>
      <c r="K13927" s="3">
        <v>518</v>
      </c>
      <c r="L13927" s="3">
        <v>304</v>
      </c>
      <c r="M13927" s="3">
        <v>465</v>
      </c>
    </row>
    <row r="13928" spans="1:13" x14ac:dyDescent="0.25">
      <c r="A13928" s="1" t="str">
        <f>HYPERLINK("http://www.rosaceae.org/Prunus/Prunus_persica/p.persica_gdr_reftransV1_0006795","p.persica_gdr_reftransV1_0006795")</f>
        <v>p.persica_gdr_reftransV1_0006795</v>
      </c>
      <c r="B13928" s="3">
        <v>1921</v>
      </c>
      <c r="C13928" s="1" t="str">
        <f>HYPERLINK("http://www.uniprot.org/uniprot/STP13_ARATH","STP13_ARATH")</f>
        <v>STP13_ARATH</v>
      </c>
      <c r="D13928" t="s">
        <v>2273</v>
      </c>
      <c r="E13928" s="3" t="s">
        <v>3</v>
      </c>
      <c r="F13928" s="4">
        <v>5.2700000000000003E-172</v>
      </c>
      <c r="G13928" s="3">
        <v>1307</v>
      </c>
      <c r="H13928" s="3">
        <v>71</v>
      </c>
      <c r="I13928" s="3">
        <v>319</v>
      </c>
      <c r="J13928" s="3">
        <v>857</v>
      </c>
      <c r="K13928" s="3">
        <v>1813</v>
      </c>
      <c r="L13928" s="3">
        <v>184</v>
      </c>
      <c r="M13928" s="3">
        <v>502</v>
      </c>
    </row>
    <row r="13929" spans="1:13" x14ac:dyDescent="0.25">
      <c r="A13929" s="1" t="str">
        <f>HYPERLINK("http://www.rosaceae.org/Prunus/Prunus_persica/p.persica_gdr_reftransV1_0006945","p.persica_gdr_reftransV1_0006945")</f>
        <v>p.persica_gdr_reftransV1_0006945</v>
      </c>
      <c r="B13929" s="3">
        <v>467</v>
      </c>
      <c r="C13929" s="1" t="str">
        <f>HYPERLINK("http://www.uniprot.org/uniprot/PSYR1_ARATH","PSYR1_ARATH")</f>
        <v>PSYR1_ARATH</v>
      </c>
      <c r="D13929" t="s">
        <v>177</v>
      </c>
      <c r="E13929" s="3" t="s">
        <v>3</v>
      </c>
      <c r="F13929" s="4">
        <v>5.7100000000000002E-33</v>
      </c>
      <c r="G13929" s="3">
        <v>322</v>
      </c>
      <c r="H13929" s="3">
        <v>48</v>
      </c>
      <c r="I13929" s="3">
        <v>155</v>
      </c>
      <c r="J13929" s="3">
        <v>1</v>
      </c>
      <c r="K13929" s="3">
        <v>465</v>
      </c>
      <c r="L13929" s="3">
        <v>316</v>
      </c>
      <c r="M13929" s="3">
        <v>470</v>
      </c>
    </row>
    <row r="13930" spans="1:13" x14ac:dyDescent="0.25">
      <c r="A13930" s="1" t="str">
        <f>HYPERLINK("http://www.rosaceae.org/Prunus/Prunus_persica/p.persica_gdr_reftransV1_0006995","p.persica_gdr_reftransV1_0006995")</f>
        <v>p.persica_gdr_reftransV1_0006995</v>
      </c>
      <c r="B13930" s="3">
        <v>1568</v>
      </c>
      <c r="C13930" s="1" t="str">
        <f>HYPERLINK("http://www.uniprot.org/uniprot/ROMT_VITVI","ROMT_VITVI")</f>
        <v>ROMT_VITVI</v>
      </c>
      <c r="D13930" t="s">
        <v>2129</v>
      </c>
      <c r="E13930" s="3" t="s">
        <v>362</v>
      </c>
      <c r="F13930" s="4">
        <v>8.1499999999999993E-164</v>
      </c>
      <c r="G13930" s="3">
        <v>1225</v>
      </c>
      <c r="H13930" s="3">
        <v>60</v>
      </c>
      <c r="I13930" s="3">
        <v>378</v>
      </c>
      <c r="J13930" s="3">
        <v>36</v>
      </c>
      <c r="K13930" s="3">
        <v>1166</v>
      </c>
      <c r="L13930" s="3">
        <v>9</v>
      </c>
      <c r="M13930" s="3">
        <v>357</v>
      </c>
    </row>
    <row r="13931" spans="1:13" x14ac:dyDescent="0.25">
      <c r="A13931" s="1" t="str">
        <f>HYPERLINK("http://www.rosaceae.org/Prunus/Prunus_persica/p.persica_gdr_reftransV1_0007245","p.persica_gdr_reftransV1_0007245")</f>
        <v>p.persica_gdr_reftransV1_0007245</v>
      </c>
      <c r="B13931" s="3">
        <v>1142</v>
      </c>
      <c r="C13931" s="1" t="str">
        <f>HYPERLINK("http://www.uniprot.org/uniprot/AR8BA_DANRE","AR8BA_DANRE")</f>
        <v>AR8BA_DANRE</v>
      </c>
      <c r="D13931" t="s">
        <v>9247</v>
      </c>
      <c r="E13931" s="3" t="s">
        <v>704</v>
      </c>
      <c r="F13931" s="4">
        <v>1.3300000000000001E-84</v>
      </c>
      <c r="G13931" s="3">
        <v>669</v>
      </c>
      <c r="H13931" s="3">
        <v>64</v>
      </c>
      <c r="I13931" s="3">
        <v>182</v>
      </c>
      <c r="J13931" s="3">
        <v>292</v>
      </c>
      <c r="K13931" s="3">
        <v>837</v>
      </c>
      <c r="L13931" s="3">
        <v>2</v>
      </c>
      <c r="M13931" s="3">
        <v>183</v>
      </c>
    </row>
    <row r="13932" spans="1:13" x14ac:dyDescent="0.25">
      <c r="A13932" s="1" t="str">
        <f>HYPERLINK("http://www.rosaceae.org/Prunus/Prunus_persica/p.persica_gdr_reftransV1_0007395","p.persica_gdr_reftransV1_0007395")</f>
        <v>p.persica_gdr_reftransV1_0007395</v>
      </c>
      <c r="B13932" s="3">
        <v>1772</v>
      </c>
      <c r="C13932" s="1" t="str">
        <f>HYPERLINK("http://www.uniprot.org/uniprot/ALKB5_RAT","ALKB5_RAT")</f>
        <v>ALKB5_RAT</v>
      </c>
      <c r="D13932" t="s">
        <v>9248</v>
      </c>
      <c r="E13932" s="3" t="s">
        <v>161</v>
      </c>
      <c r="F13932" s="4">
        <v>1.3300000000000001E-14</v>
      </c>
      <c r="G13932" s="3">
        <v>195</v>
      </c>
      <c r="H13932" s="3">
        <v>35</v>
      </c>
      <c r="I13932" s="3">
        <v>151</v>
      </c>
      <c r="J13932" s="3">
        <v>474</v>
      </c>
      <c r="K13932" s="3">
        <v>905</v>
      </c>
      <c r="L13932" s="3">
        <v>136</v>
      </c>
      <c r="M13932" s="3">
        <v>285</v>
      </c>
    </row>
    <row r="13933" spans="1:13" x14ac:dyDescent="0.25">
      <c r="A13933" s="1" t="str">
        <f>HYPERLINK("http://www.rosaceae.org/Prunus/Prunus_persica/p.persica_gdr_reftransV1_0007495","p.persica_gdr_reftransV1_0007495")</f>
        <v>p.persica_gdr_reftransV1_0007495</v>
      </c>
      <c r="B13933" s="3">
        <v>2102</v>
      </c>
      <c r="C13933" s="1" t="str">
        <f>HYPERLINK("http://www.uniprot.org/uniprot/FZR2_ARATH","FZR2_ARATH")</f>
        <v>FZR2_ARATH</v>
      </c>
      <c r="D13933" t="s">
        <v>9249</v>
      </c>
      <c r="E13933" s="3" t="s">
        <v>3</v>
      </c>
      <c r="F13933" s="4">
        <v>0</v>
      </c>
      <c r="G13933" s="3">
        <v>1876</v>
      </c>
      <c r="H13933" s="3">
        <v>82</v>
      </c>
      <c r="I13933" s="3">
        <v>455</v>
      </c>
      <c r="J13933" s="3">
        <v>222</v>
      </c>
      <c r="K13933" s="3">
        <v>1565</v>
      </c>
      <c r="L13933" s="3">
        <v>38</v>
      </c>
      <c r="M13933" s="3">
        <v>483</v>
      </c>
    </row>
    <row r="13934" spans="1:13" x14ac:dyDescent="0.25">
      <c r="A13934" s="1" t="str">
        <f>HYPERLINK("http://www.rosaceae.org/Prunus/Prunus_persica/p.persica_gdr_reftransV1_0007545","p.persica_gdr_reftransV1_0007545")</f>
        <v>p.persica_gdr_reftransV1_0007545</v>
      </c>
      <c r="B13934" s="3">
        <v>1010</v>
      </c>
      <c r="C13934" s="1" t="str">
        <f>HYPERLINK("http://www.uniprot.org/uniprot/OCS1_MAIZE","OCS1_MAIZE")</f>
        <v>OCS1_MAIZE</v>
      </c>
      <c r="D13934" t="s">
        <v>2396</v>
      </c>
      <c r="E13934" s="3" t="s">
        <v>72</v>
      </c>
      <c r="F13934" s="4">
        <v>9.3199999999999997E-18</v>
      </c>
      <c r="G13934" s="3">
        <v>203</v>
      </c>
      <c r="H13934" s="3">
        <v>38</v>
      </c>
      <c r="I13934" s="3">
        <v>136</v>
      </c>
      <c r="J13934" s="3">
        <v>452</v>
      </c>
      <c r="K13934" s="3">
        <v>856</v>
      </c>
      <c r="L13934" s="3">
        <v>26</v>
      </c>
      <c r="M13934" s="3">
        <v>150</v>
      </c>
    </row>
    <row r="13935" spans="1:13" x14ac:dyDescent="0.25">
      <c r="A13935" s="1" t="str">
        <f>HYPERLINK("http://www.rosaceae.org/Prunus/Prunus_persica/p.persica_gdr_reftransV1_0007645","p.persica_gdr_reftransV1_0007645")</f>
        <v>p.persica_gdr_reftransV1_0007645</v>
      </c>
      <c r="B13935" s="3">
        <v>1741</v>
      </c>
      <c r="C13935" s="1" t="str">
        <f>HYPERLINK("http://www.uniprot.org/uniprot/VATC_ARATH","VATC_ARATH")</f>
        <v>VATC_ARATH</v>
      </c>
      <c r="D13935" t="s">
        <v>9250</v>
      </c>
      <c r="E13935" s="3" t="s">
        <v>3</v>
      </c>
      <c r="F13935" s="4">
        <v>0</v>
      </c>
      <c r="G13935" s="3">
        <v>1593</v>
      </c>
      <c r="H13935" s="3">
        <v>80</v>
      </c>
      <c r="I13935" s="3">
        <v>404</v>
      </c>
      <c r="J13935" s="3">
        <v>399</v>
      </c>
      <c r="K13935" s="3">
        <v>1610</v>
      </c>
      <c r="L13935" s="3">
        <v>1</v>
      </c>
      <c r="M13935" s="3">
        <v>374</v>
      </c>
    </row>
    <row r="13936" spans="1:13" x14ac:dyDescent="0.25">
      <c r="A13936" s="1" t="str">
        <f>HYPERLINK("http://www.rosaceae.org/Prunus/Prunus_persica/p.persica_gdr_reftransV1_0007695","p.persica_gdr_reftransV1_0007695")</f>
        <v>p.persica_gdr_reftransV1_0007695</v>
      </c>
      <c r="B13936" s="3">
        <v>1342</v>
      </c>
      <c r="C13936" s="1" t="str">
        <f>HYPERLINK("http://www.uniprot.org/uniprot/PHF5B_ARATH","PHF5B_ARATH")</f>
        <v>PHF5B_ARATH</v>
      </c>
      <c r="D13936" t="s">
        <v>8836</v>
      </c>
      <c r="E13936" s="3" t="s">
        <v>3</v>
      </c>
      <c r="F13936" s="4">
        <v>1.15E-69</v>
      </c>
      <c r="G13936" s="3">
        <v>567</v>
      </c>
      <c r="H13936" s="3">
        <v>99</v>
      </c>
      <c r="I13936" s="3">
        <v>110</v>
      </c>
      <c r="J13936" s="3">
        <v>248</v>
      </c>
      <c r="K13936" s="3">
        <v>577</v>
      </c>
      <c r="L13936" s="3">
        <v>1</v>
      </c>
      <c r="M13936" s="3">
        <v>110</v>
      </c>
    </row>
    <row r="13937" spans="1:13" x14ac:dyDescent="0.25">
      <c r="A13937" s="1" t="str">
        <f>HYPERLINK("http://www.rosaceae.org/Prunus/Prunus_persica/p.persica_gdr_reftransV1_0007795","p.persica_gdr_reftransV1_0007795")</f>
        <v>p.persica_gdr_reftransV1_0007795</v>
      </c>
      <c r="B13937" s="3">
        <v>3538</v>
      </c>
      <c r="C13937" s="1" t="str">
        <f>HYPERLINK("http://www.uniprot.org/uniprot/SCPDL_ARATH","SCPDL_ARATH")</f>
        <v>SCPDL_ARATH</v>
      </c>
      <c r="D13937" t="s">
        <v>9251</v>
      </c>
      <c r="E13937" s="3" t="s">
        <v>3</v>
      </c>
      <c r="F13937" s="4">
        <v>0</v>
      </c>
      <c r="G13937" s="3">
        <v>1537</v>
      </c>
      <c r="H13937" s="3">
        <v>71</v>
      </c>
      <c r="I13937" s="3">
        <v>444</v>
      </c>
      <c r="J13937" s="3">
        <v>1984</v>
      </c>
      <c r="K13937" s="3">
        <v>3309</v>
      </c>
      <c r="L13937" s="3">
        <v>7</v>
      </c>
      <c r="M13937" s="3">
        <v>449</v>
      </c>
    </row>
    <row r="13938" spans="1:13" x14ac:dyDescent="0.25">
      <c r="A13938" s="1" t="str">
        <f>HYPERLINK("http://www.rosaceae.org/Prunus/Prunus_persica/p.persica_gdr_reftransV1_0007845","p.persica_gdr_reftransV1_0007845")</f>
        <v>p.persica_gdr_reftransV1_0007845</v>
      </c>
      <c r="B13938" s="3">
        <v>745</v>
      </c>
      <c r="C13938" s="1" t="str">
        <f>HYPERLINK("http://www.uniprot.org/uniprot/AHL1_ARATH","AHL1_ARATH")</f>
        <v>AHL1_ARATH</v>
      </c>
      <c r="D13938" t="s">
        <v>2753</v>
      </c>
      <c r="E13938" s="3" t="s">
        <v>3</v>
      </c>
      <c r="F13938" s="4">
        <v>4.7600000000000002E-53</v>
      </c>
      <c r="G13938" s="3">
        <v>459</v>
      </c>
      <c r="H13938" s="3">
        <v>66</v>
      </c>
      <c r="I13938" s="3">
        <v>152</v>
      </c>
      <c r="J13938" s="3">
        <v>3</v>
      </c>
      <c r="K13938" s="3">
        <v>455</v>
      </c>
      <c r="L13938" s="3">
        <v>130</v>
      </c>
      <c r="M13938" s="3">
        <v>281</v>
      </c>
    </row>
    <row r="13939" spans="1:13" x14ac:dyDescent="0.25">
      <c r="A13939" s="1" t="str">
        <f>HYPERLINK("http://www.rosaceae.org/Prunus/Prunus_persica/p.persica_gdr_reftransV1_0007895","p.persica_gdr_reftransV1_0007895")</f>
        <v>p.persica_gdr_reftransV1_0007895</v>
      </c>
      <c r="B13939" s="3">
        <v>925</v>
      </c>
      <c r="C13939" s="1" t="str">
        <f>HYPERLINK("http://www.uniprot.org/uniprot/PR5_ARATH","PR5_ARATH")</f>
        <v>PR5_ARATH</v>
      </c>
      <c r="D13939" t="s">
        <v>9252</v>
      </c>
      <c r="E13939" s="3" t="s">
        <v>3</v>
      </c>
      <c r="F13939" s="4">
        <v>6.4199999999999994E-98</v>
      </c>
      <c r="G13939" s="3">
        <v>755</v>
      </c>
      <c r="H13939" s="3">
        <v>66</v>
      </c>
      <c r="I13939" s="3">
        <v>225</v>
      </c>
      <c r="J13939" s="3">
        <v>114</v>
      </c>
      <c r="K13939" s="3">
        <v>788</v>
      </c>
      <c r="L13939" s="3">
        <v>17</v>
      </c>
      <c r="M13939" s="3">
        <v>239</v>
      </c>
    </row>
    <row r="13940" spans="1:13" x14ac:dyDescent="0.25">
      <c r="A13940" s="1" t="str">
        <f>HYPERLINK("http://www.rosaceae.org/Prunus/Prunus_persica/p.persica_gdr_reftransV1_0008145","p.persica_gdr_reftransV1_0008145")</f>
        <v>p.persica_gdr_reftransV1_0008145</v>
      </c>
      <c r="B13940" s="3">
        <v>1098</v>
      </c>
      <c r="C13940" s="1" t="str">
        <f>HYPERLINK("http://www.uniprot.org/uniprot/EXLB1_ORYSJ","EXLB1_ORYSJ")</f>
        <v>EXLB1_ORYSJ</v>
      </c>
      <c r="D13940" t="s">
        <v>9253</v>
      </c>
      <c r="E13940" s="3" t="s">
        <v>38</v>
      </c>
      <c r="F13940" s="4">
        <v>1.49E-106</v>
      </c>
      <c r="G13940" s="3">
        <v>820</v>
      </c>
      <c r="H13940" s="3">
        <v>61</v>
      </c>
      <c r="I13940" s="3">
        <v>256</v>
      </c>
      <c r="J13940" s="3">
        <v>275</v>
      </c>
      <c r="K13940" s="3">
        <v>1036</v>
      </c>
      <c r="L13940" s="3">
        <v>1</v>
      </c>
      <c r="M13940" s="3">
        <v>253</v>
      </c>
    </row>
    <row r="13941" spans="1:13" x14ac:dyDescent="0.25">
      <c r="A13941" s="1" t="str">
        <f>HYPERLINK("http://www.rosaceae.org/Prunus/Prunus_persica/p.persica_gdr_reftransV1_0008195","p.persica_gdr_reftransV1_0008195")</f>
        <v>p.persica_gdr_reftransV1_0008195</v>
      </c>
      <c r="B13941" s="3">
        <v>2447</v>
      </c>
      <c r="C13941" s="1" t="str">
        <f>HYPERLINK("http://www.uniprot.org/uniprot/MACP1_ARATH","MACP1_ARATH")</f>
        <v>MACP1_ARATH</v>
      </c>
      <c r="D13941" t="s">
        <v>4320</v>
      </c>
      <c r="E13941" s="3" t="s">
        <v>3</v>
      </c>
      <c r="F13941" s="4">
        <v>0</v>
      </c>
      <c r="G13941" s="3">
        <v>1786</v>
      </c>
      <c r="H13941" s="3">
        <v>58</v>
      </c>
      <c r="I13941" s="3">
        <v>623</v>
      </c>
      <c r="J13941" s="3">
        <v>602</v>
      </c>
      <c r="K13941" s="3">
        <v>2416</v>
      </c>
      <c r="L13941" s="3">
        <v>5</v>
      </c>
      <c r="M13941" s="3">
        <v>619</v>
      </c>
    </row>
    <row r="13942" spans="1:13" x14ac:dyDescent="0.25">
      <c r="A13942" s="1" t="str">
        <f>HYPERLINK("http://www.rosaceae.org/Prunus/Prunus_persica/p.persica_gdr_reftransV1_0008295","p.persica_gdr_reftransV1_0008295")</f>
        <v>p.persica_gdr_reftransV1_0008295</v>
      </c>
      <c r="B13942" s="3">
        <v>1238</v>
      </c>
      <c r="C13942" s="1" t="str">
        <f>HYPERLINK("http://www.uniprot.org/uniprot/MATK_PRUPE","MATK_PRUPE")</f>
        <v>MATK_PRUPE</v>
      </c>
      <c r="D13942" t="s">
        <v>9254</v>
      </c>
      <c r="E13942" s="3" t="s">
        <v>784</v>
      </c>
      <c r="F13942" s="4">
        <v>0</v>
      </c>
      <c r="G13942" s="3">
        <v>1550</v>
      </c>
      <c r="H13942" s="3">
        <v>99</v>
      </c>
      <c r="I13942" s="3">
        <v>294</v>
      </c>
      <c r="J13942" s="3">
        <v>2</v>
      </c>
      <c r="K13942" s="3">
        <v>883</v>
      </c>
      <c r="L13942" s="3">
        <v>213</v>
      </c>
      <c r="M13942" s="3">
        <v>506</v>
      </c>
    </row>
    <row r="13943" spans="1:13" x14ac:dyDescent="0.25">
      <c r="A13943" s="1" t="str">
        <f>HYPERLINK("http://www.rosaceae.org/Prunus/Prunus_persica/p.persica_gdr_reftransV1_0008445","p.persica_gdr_reftransV1_0008445")</f>
        <v>p.persica_gdr_reftransV1_0008445</v>
      </c>
      <c r="B13943" s="3">
        <v>2033</v>
      </c>
      <c r="C13943" s="1" t="str">
        <f>HYPERLINK("http://www.uniprot.org/uniprot/TIC56_ARATH","TIC56_ARATH")</f>
        <v>TIC56_ARATH</v>
      </c>
      <c r="D13943" t="s">
        <v>9255</v>
      </c>
      <c r="E13943" s="3" t="s">
        <v>3</v>
      </c>
      <c r="F13943" s="4">
        <v>0</v>
      </c>
      <c r="G13943" s="3">
        <v>1821</v>
      </c>
      <c r="H13943" s="3">
        <v>73</v>
      </c>
      <c r="I13943" s="3">
        <v>485</v>
      </c>
      <c r="J13943" s="3">
        <v>95</v>
      </c>
      <c r="K13943" s="3">
        <v>1549</v>
      </c>
      <c r="L13943" s="3">
        <v>1</v>
      </c>
      <c r="M13943" s="3">
        <v>478</v>
      </c>
    </row>
    <row r="13944" spans="1:13" x14ac:dyDescent="0.25">
      <c r="A13944" s="1" t="str">
        <f>HYPERLINK("http://www.rosaceae.org/Prunus/Prunus_persica/p.persica_gdr_reftransV1_0008495","p.persica_gdr_reftransV1_0008495")</f>
        <v>p.persica_gdr_reftransV1_0008495</v>
      </c>
      <c r="B13944" s="3">
        <v>1262</v>
      </c>
      <c r="C13944" s="1" t="str">
        <f>HYPERLINK("http://www.uniprot.org/uniprot/RAA1F_ARATH","RAA1F_ARATH")</f>
        <v>RAA1F_ARATH</v>
      </c>
      <c r="D13944" t="s">
        <v>1226</v>
      </c>
      <c r="E13944" s="3" t="s">
        <v>3</v>
      </c>
      <c r="F13944" s="4">
        <v>1.4900000000000001E-146</v>
      </c>
      <c r="G13944" s="3">
        <v>1086</v>
      </c>
      <c r="H13944" s="3">
        <v>95</v>
      </c>
      <c r="I13944" s="3">
        <v>214</v>
      </c>
      <c r="J13944" s="3">
        <v>197</v>
      </c>
      <c r="K13944" s="3">
        <v>838</v>
      </c>
      <c r="L13944" s="3">
        <v>3</v>
      </c>
      <c r="M13944" s="3">
        <v>216</v>
      </c>
    </row>
    <row r="13945" spans="1:13" x14ac:dyDescent="0.25">
      <c r="A13945" s="1" t="str">
        <f>HYPERLINK("http://www.rosaceae.org/Prunus/Prunus_persica/p.persica_gdr_reftransV1_0008545","p.persica_gdr_reftransV1_0008545")</f>
        <v>p.persica_gdr_reftransV1_0008545</v>
      </c>
      <c r="B13945" s="3">
        <v>1627</v>
      </c>
      <c r="C13945" s="1" t="str">
        <f>HYPERLINK("http://www.uniprot.org/uniprot/M810_ARATH","M810_ARATH")</f>
        <v>M810_ARATH</v>
      </c>
      <c r="D13945" t="s">
        <v>92</v>
      </c>
      <c r="E13945" s="3" t="s">
        <v>3</v>
      </c>
      <c r="F13945" s="4">
        <v>3.1999999999999998E-39</v>
      </c>
      <c r="G13945" s="3">
        <v>372</v>
      </c>
      <c r="H13945" s="3">
        <v>48</v>
      </c>
      <c r="I13945" s="3">
        <v>162</v>
      </c>
      <c r="J13945" s="3">
        <v>521</v>
      </c>
      <c r="K13945" s="3">
        <v>1000</v>
      </c>
      <c r="L13945" s="3">
        <v>65</v>
      </c>
      <c r="M13945" s="3">
        <v>225</v>
      </c>
    </row>
    <row r="13946" spans="1:13" x14ac:dyDescent="0.25">
      <c r="A13946" s="1" t="str">
        <f>HYPERLINK("http://www.rosaceae.org/Prunus/Prunus_persica/p.persica_gdr_reftransV1_0008745","p.persica_gdr_reftransV1_0008745")</f>
        <v>p.persica_gdr_reftransV1_0008745</v>
      </c>
      <c r="B13946" s="3">
        <v>3741</v>
      </c>
      <c r="C13946" s="1" t="str">
        <f>HYPERLINK("http://www.uniprot.org/uniprot/FLA17_ARATH","FLA17_ARATH")</f>
        <v>FLA17_ARATH</v>
      </c>
      <c r="D13946" t="s">
        <v>9256</v>
      </c>
      <c r="E13946" s="3" t="s">
        <v>3</v>
      </c>
      <c r="F13946" s="4">
        <v>0</v>
      </c>
      <c r="G13946" s="3">
        <v>1430</v>
      </c>
      <c r="H13946" s="3">
        <v>85</v>
      </c>
      <c r="I13946" s="3">
        <v>377</v>
      </c>
      <c r="J13946" s="3">
        <v>441</v>
      </c>
      <c r="K13946" s="3">
        <v>1568</v>
      </c>
      <c r="L13946" s="3">
        <v>41</v>
      </c>
      <c r="M13946" s="3">
        <v>413</v>
      </c>
    </row>
    <row r="13947" spans="1:13" x14ac:dyDescent="0.25">
      <c r="A13947" s="1" t="str">
        <f>HYPERLINK("http://www.rosaceae.org/Prunus/Prunus_persica/p.persica_gdr_reftransV1_0008945","p.persica_gdr_reftransV1_0008945")</f>
        <v>p.persica_gdr_reftransV1_0008945</v>
      </c>
      <c r="B13947" s="3">
        <v>2374</v>
      </c>
      <c r="C13947" s="1" t="str">
        <f>HYPERLINK("http://www.uniprot.org/uniprot/PP278_ARATH","PP278_ARATH")</f>
        <v>PP278_ARATH</v>
      </c>
      <c r="D13947" t="s">
        <v>9257</v>
      </c>
      <c r="E13947" s="3" t="s">
        <v>3</v>
      </c>
      <c r="F13947" s="4">
        <v>1.8E-175</v>
      </c>
      <c r="G13947" s="3">
        <v>1345</v>
      </c>
      <c r="H13947" s="3">
        <v>50</v>
      </c>
      <c r="I13947" s="3">
        <v>509</v>
      </c>
      <c r="J13947" s="3">
        <v>475</v>
      </c>
      <c r="K13947" s="3">
        <v>1998</v>
      </c>
      <c r="L13947" s="3">
        <v>26</v>
      </c>
      <c r="M13947" s="3">
        <v>508</v>
      </c>
    </row>
    <row r="13948" spans="1:13" x14ac:dyDescent="0.25">
      <c r="A13948" s="1" t="str">
        <f>HYPERLINK("http://www.rosaceae.org/Prunus/Prunus_persica/p.persica_gdr_reftransV1_0008995","p.persica_gdr_reftransV1_0008995")</f>
        <v>p.persica_gdr_reftransV1_0008995</v>
      </c>
      <c r="B13948" s="3">
        <v>1566</v>
      </c>
      <c r="C13948" s="1" t="str">
        <f>HYPERLINK("http://www.uniprot.org/uniprot/Y4958_ARATH","Y4958_ARATH")</f>
        <v>Y4958_ARATH</v>
      </c>
      <c r="D13948" t="s">
        <v>8500</v>
      </c>
      <c r="E13948" s="3" t="s">
        <v>3</v>
      </c>
      <c r="F13948" s="4">
        <v>4.9200000000000004E-158</v>
      </c>
      <c r="G13948" s="3">
        <v>1179</v>
      </c>
      <c r="H13948" s="3">
        <v>78</v>
      </c>
      <c r="I13948" s="3">
        <v>287</v>
      </c>
      <c r="J13948" s="3">
        <v>360</v>
      </c>
      <c r="K13948" s="3">
        <v>1187</v>
      </c>
      <c r="L13948" s="3">
        <v>1</v>
      </c>
      <c r="M13948" s="3">
        <v>287</v>
      </c>
    </row>
    <row r="13949" spans="1:13" x14ac:dyDescent="0.25">
      <c r="A13949" s="1" t="str">
        <f>HYPERLINK("http://www.rosaceae.org/Prunus/Prunus_persica/p.persica_gdr_reftransV1_0009145","p.persica_gdr_reftransV1_0009145")</f>
        <v>p.persica_gdr_reftransV1_0009145</v>
      </c>
      <c r="B13949" s="3">
        <v>1893</v>
      </c>
      <c r="C13949" s="1" t="str">
        <f>HYPERLINK("http://www.uniprot.org/uniprot/HDA6_ARATH","HDA6_ARATH")</f>
        <v>HDA6_ARATH</v>
      </c>
      <c r="D13949" t="s">
        <v>9258</v>
      </c>
      <c r="E13949" s="3" t="s">
        <v>3</v>
      </c>
      <c r="F13949" s="4">
        <v>0</v>
      </c>
      <c r="G13949" s="3">
        <v>1830</v>
      </c>
      <c r="H13949" s="3">
        <v>83</v>
      </c>
      <c r="I13949" s="3">
        <v>428</v>
      </c>
      <c r="J13949" s="3">
        <v>69</v>
      </c>
      <c r="K13949" s="3">
        <v>1349</v>
      </c>
      <c r="L13949" s="3">
        <v>5</v>
      </c>
      <c r="M13949" s="3">
        <v>432</v>
      </c>
    </row>
    <row r="13950" spans="1:13" x14ac:dyDescent="0.25">
      <c r="A13950" s="1" t="str">
        <f>HYPERLINK("http://www.rosaceae.org/Prunus/Prunus_persica/p.persica_gdr_reftransV1_0009295","p.persica_gdr_reftransV1_0009295")</f>
        <v>p.persica_gdr_reftransV1_0009295</v>
      </c>
      <c r="B13950" s="3">
        <v>1454</v>
      </c>
      <c r="C13950" s="1" t="str">
        <f>HYPERLINK("http://www.uniprot.org/uniprot/UP1_HELAN","UP1_HELAN")</f>
        <v>UP1_HELAN</v>
      </c>
      <c r="D13950" t="s">
        <v>9259</v>
      </c>
      <c r="E13950" s="3" t="s">
        <v>599</v>
      </c>
      <c r="F13950" s="4">
        <v>3.2600000000000002E-11</v>
      </c>
      <c r="G13950" s="3">
        <v>160</v>
      </c>
      <c r="H13950" s="3">
        <v>32</v>
      </c>
      <c r="I13950" s="3">
        <v>142</v>
      </c>
      <c r="J13950" s="3">
        <v>476</v>
      </c>
      <c r="K13950" s="3">
        <v>886</v>
      </c>
      <c r="L13950" s="3">
        <v>56</v>
      </c>
      <c r="M13950" s="3">
        <v>178</v>
      </c>
    </row>
    <row r="13951" spans="1:13" x14ac:dyDescent="0.25">
      <c r="A13951" s="1" t="str">
        <f>HYPERLINK("http://www.rosaceae.org/Prunus/Prunus_persica/p.persica_gdr_reftransV1_0009395","p.persica_gdr_reftransV1_0009395")</f>
        <v>p.persica_gdr_reftransV1_0009395</v>
      </c>
      <c r="B13951" s="3">
        <v>656</v>
      </c>
      <c r="C13951" s="1" t="str">
        <f>HYPERLINK("http://www.uniprot.org/uniprot/NAC10_ORYSI","NAC10_ORYSI")</f>
        <v>NAC10_ORYSI</v>
      </c>
      <c r="D13951" t="s">
        <v>9260</v>
      </c>
      <c r="E13951" s="3" t="s">
        <v>38</v>
      </c>
      <c r="F13951" s="4">
        <v>1.0899999999999999E-82</v>
      </c>
      <c r="G13951" s="3">
        <v>661</v>
      </c>
      <c r="H13951" s="3">
        <v>77</v>
      </c>
      <c r="I13951" s="3">
        <v>163</v>
      </c>
      <c r="J13951" s="3">
        <v>5</v>
      </c>
      <c r="K13951" s="3">
        <v>451</v>
      </c>
      <c r="L13951" s="3">
        <v>1</v>
      </c>
      <c r="M13951" s="3">
        <v>163</v>
      </c>
    </row>
    <row r="13952" spans="1:13" x14ac:dyDescent="0.25">
      <c r="A13952" s="1" t="str">
        <f>HYPERLINK("http://www.rosaceae.org/Prunus/Prunus_persica/p.persica_gdr_reftransV1_0009445","p.persica_gdr_reftransV1_0009445")</f>
        <v>p.persica_gdr_reftransV1_0009445</v>
      </c>
      <c r="B13952" s="3">
        <v>3920</v>
      </c>
      <c r="C13952" s="1" t="str">
        <f>HYPERLINK("http://www.uniprot.org/uniprot/APS1_ARATH","APS1_ARATH")</f>
        <v>APS1_ARATH</v>
      </c>
      <c r="D13952" t="s">
        <v>9261</v>
      </c>
      <c r="E13952" s="3" t="s">
        <v>3</v>
      </c>
      <c r="F13952" s="4">
        <v>0</v>
      </c>
      <c r="G13952" s="3">
        <v>1483</v>
      </c>
      <c r="H13952" s="3">
        <v>91</v>
      </c>
      <c r="I13952" s="3">
        <v>296</v>
      </c>
      <c r="J13952" s="3">
        <v>506</v>
      </c>
      <c r="K13952" s="3">
        <v>1393</v>
      </c>
      <c r="L13952" s="3">
        <v>168</v>
      </c>
      <c r="M13952" s="3">
        <v>463</v>
      </c>
    </row>
    <row r="13953" spans="1:13" x14ac:dyDescent="0.25">
      <c r="A13953" s="1" t="str">
        <f>HYPERLINK("http://www.rosaceae.org/Prunus/Prunus_persica/p.persica_gdr_reftransV1_0009545","p.persica_gdr_reftransV1_0009545")</f>
        <v>p.persica_gdr_reftransV1_0009545</v>
      </c>
      <c r="B13953" s="3">
        <v>1371</v>
      </c>
      <c r="C13953" s="1" t="str">
        <f>HYPERLINK("http://www.uniprot.org/uniprot/6PGD2_ARATH","6PGD2_ARATH")</f>
        <v>6PGD2_ARATH</v>
      </c>
      <c r="D13953" t="s">
        <v>4317</v>
      </c>
      <c r="E13953" s="3" t="s">
        <v>3</v>
      </c>
      <c r="F13953" s="4">
        <v>0</v>
      </c>
      <c r="G13953" s="3">
        <v>1762</v>
      </c>
      <c r="H13953" s="3">
        <v>86</v>
      </c>
      <c r="I13953" s="3">
        <v>382</v>
      </c>
      <c r="J13953" s="3">
        <v>225</v>
      </c>
      <c r="K13953" s="3">
        <v>1370</v>
      </c>
      <c r="L13953" s="3">
        <v>3</v>
      </c>
      <c r="M13953" s="3">
        <v>384</v>
      </c>
    </row>
    <row r="13954" spans="1:13" x14ac:dyDescent="0.25">
      <c r="A13954" s="1" t="str">
        <f>HYPERLINK("http://www.rosaceae.org/Prunus/Prunus_persica/p.persica_gdr_reftransV1_0009595","p.persica_gdr_reftransV1_0009595")</f>
        <v>p.persica_gdr_reftransV1_0009595</v>
      </c>
      <c r="B13954" s="3">
        <v>1738</v>
      </c>
      <c r="C13954" s="1" t="str">
        <f>HYPERLINK("http://www.uniprot.org/uniprot/PGLR5_ARATH","PGLR5_ARATH")</f>
        <v>PGLR5_ARATH</v>
      </c>
      <c r="D13954" t="s">
        <v>142</v>
      </c>
      <c r="E13954" s="3" t="s">
        <v>3</v>
      </c>
      <c r="F13954" s="4">
        <v>0</v>
      </c>
      <c r="G13954" s="3">
        <v>1354</v>
      </c>
      <c r="H13954" s="3">
        <v>63</v>
      </c>
      <c r="I13954" s="3">
        <v>414</v>
      </c>
      <c r="J13954" s="3">
        <v>264</v>
      </c>
      <c r="K13954" s="3">
        <v>1502</v>
      </c>
      <c r="L13954" s="3">
        <v>25</v>
      </c>
      <c r="M13954" s="3">
        <v>435</v>
      </c>
    </row>
    <row r="13955" spans="1:13" x14ac:dyDescent="0.25">
      <c r="A13955" s="1" t="str">
        <f>HYPERLINK("http://www.rosaceae.org/Prunus/Prunus_persica/p.persica_gdr_reftransV1_0009645","p.persica_gdr_reftransV1_0009645")</f>
        <v>p.persica_gdr_reftransV1_0009645</v>
      </c>
      <c r="B13955" s="3">
        <v>2473</v>
      </c>
      <c r="C13955" s="1" t="str">
        <f>HYPERLINK("http://www.uniprot.org/uniprot/PUB19_ARATH","PUB19_ARATH")</f>
        <v>PUB19_ARATH</v>
      </c>
      <c r="D13955" t="s">
        <v>1616</v>
      </c>
      <c r="E13955" s="3" t="s">
        <v>3</v>
      </c>
      <c r="F13955" s="4">
        <v>0</v>
      </c>
      <c r="G13955" s="3">
        <v>1460</v>
      </c>
      <c r="H13955" s="3">
        <v>46</v>
      </c>
      <c r="I13955" s="3">
        <v>691</v>
      </c>
      <c r="J13955" s="3">
        <v>368</v>
      </c>
      <c r="K13955" s="3">
        <v>2407</v>
      </c>
      <c r="L13955" s="3">
        <v>6</v>
      </c>
      <c r="M13955" s="3">
        <v>684</v>
      </c>
    </row>
    <row r="13956" spans="1:13" x14ac:dyDescent="0.25">
      <c r="A13956" s="1" t="str">
        <f>HYPERLINK("http://www.rosaceae.org/Prunus/Prunus_persica/p.persica_gdr_reftransV1_0009795","p.persica_gdr_reftransV1_0009795")</f>
        <v>p.persica_gdr_reftransV1_0009795</v>
      </c>
      <c r="B13956" s="3">
        <v>583</v>
      </c>
      <c r="C13956" s="1" t="str">
        <f>HYPERLINK("http://www.uniprot.org/uniprot/TIC55_PEA","TIC55_PEA")</f>
        <v>TIC55_PEA</v>
      </c>
      <c r="D13956" t="s">
        <v>8362</v>
      </c>
      <c r="E13956" s="3" t="s">
        <v>60</v>
      </c>
      <c r="F13956" s="4">
        <v>2.9399999999999998E-42</v>
      </c>
      <c r="G13956" s="3">
        <v>388</v>
      </c>
      <c r="H13956" s="3">
        <v>68</v>
      </c>
      <c r="I13956" s="3">
        <v>122</v>
      </c>
      <c r="J13956" s="3">
        <v>216</v>
      </c>
      <c r="K13956" s="3">
        <v>581</v>
      </c>
      <c r="L13956" s="3">
        <v>432</v>
      </c>
      <c r="M13956" s="3">
        <v>553</v>
      </c>
    </row>
    <row r="13957" spans="1:13" x14ac:dyDescent="0.25">
      <c r="A13957" s="1" t="str">
        <f>HYPERLINK("http://www.rosaceae.org/Prunus/Prunus_persica/p.persica_gdr_reftransV1_0010045","p.persica_gdr_reftransV1_0010045")</f>
        <v>p.persica_gdr_reftransV1_0010045</v>
      </c>
      <c r="B13957" s="3">
        <v>1929</v>
      </c>
      <c r="C13957" s="1" t="str">
        <f>HYPERLINK("http://www.uniprot.org/uniprot/XCT_ARATH","XCT_ARATH")</f>
        <v>XCT_ARATH</v>
      </c>
      <c r="D13957" t="s">
        <v>6664</v>
      </c>
      <c r="E13957" s="3" t="s">
        <v>3</v>
      </c>
      <c r="F13957" s="4">
        <v>1.2999999999999999E-111</v>
      </c>
      <c r="G13957" s="3">
        <v>886</v>
      </c>
      <c r="H13957" s="3">
        <v>87</v>
      </c>
      <c r="I13957" s="3">
        <v>199</v>
      </c>
      <c r="J13957" s="3">
        <v>995</v>
      </c>
      <c r="K13957" s="3">
        <v>1591</v>
      </c>
      <c r="L13957" s="3">
        <v>139</v>
      </c>
      <c r="M13957" s="3">
        <v>337</v>
      </c>
    </row>
    <row r="13958" spans="1:13" x14ac:dyDescent="0.25">
      <c r="A13958" s="1" t="str">
        <f>HYPERLINK("http://www.rosaceae.org/Prunus/Prunus_persica/p.persica_gdr_reftransV1_0010095","p.persica_gdr_reftransV1_0010095")</f>
        <v>p.persica_gdr_reftransV1_0010095</v>
      </c>
      <c r="B13958" s="3">
        <v>1110</v>
      </c>
      <c r="C13958" s="1" t="str">
        <f>HYPERLINK("http://www.uniprot.org/uniprot/KITH_ORYSJ","KITH_ORYSJ")</f>
        <v>KITH_ORYSJ</v>
      </c>
      <c r="D13958" t="s">
        <v>7821</v>
      </c>
      <c r="E13958" s="3" t="s">
        <v>38</v>
      </c>
      <c r="F13958" s="4">
        <v>2.1E-96</v>
      </c>
      <c r="G13958" s="3">
        <v>754</v>
      </c>
      <c r="H13958" s="3">
        <v>72</v>
      </c>
      <c r="I13958" s="3">
        <v>204</v>
      </c>
      <c r="J13958" s="3">
        <v>134</v>
      </c>
      <c r="K13958" s="3">
        <v>742</v>
      </c>
      <c r="L13958" s="3">
        <v>62</v>
      </c>
      <c r="M13958" s="3">
        <v>265</v>
      </c>
    </row>
    <row r="13959" spans="1:13" x14ac:dyDescent="0.25">
      <c r="A13959" s="1" t="str">
        <f>HYPERLINK("http://www.rosaceae.org/Prunus/Prunus_persica/p.persica_gdr_reftransV1_0010145","p.persica_gdr_reftransV1_0010145")</f>
        <v>p.persica_gdr_reftransV1_0010145</v>
      </c>
      <c r="B13959" s="3">
        <v>1873</v>
      </c>
      <c r="C13959" s="1" t="str">
        <f>HYPERLINK("http://www.uniprot.org/uniprot/BCS1B_DICDI","BCS1B_DICDI")</f>
        <v>BCS1B_DICDI</v>
      </c>
      <c r="D13959" t="s">
        <v>2777</v>
      </c>
      <c r="E13959" s="3" t="s">
        <v>9</v>
      </c>
      <c r="F13959" s="4">
        <v>3.9699999999999998E-28</v>
      </c>
      <c r="G13959" s="3">
        <v>303</v>
      </c>
      <c r="H13959" s="3">
        <v>32</v>
      </c>
      <c r="I13959" s="3">
        <v>299</v>
      </c>
      <c r="J13959" s="3">
        <v>421</v>
      </c>
      <c r="K13959" s="3">
        <v>1272</v>
      </c>
      <c r="L13959" s="3">
        <v>167</v>
      </c>
      <c r="M13959" s="3">
        <v>457</v>
      </c>
    </row>
    <row r="13960" spans="1:13" x14ac:dyDescent="0.25">
      <c r="A13960" s="1" t="str">
        <f>HYPERLINK("http://www.rosaceae.org/Prunus/Prunus_persica/p.persica_gdr_reftransV1_0010695","p.persica_gdr_reftransV1_0010695")</f>
        <v>p.persica_gdr_reftransV1_0010695</v>
      </c>
      <c r="B13960" s="3">
        <v>485</v>
      </c>
      <c r="C13960" s="1" t="str">
        <f>HYPERLINK("http://www.uniprot.org/uniprot/GP1_SOLLC","GP1_SOLLC")</f>
        <v>GP1_SOLLC</v>
      </c>
      <c r="D13960" t="s">
        <v>9262</v>
      </c>
      <c r="E13960" s="3" t="s">
        <v>64</v>
      </c>
      <c r="F13960" s="4">
        <v>1.07E-79</v>
      </c>
      <c r="G13960" s="3">
        <v>648</v>
      </c>
      <c r="H13960" s="3">
        <v>78</v>
      </c>
      <c r="I13960" s="3">
        <v>160</v>
      </c>
      <c r="J13960" s="3">
        <v>5</v>
      </c>
      <c r="K13960" s="3">
        <v>484</v>
      </c>
      <c r="L13960" s="3">
        <v>417</v>
      </c>
      <c r="M13960" s="3">
        <v>576</v>
      </c>
    </row>
    <row r="13961" spans="1:13" x14ac:dyDescent="0.25">
      <c r="A13961" s="1" t="str">
        <f>HYPERLINK("http://www.rosaceae.org/Prunus/Prunus_persica/p.persica_gdr_reftransV1_0010795","p.persica_gdr_reftransV1_0010795")</f>
        <v>p.persica_gdr_reftransV1_0010795</v>
      </c>
      <c r="B13961" s="3">
        <v>3753</v>
      </c>
      <c r="C13961" s="1" t="str">
        <f>HYPERLINK("http://www.uniprot.org/uniprot/TMVRN_NICGU","TMVRN_NICGU")</f>
        <v>TMVRN_NICGU</v>
      </c>
      <c r="D13961" t="s">
        <v>151</v>
      </c>
      <c r="E13961" s="3" t="s">
        <v>152</v>
      </c>
      <c r="F13961" s="4">
        <v>4.2100000000000002E-138</v>
      </c>
      <c r="G13961" s="3">
        <v>1174</v>
      </c>
      <c r="H13961" s="3">
        <v>38</v>
      </c>
      <c r="I13961" s="3">
        <v>761</v>
      </c>
      <c r="J13961" s="3">
        <v>1149</v>
      </c>
      <c r="K13961" s="3">
        <v>3398</v>
      </c>
      <c r="L13961" s="3">
        <v>162</v>
      </c>
      <c r="M13961" s="3">
        <v>892</v>
      </c>
    </row>
    <row r="13962" spans="1:13" x14ac:dyDescent="0.25">
      <c r="A13962" s="1" t="str">
        <f>HYPERLINK("http://www.rosaceae.org/Prunus/Prunus_persica/p.persica_gdr_reftransV1_0010945","p.persica_gdr_reftransV1_0010945")</f>
        <v>p.persica_gdr_reftransV1_0010945</v>
      </c>
      <c r="B13962" s="3">
        <v>2511</v>
      </c>
      <c r="C13962" s="1" t="str">
        <f>HYPERLINK("http://www.uniprot.org/uniprot/AT74_ARATH","AT74_ARATH")</f>
        <v>AT74_ARATH</v>
      </c>
      <c r="D13962" t="s">
        <v>7269</v>
      </c>
      <c r="E13962" s="3" t="s">
        <v>3</v>
      </c>
      <c r="F13962" s="4">
        <v>1.2E-57</v>
      </c>
      <c r="G13962" s="3">
        <v>520</v>
      </c>
      <c r="H13962" s="3">
        <v>72</v>
      </c>
      <c r="I13962" s="3">
        <v>127</v>
      </c>
      <c r="J13962" s="3">
        <v>343</v>
      </c>
      <c r="K13962" s="3">
        <v>723</v>
      </c>
      <c r="L13962" s="3">
        <v>148</v>
      </c>
      <c r="M13962" s="3">
        <v>274</v>
      </c>
    </row>
    <row r="13963" spans="1:13" x14ac:dyDescent="0.25">
      <c r="A13963" s="1" t="str">
        <f>HYPERLINK("http://www.rosaceae.org/Prunus/Prunus_persica/p.persica_gdr_reftransV1_0011095","p.persica_gdr_reftransV1_0011095")</f>
        <v>p.persica_gdr_reftransV1_0011095</v>
      </c>
      <c r="B13963" s="3">
        <v>1137</v>
      </c>
      <c r="C13963" s="1" t="str">
        <f>HYPERLINK("http://www.uniprot.org/uniprot/DHX8_ARATH","DHX8_ARATH")</f>
        <v>DHX8_ARATH</v>
      </c>
      <c r="D13963" t="s">
        <v>653</v>
      </c>
      <c r="E13963" s="3" t="s">
        <v>3</v>
      </c>
      <c r="F13963" s="4">
        <v>0</v>
      </c>
      <c r="G13963" s="3">
        <v>1399</v>
      </c>
      <c r="H13963" s="3">
        <v>78</v>
      </c>
      <c r="I13963" s="3">
        <v>341</v>
      </c>
      <c r="J13963" s="3">
        <v>2</v>
      </c>
      <c r="K13963" s="3">
        <v>1024</v>
      </c>
      <c r="L13963" s="3">
        <v>828</v>
      </c>
      <c r="M13963" s="3">
        <v>1168</v>
      </c>
    </row>
    <row r="13964" spans="1:13" x14ac:dyDescent="0.25">
      <c r="A13964" s="1" t="str">
        <f>HYPERLINK("http://www.rosaceae.org/Prunus/Prunus_persica/p.persica_gdr_reftransV1_0011145","p.persica_gdr_reftransV1_0011145")</f>
        <v>p.persica_gdr_reftransV1_0011145</v>
      </c>
      <c r="B13964" s="3">
        <v>2043</v>
      </c>
      <c r="C13964" s="1" t="str">
        <f>HYPERLINK("http://www.uniprot.org/uniprot/ASK21_ARATH","ASK21_ARATH")</f>
        <v>ASK21_ARATH</v>
      </c>
      <c r="D13964" t="s">
        <v>1424</v>
      </c>
      <c r="E13964" s="3" t="s">
        <v>3</v>
      </c>
      <c r="F13964" s="4">
        <v>2.7399999999999999E-121</v>
      </c>
      <c r="G13964" s="3">
        <v>955</v>
      </c>
      <c r="H13964" s="3">
        <v>66</v>
      </c>
      <c r="I13964" s="3">
        <v>374</v>
      </c>
      <c r="J13964" s="3">
        <v>398</v>
      </c>
      <c r="K13964" s="3">
        <v>1513</v>
      </c>
      <c r="L13964" s="3">
        <v>1</v>
      </c>
      <c r="M13964" s="3">
        <v>345</v>
      </c>
    </row>
    <row r="13965" spans="1:13" x14ac:dyDescent="0.25">
      <c r="A13965" s="1" t="str">
        <f>HYPERLINK("http://www.rosaceae.org/Prunus/Prunus_persica/p.persica_gdr_reftransV1_0011295","p.persica_gdr_reftransV1_0011295")</f>
        <v>p.persica_gdr_reftransV1_0011295</v>
      </c>
      <c r="B13965" s="3">
        <v>1995</v>
      </c>
      <c r="C13965" s="1" t="str">
        <f>HYPERLINK("http://www.uniprot.org/uniprot/RETIC_ARATH","RETIC_ARATH")</f>
        <v>RETIC_ARATH</v>
      </c>
      <c r="D13965" t="s">
        <v>9263</v>
      </c>
      <c r="E13965" s="3" t="s">
        <v>3</v>
      </c>
      <c r="F13965" s="4">
        <v>4.6599999999999997E-163</v>
      </c>
      <c r="G13965" s="3">
        <v>1241</v>
      </c>
      <c r="H13965" s="3">
        <v>64</v>
      </c>
      <c r="I13965" s="3">
        <v>447</v>
      </c>
      <c r="J13965" s="3">
        <v>349</v>
      </c>
      <c r="K13965" s="3">
        <v>1668</v>
      </c>
      <c r="L13965" s="3">
        <v>1</v>
      </c>
      <c r="M13965" s="3">
        <v>432</v>
      </c>
    </row>
    <row r="13966" spans="1:13" x14ac:dyDescent="0.25">
      <c r="A13966" s="1" t="str">
        <f>HYPERLINK("http://www.rosaceae.org/Prunus/Prunus_persica/p.persica_gdr_reftransV1_0011395","p.persica_gdr_reftransV1_0011395")</f>
        <v>p.persica_gdr_reftransV1_0011395</v>
      </c>
      <c r="B13966" s="3">
        <v>1480</v>
      </c>
      <c r="C13966" s="1" t="str">
        <f>HYPERLINK("http://www.uniprot.org/uniprot/TBC15_MOUSE","TBC15_MOUSE")</f>
        <v>TBC15_MOUSE</v>
      </c>
      <c r="D13966" t="s">
        <v>745</v>
      </c>
      <c r="E13966" s="3" t="s">
        <v>157</v>
      </c>
      <c r="F13966" s="4">
        <v>2.6E-35</v>
      </c>
      <c r="G13966" s="3">
        <v>360</v>
      </c>
      <c r="H13966" s="3">
        <v>32</v>
      </c>
      <c r="I13966" s="3">
        <v>277</v>
      </c>
      <c r="J13966" s="3">
        <v>315</v>
      </c>
      <c r="K13966" s="3">
        <v>1136</v>
      </c>
      <c r="L13966" s="3">
        <v>298</v>
      </c>
      <c r="M13966" s="3">
        <v>534</v>
      </c>
    </row>
    <row r="13967" spans="1:13" x14ac:dyDescent="0.25">
      <c r="A13967" s="1" t="str">
        <f>HYPERLINK("http://www.rosaceae.org/Prunus/Prunus_persica/p.persica_gdr_reftransV1_0011445","p.persica_gdr_reftransV1_0011445")</f>
        <v>p.persica_gdr_reftransV1_0011445</v>
      </c>
      <c r="B13967" s="3">
        <v>1452</v>
      </c>
      <c r="C13967" s="1" t="str">
        <f>HYPERLINK("http://www.uniprot.org/uniprot/UGPI7_ARATH","UGPI7_ARATH")</f>
        <v>UGPI7_ARATH</v>
      </c>
      <c r="D13967" t="s">
        <v>576</v>
      </c>
      <c r="E13967" s="3" t="s">
        <v>3</v>
      </c>
      <c r="F13967" s="4">
        <v>2.8799999999999998E-55</v>
      </c>
      <c r="G13967" s="3">
        <v>489</v>
      </c>
      <c r="H13967" s="3">
        <v>45</v>
      </c>
      <c r="I13967" s="3">
        <v>255</v>
      </c>
      <c r="J13967" s="3">
        <v>385</v>
      </c>
      <c r="K13967" s="3">
        <v>1137</v>
      </c>
      <c r="L13967" s="3">
        <v>33</v>
      </c>
      <c r="M13967" s="3">
        <v>271</v>
      </c>
    </row>
    <row r="13968" spans="1:13" x14ac:dyDescent="0.25">
      <c r="A13968" s="1" t="str">
        <f>HYPERLINK("http://www.rosaceae.org/Prunus/Prunus_persica/p.persica_gdr_reftransV1_0011495","p.persica_gdr_reftransV1_0011495")</f>
        <v>p.persica_gdr_reftransV1_0011495</v>
      </c>
      <c r="B13968" s="3">
        <v>1484</v>
      </c>
      <c r="C13968" s="1" t="str">
        <f>HYPERLINK("http://www.uniprot.org/uniprot/LRX2_ARATH","LRX2_ARATH")</f>
        <v>LRX2_ARATH</v>
      </c>
      <c r="D13968" t="s">
        <v>9264</v>
      </c>
      <c r="E13968" s="3" t="s">
        <v>3</v>
      </c>
      <c r="F13968" s="4">
        <v>2.11E-177</v>
      </c>
      <c r="G13968" s="3">
        <v>1352</v>
      </c>
      <c r="H13968" s="3">
        <v>76</v>
      </c>
      <c r="I13968" s="3">
        <v>340</v>
      </c>
      <c r="J13968" s="3">
        <v>446</v>
      </c>
      <c r="K13968" s="3">
        <v>1456</v>
      </c>
      <c r="L13968" s="3">
        <v>41</v>
      </c>
      <c r="M13968" s="3">
        <v>379</v>
      </c>
    </row>
    <row r="13969" spans="1:13" x14ac:dyDescent="0.25">
      <c r="A13969" s="1" t="str">
        <f>HYPERLINK("http://www.rosaceae.org/Prunus/Prunus_persica/p.persica_gdr_reftransV1_0011545","p.persica_gdr_reftransV1_0011545")</f>
        <v>p.persica_gdr_reftransV1_0011545</v>
      </c>
      <c r="B13969" s="3">
        <v>3470</v>
      </c>
      <c r="C13969" s="1" t="str">
        <f>HYPERLINK("http://www.uniprot.org/uniprot/HSP7P_ARATH","HSP7P_ARATH")</f>
        <v>HSP7P_ARATH</v>
      </c>
      <c r="D13969" t="s">
        <v>9265</v>
      </c>
      <c r="E13969" s="3" t="s">
        <v>3</v>
      </c>
      <c r="F13969" s="4">
        <v>0</v>
      </c>
      <c r="G13969" s="3">
        <v>3516</v>
      </c>
      <c r="H13969" s="3">
        <v>79</v>
      </c>
      <c r="I13969" s="3">
        <v>833</v>
      </c>
      <c r="J13969" s="3">
        <v>214</v>
      </c>
      <c r="K13969" s="3">
        <v>2712</v>
      </c>
      <c r="L13969" s="3">
        <v>1</v>
      </c>
      <c r="M13969" s="3">
        <v>831</v>
      </c>
    </row>
    <row r="13970" spans="1:13" x14ac:dyDescent="0.25">
      <c r="A13970" s="1" t="str">
        <f>HYPERLINK("http://www.rosaceae.org/Prunus/Prunus_persica/p.persica_gdr_reftransV1_0011595","p.persica_gdr_reftransV1_0011595")</f>
        <v>p.persica_gdr_reftransV1_0011595</v>
      </c>
      <c r="B13970" s="3">
        <v>1556</v>
      </c>
      <c r="C13970" s="1" t="str">
        <f>HYPERLINK("http://www.uniprot.org/uniprot/MDHM_FRAAN","MDHM_FRAAN")</f>
        <v>MDHM_FRAAN</v>
      </c>
      <c r="D13970" t="s">
        <v>7818</v>
      </c>
      <c r="E13970" s="3" t="s">
        <v>15</v>
      </c>
      <c r="F13970" s="4">
        <v>0</v>
      </c>
      <c r="G13970" s="3">
        <v>1487</v>
      </c>
      <c r="H13970" s="3">
        <v>89</v>
      </c>
      <c r="I13970" s="3">
        <v>339</v>
      </c>
      <c r="J13970" s="3">
        <v>428</v>
      </c>
      <c r="K13970" s="3">
        <v>1444</v>
      </c>
      <c r="L13970" s="3">
        <v>1</v>
      </c>
      <c r="M13970" s="3">
        <v>339</v>
      </c>
    </row>
    <row r="13971" spans="1:13" x14ac:dyDescent="0.25">
      <c r="A13971" s="1" t="str">
        <f>HYPERLINK("http://www.rosaceae.org/Prunus/Prunus_persica/p.persica_gdr_reftransV1_0011645","p.persica_gdr_reftransV1_0011645")</f>
        <v>p.persica_gdr_reftransV1_0011645</v>
      </c>
      <c r="B13971" s="3">
        <v>344</v>
      </c>
      <c r="C13971" s="1" t="str">
        <f>HYPERLINK("http://www.uniprot.org/uniprot/CKX1_ARATH","CKX1_ARATH")</f>
        <v>CKX1_ARATH</v>
      </c>
      <c r="D13971" t="s">
        <v>1075</v>
      </c>
      <c r="E13971" s="3" t="s">
        <v>3</v>
      </c>
      <c r="F13971" s="4">
        <v>3.1400000000000001E-20</v>
      </c>
      <c r="G13971" s="3">
        <v>220</v>
      </c>
      <c r="H13971" s="3">
        <v>52</v>
      </c>
      <c r="I13971" s="3">
        <v>116</v>
      </c>
      <c r="J13971" s="3">
        <v>2</v>
      </c>
      <c r="K13971" s="3">
        <v>343</v>
      </c>
      <c r="L13971" s="3">
        <v>9</v>
      </c>
      <c r="M13971" s="3">
        <v>122</v>
      </c>
    </row>
    <row r="13972" spans="1:13" x14ac:dyDescent="0.25">
      <c r="A13972" s="1" t="str">
        <f>HYPERLINK("http://www.rosaceae.org/Prunus/Prunus_persica/p.persica_gdr_reftransV1_0011745","p.persica_gdr_reftransV1_0011745")</f>
        <v>p.persica_gdr_reftransV1_0011745</v>
      </c>
      <c r="B13972" s="3">
        <v>524</v>
      </c>
      <c r="C13972" s="1" t="str">
        <f>HYPERLINK("http://www.uniprot.org/uniprot/SF21_HELAN","SF21_HELAN")</f>
        <v>SF21_HELAN</v>
      </c>
      <c r="D13972" t="s">
        <v>598</v>
      </c>
      <c r="E13972" s="3" t="s">
        <v>599</v>
      </c>
      <c r="F13972" s="4">
        <v>9.9799999999999997E-58</v>
      </c>
      <c r="G13972" s="3">
        <v>483</v>
      </c>
      <c r="H13972" s="3">
        <v>67</v>
      </c>
      <c r="I13972" s="3">
        <v>146</v>
      </c>
      <c r="J13972" s="3">
        <v>85</v>
      </c>
      <c r="K13972" s="3">
        <v>522</v>
      </c>
      <c r="L13972" s="3">
        <v>66</v>
      </c>
      <c r="M13972" s="3">
        <v>211</v>
      </c>
    </row>
    <row r="13973" spans="1:13" x14ac:dyDescent="0.25">
      <c r="A13973" s="1" t="str">
        <f>HYPERLINK("http://www.rosaceae.org/Prunus/Prunus_persica/p.persica_gdr_reftransV1_0012045","p.persica_gdr_reftransV1_0012045")</f>
        <v>p.persica_gdr_reftransV1_0012045</v>
      </c>
      <c r="B13973" s="3">
        <v>2472</v>
      </c>
      <c r="C13973" s="1" t="str">
        <f>HYPERLINK("http://www.uniprot.org/uniprot/KATAM_ORYSJ","KATAM_ORYSJ")</f>
        <v>KATAM_ORYSJ</v>
      </c>
      <c r="D13973" t="s">
        <v>1088</v>
      </c>
      <c r="E13973" s="3" t="s">
        <v>38</v>
      </c>
      <c r="F13973" s="4">
        <v>1.2899999999999999E-97</v>
      </c>
      <c r="G13973" s="3">
        <v>826</v>
      </c>
      <c r="H13973" s="3">
        <v>40</v>
      </c>
      <c r="I13973" s="3">
        <v>399</v>
      </c>
      <c r="J13973" s="3">
        <v>803</v>
      </c>
      <c r="K13973" s="3">
        <v>1984</v>
      </c>
      <c r="L13973" s="3">
        <v>126</v>
      </c>
      <c r="M13973" s="3">
        <v>517</v>
      </c>
    </row>
    <row r="13974" spans="1:13" x14ac:dyDescent="0.25">
      <c r="A13974" s="1" t="str">
        <f>HYPERLINK("http://www.rosaceae.org/Prunus/Prunus_persica/p.persica_gdr_reftransV1_0012145","p.persica_gdr_reftransV1_0012145")</f>
        <v>p.persica_gdr_reftransV1_0012145</v>
      </c>
      <c r="B13974" s="3">
        <v>1756</v>
      </c>
      <c r="C13974" s="1" t="str">
        <f>HYPERLINK("http://www.uniprot.org/uniprot/PRS6B_ARATH","PRS6B_ARATH")</f>
        <v>PRS6B_ARATH</v>
      </c>
      <c r="D13974" t="s">
        <v>9266</v>
      </c>
      <c r="E13974" s="3" t="s">
        <v>3</v>
      </c>
      <c r="F13974" s="4">
        <v>0</v>
      </c>
      <c r="G13974" s="3">
        <v>2001</v>
      </c>
      <c r="H13974" s="3">
        <v>91</v>
      </c>
      <c r="I13974" s="3">
        <v>422</v>
      </c>
      <c r="J13974" s="3">
        <v>384</v>
      </c>
      <c r="K13974" s="3">
        <v>1649</v>
      </c>
      <c r="L13974" s="3">
        <v>2</v>
      </c>
      <c r="M13974" s="3">
        <v>408</v>
      </c>
    </row>
    <row r="13975" spans="1:13" x14ac:dyDescent="0.25">
      <c r="A13975" s="1" t="str">
        <f>HYPERLINK("http://www.rosaceae.org/Prunus/Prunus_persica/p.persica_gdr_reftransV1_0012295","p.persica_gdr_reftransV1_0012295")</f>
        <v>p.persica_gdr_reftransV1_0012295</v>
      </c>
      <c r="B13975" s="3">
        <v>2141</v>
      </c>
      <c r="C13975" s="1" t="str">
        <f>HYPERLINK("http://www.uniprot.org/uniprot/CNIH4_ARATH","CNIH4_ARATH")</f>
        <v>CNIH4_ARATH</v>
      </c>
      <c r="D13975" t="s">
        <v>9267</v>
      </c>
      <c r="E13975" s="3" t="s">
        <v>3</v>
      </c>
      <c r="F13975" s="4">
        <v>1.05E-35</v>
      </c>
      <c r="G13975" s="3">
        <v>343</v>
      </c>
      <c r="H13975" s="3">
        <v>72</v>
      </c>
      <c r="I13975" s="3">
        <v>86</v>
      </c>
      <c r="J13975" s="3">
        <v>1277</v>
      </c>
      <c r="K13975" s="3">
        <v>1534</v>
      </c>
      <c r="L13975" s="3">
        <v>24</v>
      </c>
      <c r="M13975" s="3">
        <v>109</v>
      </c>
    </row>
    <row r="13976" spans="1:13" x14ac:dyDescent="0.25">
      <c r="A13976" s="1" t="str">
        <f>HYPERLINK("http://www.rosaceae.org/Prunus/Prunus_persica/p.persica_gdr_reftransV1_0012645","p.persica_gdr_reftransV1_0012645")</f>
        <v>p.persica_gdr_reftransV1_0012645</v>
      </c>
      <c r="B13976" s="3">
        <v>1097</v>
      </c>
      <c r="C13976" s="1" t="str">
        <f>HYPERLINK("http://www.uniprot.org/uniprot/YAB2_ARATH","YAB2_ARATH")</f>
        <v>YAB2_ARATH</v>
      </c>
      <c r="D13976" t="s">
        <v>1428</v>
      </c>
      <c r="E13976" s="3" t="s">
        <v>3</v>
      </c>
      <c r="F13976" s="4">
        <v>3.4299999999999998E-67</v>
      </c>
      <c r="G13976" s="3">
        <v>551</v>
      </c>
      <c r="H13976" s="3">
        <v>64</v>
      </c>
      <c r="I13976" s="3">
        <v>195</v>
      </c>
      <c r="J13976" s="3">
        <v>265</v>
      </c>
      <c r="K13976" s="3">
        <v>840</v>
      </c>
      <c r="L13976" s="3">
        <v>1</v>
      </c>
      <c r="M13976" s="3">
        <v>184</v>
      </c>
    </row>
    <row r="13977" spans="1:13" x14ac:dyDescent="0.25">
      <c r="A13977" s="1" t="str">
        <f>HYPERLINK("http://www.rosaceae.org/Prunus/Prunus_persica/p.persica_gdr_reftransV1_0012845","p.persica_gdr_reftransV1_0012845")</f>
        <v>p.persica_gdr_reftransV1_0012845</v>
      </c>
      <c r="B13977" s="3">
        <v>509</v>
      </c>
      <c r="C13977" s="1" t="str">
        <f>HYPERLINK("http://www.uniprot.org/uniprot/MCAC1_ARATH","MCAC1_ARATH")</f>
        <v>MCAC1_ARATH</v>
      </c>
      <c r="D13977" t="s">
        <v>9268</v>
      </c>
      <c r="E13977" s="3" t="s">
        <v>3</v>
      </c>
      <c r="F13977" s="4">
        <v>6.4399999999999997E-32</v>
      </c>
      <c r="G13977" s="3">
        <v>307</v>
      </c>
      <c r="H13977" s="3">
        <v>53</v>
      </c>
      <c r="I13977" s="3">
        <v>119</v>
      </c>
      <c r="J13977" s="3">
        <v>5</v>
      </c>
      <c r="K13977" s="3">
        <v>361</v>
      </c>
      <c r="L13977" s="3">
        <v>303</v>
      </c>
      <c r="M13977" s="3">
        <v>420</v>
      </c>
    </row>
    <row r="13978" spans="1:13" x14ac:dyDescent="0.25">
      <c r="A13978" s="1" t="str">
        <f>HYPERLINK("http://www.rosaceae.org/Prunus/Prunus_persica/p.persica_gdr_reftransV1_0012895","p.persica_gdr_reftransV1_0012895")</f>
        <v>p.persica_gdr_reftransV1_0012895</v>
      </c>
      <c r="B13978" s="3">
        <v>1747</v>
      </c>
      <c r="C13978" s="1" t="str">
        <f>HYPERLINK("http://www.uniprot.org/uniprot/PX24D_DICDI","PX24D_DICDI")</f>
        <v>PX24D_DICDI</v>
      </c>
      <c r="D13978" t="s">
        <v>9269</v>
      </c>
      <c r="E13978" s="3" t="s">
        <v>9</v>
      </c>
      <c r="F13978" s="4">
        <v>1.91E-16</v>
      </c>
      <c r="G13978" s="3">
        <v>202</v>
      </c>
      <c r="H13978" s="3">
        <v>27</v>
      </c>
      <c r="I13978" s="3">
        <v>180</v>
      </c>
      <c r="J13978" s="3">
        <v>358</v>
      </c>
      <c r="K13978" s="3">
        <v>897</v>
      </c>
      <c r="L13978" s="3">
        <v>15</v>
      </c>
      <c r="M13978" s="3">
        <v>158</v>
      </c>
    </row>
    <row r="13979" spans="1:13" x14ac:dyDescent="0.25">
      <c r="A13979" s="1" t="str">
        <f>HYPERLINK("http://www.rosaceae.org/Prunus/Prunus_persica/p.persica_gdr_reftransV1_0012995","p.persica_gdr_reftransV1_0012995")</f>
        <v>p.persica_gdr_reftransV1_0012995</v>
      </c>
      <c r="B13979" s="3">
        <v>2332</v>
      </c>
      <c r="C13979" s="1" t="str">
        <f>HYPERLINK("http://www.uniprot.org/uniprot/P2C37_ARATH","P2C37_ARATH")</f>
        <v>P2C37_ARATH</v>
      </c>
      <c r="D13979" t="s">
        <v>9270</v>
      </c>
      <c r="E13979" s="3" t="s">
        <v>3</v>
      </c>
      <c r="F13979" s="4">
        <v>1.64E-60</v>
      </c>
      <c r="G13979" s="3">
        <v>327</v>
      </c>
      <c r="H13979" s="3">
        <v>45</v>
      </c>
      <c r="I13979" s="3">
        <v>181</v>
      </c>
      <c r="J13979" s="3">
        <v>1620</v>
      </c>
      <c r="K13979" s="3">
        <v>2150</v>
      </c>
      <c r="L13979" s="3">
        <v>1</v>
      </c>
      <c r="M13979" s="3">
        <v>149</v>
      </c>
    </row>
    <row r="13980" spans="1:13" x14ac:dyDescent="0.25">
      <c r="A13980" s="1" t="str">
        <f>HYPERLINK("http://www.rosaceae.org/Prunus/Prunus_persica/p.persica_gdr_reftransV1_0013095","p.persica_gdr_reftransV1_0013095")</f>
        <v>p.persica_gdr_reftransV1_0013095</v>
      </c>
      <c r="B13980" s="3">
        <v>4302</v>
      </c>
      <c r="C13980" s="1" t="str">
        <f>HYPERLINK("http://www.uniprot.org/uniprot/KCBP_ARATH","KCBP_ARATH")</f>
        <v>KCBP_ARATH</v>
      </c>
      <c r="D13980" t="s">
        <v>9271</v>
      </c>
      <c r="E13980" s="3" t="s">
        <v>3</v>
      </c>
      <c r="F13980" s="4">
        <v>0</v>
      </c>
      <c r="G13980" s="3">
        <v>4630</v>
      </c>
      <c r="H13980" s="3">
        <v>77</v>
      </c>
      <c r="I13980" s="3">
        <v>1218</v>
      </c>
      <c r="J13980" s="3">
        <v>341</v>
      </c>
      <c r="K13980" s="3">
        <v>3979</v>
      </c>
      <c r="L13980" s="3">
        <v>44</v>
      </c>
      <c r="M13980" s="3">
        <v>1260</v>
      </c>
    </row>
    <row r="13981" spans="1:13" x14ac:dyDescent="0.25">
      <c r="A13981" s="1" t="str">
        <f>HYPERLINK("http://www.rosaceae.org/Prunus/Prunus_persica/p.persica_gdr_reftransV1_0013395","p.persica_gdr_reftransV1_0013395")</f>
        <v>p.persica_gdr_reftransV1_0013395</v>
      </c>
      <c r="B13981" s="3">
        <v>720</v>
      </c>
      <c r="C13981" s="1" t="str">
        <f>HYPERLINK("http://www.uniprot.org/uniprot/RGA2_SOLBU","RGA2_SOLBU")</f>
        <v>RGA2_SOLBU</v>
      </c>
      <c r="D13981" t="s">
        <v>925</v>
      </c>
      <c r="E13981" s="3" t="s">
        <v>560</v>
      </c>
      <c r="F13981" s="4">
        <v>2.5899999999999999E-9</v>
      </c>
      <c r="G13981" s="3">
        <v>145</v>
      </c>
      <c r="H13981" s="3">
        <v>30</v>
      </c>
      <c r="I13981" s="3">
        <v>199</v>
      </c>
      <c r="J13981" s="3">
        <v>1</v>
      </c>
      <c r="K13981" s="3">
        <v>585</v>
      </c>
      <c r="L13981" s="3">
        <v>6</v>
      </c>
      <c r="M13981" s="3">
        <v>196</v>
      </c>
    </row>
    <row r="13982" spans="1:13" x14ac:dyDescent="0.25">
      <c r="A13982" s="1" t="str">
        <f>HYPERLINK("http://www.rosaceae.org/Prunus/Prunus_persica/p.persica_gdr_reftransV1_0013445","p.persica_gdr_reftransV1_0013445")</f>
        <v>p.persica_gdr_reftransV1_0013445</v>
      </c>
      <c r="B13982" s="3">
        <v>1964</v>
      </c>
      <c r="C13982" s="1" t="str">
        <f>HYPERLINK("http://www.uniprot.org/uniprot/Y3028_ARATH","Y3028_ARATH")</f>
        <v>Y3028_ARATH</v>
      </c>
      <c r="D13982" t="s">
        <v>919</v>
      </c>
      <c r="E13982" s="3" t="s">
        <v>3</v>
      </c>
      <c r="F13982" s="4">
        <v>8.5199999999999996E-83</v>
      </c>
      <c r="G13982" s="3">
        <v>701</v>
      </c>
      <c r="H13982" s="3">
        <v>37</v>
      </c>
      <c r="I13982" s="3">
        <v>457</v>
      </c>
      <c r="J13982" s="3">
        <v>329</v>
      </c>
      <c r="K13982" s="3">
        <v>1672</v>
      </c>
      <c r="L13982" s="3">
        <v>4</v>
      </c>
      <c r="M13982" s="3">
        <v>440</v>
      </c>
    </row>
    <row r="13983" spans="1:13" x14ac:dyDescent="0.25">
      <c r="A13983" s="1" t="str">
        <f>HYPERLINK("http://www.rosaceae.org/Prunus/Prunus_persica/p.persica_gdr_reftransV1_0013595","p.persica_gdr_reftransV1_0013595")</f>
        <v>p.persica_gdr_reftransV1_0013595</v>
      </c>
      <c r="B13983" s="3">
        <v>3714</v>
      </c>
      <c r="C13983" s="1" t="str">
        <f>HYPERLINK("http://www.uniprot.org/uniprot/RDR2_ARATH","RDR2_ARATH")</f>
        <v>RDR2_ARATH</v>
      </c>
      <c r="D13983" t="s">
        <v>9272</v>
      </c>
      <c r="E13983" s="3" t="s">
        <v>3</v>
      </c>
      <c r="F13983" s="4">
        <v>0</v>
      </c>
      <c r="G13983" s="3">
        <v>3678</v>
      </c>
      <c r="H13983" s="3">
        <v>60</v>
      </c>
      <c r="I13983" s="3">
        <v>1154</v>
      </c>
      <c r="J13983" s="3">
        <v>274</v>
      </c>
      <c r="K13983" s="3">
        <v>3714</v>
      </c>
      <c r="L13983" s="3">
        <v>11</v>
      </c>
      <c r="M13983" s="3">
        <v>1123</v>
      </c>
    </row>
    <row r="13984" spans="1:13" x14ac:dyDescent="0.25">
      <c r="A13984" s="1" t="str">
        <f>HYPERLINK("http://www.rosaceae.org/Prunus/Prunus_persica/p.persica_gdr_reftransV1_0013695","p.persica_gdr_reftransV1_0013695")</f>
        <v>p.persica_gdr_reftransV1_0013695</v>
      </c>
      <c r="B13984" s="3">
        <v>1360</v>
      </c>
      <c r="C13984" s="1" t="str">
        <f>HYPERLINK("http://www.uniprot.org/uniprot/WRK41_ARATH","WRK41_ARATH")</f>
        <v>WRK41_ARATH</v>
      </c>
      <c r="D13984" t="s">
        <v>2436</v>
      </c>
      <c r="E13984" s="3" t="s">
        <v>3</v>
      </c>
      <c r="F13984" s="4">
        <v>3.09E-33</v>
      </c>
      <c r="G13984" s="3">
        <v>331</v>
      </c>
      <c r="H13984" s="3">
        <v>50</v>
      </c>
      <c r="I13984" s="3">
        <v>127</v>
      </c>
      <c r="J13984" s="3">
        <v>73</v>
      </c>
      <c r="K13984" s="3">
        <v>453</v>
      </c>
      <c r="L13984" s="3">
        <v>111</v>
      </c>
      <c r="M13984" s="3">
        <v>203</v>
      </c>
    </row>
    <row r="13985" spans="1:13" x14ac:dyDescent="0.25">
      <c r="A13985" s="1" t="str">
        <f>HYPERLINK("http://www.rosaceae.org/Prunus/Prunus_persica/p.persica_gdr_reftransV1_0013795","p.persica_gdr_reftransV1_0013795")</f>
        <v>p.persica_gdr_reftransV1_0013795</v>
      </c>
      <c r="B13985" s="3">
        <v>522</v>
      </c>
      <c r="C13985" s="1" t="str">
        <f>HYPERLINK("http://www.uniprot.org/uniprot/RLP2_ARATH","RLP2_ARATH")</f>
        <v>RLP2_ARATH</v>
      </c>
      <c r="D13985" t="s">
        <v>7291</v>
      </c>
      <c r="E13985" s="3" t="s">
        <v>3</v>
      </c>
      <c r="F13985" s="4">
        <v>3.8499999999999999E-27</v>
      </c>
      <c r="G13985" s="3">
        <v>279</v>
      </c>
      <c r="H13985" s="3">
        <v>40</v>
      </c>
      <c r="I13985" s="3">
        <v>159</v>
      </c>
      <c r="J13985" s="3">
        <v>32</v>
      </c>
      <c r="K13985" s="3">
        <v>508</v>
      </c>
      <c r="L13985" s="3">
        <v>569</v>
      </c>
      <c r="M13985" s="3">
        <v>716</v>
      </c>
    </row>
    <row r="13986" spans="1:13" x14ac:dyDescent="0.25">
      <c r="A13986" s="1" t="str">
        <f>HYPERLINK("http://www.rosaceae.org/Prunus/Prunus_persica/p.persica_gdr_reftransV1_0013895","p.persica_gdr_reftransV1_0013895")</f>
        <v>p.persica_gdr_reftransV1_0013895</v>
      </c>
      <c r="B13986" s="3">
        <v>515</v>
      </c>
      <c r="C13986" s="1" t="str">
        <f>HYPERLINK("http://www.uniprot.org/uniprot/KIWEL_ACTDE","KIWEL_ACTDE")</f>
        <v>KIWEL_ACTDE</v>
      </c>
      <c r="D13986" t="s">
        <v>7678</v>
      </c>
      <c r="E13986" s="3" t="s">
        <v>2188</v>
      </c>
      <c r="F13986" s="4">
        <v>2.2499999999999999E-24</v>
      </c>
      <c r="G13986" s="3">
        <v>245</v>
      </c>
      <c r="H13986" s="3">
        <v>68</v>
      </c>
      <c r="I13986" s="3">
        <v>76</v>
      </c>
      <c r="J13986" s="3">
        <v>3</v>
      </c>
      <c r="K13986" s="3">
        <v>230</v>
      </c>
      <c r="L13986" s="3">
        <v>1</v>
      </c>
      <c r="M13986" s="3">
        <v>74</v>
      </c>
    </row>
    <row r="13987" spans="1:13" x14ac:dyDescent="0.25">
      <c r="A13987" s="1" t="str">
        <f>HYPERLINK("http://www.rosaceae.org/Prunus/Prunus_persica/p.persica_gdr_reftransV1_0013945","p.persica_gdr_reftransV1_0013945")</f>
        <v>p.persica_gdr_reftransV1_0013945</v>
      </c>
      <c r="B13987" s="3">
        <v>3850</v>
      </c>
      <c r="C13987" s="1" t="str">
        <f>HYPERLINK("http://www.uniprot.org/uniprot/FTSH7_ORYSJ","FTSH7_ORYSJ")</f>
        <v>FTSH7_ORYSJ</v>
      </c>
      <c r="D13987" t="s">
        <v>9273</v>
      </c>
      <c r="E13987" s="3" t="s">
        <v>38</v>
      </c>
      <c r="F13987" s="4">
        <v>0</v>
      </c>
      <c r="G13987" s="3">
        <v>1737</v>
      </c>
      <c r="H13987" s="3">
        <v>89</v>
      </c>
      <c r="I13987" s="3">
        <v>436</v>
      </c>
      <c r="J13987" s="3">
        <v>942</v>
      </c>
      <c r="K13987" s="3">
        <v>2249</v>
      </c>
      <c r="L13987" s="3">
        <v>382</v>
      </c>
      <c r="M13987" s="3">
        <v>816</v>
      </c>
    </row>
    <row r="13988" spans="1:13" x14ac:dyDescent="0.25">
      <c r="A13988" s="1" t="str">
        <f>HYPERLINK("http://www.rosaceae.org/Prunus/Prunus_persica/p.persica_gdr_reftransV1_0013995","p.persica_gdr_reftransV1_0013995")</f>
        <v>p.persica_gdr_reftransV1_0013995</v>
      </c>
      <c r="B13988" s="3">
        <v>1099</v>
      </c>
      <c r="C13988" s="1" t="str">
        <f>HYPERLINK("http://www.uniprot.org/uniprot/ATCA7_ARATH","ATCA7_ARATH")</f>
        <v>ATCA7_ARATH</v>
      </c>
      <c r="D13988" t="s">
        <v>6066</v>
      </c>
      <c r="E13988" s="3" t="s">
        <v>3</v>
      </c>
      <c r="F13988" s="4">
        <v>4.6999999999999999E-99</v>
      </c>
      <c r="G13988" s="3">
        <v>772</v>
      </c>
      <c r="H13988" s="3">
        <v>57</v>
      </c>
      <c r="I13988" s="3">
        <v>243</v>
      </c>
      <c r="J13988" s="3">
        <v>220</v>
      </c>
      <c r="K13988" s="3">
        <v>945</v>
      </c>
      <c r="L13988" s="3">
        <v>33</v>
      </c>
      <c r="M13988" s="3">
        <v>271</v>
      </c>
    </row>
    <row r="13989" spans="1:13" x14ac:dyDescent="0.25">
      <c r="A13989" s="1" t="str">
        <f>HYPERLINK("http://www.rosaceae.org/Prunus/Prunus_persica/p.persica_gdr_reftransV1_0014145","p.persica_gdr_reftransV1_0014145")</f>
        <v>p.persica_gdr_reftransV1_0014145</v>
      </c>
      <c r="B13989" s="3">
        <v>1689</v>
      </c>
      <c r="C13989" s="1" t="str">
        <f>HYPERLINK("http://www.uniprot.org/uniprot/TMVRN_NICGU","TMVRN_NICGU")</f>
        <v>TMVRN_NICGU</v>
      </c>
      <c r="D13989" t="s">
        <v>151</v>
      </c>
      <c r="E13989" s="3" t="s">
        <v>152</v>
      </c>
      <c r="F13989" s="4">
        <v>2.7400000000000001E-50</v>
      </c>
      <c r="G13989" s="3">
        <v>486</v>
      </c>
      <c r="H13989" s="3">
        <v>29</v>
      </c>
      <c r="I13989" s="3">
        <v>591</v>
      </c>
      <c r="J13989" s="3">
        <v>3</v>
      </c>
      <c r="K13989" s="3">
        <v>1664</v>
      </c>
      <c r="L13989" s="3">
        <v>483</v>
      </c>
      <c r="M13989" s="3">
        <v>999</v>
      </c>
    </row>
    <row r="13990" spans="1:13" x14ac:dyDescent="0.25">
      <c r="A13990" s="1" t="str">
        <f>HYPERLINK("http://www.rosaceae.org/Prunus/Prunus_persica/p.persica_gdr_reftransV1_0014195","p.persica_gdr_reftransV1_0014195")</f>
        <v>p.persica_gdr_reftransV1_0014195</v>
      </c>
      <c r="B13990" s="3">
        <v>4634</v>
      </c>
      <c r="C13990" s="1" t="str">
        <f>HYPERLINK("http://www.uniprot.org/uniprot/UVH3_ARATH","UVH3_ARATH")</f>
        <v>UVH3_ARATH</v>
      </c>
      <c r="D13990" t="s">
        <v>9274</v>
      </c>
      <c r="E13990" s="3" t="s">
        <v>3</v>
      </c>
      <c r="F13990" s="4">
        <v>0</v>
      </c>
      <c r="G13990" s="3">
        <v>2108</v>
      </c>
      <c r="H13990" s="3">
        <v>47</v>
      </c>
      <c r="I13990" s="3">
        <v>1044</v>
      </c>
      <c r="J13990" s="3">
        <v>651</v>
      </c>
      <c r="K13990" s="3">
        <v>3629</v>
      </c>
      <c r="L13990" s="3">
        <v>270</v>
      </c>
      <c r="M13990" s="3">
        <v>1242</v>
      </c>
    </row>
    <row r="13991" spans="1:13" x14ac:dyDescent="0.25">
      <c r="A13991" s="1" t="str">
        <f>HYPERLINK("http://www.rosaceae.org/Prunus/Prunus_persica/p.persica_gdr_reftransV1_0014295","p.persica_gdr_reftransV1_0014295")</f>
        <v>p.persica_gdr_reftransV1_0014295</v>
      </c>
      <c r="B13991" s="3">
        <v>1359</v>
      </c>
      <c r="C13991" s="1" t="str">
        <f>HYPERLINK("http://www.uniprot.org/uniprot/CMS1_MOUSE","CMS1_MOUSE")</f>
        <v>CMS1_MOUSE</v>
      </c>
      <c r="D13991" t="s">
        <v>9275</v>
      </c>
      <c r="E13991" s="3" t="s">
        <v>157</v>
      </c>
      <c r="F13991" s="4">
        <v>2.2200000000000001E-16</v>
      </c>
      <c r="G13991" s="3">
        <v>203</v>
      </c>
      <c r="H13991" s="3">
        <v>32</v>
      </c>
      <c r="I13991" s="3">
        <v>212</v>
      </c>
      <c r="J13991" s="3">
        <v>363</v>
      </c>
      <c r="K13991" s="3">
        <v>971</v>
      </c>
      <c r="L13991" s="3">
        <v>85</v>
      </c>
      <c r="M13991" s="3">
        <v>276</v>
      </c>
    </row>
    <row r="13992" spans="1:13" x14ac:dyDescent="0.25">
      <c r="A13992" s="1" t="str">
        <f>HYPERLINK("http://www.rosaceae.org/Prunus/Prunus_persica/p.persica_gdr_reftransV1_0014345","p.persica_gdr_reftransV1_0014345")</f>
        <v>p.persica_gdr_reftransV1_0014345</v>
      </c>
      <c r="B13992" s="3">
        <v>2433</v>
      </c>
      <c r="C13992" s="1" t="str">
        <f>HYPERLINK("http://www.uniprot.org/uniprot/HMDH2_GOSHI","HMDH2_GOSHI")</f>
        <v>HMDH2_GOSHI</v>
      </c>
      <c r="D13992" t="s">
        <v>9276</v>
      </c>
      <c r="E13992" s="3" t="s">
        <v>816</v>
      </c>
      <c r="F13992" s="4">
        <v>0</v>
      </c>
      <c r="G13992" s="3">
        <v>2453</v>
      </c>
      <c r="H13992" s="3">
        <v>77</v>
      </c>
      <c r="I13992" s="3">
        <v>594</v>
      </c>
      <c r="J13992" s="3">
        <v>453</v>
      </c>
      <c r="K13992" s="3">
        <v>2135</v>
      </c>
      <c r="L13992" s="3">
        <v>30</v>
      </c>
      <c r="M13992" s="3">
        <v>622</v>
      </c>
    </row>
    <row r="13993" spans="1:13" x14ac:dyDescent="0.25">
      <c r="A13993" s="1" t="str">
        <f>HYPERLINK("http://www.rosaceae.org/Prunus/Prunus_persica/p.persica_gdr_reftransV1_0014395","p.persica_gdr_reftransV1_0014395")</f>
        <v>p.persica_gdr_reftransV1_0014395</v>
      </c>
      <c r="B13993" s="3">
        <v>2235</v>
      </c>
      <c r="C13993" s="1" t="str">
        <f>HYPERLINK("http://www.uniprot.org/uniprot/YidA_SHIFL","YidA_SHIFL")</f>
        <v>YidA_SHIFL</v>
      </c>
      <c r="D13993" t="s">
        <v>5820</v>
      </c>
      <c r="E13993" s="3" t="s">
        <v>1703</v>
      </c>
      <c r="F13993" s="4">
        <v>6.9000000000000003E-24</v>
      </c>
      <c r="G13993" s="3">
        <v>266</v>
      </c>
      <c r="H13993" s="3">
        <v>34</v>
      </c>
      <c r="I13993" s="3">
        <v>281</v>
      </c>
      <c r="J13993" s="3">
        <v>279</v>
      </c>
      <c r="K13993" s="3">
        <v>1097</v>
      </c>
      <c r="L13993" s="3">
        <v>3</v>
      </c>
      <c r="M13993" s="3">
        <v>269</v>
      </c>
    </row>
    <row r="13994" spans="1:13" x14ac:dyDescent="0.25">
      <c r="A13994" s="1" t="str">
        <f>HYPERLINK("http://www.rosaceae.org/Prunus/Prunus_persica/p.persica_gdr_reftransV1_0014495","p.persica_gdr_reftransV1_0014495")</f>
        <v>p.persica_gdr_reftransV1_0014495</v>
      </c>
      <c r="B13994" s="3">
        <v>4513</v>
      </c>
      <c r="C13994" s="1" t="str">
        <f>HYPERLINK("http://www.uniprot.org/uniprot/XRN4_ARATH","XRN4_ARATH")</f>
        <v>XRN4_ARATH</v>
      </c>
      <c r="D13994" t="s">
        <v>7930</v>
      </c>
      <c r="E13994" s="3" t="s">
        <v>3</v>
      </c>
      <c r="F13994" s="4">
        <v>0</v>
      </c>
      <c r="G13994" s="3">
        <v>1733</v>
      </c>
      <c r="H13994" s="3">
        <v>81</v>
      </c>
      <c r="I13994" s="3">
        <v>438</v>
      </c>
      <c r="J13994" s="3">
        <v>3098</v>
      </c>
      <c r="K13994" s="3">
        <v>4411</v>
      </c>
      <c r="L13994" s="3">
        <v>1</v>
      </c>
      <c r="M13994" s="3">
        <v>437</v>
      </c>
    </row>
    <row r="13995" spans="1:13" x14ac:dyDescent="0.25">
      <c r="A13995" s="1" t="str">
        <f>HYPERLINK("http://www.rosaceae.org/Prunus/Prunus_persica/p.persica_gdr_reftransV1_0014795","p.persica_gdr_reftransV1_0014795")</f>
        <v>p.persica_gdr_reftransV1_0014795</v>
      </c>
      <c r="B13995" s="3">
        <v>1297</v>
      </c>
      <c r="C13995" s="1" t="str">
        <f>HYPERLINK("http://www.uniprot.org/uniprot/WBS22_MOUSE","WBS22_MOUSE")</f>
        <v>WBS22_MOUSE</v>
      </c>
      <c r="D13995" t="s">
        <v>9277</v>
      </c>
      <c r="E13995" s="3" t="s">
        <v>157</v>
      </c>
      <c r="F13995" s="4">
        <v>3.1800000000000001E-94</v>
      </c>
      <c r="G13995" s="3">
        <v>746</v>
      </c>
      <c r="H13995" s="3">
        <v>49</v>
      </c>
      <c r="I13995" s="3">
        <v>328</v>
      </c>
      <c r="J13995" s="3">
        <v>45</v>
      </c>
      <c r="K13995" s="3">
        <v>1028</v>
      </c>
      <c r="L13995" s="3">
        <v>7</v>
      </c>
      <c r="M13995" s="3">
        <v>281</v>
      </c>
    </row>
    <row r="13996" spans="1:13" x14ac:dyDescent="0.25">
      <c r="A13996" s="1" t="str">
        <f>HYPERLINK("http://www.rosaceae.org/Prunus/Prunus_persica/p.persica_gdr_reftransV1_0014945","p.persica_gdr_reftransV1_0014945")</f>
        <v>p.persica_gdr_reftransV1_0014945</v>
      </c>
      <c r="B13996" s="3">
        <v>2349</v>
      </c>
      <c r="C13996" s="1" t="str">
        <f>HYPERLINK("http://www.uniprot.org/uniprot/POT1B_ARATH","POT1B_ARATH")</f>
        <v>POT1B_ARATH</v>
      </c>
      <c r="D13996" t="s">
        <v>9278</v>
      </c>
      <c r="E13996" s="3" t="s">
        <v>3</v>
      </c>
      <c r="F13996" s="4">
        <v>3.3399999999999997E-42</v>
      </c>
      <c r="G13996" s="3">
        <v>414</v>
      </c>
      <c r="H13996" s="3">
        <v>41</v>
      </c>
      <c r="I13996" s="3">
        <v>201</v>
      </c>
      <c r="J13996" s="3">
        <v>113</v>
      </c>
      <c r="K13996" s="3">
        <v>712</v>
      </c>
      <c r="L13996" s="3">
        <v>5</v>
      </c>
      <c r="M13996" s="3">
        <v>202</v>
      </c>
    </row>
    <row r="13997" spans="1:13" x14ac:dyDescent="0.25">
      <c r="A13997" s="1" t="str">
        <f>HYPERLINK("http://www.rosaceae.org/Prunus/Prunus_persica/p.persica_gdr_reftransV1_0015195","p.persica_gdr_reftransV1_0015195")</f>
        <v>p.persica_gdr_reftransV1_0015195</v>
      </c>
      <c r="B13997" s="3">
        <v>2340</v>
      </c>
      <c r="C13997" s="1" t="str">
        <f>HYPERLINK("http://www.uniprot.org/uniprot/ZIFL1_ARATH","ZIFL1_ARATH")</f>
        <v>ZIFL1_ARATH</v>
      </c>
      <c r="D13997" t="s">
        <v>9279</v>
      </c>
      <c r="E13997" s="3" t="s">
        <v>3</v>
      </c>
      <c r="F13997" s="4">
        <v>4.4600000000000001E-142</v>
      </c>
      <c r="G13997" s="3">
        <v>1115</v>
      </c>
      <c r="H13997" s="3">
        <v>64</v>
      </c>
      <c r="I13997" s="3">
        <v>366</v>
      </c>
      <c r="J13997" s="3">
        <v>388</v>
      </c>
      <c r="K13997" s="3">
        <v>1485</v>
      </c>
      <c r="L13997" s="3">
        <v>118</v>
      </c>
      <c r="M13997" s="3">
        <v>476</v>
      </c>
    </row>
    <row r="13998" spans="1:13" x14ac:dyDescent="0.25">
      <c r="A13998" s="1" t="str">
        <f>HYPERLINK("http://www.rosaceae.org/Prunus/Prunus_persica/p.persica_gdr_reftransV1_0015295","p.persica_gdr_reftransV1_0015295")</f>
        <v>p.persica_gdr_reftransV1_0015295</v>
      </c>
      <c r="B13998" s="3">
        <v>2050</v>
      </c>
      <c r="C13998" s="1" t="str">
        <f>HYPERLINK("http://www.uniprot.org/uniprot/ATB_ARATH","ATB_ARATH")</f>
        <v>ATB_ARATH</v>
      </c>
      <c r="D13998" t="s">
        <v>9280</v>
      </c>
      <c r="E13998" s="3" t="s">
        <v>3</v>
      </c>
      <c r="F13998" s="4">
        <v>0</v>
      </c>
      <c r="G13998" s="3">
        <v>1496</v>
      </c>
      <c r="H13998" s="3">
        <v>56</v>
      </c>
      <c r="I13998" s="3">
        <v>582</v>
      </c>
      <c r="J13998" s="3">
        <v>204</v>
      </c>
      <c r="K13998" s="3">
        <v>1940</v>
      </c>
      <c r="L13998" s="3">
        <v>23</v>
      </c>
      <c r="M13998" s="3">
        <v>602</v>
      </c>
    </row>
    <row r="13999" spans="1:13" x14ac:dyDescent="0.25">
      <c r="A13999" s="1" t="str">
        <f>HYPERLINK("http://www.rosaceae.org/Prunus/Prunus_persica/p.persica_gdr_reftransV1_0015445","p.persica_gdr_reftransV1_0015445")</f>
        <v>p.persica_gdr_reftransV1_0015445</v>
      </c>
      <c r="B13999" s="3">
        <v>2613</v>
      </c>
      <c r="C13999" s="1" t="str">
        <f>HYPERLINK("http://www.uniprot.org/uniprot/HT1_ARATH","HT1_ARATH")</f>
        <v>HT1_ARATH</v>
      </c>
      <c r="D13999" t="s">
        <v>1169</v>
      </c>
      <c r="E13999" s="3" t="s">
        <v>3</v>
      </c>
      <c r="F13999" s="4">
        <v>6.2400000000000002E-30</v>
      </c>
      <c r="G13999" s="3">
        <v>319</v>
      </c>
      <c r="H13999" s="3">
        <v>33</v>
      </c>
      <c r="I13999" s="3">
        <v>211</v>
      </c>
      <c r="J13999" s="3">
        <v>486</v>
      </c>
      <c r="K13999" s="3">
        <v>1109</v>
      </c>
      <c r="L13999" s="3">
        <v>131</v>
      </c>
      <c r="M13999" s="3">
        <v>334</v>
      </c>
    </row>
    <row r="14000" spans="1:13" x14ac:dyDescent="0.25">
      <c r="A14000" s="1" t="str">
        <f>HYPERLINK("http://www.rosaceae.org/Prunus/Prunus_persica/p.persica_gdr_reftransV1_0015495","p.persica_gdr_reftransV1_0015495")</f>
        <v>p.persica_gdr_reftransV1_0015495</v>
      </c>
      <c r="B14000" s="3">
        <v>881</v>
      </c>
      <c r="C14000" s="1" t="str">
        <f>HYPERLINK("http://www.uniprot.org/uniprot/ATL72_ARATH","ATL72_ARATH")</f>
        <v>ATL72_ARATH</v>
      </c>
      <c r="D14000" t="s">
        <v>4153</v>
      </c>
      <c r="E14000" s="3" t="s">
        <v>3</v>
      </c>
      <c r="F14000" s="4">
        <v>2.2200000000000001E-42</v>
      </c>
      <c r="G14000" s="3">
        <v>377</v>
      </c>
      <c r="H14000" s="3">
        <v>63</v>
      </c>
      <c r="I14000" s="3">
        <v>152</v>
      </c>
      <c r="J14000" s="3">
        <v>420</v>
      </c>
      <c r="K14000" s="3">
        <v>845</v>
      </c>
      <c r="L14000" s="3">
        <v>13</v>
      </c>
      <c r="M14000" s="3">
        <v>164</v>
      </c>
    </row>
    <row r="14001" spans="1:13" x14ac:dyDescent="0.25">
      <c r="A14001" s="1" t="str">
        <f>HYPERLINK("http://www.rosaceae.org/Prunus/Prunus_persica/p.persica_gdr_reftransV1_0015595","p.persica_gdr_reftransV1_0015595")</f>
        <v>p.persica_gdr_reftransV1_0015595</v>
      </c>
      <c r="B14001" s="3">
        <v>1242</v>
      </c>
      <c r="C14001" s="1" t="str">
        <f>HYPERLINK("http://www.uniprot.org/uniprot/SFH8_ARATH","SFH8_ARATH")</f>
        <v>SFH8_ARATH</v>
      </c>
      <c r="D14001" t="s">
        <v>4020</v>
      </c>
      <c r="E14001" s="3" t="s">
        <v>3</v>
      </c>
      <c r="F14001" s="4">
        <v>2.06E-73</v>
      </c>
      <c r="G14001" s="3">
        <v>631</v>
      </c>
      <c r="H14001" s="3">
        <v>82</v>
      </c>
      <c r="I14001" s="3">
        <v>134</v>
      </c>
      <c r="J14001" s="3">
        <v>839</v>
      </c>
      <c r="K14001" s="3">
        <v>1240</v>
      </c>
      <c r="L14001" s="3">
        <v>113</v>
      </c>
      <c r="M14001" s="3">
        <v>246</v>
      </c>
    </row>
    <row r="14002" spans="1:13" x14ac:dyDescent="0.25">
      <c r="A14002" s="1" t="str">
        <f>HYPERLINK("http://www.rosaceae.org/Prunus/Prunus_persica/p.persica_gdr_reftransV1_0015695","p.persica_gdr_reftransV1_0015695")</f>
        <v>p.persica_gdr_reftransV1_0015695</v>
      </c>
      <c r="B14002" s="3">
        <v>3378</v>
      </c>
      <c r="C14002" s="1" t="str">
        <f>HYPERLINK("http://www.uniprot.org/uniprot/BGA10_ARATH","BGA10_ARATH")</f>
        <v>BGA10_ARATH</v>
      </c>
      <c r="D14002" t="s">
        <v>9281</v>
      </c>
      <c r="E14002" s="3" t="s">
        <v>3</v>
      </c>
      <c r="F14002" s="4">
        <v>0</v>
      </c>
      <c r="G14002" s="3">
        <v>2038</v>
      </c>
      <c r="H14002" s="3">
        <v>77</v>
      </c>
      <c r="I14002" s="3">
        <v>500</v>
      </c>
      <c r="J14002" s="3">
        <v>179</v>
      </c>
      <c r="K14002" s="3">
        <v>1678</v>
      </c>
      <c r="L14002" s="3">
        <v>29</v>
      </c>
      <c r="M14002" s="3">
        <v>520</v>
      </c>
    </row>
    <row r="14003" spans="1:13" x14ac:dyDescent="0.25">
      <c r="A14003" s="1" t="str">
        <f>HYPERLINK("http://www.rosaceae.org/Prunus/Prunus_persica/p.persica_gdr_reftransV1_0015745","p.persica_gdr_reftransV1_0015745")</f>
        <v>p.persica_gdr_reftransV1_0015745</v>
      </c>
      <c r="B14003" s="3">
        <v>2281</v>
      </c>
      <c r="C14003" s="1" t="str">
        <f>HYPERLINK("http://www.uniprot.org/uniprot/TLDC1_MOUSE","TLDC1_MOUSE")</f>
        <v>TLDC1_MOUSE</v>
      </c>
      <c r="D14003" t="s">
        <v>2745</v>
      </c>
      <c r="E14003" s="3" t="s">
        <v>157</v>
      </c>
      <c r="F14003" s="4">
        <v>1.6399999999999999E-24</v>
      </c>
      <c r="G14003" s="3">
        <v>277</v>
      </c>
      <c r="H14003" s="3">
        <v>36</v>
      </c>
      <c r="I14003" s="3">
        <v>171</v>
      </c>
      <c r="J14003" s="3">
        <v>1412</v>
      </c>
      <c r="K14003" s="3">
        <v>1915</v>
      </c>
      <c r="L14003" s="3">
        <v>287</v>
      </c>
      <c r="M14003" s="3">
        <v>453</v>
      </c>
    </row>
    <row r="14004" spans="1:13" x14ac:dyDescent="0.25">
      <c r="A14004" s="1" t="str">
        <f>HYPERLINK("http://www.rosaceae.org/Prunus/Prunus_persica/p.persica_gdr_reftransV1_0015795","p.persica_gdr_reftransV1_0015795")</f>
        <v>p.persica_gdr_reftransV1_0015795</v>
      </c>
      <c r="B14004" s="3">
        <v>1457</v>
      </c>
      <c r="C14004" s="1" t="str">
        <f>HYPERLINK("http://www.uniprot.org/uniprot/LBD38_ARATH","LBD38_ARATH")</f>
        <v>LBD38_ARATH</v>
      </c>
      <c r="D14004" t="s">
        <v>7444</v>
      </c>
      <c r="E14004" s="3" t="s">
        <v>3</v>
      </c>
      <c r="F14004" s="4">
        <v>9.8199999999999995E-78</v>
      </c>
      <c r="G14004" s="3">
        <v>637</v>
      </c>
      <c r="H14004" s="3">
        <v>58</v>
      </c>
      <c r="I14004" s="3">
        <v>259</v>
      </c>
      <c r="J14004" s="3">
        <v>184</v>
      </c>
      <c r="K14004" s="3">
        <v>939</v>
      </c>
      <c r="L14004" s="3">
        <v>1</v>
      </c>
      <c r="M14004" s="3">
        <v>246</v>
      </c>
    </row>
    <row r="14005" spans="1:13" x14ac:dyDescent="0.25">
      <c r="A14005" s="1" t="str">
        <f>HYPERLINK("http://www.rosaceae.org/Prunus/Prunus_persica/p.persica_gdr_reftransV1_0015945","p.persica_gdr_reftransV1_0015945")</f>
        <v>p.persica_gdr_reftransV1_0015945</v>
      </c>
      <c r="B14005" s="3">
        <v>1660</v>
      </c>
      <c r="C14005" s="1" t="str">
        <f>HYPERLINK("http://www.uniprot.org/uniprot/CB11_SOLLC","CB11_SOLLC")</f>
        <v>CB11_SOLLC</v>
      </c>
      <c r="D14005" t="s">
        <v>9282</v>
      </c>
      <c r="E14005" s="3" t="s">
        <v>64</v>
      </c>
      <c r="F14005" s="4">
        <v>1.6300000000000001E-144</v>
      </c>
      <c r="G14005" s="3">
        <v>1089</v>
      </c>
      <c r="H14005" s="3">
        <v>85</v>
      </c>
      <c r="I14005" s="3">
        <v>247</v>
      </c>
      <c r="J14005" s="3">
        <v>85</v>
      </c>
      <c r="K14005" s="3">
        <v>825</v>
      </c>
      <c r="L14005" s="3">
        <v>1</v>
      </c>
      <c r="M14005" s="3">
        <v>245</v>
      </c>
    </row>
    <row r="14006" spans="1:13" x14ac:dyDescent="0.25">
      <c r="A14006" s="1" t="str">
        <f>HYPERLINK("http://www.rosaceae.org/Prunus/Prunus_persica/p.persica_gdr_reftransV1_0016045","p.persica_gdr_reftransV1_0016045")</f>
        <v>p.persica_gdr_reftransV1_0016045</v>
      </c>
      <c r="B14006" s="3">
        <v>1721</v>
      </c>
      <c r="C14006" s="1" t="str">
        <f>HYPERLINK("http://www.uniprot.org/uniprot/GCL1_ARATH","GCL1_ARATH")</f>
        <v>GCL1_ARATH</v>
      </c>
      <c r="D14006" t="s">
        <v>9283</v>
      </c>
      <c r="E14006" s="3" t="s">
        <v>3</v>
      </c>
      <c r="F14006" s="4">
        <v>0</v>
      </c>
      <c r="G14006" s="3">
        <v>1466</v>
      </c>
      <c r="H14006" s="3">
        <v>67</v>
      </c>
      <c r="I14006" s="3">
        <v>413</v>
      </c>
      <c r="J14006" s="3">
        <v>385</v>
      </c>
      <c r="K14006" s="3">
        <v>1617</v>
      </c>
      <c r="L14006" s="3">
        <v>23</v>
      </c>
      <c r="M14006" s="3">
        <v>433</v>
      </c>
    </row>
    <row r="14007" spans="1:13" x14ac:dyDescent="0.25">
      <c r="A14007" s="1" t="str">
        <f>HYPERLINK("http://www.rosaceae.org/Prunus/Prunus_persica/p.persica_gdr_reftransV1_0016245","p.persica_gdr_reftransV1_0016245")</f>
        <v>p.persica_gdr_reftransV1_0016245</v>
      </c>
      <c r="B14007" s="3">
        <v>1637</v>
      </c>
      <c r="C14007" s="1" t="str">
        <f>HYPERLINK("http://www.uniprot.org/uniprot/Y4844_ARATH","Y4844_ARATH")</f>
        <v>Y4844_ARATH</v>
      </c>
      <c r="D14007" t="s">
        <v>3914</v>
      </c>
      <c r="E14007" s="3" t="s">
        <v>3</v>
      </c>
      <c r="F14007" s="4">
        <v>4.4999999999999996E-50</v>
      </c>
      <c r="G14007" s="3">
        <v>443</v>
      </c>
      <c r="H14007" s="3">
        <v>63</v>
      </c>
      <c r="I14007" s="3">
        <v>132</v>
      </c>
      <c r="J14007" s="3">
        <v>749</v>
      </c>
      <c r="K14007" s="3">
        <v>1126</v>
      </c>
      <c r="L14007" s="3">
        <v>18</v>
      </c>
      <c r="M14007" s="3">
        <v>149</v>
      </c>
    </row>
    <row r="14008" spans="1:13" x14ac:dyDescent="0.25">
      <c r="A14008" s="1" t="str">
        <f>HYPERLINK("http://www.rosaceae.org/Prunus/Prunus_persica/p.persica_gdr_reftransV1_0016295","p.persica_gdr_reftransV1_0016295")</f>
        <v>p.persica_gdr_reftransV1_0016295</v>
      </c>
      <c r="B14008" s="3">
        <v>1688</v>
      </c>
      <c r="C14008" s="1" t="str">
        <f>HYPERLINK("http://www.uniprot.org/uniprot/P2C63_ARATH","P2C63_ARATH")</f>
        <v>P2C63_ARATH</v>
      </c>
      <c r="D14008" t="s">
        <v>2974</v>
      </c>
      <c r="E14008" s="3" t="s">
        <v>3</v>
      </c>
      <c r="F14008" s="4">
        <v>2.1000000000000001E-171</v>
      </c>
      <c r="G14008" s="3">
        <v>1281</v>
      </c>
      <c r="H14008" s="3">
        <v>69</v>
      </c>
      <c r="I14008" s="3">
        <v>374</v>
      </c>
      <c r="J14008" s="3">
        <v>349</v>
      </c>
      <c r="K14008" s="3">
        <v>1458</v>
      </c>
      <c r="L14008" s="3">
        <v>1</v>
      </c>
      <c r="M14008" s="3">
        <v>371</v>
      </c>
    </row>
    <row r="14009" spans="1:13" x14ac:dyDescent="0.25">
      <c r="A14009" s="1" t="str">
        <f>HYPERLINK("http://www.rosaceae.org/Prunus/Prunus_persica/p.persica_gdr_reftransV1_0016345","p.persica_gdr_reftransV1_0016345")</f>
        <v>p.persica_gdr_reftransV1_0016345</v>
      </c>
      <c r="B14009" s="3">
        <v>3579</v>
      </c>
      <c r="C14009" s="1" t="str">
        <f>HYPERLINK("http://www.uniprot.org/uniprot/ATHB8_ARATH","ATHB8_ARATH")</f>
        <v>ATHB8_ARATH</v>
      </c>
      <c r="D14009" t="s">
        <v>9284</v>
      </c>
      <c r="E14009" s="3" t="s">
        <v>3</v>
      </c>
      <c r="F14009" s="4">
        <v>0</v>
      </c>
      <c r="G14009" s="3">
        <v>3236</v>
      </c>
      <c r="H14009" s="3">
        <v>83</v>
      </c>
      <c r="I14009" s="3">
        <v>729</v>
      </c>
      <c r="J14009" s="3">
        <v>829</v>
      </c>
      <c r="K14009" s="3">
        <v>3006</v>
      </c>
      <c r="L14009" s="3">
        <v>11</v>
      </c>
      <c r="M14009" s="3">
        <v>733</v>
      </c>
    </row>
    <row r="14010" spans="1:13" x14ac:dyDescent="0.25">
      <c r="A14010" s="1" t="str">
        <f>HYPERLINK("http://www.rosaceae.org/Prunus/Prunus_persica/p.persica_gdr_reftransV1_0016695","p.persica_gdr_reftransV1_0016695")</f>
        <v>p.persica_gdr_reftransV1_0016695</v>
      </c>
      <c r="B14010" s="3">
        <v>1975</v>
      </c>
      <c r="C14010" s="1" t="str">
        <f>HYPERLINK("http://www.uniprot.org/uniprot/AAED1_ARATH","AAED1_ARATH")</f>
        <v>AAED1_ARATH</v>
      </c>
      <c r="D14010" t="s">
        <v>6385</v>
      </c>
      <c r="E14010" s="3" t="s">
        <v>3</v>
      </c>
      <c r="F14010" s="4">
        <v>4.5200000000000002E-21</v>
      </c>
      <c r="G14010" s="3">
        <v>242</v>
      </c>
      <c r="H14010" s="3">
        <v>31</v>
      </c>
      <c r="I14010" s="3">
        <v>232</v>
      </c>
      <c r="J14010" s="3">
        <v>196</v>
      </c>
      <c r="K14010" s="3">
        <v>882</v>
      </c>
      <c r="L14010" s="3">
        <v>31</v>
      </c>
      <c r="M14010" s="3">
        <v>247</v>
      </c>
    </row>
    <row r="14011" spans="1:13" x14ac:dyDescent="0.25">
      <c r="A14011" s="1" t="str">
        <f>HYPERLINK("http://www.rosaceae.org/Prunus/Prunus_persica/p.persica_gdr_reftransV1_0016745","p.persica_gdr_reftransV1_0016745")</f>
        <v>p.persica_gdr_reftransV1_0016745</v>
      </c>
      <c r="B14011" s="3">
        <v>1291</v>
      </c>
      <c r="C14011" s="1" t="str">
        <f>HYPERLINK("http://www.uniprot.org/uniprot/FABZ_THEEB","FABZ_THEEB")</f>
        <v>FABZ_THEEB</v>
      </c>
      <c r="D14011" t="s">
        <v>8939</v>
      </c>
      <c r="E14011" s="3" t="s">
        <v>5446</v>
      </c>
      <c r="F14011" s="4">
        <v>8.7900000000000003E-47</v>
      </c>
      <c r="G14011" s="3">
        <v>414</v>
      </c>
      <c r="H14011" s="3">
        <v>55</v>
      </c>
      <c r="I14011" s="3">
        <v>143</v>
      </c>
      <c r="J14011" s="3">
        <v>486</v>
      </c>
      <c r="K14011" s="3">
        <v>911</v>
      </c>
      <c r="L14011" s="3">
        <v>11</v>
      </c>
      <c r="M14011" s="3">
        <v>150</v>
      </c>
    </row>
    <row r="14012" spans="1:13" x14ac:dyDescent="0.25">
      <c r="A14012" s="1" t="str">
        <f>HYPERLINK("http://www.rosaceae.org/Prunus/Prunus_persica/p.persica_gdr_reftransV1_0016795","p.persica_gdr_reftransV1_0016795")</f>
        <v>p.persica_gdr_reftransV1_0016795</v>
      </c>
      <c r="B14012" s="3">
        <v>848</v>
      </c>
      <c r="C14012" s="1" t="str">
        <f>HYPERLINK("http://www.uniprot.org/uniprot/AT21B_ARATH","AT21B_ARATH")</f>
        <v>AT21B_ARATH</v>
      </c>
      <c r="D14012" t="s">
        <v>9285</v>
      </c>
      <c r="E14012" s="3" t="s">
        <v>3</v>
      </c>
      <c r="F14012" s="4">
        <v>1.4300000000000001E-34</v>
      </c>
      <c r="G14012" s="3">
        <v>335</v>
      </c>
      <c r="H14012" s="3">
        <v>36</v>
      </c>
      <c r="I14012" s="3">
        <v>286</v>
      </c>
      <c r="J14012" s="3">
        <v>2</v>
      </c>
      <c r="K14012" s="3">
        <v>844</v>
      </c>
      <c r="L14012" s="3">
        <v>64</v>
      </c>
      <c r="M14012" s="3">
        <v>334</v>
      </c>
    </row>
    <row r="14013" spans="1:13" x14ac:dyDescent="0.25">
      <c r="A14013" s="1" t="str">
        <f>HYPERLINK("http://www.rosaceae.org/Prunus/Prunus_persica/p.persica_gdr_reftransV1_0017045","p.persica_gdr_reftransV1_0017045")</f>
        <v>p.persica_gdr_reftransV1_0017045</v>
      </c>
      <c r="B14013" s="3">
        <v>2295</v>
      </c>
      <c r="C14013" s="1" t="str">
        <f>HYPERLINK("http://www.uniprot.org/uniprot/FUT1_PEA","FUT1_PEA")</f>
        <v>FUT1_PEA</v>
      </c>
      <c r="D14013" t="s">
        <v>8451</v>
      </c>
      <c r="E14013" s="3" t="s">
        <v>60</v>
      </c>
      <c r="F14013" s="4">
        <v>0</v>
      </c>
      <c r="G14013" s="3">
        <v>1947</v>
      </c>
      <c r="H14013" s="3">
        <v>71</v>
      </c>
      <c r="I14013" s="3">
        <v>550</v>
      </c>
      <c r="J14013" s="3">
        <v>359</v>
      </c>
      <c r="K14013" s="3">
        <v>2008</v>
      </c>
      <c r="L14013" s="3">
        <v>26</v>
      </c>
      <c r="M14013" s="3">
        <v>565</v>
      </c>
    </row>
    <row r="14014" spans="1:13" x14ac:dyDescent="0.25">
      <c r="A14014" s="1" t="str">
        <f>HYPERLINK("http://www.rosaceae.org/Prunus/Prunus_persica/p.persica_gdr_reftransV1_0017145","p.persica_gdr_reftransV1_0017145")</f>
        <v>p.persica_gdr_reftransV1_0017145</v>
      </c>
      <c r="B14014" s="3">
        <v>2506</v>
      </c>
      <c r="C14014" s="1" t="str">
        <f>HYPERLINK("http://www.uniprot.org/uniprot/DIV_ANTMA","DIV_ANTMA")</f>
        <v>DIV_ANTMA</v>
      </c>
      <c r="D14014" t="s">
        <v>4460</v>
      </c>
      <c r="E14014" s="3" t="s">
        <v>1408</v>
      </c>
      <c r="F14014" s="4">
        <v>8.7000000000000005E-23</v>
      </c>
      <c r="G14014" s="3">
        <v>259</v>
      </c>
      <c r="H14014" s="3">
        <v>67</v>
      </c>
      <c r="I14014" s="3">
        <v>72</v>
      </c>
      <c r="J14014" s="3">
        <v>541</v>
      </c>
      <c r="K14014" s="3">
        <v>756</v>
      </c>
      <c r="L14014" s="3">
        <v>140</v>
      </c>
      <c r="M14014" s="3">
        <v>211</v>
      </c>
    </row>
    <row r="14015" spans="1:13" x14ac:dyDescent="0.25">
      <c r="A14015" s="1" t="str">
        <f>HYPERLINK("http://www.rosaceae.org/Prunus/Prunus_persica/p.persica_gdr_reftransV1_0017245","p.persica_gdr_reftransV1_0017245")</f>
        <v>p.persica_gdr_reftransV1_0017245</v>
      </c>
      <c r="B14015" s="3">
        <v>3190</v>
      </c>
      <c r="C14015" s="1" t="str">
        <f>HYPERLINK("http://www.uniprot.org/uniprot/MUTS2_SYNY3","MUTS2_SYNY3")</f>
        <v>MUTS2_SYNY3</v>
      </c>
      <c r="D14015" t="s">
        <v>9286</v>
      </c>
      <c r="E14015" s="3" t="s">
        <v>527</v>
      </c>
      <c r="F14015" s="4">
        <v>2.2399999999999999E-89</v>
      </c>
      <c r="G14015" s="3">
        <v>790</v>
      </c>
      <c r="H14015" s="3">
        <v>31</v>
      </c>
      <c r="I14015" s="3">
        <v>798</v>
      </c>
      <c r="J14015" s="3">
        <v>203</v>
      </c>
      <c r="K14015" s="3">
        <v>2518</v>
      </c>
      <c r="L14015" s="3">
        <v>121</v>
      </c>
      <c r="M14015" s="3">
        <v>822</v>
      </c>
    </row>
    <row r="14016" spans="1:13" x14ac:dyDescent="0.25">
      <c r="A14016" s="1" t="str">
        <f>HYPERLINK("http://www.rosaceae.org/Prunus/Prunus_persica/p.persica_gdr_reftransV1_0017595","p.persica_gdr_reftransV1_0017595")</f>
        <v>p.persica_gdr_reftransV1_0017595</v>
      </c>
      <c r="B14016" s="3">
        <v>1980</v>
      </c>
      <c r="C14016" s="1" t="str">
        <f>HYPERLINK("http://www.uniprot.org/uniprot/MOT2_ARATH","MOT2_ARATH")</f>
        <v>MOT2_ARATH</v>
      </c>
      <c r="D14016" t="s">
        <v>9287</v>
      </c>
      <c r="E14016" s="3" t="s">
        <v>3</v>
      </c>
      <c r="F14016" s="4">
        <v>4.7400000000000001E-175</v>
      </c>
      <c r="G14016" s="3">
        <v>1323</v>
      </c>
      <c r="H14016" s="3">
        <v>73</v>
      </c>
      <c r="I14016" s="3">
        <v>410</v>
      </c>
      <c r="J14016" s="3">
        <v>477</v>
      </c>
      <c r="K14016" s="3">
        <v>1694</v>
      </c>
      <c r="L14016" s="3">
        <v>13</v>
      </c>
      <c r="M14016" s="3">
        <v>420</v>
      </c>
    </row>
    <row r="14017" spans="1:13" x14ac:dyDescent="0.25">
      <c r="A14017" s="1" t="str">
        <f>HYPERLINK("http://www.rosaceae.org/Prunus/Prunus_persica/p.persica_gdr_reftransV1_0017695","p.persica_gdr_reftransV1_0017695")</f>
        <v>p.persica_gdr_reftransV1_0017695</v>
      </c>
      <c r="B14017" s="3">
        <v>3199</v>
      </c>
      <c r="C14017" s="1" t="str">
        <f>HYPERLINK("http://www.uniprot.org/uniprot/ACCR1_ARATH","ACCR1_ARATH")</f>
        <v>ACCR1_ARATH</v>
      </c>
      <c r="D14017" t="s">
        <v>9288</v>
      </c>
      <c r="E14017" s="3" t="s">
        <v>3</v>
      </c>
      <c r="F14017" s="4">
        <v>0</v>
      </c>
      <c r="G14017" s="3">
        <v>2470</v>
      </c>
      <c r="H14017" s="3">
        <v>65</v>
      </c>
      <c r="I14017" s="3">
        <v>760</v>
      </c>
      <c r="J14017" s="3">
        <v>337</v>
      </c>
      <c r="K14017" s="3">
        <v>2577</v>
      </c>
      <c r="L14017" s="3">
        <v>22</v>
      </c>
      <c r="M14017" s="3">
        <v>775</v>
      </c>
    </row>
    <row r="14018" spans="1:13" x14ac:dyDescent="0.25">
      <c r="A14018" s="1" t="str">
        <f>HYPERLINK("http://www.rosaceae.org/Prunus/Prunus_persica/p.persica_gdr_reftransV1_0017895","p.persica_gdr_reftransV1_0017895")</f>
        <v>p.persica_gdr_reftransV1_0017895</v>
      </c>
      <c r="B14018" s="3">
        <v>1975</v>
      </c>
      <c r="C14018" s="1" t="str">
        <f>HYPERLINK("http://www.uniprot.org/uniprot/EF113_ARATH","EF113_ARATH")</f>
        <v>EF113_ARATH</v>
      </c>
      <c r="D14018" t="s">
        <v>9289</v>
      </c>
      <c r="E14018" s="3" t="s">
        <v>3</v>
      </c>
      <c r="F14018" s="4">
        <v>6.3000000000000002E-23</v>
      </c>
      <c r="G14018" s="3">
        <v>254</v>
      </c>
      <c r="H14018" s="3">
        <v>47</v>
      </c>
      <c r="I14018" s="3">
        <v>153</v>
      </c>
      <c r="J14018" s="3">
        <v>1049</v>
      </c>
      <c r="K14018" s="3">
        <v>1453</v>
      </c>
      <c r="L14018" s="3">
        <v>46</v>
      </c>
      <c r="M14018" s="3">
        <v>166</v>
      </c>
    </row>
    <row r="14019" spans="1:13" x14ac:dyDescent="0.25">
      <c r="A14019" s="1" t="str">
        <f>HYPERLINK("http://www.rosaceae.org/Prunus/Prunus_persica/p.persica_gdr_reftransV1_0018195","p.persica_gdr_reftransV1_0018195")</f>
        <v>p.persica_gdr_reftransV1_0018195</v>
      </c>
      <c r="B14019" s="3">
        <v>1609</v>
      </c>
      <c r="C14019" s="1" t="str">
        <f>HYPERLINK("http://www.uniprot.org/uniprot/CAMT3_ARATH","CAMT3_ARATH")</f>
        <v>CAMT3_ARATH</v>
      </c>
      <c r="D14019" t="s">
        <v>2685</v>
      </c>
      <c r="E14019" s="3" t="s">
        <v>3</v>
      </c>
      <c r="F14019" s="4">
        <v>1.04E-115</v>
      </c>
      <c r="G14019" s="3">
        <v>894</v>
      </c>
      <c r="H14019" s="3">
        <v>73</v>
      </c>
      <c r="I14019" s="3">
        <v>226</v>
      </c>
      <c r="J14019" s="3">
        <v>778</v>
      </c>
      <c r="K14019" s="3">
        <v>1455</v>
      </c>
      <c r="L14019" s="3">
        <v>7</v>
      </c>
      <c r="M14019" s="3">
        <v>231</v>
      </c>
    </row>
    <row r="14020" spans="1:13" x14ac:dyDescent="0.25">
      <c r="A14020" s="1" t="str">
        <f>HYPERLINK("http://www.rosaceae.org/Prunus/Prunus_persica/p.persica_gdr_reftransV1_0018245","p.persica_gdr_reftransV1_0018245")</f>
        <v>p.persica_gdr_reftransV1_0018245</v>
      </c>
      <c r="B14020" s="3">
        <v>1558</v>
      </c>
      <c r="C14020" s="1" t="str">
        <f>HYPERLINK("http://www.uniprot.org/uniprot/DPH7_DICDI","DPH7_DICDI")</f>
        <v>DPH7_DICDI</v>
      </c>
      <c r="D14020" t="s">
        <v>9290</v>
      </c>
      <c r="E14020" s="3" t="s">
        <v>9</v>
      </c>
      <c r="F14020" s="4">
        <v>3.5599999999999999E-53</v>
      </c>
      <c r="G14020" s="3">
        <v>481</v>
      </c>
      <c r="H14020" s="3">
        <v>32</v>
      </c>
      <c r="I14020" s="3">
        <v>372</v>
      </c>
      <c r="J14020" s="3">
        <v>249</v>
      </c>
      <c r="K14020" s="3">
        <v>1247</v>
      </c>
      <c r="L14020" s="3">
        <v>11</v>
      </c>
      <c r="M14020" s="3">
        <v>367</v>
      </c>
    </row>
    <row r="14021" spans="1:13" x14ac:dyDescent="0.25">
      <c r="A14021" s="1" t="str">
        <f>HYPERLINK("http://www.rosaceae.org/Prunus/Prunus_persica/p.persica_gdr_reftransV1_0018495","p.persica_gdr_reftransV1_0018495")</f>
        <v>p.persica_gdr_reftransV1_0018495</v>
      </c>
      <c r="B14021" s="3">
        <v>847</v>
      </c>
      <c r="C14021" s="1" t="str">
        <f>HYPERLINK("http://www.uniprot.org/uniprot/DJB12_MOUSE","DJB12_MOUSE")</f>
        <v>DJB12_MOUSE</v>
      </c>
      <c r="D14021" t="s">
        <v>7332</v>
      </c>
      <c r="E14021" s="3" t="s">
        <v>157</v>
      </c>
      <c r="F14021" s="4">
        <v>9.1599999999999996E-14</v>
      </c>
      <c r="G14021" s="3">
        <v>180</v>
      </c>
      <c r="H14021" s="3">
        <v>33</v>
      </c>
      <c r="I14021" s="3">
        <v>172</v>
      </c>
      <c r="J14021" s="3">
        <v>313</v>
      </c>
      <c r="K14021" s="3">
        <v>696</v>
      </c>
      <c r="L14021" s="3">
        <v>1</v>
      </c>
      <c r="M14021" s="3">
        <v>172</v>
      </c>
    </row>
    <row r="14022" spans="1:13" x14ac:dyDescent="0.25">
      <c r="A14022" s="1" t="str">
        <f>HYPERLINK("http://www.rosaceae.org/Prunus/Prunus_persica/p.persica_gdr_reftransV1_0018645","p.persica_gdr_reftransV1_0018645")</f>
        <v>p.persica_gdr_reftransV1_0018645</v>
      </c>
      <c r="B14022" s="3">
        <v>2511</v>
      </c>
      <c r="C14022" s="1" t="str">
        <f>HYPERLINK("http://www.uniprot.org/uniprot/UAF30_SCHPO","UAF30_SCHPO")</f>
        <v>UAF30_SCHPO</v>
      </c>
      <c r="D14022" t="s">
        <v>2138</v>
      </c>
      <c r="E14022" s="3" t="s">
        <v>464</v>
      </c>
      <c r="F14022" s="4">
        <v>7.3200000000000006E-15</v>
      </c>
      <c r="G14022" s="3">
        <v>194</v>
      </c>
      <c r="H14022" s="3">
        <v>45</v>
      </c>
      <c r="I14022" s="3">
        <v>91</v>
      </c>
      <c r="J14022" s="3">
        <v>1564</v>
      </c>
      <c r="K14022" s="3">
        <v>1827</v>
      </c>
      <c r="L14022" s="3">
        <v>97</v>
      </c>
      <c r="M14022" s="3">
        <v>187</v>
      </c>
    </row>
    <row r="14023" spans="1:13" x14ac:dyDescent="0.25">
      <c r="A14023" s="1" t="str">
        <f>HYPERLINK("http://www.rosaceae.org/Prunus/Prunus_persica/p.persica_gdr_reftransV1_0018795","p.persica_gdr_reftransV1_0018795")</f>
        <v>p.persica_gdr_reftransV1_0018795</v>
      </c>
      <c r="B14023" s="3">
        <v>2083</v>
      </c>
      <c r="C14023" s="1" t="str">
        <f>HYPERLINK("http://www.uniprot.org/uniprot/MMSA_ARATH","MMSA_ARATH")</f>
        <v>MMSA_ARATH</v>
      </c>
      <c r="D14023" t="s">
        <v>4189</v>
      </c>
      <c r="E14023" s="3" t="s">
        <v>3</v>
      </c>
      <c r="F14023" s="4">
        <v>3.01E-93</v>
      </c>
      <c r="G14023" s="3">
        <v>788</v>
      </c>
      <c r="H14023" s="3">
        <v>64</v>
      </c>
      <c r="I14023" s="3">
        <v>242</v>
      </c>
      <c r="J14023" s="3">
        <v>1356</v>
      </c>
      <c r="K14023" s="3">
        <v>2081</v>
      </c>
      <c r="L14023" s="3">
        <v>373</v>
      </c>
      <c r="M14023" s="3">
        <v>592</v>
      </c>
    </row>
    <row r="14024" spans="1:13" x14ac:dyDescent="0.25">
      <c r="A14024" s="1" t="str">
        <f>HYPERLINK("http://www.rosaceae.org/Prunus/Prunus_persica/p.persica_gdr_reftransV1_0018845","p.persica_gdr_reftransV1_0018845")</f>
        <v>p.persica_gdr_reftransV1_0018845</v>
      </c>
      <c r="B14024" s="3">
        <v>2476</v>
      </c>
      <c r="C14024" s="1" t="str">
        <f>HYPERLINK("http://www.uniprot.org/uniprot/Y103_SYNY3","Y103_SYNY3")</f>
        <v>Y103_SYNY3</v>
      </c>
      <c r="D14024" t="s">
        <v>5292</v>
      </c>
      <c r="E14024" s="3" t="s">
        <v>527</v>
      </c>
      <c r="F14024" s="4">
        <v>1.87E-15</v>
      </c>
      <c r="G14024" s="3">
        <v>204</v>
      </c>
      <c r="H14024" s="3">
        <v>34</v>
      </c>
      <c r="I14024" s="3">
        <v>184</v>
      </c>
      <c r="J14024" s="3">
        <v>757</v>
      </c>
      <c r="K14024" s="3">
        <v>1299</v>
      </c>
      <c r="L14024" s="3">
        <v>33</v>
      </c>
      <c r="M14024" s="3">
        <v>200</v>
      </c>
    </row>
    <row r="14025" spans="1:13" x14ac:dyDescent="0.25">
      <c r="A14025" s="1" t="str">
        <f>HYPERLINK("http://www.rosaceae.org/Prunus/Prunus_persica/p.persica_gdr_reftransV1_0018995","p.persica_gdr_reftransV1_0018995")</f>
        <v>p.persica_gdr_reftransV1_0018995</v>
      </c>
      <c r="B14025" s="3">
        <v>2679</v>
      </c>
      <c r="C14025" s="1" t="str">
        <f>HYPERLINK("http://www.uniprot.org/uniprot/ENDO1_ARATH","ENDO1_ARATH")</f>
        <v>ENDO1_ARATH</v>
      </c>
      <c r="D14025" t="s">
        <v>9291</v>
      </c>
      <c r="E14025" s="3" t="s">
        <v>3</v>
      </c>
      <c r="F14025" s="4">
        <v>8.2099999999999998E-139</v>
      </c>
      <c r="G14025" s="3">
        <v>1085</v>
      </c>
      <c r="H14025" s="3">
        <v>72</v>
      </c>
      <c r="I14025" s="3">
        <v>278</v>
      </c>
      <c r="J14025" s="3">
        <v>590</v>
      </c>
      <c r="K14025" s="3">
        <v>1423</v>
      </c>
      <c r="L14025" s="3">
        <v>23</v>
      </c>
      <c r="M14025" s="3">
        <v>300</v>
      </c>
    </row>
    <row r="14026" spans="1:13" x14ac:dyDescent="0.25">
      <c r="A14026" s="1" t="str">
        <f>HYPERLINK("http://www.rosaceae.org/Prunus/Prunus_persica/p.persica_gdr_reftransV1_0019045","p.persica_gdr_reftransV1_0019045")</f>
        <v>p.persica_gdr_reftransV1_0019045</v>
      </c>
      <c r="B14026" s="3">
        <v>893</v>
      </c>
      <c r="C14026" s="1" t="str">
        <f>HYPERLINK("http://www.uniprot.org/uniprot/TRA1_DICDI","TRA1_DICDI")</f>
        <v>TRA1_DICDI</v>
      </c>
      <c r="D14026" t="s">
        <v>9292</v>
      </c>
      <c r="E14026" s="3" t="s">
        <v>9</v>
      </c>
      <c r="F14026" s="4">
        <v>7.6199999999999998E-33</v>
      </c>
      <c r="G14026" s="3">
        <v>337</v>
      </c>
      <c r="H14026" s="3">
        <v>46</v>
      </c>
      <c r="I14026" s="3">
        <v>155</v>
      </c>
      <c r="J14026" s="3">
        <v>53</v>
      </c>
      <c r="K14026" s="3">
        <v>511</v>
      </c>
      <c r="L14026" s="3">
        <v>52</v>
      </c>
      <c r="M14026" s="3">
        <v>204</v>
      </c>
    </row>
    <row r="14027" spans="1:13" x14ac:dyDescent="0.25">
      <c r="A14027" s="1" t="str">
        <f>HYPERLINK("http://www.rosaceae.org/Prunus/Prunus_persica/p.persica_gdr_reftransV1_0019095","p.persica_gdr_reftransV1_0019095")</f>
        <v>p.persica_gdr_reftransV1_0019095</v>
      </c>
      <c r="B14027" s="3">
        <v>3066</v>
      </c>
      <c r="C14027" s="1" t="str">
        <f>HYPERLINK("http://www.uniprot.org/uniprot/FZL_ARATH","FZL_ARATH")</f>
        <v>FZL_ARATH</v>
      </c>
      <c r="D14027" t="s">
        <v>9293</v>
      </c>
      <c r="E14027" s="3" t="s">
        <v>3</v>
      </c>
      <c r="F14027" s="4">
        <v>0</v>
      </c>
      <c r="G14027" s="3">
        <v>2371</v>
      </c>
      <c r="H14027" s="3">
        <v>59</v>
      </c>
      <c r="I14027" s="3">
        <v>892</v>
      </c>
      <c r="J14027" s="3">
        <v>201</v>
      </c>
      <c r="K14027" s="3">
        <v>2858</v>
      </c>
      <c r="L14027" s="3">
        <v>36</v>
      </c>
      <c r="M14027" s="3">
        <v>906</v>
      </c>
    </row>
    <row r="14028" spans="1:13" x14ac:dyDescent="0.25">
      <c r="A14028" s="1" t="str">
        <f>HYPERLINK("http://www.rosaceae.org/Prunus/Prunus_persica/p.persica_gdr_reftransV1_0019245","p.persica_gdr_reftransV1_0019245")</f>
        <v>p.persica_gdr_reftransV1_0019245</v>
      </c>
      <c r="B14028" s="3">
        <v>2059</v>
      </c>
      <c r="C14028" s="1" t="str">
        <f>HYPERLINK("http://www.uniprot.org/uniprot/GTE1_ARATH","GTE1_ARATH")</f>
        <v>GTE1_ARATH</v>
      </c>
      <c r="D14028" t="s">
        <v>4838</v>
      </c>
      <c r="E14028" s="3" t="s">
        <v>3</v>
      </c>
      <c r="F14028" s="4">
        <v>1.13E-64</v>
      </c>
      <c r="G14028" s="3">
        <v>572</v>
      </c>
      <c r="H14028" s="3">
        <v>55</v>
      </c>
      <c r="I14028" s="3">
        <v>273</v>
      </c>
      <c r="J14028" s="3">
        <v>1171</v>
      </c>
      <c r="K14028" s="3">
        <v>1959</v>
      </c>
      <c r="L14028" s="3">
        <v>2</v>
      </c>
      <c r="M14028" s="3">
        <v>271</v>
      </c>
    </row>
    <row r="14029" spans="1:13" x14ac:dyDescent="0.25">
      <c r="A14029" s="1" t="str">
        <f>HYPERLINK("http://www.rosaceae.org/Prunus/Prunus_persica/p.persica_gdr_reftransV1_0019845","p.persica_gdr_reftransV1_0019845")</f>
        <v>p.persica_gdr_reftransV1_0019845</v>
      </c>
      <c r="B14029" s="3">
        <v>1990</v>
      </c>
      <c r="C14029" s="1" t="str">
        <f>HYPERLINK("http://www.uniprot.org/uniprot/APH1_ARATH","APH1_ARATH")</f>
        <v>APH1_ARATH</v>
      </c>
      <c r="D14029" t="s">
        <v>9294</v>
      </c>
      <c r="E14029" s="3" t="s">
        <v>3</v>
      </c>
      <c r="F14029" s="4">
        <v>3.1999999999999999E-47</v>
      </c>
      <c r="G14029" s="3">
        <v>435</v>
      </c>
      <c r="H14029" s="3">
        <v>74</v>
      </c>
      <c r="I14029" s="3">
        <v>118</v>
      </c>
      <c r="J14029" s="3">
        <v>1145</v>
      </c>
      <c r="K14029" s="3">
        <v>1498</v>
      </c>
      <c r="L14029" s="3">
        <v>131</v>
      </c>
      <c r="M14029" s="3">
        <v>248</v>
      </c>
    </row>
    <row r="14030" spans="1:13" x14ac:dyDescent="0.25">
      <c r="A14030" s="1" t="str">
        <f>HYPERLINK("http://www.rosaceae.org/Prunus/Prunus_persica/p.persica_gdr_reftransV1_0019995","p.persica_gdr_reftransV1_0019995")</f>
        <v>p.persica_gdr_reftransV1_0019995</v>
      </c>
      <c r="B14030" s="3">
        <v>1032</v>
      </c>
      <c r="C14030" s="1" t="str">
        <f>HYPERLINK("http://www.uniprot.org/uniprot/DCL_SOLLC","DCL_SOLLC")</f>
        <v>DCL_SOLLC</v>
      </c>
      <c r="D14030" t="s">
        <v>4312</v>
      </c>
      <c r="E14030" s="3" t="s">
        <v>64</v>
      </c>
      <c r="F14030" s="4">
        <v>2.2099999999999999E-31</v>
      </c>
      <c r="G14030" s="3">
        <v>308</v>
      </c>
      <c r="H14030" s="3">
        <v>47</v>
      </c>
      <c r="I14030" s="3">
        <v>118</v>
      </c>
      <c r="J14030" s="3">
        <v>343</v>
      </c>
      <c r="K14030" s="3">
        <v>696</v>
      </c>
      <c r="L14030" s="3">
        <v>102</v>
      </c>
      <c r="M14030" s="3">
        <v>219</v>
      </c>
    </row>
    <row r="14031" spans="1:13" x14ac:dyDescent="0.25">
      <c r="A14031" s="1" t="str">
        <f>HYPERLINK("http://www.rosaceae.org/Prunus/Prunus_persica/p.persica_gdr_reftransV1_0020195","p.persica_gdr_reftransV1_0020195")</f>
        <v>p.persica_gdr_reftransV1_0020195</v>
      </c>
      <c r="B14031" s="3">
        <v>947</v>
      </c>
      <c r="C14031" s="1" t="str">
        <f>HYPERLINK("http://www.uniprot.org/uniprot/WRK22_ARATH","WRK22_ARATH")</f>
        <v>WRK22_ARATH</v>
      </c>
      <c r="D14031" t="s">
        <v>7060</v>
      </c>
      <c r="E14031" s="3" t="s">
        <v>3</v>
      </c>
      <c r="F14031" s="4">
        <v>2.5400000000000001E-42</v>
      </c>
      <c r="G14031" s="3">
        <v>388</v>
      </c>
      <c r="H14031" s="3">
        <v>55</v>
      </c>
      <c r="I14031" s="3">
        <v>159</v>
      </c>
      <c r="J14031" s="3">
        <v>128</v>
      </c>
      <c r="K14031" s="3">
        <v>598</v>
      </c>
      <c r="L14031" s="3">
        <v>148</v>
      </c>
      <c r="M14031" s="3">
        <v>298</v>
      </c>
    </row>
    <row r="14032" spans="1:13" x14ac:dyDescent="0.25">
      <c r="A14032" s="1" t="str">
        <f>HYPERLINK("http://www.rosaceae.org/Prunus/Prunus_persica/p.persica_gdr_reftransV1_0020295","p.persica_gdr_reftransV1_0020295")</f>
        <v>p.persica_gdr_reftransV1_0020295</v>
      </c>
      <c r="B14032" s="3">
        <v>718</v>
      </c>
      <c r="C14032" s="1" t="str">
        <f>HYPERLINK("http://www.uniprot.org/uniprot/TFB1C_ARATH","TFB1C_ARATH")</f>
        <v>TFB1C_ARATH</v>
      </c>
      <c r="D14032" t="s">
        <v>6800</v>
      </c>
      <c r="E14032" s="3" t="s">
        <v>3</v>
      </c>
      <c r="F14032" s="4">
        <v>1.7799999999999999E-56</v>
      </c>
      <c r="G14032" s="3">
        <v>494</v>
      </c>
      <c r="H14032" s="3">
        <v>47</v>
      </c>
      <c r="I14032" s="3">
        <v>219</v>
      </c>
      <c r="J14032" s="3">
        <v>69</v>
      </c>
      <c r="K14032" s="3">
        <v>716</v>
      </c>
      <c r="L14032" s="3">
        <v>3</v>
      </c>
      <c r="M14032" s="3">
        <v>218</v>
      </c>
    </row>
    <row r="14033" spans="1:13" x14ac:dyDescent="0.25">
      <c r="A14033" s="1" t="str">
        <f>HYPERLINK("http://www.rosaceae.org/Prunus/Prunus_persica/p.persica_gdr_reftransV1_0020445","p.persica_gdr_reftransV1_0020445")</f>
        <v>p.persica_gdr_reftransV1_0020445</v>
      </c>
      <c r="B14033" s="3">
        <v>1109</v>
      </c>
      <c r="C14033" s="1" t="str">
        <f>HYPERLINK("http://www.uniprot.org/uniprot/RING1_GOSHI","RING1_GOSHI")</f>
        <v>RING1_GOSHI</v>
      </c>
      <c r="D14033" t="s">
        <v>2201</v>
      </c>
      <c r="E14033" s="3" t="s">
        <v>816</v>
      </c>
      <c r="F14033" s="4">
        <v>5.42E-20</v>
      </c>
      <c r="G14033" s="3">
        <v>229</v>
      </c>
      <c r="H14033" s="3">
        <v>43</v>
      </c>
      <c r="I14033" s="3">
        <v>108</v>
      </c>
      <c r="J14033" s="3">
        <v>396</v>
      </c>
      <c r="K14033" s="3">
        <v>698</v>
      </c>
      <c r="L14033" s="3">
        <v>183</v>
      </c>
      <c r="M14033" s="3">
        <v>281</v>
      </c>
    </row>
    <row r="14034" spans="1:13" x14ac:dyDescent="0.25">
      <c r="A14034" s="1" t="str">
        <f>HYPERLINK("http://www.rosaceae.org/Prunus/Prunus_persica/p.persica_gdr_reftransV1_0020495","p.persica_gdr_reftransV1_0020495")</f>
        <v>p.persica_gdr_reftransV1_0020495</v>
      </c>
      <c r="B14034" s="3">
        <v>4361</v>
      </c>
      <c r="C14034" s="1" t="str">
        <f>HYPERLINK("http://www.uniprot.org/uniprot/RGLG1_ARATH","RGLG1_ARATH")</f>
        <v>RGLG1_ARATH</v>
      </c>
      <c r="D14034" t="s">
        <v>9069</v>
      </c>
      <c r="E14034" s="3" t="s">
        <v>3</v>
      </c>
      <c r="F14034" s="4">
        <v>1.1100000000000001E-55</v>
      </c>
      <c r="G14034" s="3">
        <v>528</v>
      </c>
      <c r="H14034" s="3">
        <v>71</v>
      </c>
      <c r="I14034" s="3">
        <v>137</v>
      </c>
      <c r="J14034" s="3">
        <v>3750</v>
      </c>
      <c r="K14034" s="3">
        <v>4160</v>
      </c>
      <c r="L14034" s="3">
        <v>128</v>
      </c>
      <c r="M14034" s="3">
        <v>264</v>
      </c>
    </row>
    <row r="14035" spans="1:13" x14ac:dyDescent="0.25">
      <c r="A14035" s="1" t="str">
        <f>HYPERLINK("http://www.rosaceae.org/Prunus/Prunus_persica/p.persica_gdr_reftransV1_0020595","p.persica_gdr_reftransV1_0020595")</f>
        <v>p.persica_gdr_reftransV1_0020595</v>
      </c>
      <c r="B14035" s="3">
        <v>768</v>
      </c>
      <c r="C14035" s="1" t="str">
        <f>HYPERLINK("http://www.uniprot.org/uniprot/CRK10_ARATH","CRK10_ARATH")</f>
        <v>CRK10_ARATH</v>
      </c>
      <c r="D14035" t="s">
        <v>1151</v>
      </c>
      <c r="E14035" s="3" t="s">
        <v>3</v>
      </c>
      <c r="F14035" s="4">
        <v>2.9100000000000001E-60</v>
      </c>
      <c r="G14035" s="3">
        <v>526</v>
      </c>
      <c r="H14035" s="3">
        <v>51</v>
      </c>
      <c r="I14035" s="3">
        <v>186</v>
      </c>
      <c r="J14035" s="3">
        <v>4</v>
      </c>
      <c r="K14035" s="3">
        <v>552</v>
      </c>
      <c r="L14035" s="3">
        <v>484</v>
      </c>
      <c r="M14035" s="3">
        <v>669</v>
      </c>
    </row>
    <row r="14036" spans="1:13" x14ac:dyDescent="0.25">
      <c r="A14036" s="1" t="str">
        <f>HYPERLINK("http://www.rosaceae.org/Prunus/Prunus_persica/p.persica_gdr_reftransV1_0020695","p.persica_gdr_reftransV1_0020695")</f>
        <v>p.persica_gdr_reftransV1_0020695</v>
      </c>
      <c r="B14036" s="3">
        <v>1270</v>
      </c>
      <c r="C14036" s="1" t="str">
        <f>HYPERLINK("http://www.uniprot.org/uniprot/CSPL5_VITVI","CSPL5_VITVI")</f>
        <v>CSPL5_VITVI</v>
      </c>
      <c r="D14036" t="s">
        <v>9295</v>
      </c>
      <c r="E14036" s="3" t="s">
        <v>362</v>
      </c>
      <c r="F14036" s="4">
        <v>9.5499999999999996E-52</v>
      </c>
      <c r="G14036" s="3">
        <v>452</v>
      </c>
      <c r="H14036" s="3">
        <v>57</v>
      </c>
      <c r="I14036" s="3">
        <v>198</v>
      </c>
      <c r="J14036" s="3">
        <v>347</v>
      </c>
      <c r="K14036" s="3">
        <v>940</v>
      </c>
      <c r="L14036" s="3">
        <v>2</v>
      </c>
      <c r="M14036" s="3">
        <v>194</v>
      </c>
    </row>
    <row r="14037" spans="1:13" x14ac:dyDescent="0.25">
      <c r="A14037" s="1" t="str">
        <f>HYPERLINK("http://www.rosaceae.org/Prunus/Prunus_persica/p.persica_gdr_reftransV1_0020795","p.persica_gdr_reftransV1_0020795")</f>
        <v>p.persica_gdr_reftransV1_0020795</v>
      </c>
      <c r="B14037" s="3">
        <v>1274</v>
      </c>
      <c r="C14037" s="1" t="str">
        <f>HYPERLINK("http://www.uniprot.org/uniprot/ARV1_MOUSE","ARV1_MOUSE")</f>
        <v>ARV1_MOUSE</v>
      </c>
      <c r="D14037" t="s">
        <v>9296</v>
      </c>
      <c r="E14037" s="3" t="s">
        <v>157</v>
      </c>
      <c r="F14037" s="4">
        <v>1.52E-11</v>
      </c>
      <c r="G14037" s="3">
        <v>165</v>
      </c>
      <c r="H14037" s="3">
        <v>42</v>
      </c>
      <c r="I14037" s="3">
        <v>77</v>
      </c>
      <c r="J14037" s="3">
        <v>30</v>
      </c>
      <c r="K14037" s="3">
        <v>260</v>
      </c>
      <c r="L14037" s="3">
        <v>15</v>
      </c>
      <c r="M14037" s="3">
        <v>90</v>
      </c>
    </row>
    <row r="14038" spans="1:13" x14ac:dyDescent="0.25">
      <c r="A14038" s="1" t="str">
        <f>HYPERLINK("http://www.rosaceae.org/Prunus/Prunus_persica/p.persica_gdr_reftransV1_0020845","p.persica_gdr_reftransV1_0020845")</f>
        <v>p.persica_gdr_reftransV1_0020845</v>
      </c>
      <c r="B14038" s="3">
        <v>2758</v>
      </c>
      <c r="C14038" s="1" t="str">
        <f>HYPERLINK("http://www.uniprot.org/uniprot/2A5G_ARATH","2A5G_ARATH")</f>
        <v>2A5G_ARATH</v>
      </c>
      <c r="D14038" t="s">
        <v>9297</v>
      </c>
      <c r="E14038" s="3" t="s">
        <v>3</v>
      </c>
      <c r="F14038" s="4">
        <v>0</v>
      </c>
      <c r="G14038" s="3">
        <v>1935</v>
      </c>
      <c r="H14038" s="3">
        <v>79</v>
      </c>
      <c r="I14038" s="3">
        <v>451</v>
      </c>
      <c r="J14038" s="3">
        <v>494</v>
      </c>
      <c r="K14038" s="3">
        <v>1846</v>
      </c>
      <c r="L14038" s="3">
        <v>76</v>
      </c>
      <c r="M14038" s="3">
        <v>522</v>
      </c>
    </row>
    <row r="14039" spans="1:13" x14ac:dyDescent="0.25">
      <c r="A14039" s="1" t="str">
        <f>HYPERLINK("http://www.rosaceae.org/Prunus/Prunus_persica/p.persica_gdr_reftransV1_0020995","p.persica_gdr_reftransV1_0020995")</f>
        <v>p.persica_gdr_reftransV1_0020995</v>
      </c>
      <c r="B14039" s="3">
        <v>871</v>
      </c>
      <c r="C14039" s="1" t="str">
        <f>HYPERLINK("http://www.uniprot.org/uniprot/RS202_ARATH","RS202_ARATH")</f>
        <v>RS202_ARATH</v>
      </c>
      <c r="D14039" t="s">
        <v>6615</v>
      </c>
      <c r="E14039" s="3" t="s">
        <v>3</v>
      </c>
      <c r="F14039" s="4">
        <v>1.22E-73</v>
      </c>
      <c r="G14039" s="3">
        <v>581</v>
      </c>
      <c r="H14039" s="3">
        <v>93</v>
      </c>
      <c r="I14039" s="3">
        <v>122</v>
      </c>
      <c r="J14039" s="3">
        <v>336</v>
      </c>
      <c r="K14039" s="3">
        <v>698</v>
      </c>
      <c r="L14039" s="3">
        <v>1</v>
      </c>
      <c r="M14039" s="3">
        <v>122</v>
      </c>
    </row>
    <row r="14040" spans="1:13" x14ac:dyDescent="0.25">
      <c r="A14040" s="1" t="str">
        <f>HYPERLINK("http://www.rosaceae.org/Prunus/Prunus_persica/p.persica_gdr_reftransV1_0021095","p.persica_gdr_reftransV1_0021095")</f>
        <v>p.persica_gdr_reftransV1_0021095</v>
      </c>
      <c r="B14040" s="3">
        <v>1292</v>
      </c>
      <c r="C14040" s="1" t="str">
        <f>HYPERLINK("http://www.uniprot.org/uniprot/FB345_ARATH","FB345_ARATH")</f>
        <v>FB345_ARATH</v>
      </c>
      <c r="D14040" t="s">
        <v>9298</v>
      </c>
      <c r="E14040" s="3" t="s">
        <v>3</v>
      </c>
      <c r="F14040" s="4">
        <v>9.27E-111</v>
      </c>
      <c r="G14040" s="3">
        <v>865</v>
      </c>
      <c r="H14040" s="3">
        <v>48</v>
      </c>
      <c r="I14040" s="3">
        <v>366</v>
      </c>
      <c r="J14040" s="3">
        <v>155</v>
      </c>
      <c r="K14040" s="3">
        <v>1216</v>
      </c>
      <c r="L14040" s="3">
        <v>1</v>
      </c>
      <c r="M14040" s="3">
        <v>362</v>
      </c>
    </row>
    <row r="14041" spans="1:13" x14ac:dyDescent="0.25">
      <c r="A14041" s="1" t="str">
        <f>HYPERLINK("http://www.rosaceae.org/Prunus/Prunus_persica/p.persica_gdr_reftransV1_0021245","p.persica_gdr_reftransV1_0021245")</f>
        <v>p.persica_gdr_reftransV1_0021245</v>
      </c>
      <c r="B14041" s="3">
        <v>1586</v>
      </c>
      <c r="C14041" s="1" t="str">
        <f>HYPERLINK("http://www.uniprot.org/uniprot/ACCH1_ARATH","ACCH1_ARATH")</f>
        <v>ACCH1_ARATH</v>
      </c>
      <c r="D14041" t="s">
        <v>1325</v>
      </c>
      <c r="E14041" s="3" t="s">
        <v>3</v>
      </c>
      <c r="F14041" s="4">
        <v>1.05E-145</v>
      </c>
      <c r="G14041" s="3">
        <v>1106</v>
      </c>
      <c r="H14041" s="3">
        <v>61</v>
      </c>
      <c r="I14041" s="3">
        <v>357</v>
      </c>
      <c r="J14041" s="3">
        <v>303</v>
      </c>
      <c r="K14041" s="3">
        <v>1373</v>
      </c>
      <c r="L14041" s="3">
        <v>12</v>
      </c>
      <c r="M14041" s="3">
        <v>365</v>
      </c>
    </row>
    <row r="14042" spans="1:13" x14ac:dyDescent="0.25">
      <c r="A14042" s="1" t="str">
        <f>HYPERLINK("http://www.rosaceae.org/Prunus/Prunus_persica/p.persica_gdr_reftransV1_0021845","p.persica_gdr_reftransV1_0021845")</f>
        <v>p.persica_gdr_reftransV1_0021845</v>
      </c>
      <c r="B14042" s="3">
        <v>2724</v>
      </c>
      <c r="C14042" s="1" t="str">
        <f>HYPERLINK("http://www.uniprot.org/uniprot/LACS9_ARATH","LACS9_ARATH")</f>
        <v>LACS9_ARATH</v>
      </c>
      <c r="D14042" t="s">
        <v>9299</v>
      </c>
      <c r="E14042" s="3" t="s">
        <v>3</v>
      </c>
      <c r="F14042" s="4">
        <v>0</v>
      </c>
      <c r="G14042" s="3">
        <v>2973</v>
      </c>
      <c r="H14042" s="3">
        <v>78</v>
      </c>
      <c r="I14042" s="3">
        <v>691</v>
      </c>
      <c r="J14042" s="3">
        <v>304</v>
      </c>
      <c r="K14042" s="3">
        <v>2376</v>
      </c>
      <c r="L14042" s="3">
        <v>4</v>
      </c>
      <c r="M14042" s="3">
        <v>691</v>
      </c>
    </row>
    <row r="14043" spans="1:13" x14ac:dyDescent="0.25">
      <c r="A14043" s="1" t="str">
        <f>HYPERLINK("http://www.rosaceae.org/Prunus/Prunus_persica/p.persica_gdr_reftransV1_0021945","p.persica_gdr_reftransV1_0021945")</f>
        <v>p.persica_gdr_reftransV1_0021945</v>
      </c>
      <c r="B14043" s="3">
        <v>3444</v>
      </c>
      <c r="C14043" s="1" t="str">
        <f>HYPERLINK("http://www.uniprot.org/uniprot/GUP1_YEAST","GUP1_YEAST")</f>
        <v>GUP1_YEAST</v>
      </c>
      <c r="D14043" t="s">
        <v>9300</v>
      </c>
      <c r="E14043" s="3" t="s">
        <v>34</v>
      </c>
      <c r="F14043" s="4">
        <v>1.35E-40</v>
      </c>
      <c r="G14043" s="3">
        <v>412</v>
      </c>
      <c r="H14043" s="3">
        <v>43</v>
      </c>
      <c r="I14043" s="3">
        <v>195</v>
      </c>
      <c r="J14043" s="3">
        <v>1629</v>
      </c>
      <c r="K14043" s="3">
        <v>2210</v>
      </c>
      <c r="L14043" s="3">
        <v>316</v>
      </c>
      <c r="M14043" s="3">
        <v>504</v>
      </c>
    </row>
    <row r="14044" spans="1:13" x14ac:dyDescent="0.25">
      <c r="A14044" s="1" t="str">
        <f>HYPERLINK("http://www.rosaceae.org/Prunus/Prunus_persica/p.persica_gdr_reftransV1_0022045","p.persica_gdr_reftransV1_0022045")</f>
        <v>p.persica_gdr_reftransV1_0022045</v>
      </c>
      <c r="B14044" s="3">
        <v>1908</v>
      </c>
      <c r="C14044" s="1" t="str">
        <f>HYPERLINK("http://www.uniprot.org/uniprot/STAR7_HUMAN","STAR7_HUMAN")</f>
        <v>STAR7_HUMAN</v>
      </c>
      <c r="D14044" t="s">
        <v>3882</v>
      </c>
      <c r="E14044" s="3" t="s">
        <v>28</v>
      </c>
      <c r="F14044" s="4">
        <v>6.13E-8</v>
      </c>
      <c r="G14044" s="3">
        <v>141</v>
      </c>
      <c r="H14044" s="3">
        <v>29</v>
      </c>
      <c r="I14044" s="3">
        <v>120</v>
      </c>
      <c r="J14044" s="3">
        <v>280</v>
      </c>
      <c r="K14044" s="3">
        <v>633</v>
      </c>
      <c r="L14044" s="3">
        <v>164</v>
      </c>
      <c r="M14044" s="3">
        <v>283</v>
      </c>
    </row>
    <row r="14045" spans="1:13" x14ac:dyDescent="0.25">
      <c r="A14045" s="1" t="str">
        <f>HYPERLINK("http://www.rosaceae.org/Prunus/Prunus_persica/p.persica_gdr_reftransV1_0022345","p.persica_gdr_reftransV1_0022345")</f>
        <v>p.persica_gdr_reftransV1_0022345</v>
      </c>
      <c r="B14045" s="3">
        <v>1605</v>
      </c>
      <c r="C14045" s="1" t="str">
        <f>HYPERLINK("http://www.uniprot.org/uniprot/CDC2C_ANTMA","CDC2C_ANTMA")</f>
        <v>CDC2C_ANTMA</v>
      </c>
      <c r="D14045" t="s">
        <v>9301</v>
      </c>
      <c r="E14045" s="3" t="s">
        <v>1408</v>
      </c>
      <c r="F14045" s="4">
        <v>0</v>
      </c>
      <c r="G14045" s="3">
        <v>1432</v>
      </c>
      <c r="H14045" s="3">
        <v>87</v>
      </c>
      <c r="I14045" s="3">
        <v>305</v>
      </c>
      <c r="J14045" s="3">
        <v>395</v>
      </c>
      <c r="K14045" s="3">
        <v>1306</v>
      </c>
      <c r="L14045" s="3">
        <v>1</v>
      </c>
      <c r="M14045" s="3">
        <v>305</v>
      </c>
    </row>
    <row r="14046" spans="1:13" x14ac:dyDescent="0.25">
      <c r="A14046" s="1" t="str">
        <f>HYPERLINK("http://www.rosaceae.org/Prunus/Prunus_persica/p.persica_gdr_reftransV1_0022495","p.persica_gdr_reftransV1_0022495")</f>
        <v>p.persica_gdr_reftransV1_0022495</v>
      </c>
      <c r="B14046" s="3">
        <v>4140</v>
      </c>
      <c r="C14046" s="1" t="str">
        <f>HYPERLINK("http://www.uniprot.org/uniprot/SRK2I_ARATH","SRK2I_ARATH")</f>
        <v>SRK2I_ARATH</v>
      </c>
      <c r="D14046" t="s">
        <v>9302</v>
      </c>
      <c r="E14046" s="3" t="s">
        <v>3</v>
      </c>
      <c r="F14046" s="4">
        <v>1.4800000000000001E-99</v>
      </c>
      <c r="G14046" s="3">
        <v>841</v>
      </c>
      <c r="H14046" s="3">
        <v>88</v>
      </c>
      <c r="I14046" s="3">
        <v>173</v>
      </c>
      <c r="J14046" s="3">
        <v>433</v>
      </c>
      <c r="K14046" s="3">
        <v>951</v>
      </c>
      <c r="L14046" s="3">
        <v>1</v>
      </c>
      <c r="M14046" s="3">
        <v>172</v>
      </c>
    </row>
    <row r="14047" spans="1:13" x14ac:dyDescent="0.25">
      <c r="A14047" s="1" t="str">
        <f>HYPERLINK("http://www.rosaceae.org/Prunus/Prunus_persica/p.persica_gdr_reftransV1_0022545","p.persica_gdr_reftransV1_0022545")</f>
        <v>p.persica_gdr_reftransV1_0022545</v>
      </c>
      <c r="B14047" s="3">
        <v>2513</v>
      </c>
      <c r="C14047" s="1" t="str">
        <f>HYPERLINK("http://www.uniprot.org/uniprot/ADF_VITVI","ADF_VITVI")</f>
        <v>ADF_VITVI</v>
      </c>
      <c r="D14047" t="s">
        <v>1776</v>
      </c>
      <c r="E14047" s="3" t="s">
        <v>362</v>
      </c>
      <c r="F14047" s="4">
        <v>2.8300000000000001E-40</v>
      </c>
      <c r="G14047" s="3">
        <v>379</v>
      </c>
      <c r="H14047" s="3">
        <v>85</v>
      </c>
      <c r="I14047" s="3">
        <v>94</v>
      </c>
      <c r="J14047" s="3">
        <v>1057</v>
      </c>
      <c r="K14047" s="3">
        <v>1335</v>
      </c>
      <c r="L14047" s="3">
        <v>1</v>
      </c>
      <c r="M14047" s="3">
        <v>94</v>
      </c>
    </row>
    <row r="14048" spans="1:13" x14ac:dyDescent="0.25">
      <c r="A14048" s="1" t="str">
        <f>HYPERLINK("http://www.rosaceae.org/Prunus/Prunus_persica/p.persica_gdr_reftransV1_0022595","p.persica_gdr_reftransV1_0022595")</f>
        <v>p.persica_gdr_reftransV1_0022595</v>
      </c>
      <c r="B14048" s="3">
        <v>2712</v>
      </c>
      <c r="C14048" s="1" t="str">
        <f>HYPERLINK("http://www.uniprot.org/uniprot/MYOB7_ARATH","MYOB7_ARATH")</f>
        <v>MYOB7_ARATH</v>
      </c>
      <c r="D14048" t="s">
        <v>476</v>
      </c>
      <c r="E14048" s="3" t="s">
        <v>3</v>
      </c>
      <c r="F14048" s="4">
        <v>1.5299999999999999E-153</v>
      </c>
      <c r="G14048" s="3">
        <v>1206</v>
      </c>
      <c r="H14048" s="3">
        <v>57</v>
      </c>
      <c r="I14048" s="3">
        <v>494</v>
      </c>
      <c r="J14048" s="3">
        <v>643</v>
      </c>
      <c r="K14048" s="3">
        <v>2091</v>
      </c>
      <c r="L14048" s="3">
        <v>31</v>
      </c>
      <c r="M14048" s="3">
        <v>518</v>
      </c>
    </row>
    <row r="14049" spans="1:13" x14ac:dyDescent="0.25">
      <c r="A14049" s="1" t="str">
        <f>HYPERLINK("http://www.rosaceae.org/Prunus/Prunus_persica/p.persica_gdr_reftransV1_0022645","p.persica_gdr_reftransV1_0022645")</f>
        <v>p.persica_gdr_reftransV1_0022645</v>
      </c>
      <c r="B14049" s="3">
        <v>1962</v>
      </c>
      <c r="C14049" s="1" t="str">
        <f>HYPERLINK("http://www.uniprot.org/uniprot/HEM11_CUCSA","HEM11_CUCSA")</f>
        <v>HEM11_CUCSA</v>
      </c>
      <c r="D14049" t="s">
        <v>6060</v>
      </c>
      <c r="E14049" s="3" t="s">
        <v>1149</v>
      </c>
      <c r="F14049" s="4">
        <v>0</v>
      </c>
      <c r="G14049" s="3">
        <v>1666</v>
      </c>
      <c r="H14049" s="3">
        <v>80</v>
      </c>
      <c r="I14049" s="3">
        <v>422</v>
      </c>
      <c r="J14049" s="3">
        <v>697</v>
      </c>
      <c r="K14049" s="3">
        <v>1959</v>
      </c>
      <c r="L14049" s="3">
        <v>131</v>
      </c>
      <c r="M14049" s="3">
        <v>552</v>
      </c>
    </row>
    <row r="14050" spans="1:13" x14ac:dyDescent="0.25">
      <c r="A14050" s="1" t="str">
        <f>HYPERLINK("http://www.rosaceae.org/Prunus/Prunus_persica/p.persica_gdr_reftransV1_0022945","p.persica_gdr_reftransV1_0022945")</f>
        <v>p.persica_gdr_reftransV1_0022945</v>
      </c>
      <c r="B14050" s="3">
        <v>1156</v>
      </c>
      <c r="C14050" s="1" t="str">
        <f>HYPERLINK("http://www.uniprot.org/uniprot/RHA1B_ARATH","RHA1B_ARATH")</f>
        <v>RHA1B_ARATH</v>
      </c>
      <c r="D14050" t="s">
        <v>9140</v>
      </c>
      <c r="E14050" s="3" t="s">
        <v>3</v>
      </c>
      <c r="F14050" s="4">
        <v>1.6399999999999999E-25</v>
      </c>
      <c r="G14050" s="3">
        <v>262</v>
      </c>
      <c r="H14050" s="3">
        <v>37</v>
      </c>
      <c r="I14050" s="3">
        <v>151</v>
      </c>
      <c r="J14050" s="3">
        <v>157</v>
      </c>
      <c r="K14050" s="3">
        <v>603</v>
      </c>
      <c r="L14050" s="3">
        <v>1</v>
      </c>
      <c r="M14050" s="3">
        <v>146</v>
      </c>
    </row>
    <row r="14051" spans="1:13" x14ac:dyDescent="0.25">
      <c r="A14051" s="1" t="str">
        <f>HYPERLINK("http://www.rosaceae.org/Prunus/Prunus_persica/p.persica_gdr_reftransV1_0023045","p.persica_gdr_reftransV1_0023045")</f>
        <v>p.persica_gdr_reftransV1_0023045</v>
      </c>
      <c r="B14051" s="3">
        <v>735</v>
      </c>
      <c r="C14051" s="1" t="str">
        <f>HYPERLINK("http://www.uniprot.org/uniprot/PP337_ARATH","PP337_ARATH")</f>
        <v>PP337_ARATH</v>
      </c>
      <c r="D14051" t="s">
        <v>8618</v>
      </c>
      <c r="E14051" s="3" t="s">
        <v>3</v>
      </c>
      <c r="F14051" s="4">
        <v>1.7400000000000002E-89</v>
      </c>
      <c r="G14051" s="3">
        <v>717</v>
      </c>
      <c r="H14051" s="3">
        <v>68</v>
      </c>
      <c r="I14051" s="3">
        <v>202</v>
      </c>
      <c r="J14051" s="3">
        <v>3</v>
      </c>
      <c r="K14051" s="3">
        <v>605</v>
      </c>
      <c r="L14051" s="3">
        <v>47</v>
      </c>
      <c r="M14051" s="3">
        <v>248</v>
      </c>
    </row>
    <row r="14052" spans="1:13" x14ac:dyDescent="0.25">
      <c r="A14052" s="1" t="str">
        <f>HYPERLINK("http://www.rosaceae.org/Prunus/Prunus_persica/p.persica_gdr_reftransV1_0023195","p.persica_gdr_reftransV1_0023195")</f>
        <v>p.persica_gdr_reftransV1_0023195</v>
      </c>
      <c r="B14052" s="3">
        <v>4319</v>
      </c>
      <c r="C14052" s="1" t="str">
        <f>HYPERLINK("http://www.uniprot.org/uniprot/SMC5_ARATH","SMC5_ARATH")</f>
        <v>SMC5_ARATH</v>
      </c>
      <c r="D14052" t="s">
        <v>9303</v>
      </c>
      <c r="E14052" s="3" t="s">
        <v>3</v>
      </c>
      <c r="F14052" s="4">
        <v>0</v>
      </c>
      <c r="G14052" s="3">
        <v>2956</v>
      </c>
      <c r="H14052" s="3">
        <v>64</v>
      </c>
      <c r="I14052" s="3">
        <v>946</v>
      </c>
      <c r="J14052" s="3">
        <v>1334</v>
      </c>
      <c r="K14052" s="3">
        <v>4171</v>
      </c>
      <c r="L14052" s="3">
        <v>1</v>
      </c>
      <c r="M14052" s="3">
        <v>934</v>
      </c>
    </row>
    <row r="14053" spans="1:13" x14ac:dyDescent="0.25">
      <c r="A14053" s="1" t="str">
        <f>HYPERLINK("http://www.rosaceae.org/Prunus/Prunus_persica/p.persica_gdr_reftransV1_0023445","p.persica_gdr_reftransV1_0023445")</f>
        <v>p.persica_gdr_reftransV1_0023445</v>
      </c>
      <c r="B14053" s="3">
        <v>1759</v>
      </c>
      <c r="C14053" s="1" t="str">
        <f>HYPERLINK("http://www.uniprot.org/uniprot/ELO3L_ARATH","ELO3L_ARATH")</f>
        <v>ELO3L_ARATH</v>
      </c>
      <c r="D14053" t="s">
        <v>9304</v>
      </c>
      <c r="E14053" s="3" t="s">
        <v>3</v>
      </c>
      <c r="F14053" s="4">
        <v>1.97E-119</v>
      </c>
      <c r="G14053" s="3">
        <v>929</v>
      </c>
      <c r="H14053" s="3">
        <v>67</v>
      </c>
      <c r="I14053" s="3">
        <v>270</v>
      </c>
      <c r="J14053" s="3">
        <v>476</v>
      </c>
      <c r="K14053" s="3">
        <v>1276</v>
      </c>
      <c r="L14053" s="3">
        <v>4</v>
      </c>
      <c r="M14053" s="3">
        <v>273</v>
      </c>
    </row>
    <row r="14054" spans="1:13" x14ac:dyDescent="0.25">
      <c r="A14054" s="1" t="str">
        <f>HYPERLINK("http://www.rosaceae.org/Prunus/Prunus_persica/p.persica_gdr_reftransV1_0023695","p.persica_gdr_reftransV1_0023695")</f>
        <v>p.persica_gdr_reftransV1_0023695</v>
      </c>
      <c r="B14054" s="3">
        <v>1019</v>
      </c>
      <c r="C14054" s="1" t="str">
        <f>HYPERLINK("http://www.uniprot.org/uniprot/LOX15_SOLTU","LOX15_SOLTU")</f>
        <v>LOX15_SOLTU</v>
      </c>
      <c r="D14054" t="s">
        <v>2422</v>
      </c>
      <c r="E14054" s="3" t="s">
        <v>11</v>
      </c>
      <c r="F14054" s="4">
        <v>8.2100000000000001E-136</v>
      </c>
      <c r="G14054" s="3">
        <v>1063</v>
      </c>
      <c r="H14054" s="3">
        <v>75</v>
      </c>
      <c r="I14054" s="3">
        <v>247</v>
      </c>
      <c r="J14054" s="3">
        <v>234</v>
      </c>
      <c r="K14054" s="3">
        <v>974</v>
      </c>
      <c r="L14054" s="3">
        <v>612</v>
      </c>
      <c r="M14054" s="3">
        <v>858</v>
      </c>
    </row>
    <row r="14055" spans="1:13" x14ac:dyDescent="0.25">
      <c r="A14055" s="1" t="str">
        <f>HYPERLINK("http://www.rosaceae.org/Prunus/Prunus_persica/p.persica_gdr_reftransV1_0023745","p.persica_gdr_reftransV1_0023745")</f>
        <v>p.persica_gdr_reftransV1_0023745</v>
      </c>
      <c r="B14055" s="3">
        <v>2129</v>
      </c>
      <c r="C14055" s="1" t="str">
        <f>HYPERLINK("http://www.uniprot.org/uniprot/DWA2_ARATH","DWA2_ARATH")</f>
        <v>DWA2_ARATH</v>
      </c>
      <c r="D14055" t="s">
        <v>8738</v>
      </c>
      <c r="E14055" s="3" t="s">
        <v>3</v>
      </c>
      <c r="F14055" s="4">
        <v>7.0699999999999996E-141</v>
      </c>
      <c r="G14055" s="3">
        <v>937</v>
      </c>
      <c r="H14055" s="3">
        <v>75</v>
      </c>
      <c r="I14055" s="3">
        <v>226</v>
      </c>
      <c r="J14055" s="3">
        <v>1157</v>
      </c>
      <c r="K14055" s="3">
        <v>1834</v>
      </c>
      <c r="L14055" s="3">
        <v>44</v>
      </c>
      <c r="M14055" s="3">
        <v>269</v>
      </c>
    </row>
    <row r="14056" spans="1:13" x14ac:dyDescent="0.25">
      <c r="A14056" s="1" t="str">
        <f>HYPERLINK("http://www.rosaceae.org/Prunus/Prunus_persica/p.persica_gdr_reftransV1_0023995","p.persica_gdr_reftransV1_0023995")</f>
        <v>p.persica_gdr_reftransV1_0023995</v>
      </c>
      <c r="B14056" s="3">
        <v>1406</v>
      </c>
      <c r="C14056" s="1" t="str">
        <f>HYPERLINK("http://www.uniprot.org/uniprot/RGA3_SOLBU","RGA3_SOLBU")</f>
        <v>RGA3_SOLBU</v>
      </c>
      <c r="D14056" t="s">
        <v>1884</v>
      </c>
      <c r="E14056" s="3" t="s">
        <v>560</v>
      </c>
      <c r="F14056" s="4">
        <v>8.8999999999999993E-65</v>
      </c>
      <c r="G14056" s="3">
        <v>585</v>
      </c>
      <c r="H14056" s="3">
        <v>33</v>
      </c>
      <c r="I14056" s="3">
        <v>470</v>
      </c>
      <c r="J14056" s="3">
        <v>5</v>
      </c>
      <c r="K14056" s="3">
        <v>1405</v>
      </c>
      <c r="L14056" s="3">
        <v>197</v>
      </c>
      <c r="M14056" s="3">
        <v>636</v>
      </c>
    </row>
    <row r="14057" spans="1:13" x14ac:dyDescent="0.25">
      <c r="A14057" s="1" t="str">
        <f>HYPERLINK("http://www.rosaceae.org/Prunus/Prunus_persica/p.persica_gdr_reftransV1_0024195","p.persica_gdr_reftransV1_0024195")</f>
        <v>p.persica_gdr_reftransV1_0024195</v>
      </c>
      <c r="B14057" s="3">
        <v>2283</v>
      </c>
      <c r="C14057" s="1" t="str">
        <f>HYPERLINK("http://www.uniprot.org/uniprot/DUSKY_IPONI","DUSKY_IPONI")</f>
        <v>DUSKY_IPONI</v>
      </c>
      <c r="D14057" t="s">
        <v>9305</v>
      </c>
      <c r="E14057" s="3" t="s">
        <v>3743</v>
      </c>
      <c r="F14057" s="4">
        <v>0</v>
      </c>
      <c r="G14057" s="3">
        <v>1383</v>
      </c>
      <c r="H14057" s="3">
        <v>59</v>
      </c>
      <c r="I14057" s="3">
        <v>453</v>
      </c>
      <c r="J14057" s="3">
        <v>664</v>
      </c>
      <c r="K14057" s="3">
        <v>2022</v>
      </c>
      <c r="L14057" s="3">
        <v>7</v>
      </c>
      <c r="M14057" s="3">
        <v>457</v>
      </c>
    </row>
    <row r="14058" spans="1:13" x14ac:dyDescent="0.25">
      <c r="A14058" s="1" t="str">
        <f>HYPERLINK("http://www.rosaceae.org/Prunus/Prunus_persica/p.persica_gdr_reftransV1_0024245","p.persica_gdr_reftransV1_0024245")</f>
        <v>p.persica_gdr_reftransV1_0024245</v>
      </c>
      <c r="B14058" s="3">
        <v>1227</v>
      </c>
      <c r="C14058" s="1" t="str">
        <f>HYPERLINK("http://www.uniprot.org/uniprot/PNSL3_ARATH","PNSL3_ARATH")</f>
        <v>PNSL3_ARATH</v>
      </c>
      <c r="D14058" t="s">
        <v>1143</v>
      </c>
      <c r="E14058" s="3" t="s">
        <v>3</v>
      </c>
      <c r="F14058" s="4">
        <v>4.5999999999999998E-16</v>
      </c>
      <c r="G14058" s="3">
        <v>197</v>
      </c>
      <c r="H14058" s="3">
        <v>38</v>
      </c>
      <c r="I14058" s="3">
        <v>125</v>
      </c>
      <c r="J14058" s="3">
        <v>691</v>
      </c>
      <c r="K14058" s="3">
        <v>1065</v>
      </c>
      <c r="L14058" s="3">
        <v>97</v>
      </c>
      <c r="M14058" s="3">
        <v>217</v>
      </c>
    </row>
    <row r="14059" spans="1:13" x14ac:dyDescent="0.25">
      <c r="A14059" s="1" t="str">
        <f>HYPERLINK("http://www.rosaceae.org/Prunus/Prunus_persica/p.persica_gdr_reftransV1_0024395","p.persica_gdr_reftransV1_0024395")</f>
        <v>p.persica_gdr_reftransV1_0024395</v>
      </c>
      <c r="B14059" s="3">
        <v>880</v>
      </c>
      <c r="C14059" s="1" t="str">
        <f>HYPERLINK("http://www.uniprot.org/uniprot/RLA2_PARAR","RLA2_PARAR")</f>
        <v>RLA2_PARAR</v>
      </c>
      <c r="D14059" t="s">
        <v>3360</v>
      </c>
      <c r="E14059" s="3" t="s">
        <v>3361</v>
      </c>
      <c r="F14059" s="4">
        <v>1.9100000000000001E-24</v>
      </c>
      <c r="G14059" s="3">
        <v>248</v>
      </c>
      <c r="H14059" s="3">
        <v>77</v>
      </c>
      <c r="I14059" s="3">
        <v>62</v>
      </c>
      <c r="J14059" s="3">
        <v>565</v>
      </c>
      <c r="K14059" s="3">
        <v>750</v>
      </c>
      <c r="L14059" s="3">
        <v>1</v>
      </c>
      <c r="M14059" s="3">
        <v>62</v>
      </c>
    </row>
    <row r="14060" spans="1:13" x14ac:dyDescent="0.25">
      <c r="A14060" s="1" t="str">
        <f>HYPERLINK("http://www.rosaceae.org/Prunus/Prunus_persica/p.persica_gdr_reftransV1_0024545","p.persica_gdr_reftransV1_0024545")</f>
        <v>p.persica_gdr_reftransV1_0024545</v>
      </c>
      <c r="B14060" s="3">
        <v>980</v>
      </c>
      <c r="C14060" s="1" t="str">
        <f>HYPERLINK("http://www.uniprot.org/uniprot/CYB5_BRAOB","CYB5_BRAOB")</f>
        <v>CYB5_BRAOB</v>
      </c>
      <c r="D14060" t="s">
        <v>9306</v>
      </c>
      <c r="E14060" s="3" t="s">
        <v>1308</v>
      </c>
      <c r="F14060" s="4">
        <v>2.4099999999999999E-39</v>
      </c>
      <c r="G14060" s="3">
        <v>355</v>
      </c>
      <c r="H14060" s="3">
        <v>56</v>
      </c>
      <c r="I14060" s="3">
        <v>110</v>
      </c>
      <c r="J14060" s="3">
        <v>270</v>
      </c>
      <c r="K14060" s="3">
        <v>599</v>
      </c>
      <c r="L14060" s="3">
        <v>1</v>
      </c>
      <c r="M14060" s="3">
        <v>110</v>
      </c>
    </row>
    <row r="14061" spans="1:13" x14ac:dyDescent="0.25">
      <c r="A14061" s="1" t="str">
        <f>HYPERLINK("http://www.rosaceae.org/Prunus/Prunus_persica/p.persica_gdr_reftransV1_0024695","p.persica_gdr_reftransV1_0024695")</f>
        <v>p.persica_gdr_reftransV1_0024695</v>
      </c>
      <c r="B14061" s="3">
        <v>3519</v>
      </c>
      <c r="C14061" s="1" t="str">
        <f>HYPERLINK("http://www.uniprot.org/uniprot/HMA5_ARATH","HMA5_ARATH")</f>
        <v>HMA5_ARATH</v>
      </c>
      <c r="D14061" t="s">
        <v>1885</v>
      </c>
      <c r="E14061" s="3" t="s">
        <v>3</v>
      </c>
      <c r="F14061" s="4">
        <v>0</v>
      </c>
      <c r="G14061" s="3">
        <v>3914</v>
      </c>
      <c r="H14061" s="3">
        <v>76</v>
      </c>
      <c r="I14061" s="3">
        <v>995</v>
      </c>
      <c r="J14061" s="3">
        <v>216</v>
      </c>
      <c r="K14061" s="3">
        <v>3173</v>
      </c>
      <c r="L14061" s="3">
        <v>1</v>
      </c>
      <c r="M14061" s="3">
        <v>993</v>
      </c>
    </row>
    <row r="14062" spans="1:13" x14ac:dyDescent="0.25">
      <c r="A14062" s="1" t="str">
        <f>HYPERLINK("http://www.rosaceae.org/Prunus/Prunus_persica/p.persica_gdr_reftransV1_0024895","p.persica_gdr_reftransV1_0024895")</f>
        <v>p.persica_gdr_reftransV1_0024895</v>
      </c>
      <c r="B14062" s="3">
        <v>7636</v>
      </c>
      <c r="C14062" s="1" t="str">
        <f>HYPERLINK("http://www.uniprot.org/uniprot/PPX2_ARATH","PPX2_ARATH")</f>
        <v>PPX2_ARATH</v>
      </c>
      <c r="D14062" t="s">
        <v>2472</v>
      </c>
      <c r="E14062" s="3" t="s">
        <v>3</v>
      </c>
      <c r="F14062" s="4">
        <v>1.7900000000000001E-95</v>
      </c>
      <c r="G14062" s="3">
        <v>816</v>
      </c>
      <c r="H14062" s="3">
        <v>94</v>
      </c>
      <c r="I14062" s="3">
        <v>158</v>
      </c>
      <c r="J14062" s="3">
        <v>5588</v>
      </c>
      <c r="K14062" s="3">
        <v>6061</v>
      </c>
      <c r="L14062" s="3">
        <v>148</v>
      </c>
      <c r="M14062" s="3">
        <v>305</v>
      </c>
    </row>
    <row r="14063" spans="1:13" x14ac:dyDescent="0.25">
      <c r="A14063" s="1" t="str">
        <f>HYPERLINK("http://www.rosaceae.org/Prunus/Prunus_persica/p.persica_gdr_reftransV1_0025345","p.persica_gdr_reftransV1_0025345")</f>
        <v>p.persica_gdr_reftransV1_0025345</v>
      </c>
      <c r="B14063" s="3">
        <v>1917</v>
      </c>
      <c r="C14063" s="1" t="str">
        <f>HYPERLINK("http://www.uniprot.org/uniprot/WRK70_ARATH","WRK70_ARATH")</f>
        <v>WRK70_ARATH</v>
      </c>
      <c r="D14063" t="s">
        <v>6284</v>
      </c>
      <c r="E14063" s="3" t="s">
        <v>3</v>
      </c>
      <c r="F14063" s="4">
        <v>2.2800000000000001E-14</v>
      </c>
      <c r="G14063" s="3">
        <v>190</v>
      </c>
      <c r="H14063" s="3">
        <v>40</v>
      </c>
      <c r="I14063" s="3">
        <v>149</v>
      </c>
      <c r="J14063" s="3">
        <v>71</v>
      </c>
      <c r="K14063" s="3">
        <v>514</v>
      </c>
      <c r="L14063" s="3">
        <v>10</v>
      </c>
      <c r="M14063" s="3">
        <v>143</v>
      </c>
    </row>
    <row r="14064" spans="1:13" x14ac:dyDescent="0.25">
      <c r="A14064" s="1" t="str">
        <f>HYPERLINK("http://www.rosaceae.org/Prunus/Prunus_persica/p.persica_gdr_reftransV1_0025445","p.persica_gdr_reftransV1_0025445")</f>
        <v>p.persica_gdr_reftransV1_0025445</v>
      </c>
      <c r="B14064" s="3">
        <v>665</v>
      </c>
      <c r="C14064" s="1" t="str">
        <f>HYPERLINK("http://www.uniprot.org/uniprot/FRL5_ARATH","FRL5_ARATH")</f>
        <v>FRL5_ARATH</v>
      </c>
      <c r="D14064" t="s">
        <v>9307</v>
      </c>
      <c r="E14064" s="3" t="s">
        <v>3</v>
      </c>
      <c r="F14064" s="4">
        <v>2.6099999999999999E-8</v>
      </c>
      <c r="G14064" s="3">
        <v>136</v>
      </c>
      <c r="H14064" s="3">
        <v>42</v>
      </c>
      <c r="I14064" s="3">
        <v>69</v>
      </c>
      <c r="J14064" s="3">
        <v>181</v>
      </c>
      <c r="K14064" s="3">
        <v>387</v>
      </c>
      <c r="L14064" s="3">
        <v>1</v>
      </c>
      <c r="M14064" s="3">
        <v>69</v>
      </c>
    </row>
    <row r="14065" spans="1:13" x14ac:dyDescent="0.25">
      <c r="A14065" s="1" t="str">
        <f>HYPERLINK("http://www.rosaceae.org/Prunus/Prunus_persica/p.persica_gdr_reftransV1_0025995","p.persica_gdr_reftransV1_0025995")</f>
        <v>p.persica_gdr_reftransV1_0025995</v>
      </c>
      <c r="B14065" s="3">
        <v>1149</v>
      </c>
      <c r="C14065" s="1" t="str">
        <f>HYPERLINK("http://www.uniprot.org/uniprot/RGA4_SOLBU","RGA4_SOLBU")</f>
        <v>RGA4_SOLBU</v>
      </c>
      <c r="D14065" t="s">
        <v>1657</v>
      </c>
      <c r="E14065" s="3" t="s">
        <v>560</v>
      </c>
      <c r="F14065" s="4">
        <v>2.4799999999999999E-25</v>
      </c>
      <c r="G14065" s="3">
        <v>280</v>
      </c>
      <c r="H14065" s="3">
        <v>30</v>
      </c>
      <c r="I14065" s="3">
        <v>401</v>
      </c>
      <c r="J14065" s="3">
        <v>14</v>
      </c>
      <c r="K14065" s="3">
        <v>1051</v>
      </c>
      <c r="L14065" s="3">
        <v>596</v>
      </c>
      <c r="M14065" s="3">
        <v>964</v>
      </c>
    </row>
    <row r="14066" spans="1:13" x14ac:dyDescent="0.25">
      <c r="A14066" s="1" t="str">
        <f>HYPERLINK("http://www.rosaceae.org/Prunus/Prunus_persica/p.persica_gdr_reftransV1_0026145","p.persica_gdr_reftransV1_0026145")</f>
        <v>p.persica_gdr_reftransV1_0026145</v>
      </c>
      <c r="B14066" s="3">
        <v>1713</v>
      </c>
      <c r="C14066" s="1" t="str">
        <f>HYPERLINK("http://www.uniprot.org/uniprot/ODPB3_ARATH","ODPB3_ARATH")</f>
        <v>ODPB3_ARATH</v>
      </c>
      <c r="D14066" t="s">
        <v>9308</v>
      </c>
      <c r="E14066" s="3" t="s">
        <v>3</v>
      </c>
      <c r="F14066" s="4">
        <v>0</v>
      </c>
      <c r="G14066" s="3">
        <v>1592</v>
      </c>
      <c r="H14066" s="3">
        <v>89</v>
      </c>
      <c r="I14066" s="3">
        <v>363</v>
      </c>
      <c r="J14066" s="3">
        <v>285</v>
      </c>
      <c r="K14066" s="3">
        <v>1373</v>
      </c>
      <c r="L14066" s="3">
        <v>40</v>
      </c>
      <c r="M14066" s="3">
        <v>402</v>
      </c>
    </row>
    <row r="14067" spans="1:13" x14ac:dyDescent="0.25">
      <c r="A14067" s="1" t="str">
        <f>HYPERLINK("http://www.rosaceae.org/Prunus/Prunus_persica/p.persica_gdr_reftransV1_0026245","p.persica_gdr_reftransV1_0026245")</f>
        <v>p.persica_gdr_reftransV1_0026245</v>
      </c>
      <c r="B14067" s="3">
        <v>1144</v>
      </c>
      <c r="C14067" s="1" t="str">
        <f>HYPERLINK("http://www.uniprot.org/uniprot/RCA2_LARTR","RCA2_LARTR")</f>
        <v>RCA2_LARTR</v>
      </c>
      <c r="D14067" t="s">
        <v>9309</v>
      </c>
      <c r="E14067" s="3" t="s">
        <v>5393</v>
      </c>
      <c r="F14067" s="4">
        <v>1.8300000000000001E-156</v>
      </c>
      <c r="G14067" s="3">
        <v>1169</v>
      </c>
      <c r="H14067" s="3">
        <v>85</v>
      </c>
      <c r="I14067" s="3">
        <v>265</v>
      </c>
      <c r="J14067" s="3">
        <v>360</v>
      </c>
      <c r="K14067" s="3">
        <v>1142</v>
      </c>
      <c r="L14067" s="3">
        <v>11</v>
      </c>
      <c r="M14067" s="3">
        <v>273</v>
      </c>
    </row>
    <row r="14068" spans="1:13" x14ac:dyDescent="0.25">
      <c r="A14068" s="1" t="str">
        <f>HYPERLINK("http://www.rosaceae.org/Prunus/Prunus_persica/p.persica_gdr_reftransV1_0026345","p.persica_gdr_reftransV1_0026345")</f>
        <v>p.persica_gdr_reftransV1_0026345</v>
      </c>
      <c r="B14068" s="3">
        <v>2043</v>
      </c>
      <c r="C14068" s="1" t="str">
        <f>HYPERLINK("http://www.uniprot.org/uniprot/TM87A_XENTR","TM87A_XENTR")</f>
        <v>TM87A_XENTR</v>
      </c>
      <c r="D14068" t="s">
        <v>7681</v>
      </c>
      <c r="E14068" s="3" t="s">
        <v>173</v>
      </c>
      <c r="F14068" s="4">
        <v>5.1999999999999997E-52</v>
      </c>
      <c r="G14068" s="3">
        <v>491</v>
      </c>
      <c r="H14068" s="3">
        <v>34</v>
      </c>
      <c r="I14068" s="3">
        <v>344</v>
      </c>
      <c r="J14068" s="3">
        <v>453</v>
      </c>
      <c r="K14068" s="3">
        <v>1445</v>
      </c>
      <c r="L14068" s="3">
        <v>153</v>
      </c>
      <c r="M14068" s="3">
        <v>492</v>
      </c>
    </row>
    <row r="14069" spans="1:13" x14ac:dyDescent="0.25">
      <c r="A14069" s="1" t="str">
        <f>HYPERLINK("http://www.rosaceae.org/Prunus/Prunus_persica/p.persica_gdr_reftransV1_0026395","p.persica_gdr_reftransV1_0026395")</f>
        <v>p.persica_gdr_reftransV1_0026395</v>
      </c>
      <c r="B14069" s="3">
        <v>3894</v>
      </c>
      <c r="C14069" s="1" t="str">
        <f>HYPERLINK("http://www.uniprot.org/uniprot/CHR12_ARATH","CHR12_ARATH")</f>
        <v>CHR12_ARATH</v>
      </c>
      <c r="D14069" t="s">
        <v>9310</v>
      </c>
      <c r="E14069" s="3" t="s">
        <v>3</v>
      </c>
      <c r="F14069" s="4">
        <v>0</v>
      </c>
      <c r="G14069" s="3">
        <v>3781</v>
      </c>
      <c r="H14069" s="3">
        <v>72</v>
      </c>
      <c r="I14069" s="3">
        <v>1079</v>
      </c>
      <c r="J14069" s="3">
        <v>230</v>
      </c>
      <c r="K14069" s="3">
        <v>3388</v>
      </c>
      <c r="L14069" s="3">
        <v>17</v>
      </c>
      <c r="M14069" s="3">
        <v>1085</v>
      </c>
    </row>
    <row r="14070" spans="1:13" x14ac:dyDescent="0.25">
      <c r="A14070" s="1" t="str">
        <f>HYPERLINK("http://www.rosaceae.org/Prunus/Prunus_persica/p.persica_gdr_reftransV1_0026545","p.persica_gdr_reftransV1_0026545")</f>
        <v>p.persica_gdr_reftransV1_0026545</v>
      </c>
      <c r="B14070" s="3">
        <v>2966</v>
      </c>
      <c r="C14070" s="1" t="str">
        <f>HYPERLINK("http://www.uniprot.org/uniprot/ARL5_DICDI","ARL5_DICDI")</f>
        <v>ARL5_DICDI</v>
      </c>
      <c r="D14070" t="s">
        <v>9311</v>
      </c>
      <c r="E14070" s="3" t="s">
        <v>9</v>
      </c>
      <c r="F14070" s="4">
        <v>9.1500000000000006E-45</v>
      </c>
      <c r="G14070" s="3">
        <v>418</v>
      </c>
      <c r="H14070" s="3">
        <v>62</v>
      </c>
      <c r="I14070" s="3">
        <v>113</v>
      </c>
      <c r="J14070" s="3">
        <v>1468</v>
      </c>
      <c r="K14070" s="3">
        <v>1806</v>
      </c>
      <c r="L14070" s="3">
        <v>68</v>
      </c>
      <c r="M14070" s="3">
        <v>180</v>
      </c>
    </row>
    <row r="14071" spans="1:13" x14ac:dyDescent="0.25">
      <c r="A14071" s="1" t="str">
        <f>HYPERLINK("http://www.rosaceae.org/Prunus/Prunus_persica/p.persica_gdr_reftransV1_0027295","p.persica_gdr_reftransV1_0027295")</f>
        <v>p.persica_gdr_reftransV1_0027295</v>
      </c>
      <c r="B14071" s="3">
        <v>3773</v>
      </c>
      <c r="C14071" s="1" t="str">
        <f>HYPERLINK("http://www.uniprot.org/uniprot/PIGT_HUMAN","PIGT_HUMAN")</f>
        <v>PIGT_HUMAN</v>
      </c>
      <c r="D14071" t="s">
        <v>9312</v>
      </c>
      <c r="E14071" s="3" t="s">
        <v>28</v>
      </c>
      <c r="F14071" s="4">
        <v>6.0299999999999997E-74</v>
      </c>
      <c r="G14071" s="3">
        <v>669</v>
      </c>
      <c r="H14071" s="3">
        <v>31</v>
      </c>
      <c r="I14071" s="3">
        <v>624</v>
      </c>
      <c r="J14071" s="3">
        <v>217</v>
      </c>
      <c r="K14071" s="3">
        <v>2037</v>
      </c>
      <c r="L14071" s="3">
        <v>21</v>
      </c>
      <c r="M14071" s="3">
        <v>576</v>
      </c>
    </row>
    <row r="14072" spans="1:13" x14ac:dyDescent="0.25">
      <c r="A14072" s="1" t="str">
        <f>HYPERLINK("http://www.rosaceae.org/Prunus/Prunus_persica/p.persica_gdr_reftransV1_0027395","p.persica_gdr_reftransV1_0027395")</f>
        <v>p.persica_gdr_reftransV1_0027395</v>
      </c>
      <c r="B14072" s="3">
        <v>1056</v>
      </c>
      <c r="C14072" s="1" t="str">
        <f>HYPERLINK("http://www.uniprot.org/uniprot/DTWD2_MACFA","DTWD2_MACFA")</f>
        <v>DTWD2_MACFA</v>
      </c>
      <c r="D14072" t="s">
        <v>9313</v>
      </c>
      <c r="E14072" s="3" t="s">
        <v>674</v>
      </c>
      <c r="F14072" s="4">
        <v>4.3999999999999997E-15</v>
      </c>
      <c r="G14072" s="3">
        <v>191</v>
      </c>
      <c r="H14072" s="3">
        <v>30</v>
      </c>
      <c r="I14072" s="3">
        <v>207</v>
      </c>
      <c r="J14072" s="3">
        <v>297</v>
      </c>
      <c r="K14072" s="3">
        <v>899</v>
      </c>
      <c r="L14072" s="3">
        <v>69</v>
      </c>
      <c r="M14072" s="3">
        <v>258</v>
      </c>
    </row>
    <row r="14073" spans="1:13" x14ac:dyDescent="0.25">
      <c r="A14073" s="1" t="str">
        <f>HYPERLINK("http://www.rosaceae.org/Prunus/Prunus_persica/p.persica_gdr_reftransV1_0027445","p.persica_gdr_reftransV1_0027445")</f>
        <v>p.persica_gdr_reftransV1_0027445</v>
      </c>
      <c r="B14073" s="3">
        <v>2884</v>
      </c>
      <c r="C14073" s="1" t="str">
        <f>HYPERLINK("http://www.uniprot.org/uniprot/PMT8_ARATH","PMT8_ARATH")</f>
        <v>PMT8_ARATH</v>
      </c>
      <c r="D14073" t="s">
        <v>9314</v>
      </c>
      <c r="E14073" s="3" t="s">
        <v>3</v>
      </c>
      <c r="F14073" s="4">
        <v>0</v>
      </c>
      <c r="G14073" s="3">
        <v>1725</v>
      </c>
      <c r="H14073" s="3">
        <v>76</v>
      </c>
      <c r="I14073" s="3">
        <v>440</v>
      </c>
      <c r="J14073" s="3">
        <v>356</v>
      </c>
      <c r="K14073" s="3">
        <v>1663</v>
      </c>
      <c r="L14073" s="3">
        <v>1</v>
      </c>
      <c r="M14073" s="3">
        <v>440</v>
      </c>
    </row>
    <row r="14074" spans="1:13" x14ac:dyDescent="0.25">
      <c r="A14074" s="1" t="str">
        <f>HYPERLINK("http://www.rosaceae.org/Prunus/Prunus_persica/p.persica_gdr_reftransV1_0027845","p.persica_gdr_reftransV1_0027845")</f>
        <v>p.persica_gdr_reftransV1_0027845</v>
      </c>
      <c r="B14074" s="3">
        <v>1945</v>
      </c>
      <c r="C14074" s="1" t="str">
        <f>HYPERLINK("http://www.uniprot.org/uniprot/WRP73_MOUSE","WRP73_MOUSE")</f>
        <v>WRP73_MOUSE</v>
      </c>
      <c r="D14074" t="s">
        <v>9315</v>
      </c>
      <c r="E14074" s="3" t="s">
        <v>157</v>
      </c>
      <c r="F14074" s="4">
        <v>3.9800000000000004E-145</v>
      </c>
      <c r="G14074" s="3">
        <v>1123</v>
      </c>
      <c r="H14074" s="3">
        <v>46</v>
      </c>
      <c r="I14074" s="3">
        <v>446</v>
      </c>
      <c r="J14074" s="3">
        <v>255</v>
      </c>
      <c r="K14074" s="3">
        <v>1577</v>
      </c>
      <c r="L14074" s="3">
        <v>1</v>
      </c>
      <c r="M14074" s="3">
        <v>439</v>
      </c>
    </row>
    <row r="14075" spans="1:13" x14ac:dyDescent="0.25">
      <c r="A14075" s="1" t="str">
        <f>HYPERLINK("http://www.rosaceae.org/Prunus/Prunus_persica/p.persica_gdr_reftransV1_0028095","p.persica_gdr_reftransV1_0028095")</f>
        <v>p.persica_gdr_reftransV1_0028095</v>
      </c>
      <c r="B14075" s="3">
        <v>1338</v>
      </c>
      <c r="C14075" s="1" t="str">
        <f>HYPERLINK("http://www.uniprot.org/uniprot/IF2A_SCHPO","IF2A_SCHPO")</f>
        <v>IF2A_SCHPO</v>
      </c>
      <c r="D14075" t="s">
        <v>9316</v>
      </c>
      <c r="E14075" s="3" t="s">
        <v>464</v>
      </c>
      <c r="F14075" s="4">
        <v>3.98E-95</v>
      </c>
      <c r="G14075" s="3">
        <v>756</v>
      </c>
      <c r="H14075" s="3">
        <v>54</v>
      </c>
      <c r="I14075" s="3">
        <v>302</v>
      </c>
      <c r="J14075" s="3">
        <v>357</v>
      </c>
      <c r="K14075" s="3">
        <v>1262</v>
      </c>
      <c r="L14075" s="3">
        <v>6</v>
      </c>
      <c r="M14075" s="3">
        <v>289</v>
      </c>
    </row>
    <row r="14076" spans="1:13" x14ac:dyDescent="0.25">
      <c r="A14076" s="1" t="str">
        <f>HYPERLINK("http://www.rosaceae.org/Prunus/Prunus_persica/p.persica_gdr_reftransV1_0028345","p.persica_gdr_reftransV1_0028345")</f>
        <v>p.persica_gdr_reftransV1_0028345</v>
      </c>
      <c r="B14076" s="3">
        <v>2431</v>
      </c>
      <c r="C14076" s="1" t="str">
        <f>HYPERLINK("http://www.uniprot.org/uniprot/PTST_ARATH","PTST_ARATH")</f>
        <v>PTST_ARATH</v>
      </c>
      <c r="D14076" t="s">
        <v>5511</v>
      </c>
      <c r="E14076" s="3" t="s">
        <v>3</v>
      </c>
      <c r="F14076" s="4">
        <v>4.7099999999999998E-11</v>
      </c>
      <c r="G14076" s="3">
        <v>164</v>
      </c>
      <c r="H14076" s="3">
        <v>37</v>
      </c>
      <c r="I14076" s="3">
        <v>91</v>
      </c>
      <c r="J14076" s="3">
        <v>524</v>
      </c>
      <c r="K14076" s="3">
        <v>796</v>
      </c>
      <c r="L14076" s="3">
        <v>196</v>
      </c>
      <c r="M14076" s="3">
        <v>277</v>
      </c>
    </row>
    <row r="14077" spans="1:13" x14ac:dyDescent="0.25">
      <c r="A14077" s="1" t="str">
        <f>HYPERLINK("http://www.rosaceae.org/Prunus/Prunus_persica/p.persica_gdr_reftransV1_0028495","p.persica_gdr_reftransV1_0028495")</f>
        <v>p.persica_gdr_reftransV1_0028495</v>
      </c>
      <c r="B14077" s="3">
        <v>3136</v>
      </c>
      <c r="C14077" s="1" t="str">
        <f>HYPERLINK("http://www.uniprot.org/uniprot/CPR30_ARATH","CPR30_ARATH")</f>
        <v>CPR30_ARATH</v>
      </c>
      <c r="D14077" t="s">
        <v>1594</v>
      </c>
      <c r="E14077" s="3" t="s">
        <v>3</v>
      </c>
      <c r="F14077" s="4">
        <v>1.32E-26</v>
      </c>
      <c r="G14077" s="3">
        <v>295</v>
      </c>
      <c r="H14077" s="3">
        <v>28</v>
      </c>
      <c r="I14077" s="3">
        <v>415</v>
      </c>
      <c r="J14077" s="3">
        <v>1751</v>
      </c>
      <c r="K14077" s="3">
        <v>2929</v>
      </c>
      <c r="L14077" s="3">
        <v>4</v>
      </c>
      <c r="M14077" s="3">
        <v>380</v>
      </c>
    </row>
    <row r="14078" spans="1:13" x14ac:dyDescent="0.25">
      <c r="A14078" s="1" t="str">
        <f>HYPERLINK("http://www.rosaceae.org/Prunus/Prunus_persica/p.persica_gdr_reftransV1_0028645","p.persica_gdr_reftransV1_0028645")</f>
        <v>p.persica_gdr_reftransV1_0028645</v>
      </c>
      <c r="B14078" s="3">
        <v>1128</v>
      </c>
      <c r="C14078" s="1" t="str">
        <f>HYPERLINK("http://www.uniprot.org/uniprot/PP224_ARATH","PP224_ARATH")</f>
        <v>PP224_ARATH</v>
      </c>
      <c r="D14078" t="s">
        <v>3342</v>
      </c>
      <c r="E14078" s="3" t="s">
        <v>3</v>
      </c>
      <c r="F14078" s="4">
        <v>5.9499999999999998E-91</v>
      </c>
      <c r="G14078" s="3">
        <v>752</v>
      </c>
      <c r="H14078" s="3">
        <v>74</v>
      </c>
      <c r="I14078" s="3">
        <v>200</v>
      </c>
      <c r="J14078" s="3">
        <v>2</v>
      </c>
      <c r="K14078" s="3">
        <v>601</v>
      </c>
      <c r="L14078" s="3">
        <v>495</v>
      </c>
      <c r="M14078" s="3">
        <v>694</v>
      </c>
    </row>
    <row r="14079" spans="1:13" x14ac:dyDescent="0.25">
      <c r="A14079" s="1" t="str">
        <f>HYPERLINK("http://www.rosaceae.org/Prunus/Prunus_persica/p.persica_gdr_reftransV1_0029345","p.persica_gdr_reftransV1_0029345")</f>
        <v>p.persica_gdr_reftransV1_0029345</v>
      </c>
      <c r="B14079" s="3">
        <v>2420</v>
      </c>
      <c r="C14079" s="1" t="str">
        <f>HYPERLINK("http://www.uniprot.org/uniprot/RSC5_DICDI","RSC5_DICDI")</f>
        <v>RSC5_DICDI</v>
      </c>
      <c r="D14079" t="s">
        <v>2473</v>
      </c>
      <c r="E14079" s="3" t="s">
        <v>9</v>
      </c>
      <c r="F14079" s="4">
        <v>2.53E-30</v>
      </c>
      <c r="G14079" s="3">
        <v>320</v>
      </c>
      <c r="H14079" s="3">
        <v>32</v>
      </c>
      <c r="I14079" s="3">
        <v>238</v>
      </c>
      <c r="J14079" s="3">
        <v>1175</v>
      </c>
      <c r="K14079" s="3">
        <v>1858</v>
      </c>
      <c r="L14079" s="3">
        <v>54</v>
      </c>
      <c r="M14079" s="3">
        <v>288</v>
      </c>
    </row>
    <row r="14080" spans="1:13" x14ac:dyDescent="0.25">
      <c r="A14080" s="1" t="str">
        <f>HYPERLINK("http://www.rosaceae.org/Prunus/Prunus_persica/p.persica_gdr_reftransV1_0029595","p.persica_gdr_reftransV1_0029595")</f>
        <v>p.persica_gdr_reftransV1_0029595</v>
      </c>
      <c r="B14080" s="3">
        <v>3226</v>
      </c>
      <c r="C14080" s="1" t="str">
        <f>HYPERLINK("http://www.uniprot.org/uniprot/CBF5_ARATH","CBF5_ARATH")</f>
        <v>CBF5_ARATH</v>
      </c>
      <c r="D14080" t="s">
        <v>5853</v>
      </c>
      <c r="E14080" s="3" t="s">
        <v>3</v>
      </c>
      <c r="F14080" s="4">
        <v>0</v>
      </c>
      <c r="G14080" s="3">
        <v>1861</v>
      </c>
      <c r="H14080" s="3">
        <v>91</v>
      </c>
      <c r="I14080" s="3">
        <v>386</v>
      </c>
      <c r="J14080" s="3">
        <v>1236</v>
      </c>
      <c r="K14080" s="3">
        <v>2393</v>
      </c>
      <c r="L14080" s="3">
        <v>26</v>
      </c>
      <c r="M14080" s="3">
        <v>411</v>
      </c>
    </row>
    <row r="14081" spans="1:13" x14ac:dyDescent="0.25">
      <c r="A14081" s="1" t="str">
        <f>HYPERLINK("http://www.rosaceae.org/Prunus/Prunus_persica/p.persica_gdr_reftransV1_0029695","p.persica_gdr_reftransV1_0029695")</f>
        <v>p.persica_gdr_reftransV1_0029695</v>
      </c>
      <c r="B14081" s="3">
        <v>2373</v>
      </c>
      <c r="C14081" s="1" t="str">
        <f>HYPERLINK("http://www.uniprot.org/uniprot/PUB4_ARATH","PUB4_ARATH")</f>
        <v>PUB4_ARATH</v>
      </c>
      <c r="D14081" t="s">
        <v>1286</v>
      </c>
      <c r="E14081" s="3" t="s">
        <v>3</v>
      </c>
      <c r="F14081" s="4">
        <v>9.1799999999999994E-62</v>
      </c>
      <c r="G14081" s="3">
        <v>580</v>
      </c>
      <c r="H14081" s="3">
        <v>50</v>
      </c>
      <c r="I14081" s="3">
        <v>266</v>
      </c>
      <c r="J14081" s="3">
        <v>920</v>
      </c>
      <c r="K14081" s="3">
        <v>1717</v>
      </c>
      <c r="L14081" s="3">
        <v>543</v>
      </c>
      <c r="M14081" s="3">
        <v>807</v>
      </c>
    </row>
    <row r="14082" spans="1:13" x14ac:dyDescent="0.25">
      <c r="A14082" s="1" t="str">
        <f>HYPERLINK("http://www.rosaceae.org/Prunus/Prunus_persica/p.persica_gdr_reftransV1_0029895","p.persica_gdr_reftransV1_0029895")</f>
        <v>p.persica_gdr_reftransV1_0029895</v>
      </c>
      <c r="B14082" s="3">
        <v>3539</v>
      </c>
      <c r="C14082" s="1" t="str">
        <f>HYPERLINK("http://www.uniprot.org/uniprot/LYK3_ARATH","LYK3_ARATH")</f>
        <v>LYK3_ARATH</v>
      </c>
      <c r="D14082" t="s">
        <v>1153</v>
      </c>
      <c r="E14082" s="3" t="s">
        <v>3</v>
      </c>
      <c r="F14082" s="4">
        <v>2.3400000000000002E-143</v>
      </c>
      <c r="G14082" s="3">
        <v>1169</v>
      </c>
      <c r="H14082" s="3">
        <v>61</v>
      </c>
      <c r="I14082" s="3">
        <v>436</v>
      </c>
      <c r="J14082" s="3">
        <v>1268</v>
      </c>
      <c r="K14082" s="3">
        <v>2548</v>
      </c>
      <c r="L14082" s="3">
        <v>21</v>
      </c>
      <c r="M14082" s="3">
        <v>443</v>
      </c>
    </row>
    <row r="14083" spans="1:13" x14ac:dyDescent="0.25">
      <c r="A14083" s="1" t="str">
        <f>HYPERLINK("http://www.rosaceae.org/Prunus/Prunus_persica/p.persica_gdr_reftransV1_0029995","p.persica_gdr_reftransV1_0029995")</f>
        <v>p.persica_gdr_reftransV1_0029995</v>
      </c>
      <c r="B14083" s="3">
        <v>2908</v>
      </c>
      <c r="C14083" s="1" t="str">
        <f>HYPERLINK("http://www.uniprot.org/uniprot/CESA3_ARATH","CESA3_ARATH")</f>
        <v>CESA3_ARATH</v>
      </c>
      <c r="D14083" t="s">
        <v>8194</v>
      </c>
      <c r="E14083" s="3" t="s">
        <v>3</v>
      </c>
      <c r="F14083" s="4">
        <v>0</v>
      </c>
      <c r="G14083" s="3">
        <v>1852</v>
      </c>
      <c r="H14083" s="3">
        <v>93</v>
      </c>
      <c r="I14083" s="3">
        <v>380</v>
      </c>
      <c r="J14083" s="3">
        <v>396</v>
      </c>
      <c r="K14083" s="3">
        <v>1535</v>
      </c>
      <c r="L14083" s="3">
        <v>686</v>
      </c>
      <c r="M14083" s="3">
        <v>1065</v>
      </c>
    </row>
    <row r="14084" spans="1:13" x14ac:dyDescent="0.25">
      <c r="A14084" s="1" t="str">
        <f>HYPERLINK("http://www.rosaceae.org/Prunus/Prunus_persica/p.persica_gdr_reftransV1_0030395","p.persica_gdr_reftransV1_0030395")</f>
        <v>p.persica_gdr_reftransV1_0030395</v>
      </c>
      <c r="B14084" s="3">
        <v>3825</v>
      </c>
      <c r="C14084" s="1" t="str">
        <f>HYPERLINK("http://www.uniprot.org/uniprot/Y3330_ARATH","Y3330_ARATH")</f>
        <v>Y3330_ARATH</v>
      </c>
      <c r="D14084" t="s">
        <v>9317</v>
      </c>
      <c r="E14084" s="3" t="s">
        <v>3</v>
      </c>
      <c r="F14084" s="4">
        <v>0</v>
      </c>
      <c r="G14084" s="3">
        <v>1884</v>
      </c>
      <c r="H14084" s="3">
        <v>66</v>
      </c>
      <c r="I14084" s="3">
        <v>545</v>
      </c>
      <c r="J14084" s="3">
        <v>2030</v>
      </c>
      <c r="K14084" s="3">
        <v>3640</v>
      </c>
      <c r="L14084" s="3">
        <v>47</v>
      </c>
      <c r="M14084" s="3">
        <v>590</v>
      </c>
    </row>
    <row r="14085" spans="1:13" x14ac:dyDescent="0.25">
      <c r="A14085" s="1" t="str">
        <f>HYPERLINK("http://www.rosaceae.org/Prunus/Prunus_persica/p.persica_gdr_reftransV1_0030545","p.persica_gdr_reftransV1_0030545")</f>
        <v>p.persica_gdr_reftransV1_0030545</v>
      </c>
      <c r="B14085" s="3">
        <v>2126</v>
      </c>
      <c r="C14085" s="1" t="str">
        <f>HYPERLINK("http://www.uniprot.org/uniprot/AX15A_SOYBN","AX15A_SOYBN")</f>
        <v>AX15A_SOYBN</v>
      </c>
      <c r="D14085" t="s">
        <v>2397</v>
      </c>
      <c r="E14085" s="3" t="s">
        <v>307</v>
      </c>
      <c r="F14085" s="4">
        <v>3.0999999999999999E-19</v>
      </c>
      <c r="G14085" s="3">
        <v>217</v>
      </c>
      <c r="H14085" s="3">
        <v>58</v>
      </c>
      <c r="I14085" s="3">
        <v>67</v>
      </c>
      <c r="J14085" s="3">
        <v>1451</v>
      </c>
      <c r="K14085" s="3">
        <v>1648</v>
      </c>
      <c r="L14085" s="3">
        <v>15</v>
      </c>
      <c r="M14085" s="3">
        <v>81</v>
      </c>
    </row>
    <row r="14086" spans="1:13" x14ac:dyDescent="0.25">
      <c r="A14086" s="1" t="str">
        <f>HYPERLINK("http://www.rosaceae.org/Prunus/Prunus_persica/p.persica_gdr_reftransV1_0030745","p.persica_gdr_reftransV1_0030745")</f>
        <v>p.persica_gdr_reftransV1_0030745</v>
      </c>
      <c r="B14086" s="3">
        <v>4389</v>
      </c>
      <c r="C14086" s="1" t="str">
        <f>HYPERLINK("http://www.uniprot.org/uniprot/SPL6_ORYSJ","SPL6_ORYSJ")</f>
        <v>SPL6_ORYSJ</v>
      </c>
      <c r="D14086" t="s">
        <v>9318</v>
      </c>
      <c r="E14086" s="3" t="s">
        <v>38</v>
      </c>
      <c r="F14086" s="4">
        <v>4.4899999999999997E-99</v>
      </c>
      <c r="G14086" s="3">
        <v>887</v>
      </c>
      <c r="H14086" s="3">
        <v>37</v>
      </c>
      <c r="I14086" s="3">
        <v>686</v>
      </c>
      <c r="J14086" s="3">
        <v>1786</v>
      </c>
      <c r="K14086" s="3">
        <v>3801</v>
      </c>
      <c r="L14086" s="3">
        <v>1</v>
      </c>
      <c r="M14086" s="3">
        <v>631</v>
      </c>
    </row>
    <row r="14087" spans="1:13" x14ac:dyDescent="0.25">
      <c r="A14087" s="1" t="str">
        <f>HYPERLINK("http://www.rosaceae.org/Prunus/Prunus_persica/p.persica_gdr_reftransV1_0030945","p.persica_gdr_reftransV1_0030945")</f>
        <v>p.persica_gdr_reftransV1_0030945</v>
      </c>
      <c r="B14087" s="3">
        <v>434</v>
      </c>
      <c r="C14087" s="1" t="str">
        <f>HYPERLINK("http://www.uniprot.org/uniprot/E1314_ARATH","E1314_ARATH")</f>
        <v>E1314_ARATH</v>
      </c>
      <c r="D14087" t="s">
        <v>7783</v>
      </c>
      <c r="E14087" s="3" t="s">
        <v>3</v>
      </c>
      <c r="F14087" s="4">
        <v>2.65E-26</v>
      </c>
      <c r="G14087" s="3">
        <v>263</v>
      </c>
      <c r="H14087" s="3">
        <v>65</v>
      </c>
      <c r="I14087" s="3">
        <v>75</v>
      </c>
      <c r="J14087" s="3">
        <v>2</v>
      </c>
      <c r="K14087" s="3">
        <v>226</v>
      </c>
      <c r="L14087" s="3">
        <v>274</v>
      </c>
      <c r="M14087" s="3">
        <v>348</v>
      </c>
    </row>
    <row r="14088" spans="1:13" x14ac:dyDescent="0.25">
      <c r="A14088" s="1" t="str">
        <f>HYPERLINK("http://www.rosaceae.org/Prunus/Prunus_persica/p.persica_gdr_reftransV1_0031495","p.persica_gdr_reftransV1_0031495")</f>
        <v>p.persica_gdr_reftransV1_0031495</v>
      </c>
      <c r="B14088" s="3">
        <v>3224</v>
      </c>
      <c r="C14088" s="1" t="str">
        <f>HYPERLINK("http://www.uniprot.org/uniprot/IF5_PHAVU","IF5_PHAVU")</f>
        <v>IF5_PHAVU</v>
      </c>
      <c r="D14088" t="s">
        <v>9319</v>
      </c>
      <c r="E14088" s="3" t="s">
        <v>2044</v>
      </c>
      <c r="F14088" s="4">
        <v>4.7300000000000001E-177</v>
      </c>
      <c r="G14088" s="3">
        <v>1370</v>
      </c>
      <c r="H14088" s="3">
        <v>69</v>
      </c>
      <c r="I14088" s="3">
        <v>443</v>
      </c>
      <c r="J14088" s="3">
        <v>1345</v>
      </c>
      <c r="K14088" s="3">
        <v>2631</v>
      </c>
      <c r="L14088" s="3">
        <v>1</v>
      </c>
      <c r="M14088" s="3">
        <v>443</v>
      </c>
    </row>
    <row r="14089" spans="1:13" x14ac:dyDescent="0.25">
      <c r="A14089" s="1" t="str">
        <f>HYPERLINK("http://www.rosaceae.org/Prunus/Prunus_persica/p.persica_gdr_reftransV1_0031595","p.persica_gdr_reftransV1_0031595")</f>
        <v>p.persica_gdr_reftransV1_0031595</v>
      </c>
      <c r="B14089" s="3">
        <v>3367</v>
      </c>
      <c r="C14089" s="1" t="str">
        <f>HYPERLINK("http://www.uniprot.org/uniprot/SPZX_HORVU","SPZX_HORVU")</f>
        <v>SPZX_HORVU</v>
      </c>
      <c r="D14089" t="s">
        <v>9320</v>
      </c>
      <c r="E14089" s="3" t="s">
        <v>769</v>
      </c>
      <c r="F14089" s="4">
        <v>3.1799999999999999E-105</v>
      </c>
      <c r="G14089" s="3">
        <v>878</v>
      </c>
      <c r="H14089" s="3">
        <v>67</v>
      </c>
      <c r="I14089" s="3">
        <v>248</v>
      </c>
      <c r="J14089" s="3">
        <v>2175</v>
      </c>
      <c r="K14089" s="3">
        <v>2906</v>
      </c>
      <c r="L14089" s="3">
        <v>144</v>
      </c>
      <c r="M14089" s="3">
        <v>391</v>
      </c>
    </row>
    <row r="14090" spans="1:13" x14ac:dyDescent="0.25">
      <c r="A14090" s="1" t="str">
        <f>HYPERLINK("http://www.rosaceae.org/Prunus/Prunus_persica/p.persica_gdr_reftransV1_0031695","p.persica_gdr_reftransV1_0031695")</f>
        <v>p.persica_gdr_reftransV1_0031695</v>
      </c>
      <c r="B14090" s="3">
        <v>2250</v>
      </c>
      <c r="C14090" s="1" t="str">
        <f>HYPERLINK("http://www.uniprot.org/uniprot/Gid8_NEMVE","Gid8_NEMVE")</f>
        <v>Gid8_NEMVE</v>
      </c>
      <c r="D14090" t="s">
        <v>9321</v>
      </c>
      <c r="E14090" s="3" t="s">
        <v>1392</v>
      </c>
      <c r="F14090" s="4">
        <v>6.9299999999999997E-25</v>
      </c>
      <c r="G14090" s="3">
        <v>271</v>
      </c>
      <c r="H14090" s="3">
        <v>37</v>
      </c>
      <c r="I14090" s="3">
        <v>156</v>
      </c>
      <c r="J14090" s="3">
        <v>1163</v>
      </c>
      <c r="K14090" s="3">
        <v>1627</v>
      </c>
      <c r="L14090" s="3">
        <v>25</v>
      </c>
      <c r="M14090" s="3">
        <v>179</v>
      </c>
    </row>
    <row r="14091" spans="1:13" x14ac:dyDescent="0.25">
      <c r="A14091" s="1" t="str">
        <f>HYPERLINK("http://www.rosaceae.org/Prunus/Prunus_persica/p.persica_gdr_reftransV1_0032245","p.persica_gdr_reftransV1_0032245")</f>
        <v>p.persica_gdr_reftransV1_0032245</v>
      </c>
      <c r="B14091" s="3">
        <v>5471</v>
      </c>
      <c r="C14091" s="1" t="str">
        <f>HYPERLINK("http://www.uniprot.org/uniprot/UGGG_ARATH","UGGG_ARATH")</f>
        <v>UGGG_ARATH</v>
      </c>
      <c r="D14091" t="s">
        <v>9322</v>
      </c>
      <c r="E14091" s="3" t="s">
        <v>3</v>
      </c>
      <c r="F14091" s="4">
        <v>0</v>
      </c>
      <c r="G14091" s="3">
        <v>3785</v>
      </c>
      <c r="H14091" s="3">
        <v>66</v>
      </c>
      <c r="I14091" s="3">
        <v>1114</v>
      </c>
      <c r="J14091" s="3">
        <v>166</v>
      </c>
      <c r="K14091" s="3">
        <v>3477</v>
      </c>
      <c r="L14091" s="3">
        <v>1</v>
      </c>
      <c r="M14091" s="3">
        <v>1088</v>
      </c>
    </row>
    <row r="14092" spans="1:13" x14ac:dyDescent="0.25">
      <c r="A14092" s="1" t="str">
        <f>HYPERLINK("http://www.rosaceae.org/Prunus/Prunus_persica/p.persica_gdr_reftransV1_0032295","p.persica_gdr_reftransV1_0032295")</f>
        <v>p.persica_gdr_reftransV1_0032295</v>
      </c>
      <c r="B14092" s="3">
        <v>839</v>
      </c>
      <c r="C14092" s="1" t="str">
        <f>HYPERLINK("http://www.uniprot.org/uniprot/BPHD_BURCE","BPHD_BURCE")</f>
        <v>BPHD_BURCE</v>
      </c>
      <c r="D14092" t="s">
        <v>9323</v>
      </c>
      <c r="E14092" s="3" t="s">
        <v>9324</v>
      </c>
      <c r="F14092" s="4">
        <v>3.8799999999999998E-9</v>
      </c>
      <c r="G14092" s="3">
        <v>144</v>
      </c>
      <c r="H14092" s="3">
        <v>24</v>
      </c>
      <c r="I14092" s="3">
        <v>243</v>
      </c>
      <c r="J14092" s="3">
        <v>3</v>
      </c>
      <c r="K14092" s="3">
        <v>704</v>
      </c>
      <c r="L14092" s="3">
        <v>54</v>
      </c>
      <c r="M14092" s="3">
        <v>286</v>
      </c>
    </row>
    <row r="14093" spans="1:13" x14ac:dyDescent="0.25">
      <c r="A14093" s="1" t="str">
        <f>HYPERLINK("http://www.rosaceae.org/Prunus/Prunus_persica/p.persica_gdr_reftransV1_0032345","p.persica_gdr_reftransV1_0032345")</f>
        <v>p.persica_gdr_reftransV1_0032345</v>
      </c>
      <c r="B14093" s="3">
        <v>1238</v>
      </c>
      <c r="C14093" s="1" t="str">
        <f>HYPERLINK("http://www.uniprot.org/uniprot/MSRB2_ARATH","MSRB2_ARATH")</f>
        <v>MSRB2_ARATH</v>
      </c>
      <c r="D14093" t="s">
        <v>9325</v>
      </c>
      <c r="E14093" s="3" t="s">
        <v>3</v>
      </c>
      <c r="F14093" s="4">
        <v>2.7099999999999999E-78</v>
      </c>
      <c r="G14093" s="3">
        <v>631</v>
      </c>
      <c r="H14093" s="3">
        <v>79</v>
      </c>
      <c r="I14093" s="3">
        <v>146</v>
      </c>
      <c r="J14093" s="3">
        <v>516</v>
      </c>
      <c r="K14093" s="3">
        <v>947</v>
      </c>
      <c r="L14093" s="3">
        <v>54</v>
      </c>
      <c r="M14093" s="3">
        <v>199</v>
      </c>
    </row>
    <row r="14094" spans="1:13" x14ac:dyDescent="0.25">
      <c r="A14094" s="1" t="str">
        <f>HYPERLINK("http://www.rosaceae.org/Prunus/Prunus_persica/p.persica_gdr_reftransV1_0032645","p.persica_gdr_reftransV1_0032645")</f>
        <v>p.persica_gdr_reftransV1_0032645</v>
      </c>
      <c r="B14094" s="3">
        <v>6418</v>
      </c>
      <c r="C14094" s="1" t="str">
        <f>HYPERLINK("http://www.uniprot.org/uniprot/SLPI_SCHPO","SLPI_SCHPO")</f>
        <v>SLPI_SCHPO</v>
      </c>
      <c r="D14094" t="s">
        <v>9326</v>
      </c>
      <c r="E14094" s="3" t="s">
        <v>464</v>
      </c>
      <c r="F14094" s="4">
        <v>2.15E-31</v>
      </c>
      <c r="G14094" s="3">
        <v>344</v>
      </c>
      <c r="H14094" s="3">
        <v>46</v>
      </c>
      <c r="I14094" s="3">
        <v>149</v>
      </c>
      <c r="J14094" s="3">
        <v>1336</v>
      </c>
      <c r="K14094" s="3">
        <v>1773</v>
      </c>
      <c r="L14094" s="3">
        <v>193</v>
      </c>
      <c r="M14094" s="3">
        <v>341</v>
      </c>
    </row>
    <row r="14095" spans="1:13" x14ac:dyDescent="0.25">
      <c r="A14095" s="1" t="str">
        <f>HYPERLINK("http://www.rosaceae.org/Prunus/Prunus_persica/p.persica_gdr_reftransV1_0032995","p.persica_gdr_reftransV1_0032995")</f>
        <v>p.persica_gdr_reftransV1_0032995</v>
      </c>
      <c r="B14095" s="3">
        <v>1545</v>
      </c>
      <c r="C14095" s="1" t="str">
        <f>HYPERLINK("http://www.uniprot.org/uniprot/GP210_ARATH","GP210_ARATH")</f>
        <v>GP210_ARATH</v>
      </c>
      <c r="D14095" t="s">
        <v>2756</v>
      </c>
      <c r="E14095" s="3" t="s">
        <v>3</v>
      </c>
      <c r="F14095" s="4">
        <v>2.3200000000000001E-27</v>
      </c>
      <c r="G14095" s="3">
        <v>302</v>
      </c>
      <c r="H14095" s="3">
        <v>83</v>
      </c>
      <c r="I14095" s="3">
        <v>66</v>
      </c>
      <c r="J14095" s="3">
        <v>2</v>
      </c>
      <c r="K14095" s="3">
        <v>199</v>
      </c>
      <c r="L14095" s="3">
        <v>82</v>
      </c>
      <c r="M14095" s="3">
        <v>147</v>
      </c>
    </row>
    <row r="14096" spans="1:13" x14ac:dyDescent="0.25">
      <c r="A14096" s="1" t="str">
        <f>HYPERLINK("http://www.rosaceae.org/Prunus/Prunus_persica/p.persica_gdr_reftransV1_0033145","p.persica_gdr_reftransV1_0033145")</f>
        <v>p.persica_gdr_reftransV1_0033145</v>
      </c>
      <c r="B14096" s="3">
        <v>2850</v>
      </c>
      <c r="C14096" s="1" t="str">
        <f>HYPERLINK("http://www.uniprot.org/uniprot/CHLD_PEA","CHLD_PEA")</f>
        <v>CHLD_PEA</v>
      </c>
      <c r="D14096" t="s">
        <v>9327</v>
      </c>
      <c r="E14096" s="3" t="s">
        <v>60</v>
      </c>
      <c r="F14096" s="4">
        <v>0</v>
      </c>
      <c r="G14096" s="3">
        <v>2787</v>
      </c>
      <c r="H14096" s="3">
        <v>85</v>
      </c>
      <c r="I14096" s="3">
        <v>702</v>
      </c>
      <c r="J14096" s="3">
        <v>286</v>
      </c>
      <c r="K14096" s="3">
        <v>2388</v>
      </c>
      <c r="L14096" s="3">
        <v>53</v>
      </c>
      <c r="M14096" s="3">
        <v>754</v>
      </c>
    </row>
    <row r="14097" spans="1:13" x14ac:dyDescent="0.25">
      <c r="A14097" s="1" t="str">
        <f>HYPERLINK("http://www.rosaceae.org/Prunus/Prunus_persica/p.persica_gdr_reftransV1_0033445","p.persica_gdr_reftransV1_0033445")</f>
        <v>p.persica_gdr_reftransV1_0033445</v>
      </c>
      <c r="B14097" s="3">
        <v>1502</v>
      </c>
      <c r="C14097" s="1" t="str">
        <f>HYPERLINK("http://www.uniprot.org/uniprot/AKRC9_ARATH","AKRC9_ARATH")</f>
        <v>AKRC9_ARATH</v>
      </c>
      <c r="D14097" t="s">
        <v>2155</v>
      </c>
      <c r="E14097" s="3" t="s">
        <v>3</v>
      </c>
      <c r="F14097" s="4">
        <v>6.1700000000000007E-151</v>
      </c>
      <c r="G14097" s="3">
        <v>1133</v>
      </c>
      <c r="H14097" s="3">
        <v>69</v>
      </c>
      <c r="I14097" s="3">
        <v>315</v>
      </c>
      <c r="J14097" s="3">
        <v>316</v>
      </c>
      <c r="K14097" s="3">
        <v>1239</v>
      </c>
      <c r="L14097" s="3">
        <v>1</v>
      </c>
      <c r="M14097" s="3">
        <v>315</v>
      </c>
    </row>
    <row r="14098" spans="1:13" x14ac:dyDescent="0.25">
      <c r="A14098" s="1" t="str">
        <f>HYPERLINK("http://www.rosaceae.org/Prunus/Prunus_persica/p.persica_gdr_reftransV1_0033795","p.persica_gdr_reftransV1_0033795")</f>
        <v>p.persica_gdr_reftransV1_0033795</v>
      </c>
      <c r="B14098" s="3">
        <v>2633</v>
      </c>
      <c r="C14098" s="1" t="str">
        <f>HYPERLINK("http://www.uniprot.org/uniprot/DHX35_HUMAN","DHX35_HUMAN")</f>
        <v>DHX35_HUMAN</v>
      </c>
      <c r="D14098" t="s">
        <v>9328</v>
      </c>
      <c r="E14098" s="3" t="s">
        <v>28</v>
      </c>
      <c r="F14098" s="4">
        <v>0</v>
      </c>
      <c r="G14098" s="3">
        <v>1473</v>
      </c>
      <c r="H14098" s="3">
        <v>53</v>
      </c>
      <c r="I14098" s="3">
        <v>547</v>
      </c>
      <c r="J14098" s="3">
        <v>131</v>
      </c>
      <c r="K14098" s="3">
        <v>1741</v>
      </c>
      <c r="L14098" s="3">
        <v>9</v>
      </c>
      <c r="M14098" s="3">
        <v>546</v>
      </c>
    </row>
    <row r="14099" spans="1:13" x14ac:dyDescent="0.25">
      <c r="A14099" s="1" t="str">
        <f>HYPERLINK("http://www.rosaceae.org/Prunus/Prunus_persica/p.persica_gdr_reftransV1_0033845","p.persica_gdr_reftransV1_0033845")</f>
        <v>p.persica_gdr_reftransV1_0033845</v>
      </c>
      <c r="B14099" s="3">
        <v>4141</v>
      </c>
      <c r="C14099" s="1" t="str">
        <f>HYPERLINK("http://www.uniprot.org/uniprot/MKP1_ARATH","MKP1_ARATH")</f>
        <v>MKP1_ARATH</v>
      </c>
      <c r="D14099" t="s">
        <v>8189</v>
      </c>
      <c r="E14099" s="3" t="s">
        <v>3</v>
      </c>
      <c r="F14099" s="4">
        <v>0</v>
      </c>
      <c r="G14099" s="3">
        <v>1947</v>
      </c>
      <c r="H14099" s="3">
        <v>71</v>
      </c>
      <c r="I14099" s="3">
        <v>503</v>
      </c>
      <c r="J14099" s="3">
        <v>2186</v>
      </c>
      <c r="K14099" s="3">
        <v>3685</v>
      </c>
      <c r="L14099" s="3">
        <v>1</v>
      </c>
      <c r="M14099" s="3">
        <v>488</v>
      </c>
    </row>
    <row r="14100" spans="1:13" x14ac:dyDescent="0.25">
      <c r="A14100" s="1" t="str">
        <f>HYPERLINK("http://www.rosaceae.org/Prunus/Prunus_persica/p.persica_gdr_reftransV1_0034195","p.persica_gdr_reftransV1_0034195")</f>
        <v>p.persica_gdr_reftransV1_0034195</v>
      </c>
      <c r="B14100" s="3">
        <v>1224</v>
      </c>
      <c r="C14100" s="1" t="str">
        <f>HYPERLINK("http://www.uniprot.org/uniprot/MY113_ARATH","MY113_ARATH")</f>
        <v>MY113_ARATH</v>
      </c>
      <c r="D14100" t="s">
        <v>3584</v>
      </c>
      <c r="E14100" s="3" t="s">
        <v>3</v>
      </c>
      <c r="F14100" s="4">
        <v>1.8300000000000001E-57</v>
      </c>
      <c r="G14100" s="3">
        <v>494</v>
      </c>
      <c r="H14100" s="3">
        <v>49</v>
      </c>
      <c r="I14100" s="3">
        <v>213</v>
      </c>
      <c r="J14100" s="3">
        <v>163</v>
      </c>
      <c r="K14100" s="3">
        <v>717</v>
      </c>
      <c r="L14100" s="3">
        <v>7</v>
      </c>
      <c r="M14100" s="3">
        <v>219</v>
      </c>
    </row>
    <row r="14101" spans="1:13" x14ac:dyDescent="0.25">
      <c r="A14101" s="1" t="str">
        <f>HYPERLINK("http://www.rosaceae.org/Prunus/Prunus_persica/p.persica_gdr_reftransV1_0034395","p.persica_gdr_reftransV1_0034395")</f>
        <v>p.persica_gdr_reftransV1_0034395</v>
      </c>
      <c r="B14101" s="3">
        <v>1861</v>
      </c>
      <c r="C14101" s="1" t="str">
        <f>HYPERLINK("http://www.uniprot.org/uniprot/PP363_ARATH","PP363_ARATH")</f>
        <v>PP363_ARATH</v>
      </c>
      <c r="D14101" t="s">
        <v>3889</v>
      </c>
      <c r="E14101" s="3" t="s">
        <v>3</v>
      </c>
      <c r="F14101" s="4">
        <v>0</v>
      </c>
      <c r="G14101" s="3">
        <v>1466</v>
      </c>
      <c r="H14101" s="3">
        <v>58</v>
      </c>
      <c r="I14101" s="3">
        <v>490</v>
      </c>
      <c r="J14101" s="3">
        <v>406</v>
      </c>
      <c r="K14101" s="3">
        <v>1860</v>
      </c>
      <c r="L14101" s="3">
        <v>90</v>
      </c>
      <c r="M14101" s="3">
        <v>578</v>
      </c>
    </row>
    <row r="14102" spans="1:13" x14ac:dyDescent="0.25">
      <c r="A14102" s="1" t="str">
        <f>HYPERLINK("http://www.rosaceae.org/Prunus/Prunus_persica/p.persica_gdr_reftransV1_0034545","p.persica_gdr_reftransV1_0034545")</f>
        <v>p.persica_gdr_reftransV1_0034545</v>
      </c>
      <c r="B14102" s="3">
        <v>1941</v>
      </c>
      <c r="C14102" s="1" t="str">
        <f>HYPERLINK("http://www.uniprot.org/uniprot/VA727_ARATH","VA727_ARATH")</f>
        <v>VA727_ARATH</v>
      </c>
      <c r="D14102" t="s">
        <v>9329</v>
      </c>
      <c r="E14102" s="3" t="s">
        <v>3</v>
      </c>
      <c r="F14102" s="4">
        <v>3.6500000000000001E-122</v>
      </c>
      <c r="G14102" s="3">
        <v>948</v>
      </c>
      <c r="H14102" s="3">
        <v>87</v>
      </c>
      <c r="I14102" s="3">
        <v>214</v>
      </c>
      <c r="J14102" s="3">
        <v>493</v>
      </c>
      <c r="K14102" s="3">
        <v>1134</v>
      </c>
      <c r="L14102" s="3">
        <v>1</v>
      </c>
      <c r="M14102" s="3">
        <v>214</v>
      </c>
    </row>
    <row r="14103" spans="1:13" x14ac:dyDescent="0.25">
      <c r="A14103" s="1" t="str">
        <f>HYPERLINK("http://www.rosaceae.org/Prunus/Prunus_persica/p.persica_gdr_reftransV1_0034645","p.persica_gdr_reftransV1_0034645")</f>
        <v>p.persica_gdr_reftransV1_0034645</v>
      </c>
      <c r="B14103" s="3">
        <v>3354</v>
      </c>
      <c r="C14103" s="1" t="str">
        <f>HYPERLINK("http://www.uniprot.org/uniprot/SYIM_ARATH","SYIM_ARATH")</f>
        <v>SYIM_ARATH</v>
      </c>
      <c r="D14103" t="s">
        <v>6696</v>
      </c>
      <c r="E14103" s="3" t="s">
        <v>3</v>
      </c>
      <c r="F14103" s="4">
        <v>0</v>
      </c>
      <c r="G14103" s="3">
        <v>3411</v>
      </c>
      <c r="H14103" s="3">
        <v>79</v>
      </c>
      <c r="I14103" s="3">
        <v>837</v>
      </c>
      <c r="J14103" s="3">
        <v>849</v>
      </c>
      <c r="K14103" s="3">
        <v>3353</v>
      </c>
      <c r="L14103" s="3">
        <v>20</v>
      </c>
      <c r="M14103" s="3">
        <v>854</v>
      </c>
    </row>
    <row r="14104" spans="1:13" x14ac:dyDescent="0.25">
      <c r="A14104" s="1" t="str">
        <f>HYPERLINK("http://www.rosaceae.org/Prunus/Prunus_persica/p.persica_gdr_reftransV1_0034995","p.persica_gdr_reftransV1_0034995")</f>
        <v>p.persica_gdr_reftransV1_0034995</v>
      </c>
      <c r="B14104" s="3">
        <v>2062</v>
      </c>
      <c r="C14104" s="1" t="str">
        <f>HYPERLINK("http://www.uniprot.org/uniprot/TBL1X_HUMAN","TBL1X_HUMAN")</f>
        <v>TBL1X_HUMAN</v>
      </c>
      <c r="D14104" t="s">
        <v>9330</v>
      </c>
      <c r="E14104" s="3" t="s">
        <v>28</v>
      </c>
      <c r="F14104" s="4">
        <v>4.7699999999999999E-165</v>
      </c>
      <c r="G14104" s="3">
        <v>1270</v>
      </c>
      <c r="H14104" s="3">
        <v>51</v>
      </c>
      <c r="I14104" s="3">
        <v>554</v>
      </c>
      <c r="J14104" s="3">
        <v>147</v>
      </c>
      <c r="K14104" s="3">
        <v>1799</v>
      </c>
      <c r="L14104" s="3">
        <v>57</v>
      </c>
      <c r="M14104" s="3">
        <v>576</v>
      </c>
    </row>
    <row r="14105" spans="1:13" x14ac:dyDescent="0.25">
      <c r="A14105" s="1" t="str">
        <f>HYPERLINK("http://www.rosaceae.org/Prunus/Prunus_persica/p.persica_gdr_reftransV1_0035045","p.persica_gdr_reftransV1_0035045")</f>
        <v>p.persica_gdr_reftransV1_0035045</v>
      </c>
      <c r="B14105" s="3">
        <v>2058</v>
      </c>
      <c r="C14105" s="1" t="str">
        <f>HYPERLINK("http://www.uniprot.org/uniprot/DCP2_ARATH","DCP2_ARATH")</f>
        <v>DCP2_ARATH</v>
      </c>
      <c r="D14105" t="s">
        <v>9331</v>
      </c>
      <c r="E14105" s="3" t="s">
        <v>3</v>
      </c>
      <c r="F14105" s="4">
        <v>1.7300000000000001E-111</v>
      </c>
      <c r="G14105" s="3">
        <v>892</v>
      </c>
      <c r="H14105" s="3">
        <v>83</v>
      </c>
      <c r="I14105" s="3">
        <v>205</v>
      </c>
      <c r="J14105" s="3">
        <v>1160</v>
      </c>
      <c r="K14105" s="3">
        <v>1768</v>
      </c>
      <c r="L14105" s="3">
        <v>1</v>
      </c>
      <c r="M14105" s="3">
        <v>205</v>
      </c>
    </row>
    <row r="14106" spans="1:13" x14ac:dyDescent="0.25">
      <c r="A14106" s="1" t="str">
        <f>HYPERLINK("http://www.rosaceae.org/Prunus/Prunus_persica/p.persica_gdr_reftransV1_0035495","p.persica_gdr_reftransV1_0035495")</f>
        <v>p.persica_gdr_reftransV1_0035495</v>
      </c>
      <c r="B14106" s="3">
        <v>4597</v>
      </c>
      <c r="C14106" s="1" t="str">
        <f>HYPERLINK("http://www.uniprot.org/uniprot/SYMPK_HUMAN","SYMPK_HUMAN")</f>
        <v>SYMPK_HUMAN</v>
      </c>
      <c r="D14106" t="s">
        <v>2039</v>
      </c>
      <c r="E14106" s="3" t="s">
        <v>28</v>
      </c>
      <c r="F14106" s="4">
        <v>6.8400000000000004E-79</v>
      </c>
      <c r="G14106" s="3">
        <v>742</v>
      </c>
      <c r="H14106" s="3">
        <v>32</v>
      </c>
      <c r="I14106" s="3">
        <v>666</v>
      </c>
      <c r="J14106" s="3">
        <v>499</v>
      </c>
      <c r="K14106" s="3">
        <v>2463</v>
      </c>
      <c r="L14106" s="3">
        <v>494</v>
      </c>
      <c r="M14106" s="3">
        <v>1098</v>
      </c>
    </row>
    <row r="14107" spans="1:13" x14ac:dyDescent="0.25">
      <c r="A14107" s="1" t="str">
        <f>HYPERLINK("http://www.rosaceae.org/Prunus/Prunus_persica/p.persica_gdr_reftransV1_0035545","p.persica_gdr_reftransV1_0035545")</f>
        <v>p.persica_gdr_reftransV1_0035545</v>
      </c>
      <c r="B14107" s="3">
        <v>1974</v>
      </c>
      <c r="C14107" s="1" t="str">
        <f>HYPERLINK("http://www.uniprot.org/uniprot/LYM1_ARATH","LYM1_ARATH")</f>
        <v>LYM1_ARATH</v>
      </c>
      <c r="D14107" t="s">
        <v>1086</v>
      </c>
      <c r="E14107" s="3" t="s">
        <v>3</v>
      </c>
      <c r="F14107" s="4">
        <v>2.2000000000000001E-180</v>
      </c>
      <c r="G14107" s="3">
        <v>1354</v>
      </c>
      <c r="H14107" s="3">
        <v>71</v>
      </c>
      <c r="I14107" s="3">
        <v>357</v>
      </c>
      <c r="J14107" s="3">
        <v>522</v>
      </c>
      <c r="K14107" s="3">
        <v>1592</v>
      </c>
      <c r="L14107" s="3">
        <v>5</v>
      </c>
      <c r="M14107" s="3">
        <v>359</v>
      </c>
    </row>
    <row r="14108" spans="1:13" x14ac:dyDescent="0.25">
      <c r="A14108" s="1" t="str">
        <f>HYPERLINK("http://www.rosaceae.org/Prunus/Prunus_persica/p.persica_gdr_reftransV1_0035695","p.persica_gdr_reftransV1_0035695")</f>
        <v>p.persica_gdr_reftransV1_0035695</v>
      </c>
      <c r="B14108" s="3">
        <v>1985</v>
      </c>
      <c r="C14108" s="1" t="str">
        <f>HYPERLINK("http://www.uniprot.org/uniprot/ENO_RICCO","ENO_RICCO")</f>
        <v>ENO_RICCO</v>
      </c>
      <c r="D14108" t="s">
        <v>9332</v>
      </c>
      <c r="E14108" s="3" t="s">
        <v>421</v>
      </c>
      <c r="F14108" s="4">
        <v>0</v>
      </c>
      <c r="G14108" s="3">
        <v>1871</v>
      </c>
      <c r="H14108" s="3">
        <v>92</v>
      </c>
      <c r="I14108" s="3">
        <v>379</v>
      </c>
      <c r="J14108" s="3">
        <v>724</v>
      </c>
      <c r="K14108" s="3">
        <v>1860</v>
      </c>
      <c r="L14108" s="3">
        <v>4</v>
      </c>
      <c r="M14108" s="3">
        <v>382</v>
      </c>
    </row>
    <row r="14109" spans="1:13" x14ac:dyDescent="0.25">
      <c r="A14109" s="1" t="str">
        <f>HYPERLINK("http://www.rosaceae.org/Prunus/Prunus_persica/p.persica_gdr_reftransV1_0035745","p.persica_gdr_reftransV1_0035745")</f>
        <v>p.persica_gdr_reftransV1_0035745</v>
      </c>
      <c r="B14109" s="3">
        <v>2510</v>
      </c>
      <c r="C14109" s="1" t="str">
        <f>HYPERLINK("http://www.uniprot.org/uniprot/TMVRN_NICGU","TMVRN_NICGU")</f>
        <v>TMVRN_NICGU</v>
      </c>
      <c r="D14109" t="s">
        <v>151</v>
      </c>
      <c r="E14109" s="3" t="s">
        <v>152</v>
      </c>
      <c r="F14109" s="4">
        <v>1.2600000000000001E-106</v>
      </c>
      <c r="G14109" s="3">
        <v>924</v>
      </c>
      <c r="H14109" s="3">
        <v>43</v>
      </c>
      <c r="I14109" s="3">
        <v>530</v>
      </c>
      <c r="J14109" s="3">
        <v>887</v>
      </c>
      <c r="K14109" s="3">
        <v>2425</v>
      </c>
      <c r="L14109" s="3">
        <v>10</v>
      </c>
      <c r="M14109" s="3">
        <v>525</v>
      </c>
    </row>
    <row r="14110" spans="1:13" x14ac:dyDescent="0.25">
      <c r="A14110" s="1" t="str">
        <f>HYPERLINK("http://www.rosaceae.org/Prunus/Prunus_persica/p.persica_gdr_reftransV1_0035845","p.persica_gdr_reftransV1_0035845")</f>
        <v>p.persica_gdr_reftransV1_0035845</v>
      </c>
      <c r="B14110" s="3">
        <v>3380</v>
      </c>
      <c r="C14110" s="1" t="str">
        <f>HYPERLINK("http://www.uniprot.org/uniprot/P2C12_ARATH","P2C12_ARATH")</f>
        <v>P2C12_ARATH</v>
      </c>
      <c r="D14110" t="s">
        <v>9333</v>
      </c>
      <c r="E14110" s="3" t="s">
        <v>3</v>
      </c>
      <c r="F14110" s="4">
        <v>5.3200000000000002E-157</v>
      </c>
      <c r="G14110" s="3">
        <v>1237</v>
      </c>
      <c r="H14110" s="3">
        <v>83</v>
      </c>
      <c r="I14110" s="3">
        <v>295</v>
      </c>
      <c r="J14110" s="3">
        <v>1173</v>
      </c>
      <c r="K14110" s="3">
        <v>2054</v>
      </c>
      <c r="L14110" s="3">
        <v>64</v>
      </c>
      <c r="M14110" s="3">
        <v>357</v>
      </c>
    </row>
    <row r="14111" spans="1:13" x14ac:dyDescent="0.25">
      <c r="A14111" s="1" t="str">
        <f>HYPERLINK("http://www.rosaceae.org/Prunus/Prunus_persica/p.persica_gdr_reftransV1_0035945","p.persica_gdr_reftransV1_0035945")</f>
        <v>p.persica_gdr_reftransV1_0035945</v>
      </c>
      <c r="B14111" s="3">
        <v>2332</v>
      </c>
      <c r="C14111" s="1" t="str">
        <f>HYPERLINK("http://www.uniprot.org/uniprot/SR542_SOLLC","SR542_SOLLC")</f>
        <v>SR542_SOLLC</v>
      </c>
      <c r="D14111" t="s">
        <v>3623</v>
      </c>
      <c r="E14111" s="3" t="s">
        <v>64</v>
      </c>
      <c r="F14111" s="4">
        <v>0</v>
      </c>
      <c r="G14111" s="3">
        <v>1944</v>
      </c>
      <c r="H14111" s="3">
        <v>96</v>
      </c>
      <c r="I14111" s="3">
        <v>386</v>
      </c>
      <c r="J14111" s="3">
        <v>931</v>
      </c>
      <c r="K14111" s="3">
        <v>2088</v>
      </c>
      <c r="L14111" s="3">
        <v>1</v>
      </c>
      <c r="M14111" s="3">
        <v>386</v>
      </c>
    </row>
    <row r="14112" spans="1:13" x14ac:dyDescent="0.25">
      <c r="A14112" s="1" t="str">
        <f>HYPERLINK("http://www.rosaceae.org/Prunus/Prunus_persica/p.persica_gdr_reftransV1_0036295","p.persica_gdr_reftransV1_0036295")</f>
        <v>p.persica_gdr_reftransV1_0036295</v>
      </c>
      <c r="B14112" s="3">
        <v>1412</v>
      </c>
      <c r="C14112" s="1" t="str">
        <f>HYPERLINK("http://www.uniprot.org/uniprot/GRS16_ARATH","GRS16_ARATH")</f>
        <v>GRS16_ARATH</v>
      </c>
      <c r="D14112" t="s">
        <v>9334</v>
      </c>
      <c r="E14112" s="3" t="s">
        <v>3</v>
      </c>
      <c r="F14112" s="4">
        <v>3.8799999999999999E-136</v>
      </c>
      <c r="G14112" s="3">
        <v>1030</v>
      </c>
      <c r="H14112" s="3">
        <v>68</v>
      </c>
      <c r="I14112" s="3">
        <v>297</v>
      </c>
      <c r="J14112" s="3">
        <v>53</v>
      </c>
      <c r="K14112" s="3">
        <v>931</v>
      </c>
      <c r="L14112" s="3">
        <v>1</v>
      </c>
      <c r="M14112" s="3">
        <v>292</v>
      </c>
    </row>
    <row r="14113" spans="1:13" x14ac:dyDescent="0.25">
      <c r="A14113" s="1" t="str">
        <f>HYPERLINK("http://www.rosaceae.org/Prunus/Prunus_persica/p.persica_gdr_reftransV1_0036845","p.persica_gdr_reftransV1_0036845")</f>
        <v>p.persica_gdr_reftransV1_0036845</v>
      </c>
      <c r="B14113" s="3">
        <v>3393</v>
      </c>
      <c r="C14113" s="1" t="str">
        <f>HYPERLINK("http://www.uniprot.org/uniprot/RNGB_DICDI","RNGB_DICDI")</f>
        <v>RNGB_DICDI</v>
      </c>
      <c r="D14113" t="s">
        <v>8642</v>
      </c>
      <c r="E14113" s="3" t="s">
        <v>9</v>
      </c>
      <c r="F14113" s="4">
        <v>6.2200000000000004E-7</v>
      </c>
      <c r="G14113" s="3">
        <v>138</v>
      </c>
      <c r="H14113" s="3">
        <v>52</v>
      </c>
      <c r="I14113" s="3">
        <v>52</v>
      </c>
      <c r="J14113" s="3">
        <v>2923</v>
      </c>
      <c r="K14113" s="3">
        <v>3078</v>
      </c>
      <c r="L14113" s="3">
        <v>892</v>
      </c>
      <c r="M14113" s="3">
        <v>943</v>
      </c>
    </row>
    <row r="14114" spans="1:13" x14ac:dyDescent="0.25">
      <c r="A14114" s="1" t="str">
        <f>HYPERLINK("http://www.rosaceae.org/Prunus/Prunus_persica/p.persica_gdr_reftransV1_0036895","p.persica_gdr_reftransV1_0036895")</f>
        <v>p.persica_gdr_reftransV1_0036895</v>
      </c>
      <c r="B14114" s="3">
        <v>1863</v>
      </c>
      <c r="C14114" s="1" t="str">
        <f>HYPERLINK("http://www.uniprot.org/uniprot/DGAT2_ARATH","DGAT2_ARATH")</f>
        <v>DGAT2_ARATH</v>
      </c>
      <c r="D14114" t="s">
        <v>7263</v>
      </c>
      <c r="E14114" s="3" t="s">
        <v>3</v>
      </c>
      <c r="F14114" s="4">
        <v>1.0099999999999999E-145</v>
      </c>
      <c r="G14114" s="3">
        <v>1110</v>
      </c>
      <c r="H14114" s="3">
        <v>68</v>
      </c>
      <c r="I14114" s="3">
        <v>308</v>
      </c>
      <c r="J14114" s="3">
        <v>492</v>
      </c>
      <c r="K14114" s="3">
        <v>1415</v>
      </c>
      <c r="L14114" s="3">
        <v>8</v>
      </c>
      <c r="M14114" s="3">
        <v>314</v>
      </c>
    </row>
    <row r="14115" spans="1:13" x14ac:dyDescent="0.25">
      <c r="A14115" s="1" t="str">
        <f>HYPERLINK("http://www.rosaceae.org/Prunus/Prunus_persica/p.persica_gdr_reftransV1_0037345","p.persica_gdr_reftransV1_0037345")</f>
        <v>p.persica_gdr_reftransV1_0037345</v>
      </c>
      <c r="B14115" s="3">
        <v>1907</v>
      </c>
      <c r="C14115" s="1" t="str">
        <f>HYPERLINK("http://www.uniprot.org/uniprot/CM2_ARATH","CM2_ARATH")</f>
        <v>CM2_ARATH</v>
      </c>
      <c r="D14115" t="s">
        <v>9335</v>
      </c>
      <c r="E14115" s="3" t="s">
        <v>3</v>
      </c>
      <c r="F14115" s="4">
        <v>2.5499999999999999E-18</v>
      </c>
      <c r="G14115" s="3">
        <v>191</v>
      </c>
      <c r="H14115" s="3">
        <v>62</v>
      </c>
      <c r="I14115" s="3">
        <v>55</v>
      </c>
      <c r="J14115" s="3">
        <v>773</v>
      </c>
      <c r="K14115" s="3">
        <v>937</v>
      </c>
      <c r="L14115" s="3">
        <v>109</v>
      </c>
      <c r="M14115" s="3">
        <v>163</v>
      </c>
    </row>
    <row r="14116" spans="1:13" x14ac:dyDescent="0.25">
      <c r="A14116" s="1" t="str">
        <f>HYPERLINK("http://www.rosaceae.org/Prunus/Prunus_persica/p.persica_gdr_reftransV1_0037395","p.persica_gdr_reftransV1_0037395")</f>
        <v>p.persica_gdr_reftransV1_0037395</v>
      </c>
      <c r="B14116" s="3">
        <v>1782</v>
      </c>
      <c r="C14116" s="1" t="str">
        <f>HYPERLINK("http://www.uniprot.org/uniprot/BI1L_ARATH","BI1L_ARATH")</f>
        <v>BI1L_ARATH</v>
      </c>
      <c r="D14116" t="s">
        <v>5607</v>
      </c>
      <c r="E14116" s="3" t="s">
        <v>3</v>
      </c>
      <c r="F14116" s="4">
        <v>3.6799999999999999E-65</v>
      </c>
      <c r="G14116" s="3">
        <v>560</v>
      </c>
      <c r="H14116" s="3">
        <v>55</v>
      </c>
      <c r="I14116" s="3">
        <v>209</v>
      </c>
      <c r="J14116" s="3">
        <v>189</v>
      </c>
      <c r="K14116" s="3">
        <v>815</v>
      </c>
      <c r="L14116" s="3">
        <v>98</v>
      </c>
      <c r="M14116" s="3">
        <v>256</v>
      </c>
    </row>
    <row r="14117" spans="1:13" x14ac:dyDescent="0.25">
      <c r="A14117" s="1" t="str">
        <f>HYPERLINK("http://www.rosaceae.org/Prunus/Prunus_persica/p.persica_gdr_reftransV1_0037445","p.persica_gdr_reftransV1_0037445")</f>
        <v>p.persica_gdr_reftransV1_0037445</v>
      </c>
      <c r="B14117" s="3">
        <v>3005</v>
      </c>
      <c r="C14117" s="1" t="str">
        <f>HYPERLINK("http://www.uniprot.org/uniprot/SWC4_ARATH","SWC4_ARATH")</f>
        <v>SWC4_ARATH</v>
      </c>
      <c r="D14117" t="s">
        <v>9336</v>
      </c>
      <c r="E14117" s="3" t="s">
        <v>3</v>
      </c>
      <c r="F14117" s="4">
        <v>1.11E-169</v>
      </c>
      <c r="G14117" s="3">
        <v>1315</v>
      </c>
      <c r="H14117" s="3">
        <v>72</v>
      </c>
      <c r="I14117" s="3">
        <v>340</v>
      </c>
      <c r="J14117" s="3">
        <v>1723</v>
      </c>
      <c r="K14117" s="3">
        <v>2739</v>
      </c>
      <c r="L14117" s="3">
        <v>5</v>
      </c>
      <c r="M14117" s="3">
        <v>340</v>
      </c>
    </row>
    <row r="14118" spans="1:13" x14ac:dyDescent="0.25">
      <c r="A14118" s="1" t="str">
        <f>HYPERLINK("http://www.rosaceae.org/Prunus/Prunus_persica/p.persica_gdr_reftransV1_0038195","p.persica_gdr_reftransV1_0038195")</f>
        <v>p.persica_gdr_reftransV1_0038195</v>
      </c>
      <c r="B14118" s="3">
        <v>2467</v>
      </c>
      <c r="C14118" s="1" t="str">
        <f>HYPERLINK("http://www.uniprot.org/uniprot/ECD_ARATH","ECD_ARATH")</f>
        <v>ECD_ARATH</v>
      </c>
      <c r="D14118" t="s">
        <v>9337</v>
      </c>
      <c r="E14118" s="3" t="s">
        <v>3</v>
      </c>
      <c r="F14118" s="4">
        <v>0</v>
      </c>
      <c r="G14118" s="3">
        <v>1900</v>
      </c>
      <c r="H14118" s="3">
        <v>62</v>
      </c>
      <c r="I14118" s="3">
        <v>629</v>
      </c>
      <c r="J14118" s="3">
        <v>442</v>
      </c>
      <c r="K14118" s="3">
        <v>2304</v>
      </c>
      <c r="L14118" s="3">
        <v>16</v>
      </c>
      <c r="M14118" s="3">
        <v>636</v>
      </c>
    </row>
    <row r="14119" spans="1:13" x14ac:dyDescent="0.25">
      <c r="A14119" s="1" t="str">
        <f>HYPERLINK("http://www.rosaceae.org/Prunus/Prunus_persica/p.persica_gdr_reftransV1_0038295","p.persica_gdr_reftransV1_0038295")</f>
        <v>p.persica_gdr_reftransV1_0038295</v>
      </c>
      <c r="B14119" s="3">
        <v>1608</v>
      </c>
      <c r="C14119" s="1" t="str">
        <f>HYPERLINK("http://www.uniprot.org/uniprot/GDL62_ARATH","GDL62_ARATH")</f>
        <v>GDL62_ARATH</v>
      </c>
      <c r="D14119" t="s">
        <v>9338</v>
      </c>
      <c r="E14119" s="3" t="s">
        <v>3</v>
      </c>
      <c r="F14119" s="4">
        <v>8.2600000000000006E-158</v>
      </c>
      <c r="G14119" s="3">
        <v>1186</v>
      </c>
      <c r="H14119" s="3">
        <v>62</v>
      </c>
      <c r="I14119" s="3">
        <v>356</v>
      </c>
      <c r="J14119" s="3">
        <v>304</v>
      </c>
      <c r="K14119" s="3">
        <v>1353</v>
      </c>
      <c r="L14119" s="3">
        <v>2</v>
      </c>
      <c r="M14119" s="3">
        <v>350</v>
      </c>
    </row>
    <row r="14120" spans="1:13" x14ac:dyDescent="0.25">
      <c r="A14120" s="1" t="str">
        <f>HYPERLINK("http://www.rosaceae.org/Prunus/Prunus_persica/p.persica_gdr_reftransV1_0038595","p.persica_gdr_reftransV1_0038595")</f>
        <v>p.persica_gdr_reftransV1_0038595</v>
      </c>
      <c r="B14120" s="3">
        <v>2085</v>
      </c>
      <c r="C14120" s="1" t="str">
        <f>HYPERLINK("http://www.uniprot.org/uniprot/PP11_ACEPE","PP11_ACEPE")</f>
        <v>PP11_ACEPE</v>
      </c>
      <c r="D14120" t="s">
        <v>9339</v>
      </c>
      <c r="E14120" s="3" t="s">
        <v>9340</v>
      </c>
      <c r="F14120" s="4">
        <v>1.23E-153</v>
      </c>
      <c r="G14120" s="3">
        <v>1170</v>
      </c>
      <c r="H14120" s="3">
        <v>85</v>
      </c>
      <c r="I14120" s="3">
        <v>255</v>
      </c>
      <c r="J14120" s="3">
        <v>1008</v>
      </c>
      <c r="K14120" s="3">
        <v>1763</v>
      </c>
      <c r="L14120" s="3">
        <v>1</v>
      </c>
      <c r="M14120" s="3">
        <v>255</v>
      </c>
    </row>
    <row r="14121" spans="1:13" x14ac:dyDescent="0.25">
      <c r="A14121" s="1" t="str">
        <f>HYPERLINK("http://www.rosaceae.org/Prunus/Prunus_persica/p.persica_gdr_reftransV1_0039395","p.persica_gdr_reftransV1_0039395")</f>
        <v>p.persica_gdr_reftransV1_0039395</v>
      </c>
      <c r="B14121" s="3">
        <v>2101</v>
      </c>
      <c r="C14121" s="1" t="str">
        <f>HYPERLINK("http://www.uniprot.org/uniprot/LCAT3_ARATH","LCAT3_ARATH")</f>
        <v>LCAT3_ARATH</v>
      </c>
      <c r="D14121" t="s">
        <v>9341</v>
      </c>
      <c r="E14121" s="3" t="s">
        <v>3</v>
      </c>
      <c r="F14121" s="4">
        <v>1.15E-175</v>
      </c>
      <c r="G14121" s="3">
        <v>1329</v>
      </c>
      <c r="H14121" s="3">
        <v>72</v>
      </c>
      <c r="I14121" s="3">
        <v>358</v>
      </c>
      <c r="J14121" s="3">
        <v>316</v>
      </c>
      <c r="K14121" s="3">
        <v>1386</v>
      </c>
      <c r="L14121" s="3">
        <v>6</v>
      </c>
      <c r="M14121" s="3">
        <v>361</v>
      </c>
    </row>
    <row r="14122" spans="1:13" x14ac:dyDescent="0.25">
      <c r="A14122" s="1" t="str">
        <f>HYPERLINK("http://www.rosaceae.org/Prunus/Prunus_persica/p.persica_gdr_reftransV1_0039645","p.persica_gdr_reftransV1_0039645")</f>
        <v>p.persica_gdr_reftransV1_0039645</v>
      </c>
      <c r="B14122" s="3">
        <v>5271</v>
      </c>
      <c r="C14122" s="1" t="str">
        <f>HYPERLINK("http://www.uniprot.org/uniprot/GCN2_ARATH","GCN2_ARATH")</f>
        <v>GCN2_ARATH</v>
      </c>
      <c r="D14122" t="s">
        <v>7626</v>
      </c>
      <c r="E14122" s="3" t="s">
        <v>3</v>
      </c>
      <c r="F14122" s="4">
        <v>0</v>
      </c>
      <c r="G14122" s="3">
        <v>1389</v>
      </c>
      <c r="H14122" s="3">
        <v>72</v>
      </c>
      <c r="I14122" s="3">
        <v>367</v>
      </c>
      <c r="J14122" s="3">
        <v>1814</v>
      </c>
      <c r="K14122" s="3">
        <v>2905</v>
      </c>
      <c r="L14122" s="3">
        <v>296</v>
      </c>
      <c r="M14122" s="3">
        <v>660</v>
      </c>
    </row>
    <row r="14123" spans="1:13" x14ac:dyDescent="0.25">
      <c r="A14123" s="1" t="str">
        <f>HYPERLINK("http://www.rosaceae.org/Prunus/Prunus_persica/p.persica_gdr_reftransV1_0039795","p.persica_gdr_reftransV1_0039795")</f>
        <v>p.persica_gdr_reftransV1_0039795</v>
      </c>
      <c r="B14123" s="3">
        <v>2829</v>
      </c>
      <c r="C14123" s="1" t="str">
        <f>HYPERLINK("http://www.uniprot.org/uniprot/COPIA_DROME","COPIA_DROME")</f>
        <v>COPIA_DROME</v>
      </c>
      <c r="D14123" t="s">
        <v>478</v>
      </c>
      <c r="E14123" s="3" t="s">
        <v>5</v>
      </c>
      <c r="F14123" s="4">
        <v>2.44E-8</v>
      </c>
      <c r="G14123" s="3">
        <v>149</v>
      </c>
      <c r="H14123" s="3">
        <v>30</v>
      </c>
      <c r="I14123" s="3">
        <v>174</v>
      </c>
      <c r="J14123" s="3">
        <v>2323</v>
      </c>
      <c r="K14123" s="3">
        <v>2814</v>
      </c>
      <c r="L14123" s="3">
        <v>217</v>
      </c>
      <c r="M14123" s="3">
        <v>387</v>
      </c>
    </row>
    <row r="14124" spans="1:13" x14ac:dyDescent="0.25">
      <c r="A14124" s="1" t="str">
        <f>HYPERLINK("http://www.rosaceae.org/Prunus/Prunus_persica/p.persica_gdr_reftransV1_0039895","p.persica_gdr_reftransV1_0039895")</f>
        <v>p.persica_gdr_reftransV1_0039895</v>
      </c>
      <c r="B14124" s="3">
        <v>1799</v>
      </c>
      <c r="C14124" s="1" t="str">
        <f>HYPERLINK("http://www.uniprot.org/uniprot/IQD1_ARATH","IQD1_ARATH")</f>
        <v>IQD1_ARATH</v>
      </c>
      <c r="D14124" t="s">
        <v>4422</v>
      </c>
      <c r="E14124" s="3" t="s">
        <v>3</v>
      </c>
      <c r="F14124" s="4">
        <v>1.75E-28</v>
      </c>
      <c r="G14124" s="3">
        <v>305</v>
      </c>
      <c r="H14124" s="3">
        <v>37</v>
      </c>
      <c r="I14124" s="3">
        <v>172</v>
      </c>
      <c r="J14124" s="3">
        <v>708</v>
      </c>
      <c r="K14124" s="3">
        <v>1220</v>
      </c>
      <c r="L14124" s="3">
        <v>103</v>
      </c>
      <c r="M14124" s="3">
        <v>274</v>
      </c>
    </row>
    <row r="14125" spans="1:13" x14ac:dyDescent="0.25">
      <c r="A14125" s="1" t="str">
        <f>HYPERLINK("http://www.rosaceae.org/Prunus/Prunus_persica/p.persica_gdr_reftransV1_0039995","p.persica_gdr_reftransV1_0039995")</f>
        <v>p.persica_gdr_reftransV1_0039995</v>
      </c>
      <c r="B14125" s="3">
        <v>2042</v>
      </c>
      <c r="C14125" s="1" t="str">
        <f>HYPERLINK("http://www.uniprot.org/uniprot/DAR2_ARATH","DAR2_ARATH")</f>
        <v>DAR2_ARATH</v>
      </c>
      <c r="D14125" t="s">
        <v>1842</v>
      </c>
      <c r="E14125" s="3" t="s">
        <v>3</v>
      </c>
      <c r="F14125" s="4">
        <v>0</v>
      </c>
      <c r="G14125" s="3">
        <v>1681</v>
      </c>
      <c r="H14125" s="3">
        <v>66</v>
      </c>
      <c r="I14125" s="3">
        <v>526</v>
      </c>
      <c r="J14125" s="3">
        <v>108</v>
      </c>
      <c r="K14125" s="3">
        <v>1673</v>
      </c>
      <c r="L14125" s="3">
        <v>39</v>
      </c>
      <c r="M14125" s="3">
        <v>528</v>
      </c>
    </row>
    <row r="14126" spans="1:13" x14ac:dyDescent="0.25">
      <c r="A14126" s="1" t="str">
        <f>HYPERLINK("http://www.rosaceae.org/Prunus/Prunus_persica/p.persica_gdr_reftransV1_0040145","p.persica_gdr_reftransV1_0040145")</f>
        <v>p.persica_gdr_reftransV1_0040145</v>
      </c>
      <c r="B14126" s="3">
        <v>1375</v>
      </c>
      <c r="C14126" s="1" t="str">
        <f>HYPERLINK("http://www.uniprot.org/uniprot/BCA5_ARATH","BCA5_ARATH")</f>
        <v>BCA5_ARATH</v>
      </c>
      <c r="D14126" t="s">
        <v>3759</v>
      </c>
      <c r="E14126" s="3" t="s">
        <v>3</v>
      </c>
      <c r="F14126" s="4">
        <v>4.1400000000000002E-112</v>
      </c>
      <c r="G14126" s="3">
        <v>870</v>
      </c>
      <c r="H14126" s="3">
        <v>62</v>
      </c>
      <c r="I14126" s="3">
        <v>264</v>
      </c>
      <c r="J14126" s="3">
        <v>213</v>
      </c>
      <c r="K14126" s="3">
        <v>1001</v>
      </c>
      <c r="L14126" s="3">
        <v>42</v>
      </c>
      <c r="M14126" s="3">
        <v>301</v>
      </c>
    </row>
    <row r="14127" spans="1:13" x14ac:dyDescent="0.25">
      <c r="A14127" s="1" t="str">
        <f>HYPERLINK("http://www.rosaceae.org/Prunus/Prunus_persica/p.persica_gdr_reftransV1_0040295","p.persica_gdr_reftransV1_0040295")</f>
        <v>p.persica_gdr_reftransV1_0040295</v>
      </c>
      <c r="B14127" s="3">
        <v>1607</v>
      </c>
      <c r="C14127" s="1" t="str">
        <f>HYPERLINK("http://www.uniprot.org/uniprot/RK27_TOBAC","RK27_TOBAC")</f>
        <v>RK27_TOBAC</v>
      </c>
      <c r="D14127" t="s">
        <v>374</v>
      </c>
      <c r="E14127" s="3" t="s">
        <v>200</v>
      </c>
      <c r="F14127" s="4">
        <v>8.44E-21</v>
      </c>
      <c r="G14127" s="3">
        <v>234</v>
      </c>
      <c r="H14127" s="3">
        <v>74</v>
      </c>
      <c r="I14127" s="3">
        <v>65</v>
      </c>
      <c r="J14127" s="3">
        <v>1103</v>
      </c>
      <c r="K14127" s="3">
        <v>1297</v>
      </c>
      <c r="L14127" s="3">
        <v>33</v>
      </c>
      <c r="M14127" s="3">
        <v>96</v>
      </c>
    </row>
    <row r="14128" spans="1:13" x14ac:dyDescent="0.25">
      <c r="A14128" s="1" t="str">
        <f>HYPERLINK("http://www.rosaceae.org/Prunus/Prunus_persica/p.persica_gdr_reftransV1_0040395","p.persica_gdr_reftransV1_0040395")</f>
        <v>p.persica_gdr_reftransV1_0040395</v>
      </c>
      <c r="B14128" s="3">
        <v>1766</v>
      </c>
      <c r="C14128" s="1" t="str">
        <f>HYPERLINK("http://www.uniprot.org/uniprot/ILL4_ARATH","ILL4_ARATH")</f>
        <v>ILL4_ARATH</v>
      </c>
      <c r="D14128" t="s">
        <v>3955</v>
      </c>
      <c r="E14128" s="3" t="s">
        <v>3</v>
      </c>
      <c r="F14128" s="4">
        <v>0</v>
      </c>
      <c r="G14128" s="3">
        <v>1665</v>
      </c>
      <c r="H14128" s="3">
        <v>70</v>
      </c>
      <c r="I14128" s="3">
        <v>445</v>
      </c>
      <c r="J14128" s="3">
        <v>222</v>
      </c>
      <c r="K14128" s="3">
        <v>1556</v>
      </c>
      <c r="L14128" s="3">
        <v>1</v>
      </c>
      <c r="M14128" s="3">
        <v>440</v>
      </c>
    </row>
    <row r="14129" spans="1:13" x14ac:dyDescent="0.25">
      <c r="A14129" s="1" t="str">
        <f>HYPERLINK("http://www.rosaceae.org/Prunus/Prunus_persica/p.persica_gdr_reftransV1_0040595","p.persica_gdr_reftransV1_0040595")</f>
        <v>p.persica_gdr_reftransV1_0040595</v>
      </c>
      <c r="B14129" s="3">
        <v>2766</v>
      </c>
      <c r="C14129" s="1" t="str">
        <f>HYPERLINK("http://www.uniprot.org/uniprot/RRN3_PONAB","RRN3_PONAB")</f>
        <v>RRN3_PONAB</v>
      </c>
      <c r="D14129" t="s">
        <v>9342</v>
      </c>
      <c r="E14129" s="3" t="s">
        <v>176</v>
      </c>
      <c r="F14129" s="4">
        <v>6.3399999999999996E-19</v>
      </c>
      <c r="G14129" s="3">
        <v>237</v>
      </c>
      <c r="H14129" s="3">
        <v>25</v>
      </c>
      <c r="I14129" s="3">
        <v>434</v>
      </c>
      <c r="J14129" s="3">
        <v>329</v>
      </c>
      <c r="K14129" s="3">
        <v>1525</v>
      </c>
      <c r="L14129" s="3">
        <v>58</v>
      </c>
      <c r="M14129" s="3">
        <v>467</v>
      </c>
    </row>
    <row r="14130" spans="1:13" x14ac:dyDescent="0.25">
      <c r="A14130" s="1" t="str">
        <f>HYPERLINK("http://www.rosaceae.org/Prunus/Prunus_persica/p.persica_gdr_reftransV1_0040895","p.persica_gdr_reftransV1_0040895")</f>
        <v>p.persica_gdr_reftransV1_0040895</v>
      </c>
      <c r="B14130" s="3">
        <v>3077</v>
      </c>
      <c r="C14130" s="1" t="str">
        <f>HYPERLINK("http://www.uniprot.org/uniprot/ZDH19_ARATH","ZDH19_ARATH")</f>
        <v>ZDH19_ARATH</v>
      </c>
      <c r="D14130" t="s">
        <v>9343</v>
      </c>
      <c r="E14130" s="3" t="s">
        <v>3</v>
      </c>
      <c r="F14130" s="4">
        <v>1.03E-143</v>
      </c>
      <c r="G14130" s="3">
        <v>1138</v>
      </c>
      <c r="H14130" s="3">
        <v>77</v>
      </c>
      <c r="I14130" s="3">
        <v>270</v>
      </c>
      <c r="J14130" s="3">
        <v>1855</v>
      </c>
      <c r="K14130" s="3">
        <v>2664</v>
      </c>
      <c r="L14130" s="3">
        <v>1</v>
      </c>
      <c r="M14130" s="3">
        <v>259</v>
      </c>
    </row>
    <row r="14131" spans="1:13" x14ac:dyDescent="0.25">
      <c r="A14131" s="1" t="str">
        <f>HYPERLINK("http://www.rosaceae.org/Prunus/Prunus_persica/p.persica_gdr_reftransV1_0041495","p.persica_gdr_reftransV1_0041495")</f>
        <v>p.persica_gdr_reftransV1_0041495</v>
      </c>
      <c r="B14131" s="3">
        <v>2079</v>
      </c>
      <c r="C14131" s="1" t="str">
        <f>HYPERLINK("http://www.uniprot.org/uniprot/LHW_ARATH","LHW_ARATH")</f>
        <v>LHW_ARATH</v>
      </c>
      <c r="D14131" t="s">
        <v>2023</v>
      </c>
      <c r="E14131" s="3" t="s">
        <v>3</v>
      </c>
      <c r="F14131" s="4">
        <v>1.11E-66</v>
      </c>
      <c r="G14131" s="3">
        <v>605</v>
      </c>
      <c r="H14131" s="3">
        <v>53</v>
      </c>
      <c r="I14131" s="3">
        <v>215</v>
      </c>
      <c r="J14131" s="3">
        <v>494</v>
      </c>
      <c r="K14131" s="3">
        <v>1138</v>
      </c>
      <c r="L14131" s="3">
        <v>419</v>
      </c>
      <c r="M14131" s="3">
        <v>622</v>
      </c>
    </row>
    <row r="14132" spans="1:13" x14ac:dyDescent="0.25">
      <c r="A14132" s="1" t="str">
        <f>HYPERLINK("http://www.rosaceae.org/Prunus/Prunus_persica/p.persica_gdr_reftransV1_0041795","p.persica_gdr_reftransV1_0041795")</f>
        <v>p.persica_gdr_reftransV1_0041795</v>
      </c>
      <c r="B14132" s="3">
        <v>3479</v>
      </c>
      <c r="C14132" s="1" t="str">
        <f>HYPERLINK("http://www.uniprot.org/uniprot/HRD3A_ARATH","HRD3A_ARATH")</f>
        <v>HRD3A_ARATH</v>
      </c>
      <c r="D14132" t="s">
        <v>9344</v>
      </c>
      <c r="E14132" s="3" t="s">
        <v>3</v>
      </c>
      <c r="F14132" s="4">
        <v>0</v>
      </c>
      <c r="G14132" s="3">
        <v>2379</v>
      </c>
      <c r="H14132" s="3">
        <v>75</v>
      </c>
      <c r="I14132" s="3">
        <v>595</v>
      </c>
      <c r="J14132" s="3">
        <v>1563</v>
      </c>
      <c r="K14132" s="3">
        <v>3347</v>
      </c>
      <c r="L14132" s="3">
        <v>9</v>
      </c>
      <c r="M14132" s="3">
        <v>596</v>
      </c>
    </row>
    <row r="14133" spans="1:13" x14ac:dyDescent="0.25">
      <c r="A14133" s="1" t="str">
        <f>HYPERLINK("http://www.rosaceae.org/Prunus/Prunus_persica/p.persica_gdr_reftransV1_0041845","p.persica_gdr_reftransV1_0041845")</f>
        <v>p.persica_gdr_reftransV1_0041845</v>
      </c>
      <c r="B14133" s="3">
        <v>3273</v>
      </c>
      <c r="C14133" s="1" t="str">
        <f>HYPERLINK("http://www.uniprot.org/uniprot/Y4757_DICDI","Y4757_DICDI")</f>
        <v>Y4757_DICDI</v>
      </c>
      <c r="D14133" t="s">
        <v>6481</v>
      </c>
      <c r="E14133" s="3" t="s">
        <v>9</v>
      </c>
      <c r="F14133" s="4">
        <v>7.05E-19</v>
      </c>
      <c r="G14133" s="3">
        <v>238</v>
      </c>
      <c r="H14133" s="3">
        <v>33</v>
      </c>
      <c r="I14133" s="3">
        <v>186</v>
      </c>
      <c r="J14133" s="3">
        <v>2198</v>
      </c>
      <c r="K14133" s="3">
        <v>2746</v>
      </c>
      <c r="L14133" s="3">
        <v>608</v>
      </c>
      <c r="M14133" s="3">
        <v>764</v>
      </c>
    </row>
    <row r="14134" spans="1:13" x14ac:dyDescent="0.25">
      <c r="A14134" s="1" t="str">
        <f>HYPERLINK("http://www.rosaceae.org/Prunus/Prunus_persica/p.persica_gdr_reftransV1_0041995","p.persica_gdr_reftransV1_0041995")</f>
        <v>p.persica_gdr_reftransV1_0041995</v>
      </c>
      <c r="B14134" s="3">
        <v>4583</v>
      </c>
      <c r="C14134" s="1" t="str">
        <f>HYPERLINK("http://www.uniprot.org/uniprot/TMK1_ARATH","TMK1_ARATH")</f>
        <v>TMK1_ARATH</v>
      </c>
      <c r="D14134" t="s">
        <v>1385</v>
      </c>
      <c r="E14134" s="3" t="s">
        <v>3</v>
      </c>
      <c r="F14134" s="4">
        <v>0</v>
      </c>
      <c r="G14134" s="3">
        <v>2092</v>
      </c>
      <c r="H14134" s="3">
        <v>60</v>
      </c>
      <c r="I14134" s="3">
        <v>750</v>
      </c>
      <c r="J14134" s="3">
        <v>552</v>
      </c>
      <c r="K14134" s="3">
        <v>2762</v>
      </c>
      <c r="L14134" s="3">
        <v>22</v>
      </c>
      <c r="M14134" s="3">
        <v>765</v>
      </c>
    </row>
    <row r="14135" spans="1:13" x14ac:dyDescent="0.25">
      <c r="A14135" s="1" t="str">
        <f>HYPERLINK("http://www.rosaceae.org/Prunus/Prunus_persica/p.persica_gdr_reftransV1_0042095","p.persica_gdr_reftransV1_0042095")</f>
        <v>p.persica_gdr_reftransV1_0042095</v>
      </c>
      <c r="B14135" s="3">
        <v>599</v>
      </c>
      <c r="C14135" s="1" t="str">
        <f>HYPERLINK("http://www.uniprot.org/uniprot/KIC_ARATH","KIC_ARATH")</f>
        <v>KIC_ARATH</v>
      </c>
      <c r="D14135" t="s">
        <v>2539</v>
      </c>
      <c r="E14135" s="3" t="s">
        <v>3</v>
      </c>
      <c r="F14135" s="4">
        <v>6.4999999999999999E-34</v>
      </c>
      <c r="G14135" s="3">
        <v>309</v>
      </c>
      <c r="H14135" s="3">
        <v>52</v>
      </c>
      <c r="I14135" s="3">
        <v>114</v>
      </c>
      <c r="J14135" s="3">
        <v>157</v>
      </c>
      <c r="K14135" s="3">
        <v>498</v>
      </c>
      <c r="L14135" s="3">
        <v>8</v>
      </c>
      <c r="M14135" s="3">
        <v>121</v>
      </c>
    </row>
    <row r="14136" spans="1:13" x14ac:dyDescent="0.25">
      <c r="A14136" s="1" t="str">
        <f>HYPERLINK("http://www.rosaceae.org/Prunus/Prunus_persica/p.persica_gdr_reftransV1_0042145","p.persica_gdr_reftransV1_0042145")</f>
        <v>p.persica_gdr_reftransV1_0042145</v>
      </c>
      <c r="B14136" s="3">
        <v>1758</v>
      </c>
      <c r="C14136" s="1" t="str">
        <f>HYPERLINK("http://www.uniprot.org/uniprot/PGLR_VITVI","PGLR_VITVI")</f>
        <v>PGLR_VITVI</v>
      </c>
      <c r="D14136" t="s">
        <v>2366</v>
      </c>
      <c r="E14136" s="3" t="s">
        <v>362</v>
      </c>
      <c r="F14136" s="4">
        <v>3.92E-14</v>
      </c>
      <c r="G14136" s="3">
        <v>193</v>
      </c>
      <c r="H14136" s="3">
        <v>25</v>
      </c>
      <c r="I14136" s="3">
        <v>313</v>
      </c>
      <c r="J14136" s="3">
        <v>247</v>
      </c>
      <c r="K14136" s="3">
        <v>1104</v>
      </c>
      <c r="L14136" s="3">
        <v>60</v>
      </c>
      <c r="M14136" s="3">
        <v>360</v>
      </c>
    </row>
    <row r="14137" spans="1:13" x14ac:dyDescent="0.25">
      <c r="A14137" s="1" t="str">
        <f>HYPERLINK("http://www.rosaceae.org/Prunus/Prunus_persica/p.persica_gdr_reftransV1_0042245","p.persica_gdr_reftransV1_0042245")</f>
        <v>p.persica_gdr_reftransV1_0042245</v>
      </c>
      <c r="B14137" s="3">
        <v>2116</v>
      </c>
      <c r="C14137" s="1" t="str">
        <f>HYPERLINK("http://www.uniprot.org/uniprot/TAP46_ARATH","TAP46_ARATH")</f>
        <v>TAP46_ARATH</v>
      </c>
      <c r="D14137" t="s">
        <v>9345</v>
      </c>
      <c r="E14137" s="3" t="s">
        <v>3</v>
      </c>
      <c r="F14137" s="4">
        <v>1.54E-86</v>
      </c>
      <c r="G14137" s="3">
        <v>727</v>
      </c>
      <c r="H14137" s="3">
        <v>74</v>
      </c>
      <c r="I14137" s="3">
        <v>226</v>
      </c>
      <c r="J14137" s="3">
        <v>123</v>
      </c>
      <c r="K14137" s="3">
        <v>800</v>
      </c>
      <c r="L14137" s="3">
        <v>1</v>
      </c>
      <c r="M14137" s="3">
        <v>225</v>
      </c>
    </row>
    <row r="14138" spans="1:13" x14ac:dyDescent="0.25">
      <c r="A14138" s="1" t="str">
        <f>HYPERLINK("http://www.rosaceae.org/Prunus/Prunus_persica/p.persica_gdr_reftransV1_0042945","p.persica_gdr_reftransV1_0042945")</f>
        <v>p.persica_gdr_reftransV1_0042945</v>
      </c>
      <c r="B14138" s="3">
        <v>1070</v>
      </c>
      <c r="C14138" s="1" t="str">
        <f>HYPERLINK("http://www.uniprot.org/uniprot/PTHM_ARATH","PTHM_ARATH")</f>
        <v>PTHM_ARATH</v>
      </c>
      <c r="D14138" t="s">
        <v>9223</v>
      </c>
      <c r="E14138" s="3" t="s">
        <v>3</v>
      </c>
      <c r="F14138" s="4">
        <v>9.9500000000000003E-113</v>
      </c>
      <c r="G14138" s="3">
        <v>856</v>
      </c>
      <c r="H14138" s="3">
        <v>72</v>
      </c>
      <c r="I14138" s="3">
        <v>219</v>
      </c>
      <c r="J14138" s="3">
        <v>401</v>
      </c>
      <c r="K14138" s="3">
        <v>1054</v>
      </c>
      <c r="L14138" s="3">
        <v>1</v>
      </c>
      <c r="M14138" s="3">
        <v>219</v>
      </c>
    </row>
    <row r="14139" spans="1:13" x14ac:dyDescent="0.25">
      <c r="A14139" s="1" t="str">
        <f>HYPERLINK("http://www.rosaceae.org/Prunus/Prunus_persica/p.persica_gdr_reftransV1_0043045","p.persica_gdr_reftransV1_0043045")</f>
        <v>p.persica_gdr_reftransV1_0043045</v>
      </c>
      <c r="B14139" s="3">
        <v>1313</v>
      </c>
      <c r="C14139" s="1" t="str">
        <f>HYPERLINK("http://www.uniprot.org/uniprot/PP166_ARATH","PP166_ARATH")</f>
        <v>PP166_ARATH</v>
      </c>
      <c r="D14139" t="s">
        <v>2631</v>
      </c>
      <c r="E14139" s="3" t="s">
        <v>3</v>
      </c>
      <c r="F14139" s="4">
        <v>6.3599999999999998E-100</v>
      </c>
      <c r="G14139" s="3">
        <v>804</v>
      </c>
      <c r="H14139" s="3">
        <v>47</v>
      </c>
      <c r="I14139" s="3">
        <v>334</v>
      </c>
      <c r="J14139" s="3">
        <v>2</v>
      </c>
      <c r="K14139" s="3">
        <v>1000</v>
      </c>
      <c r="L14139" s="3">
        <v>126</v>
      </c>
      <c r="M14139" s="3">
        <v>458</v>
      </c>
    </row>
    <row r="14140" spans="1:13" x14ac:dyDescent="0.25">
      <c r="A14140" s="1" t="str">
        <f>HYPERLINK("http://www.rosaceae.org/Prunus/Prunus_persica/p.persica_gdr_reftransV1_0043095","p.persica_gdr_reftransV1_0043095")</f>
        <v>p.persica_gdr_reftransV1_0043095</v>
      </c>
      <c r="B14140" s="3">
        <v>990</v>
      </c>
      <c r="C14140" s="1" t="str">
        <f>HYPERLINK("http://www.uniprot.org/uniprot/CPRF2_PETCR","CPRF2_PETCR")</f>
        <v>CPRF2_PETCR</v>
      </c>
      <c r="D14140" t="s">
        <v>1039</v>
      </c>
      <c r="E14140" s="3" t="s">
        <v>1040</v>
      </c>
      <c r="F14140" s="4">
        <v>4.3599999999999999E-7</v>
      </c>
      <c r="G14140" s="3">
        <v>130</v>
      </c>
      <c r="H14140" s="3">
        <v>62</v>
      </c>
      <c r="I14140" s="3">
        <v>47</v>
      </c>
      <c r="J14140" s="3">
        <v>67</v>
      </c>
      <c r="K14140" s="3">
        <v>207</v>
      </c>
      <c r="L14140" s="3">
        <v>1</v>
      </c>
      <c r="M14140" s="3">
        <v>43</v>
      </c>
    </row>
    <row r="14141" spans="1:13" x14ac:dyDescent="0.25">
      <c r="A14141" s="1" t="str">
        <f>HYPERLINK("http://www.rosaceae.org/Prunus/Prunus_persica/p.persica_gdr_reftransV1_0043145","p.persica_gdr_reftransV1_0043145")</f>
        <v>p.persica_gdr_reftransV1_0043145</v>
      </c>
      <c r="B14141" s="3">
        <v>610</v>
      </c>
      <c r="C14141" s="1" t="str">
        <f>HYPERLINK("http://www.uniprot.org/uniprot/RL373_ARATH","RL373_ARATH")</f>
        <v>RL373_ARATH</v>
      </c>
      <c r="D14141" t="s">
        <v>9346</v>
      </c>
      <c r="E14141" s="3" t="s">
        <v>3</v>
      </c>
      <c r="F14141" s="4">
        <v>4.3000000000000004E-46</v>
      </c>
      <c r="G14141" s="3">
        <v>387</v>
      </c>
      <c r="H14141" s="3">
        <v>88</v>
      </c>
      <c r="I14141" s="3">
        <v>83</v>
      </c>
      <c r="J14141" s="3">
        <v>310</v>
      </c>
      <c r="K14141" s="3">
        <v>558</v>
      </c>
      <c r="L14141" s="3">
        <v>1</v>
      </c>
      <c r="M14141" s="3">
        <v>83</v>
      </c>
    </row>
    <row r="14142" spans="1:13" x14ac:dyDescent="0.25">
      <c r="A14142" s="1" t="str">
        <f>HYPERLINK("http://www.rosaceae.org/Prunus/Prunus_persica/p.persica_gdr_reftransV1_0043195","p.persica_gdr_reftransV1_0043195")</f>
        <v>p.persica_gdr_reftransV1_0043195</v>
      </c>
      <c r="B14142" s="3">
        <v>2300</v>
      </c>
      <c r="C14142" s="1" t="str">
        <f>HYPERLINK("http://www.uniprot.org/uniprot/GLYP3_ARATH","GLYP3_ARATH")</f>
        <v>GLYP3_ARATH</v>
      </c>
      <c r="D14142" t="s">
        <v>5917</v>
      </c>
      <c r="E14142" s="3" t="s">
        <v>3</v>
      </c>
      <c r="F14142" s="4">
        <v>0</v>
      </c>
      <c r="G14142" s="3">
        <v>2168</v>
      </c>
      <c r="H14142" s="3">
        <v>77</v>
      </c>
      <c r="I14142" s="3">
        <v>530</v>
      </c>
      <c r="J14142" s="3">
        <v>168</v>
      </c>
      <c r="K14142" s="3">
        <v>1757</v>
      </c>
      <c r="L14142" s="3">
        <v>1</v>
      </c>
      <c r="M14142" s="3">
        <v>529</v>
      </c>
    </row>
    <row r="14143" spans="1:13" x14ac:dyDescent="0.25">
      <c r="A14143" s="1" t="str">
        <f>HYPERLINK("http://www.rosaceae.org/Prunus/Prunus_persica/p.persica_gdr_reftransV1_0043245","p.persica_gdr_reftransV1_0043245")</f>
        <v>p.persica_gdr_reftransV1_0043245</v>
      </c>
      <c r="B14143" s="3">
        <v>726</v>
      </c>
      <c r="C14143" s="1" t="str">
        <f>HYPERLINK("http://www.uniprot.org/uniprot/RL141_ARATH","RL141_ARATH")</f>
        <v>RL141_ARATH</v>
      </c>
      <c r="D14143" t="s">
        <v>9347</v>
      </c>
      <c r="E14143" s="3" t="s">
        <v>3</v>
      </c>
      <c r="F14143" s="4">
        <v>7.0099999999999999E-74</v>
      </c>
      <c r="G14143" s="3">
        <v>579</v>
      </c>
      <c r="H14143" s="3">
        <v>84</v>
      </c>
      <c r="I14143" s="3">
        <v>134</v>
      </c>
      <c r="J14143" s="3">
        <v>79</v>
      </c>
      <c r="K14143" s="3">
        <v>480</v>
      </c>
      <c r="L14143" s="3">
        <v>1</v>
      </c>
      <c r="M14143" s="3">
        <v>134</v>
      </c>
    </row>
    <row r="14144" spans="1:13" x14ac:dyDescent="0.25">
      <c r="A14144" s="1" t="str">
        <f>HYPERLINK("http://www.rosaceae.org/Prunus/Prunus_persica/p.persica_gdr_reftransV1_0043295","p.persica_gdr_reftransV1_0043295")</f>
        <v>p.persica_gdr_reftransV1_0043295</v>
      </c>
      <c r="B14144" s="3">
        <v>475</v>
      </c>
      <c r="C14144" s="1" t="str">
        <f>HYPERLINK("http://www.uniprot.org/uniprot/CNDG2_MOUSE","CNDG2_MOUSE")</f>
        <v>CNDG2_MOUSE</v>
      </c>
      <c r="D14144" t="s">
        <v>9348</v>
      </c>
      <c r="E14144" s="3" t="s">
        <v>157</v>
      </c>
      <c r="F14144" s="4">
        <v>3.1800000000000002E-24</v>
      </c>
      <c r="G14144" s="3">
        <v>257</v>
      </c>
      <c r="H14144" s="3">
        <v>36</v>
      </c>
      <c r="I14144" s="3">
        <v>137</v>
      </c>
      <c r="J14144" s="3">
        <v>3</v>
      </c>
      <c r="K14144" s="3">
        <v>413</v>
      </c>
      <c r="L14144" s="3">
        <v>135</v>
      </c>
      <c r="M14144" s="3">
        <v>271</v>
      </c>
    </row>
    <row r="14145" spans="1:13" x14ac:dyDescent="0.25">
      <c r="A14145" s="1" t="str">
        <f>HYPERLINK("http://www.rosaceae.org/Prunus/Prunus_persica/p.persica_gdr_reftransV1_0043345","p.persica_gdr_reftransV1_0043345")</f>
        <v>p.persica_gdr_reftransV1_0043345</v>
      </c>
      <c r="B14145" s="3">
        <v>1135</v>
      </c>
      <c r="C14145" s="1" t="str">
        <f>HYPERLINK("http://www.uniprot.org/uniprot/PLCD4_ARATH","PLCD4_ARATH")</f>
        <v>PLCD4_ARATH</v>
      </c>
      <c r="D14145" t="s">
        <v>3865</v>
      </c>
      <c r="E14145" s="3" t="s">
        <v>3</v>
      </c>
      <c r="F14145" s="4">
        <v>2.8900000000000001E-173</v>
      </c>
      <c r="G14145" s="3">
        <v>1295</v>
      </c>
      <c r="H14145" s="3">
        <v>65</v>
      </c>
      <c r="I14145" s="3">
        <v>389</v>
      </c>
      <c r="J14145" s="3">
        <v>1</v>
      </c>
      <c r="K14145" s="3">
        <v>1134</v>
      </c>
      <c r="L14145" s="3">
        <v>58</v>
      </c>
      <c r="M14145" s="3">
        <v>444</v>
      </c>
    </row>
    <row r="14146" spans="1:13" x14ac:dyDescent="0.25">
      <c r="A14146" s="1" t="str">
        <f>HYPERLINK("http://www.rosaceae.org/Prunus/Prunus_persica/p.persica_gdr_reftransV1_0043395","p.persica_gdr_reftransV1_0043395")</f>
        <v>p.persica_gdr_reftransV1_0043395</v>
      </c>
      <c r="B14146" s="3">
        <v>1806</v>
      </c>
      <c r="C14146" s="1" t="str">
        <f>HYPERLINK("http://www.uniprot.org/uniprot/TMM_ARATH","TMM_ARATH")</f>
        <v>TMM_ARATH</v>
      </c>
      <c r="D14146" t="s">
        <v>4828</v>
      </c>
      <c r="E14146" s="3" t="s">
        <v>3</v>
      </c>
      <c r="F14146" s="4">
        <v>4.6599999999999997E-61</v>
      </c>
      <c r="G14146" s="3">
        <v>550</v>
      </c>
      <c r="H14146" s="3">
        <v>37</v>
      </c>
      <c r="I14146" s="3">
        <v>409</v>
      </c>
      <c r="J14146" s="3">
        <v>242</v>
      </c>
      <c r="K14146" s="3">
        <v>1429</v>
      </c>
      <c r="L14146" s="3">
        <v>56</v>
      </c>
      <c r="M14146" s="3">
        <v>447</v>
      </c>
    </row>
    <row r="14147" spans="1:13" x14ac:dyDescent="0.25">
      <c r="A14147" s="1" t="str">
        <f>HYPERLINK("http://www.rosaceae.org/Prunus/Prunus_persica/p.persica_gdr_reftransV1_0043445","p.persica_gdr_reftransV1_0043445")</f>
        <v>p.persica_gdr_reftransV1_0043445</v>
      </c>
      <c r="B14147" s="3">
        <v>533</v>
      </c>
      <c r="C14147" s="1" t="str">
        <f>HYPERLINK("http://www.uniprot.org/uniprot/NLT22_PARJU","NLT22_PARJU")</f>
        <v>NLT22_PARJU</v>
      </c>
      <c r="D14147" t="s">
        <v>9349</v>
      </c>
      <c r="E14147" s="3" t="s">
        <v>9350</v>
      </c>
      <c r="F14147" s="4">
        <v>1.4100000000000001E-12</v>
      </c>
      <c r="G14147" s="3">
        <v>158</v>
      </c>
      <c r="H14147" s="3">
        <v>29</v>
      </c>
      <c r="I14147" s="3">
        <v>109</v>
      </c>
      <c r="J14147" s="3">
        <v>94</v>
      </c>
      <c r="K14147" s="3">
        <v>420</v>
      </c>
      <c r="L14147" s="3">
        <v>23</v>
      </c>
      <c r="M14147" s="3">
        <v>125</v>
      </c>
    </row>
    <row r="14148" spans="1:13" x14ac:dyDescent="0.25">
      <c r="A14148" s="1" t="str">
        <f>HYPERLINK("http://www.rosaceae.org/Prunus/Prunus_persica/p.persica_gdr_reftransV1_0043495","p.persica_gdr_reftransV1_0043495")</f>
        <v>p.persica_gdr_reftransV1_0043495</v>
      </c>
      <c r="B14148" s="3">
        <v>1891</v>
      </c>
      <c r="C14148" s="1" t="str">
        <f>HYPERLINK("http://www.uniprot.org/uniprot/PP152_ARATH","PP152_ARATH")</f>
        <v>PP152_ARATH</v>
      </c>
      <c r="D14148" t="s">
        <v>2874</v>
      </c>
      <c r="E14148" s="3" t="s">
        <v>3</v>
      </c>
      <c r="F14148" s="4">
        <v>0</v>
      </c>
      <c r="G14148" s="3">
        <v>1580</v>
      </c>
      <c r="H14148" s="3">
        <v>60</v>
      </c>
      <c r="I14148" s="3">
        <v>497</v>
      </c>
      <c r="J14148" s="3">
        <v>400</v>
      </c>
      <c r="K14148" s="3">
        <v>1890</v>
      </c>
      <c r="L14148" s="3">
        <v>136</v>
      </c>
      <c r="M14148" s="3">
        <v>627</v>
      </c>
    </row>
    <row r="14149" spans="1:13" x14ac:dyDescent="0.25">
      <c r="A14149" s="1" t="str">
        <f>HYPERLINK("http://www.rosaceae.org/Prunus/Prunus_persica/p.persica_gdr_reftransV1_0043545","p.persica_gdr_reftransV1_0043545")</f>
        <v>p.persica_gdr_reftransV1_0043545</v>
      </c>
      <c r="B14149" s="3">
        <v>333</v>
      </c>
      <c r="C14149" s="1" t="str">
        <f>HYPERLINK("http://www.uniprot.org/uniprot/AB29B_ARATH","AB29B_ARATH")</f>
        <v>AB29B_ARATH</v>
      </c>
      <c r="D14149" t="s">
        <v>4757</v>
      </c>
      <c r="E14149" s="3" t="s">
        <v>3</v>
      </c>
      <c r="F14149" s="4">
        <v>9.2100000000000001E-33</v>
      </c>
      <c r="G14149" s="3">
        <v>312</v>
      </c>
      <c r="H14149" s="3">
        <v>61</v>
      </c>
      <c r="I14149" s="3">
        <v>111</v>
      </c>
      <c r="J14149" s="3">
        <v>1</v>
      </c>
      <c r="K14149" s="3">
        <v>333</v>
      </c>
      <c r="L14149" s="3">
        <v>262</v>
      </c>
      <c r="M14149" s="3">
        <v>372</v>
      </c>
    </row>
    <row r="14150" spans="1:13" x14ac:dyDescent="0.25">
      <c r="A14150" s="1" t="str">
        <f>HYPERLINK("http://www.rosaceae.org/Prunus/Prunus_persica/p.persica_gdr_reftransV1_0043595","p.persica_gdr_reftransV1_0043595")</f>
        <v>p.persica_gdr_reftransV1_0043595</v>
      </c>
      <c r="B14150" s="3">
        <v>1949</v>
      </c>
      <c r="C14150" s="1" t="str">
        <f>HYPERLINK("http://www.uniprot.org/uniprot/CALX_SOYBN","CALX_SOYBN")</f>
        <v>CALX_SOYBN</v>
      </c>
      <c r="D14150" t="s">
        <v>2770</v>
      </c>
      <c r="E14150" s="3" t="s">
        <v>307</v>
      </c>
      <c r="F14150" s="4">
        <v>0</v>
      </c>
      <c r="G14150" s="3">
        <v>1807</v>
      </c>
      <c r="H14150" s="3">
        <v>76</v>
      </c>
      <c r="I14150" s="3">
        <v>508</v>
      </c>
      <c r="J14150" s="3">
        <v>44</v>
      </c>
      <c r="K14150" s="3">
        <v>1558</v>
      </c>
      <c r="L14150" s="3">
        <v>3</v>
      </c>
      <c r="M14150" s="3">
        <v>510</v>
      </c>
    </row>
    <row r="14151" spans="1:13" x14ac:dyDescent="0.25">
      <c r="A14151" s="1" t="str">
        <f>HYPERLINK("http://www.rosaceae.org/Prunus/Prunus_persica/p.persica_gdr_reftransV1_0043645","p.persica_gdr_reftransV1_0043645")</f>
        <v>p.persica_gdr_reftransV1_0043645</v>
      </c>
      <c r="B14151" s="3">
        <v>2172</v>
      </c>
      <c r="C14151" s="1" t="str">
        <f>HYPERLINK("http://www.uniprot.org/uniprot/Y1680_ARATH","Y1680_ARATH")</f>
        <v>Y1680_ARATH</v>
      </c>
      <c r="D14151" t="s">
        <v>750</v>
      </c>
      <c r="E14151" s="3" t="s">
        <v>3</v>
      </c>
      <c r="F14151" s="4">
        <v>0</v>
      </c>
      <c r="G14151" s="3">
        <v>2021</v>
      </c>
      <c r="H14151" s="3">
        <v>65</v>
      </c>
      <c r="I14151" s="3">
        <v>659</v>
      </c>
      <c r="J14151" s="3">
        <v>72</v>
      </c>
      <c r="K14151" s="3">
        <v>2009</v>
      </c>
      <c r="L14151" s="3">
        <v>31</v>
      </c>
      <c r="M14151" s="3">
        <v>667</v>
      </c>
    </row>
    <row r="14152" spans="1:13" x14ac:dyDescent="0.25">
      <c r="A14152" s="1" t="str">
        <f>HYPERLINK("http://www.rosaceae.org/Prunus/Prunus_persica/p.persica_gdr_reftransV1_0043695","p.persica_gdr_reftransV1_0043695")</f>
        <v>p.persica_gdr_reftransV1_0043695</v>
      </c>
      <c r="B14152" s="3">
        <v>604</v>
      </c>
      <c r="C14152" s="1" t="str">
        <f>HYPERLINK("http://www.uniprot.org/uniprot/P2B15_ARATH","P2B15_ARATH")</f>
        <v>P2B15_ARATH</v>
      </c>
      <c r="D14152" t="s">
        <v>9351</v>
      </c>
      <c r="E14152" s="3" t="s">
        <v>3</v>
      </c>
      <c r="F14152" s="4">
        <v>1.3799999999999999E-42</v>
      </c>
      <c r="G14152" s="3">
        <v>379</v>
      </c>
      <c r="H14152" s="3">
        <v>44</v>
      </c>
      <c r="I14152" s="3">
        <v>201</v>
      </c>
      <c r="J14152" s="3">
        <v>19</v>
      </c>
      <c r="K14152" s="3">
        <v>603</v>
      </c>
      <c r="L14152" s="3">
        <v>88</v>
      </c>
      <c r="M14152" s="3">
        <v>280</v>
      </c>
    </row>
    <row r="14153" spans="1:13" x14ac:dyDescent="0.25">
      <c r="A14153" s="1" t="str">
        <f>HYPERLINK("http://www.rosaceae.org/Prunus/Prunus_persica/p.persica_gdr_reftransV1_0043795","p.persica_gdr_reftransV1_0043795")</f>
        <v>p.persica_gdr_reftransV1_0043795</v>
      </c>
      <c r="B14153" s="3">
        <v>1188</v>
      </c>
      <c r="C14153" s="1" t="str">
        <f>HYPERLINK("http://www.uniprot.org/uniprot/VIL2_ARATH","VIL2_ARATH")</f>
        <v>VIL2_ARATH</v>
      </c>
      <c r="D14153" t="s">
        <v>8689</v>
      </c>
      <c r="E14153" s="3" t="s">
        <v>3</v>
      </c>
      <c r="F14153" s="4">
        <v>7.7700000000000002E-38</v>
      </c>
      <c r="G14153" s="3">
        <v>375</v>
      </c>
      <c r="H14153" s="3">
        <v>29</v>
      </c>
      <c r="I14153" s="3">
        <v>434</v>
      </c>
      <c r="J14153" s="3">
        <v>135</v>
      </c>
      <c r="K14153" s="3">
        <v>1187</v>
      </c>
      <c r="L14153" s="3">
        <v>255</v>
      </c>
      <c r="M14153" s="3">
        <v>688</v>
      </c>
    </row>
    <row r="14154" spans="1:13" x14ac:dyDescent="0.25">
      <c r="A14154" s="1" t="str">
        <f>HYPERLINK("http://www.rosaceae.org/Prunus/Prunus_persica/p.persica_gdr_reftransV1_0043845","p.persica_gdr_reftransV1_0043845")</f>
        <v>p.persica_gdr_reftransV1_0043845</v>
      </c>
      <c r="B14154" s="3">
        <v>299</v>
      </c>
      <c r="C14154" s="1" t="str">
        <f>HYPERLINK("http://www.uniprot.org/uniprot/NUP1_ARATH","NUP1_ARATH")</f>
        <v>NUP1_ARATH</v>
      </c>
      <c r="D14154" t="s">
        <v>6917</v>
      </c>
      <c r="E14154" s="3" t="s">
        <v>3</v>
      </c>
      <c r="F14154" s="4">
        <v>1.38E-14</v>
      </c>
      <c r="G14154" s="3">
        <v>179</v>
      </c>
      <c r="H14154" s="3">
        <v>62</v>
      </c>
      <c r="I14154" s="3">
        <v>66</v>
      </c>
      <c r="J14154" s="3">
        <v>2</v>
      </c>
      <c r="K14154" s="3">
        <v>184</v>
      </c>
      <c r="L14154" s="3">
        <v>22</v>
      </c>
      <c r="M14154" s="3">
        <v>86</v>
      </c>
    </row>
    <row r="14155" spans="1:13" x14ac:dyDescent="0.25">
      <c r="A14155" s="1" t="str">
        <f>HYPERLINK("http://www.rosaceae.org/Prunus/Prunus_persica/p.persica_gdr_reftransV1_0043945","p.persica_gdr_reftransV1_0043945")</f>
        <v>p.persica_gdr_reftransV1_0043945</v>
      </c>
      <c r="B14155" s="3">
        <v>1984</v>
      </c>
      <c r="C14155" s="1" t="str">
        <f>HYPERLINK("http://www.uniprot.org/uniprot/PXC3_ARATH","PXC3_ARATH")</f>
        <v>PXC3_ARATH</v>
      </c>
      <c r="D14155" t="s">
        <v>5926</v>
      </c>
      <c r="E14155" s="3" t="s">
        <v>3</v>
      </c>
      <c r="F14155" s="4">
        <v>0</v>
      </c>
      <c r="G14155" s="3">
        <v>1925</v>
      </c>
      <c r="H14155" s="3">
        <v>74</v>
      </c>
      <c r="I14155" s="3">
        <v>572</v>
      </c>
      <c r="J14155" s="3">
        <v>3</v>
      </c>
      <c r="K14155" s="3">
        <v>1715</v>
      </c>
      <c r="L14155" s="3">
        <v>16</v>
      </c>
      <c r="M14155" s="3">
        <v>587</v>
      </c>
    </row>
    <row r="14156" spans="1:13" x14ac:dyDescent="0.25">
      <c r="A14156" s="1" t="str">
        <f>HYPERLINK("http://www.rosaceae.org/Prunus/Prunus_persica/p.persica_gdr_reftransV1_0044045","p.persica_gdr_reftransV1_0044045")</f>
        <v>p.persica_gdr_reftransV1_0044045</v>
      </c>
      <c r="B14156" s="3">
        <v>1397</v>
      </c>
      <c r="C14156" s="1" t="str">
        <f>HYPERLINK("http://www.uniprot.org/uniprot/BIN4_ARATH","BIN4_ARATH")</f>
        <v>BIN4_ARATH</v>
      </c>
      <c r="D14156" t="s">
        <v>9352</v>
      </c>
      <c r="E14156" s="3" t="s">
        <v>3</v>
      </c>
      <c r="F14156" s="4">
        <v>2.06E-60</v>
      </c>
      <c r="G14156" s="3">
        <v>534</v>
      </c>
      <c r="H14156" s="3">
        <v>67</v>
      </c>
      <c r="I14156" s="3">
        <v>150</v>
      </c>
      <c r="J14156" s="3">
        <v>380</v>
      </c>
      <c r="K14156" s="3">
        <v>823</v>
      </c>
      <c r="L14156" s="3">
        <v>255</v>
      </c>
      <c r="M14156" s="3">
        <v>401</v>
      </c>
    </row>
    <row r="14157" spans="1:13" x14ac:dyDescent="0.25">
      <c r="A14157" s="1" t="str">
        <f>HYPERLINK("http://www.rosaceae.org/Prunus/Prunus_persica/p.persica_gdr_reftransV1_0044095","p.persica_gdr_reftransV1_0044095")</f>
        <v>p.persica_gdr_reftransV1_0044095</v>
      </c>
      <c r="B14157" s="3">
        <v>2024</v>
      </c>
      <c r="C14157" s="1" t="str">
        <f>HYPERLINK("http://www.uniprot.org/uniprot/Y5656_ARATH","Y5656_ARATH")</f>
        <v>Y5656_ARATH</v>
      </c>
      <c r="D14157" t="s">
        <v>9353</v>
      </c>
      <c r="E14157" s="3" t="s">
        <v>3</v>
      </c>
      <c r="F14157" s="4">
        <v>0</v>
      </c>
      <c r="G14157" s="3">
        <v>1606</v>
      </c>
      <c r="H14157" s="3">
        <v>63</v>
      </c>
      <c r="I14157" s="3">
        <v>532</v>
      </c>
      <c r="J14157" s="3">
        <v>502</v>
      </c>
      <c r="K14157" s="3">
        <v>2022</v>
      </c>
      <c r="L14157" s="3">
        <v>4</v>
      </c>
      <c r="M14157" s="3">
        <v>510</v>
      </c>
    </row>
    <row r="14158" spans="1:13" x14ac:dyDescent="0.25">
      <c r="A14158" s="1" t="str">
        <f>HYPERLINK("http://www.rosaceae.org/Prunus/Prunus_persica/p.persica_gdr_reftransV1_0044195","p.persica_gdr_reftransV1_0044195")</f>
        <v>p.persica_gdr_reftransV1_0044195</v>
      </c>
      <c r="B14158" s="3">
        <v>2588</v>
      </c>
      <c r="C14158" s="1" t="str">
        <f>HYPERLINK("http://www.uniprot.org/uniprot/NOL10_XENLA","NOL10_XENLA")</f>
        <v>NOL10_XENLA</v>
      </c>
      <c r="D14158" t="s">
        <v>8753</v>
      </c>
      <c r="E14158" s="3" t="s">
        <v>475</v>
      </c>
      <c r="F14158" s="4">
        <v>4.1699999999999997E-144</v>
      </c>
      <c r="G14158" s="3">
        <v>1155</v>
      </c>
      <c r="H14158" s="3">
        <v>45</v>
      </c>
      <c r="I14158" s="3">
        <v>531</v>
      </c>
      <c r="J14158" s="3">
        <v>989</v>
      </c>
      <c r="K14158" s="3">
        <v>2560</v>
      </c>
      <c r="L14158" s="3">
        <v>1</v>
      </c>
      <c r="M14158" s="3">
        <v>513</v>
      </c>
    </row>
    <row r="14159" spans="1:13" x14ac:dyDescent="0.25">
      <c r="A14159" s="1" t="str">
        <f>HYPERLINK("http://www.rosaceae.org/Prunus/Prunus_persica/p.persica_gdr_reftransV1_0044295","p.persica_gdr_reftransV1_0044295")</f>
        <v>p.persica_gdr_reftransV1_0044295</v>
      </c>
      <c r="B14159" s="3">
        <v>2535</v>
      </c>
      <c r="C14159" s="1" t="str">
        <f>HYPERLINK("http://www.uniprot.org/uniprot/PGLR_VITVI","PGLR_VITVI")</f>
        <v>PGLR_VITVI</v>
      </c>
      <c r="D14159" t="s">
        <v>2366</v>
      </c>
      <c r="E14159" s="3" t="s">
        <v>362</v>
      </c>
      <c r="F14159" s="4">
        <v>3.9199999999999997E-136</v>
      </c>
      <c r="G14159" s="3">
        <v>1082</v>
      </c>
      <c r="H14159" s="3">
        <v>50</v>
      </c>
      <c r="I14159" s="3">
        <v>409</v>
      </c>
      <c r="J14159" s="3">
        <v>144</v>
      </c>
      <c r="K14159" s="3">
        <v>1361</v>
      </c>
      <c r="L14159" s="3">
        <v>59</v>
      </c>
      <c r="M14159" s="3">
        <v>467</v>
      </c>
    </row>
    <row r="14160" spans="1:13" x14ac:dyDescent="0.25">
      <c r="A14160" s="1" t="str">
        <f>HYPERLINK("http://www.rosaceae.org/Prunus/Prunus_persica/p.persica_gdr_reftransV1_0044345","p.persica_gdr_reftransV1_0044345")</f>
        <v>p.persica_gdr_reftransV1_0044345</v>
      </c>
      <c r="B14160" s="3">
        <v>1813</v>
      </c>
      <c r="C14160" s="1" t="str">
        <f>HYPERLINK("http://www.uniprot.org/uniprot/AXR4_ARATH","AXR4_ARATH")</f>
        <v>AXR4_ARATH</v>
      </c>
      <c r="D14160" t="s">
        <v>2720</v>
      </c>
      <c r="E14160" s="3" t="s">
        <v>3</v>
      </c>
      <c r="F14160" s="4">
        <v>3.5E-147</v>
      </c>
      <c r="G14160" s="3">
        <v>1134</v>
      </c>
      <c r="H14160" s="3">
        <v>56</v>
      </c>
      <c r="I14160" s="3">
        <v>483</v>
      </c>
      <c r="J14160" s="3">
        <v>229</v>
      </c>
      <c r="K14160" s="3">
        <v>1668</v>
      </c>
      <c r="L14160" s="3">
        <v>1</v>
      </c>
      <c r="M14160" s="3">
        <v>468</v>
      </c>
    </row>
    <row r="14161" spans="1:13" x14ac:dyDescent="0.25">
      <c r="A14161" s="1" t="str">
        <f>HYPERLINK("http://www.rosaceae.org/Prunus/Prunus_persica/p.persica_gdr_reftransV1_0044395","p.persica_gdr_reftransV1_0044395")</f>
        <v>p.persica_gdr_reftransV1_0044395</v>
      </c>
      <c r="B14161" s="3">
        <v>1784</v>
      </c>
      <c r="C14161" s="1" t="str">
        <f>HYPERLINK("http://www.uniprot.org/uniprot/RECAC_ARATH","RECAC_ARATH")</f>
        <v>RECAC_ARATH</v>
      </c>
      <c r="D14161" t="s">
        <v>9231</v>
      </c>
      <c r="E14161" s="3" t="s">
        <v>3</v>
      </c>
      <c r="F14161" s="4">
        <v>0</v>
      </c>
      <c r="G14161" s="3">
        <v>1570</v>
      </c>
      <c r="H14161" s="3">
        <v>88</v>
      </c>
      <c r="I14161" s="3">
        <v>350</v>
      </c>
      <c r="J14161" s="3">
        <v>475</v>
      </c>
      <c r="K14161" s="3">
        <v>1524</v>
      </c>
      <c r="L14161" s="3">
        <v>59</v>
      </c>
      <c r="M14161" s="3">
        <v>408</v>
      </c>
    </row>
    <row r="14162" spans="1:13" x14ac:dyDescent="0.25">
      <c r="A14162" s="1" t="str">
        <f>HYPERLINK("http://www.rosaceae.org/Prunus/Prunus_persica/p.persica_gdr_reftransV1_0044445","p.persica_gdr_reftransV1_0044445")</f>
        <v>p.persica_gdr_reftransV1_0044445</v>
      </c>
      <c r="B14162" s="3">
        <v>1276</v>
      </c>
      <c r="C14162" s="1" t="str">
        <f>HYPERLINK("http://www.uniprot.org/uniprot/BZIP9_ARATH","BZIP9_ARATH")</f>
        <v>BZIP9_ARATH</v>
      </c>
      <c r="D14162" t="s">
        <v>7311</v>
      </c>
      <c r="E14162" s="3" t="s">
        <v>3</v>
      </c>
      <c r="F14162" s="4">
        <v>4.8199999999999996E-49</v>
      </c>
      <c r="G14162" s="3">
        <v>440</v>
      </c>
      <c r="H14162" s="3">
        <v>53</v>
      </c>
      <c r="I14162" s="3">
        <v>251</v>
      </c>
      <c r="J14162" s="3">
        <v>394</v>
      </c>
      <c r="K14162" s="3">
        <v>1134</v>
      </c>
      <c r="L14162" s="3">
        <v>43</v>
      </c>
      <c r="M14162" s="3">
        <v>276</v>
      </c>
    </row>
    <row r="14163" spans="1:13" x14ac:dyDescent="0.25">
      <c r="A14163" s="1" t="str">
        <f>HYPERLINK("http://www.rosaceae.org/Prunus/Prunus_persica/p.persica_gdr_reftransV1_0044495","p.persica_gdr_reftransV1_0044495")</f>
        <v>p.persica_gdr_reftransV1_0044495</v>
      </c>
      <c r="B14163" s="3">
        <v>626</v>
      </c>
      <c r="C14163" s="1" t="str">
        <f>HYPERLINK("http://www.uniprot.org/uniprot/idS3_HORVU","idS3_HORVU")</f>
        <v>idS3_HORVU</v>
      </c>
      <c r="D14163" t="s">
        <v>898</v>
      </c>
      <c r="E14163" s="3" t="s">
        <v>769</v>
      </c>
      <c r="F14163" s="4">
        <v>4.7599999999999998E-36</v>
      </c>
      <c r="G14163" s="3">
        <v>338</v>
      </c>
      <c r="H14163" s="3">
        <v>40</v>
      </c>
      <c r="I14163" s="3">
        <v>169</v>
      </c>
      <c r="J14163" s="3">
        <v>5</v>
      </c>
      <c r="K14163" s="3">
        <v>511</v>
      </c>
      <c r="L14163" s="3">
        <v>151</v>
      </c>
      <c r="M14163" s="3">
        <v>316</v>
      </c>
    </row>
    <row r="14164" spans="1:13" x14ac:dyDescent="0.25">
      <c r="A14164" s="1" t="str">
        <f>HYPERLINK("http://www.rosaceae.org/Prunus/Prunus_persica/p.persica_gdr_reftransV1_0044545","p.persica_gdr_reftransV1_0044545")</f>
        <v>p.persica_gdr_reftransV1_0044545</v>
      </c>
      <c r="B14164" s="3">
        <v>1952</v>
      </c>
      <c r="C14164" s="1" t="str">
        <f>HYPERLINK("http://www.uniprot.org/uniprot/MLO4_ARATH","MLO4_ARATH")</f>
        <v>MLO4_ARATH</v>
      </c>
      <c r="D14164" t="s">
        <v>930</v>
      </c>
      <c r="E14164" s="3" t="s">
        <v>3</v>
      </c>
      <c r="F14164" s="4">
        <v>6.8300000000000004E-124</v>
      </c>
      <c r="G14164" s="3">
        <v>629</v>
      </c>
      <c r="H14164" s="3">
        <v>58</v>
      </c>
      <c r="I14164" s="3">
        <v>200</v>
      </c>
      <c r="J14164" s="3">
        <v>979</v>
      </c>
      <c r="K14164" s="3">
        <v>1575</v>
      </c>
      <c r="L14164" s="3">
        <v>252</v>
      </c>
      <c r="M14164" s="3">
        <v>451</v>
      </c>
    </row>
    <row r="14165" spans="1:13" x14ac:dyDescent="0.25">
      <c r="A14165" s="1" t="str">
        <f>HYPERLINK("http://www.rosaceae.org/Prunus/Prunus_persica/p.persica_gdr_reftransV1_0044645","p.persica_gdr_reftransV1_0044645")</f>
        <v>p.persica_gdr_reftransV1_0044645</v>
      </c>
      <c r="B14165" s="3">
        <v>748</v>
      </c>
      <c r="C14165" s="1" t="str">
        <f>HYPERLINK("http://www.uniprot.org/uniprot/RL261_ARATH","RL261_ARATH")</f>
        <v>RL261_ARATH</v>
      </c>
      <c r="D14165" t="s">
        <v>9354</v>
      </c>
      <c r="E14165" s="3" t="s">
        <v>3</v>
      </c>
      <c r="F14165" s="4">
        <v>3.7100000000000001E-69</v>
      </c>
      <c r="G14165" s="3">
        <v>550</v>
      </c>
      <c r="H14165" s="3">
        <v>90</v>
      </c>
      <c r="I14165" s="3">
        <v>146</v>
      </c>
      <c r="J14165" s="3">
        <v>70</v>
      </c>
      <c r="K14165" s="3">
        <v>507</v>
      </c>
      <c r="L14165" s="3">
        <v>1</v>
      </c>
      <c r="M14165" s="3">
        <v>146</v>
      </c>
    </row>
    <row r="14166" spans="1:13" x14ac:dyDescent="0.25">
      <c r="A14166" s="1" t="str">
        <f>HYPERLINK("http://www.rosaceae.org/Prunus/Prunus_persica/p.persica_gdr_reftransV1_0044695","p.persica_gdr_reftransV1_0044695")</f>
        <v>p.persica_gdr_reftransV1_0044695</v>
      </c>
      <c r="B14166" s="3">
        <v>933</v>
      </c>
      <c r="C14166" s="1" t="str">
        <f>HYPERLINK("http://www.uniprot.org/uniprot/LOB_ARATH","LOB_ARATH")</f>
        <v>LOB_ARATH</v>
      </c>
      <c r="D14166" t="s">
        <v>1432</v>
      </c>
      <c r="E14166" s="3" t="s">
        <v>3</v>
      </c>
      <c r="F14166" s="4">
        <v>2.43E-73</v>
      </c>
      <c r="G14166" s="3">
        <v>587</v>
      </c>
      <c r="H14166" s="3">
        <v>66</v>
      </c>
      <c r="I14166" s="3">
        <v>185</v>
      </c>
      <c r="J14166" s="3">
        <v>56</v>
      </c>
      <c r="K14166" s="3">
        <v>598</v>
      </c>
      <c r="L14166" s="3">
        <v>1</v>
      </c>
      <c r="M14166" s="3">
        <v>183</v>
      </c>
    </row>
    <row r="14167" spans="1:13" x14ac:dyDescent="0.25">
      <c r="A14167" s="1" t="str">
        <f>HYPERLINK("http://www.rosaceae.org/Prunus/Prunus_persica/p.persica_gdr_reftransV1_0044745","p.persica_gdr_reftransV1_0044745")</f>
        <v>p.persica_gdr_reftransV1_0044745</v>
      </c>
      <c r="B14167" s="3">
        <v>1902</v>
      </c>
      <c r="C14167" s="1" t="str">
        <f>HYPERLINK("http://www.uniprot.org/uniprot/ARGJ_RICCO","ARGJ_RICCO")</f>
        <v>ARGJ_RICCO</v>
      </c>
      <c r="D14167" t="s">
        <v>4575</v>
      </c>
      <c r="E14167" s="3" t="s">
        <v>421</v>
      </c>
      <c r="F14167" s="4">
        <v>0</v>
      </c>
      <c r="G14167" s="3">
        <v>1657</v>
      </c>
      <c r="H14167" s="3">
        <v>77</v>
      </c>
      <c r="I14167" s="3">
        <v>469</v>
      </c>
      <c r="J14167" s="3">
        <v>216</v>
      </c>
      <c r="K14167" s="3">
        <v>1604</v>
      </c>
      <c r="L14167" s="3">
        <v>1</v>
      </c>
      <c r="M14167" s="3">
        <v>469</v>
      </c>
    </row>
    <row r="14168" spans="1:13" x14ac:dyDescent="0.25">
      <c r="A14168" s="1" t="str">
        <f>HYPERLINK("http://www.rosaceae.org/Prunus/Prunus_persica/p.persica_gdr_reftransV1_0044795","p.persica_gdr_reftransV1_0044795")</f>
        <v>p.persica_gdr_reftransV1_0044795</v>
      </c>
      <c r="B14168" s="3">
        <v>2366</v>
      </c>
      <c r="C14168" s="1" t="str">
        <f>HYPERLINK("http://www.uniprot.org/uniprot/KPYA_RICCO","KPYA_RICCO")</f>
        <v>KPYA_RICCO</v>
      </c>
      <c r="D14168" t="s">
        <v>3956</v>
      </c>
      <c r="E14168" s="3" t="s">
        <v>421</v>
      </c>
      <c r="F14168" s="4">
        <v>0</v>
      </c>
      <c r="G14168" s="3">
        <v>2514</v>
      </c>
      <c r="H14168" s="3">
        <v>87</v>
      </c>
      <c r="I14168" s="3">
        <v>544</v>
      </c>
      <c r="J14168" s="3">
        <v>482</v>
      </c>
      <c r="K14168" s="3">
        <v>2098</v>
      </c>
      <c r="L14168" s="3">
        <v>40</v>
      </c>
      <c r="M14168" s="3">
        <v>583</v>
      </c>
    </row>
    <row r="14169" spans="1:13" x14ac:dyDescent="0.25">
      <c r="A14169" s="1" t="str">
        <f>HYPERLINK("http://www.rosaceae.org/Prunus/Prunus_persica/p.persica_gdr_reftransV1_0044845","p.persica_gdr_reftransV1_0044845")</f>
        <v>p.persica_gdr_reftransV1_0044845</v>
      </c>
      <c r="B14169" s="3">
        <v>1447</v>
      </c>
      <c r="C14169" s="1" t="str">
        <f>HYPERLINK("http://www.uniprot.org/uniprot/RSZ33_ARATH","RSZ33_ARATH")</f>
        <v>RSZ33_ARATH</v>
      </c>
      <c r="D14169" t="s">
        <v>4329</v>
      </c>
      <c r="E14169" s="3" t="s">
        <v>3</v>
      </c>
      <c r="F14169" s="4">
        <v>4.4499999999999996E-56</v>
      </c>
      <c r="G14169" s="3">
        <v>493</v>
      </c>
      <c r="H14169" s="3">
        <v>68</v>
      </c>
      <c r="I14169" s="3">
        <v>135</v>
      </c>
      <c r="J14169" s="3">
        <v>709</v>
      </c>
      <c r="K14169" s="3">
        <v>1101</v>
      </c>
      <c r="L14169" s="3">
        <v>9</v>
      </c>
      <c r="M14169" s="3">
        <v>143</v>
      </c>
    </row>
    <row r="14170" spans="1:13" x14ac:dyDescent="0.25">
      <c r="A14170" s="1" t="str">
        <f>HYPERLINK("http://www.rosaceae.org/Prunus/Prunus_persica/p.persica_gdr_reftransV1_0044895","p.persica_gdr_reftransV1_0044895")</f>
        <v>p.persica_gdr_reftransV1_0044895</v>
      </c>
      <c r="B14170" s="3">
        <v>1149</v>
      </c>
      <c r="C14170" s="1" t="str">
        <f>HYPERLINK("http://www.uniprot.org/uniprot/RZP23_ORYSJ","RZP23_ORYSJ")</f>
        <v>RZP23_ORYSJ</v>
      </c>
      <c r="D14170" t="s">
        <v>9355</v>
      </c>
      <c r="E14170" s="3" t="s">
        <v>38</v>
      </c>
      <c r="F14170" s="4">
        <v>1.39E-42</v>
      </c>
      <c r="G14170" s="3">
        <v>386</v>
      </c>
      <c r="H14170" s="3">
        <v>75</v>
      </c>
      <c r="I14170" s="3">
        <v>109</v>
      </c>
      <c r="J14170" s="3">
        <v>77</v>
      </c>
      <c r="K14170" s="3">
        <v>403</v>
      </c>
      <c r="L14170" s="3">
        <v>1</v>
      </c>
      <c r="M14170" s="3">
        <v>103</v>
      </c>
    </row>
    <row r="14171" spans="1:13" x14ac:dyDescent="0.25">
      <c r="A14171" s="1" t="str">
        <f>HYPERLINK("http://www.rosaceae.org/Prunus/Prunus_persica/p.persica_gdr_reftransV1_0044945","p.persica_gdr_reftransV1_0044945")</f>
        <v>p.persica_gdr_reftransV1_0044945</v>
      </c>
      <c r="B14171" s="3">
        <v>344</v>
      </c>
      <c r="C14171" s="1" t="str">
        <f>HYPERLINK("http://www.uniprot.org/uniprot/EXO1_ARATH","EXO1_ARATH")</f>
        <v>EXO1_ARATH</v>
      </c>
      <c r="D14171" t="s">
        <v>7001</v>
      </c>
      <c r="E14171" s="3" t="s">
        <v>3</v>
      </c>
      <c r="F14171" s="4">
        <v>3.45E-28</v>
      </c>
      <c r="G14171" s="3">
        <v>280</v>
      </c>
      <c r="H14171" s="3">
        <v>46</v>
      </c>
      <c r="I14171" s="3">
        <v>114</v>
      </c>
      <c r="J14171" s="3">
        <v>1</v>
      </c>
      <c r="K14171" s="3">
        <v>342</v>
      </c>
      <c r="L14171" s="3">
        <v>115</v>
      </c>
      <c r="M14171" s="3">
        <v>222</v>
      </c>
    </row>
    <row r="14172" spans="1:13" x14ac:dyDescent="0.25">
      <c r="A14172" s="1" t="str">
        <f>HYPERLINK("http://www.rosaceae.org/Prunus/Prunus_persica/p.persica_gdr_reftransV1_0044995","p.persica_gdr_reftransV1_0044995")</f>
        <v>p.persica_gdr_reftransV1_0044995</v>
      </c>
      <c r="B14172" s="3">
        <v>1111</v>
      </c>
      <c r="C14172" s="1" t="str">
        <f>HYPERLINK("http://www.uniprot.org/uniprot/YQL5_SCHPO","YQL5_SCHPO")</f>
        <v>YQL5_SCHPO</v>
      </c>
      <c r="D14172" t="s">
        <v>9356</v>
      </c>
      <c r="E14172" s="3" t="s">
        <v>464</v>
      </c>
      <c r="F14172" s="4">
        <v>5.5499999999999997E-36</v>
      </c>
      <c r="G14172" s="3">
        <v>345</v>
      </c>
      <c r="H14172" s="3">
        <v>50</v>
      </c>
      <c r="I14172" s="3">
        <v>135</v>
      </c>
      <c r="J14172" s="3">
        <v>481</v>
      </c>
      <c r="K14172" s="3">
        <v>885</v>
      </c>
      <c r="L14172" s="3">
        <v>92</v>
      </c>
      <c r="M14172" s="3">
        <v>226</v>
      </c>
    </row>
    <row r="14173" spans="1:13" x14ac:dyDescent="0.25">
      <c r="A14173" s="1" t="str">
        <f>HYPERLINK("http://www.rosaceae.org/Prunus/Prunus_persica/p.persica_gdr_reftransV1_0045045","p.persica_gdr_reftransV1_0045045")</f>
        <v>p.persica_gdr_reftransV1_0045045</v>
      </c>
      <c r="B14173" s="3">
        <v>1708</v>
      </c>
      <c r="C14173" s="1" t="str">
        <f>HYPERLINK("http://www.uniprot.org/uniprot/TB22B_HUMAN","TB22B_HUMAN")</f>
        <v>TB22B_HUMAN</v>
      </c>
      <c r="D14173" t="s">
        <v>2375</v>
      </c>
      <c r="E14173" s="3" t="s">
        <v>28</v>
      </c>
      <c r="F14173" s="4">
        <v>3.3599999999999999E-107</v>
      </c>
      <c r="G14173" s="3">
        <v>866</v>
      </c>
      <c r="H14173" s="3">
        <v>51</v>
      </c>
      <c r="I14173" s="3">
        <v>324</v>
      </c>
      <c r="J14173" s="3">
        <v>305</v>
      </c>
      <c r="K14173" s="3">
        <v>1273</v>
      </c>
      <c r="L14173" s="3">
        <v>182</v>
      </c>
      <c r="M14173" s="3">
        <v>502</v>
      </c>
    </row>
    <row r="14174" spans="1:13" x14ac:dyDescent="0.25">
      <c r="A14174" s="1" t="str">
        <f>HYPERLINK("http://www.rosaceae.org/Prunus/Prunus_persica/p.persica_gdr_reftransV1_0045195","p.persica_gdr_reftransV1_0045195")</f>
        <v>p.persica_gdr_reftransV1_0045195</v>
      </c>
      <c r="B14174" s="3">
        <v>1638</v>
      </c>
      <c r="C14174" s="1" t="str">
        <f>HYPERLINK("http://www.uniprot.org/uniprot/THA1_ARATH","THA1_ARATH")</f>
        <v>THA1_ARATH</v>
      </c>
      <c r="D14174" t="s">
        <v>4647</v>
      </c>
      <c r="E14174" s="3" t="s">
        <v>3</v>
      </c>
      <c r="F14174" s="4">
        <v>0</v>
      </c>
      <c r="G14174" s="3">
        <v>1437</v>
      </c>
      <c r="H14174" s="3">
        <v>74</v>
      </c>
      <c r="I14174" s="3">
        <v>349</v>
      </c>
      <c r="J14174" s="3">
        <v>326</v>
      </c>
      <c r="K14174" s="3">
        <v>1372</v>
      </c>
      <c r="L14174" s="3">
        <v>1</v>
      </c>
      <c r="M14174" s="3">
        <v>349</v>
      </c>
    </row>
    <row r="14175" spans="1:13" x14ac:dyDescent="0.25">
      <c r="A14175" s="1" t="str">
        <f>HYPERLINK("http://www.rosaceae.org/Prunus/Prunus_persica/p.persica_gdr_reftransV1_0045245","p.persica_gdr_reftransV1_0045245")</f>
        <v>p.persica_gdr_reftransV1_0045245</v>
      </c>
      <c r="B14175" s="3">
        <v>1378</v>
      </c>
      <c r="C14175" s="1" t="str">
        <f>HYPERLINK("http://www.uniprot.org/uniprot/FLS_MALDO","FLS_MALDO")</f>
        <v>FLS_MALDO</v>
      </c>
      <c r="D14175" t="s">
        <v>9203</v>
      </c>
      <c r="E14175" s="3" t="s">
        <v>540</v>
      </c>
      <c r="F14175" s="4">
        <v>0</v>
      </c>
      <c r="G14175" s="3">
        <v>1443</v>
      </c>
      <c r="H14175" s="3">
        <v>86</v>
      </c>
      <c r="I14175" s="3">
        <v>337</v>
      </c>
      <c r="J14175" s="3">
        <v>215</v>
      </c>
      <c r="K14175" s="3">
        <v>1225</v>
      </c>
      <c r="L14175" s="3">
        <v>1</v>
      </c>
      <c r="M14175" s="3">
        <v>337</v>
      </c>
    </row>
    <row r="14176" spans="1:13" x14ac:dyDescent="0.25">
      <c r="A14176" s="1" t="str">
        <f>HYPERLINK("http://www.rosaceae.org/Prunus/Prunus_persica/p.persica_gdr_reftransV1_0045345","p.persica_gdr_reftransV1_0045345")</f>
        <v>p.persica_gdr_reftransV1_0045345</v>
      </c>
      <c r="B14176" s="3">
        <v>1548</v>
      </c>
      <c r="C14176" s="1" t="str">
        <f>HYPERLINK("http://www.uniprot.org/uniprot/C3H20_ARATH","C3H20_ARATH")</f>
        <v>C3H20_ARATH</v>
      </c>
      <c r="D14176" t="s">
        <v>6865</v>
      </c>
      <c r="E14176" s="3" t="s">
        <v>3</v>
      </c>
      <c r="F14176" s="4">
        <v>1.02E-126</v>
      </c>
      <c r="G14176" s="3">
        <v>978</v>
      </c>
      <c r="H14176" s="3">
        <v>57</v>
      </c>
      <c r="I14176" s="3">
        <v>386</v>
      </c>
      <c r="J14176" s="3">
        <v>51</v>
      </c>
      <c r="K14176" s="3">
        <v>1169</v>
      </c>
      <c r="L14176" s="3">
        <v>1</v>
      </c>
      <c r="M14176" s="3">
        <v>358</v>
      </c>
    </row>
    <row r="14177" spans="1:13" x14ac:dyDescent="0.25">
      <c r="A14177" s="1" t="str">
        <f>HYPERLINK("http://www.rosaceae.org/Prunus/Prunus_persica/p.persica_gdr_reftransV1_0045395","p.persica_gdr_reftransV1_0045395")</f>
        <v>p.persica_gdr_reftransV1_0045395</v>
      </c>
      <c r="B14177" s="3">
        <v>1406</v>
      </c>
      <c r="C14177" s="1" t="str">
        <f>HYPERLINK("http://www.uniprot.org/uniprot/ADHL7_ARATH","ADHL7_ARATH")</f>
        <v>ADHL7_ARATH</v>
      </c>
      <c r="D14177" t="s">
        <v>5195</v>
      </c>
      <c r="E14177" s="3" t="s">
        <v>3</v>
      </c>
      <c r="F14177" s="4">
        <v>0</v>
      </c>
      <c r="G14177" s="3">
        <v>1479</v>
      </c>
      <c r="H14177" s="3">
        <v>72</v>
      </c>
      <c r="I14177" s="3">
        <v>380</v>
      </c>
      <c r="J14177" s="3">
        <v>111</v>
      </c>
      <c r="K14177" s="3">
        <v>1244</v>
      </c>
      <c r="L14177" s="3">
        <v>10</v>
      </c>
      <c r="M14177" s="3">
        <v>389</v>
      </c>
    </row>
    <row r="14178" spans="1:13" x14ac:dyDescent="0.25">
      <c r="A14178" s="1" t="str">
        <f>HYPERLINK("http://www.rosaceae.org/Prunus/Prunus_persica/p.persica_gdr_reftransV1_0045495","p.persica_gdr_reftransV1_0045495")</f>
        <v>p.persica_gdr_reftransV1_0045495</v>
      </c>
      <c r="B14178" s="3">
        <v>3773</v>
      </c>
      <c r="C14178" s="1" t="str">
        <f>HYPERLINK("http://www.uniprot.org/uniprot/CESA1_ARATH","CESA1_ARATH")</f>
        <v>CESA1_ARATH</v>
      </c>
      <c r="D14178" t="s">
        <v>9357</v>
      </c>
      <c r="E14178" s="3" t="s">
        <v>3</v>
      </c>
      <c r="F14178" s="4">
        <v>0</v>
      </c>
      <c r="G14178" s="3">
        <v>4920</v>
      </c>
      <c r="H14178" s="3">
        <v>87</v>
      </c>
      <c r="I14178" s="3">
        <v>1085</v>
      </c>
      <c r="J14178" s="3">
        <v>147</v>
      </c>
      <c r="K14178" s="3">
        <v>3356</v>
      </c>
      <c r="L14178" s="3">
        <v>1</v>
      </c>
      <c r="M14178" s="3">
        <v>1080</v>
      </c>
    </row>
    <row r="14179" spans="1:13" x14ac:dyDescent="0.25">
      <c r="A14179" s="1" t="str">
        <f>HYPERLINK("http://www.rosaceae.org/Prunus/Prunus_persica/p.persica_gdr_reftransV1_0045545","p.persica_gdr_reftransV1_0045545")</f>
        <v>p.persica_gdr_reftransV1_0045545</v>
      </c>
      <c r="B14179" s="3">
        <v>2438</v>
      </c>
      <c r="C14179" s="1" t="str">
        <f>HYPERLINK("http://www.uniprot.org/uniprot/RH28_ARATH","RH28_ARATH")</f>
        <v>RH28_ARATH</v>
      </c>
      <c r="D14179" t="s">
        <v>1686</v>
      </c>
      <c r="E14179" s="3" t="s">
        <v>3</v>
      </c>
      <c r="F14179" s="4">
        <v>0</v>
      </c>
      <c r="G14179" s="3">
        <v>2083</v>
      </c>
      <c r="H14179" s="3">
        <v>65</v>
      </c>
      <c r="I14179" s="3">
        <v>727</v>
      </c>
      <c r="J14179" s="3">
        <v>298</v>
      </c>
      <c r="K14179" s="3">
        <v>2433</v>
      </c>
      <c r="L14179" s="3">
        <v>73</v>
      </c>
      <c r="M14179" s="3">
        <v>761</v>
      </c>
    </row>
    <row r="14180" spans="1:13" x14ac:dyDescent="0.25">
      <c r="A14180" s="1" t="str">
        <f>HYPERLINK("http://www.rosaceae.org/Prunus/Prunus_persica/p.persica_gdr_reftransV1_0045645","p.persica_gdr_reftransV1_0045645")</f>
        <v>p.persica_gdr_reftransV1_0045645</v>
      </c>
      <c r="B14180" s="3">
        <v>2747</v>
      </c>
      <c r="C14180" s="1" t="str">
        <f>HYPERLINK("http://www.uniprot.org/uniprot/NAT2_ARATH","NAT2_ARATH")</f>
        <v>NAT2_ARATH</v>
      </c>
      <c r="D14180" t="s">
        <v>4327</v>
      </c>
      <c r="E14180" s="3" t="s">
        <v>3</v>
      </c>
      <c r="F14180" s="4">
        <v>0</v>
      </c>
      <c r="G14180" s="3">
        <v>2428</v>
      </c>
      <c r="H14180" s="3">
        <v>86</v>
      </c>
      <c r="I14180" s="3">
        <v>520</v>
      </c>
      <c r="J14180" s="3">
        <v>340</v>
      </c>
      <c r="K14180" s="3">
        <v>1899</v>
      </c>
      <c r="L14180" s="3">
        <v>5</v>
      </c>
      <c r="M14180" s="3">
        <v>524</v>
      </c>
    </row>
    <row r="14181" spans="1:13" x14ac:dyDescent="0.25">
      <c r="A14181" s="1" t="str">
        <f>HYPERLINK("http://www.rosaceae.org/Prunus/Prunus_persica/p.persica_gdr_reftransV1_0045745","p.persica_gdr_reftransV1_0045745")</f>
        <v>p.persica_gdr_reftransV1_0045745</v>
      </c>
      <c r="B14181" s="3">
        <v>830</v>
      </c>
      <c r="C14181" s="1" t="str">
        <f>HYPERLINK("http://www.uniprot.org/uniprot/CYP22_ARATH","CYP22_ARATH")</f>
        <v>CYP22_ARATH</v>
      </c>
      <c r="D14181" t="s">
        <v>8478</v>
      </c>
      <c r="E14181" s="3" t="s">
        <v>3</v>
      </c>
      <c r="F14181" s="4">
        <v>5.1900000000000003E-119</v>
      </c>
      <c r="G14181" s="3">
        <v>887</v>
      </c>
      <c r="H14181" s="3">
        <v>89</v>
      </c>
      <c r="I14181" s="3">
        <v>180</v>
      </c>
      <c r="J14181" s="3">
        <v>134</v>
      </c>
      <c r="K14181" s="3">
        <v>673</v>
      </c>
      <c r="L14181" s="3">
        <v>20</v>
      </c>
      <c r="M14181" s="3">
        <v>199</v>
      </c>
    </row>
    <row r="14182" spans="1:13" x14ac:dyDescent="0.25">
      <c r="A14182" s="1" t="str">
        <f>HYPERLINK("http://www.rosaceae.org/Prunus/Prunus_persica/p.persica_gdr_reftransV1_0045795","p.persica_gdr_reftransV1_0045795")</f>
        <v>p.persica_gdr_reftransV1_0045795</v>
      </c>
      <c r="B14182" s="3">
        <v>959</v>
      </c>
      <c r="C14182" s="1" t="str">
        <f>HYPERLINK("http://www.uniprot.org/uniprot/PER53_ARATH","PER53_ARATH")</f>
        <v>PER53_ARATH</v>
      </c>
      <c r="D14182" t="s">
        <v>6604</v>
      </c>
      <c r="E14182" s="3" t="s">
        <v>3</v>
      </c>
      <c r="F14182" s="4">
        <v>1.93E-107</v>
      </c>
      <c r="G14182" s="3">
        <v>828</v>
      </c>
      <c r="H14182" s="3">
        <v>64</v>
      </c>
      <c r="I14182" s="3">
        <v>263</v>
      </c>
      <c r="J14182" s="3">
        <v>139</v>
      </c>
      <c r="K14182" s="3">
        <v>921</v>
      </c>
      <c r="L14182" s="3">
        <v>12</v>
      </c>
      <c r="M14182" s="3">
        <v>270</v>
      </c>
    </row>
    <row r="14183" spans="1:13" x14ac:dyDescent="0.25">
      <c r="A14183" s="1" t="str">
        <f>HYPERLINK("http://www.rosaceae.org/Prunus/Prunus_persica/p.persica_gdr_reftransV1_0045845","p.persica_gdr_reftransV1_0045845")</f>
        <v>p.persica_gdr_reftransV1_0045845</v>
      </c>
      <c r="B14183" s="3">
        <v>381</v>
      </c>
      <c r="C14183" s="1" t="str">
        <f>HYPERLINK("http://www.uniprot.org/uniprot/SUI11_ARATH","SUI11_ARATH")</f>
        <v>SUI11_ARATH</v>
      </c>
      <c r="D14183" t="s">
        <v>8086</v>
      </c>
      <c r="E14183" s="3" t="s">
        <v>3</v>
      </c>
      <c r="F14183" s="4">
        <v>1.4799999999999999E-30</v>
      </c>
      <c r="G14183" s="3">
        <v>278</v>
      </c>
      <c r="H14183" s="3">
        <v>91</v>
      </c>
      <c r="I14183" s="3">
        <v>54</v>
      </c>
      <c r="J14183" s="3">
        <v>218</v>
      </c>
      <c r="K14183" s="3">
        <v>379</v>
      </c>
      <c r="L14183" s="3">
        <v>1</v>
      </c>
      <c r="M14183" s="3">
        <v>54</v>
      </c>
    </row>
    <row r="14184" spans="1:13" x14ac:dyDescent="0.25">
      <c r="A14184" s="1" t="str">
        <f>HYPERLINK("http://www.rosaceae.org/Prunus/Prunus_persica/p.persica_gdr_reftransV1_0045895","p.persica_gdr_reftransV1_0045895")</f>
        <v>p.persica_gdr_reftransV1_0045895</v>
      </c>
      <c r="B14184" s="3">
        <v>2193</v>
      </c>
      <c r="C14184" s="1" t="str">
        <f>HYPERLINK("http://www.uniprot.org/uniprot/RNP1_ARATH","RNP1_ARATH")</f>
        <v>RNP1_ARATH</v>
      </c>
      <c r="D14184" t="s">
        <v>2083</v>
      </c>
      <c r="E14184" s="3" t="s">
        <v>3</v>
      </c>
      <c r="F14184" s="4">
        <v>5.7000000000000001E-96</v>
      </c>
      <c r="G14184" s="3">
        <v>794</v>
      </c>
      <c r="H14184" s="3">
        <v>66</v>
      </c>
      <c r="I14184" s="3">
        <v>232</v>
      </c>
      <c r="J14184" s="3">
        <v>1408</v>
      </c>
      <c r="K14184" s="3">
        <v>2094</v>
      </c>
      <c r="L14184" s="3">
        <v>1</v>
      </c>
      <c r="M14184" s="3">
        <v>232</v>
      </c>
    </row>
    <row r="14185" spans="1:13" x14ac:dyDescent="0.25">
      <c r="A14185" s="1" t="str">
        <f>HYPERLINK("http://www.rosaceae.org/Prunus/Prunus_persica/p.persica_gdr_reftransV1_0045945","p.persica_gdr_reftransV1_0045945")</f>
        <v>p.persica_gdr_reftransV1_0045945</v>
      </c>
      <c r="B14185" s="3">
        <v>2106</v>
      </c>
      <c r="C14185" s="1" t="str">
        <f>HYPERLINK("http://www.uniprot.org/uniprot/SIP5_PICGU","SIP5_PICGU")</f>
        <v>SIP5_PICGU</v>
      </c>
      <c r="D14185" t="s">
        <v>4741</v>
      </c>
      <c r="E14185" s="3" t="s">
        <v>4742</v>
      </c>
      <c r="F14185" s="4">
        <v>8.4599999999999997E-10</v>
      </c>
      <c r="G14185" s="3">
        <v>158</v>
      </c>
      <c r="H14185" s="3">
        <v>41</v>
      </c>
      <c r="I14185" s="3">
        <v>78</v>
      </c>
      <c r="J14185" s="3">
        <v>1434</v>
      </c>
      <c r="K14185" s="3">
        <v>1601</v>
      </c>
      <c r="L14185" s="3">
        <v>211</v>
      </c>
      <c r="M14185" s="3">
        <v>288</v>
      </c>
    </row>
    <row r="14186" spans="1:13" x14ac:dyDescent="0.25">
      <c r="A14186" s="1" t="str">
        <f>HYPERLINK("http://www.rosaceae.org/Prunus/Prunus_persica/p.persica_gdr_reftransV1_0045995","p.persica_gdr_reftransV1_0045995")</f>
        <v>p.persica_gdr_reftransV1_0045995</v>
      </c>
      <c r="B14186" s="3">
        <v>1055</v>
      </c>
      <c r="C14186" s="1" t="str">
        <f>HYPERLINK("http://www.uniprot.org/uniprot/BRG2_ARATH","BRG2_ARATH")</f>
        <v>BRG2_ARATH</v>
      </c>
      <c r="D14186" t="s">
        <v>4202</v>
      </c>
      <c r="E14186" s="3" t="s">
        <v>3</v>
      </c>
      <c r="F14186" s="4">
        <v>2.3999999999999999E-17</v>
      </c>
      <c r="G14186" s="3">
        <v>210</v>
      </c>
      <c r="H14186" s="3">
        <v>31</v>
      </c>
      <c r="I14186" s="3">
        <v>231</v>
      </c>
      <c r="J14186" s="3">
        <v>285</v>
      </c>
      <c r="K14186" s="3">
        <v>902</v>
      </c>
      <c r="L14186" s="3">
        <v>135</v>
      </c>
      <c r="M14186" s="3">
        <v>357</v>
      </c>
    </row>
    <row r="14187" spans="1:13" x14ac:dyDescent="0.25">
      <c r="A14187" s="1" t="str">
        <f>HYPERLINK("http://www.rosaceae.org/Prunus/Prunus_persica/p.persica_gdr_reftransV1_0046045","p.persica_gdr_reftransV1_0046045")</f>
        <v>p.persica_gdr_reftransV1_0046045</v>
      </c>
      <c r="B14187" s="3">
        <v>1298</v>
      </c>
      <c r="C14187" s="1" t="str">
        <f>HYPERLINK("http://www.uniprot.org/uniprot/HIR2_ARATH","HIR2_ARATH")</f>
        <v>HIR2_ARATH</v>
      </c>
      <c r="D14187" t="s">
        <v>5055</v>
      </c>
      <c r="E14187" s="3" t="s">
        <v>3</v>
      </c>
      <c r="F14187" s="4">
        <v>0</v>
      </c>
      <c r="G14187" s="3">
        <v>1363</v>
      </c>
      <c r="H14187" s="3">
        <v>93</v>
      </c>
      <c r="I14187" s="3">
        <v>282</v>
      </c>
      <c r="J14187" s="3">
        <v>280</v>
      </c>
      <c r="K14187" s="3">
        <v>1125</v>
      </c>
      <c r="L14187" s="3">
        <v>1</v>
      </c>
      <c r="M14187" s="3">
        <v>282</v>
      </c>
    </row>
    <row r="14188" spans="1:13" x14ac:dyDescent="0.25">
      <c r="A14188" s="1" t="str">
        <f>HYPERLINK("http://www.rosaceae.org/Prunus/Prunus_persica/p.persica_gdr_reftransV1_0046145","p.persica_gdr_reftransV1_0046145")</f>
        <v>p.persica_gdr_reftransV1_0046145</v>
      </c>
      <c r="B14188" s="3">
        <v>2059</v>
      </c>
      <c r="C14188" s="1" t="str">
        <f>HYPERLINK("http://www.uniprot.org/uniprot/FKB62_ARATH","FKB62_ARATH")</f>
        <v>FKB62_ARATH</v>
      </c>
      <c r="D14188" t="s">
        <v>6721</v>
      </c>
      <c r="E14188" s="3" t="s">
        <v>3</v>
      </c>
      <c r="F14188" s="4">
        <v>0</v>
      </c>
      <c r="G14188" s="3">
        <v>1961</v>
      </c>
      <c r="H14188" s="3">
        <v>83</v>
      </c>
      <c r="I14188" s="3">
        <v>500</v>
      </c>
      <c r="J14188" s="3">
        <v>294</v>
      </c>
      <c r="K14188" s="3">
        <v>1793</v>
      </c>
      <c r="L14188" s="3">
        <v>51</v>
      </c>
      <c r="M14188" s="3">
        <v>550</v>
      </c>
    </row>
    <row r="14189" spans="1:13" x14ac:dyDescent="0.25">
      <c r="A14189" s="1" t="str">
        <f>HYPERLINK("http://www.rosaceae.org/Prunus/Prunus_persica/p.persica_gdr_reftransV1_0046245","p.persica_gdr_reftransV1_0046245")</f>
        <v>p.persica_gdr_reftransV1_0046245</v>
      </c>
      <c r="B14189" s="3">
        <v>354</v>
      </c>
      <c r="C14189" s="1" t="str">
        <f>HYPERLINK("http://www.uniprot.org/uniprot/C97B3_ARATH","C97B3_ARATH")</f>
        <v>C97B3_ARATH</v>
      </c>
      <c r="D14189" t="s">
        <v>9358</v>
      </c>
      <c r="E14189" s="3" t="s">
        <v>3</v>
      </c>
      <c r="F14189" s="4">
        <v>2.0599999999999999E-57</v>
      </c>
      <c r="G14189" s="3">
        <v>488</v>
      </c>
      <c r="H14189" s="3">
        <v>84</v>
      </c>
      <c r="I14189" s="3">
        <v>106</v>
      </c>
      <c r="J14189" s="3">
        <v>39</v>
      </c>
      <c r="K14189" s="3">
        <v>353</v>
      </c>
      <c r="L14189" s="3">
        <v>452</v>
      </c>
      <c r="M14189" s="3">
        <v>557</v>
      </c>
    </row>
    <row r="14190" spans="1:13" x14ac:dyDescent="0.25">
      <c r="A14190" s="1" t="str">
        <f>HYPERLINK("http://www.rosaceae.org/Prunus/Prunus_persica/p.persica_gdr_reftransV1_0046295","p.persica_gdr_reftransV1_0046295")</f>
        <v>p.persica_gdr_reftransV1_0046295</v>
      </c>
      <c r="B14190" s="3">
        <v>3858</v>
      </c>
      <c r="C14190" s="1" t="str">
        <f>HYPERLINK("http://www.uniprot.org/uniprot/CSLD3_ARATH","CSLD3_ARATH")</f>
        <v>CSLD3_ARATH</v>
      </c>
      <c r="D14190" t="s">
        <v>9212</v>
      </c>
      <c r="E14190" s="3" t="s">
        <v>3</v>
      </c>
      <c r="F14190" s="4">
        <v>0</v>
      </c>
      <c r="G14190" s="3">
        <v>4905</v>
      </c>
      <c r="H14190" s="3">
        <v>80</v>
      </c>
      <c r="I14190" s="3">
        <v>1160</v>
      </c>
      <c r="J14190" s="3">
        <v>274</v>
      </c>
      <c r="K14190" s="3">
        <v>3738</v>
      </c>
      <c r="L14190" s="3">
        <v>1</v>
      </c>
      <c r="M14190" s="3">
        <v>1145</v>
      </c>
    </row>
    <row r="14191" spans="1:13" x14ac:dyDescent="0.25">
      <c r="A14191" s="1" t="str">
        <f>HYPERLINK("http://www.rosaceae.org/Prunus/Prunus_persica/p.persica_gdr_reftransV1_0046395","p.persica_gdr_reftransV1_0046395")</f>
        <v>p.persica_gdr_reftransV1_0046395</v>
      </c>
      <c r="B14191" s="3">
        <v>766</v>
      </c>
      <c r="C14191" s="1" t="str">
        <f>HYPERLINK("http://www.uniprot.org/uniprot/ATL2_ARATH","ATL2_ARATH")</f>
        <v>ATL2_ARATH</v>
      </c>
      <c r="D14191" t="s">
        <v>4493</v>
      </c>
      <c r="E14191" s="3" t="s">
        <v>3</v>
      </c>
      <c r="F14191" s="4">
        <v>3.8599999999999999E-20</v>
      </c>
      <c r="G14191" s="3">
        <v>225</v>
      </c>
      <c r="H14191" s="3">
        <v>39</v>
      </c>
      <c r="I14191" s="3">
        <v>120</v>
      </c>
      <c r="J14191" s="3">
        <v>406</v>
      </c>
      <c r="K14191" s="3">
        <v>765</v>
      </c>
      <c r="L14191" s="3">
        <v>84</v>
      </c>
      <c r="M14191" s="3">
        <v>185</v>
      </c>
    </row>
    <row r="14192" spans="1:13" x14ac:dyDescent="0.25">
      <c r="A14192" s="1" t="str">
        <f>HYPERLINK("http://www.rosaceae.org/Prunus/Prunus_persica/p.persica_gdr_reftransV1_0046445","p.persica_gdr_reftransV1_0046445")</f>
        <v>p.persica_gdr_reftransV1_0046445</v>
      </c>
      <c r="B14192" s="3">
        <v>1042</v>
      </c>
      <c r="C14192" s="1" t="str">
        <f>HYPERLINK("http://www.uniprot.org/uniprot/HSBH1_SOYBN","HSBH1_SOYBN")</f>
        <v>HSBH1_SOYBN</v>
      </c>
      <c r="D14192" t="s">
        <v>9359</v>
      </c>
      <c r="E14192" s="3" t="s">
        <v>307</v>
      </c>
      <c r="F14192" s="4">
        <v>5.4199999999999998E-114</v>
      </c>
      <c r="G14192" s="3">
        <v>879</v>
      </c>
      <c r="H14192" s="3">
        <v>83</v>
      </c>
      <c r="I14192" s="3">
        <v>222</v>
      </c>
      <c r="J14192" s="3">
        <v>375</v>
      </c>
      <c r="K14192" s="3">
        <v>1040</v>
      </c>
      <c r="L14192" s="3">
        <v>124</v>
      </c>
      <c r="M14192" s="3">
        <v>341</v>
      </c>
    </row>
    <row r="14193" spans="1:13" x14ac:dyDescent="0.25">
      <c r="A14193" s="1" t="str">
        <f>HYPERLINK("http://www.rosaceae.org/Prunus/Prunus_persica/p.persica_gdr_reftransV1_0046495","p.persica_gdr_reftransV1_0046495")</f>
        <v>p.persica_gdr_reftransV1_0046495</v>
      </c>
      <c r="B14193" s="3">
        <v>1124</v>
      </c>
      <c r="C14193" s="1" t="str">
        <f>HYPERLINK("http://www.uniprot.org/uniprot/CAES_ARATH","CAES_ARATH")</f>
        <v>CAES_ARATH</v>
      </c>
      <c r="D14193" t="s">
        <v>4631</v>
      </c>
      <c r="E14193" s="3" t="s">
        <v>3</v>
      </c>
      <c r="F14193" s="4">
        <v>8.0299999999999997E-103</v>
      </c>
      <c r="G14193" s="3">
        <v>796</v>
      </c>
      <c r="H14193" s="3">
        <v>66</v>
      </c>
      <c r="I14193" s="3">
        <v>249</v>
      </c>
      <c r="J14193" s="3">
        <v>316</v>
      </c>
      <c r="K14193" s="3">
        <v>1041</v>
      </c>
      <c r="L14193" s="3">
        <v>12</v>
      </c>
      <c r="M14193" s="3">
        <v>259</v>
      </c>
    </row>
    <row r="14194" spans="1:13" x14ac:dyDescent="0.25">
      <c r="A14194" s="1" t="str">
        <f>HYPERLINK("http://www.rosaceae.org/Prunus/Prunus_persica/p.persica_gdr_reftransV1_0046545","p.persica_gdr_reftransV1_0046545")</f>
        <v>p.persica_gdr_reftransV1_0046545</v>
      </c>
      <c r="B14194" s="3">
        <v>2577</v>
      </c>
      <c r="C14194" s="1" t="str">
        <f>HYPERLINK("http://www.uniprot.org/uniprot/Y1848_ARATH","Y1848_ARATH")</f>
        <v>Y1848_ARATH</v>
      </c>
      <c r="D14194" t="s">
        <v>9360</v>
      </c>
      <c r="E14194" s="3" t="s">
        <v>3</v>
      </c>
      <c r="F14194" s="4">
        <v>0</v>
      </c>
      <c r="G14194" s="3">
        <v>1858</v>
      </c>
      <c r="H14194" s="3">
        <v>67</v>
      </c>
      <c r="I14194" s="3">
        <v>596</v>
      </c>
      <c r="J14194" s="3">
        <v>367</v>
      </c>
      <c r="K14194" s="3">
        <v>2118</v>
      </c>
      <c r="L14194" s="3">
        <v>51</v>
      </c>
      <c r="M14194" s="3">
        <v>635</v>
      </c>
    </row>
    <row r="14195" spans="1:13" x14ac:dyDescent="0.25">
      <c r="A14195" s="1" t="str">
        <f>HYPERLINK("http://www.rosaceae.org/Prunus/Prunus_persica/p.persica_gdr_reftransV1_0046645","p.persica_gdr_reftransV1_0046645")</f>
        <v>p.persica_gdr_reftransV1_0046645</v>
      </c>
      <c r="B14195" s="3">
        <v>1384</v>
      </c>
      <c r="C14195" s="1" t="str">
        <f>HYPERLINK("http://www.uniprot.org/uniprot/PSBO_TOBAC","PSBO_TOBAC")</f>
        <v>PSBO_TOBAC</v>
      </c>
      <c r="D14195" t="s">
        <v>2615</v>
      </c>
      <c r="E14195" s="3" t="s">
        <v>200</v>
      </c>
      <c r="F14195" s="4">
        <v>0</v>
      </c>
      <c r="G14195" s="3">
        <v>1541</v>
      </c>
      <c r="H14195" s="3">
        <v>88</v>
      </c>
      <c r="I14195" s="3">
        <v>333</v>
      </c>
      <c r="J14195" s="3">
        <v>259</v>
      </c>
      <c r="K14195" s="3">
        <v>1254</v>
      </c>
      <c r="L14195" s="3">
        <v>1</v>
      </c>
      <c r="M14195" s="3">
        <v>332</v>
      </c>
    </row>
    <row r="14196" spans="1:13" x14ac:dyDescent="0.25">
      <c r="A14196" s="1" t="str">
        <f>HYPERLINK("http://www.rosaceae.org/Prunus/Prunus_persica/p.persica_gdr_reftransV1_0046695","p.persica_gdr_reftransV1_0046695")</f>
        <v>p.persica_gdr_reftransV1_0046695</v>
      </c>
      <c r="B14196" s="3">
        <v>1064</v>
      </c>
      <c r="C14196" s="1" t="str">
        <f>HYPERLINK("http://www.uniprot.org/uniprot/PSBQ_SPIOL","PSBQ_SPIOL")</f>
        <v>PSBQ_SPIOL</v>
      </c>
      <c r="D14196" t="s">
        <v>4576</v>
      </c>
      <c r="E14196" s="3" t="s">
        <v>131</v>
      </c>
      <c r="F14196" s="4">
        <v>1.99E-101</v>
      </c>
      <c r="G14196" s="3">
        <v>782</v>
      </c>
      <c r="H14196" s="3">
        <v>73</v>
      </c>
      <c r="I14196" s="3">
        <v>233</v>
      </c>
      <c r="J14196" s="3">
        <v>151</v>
      </c>
      <c r="K14196" s="3">
        <v>846</v>
      </c>
      <c r="L14196" s="3">
        <v>1</v>
      </c>
      <c r="M14196" s="3">
        <v>232</v>
      </c>
    </row>
    <row r="14197" spans="1:13" x14ac:dyDescent="0.25">
      <c r="A14197" s="1" t="str">
        <f>HYPERLINK("http://www.rosaceae.org/Prunus/Prunus_persica/p.persica_gdr_reftransV1_0046745","p.persica_gdr_reftransV1_0046745")</f>
        <v>p.persica_gdr_reftransV1_0046745</v>
      </c>
      <c r="B14197" s="3">
        <v>1228</v>
      </c>
      <c r="C14197" s="1" t="str">
        <f>HYPERLINK("http://www.uniprot.org/uniprot/ZFP8_ARATH","ZFP8_ARATH")</f>
        <v>ZFP8_ARATH</v>
      </c>
      <c r="D14197" t="s">
        <v>9361</v>
      </c>
      <c r="E14197" s="3" t="s">
        <v>3</v>
      </c>
      <c r="F14197" s="4">
        <v>5.6899999999999997E-38</v>
      </c>
      <c r="G14197" s="3">
        <v>360</v>
      </c>
      <c r="H14197" s="3">
        <v>43</v>
      </c>
      <c r="I14197" s="3">
        <v>226</v>
      </c>
      <c r="J14197" s="3">
        <v>68</v>
      </c>
      <c r="K14197" s="3">
        <v>727</v>
      </c>
      <c r="L14197" s="3">
        <v>1</v>
      </c>
      <c r="M14197" s="3">
        <v>209</v>
      </c>
    </row>
    <row r="14198" spans="1:13" x14ac:dyDescent="0.25">
      <c r="A14198" s="1" t="str">
        <f>HYPERLINK("http://www.rosaceae.org/Prunus/Prunus_persica/p.persica_gdr_reftransV1_0046895","p.persica_gdr_reftransV1_0046895")</f>
        <v>p.persica_gdr_reftransV1_0046895</v>
      </c>
      <c r="B14198" s="3">
        <v>1187</v>
      </c>
      <c r="C14198" s="1" t="str">
        <f>HYPERLINK("http://www.uniprot.org/uniprot/RL30_LUPLU","RL30_LUPLU")</f>
        <v>RL30_LUPLU</v>
      </c>
      <c r="D14198" t="s">
        <v>7812</v>
      </c>
      <c r="E14198" s="3" t="s">
        <v>2358</v>
      </c>
      <c r="F14198" s="4">
        <v>4.61E-64</v>
      </c>
      <c r="G14198" s="3">
        <v>526</v>
      </c>
      <c r="H14198" s="3">
        <v>89</v>
      </c>
      <c r="I14198" s="3">
        <v>112</v>
      </c>
      <c r="J14198" s="3">
        <v>601</v>
      </c>
      <c r="K14198" s="3">
        <v>936</v>
      </c>
      <c r="L14198" s="3">
        <v>1</v>
      </c>
      <c r="M14198" s="3">
        <v>112</v>
      </c>
    </row>
    <row r="14199" spans="1:13" x14ac:dyDescent="0.25">
      <c r="A14199" s="1" t="str">
        <f>HYPERLINK("http://www.rosaceae.org/Prunus/Prunus_persica/p.persica_gdr_reftransV1_0046995","p.persica_gdr_reftransV1_0046995")</f>
        <v>p.persica_gdr_reftransV1_0046995</v>
      </c>
      <c r="B14199" s="3">
        <v>595</v>
      </c>
      <c r="C14199" s="1" t="str">
        <f>HYPERLINK("http://www.uniprot.org/uniprot/JP650_ARATH","JP650_ARATH")</f>
        <v>JP650_ARATH</v>
      </c>
      <c r="D14199" t="s">
        <v>1995</v>
      </c>
      <c r="E14199" s="3" t="s">
        <v>3</v>
      </c>
      <c r="F14199" s="4">
        <v>2.6799999999999998E-44</v>
      </c>
      <c r="G14199" s="3">
        <v>404</v>
      </c>
      <c r="H14199" s="3">
        <v>49</v>
      </c>
      <c r="I14199" s="3">
        <v>169</v>
      </c>
      <c r="J14199" s="3">
        <v>2</v>
      </c>
      <c r="K14199" s="3">
        <v>508</v>
      </c>
      <c r="L14199" s="3">
        <v>35</v>
      </c>
      <c r="M14199" s="3">
        <v>196</v>
      </c>
    </row>
    <row r="14200" spans="1:13" x14ac:dyDescent="0.25">
      <c r="A14200" s="1" t="str">
        <f>HYPERLINK("http://www.rosaceae.org/Prunus/Prunus_persica/p.persica_gdr_reftransV1_0047195","p.persica_gdr_reftransV1_0047195")</f>
        <v>p.persica_gdr_reftransV1_0047195</v>
      </c>
      <c r="B14200" s="3">
        <v>352</v>
      </c>
      <c r="C14200" s="1" t="str">
        <f>HYPERLINK("http://www.uniprot.org/uniprot/PUR8_DICDI","PUR8_DICDI")</f>
        <v>PUR8_DICDI</v>
      </c>
      <c r="D14200" t="s">
        <v>9362</v>
      </c>
      <c r="E14200" s="3" t="s">
        <v>9</v>
      </c>
      <c r="F14200" s="4">
        <v>2.9499999999999999E-8</v>
      </c>
      <c r="G14200" s="3">
        <v>130</v>
      </c>
      <c r="H14200" s="3">
        <v>58</v>
      </c>
      <c r="I14200" s="3">
        <v>40</v>
      </c>
      <c r="J14200" s="3">
        <v>5</v>
      </c>
      <c r="K14200" s="3">
        <v>124</v>
      </c>
      <c r="L14200" s="3">
        <v>4</v>
      </c>
      <c r="M14200" s="3">
        <v>43</v>
      </c>
    </row>
    <row r="14201" spans="1:13" x14ac:dyDescent="0.25">
      <c r="A14201" s="1" t="str">
        <f>HYPERLINK("http://www.rosaceae.org/Prunus/Prunus_persica/p.persica_gdr_reftransV1_0047245","p.persica_gdr_reftransV1_0047245")</f>
        <v>p.persica_gdr_reftransV1_0047245</v>
      </c>
      <c r="B14201" s="3">
        <v>1387</v>
      </c>
      <c r="C14201" s="1" t="str">
        <f>HYPERLINK("http://www.uniprot.org/uniprot/MAKR2_ARATH","MAKR2_ARATH")</f>
        <v>MAKR2_ARATH</v>
      </c>
      <c r="D14201" t="s">
        <v>9363</v>
      </c>
      <c r="E14201" s="3" t="s">
        <v>3</v>
      </c>
      <c r="F14201" s="4">
        <v>6.81E-25</v>
      </c>
      <c r="G14201" s="3">
        <v>272</v>
      </c>
      <c r="H14201" s="3">
        <v>38</v>
      </c>
      <c r="I14201" s="3">
        <v>399</v>
      </c>
      <c r="J14201" s="3">
        <v>32</v>
      </c>
      <c r="K14201" s="3">
        <v>1198</v>
      </c>
      <c r="L14201" s="3">
        <v>1</v>
      </c>
      <c r="M14201" s="3">
        <v>339</v>
      </c>
    </row>
    <row r="14202" spans="1:13" x14ac:dyDescent="0.25">
      <c r="A14202" s="1" t="str">
        <f>HYPERLINK("http://www.rosaceae.org/Prunus/Prunus_persica/p.persica_gdr_reftransV1_0047445","p.persica_gdr_reftransV1_0047445")</f>
        <v>p.persica_gdr_reftransV1_0047445</v>
      </c>
      <c r="B14202" s="3">
        <v>673</v>
      </c>
      <c r="C14202" s="1" t="str">
        <f>HYPERLINK("http://www.uniprot.org/uniprot/Y5707_ARATH","Y5707_ARATH")</f>
        <v>Y5707_ARATH</v>
      </c>
      <c r="D14202" t="s">
        <v>2730</v>
      </c>
      <c r="E14202" s="3" t="s">
        <v>3</v>
      </c>
      <c r="F14202" s="4">
        <v>5.1099999999999997E-71</v>
      </c>
      <c r="G14202" s="3">
        <v>582</v>
      </c>
      <c r="H14202" s="3">
        <v>57</v>
      </c>
      <c r="I14202" s="3">
        <v>195</v>
      </c>
      <c r="J14202" s="3">
        <v>29</v>
      </c>
      <c r="K14202" s="3">
        <v>610</v>
      </c>
      <c r="L14202" s="3">
        <v>63</v>
      </c>
      <c r="M14202" s="3">
        <v>254</v>
      </c>
    </row>
    <row r="14203" spans="1:13" x14ac:dyDescent="0.25">
      <c r="A14203" s="1" t="str">
        <f>HYPERLINK("http://www.rosaceae.org/Prunus/Prunus_persica/p.persica_gdr_reftransV1_0047595","p.persica_gdr_reftransV1_0047595")</f>
        <v>p.persica_gdr_reftransV1_0047595</v>
      </c>
      <c r="B14203" s="3">
        <v>2271</v>
      </c>
      <c r="C14203" s="1" t="str">
        <f>HYPERLINK("http://www.uniprot.org/uniprot/WAKLQ_ARATH","WAKLQ_ARATH")</f>
        <v>WAKLQ_ARATH</v>
      </c>
      <c r="D14203" t="s">
        <v>1055</v>
      </c>
      <c r="E14203" s="3" t="s">
        <v>3</v>
      </c>
      <c r="F14203" s="4">
        <v>1.28E-148</v>
      </c>
      <c r="G14203" s="3">
        <v>1174</v>
      </c>
      <c r="H14203" s="3">
        <v>64</v>
      </c>
      <c r="I14203" s="3">
        <v>343</v>
      </c>
      <c r="J14203" s="3">
        <v>1050</v>
      </c>
      <c r="K14203" s="3">
        <v>2054</v>
      </c>
      <c r="L14203" s="3">
        <v>307</v>
      </c>
      <c r="M14203" s="3">
        <v>649</v>
      </c>
    </row>
    <row r="14204" spans="1:13" x14ac:dyDescent="0.25">
      <c r="A14204" s="1" t="str">
        <f>HYPERLINK("http://www.rosaceae.org/Prunus/Prunus_persica/p.persica_gdr_reftransV1_0047645","p.persica_gdr_reftransV1_0047645")</f>
        <v>p.persica_gdr_reftransV1_0047645</v>
      </c>
      <c r="B14204" s="3">
        <v>1940</v>
      </c>
      <c r="C14204" s="1" t="str">
        <f>HYPERLINK("http://www.uniprot.org/uniprot/RGAP2_ARATH","RGAP2_ARATH")</f>
        <v>RGAP2_ARATH</v>
      </c>
      <c r="D14204" t="s">
        <v>8530</v>
      </c>
      <c r="E14204" s="3" t="s">
        <v>3</v>
      </c>
      <c r="F14204" s="4">
        <v>1.7600000000000001E-159</v>
      </c>
      <c r="G14204" s="3">
        <v>1215</v>
      </c>
      <c r="H14204" s="3">
        <v>65</v>
      </c>
      <c r="I14204" s="3">
        <v>409</v>
      </c>
      <c r="J14204" s="3">
        <v>732</v>
      </c>
      <c r="K14204" s="3">
        <v>1880</v>
      </c>
      <c r="L14204" s="3">
        <v>1</v>
      </c>
      <c r="M14204" s="3">
        <v>405</v>
      </c>
    </row>
    <row r="14205" spans="1:13" x14ac:dyDescent="0.25">
      <c r="A14205" s="1" t="str">
        <f>HYPERLINK("http://www.rosaceae.org/Prunus/Prunus_persica/p.persica_gdr_reftransV1_0047695","p.persica_gdr_reftransV1_0047695")</f>
        <v>p.persica_gdr_reftransV1_0047695</v>
      </c>
      <c r="B14205" s="3">
        <v>5509</v>
      </c>
      <c r="C14205" s="1" t="str">
        <f>HYPERLINK("http://www.uniprot.org/uniprot/MAX2A_PETHY","MAX2A_PETHY")</f>
        <v>MAX2A_PETHY</v>
      </c>
      <c r="D14205" t="s">
        <v>9364</v>
      </c>
      <c r="E14205" s="3" t="s">
        <v>509</v>
      </c>
      <c r="F14205" s="4">
        <v>0</v>
      </c>
      <c r="G14205" s="3">
        <v>2294</v>
      </c>
      <c r="H14205" s="3">
        <v>62</v>
      </c>
      <c r="I14205" s="3">
        <v>732</v>
      </c>
      <c r="J14205" s="3">
        <v>106</v>
      </c>
      <c r="K14205" s="3">
        <v>2283</v>
      </c>
      <c r="L14205" s="3">
        <v>2</v>
      </c>
      <c r="M14205" s="3">
        <v>708</v>
      </c>
    </row>
    <row r="14206" spans="1:13" x14ac:dyDescent="0.25">
      <c r="A14206" s="1" t="str">
        <f>HYPERLINK("http://www.rosaceae.org/Prunus/Prunus_persica/p.persica_gdr_reftransV1_0047745","p.persica_gdr_reftransV1_0047745")</f>
        <v>p.persica_gdr_reftransV1_0047745</v>
      </c>
      <c r="B14206" s="3">
        <v>3140</v>
      </c>
      <c r="C14206" s="1" t="str">
        <f>HYPERLINK("http://www.uniprot.org/uniprot/PI5K9_ARATH","PI5K9_ARATH")</f>
        <v>PI5K9_ARATH</v>
      </c>
      <c r="D14206" t="s">
        <v>9365</v>
      </c>
      <c r="E14206" s="3" t="s">
        <v>3</v>
      </c>
      <c r="F14206" s="4">
        <v>0</v>
      </c>
      <c r="G14206" s="3">
        <v>3080</v>
      </c>
      <c r="H14206" s="3">
        <v>75</v>
      </c>
      <c r="I14206" s="3">
        <v>817</v>
      </c>
      <c r="J14206" s="3">
        <v>272</v>
      </c>
      <c r="K14206" s="3">
        <v>2683</v>
      </c>
      <c r="L14206" s="3">
        <v>9</v>
      </c>
      <c r="M14206" s="3">
        <v>812</v>
      </c>
    </row>
    <row r="14207" spans="1:13" x14ac:dyDescent="0.25">
      <c r="A14207" s="1" t="str">
        <f>HYPERLINK("http://www.rosaceae.org/Prunus/Prunus_persica/p.persica_gdr_reftransV1_0047895","p.persica_gdr_reftransV1_0047895")</f>
        <v>p.persica_gdr_reftransV1_0047895</v>
      </c>
      <c r="B14207" s="3">
        <v>1685</v>
      </c>
      <c r="C14207" s="1" t="str">
        <f>HYPERLINK("http://www.uniprot.org/uniprot/HSD5_ARATH","HSD5_ARATH")</f>
        <v>HSD5_ARATH</v>
      </c>
      <c r="D14207" t="s">
        <v>9366</v>
      </c>
      <c r="E14207" s="3" t="s">
        <v>3</v>
      </c>
      <c r="F14207" s="4">
        <v>0</v>
      </c>
      <c r="G14207" s="3">
        <v>1364</v>
      </c>
      <c r="H14207" s="3">
        <v>72</v>
      </c>
      <c r="I14207" s="3">
        <v>344</v>
      </c>
      <c r="J14207" s="3">
        <v>490</v>
      </c>
      <c r="K14207" s="3">
        <v>1506</v>
      </c>
      <c r="L14207" s="3">
        <v>2</v>
      </c>
      <c r="M14207" s="3">
        <v>345</v>
      </c>
    </row>
    <row r="14208" spans="1:13" x14ac:dyDescent="0.25">
      <c r="A14208" s="1" t="str">
        <f>HYPERLINK("http://www.rosaceae.org/Prunus/Prunus_persica/p.persica_gdr_reftransV1_0047995","p.persica_gdr_reftransV1_0047995")</f>
        <v>p.persica_gdr_reftransV1_0047995</v>
      </c>
      <c r="B14208" s="3">
        <v>2395</v>
      </c>
      <c r="C14208" s="1" t="str">
        <f>HYPERLINK("http://www.uniprot.org/uniprot/SAE2_ARATH","SAE2_ARATH")</f>
        <v>SAE2_ARATH</v>
      </c>
      <c r="D14208" t="s">
        <v>9367</v>
      </c>
      <c r="E14208" s="3" t="s">
        <v>3</v>
      </c>
      <c r="F14208" s="4">
        <v>0</v>
      </c>
      <c r="G14208" s="3">
        <v>2327</v>
      </c>
      <c r="H14208" s="3">
        <v>80</v>
      </c>
      <c r="I14208" s="3">
        <v>523</v>
      </c>
      <c r="J14208" s="3">
        <v>648</v>
      </c>
      <c r="K14208" s="3">
        <v>2216</v>
      </c>
      <c r="L14208" s="3">
        <v>9</v>
      </c>
      <c r="M14208" s="3">
        <v>531</v>
      </c>
    </row>
    <row r="14209" spans="1:13" x14ac:dyDescent="0.25">
      <c r="A14209" s="1" t="str">
        <f>HYPERLINK("http://www.rosaceae.org/Prunus/Prunus_persica/p.persica_gdr_reftransV1_0048045","p.persica_gdr_reftransV1_0048045")</f>
        <v>p.persica_gdr_reftransV1_0048045</v>
      </c>
      <c r="B14209" s="3">
        <v>579</v>
      </c>
      <c r="C14209" s="1" t="str">
        <f>HYPERLINK("http://www.uniprot.org/uniprot/POK2_ARATH","POK2_ARATH")</f>
        <v>POK2_ARATH</v>
      </c>
      <c r="D14209" t="s">
        <v>3327</v>
      </c>
      <c r="E14209" s="3" t="s">
        <v>3</v>
      </c>
      <c r="F14209" s="4">
        <v>9.2099999999999995E-91</v>
      </c>
      <c r="G14209" s="3">
        <v>760</v>
      </c>
      <c r="H14209" s="3">
        <v>74</v>
      </c>
      <c r="I14209" s="3">
        <v>183</v>
      </c>
      <c r="J14209" s="3">
        <v>34</v>
      </c>
      <c r="K14209" s="3">
        <v>579</v>
      </c>
      <c r="L14209" s="3">
        <v>102</v>
      </c>
      <c r="M14209" s="3">
        <v>281</v>
      </c>
    </row>
    <row r="14210" spans="1:13" x14ac:dyDescent="0.25">
      <c r="A14210" s="1" t="str">
        <f>HYPERLINK("http://www.rosaceae.org/Prunus/Prunus_persica/p.persica_gdr_reftransV1_0048095","p.persica_gdr_reftransV1_0048095")</f>
        <v>p.persica_gdr_reftransV1_0048095</v>
      </c>
      <c r="B14210" s="3">
        <v>430</v>
      </c>
      <c r="C14210" s="1" t="str">
        <f>HYPERLINK("http://www.uniprot.org/uniprot/LAC10_ARATH","LAC10_ARATH")</f>
        <v>LAC10_ARATH</v>
      </c>
      <c r="D14210" t="s">
        <v>9368</v>
      </c>
      <c r="E14210" s="3" t="s">
        <v>3</v>
      </c>
      <c r="F14210" s="4">
        <v>2.8900000000000001E-75</v>
      </c>
      <c r="G14210" s="3">
        <v>612</v>
      </c>
      <c r="H14210" s="3">
        <v>77</v>
      </c>
      <c r="I14210" s="3">
        <v>142</v>
      </c>
      <c r="J14210" s="3">
        <v>3</v>
      </c>
      <c r="K14210" s="3">
        <v>428</v>
      </c>
      <c r="L14210" s="3">
        <v>102</v>
      </c>
      <c r="M14210" s="3">
        <v>243</v>
      </c>
    </row>
    <row r="14211" spans="1:13" x14ac:dyDescent="0.25">
      <c r="A14211" s="1" t="str">
        <f>HYPERLINK("http://www.rosaceae.org/Prunus/Prunus_persica/p.persica_gdr_reftransV1_0048195","p.persica_gdr_reftransV1_0048195")</f>
        <v>p.persica_gdr_reftransV1_0048195</v>
      </c>
      <c r="B14211" s="3">
        <v>2517</v>
      </c>
      <c r="C14211" s="1" t="str">
        <f>HYPERLINK("http://www.uniprot.org/uniprot/HSP7M_PHAVU","HSP7M_PHAVU")</f>
        <v>HSP7M_PHAVU</v>
      </c>
      <c r="D14211" t="s">
        <v>9369</v>
      </c>
      <c r="E14211" s="3" t="s">
        <v>2044</v>
      </c>
      <c r="F14211" s="4">
        <v>0</v>
      </c>
      <c r="G14211" s="3">
        <v>3124</v>
      </c>
      <c r="H14211" s="3">
        <v>91</v>
      </c>
      <c r="I14211" s="3">
        <v>659</v>
      </c>
      <c r="J14211" s="3">
        <v>348</v>
      </c>
      <c r="K14211" s="3">
        <v>2324</v>
      </c>
      <c r="L14211" s="3">
        <v>18</v>
      </c>
      <c r="M14211" s="3">
        <v>675</v>
      </c>
    </row>
    <row r="14212" spans="1:13" x14ac:dyDescent="0.25">
      <c r="A14212" s="1" t="str">
        <f>HYPERLINK("http://www.rosaceae.org/Prunus/Prunus_persica/p.persica_gdr_reftransV1_0048245","p.persica_gdr_reftransV1_0048245")</f>
        <v>p.persica_gdr_reftransV1_0048245</v>
      </c>
      <c r="B14212" s="3">
        <v>1524</v>
      </c>
      <c r="C14212" s="1" t="str">
        <f>HYPERLINK("http://www.uniprot.org/uniprot/SCD2_ARATH","SCD2_ARATH")</f>
        <v>SCD2_ARATH</v>
      </c>
      <c r="D14212" t="s">
        <v>8957</v>
      </c>
      <c r="E14212" s="3" t="s">
        <v>3</v>
      </c>
      <c r="F14212" s="4">
        <v>5.1500000000000003E-84</v>
      </c>
      <c r="G14212" s="3">
        <v>709</v>
      </c>
      <c r="H14212" s="3">
        <v>69</v>
      </c>
      <c r="I14212" s="3">
        <v>213</v>
      </c>
      <c r="J14212" s="3">
        <v>153</v>
      </c>
      <c r="K14212" s="3">
        <v>779</v>
      </c>
      <c r="L14212" s="3">
        <v>367</v>
      </c>
      <c r="M14212" s="3">
        <v>576</v>
      </c>
    </row>
    <row r="14213" spans="1:13" x14ac:dyDescent="0.25">
      <c r="A14213" s="1" t="str">
        <f>HYPERLINK("http://www.rosaceae.org/Prunus/Prunus_persica/p.persica_gdr_reftransV1_0048295","p.persica_gdr_reftransV1_0048295")</f>
        <v>p.persica_gdr_reftransV1_0048295</v>
      </c>
      <c r="B14213" s="3">
        <v>1627</v>
      </c>
      <c r="C14213" s="1" t="str">
        <f>HYPERLINK("http://www.uniprot.org/uniprot/FB76_ARATH","FB76_ARATH")</f>
        <v>FB76_ARATH</v>
      </c>
      <c r="D14213" t="s">
        <v>6507</v>
      </c>
      <c r="E14213" s="3" t="s">
        <v>3</v>
      </c>
      <c r="F14213" s="4">
        <v>6.0599999999999999E-145</v>
      </c>
      <c r="G14213" s="3">
        <v>1104</v>
      </c>
      <c r="H14213" s="3">
        <v>72</v>
      </c>
      <c r="I14213" s="3">
        <v>301</v>
      </c>
      <c r="J14213" s="3">
        <v>384</v>
      </c>
      <c r="K14213" s="3">
        <v>1283</v>
      </c>
      <c r="L14213" s="3">
        <v>62</v>
      </c>
      <c r="M14213" s="3">
        <v>353</v>
      </c>
    </row>
    <row r="14214" spans="1:13" x14ac:dyDescent="0.25">
      <c r="A14214" s="1" t="str">
        <f>HYPERLINK("http://www.rosaceae.org/Prunus/Prunus_persica/p.persica_gdr_reftransV1_0048445","p.persica_gdr_reftransV1_0048445")</f>
        <v>p.persica_gdr_reftransV1_0048445</v>
      </c>
      <c r="B14214" s="3">
        <v>809</v>
      </c>
      <c r="C14214" s="1" t="str">
        <f>HYPERLINK("http://www.uniprot.org/uniprot/DEFA_ANTMA","DEFA_ANTMA")</f>
        <v>DEFA_ANTMA</v>
      </c>
      <c r="D14214" t="s">
        <v>8590</v>
      </c>
      <c r="E14214" s="3" t="s">
        <v>1408</v>
      </c>
      <c r="F14214" s="4">
        <v>1.53E-91</v>
      </c>
      <c r="G14214" s="3">
        <v>708</v>
      </c>
      <c r="H14214" s="3">
        <v>66</v>
      </c>
      <c r="I14214" s="3">
        <v>204</v>
      </c>
      <c r="J14214" s="3">
        <v>121</v>
      </c>
      <c r="K14214" s="3">
        <v>726</v>
      </c>
      <c r="L14214" s="3">
        <v>1</v>
      </c>
      <c r="M14214" s="3">
        <v>201</v>
      </c>
    </row>
    <row r="14215" spans="1:13" x14ac:dyDescent="0.25">
      <c r="A14215" s="1" t="str">
        <f>HYPERLINK("http://www.rosaceae.org/Prunus/Prunus_persica/p.persica_gdr_reftransV1_0048495","p.persica_gdr_reftransV1_0048495")</f>
        <v>p.persica_gdr_reftransV1_0048495</v>
      </c>
      <c r="B14215" s="3">
        <v>1781</v>
      </c>
      <c r="C14215" s="1" t="str">
        <f>HYPERLINK("http://www.uniprot.org/uniprot/SCP18_ARATH","SCP18_ARATH")</f>
        <v>SCP18_ARATH</v>
      </c>
      <c r="D14215" t="s">
        <v>2438</v>
      </c>
      <c r="E14215" s="3" t="s">
        <v>3</v>
      </c>
      <c r="F14215" s="4">
        <v>1.95E-146</v>
      </c>
      <c r="G14215" s="3">
        <v>1127</v>
      </c>
      <c r="H14215" s="3">
        <v>49</v>
      </c>
      <c r="I14215" s="3">
        <v>448</v>
      </c>
      <c r="J14215" s="3">
        <v>220</v>
      </c>
      <c r="K14215" s="3">
        <v>1506</v>
      </c>
      <c r="L14215" s="3">
        <v>25</v>
      </c>
      <c r="M14215" s="3">
        <v>464</v>
      </c>
    </row>
    <row r="14216" spans="1:13" x14ac:dyDescent="0.25">
      <c r="A14216" s="1" t="str">
        <f>HYPERLINK("http://www.rosaceae.org/Prunus/Prunus_persica/p.persica_gdr_reftransV1_0048545","p.persica_gdr_reftransV1_0048545")</f>
        <v>p.persica_gdr_reftransV1_0048545</v>
      </c>
      <c r="B14216" s="3">
        <v>684</v>
      </c>
      <c r="C14216" s="1" t="str">
        <f>HYPERLINK("http://www.uniprot.org/uniprot/RLF22_ARATH","RLF22_ARATH")</f>
        <v>RLF22_ARATH</v>
      </c>
      <c r="D14216" t="s">
        <v>9370</v>
      </c>
      <c r="E14216" s="3" t="s">
        <v>3</v>
      </c>
      <c r="F14216" s="4">
        <v>1.07E-16</v>
      </c>
      <c r="G14216" s="3">
        <v>190</v>
      </c>
      <c r="H14216" s="3">
        <v>67</v>
      </c>
      <c r="I14216" s="3">
        <v>55</v>
      </c>
      <c r="J14216" s="3">
        <v>205</v>
      </c>
      <c r="K14216" s="3">
        <v>369</v>
      </c>
      <c r="L14216" s="3">
        <v>67</v>
      </c>
      <c r="M14216" s="3">
        <v>119</v>
      </c>
    </row>
    <row r="14217" spans="1:13" x14ac:dyDescent="0.25">
      <c r="A14217" s="1" t="str">
        <f>HYPERLINK("http://www.rosaceae.org/Prunus/Prunus_persica/p.persica_gdr_reftransV1_0048645","p.persica_gdr_reftransV1_0048645")</f>
        <v>p.persica_gdr_reftransV1_0048645</v>
      </c>
      <c r="B14217" s="3">
        <v>1416</v>
      </c>
      <c r="C14217" s="1" t="str">
        <f>HYPERLINK("http://www.uniprot.org/uniprot/PCO4_ARATH","PCO4_ARATH")</f>
        <v>PCO4_ARATH</v>
      </c>
      <c r="D14217" t="s">
        <v>7200</v>
      </c>
      <c r="E14217" s="3" t="s">
        <v>3</v>
      </c>
      <c r="F14217" s="4">
        <v>3.78E-121</v>
      </c>
      <c r="G14217" s="3">
        <v>925</v>
      </c>
      <c r="H14217" s="3">
        <v>72</v>
      </c>
      <c r="I14217" s="3">
        <v>241</v>
      </c>
      <c r="J14217" s="3">
        <v>425</v>
      </c>
      <c r="K14217" s="3">
        <v>1141</v>
      </c>
      <c r="L14217" s="3">
        <v>1</v>
      </c>
      <c r="M14217" s="3">
        <v>241</v>
      </c>
    </row>
    <row r="14218" spans="1:13" x14ac:dyDescent="0.25">
      <c r="A14218" s="1" t="str">
        <f>HYPERLINK("http://www.rosaceae.org/Prunus/Prunus_persica/p.persica_gdr_reftransV1_0048695","p.persica_gdr_reftransV1_0048695")</f>
        <v>p.persica_gdr_reftransV1_0048695</v>
      </c>
      <c r="B14218" s="3">
        <v>961</v>
      </c>
      <c r="C14218" s="1" t="str">
        <f>HYPERLINK("http://www.uniprot.org/uniprot/6OMT_COPJA","6OMT_COPJA")</f>
        <v>6OMT_COPJA</v>
      </c>
      <c r="D14218" t="s">
        <v>9371</v>
      </c>
      <c r="E14218" s="3" t="s">
        <v>228</v>
      </c>
      <c r="F14218" s="4">
        <v>8.6399999999999998E-77</v>
      </c>
      <c r="G14218" s="3">
        <v>625</v>
      </c>
      <c r="H14218" s="3">
        <v>42</v>
      </c>
      <c r="I14218" s="3">
        <v>298</v>
      </c>
      <c r="J14218" s="3">
        <v>2</v>
      </c>
      <c r="K14218" s="3">
        <v>886</v>
      </c>
      <c r="L14218" s="3">
        <v>10</v>
      </c>
      <c r="M14218" s="3">
        <v>302</v>
      </c>
    </row>
    <row r="14219" spans="1:13" x14ac:dyDescent="0.25">
      <c r="A14219" s="1" t="str">
        <f>HYPERLINK("http://www.rosaceae.org/Prunus/Prunus_persica/p.persica_gdr_reftransV1_0048795","p.persica_gdr_reftransV1_0048795")</f>
        <v>p.persica_gdr_reftransV1_0048795</v>
      </c>
      <c r="B14219" s="3">
        <v>2640</v>
      </c>
      <c r="C14219" s="1" t="str">
        <f>HYPERLINK("http://www.uniprot.org/uniprot/Y5392_ARATH","Y5392_ARATH")</f>
        <v>Y5392_ARATH</v>
      </c>
      <c r="D14219" t="s">
        <v>6491</v>
      </c>
      <c r="E14219" s="3" t="s">
        <v>3</v>
      </c>
      <c r="F14219" s="4">
        <v>2.0199999999999999E-93</v>
      </c>
      <c r="G14219" s="3">
        <v>816</v>
      </c>
      <c r="H14219" s="3">
        <v>48</v>
      </c>
      <c r="I14219" s="3">
        <v>342</v>
      </c>
      <c r="J14219" s="3">
        <v>286</v>
      </c>
      <c r="K14219" s="3">
        <v>1305</v>
      </c>
      <c r="L14219" s="3">
        <v>444</v>
      </c>
      <c r="M14219" s="3">
        <v>780</v>
      </c>
    </row>
    <row r="14220" spans="1:13" x14ac:dyDescent="0.25">
      <c r="A14220" s="1" t="str">
        <f>HYPERLINK("http://www.rosaceae.org/Prunus/Prunus_persica/p.persica_gdr_reftransV1_0049045","p.persica_gdr_reftransV1_0049045")</f>
        <v>p.persica_gdr_reftransV1_0049045</v>
      </c>
      <c r="B14220" s="3">
        <v>395</v>
      </c>
      <c r="C14220" s="1" t="str">
        <f>HYPERLINK("http://www.uniprot.org/uniprot/TPPA_ARATH","TPPA_ARATH")</f>
        <v>TPPA_ARATH</v>
      </c>
      <c r="D14220" t="s">
        <v>9372</v>
      </c>
      <c r="E14220" s="3" t="s">
        <v>3</v>
      </c>
      <c r="F14220" s="4">
        <v>1.2200000000000001E-50</v>
      </c>
      <c r="G14220" s="3">
        <v>433</v>
      </c>
      <c r="H14220" s="3">
        <v>79</v>
      </c>
      <c r="I14220" s="3">
        <v>101</v>
      </c>
      <c r="J14220" s="3">
        <v>92</v>
      </c>
      <c r="K14220" s="3">
        <v>394</v>
      </c>
      <c r="L14220" s="3">
        <v>281</v>
      </c>
      <c r="M14220" s="3">
        <v>381</v>
      </c>
    </row>
    <row r="14221" spans="1:13" x14ac:dyDescent="0.25">
      <c r="A14221" s="1" t="str">
        <f>HYPERLINK("http://www.rosaceae.org/Prunus/Prunus_persica/p.persica_gdr_reftransV1_0049095","p.persica_gdr_reftransV1_0049095")</f>
        <v>p.persica_gdr_reftransV1_0049095</v>
      </c>
      <c r="B14221" s="3">
        <v>316</v>
      </c>
      <c r="C14221" s="1" t="str">
        <f>HYPERLINK("http://www.uniprot.org/uniprot/Y4141_ARATH","Y4141_ARATH")</f>
        <v>Y4141_ARATH</v>
      </c>
      <c r="D14221" t="s">
        <v>3026</v>
      </c>
      <c r="E14221" s="3" t="s">
        <v>3</v>
      </c>
      <c r="F14221" s="4">
        <v>8.8899999999999998E-11</v>
      </c>
      <c r="G14221" s="3">
        <v>142</v>
      </c>
      <c r="H14221" s="3">
        <v>71</v>
      </c>
      <c r="I14221" s="3">
        <v>35</v>
      </c>
      <c r="J14221" s="3">
        <v>3</v>
      </c>
      <c r="K14221" s="3">
        <v>107</v>
      </c>
      <c r="L14221" s="3">
        <v>33</v>
      </c>
      <c r="M14221" s="3">
        <v>66</v>
      </c>
    </row>
    <row r="14222" spans="1:13" x14ac:dyDescent="0.25">
      <c r="A14222" s="1" t="str">
        <f>HYPERLINK("http://www.rosaceae.org/Prunus/Prunus_persica/p.persica_gdr_reftransV1_0049145","p.persica_gdr_reftransV1_0049145")</f>
        <v>p.persica_gdr_reftransV1_0049145</v>
      </c>
      <c r="B14222" s="3">
        <v>1703</v>
      </c>
      <c r="C14222" s="1" t="str">
        <f>HYPERLINK("http://www.uniprot.org/uniprot/SG101_ARATH","SG101_ARATH")</f>
        <v>SG101_ARATH</v>
      </c>
      <c r="D14222" t="s">
        <v>9144</v>
      </c>
      <c r="E14222" s="3" t="s">
        <v>3</v>
      </c>
      <c r="F14222" s="4">
        <v>1.5700000000000001E-68</v>
      </c>
      <c r="G14222" s="3">
        <v>603</v>
      </c>
      <c r="H14222" s="3">
        <v>35</v>
      </c>
      <c r="I14222" s="3">
        <v>469</v>
      </c>
      <c r="J14222" s="3">
        <v>312</v>
      </c>
      <c r="K14222" s="3">
        <v>1661</v>
      </c>
      <c r="L14222" s="3">
        <v>9</v>
      </c>
      <c r="M14222" s="3">
        <v>411</v>
      </c>
    </row>
    <row r="14223" spans="1:13" x14ac:dyDescent="0.25">
      <c r="A14223" s="1" t="str">
        <f>HYPERLINK("http://www.rosaceae.org/Prunus/Prunus_persica/p.persica_gdr_reftransV1_0000146","p.persica_gdr_reftransV1_0000146")</f>
        <v>p.persica_gdr_reftransV1_0000146</v>
      </c>
      <c r="B14223" s="3">
        <v>1806</v>
      </c>
      <c r="C14223" s="1" t="str">
        <f>HYPERLINK("http://www.uniprot.org/uniprot/ZDHC5_ARATH","ZDHC5_ARATH")</f>
        <v>ZDHC5_ARATH</v>
      </c>
      <c r="D14223" t="s">
        <v>8636</v>
      </c>
      <c r="E14223" s="3" t="s">
        <v>3</v>
      </c>
      <c r="F14223" s="4">
        <v>2.0700000000000001E-173</v>
      </c>
      <c r="G14223" s="3">
        <v>1300</v>
      </c>
      <c r="H14223" s="3">
        <v>65</v>
      </c>
      <c r="I14223" s="3">
        <v>422</v>
      </c>
      <c r="J14223" s="3">
        <v>131</v>
      </c>
      <c r="K14223" s="3">
        <v>1378</v>
      </c>
      <c r="L14223" s="3">
        <v>1</v>
      </c>
      <c r="M14223" s="3">
        <v>382</v>
      </c>
    </row>
    <row r="14224" spans="1:13" x14ac:dyDescent="0.25">
      <c r="A14224" s="1" t="str">
        <f>HYPERLINK("http://www.rosaceae.org/Prunus/Prunus_persica/p.persica_gdr_reftransV1_0000346","p.persica_gdr_reftransV1_0000346")</f>
        <v>p.persica_gdr_reftransV1_0000346</v>
      </c>
      <c r="B14224" s="3">
        <v>1155</v>
      </c>
      <c r="C14224" s="1" t="str">
        <f>HYPERLINK("http://www.uniprot.org/uniprot/TBP_SOYBN","TBP_SOYBN")</f>
        <v>TBP_SOYBN</v>
      </c>
      <c r="D14224" t="s">
        <v>9373</v>
      </c>
      <c r="E14224" s="3" t="s">
        <v>307</v>
      </c>
      <c r="F14224" s="4">
        <v>5.0700000000000001E-138</v>
      </c>
      <c r="G14224" s="3">
        <v>1024</v>
      </c>
      <c r="H14224" s="3">
        <v>97</v>
      </c>
      <c r="I14224" s="3">
        <v>200</v>
      </c>
      <c r="J14224" s="3">
        <v>277</v>
      </c>
      <c r="K14224" s="3">
        <v>876</v>
      </c>
      <c r="L14224" s="3">
        <v>1</v>
      </c>
      <c r="M14224" s="3">
        <v>200</v>
      </c>
    </row>
    <row r="14225" spans="1:13" x14ac:dyDescent="0.25">
      <c r="A14225" s="1" t="str">
        <f>HYPERLINK("http://www.rosaceae.org/Prunus/Prunus_persica/p.persica_gdr_reftransV1_0000396","p.persica_gdr_reftransV1_0000396")</f>
        <v>p.persica_gdr_reftransV1_0000396</v>
      </c>
      <c r="B14225" s="3">
        <v>1956</v>
      </c>
      <c r="C14225" s="1" t="str">
        <f>HYPERLINK("http://www.uniprot.org/uniprot/PTR19_ARATH","PTR19_ARATH")</f>
        <v>PTR19_ARATH</v>
      </c>
      <c r="D14225" t="s">
        <v>9374</v>
      </c>
      <c r="E14225" s="3" t="s">
        <v>3</v>
      </c>
      <c r="F14225" s="4">
        <v>0</v>
      </c>
      <c r="G14225" s="3">
        <v>1872</v>
      </c>
      <c r="H14225" s="3">
        <v>68</v>
      </c>
      <c r="I14225" s="3">
        <v>588</v>
      </c>
      <c r="J14225" s="3">
        <v>160</v>
      </c>
      <c r="K14225" s="3">
        <v>1872</v>
      </c>
      <c r="L14225" s="3">
        <v>1</v>
      </c>
      <c r="M14225" s="3">
        <v>583</v>
      </c>
    </row>
    <row r="14226" spans="1:13" x14ac:dyDescent="0.25">
      <c r="A14226" s="1" t="str">
        <f>HYPERLINK("http://www.rosaceae.org/Prunus/Prunus_persica/p.persica_gdr_reftransV1_0000446","p.persica_gdr_reftransV1_0000446")</f>
        <v>p.persica_gdr_reftransV1_0000446</v>
      </c>
      <c r="B14226" s="3">
        <v>1369</v>
      </c>
      <c r="C14226" s="1" t="str">
        <f>HYPERLINK("http://www.uniprot.org/uniprot/RPB5A_ARATH","RPB5A_ARATH")</f>
        <v>RPB5A_ARATH</v>
      </c>
      <c r="D14226" t="s">
        <v>6661</v>
      </c>
      <c r="E14226" s="3" t="s">
        <v>3</v>
      </c>
      <c r="F14226" s="4">
        <v>2.07E-107</v>
      </c>
      <c r="G14226" s="3">
        <v>829</v>
      </c>
      <c r="H14226" s="3">
        <v>80</v>
      </c>
      <c r="I14226" s="3">
        <v>202</v>
      </c>
      <c r="J14226" s="3">
        <v>465</v>
      </c>
      <c r="K14226" s="3">
        <v>1070</v>
      </c>
      <c r="L14226" s="3">
        <v>4</v>
      </c>
      <c r="M14226" s="3">
        <v>205</v>
      </c>
    </row>
    <row r="14227" spans="1:13" x14ac:dyDescent="0.25">
      <c r="A14227" s="1" t="str">
        <f>HYPERLINK("http://www.rosaceae.org/Prunus/Prunus_persica/p.persica_gdr_reftransV1_0000496","p.persica_gdr_reftransV1_0000496")</f>
        <v>p.persica_gdr_reftransV1_0000496</v>
      </c>
      <c r="B14227" s="3">
        <v>858</v>
      </c>
      <c r="C14227" s="1" t="str">
        <f>HYPERLINK("http://www.uniprot.org/uniprot/SKI11_ARATH","SKI11_ARATH")</f>
        <v>SKI11_ARATH</v>
      </c>
      <c r="D14227" t="s">
        <v>247</v>
      </c>
      <c r="E14227" s="3" t="s">
        <v>3</v>
      </c>
      <c r="F14227" s="4">
        <v>1.2099999999999999E-22</v>
      </c>
      <c r="G14227" s="3">
        <v>163</v>
      </c>
      <c r="H14227" s="3">
        <v>72</v>
      </c>
      <c r="I14227" s="3">
        <v>43</v>
      </c>
      <c r="J14227" s="3">
        <v>728</v>
      </c>
      <c r="K14227" s="3">
        <v>856</v>
      </c>
      <c r="L14227" s="3">
        <v>177</v>
      </c>
      <c r="M14227" s="3">
        <v>219</v>
      </c>
    </row>
    <row r="14228" spans="1:13" x14ac:dyDescent="0.25">
      <c r="A14228" s="1" t="str">
        <f>HYPERLINK("http://www.rosaceae.org/Prunus/Prunus_persica/p.persica_gdr_reftransV1_0000546","p.persica_gdr_reftransV1_0000546")</f>
        <v>p.persica_gdr_reftransV1_0000546</v>
      </c>
      <c r="B14228" s="3">
        <v>2625</v>
      </c>
      <c r="C14228" s="1" t="str">
        <f>HYPERLINK("http://www.uniprot.org/uniprot/PYRG2_XENLA","PYRG2_XENLA")</f>
        <v>PYRG2_XENLA</v>
      </c>
      <c r="D14228" t="s">
        <v>3962</v>
      </c>
      <c r="E14228" s="3" t="s">
        <v>475</v>
      </c>
      <c r="F14228" s="4">
        <v>0</v>
      </c>
      <c r="G14228" s="3">
        <v>1407</v>
      </c>
      <c r="H14228" s="3">
        <v>57</v>
      </c>
      <c r="I14228" s="3">
        <v>466</v>
      </c>
      <c r="J14228" s="3">
        <v>591</v>
      </c>
      <c r="K14228" s="3">
        <v>1982</v>
      </c>
      <c r="L14228" s="3">
        <v>91</v>
      </c>
      <c r="M14228" s="3">
        <v>555</v>
      </c>
    </row>
    <row r="14229" spans="1:13" x14ac:dyDescent="0.25">
      <c r="A14229" s="1" t="str">
        <f>HYPERLINK("http://www.rosaceae.org/Prunus/Prunus_persica/p.persica_gdr_reftransV1_0000596","p.persica_gdr_reftransV1_0000596")</f>
        <v>p.persica_gdr_reftransV1_0000596</v>
      </c>
      <c r="B14229" s="3">
        <v>7020</v>
      </c>
      <c r="C14229" s="1" t="str">
        <f>HYPERLINK("http://www.uniprot.org/uniprot/MOR1_ARATH","MOR1_ARATH")</f>
        <v>MOR1_ARATH</v>
      </c>
      <c r="D14229" t="s">
        <v>9375</v>
      </c>
      <c r="E14229" s="3" t="s">
        <v>3</v>
      </c>
      <c r="F14229" s="4">
        <v>0</v>
      </c>
      <c r="G14229" s="3">
        <v>7341</v>
      </c>
      <c r="H14229" s="3">
        <v>74</v>
      </c>
      <c r="I14229" s="3">
        <v>2010</v>
      </c>
      <c r="J14229" s="3">
        <v>393</v>
      </c>
      <c r="K14229" s="3">
        <v>6389</v>
      </c>
      <c r="L14229" s="3">
        <v>16</v>
      </c>
      <c r="M14229" s="3">
        <v>1976</v>
      </c>
    </row>
    <row r="14230" spans="1:13" x14ac:dyDescent="0.25">
      <c r="A14230" s="1" t="str">
        <f>HYPERLINK("http://www.rosaceae.org/Prunus/Prunus_persica/p.persica_gdr_reftransV1_0000696","p.persica_gdr_reftransV1_0000696")</f>
        <v>p.persica_gdr_reftransV1_0000696</v>
      </c>
      <c r="B14230" s="3">
        <v>1637</v>
      </c>
      <c r="C14230" s="1" t="str">
        <f>HYPERLINK("http://www.uniprot.org/uniprot/BAG5_ARATH","BAG5_ARATH")</f>
        <v>BAG5_ARATH</v>
      </c>
      <c r="D14230" t="s">
        <v>6515</v>
      </c>
      <c r="E14230" s="3" t="s">
        <v>3</v>
      </c>
      <c r="F14230" s="4">
        <v>3.9799999999999999E-22</v>
      </c>
      <c r="G14230" s="3">
        <v>246</v>
      </c>
      <c r="H14230" s="3">
        <v>35</v>
      </c>
      <c r="I14230" s="3">
        <v>139</v>
      </c>
      <c r="J14230" s="3">
        <v>1033</v>
      </c>
      <c r="K14230" s="3">
        <v>1449</v>
      </c>
      <c r="L14230" s="3">
        <v>18</v>
      </c>
      <c r="M14230" s="3">
        <v>147</v>
      </c>
    </row>
    <row r="14231" spans="1:13" x14ac:dyDescent="0.25">
      <c r="A14231" s="1" t="str">
        <f>HYPERLINK("http://www.rosaceae.org/Prunus/Prunus_persica/p.persica_gdr_reftransV1_0000746","p.persica_gdr_reftransV1_0000746")</f>
        <v>p.persica_gdr_reftransV1_0000746</v>
      </c>
      <c r="B14231" s="3">
        <v>1788</v>
      </c>
      <c r="C14231" s="1" t="str">
        <f>HYPERLINK("http://www.uniprot.org/uniprot/XTH23_ARATH","XTH23_ARATH")</f>
        <v>XTH23_ARATH</v>
      </c>
      <c r="D14231" t="s">
        <v>5527</v>
      </c>
      <c r="E14231" s="3" t="s">
        <v>3</v>
      </c>
      <c r="F14231" s="4">
        <v>2.0200000000000001E-135</v>
      </c>
      <c r="G14231" s="3">
        <v>1036</v>
      </c>
      <c r="H14231" s="3">
        <v>71</v>
      </c>
      <c r="I14231" s="3">
        <v>286</v>
      </c>
      <c r="J14231" s="3">
        <v>728</v>
      </c>
      <c r="K14231" s="3">
        <v>1582</v>
      </c>
      <c r="L14231" s="3">
        <v>1</v>
      </c>
      <c r="M14231" s="3">
        <v>286</v>
      </c>
    </row>
    <row r="14232" spans="1:13" x14ac:dyDescent="0.25">
      <c r="A14232" s="1" t="str">
        <f>HYPERLINK("http://www.rosaceae.org/Prunus/Prunus_persica/p.persica_gdr_reftransV1_0000796","p.persica_gdr_reftransV1_0000796")</f>
        <v>p.persica_gdr_reftransV1_0000796</v>
      </c>
      <c r="B14232" s="3">
        <v>1869</v>
      </c>
      <c r="C14232" s="1" t="str">
        <f>HYPERLINK("http://www.uniprot.org/uniprot/Y4862_ARATH","Y4862_ARATH")</f>
        <v>Y4862_ARATH</v>
      </c>
      <c r="D14232" t="s">
        <v>1186</v>
      </c>
      <c r="E14232" s="3" t="s">
        <v>3</v>
      </c>
      <c r="F14232" s="4">
        <v>1.9300000000000001E-16</v>
      </c>
      <c r="G14232" s="3">
        <v>215</v>
      </c>
      <c r="H14232" s="3">
        <v>28</v>
      </c>
      <c r="I14232" s="3">
        <v>476</v>
      </c>
      <c r="J14232" s="3">
        <v>373</v>
      </c>
      <c r="K14232" s="3">
        <v>1734</v>
      </c>
      <c r="L14232" s="3">
        <v>634</v>
      </c>
      <c r="M14232" s="3">
        <v>1049</v>
      </c>
    </row>
    <row r="14233" spans="1:13" x14ac:dyDescent="0.25">
      <c r="A14233" s="1" t="str">
        <f>HYPERLINK("http://www.rosaceae.org/Prunus/Prunus_persica/p.persica_gdr_reftransV1_0000946","p.persica_gdr_reftransV1_0000946")</f>
        <v>p.persica_gdr_reftransV1_0000946</v>
      </c>
      <c r="B14233" s="3">
        <v>1175</v>
      </c>
      <c r="C14233" s="1" t="str">
        <f>HYPERLINK("http://www.uniprot.org/uniprot/SIGA_ARATH","SIGA_ARATH")</f>
        <v>SIGA_ARATH</v>
      </c>
      <c r="D14233" t="s">
        <v>2298</v>
      </c>
      <c r="E14233" s="3" t="s">
        <v>3</v>
      </c>
      <c r="F14233" s="4">
        <v>1.77E-100</v>
      </c>
      <c r="G14233" s="3">
        <v>804</v>
      </c>
      <c r="H14233" s="3">
        <v>58</v>
      </c>
      <c r="I14233" s="3">
        <v>308</v>
      </c>
      <c r="J14233" s="3">
        <v>144</v>
      </c>
      <c r="K14233" s="3">
        <v>1040</v>
      </c>
      <c r="L14233" s="3">
        <v>1</v>
      </c>
      <c r="M14233" s="3">
        <v>290</v>
      </c>
    </row>
    <row r="14234" spans="1:13" x14ac:dyDescent="0.25">
      <c r="A14234" s="1" t="str">
        <f>HYPERLINK("http://www.rosaceae.org/Prunus/Prunus_persica/p.persica_gdr_reftransV1_0000996","p.persica_gdr_reftransV1_0000996")</f>
        <v>p.persica_gdr_reftransV1_0000996</v>
      </c>
      <c r="B14234" s="3">
        <v>2017</v>
      </c>
      <c r="C14234" s="1" t="str">
        <f>HYPERLINK("http://www.uniprot.org/uniprot/TPRL3_ERYCB","TPRL3_ERYCB")</f>
        <v>TPRL3_ERYCB</v>
      </c>
      <c r="D14234" t="s">
        <v>9376</v>
      </c>
      <c r="E14234" s="3" t="s">
        <v>9377</v>
      </c>
      <c r="F14234" s="4">
        <v>1.02E-115</v>
      </c>
      <c r="G14234" s="3">
        <v>908</v>
      </c>
      <c r="H14234" s="3">
        <v>81</v>
      </c>
      <c r="I14234" s="3">
        <v>257</v>
      </c>
      <c r="J14234" s="3">
        <v>1181</v>
      </c>
      <c r="K14234" s="3">
        <v>1951</v>
      </c>
      <c r="L14234" s="3">
        <v>2</v>
      </c>
      <c r="M14234" s="3">
        <v>258</v>
      </c>
    </row>
    <row r="14235" spans="1:13" x14ac:dyDescent="0.25">
      <c r="A14235" s="1" t="str">
        <f>HYPERLINK("http://www.rosaceae.org/Prunus/Prunus_persica/p.persica_gdr_reftransV1_0001046","p.persica_gdr_reftransV1_0001046")</f>
        <v>p.persica_gdr_reftransV1_0001046</v>
      </c>
      <c r="B14235" s="3">
        <v>2414</v>
      </c>
      <c r="C14235" s="1" t="str">
        <f>HYPERLINK("http://www.uniprot.org/uniprot/ROGF7_ARATH","ROGF7_ARATH")</f>
        <v>ROGF7_ARATH</v>
      </c>
      <c r="D14235" t="s">
        <v>8999</v>
      </c>
      <c r="E14235" s="3" t="s">
        <v>3</v>
      </c>
      <c r="F14235" s="4">
        <v>0</v>
      </c>
      <c r="G14235" s="3">
        <v>1767</v>
      </c>
      <c r="H14235" s="3">
        <v>75</v>
      </c>
      <c r="I14235" s="3">
        <v>459</v>
      </c>
      <c r="J14235" s="3">
        <v>511</v>
      </c>
      <c r="K14235" s="3">
        <v>1872</v>
      </c>
      <c r="L14235" s="3">
        <v>63</v>
      </c>
      <c r="M14235" s="3">
        <v>504</v>
      </c>
    </row>
    <row r="14236" spans="1:13" x14ac:dyDescent="0.25">
      <c r="A14236" s="1" t="str">
        <f>HYPERLINK("http://www.rosaceae.org/Prunus/Prunus_persica/p.persica_gdr_reftransV1_0001196","p.persica_gdr_reftransV1_0001196")</f>
        <v>p.persica_gdr_reftransV1_0001196</v>
      </c>
      <c r="B14236" s="3">
        <v>1357</v>
      </c>
      <c r="C14236" s="1" t="str">
        <f>HYPERLINK("http://www.uniprot.org/uniprot/HTH_ARATH","HTH_ARATH")</f>
        <v>HTH_ARATH</v>
      </c>
      <c r="D14236" t="s">
        <v>5584</v>
      </c>
      <c r="E14236" s="3" t="s">
        <v>3</v>
      </c>
      <c r="F14236" s="4">
        <v>8.4700000000000004E-149</v>
      </c>
      <c r="G14236" s="3">
        <v>1140</v>
      </c>
      <c r="H14236" s="3">
        <v>54</v>
      </c>
      <c r="I14236" s="3">
        <v>405</v>
      </c>
      <c r="J14236" s="3">
        <v>9</v>
      </c>
      <c r="K14236" s="3">
        <v>1220</v>
      </c>
      <c r="L14236" s="3">
        <v>187</v>
      </c>
      <c r="M14236" s="3">
        <v>590</v>
      </c>
    </row>
    <row r="14237" spans="1:13" x14ac:dyDescent="0.25">
      <c r="A14237" s="1" t="str">
        <f>HYPERLINK("http://www.rosaceae.org/Prunus/Prunus_persica/p.persica_gdr_reftransV1_0001296","p.persica_gdr_reftransV1_0001296")</f>
        <v>p.persica_gdr_reftransV1_0001296</v>
      </c>
      <c r="B14237" s="3">
        <v>4189</v>
      </c>
      <c r="C14237" s="1" t="str">
        <f>HYPERLINK("http://www.uniprot.org/uniprot/NPC1_PIG","NPC1_PIG")</f>
        <v>NPC1_PIG</v>
      </c>
      <c r="D14237" t="s">
        <v>9378</v>
      </c>
      <c r="E14237" s="3" t="s">
        <v>1126</v>
      </c>
      <c r="F14237" s="4">
        <v>0</v>
      </c>
      <c r="G14237" s="3">
        <v>1636</v>
      </c>
      <c r="H14237" s="3">
        <v>37</v>
      </c>
      <c r="I14237" s="3">
        <v>1263</v>
      </c>
      <c r="J14237" s="3">
        <v>317</v>
      </c>
      <c r="K14237" s="3">
        <v>3916</v>
      </c>
      <c r="L14237" s="3">
        <v>25</v>
      </c>
      <c r="M14237" s="3">
        <v>1228</v>
      </c>
    </row>
    <row r="14238" spans="1:13" x14ac:dyDescent="0.25">
      <c r="A14238" s="1" t="str">
        <f>HYPERLINK("http://www.rosaceae.org/Prunus/Prunus_persica/p.persica_gdr_reftransV1_0001346","p.persica_gdr_reftransV1_0001346")</f>
        <v>p.persica_gdr_reftransV1_0001346</v>
      </c>
      <c r="B14238" s="3">
        <v>2194</v>
      </c>
      <c r="C14238" s="1" t="str">
        <f>HYPERLINK("http://www.uniprot.org/uniprot/TT12_ARATH","TT12_ARATH")</f>
        <v>TT12_ARATH</v>
      </c>
      <c r="D14238" t="s">
        <v>353</v>
      </c>
      <c r="E14238" s="3" t="s">
        <v>3</v>
      </c>
      <c r="F14238" s="4">
        <v>5.8399999999999998E-59</v>
      </c>
      <c r="G14238" s="3">
        <v>542</v>
      </c>
      <c r="H14238" s="3">
        <v>41</v>
      </c>
      <c r="I14238" s="3">
        <v>266</v>
      </c>
      <c r="J14238" s="3">
        <v>247</v>
      </c>
      <c r="K14238" s="3">
        <v>1041</v>
      </c>
      <c r="L14238" s="3">
        <v>51</v>
      </c>
      <c r="M14238" s="3">
        <v>316</v>
      </c>
    </row>
    <row r="14239" spans="1:13" x14ac:dyDescent="0.25">
      <c r="A14239" s="1" t="str">
        <f>HYPERLINK("http://www.rosaceae.org/Prunus/Prunus_persica/p.persica_gdr_reftransV1_0001396","p.persica_gdr_reftransV1_0001396")</f>
        <v>p.persica_gdr_reftransV1_0001396</v>
      </c>
      <c r="B14239" s="3">
        <v>546</v>
      </c>
      <c r="C14239" s="1" t="str">
        <f>HYPERLINK("http://www.uniprot.org/uniprot/LYSC_PANTR","LYSC_PANTR")</f>
        <v>LYSC_PANTR</v>
      </c>
      <c r="D14239" t="s">
        <v>9379</v>
      </c>
      <c r="E14239" s="3" t="s">
        <v>986</v>
      </c>
      <c r="F14239" s="4">
        <v>5.3099999999999998E-105</v>
      </c>
      <c r="G14239" s="3">
        <v>780</v>
      </c>
      <c r="H14239" s="3">
        <v>100</v>
      </c>
      <c r="I14239" s="3">
        <v>148</v>
      </c>
      <c r="J14239" s="3">
        <v>84</v>
      </c>
      <c r="K14239" s="3">
        <v>527</v>
      </c>
      <c r="L14239" s="3">
        <v>1</v>
      </c>
      <c r="M14239" s="3">
        <v>148</v>
      </c>
    </row>
    <row r="14240" spans="1:13" x14ac:dyDescent="0.25">
      <c r="A14240" s="1" t="str">
        <f>HYPERLINK("http://www.rosaceae.org/Prunus/Prunus_persica/p.persica_gdr_reftransV1_0001446","p.persica_gdr_reftransV1_0001446")</f>
        <v>p.persica_gdr_reftransV1_0001446</v>
      </c>
      <c r="B14240" s="3">
        <v>1062</v>
      </c>
      <c r="C14240" s="1" t="str">
        <f>HYPERLINK("http://www.uniprot.org/uniprot/STR18_ARATH","STR18_ARATH")</f>
        <v>STR18_ARATH</v>
      </c>
      <c r="D14240" t="s">
        <v>5328</v>
      </c>
      <c r="E14240" s="3" t="s">
        <v>3</v>
      </c>
      <c r="F14240" s="4">
        <v>4.9300000000000003E-46</v>
      </c>
      <c r="G14240" s="3">
        <v>403</v>
      </c>
      <c r="H14240" s="3">
        <v>57</v>
      </c>
      <c r="I14240" s="3">
        <v>128</v>
      </c>
      <c r="J14240" s="3">
        <v>532</v>
      </c>
      <c r="K14240" s="3">
        <v>909</v>
      </c>
      <c r="L14240" s="3">
        <v>4</v>
      </c>
      <c r="M14240" s="3">
        <v>131</v>
      </c>
    </row>
    <row r="14241" spans="1:13" x14ac:dyDescent="0.25">
      <c r="A14241" s="1" t="str">
        <f>HYPERLINK("http://www.rosaceae.org/Prunus/Prunus_persica/p.persica_gdr_reftransV1_0001496","p.persica_gdr_reftransV1_0001496")</f>
        <v>p.persica_gdr_reftransV1_0001496</v>
      </c>
      <c r="B14241" s="3">
        <v>2625</v>
      </c>
      <c r="C14241" s="1" t="str">
        <f>HYPERLINK("http://www.uniprot.org/uniprot/BOR1_ARATH","BOR1_ARATH")</f>
        <v>BOR1_ARATH</v>
      </c>
      <c r="D14241" t="s">
        <v>6354</v>
      </c>
      <c r="E14241" s="3" t="s">
        <v>3</v>
      </c>
      <c r="F14241" s="4">
        <v>0</v>
      </c>
      <c r="G14241" s="3">
        <v>2885</v>
      </c>
      <c r="H14241" s="3">
        <v>83</v>
      </c>
      <c r="I14241" s="3">
        <v>686</v>
      </c>
      <c r="J14241" s="3">
        <v>223</v>
      </c>
      <c r="K14241" s="3">
        <v>2256</v>
      </c>
      <c r="L14241" s="3">
        <v>1</v>
      </c>
      <c r="M14241" s="3">
        <v>683</v>
      </c>
    </row>
    <row r="14242" spans="1:13" x14ac:dyDescent="0.25">
      <c r="A14242" s="1" t="str">
        <f>HYPERLINK("http://www.rosaceae.org/Prunus/Prunus_persica/p.persica_gdr_reftransV1_0001596","p.persica_gdr_reftransV1_0001596")</f>
        <v>p.persica_gdr_reftransV1_0001596</v>
      </c>
      <c r="B14242" s="3">
        <v>2362</v>
      </c>
      <c r="C14242" s="1" t="str">
        <f>HYPERLINK("http://www.uniprot.org/uniprot/Y2168_ARATH","Y2168_ARATH")</f>
        <v>Y2168_ARATH</v>
      </c>
      <c r="D14242" t="s">
        <v>1132</v>
      </c>
      <c r="E14242" s="3" t="s">
        <v>3</v>
      </c>
      <c r="F14242" s="4">
        <v>2.6699999999999999E-29</v>
      </c>
      <c r="G14242" s="3">
        <v>317</v>
      </c>
      <c r="H14242" s="3">
        <v>31</v>
      </c>
      <c r="I14242" s="3">
        <v>300</v>
      </c>
      <c r="J14242" s="3">
        <v>1071</v>
      </c>
      <c r="K14242" s="3">
        <v>1916</v>
      </c>
      <c r="L14242" s="3">
        <v>97</v>
      </c>
      <c r="M14242" s="3">
        <v>379</v>
      </c>
    </row>
    <row r="14243" spans="1:13" x14ac:dyDescent="0.25">
      <c r="A14243" s="1" t="str">
        <f>HYPERLINK("http://www.rosaceae.org/Prunus/Prunus_persica/p.persica_gdr_reftransV1_0001696","p.persica_gdr_reftransV1_0001696")</f>
        <v>p.persica_gdr_reftransV1_0001696</v>
      </c>
      <c r="B14243" s="3">
        <v>3616</v>
      </c>
      <c r="C14243" s="1" t="str">
        <f>HYPERLINK("http://www.uniprot.org/uniprot/SMG1_MOUSE","SMG1_MOUSE")</f>
        <v>SMG1_MOUSE</v>
      </c>
      <c r="D14243" t="s">
        <v>9380</v>
      </c>
      <c r="E14243" s="3" t="s">
        <v>157</v>
      </c>
      <c r="F14243" s="4">
        <v>1.1100000000000001E-86</v>
      </c>
      <c r="G14243" s="3">
        <v>809</v>
      </c>
      <c r="H14243" s="3">
        <v>38</v>
      </c>
      <c r="I14243" s="3">
        <v>540</v>
      </c>
      <c r="J14243" s="3">
        <v>25</v>
      </c>
      <c r="K14243" s="3">
        <v>1470</v>
      </c>
      <c r="L14243" s="3">
        <v>1776</v>
      </c>
      <c r="M14243" s="3">
        <v>2299</v>
      </c>
    </row>
    <row r="14244" spans="1:13" x14ac:dyDescent="0.25">
      <c r="A14244" s="1" t="str">
        <f>HYPERLINK("http://www.rosaceae.org/Prunus/Prunus_persica/p.persica_gdr_reftransV1_0001896","p.persica_gdr_reftransV1_0001896")</f>
        <v>p.persica_gdr_reftransV1_0001896</v>
      </c>
      <c r="B14244" s="3">
        <v>367</v>
      </c>
      <c r="C14244" s="1" t="str">
        <f>HYPERLINK("http://www.uniprot.org/uniprot/C86A1_ARATH","C86A1_ARATH")</f>
        <v>C86A1_ARATH</v>
      </c>
      <c r="D14244" t="s">
        <v>9381</v>
      </c>
      <c r="E14244" s="3" t="s">
        <v>3</v>
      </c>
      <c r="F14244" s="4">
        <v>1.02E-63</v>
      </c>
      <c r="G14244" s="3">
        <v>528</v>
      </c>
      <c r="H14244" s="3">
        <v>78</v>
      </c>
      <c r="I14244" s="3">
        <v>121</v>
      </c>
      <c r="J14244" s="3">
        <v>3</v>
      </c>
      <c r="K14244" s="3">
        <v>365</v>
      </c>
      <c r="L14244" s="3">
        <v>30</v>
      </c>
      <c r="M14244" s="3">
        <v>148</v>
      </c>
    </row>
    <row r="14245" spans="1:13" x14ac:dyDescent="0.25">
      <c r="A14245" s="1" t="str">
        <f>HYPERLINK("http://www.rosaceae.org/Prunus/Prunus_persica/p.persica_gdr_reftransV1_0002046","p.persica_gdr_reftransV1_0002046")</f>
        <v>p.persica_gdr_reftransV1_0002046</v>
      </c>
      <c r="B14245" s="3">
        <v>488</v>
      </c>
      <c r="C14245" s="1" t="str">
        <f>HYPERLINK("http://www.uniprot.org/uniprot/TMVRN_NICGU","TMVRN_NICGU")</f>
        <v>TMVRN_NICGU</v>
      </c>
      <c r="D14245" t="s">
        <v>151</v>
      </c>
      <c r="E14245" s="3" t="s">
        <v>152</v>
      </c>
      <c r="F14245" s="4">
        <v>2.8200000000000001E-8</v>
      </c>
      <c r="G14245" s="3">
        <v>134</v>
      </c>
      <c r="H14245" s="3">
        <v>51</v>
      </c>
      <c r="I14245" s="3">
        <v>49</v>
      </c>
      <c r="J14245" s="3">
        <v>80</v>
      </c>
      <c r="K14245" s="3">
        <v>226</v>
      </c>
      <c r="L14245" s="3">
        <v>843</v>
      </c>
      <c r="M14245" s="3">
        <v>891</v>
      </c>
    </row>
    <row r="14246" spans="1:13" x14ac:dyDescent="0.25">
      <c r="A14246" s="1" t="str">
        <f>HYPERLINK("http://www.rosaceae.org/Prunus/Prunus_persica/p.persica_gdr_reftransV1_0002146","p.persica_gdr_reftransV1_0002146")</f>
        <v>p.persica_gdr_reftransV1_0002146</v>
      </c>
      <c r="B14246" s="3">
        <v>418</v>
      </c>
      <c r="C14246" s="1" t="str">
        <f>HYPERLINK("http://www.uniprot.org/uniprot/CYB5_BRAOB","CYB5_BRAOB")</f>
        <v>CYB5_BRAOB</v>
      </c>
      <c r="D14246" t="s">
        <v>9306</v>
      </c>
      <c r="E14246" s="3" t="s">
        <v>1308</v>
      </c>
      <c r="F14246" s="4">
        <v>5.7799999999999997E-59</v>
      </c>
      <c r="G14246" s="3">
        <v>470</v>
      </c>
      <c r="H14246" s="3">
        <v>78</v>
      </c>
      <c r="I14246" s="3">
        <v>111</v>
      </c>
      <c r="J14246" s="3">
        <v>1</v>
      </c>
      <c r="K14246" s="3">
        <v>333</v>
      </c>
      <c r="L14246" s="3">
        <v>1</v>
      </c>
      <c r="M14246" s="3">
        <v>111</v>
      </c>
    </row>
    <row r="14247" spans="1:13" x14ac:dyDescent="0.25">
      <c r="A14247" s="1" t="str">
        <f>HYPERLINK("http://www.rosaceae.org/Prunus/Prunus_persica/p.persica_gdr_reftransV1_0002246","p.persica_gdr_reftransV1_0002246")</f>
        <v>p.persica_gdr_reftransV1_0002246</v>
      </c>
      <c r="B14247" s="3">
        <v>2335</v>
      </c>
      <c r="C14247" s="1" t="str">
        <f>HYPERLINK("http://www.uniprot.org/uniprot/APY2_ARATH","APY2_ARATH")</f>
        <v>APY2_ARATH</v>
      </c>
      <c r="D14247" t="s">
        <v>9382</v>
      </c>
      <c r="E14247" s="3" t="s">
        <v>3</v>
      </c>
      <c r="F14247" s="4">
        <v>0</v>
      </c>
      <c r="G14247" s="3">
        <v>1506</v>
      </c>
      <c r="H14247" s="3">
        <v>67</v>
      </c>
      <c r="I14247" s="3">
        <v>474</v>
      </c>
      <c r="J14247" s="3">
        <v>380</v>
      </c>
      <c r="K14247" s="3">
        <v>1789</v>
      </c>
      <c r="L14247" s="3">
        <v>5</v>
      </c>
      <c r="M14247" s="3">
        <v>471</v>
      </c>
    </row>
    <row r="14248" spans="1:13" x14ac:dyDescent="0.25">
      <c r="A14248" s="1" t="str">
        <f>HYPERLINK("http://www.rosaceae.org/Prunus/Prunus_persica/p.persica_gdr_reftransV1_0002346","p.persica_gdr_reftransV1_0002346")</f>
        <v>p.persica_gdr_reftransV1_0002346</v>
      </c>
      <c r="B14248" s="3">
        <v>1632</v>
      </c>
      <c r="C14248" s="1" t="str">
        <f>HYPERLINK("http://www.uniprot.org/uniprot/VRN2_ARATH","VRN2_ARATH")</f>
        <v>VRN2_ARATH</v>
      </c>
      <c r="D14248" t="s">
        <v>9383</v>
      </c>
      <c r="E14248" s="3" t="s">
        <v>3</v>
      </c>
      <c r="F14248" s="4">
        <v>7.6999999999999997E-126</v>
      </c>
      <c r="G14248" s="3">
        <v>982</v>
      </c>
      <c r="H14248" s="3">
        <v>51</v>
      </c>
      <c r="I14248" s="3">
        <v>435</v>
      </c>
      <c r="J14248" s="3">
        <v>198</v>
      </c>
      <c r="K14248" s="3">
        <v>1490</v>
      </c>
      <c r="L14248" s="3">
        <v>1</v>
      </c>
      <c r="M14248" s="3">
        <v>390</v>
      </c>
    </row>
    <row r="14249" spans="1:13" x14ac:dyDescent="0.25">
      <c r="A14249" s="1" t="str">
        <f>HYPERLINK("http://www.rosaceae.org/Prunus/Prunus_persica/p.persica_gdr_reftransV1_0002396","p.persica_gdr_reftransV1_0002396")</f>
        <v>p.persica_gdr_reftransV1_0002396</v>
      </c>
      <c r="B14249" s="3">
        <v>461</v>
      </c>
      <c r="C14249" s="1" t="str">
        <f>HYPERLINK("http://www.uniprot.org/uniprot/TI214_BUXMI","TI214_BUXMI")</f>
        <v>TI214_BUXMI</v>
      </c>
      <c r="D14249" t="s">
        <v>9384</v>
      </c>
      <c r="E14249" s="3" t="s">
        <v>2471</v>
      </c>
      <c r="F14249" s="4">
        <v>2.2200000000000002E-56</v>
      </c>
      <c r="G14249" s="3">
        <v>498</v>
      </c>
      <c r="H14249" s="3">
        <v>77</v>
      </c>
      <c r="I14249" s="3">
        <v>149</v>
      </c>
      <c r="J14249" s="3">
        <v>3</v>
      </c>
      <c r="K14249" s="3">
        <v>440</v>
      </c>
      <c r="L14249" s="3">
        <v>611</v>
      </c>
      <c r="M14249" s="3">
        <v>756</v>
      </c>
    </row>
    <row r="14250" spans="1:13" x14ac:dyDescent="0.25">
      <c r="A14250" s="1" t="str">
        <f>HYPERLINK("http://www.rosaceae.org/Prunus/Prunus_persica/p.persica_gdr_reftransV1_0002496","p.persica_gdr_reftransV1_0002496")</f>
        <v>p.persica_gdr_reftransV1_0002496</v>
      </c>
      <c r="B14250" s="3">
        <v>759</v>
      </c>
      <c r="C14250" s="1" t="str">
        <f>HYPERLINK("http://www.uniprot.org/uniprot/AIR12_ARATH","AIR12_ARATH")</f>
        <v>AIR12_ARATH</v>
      </c>
      <c r="D14250" t="s">
        <v>4342</v>
      </c>
      <c r="E14250" s="3" t="s">
        <v>3</v>
      </c>
      <c r="F14250" s="4">
        <v>2.04E-25</v>
      </c>
      <c r="G14250" s="3">
        <v>262</v>
      </c>
      <c r="H14250" s="3">
        <v>48</v>
      </c>
      <c r="I14250" s="3">
        <v>134</v>
      </c>
      <c r="J14250" s="3">
        <v>1</v>
      </c>
      <c r="K14250" s="3">
        <v>387</v>
      </c>
      <c r="L14250" s="3">
        <v>81</v>
      </c>
      <c r="M14250" s="3">
        <v>212</v>
      </c>
    </row>
    <row r="14251" spans="1:13" x14ac:dyDescent="0.25">
      <c r="A14251" s="1" t="str">
        <f>HYPERLINK("http://www.rosaceae.org/Prunus/Prunus_persica/p.persica_gdr_reftransV1_0002646","p.persica_gdr_reftransV1_0002646")</f>
        <v>p.persica_gdr_reftransV1_0002646</v>
      </c>
      <c r="B14251" s="3">
        <v>443</v>
      </c>
      <c r="C14251" s="1" t="str">
        <f>HYPERLINK("http://www.uniprot.org/uniprot/AGC15_ARATH","AGC15_ARATH")</f>
        <v>AGC15_ARATH</v>
      </c>
      <c r="D14251" t="s">
        <v>9179</v>
      </c>
      <c r="E14251" s="3" t="s">
        <v>3</v>
      </c>
      <c r="F14251" s="4">
        <v>7.8400000000000002E-84</v>
      </c>
      <c r="G14251" s="3">
        <v>672</v>
      </c>
      <c r="H14251" s="3">
        <v>93</v>
      </c>
      <c r="I14251" s="3">
        <v>134</v>
      </c>
      <c r="J14251" s="3">
        <v>40</v>
      </c>
      <c r="K14251" s="3">
        <v>441</v>
      </c>
      <c r="L14251" s="3">
        <v>214</v>
      </c>
      <c r="M14251" s="3">
        <v>347</v>
      </c>
    </row>
    <row r="14252" spans="1:13" x14ac:dyDescent="0.25">
      <c r="A14252" s="1" t="str">
        <f>HYPERLINK("http://www.rosaceae.org/Prunus/Prunus_persica/p.persica_gdr_reftransV1_0002696","p.persica_gdr_reftransV1_0002696")</f>
        <v>p.persica_gdr_reftransV1_0002696</v>
      </c>
      <c r="B14252" s="3">
        <v>856</v>
      </c>
      <c r="C14252" s="1" t="str">
        <f>HYPERLINK("http://www.uniprot.org/uniprot/DLD_ARATH","DLD_ARATH")</f>
        <v>DLD_ARATH</v>
      </c>
      <c r="D14252" t="s">
        <v>4992</v>
      </c>
      <c r="E14252" s="3" t="s">
        <v>3</v>
      </c>
      <c r="F14252" s="4">
        <v>4.89E-129</v>
      </c>
      <c r="G14252" s="3">
        <v>989</v>
      </c>
      <c r="H14252" s="3">
        <v>82</v>
      </c>
      <c r="I14252" s="3">
        <v>218</v>
      </c>
      <c r="J14252" s="3">
        <v>178</v>
      </c>
      <c r="K14252" s="3">
        <v>831</v>
      </c>
      <c r="L14252" s="3">
        <v>350</v>
      </c>
      <c r="M14252" s="3">
        <v>567</v>
      </c>
    </row>
    <row r="14253" spans="1:13" x14ac:dyDescent="0.25">
      <c r="A14253" s="1" t="str">
        <f>HYPERLINK("http://www.rosaceae.org/Prunus/Prunus_persica/p.persica_gdr_reftransV1_0002796","p.persica_gdr_reftransV1_0002796")</f>
        <v>p.persica_gdr_reftransV1_0002796</v>
      </c>
      <c r="B14253" s="3">
        <v>1510</v>
      </c>
      <c r="C14253" s="1" t="str">
        <f>HYPERLINK("http://www.uniprot.org/uniprot/MARH2_DANRE","MARH2_DANRE")</f>
        <v>MARH2_DANRE</v>
      </c>
      <c r="D14253" t="s">
        <v>703</v>
      </c>
      <c r="E14253" s="3" t="s">
        <v>704</v>
      </c>
      <c r="F14253" s="4">
        <v>9.8999999999999993E-9</v>
      </c>
      <c r="G14253" s="3">
        <v>143</v>
      </c>
      <c r="H14253" s="3">
        <v>33</v>
      </c>
      <c r="I14253" s="3">
        <v>96</v>
      </c>
      <c r="J14253" s="3">
        <v>419</v>
      </c>
      <c r="K14253" s="3">
        <v>697</v>
      </c>
      <c r="L14253" s="3">
        <v>35</v>
      </c>
      <c r="M14253" s="3">
        <v>128</v>
      </c>
    </row>
    <row r="14254" spans="1:13" x14ac:dyDescent="0.25">
      <c r="A14254" s="1" t="str">
        <f>HYPERLINK("http://www.rosaceae.org/Prunus/Prunus_persica/p.persica_gdr_reftransV1_0002896","p.persica_gdr_reftransV1_0002896")</f>
        <v>p.persica_gdr_reftransV1_0002896</v>
      </c>
      <c r="B14254" s="3">
        <v>3493</v>
      </c>
      <c r="C14254" s="1" t="str">
        <f>HYPERLINK("http://www.uniprot.org/uniprot/PDS5_YEAST","PDS5_YEAST")</f>
        <v>PDS5_YEAST</v>
      </c>
      <c r="D14254" t="s">
        <v>6369</v>
      </c>
      <c r="E14254" s="3" t="s">
        <v>34</v>
      </c>
      <c r="F14254" s="4">
        <v>5.3700000000000005E-16</v>
      </c>
      <c r="G14254" s="3">
        <v>215</v>
      </c>
      <c r="H14254" s="3">
        <v>32</v>
      </c>
      <c r="I14254" s="3">
        <v>155</v>
      </c>
      <c r="J14254" s="3">
        <v>384</v>
      </c>
      <c r="K14254" s="3">
        <v>845</v>
      </c>
      <c r="L14254" s="3">
        <v>24</v>
      </c>
      <c r="M14254" s="3">
        <v>175</v>
      </c>
    </row>
    <row r="14255" spans="1:13" x14ac:dyDescent="0.25">
      <c r="A14255" s="1" t="str">
        <f>HYPERLINK("http://www.rosaceae.org/Prunus/Prunus_persica/p.persica_gdr_reftransV1_0002996","p.persica_gdr_reftransV1_0002996")</f>
        <v>p.persica_gdr_reftransV1_0002996</v>
      </c>
      <c r="B14255" s="3">
        <v>1276</v>
      </c>
      <c r="C14255" s="1" t="str">
        <f>HYPERLINK("http://www.uniprot.org/uniprot/NOSIP_XENLA","NOSIP_XENLA")</f>
        <v>NOSIP_XENLA</v>
      </c>
      <c r="D14255" t="s">
        <v>9385</v>
      </c>
      <c r="E14255" s="3" t="s">
        <v>475</v>
      </c>
      <c r="F14255" s="4">
        <v>2.2199999999999999E-35</v>
      </c>
      <c r="G14255" s="3">
        <v>345</v>
      </c>
      <c r="H14255" s="3">
        <v>31</v>
      </c>
      <c r="I14255" s="3">
        <v>293</v>
      </c>
      <c r="J14255" s="3">
        <v>140</v>
      </c>
      <c r="K14255" s="3">
        <v>997</v>
      </c>
      <c r="L14255" s="3">
        <v>3</v>
      </c>
      <c r="M14255" s="3">
        <v>295</v>
      </c>
    </row>
    <row r="14256" spans="1:13" x14ac:dyDescent="0.25">
      <c r="A14256" s="1" t="str">
        <f>HYPERLINK("http://www.rosaceae.org/Prunus/Prunus_persica/p.persica_gdr_reftransV1_0003146","p.persica_gdr_reftransV1_0003146")</f>
        <v>p.persica_gdr_reftransV1_0003146</v>
      </c>
      <c r="B14256" s="3">
        <v>1626</v>
      </c>
      <c r="C14256" s="1" t="str">
        <f>HYPERLINK("http://www.uniprot.org/uniprot/RAP23_ARATH","RAP23_ARATH")</f>
        <v>RAP23_ARATH</v>
      </c>
      <c r="D14256" t="s">
        <v>8008</v>
      </c>
      <c r="E14256" s="3" t="s">
        <v>3</v>
      </c>
      <c r="F14256" s="4">
        <v>3.7099999999999999E-30</v>
      </c>
      <c r="G14256" s="3">
        <v>306</v>
      </c>
      <c r="H14256" s="3">
        <v>49</v>
      </c>
      <c r="I14256" s="3">
        <v>138</v>
      </c>
      <c r="J14256" s="3">
        <v>823</v>
      </c>
      <c r="K14256" s="3">
        <v>1227</v>
      </c>
      <c r="L14256" s="3">
        <v>1</v>
      </c>
      <c r="M14256" s="3">
        <v>136</v>
      </c>
    </row>
    <row r="14257" spans="1:13" x14ac:dyDescent="0.25">
      <c r="A14257" s="1" t="str">
        <f>HYPERLINK("http://www.rosaceae.org/Prunus/Prunus_persica/p.persica_gdr_reftransV1_0003246","p.persica_gdr_reftransV1_0003246")</f>
        <v>p.persica_gdr_reftransV1_0003246</v>
      </c>
      <c r="B14257" s="3">
        <v>1596</v>
      </c>
      <c r="C14257" s="1" t="str">
        <f>HYPERLINK("http://www.uniprot.org/uniprot/SPS3_ARATH","SPS3_ARATH")</f>
        <v>SPS3_ARATH</v>
      </c>
      <c r="D14257" t="s">
        <v>4854</v>
      </c>
      <c r="E14257" s="3" t="s">
        <v>3</v>
      </c>
      <c r="F14257" s="4">
        <v>1.2000000000000001E-165</v>
      </c>
      <c r="G14257" s="3">
        <v>1244</v>
      </c>
      <c r="H14257" s="3">
        <v>62</v>
      </c>
      <c r="I14257" s="3">
        <v>428</v>
      </c>
      <c r="J14257" s="3">
        <v>296</v>
      </c>
      <c r="K14257" s="3">
        <v>1471</v>
      </c>
      <c r="L14257" s="3">
        <v>1</v>
      </c>
      <c r="M14257" s="3">
        <v>422</v>
      </c>
    </row>
    <row r="14258" spans="1:13" x14ac:dyDescent="0.25">
      <c r="A14258" s="1" t="str">
        <f>HYPERLINK("http://www.rosaceae.org/Prunus/Prunus_persica/p.persica_gdr_reftransV1_0003296","p.persica_gdr_reftransV1_0003296")</f>
        <v>p.persica_gdr_reftransV1_0003296</v>
      </c>
      <c r="B14258" s="3">
        <v>554</v>
      </c>
      <c r="C14258" s="1" t="str">
        <f>HYPERLINK("http://www.uniprot.org/uniprot/HSP70_NEUCR","HSP70_NEUCR")</f>
        <v>HSP70_NEUCR</v>
      </c>
      <c r="D14258" t="s">
        <v>9386</v>
      </c>
      <c r="E14258" s="3" t="s">
        <v>435</v>
      </c>
      <c r="F14258" s="4">
        <v>1.2E-107</v>
      </c>
      <c r="G14258" s="3">
        <v>841</v>
      </c>
      <c r="H14258" s="3">
        <v>93</v>
      </c>
      <c r="I14258" s="3">
        <v>184</v>
      </c>
      <c r="J14258" s="3">
        <v>3</v>
      </c>
      <c r="K14258" s="3">
        <v>554</v>
      </c>
      <c r="L14258" s="3">
        <v>373</v>
      </c>
      <c r="M14258" s="3">
        <v>556</v>
      </c>
    </row>
    <row r="14259" spans="1:13" x14ac:dyDescent="0.25">
      <c r="A14259" s="1" t="str">
        <f>HYPERLINK("http://www.rosaceae.org/Prunus/Prunus_persica/p.persica_gdr_reftransV1_0003346","p.persica_gdr_reftransV1_0003346")</f>
        <v>p.persica_gdr_reftransV1_0003346</v>
      </c>
      <c r="B14259" s="3">
        <v>4098</v>
      </c>
      <c r="C14259" s="1" t="str">
        <f>HYPERLINK("http://www.uniprot.org/uniprot/TPS6_ARATH","TPS6_ARATH")</f>
        <v>TPS6_ARATH</v>
      </c>
      <c r="D14259" t="s">
        <v>9387</v>
      </c>
      <c r="E14259" s="3" t="s">
        <v>3</v>
      </c>
      <c r="F14259" s="4">
        <v>0</v>
      </c>
      <c r="G14259" s="3">
        <v>3793</v>
      </c>
      <c r="H14259" s="3">
        <v>82</v>
      </c>
      <c r="I14259" s="3">
        <v>868</v>
      </c>
      <c r="J14259" s="3">
        <v>726</v>
      </c>
      <c r="K14259" s="3">
        <v>3290</v>
      </c>
      <c r="L14259" s="3">
        <v>1</v>
      </c>
      <c r="M14259" s="3">
        <v>860</v>
      </c>
    </row>
    <row r="14260" spans="1:13" x14ac:dyDescent="0.25">
      <c r="A14260" s="1" t="str">
        <f>HYPERLINK("http://www.rosaceae.org/Prunus/Prunus_persica/p.persica_gdr_reftransV1_0003396","p.persica_gdr_reftransV1_0003396")</f>
        <v>p.persica_gdr_reftransV1_0003396</v>
      </c>
      <c r="B14260" s="3">
        <v>2031</v>
      </c>
      <c r="C14260" s="1" t="str">
        <f>HYPERLINK("http://www.uniprot.org/uniprot/SC61A_DICDI","SC61A_DICDI")</f>
        <v>SC61A_DICDI</v>
      </c>
      <c r="D14260" t="s">
        <v>1717</v>
      </c>
      <c r="E14260" s="3" t="s">
        <v>9</v>
      </c>
      <c r="F14260" s="4">
        <v>0</v>
      </c>
      <c r="G14260" s="3">
        <v>1871</v>
      </c>
      <c r="H14260" s="3">
        <v>73</v>
      </c>
      <c r="I14260" s="3">
        <v>472</v>
      </c>
      <c r="J14260" s="3">
        <v>161</v>
      </c>
      <c r="K14260" s="3">
        <v>1576</v>
      </c>
      <c r="L14260" s="3">
        <v>2</v>
      </c>
      <c r="M14260" s="3">
        <v>472</v>
      </c>
    </row>
    <row r="14261" spans="1:13" x14ac:dyDescent="0.25">
      <c r="A14261" s="1" t="str">
        <f>HYPERLINK("http://www.rosaceae.org/Prunus/Prunus_persica/p.persica_gdr_reftransV1_0003496","p.persica_gdr_reftransV1_0003496")</f>
        <v>p.persica_gdr_reftransV1_0003496</v>
      </c>
      <c r="B14261" s="3">
        <v>518</v>
      </c>
      <c r="C14261" s="1" t="str">
        <f>HYPERLINK("http://www.uniprot.org/uniprot/PPR82_ARATH","PPR82_ARATH")</f>
        <v>PPR82_ARATH</v>
      </c>
      <c r="D14261" t="s">
        <v>9388</v>
      </c>
      <c r="E14261" s="3" t="s">
        <v>3</v>
      </c>
      <c r="F14261" s="4">
        <v>1.34E-45</v>
      </c>
      <c r="G14261" s="3">
        <v>403</v>
      </c>
      <c r="H14261" s="3">
        <v>53</v>
      </c>
      <c r="I14261" s="3">
        <v>159</v>
      </c>
      <c r="J14261" s="3">
        <v>83</v>
      </c>
      <c r="K14261" s="3">
        <v>514</v>
      </c>
      <c r="L14261" s="3">
        <v>3</v>
      </c>
      <c r="M14261" s="3">
        <v>161</v>
      </c>
    </row>
    <row r="14262" spans="1:13" x14ac:dyDescent="0.25">
      <c r="A14262" s="1" t="str">
        <f>HYPERLINK("http://www.rosaceae.org/Prunus/Prunus_persica/p.persica_gdr_reftransV1_0003546","p.persica_gdr_reftransV1_0003546")</f>
        <v>p.persica_gdr_reftransV1_0003546</v>
      </c>
      <c r="B14262" s="3">
        <v>543</v>
      </c>
      <c r="C14262" s="1" t="str">
        <f>HYPERLINK("http://www.uniprot.org/uniprot/SUVR4_ARATH","SUVR4_ARATH")</f>
        <v>SUVR4_ARATH</v>
      </c>
      <c r="D14262" t="s">
        <v>8115</v>
      </c>
      <c r="E14262" s="3" t="s">
        <v>3</v>
      </c>
      <c r="F14262" s="4">
        <v>1.5299999999999999E-75</v>
      </c>
      <c r="G14262" s="3">
        <v>614</v>
      </c>
      <c r="H14262" s="3">
        <v>70</v>
      </c>
      <c r="I14262" s="3">
        <v>165</v>
      </c>
      <c r="J14262" s="3">
        <v>3</v>
      </c>
      <c r="K14262" s="3">
        <v>488</v>
      </c>
      <c r="L14262" s="3">
        <v>230</v>
      </c>
      <c r="M14262" s="3">
        <v>393</v>
      </c>
    </row>
    <row r="14263" spans="1:13" x14ac:dyDescent="0.25">
      <c r="A14263" s="1" t="str">
        <f>HYPERLINK("http://www.rosaceae.org/Prunus/Prunus_persica/p.persica_gdr_reftransV1_0003596","p.persica_gdr_reftransV1_0003596")</f>
        <v>p.persica_gdr_reftransV1_0003596</v>
      </c>
      <c r="B14263" s="3">
        <v>741</v>
      </c>
      <c r="C14263" s="1" t="str">
        <f>HYPERLINK("http://www.uniprot.org/uniprot/NIP61_ARATH","NIP61_ARATH")</f>
        <v>NIP61_ARATH</v>
      </c>
      <c r="D14263" t="s">
        <v>2319</v>
      </c>
      <c r="E14263" s="3" t="s">
        <v>3</v>
      </c>
      <c r="F14263" s="4">
        <v>1.2599999999999999E-99</v>
      </c>
      <c r="G14263" s="3">
        <v>766</v>
      </c>
      <c r="H14263" s="3">
        <v>74</v>
      </c>
      <c r="I14263" s="3">
        <v>211</v>
      </c>
      <c r="J14263" s="3">
        <v>41</v>
      </c>
      <c r="K14263" s="3">
        <v>658</v>
      </c>
      <c r="L14263" s="3">
        <v>2</v>
      </c>
      <c r="M14263" s="3">
        <v>210</v>
      </c>
    </row>
    <row r="14264" spans="1:13" x14ac:dyDescent="0.25">
      <c r="A14264" s="1" t="str">
        <f>HYPERLINK("http://www.rosaceae.org/Prunus/Prunus_persica/p.persica_gdr_reftransV1_0003646","p.persica_gdr_reftransV1_0003646")</f>
        <v>p.persica_gdr_reftransV1_0003646</v>
      </c>
      <c r="B14264" s="3">
        <v>1486</v>
      </c>
      <c r="C14264" s="1" t="str">
        <f>HYPERLINK("http://www.uniprot.org/uniprot/CSK21_ARATH","CSK21_ARATH")</f>
        <v>CSK21_ARATH</v>
      </c>
      <c r="D14264" t="s">
        <v>3769</v>
      </c>
      <c r="E14264" s="3" t="s">
        <v>3</v>
      </c>
      <c r="F14264" s="4">
        <v>0</v>
      </c>
      <c r="G14264" s="3">
        <v>1636</v>
      </c>
      <c r="H14264" s="3">
        <v>86</v>
      </c>
      <c r="I14264" s="3">
        <v>377</v>
      </c>
      <c r="J14264" s="3">
        <v>219</v>
      </c>
      <c r="K14264" s="3">
        <v>1337</v>
      </c>
      <c r="L14264" s="3">
        <v>32</v>
      </c>
      <c r="M14264" s="3">
        <v>408</v>
      </c>
    </row>
    <row r="14265" spans="1:13" x14ac:dyDescent="0.25">
      <c r="A14265" s="1" t="str">
        <f>HYPERLINK("http://www.rosaceae.org/Prunus/Prunus_persica/p.persica_gdr_reftransV1_0003696","p.persica_gdr_reftransV1_0003696")</f>
        <v>p.persica_gdr_reftransV1_0003696</v>
      </c>
      <c r="B14265" s="3">
        <v>2125</v>
      </c>
      <c r="C14265" s="1" t="str">
        <f>HYPERLINK("http://www.uniprot.org/uniprot/ICE1_ARATH","ICE1_ARATH")</f>
        <v>ICE1_ARATH</v>
      </c>
      <c r="D14265" t="s">
        <v>9389</v>
      </c>
      <c r="E14265" s="3" t="s">
        <v>3</v>
      </c>
      <c r="F14265" s="4">
        <v>8.7300000000000005E-136</v>
      </c>
      <c r="G14265" s="3">
        <v>1068</v>
      </c>
      <c r="H14265" s="3">
        <v>57</v>
      </c>
      <c r="I14265" s="3">
        <v>514</v>
      </c>
      <c r="J14265" s="3">
        <v>315</v>
      </c>
      <c r="K14265" s="3">
        <v>1805</v>
      </c>
      <c r="L14265" s="3">
        <v>27</v>
      </c>
      <c r="M14265" s="3">
        <v>494</v>
      </c>
    </row>
    <row r="14266" spans="1:13" x14ac:dyDescent="0.25">
      <c r="A14266" s="1" t="str">
        <f>HYPERLINK("http://www.rosaceae.org/Prunus/Prunus_persica/p.persica_gdr_reftransV1_0003846","p.persica_gdr_reftransV1_0003846")</f>
        <v>p.persica_gdr_reftransV1_0003846</v>
      </c>
      <c r="B14266" s="3">
        <v>2458</v>
      </c>
      <c r="C14266" s="1" t="str">
        <f>HYPERLINK("http://www.uniprot.org/uniprot/Y5126_ARATH","Y5126_ARATH")</f>
        <v>Y5126_ARATH</v>
      </c>
      <c r="D14266" t="s">
        <v>4301</v>
      </c>
      <c r="E14266" s="3" t="s">
        <v>3</v>
      </c>
      <c r="F14266" s="4">
        <v>0</v>
      </c>
      <c r="G14266" s="3">
        <v>957</v>
      </c>
      <c r="H14266" s="3">
        <v>77</v>
      </c>
      <c r="I14266" s="3">
        <v>227</v>
      </c>
      <c r="J14266" s="3">
        <v>1201</v>
      </c>
      <c r="K14266" s="3">
        <v>1878</v>
      </c>
      <c r="L14266" s="3">
        <v>1</v>
      </c>
      <c r="M14266" s="3">
        <v>227</v>
      </c>
    </row>
    <row r="14267" spans="1:13" x14ac:dyDescent="0.25">
      <c r="A14267" s="1" t="str">
        <f>HYPERLINK("http://www.rosaceae.org/Prunus/Prunus_persica/p.persica_gdr_reftransV1_0004096","p.persica_gdr_reftransV1_0004096")</f>
        <v>p.persica_gdr_reftransV1_0004096</v>
      </c>
      <c r="B14267" s="3">
        <v>2340</v>
      </c>
      <c r="C14267" s="1" t="str">
        <f>HYPERLINK("http://www.uniprot.org/uniprot/SCP42_ARATH","SCP42_ARATH")</f>
        <v>SCP42_ARATH</v>
      </c>
      <c r="D14267" t="s">
        <v>9390</v>
      </c>
      <c r="E14267" s="3" t="s">
        <v>3</v>
      </c>
      <c r="F14267" s="4">
        <v>0</v>
      </c>
      <c r="G14267" s="3">
        <v>1167</v>
      </c>
      <c r="H14267" s="3">
        <v>78</v>
      </c>
      <c r="I14267" s="3">
        <v>263</v>
      </c>
      <c r="J14267" s="3">
        <v>1281</v>
      </c>
      <c r="K14267" s="3">
        <v>2069</v>
      </c>
      <c r="L14267" s="3">
        <v>211</v>
      </c>
      <c r="M14267" s="3">
        <v>473</v>
      </c>
    </row>
    <row r="14268" spans="1:13" x14ac:dyDescent="0.25">
      <c r="A14268" s="1" t="str">
        <f>HYPERLINK("http://www.rosaceae.org/Prunus/Prunus_persica/p.persica_gdr_reftransV1_0004196","p.persica_gdr_reftransV1_0004196")</f>
        <v>p.persica_gdr_reftransV1_0004196</v>
      </c>
      <c r="B14268" s="3">
        <v>1398</v>
      </c>
      <c r="C14268" s="1" t="str">
        <f>HYPERLINK("http://www.uniprot.org/uniprot/AATC_DAUCA","AATC_DAUCA")</f>
        <v>AATC_DAUCA</v>
      </c>
      <c r="D14268" t="s">
        <v>3549</v>
      </c>
      <c r="E14268" s="3" t="s">
        <v>32</v>
      </c>
      <c r="F14268" s="4">
        <v>0</v>
      </c>
      <c r="G14268" s="3">
        <v>1426</v>
      </c>
      <c r="H14268" s="3">
        <v>76</v>
      </c>
      <c r="I14268" s="3">
        <v>346</v>
      </c>
      <c r="J14268" s="3">
        <v>255</v>
      </c>
      <c r="K14268" s="3">
        <v>1292</v>
      </c>
      <c r="L14268" s="3">
        <v>58</v>
      </c>
      <c r="M14268" s="3">
        <v>402</v>
      </c>
    </row>
    <row r="14269" spans="1:13" x14ac:dyDescent="0.25">
      <c r="A14269" s="1" t="str">
        <f>HYPERLINK("http://www.rosaceae.org/Prunus/Prunus_persica/p.persica_gdr_reftransV1_0004246","p.persica_gdr_reftransV1_0004246")</f>
        <v>p.persica_gdr_reftransV1_0004246</v>
      </c>
      <c r="B14269" s="3">
        <v>834</v>
      </c>
      <c r="C14269" s="1" t="str">
        <f>HYPERLINK("http://www.uniprot.org/uniprot/CRSP_ARATH","CRSP_ARATH")</f>
        <v>CRSP_ARATH</v>
      </c>
      <c r="D14269" t="s">
        <v>1526</v>
      </c>
      <c r="E14269" s="3" t="s">
        <v>3</v>
      </c>
      <c r="F14269" s="4">
        <v>1.3100000000000001E-104</v>
      </c>
      <c r="G14269" s="3">
        <v>839</v>
      </c>
      <c r="H14269" s="3">
        <v>60</v>
      </c>
      <c r="I14269" s="3">
        <v>260</v>
      </c>
      <c r="J14269" s="3">
        <v>11</v>
      </c>
      <c r="K14269" s="3">
        <v>790</v>
      </c>
      <c r="L14269" s="3">
        <v>504</v>
      </c>
      <c r="M14269" s="3">
        <v>762</v>
      </c>
    </row>
    <row r="14270" spans="1:13" x14ac:dyDescent="0.25">
      <c r="A14270" s="1" t="str">
        <f>HYPERLINK("http://www.rosaceae.org/Prunus/Prunus_persica/p.persica_gdr_reftransV1_0004346","p.persica_gdr_reftransV1_0004346")</f>
        <v>p.persica_gdr_reftransV1_0004346</v>
      </c>
      <c r="B14270" s="3">
        <v>2315</v>
      </c>
      <c r="C14270" s="1" t="str">
        <f>HYPERLINK("http://www.uniprot.org/uniprot/SIGB_ARATH","SIGB_ARATH")</f>
        <v>SIGB_ARATH</v>
      </c>
      <c r="D14270" t="s">
        <v>9391</v>
      </c>
      <c r="E14270" s="3" t="s">
        <v>3</v>
      </c>
      <c r="F14270" s="4">
        <v>1.1599999999999999E-180</v>
      </c>
      <c r="G14270" s="3">
        <v>1382</v>
      </c>
      <c r="H14270" s="3">
        <v>82</v>
      </c>
      <c r="I14270" s="3">
        <v>319</v>
      </c>
      <c r="J14270" s="3">
        <v>1142</v>
      </c>
      <c r="K14270" s="3">
        <v>2098</v>
      </c>
      <c r="L14270" s="3">
        <v>252</v>
      </c>
      <c r="M14270" s="3">
        <v>570</v>
      </c>
    </row>
    <row r="14271" spans="1:13" x14ac:dyDescent="0.25">
      <c r="A14271" s="1" t="str">
        <f>HYPERLINK("http://www.rosaceae.org/Prunus/Prunus_persica/p.persica_gdr_reftransV1_0004396","p.persica_gdr_reftransV1_0004396")</f>
        <v>p.persica_gdr_reftransV1_0004396</v>
      </c>
      <c r="B14271" s="3">
        <v>2567</v>
      </c>
      <c r="C14271" s="1" t="str">
        <f>HYPERLINK("http://www.uniprot.org/uniprot/OPT4_ARATH","OPT4_ARATH")</f>
        <v>OPT4_ARATH</v>
      </c>
      <c r="D14271" t="s">
        <v>7620</v>
      </c>
      <c r="E14271" s="3" t="s">
        <v>3</v>
      </c>
      <c r="F14271" s="4">
        <v>0</v>
      </c>
      <c r="G14271" s="3">
        <v>1783</v>
      </c>
      <c r="H14271" s="3">
        <v>80</v>
      </c>
      <c r="I14271" s="3">
        <v>447</v>
      </c>
      <c r="J14271" s="3">
        <v>1094</v>
      </c>
      <c r="K14271" s="3">
        <v>2434</v>
      </c>
      <c r="L14271" s="3">
        <v>8</v>
      </c>
      <c r="M14271" s="3">
        <v>454</v>
      </c>
    </row>
    <row r="14272" spans="1:13" x14ac:dyDescent="0.25">
      <c r="A14272" s="1" t="str">
        <f>HYPERLINK("http://www.rosaceae.org/Prunus/Prunus_persica/p.persica_gdr_reftransV1_0004546","p.persica_gdr_reftransV1_0004546")</f>
        <v>p.persica_gdr_reftransV1_0004546</v>
      </c>
      <c r="B14272" s="3">
        <v>674</v>
      </c>
      <c r="C14272" s="1" t="str">
        <f>HYPERLINK("http://www.uniprot.org/uniprot/MFDX2_ARATH","MFDX2_ARATH")</f>
        <v>MFDX2_ARATH</v>
      </c>
      <c r="D14272" t="s">
        <v>4485</v>
      </c>
      <c r="E14272" s="3" t="s">
        <v>3</v>
      </c>
      <c r="F14272" s="4">
        <v>1.84E-39</v>
      </c>
      <c r="G14272" s="3">
        <v>353</v>
      </c>
      <c r="H14272" s="3">
        <v>57</v>
      </c>
      <c r="I14272" s="3">
        <v>135</v>
      </c>
      <c r="J14272" s="3">
        <v>82</v>
      </c>
      <c r="K14272" s="3">
        <v>486</v>
      </c>
      <c r="L14272" s="3">
        <v>1</v>
      </c>
      <c r="M14272" s="3">
        <v>133</v>
      </c>
    </row>
    <row r="14273" spans="1:13" x14ac:dyDescent="0.25">
      <c r="A14273" s="1" t="str">
        <f>HYPERLINK("http://www.rosaceae.org/Prunus/Prunus_persica/p.persica_gdr_reftransV1_0004596","p.persica_gdr_reftransV1_0004596")</f>
        <v>p.persica_gdr_reftransV1_0004596</v>
      </c>
      <c r="B14273" s="3">
        <v>3207</v>
      </c>
      <c r="C14273" s="1" t="str">
        <f>HYPERLINK("http://www.uniprot.org/uniprot/COG1_HUMAN","COG1_HUMAN")</f>
        <v>COG1_HUMAN</v>
      </c>
      <c r="D14273" t="s">
        <v>5169</v>
      </c>
      <c r="E14273" s="3" t="s">
        <v>28</v>
      </c>
      <c r="F14273" s="4">
        <v>1.4499999999999999E-26</v>
      </c>
      <c r="G14273" s="3">
        <v>303</v>
      </c>
      <c r="H14273" s="3">
        <v>22</v>
      </c>
      <c r="I14273" s="3">
        <v>825</v>
      </c>
      <c r="J14273" s="3">
        <v>40</v>
      </c>
      <c r="K14273" s="3">
        <v>2274</v>
      </c>
      <c r="L14273" s="3">
        <v>16</v>
      </c>
      <c r="M14273" s="3">
        <v>780</v>
      </c>
    </row>
    <row r="14274" spans="1:13" x14ac:dyDescent="0.25">
      <c r="A14274" s="1" t="str">
        <f>HYPERLINK("http://www.rosaceae.org/Prunus/Prunus_persica/p.persica_gdr_reftransV1_0004696","p.persica_gdr_reftransV1_0004696")</f>
        <v>p.persica_gdr_reftransV1_0004696</v>
      </c>
      <c r="B14274" s="3">
        <v>810</v>
      </c>
      <c r="C14274" s="1" t="str">
        <f>HYPERLINK("http://www.uniprot.org/uniprot/JMJ25_ARATH","JMJ25_ARATH")</f>
        <v>JMJ25_ARATH</v>
      </c>
      <c r="D14274" t="s">
        <v>1512</v>
      </c>
      <c r="E14274" s="3" t="s">
        <v>3</v>
      </c>
      <c r="F14274" s="4">
        <v>3.6800000000000002E-10</v>
      </c>
      <c r="G14274" s="3">
        <v>154</v>
      </c>
      <c r="H14274" s="3">
        <v>45</v>
      </c>
      <c r="I14274" s="3">
        <v>80</v>
      </c>
      <c r="J14274" s="3">
        <v>2</v>
      </c>
      <c r="K14274" s="3">
        <v>241</v>
      </c>
      <c r="L14274" s="3">
        <v>154</v>
      </c>
      <c r="M14274" s="3">
        <v>232</v>
      </c>
    </row>
    <row r="14275" spans="1:13" x14ac:dyDescent="0.25">
      <c r="A14275" s="1" t="str">
        <f>HYPERLINK("http://www.rosaceae.org/Prunus/Prunus_persica/p.persica_gdr_reftransV1_0004746","p.persica_gdr_reftransV1_0004746")</f>
        <v>p.persica_gdr_reftransV1_0004746</v>
      </c>
      <c r="B14275" s="3">
        <v>2789</v>
      </c>
      <c r="C14275" s="1" t="str">
        <f>HYPERLINK("http://www.uniprot.org/uniprot/ATK1_ARATH","ATK1_ARATH")</f>
        <v>ATK1_ARATH</v>
      </c>
      <c r="D14275" t="s">
        <v>3276</v>
      </c>
      <c r="E14275" s="3" t="s">
        <v>3</v>
      </c>
      <c r="F14275" s="4">
        <v>0</v>
      </c>
      <c r="G14275" s="3">
        <v>2700</v>
      </c>
      <c r="H14275" s="3">
        <v>68</v>
      </c>
      <c r="I14275" s="3">
        <v>802</v>
      </c>
      <c r="J14275" s="3">
        <v>187</v>
      </c>
      <c r="K14275" s="3">
        <v>2589</v>
      </c>
      <c r="L14275" s="3">
        <v>1</v>
      </c>
      <c r="M14275" s="3">
        <v>793</v>
      </c>
    </row>
    <row r="14276" spans="1:13" x14ac:dyDescent="0.25">
      <c r="A14276" s="1" t="str">
        <f>HYPERLINK("http://www.rosaceae.org/Prunus/Prunus_persica/p.persica_gdr_reftransV1_0004946","p.persica_gdr_reftransV1_0004946")</f>
        <v>p.persica_gdr_reftransV1_0004946</v>
      </c>
      <c r="B14276" s="3">
        <v>719</v>
      </c>
      <c r="C14276" s="1" t="str">
        <f>HYPERLINK("http://www.uniprot.org/uniprot/PSAO_ARATH","PSAO_ARATH")</f>
        <v>PSAO_ARATH</v>
      </c>
      <c r="D14276" t="s">
        <v>2079</v>
      </c>
      <c r="E14276" s="3" t="s">
        <v>3</v>
      </c>
      <c r="F14276" s="4">
        <v>1.4000000000000001E-61</v>
      </c>
      <c r="G14276" s="3">
        <v>498</v>
      </c>
      <c r="H14276" s="3">
        <v>84</v>
      </c>
      <c r="I14276" s="3">
        <v>114</v>
      </c>
      <c r="J14276" s="3">
        <v>166</v>
      </c>
      <c r="K14276" s="3">
        <v>504</v>
      </c>
      <c r="L14276" s="3">
        <v>28</v>
      </c>
      <c r="M14276" s="3">
        <v>140</v>
      </c>
    </row>
    <row r="14277" spans="1:13" x14ac:dyDescent="0.25">
      <c r="A14277" s="1" t="str">
        <f>HYPERLINK("http://www.rosaceae.org/Prunus/Prunus_persica/p.persica_gdr_reftransV1_0005046","p.persica_gdr_reftransV1_0005046")</f>
        <v>p.persica_gdr_reftransV1_0005046</v>
      </c>
      <c r="B14277" s="3">
        <v>4037</v>
      </c>
      <c r="C14277" s="1" t="str">
        <f>HYPERLINK("http://www.uniprot.org/uniprot/UBP12_ARATH","UBP12_ARATH")</f>
        <v>UBP12_ARATH</v>
      </c>
      <c r="D14277" t="s">
        <v>5651</v>
      </c>
      <c r="E14277" s="3" t="s">
        <v>3</v>
      </c>
      <c r="F14277" s="4">
        <v>0</v>
      </c>
      <c r="G14277" s="3">
        <v>5001</v>
      </c>
      <c r="H14277" s="3">
        <v>87</v>
      </c>
      <c r="I14277" s="3">
        <v>1120</v>
      </c>
      <c r="J14277" s="3">
        <v>568</v>
      </c>
      <c r="K14277" s="3">
        <v>3918</v>
      </c>
      <c r="L14277" s="3">
        <v>1</v>
      </c>
      <c r="M14277" s="3">
        <v>1116</v>
      </c>
    </row>
    <row r="14278" spans="1:13" x14ac:dyDescent="0.25">
      <c r="A14278" s="1" t="str">
        <f>HYPERLINK("http://www.rosaceae.org/Prunus/Prunus_persica/p.persica_gdr_reftransV1_0005146","p.persica_gdr_reftransV1_0005146")</f>
        <v>p.persica_gdr_reftransV1_0005146</v>
      </c>
      <c r="B14278" s="3">
        <v>1896</v>
      </c>
      <c r="C14278" s="1" t="str">
        <f>HYPERLINK("http://www.uniprot.org/uniprot/TP1A_MALDO","TP1A_MALDO")</f>
        <v>TP1A_MALDO</v>
      </c>
      <c r="D14278" t="s">
        <v>9392</v>
      </c>
      <c r="E14278" s="3" t="s">
        <v>540</v>
      </c>
      <c r="F14278" s="4">
        <v>8.1999999999999994E-67</v>
      </c>
      <c r="G14278" s="3">
        <v>572</v>
      </c>
      <c r="H14278" s="3">
        <v>53</v>
      </c>
      <c r="I14278" s="3">
        <v>235</v>
      </c>
      <c r="J14278" s="3">
        <v>522</v>
      </c>
      <c r="K14278" s="3">
        <v>1208</v>
      </c>
      <c r="L14278" s="3">
        <v>12</v>
      </c>
      <c r="M14278" s="3">
        <v>246</v>
      </c>
    </row>
    <row r="14279" spans="1:13" x14ac:dyDescent="0.25">
      <c r="A14279" s="1" t="str">
        <f>HYPERLINK("http://www.rosaceae.org/Prunus/Prunus_persica/p.persica_gdr_reftransV1_0005196","p.persica_gdr_reftransV1_0005196")</f>
        <v>p.persica_gdr_reftransV1_0005196</v>
      </c>
      <c r="B14279" s="3">
        <v>1769</v>
      </c>
      <c r="C14279" s="1" t="str">
        <f>HYPERLINK("http://www.uniprot.org/uniprot/Y1745_ARATH","Y1745_ARATH")</f>
        <v>Y1745_ARATH</v>
      </c>
      <c r="D14279" t="s">
        <v>2555</v>
      </c>
      <c r="E14279" s="3" t="s">
        <v>3</v>
      </c>
      <c r="F14279" s="4">
        <v>1.18E-15</v>
      </c>
      <c r="G14279" s="3">
        <v>206</v>
      </c>
      <c r="H14279" s="3">
        <v>40</v>
      </c>
      <c r="I14279" s="3">
        <v>163</v>
      </c>
      <c r="J14279" s="3">
        <v>873</v>
      </c>
      <c r="K14279" s="3">
        <v>1358</v>
      </c>
      <c r="L14279" s="3">
        <v>484</v>
      </c>
      <c r="M14279" s="3">
        <v>594</v>
      </c>
    </row>
    <row r="14280" spans="1:13" x14ac:dyDescent="0.25">
      <c r="A14280" s="1" t="str">
        <f>HYPERLINK("http://www.rosaceae.org/Prunus/Prunus_persica/p.persica_gdr_reftransV1_0005246","p.persica_gdr_reftransV1_0005246")</f>
        <v>p.persica_gdr_reftransV1_0005246</v>
      </c>
      <c r="B14280" s="3">
        <v>343</v>
      </c>
      <c r="C14280" s="1" t="str">
        <f>HYPERLINK("http://www.uniprot.org/uniprot/LRKS7_ARATH","LRKS7_ARATH")</f>
        <v>LRKS7_ARATH</v>
      </c>
      <c r="D14280" t="s">
        <v>489</v>
      </c>
      <c r="E14280" s="3" t="s">
        <v>3</v>
      </c>
      <c r="F14280" s="4">
        <v>5.4100000000000002E-20</v>
      </c>
      <c r="G14280" s="3">
        <v>219</v>
      </c>
      <c r="H14280" s="3">
        <v>80</v>
      </c>
      <c r="I14280" s="3">
        <v>50</v>
      </c>
      <c r="J14280" s="3">
        <v>4</v>
      </c>
      <c r="K14280" s="3">
        <v>153</v>
      </c>
      <c r="L14280" s="3">
        <v>126</v>
      </c>
      <c r="M14280" s="3">
        <v>175</v>
      </c>
    </row>
    <row r="14281" spans="1:13" x14ac:dyDescent="0.25">
      <c r="A14281" s="1" t="str">
        <f>HYPERLINK("http://www.rosaceae.org/Prunus/Prunus_persica/p.persica_gdr_reftransV1_0005446","p.persica_gdr_reftransV1_0005446")</f>
        <v>p.persica_gdr_reftransV1_0005446</v>
      </c>
      <c r="B14281" s="3">
        <v>777</v>
      </c>
      <c r="C14281" s="1" t="str">
        <f>HYPERLINK("http://www.uniprot.org/uniprot/DRE1B_ARATH","DRE1B_ARATH")</f>
        <v>DRE1B_ARATH</v>
      </c>
      <c r="D14281" t="s">
        <v>8138</v>
      </c>
      <c r="E14281" s="3" t="s">
        <v>3</v>
      </c>
      <c r="F14281" s="4">
        <v>1.5299999999999999E-30</v>
      </c>
      <c r="G14281" s="3">
        <v>296</v>
      </c>
      <c r="H14281" s="3">
        <v>48</v>
      </c>
      <c r="I14281" s="3">
        <v>168</v>
      </c>
      <c r="J14281" s="3">
        <v>272</v>
      </c>
      <c r="K14281" s="3">
        <v>775</v>
      </c>
      <c r="L14281" s="3">
        <v>58</v>
      </c>
      <c r="M14281" s="3">
        <v>213</v>
      </c>
    </row>
    <row r="14282" spans="1:13" x14ac:dyDescent="0.25">
      <c r="A14282" s="1" t="str">
        <f>HYPERLINK("http://www.rosaceae.org/Prunus/Prunus_persica/p.persica_gdr_reftransV1_0005546","p.persica_gdr_reftransV1_0005546")</f>
        <v>p.persica_gdr_reftransV1_0005546</v>
      </c>
      <c r="B14282" s="3">
        <v>1627</v>
      </c>
      <c r="C14282" s="1" t="str">
        <f>HYPERLINK("http://www.uniprot.org/uniprot/GAT21_ARATH","GAT21_ARATH")</f>
        <v>GAT21_ARATH</v>
      </c>
      <c r="D14282" t="s">
        <v>9393</v>
      </c>
      <c r="E14282" s="3" t="s">
        <v>3</v>
      </c>
      <c r="F14282" s="4">
        <v>2.1800000000000001E-17</v>
      </c>
      <c r="G14282" s="3">
        <v>216</v>
      </c>
      <c r="H14282" s="3">
        <v>86</v>
      </c>
      <c r="I14282" s="3">
        <v>44</v>
      </c>
      <c r="J14282" s="3">
        <v>741</v>
      </c>
      <c r="K14282" s="3">
        <v>872</v>
      </c>
      <c r="L14282" s="3">
        <v>220</v>
      </c>
      <c r="M14282" s="3">
        <v>263</v>
      </c>
    </row>
    <row r="14283" spans="1:13" x14ac:dyDescent="0.25">
      <c r="A14283" s="1" t="str">
        <f>HYPERLINK("http://www.rosaceae.org/Prunus/Prunus_persica/p.persica_gdr_reftransV1_0005596","p.persica_gdr_reftransV1_0005596")</f>
        <v>p.persica_gdr_reftransV1_0005596</v>
      </c>
      <c r="B14283" s="3">
        <v>521</v>
      </c>
      <c r="C14283" s="1" t="str">
        <f>HYPERLINK("http://www.uniprot.org/uniprot/DNMT1_ARATH","DNMT1_ARATH")</f>
        <v>DNMT1_ARATH</v>
      </c>
      <c r="D14283" t="s">
        <v>342</v>
      </c>
      <c r="E14283" s="3" t="s">
        <v>3</v>
      </c>
      <c r="F14283" s="4">
        <v>5.7899999999999997E-38</v>
      </c>
      <c r="G14283" s="3">
        <v>363</v>
      </c>
      <c r="H14283" s="3">
        <v>58</v>
      </c>
      <c r="I14283" s="3">
        <v>149</v>
      </c>
      <c r="J14283" s="3">
        <v>74</v>
      </c>
      <c r="K14283" s="3">
        <v>520</v>
      </c>
      <c r="L14283" s="3">
        <v>8</v>
      </c>
      <c r="M14283" s="3">
        <v>156</v>
      </c>
    </row>
    <row r="14284" spans="1:13" x14ac:dyDescent="0.25">
      <c r="A14284" s="1" t="str">
        <f>HYPERLINK("http://www.rosaceae.org/Prunus/Prunus_persica/p.persica_gdr_reftransV1_0005696","p.persica_gdr_reftransV1_0005696")</f>
        <v>p.persica_gdr_reftransV1_0005696</v>
      </c>
      <c r="B14284" s="3">
        <v>1036</v>
      </c>
      <c r="C14284" s="1" t="str">
        <f>HYPERLINK("http://www.uniprot.org/uniprot/FRO4_ARATH","FRO4_ARATH")</f>
        <v>FRO4_ARATH</v>
      </c>
      <c r="D14284" t="s">
        <v>4685</v>
      </c>
      <c r="E14284" s="3" t="s">
        <v>3</v>
      </c>
      <c r="F14284" s="4">
        <v>1.5300000000000001E-73</v>
      </c>
      <c r="G14284" s="3">
        <v>629</v>
      </c>
      <c r="H14284" s="3">
        <v>55</v>
      </c>
      <c r="I14284" s="3">
        <v>218</v>
      </c>
      <c r="J14284" s="3">
        <v>124</v>
      </c>
      <c r="K14284" s="3">
        <v>771</v>
      </c>
      <c r="L14284" s="3">
        <v>4</v>
      </c>
      <c r="M14284" s="3">
        <v>220</v>
      </c>
    </row>
    <row r="14285" spans="1:13" x14ac:dyDescent="0.25">
      <c r="A14285" s="1" t="str">
        <f>HYPERLINK("http://www.rosaceae.org/Prunus/Prunus_persica/p.persica_gdr_reftransV1_0005846","p.persica_gdr_reftransV1_0005846")</f>
        <v>p.persica_gdr_reftransV1_0005846</v>
      </c>
      <c r="B14285" s="3">
        <v>768</v>
      </c>
      <c r="C14285" s="1" t="str">
        <f>HYPERLINK("http://www.uniprot.org/uniprot/DIOX2_PAPSO","DIOX2_PAPSO")</f>
        <v>DIOX2_PAPSO</v>
      </c>
      <c r="D14285" t="s">
        <v>2249</v>
      </c>
      <c r="E14285" s="3" t="s">
        <v>2250</v>
      </c>
      <c r="F14285" s="4">
        <v>5.3100000000000002E-46</v>
      </c>
      <c r="G14285" s="3">
        <v>412</v>
      </c>
      <c r="H14285" s="3">
        <v>43</v>
      </c>
      <c r="I14285" s="3">
        <v>194</v>
      </c>
      <c r="J14285" s="3">
        <v>12</v>
      </c>
      <c r="K14285" s="3">
        <v>587</v>
      </c>
      <c r="L14285" s="3">
        <v>177</v>
      </c>
      <c r="M14285" s="3">
        <v>364</v>
      </c>
    </row>
    <row r="14286" spans="1:13" x14ac:dyDescent="0.25">
      <c r="A14286" s="1" t="str">
        <f>HYPERLINK("http://www.rosaceae.org/Prunus/Prunus_persica/p.persica_gdr_reftransV1_0005896","p.persica_gdr_reftransV1_0005896")</f>
        <v>p.persica_gdr_reftransV1_0005896</v>
      </c>
      <c r="B14286" s="3">
        <v>1132</v>
      </c>
      <c r="C14286" s="1" t="str">
        <f>HYPERLINK("http://www.uniprot.org/uniprot/PDR2_NICPL","PDR2_NICPL")</f>
        <v>PDR2_NICPL</v>
      </c>
      <c r="D14286" t="s">
        <v>2532</v>
      </c>
      <c r="E14286" s="3" t="s">
        <v>1450</v>
      </c>
      <c r="F14286" s="4">
        <v>1.1200000000000001E-175</v>
      </c>
      <c r="G14286" s="3">
        <v>1376</v>
      </c>
      <c r="H14286" s="3">
        <v>69</v>
      </c>
      <c r="I14286" s="3">
        <v>376</v>
      </c>
      <c r="J14286" s="3">
        <v>22</v>
      </c>
      <c r="K14286" s="3">
        <v>1131</v>
      </c>
      <c r="L14286" s="3">
        <v>1</v>
      </c>
      <c r="M14286" s="3">
        <v>369</v>
      </c>
    </row>
    <row r="14287" spans="1:13" x14ac:dyDescent="0.25">
      <c r="A14287" s="1" t="str">
        <f>HYPERLINK("http://www.rosaceae.org/Prunus/Prunus_persica/p.persica_gdr_reftransV1_0005996","p.persica_gdr_reftransV1_0005996")</f>
        <v>p.persica_gdr_reftransV1_0005996</v>
      </c>
      <c r="B14287" s="3">
        <v>1714</v>
      </c>
      <c r="C14287" s="1" t="str">
        <f>HYPERLINK("http://www.uniprot.org/uniprot/DHB12_BOVIN","DHB12_BOVIN")</f>
        <v>DHB12_BOVIN</v>
      </c>
      <c r="D14287" t="s">
        <v>9394</v>
      </c>
      <c r="E14287" s="3" t="s">
        <v>184</v>
      </c>
      <c r="F14287" s="4">
        <v>1.1899999999999999E-7</v>
      </c>
      <c r="G14287" s="3">
        <v>137</v>
      </c>
      <c r="H14287" s="3">
        <v>30</v>
      </c>
      <c r="I14287" s="3">
        <v>146</v>
      </c>
      <c r="J14287" s="3">
        <v>403</v>
      </c>
      <c r="K14287" s="3">
        <v>831</v>
      </c>
      <c r="L14287" s="3">
        <v>43</v>
      </c>
      <c r="M14287" s="3">
        <v>185</v>
      </c>
    </row>
    <row r="14288" spans="1:13" x14ac:dyDescent="0.25">
      <c r="A14288" s="1" t="str">
        <f>HYPERLINK("http://www.rosaceae.org/Prunus/Prunus_persica/p.persica_gdr_reftransV1_0006046","p.persica_gdr_reftransV1_0006046")</f>
        <v>p.persica_gdr_reftransV1_0006046</v>
      </c>
      <c r="B14288" s="3">
        <v>303</v>
      </c>
      <c r="C14288" s="1" t="str">
        <f>HYPERLINK("http://www.uniprot.org/uniprot/RGA3_SOLBU","RGA3_SOLBU")</f>
        <v>RGA3_SOLBU</v>
      </c>
      <c r="D14288" t="s">
        <v>1884</v>
      </c>
      <c r="E14288" s="3" t="s">
        <v>560</v>
      </c>
      <c r="F14288" s="4">
        <v>1.02E-10</v>
      </c>
      <c r="G14288" s="3">
        <v>149</v>
      </c>
      <c r="H14288" s="3">
        <v>44</v>
      </c>
      <c r="I14288" s="3">
        <v>73</v>
      </c>
      <c r="J14288" s="3">
        <v>3</v>
      </c>
      <c r="K14288" s="3">
        <v>221</v>
      </c>
      <c r="L14288" s="3">
        <v>285</v>
      </c>
      <c r="M14288" s="3">
        <v>355</v>
      </c>
    </row>
    <row r="14289" spans="1:13" x14ac:dyDescent="0.25">
      <c r="A14289" s="1" t="str">
        <f>HYPERLINK("http://www.rosaceae.org/Prunus/Prunus_persica/p.persica_gdr_reftransV1_0006496","p.persica_gdr_reftransV1_0006496")</f>
        <v>p.persica_gdr_reftransV1_0006496</v>
      </c>
      <c r="B14289" s="3">
        <v>1048</v>
      </c>
      <c r="C14289" s="1" t="str">
        <f>HYPERLINK("http://www.uniprot.org/uniprot/EF115_ARATH","EF115_ARATH")</f>
        <v>EF115_ARATH</v>
      </c>
      <c r="D14289" t="s">
        <v>4770</v>
      </c>
      <c r="E14289" s="3" t="s">
        <v>3</v>
      </c>
      <c r="F14289" s="4">
        <v>1.63E-24</v>
      </c>
      <c r="G14289" s="3">
        <v>260</v>
      </c>
      <c r="H14289" s="3">
        <v>57</v>
      </c>
      <c r="I14289" s="3">
        <v>152</v>
      </c>
      <c r="J14289" s="3">
        <v>509</v>
      </c>
      <c r="K14289" s="3">
        <v>952</v>
      </c>
      <c r="L14289" s="3">
        <v>7</v>
      </c>
      <c r="M14289" s="3">
        <v>155</v>
      </c>
    </row>
    <row r="14290" spans="1:13" x14ac:dyDescent="0.25">
      <c r="A14290" s="1" t="str">
        <f>HYPERLINK("http://www.rosaceae.org/Prunus/Prunus_persica/p.persica_gdr_reftransV1_0006596","p.persica_gdr_reftransV1_0006596")</f>
        <v>p.persica_gdr_reftransV1_0006596</v>
      </c>
      <c r="B14290" s="3">
        <v>1117</v>
      </c>
      <c r="C14290" s="1" t="str">
        <f>HYPERLINK("http://www.uniprot.org/uniprot/PER55_ARATH","PER55_ARATH")</f>
        <v>PER55_ARATH</v>
      </c>
      <c r="D14290" t="s">
        <v>9395</v>
      </c>
      <c r="E14290" s="3" t="s">
        <v>3</v>
      </c>
      <c r="F14290" s="4">
        <v>5.9000000000000001E-137</v>
      </c>
      <c r="G14290" s="3">
        <v>1029</v>
      </c>
      <c r="H14290" s="3">
        <v>67</v>
      </c>
      <c r="I14290" s="3">
        <v>304</v>
      </c>
      <c r="J14290" s="3">
        <v>103</v>
      </c>
      <c r="K14290" s="3">
        <v>1011</v>
      </c>
      <c r="L14290" s="3">
        <v>27</v>
      </c>
      <c r="M14290" s="3">
        <v>330</v>
      </c>
    </row>
    <row r="14291" spans="1:13" x14ac:dyDescent="0.25">
      <c r="A14291" s="1" t="str">
        <f>HYPERLINK("http://www.rosaceae.org/Prunus/Prunus_persica/p.persica_gdr_reftransV1_0006646","p.persica_gdr_reftransV1_0006646")</f>
        <v>p.persica_gdr_reftransV1_0006646</v>
      </c>
      <c r="B14291" s="3">
        <v>1638</v>
      </c>
      <c r="C14291" s="1" t="str">
        <f>HYPERLINK("http://www.uniprot.org/uniprot/UMEC_ARMRU","UMEC_ARMRU")</f>
        <v>UMEC_ARMRU</v>
      </c>
      <c r="D14291" t="s">
        <v>1358</v>
      </c>
      <c r="E14291" s="3" t="s">
        <v>1359</v>
      </c>
      <c r="F14291" s="4">
        <v>5.57E-24</v>
      </c>
      <c r="G14291" s="3">
        <v>252</v>
      </c>
      <c r="H14291" s="3">
        <v>49</v>
      </c>
      <c r="I14291" s="3">
        <v>99</v>
      </c>
      <c r="J14291" s="3">
        <v>880</v>
      </c>
      <c r="K14291" s="3">
        <v>1176</v>
      </c>
      <c r="L14291" s="3">
        <v>3</v>
      </c>
      <c r="M14291" s="3">
        <v>101</v>
      </c>
    </row>
    <row r="14292" spans="1:13" x14ac:dyDescent="0.25">
      <c r="A14292" s="1" t="str">
        <f>HYPERLINK("http://www.rosaceae.org/Prunus/Prunus_persica/p.persica_gdr_reftransV1_0007096","p.persica_gdr_reftransV1_0007096")</f>
        <v>p.persica_gdr_reftransV1_0007096</v>
      </c>
      <c r="B14292" s="3">
        <v>1034</v>
      </c>
      <c r="C14292" s="1" t="str">
        <f>HYPERLINK("http://www.uniprot.org/uniprot/PDCD4_CHICK","PDCD4_CHICK")</f>
        <v>PDCD4_CHICK</v>
      </c>
      <c r="D14292" t="s">
        <v>9396</v>
      </c>
      <c r="E14292" s="3" t="s">
        <v>1278</v>
      </c>
      <c r="F14292" s="4">
        <v>2.6999999999999998E-32</v>
      </c>
      <c r="G14292" s="3">
        <v>325</v>
      </c>
      <c r="H14292" s="3">
        <v>33</v>
      </c>
      <c r="I14292" s="3">
        <v>280</v>
      </c>
      <c r="J14292" s="3">
        <v>17</v>
      </c>
      <c r="K14292" s="3">
        <v>826</v>
      </c>
      <c r="L14292" s="3">
        <v>169</v>
      </c>
      <c r="M14292" s="3">
        <v>437</v>
      </c>
    </row>
    <row r="14293" spans="1:13" x14ac:dyDescent="0.25">
      <c r="A14293" s="1" t="str">
        <f>HYPERLINK("http://www.rosaceae.org/Prunus/Prunus_persica/p.persica_gdr_reftransV1_0007196","p.persica_gdr_reftransV1_0007196")</f>
        <v>p.persica_gdr_reftransV1_0007196</v>
      </c>
      <c r="B14293" s="3">
        <v>1862</v>
      </c>
      <c r="C14293" s="1" t="str">
        <f>HYPERLINK("http://www.uniprot.org/uniprot/FH14_ARATH","FH14_ARATH")</f>
        <v>FH14_ARATH</v>
      </c>
      <c r="D14293" t="s">
        <v>9397</v>
      </c>
      <c r="E14293" s="3" t="s">
        <v>3</v>
      </c>
      <c r="F14293" s="4">
        <v>0</v>
      </c>
      <c r="G14293" s="3">
        <v>1750</v>
      </c>
      <c r="H14293" s="3">
        <v>77</v>
      </c>
      <c r="I14293" s="3">
        <v>439</v>
      </c>
      <c r="J14293" s="3">
        <v>305</v>
      </c>
      <c r="K14293" s="3">
        <v>1618</v>
      </c>
      <c r="L14293" s="3">
        <v>1</v>
      </c>
      <c r="M14293" s="3">
        <v>439</v>
      </c>
    </row>
    <row r="14294" spans="1:13" x14ac:dyDescent="0.25">
      <c r="A14294" s="1" t="str">
        <f>HYPERLINK("http://www.rosaceae.org/Prunus/Prunus_persica/p.persica_gdr_reftransV1_0007296","p.persica_gdr_reftransV1_0007296")</f>
        <v>p.persica_gdr_reftransV1_0007296</v>
      </c>
      <c r="B14294" s="3">
        <v>2872</v>
      </c>
      <c r="C14294" s="1" t="str">
        <f>HYPERLINK("http://www.uniprot.org/uniprot/PP264_ARATH","PP264_ARATH")</f>
        <v>PP264_ARATH</v>
      </c>
      <c r="D14294" t="s">
        <v>9398</v>
      </c>
      <c r="E14294" s="3" t="s">
        <v>3</v>
      </c>
      <c r="F14294" s="4">
        <v>0</v>
      </c>
      <c r="G14294" s="3">
        <v>2040</v>
      </c>
      <c r="H14294" s="3">
        <v>56</v>
      </c>
      <c r="I14294" s="3">
        <v>723</v>
      </c>
      <c r="J14294" s="3">
        <v>224</v>
      </c>
      <c r="K14294" s="3">
        <v>2386</v>
      </c>
      <c r="L14294" s="3">
        <v>1</v>
      </c>
      <c r="M14294" s="3">
        <v>662</v>
      </c>
    </row>
    <row r="14295" spans="1:13" x14ac:dyDescent="0.25">
      <c r="A14295" s="1" t="str">
        <f>HYPERLINK("http://www.rosaceae.org/Prunus/Prunus_persica/p.persica_gdr_reftransV1_0007346","p.persica_gdr_reftransV1_0007346")</f>
        <v>p.persica_gdr_reftransV1_0007346</v>
      </c>
      <c r="B14295" s="3">
        <v>1945</v>
      </c>
      <c r="C14295" s="1" t="str">
        <f>HYPERLINK("http://www.uniprot.org/uniprot/PHSB_ARATH","PHSB_ARATH")</f>
        <v>PHSB_ARATH</v>
      </c>
      <c r="D14295" t="s">
        <v>6821</v>
      </c>
      <c r="E14295" s="3" t="s">
        <v>3</v>
      </c>
      <c r="F14295" s="4">
        <v>0</v>
      </c>
      <c r="G14295" s="3">
        <v>1743</v>
      </c>
      <c r="H14295" s="3">
        <v>72</v>
      </c>
      <c r="I14295" s="3">
        <v>494</v>
      </c>
      <c r="J14295" s="3">
        <v>175</v>
      </c>
      <c r="K14295" s="3">
        <v>1632</v>
      </c>
      <c r="L14295" s="3">
        <v>1</v>
      </c>
      <c r="M14295" s="3">
        <v>494</v>
      </c>
    </row>
    <row r="14296" spans="1:13" x14ac:dyDescent="0.25">
      <c r="A14296" s="1" t="str">
        <f>HYPERLINK("http://www.rosaceae.org/Prunus/Prunus_persica/p.persica_gdr_reftransV1_0007496","p.persica_gdr_reftransV1_0007496")</f>
        <v>p.persica_gdr_reftransV1_0007496</v>
      </c>
      <c r="B14296" s="3">
        <v>1019</v>
      </c>
      <c r="C14296" s="1" t="str">
        <f>HYPERLINK("http://www.uniprot.org/uniprot/4ON1_ARATH","4ON1_ARATH")</f>
        <v>4ON1_ARATH</v>
      </c>
      <c r="D14296" t="s">
        <v>9399</v>
      </c>
      <c r="E14296" s="3" t="s">
        <v>3</v>
      </c>
      <c r="F14296" s="4">
        <v>6.5900000000000007E-89</v>
      </c>
      <c r="G14296" s="3">
        <v>699</v>
      </c>
      <c r="H14296" s="3">
        <v>58</v>
      </c>
      <c r="I14296" s="3">
        <v>247</v>
      </c>
      <c r="J14296" s="3">
        <v>48</v>
      </c>
      <c r="K14296" s="3">
        <v>788</v>
      </c>
      <c r="L14296" s="3">
        <v>1</v>
      </c>
      <c r="M14296" s="3">
        <v>247</v>
      </c>
    </row>
    <row r="14297" spans="1:13" x14ac:dyDescent="0.25">
      <c r="A14297" s="1" t="str">
        <f>HYPERLINK("http://www.rosaceae.org/Prunus/Prunus_persica/p.persica_gdr_reftransV1_0007596","p.persica_gdr_reftransV1_0007596")</f>
        <v>p.persica_gdr_reftransV1_0007596</v>
      </c>
      <c r="B14297" s="3">
        <v>3345</v>
      </c>
      <c r="C14297" s="1" t="str">
        <f>HYPERLINK("http://www.uniprot.org/uniprot/MAPT_ARATH","MAPT_ARATH")</f>
        <v>MAPT_ARATH</v>
      </c>
      <c r="D14297" t="s">
        <v>2573</v>
      </c>
      <c r="E14297" s="3" t="s">
        <v>3</v>
      </c>
      <c r="F14297" s="4">
        <v>0</v>
      </c>
      <c r="G14297" s="3">
        <v>2261</v>
      </c>
      <c r="H14297" s="3">
        <v>58</v>
      </c>
      <c r="I14297" s="3">
        <v>903</v>
      </c>
      <c r="J14297" s="3">
        <v>468</v>
      </c>
      <c r="K14297" s="3">
        <v>3149</v>
      </c>
      <c r="L14297" s="3">
        <v>38</v>
      </c>
      <c r="M14297" s="3">
        <v>864</v>
      </c>
    </row>
    <row r="14298" spans="1:13" x14ac:dyDescent="0.25">
      <c r="A14298" s="1" t="str">
        <f>HYPERLINK("http://www.rosaceae.org/Prunus/Prunus_persica/p.persica_gdr_reftransV1_0007646","p.persica_gdr_reftransV1_0007646")</f>
        <v>p.persica_gdr_reftransV1_0007646</v>
      </c>
      <c r="B14298" s="3">
        <v>663</v>
      </c>
      <c r="C14298" s="1" t="str">
        <f>HYPERLINK("http://www.uniprot.org/uniprot/RL151_ARATH","RL151_ARATH")</f>
        <v>RL151_ARATH</v>
      </c>
      <c r="D14298" t="s">
        <v>9400</v>
      </c>
      <c r="E14298" s="3" t="s">
        <v>3</v>
      </c>
      <c r="F14298" s="4">
        <v>3.74E-103</v>
      </c>
      <c r="G14298" s="3">
        <v>777</v>
      </c>
      <c r="H14298" s="3">
        <v>84</v>
      </c>
      <c r="I14298" s="3">
        <v>204</v>
      </c>
      <c r="J14298" s="3">
        <v>40</v>
      </c>
      <c r="K14298" s="3">
        <v>651</v>
      </c>
      <c r="L14298" s="3">
        <v>1</v>
      </c>
      <c r="M14298" s="3">
        <v>204</v>
      </c>
    </row>
    <row r="14299" spans="1:13" x14ac:dyDescent="0.25">
      <c r="A14299" s="1" t="str">
        <f>HYPERLINK("http://www.rosaceae.org/Prunus/Prunus_persica/p.persica_gdr_reftransV1_0008046","p.persica_gdr_reftransV1_0008046")</f>
        <v>p.persica_gdr_reftransV1_0008046</v>
      </c>
      <c r="B14299" s="3">
        <v>2020</v>
      </c>
      <c r="C14299" s="1" t="str">
        <f>HYPERLINK("http://www.uniprot.org/uniprot/GDIR_ARATH","GDIR_ARATH")</f>
        <v>GDIR_ARATH</v>
      </c>
      <c r="D14299" t="s">
        <v>838</v>
      </c>
      <c r="E14299" s="3" t="s">
        <v>3</v>
      </c>
      <c r="F14299" s="4">
        <v>8.3000000000000006E-101</v>
      </c>
      <c r="G14299" s="3">
        <v>806</v>
      </c>
      <c r="H14299" s="3">
        <v>70</v>
      </c>
      <c r="I14299" s="3">
        <v>217</v>
      </c>
      <c r="J14299" s="3">
        <v>1015</v>
      </c>
      <c r="K14299" s="3">
        <v>1665</v>
      </c>
      <c r="L14299" s="3">
        <v>27</v>
      </c>
      <c r="M14299" s="3">
        <v>237</v>
      </c>
    </row>
    <row r="14300" spans="1:13" x14ac:dyDescent="0.25">
      <c r="A14300" s="1" t="str">
        <f>HYPERLINK("http://www.rosaceae.org/Prunus/Prunus_persica/p.persica_gdr_reftransV1_0008096","p.persica_gdr_reftransV1_0008096")</f>
        <v>p.persica_gdr_reftransV1_0008096</v>
      </c>
      <c r="B14300" s="3">
        <v>1554</v>
      </c>
      <c r="C14300" s="1" t="str">
        <f>HYPERLINK("http://www.uniprot.org/uniprot/ZN830_XENTR","ZN830_XENTR")</f>
        <v>ZN830_XENTR</v>
      </c>
      <c r="D14300" t="s">
        <v>9401</v>
      </c>
      <c r="E14300" s="3" t="s">
        <v>173</v>
      </c>
      <c r="F14300" s="4">
        <v>6.7099999999999999E-8</v>
      </c>
      <c r="G14300" s="3">
        <v>139</v>
      </c>
      <c r="H14300" s="3">
        <v>37</v>
      </c>
      <c r="I14300" s="3">
        <v>71</v>
      </c>
      <c r="J14300" s="3">
        <v>241</v>
      </c>
      <c r="K14300" s="3">
        <v>453</v>
      </c>
      <c r="L14300" s="3">
        <v>18</v>
      </c>
      <c r="M14300" s="3">
        <v>88</v>
      </c>
    </row>
    <row r="14301" spans="1:13" x14ac:dyDescent="0.25">
      <c r="A14301" s="1" t="str">
        <f>HYPERLINK("http://www.rosaceae.org/Prunus/Prunus_persica/p.persica_gdr_reftransV1_0008146","p.persica_gdr_reftransV1_0008146")</f>
        <v>p.persica_gdr_reftransV1_0008146</v>
      </c>
      <c r="B14301" s="3">
        <v>1816</v>
      </c>
      <c r="C14301" s="1" t="str">
        <f>HYPERLINK("http://www.uniprot.org/uniprot/OSB2_ARATH","OSB2_ARATH")</f>
        <v>OSB2_ARATH</v>
      </c>
      <c r="D14301" t="s">
        <v>9402</v>
      </c>
      <c r="E14301" s="3" t="s">
        <v>3</v>
      </c>
      <c r="F14301" s="4">
        <v>7.2600000000000002E-53</v>
      </c>
      <c r="G14301" s="3">
        <v>484</v>
      </c>
      <c r="H14301" s="3">
        <v>67</v>
      </c>
      <c r="I14301" s="3">
        <v>130</v>
      </c>
      <c r="J14301" s="3">
        <v>1091</v>
      </c>
      <c r="K14301" s="3">
        <v>1480</v>
      </c>
      <c r="L14301" s="3">
        <v>237</v>
      </c>
      <c r="M14301" s="3">
        <v>366</v>
      </c>
    </row>
    <row r="14302" spans="1:13" x14ac:dyDescent="0.25">
      <c r="A14302" s="1" t="str">
        <f>HYPERLINK("http://www.rosaceae.org/Prunus/Prunus_persica/p.persica_gdr_reftransV1_0008296","p.persica_gdr_reftransV1_0008296")</f>
        <v>p.persica_gdr_reftransV1_0008296</v>
      </c>
      <c r="B14302" s="3">
        <v>1584</v>
      </c>
      <c r="C14302" s="1" t="str">
        <f>HYPERLINK("http://www.uniprot.org/uniprot/SWET2_ARATH","SWET2_ARATH")</f>
        <v>SWET2_ARATH</v>
      </c>
      <c r="D14302" t="s">
        <v>9403</v>
      </c>
      <c r="E14302" s="3" t="s">
        <v>3</v>
      </c>
      <c r="F14302" s="4">
        <v>1.12E-75</v>
      </c>
      <c r="G14302" s="3">
        <v>625</v>
      </c>
      <c r="H14302" s="3">
        <v>66</v>
      </c>
      <c r="I14302" s="3">
        <v>234</v>
      </c>
      <c r="J14302" s="3">
        <v>602</v>
      </c>
      <c r="K14302" s="3">
        <v>1300</v>
      </c>
      <c r="L14302" s="3">
        <v>5</v>
      </c>
      <c r="M14302" s="3">
        <v>235</v>
      </c>
    </row>
    <row r="14303" spans="1:13" x14ac:dyDescent="0.25">
      <c r="A14303" s="1" t="str">
        <f>HYPERLINK("http://www.rosaceae.org/Prunus/Prunus_persica/p.persica_gdr_reftransV1_0008346","p.persica_gdr_reftransV1_0008346")</f>
        <v>p.persica_gdr_reftransV1_0008346</v>
      </c>
      <c r="B14303" s="3">
        <v>467</v>
      </c>
      <c r="C14303" s="1" t="str">
        <f>HYPERLINK("http://www.uniprot.org/uniprot/SAMC1_ARATH","SAMC1_ARATH")</f>
        <v>SAMC1_ARATH</v>
      </c>
      <c r="D14303" t="s">
        <v>4251</v>
      </c>
      <c r="E14303" s="3" t="s">
        <v>3</v>
      </c>
      <c r="F14303" s="4">
        <v>4.0099999999999999E-30</v>
      </c>
      <c r="G14303" s="3">
        <v>291</v>
      </c>
      <c r="H14303" s="3">
        <v>66</v>
      </c>
      <c r="I14303" s="3">
        <v>112</v>
      </c>
      <c r="J14303" s="3">
        <v>1</v>
      </c>
      <c r="K14303" s="3">
        <v>333</v>
      </c>
      <c r="L14303" s="3">
        <v>11</v>
      </c>
      <c r="M14303" s="3">
        <v>122</v>
      </c>
    </row>
    <row r="14304" spans="1:13" x14ac:dyDescent="0.25">
      <c r="A14304" s="1" t="str">
        <f>HYPERLINK("http://www.rosaceae.org/Prunus/Prunus_persica/p.persica_gdr_reftransV1_0008846","p.persica_gdr_reftransV1_0008846")</f>
        <v>p.persica_gdr_reftransV1_0008846</v>
      </c>
      <c r="B14304" s="3">
        <v>2133</v>
      </c>
      <c r="C14304" s="1" t="str">
        <f>HYPERLINK("http://www.uniprot.org/uniprot/P2C33_ARATH","P2C33_ARATH")</f>
        <v>P2C33_ARATH</v>
      </c>
      <c r="D14304" t="s">
        <v>58</v>
      </c>
      <c r="E14304" s="3" t="s">
        <v>3</v>
      </c>
      <c r="F14304" s="4">
        <v>1.4999999999999999E-143</v>
      </c>
      <c r="G14304" s="3">
        <v>1121</v>
      </c>
      <c r="H14304" s="3">
        <v>59</v>
      </c>
      <c r="I14304" s="3">
        <v>394</v>
      </c>
      <c r="J14304" s="3">
        <v>522</v>
      </c>
      <c r="K14304" s="3">
        <v>1604</v>
      </c>
      <c r="L14304" s="3">
        <v>1</v>
      </c>
      <c r="M14304" s="3">
        <v>390</v>
      </c>
    </row>
    <row r="14305" spans="1:13" x14ac:dyDescent="0.25">
      <c r="A14305" s="1" t="str">
        <f>HYPERLINK("http://www.rosaceae.org/Prunus/Prunus_persica/p.persica_gdr_reftransV1_0009096","p.persica_gdr_reftransV1_0009096")</f>
        <v>p.persica_gdr_reftransV1_0009096</v>
      </c>
      <c r="B14305" s="3">
        <v>947</v>
      </c>
      <c r="C14305" s="1" t="str">
        <f>HYPERLINK("http://www.uniprot.org/uniprot/AGO16_ORYSJ","AGO16_ORYSJ")</f>
        <v>AGO16_ORYSJ</v>
      </c>
      <c r="D14305" t="s">
        <v>1124</v>
      </c>
      <c r="E14305" s="3" t="s">
        <v>38</v>
      </c>
      <c r="F14305" s="4">
        <v>1.5200000000000001E-156</v>
      </c>
      <c r="G14305" s="3">
        <v>1201</v>
      </c>
      <c r="H14305" s="3">
        <v>71</v>
      </c>
      <c r="I14305" s="3">
        <v>315</v>
      </c>
      <c r="J14305" s="3">
        <v>1</v>
      </c>
      <c r="K14305" s="3">
        <v>945</v>
      </c>
      <c r="L14305" s="3">
        <v>173</v>
      </c>
      <c r="M14305" s="3">
        <v>483</v>
      </c>
    </row>
    <row r="14306" spans="1:13" x14ac:dyDescent="0.25">
      <c r="A14306" s="1" t="str">
        <f>HYPERLINK("http://www.rosaceae.org/Prunus/Prunus_persica/p.persica_gdr_reftransV1_0009446","p.persica_gdr_reftransV1_0009446")</f>
        <v>p.persica_gdr_reftransV1_0009446</v>
      </c>
      <c r="B14306" s="3">
        <v>2293</v>
      </c>
      <c r="C14306" s="1" t="str">
        <f>HYPERLINK("http://www.uniprot.org/uniprot/PUM24_ARATH","PUM24_ARATH")</f>
        <v>PUM24_ARATH</v>
      </c>
      <c r="D14306" t="s">
        <v>9404</v>
      </c>
      <c r="E14306" s="3" t="s">
        <v>3</v>
      </c>
      <c r="F14306" s="4">
        <v>0</v>
      </c>
      <c r="G14306" s="3">
        <v>1879</v>
      </c>
      <c r="H14306" s="3">
        <v>62</v>
      </c>
      <c r="I14306" s="3">
        <v>616</v>
      </c>
      <c r="J14306" s="3">
        <v>268</v>
      </c>
      <c r="K14306" s="3">
        <v>2112</v>
      </c>
      <c r="L14306" s="3">
        <v>26</v>
      </c>
      <c r="M14306" s="3">
        <v>638</v>
      </c>
    </row>
    <row r="14307" spans="1:13" x14ac:dyDescent="0.25">
      <c r="A14307" s="1" t="str">
        <f>HYPERLINK("http://www.rosaceae.org/Prunus/Prunus_persica/p.persica_gdr_reftransV1_0009646","p.persica_gdr_reftransV1_0009646")</f>
        <v>p.persica_gdr_reftransV1_0009646</v>
      </c>
      <c r="B14307" s="3">
        <v>1162</v>
      </c>
      <c r="C14307" s="1" t="str">
        <f>HYPERLINK("http://www.uniprot.org/uniprot/EDL3_ARATH","EDL3_ARATH")</f>
        <v>EDL3_ARATH</v>
      </c>
      <c r="D14307" t="s">
        <v>9405</v>
      </c>
      <c r="E14307" s="3" t="s">
        <v>3</v>
      </c>
      <c r="F14307" s="4">
        <v>7.1999999999999996E-103</v>
      </c>
      <c r="G14307" s="3">
        <v>799</v>
      </c>
      <c r="H14307" s="3">
        <v>61</v>
      </c>
      <c r="I14307" s="3">
        <v>245</v>
      </c>
      <c r="J14307" s="3">
        <v>393</v>
      </c>
      <c r="K14307" s="3">
        <v>1127</v>
      </c>
      <c r="L14307" s="3">
        <v>9</v>
      </c>
      <c r="M14307" s="3">
        <v>253</v>
      </c>
    </row>
    <row r="14308" spans="1:13" x14ac:dyDescent="0.25">
      <c r="A14308" s="1" t="str">
        <f>HYPERLINK("http://www.rosaceae.org/Prunus/Prunus_persica/p.persica_gdr_reftransV1_0009746","p.persica_gdr_reftransV1_0009746")</f>
        <v>p.persica_gdr_reftransV1_0009746</v>
      </c>
      <c r="B14308" s="3">
        <v>508</v>
      </c>
      <c r="C14308" s="1" t="str">
        <f>HYPERLINK("http://www.uniprot.org/uniprot/MSH7_ARATH","MSH7_ARATH")</f>
        <v>MSH7_ARATH</v>
      </c>
      <c r="D14308" t="s">
        <v>3659</v>
      </c>
      <c r="E14308" s="3" t="s">
        <v>3</v>
      </c>
      <c r="F14308" s="4">
        <v>9.8000000000000004E-37</v>
      </c>
      <c r="G14308" s="3">
        <v>352</v>
      </c>
      <c r="H14308" s="3">
        <v>52</v>
      </c>
      <c r="I14308" s="3">
        <v>142</v>
      </c>
      <c r="J14308" s="3">
        <v>83</v>
      </c>
      <c r="K14308" s="3">
        <v>508</v>
      </c>
      <c r="L14308" s="3">
        <v>148</v>
      </c>
      <c r="M14308" s="3">
        <v>285</v>
      </c>
    </row>
    <row r="14309" spans="1:13" x14ac:dyDescent="0.25">
      <c r="A14309" s="1" t="str">
        <f>HYPERLINK("http://www.rosaceae.org/Prunus/Prunus_persica/p.persica_gdr_reftransV1_0009796","p.persica_gdr_reftransV1_0009796")</f>
        <v>p.persica_gdr_reftransV1_0009796</v>
      </c>
      <c r="B14309" s="3">
        <v>4458</v>
      </c>
      <c r="C14309" s="1" t="str">
        <f>HYPERLINK("http://www.uniprot.org/uniprot/ARC6_ARATH","ARC6_ARATH")</f>
        <v>ARC6_ARATH</v>
      </c>
      <c r="D14309" t="s">
        <v>9406</v>
      </c>
      <c r="E14309" s="3" t="s">
        <v>3</v>
      </c>
      <c r="F14309" s="4">
        <v>0</v>
      </c>
      <c r="G14309" s="3">
        <v>2170</v>
      </c>
      <c r="H14309" s="3">
        <v>61</v>
      </c>
      <c r="I14309" s="3">
        <v>827</v>
      </c>
      <c r="J14309" s="3">
        <v>1992</v>
      </c>
      <c r="K14309" s="3">
        <v>4388</v>
      </c>
      <c r="L14309" s="3">
        <v>1</v>
      </c>
      <c r="M14309" s="3">
        <v>801</v>
      </c>
    </row>
    <row r="14310" spans="1:13" x14ac:dyDescent="0.25">
      <c r="A14310" s="1" t="str">
        <f>HYPERLINK("http://www.rosaceae.org/Prunus/Prunus_persica/p.persica_gdr_reftransV1_0009996","p.persica_gdr_reftransV1_0009996")</f>
        <v>p.persica_gdr_reftransV1_0009996</v>
      </c>
      <c r="B14310" s="3">
        <v>1304</v>
      </c>
      <c r="C14310" s="1" t="str">
        <f>HYPERLINK("http://www.uniprot.org/uniprot/RAR1_ARATH","RAR1_ARATH")</f>
        <v>RAR1_ARATH</v>
      </c>
      <c r="D14310" t="s">
        <v>9407</v>
      </c>
      <c r="E14310" s="3" t="s">
        <v>3</v>
      </c>
      <c r="F14310" s="4">
        <v>5.3999999999999997E-97</v>
      </c>
      <c r="G14310" s="3">
        <v>760</v>
      </c>
      <c r="H14310" s="3">
        <v>68</v>
      </c>
      <c r="I14310" s="3">
        <v>222</v>
      </c>
      <c r="J14310" s="3">
        <v>282</v>
      </c>
      <c r="K14310" s="3">
        <v>944</v>
      </c>
      <c r="L14310" s="3">
        <v>4</v>
      </c>
      <c r="M14310" s="3">
        <v>222</v>
      </c>
    </row>
    <row r="14311" spans="1:13" x14ac:dyDescent="0.25">
      <c r="A14311" s="1" t="str">
        <f>HYPERLINK("http://www.rosaceae.org/Prunus/Prunus_persica/p.persica_gdr_reftransV1_0010046","p.persica_gdr_reftransV1_0010046")</f>
        <v>p.persica_gdr_reftransV1_0010046</v>
      </c>
      <c r="B14311" s="3">
        <v>1060</v>
      </c>
      <c r="C14311" s="1" t="str">
        <f>HYPERLINK("http://www.uniprot.org/uniprot/CCD32_ARATH","CCD32_ARATH")</f>
        <v>CCD32_ARATH</v>
      </c>
      <c r="D14311" t="s">
        <v>9408</v>
      </c>
      <c r="E14311" s="3" t="s">
        <v>3</v>
      </c>
      <c r="F14311" s="4">
        <v>3.5399999999999998E-63</v>
      </c>
      <c r="G14311" s="3">
        <v>538</v>
      </c>
      <c r="H14311" s="3">
        <v>53</v>
      </c>
      <c r="I14311" s="3">
        <v>211</v>
      </c>
      <c r="J14311" s="3">
        <v>447</v>
      </c>
      <c r="K14311" s="3">
        <v>1058</v>
      </c>
      <c r="L14311" s="3">
        <v>171</v>
      </c>
      <c r="M14311" s="3">
        <v>366</v>
      </c>
    </row>
    <row r="14312" spans="1:13" x14ac:dyDescent="0.25">
      <c r="A14312" s="1" t="str">
        <f>HYPERLINK("http://www.rosaceae.org/Prunus/Prunus_persica/p.persica_gdr_reftransV1_0010096","p.persica_gdr_reftransV1_0010096")</f>
        <v>p.persica_gdr_reftransV1_0010096</v>
      </c>
      <c r="B14312" s="3">
        <v>752</v>
      </c>
      <c r="C14312" s="1" t="str">
        <f>HYPERLINK("http://www.uniprot.org/uniprot/SD22_ARATH","SD22_ARATH")</f>
        <v>SD22_ARATH</v>
      </c>
      <c r="D14312" t="s">
        <v>905</v>
      </c>
      <c r="E14312" s="3" t="s">
        <v>3</v>
      </c>
      <c r="F14312" s="4">
        <v>3.4400000000000002E-39</v>
      </c>
      <c r="G14312" s="3">
        <v>376</v>
      </c>
      <c r="H14312" s="3">
        <v>58</v>
      </c>
      <c r="I14312" s="3">
        <v>149</v>
      </c>
      <c r="J14312" s="3">
        <v>303</v>
      </c>
      <c r="K14312" s="3">
        <v>749</v>
      </c>
      <c r="L14312" s="3">
        <v>638</v>
      </c>
      <c r="M14312" s="3">
        <v>781</v>
      </c>
    </row>
    <row r="14313" spans="1:13" x14ac:dyDescent="0.25">
      <c r="A14313" s="1" t="str">
        <f>HYPERLINK("http://www.rosaceae.org/Prunus/Prunus_persica/p.persica_gdr_reftransV1_0010146","p.persica_gdr_reftransV1_0010146")</f>
        <v>p.persica_gdr_reftransV1_0010146</v>
      </c>
      <c r="B14313" s="3">
        <v>1487</v>
      </c>
      <c r="C14313" s="1" t="str">
        <f>HYPERLINK("http://www.uniprot.org/uniprot/MNR1_CAPAN","MNR1_CAPAN")</f>
        <v>MNR1_CAPAN</v>
      </c>
      <c r="D14313" t="s">
        <v>2808</v>
      </c>
      <c r="E14313" s="3" t="s">
        <v>588</v>
      </c>
      <c r="F14313" s="4">
        <v>1.81E-56</v>
      </c>
      <c r="G14313" s="3">
        <v>499</v>
      </c>
      <c r="H14313" s="3">
        <v>38</v>
      </c>
      <c r="I14313" s="3">
        <v>315</v>
      </c>
      <c r="J14313" s="3">
        <v>178</v>
      </c>
      <c r="K14313" s="3">
        <v>1002</v>
      </c>
      <c r="L14313" s="3">
        <v>11</v>
      </c>
      <c r="M14313" s="3">
        <v>313</v>
      </c>
    </row>
    <row r="14314" spans="1:13" x14ac:dyDescent="0.25">
      <c r="A14314" s="1" t="str">
        <f>HYPERLINK("http://www.rosaceae.org/Prunus/Prunus_persica/p.persica_gdr_reftransV1_0010196","p.persica_gdr_reftransV1_0010196")</f>
        <v>p.persica_gdr_reftransV1_0010196</v>
      </c>
      <c r="B14314" s="3">
        <v>426</v>
      </c>
      <c r="C14314" s="1" t="str">
        <f>HYPERLINK("http://www.uniprot.org/uniprot/PAE5_ARATH","PAE5_ARATH")</f>
        <v>PAE5_ARATH</v>
      </c>
      <c r="D14314" t="s">
        <v>5217</v>
      </c>
      <c r="E14314" s="3" t="s">
        <v>3</v>
      </c>
      <c r="F14314" s="4">
        <v>4.6200000000000003E-23</v>
      </c>
      <c r="G14314" s="3">
        <v>240</v>
      </c>
      <c r="H14314" s="3">
        <v>46</v>
      </c>
      <c r="I14314" s="3">
        <v>116</v>
      </c>
      <c r="J14314" s="3">
        <v>9</v>
      </c>
      <c r="K14314" s="3">
        <v>344</v>
      </c>
      <c r="L14314" s="3">
        <v>3</v>
      </c>
      <c r="M14314" s="3">
        <v>113</v>
      </c>
    </row>
    <row r="14315" spans="1:13" x14ac:dyDescent="0.25">
      <c r="A14315" s="1" t="str">
        <f>HYPERLINK("http://www.rosaceae.org/Prunus/Prunus_persica/p.persica_gdr_reftransV1_0010346","p.persica_gdr_reftransV1_0010346")</f>
        <v>p.persica_gdr_reftransV1_0010346</v>
      </c>
      <c r="B14315" s="3">
        <v>1609</v>
      </c>
      <c r="C14315" s="1" t="str">
        <f>HYPERLINK("http://www.uniprot.org/uniprot/MYO12_ARATH","MYO12_ARATH")</f>
        <v>MYO12_ARATH</v>
      </c>
      <c r="D14315" t="s">
        <v>5122</v>
      </c>
      <c r="E14315" s="3" t="s">
        <v>3</v>
      </c>
      <c r="F14315" s="4">
        <v>7.4600000000000003E-131</v>
      </c>
      <c r="G14315" s="3">
        <v>806</v>
      </c>
      <c r="H14315" s="3">
        <v>62</v>
      </c>
      <c r="I14315" s="3">
        <v>340</v>
      </c>
      <c r="J14315" s="3">
        <v>3</v>
      </c>
      <c r="K14315" s="3">
        <v>1022</v>
      </c>
      <c r="L14315" s="3">
        <v>765</v>
      </c>
      <c r="M14315" s="3">
        <v>1104</v>
      </c>
    </row>
    <row r="14316" spans="1:13" x14ac:dyDescent="0.25">
      <c r="A14316" s="1" t="str">
        <f>HYPERLINK("http://www.rosaceae.org/Prunus/Prunus_persica/p.persica_gdr_reftransV1_0010396","p.persica_gdr_reftransV1_0010396")</f>
        <v>p.persica_gdr_reftransV1_0010396</v>
      </c>
      <c r="B14316" s="3">
        <v>2030</v>
      </c>
      <c r="C14316" s="1" t="str">
        <f>HYPERLINK("http://www.uniprot.org/uniprot/PDAT1_ARATH","PDAT1_ARATH")</f>
        <v>PDAT1_ARATH</v>
      </c>
      <c r="D14316" t="s">
        <v>8749</v>
      </c>
      <c r="E14316" s="3" t="s">
        <v>3</v>
      </c>
      <c r="F14316" s="4">
        <v>0</v>
      </c>
      <c r="G14316" s="3">
        <v>1699</v>
      </c>
      <c r="H14316" s="3">
        <v>74</v>
      </c>
      <c r="I14316" s="3">
        <v>439</v>
      </c>
      <c r="J14316" s="3">
        <v>733</v>
      </c>
      <c r="K14316" s="3">
        <v>2028</v>
      </c>
      <c r="L14316" s="3">
        <v>233</v>
      </c>
      <c r="M14316" s="3">
        <v>671</v>
      </c>
    </row>
    <row r="14317" spans="1:13" x14ac:dyDescent="0.25">
      <c r="A14317" s="1" t="str">
        <f>HYPERLINK("http://www.rosaceae.org/Prunus/Prunus_persica/p.persica_gdr_reftransV1_0010446","p.persica_gdr_reftransV1_0010446")</f>
        <v>p.persica_gdr_reftransV1_0010446</v>
      </c>
      <c r="B14317" s="3">
        <v>1037</v>
      </c>
      <c r="C14317" s="1" t="str">
        <f>HYPERLINK("http://www.uniprot.org/uniprot/RNG1L_ARATH","RNG1L_ARATH")</f>
        <v>RNG1L_ARATH</v>
      </c>
      <c r="D14317" t="s">
        <v>189</v>
      </c>
      <c r="E14317" s="3" t="s">
        <v>3</v>
      </c>
      <c r="F14317" s="4">
        <v>1.2499999999999999E-41</v>
      </c>
      <c r="G14317" s="3">
        <v>387</v>
      </c>
      <c r="H14317" s="3">
        <v>63</v>
      </c>
      <c r="I14317" s="3">
        <v>104</v>
      </c>
      <c r="J14317" s="3">
        <v>591</v>
      </c>
      <c r="K14317" s="3">
        <v>884</v>
      </c>
      <c r="L14317" s="3">
        <v>160</v>
      </c>
      <c r="M14317" s="3">
        <v>263</v>
      </c>
    </row>
    <row r="14318" spans="1:13" x14ac:dyDescent="0.25">
      <c r="A14318" s="1" t="str">
        <f>HYPERLINK("http://www.rosaceae.org/Prunus/Prunus_persica/p.persica_gdr_reftransV1_0010546","p.persica_gdr_reftransV1_0010546")</f>
        <v>p.persica_gdr_reftransV1_0010546</v>
      </c>
      <c r="B14318" s="3">
        <v>1058</v>
      </c>
      <c r="C14318" s="1" t="str">
        <f>HYPERLINK("http://www.uniprot.org/uniprot/PHYC_ORYSI","PHYC_ORYSI")</f>
        <v>PHYC_ORYSI</v>
      </c>
      <c r="D14318" t="s">
        <v>9409</v>
      </c>
      <c r="E14318" s="3" t="s">
        <v>38</v>
      </c>
      <c r="F14318" s="4">
        <v>1.83E-66</v>
      </c>
      <c r="G14318" s="3">
        <v>590</v>
      </c>
      <c r="H14318" s="3">
        <v>63</v>
      </c>
      <c r="I14318" s="3">
        <v>183</v>
      </c>
      <c r="J14318" s="3">
        <v>1</v>
      </c>
      <c r="K14318" s="3">
        <v>549</v>
      </c>
      <c r="L14318" s="3">
        <v>3</v>
      </c>
      <c r="M14318" s="3">
        <v>182</v>
      </c>
    </row>
    <row r="14319" spans="1:13" x14ac:dyDescent="0.25">
      <c r="A14319" s="1" t="str">
        <f>HYPERLINK("http://www.rosaceae.org/Prunus/Prunus_persica/p.persica_gdr_reftransV1_0010646","p.persica_gdr_reftransV1_0010646")</f>
        <v>p.persica_gdr_reftransV1_0010646</v>
      </c>
      <c r="B14319" s="3">
        <v>1806</v>
      </c>
      <c r="C14319" s="1" t="str">
        <f>HYPERLINK("http://www.uniprot.org/uniprot/TLP1_PRUPE","TLP1_PRUPE")</f>
        <v>TLP1_PRUPE</v>
      </c>
      <c r="D14319" t="s">
        <v>3178</v>
      </c>
      <c r="E14319" s="3" t="s">
        <v>784</v>
      </c>
      <c r="F14319" s="4">
        <v>6.0200000000000003E-68</v>
      </c>
      <c r="G14319" s="3">
        <v>578</v>
      </c>
      <c r="H14319" s="3">
        <v>57</v>
      </c>
      <c r="I14319" s="3">
        <v>235</v>
      </c>
      <c r="J14319" s="3">
        <v>441</v>
      </c>
      <c r="K14319" s="3">
        <v>1127</v>
      </c>
      <c r="L14319" s="3">
        <v>11</v>
      </c>
      <c r="M14319" s="3">
        <v>245</v>
      </c>
    </row>
    <row r="14320" spans="1:13" x14ac:dyDescent="0.25">
      <c r="A14320" s="1" t="str">
        <f>HYPERLINK("http://www.rosaceae.org/Prunus/Prunus_persica/p.persica_gdr_reftransV1_0010746","p.persica_gdr_reftransV1_0010746")</f>
        <v>p.persica_gdr_reftransV1_0010746</v>
      </c>
      <c r="B14320" s="3">
        <v>1956</v>
      </c>
      <c r="C14320" s="1" t="str">
        <f>HYPERLINK("http://www.uniprot.org/uniprot/FBL12_ARATH","FBL12_ARATH")</f>
        <v>FBL12_ARATH</v>
      </c>
      <c r="D14320" t="s">
        <v>9410</v>
      </c>
      <c r="E14320" s="3" t="s">
        <v>3</v>
      </c>
      <c r="F14320" s="4">
        <v>6.8199999999999995E-157</v>
      </c>
      <c r="G14320" s="3">
        <v>1195</v>
      </c>
      <c r="H14320" s="3">
        <v>62</v>
      </c>
      <c r="I14320" s="3">
        <v>389</v>
      </c>
      <c r="J14320" s="3">
        <v>222</v>
      </c>
      <c r="K14320" s="3">
        <v>1388</v>
      </c>
      <c r="L14320" s="3">
        <v>1</v>
      </c>
      <c r="M14320" s="3">
        <v>387</v>
      </c>
    </row>
    <row r="14321" spans="1:13" x14ac:dyDescent="0.25">
      <c r="A14321" s="1" t="str">
        <f>HYPERLINK("http://www.rosaceae.org/Prunus/Prunus_persica/p.persica_gdr_reftransV1_0010796","p.persica_gdr_reftransV1_0010796")</f>
        <v>p.persica_gdr_reftransV1_0010796</v>
      </c>
      <c r="B14321" s="3">
        <v>1865</v>
      </c>
      <c r="C14321" s="1" t="str">
        <f>HYPERLINK("http://www.uniprot.org/uniprot/Y2393_ARATH","Y2393_ARATH")</f>
        <v>Y2393_ARATH</v>
      </c>
      <c r="D14321" t="s">
        <v>9411</v>
      </c>
      <c r="E14321" s="3" t="s">
        <v>3</v>
      </c>
      <c r="F14321" s="4">
        <v>0</v>
      </c>
      <c r="G14321" s="3">
        <v>1512</v>
      </c>
      <c r="H14321" s="3">
        <v>58</v>
      </c>
      <c r="I14321" s="3">
        <v>515</v>
      </c>
      <c r="J14321" s="3">
        <v>93</v>
      </c>
      <c r="K14321" s="3">
        <v>1577</v>
      </c>
      <c r="L14321" s="3">
        <v>314</v>
      </c>
      <c r="M14321" s="3">
        <v>815</v>
      </c>
    </row>
    <row r="14322" spans="1:13" x14ac:dyDescent="0.25">
      <c r="A14322" s="1" t="str">
        <f>HYPERLINK("http://www.rosaceae.org/Prunus/Prunus_persica/p.persica_gdr_reftransV1_0010846","p.persica_gdr_reftransV1_0010846")</f>
        <v>p.persica_gdr_reftransV1_0010846</v>
      </c>
      <c r="B14322" s="3">
        <v>1335</v>
      </c>
      <c r="C14322" s="1" t="str">
        <f>HYPERLINK("http://www.uniprot.org/uniprot/AHP1_ARATH","AHP1_ARATH")</f>
        <v>AHP1_ARATH</v>
      </c>
      <c r="D14322" t="s">
        <v>254</v>
      </c>
      <c r="E14322" s="3" t="s">
        <v>3</v>
      </c>
      <c r="F14322" s="4">
        <v>6.0999999999999996E-59</v>
      </c>
      <c r="G14322" s="3">
        <v>498</v>
      </c>
      <c r="H14322" s="3">
        <v>73</v>
      </c>
      <c r="I14322" s="3">
        <v>154</v>
      </c>
      <c r="J14322" s="3">
        <v>489</v>
      </c>
      <c r="K14322" s="3">
        <v>950</v>
      </c>
      <c r="L14322" s="3">
        <v>1</v>
      </c>
      <c r="M14322" s="3">
        <v>154</v>
      </c>
    </row>
    <row r="14323" spans="1:13" x14ac:dyDescent="0.25">
      <c r="A14323" s="1" t="str">
        <f>HYPERLINK("http://www.rosaceae.org/Prunus/Prunus_persica/p.persica_gdr_reftransV1_0010896","p.persica_gdr_reftransV1_0010896")</f>
        <v>p.persica_gdr_reftransV1_0010896</v>
      </c>
      <c r="B14323" s="3">
        <v>2637</v>
      </c>
      <c r="C14323" s="1" t="str">
        <f>HYPERLINK("http://www.uniprot.org/uniprot/MBD10_ARATH","MBD10_ARATH")</f>
        <v>MBD10_ARATH</v>
      </c>
      <c r="D14323" t="s">
        <v>2228</v>
      </c>
      <c r="E14323" s="3" t="s">
        <v>3</v>
      </c>
      <c r="F14323" s="4">
        <v>5.9300000000000002E-29</v>
      </c>
      <c r="G14323" s="3">
        <v>311</v>
      </c>
      <c r="H14323" s="3">
        <v>69</v>
      </c>
      <c r="I14323" s="3">
        <v>75</v>
      </c>
      <c r="J14323" s="3">
        <v>1398</v>
      </c>
      <c r="K14323" s="3">
        <v>1619</v>
      </c>
      <c r="L14323" s="3">
        <v>22</v>
      </c>
      <c r="M14323" s="3">
        <v>96</v>
      </c>
    </row>
    <row r="14324" spans="1:13" x14ac:dyDescent="0.25">
      <c r="A14324" s="1" t="str">
        <f>HYPERLINK("http://www.rosaceae.org/Prunus/Prunus_persica/p.persica_gdr_reftransV1_0011096","p.persica_gdr_reftransV1_0011096")</f>
        <v>p.persica_gdr_reftransV1_0011096</v>
      </c>
      <c r="B14324" s="3">
        <v>2205</v>
      </c>
      <c r="C14324" s="1" t="str">
        <f>HYPERLINK("http://www.uniprot.org/uniprot/NUB1_MOUSE","NUB1_MOUSE")</f>
        <v>NUB1_MOUSE</v>
      </c>
      <c r="D14324" t="s">
        <v>9412</v>
      </c>
      <c r="E14324" s="3" t="s">
        <v>157</v>
      </c>
      <c r="F14324" s="4">
        <v>3.9500000000000002E-21</v>
      </c>
      <c r="G14324" s="3">
        <v>253</v>
      </c>
      <c r="H14324" s="3">
        <v>27</v>
      </c>
      <c r="I14324" s="3">
        <v>340</v>
      </c>
      <c r="J14324" s="3">
        <v>670</v>
      </c>
      <c r="K14324" s="3">
        <v>1680</v>
      </c>
      <c r="L14324" s="3">
        <v>215</v>
      </c>
      <c r="M14324" s="3">
        <v>531</v>
      </c>
    </row>
    <row r="14325" spans="1:13" x14ac:dyDescent="0.25">
      <c r="A14325" s="1" t="str">
        <f>HYPERLINK("http://www.rosaceae.org/Prunus/Prunus_persica/p.persica_gdr_reftransV1_0011296","p.persica_gdr_reftransV1_0011296")</f>
        <v>p.persica_gdr_reftransV1_0011296</v>
      </c>
      <c r="B14325" s="3">
        <v>1093</v>
      </c>
      <c r="C14325" s="1" t="str">
        <f>HYPERLINK("http://www.uniprot.org/uniprot/NDUB7_ARATH","NDUB7_ARATH")</f>
        <v>NDUB7_ARATH</v>
      </c>
      <c r="D14325" t="s">
        <v>9413</v>
      </c>
      <c r="E14325" s="3" t="s">
        <v>3</v>
      </c>
      <c r="F14325" s="4">
        <v>2.2499999999999999E-44</v>
      </c>
      <c r="G14325" s="3">
        <v>389</v>
      </c>
      <c r="H14325" s="3">
        <v>73</v>
      </c>
      <c r="I14325" s="3">
        <v>103</v>
      </c>
      <c r="J14325" s="3">
        <v>188</v>
      </c>
      <c r="K14325" s="3">
        <v>493</v>
      </c>
      <c r="L14325" s="3">
        <v>1</v>
      </c>
      <c r="M14325" s="3">
        <v>103</v>
      </c>
    </row>
    <row r="14326" spans="1:13" x14ac:dyDescent="0.25">
      <c r="A14326" s="1" t="str">
        <f>HYPERLINK("http://www.rosaceae.org/Prunus/Prunus_persica/p.persica_gdr_reftransV1_0011646","p.persica_gdr_reftransV1_0011646")</f>
        <v>p.persica_gdr_reftransV1_0011646</v>
      </c>
      <c r="B14326" s="3">
        <v>600</v>
      </c>
      <c r="C14326" s="1" t="str">
        <f>HYPERLINK("http://www.uniprot.org/uniprot/RLP12_ARATH","RLP12_ARATH")</f>
        <v>RLP12_ARATH</v>
      </c>
      <c r="D14326" t="s">
        <v>1219</v>
      </c>
      <c r="E14326" s="3" t="s">
        <v>3</v>
      </c>
      <c r="F14326" s="4">
        <v>3.6700000000000003E-10</v>
      </c>
      <c r="G14326" s="3">
        <v>150</v>
      </c>
      <c r="H14326" s="3">
        <v>47</v>
      </c>
      <c r="I14326" s="3">
        <v>75</v>
      </c>
      <c r="J14326" s="3">
        <v>4</v>
      </c>
      <c r="K14326" s="3">
        <v>225</v>
      </c>
      <c r="L14326" s="3">
        <v>65</v>
      </c>
      <c r="M14326" s="3">
        <v>136</v>
      </c>
    </row>
    <row r="14327" spans="1:13" x14ac:dyDescent="0.25">
      <c r="A14327" s="1" t="str">
        <f>HYPERLINK("http://www.rosaceae.org/Prunus/Prunus_persica/p.persica_gdr_reftransV1_0011796","p.persica_gdr_reftransV1_0011796")</f>
        <v>p.persica_gdr_reftransV1_0011796</v>
      </c>
      <c r="B14327" s="3">
        <v>1067</v>
      </c>
      <c r="C14327" s="1" t="str">
        <f>HYPERLINK("http://www.uniprot.org/uniprot/UBE12_ARATH","UBE12_ARATH")</f>
        <v>UBE12_ARATH</v>
      </c>
      <c r="D14327" t="s">
        <v>9414</v>
      </c>
      <c r="E14327" s="3" t="s">
        <v>3</v>
      </c>
      <c r="F14327" s="4">
        <v>0</v>
      </c>
      <c r="G14327" s="3">
        <v>1654</v>
      </c>
      <c r="H14327" s="3">
        <v>86</v>
      </c>
      <c r="I14327" s="3">
        <v>355</v>
      </c>
      <c r="J14327" s="3">
        <v>3</v>
      </c>
      <c r="K14327" s="3">
        <v>1067</v>
      </c>
      <c r="L14327" s="3">
        <v>340</v>
      </c>
      <c r="M14327" s="3">
        <v>694</v>
      </c>
    </row>
    <row r="14328" spans="1:13" x14ac:dyDescent="0.25">
      <c r="A14328" s="1" t="str">
        <f>HYPERLINK("http://www.rosaceae.org/Prunus/Prunus_persica/p.persica_gdr_reftransV1_0011896","p.persica_gdr_reftransV1_0011896")</f>
        <v>p.persica_gdr_reftransV1_0011896</v>
      </c>
      <c r="B14328" s="3">
        <v>1431</v>
      </c>
      <c r="C14328" s="1" t="str">
        <f>HYPERLINK("http://www.uniprot.org/uniprot/TMM19_PONAB","TMM19_PONAB")</f>
        <v>TMM19_PONAB</v>
      </c>
      <c r="D14328" t="s">
        <v>8385</v>
      </c>
      <c r="E14328" s="3" t="s">
        <v>176</v>
      </c>
      <c r="F14328" s="4">
        <v>1.5099999999999999E-38</v>
      </c>
      <c r="G14328" s="3">
        <v>373</v>
      </c>
      <c r="H14328" s="3">
        <v>37</v>
      </c>
      <c r="I14328" s="3">
        <v>265</v>
      </c>
      <c r="J14328" s="3">
        <v>198</v>
      </c>
      <c r="K14328" s="3">
        <v>977</v>
      </c>
      <c r="L14328" s="3">
        <v>70</v>
      </c>
      <c r="M14328" s="3">
        <v>329</v>
      </c>
    </row>
    <row r="14329" spans="1:13" x14ac:dyDescent="0.25">
      <c r="A14329" s="1" t="str">
        <f>HYPERLINK("http://www.rosaceae.org/Prunus/Prunus_persica/p.persica_gdr_reftransV1_0011946","p.persica_gdr_reftransV1_0011946")</f>
        <v>p.persica_gdr_reftransV1_0011946</v>
      </c>
      <c r="B14329" s="3">
        <v>1149</v>
      </c>
      <c r="C14329" s="1" t="str">
        <f>HYPERLINK("http://www.uniprot.org/uniprot/FCF2_SCHPO","FCF2_SCHPO")</f>
        <v>FCF2_SCHPO</v>
      </c>
      <c r="D14329" t="s">
        <v>9415</v>
      </c>
      <c r="E14329" s="3" t="s">
        <v>464</v>
      </c>
      <c r="F14329" s="4">
        <v>3.45E-28</v>
      </c>
      <c r="G14329" s="3">
        <v>287</v>
      </c>
      <c r="H14329" s="3">
        <v>45</v>
      </c>
      <c r="I14329" s="3">
        <v>125</v>
      </c>
      <c r="J14329" s="3">
        <v>500</v>
      </c>
      <c r="K14329" s="3">
        <v>868</v>
      </c>
      <c r="L14329" s="3">
        <v>109</v>
      </c>
      <c r="M14329" s="3">
        <v>224</v>
      </c>
    </row>
    <row r="14330" spans="1:13" x14ac:dyDescent="0.25">
      <c r="A14330" s="1" t="str">
        <f>HYPERLINK("http://www.rosaceae.org/Prunus/Prunus_persica/p.persica_gdr_reftransV1_0012496","p.persica_gdr_reftransV1_0012496")</f>
        <v>p.persica_gdr_reftransV1_0012496</v>
      </c>
      <c r="B14330" s="3">
        <v>480</v>
      </c>
      <c r="C14330" s="1" t="str">
        <f>HYPERLINK("http://www.uniprot.org/uniprot/P2A05_ARATH","P2A05_ARATH")</f>
        <v>P2A05_ARATH</v>
      </c>
      <c r="D14330" t="s">
        <v>9416</v>
      </c>
      <c r="E14330" s="3" t="s">
        <v>3</v>
      </c>
      <c r="F14330" s="4">
        <v>3.8599999999999999E-20</v>
      </c>
      <c r="G14330" s="3">
        <v>194</v>
      </c>
      <c r="H14330" s="3">
        <v>47</v>
      </c>
      <c r="I14330" s="3">
        <v>91</v>
      </c>
      <c r="J14330" s="3">
        <v>221</v>
      </c>
      <c r="K14330" s="3">
        <v>478</v>
      </c>
      <c r="L14330" s="3">
        <v>301</v>
      </c>
      <c r="M14330" s="3">
        <v>386</v>
      </c>
    </row>
    <row r="14331" spans="1:13" x14ac:dyDescent="0.25">
      <c r="A14331" s="1" t="str">
        <f>HYPERLINK("http://www.rosaceae.org/Prunus/Prunus_persica/p.persica_gdr_reftransV1_0012596","p.persica_gdr_reftransV1_0012596")</f>
        <v>p.persica_gdr_reftransV1_0012596</v>
      </c>
      <c r="B14331" s="3">
        <v>3273</v>
      </c>
      <c r="C14331" s="1" t="str">
        <f>HYPERLINK("http://www.uniprot.org/uniprot/PCNB_HAEIN","PCNB_HAEIN")</f>
        <v>PCNB_HAEIN</v>
      </c>
      <c r="D14331" t="s">
        <v>9417</v>
      </c>
      <c r="E14331" s="3" t="s">
        <v>2553</v>
      </c>
      <c r="F14331" s="4">
        <v>7.3000000000000003E-31</v>
      </c>
      <c r="G14331" s="3">
        <v>330</v>
      </c>
      <c r="H14331" s="3">
        <v>32</v>
      </c>
      <c r="I14331" s="3">
        <v>275</v>
      </c>
      <c r="J14331" s="3">
        <v>271</v>
      </c>
      <c r="K14331" s="3">
        <v>1080</v>
      </c>
      <c r="L14331" s="3">
        <v>27</v>
      </c>
      <c r="M14331" s="3">
        <v>295</v>
      </c>
    </row>
    <row r="14332" spans="1:13" x14ac:dyDescent="0.25">
      <c r="A14332" s="1" t="str">
        <f>HYPERLINK("http://www.rosaceae.org/Prunus/Prunus_persica/p.persica_gdr_reftransV1_0012846","p.persica_gdr_reftransV1_0012846")</f>
        <v>p.persica_gdr_reftransV1_0012846</v>
      </c>
      <c r="B14332" s="3">
        <v>2895</v>
      </c>
      <c r="C14332" s="1" t="str">
        <f>HYPERLINK("http://www.uniprot.org/uniprot/LMD2A_DICDI","LMD2A_DICDI")</f>
        <v>LMD2A_DICDI</v>
      </c>
      <c r="D14332" t="s">
        <v>9418</v>
      </c>
      <c r="E14332" s="3" t="s">
        <v>9</v>
      </c>
      <c r="F14332" s="4">
        <v>5.4199999999999997E-41</v>
      </c>
      <c r="G14332" s="3">
        <v>418</v>
      </c>
      <c r="H14332" s="3">
        <v>28</v>
      </c>
      <c r="I14332" s="3">
        <v>465</v>
      </c>
      <c r="J14332" s="3">
        <v>457</v>
      </c>
      <c r="K14332" s="3">
        <v>1827</v>
      </c>
      <c r="L14332" s="3">
        <v>136</v>
      </c>
      <c r="M14332" s="3">
        <v>583</v>
      </c>
    </row>
    <row r="14333" spans="1:13" x14ac:dyDescent="0.25">
      <c r="A14333" s="1" t="str">
        <f>HYPERLINK("http://www.rosaceae.org/Prunus/Prunus_persica/p.persica_gdr_reftransV1_0012946","p.persica_gdr_reftransV1_0012946")</f>
        <v>p.persica_gdr_reftransV1_0012946</v>
      </c>
      <c r="B14333" s="3">
        <v>1646</v>
      </c>
      <c r="C14333" s="1" t="str">
        <f>HYPERLINK("http://www.uniprot.org/uniprot/FBK50_ARATH","FBK50_ARATH")</f>
        <v>FBK50_ARATH</v>
      </c>
      <c r="D14333" t="s">
        <v>13</v>
      </c>
      <c r="E14333" s="3" t="s">
        <v>3</v>
      </c>
      <c r="F14333" s="4">
        <v>2.44E-17</v>
      </c>
      <c r="G14333" s="3">
        <v>217</v>
      </c>
      <c r="H14333" s="3">
        <v>32</v>
      </c>
      <c r="I14333" s="3">
        <v>208</v>
      </c>
      <c r="J14333" s="3">
        <v>12</v>
      </c>
      <c r="K14333" s="3">
        <v>590</v>
      </c>
      <c r="L14333" s="3">
        <v>165</v>
      </c>
      <c r="M14333" s="3">
        <v>354</v>
      </c>
    </row>
    <row r="14334" spans="1:13" x14ac:dyDescent="0.25">
      <c r="A14334" s="1" t="str">
        <f>HYPERLINK("http://www.rosaceae.org/Prunus/Prunus_persica/p.persica_gdr_reftransV1_0013046","p.persica_gdr_reftransV1_0013046")</f>
        <v>p.persica_gdr_reftransV1_0013046</v>
      </c>
      <c r="B14334" s="3">
        <v>1536</v>
      </c>
      <c r="C14334" s="1" t="str">
        <f>HYPERLINK("http://www.uniprot.org/uniprot/CSTR5_ARATH","CSTR5_ARATH")</f>
        <v>CSTR5_ARATH</v>
      </c>
      <c r="D14334" t="s">
        <v>9419</v>
      </c>
      <c r="E14334" s="3" t="s">
        <v>3</v>
      </c>
      <c r="F14334" s="4">
        <v>4.9299999999999997E-157</v>
      </c>
      <c r="G14334" s="3">
        <v>1175</v>
      </c>
      <c r="H14334" s="3">
        <v>79</v>
      </c>
      <c r="I14334" s="3">
        <v>316</v>
      </c>
      <c r="J14334" s="3">
        <v>353</v>
      </c>
      <c r="K14334" s="3">
        <v>1300</v>
      </c>
      <c r="L14334" s="3">
        <v>8</v>
      </c>
      <c r="M14334" s="3">
        <v>323</v>
      </c>
    </row>
    <row r="14335" spans="1:13" x14ac:dyDescent="0.25">
      <c r="A14335" s="1" t="str">
        <f>HYPERLINK("http://www.rosaceae.org/Prunus/Prunus_persica/p.persica_gdr_reftransV1_0013096","p.persica_gdr_reftransV1_0013096")</f>
        <v>p.persica_gdr_reftransV1_0013096</v>
      </c>
      <c r="B14335" s="3">
        <v>1745</v>
      </c>
      <c r="C14335" s="1" t="str">
        <f>HYPERLINK("http://www.uniprot.org/uniprot/PPO_MALDO","PPO_MALDO")</f>
        <v>PPO_MALDO</v>
      </c>
      <c r="D14335" t="s">
        <v>2145</v>
      </c>
      <c r="E14335" s="3" t="s">
        <v>540</v>
      </c>
      <c r="F14335" s="4">
        <v>0</v>
      </c>
      <c r="G14335" s="3">
        <v>1515</v>
      </c>
      <c r="H14335" s="3">
        <v>56</v>
      </c>
      <c r="I14335" s="3">
        <v>564</v>
      </c>
      <c r="J14335" s="3">
        <v>110</v>
      </c>
      <c r="K14335" s="3">
        <v>1744</v>
      </c>
      <c r="L14335" s="3">
        <v>24</v>
      </c>
      <c r="M14335" s="3">
        <v>580</v>
      </c>
    </row>
    <row r="14336" spans="1:13" x14ac:dyDescent="0.25">
      <c r="A14336" s="1" t="str">
        <f>HYPERLINK("http://www.rosaceae.org/Prunus/Prunus_persica/p.persica_gdr_reftransV1_0013196","p.persica_gdr_reftransV1_0013196")</f>
        <v>p.persica_gdr_reftransV1_0013196</v>
      </c>
      <c r="B14336" s="3">
        <v>2230</v>
      </c>
      <c r="C14336" s="1" t="str">
        <f>HYPERLINK("http://www.uniprot.org/uniprot/AB1I_ARATH","AB1I_ARATH")</f>
        <v>AB1I_ARATH</v>
      </c>
      <c r="D14336" t="s">
        <v>8739</v>
      </c>
      <c r="E14336" s="3" t="s">
        <v>3</v>
      </c>
      <c r="F14336" s="4">
        <v>4.8899999999999999E-119</v>
      </c>
      <c r="G14336" s="3">
        <v>933</v>
      </c>
      <c r="H14336" s="3">
        <v>85</v>
      </c>
      <c r="I14336" s="3">
        <v>214</v>
      </c>
      <c r="J14336" s="3">
        <v>188</v>
      </c>
      <c r="K14336" s="3">
        <v>829</v>
      </c>
      <c r="L14336" s="3">
        <v>15</v>
      </c>
      <c r="M14336" s="3">
        <v>228</v>
      </c>
    </row>
    <row r="14337" spans="1:13" x14ac:dyDescent="0.25">
      <c r="A14337" s="1" t="str">
        <f>HYPERLINK("http://www.rosaceae.org/Prunus/Prunus_persica/p.persica_gdr_reftransV1_0013296","p.persica_gdr_reftransV1_0013296")</f>
        <v>p.persica_gdr_reftransV1_0013296</v>
      </c>
      <c r="B14337" s="3">
        <v>665</v>
      </c>
      <c r="C14337" s="1" t="str">
        <f>HYPERLINK("http://www.uniprot.org/uniprot/ATG8C_ORYSJ","ATG8C_ORYSJ")</f>
        <v>ATG8C_ORYSJ</v>
      </c>
      <c r="D14337" t="s">
        <v>1590</v>
      </c>
      <c r="E14337" s="3" t="s">
        <v>38</v>
      </c>
      <c r="F14337" s="4">
        <v>4.1199999999999998E-62</v>
      </c>
      <c r="G14337" s="3">
        <v>498</v>
      </c>
      <c r="H14337" s="3">
        <v>87</v>
      </c>
      <c r="I14337" s="3">
        <v>119</v>
      </c>
      <c r="J14337" s="3">
        <v>100</v>
      </c>
      <c r="K14337" s="3">
        <v>456</v>
      </c>
      <c r="L14337" s="3">
        <v>1</v>
      </c>
      <c r="M14337" s="3">
        <v>119</v>
      </c>
    </row>
    <row r="14338" spans="1:13" x14ac:dyDescent="0.25">
      <c r="A14338" s="1" t="str">
        <f>HYPERLINK("http://www.rosaceae.org/Prunus/Prunus_persica/p.persica_gdr_reftransV1_0013396","p.persica_gdr_reftransV1_0013396")</f>
        <v>p.persica_gdr_reftransV1_0013396</v>
      </c>
      <c r="B14338" s="3">
        <v>1124</v>
      </c>
      <c r="C14338" s="1" t="str">
        <f>HYPERLINK("http://www.uniprot.org/uniprot/FBT9_ARATH","FBT9_ARATH")</f>
        <v>FBT9_ARATH</v>
      </c>
      <c r="D14338" t="s">
        <v>9420</v>
      </c>
      <c r="E14338" s="3" t="s">
        <v>3</v>
      </c>
      <c r="F14338" s="4">
        <v>3.4199999999999999E-104</v>
      </c>
      <c r="G14338" s="3">
        <v>830</v>
      </c>
      <c r="H14338" s="3">
        <v>58</v>
      </c>
      <c r="I14338" s="3">
        <v>296</v>
      </c>
      <c r="J14338" s="3">
        <v>198</v>
      </c>
      <c r="K14338" s="3">
        <v>1085</v>
      </c>
      <c r="L14338" s="3">
        <v>237</v>
      </c>
      <c r="M14338" s="3">
        <v>532</v>
      </c>
    </row>
    <row r="14339" spans="1:13" x14ac:dyDescent="0.25">
      <c r="A14339" s="1" t="str">
        <f>HYPERLINK("http://www.rosaceae.org/Prunus/Prunus_persica/p.persica_gdr_reftransV1_0013646","p.persica_gdr_reftransV1_0013646")</f>
        <v>p.persica_gdr_reftransV1_0013646</v>
      </c>
      <c r="B14339" s="3">
        <v>4343</v>
      </c>
      <c r="C14339" s="1" t="str">
        <f>HYPERLINK("http://www.uniprot.org/uniprot/TMVRN_NICGU","TMVRN_NICGU")</f>
        <v>TMVRN_NICGU</v>
      </c>
      <c r="D14339" t="s">
        <v>151</v>
      </c>
      <c r="E14339" s="3" t="s">
        <v>152</v>
      </c>
      <c r="F14339" s="4">
        <v>6.9400000000000002E-120</v>
      </c>
      <c r="G14339" s="3">
        <v>1053</v>
      </c>
      <c r="H14339" s="3">
        <v>32</v>
      </c>
      <c r="I14339" s="3">
        <v>980</v>
      </c>
      <c r="J14339" s="3">
        <v>1455</v>
      </c>
      <c r="K14339" s="3">
        <v>4343</v>
      </c>
      <c r="L14339" s="3">
        <v>38</v>
      </c>
      <c r="M14339" s="3">
        <v>908</v>
      </c>
    </row>
    <row r="14340" spans="1:13" x14ac:dyDescent="0.25">
      <c r="A14340" s="1" t="str">
        <f>HYPERLINK("http://www.rosaceae.org/Prunus/Prunus_persica/p.persica_gdr_reftransV1_0013846","p.persica_gdr_reftransV1_0013846")</f>
        <v>p.persica_gdr_reftransV1_0013846</v>
      </c>
      <c r="B14340" s="3">
        <v>1566</v>
      </c>
      <c r="C14340" s="1" t="str">
        <f>HYPERLINK("http://www.uniprot.org/uniprot/GUB_NICPL","GUB_NICPL")</f>
        <v>GUB_NICPL</v>
      </c>
      <c r="D14340" t="s">
        <v>9421</v>
      </c>
      <c r="E14340" s="3" t="s">
        <v>1450</v>
      </c>
      <c r="F14340" s="4">
        <v>1.17E-100</v>
      </c>
      <c r="G14340" s="3">
        <v>806</v>
      </c>
      <c r="H14340" s="3">
        <v>50</v>
      </c>
      <c r="I14340" s="3">
        <v>339</v>
      </c>
      <c r="J14340" s="3">
        <v>149</v>
      </c>
      <c r="K14340" s="3">
        <v>1138</v>
      </c>
      <c r="L14340" s="3">
        <v>29</v>
      </c>
      <c r="M14340" s="3">
        <v>363</v>
      </c>
    </row>
    <row r="14341" spans="1:13" x14ac:dyDescent="0.25">
      <c r="A14341" s="1" t="str">
        <f>HYPERLINK("http://www.rosaceae.org/Prunus/Prunus_persica/p.persica_gdr_reftransV1_0014096","p.persica_gdr_reftransV1_0014096")</f>
        <v>p.persica_gdr_reftransV1_0014096</v>
      </c>
      <c r="B14341" s="3">
        <v>4443</v>
      </c>
      <c r="C14341" s="1" t="str">
        <f>HYPERLINK("http://www.uniprot.org/uniprot/Y4193_ARATH","Y4193_ARATH")</f>
        <v>Y4193_ARATH</v>
      </c>
      <c r="D14341" t="s">
        <v>9422</v>
      </c>
      <c r="E14341" s="3" t="s">
        <v>3</v>
      </c>
      <c r="F14341" s="4">
        <v>6.6199999999999999E-174</v>
      </c>
      <c r="G14341" s="3">
        <v>1426</v>
      </c>
      <c r="H14341" s="3">
        <v>51</v>
      </c>
      <c r="I14341" s="3">
        <v>685</v>
      </c>
      <c r="J14341" s="3">
        <v>1644</v>
      </c>
      <c r="K14341" s="3">
        <v>3617</v>
      </c>
      <c r="L14341" s="3">
        <v>211</v>
      </c>
      <c r="M14341" s="3">
        <v>840</v>
      </c>
    </row>
    <row r="14342" spans="1:13" x14ac:dyDescent="0.25">
      <c r="A14342" s="1" t="str">
        <f>HYPERLINK("http://www.rosaceae.org/Prunus/Prunus_persica/p.persica_gdr_reftransV1_0014146","p.persica_gdr_reftransV1_0014146")</f>
        <v>p.persica_gdr_reftransV1_0014146</v>
      </c>
      <c r="B14342" s="3">
        <v>2603</v>
      </c>
      <c r="C14342" s="1" t="str">
        <f>HYPERLINK("http://www.uniprot.org/uniprot/PP149_ARATH","PP149_ARATH")</f>
        <v>PP149_ARATH</v>
      </c>
      <c r="D14342" t="s">
        <v>9423</v>
      </c>
      <c r="E14342" s="3" t="s">
        <v>3</v>
      </c>
      <c r="F14342" s="4">
        <v>0</v>
      </c>
      <c r="G14342" s="3">
        <v>1493</v>
      </c>
      <c r="H14342" s="3">
        <v>56</v>
      </c>
      <c r="I14342" s="3">
        <v>507</v>
      </c>
      <c r="J14342" s="3">
        <v>431</v>
      </c>
      <c r="K14342" s="3">
        <v>1927</v>
      </c>
      <c r="L14342" s="3">
        <v>9</v>
      </c>
      <c r="M14342" s="3">
        <v>513</v>
      </c>
    </row>
    <row r="14343" spans="1:13" x14ac:dyDescent="0.25">
      <c r="A14343" s="1" t="str">
        <f>HYPERLINK("http://www.rosaceae.org/Prunus/Prunus_persica/p.persica_gdr_reftransV1_0014196","p.persica_gdr_reftransV1_0014196")</f>
        <v>p.persica_gdr_reftransV1_0014196</v>
      </c>
      <c r="B14343" s="3">
        <v>3231</v>
      </c>
      <c r="C14343" s="1" t="str">
        <f>HYPERLINK("http://www.uniprot.org/uniprot/PP365_ARATH","PP365_ARATH")</f>
        <v>PP365_ARATH</v>
      </c>
      <c r="D14343" t="s">
        <v>9424</v>
      </c>
      <c r="E14343" s="3" t="s">
        <v>3</v>
      </c>
      <c r="F14343" s="4">
        <v>0</v>
      </c>
      <c r="G14343" s="3">
        <v>3262</v>
      </c>
      <c r="H14343" s="3">
        <v>75</v>
      </c>
      <c r="I14343" s="3">
        <v>759</v>
      </c>
      <c r="J14343" s="3">
        <v>409</v>
      </c>
      <c r="K14343" s="3">
        <v>2676</v>
      </c>
      <c r="L14343" s="3">
        <v>150</v>
      </c>
      <c r="M14343" s="3">
        <v>905</v>
      </c>
    </row>
    <row r="14344" spans="1:13" x14ac:dyDescent="0.25">
      <c r="A14344" s="1" t="str">
        <f>HYPERLINK("http://www.rosaceae.org/Prunus/Prunus_persica/p.persica_gdr_reftransV1_0014496","p.persica_gdr_reftransV1_0014496")</f>
        <v>p.persica_gdr_reftransV1_0014496</v>
      </c>
      <c r="B14344" s="3">
        <v>834</v>
      </c>
      <c r="C14344" s="1" t="str">
        <f>HYPERLINK("http://www.uniprot.org/uniprot/MIFH_TRITR","MIFH_TRITR")</f>
        <v>MIFH_TRITR</v>
      </c>
      <c r="D14344" t="s">
        <v>9425</v>
      </c>
      <c r="E14344" s="3" t="s">
        <v>9426</v>
      </c>
      <c r="F14344" s="4">
        <v>3.7800000000000001E-11</v>
      </c>
      <c r="G14344" s="3">
        <v>151</v>
      </c>
      <c r="H14344" s="3">
        <v>35</v>
      </c>
      <c r="I14344" s="3">
        <v>104</v>
      </c>
      <c r="J14344" s="3">
        <v>218</v>
      </c>
      <c r="K14344" s="3">
        <v>529</v>
      </c>
      <c r="L14344" s="3">
        <v>1</v>
      </c>
      <c r="M14344" s="3">
        <v>102</v>
      </c>
    </row>
    <row r="14345" spans="1:13" x14ac:dyDescent="0.25">
      <c r="A14345" s="1" t="str">
        <f>HYPERLINK("http://www.rosaceae.org/Prunus/Prunus_persica/p.persica_gdr_reftransV1_0014746","p.persica_gdr_reftransV1_0014746")</f>
        <v>p.persica_gdr_reftransV1_0014746</v>
      </c>
      <c r="B14345" s="3">
        <v>1570</v>
      </c>
      <c r="C14345" s="1" t="str">
        <f>HYPERLINK("http://www.uniprot.org/uniprot/SCP51_ARATH","SCP51_ARATH")</f>
        <v>SCP51_ARATH</v>
      </c>
      <c r="D14345" t="s">
        <v>9427</v>
      </c>
      <c r="E14345" s="3" t="s">
        <v>3</v>
      </c>
      <c r="F14345" s="4">
        <v>1.6599999999999999E-175</v>
      </c>
      <c r="G14345" s="3">
        <v>1313</v>
      </c>
      <c r="H14345" s="3">
        <v>68</v>
      </c>
      <c r="I14345" s="3">
        <v>398</v>
      </c>
      <c r="J14345" s="3">
        <v>2</v>
      </c>
      <c r="K14345" s="3">
        <v>1189</v>
      </c>
      <c r="L14345" s="3">
        <v>64</v>
      </c>
      <c r="M14345" s="3">
        <v>459</v>
      </c>
    </row>
    <row r="14346" spans="1:13" x14ac:dyDescent="0.25">
      <c r="A14346" s="1" t="str">
        <f>HYPERLINK("http://www.rosaceae.org/Prunus/Prunus_persica/p.persica_gdr_reftransV1_0014846","p.persica_gdr_reftransV1_0014846")</f>
        <v>p.persica_gdr_reftransV1_0014846</v>
      </c>
      <c r="B14346" s="3">
        <v>2396</v>
      </c>
      <c r="C14346" s="1" t="str">
        <f>HYPERLINK("http://www.uniprot.org/uniprot/AFR_ARATH","AFR_ARATH")</f>
        <v>AFR_ARATH</v>
      </c>
      <c r="D14346" t="s">
        <v>9428</v>
      </c>
      <c r="E14346" s="3" t="s">
        <v>3</v>
      </c>
      <c r="F14346" s="4">
        <v>8.7099999999999998E-136</v>
      </c>
      <c r="G14346" s="3">
        <v>1064</v>
      </c>
      <c r="H14346" s="3">
        <v>57</v>
      </c>
      <c r="I14346" s="3">
        <v>361</v>
      </c>
      <c r="J14346" s="3">
        <v>995</v>
      </c>
      <c r="K14346" s="3">
        <v>2071</v>
      </c>
      <c r="L14346" s="3">
        <v>18</v>
      </c>
      <c r="M14346" s="3">
        <v>371</v>
      </c>
    </row>
    <row r="14347" spans="1:13" x14ac:dyDescent="0.25">
      <c r="A14347" s="1" t="str">
        <f>HYPERLINK("http://www.rosaceae.org/Prunus/Prunus_persica/p.persica_gdr_reftransV1_0015146","p.persica_gdr_reftransV1_0015146")</f>
        <v>p.persica_gdr_reftransV1_0015146</v>
      </c>
      <c r="B14347" s="3">
        <v>760</v>
      </c>
      <c r="C14347" s="1" t="str">
        <f>HYPERLINK("http://www.uniprot.org/uniprot/PP232_ARATH","PP232_ARATH")</f>
        <v>PP232_ARATH</v>
      </c>
      <c r="D14347" t="s">
        <v>9429</v>
      </c>
      <c r="E14347" s="3" t="s">
        <v>3</v>
      </c>
      <c r="F14347" s="4">
        <v>4.7500000000000003E-112</v>
      </c>
      <c r="G14347" s="3">
        <v>882</v>
      </c>
      <c r="H14347" s="3">
        <v>67</v>
      </c>
      <c r="I14347" s="3">
        <v>235</v>
      </c>
      <c r="J14347" s="3">
        <v>2</v>
      </c>
      <c r="K14347" s="3">
        <v>706</v>
      </c>
      <c r="L14347" s="3">
        <v>455</v>
      </c>
      <c r="M14347" s="3">
        <v>689</v>
      </c>
    </row>
    <row r="14348" spans="1:13" x14ac:dyDescent="0.25">
      <c r="A14348" s="1" t="str">
        <f>HYPERLINK("http://www.rosaceae.org/Prunus/Prunus_persica/p.persica_gdr_reftransV1_0015246","p.persica_gdr_reftransV1_0015246")</f>
        <v>p.persica_gdr_reftransV1_0015246</v>
      </c>
      <c r="B14348" s="3">
        <v>2037</v>
      </c>
      <c r="C14348" s="1" t="str">
        <f>HYPERLINK("http://www.uniprot.org/uniprot/MAX1_ARATH","MAX1_ARATH")</f>
        <v>MAX1_ARATH</v>
      </c>
      <c r="D14348" t="s">
        <v>9430</v>
      </c>
      <c r="E14348" s="3" t="s">
        <v>3</v>
      </c>
      <c r="F14348" s="4">
        <v>0</v>
      </c>
      <c r="G14348" s="3">
        <v>1974</v>
      </c>
      <c r="H14348" s="3">
        <v>75</v>
      </c>
      <c r="I14348" s="3">
        <v>505</v>
      </c>
      <c r="J14348" s="3">
        <v>16</v>
      </c>
      <c r="K14348" s="3">
        <v>1530</v>
      </c>
      <c r="L14348" s="3">
        <v>32</v>
      </c>
      <c r="M14348" s="3">
        <v>521</v>
      </c>
    </row>
    <row r="14349" spans="1:13" x14ac:dyDescent="0.25">
      <c r="A14349" s="1" t="str">
        <f>HYPERLINK("http://www.rosaceae.org/Prunus/Prunus_persica/p.persica_gdr_reftransV1_0015296","p.persica_gdr_reftransV1_0015296")</f>
        <v>p.persica_gdr_reftransV1_0015296</v>
      </c>
      <c r="B14349" s="3">
        <v>2533</v>
      </c>
      <c r="C14349" s="1" t="str">
        <f>HYPERLINK("http://www.uniprot.org/uniprot/Y4374_ARATH","Y4374_ARATH")</f>
        <v>Y4374_ARATH</v>
      </c>
      <c r="D14349" t="s">
        <v>9431</v>
      </c>
      <c r="E14349" s="3" t="s">
        <v>3</v>
      </c>
      <c r="F14349" s="4">
        <v>0</v>
      </c>
      <c r="G14349" s="3">
        <v>1736</v>
      </c>
      <c r="H14349" s="3">
        <v>66</v>
      </c>
      <c r="I14349" s="3">
        <v>614</v>
      </c>
      <c r="J14349" s="3">
        <v>501</v>
      </c>
      <c r="K14349" s="3">
        <v>2294</v>
      </c>
      <c r="L14349" s="3">
        <v>22</v>
      </c>
      <c r="M14349" s="3">
        <v>635</v>
      </c>
    </row>
    <row r="14350" spans="1:13" x14ac:dyDescent="0.25">
      <c r="A14350" s="1" t="str">
        <f>HYPERLINK("http://www.rosaceae.org/Prunus/Prunus_persica/p.persica_gdr_reftransV1_0015346","p.persica_gdr_reftransV1_0015346")</f>
        <v>p.persica_gdr_reftransV1_0015346</v>
      </c>
      <c r="B14350" s="3">
        <v>1569</v>
      </c>
      <c r="C14350" s="1" t="str">
        <f>HYPERLINK("http://www.uniprot.org/uniprot/QKIL5_ARATH","QKIL5_ARATH")</f>
        <v>QKIL5_ARATH</v>
      </c>
      <c r="D14350" t="s">
        <v>9432</v>
      </c>
      <c r="E14350" s="3" t="s">
        <v>3</v>
      </c>
      <c r="F14350" s="4">
        <v>5.3300000000000001E-119</v>
      </c>
      <c r="G14350" s="3">
        <v>921</v>
      </c>
      <c r="H14350" s="3">
        <v>65</v>
      </c>
      <c r="I14350" s="3">
        <v>321</v>
      </c>
      <c r="J14350" s="3">
        <v>141</v>
      </c>
      <c r="K14350" s="3">
        <v>1091</v>
      </c>
      <c r="L14350" s="3">
        <v>10</v>
      </c>
      <c r="M14350" s="3">
        <v>296</v>
      </c>
    </row>
    <row r="14351" spans="1:13" x14ac:dyDescent="0.25">
      <c r="A14351" s="1" t="str">
        <f>HYPERLINK("http://www.rosaceae.org/Prunus/Prunus_persica/p.persica_gdr_reftransV1_0015646","p.persica_gdr_reftransV1_0015646")</f>
        <v>p.persica_gdr_reftransV1_0015646</v>
      </c>
      <c r="B14351" s="3">
        <v>2074</v>
      </c>
      <c r="C14351" s="1" t="str">
        <f>HYPERLINK("http://www.uniprot.org/uniprot/MCAC1_ARATH","MCAC1_ARATH")</f>
        <v>MCAC1_ARATH</v>
      </c>
      <c r="D14351" t="s">
        <v>9268</v>
      </c>
      <c r="E14351" s="3" t="s">
        <v>3</v>
      </c>
      <c r="F14351" s="4">
        <v>0</v>
      </c>
      <c r="G14351" s="3">
        <v>1566</v>
      </c>
      <c r="H14351" s="3">
        <v>74</v>
      </c>
      <c r="I14351" s="3">
        <v>424</v>
      </c>
      <c r="J14351" s="3">
        <v>257</v>
      </c>
      <c r="K14351" s="3">
        <v>1501</v>
      </c>
      <c r="L14351" s="3">
        <v>1</v>
      </c>
      <c r="M14351" s="3">
        <v>420</v>
      </c>
    </row>
    <row r="14352" spans="1:13" x14ac:dyDescent="0.25">
      <c r="A14352" s="1" t="str">
        <f>HYPERLINK("http://www.rosaceae.org/Prunus/Prunus_persica/p.persica_gdr_reftransV1_0015846","p.persica_gdr_reftransV1_0015846")</f>
        <v>p.persica_gdr_reftransV1_0015846</v>
      </c>
      <c r="B14352" s="3">
        <v>1954</v>
      </c>
      <c r="C14352" s="1" t="str">
        <f>HYPERLINK("http://www.uniprot.org/uniprot/C14C2_ORYSJ","C14C2_ORYSJ")</f>
        <v>C14C2_ORYSJ</v>
      </c>
      <c r="D14352" t="s">
        <v>1022</v>
      </c>
      <c r="E14352" s="3" t="s">
        <v>38</v>
      </c>
      <c r="F14352" s="4">
        <v>5.5000000000000002E-173</v>
      </c>
      <c r="G14352" s="3">
        <v>1314</v>
      </c>
      <c r="H14352" s="3">
        <v>54</v>
      </c>
      <c r="I14352" s="3">
        <v>505</v>
      </c>
      <c r="J14352" s="3">
        <v>141</v>
      </c>
      <c r="K14352" s="3">
        <v>1646</v>
      </c>
      <c r="L14352" s="3">
        <v>30</v>
      </c>
      <c r="M14352" s="3">
        <v>522</v>
      </c>
    </row>
    <row r="14353" spans="1:13" x14ac:dyDescent="0.25">
      <c r="A14353" s="1" t="str">
        <f>HYPERLINK("http://www.rosaceae.org/Prunus/Prunus_persica/p.persica_gdr_reftransV1_0015996","p.persica_gdr_reftransV1_0015996")</f>
        <v>p.persica_gdr_reftransV1_0015996</v>
      </c>
      <c r="B14353" s="3">
        <v>860</v>
      </c>
      <c r="C14353" s="1" t="str">
        <f>HYPERLINK("http://www.uniprot.org/uniprot/PUMP4_ARATH","PUMP4_ARATH")</f>
        <v>PUMP4_ARATH</v>
      </c>
      <c r="D14353" t="s">
        <v>8660</v>
      </c>
      <c r="E14353" s="3" t="s">
        <v>3</v>
      </c>
      <c r="F14353" s="4">
        <v>4.85E-113</v>
      </c>
      <c r="G14353" s="3">
        <v>860</v>
      </c>
      <c r="H14353" s="3">
        <v>79</v>
      </c>
      <c r="I14353" s="3">
        <v>225</v>
      </c>
      <c r="J14353" s="3">
        <v>186</v>
      </c>
      <c r="K14353" s="3">
        <v>860</v>
      </c>
      <c r="L14353" s="3">
        <v>89</v>
      </c>
      <c r="M14353" s="3">
        <v>308</v>
      </c>
    </row>
    <row r="14354" spans="1:13" x14ac:dyDescent="0.25">
      <c r="A14354" s="1" t="str">
        <f>HYPERLINK("http://www.rosaceae.org/Prunus/Prunus_persica/p.persica_gdr_reftransV1_0016096","p.persica_gdr_reftransV1_0016096")</f>
        <v>p.persica_gdr_reftransV1_0016096</v>
      </c>
      <c r="B14354" s="3">
        <v>2019</v>
      </c>
      <c r="C14354" s="1" t="str">
        <f>HYPERLINK("http://www.uniprot.org/uniprot/QORH_ARATH","QORH_ARATH")</f>
        <v>QORH_ARATH</v>
      </c>
      <c r="D14354" t="s">
        <v>1938</v>
      </c>
      <c r="E14354" s="3" t="s">
        <v>3</v>
      </c>
      <c r="F14354" s="4">
        <v>1.6999999999999999E-167</v>
      </c>
      <c r="G14354" s="3">
        <v>1261</v>
      </c>
      <c r="H14354" s="3">
        <v>73</v>
      </c>
      <c r="I14354" s="3">
        <v>329</v>
      </c>
      <c r="J14354" s="3">
        <v>299</v>
      </c>
      <c r="K14354" s="3">
        <v>1285</v>
      </c>
      <c r="L14354" s="3">
        <v>1</v>
      </c>
      <c r="M14354" s="3">
        <v>329</v>
      </c>
    </row>
    <row r="14355" spans="1:13" x14ac:dyDescent="0.25">
      <c r="A14355" s="1" t="str">
        <f>HYPERLINK("http://www.rosaceae.org/Prunus/Prunus_persica/p.persica_gdr_reftransV1_0016196","p.persica_gdr_reftransV1_0016196")</f>
        <v>p.persica_gdr_reftransV1_0016196</v>
      </c>
      <c r="B14355" s="3">
        <v>3190</v>
      </c>
      <c r="C14355" s="1" t="str">
        <f>HYPERLINK("http://www.uniprot.org/uniprot/SINA2_ARATH","SINA2_ARATH")</f>
        <v>SINA2_ARATH</v>
      </c>
      <c r="D14355" t="s">
        <v>7369</v>
      </c>
      <c r="E14355" s="3" t="s">
        <v>3</v>
      </c>
      <c r="F14355" s="4">
        <v>7.7300000000000005E-176</v>
      </c>
      <c r="G14355" s="3">
        <v>1347</v>
      </c>
      <c r="H14355" s="3">
        <v>86</v>
      </c>
      <c r="I14355" s="3">
        <v>291</v>
      </c>
      <c r="J14355" s="3">
        <v>1827</v>
      </c>
      <c r="K14355" s="3">
        <v>2690</v>
      </c>
      <c r="L14355" s="3">
        <v>20</v>
      </c>
      <c r="M14355" s="3">
        <v>308</v>
      </c>
    </row>
    <row r="14356" spans="1:13" x14ac:dyDescent="0.25">
      <c r="A14356" s="1" t="str">
        <f>HYPERLINK("http://www.rosaceae.org/Prunus/Prunus_persica/p.persica_gdr_reftransV1_0016396","p.persica_gdr_reftransV1_0016396")</f>
        <v>p.persica_gdr_reftransV1_0016396</v>
      </c>
      <c r="B14356" s="3">
        <v>3694</v>
      </c>
      <c r="C14356" s="1" t="str">
        <f>HYPERLINK("http://www.uniprot.org/uniprot/NRAM1_ARATH","NRAM1_ARATH")</f>
        <v>NRAM1_ARATH</v>
      </c>
      <c r="D14356" t="s">
        <v>9433</v>
      </c>
      <c r="E14356" s="3" t="s">
        <v>3</v>
      </c>
      <c r="F14356" s="4">
        <v>4.6299999999999997E-124</v>
      </c>
      <c r="G14356" s="3">
        <v>1027</v>
      </c>
      <c r="H14356" s="3">
        <v>73</v>
      </c>
      <c r="I14356" s="3">
        <v>296</v>
      </c>
      <c r="J14356" s="3">
        <v>2480</v>
      </c>
      <c r="K14356" s="3">
        <v>3355</v>
      </c>
      <c r="L14356" s="3">
        <v>249</v>
      </c>
      <c r="M14356" s="3">
        <v>532</v>
      </c>
    </row>
    <row r="14357" spans="1:13" x14ac:dyDescent="0.25">
      <c r="A14357" s="1" t="str">
        <f>HYPERLINK("http://www.rosaceae.org/Prunus/Prunus_persica/p.persica_gdr_reftransV1_0016546","p.persica_gdr_reftransV1_0016546")</f>
        <v>p.persica_gdr_reftransV1_0016546</v>
      </c>
      <c r="B14357" s="3">
        <v>407</v>
      </c>
      <c r="C14357" s="1" t="str">
        <f>HYPERLINK("http://www.uniprot.org/uniprot/CDT1A_ARATH","CDT1A_ARATH")</f>
        <v>CDT1A_ARATH</v>
      </c>
      <c r="D14357" t="s">
        <v>522</v>
      </c>
      <c r="E14357" s="3" t="s">
        <v>3</v>
      </c>
      <c r="F14357" s="4">
        <v>1.28E-8</v>
      </c>
      <c r="G14357" s="3">
        <v>134</v>
      </c>
      <c r="H14357" s="3">
        <v>38</v>
      </c>
      <c r="I14357" s="3">
        <v>85</v>
      </c>
      <c r="J14357" s="3">
        <v>73</v>
      </c>
      <c r="K14357" s="3">
        <v>327</v>
      </c>
      <c r="L14357" s="3">
        <v>112</v>
      </c>
      <c r="M14357" s="3">
        <v>195</v>
      </c>
    </row>
    <row r="14358" spans="1:13" x14ac:dyDescent="0.25">
      <c r="A14358" s="1" t="str">
        <f>HYPERLINK("http://www.rosaceae.org/Prunus/Prunus_persica/p.persica_gdr_reftransV1_0016646","p.persica_gdr_reftransV1_0016646")</f>
        <v>p.persica_gdr_reftransV1_0016646</v>
      </c>
      <c r="B14358" s="3">
        <v>1649</v>
      </c>
      <c r="C14358" s="1" t="str">
        <f>HYPERLINK("http://www.uniprot.org/uniprot/NADC_ARATH","NADC_ARATH")</f>
        <v>NADC_ARATH</v>
      </c>
      <c r="D14358" t="s">
        <v>2741</v>
      </c>
      <c r="E14358" s="3" t="s">
        <v>3</v>
      </c>
      <c r="F14358" s="4">
        <v>6.52E-170</v>
      </c>
      <c r="G14358" s="3">
        <v>1267</v>
      </c>
      <c r="H14358" s="3">
        <v>72</v>
      </c>
      <c r="I14358" s="3">
        <v>371</v>
      </c>
      <c r="J14358" s="3">
        <v>209</v>
      </c>
      <c r="K14358" s="3">
        <v>1321</v>
      </c>
      <c r="L14358" s="3">
        <v>11</v>
      </c>
      <c r="M14358" s="3">
        <v>348</v>
      </c>
    </row>
    <row r="14359" spans="1:13" x14ac:dyDescent="0.25">
      <c r="A14359" s="1" t="str">
        <f>HYPERLINK("http://www.rosaceae.org/Prunus/Prunus_persica/p.persica_gdr_reftransV1_0016696","p.persica_gdr_reftransV1_0016696")</f>
        <v>p.persica_gdr_reftransV1_0016696</v>
      </c>
      <c r="B14359" s="3">
        <v>1063</v>
      </c>
      <c r="C14359" s="1" t="str">
        <f>HYPERLINK("http://www.uniprot.org/uniprot/PABP8_ARATH","PABP8_ARATH")</f>
        <v>PABP8_ARATH</v>
      </c>
      <c r="D14359" t="s">
        <v>4238</v>
      </c>
      <c r="E14359" s="3" t="s">
        <v>3</v>
      </c>
      <c r="F14359" s="4">
        <v>4.5599999999999997E-74</v>
      </c>
      <c r="G14359" s="3">
        <v>632</v>
      </c>
      <c r="H14359" s="3">
        <v>69</v>
      </c>
      <c r="I14359" s="3">
        <v>262</v>
      </c>
      <c r="J14359" s="3">
        <v>1</v>
      </c>
      <c r="K14359" s="3">
        <v>753</v>
      </c>
      <c r="L14359" s="3">
        <v>415</v>
      </c>
      <c r="M14359" s="3">
        <v>670</v>
      </c>
    </row>
    <row r="14360" spans="1:13" x14ac:dyDescent="0.25">
      <c r="A14360" s="1" t="str">
        <f>HYPERLINK("http://www.rosaceae.org/Prunus/Prunus_persica/p.persica_gdr_reftransV1_0016796","p.persica_gdr_reftransV1_0016796")</f>
        <v>p.persica_gdr_reftransV1_0016796</v>
      </c>
      <c r="B14360" s="3">
        <v>3242</v>
      </c>
      <c r="C14360" s="1" t="str">
        <f>HYPERLINK("http://www.uniprot.org/uniprot/Y5673_ARATH","Y5673_ARATH")</f>
        <v>Y5673_ARATH</v>
      </c>
      <c r="D14360" t="s">
        <v>9434</v>
      </c>
      <c r="E14360" s="3" t="s">
        <v>3</v>
      </c>
      <c r="F14360" s="4">
        <v>0</v>
      </c>
      <c r="G14360" s="3">
        <v>1558</v>
      </c>
      <c r="H14360" s="3">
        <v>55</v>
      </c>
      <c r="I14360" s="3">
        <v>849</v>
      </c>
      <c r="J14360" s="3">
        <v>324</v>
      </c>
      <c r="K14360" s="3">
        <v>2819</v>
      </c>
      <c r="L14360" s="3">
        <v>24</v>
      </c>
      <c r="M14360" s="3">
        <v>853</v>
      </c>
    </row>
    <row r="14361" spans="1:13" x14ac:dyDescent="0.25">
      <c r="A14361" s="1" t="str">
        <f>HYPERLINK("http://www.rosaceae.org/Prunus/Prunus_persica/p.persica_gdr_reftransV1_0017146","p.persica_gdr_reftransV1_0017146")</f>
        <v>p.persica_gdr_reftransV1_0017146</v>
      </c>
      <c r="B14361" s="3">
        <v>1494</v>
      </c>
      <c r="C14361" s="1" t="str">
        <f>HYPERLINK("http://www.uniprot.org/uniprot/SFH1_ARATH","SFH1_ARATH")</f>
        <v>SFH1_ARATH</v>
      </c>
      <c r="D14361" t="s">
        <v>300</v>
      </c>
      <c r="E14361" s="3" t="s">
        <v>3</v>
      </c>
      <c r="F14361" s="4">
        <v>3.1499999999999998E-20</v>
      </c>
      <c r="G14361" s="3">
        <v>241</v>
      </c>
      <c r="H14361" s="3">
        <v>27</v>
      </c>
      <c r="I14361" s="3">
        <v>282</v>
      </c>
      <c r="J14361" s="3">
        <v>116</v>
      </c>
      <c r="K14361" s="3">
        <v>931</v>
      </c>
      <c r="L14361" s="3">
        <v>49</v>
      </c>
      <c r="M14361" s="3">
        <v>318</v>
      </c>
    </row>
    <row r="14362" spans="1:13" x14ac:dyDescent="0.25">
      <c r="A14362" s="1" t="str">
        <f>HYPERLINK("http://www.rosaceae.org/Prunus/Prunus_persica/p.persica_gdr_reftransV1_0017296","p.persica_gdr_reftransV1_0017296")</f>
        <v>p.persica_gdr_reftransV1_0017296</v>
      </c>
      <c r="B14362" s="3">
        <v>739</v>
      </c>
      <c r="C14362" s="1" t="str">
        <f>HYPERLINK("http://www.uniprot.org/uniprot/PERR_RAUSE","PERR_RAUSE")</f>
        <v>PERR_RAUSE</v>
      </c>
      <c r="D14362" t="s">
        <v>5831</v>
      </c>
      <c r="E14362" s="3" t="s">
        <v>2816</v>
      </c>
      <c r="F14362" s="4">
        <v>4.9600000000000002E-89</v>
      </c>
      <c r="G14362" s="3">
        <v>699</v>
      </c>
      <c r="H14362" s="3">
        <v>66</v>
      </c>
      <c r="I14362" s="3">
        <v>184</v>
      </c>
      <c r="J14362" s="3">
        <v>2</v>
      </c>
      <c r="K14362" s="3">
        <v>553</v>
      </c>
      <c r="L14362" s="3">
        <v>151</v>
      </c>
      <c r="M14362" s="3">
        <v>334</v>
      </c>
    </row>
    <row r="14363" spans="1:13" x14ac:dyDescent="0.25">
      <c r="A14363" s="1" t="str">
        <f>HYPERLINK("http://www.rosaceae.org/Prunus/Prunus_persica/p.persica_gdr_reftransV1_0017546","p.persica_gdr_reftransV1_0017546")</f>
        <v>p.persica_gdr_reftransV1_0017546</v>
      </c>
      <c r="B14363" s="3">
        <v>2081</v>
      </c>
      <c r="C14363" s="1" t="str">
        <f>HYPERLINK("http://www.uniprot.org/uniprot/RIOK1_HUMAN","RIOK1_HUMAN")</f>
        <v>RIOK1_HUMAN</v>
      </c>
      <c r="D14363" t="s">
        <v>6653</v>
      </c>
      <c r="E14363" s="3" t="s">
        <v>28</v>
      </c>
      <c r="F14363" s="4">
        <v>1.17E-131</v>
      </c>
      <c r="G14363" s="3">
        <v>1046</v>
      </c>
      <c r="H14363" s="3">
        <v>49</v>
      </c>
      <c r="I14363" s="3">
        <v>421</v>
      </c>
      <c r="J14363" s="3">
        <v>490</v>
      </c>
      <c r="K14363" s="3">
        <v>1698</v>
      </c>
      <c r="L14363" s="3">
        <v>91</v>
      </c>
      <c r="M14363" s="3">
        <v>509</v>
      </c>
    </row>
    <row r="14364" spans="1:13" x14ac:dyDescent="0.25">
      <c r="A14364" s="1" t="str">
        <f>HYPERLINK("http://www.rosaceae.org/Prunus/Prunus_persica/p.persica_gdr_reftransV1_0017596","p.persica_gdr_reftransV1_0017596")</f>
        <v>p.persica_gdr_reftransV1_0017596</v>
      </c>
      <c r="B14364" s="3">
        <v>892</v>
      </c>
      <c r="C14364" s="1" t="str">
        <f>HYPERLINK("http://www.uniprot.org/uniprot/PP111_ARATH","PP111_ARATH")</f>
        <v>PP111_ARATH</v>
      </c>
      <c r="D14364" t="s">
        <v>9435</v>
      </c>
      <c r="E14364" s="3" t="s">
        <v>3</v>
      </c>
      <c r="F14364" s="4">
        <v>5.3299999999999996E-130</v>
      </c>
      <c r="G14364" s="3">
        <v>1014</v>
      </c>
      <c r="H14364" s="3">
        <v>64</v>
      </c>
      <c r="I14364" s="3">
        <v>297</v>
      </c>
      <c r="J14364" s="3">
        <v>1</v>
      </c>
      <c r="K14364" s="3">
        <v>891</v>
      </c>
      <c r="L14364" s="3">
        <v>421</v>
      </c>
      <c r="M14364" s="3">
        <v>716</v>
      </c>
    </row>
    <row r="14365" spans="1:13" x14ac:dyDescent="0.25">
      <c r="A14365" s="1" t="str">
        <f>HYPERLINK("http://www.rosaceae.org/Prunus/Prunus_persica/p.persica_gdr_reftransV1_0017746","p.persica_gdr_reftransV1_0017746")</f>
        <v>p.persica_gdr_reftransV1_0017746</v>
      </c>
      <c r="B14365" s="3">
        <v>884</v>
      </c>
      <c r="C14365" s="1" t="str">
        <f>HYPERLINK("http://www.uniprot.org/uniprot/Y5566_ARATH","Y5566_ARATH")</f>
        <v>Y5566_ARATH</v>
      </c>
      <c r="D14365" t="s">
        <v>7549</v>
      </c>
      <c r="E14365" s="3" t="s">
        <v>3</v>
      </c>
      <c r="F14365" s="4">
        <v>1.52E-32</v>
      </c>
      <c r="G14365" s="3">
        <v>306</v>
      </c>
      <c r="H14365" s="3">
        <v>70</v>
      </c>
      <c r="I14365" s="3">
        <v>111</v>
      </c>
      <c r="J14365" s="3">
        <v>396</v>
      </c>
      <c r="K14365" s="3">
        <v>728</v>
      </c>
      <c r="L14365" s="3">
        <v>3</v>
      </c>
      <c r="M14365" s="3">
        <v>111</v>
      </c>
    </row>
    <row r="14366" spans="1:13" x14ac:dyDescent="0.25">
      <c r="A14366" s="1" t="str">
        <f>HYPERLINK("http://www.rosaceae.org/Prunus/Prunus_persica/p.persica_gdr_reftransV1_0017846","p.persica_gdr_reftransV1_0017846")</f>
        <v>p.persica_gdr_reftransV1_0017846</v>
      </c>
      <c r="B14366" s="3">
        <v>3198</v>
      </c>
      <c r="C14366" s="1" t="str">
        <f>HYPERLINK("http://www.uniprot.org/uniprot/UFSP_ARATH","UFSP_ARATH")</f>
        <v>UFSP_ARATH</v>
      </c>
      <c r="D14366" t="s">
        <v>9436</v>
      </c>
      <c r="E14366" s="3" t="s">
        <v>3</v>
      </c>
      <c r="F14366" s="4">
        <v>6.2000000000000004E-158</v>
      </c>
      <c r="G14366" s="3">
        <v>1260</v>
      </c>
      <c r="H14366" s="3">
        <v>84</v>
      </c>
      <c r="I14366" s="3">
        <v>293</v>
      </c>
      <c r="J14366" s="3">
        <v>1931</v>
      </c>
      <c r="K14366" s="3">
        <v>2809</v>
      </c>
      <c r="L14366" s="3">
        <v>353</v>
      </c>
      <c r="M14366" s="3">
        <v>645</v>
      </c>
    </row>
    <row r="14367" spans="1:13" x14ac:dyDescent="0.25">
      <c r="A14367" s="1" t="str">
        <f>HYPERLINK("http://www.rosaceae.org/Prunus/Prunus_persica/p.persica_gdr_reftransV1_0017896","p.persica_gdr_reftransV1_0017896")</f>
        <v>p.persica_gdr_reftransV1_0017896</v>
      </c>
      <c r="B14367" s="3">
        <v>2933</v>
      </c>
      <c r="C14367" s="1" t="str">
        <f>HYPERLINK("http://www.uniprot.org/uniprot/WDR75_DANRE","WDR75_DANRE")</f>
        <v>WDR75_DANRE</v>
      </c>
      <c r="D14367" t="s">
        <v>9437</v>
      </c>
      <c r="E14367" s="3" t="s">
        <v>704</v>
      </c>
      <c r="F14367" s="4">
        <v>3.5399999999999998E-52</v>
      </c>
      <c r="G14367" s="3">
        <v>510</v>
      </c>
      <c r="H14367" s="3">
        <v>25</v>
      </c>
      <c r="I14367" s="3">
        <v>832</v>
      </c>
      <c r="J14367" s="3">
        <v>482</v>
      </c>
      <c r="K14367" s="3">
        <v>2908</v>
      </c>
      <c r="L14367" s="3">
        <v>13</v>
      </c>
      <c r="M14367" s="3">
        <v>761</v>
      </c>
    </row>
    <row r="14368" spans="1:13" x14ac:dyDescent="0.25">
      <c r="A14368" s="1" t="str">
        <f>HYPERLINK("http://www.rosaceae.org/Prunus/Prunus_persica/p.persica_gdr_reftransV1_0017996","p.persica_gdr_reftransV1_0017996")</f>
        <v>p.persica_gdr_reftransV1_0017996</v>
      </c>
      <c r="B14368" s="3">
        <v>1442</v>
      </c>
      <c r="C14368" s="1" t="str">
        <f>HYPERLINK("http://www.uniprot.org/uniprot/FOLD2_ARATH","FOLD2_ARATH")</f>
        <v>FOLD2_ARATH</v>
      </c>
      <c r="D14368" t="s">
        <v>9438</v>
      </c>
      <c r="E14368" s="3" t="s">
        <v>3</v>
      </c>
      <c r="F14368" s="4">
        <v>2.9200000000000001E-126</v>
      </c>
      <c r="G14368" s="3">
        <v>790</v>
      </c>
      <c r="H14368" s="3">
        <v>85</v>
      </c>
      <c r="I14368" s="3">
        <v>200</v>
      </c>
      <c r="J14368" s="3">
        <v>605</v>
      </c>
      <c r="K14368" s="3">
        <v>1204</v>
      </c>
      <c r="L14368" s="3">
        <v>100</v>
      </c>
      <c r="M14368" s="3">
        <v>299</v>
      </c>
    </row>
    <row r="14369" spans="1:13" x14ac:dyDescent="0.25">
      <c r="A14369" s="1" t="str">
        <f>HYPERLINK("http://www.rosaceae.org/Prunus/Prunus_persica/p.persica_gdr_reftransV1_0018046","p.persica_gdr_reftransV1_0018046")</f>
        <v>p.persica_gdr_reftransV1_0018046</v>
      </c>
      <c r="B14369" s="3">
        <v>1079</v>
      </c>
      <c r="C14369" s="1" t="str">
        <f>HYPERLINK("http://www.uniprot.org/uniprot/SWC6_ARATH","SWC6_ARATH")</f>
        <v>SWC6_ARATH</v>
      </c>
      <c r="D14369" t="s">
        <v>9439</v>
      </c>
      <c r="E14369" s="3" t="s">
        <v>3</v>
      </c>
      <c r="F14369" s="4">
        <v>7.01E-76</v>
      </c>
      <c r="G14369" s="3">
        <v>607</v>
      </c>
      <c r="H14369" s="3">
        <v>72</v>
      </c>
      <c r="I14369" s="3">
        <v>173</v>
      </c>
      <c r="J14369" s="3">
        <v>228</v>
      </c>
      <c r="K14369" s="3">
        <v>743</v>
      </c>
      <c r="L14369" s="3">
        <v>1</v>
      </c>
      <c r="M14369" s="3">
        <v>171</v>
      </c>
    </row>
    <row r="14370" spans="1:13" x14ac:dyDescent="0.25">
      <c r="A14370" s="1" t="str">
        <f>HYPERLINK("http://www.rosaceae.org/Prunus/Prunus_persica/p.persica_gdr_reftransV1_0018096","p.persica_gdr_reftransV1_0018096")</f>
        <v>p.persica_gdr_reftransV1_0018096</v>
      </c>
      <c r="B14370" s="3">
        <v>2380</v>
      </c>
      <c r="C14370" s="1" t="str">
        <f>HYPERLINK("http://www.uniprot.org/uniprot/TCP7_ARATH","TCP7_ARATH")</f>
        <v>TCP7_ARATH</v>
      </c>
      <c r="D14370" t="s">
        <v>9440</v>
      </c>
      <c r="E14370" s="3" t="s">
        <v>3</v>
      </c>
      <c r="F14370" s="4">
        <v>9.6999999999999992E-62</v>
      </c>
      <c r="G14370" s="3">
        <v>543</v>
      </c>
      <c r="H14370" s="3">
        <v>58</v>
      </c>
      <c r="I14370" s="3">
        <v>267</v>
      </c>
      <c r="J14370" s="3">
        <v>166</v>
      </c>
      <c r="K14370" s="3">
        <v>951</v>
      </c>
      <c r="L14370" s="3">
        <v>25</v>
      </c>
      <c r="M14370" s="3">
        <v>250</v>
      </c>
    </row>
    <row r="14371" spans="1:13" x14ac:dyDescent="0.25">
      <c r="A14371" s="1" t="str">
        <f>HYPERLINK("http://www.rosaceae.org/Prunus/Prunus_persica/p.persica_gdr_reftransV1_0018246","p.persica_gdr_reftransV1_0018246")</f>
        <v>p.persica_gdr_reftransV1_0018246</v>
      </c>
      <c r="B14371" s="3">
        <v>1918</v>
      </c>
      <c r="C14371" s="1" t="str">
        <f>HYPERLINK("http://www.uniprot.org/uniprot/TCX2_ARATH","TCX2_ARATH")</f>
        <v>TCX2_ARATH</v>
      </c>
      <c r="D14371" t="s">
        <v>3046</v>
      </c>
      <c r="E14371" s="3" t="s">
        <v>3</v>
      </c>
      <c r="F14371" s="4">
        <v>3.2299999999999998E-57</v>
      </c>
      <c r="G14371" s="3">
        <v>534</v>
      </c>
      <c r="H14371" s="3">
        <v>64</v>
      </c>
      <c r="I14371" s="3">
        <v>150</v>
      </c>
      <c r="J14371" s="3">
        <v>561</v>
      </c>
      <c r="K14371" s="3">
        <v>1007</v>
      </c>
      <c r="L14371" s="3">
        <v>351</v>
      </c>
      <c r="M14371" s="3">
        <v>498</v>
      </c>
    </row>
    <row r="14372" spans="1:13" x14ac:dyDescent="0.25">
      <c r="A14372" s="1" t="str">
        <f>HYPERLINK("http://www.rosaceae.org/Prunus/Prunus_persica/p.persica_gdr_reftransV1_0018796","p.persica_gdr_reftransV1_0018796")</f>
        <v>p.persica_gdr_reftransV1_0018796</v>
      </c>
      <c r="B14372" s="3">
        <v>1328</v>
      </c>
      <c r="C14372" s="1" t="str">
        <f>HYPERLINK("http://www.uniprot.org/uniprot/PSA1A_ARATH","PSA1A_ARATH")</f>
        <v>PSA1A_ARATH</v>
      </c>
      <c r="D14372" t="s">
        <v>9441</v>
      </c>
      <c r="E14372" s="3" t="s">
        <v>3</v>
      </c>
      <c r="F14372" s="4">
        <v>9.3700000000000003E-156</v>
      </c>
      <c r="G14372" s="3">
        <v>1155</v>
      </c>
      <c r="H14372" s="3">
        <v>87</v>
      </c>
      <c r="I14372" s="3">
        <v>238</v>
      </c>
      <c r="J14372" s="3">
        <v>174</v>
      </c>
      <c r="K14372" s="3">
        <v>887</v>
      </c>
      <c r="L14372" s="3">
        <v>1</v>
      </c>
      <c r="M14372" s="3">
        <v>238</v>
      </c>
    </row>
    <row r="14373" spans="1:13" x14ac:dyDescent="0.25">
      <c r="A14373" s="1" t="str">
        <f>HYPERLINK("http://www.rosaceae.org/Prunus/Prunus_persica/p.persica_gdr_reftransV1_0018896","p.persica_gdr_reftransV1_0018896")</f>
        <v>p.persica_gdr_reftransV1_0018896</v>
      </c>
      <c r="B14373" s="3">
        <v>522</v>
      </c>
      <c r="C14373" s="1" t="str">
        <f>HYPERLINK("http://www.uniprot.org/uniprot/CRK6_ARATH","CRK6_ARATH")</f>
        <v>CRK6_ARATH</v>
      </c>
      <c r="D14373" t="s">
        <v>9442</v>
      </c>
      <c r="E14373" s="3" t="s">
        <v>3</v>
      </c>
      <c r="F14373" s="4">
        <v>7.6899999999999999E-46</v>
      </c>
      <c r="G14373" s="3">
        <v>260</v>
      </c>
      <c r="H14373" s="3">
        <v>65</v>
      </c>
      <c r="I14373" s="3">
        <v>71</v>
      </c>
      <c r="J14373" s="3">
        <v>308</v>
      </c>
      <c r="K14373" s="3">
        <v>520</v>
      </c>
      <c r="L14373" s="3">
        <v>367</v>
      </c>
      <c r="M14373" s="3">
        <v>437</v>
      </c>
    </row>
    <row r="14374" spans="1:13" x14ac:dyDescent="0.25">
      <c r="A14374" s="1" t="str">
        <f>HYPERLINK("http://www.rosaceae.org/Prunus/Prunus_persica/p.persica_gdr_reftransV1_0019046","p.persica_gdr_reftransV1_0019046")</f>
        <v>p.persica_gdr_reftransV1_0019046</v>
      </c>
      <c r="B14374" s="3">
        <v>843</v>
      </c>
      <c r="C14374" s="1" t="str">
        <f>HYPERLINK("http://www.uniprot.org/uniprot/NAA20_DICDI","NAA20_DICDI")</f>
        <v>NAA20_DICDI</v>
      </c>
      <c r="D14374" t="s">
        <v>9443</v>
      </c>
      <c r="E14374" s="3" t="s">
        <v>9</v>
      </c>
      <c r="F14374" s="4">
        <v>4.0199999999999998E-68</v>
      </c>
      <c r="G14374" s="3">
        <v>548</v>
      </c>
      <c r="H14374" s="3">
        <v>60</v>
      </c>
      <c r="I14374" s="3">
        <v>166</v>
      </c>
      <c r="J14374" s="3">
        <v>268</v>
      </c>
      <c r="K14374" s="3">
        <v>765</v>
      </c>
      <c r="L14374" s="3">
        <v>7</v>
      </c>
      <c r="M14374" s="3">
        <v>172</v>
      </c>
    </row>
    <row r="14375" spans="1:13" x14ac:dyDescent="0.25">
      <c r="A14375" s="1" t="str">
        <f>HYPERLINK("http://www.rosaceae.org/Prunus/Prunus_persica/p.persica_gdr_reftransV1_0019096","p.persica_gdr_reftransV1_0019096")</f>
        <v>p.persica_gdr_reftransV1_0019096</v>
      </c>
      <c r="B14375" s="3">
        <v>554</v>
      </c>
      <c r="C14375" s="1" t="str">
        <f>HYPERLINK("http://www.uniprot.org/uniprot/MIOX_ORYSJ","MIOX_ORYSJ")</f>
        <v>MIOX_ORYSJ</v>
      </c>
      <c r="D14375" t="s">
        <v>9444</v>
      </c>
      <c r="E14375" s="3" t="s">
        <v>38</v>
      </c>
      <c r="F14375" s="4">
        <v>1.2600000000000001E-58</v>
      </c>
      <c r="G14375" s="3">
        <v>487</v>
      </c>
      <c r="H14375" s="3">
        <v>85</v>
      </c>
      <c r="I14375" s="3">
        <v>103</v>
      </c>
      <c r="J14375" s="3">
        <v>244</v>
      </c>
      <c r="K14375" s="3">
        <v>552</v>
      </c>
      <c r="L14375" s="3">
        <v>206</v>
      </c>
      <c r="M14375" s="3">
        <v>308</v>
      </c>
    </row>
    <row r="14376" spans="1:13" x14ac:dyDescent="0.25">
      <c r="A14376" s="1" t="str">
        <f>HYPERLINK("http://www.rosaceae.org/Prunus/Prunus_persica/p.persica_gdr_reftransV1_0019196","p.persica_gdr_reftransV1_0019196")</f>
        <v>p.persica_gdr_reftransV1_0019196</v>
      </c>
      <c r="B14376" s="3">
        <v>1934</v>
      </c>
      <c r="C14376" s="1" t="str">
        <f>HYPERLINK("http://www.uniprot.org/uniprot/PLY22_ARATH","PLY22_ARATH")</f>
        <v>PLY22_ARATH</v>
      </c>
      <c r="D14376" t="s">
        <v>384</v>
      </c>
      <c r="E14376" s="3" t="s">
        <v>3</v>
      </c>
      <c r="F14376" s="4">
        <v>0</v>
      </c>
      <c r="G14376" s="3">
        <v>1466</v>
      </c>
      <c r="H14376" s="3">
        <v>84</v>
      </c>
      <c r="I14376" s="3">
        <v>315</v>
      </c>
      <c r="J14376" s="3">
        <v>820</v>
      </c>
      <c r="K14376" s="3">
        <v>1764</v>
      </c>
      <c r="L14376" s="3">
        <v>44</v>
      </c>
      <c r="M14376" s="3">
        <v>358</v>
      </c>
    </row>
    <row r="14377" spans="1:13" x14ac:dyDescent="0.25">
      <c r="A14377" s="1" t="str">
        <f>HYPERLINK("http://www.rosaceae.org/Prunus/Prunus_persica/p.persica_gdr_reftransV1_0019296","p.persica_gdr_reftransV1_0019296")</f>
        <v>p.persica_gdr_reftransV1_0019296</v>
      </c>
      <c r="B14377" s="3">
        <v>425</v>
      </c>
      <c r="C14377" s="1" t="str">
        <f>HYPERLINK("http://www.uniprot.org/uniprot/Y3148_ARATH","Y3148_ARATH")</f>
        <v>Y3148_ARATH</v>
      </c>
      <c r="D14377" t="s">
        <v>953</v>
      </c>
      <c r="E14377" s="3" t="s">
        <v>3</v>
      </c>
      <c r="F14377" s="4">
        <v>1.7500000000000001E-74</v>
      </c>
      <c r="G14377" s="3">
        <v>623</v>
      </c>
      <c r="H14377" s="3">
        <v>79</v>
      </c>
      <c r="I14377" s="3">
        <v>141</v>
      </c>
      <c r="J14377" s="3">
        <v>3</v>
      </c>
      <c r="K14377" s="3">
        <v>425</v>
      </c>
      <c r="L14377" s="3">
        <v>702</v>
      </c>
      <c r="M14377" s="3">
        <v>842</v>
      </c>
    </row>
    <row r="14378" spans="1:13" x14ac:dyDescent="0.25">
      <c r="A14378" s="1" t="str">
        <f>HYPERLINK("http://www.rosaceae.org/Prunus/Prunus_persica/p.persica_gdr_reftransV1_0019496","p.persica_gdr_reftransV1_0019496")</f>
        <v>p.persica_gdr_reftransV1_0019496</v>
      </c>
      <c r="B14378" s="3">
        <v>2099</v>
      </c>
      <c r="C14378" s="1" t="str">
        <f>HYPERLINK("http://www.uniprot.org/uniprot/TBL7_ARATH","TBL7_ARATH")</f>
        <v>TBL7_ARATH</v>
      </c>
      <c r="D14378" t="s">
        <v>6023</v>
      </c>
      <c r="E14378" s="3" t="s">
        <v>3</v>
      </c>
      <c r="F14378" s="4">
        <v>6.31E-164</v>
      </c>
      <c r="G14378" s="3">
        <v>1251</v>
      </c>
      <c r="H14378" s="3">
        <v>60</v>
      </c>
      <c r="I14378" s="3">
        <v>375</v>
      </c>
      <c r="J14378" s="3">
        <v>581</v>
      </c>
      <c r="K14378" s="3">
        <v>1693</v>
      </c>
      <c r="L14378" s="3">
        <v>68</v>
      </c>
      <c r="M14378" s="3">
        <v>440</v>
      </c>
    </row>
    <row r="14379" spans="1:13" x14ac:dyDescent="0.25">
      <c r="A14379" s="1" t="str">
        <f>HYPERLINK("http://www.rosaceae.org/Prunus/Prunus_persica/p.persica_gdr_reftransV1_0019746","p.persica_gdr_reftransV1_0019746")</f>
        <v>p.persica_gdr_reftransV1_0019746</v>
      </c>
      <c r="B14379" s="3">
        <v>919</v>
      </c>
      <c r="C14379" s="1" t="str">
        <f>HYPERLINK("http://www.uniprot.org/uniprot/ITPK1_MAIZE","ITPK1_MAIZE")</f>
        <v>ITPK1_MAIZE</v>
      </c>
      <c r="D14379" t="s">
        <v>9445</v>
      </c>
      <c r="E14379" s="3" t="s">
        <v>72</v>
      </c>
      <c r="F14379" s="4">
        <v>6.9000000000000002E-81</v>
      </c>
      <c r="G14379" s="3">
        <v>651</v>
      </c>
      <c r="H14379" s="3">
        <v>64</v>
      </c>
      <c r="I14379" s="3">
        <v>195</v>
      </c>
      <c r="J14379" s="3">
        <v>4</v>
      </c>
      <c r="K14379" s="3">
        <v>579</v>
      </c>
      <c r="L14379" s="3">
        <v>18</v>
      </c>
      <c r="M14379" s="3">
        <v>210</v>
      </c>
    </row>
    <row r="14380" spans="1:13" x14ac:dyDescent="0.25">
      <c r="A14380" s="1" t="str">
        <f>HYPERLINK("http://www.rosaceae.org/Prunus/Prunus_persica/p.persica_gdr_reftransV1_0019996","p.persica_gdr_reftransV1_0019996")</f>
        <v>p.persica_gdr_reftransV1_0019996</v>
      </c>
      <c r="B14380" s="3">
        <v>575</v>
      </c>
      <c r="C14380" s="1" t="str">
        <f>HYPERLINK("http://www.uniprot.org/uniprot/TBL38_ARATH","TBL38_ARATH")</f>
        <v>TBL38_ARATH</v>
      </c>
      <c r="D14380" t="s">
        <v>3149</v>
      </c>
      <c r="E14380" s="3" t="s">
        <v>3</v>
      </c>
      <c r="F14380" s="4">
        <v>2.7600000000000001E-47</v>
      </c>
      <c r="G14380" s="3">
        <v>416</v>
      </c>
      <c r="H14380" s="3">
        <v>65</v>
      </c>
      <c r="I14380" s="3">
        <v>119</v>
      </c>
      <c r="J14380" s="3">
        <v>1</v>
      </c>
      <c r="K14380" s="3">
        <v>357</v>
      </c>
      <c r="L14380" s="3">
        <v>263</v>
      </c>
      <c r="M14380" s="3">
        <v>378</v>
      </c>
    </row>
    <row r="14381" spans="1:13" x14ac:dyDescent="0.25">
      <c r="A14381" s="1" t="str">
        <f>HYPERLINK("http://www.rosaceae.org/Prunus/Prunus_persica/p.persica_gdr_reftransV1_0020046","p.persica_gdr_reftransV1_0020046")</f>
        <v>p.persica_gdr_reftransV1_0020046</v>
      </c>
      <c r="B14381" s="3">
        <v>1139</v>
      </c>
      <c r="C14381" s="1" t="str">
        <f>HYPERLINK("http://www.uniprot.org/uniprot/KRI1_BOVIN","KRI1_BOVIN")</f>
        <v>KRI1_BOVIN</v>
      </c>
      <c r="D14381" t="s">
        <v>9446</v>
      </c>
      <c r="E14381" s="3" t="s">
        <v>184</v>
      </c>
      <c r="F14381" s="4">
        <v>3.2399999999999998E-13</v>
      </c>
      <c r="G14381" s="3">
        <v>182</v>
      </c>
      <c r="H14381" s="3">
        <v>60</v>
      </c>
      <c r="I14381" s="3">
        <v>57</v>
      </c>
      <c r="J14381" s="3">
        <v>827</v>
      </c>
      <c r="K14381" s="3">
        <v>997</v>
      </c>
      <c r="L14381" s="3">
        <v>503</v>
      </c>
      <c r="M14381" s="3">
        <v>559</v>
      </c>
    </row>
    <row r="14382" spans="1:13" x14ac:dyDescent="0.25">
      <c r="A14382" s="1" t="str">
        <f>HYPERLINK("http://www.rosaceae.org/Prunus/Prunus_persica/p.persica_gdr_reftransV1_0020146","p.persica_gdr_reftransV1_0020146")</f>
        <v>p.persica_gdr_reftransV1_0020146</v>
      </c>
      <c r="B14382" s="3">
        <v>5428</v>
      </c>
      <c r="C14382" s="1" t="str">
        <f>HYPERLINK("http://www.uniprot.org/uniprot/SPY_ARATH","SPY_ARATH")</f>
        <v>SPY_ARATH</v>
      </c>
      <c r="D14382" t="s">
        <v>9447</v>
      </c>
      <c r="E14382" s="3" t="s">
        <v>3</v>
      </c>
      <c r="F14382" s="4">
        <v>0</v>
      </c>
      <c r="G14382" s="3">
        <v>2317</v>
      </c>
      <c r="H14382" s="3">
        <v>83</v>
      </c>
      <c r="I14382" s="3">
        <v>548</v>
      </c>
      <c r="J14382" s="3">
        <v>599</v>
      </c>
      <c r="K14382" s="3">
        <v>2242</v>
      </c>
      <c r="L14382" s="3">
        <v>353</v>
      </c>
      <c r="M14382" s="3">
        <v>899</v>
      </c>
    </row>
    <row r="14383" spans="1:13" x14ac:dyDescent="0.25">
      <c r="A14383" s="1" t="str">
        <f>HYPERLINK("http://www.rosaceae.org/Prunus/Prunus_persica/p.persica_gdr_reftransV1_0020296","p.persica_gdr_reftransV1_0020296")</f>
        <v>p.persica_gdr_reftransV1_0020296</v>
      </c>
      <c r="B14383" s="3">
        <v>1713</v>
      </c>
      <c r="C14383" s="1" t="str">
        <f>HYPERLINK("http://www.uniprot.org/uniprot/CLU_ARATH","CLU_ARATH")</f>
        <v>CLU_ARATH</v>
      </c>
      <c r="D14383" t="s">
        <v>6860</v>
      </c>
      <c r="E14383" s="3" t="s">
        <v>3</v>
      </c>
      <c r="F14383" s="4">
        <v>0</v>
      </c>
      <c r="G14383" s="3">
        <v>1654</v>
      </c>
      <c r="H14383" s="3">
        <v>70</v>
      </c>
      <c r="I14383" s="3">
        <v>486</v>
      </c>
      <c r="J14383" s="3">
        <v>166</v>
      </c>
      <c r="K14383" s="3">
        <v>1542</v>
      </c>
      <c r="L14383" s="3">
        <v>1</v>
      </c>
      <c r="M14383" s="3">
        <v>483</v>
      </c>
    </row>
    <row r="14384" spans="1:13" x14ac:dyDescent="0.25">
      <c r="A14384" s="1" t="str">
        <f>HYPERLINK("http://www.rosaceae.org/Prunus/Prunus_persica/p.persica_gdr_reftransV1_0020346","p.persica_gdr_reftransV1_0020346")</f>
        <v>p.persica_gdr_reftransV1_0020346</v>
      </c>
      <c r="B14384" s="3">
        <v>2406</v>
      </c>
      <c r="C14384" s="1" t="str">
        <f>HYPERLINK("http://www.uniprot.org/uniprot/MIRO2_ARATH","MIRO2_ARATH")</f>
        <v>MIRO2_ARATH</v>
      </c>
      <c r="D14384" t="s">
        <v>9448</v>
      </c>
      <c r="E14384" s="3" t="s">
        <v>3</v>
      </c>
      <c r="F14384" s="4">
        <v>0</v>
      </c>
      <c r="G14384" s="3">
        <v>2186</v>
      </c>
      <c r="H14384" s="3">
        <v>65</v>
      </c>
      <c r="I14384" s="3">
        <v>615</v>
      </c>
      <c r="J14384" s="3">
        <v>365</v>
      </c>
      <c r="K14384" s="3">
        <v>2209</v>
      </c>
      <c r="L14384" s="3">
        <v>9</v>
      </c>
      <c r="M14384" s="3">
        <v>623</v>
      </c>
    </row>
    <row r="14385" spans="1:13" x14ac:dyDescent="0.25">
      <c r="A14385" s="1" t="str">
        <f>HYPERLINK("http://www.rosaceae.org/Prunus/Prunus_persica/p.persica_gdr_reftransV1_0020596","p.persica_gdr_reftransV1_0020596")</f>
        <v>p.persica_gdr_reftransV1_0020596</v>
      </c>
      <c r="B14385" s="3">
        <v>1912</v>
      </c>
      <c r="C14385" s="1" t="str">
        <f>HYPERLINK("http://www.uniprot.org/uniprot/TMKL1_ARATH","TMKL1_ARATH")</f>
        <v>TMKL1_ARATH</v>
      </c>
      <c r="D14385" t="s">
        <v>3055</v>
      </c>
      <c r="E14385" s="3" t="s">
        <v>3</v>
      </c>
      <c r="F14385" s="4">
        <v>0</v>
      </c>
      <c r="G14385" s="3">
        <v>2123</v>
      </c>
      <c r="H14385" s="3">
        <v>75</v>
      </c>
      <c r="I14385" s="3">
        <v>550</v>
      </c>
      <c r="J14385" s="3">
        <v>3</v>
      </c>
      <c r="K14385" s="3">
        <v>1649</v>
      </c>
      <c r="L14385" s="3">
        <v>127</v>
      </c>
      <c r="M14385" s="3">
        <v>674</v>
      </c>
    </row>
    <row r="14386" spans="1:13" x14ac:dyDescent="0.25">
      <c r="A14386" s="1" t="str">
        <f>HYPERLINK("http://www.rosaceae.org/Prunus/Prunus_persica/p.persica_gdr_reftransV1_0020646","p.persica_gdr_reftransV1_0020646")</f>
        <v>p.persica_gdr_reftransV1_0020646</v>
      </c>
      <c r="B14386" s="3">
        <v>1515</v>
      </c>
      <c r="C14386" s="1" t="str">
        <f>HYPERLINK("http://www.uniprot.org/uniprot/MATE7_ARATH","MATE7_ARATH")</f>
        <v>MATE7_ARATH</v>
      </c>
      <c r="D14386" t="s">
        <v>9449</v>
      </c>
      <c r="E14386" s="3" t="s">
        <v>3</v>
      </c>
      <c r="F14386" s="4">
        <v>3.1400000000000001E-38</v>
      </c>
      <c r="G14386" s="3">
        <v>378</v>
      </c>
      <c r="H14386" s="3">
        <v>46</v>
      </c>
      <c r="I14386" s="3">
        <v>185</v>
      </c>
      <c r="J14386" s="3">
        <v>960</v>
      </c>
      <c r="K14386" s="3">
        <v>1514</v>
      </c>
      <c r="L14386" s="3">
        <v>287</v>
      </c>
      <c r="M14386" s="3">
        <v>471</v>
      </c>
    </row>
    <row r="14387" spans="1:13" x14ac:dyDescent="0.25">
      <c r="A14387" s="1" t="str">
        <f>HYPERLINK("http://www.rosaceae.org/Prunus/Prunus_persica/p.persica_gdr_reftransV1_0020696","p.persica_gdr_reftransV1_0020696")</f>
        <v>p.persica_gdr_reftransV1_0020696</v>
      </c>
      <c r="B14387" s="3">
        <v>4996</v>
      </c>
      <c r="C14387" s="1" t="str">
        <f>HYPERLINK("http://www.uniprot.org/uniprot/ATM_ARATH","ATM_ARATH")</f>
        <v>ATM_ARATH</v>
      </c>
      <c r="D14387" t="s">
        <v>2500</v>
      </c>
      <c r="E14387" s="3" t="s">
        <v>3</v>
      </c>
      <c r="F14387" s="4">
        <v>0</v>
      </c>
      <c r="G14387" s="3">
        <v>5405</v>
      </c>
      <c r="H14387" s="3">
        <v>67</v>
      </c>
      <c r="I14387" s="3">
        <v>1533</v>
      </c>
      <c r="J14387" s="3">
        <v>419</v>
      </c>
      <c r="K14387" s="3">
        <v>4996</v>
      </c>
      <c r="L14387" s="3">
        <v>2370</v>
      </c>
      <c r="M14387" s="3">
        <v>3856</v>
      </c>
    </row>
    <row r="14388" spans="1:13" x14ac:dyDescent="0.25">
      <c r="A14388" s="1" t="str">
        <f>HYPERLINK("http://www.rosaceae.org/Prunus/Prunus_persica/p.persica_gdr_reftransV1_0020896","p.persica_gdr_reftransV1_0020896")</f>
        <v>p.persica_gdr_reftransV1_0020896</v>
      </c>
      <c r="B14388" s="3">
        <v>1241</v>
      </c>
      <c r="C14388" s="1" t="str">
        <f>HYPERLINK("http://www.uniprot.org/uniprot/MT21A_HUMAN","MT21A_HUMAN")</f>
        <v>MT21A_HUMAN</v>
      </c>
      <c r="D14388" t="s">
        <v>9450</v>
      </c>
      <c r="E14388" s="3" t="s">
        <v>28</v>
      </c>
      <c r="F14388" s="4">
        <v>2.2199999999999999E-13</v>
      </c>
      <c r="G14388" s="3">
        <v>177</v>
      </c>
      <c r="H14388" s="3">
        <v>31</v>
      </c>
      <c r="I14388" s="3">
        <v>162</v>
      </c>
      <c r="J14388" s="3">
        <v>572</v>
      </c>
      <c r="K14388" s="3">
        <v>1048</v>
      </c>
      <c r="L14388" s="3">
        <v>21</v>
      </c>
      <c r="M14388" s="3">
        <v>166</v>
      </c>
    </row>
    <row r="14389" spans="1:13" x14ac:dyDescent="0.25">
      <c r="A14389" s="1" t="str">
        <f>HYPERLINK("http://www.rosaceae.org/Prunus/Prunus_persica/p.persica_gdr_reftransV1_0021096","p.persica_gdr_reftransV1_0021096")</f>
        <v>p.persica_gdr_reftransV1_0021096</v>
      </c>
      <c r="B14389" s="3">
        <v>2205</v>
      </c>
      <c r="C14389" s="1" t="str">
        <f>HYPERLINK("http://www.uniprot.org/uniprot/PP193_ARATH","PP193_ARATH")</f>
        <v>PP193_ARATH</v>
      </c>
      <c r="D14389" t="s">
        <v>9451</v>
      </c>
      <c r="E14389" s="3" t="s">
        <v>3</v>
      </c>
      <c r="F14389" s="4">
        <v>2.1999999999999999E-130</v>
      </c>
      <c r="G14389" s="3">
        <v>1031</v>
      </c>
      <c r="H14389" s="3">
        <v>47</v>
      </c>
      <c r="I14389" s="3">
        <v>454</v>
      </c>
      <c r="J14389" s="3">
        <v>724</v>
      </c>
      <c r="K14389" s="3">
        <v>2085</v>
      </c>
      <c r="L14389" s="3">
        <v>1</v>
      </c>
      <c r="M14389" s="3">
        <v>453</v>
      </c>
    </row>
    <row r="14390" spans="1:13" x14ac:dyDescent="0.25">
      <c r="A14390" s="1" t="str">
        <f>HYPERLINK("http://www.rosaceae.org/Prunus/Prunus_persica/p.persica_gdr_reftransV1_0021146","p.persica_gdr_reftransV1_0021146")</f>
        <v>p.persica_gdr_reftransV1_0021146</v>
      </c>
      <c r="B14390" s="3">
        <v>2257</v>
      </c>
      <c r="C14390" s="1" t="str">
        <f>HYPERLINK("http://www.uniprot.org/uniprot/MENE_ARATH","MENE_ARATH")</f>
        <v>MENE_ARATH</v>
      </c>
      <c r="D14390" t="s">
        <v>9452</v>
      </c>
      <c r="E14390" s="3" t="s">
        <v>3</v>
      </c>
      <c r="F14390" s="4">
        <v>1.35E-103</v>
      </c>
      <c r="G14390" s="3">
        <v>860</v>
      </c>
      <c r="H14390" s="3">
        <v>60</v>
      </c>
      <c r="I14390" s="3">
        <v>275</v>
      </c>
      <c r="J14390" s="3">
        <v>90</v>
      </c>
      <c r="K14390" s="3">
        <v>914</v>
      </c>
      <c r="L14390" s="3">
        <v>1</v>
      </c>
      <c r="M14390" s="3">
        <v>275</v>
      </c>
    </row>
    <row r="14391" spans="1:13" x14ac:dyDescent="0.25">
      <c r="A14391" s="1" t="str">
        <f>HYPERLINK("http://www.rosaceae.org/Prunus/Prunus_persica/p.persica_gdr_reftransV1_0021196","p.persica_gdr_reftransV1_0021196")</f>
        <v>p.persica_gdr_reftransV1_0021196</v>
      </c>
      <c r="B14391" s="3">
        <v>3329</v>
      </c>
      <c r="C14391" s="1" t="str">
        <f>HYPERLINK("http://www.uniprot.org/uniprot/TIO_ARATH","TIO_ARATH")</f>
        <v>TIO_ARATH</v>
      </c>
      <c r="D14391" t="s">
        <v>3936</v>
      </c>
      <c r="E14391" s="3" t="s">
        <v>3</v>
      </c>
      <c r="F14391" s="4">
        <v>0</v>
      </c>
      <c r="G14391" s="3">
        <v>3237</v>
      </c>
      <c r="H14391" s="3">
        <v>64</v>
      </c>
      <c r="I14391" s="3">
        <v>1093</v>
      </c>
      <c r="J14391" s="3">
        <v>57</v>
      </c>
      <c r="K14391" s="3">
        <v>3329</v>
      </c>
      <c r="L14391" s="3">
        <v>1</v>
      </c>
      <c r="M14391" s="3">
        <v>1063</v>
      </c>
    </row>
    <row r="14392" spans="1:13" x14ac:dyDescent="0.25">
      <c r="A14392" s="1" t="str">
        <f>HYPERLINK("http://www.rosaceae.org/Prunus/Prunus_persica/p.persica_gdr_reftransV1_0021346","p.persica_gdr_reftransV1_0021346")</f>
        <v>p.persica_gdr_reftransV1_0021346</v>
      </c>
      <c r="B14392" s="3">
        <v>5718</v>
      </c>
      <c r="C14392" s="1" t="str">
        <f>HYPERLINK("http://www.uniprot.org/uniprot/PAE3_ARATH","PAE3_ARATH")</f>
        <v>PAE3_ARATH</v>
      </c>
      <c r="D14392" t="s">
        <v>9453</v>
      </c>
      <c r="E14392" s="3" t="s">
        <v>3</v>
      </c>
      <c r="F14392" s="4">
        <v>0</v>
      </c>
      <c r="G14392" s="3">
        <v>1592</v>
      </c>
      <c r="H14392" s="3">
        <v>76</v>
      </c>
      <c r="I14392" s="3">
        <v>372</v>
      </c>
      <c r="J14392" s="3">
        <v>4253</v>
      </c>
      <c r="K14392" s="3">
        <v>5368</v>
      </c>
      <c r="L14392" s="3">
        <v>45</v>
      </c>
      <c r="M14392" s="3">
        <v>416</v>
      </c>
    </row>
    <row r="14393" spans="1:13" x14ac:dyDescent="0.25">
      <c r="A14393" s="1" t="str">
        <f>HYPERLINK("http://www.rosaceae.org/Prunus/Prunus_persica/p.persica_gdr_reftransV1_0021646","p.persica_gdr_reftransV1_0021646")</f>
        <v>p.persica_gdr_reftransV1_0021646</v>
      </c>
      <c r="B14393" s="3">
        <v>3595</v>
      </c>
      <c r="C14393" s="1" t="str">
        <f>HYPERLINK("http://www.uniprot.org/uniprot/PHL1_ARATH","PHL1_ARATH")</f>
        <v>PHL1_ARATH</v>
      </c>
      <c r="D14393" t="s">
        <v>2239</v>
      </c>
      <c r="E14393" s="3" t="s">
        <v>3</v>
      </c>
      <c r="F14393" s="4">
        <v>4.8199999999999996E-40</v>
      </c>
      <c r="G14393" s="3">
        <v>402</v>
      </c>
      <c r="H14393" s="3">
        <v>45</v>
      </c>
      <c r="I14393" s="3">
        <v>225</v>
      </c>
      <c r="J14393" s="3">
        <v>564</v>
      </c>
      <c r="K14393" s="3">
        <v>1199</v>
      </c>
      <c r="L14393" s="3">
        <v>148</v>
      </c>
      <c r="M14393" s="3">
        <v>365</v>
      </c>
    </row>
    <row r="14394" spans="1:13" x14ac:dyDescent="0.25">
      <c r="A14394" s="1" t="str">
        <f>HYPERLINK("http://www.rosaceae.org/Prunus/Prunus_persica/p.persica_gdr_reftransV1_0022196","p.persica_gdr_reftransV1_0022196")</f>
        <v>p.persica_gdr_reftransV1_0022196</v>
      </c>
      <c r="B14394" s="3">
        <v>1736</v>
      </c>
      <c r="C14394" s="1" t="str">
        <f>HYPERLINK("http://www.uniprot.org/uniprot/TRO_ARATH","TRO_ARATH")</f>
        <v>TRO_ARATH</v>
      </c>
      <c r="D14394" t="s">
        <v>9454</v>
      </c>
      <c r="E14394" s="3" t="s">
        <v>3</v>
      </c>
      <c r="F14394" s="4">
        <v>9.8399999999999997E-131</v>
      </c>
      <c r="G14394" s="3">
        <v>1025</v>
      </c>
      <c r="H14394" s="3">
        <v>82</v>
      </c>
      <c r="I14394" s="3">
        <v>259</v>
      </c>
      <c r="J14394" s="3">
        <v>388</v>
      </c>
      <c r="K14394" s="3">
        <v>1161</v>
      </c>
      <c r="L14394" s="3">
        <v>250</v>
      </c>
      <c r="M14394" s="3">
        <v>508</v>
      </c>
    </row>
    <row r="14395" spans="1:13" x14ac:dyDescent="0.25">
      <c r="A14395" s="1" t="str">
        <f>HYPERLINK("http://www.rosaceae.org/Prunus/Prunus_persica/p.persica_gdr_reftransV1_0022596","p.persica_gdr_reftransV1_0022596")</f>
        <v>p.persica_gdr_reftransV1_0022596</v>
      </c>
      <c r="B14395" s="3">
        <v>870</v>
      </c>
      <c r="C14395" s="1" t="str">
        <f>HYPERLINK("http://www.uniprot.org/uniprot/PXG2_ARATH","PXG2_ARATH")</f>
        <v>PXG2_ARATH</v>
      </c>
      <c r="D14395" t="s">
        <v>9455</v>
      </c>
      <c r="E14395" s="3" t="s">
        <v>3</v>
      </c>
      <c r="F14395" s="4">
        <v>1.4499999999999999E-107</v>
      </c>
      <c r="G14395" s="3">
        <v>818</v>
      </c>
      <c r="H14395" s="3">
        <v>67</v>
      </c>
      <c r="I14395" s="3">
        <v>219</v>
      </c>
      <c r="J14395" s="3">
        <v>1</v>
      </c>
      <c r="K14395" s="3">
        <v>657</v>
      </c>
      <c r="L14395" s="3">
        <v>11</v>
      </c>
      <c r="M14395" s="3">
        <v>229</v>
      </c>
    </row>
    <row r="14396" spans="1:13" x14ac:dyDescent="0.25">
      <c r="A14396" s="1" t="str">
        <f>HYPERLINK("http://www.rosaceae.org/Prunus/Prunus_persica/p.persica_gdr_reftransV1_0022646","p.persica_gdr_reftransV1_0022646")</f>
        <v>p.persica_gdr_reftransV1_0022646</v>
      </c>
      <c r="B14396" s="3">
        <v>2152</v>
      </c>
      <c r="C14396" s="1" t="str">
        <f>HYPERLINK("http://www.uniprot.org/uniprot/CND2_ARATH","CND2_ARATH")</f>
        <v>CND2_ARATH</v>
      </c>
      <c r="D14396" t="s">
        <v>4184</v>
      </c>
      <c r="E14396" s="3" t="s">
        <v>3</v>
      </c>
      <c r="F14396" s="4">
        <v>0</v>
      </c>
      <c r="G14396" s="3">
        <v>2005</v>
      </c>
      <c r="H14396" s="3">
        <v>63</v>
      </c>
      <c r="I14396" s="3">
        <v>678</v>
      </c>
      <c r="J14396" s="3">
        <v>83</v>
      </c>
      <c r="K14396" s="3">
        <v>2047</v>
      </c>
      <c r="L14396" s="3">
        <v>1</v>
      </c>
      <c r="M14396" s="3">
        <v>670</v>
      </c>
    </row>
    <row r="14397" spans="1:13" x14ac:dyDescent="0.25">
      <c r="A14397" s="1" t="str">
        <f>HYPERLINK("http://www.rosaceae.org/Prunus/Prunus_persica/p.persica_gdr_reftransV1_0022696","p.persica_gdr_reftransV1_0022696")</f>
        <v>p.persica_gdr_reftransV1_0022696</v>
      </c>
      <c r="B14397" s="3">
        <v>1796</v>
      </c>
      <c r="C14397" s="1" t="str">
        <f>HYPERLINK("http://www.uniprot.org/uniprot/NAC82_ARATH","NAC82_ARATH")</f>
        <v>NAC82_ARATH</v>
      </c>
      <c r="D14397" t="s">
        <v>7845</v>
      </c>
      <c r="E14397" s="3" t="s">
        <v>3</v>
      </c>
      <c r="F14397" s="4">
        <v>1.99E-81</v>
      </c>
      <c r="G14397" s="3">
        <v>691</v>
      </c>
      <c r="H14397" s="3">
        <v>46</v>
      </c>
      <c r="I14397" s="3">
        <v>369</v>
      </c>
      <c r="J14397" s="3">
        <v>452</v>
      </c>
      <c r="K14397" s="3">
        <v>1501</v>
      </c>
      <c r="L14397" s="3">
        <v>1</v>
      </c>
      <c r="M14397" s="3">
        <v>337</v>
      </c>
    </row>
    <row r="14398" spans="1:13" x14ac:dyDescent="0.25">
      <c r="A14398" s="1" t="str">
        <f>HYPERLINK("http://www.rosaceae.org/Prunus/Prunus_persica/p.persica_gdr_reftransV1_0022896","p.persica_gdr_reftransV1_0022896")</f>
        <v>p.persica_gdr_reftransV1_0022896</v>
      </c>
      <c r="B14398" s="3">
        <v>4460</v>
      </c>
      <c r="C14398" s="1" t="str">
        <f>HYPERLINK("http://www.uniprot.org/uniprot/G3BP_SCHPO","G3BP_SCHPO")</f>
        <v>G3BP_SCHPO</v>
      </c>
      <c r="D14398" t="s">
        <v>2656</v>
      </c>
      <c r="E14398" s="3" t="s">
        <v>464</v>
      </c>
      <c r="F14398" s="4">
        <v>7.9299999999999993E-21</v>
      </c>
      <c r="G14398" s="3">
        <v>250</v>
      </c>
      <c r="H14398" s="3">
        <v>40</v>
      </c>
      <c r="I14398" s="3">
        <v>131</v>
      </c>
      <c r="J14398" s="3">
        <v>3566</v>
      </c>
      <c r="K14398" s="3">
        <v>3949</v>
      </c>
      <c r="L14398" s="3">
        <v>17</v>
      </c>
      <c r="M14398" s="3">
        <v>146</v>
      </c>
    </row>
    <row r="14399" spans="1:13" x14ac:dyDescent="0.25">
      <c r="A14399" s="1" t="str">
        <f>HYPERLINK("http://www.rosaceae.org/Prunus/Prunus_persica/p.persica_gdr_reftransV1_0023046","p.persica_gdr_reftransV1_0023046")</f>
        <v>p.persica_gdr_reftransV1_0023046</v>
      </c>
      <c r="B14399" s="3">
        <v>3006</v>
      </c>
      <c r="C14399" s="1" t="str">
        <f>HYPERLINK("http://www.uniprot.org/uniprot/TBC15_MOUSE","TBC15_MOUSE")</f>
        <v>TBC15_MOUSE</v>
      </c>
      <c r="D14399" t="s">
        <v>745</v>
      </c>
      <c r="E14399" s="3" t="s">
        <v>157</v>
      </c>
      <c r="F14399" s="4">
        <v>3.9700000000000001E-24</v>
      </c>
      <c r="G14399" s="3">
        <v>280</v>
      </c>
      <c r="H14399" s="3">
        <v>43</v>
      </c>
      <c r="I14399" s="3">
        <v>145</v>
      </c>
      <c r="J14399" s="3">
        <v>1314</v>
      </c>
      <c r="K14399" s="3">
        <v>1742</v>
      </c>
      <c r="L14399" s="3">
        <v>394</v>
      </c>
      <c r="M14399" s="3">
        <v>537</v>
      </c>
    </row>
    <row r="14400" spans="1:13" x14ac:dyDescent="0.25">
      <c r="A14400" s="1" t="str">
        <f>HYPERLINK("http://www.rosaceae.org/Prunus/Prunus_persica/p.persica_gdr_reftransV1_0023146","p.persica_gdr_reftransV1_0023146")</f>
        <v>p.persica_gdr_reftransV1_0023146</v>
      </c>
      <c r="B14400" s="3">
        <v>1063</v>
      </c>
      <c r="C14400" s="1" t="str">
        <f>HYPERLINK("http://www.uniprot.org/uniprot/GSTXC_TOBAC","GSTXC_TOBAC")</f>
        <v>GSTXC_TOBAC</v>
      </c>
      <c r="D14400" t="s">
        <v>9456</v>
      </c>
      <c r="E14400" s="3" t="s">
        <v>200</v>
      </c>
      <c r="F14400" s="4">
        <v>1.5299999999999999E-114</v>
      </c>
      <c r="G14400" s="3">
        <v>868</v>
      </c>
      <c r="H14400" s="3">
        <v>79</v>
      </c>
      <c r="I14400" s="3">
        <v>206</v>
      </c>
      <c r="J14400" s="3">
        <v>256</v>
      </c>
      <c r="K14400" s="3">
        <v>870</v>
      </c>
      <c r="L14400" s="3">
        <v>4</v>
      </c>
      <c r="M14400" s="3">
        <v>209</v>
      </c>
    </row>
    <row r="14401" spans="1:13" x14ac:dyDescent="0.25">
      <c r="A14401" s="1" t="str">
        <f>HYPERLINK("http://www.rosaceae.org/Prunus/Prunus_persica/p.persica_gdr_reftransV1_0023246","p.persica_gdr_reftransV1_0023246")</f>
        <v>p.persica_gdr_reftransV1_0023246</v>
      </c>
      <c r="B14401" s="3">
        <v>1067</v>
      </c>
      <c r="C14401" s="1" t="str">
        <f>HYPERLINK("http://www.uniprot.org/uniprot/Y5158_ARATH","Y5158_ARATH")</f>
        <v>Y5158_ARATH</v>
      </c>
      <c r="D14401" t="s">
        <v>2423</v>
      </c>
      <c r="E14401" s="3" t="s">
        <v>3</v>
      </c>
      <c r="F14401" s="4">
        <v>1.0699999999999999E-129</v>
      </c>
      <c r="G14401" s="3">
        <v>994</v>
      </c>
      <c r="H14401" s="3">
        <v>78</v>
      </c>
      <c r="I14401" s="3">
        <v>258</v>
      </c>
      <c r="J14401" s="3">
        <v>306</v>
      </c>
      <c r="K14401" s="3">
        <v>1067</v>
      </c>
      <c r="L14401" s="3">
        <v>241</v>
      </c>
      <c r="M14401" s="3">
        <v>488</v>
      </c>
    </row>
    <row r="14402" spans="1:13" x14ac:dyDescent="0.25">
      <c r="A14402" s="1" t="str">
        <f>HYPERLINK("http://www.rosaceae.org/Prunus/Prunus_persica/p.persica_gdr_reftransV1_0023346","p.persica_gdr_reftransV1_0023346")</f>
        <v>p.persica_gdr_reftransV1_0023346</v>
      </c>
      <c r="B14402" s="3">
        <v>1752</v>
      </c>
      <c r="C14402" s="1" t="str">
        <f>HYPERLINK("http://www.uniprot.org/uniprot/SODC_ANACO","SODC_ANACO")</f>
        <v>SODC_ANACO</v>
      </c>
      <c r="D14402" t="s">
        <v>9457</v>
      </c>
      <c r="E14402" s="3" t="s">
        <v>9458</v>
      </c>
      <c r="F14402" s="4">
        <v>5.1700000000000002E-46</v>
      </c>
      <c r="G14402" s="3">
        <v>415</v>
      </c>
      <c r="H14402" s="3">
        <v>88</v>
      </c>
      <c r="I14402" s="3">
        <v>92</v>
      </c>
      <c r="J14402" s="3">
        <v>1441</v>
      </c>
      <c r="K14402" s="3">
        <v>1716</v>
      </c>
      <c r="L14402" s="3">
        <v>1</v>
      </c>
      <c r="M14402" s="3">
        <v>92</v>
      </c>
    </row>
    <row r="14403" spans="1:13" x14ac:dyDescent="0.25">
      <c r="A14403" s="1" t="str">
        <f>HYPERLINK("http://www.rosaceae.org/Prunus/Prunus_persica/p.persica_gdr_reftransV1_0023496","p.persica_gdr_reftransV1_0023496")</f>
        <v>p.persica_gdr_reftransV1_0023496</v>
      </c>
      <c r="B14403" s="3">
        <v>2338</v>
      </c>
      <c r="C14403" s="1" t="str">
        <f>HYPERLINK("http://www.uniprot.org/uniprot/EML3_ARATH","EML3_ARATH")</f>
        <v>EML3_ARATH</v>
      </c>
      <c r="D14403" t="s">
        <v>6358</v>
      </c>
      <c r="E14403" s="3" t="s">
        <v>3</v>
      </c>
      <c r="F14403" s="4">
        <v>1.08E-136</v>
      </c>
      <c r="G14403" s="3">
        <v>1071</v>
      </c>
      <c r="H14403" s="3">
        <v>58</v>
      </c>
      <c r="I14403" s="3">
        <v>430</v>
      </c>
      <c r="J14403" s="3">
        <v>335</v>
      </c>
      <c r="K14403" s="3">
        <v>1621</v>
      </c>
      <c r="L14403" s="3">
        <v>1</v>
      </c>
      <c r="M14403" s="3">
        <v>395</v>
      </c>
    </row>
    <row r="14404" spans="1:13" x14ac:dyDescent="0.25">
      <c r="A14404" s="1" t="str">
        <f>HYPERLINK("http://www.rosaceae.org/Prunus/Prunus_persica/p.persica_gdr_reftransV1_0023746","p.persica_gdr_reftransV1_0023746")</f>
        <v>p.persica_gdr_reftransV1_0023746</v>
      </c>
      <c r="B14404" s="3">
        <v>4564</v>
      </c>
      <c r="C14404" s="1" t="str">
        <f>HYPERLINK("http://www.uniprot.org/uniprot/SCKL1_ARATH","SCKL1_ARATH")</f>
        <v>SCKL1_ARATH</v>
      </c>
      <c r="D14404" t="s">
        <v>9459</v>
      </c>
      <c r="E14404" s="3" t="s">
        <v>3</v>
      </c>
      <c r="F14404" s="4">
        <v>0</v>
      </c>
      <c r="G14404" s="3">
        <v>1679</v>
      </c>
      <c r="H14404" s="3">
        <v>75</v>
      </c>
      <c r="I14404" s="3">
        <v>465</v>
      </c>
      <c r="J14404" s="3">
        <v>207</v>
      </c>
      <c r="K14404" s="3">
        <v>1589</v>
      </c>
      <c r="L14404" s="3">
        <v>31</v>
      </c>
      <c r="M14404" s="3">
        <v>471</v>
      </c>
    </row>
    <row r="14405" spans="1:13" x14ac:dyDescent="0.25">
      <c r="A14405" s="1" t="str">
        <f>HYPERLINK("http://www.rosaceae.org/Prunus/Prunus_persica/p.persica_gdr_reftransV1_0023846","p.persica_gdr_reftransV1_0023846")</f>
        <v>p.persica_gdr_reftransV1_0023846</v>
      </c>
      <c r="B14405" s="3">
        <v>1632</v>
      </c>
      <c r="C14405" s="1" t="str">
        <f>HYPERLINK("http://www.uniprot.org/uniprot/MATE9_ARATH","MATE9_ARATH")</f>
        <v>MATE9_ARATH</v>
      </c>
      <c r="D14405" t="s">
        <v>1205</v>
      </c>
      <c r="E14405" s="3" t="s">
        <v>3</v>
      </c>
      <c r="F14405" s="4">
        <v>1.7599999999999999E-48</v>
      </c>
      <c r="G14405" s="3">
        <v>456</v>
      </c>
      <c r="H14405" s="3">
        <v>32</v>
      </c>
      <c r="I14405" s="3">
        <v>419</v>
      </c>
      <c r="J14405" s="3">
        <v>356</v>
      </c>
      <c r="K14405" s="3">
        <v>1606</v>
      </c>
      <c r="L14405" s="3">
        <v>54</v>
      </c>
      <c r="M14405" s="3">
        <v>468</v>
      </c>
    </row>
    <row r="14406" spans="1:13" x14ac:dyDescent="0.25">
      <c r="A14406" s="1" t="str">
        <f>HYPERLINK("http://www.rosaceae.org/Prunus/Prunus_persica/p.persica_gdr_reftransV1_0023996","p.persica_gdr_reftransV1_0023996")</f>
        <v>p.persica_gdr_reftransV1_0023996</v>
      </c>
      <c r="B14406" s="3">
        <v>3973</v>
      </c>
      <c r="C14406" s="1" t="str">
        <f>HYPERLINK("http://www.uniprot.org/uniprot/AP5B1_XENTR","AP5B1_XENTR")</f>
        <v>AP5B1_XENTR</v>
      </c>
      <c r="D14406" t="s">
        <v>9460</v>
      </c>
      <c r="E14406" s="3" t="s">
        <v>173</v>
      </c>
      <c r="F14406" s="4">
        <v>1.37E-21</v>
      </c>
      <c r="G14406" s="3">
        <v>262</v>
      </c>
      <c r="H14406" s="3">
        <v>24</v>
      </c>
      <c r="I14406" s="3">
        <v>632</v>
      </c>
      <c r="J14406" s="3">
        <v>1689</v>
      </c>
      <c r="K14406" s="3">
        <v>3461</v>
      </c>
      <c r="L14406" s="3">
        <v>68</v>
      </c>
      <c r="M14406" s="3">
        <v>660</v>
      </c>
    </row>
    <row r="14407" spans="1:13" x14ac:dyDescent="0.25">
      <c r="A14407" s="1" t="str">
        <f>HYPERLINK("http://www.rosaceae.org/Prunus/Prunus_persica/p.persica_gdr_reftransV1_0024296","p.persica_gdr_reftransV1_0024296")</f>
        <v>p.persica_gdr_reftransV1_0024296</v>
      </c>
      <c r="B14407" s="3">
        <v>706</v>
      </c>
      <c r="C14407" s="1" t="str">
        <f>HYPERLINK("http://www.uniprot.org/uniprot/SMH4_MAIZE","SMH4_MAIZE")</f>
        <v>SMH4_MAIZE</v>
      </c>
      <c r="D14407" t="s">
        <v>7768</v>
      </c>
      <c r="E14407" s="3" t="s">
        <v>72</v>
      </c>
      <c r="F14407" s="4">
        <v>7.0500000000000001E-27</v>
      </c>
      <c r="G14407" s="3">
        <v>273</v>
      </c>
      <c r="H14407" s="3">
        <v>80</v>
      </c>
      <c r="I14407" s="3">
        <v>60</v>
      </c>
      <c r="J14407" s="3">
        <v>281</v>
      </c>
      <c r="K14407" s="3">
        <v>460</v>
      </c>
      <c r="L14407" s="3">
        <v>1</v>
      </c>
      <c r="M14407" s="3">
        <v>60</v>
      </c>
    </row>
    <row r="14408" spans="1:13" x14ac:dyDescent="0.25">
      <c r="A14408" s="1" t="str">
        <f>HYPERLINK("http://www.rosaceae.org/Prunus/Prunus_persica/p.persica_gdr_reftransV1_0024496","p.persica_gdr_reftransV1_0024496")</f>
        <v>p.persica_gdr_reftransV1_0024496</v>
      </c>
      <c r="B14408" s="3">
        <v>1736</v>
      </c>
      <c r="C14408" s="1" t="str">
        <f>HYPERLINK("http://www.uniprot.org/uniprot/NTF6_TOBAC","NTF6_TOBAC")</f>
        <v>NTF6_TOBAC</v>
      </c>
      <c r="D14408" t="s">
        <v>9461</v>
      </c>
      <c r="E14408" s="3" t="s">
        <v>200</v>
      </c>
      <c r="F14408" s="4">
        <v>0</v>
      </c>
      <c r="G14408" s="3">
        <v>1678</v>
      </c>
      <c r="H14408" s="3">
        <v>82</v>
      </c>
      <c r="I14408" s="3">
        <v>369</v>
      </c>
      <c r="J14408" s="3">
        <v>355</v>
      </c>
      <c r="K14408" s="3">
        <v>1461</v>
      </c>
      <c r="L14408" s="3">
        <v>2</v>
      </c>
      <c r="M14408" s="3">
        <v>370</v>
      </c>
    </row>
    <row r="14409" spans="1:13" x14ac:dyDescent="0.25">
      <c r="A14409" s="1" t="str">
        <f>HYPERLINK("http://www.rosaceae.org/Prunus/Prunus_persica/p.persica_gdr_reftransV1_0024596","p.persica_gdr_reftransV1_0024596")</f>
        <v>p.persica_gdr_reftransV1_0024596</v>
      </c>
      <c r="B14409" s="3">
        <v>4048</v>
      </c>
      <c r="C14409" s="1" t="str">
        <f>HYPERLINK("http://www.uniprot.org/uniprot/AN32_ARATH","AN32_ARATH")</f>
        <v>AN32_ARATH</v>
      </c>
      <c r="D14409" t="s">
        <v>9462</v>
      </c>
      <c r="E14409" s="3" t="s">
        <v>3</v>
      </c>
      <c r="F14409" s="4">
        <v>1.1400000000000001E-71</v>
      </c>
      <c r="G14409" s="3">
        <v>644</v>
      </c>
      <c r="H14409" s="3">
        <v>87</v>
      </c>
      <c r="I14409" s="3">
        <v>156</v>
      </c>
      <c r="J14409" s="3">
        <v>3167</v>
      </c>
      <c r="K14409" s="3">
        <v>3634</v>
      </c>
      <c r="L14409" s="3">
        <v>1</v>
      </c>
      <c r="M14409" s="3">
        <v>156</v>
      </c>
    </row>
    <row r="14410" spans="1:13" x14ac:dyDescent="0.25">
      <c r="A14410" s="1" t="str">
        <f>HYPERLINK("http://www.rosaceae.org/Prunus/Prunus_persica/p.persica_gdr_reftransV1_0024646","p.persica_gdr_reftransV1_0024646")</f>
        <v>p.persica_gdr_reftransV1_0024646</v>
      </c>
      <c r="B14410" s="3">
        <v>4210</v>
      </c>
      <c r="C14410" s="1" t="str">
        <f>HYPERLINK("http://www.uniprot.org/uniprot/CSCLC_ARATH","CSCLC_ARATH")</f>
        <v>CSCLC_ARATH</v>
      </c>
      <c r="D14410" t="s">
        <v>9463</v>
      </c>
      <c r="E14410" s="3" t="s">
        <v>3</v>
      </c>
      <c r="F14410" s="4">
        <v>1.3600000000000001E-91</v>
      </c>
      <c r="G14410" s="3">
        <v>455</v>
      </c>
      <c r="H14410" s="3">
        <v>67</v>
      </c>
      <c r="I14410" s="3">
        <v>144</v>
      </c>
      <c r="J14410" s="3">
        <v>2155</v>
      </c>
      <c r="K14410" s="3">
        <v>2586</v>
      </c>
      <c r="L14410" s="3">
        <v>442</v>
      </c>
      <c r="M14410" s="3">
        <v>584</v>
      </c>
    </row>
    <row r="14411" spans="1:13" x14ac:dyDescent="0.25">
      <c r="A14411" s="1" t="str">
        <f>HYPERLINK("http://www.rosaceae.org/Prunus/Prunus_persica/p.persica_gdr_reftransV1_0024696","p.persica_gdr_reftransV1_0024696")</f>
        <v>p.persica_gdr_reftransV1_0024696</v>
      </c>
      <c r="B14411" s="3">
        <v>1685</v>
      </c>
      <c r="C14411" s="1" t="str">
        <f>HYPERLINK("http://www.uniprot.org/uniprot/Y1853_ARATH","Y1853_ARATH")</f>
        <v>Y1853_ARATH</v>
      </c>
      <c r="D14411" t="s">
        <v>9464</v>
      </c>
      <c r="E14411" s="3" t="s">
        <v>3</v>
      </c>
      <c r="F14411" s="4">
        <v>0</v>
      </c>
      <c r="G14411" s="3">
        <v>1363</v>
      </c>
      <c r="H14411" s="3">
        <v>72</v>
      </c>
      <c r="I14411" s="3">
        <v>344</v>
      </c>
      <c r="J14411" s="3">
        <v>254</v>
      </c>
      <c r="K14411" s="3">
        <v>1267</v>
      </c>
      <c r="L14411" s="3">
        <v>9</v>
      </c>
      <c r="M14411" s="3">
        <v>348</v>
      </c>
    </row>
    <row r="14412" spans="1:13" x14ac:dyDescent="0.25">
      <c r="A14412" s="1" t="str">
        <f>HYPERLINK("http://www.rosaceae.org/Prunus/Prunus_persica/p.persica_gdr_reftransV1_0025046","p.persica_gdr_reftransV1_0025046")</f>
        <v>p.persica_gdr_reftransV1_0025046</v>
      </c>
      <c r="B14412" s="3">
        <v>949</v>
      </c>
      <c r="C14412" s="1" t="str">
        <f>HYPERLINK("http://www.uniprot.org/uniprot/MT21D_MOUSE","MT21D_MOUSE")</f>
        <v>MT21D_MOUSE</v>
      </c>
      <c r="D14412" t="s">
        <v>2654</v>
      </c>
      <c r="E14412" s="3" t="s">
        <v>157</v>
      </c>
      <c r="F14412" s="4">
        <v>4.8100000000000001E-11</v>
      </c>
      <c r="G14412" s="3">
        <v>157</v>
      </c>
      <c r="H14412" s="3">
        <v>26</v>
      </c>
      <c r="I14412" s="3">
        <v>211</v>
      </c>
      <c r="J14412" s="3">
        <v>84</v>
      </c>
      <c r="K14412" s="3">
        <v>704</v>
      </c>
      <c r="L14412" s="3">
        <v>26</v>
      </c>
      <c r="M14412" s="3">
        <v>223</v>
      </c>
    </row>
    <row r="14413" spans="1:13" x14ac:dyDescent="0.25">
      <c r="A14413" s="1" t="str">
        <f>HYPERLINK("http://www.rosaceae.org/Prunus/Prunus_persica/p.persica_gdr_reftransV1_0025096","p.persica_gdr_reftransV1_0025096")</f>
        <v>p.persica_gdr_reftransV1_0025096</v>
      </c>
      <c r="B14413" s="3">
        <v>4637</v>
      </c>
      <c r="C14413" s="1" t="str">
        <f>HYPERLINK("http://www.uniprot.org/uniprot/IP5PF_ARATH","IP5PF_ARATH")</f>
        <v>IP5PF_ARATH</v>
      </c>
      <c r="D14413" t="s">
        <v>6485</v>
      </c>
      <c r="E14413" s="3" t="s">
        <v>3</v>
      </c>
      <c r="F14413" s="4">
        <v>0</v>
      </c>
      <c r="G14413" s="3">
        <v>2995</v>
      </c>
      <c r="H14413" s="3">
        <v>68</v>
      </c>
      <c r="I14413" s="3">
        <v>862</v>
      </c>
      <c r="J14413" s="3">
        <v>1705</v>
      </c>
      <c r="K14413" s="3">
        <v>4242</v>
      </c>
      <c r="L14413" s="3">
        <v>24</v>
      </c>
      <c r="M14413" s="3">
        <v>863</v>
      </c>
    </row>
    <row r="14414" spans="1:13" x14ac:dyDescent="0.25">
      <c r="A14414" s="1" t="str">
        <f>HYPERLINK("http://www.rosaceae.org/Prunus/Prunus_persica/p.persica_gdr_reftransV1_0025146","p.persica_gdr_reftransV1_0025146")</f>
        <v>p.persica_gdr_reftransV1_0025146</v>
      </c>
      <c r="B14414" s="3">
        <v>1938</v>
      </c>
      <c r="C14414" s="1" t="str">
        <f>HYPERLINK("http://www.uniprot.org/uniprot/PP449_ARATH","PP449_ARATH")</f>
        <v>PP449_ARATH</v>
      </c>
      <c r="D14414" t="s">
        <v>1725</v>
      </c>
      <c r="E14414" s="3" t="s">
        <v>3</v>
      </c>
      <c r="F14414" s="4">
        <v>0</v>
      </c>
      <c r="G14414" s="3">
        <v>1487</v>
      </c>
      <c r="H14414" s="3">
        <v>48</v>
      </c>
      <c r="I14414" s="3">
        <v>576</v>
      </c>
      <c r="J14414" s="3">
        <v>4</v>
      </c>
      <c r="K14414" s="3">
        <v>1725</v>
      </c>
      <c r="L14414" s="3">
        <v>45</v>
      </c>
      <c r="M14414" s="3">
        <v>620</v>
      </c>
    </row>
    <row r="14415" spans="1:13" x14ac:dyDescent="0.25">
      <c r="A14415" s="1" t="str">
        <f>HYPERLINK("http://www.rosaceae.org/Prunus/Prunus_persica/p.persica_gdr_reftransV1_0025296","p.persica_gdr_reftransV1_0025296")</f>
        <v>p.persica_gdr_reftransV1_0025296</v>
      </c>
      <c r="B14415" s="3">
        <v>3090</v>
      </c>
      <c r="C14415" s="1" t="str">
        <f>HYPERLINK("http://www.uniprot.org/uniprot/CAX5_ARATH","CAX5_ARATH")</f>
        <v>CAX5_ARATH</v>
      </c>
      <c r="D14415" t="s">
        <v>3939</v>
      </c>
      <c r="E14415" s="3" t="s">
        <v>3</v>
      </c>
      <c r="F14415" s="4">
        <v>1.38E-130</v>
      </c>
      <c r="G14415" s="3">
        <v>1052</v>
      </c>
      <c r="H14415" s="3">
        <v>83</v>
      </c>
      <c r="I14415" s="3">
        <v>240</v>
      </c>
      <c r="J14415" s="3">
        <v>995</v>
      </c>
      <c r="K14415" s="3">
        <v>1714</v>
      </c>
      <c r="L14415" s="3">
        <v>130</v>
      </c>
      <c r="M14415" s="3">
        <v>369</v>
      </c>
    </row>
    <row r="14416" spans="1:13" x14ac:dyDescent="0.25">
      <c r="A14416" s="1" t="str">
        <f>HYPERLINK("http://www.rosaceae.org/Prunus/Prunus_persica/p.persica_gdr_reftransV1_0025446","p.persica_gdr_reftransV1_0025446")</f>
        <v>p.persica_gdr_reftransV1_0025446</v>
      </c>
      <c r="B14416" s="3">
        <v>1538</v>
      </c>
      <c r="C14416" s="1" t="str">
        <f>HYPERLINK("http://www.uniprot.org/uniprot/ACA2_ARATH","ACA2_ARATH")</f>
        <v>ACA2_ARATH</v>
      </c>
      <c r="D14416" t="s">
        <v>7186</v>
      </c>
      <c r="E14416" s="3" t="s">
        <v>3</v>
      </c>
      <c r="F14416" s="4">
        <v>1.01E-147</v>
      </c>
      <c r="G14416" s="3">
        <v>1173</v>
      </c>
      <c r="H14416" s="3">
        <v>87</v>
      </c>
      <c r="I14416" s="3">
        <v>251</v>
      </c>
      <c r="J14416" s="3">
        <v>786</v>
      </c>
      <c r="K14416" s="3">
        <v>1538</v>
      </c>
      <c r="L14416" s="3">
        <v>764</v>
      </c>
      <c r="M14416" s="3">
        <v>1014</v>
      </c>
    </row>
    <row r="14417" spans="1:13" x14ac:dyDescent="0.25">
      <c r="A14417" s="1" t="str">
        <f>HYPERLINK("http://www.rosaceae.org/Prunus/Prunus_persica/p.persica_gdr_reftransV1_0025496","p.persica_gdr_reftransV1_0025496")</f>
        <v>p.persica_gdr_reftransV1_0025496</v>
      </c>
      <c r="B14417" s="3">
        <v>2422</v>
      </c>
      <c r="C14417" s="1" t="str">
        <f>HYPERLINK("http://www.uniprot.org/uniprot/BAT1_ORYSJ","BAT1_ORYSJ")</f>
        <v>BAT1_ORYSJ</v>
      </c>
      <c r="D14417" t="s">
        <v>9465</v>
      </c>
      <c r="E14417" s="3" t="s">
        <v>38</v>
      </c>
      <c r="F14417" s="4">
        <v>1.7200000000000001E-117</v>
      </c>
      <c r="G14417" s="3">
        <v>955</v>
      </c>
      <c r="H14417" s="3">
        <v>78</v>
      </c>
      <c r="I14417" s="3">
        <v>249</v>
      </c>
      <c r="J14417" s="3">
        <v>243</v>
      </c>
      <c r="K14417" s="3">
        <v>989</v>
      </c>
      <c r="L14417" s="3">
        <v>19</v>
      </c>
      <c r="M14417" s="3">
        <v>267</v>
      </c>
    </row>
    <row r="14418" spans="1:13" x14ac:dyDescent="0.25">
      <c r="A14418" s="1" t="str">
        <f>HYPERLINK("http://www.rosaceae.org/Prunus/Prunus_persica/p.persica_gdr_reftransV1_0025896","p.persica_gdr_reftransV1_0025896")</f>
        <v>p.persica_gdr_reftransV1_0025896</v>
      </c>
      <c r="B14418" s="3">
        <v>4466</v>
      </c>
      <c r="C14418" s="1" t="str">
        <f>HYPERLINK("http://www.uniprot.org/uniprot/NPC1_PIG","NPC1_PIG")</f>
        <v>NPC1_PIG</v>
      </c>
      <c r="D14418" t="s">
        <v>9378</v>
      </c>
      <c r="E14418" s="3" t="s">
        <v>1126</v>
      </c>
      <c r="F14418" s="4">
        <v>0</v>
      </c>
      <c r="G14418" s="3">
        <v>1597</v>
      </c>
      <c r="H14418" s="3">
        <v>35</v>
      </c>
      <c r="I14418" s="3">
        <v>1263</v>
      </c>
      <c r="J14418" s="3">
        <v>282</v>
      </c>
      <c r="K14418" s="3">
        <v>3887</v>
      </c>
      <c r="L14418" s="3">
        <v>25</v>
      </c>
      <c r="M14418" s="3">
        <v>1227</v>
      </c>
    </row>
    <row r="14419" spans="1:13" x14ac:dyDescent="0.25">
      <c r="A14419" s="1" t="str">
        <f>HYPERLINK("http://www.rosaceae.org/Prunus/Prunus_persica/p.persica_gdr_reftransV1_0025946","p.persica_gdr_reftransV1_0025946")</f>
        <v>p.persica_gdr_reftransV1_0025946</v>
      </c>
      <c r="B14419" s="3">
        <v>1169</v>
      </c>
      <c r="C14419" s="1" t="str">
        <f>HYPERLINK("http://www.uniprot.org/uniprot/FBK62_ARATH","FBK62_ARATH")</f>
        <v>FBK62_ARATH</v>
      </c>
      <c r="D14419" t="s">
        <v>9466</v>
      </c>
      <c r="E14419" s="3" t="s">
        <v>3</v>
      </c>
      <c r="F14419" s="4">
        <v>6.3900000000000003E-16</v>
      </c>
      <c r="G14419" s="3">
        <v>202</v>
      </c>
      <c r="H14419" s="3">
        <v>31</v>
      </c>
      <c r="I14419" s="3">
        <v>242</v>
      </c>
      <c r="J14419" s="3">
        <v>229</v>
      </c>
      <c r="K14419" s="3">
        <v>909</v>
      </c>
      <c r="L14419" s="3">
        <v>107</v>
      </c>
      <c r="M14419" s="3">
        <v>338</v>
      </c>
    </row>
    <row r="14420" spans="1:13" x14ac:dyDescent="0.25">
      <c r="A14420" s="1" t="str">
        <f>HYPERLINK("http://www.rosaceae.org/Prunus/Prunus_persica/p.persica_gdr_reftransV1_0026146","p.persica_gdr_reftransV1_0026146")</f>
        <v>p.persica_gdr_reftransV1_0026146</v>
      </c>
      <c r="B14420" s="3">
        <v>1297</v>
      </c>
      <c r="C14420" s="1" t="str">
        <f>HYPERLINK("http://www.uniprot.org/uniprot/NAC73_ARATH","NAC73_ARATH")</f>
        <v>NAC73_ARATH</v>
      </c>
      <c r="D14420" t="s">
        <v>5361</v>
      </c>
      <c r="E14420" s="3" t="s">
        <v>3</v>
      </c>
      <c r="F14420" s="4">
        <v>7.9299999999999996E-97</v>
      </c>
      <c r="G14420" s="3">
        <v>766</v>
      </c>
      <c r="H14420" s="3">
        <v>73</v>
      </c>
      <c r="I14420" s="3">
        <v>200</v>
      </c>
      <c r="J14420" s="3">
        <v>344</v>
      </c>
      <c r="K14420" s="3">
        <v>928</v>
      </c>
      <c r="L14420" s="3">
        <v>36</v>
      </c>
      <c r="M14420" s="3">
        <v>234</v>
      </c>
    </row>
    <row r="14421" spans="1:13" x14ac:dyDescent="0.25">
      <c r="A14421" s="1" t="str">
        <f>HYPERLINK("http://www.rosaceae.org/Prunus/Prunus_persica/p.persica_gdr_reftransV1_0026246","p.persica_gdr_reftransV1_0026246")</f>
        <v>p.persica_gdr_reftransV1_0026246</v>
      </c>
      <c r="B14421" s="3">
        <v>1128</v>
      </c>
      <c r="C14421" s="1" t="str">
        <f>HYPERLINK("http://www.uniprot.org/uniprot/LCV2_ARATH","LCV2_ARATH")</f>
        <v>LCV2_ARATH</v>
      </c>
      <c r="D14421" t="s">
        <v>396</v>
      </c>
      <c r="E14421" s="3" t="s">
        <v>3</v>
      </c>
      <c r="F14421" s="4">
        <v>2.0900000000000002E-135</v>
      </c>
      <c r="G14421" s="3">
        <v>1012</v>
      </c>
      <c r="H14421" s="3">
        <v>77</v>
      </c>
      <c r="I14421" s="3">
        <v>261</v>
      </c>
      <c r="J14421" s="3">
        <v>134</v>
      </c>
      <c r="K14421" s="3">
        <v>889</v>
      </c>
      <c r="L14421" s="3">
        <v>1</v>
      </c>
      <c r="M14421" s="3">
        <v>261</v>
      </c>
    </row>
    <row r="14422" spans="1:13" x14ac:dyDescent="0.25">
      <c r="A14422" s="1" t="str">
        <f>HYPERLINK("http://www.rosaceae.org/Prunus/Prunus_persica/p.persica_gdr_reftransV1_0026496","p.persica_gdr_reftransV1_0026496")</f>
        <v>p.persica_gdr_reftransV1_0026496</v>
      </c>
      <c r="B14422" s="3">
        <v>675</v>
      </c>
      <c r="C14422" s="1" t="str">
        <f>HYPERLINK("http://www.uniprot.org/uniprot/PP214_ARATH","PP214_ARATH")</f>
        <v>PP214_ARATH</v>
      </c>
      <c r="D14422" t="s">
        <v>9467</v>
      </c>
      <c r="E14422" s="3" t="s">
        <v>3</v>
      </c>
      <c r="F14422" s="4">
        <v>8.3800000000000005E-35</v>
      </c>
      <c r="G14422" s="3">
        <v>336</v>
      </c>
      <c r="H14422" s="3">
        <v>35</v>
      </c>
      <c r="I14422" s="3">
        <v>196</v>
      </c>
      <c r="J14422" s="3">
        <v>97</v>
      </c>
      <c r="K14422" s="3">
        <v>675</v>
      </c>
      <c r="L14422" s="3">
        <v>10</v>
      </c>
      <c r="M14422" s="3">
        <v>199</v>
      </c>
    </row>
    <row r="14423" spans="1:13" x14ac:dyDescent="0.25">
      <c r="A14423" s="1" t="str">
        <f>HYPERLINK("http://www.rosaceae.org/Prunus/Prunus_persica/p.persica_gdr_reftransV1_0026596","p.persica_gdr_reftransV1_0026596")</f>
        <v>p.persica_gdr_reftransV1_0026596</v>
      </c>
      <c r="B14423" s="3">
        <v>999</v>
      </c>
      <c r="C14423" s="1" t="str">
        <f>HYPERLINK("http://www.uniprot.org/uniprot/GSTFC_ARATH","GSTFC_ARATH")</f>
        <v>GSTFC_ARATH</v>
      </c>
      <c r="D14423" t="s">
        <v>9468</v>
      </c>
      <c r="E14423" s="3" t="s">
        <v>3</v>
      </c>
      <c r="F14423" s="4">
        <v>5.2400000000000001E-74</v>
      </c>
      <c r="G14423" s="3">
        <v>596</v>
      </c>
      <c r="H14423" s="3">
        <v>57</v>
      </c>
      <c r="I14423" s="3">
        <v>212</v>
      </c>
      <c r="J14423" s="3">
        <v>112</v>
      </c>
      <c r="K14423" s="3">
        <v>747</v>
      </c>
      <c r="L14423" s="3">
        <v>1</v>
      </c>
      <c r="M14423" s="3">
        <v>212</v>
      </c>
    </row>
    <row r="14424" spans="1:13" x14ac:dyDescent="0.25">
      <c r="A14424" s="1" t="str">
        <f>HYPERLINK("http://www.rosaceae.org/Prunus/Prunus_persica/p.persica_gdr_reftransV1_0026796","p.persica_gdr_reftransV1_0026796")</f>
        <v>p.persica_gdr_reftransV1_0026796</v>
      </c>
      <c r="B14424" s="3">
        <v>1207</v>
      </c>
      <c r="C14424" s="1" t="str">
        <f>HYPERLINK("http://www.uniprot.org/uniprot/VIAF1_DROME","VIAF1_DROME")</f>
        <v>VIAF1_DROME</v>
      </c>
      <c r="D14424" t="s">
        <v>8339</v>
      </c>
      <c r="E14424" s="3" t="s">
        <v>5</v>
      </c>
      <c r="F14424" s="4">
        <v>4.8199999999999997E-35</v>
      </c>
      <c r="G14424" s="3">
        <v>338</v>
      </c>
      <c r="H14424" s="3">
        <v>43</v>
      </c>
      <c r="I14424" s="3">
        <v>132</v>
      </c>
      <c r="J14424" s="3">
        <v>414</v>
      </c>
      <c r="K14424" s="3">
        <v>806</v>
      </c>
      <c r="L14424" s="3">
        <v>81</v>
      </c>
      <c r="M14424" s="3">
        <v>212</v>
      </c>
    </row>
    <row r="14425" spans="1:13" x14ac:dyDescent="0.25">
      <c r="A14425" s="1" t="str">
        <f>HYPERLINK("http://www.rosaceae.org/Prunus/Prunus_persica/p.persica_gdr_reftransV1_0027046","p.persica_gdr_reftransV1_0027046")</f>
        <v>p.persica_gdr_reftransV1_0027046</v>
      </c>
      <c r="B14425" s="3">
        <v>2370</v>
      </c>
      <c r="C14425" s="1" t="str">
        <f>HYPERLINK("http://www.uniprot.org/uniprot/DIV_ANTMA","DIV_ANTMA")</f>
        <v>DIV_ANTMA</v>
      </c>
      <c r="D14425" t="s">
        <v>4460</v>
      </c>
      <c r="E14425" s="3" t="s">
        <v>1408</v>
      </c>
      <c r="F14425" s="4">
        <v>2.7799999999999999E-60</v>
      </c>
      <c r="G14425" s="3">
        <v>538</v>
      </c>
      <c r="H14425" s="3">
        <v>52</v>
      </c>
      <c r="I14425" s="3">
        <v>194</v>
      </c>
      <c r="J14425" s="3">
        <v>729</v>
      </c>
      <c r="K14425" s="3">
        <v>1310</v>
      </c>
      <c r="L14425" s="3">
        <v>17</v>
      </c>
      <c r="M14425" s="3">
        <v>207</v>
      </c>
    </row>
    <row r="14426" spans="1:13" x14ac:dyDescent="0.25">
      <c r="A14426" s="1" t="str">
        <f>HYPERLINK("http://www.rosaceae.org/Prunus/Prunus_persica/p.persica_gdr_reftransV1_0027396","p.persica_gdr_reftransV1_0027396")</f>
        <v>p.persica_gdr_reftransV1_0027396</v>
      </c>
      <c r="B14426" s="3">
        <v>1052</v>
      </c>
      <c r="C14426" s="1" t="str">
        <f>HYPERLINK("http://www.uniprot.org/uniprot/CML25_ARATH","CML25_ARATH")</f>
        <v>CML25_ARATH</v>
      </c>
      <c r="D14426" t="s">
        <v>5019</v>
      </c>
      <c r="E14426" s="3" t="s">
        <v>3</v>
      </c>
      <c r="F14426" s="4">
        <v>1.3999999999999999E-30</v>
      </c>
      <c r="G14426" s="3">
        <v>300</v>
      </c>
      <c r="H14426" s="3">
        <v>39</v>
      </c>
      <c r="I14426" s="3">
        <v>188</v>
      </c>
      <c r="J14426" s="3">
        <v>231</v>
      </c>
      <c r="K14426" s="3">
        <v>773</v>
      </c>
      <c r="L14426" s="3">
        <v>4</v>
      </c>
      <c r="M14426" s="3">
        <v>172</v>
      </c>
    </row>
    <row r="14427" spans="1:13" x14ac:dyDescent="0.25">
      <c r="A14427" s="1" t="str">
        <f>HYPERLINK("http://www.rosaceae.org/Prunus/Prunus_persica/p.persica_gdr_reftransV1_0027496","p.persica_gdr_reftransV1_0027496")</f>
        <v>p.persica_gdr_reftransV1_0027496</v>
      </c>
      <c r="B14427" s="3">
        <v>4128</v>
      </c>
      <c r="C14427" s="1" t="str">
        <f>HYPERLINK("http://www.uniprot.org/uniprot/ARP8_ARATH","ARP8_ARATH")</f>
        <v>ARP8_ARATH</v>
      </c>
      <c r="D14427" t="s">
        <v>9469</v>
      </c>
      <c r="E14427" s="3" t="s">
        <v>3</v>
      </c>
      <c r="F14427" s="4">
        <v>0</v>
      </c>
      <c r="G14427" s="3">
        <v>1466</v>
      </c>
      <c r="H14427" s="3">
        <v>79</v>
      </c>
      <c r="I14427" s="3">
        <v>335</v>
      </c>
      <c r="J14427" s="3">
        <v>2285</v>
      </c>
      <c r="K14427" s="3">
        <v>3289</v>
      </c>
      <c r="L14427" s="3">
        <v>139</v>
      </c>
      <c r="M14427" s="3">
        <v>471</v>
      </c>
    </row>
    <row r="14428" spans="1:13" x14ac:dyDescent="0.25">
      <c r="A14428" s="1" t="str">
        <f>HYPERLINK("http://www.rosaceae.org/Prunus/Prunus_persica/p.persica_gdr_reftransV1_0027546","p.persica_gdr_reftransV1_0027546")</f>
        <v>p.persica_gdr_reftransV1_0027546</v>
      </c>
      <c r="B14428" s="3">
        <v>2135</v>
      </c>
      <c r="C14428" s="1" t="str">
        <f>HYPERLINK("http://www.uniprot.org/uniprot/HGNAT_MOUSE","HGNAT_MOUSE")</f>
        <v>HGNAT_MOUSE</v>
      </c>
      <c r="D14428" t="s">
        <v>885</v>
      </c>
      <c r="E14428" s="3" t="s">
        <v>157</v>
      </c>
      <c r="F14428" s="4">
        <v>7.5100000000000003E-13</v>
      </c>
      <c r="G14428" s="3">
        <v>184</v>
      </c>
      <c r="H14428" s="3">
        <v>28</v>
      </c>
      <c r="I14428" s="3">
        <v>230</v>
      </c>
      <c r="J14428" s="3">
        <v>1265</v>
      </c>
      <c r="K14428" s="3">
        <v>1921</v>
      </c>
      <c r="L14428" s="3">
        <v>453</v>
      </c>
      <c r="M14428" s="3">
        <v>656</v>
      </c>
    </row>
    <row r="14429" spans="1:13" x14ac:dyDescent="0.25">
      <c r="A14429" s="1" t="str">
        <f>HYPERLINK("http://www.rosaceae.org/Prunus/Prunus_persica/p.persica_gdr_reftransV1_0027696","p.persica_gdr_reftransV1_0027696")</f>
        <v>p.persica_gdr_reftransV1_0027696</v>
      </c>
      <c r="B14429" s="3">
        <v>4183</v>
      </c>
      <c r="C14429" s="1" t="str">
        <f>HYPERLINK("http://www.uniprot.org/uniprot/LOG8_ARATH","LOG8_ARATH")</f>
        <v>LOG8_ARATH</v>
      </c>
      <c r="D14429" t="s">
        <v>5627</v>
      </c>
      <c r="E14429" s="3" t="s">
        <v>3</v>
      </c>
      <c r="F14429" s="4">
        <v>2.67E-98</v>
      </c>
      <c r="G14429" s="3">
        <v>816</v>
      </c>
      <c r="H14429" s="3">
        <v>83</v>
      </c>
      <c r="I14429" s="3">
        <v>184</v>
      </c>
      <c r="J14429" s="3">
        <v>560</v>
      </c>
      <c r="K14429" s="3">
        <v>1111</v>
      </c>
      <c r="L14429" s="3">
        <v>2</v>
      </c>
      <c r="M14429" s="3">
        <v>185</v>
      </c>
    </row>
    <row r="14430" spans="1:13" x14ac:dyDescent="0.25">
      <c r="A14430" s="1" t="str">
        <f>HYPERLINK("http://www.rosaceae.org/Prunus/Prunus_persica/p.persica_gdr_reftransV1_0027796","p.persica_gdr_reftransV1_0027796")</f>
        <v>p.persica_gdr_reftransV1_0027796</v>
      </c>
      <c r="B14430" s="3">
        <v>1185</v>
      </c>
      <c r="C14430" s="1" t="str">
        <f>HYPERLINK("http://www.uniprot.org/uniprot/TRN2_ARATH","TRN2_ARATH")</f>
        <v>TRN2_ARATH</v>
      </c>
      <c r="D14430" t="s">
        <v>9470</v>
      </c>
      <c r="E14430" s="3" t="s">
        <v>3</v>
      </c>
      <c r="F14430" s="4">
        <v>1.01E-121</v>
      </c>
      <c r="G14430" s="3">
        <v>924</v>
      </c>
      <c r="H14430" s="3">
        <v>74</v>
      </c>
      <c r="I14430" s="3">
        <v>269</v>
      </c>
      <c r="J14430" s="3">
        <v>99</v>
      </c>
      <c r="K14430" s="3">
        <v>905</v>
      </c>
      <c r="L14430" s="3">
        <v>1</v>
      </c>
      <c r="M14430" s="3">
        <v>269</v>
      </c>
    </row>
    <row r="14431" spans="1:13" x14ac:dyDescent="0.25">
      <c r="A14431" s="1" t="str">
        <f>HYPERLINK("http://www.rosaceae.org/Prunus/Prunus_persica/p.persica_gdr_reftransV1_0028046","p.persica_gdr_reftransV1_0028046")</f>
        <v>p.persica_gdr_reftransV1_0028046</v>
      </c>
      <c r="B14431" s="3">
        <v>2338</v>
      </c>
      <c r="C14431" s="1" t="str">
        <f>HYPERLINK("http://www.uniprot.org/uniprot/ASPG1_ARATH","ASPG1_ARATH")</f>
        <v>ASPG1_ARATH</v>
      </c>
      <c r="D14431" t="s">
        <v>1238</v>
      </c>
      <c r="E14431" s="3" t="s">
        <v>3</v>
      </c>
      <c r="F14431" s="4">
        <v>6.9299999999999997E-62</v>
      </c>
      <c r="G14431" s="3">
        <v>564</v>
      </c>
      <c r="H14431" s="3">
        <v>38</v>
      </c>
      <c r="I14431" s="3">
        <v>390</v>
      </c>
      <c r="J14431" s="3">
        <v>1073</v>
      </c>
      <c r="K14431" s="3">
        <v>2206</v>
      </c>
      <c r="L14431" s="3">
        <v>147</v>
      </c>
      <c r="M14431" s="3">
        <v>500</v>
      </c>
    </row>
    <row r="14432" spans="1:13" x14ac:dyDescent="0.25">
      <c r="A14432" s="1" t="str">
        <f>HYPERLINK("http://www.rosaceae.org/Prunus/Prunus_persica/p.persica_gdr_reftransV1_0028196","p.persica_gdr_reftransV1_0028196")</f>
        <v>p.persica_gdr_reftransV1_0028196</v>
      </c>
      <c r="B14432" s="3">
        <v>4522</v>
      </c>
      <c r="C14432" s="1" t="str">
        <f>HYPERLINK("http://www.uniprot.org/uniprot/CNGC1_ARATH","CNGC1_ARATH")</f>
        <v>CNGC1_ARATH</v>
      </c>
      <c r="D14432" t="s">
        <v>241</v>
      </c>
      <c r="E14432" s="3" t="s">
        <v>3</v>
      </c>
      <c r="F14432" s="4">
        <v>4.0999999999999998E-98</v>
      </c>
      <c r="G14432" s="3">
        <v>863</v>
      </c>
      <c r="H14432" s="3">
        <v>40</v>
      </c>
      <c r="I14432" s="3">
        <v>551</v>
      </c>
      <c r="J14432" s="3">
        <v>2616</v>
      </c>
      <c r="K14432" s="3">
        <v>4241</v>
      </c>
      <c r="L14432" s="3">
        <v>87</v>
      </c>
      <c r="M14432" s="3">
        <v>604</v>
      </c>
    </row>
    <row r="14433" spans="1:13" x14ac:dyDescent="0.25">
      <c r="A14433" s="1" t="str">
        <f>HYPERLINK("http://www.rosaceae.org/Prunus/Prunus_persica/p.persica_gdr_reftransV1_0028496","p.persica_gdr_reftransV1_0028496")</f>
        <v>p.persica_gdr_reftransV1_0028496</v>
      </c>
      <c r="B14433" s="3">
        <v>1462</v>
      </c>
      <c r="C14433" s="1" t="str">
        <f>HYPERLINK("http://www.uniprot.org/uniprot/TM53B_XENLA","TM53B_XENLA")</f>
        <v>TM53B_XENLA</v>
      </c>
      <c r="D14433" t="s">
        <v>9471</v>
      </c>
      <c r="E14433" s="3" t="s">
        <v>475</v>
      </c>
      <c r="F14433" s="4">
        <v>2.0999999999999999E-12</v>
      </c>
      <c r="G14433" s="3">
        <v>173</v>
      </c>
      <c r="H14433" s="3">
        <v>26</v>
      </c>
      <c r="I14433" s="3">
        <v>270</v>
      </c>
      <c r="J14433" s="3">
        <v>263</v>
      </c>
      <c r="K14433" s="3">
        <v>1054</v>
      </c>
      <c r="L14433" s="3">
        <v>37</v>
      </c>
      <c r="M14433" s="3">
        <v>269</v>
      </c>
    </row>
    <row r="14434" spans="1:13" x14ac:dyDescent="0.25">
      <c r="A14434" s="1" t="str">
        <f>HYPERLINK("http://www.rosaceae.org/Prunus/Prunus_persica/p.persica_gdr_reftransV1_0028596","p.persica_gdr_reftransV1_0028596")</f>
        <v>p.persica_gdr_reftransV1_0028596</v>
      </c>
      <c r="B14434" s="3">
        <v>3910</v>
      </c>
      <c r="C14434" s="1" t="str">
        <f>HYPERLINK("http://www.uniprot.org/uniprot/U5S1_MOUSE","U5S1_MOUSE")</f>
        <v>U5S1_MOUSE</v>
      </c>
      <c r="D14434" t="s">
        <v>9472</v>
      </c>
      <c r="E14434" s="3" t="s">
        <v>157</v>
      </c>
      <c r="F14434" s="4">
        <v>0</v>
      </c>
      <c r="G14434" s="3">
        <v>3163</v>
      </c>
      <c r="H14434" s="3">
        <v>61</v>
      </c>
      <c r="I14434" s="3">
        <v>988</v>
      </c>
      <c r="J14434" s="3">
        <v>614</v>
      </c>
      <c r="K14434" s="3">
        <v>3574</v>
      </c>
      <c r="L14434" s="3">
        <v>1</v>
      </c>
      <c r="M14434" s="3">
        <v>971</v>
      </c>
    </row>
    <row r="14435" spans="1:13" x14ac:dyDescent="0.25">
      <c r="A14435" s="1" t="str">
        <f>HYPERLINK("http://www.rosaceae.org/Prunus/Prunus_persica/p.persica_gdr_reftransV1_0028696","p.persica_gdr_reftransV1_0028696")</f>
        <v>p.persica_gdr_reftransV1_0028696</v>
      </c>
      <c r="B14435" s="3">
        <v>1146</v>
      </c>
      <c r="C14435" s="1" t="str">
        <f>HYPERLINK("http://www.uniprot.org/uniprot/CDCA7_BOVIN","CDCA7_BOVIN")</f>
        <v>CDCA7_BOVIN</v>
      </c>
      <c r="D14435" t="s">
        <v>9473</v>
      </c>
      <c r="E14435" s="3" t="s">
        <v>184</v>
      </c>
      <c r="F14435" s="4">
        <v>3.9300000000000003E-9</v>
      </c>
      <c r="G14435" s="3">
        <v>148</v>
      </c>
      <c r="H14435" s="3">
        <v>28</v>
      </c>
      <c r="I14435" s="3">
        <v>185</v>
      </c>
      <c r="J14435" s="3">
        <v>380</v>
      </c>
      <c r="K14435" s="3">
        <v>919</v>
      </c>
      <c r="L14435" s="3">
        <v>214</v>
      </c>
      <c r="M14435" s="3">
        <v>372</v>
      </c>
    </row>
    <row r="14436" spans="1:13" x14ac:dyDescent="0.25">
      <c r="A14436" s="1" t="str">
        <f>HYPERLINK("http://www.rosaceae.org/Prunus/Prunus_persica/p.persica_gdr_reftransV1_0028746","p.persica_gdr_reftransV1_0028746")</f>
        <v>p.persica_gdr_reftransV1_0028746</v>
      </c>
      <c r="B14436" s="3">
        <v>3327</v>
      </c>
      <c r="C14436" s="1" t="str">
        <f>HYPERLINK("http://www.uniprot.org/uniprot/XYNA_THESA","XYNA_THESA")</f>
        <v>XYNA_THESA</v>
      </c>
      <c r="D14436" t="s">
        <v>9474</v>
      </c>
      <c r="E14436" s="3" t="s">
        <v>9475</v>
      </c>
      <c r="F14436" s="4">
        <v>7.8399999999999996E-38</v>
      </c>
      <c r="G14436" s="3">
        <v>399</v>
      </c>
      <c r="H14436" s="3">
        <v>25</v>
      </c>
      <c r="I14436" s="3">
        <v>592</v>
      </c>
      <c r="J14436" s="3">
        <v>552</v>
      </c>
      <c r="K14436" s="3">
        <v>2231</v>
      </c>
      <c r="L14436" s="3">
        <v>71</v>
      </c>
      <c r="M14436" s="3">
        <v>604</v>
      </c>
    </row>
    <row r="14437" spans="1:13" x14ac:dyDescent="0.25">
      <c r="A14437" s="1" t="str">
        <f>HYPERLINK("http://www.rosaceae.org/Prunus/Prunus_persica/p.persica_gdr_reftransV1_0028796","p.persica_gdr_reftransV1_0028796")</f>
        <v>p.persica_gdr_reftransV1_0028796</v>
      </c>
      <c r="B14437" s="3">
        <v>1946</v>
      </c>
      <c r="C14437" s="1" t="str">
        <f>HYPERLINK("http://www.uniprot.org/uniprot/ELP3_ARATH","ELP3_ARATH")</f>
        <v>ELP3_ARATH</v>
      </c>
      <c r="D14437" t="s">
        <v>9476</v>
      </c>
      <c r="E14437" s="3" t="s">
        <v>3</v>
      </c>
      <c r="F14437" s="4">
        <v>0</v>
      </c>
      <c r="G14437" s="3">
        <v>2739</v>
      </c>
      <c r="H14437" s="3">
        <v>92</v>
      </c>
      <c r="I14437" s="3">
        <v>566</v>
      </c>
      <c r="J14437" s="3">
        <v>180</v>
      </c>
      <c r="K14437" s="3">
        <v>1877</v>
      </c>
      <c r="L14437" s="3">
        <v>1</v>
      </c>
      <c r="M14437" s="3">
        <v>565</v>
      </c>
    </row>
    <row r="14438" spans="1:13" x14ac:dyDescent="0.25">
      <c r="A14438" s="1" t="str">
        <f>HYPERLINK("http://www.rosaceae.org/Prunus/Prunus_persica/p.persica_gdr_reftransV1_0028946","p.persica_gdr_reftransV1_0028946")</f>
        <v>p.persica_gdr_reftransV1_0028946</v>
      </c>
      <c r="B14438" s="3">
        <v>3323</v>
      </c>
      <c r="C14438" s="1" t="str">
        <f>HYPERLINK("http://www.uniprot.org/uniprot/PPDK_MESCR","PPDK_MESCR")</f>
        <v>PPDK_MESCR</v>
      </c>
      <c r="D14438" t="s">
        <v>9477</v>
      </c>
      <c r="E14438" s="3" t="s">
        <v>2486</v>
      </c>
      <c r="F14438" s="4">
        <v>0</v>
      </c>
      <c r="G14438" s="3">
        <v>4288</v>
      </c>
      <c r="H14438" s="3">
        <v>82</v>
      </c>
      <c r="I14438" s="3">
        <v>969</v>
      </c>
      <c r="J14438" s="3">
        <v>166</v>
      </c>
      <c r="K14438" s="3">
        <v>3063</v>
      </c>
      <c r="L14438" s="3">
        <v>1</v>
      </c>
      <c r="M14438" s="3">
        <v>948</v>
      </c>
    </row>
    <row r="14439" spans="1:13" x14ac:dyDescent="0.25">
      <c r="A14439" s="1" t="str">
        <f>HYPERLINK("http://www.rosaceae.org/Prunus/Prunus_persica/p.persica_gdr_reftransV1_0029046","p.persica_gdr_reftransV1_0029046")</f>
        <v>p.persica_gdr_reftransV1_0029046</v>
      </c>
      <c r="B14439" s="3">
        <v>1751</v>
      </c>
      <c r="C14439" s="1" t="str">
        <f>HYPERLINK("http://www.uniprot.org/uniprot/FLXL3_ARATH","FLXL3_ARATH")</f>
        <v>FLXL3_ARATH</v>
      </c>
      <c r="D14439" t="s">
        <v>1326</v>
      </c>
      <c r="E14439" s="3" t="s">
        <v>3</v>
      </c>
      <c r="F14439" s="4">
        <v>8.8199999999999999E-85</v>
      </c>
      <c r="G14439" s="3">
        <v>695</v>
      </c>
      <c r="H14439" s="3">
        <v>54</v>
      </c>
      <c r="I14439" s="3">
        <v>288</v>
      </c>
      <c r="J14439" s="3">
        <v>772</v>
      </c>
      <c r="K14439" s="3">
        <v>1602</v>
      </c>
      <c r="L14439" s="3">
        <v>1</v>
      </c>
      <c r="M14439" s="3">
        <v>282</v>
      </c>
    </row>
    <row r="14440" spans="1:13" x14ac:dyDescent="0.25">
      <c r="A14440" s="1" t="str">
        <f>HYPERLINK("http://www.rosaceae.org/Prunus/Prunus_persica/p.persica_gdr_reftransV1_0029446","p.persica_gdr_reftransV1_0029446")</f>
        <v>p.persica_gdr_reftransV1_0029446</v>
      </c>
      <c r="B14440" s="3">
        <v>1684</v>
      </c>
      <c r="C14440" s="1" t="str">
        <f>HYPERLINK("http://www.uniprot.org/uniprot/ATD1A_DANRE","ATD1A_DANRE")</f>
        <v>ATD1A_DANRE</v>
      </c>
      <c r="D14440" t="s">
        <v>6406</v>
      </c>
      <c r="E14440" s="3" t="s">
        <v>704</v>
      </c>
      <c r="F14440" s="4">
        <v>4.15E-93</v>
      </c>
      <c r="G14440" s="3">
        <v>759</v>
      </c>
      <c r="H14440" s="3">
        <v>47</v>
      </c>
      <c r="I14440" s="3">
        <v>322</v>
      </c>
      <c r="J14440" s="3">
        <v>288</v>
      </c>
      <c r="K14440" s="3">
        <v>1211</v>
      </c>
      <c r="L14440" s="3">
        <v>44</v>
      </c>
      <c r="M14440" s="3">
        <v>365</v>
      </c>
    </row>
    <row r="14441" spans="1:13" x14ac:dyDescent="0.25">
      <c r="A14441" s="1" t="str">
        <f>HYPERLINK("http://www.rosaceae.org/Prunus/Prunus_persica/p.persica_gdr_reftransV1_0029646","p.persica_gdr_reftransV1_0029646")</f>
        <v>p.persica_gdr_reftransV1_0029646</v>
      </c>
      <c r="B14441" s="3">
        <v>6174</v>
      </c>
      <c r="C14441" s="1" t="str">
        <f>HYPERLINK("http://www.uniprot.org/uniprot/RT03_PETHY","RT03_PETHY")</f>
        <v>RT03_PETHY</v>
      </c>
      <c r="D14441" t="s">
        <v>2176</v>
      </c>
      <c r="E14441" s="3" t="s">
        <v>509</v>
      </c>
      <c r="F14441" s="4">
        <v>0</v>
      </c>
      <c r="G14441" s="3">
        <v>2349</v>
      </c>
      <c r="H14441" s="3">
        <v>91</v>
      </c>
      <c r="I14441" s="3">
        <v>563</v>
      </c>
      <c r="J14441" s="3">
        <v>799</v>
      </c>
      <c r="K14441" s="3">
        <v>2487</v>
      </c>
      <c r="L14441" s="3">
        <v>1</v>
      </c>
      <c r="M14441" s="3">
        <v>562</v>
      </c>
    </row>
    <row r="14442" spans="1:13" x14ac:dyDescent="0.25">
      <c r="A14442" s="1" t="str">
        <f>HYPERLINK("http://www.rosaceae.org/Prunus/Prunus_persica/p.persica_gdr_reftransV1_0029896","p.persica_gdr_reftransV1_0029896")</f>
        <v>p.persica_gdr_reftransV1_0029896</v>
      </c>
      <c r="B14442" s="3">
        <v>1797</v>
      </c>
      <c r="C14442" s="1" t="str">
        <f>HYPERLINK("http://www.uniprot.org/uniprot/ANTL2_ARATH","ANTL2_ARATH")</f>
        <v>ANTL2_ARATH</v>
      </c>
      <c r="D14442" t="s">
        <v>6434</v>
      </c>
      <c r="E14442" s="3" t="s">
        <v>3</v>
      </c>
      <c r="F14442" s="4">
        <v>0</v>
      </c>
      <c r="G14442" s="3">
        <v>1405</v>
      </c>
      <c r="H14442" s="3">
        <v>71</v>
      </c>
      <c r="I14442" s="3">
        <v>436</v>
      </c>
      <c r="J14442" s="3">
        <v>344</v>
      </c>
      <c r="K14442" s="3">
        <v>1624</v>
      </c>
      <c r="L14442" s="3">
        <v>1</v>
      </c>
      <c r="M14442" s="3">
        <v>436</v>
      </c>
    </row>
    <row r="14443" spans="1:13" x14ac:dyDescent="0.25">
      <c r="A14443" s="1" t="str">
        <f>HYPERLINK("http://www.rosaceae.org/Prunus/Prunus_persica/p.persica_gdr_reftransV1_0030196","p.persica_gdr_reftransV1_0030196")</f>
        <v>p.persica_gdr_reftransV1_0030196</v>
      </c>
      <c r="B14443" s="3">
        <v>2325</v>
      </c>
      <c r="C14443" s="1" t="str">
        <f>HYPERLINK("http://www.uniprot.org/uniprot/ZUFSP_RAT","ZUFSP_RAT")</f>
        <v>ZUFSP_RAT</v>
      </c>
      <c r="D14443" t="s">
        <v>9478</v>
      </c>
      <c r="E14443" s="3" t="s">
        <v>161</v>
      </c>
      <c r="F14443" s="4">
        <v>9.0299999999999996E-17</v>
      </c>
      <c r="G14443" s="3">
        <v>217</v>
      </c>
      <c r="H14443" s="3">
        <v>43</v>
      </c>
      <c r="I14443" s="3">
        <v>108</v>
      </c>
      <c r="J14443" s="3">
        <v>392</v>
      </c>
      <c r="K14443" s="3">
        <v>715</v>
      </c>
      <c r="L14443" s="3">
        <v>341</v>
      </c>
      <c r="M14443" s="3">
        <v>444</v>
      </c>
    </row>
    <row r="14444" spans="1:13" x14ac:dyDescent="0.25">
      <c r="A14444" s="1" t="str">
        <f>HYPERLINK("http://www.rosaceae.org/Prunus/Prunus_persica/p.persica_gdr_reftransV1_0030246","p.persica_gdr_reftransV1_0030246")</f>
        <v>p.persica_gdr_reftransV1_0030246</v>
      </c>
      <c r="B14444" s="3">
        <v>2332</v>
      </c>
      <c r="C14444" s="1" t="str">
        <f>HYPERLINK("http://www.uniprot.org/uniprot/SC35_ARATH","SC35_ARATH")</f>
        <v>SC35_ARATH</v>
      </c>
      <c r="D14444" t="s">
        <v>821</v>
      </c>
      <c r="E14444" s="3" t="s">
        <v>3</v>
      </c>
      <c r="F14444" s="4">
        <v>5.6799999999999994E-57</v>
      </c>
      <c r="G14444" s="3">
        <v>513</v>
      </c>
      <c r="H14444" s="3">
        <v>91</v>
      </c>
      <c r="I14444" s="3">
        <v>104</v>
      </c>
      <c r="J14444" s="3">
        <v>85</v>
      </c>
      <c r="K14444" s="3">
        <v>396</v>
      </c>
      <c r="L14444" s="3">
        <v>1</v>
      </c>
      <c r="M14444" s="3">
        <v>104</v>
      </c>
    </row>
    <row r="14445" spans="1:13" x14ac:dyDescent="0.25">
      <c r="A14445" s="1" t="str">
        <f>HYPERLINK("http://www.rosaceae.org/Prunus/Prunus_persica/p.persica_gdr_reftransV1_0030296","p.persica_gdr_reftransV1_0030296")</f>
        <v>p.persica_gdr_reftransV1_0030296</v>
      </c>
      <c r="B14445" s="3">
        <v>1581</v>
      </c>
      <c r="C14445" s="1" t="str">
        <f>HYPERLINK("http://www.uniprot.org/uniprot/U74E2_ARATH","U74E2_ARATH")</f>
        <v>U74E2_ARATH</v>
      </c>
      <c r="D14445" t="s">
        <v>473</v>
      </c>
      <c r="E14445" s="3" t="s">
        <v>3</v>
      </c>
      <c r="F14445" s="4">
        <v>1.9400000000000001E-148</v>
      </c>
      <c r="G14445" s="3">
        <v>1133</v>
      </c>
      <c r="H14445" s="3">
        <v>49</v>
      </c>
      <c r="I14445" s="3">
        <v>458</v>
      </c>
      <c r="J14445" s="3">
        <v>178</v>
      </c>
      <c r="K14445" s="3">
        <v>1542</v>
      </c>
      <c r="L14445" s="3">
        <v>2</v>
      </c>
      <c r="M14445" s="3">
        <v>450</v>
      </c>
    </row>
    <row r="14446" spans="1:13" x14ac:dyDescent="0.25">
      <c r="A14446" s="1" t="str">
        <f>HYPERLINK("http://www.rosaceae.org/Prunus/Prunus_persica/p.persica_gdr_reftransV1_0030646","p.persica_gdr_reftransV1_0030646")</f>
        <v>p.persica_gdr_reftransV1_0030646</v>
      </c>
      <c r="B14446" s="3">
        <v>2894</v>
      </c>
      <c r="C14446" s="1" t="str">
        <f>HYPERLINK("http://www.uniprot.org/uniprot/TAFCL_ARATH","TAFCL_ARATH")</f>
        <v>TAFCL_ARATH</v>
      </c>
      <c r="D14446" t="s">
        <v>9479</v>
      </c>
      <c r="E14446" s="3" t="s">
        <v>3</v>
      </c>
      <c r="F14446" s="4">
        <v>2.66E-47</v>
      </c>
      <c r="G14446" s="3">
        <v>467</v>
      </c>
      <c r="H14446" s="3">
        <v>79</v>
      </c>
      <c r="I14446" s="3">
        <v>130</v>
      </c>
      <c r="J14446" s="3">
        <v>1460</v>
      </c>
      <c r="K14446" s="3">
        <v>1849</v>
      </c>
      <c r="L14446" s="3">
        <v>482</v>
      </c>
      <c r="M14446" s="3">
        <v>610</v>
      </c>
    </row>
    <row r="14447" spans="1:13" x14ac:dyDescent="0.25">
      <c r="A14447" s="1" t="str">
        <f>HYPERLINK("http://www.rosaceae.org/Prunus/Prunus_persica/p.persica_gdr_reftransV1_0030946","p.persica_gdr_reftransV1_0030946")</f>
        <v>p.persica_gdr_reftransV1_0030946</v>
      </c>
      <c r="B14447" s="3">
        <v>1016</v>
      </c>
      <c r="C14447" s="1" t="str">
        <f>HYPERLINK("http://www.uniprot.org/uniprot/ATL56_ARATH","ATL56_ARATH")</f>
        <v>ATL56_ARATH</v>
      </c>
      <c r="D14447" t="s">
        <v>9480</v>
      </c>
      <c r="E14447" s="3" t="s">
        <v>3</v>
      </c>
      <c r="F14447" s="4">
        <v>6.8500000000000001E-24</v>
      </c>
      <c r="G14447" s="3">
        <v>250</v>
      </c>
      <c r="H14447" s="3">
        <v>56</v>
      </c>
      <c r="I14447" s="3">
        <v>88</v>
      </c>
      <c r="J14447" s="3">
        <v>441</v>
      </c>
      <c r="K14447" s="3">
        <v>704</v>
      </c>
      <c r="L14447" s="3">
        <v>81</v>
      </c>
      <c r="M14447" s="3">
        <v>163</v>
      </c>
    </row>
    <row r="14448" spans="1:13" x14ac:dyDescent="0.25">
      <c r="A14448" s="1" t="str">
        <f>HYPERLINK("http://www.rosaceae.org/Prunus/Prunus_persica/p.persica_gdr_reftransV1_0031146","p.persica_gdr_reftransV1_0031146")</f>
        <v>p.persica_gdr_reftransV1_0031146</v>
      </c>
      <c r="B14448" s="3">
        <v>2467</v>
      </c>
      <c r="C14448" s="1" t="str">
        <f>HYPERLINK("http://www.uniprot.org/uniprot/YSL6_ARATH","YSL6_ARATH")</f>
        <v>YSL6_ARATH</v>
      </c>
      <c r="D14448" t="s">
        <v>9481</v>
      </c>
      <c r="E14448" s="3" t="s">
        <v>3</v>
      </c>
      <c r="F14448" s="4">
        <v>0</v>
      </c>
      <c r="G14448" s="3">
        <v>2900</v>
      </c>
      <c r="H14448" s="3">
        <v>80</v>
      </c>
      <c r="I14448" s="3">
        <v>689</v>
      </c>
      <c r="J14448" s="3">
        <v>230</v>
      </c>
      <c r="K14448" s="3">
        <v>2287</v>
      </c>
      <c r="L14448" s="3">
        <v>1</v>
      </c>
      <c r="M14448" s="3">
        <v>672</v>
      </c>
    </row>
    <row r="14449" spans="1:13" x14ac:dyDescent="0.25">
      <c r="A14449" s="1" t="str">
        <f>HYPERLINK("http://www.rosaceae.org/Prunus/Prunus_persica/p.persica_gdr_reftransV1_0031496","p.persica_gdr_reftransV1_0031496")</f>
        <v>p.persica_gdr_reftransV1_0031496</v>
      </c>
      <c r="B14449" s="3">
        <v>2841</v>
      </c>
      <c r="C14449" s="1" t="str">
        <f>HYPERLINK("http://www.uniprot.org/uniprot/RNHX1_ARATH","RNHX1_ARATH")</f>
        <v>RNHX1_ARATH</v>
      </c>
      <c r="D14449" t="s">
        <v>124</v>
      </c>
      <c r="E14449" s="3" t="s">
        <v>3</v>
      </c>
      <c r="F14449" s="4">
        <v>8.7999999999999994E-8</v>
      </c>
      <c r="G14449" s="3">
        <v>144</v>
      </c>
      <c r="H14449" s="3">
        <v>33</v>
      </c>
      <c r="I14449" s="3">
        <v>86</v>
      </c>
      <c r="J14449" s="3">
        <v>1170</v>
      </c>
      <c r="K14449" s="3">
        <v>1427</v>
      </c>
      <c r="L14449" s="3">
        <v>503</v>
      </c>
      <c r="M14449" s="3">
        <v>587</v>
      </c>
    </row>
    <row r="14450" spans="1:13" x14ac:dyDescent="0.25">
      <c r="A14450" s="1" t="str">
        <f>HYPERLINK("http://www.rosaceae.org/Prunus/Prunus_persica/p.persica_gdr_reftransV1_0031846","p.persica_gdr_reftransV1_0031846")</f>
        <v>p.persica_gdr_reftransV1_0031846</v>
      </c>
      <c r="B14450" s="3">
        <v>1376</v>
      </c>
      <c r="C14450" s="1" t="str">
        <f>HYPERLINK("http://www.uniprot.org/uniprot/CRR6_ARATH","CRR6_ARATH")</f>
        <v>CRR6_ARATH</v>
      </c>
      <c r="D14450" t="s">
        <v>9482</v>
      </c>
      <c r="E14450" s="3" t="s">
        <v>3</v>
      </c>
      <c r="F14450" s="4">
        <v>4.0000000000000001E-84</v>
      </c>
      <c r="G14450" s="3">
        <v>602</v>
      </c>
      <c r="H14450" s="3">
        <v>82</v>
      </c>
      <c r="I14450" s="3">
        <v>134</v>
      </c>
      <c r="J14450" s="3">
        <v>453</v>
      </c>
      <c r="K14450" s="3">
        <v>854</v>
      </c>
      <c r="L14450" s="3">
        <v>112</v>
      </c>
      <c r="M14450" s="3">
        <v>245</v>
      </c>
    </row>
    <row r="14451" spans="1:13" x14ac:dyDescent="0.25">
      <c r="A14451" s="1" t="str">
        <f>HYPERLINK("http://www.rosaceae.org/Prunus/Prunus_persica/p.persica_gdr_reftransV1_0031896","p.persica_gdr_reftransV1_0031896")</f>
        <v>p.persica_gdr_reftransV1_0031896</v>
      </c>
      <c r="B14451" s="3">
        <v>2219</v>
      </c>
      <c r="C14451" s="1" t="str">
        <f>HYPERLINK("http://www.uniprot.org/uniprot/PP304_ARATH","PP304_ARATH")</f>
        <v>PP304_ARATH</v>
      </c>
      <c r="D14451" t="s">
        <v>5137</v>
      </c>
      <c r="E14451" s="3" t="s">
        <v>3</v>
      </c>
      <c r="F14451" s="4">
        <v>5.0300000000000001E-46</v>
      </c>
      <c r="G14451" s="3">
        <v>455</v>
      </c>
      <c r="H14451" s="3">
        <v>51</v>
      </c>
      <c r="I14451" s="3">
        <v>194</v>
      </c>
      <c r="J14451" s="3">
        <v>568</v>
      </c>
      <c r="K14451" s="3">
        <v>1134</v>
      </c>
      <c r="L14451" s="3">
        <v>480</v>
      </c>
      <c r="M14451" s="3">
        <v>671</v>
      </c>
    </row>
    <row r="14452" spans="1:13" x14ac:dyDescent="0.25">
      <c r="A14452" s="1" t="str">
        <f>HYPERLINK("http://www.rosaceae.org/Prunus/Prunus_persica/p.persica_gdr_reftransV1_0031996","p.persica_gdr_reftransV1_0031996")</f>
        <v>p.persica_gdr_reftransV1_0031996</v>
      </c>
      <c r="B14452" s="3">
        <v>1335</v>
      </c>
      <c r="C14452" s="1" t="str">
        <f>HYPERLINK("http://www.uniprot.org/uniprot/BSPA_POPDE","BSPA_POPDE")</f>
        <v>BSPA_POPDE</v>
      </c>
      <c r="D14452" t="s">
        <v>1293</v>
      </c>
      <c r="E14452" s="3" t="s">
        <v>1294</v>
      </c>
      <c r="F14452" s="4">
        <v>3.7799999999999998E-32</v>
      </c>
      <c r="G14452" s="3">
        <v>323</v>
      </c>
      <c r="H14452" s="3">
        <v>30</v>
      </c>
      <c r="I14452" s="3">
        <v>304</v>
      </c>
      <c r="J14452" s="3">
        <v>185</v>
      </c>
      <c r="K14452" s="3">
        <v>1084</v>
      </c>
      <c r="L14452" s="3">
        <v>29</v>
      </c>
      <c r="M14452" s="3">
        <v>304</v>
      </c>
    </row>
    <row r="14453" spans="1:13" x14ac:dyDescent="0.25">
      <c r="A14453" s="1" t="str">
        <f>HYPERLINK("http://www.rosaceae.org/Prunus/Prunus_persica/p.persica_gdr_reftransV1_0032346","p.persica_gdr_reftransV1_0032346")</f>
        <v>p.persica_gdr_reftransV1_0032346</v>
      </c>
      <c r="B14453" s="3">
        <v>2133</v>
      </c>
      <c r="C14453" s="1" t="str">
        <f>HYPERLINK("http://www.uniprot.org/uniprot/DPH2_DANRE","DPH2_DANRE")</f>
        <v>DPH2_DANRE</v>
      </c>
      <c r="D14453" t="s">
        <v>9483</v>
      </c>
      <c r="E14453" s="3" t="s">
        <v>704</v>
      </c>
      <c r="F14453" s="4">
        <v>4.0800000000000002E-93</v>
      </c>
      <c r="G14453" s="3">
        <v>780</v>
      </c>
      <c r="H14453" s="3">
        <v>36</v>
      </c>
      <c r="I14453" s="3">
        <v>510</v>
      </c>
      <c r="J14453" s="3">
        <v>482</v>
      </c>
      <c r="K14453" s="3">
        <v>1987</v>
      </c>
      <c r="L14453" s="3">
        <v>24</v>
      </c>
      <c r="M14453" s="3">
        <v>489</v>
      </c>
    </row>
    <row r="14454" spans="1:13" x14ac:dyDescent="0.25">
      <c r="A14454" s="1" t="str">
        <f>HYPERLINK("http://www.rosaceae.org/Prunus/Prunus_persica/p.persica_gdr_reftransV1_0033196","p.persica_gdr_reftransV1_0033196")</f>
        <v>p.persica_gdr_reftransV1_0033196</v>
      </c>
      <c r="B14454" s="3">
        <v>1812</v>
      </c>
      <c r="C14454" s="1" t="str">
        <f>HYPERLINK("http://www.uniprot.org/uniprot/BAG4_ARATH","BAG4_ARATH")</f>
        <v>BAG4_ARATH</v>
      </c>
      <c r="D14454" t="s">
        <v>4440</v>
      </c>
      <c r="E14454" s="3" t="s">
        <v>3</v>
      </c>
      <c r="F14454" s="4">
        <v>5.3100000000000004E-50</v>
      </c>
      <c r="G14454" s="3">
        <v>455</v>
      </c>
      <c r="H14454" s="3">
        <v>48</v>
      </c>
      <c r="I14454" s="3">
        <v>226</v>
      </c>
      <c r="J14454" s="3">
        <v>873</v>
      </c>
      <c r="K14454" s="3">
        <v>1532</v>
      </c>
      <c r="L14454" s="3">
        <v>7</v>
      </c>
      <c r="M14454" s="3">
        <v>210</v>
      </c>
    </row>
    <row r="14455" spans="1:13" x14ac:dyDescent="0.25">
      <c r="A14455" s="1" t="str">
        <f>HYPERLINK("http://www.rosaceae.org/Prunus/Prunus_persica/p.persica_gdr_reftransV1_0033296","p.persica_gdr_reftransV1_0033296")</f>
        <v>p.persica_gdr_reftransV1_0033296</v>
      </c>
      <c r="B14455" s="3">
        <v>4400</v>
      </c>
      <c r="C14455" s="1" t="str">
        <f>HYPERLINK("http://www.uniprot.org/uniprot/SF3B3_MOUSE","SF3B3_MOUSE")</f>
        <v>SF3B3_MOUSE</v>
      </c>
      <c r="D14455" t="s">
        <v>9484</v>
      </c>
      <c r="E14455" s="3" t="s">
        <v>157</v>
      </c>
      <c r="F14455" s="4">
        <v>0</v>
      </c>
      <c r="G14455" s="3">
        <v>3803</v>
      </c>
      <c r="H14455" s="3">
        <v>58</v>
      </c>
      <c r="I14455" s="3">
        <v>1222</v>
      </c>
      <c r="J14455" s="3">
        <v>145</v>
      </c>
      <c r="K14455" s="3">
        <v>3774</v>
      </c>
      <c r="L14455" s="3">
        <v>1</v>
      </c>
      <c r="M14455" s="3">
        <v>1214</v>
      </c>
    </row>
    <row r="14456" spans="1:13" x14ac:dyDescent="0.25">
      <c r="A14456" s="1" t="str">
        <f>HYPERLINK("http://www.rosaceae.org/Prunus/Prunus_persica/p.persica_gdr_reftransV1_0033346","p.persica_gdr_reftransV1_0033346")</f>
        <v>p.persica_gdr_reftransV1_0033346</v>
      </c>
      <c r="B14456" s="3">
        <v>4403</v>
      </c>
      <c r="C14456" s="1" t="str">
        <f>HYPERLINK("http://www.uniprot.org/uniprot/DOT2_ARATH","DOT2_ARATH")</f>
        <v>DOT2_ARATH</v>
      </c>
      <c r="D14456" t="s">
        <v>6236</v>
      </c>
      <c r="E14456" s="3" t="s">
        <v>3</v>
      </c>
      <c r="F14456" s="4">
        <v>0</v>
      </c>
      <c r="G14456" s="3">
        <v>1718</v>
      </c>
      <c r="H14456" s="3">
        <v>60</v>
      </c>
      <c r="I14456" s="3">
        <v>755</v>
      </c>
      <c r="J14456" s="3">
        <v>963</v>
      </c>
      <c r="K14456" s="3">
        <v>3206</v>
      </c>
      <c r="L14456" s="3">
        <v>88</v>
      </c>
      <c r="M14456" s="3">
        <v>800</v>
      </c>
    </row>
    <row r="14457" spans="1:13" x14ac:dyDescent="0.25">
      <c r="A14457" s="1" t="str">
        <f>HYPERLINK("http://www.rosaceae.org/Prunus/Prunus_persica/p.persica_gdr_reftransV1_0034096","p.persica_gdr_reftransV1_0034096")</f>
        <v>p.persica_gdr_reftransV1_0034096</v>
      </c>
      <c r="B14457" s="3">
        <v>1928</v>
      </c>
      <c r="C14457" s="1" t="str">
        <f>HYPERLINK("http://www.uniprot.org/uniprot/AFP2_ARATH","AFP2_ARATH")</f>
        <v>AFP2_ARATH</v>
      </c>
      <c r="D14457" t="s">
        <v>3099</v>
      </c>
      <c r="E14457" s="3" t="s">
        <v>3</v>
      </c>
      <c r="F14457" s="4">
        <v>5.2500000000000003E-39</v>
      </c>
      <c r="G14457" s="3">
        <v>381</v>
      </c>
      <c r="H14457" s="3">
        <v>52</v>
      </c>
      <c r="I14457" s="3">
        <v>150</v>
      </c>
      <c r="J14457" s="3">
        <v>1221</v>
      </c>
      <c r="K14457" s="3">
        <v>1658</v>
      </c>
      <c r="L14457" s="3">
        <v>204</v>
      </c>
      <c r="M14457" s="3">
        <v>348</v>
      </c>
    </row>
    <row r="14458" spans="1:13" x14ac:dyDescent="0.25">
      <c r="A14458" s="1" t="str">
        <f>HYPERLINK("http://www.rosaceae.org/Prunus/Prunus_persica/p.persica_gdr_reftransV1_0034246","p.persica_gdr_reftransV1_0034246")</f>
        <v>p.persica_gdr_reftransV1_0034246</v>
      </c>
      <c r="B14458" s="3">
        <v>3275</v>
      </c>
      <c r="C14458" s="1" t="str">
        <f>HYPERLINK("http://www.uniprot.org/uniprot/SPT20_HUMAN","SPT20_HUMAN")</f>
        <v>SPT20_HUMAN</v>
      </c>
      <c r="D14458" t="s">
        <v>8195</v>
      </c>
      <c r="E14458" s="3" t="s">
        <v>28</v>
      </c>
      <c r="F14458" s="4">
        <v>3.2400000000000001E-141</v>
      </c>
      <c r="G14458" s="3">
        <v>951</v>
      </c>
      <c r="H14458" s="3">
        <v>39</v>
      </c>
      <c r="I14458" s="3">
        <v>580</v>
      </c>
      <c r="J14458" s="3">
        <v>661</v>
      </c>
      <c r="K14458" s="3">
        <v>2373</v>
      </c>
      <c r="L14458" s="3">
        <v>149</v>
      </c>
      <c r="M14458" s="3">
        <v>656</v>
      </c>
    </row>
    <row r="14459" spans="1:13" x14ac:dyDescent="0.25">
      <c r="A14459" s="1" t="str">
        <f>HYPERLINK("http://www.rosaceae.org/Prunus/Prunus_persica/p.persica_gdr_reftransV1_0034296","p.persica_gdr_reftransV1_0034296")</f>
        <v>p.persica_gdr_reftransV1_0034296</v>
      </c>
      <c r="B14459" s="3">
        <v>2076</v>
      </c>
      <c r="C14459" s="1" t="str">
        <f>HYPERLINK("http://www.uniprot.org/uniprot/CGS1_ARATH","CGS1_ARATH")</f>
        <v>CGS1_ARATH</v>
      </c>
      <c r="D14459" t="s">
        <v>9485</v>
      </c>
      <c r="E14459" s="3" t="s">
        <v>3</v>
      </c>
      <c r="F14459" s="4">
        <v>0</v>
      </c>
      <c r="G14459" s="3">
        <v>1896</v>
      </c>
      <c r="H14459" s="3">
        <v>88</v>
      </c>
      <c r="I14459" s="3">
        <v>394</v>
      </c>
      <c r="J14459" s="3">
        <v>393</v>
      </c>
      <c r="K14459" s="3">
        <v>1574</v>
      </c>
      <c r="L14459" s="3">
        <v>170</v>
      </c>
      <c r="M14459" s="3">
        <v>563</v>
      </c>
    </row>
    <row r="14460" spans="1:13" x14ac:dyDescent="0.25">
      <c r="A14460" s="1" t="str">
        <f>HYPERLINK("http://www.rosaceae.org/Prunus/Prunus_persica/p.persica_gdr_reftransV1_0034496","p.persica_gdr_reftransV1_0034496")</f>
        <v>p.persica_gdr_reftransV1_0034496</v>
      </c>
      <c r="B14460" s="3">
        <v>1427</v>
      </c>
      <c r="C14460" s="1" t="str">
        <f>HYPERLINK("http://www.uniprot.org/uniprot/RRFC_SPIOL","RRFC_SPIOL")</f>
        <v>RRFC_SPIOL</v>
      </c>
      <c r="D14460" t="s">
        <v>9486</v>
      </c>
      <c r="E14460" s="3" t="s">
        <v>131</v>
      </c>
      <c r="F14460" s="4">
        <v>8.2999999999999999E-95</v>
      </c>
      <c r="G14460" s="3">
        <v>753</v>
      </c>
      <c r="H14460" s="3">
        <v>70</v>
      </c>
      <c r="I14460" s="3">
        <v>230</v>
      </c>
      <c r="J14460" s="3">
        <v>387</v>
      </c>
      <c r="K14460" s="3">
        <v>1076</v>
      </c>
      <c r="L14460" s="3">
        <v>32</v>
      </c>
      <c r="M14460" s="3">
        <v>259</v>
      </c>
    </row>
    <row r="14461" spans="1:13" x14ac:dyDescent="0.25">
      <c r="A14461" s="1" t="str">
        <f>HYPERLINK("http://www.rosaceae.org/Prunus/Prunus_persica/p.persica_gdr_reftransV1_0034846","p.persica_gdr_reftransV1_0034846")</f>
        <v>p.persica_gdr_reftransV1_0034846</v>
      </c>
      <c r="B14461" s="3">
        <v>5787</v>
      </c>
      <c r="C14461" s="1" t="str">
        <f>HYPERLINK("http://www.uniprot.org/uniprot/PP241_ARATH","PP241_ARATH")</f>
        <v>PP241_ARATH</v>
      </c>
      <c r="D14461" t="s">
        <v>5782</v>
      </c>
      <c r="E14461" s="3" t="s">
        <v>3</v>
      </c>
      <c r="F14461" s="4">
        <v>0</v>
      </c>
      <c r="G14461" s="3">
        <v>4089</v>
      </c>
      <c r="H14461" s="3">
        <v>69</v>
      </c>
      <c r="I14461" s="3">
        <v>1143</v>
      </c>
      <c r="J14461" s="3">
        <v>1</v>
      </c>
      <c r="K14461" s="3">
        <v>3420</v>
      </c>
      <c r="L14461" s="3">
        <v>298</v>
      </c>
      <c r="M14461" s="3">
        <v>1438</v>
      </c>
    </row>
    <row r="14462" spans="1:13" x14ac:dyDescent="0.25">
      <c r="A14462" s="1" t="str">
        <f>HYPERLINK("http://www.rosaceae.org/Prunus/Prunus_persica/p.persica_gdr_reftransV1_0034996","p.persica_gdr_reftransV1_0034996")</f>
        <v>p.persica_gdr_reftransV1_0034996</v>
      </c>
      <c r="B14462" s="3">
        <v>1153</v>
      </c>
      <c r="C14462" s="1" t="str">
        <f>HYPERLINK("http://www.uniprot.org/uniprot/APK3_ARATH","APK3_ARATH")</f>
        <v>APK3_ARATH</v>
      </c>
      <c r="D14462" t="s">
        <v>4300</v>
      </c>
      <c r="E14462" s="3" t="s">
        <v>3</v>
      </c>
      <c r="F14462" s="4">
        <v>1.8800000000000002E-127</v>
      </c>
      <c r="G14462" s="3">
        <v>955</v>
      </c>
      <c r="H14462" s="3">
        <v>84</v>
      </c>
      <c r="I14462" s="3">
        <v>208</v>
      </c>
      <c r="J14462" s="3">
        <v>424</v>
      </c>
      <c r="K14462" s="3">
        <v>1047</v>
      </c>
      <c r="L14462" s="3">
        <v>1</v>
      </c>
      <c r="M14462" s="3">
        <v>208</v>
      </c>
    </row>
    <row r="14463" spans="1:13" x14ac:dyDescent="0.25">
      <c r="A14463" s="1" t="str">
        <f>HYPERLINK("http://www.rosaceae.org/Prunus/Prunus_persica/p.persica_gdr_reftransV1_0035546","p.persica_gdr_reftransV1_0035546")</f>
        <v>p.persica_gdr_reftransV1_0035546</v>
      </c>
      <c r="B14463" s="3">
        <v>1178</v>
      </c>
      <c r="C14463" s="1" t="str">
        <f>HYPERLINK("http://www.uniprot.org/uniprot/PIN1_MALDO","PIN1_MALDO")</f>
        <v>PIN1_MALDO</v>
      </c>
      <c r="D14463" t="s">
        <v>9487</v>
      </c>
      <c r="E14463" s="3" t="s">
        <v>540</v>
      </c>
      <c r="F14463" s="4">
        <v>2.5599999999999999E-72</v>
      </c>
      <c r="G14463" s="3">
        <v>581</v>
      </c>
      <c r="H14463" s="3">
        <v>93</v>
      </c>
      <c r="I14463" s="3">
        <v>117</v>
      </c>
      <c r="J14463" s="3">
        <v>414</v>
      </c>
      <c r="K14463" s="3">
        <v>764</v>
      </c>
      <c r="L14463" s="3">
        <v>5</v>
      </c>
      <c r="M14463" s="3">
        <v>121</v>
      </c>
    </row>
    <row r="14464" spans="1:13" x14ac:dyDescent="0.25">
      <c r="A14464" s="1" t="str">
        <f>HYPERLINK("http://www.rosaceae.org/Prunus/Prunus_persica/p.persica_gdr_reftransV1_0035646","p.persica_gdr_reftransV1_0035646")</f>
        <v>p.persica_gdr_reftransV1_0035646</v>
      </c>
      <c r="B14464" s="3">
        <v>3286</v>
      </c>
      <c r="C14464" s="1" t="str">
        <f>HYPERLINK("http://www.uniprot.org/uniprot/PAF1_ARATH","PAF1_ARATH")</f>
        <v>PAF1_ARATH</v>
      </c>
      <c r="D14464" t="s">
        <v>3088</v>
      </c>
      <c r="E14464" s="3" t="s">
        <v>3</v>
      </c>
      <c r="F14464" s="4">
        <v>2.3699999999999999E-177</v>
      </c>
      <c r="G14464" s="3">
        <v>1388</v>
      </c>
      <c r="H14464" s="3">
        <v>72</v>
      </c>
      <c r="I14464" s="3">
        <v>419</v>
      </c>
      <c r="J14464" s="3">
        <v>1397</v>
      </c>
      <c r="K14464" s="3">
        <v>2647</v>
      </c>
      <c r="L14464" s="3">
        <v>172</v>
      </c>
      <c r="M14464" s="3">
        <v>589</v>
      </c>
    </row>
    <row r="14465" spans="1:13" x14ac:dyDescent="0.25">
      <c r="A14465" s="1" t="str">
        <f>HYPERLINK("http://www.rosaceae.org/Prunus/Prunus_persica/p.persica_gdr_reftransV1_0035796","p.persica_gdr_reftransV1_0035796")</f>
        <v>p.persica_gdr_reftransV1_0035796</v>
      </c>
      <c r="B14465" s="3">
        <v>3603</v>
      </c>
      <c r="C14465" s="1" t="str">
        <f>HYPERLINK("http://www.uniprot.org/uniprot/MLH3_ARATH","MLH3_ARATH")</f>
        <v>MLH3_ARATH</v>
      </c>
      <c r="D14465" t="s">
        <v>9488</v>
      </c>
      <c r="E14465" s="3" t="s">
        <v>3</v>
      </c>
      <c r="F14465" s="4">
        <v>1.3999999999999999E-84</v>
      </c>
      <c r="G14465" s="3">
        <v>778</v>
      </c>
      <c r="H14465" s="3">
        <v>74</v>
      </c>
      <c r="I14465" s="3">
        <v>196</v>
      </c>
      <c r="J14465" s="3">
        <v>2894</v>
      </c>
      <c r="K14465" s="3">
        <v>3481</v>
      </c>
      <c r="L14465" s="3">
        <v>1</v>
      </c>
      <c r="M14465" s="3">
        <v>196</v>
      </c>
    </row>
    <row r="14466" spans="1:13" x14ac:dyDescent="0.25">
      <c r="A14466" s="1" t="str">
        <f>HYPERLINK("http://www.rosaceae.org/Prunus/Prunus_persica/p.persica_gdr_reftransV1_0035996","p.persica_gdr_reftransV1_0035996")</f>
        <v>p.persica_gdr_reftransV1_0035996</v>
      </c>
      <c r="B14466" s="3">
        <v>2233</v>
      </c>
      <c r="C14466" s="1" t="str">
        <f>HYPERLINK("http://www.uniprot.org/uniprot/Cid4_ARATH","Cid4_ARATH")</f>
        <v>Cid4_ARATH</v>
      </c>
      <c r="D14466" t="s">
        <v>4954</v>
      </c>
      <c r="E14466" s="3" t="s">
        <v>3</v>
      </c>
      <c r="F14466" s="4">
        <v>1.21E-10</v>
      </c>
      <c r="G14466" s="3">
        <v>166</v>
      </c>
      <c r="H14466" s="3">
        <v>37</v>
      </c>
      <c r="I14466" s="3">
        <v>110</v>
      </c>
      <c r="J14466" s="3">
        <v>328</v>
      </c>
      <c r="K14466" s="3">
        <v>642</v>
      </c>
      <c r="L14466" s="3">
        <v>51</v>
      </c>
      <c r="M14466" s="3">
        <v>152</v>
      </c>
    </row>
    <row r="14467" spans="1:13" x14ac:dyDescent="0.25">
      <c r="A14467" s="1" t="str">
        <f>HYPERLINK("http://www.rosaceae.org/Prunus/Prunus_persica/p.persica_gdr_reftransV1_0036346","p.persica_gdr_reftransV1_0036346")</f>
        <v>p.persica_gdr_reftransV1_0036346</v>
      </c>
      <c r="B14467" s="3">
        <v>2848</v>
      </c>
      <c r="C14467" s="1" t="str">
        <f>HYPERLINK("http://www.uniprot.org/uniprot/C3H39_ORYSJ","C3H39_ORYSJ")</f>
        <v>C3H39_ORYSJ</v>
      </c>
      <c r="D14467" t="s">
        <v>9489</v>
      </c>
      <c r="E14467" s="3" t="s">
        <v>38</v>
      </c>
      <c r="F14467" s="4">
        <v>6.2000000000000001E-9</v>
      </c>
      <c r="G14467" s="3">
        <v>151</v>
      </c>
      <c r="H14467" s="3">
        <v>38</v>
      </c>
      <c r="I14467" s="3">
        <v>84</v>
      </c>
      <c r="J14467" s="3">
        <v>1647</v>
      </c>
      <c r="K14467" s="3">
        <v>1895</v>
      </c>
      <c r="L14467" s="3">
        <v>269</v>
      </c>
      <c r="M14467" s="3">
        <v>335</v>
      </c>
    </row>
    <row r="14468" spans="1:13" x14ac:dyDescent="0.25">
      <c r="A14468" s="1" t="str">
        <f>HYPERLINK("http://www.rosaceae.org/Prunus/Prunus_persica/p.persica_gdr_reftransV1_0036496","p.persica_gdr_reftransV1_0036496")</f>
        <v>p.persica_gdr_reftransV1_0036496</v>
      </c>
      <c r="B14468" s="3">
        <v>1792</v>
      </c>
      <c r="C14468" s="1" t="str">
        <f>HYPERLINK("http://www.uniprot.org/uniprot/SGTA_HUMAN","SGTA_HUMAN")</f>
        <v>SGTA_HUMAN</v>
      </c>
      <c r="D14468" t="s">
        <v>9490</v>
      </c>
      <c r="E14468" s="3" t="s">
        <v>28</v>
      </c>
      <c r="F14468" s="4">
        <v>3.84E-9</v>
      </c>
      <c r="G14468" s="3">
        <v>149</v>
      </c>
      <c r="H14468" s="3">
        <v>36</v>
      </c>
      <c r="I14468" s="3">
        <v>122</v>
      </c>
      <c r="J14468" s="3">
        <v>519</v>
      </c>
      <c r="K14468" s="3">
        <v>884</v>
      </c>
      <c r="L14468" s="3">
        <v>88</v>
      </c>
      <c r="M14468" s="3">
        <v>205</v>
      </c>
    </row>
    <row r="14469" spans="1:13" x14ac:dyDescent="0.25">
      <c r="A14469" s="1" t="str">
        <f>HYPERLINK("http://www.rosaceae.org/Prunus/Prunus_persica/p.persica_gdr_reftransV1_0036746","p.persica_gdr_reftransV1_0036746")</f>
        <v>p.persica_gdr_reftransV1_0036746</v>
      </c>
      <c r="B14469" s="3">
        <v>2042</v>
      </c>
      <c r="C14469" s="1" t="str">
        <f>HYPERLINK("http://www.uniprot.org/uniprot/P4H9_ARATH","P4H9_ARATH")</f>
        <v>P4H9_ARATH</v>
      </c>
      <c r="D14469" t="s">
        <v>2673</v>
      </c>
      <c r="E14469" s="3" t="s">
        <v>3</v>
      </c>
      <c r="F14469" s="4">
        <v>2.8999999999999999E-58</v>
      </c>
      <c r="G14469" s="3">
        <v>518</v>
      </c>
      <c r="H14469" s="3">
        <v>73</v>
      </c>
      <c r="I14469" s="3">
        <v>122</v>
      </c>
      <c r="J14469" s="3">
        <v>594</v>
      </c>
      <c r="K14469" s="3">
        <v>959</v>
      </c>
      <c r="L14469" s="3">
        <v>141</v>
      </c>
      <c r="M14469" s="3">
        <v>262</v>
      </c>
    </row>
    <row r="14470" spans="1:13" x14ac:dyDescent="0.25">
      <c r="A14470" s="1" t="str">
        <f>HYPERLINK("http://www.rosaceae.org/Prunus/Prunus_persica/p.persica_gdr_reftransV1_0037146","p.persica_gdr_reftransV1_0037146")</f>
        <v>p.persica_gdr_reftransV1_0037146</v>
      </c>
      <c r="B14470" s="3">
        <v>1371</v>
      </c>
      <c r="C14470" s="1" t="str">
        <f>HYPERLINK("http://www.uniprot.org/uniprot/DI195_ORYSJ","DI195_ORYSJ")</f>
        <v>DI195_ORYSJ</v>
      </c>
      <c r="D14470" t="s">
        <v>9491</v>
      </c>
      <c r="E14470" s="3" t="s">
        <v>38</v>
      </c>
      <c r="F14470" s="4">
        <v>1.31E-32</v>
      </c>
      <c r="G14470" s="3">
        <v>319</v>
      </c>
      <c r="H14470" s="3">
        <v>38</v>
      </c>
      <c r="I14470" s="3">
        <v>166</v>
      </c>
      <c r="J14470" s="3">
        <v>587</v>
      </c>
      <c r="K14470" s="3">
        <v>1069</v>
      </c>
      <c r="L14470" s="3">
        <v>37</v>
      </c>
      <c r="M14470" s="3">
        <v>202</v>
      </c>
    </row>
    <row r="14471" spans="1:13" x14ac:dyDescent="0.25">
      <c r="A14471" s="1" t="str">
        <f>HYPERLINK("http://www.rosaceae.org/Prunus/Prunus_persica/p.persica_gdr_reftransV1_0037246","p.persica_gdr_reftransV1_0037246")</f>
        <v>p.persica_gdr_reftransV1_0037246</v>
      </c>
      <c r="B14471" s="3">
        <v>4658</v>
      </c>
      <c r="C14471" s="1" t="str">
        <f>HYPERLINK("http://www.uniprot.org/uniprot/DMS3_ARATH","DMS3_ARATH")</f>
        <v>DMS3_ARATH</v>
      </c>
      <c r="D14471" t="s">
        <v>3585</v>
      </c>
      <c r="E14471" s="3" t="s">
        <v>3</v>
      </c>
      <c r="F14471" s="4">
        <v>3.73E-56</v>
      </c>
      <c r="G14471" s="3">
        <v>528</v>
      </c>
      <c r="H14471" s="3">
        <v>41</v>
      </c>
      <c r="I14471" s="3">
        <v>286</v>
      </c>
      <c r="J14471" s="3">
        <v>3318</v>
      </c>
      <c r="K14471" s="3">
        <v>4145</v>
      </c>
      <c r="L14471" s="3">
        <v>54</v>
      </c>
      <c r="M14471" s="3">
        <v>339</v>
      </c>
    </row>
    <row r="14472" spans="1:13" x14ac:dyDescent="0.25">
      <c r="A14472" s="1" t="str">
        <f>HYPERLINK("http://www.rosaceae.org/Prunus/Prunus_persica/p.persica_gdr_reftransV1_0037846","p.persica_gdr_reftransV1_0037846")</f>
        <v>p.persica_gdr_reftransV1_0037846</v>
      </c>
      <c r="B14472" s="3">
        <v>494</v>
      </c>
      <c r="C14472" s="1" t="str">
        <f>HYPERLINK("http://www.uniprot.org/uniprot/U71D1_ARATH","U71D1_ARATH")</f>
        <v>U71D1_ARATH</v>
      </c>
      <c r="D14472" t="s">
        <v>6419</v>
      </c>
      <c r="E14472" s="3" t="s">
        <v>3</v>
      </c>
      <c r="F14472" s="4">
        <v>1.9800000000000002E-33</v>
      </c>
      <c r="G14472" s="3">
        <v>319</v>
      </c>
      <c r="H14472" s="3">
        <v>45</v>
      </c>
      <c r="I14472" s="3">
        <v>150</v>
      </c>
      <c r="J14472" s="3">
        <v>45</v>
      </c>
      <c r="K14472" s="3">
        <v>494</v>
      </c>
      <c r="L14472" s="3">
        <v>1</v>
      </c>
      <c r="M14472" s="3">
        <v>144</v>
      </c>
    </row>
    <row r="14473" spans="1:13" x14ac:dyDescent="0.25">
      <c r="A14473" s="1" t="str">
        <f>HYPERLINK("http://www.rosaceae.org/Prunus/Prunus_persica/p.persica_gdr_reftransV1_0037996","p.persica_gdr_reftransV1_0037996")</f>
        <v>p.persica_gdr_reftransV1_0037996</v>
      </c>
      <c r="B14473" s="3">
        <v>1876</v>
      </c>
      <c r="C14473" s="1" t="str">
        <f>HYPERLINK("http://www.uniprot.org/uniprot/PCO2_ARATH","PCO2_ARATH")</f>
        <v>PCO2_ARATH</v>
      </c>
      <c r="D14473" t="s">
        <v>5187</v>
      </c>
      <c r="E14473" s="3" t="s">
        <v>3</v>
      </c>
      <c r="F14473" s="4">
        <v>1.12E-92</v>
      </c>
      <c r="G14473" s="3">
        <v>751</v>
      </c>
      <c r="H14473" s="3">
        <v>55</v>
      </c>
      <c r="I14473" s="3">
        <v>271</v>
      </c>
      <c r="J14473" s="3">
        <v>496</v>
      </c>
      <c r="K14473" s="3">
        <v>1302</v>
      </c>
      <c r="L14473" s="3">
        <v>24</v>
      </c>
      <c r="M14473" s="3">
        <v>257</v>
      </c>
    </row>
    <row r="14474" spans="1:13" x14ac:dyDescent="0.25">
      <c r="A14474" s="1" t="str">
        <f>HYPERLINK("http://www.rosaceae.org/Prunus/Prunus_persica/p.persica_gdr_reftransV1_0038396","p.persica_gdr_reftransV1_0038396")</f>
        <v>p.persica_gdr_reftransV1_0038396</v>
      </c>
      <c r="B14474" s="3">
        <v>5827</v>
      </c>
      <c r="C14474" s="1" t="str">
        <f>HYPERLINK("http://www.uniprot.org/uniprot/DCL2_ARATH","DCL2_ARATH")</f>
        <v>DCL2_ARATH</v>
      </c>
      <c r="D14474" t="s">
        <v>3645</v>
      </c>
      <c r="E14474" s="3" t="s">
        <v>3</v>
      </c>
      <c r="F14474" s="4">
        <v>0</v>
      </c>
      <c r="G14474" s="3">
        <v>2975</v>
      </c>
      <c r="H14474" s="3">
        <v>56</v>
      </c>
      <c r="I14474" s="3">
        <v>1072</v>
      </c>
      <c r="J14474" s="3">
        <v>1812</v>
      </c>
      <c r="K14474" s="3">
        <v>5003</v>
      </c>
      <c r="L14474" s="3">
        <v>217</v>
      </c>
      <c r="M14474" s="3">
        <v>1279</v>
      </c>
    </row>
    <row r="14475" spans="1:13" x14ac:dyDescent="0.25">
      <c r="A14475" s="1" t="str">
        <f>HYPERLINK("http://www.rosaceae.org/Prunus/Prunus_persica/p.persica_gdr_reftransV1_0038546","p.persica_gdr_reftransV1_0038546")</f>
        <v>p.persica_gdr_reftransV1_0038546</v>
      </c>
      <c r="B14475" s="3">
        <v>7191</v>
      </c>
      <c r="C14475" s="1" t="str">
        <f>HYPERLINK("http://www.uniprot.org/uniprot/SHGR6_ARATH","SHGR6_ARATH")</f>
        <v>SHGR6_ARATH</v>
      </c>
      <c r="D14475" t="s">
        <v>9492</v>
      </c>
      <c r="E14475" s="3" t="s">
        <v>3</v>
      </c>
      <c r="F14475" s="4">
        <v>0</v>
      </c>
      <c r="G14475" s="3">
        <v>3623</v>
      </c>
      <c r="H14475" s="3">
        <v>73</v>
      </c>
      <c r="I14475" s="3">
        <v>952</v>
      </c>
      <c r="J14475" s="3">
        <v>1246</v>
      </c>
      <c r="K14475" s="3">
        <v>4062</v>
      </c>
      <c r="L14475" s="3">
        <v>392</v>
      </c>
      <c r="M14475" s="3">
        <v>1321</v>
      </c>
    </row>
    <row r="14476" spans="1:13" x14ac:dyDescent="0.25">
      <c r="A14476" s="1" t="str">
        <f>HYPERLINK("http://www.rosaceae.org/Prunus/Prunus_persica/p.persica_gdr_reftransV1_0038746","p.persica_gdr_reftransV1_0038746")</f>
        <v>p.persica_gdr_reftransV1_0038746</v>
      </c>
      <c r="B14476" s="3">
        <v>2721</v>
      </c>
      <c r="C14476" s="1" t="str">
        <f>HYPERLINK("http://www.uniprot.org/uniprot/E134_ARATH","E134_ARATH")</f>
        <v>E134_ARATH</v>
      </c>
      <c r="D14476" t="s">
        <v>9493</v>
      </c>
      <c r="E14476" s="3" t="s">
        <v>3</v>
      </c>
      <c r="F14476" s="4">
        <v>0</v>
      </c>
      <c r="G14476" s="3">
        <v>1628</v>
      </c>
      <c r="H14476" s="3">
        <v>68</v>
      </c>
      <c r="I14476" s="3">
        <v>440</v>
      </c>
      <c r="J14476" s="3">
        <v>1207</v>
      </c>
      <c r="K14476" s="3">
        <v>2523</v>
      </c>
      <c r="L14476" s="3">
        <v>1</v>
      </c>
      <c r="M14476" s="3">
        <v>440</v>
      </c>
    </row>
    <row r="14477" spans="1:13" x14ac:dyDescent="0.25">
      <c r="A14477" s="1" t="str">
        <f>HYPERLINK("http://www.rosaceae.org/Prunus/Prunus_persica/p.persica_gdr_reftransV1_0038846","p.persica_gdr_reftransV1_0038846")</f>
        <v>p.persica_gdr_reftransV1_0038846</v>
      </c>
      <c r="B14477" s="3">
        <v>2724</v>
      </c>
      <c r="C14477" s="1" t="str">
        <f>HYPERLINK("http://www.uniprot.org/uniprot/FIMB1_ARATH","FIMB1_ARATH")</f>
        <v>FIMB1_ARATH</v>
      </c>
      <c r="D14477" t="s">
        <v>9494</v>
      </c>
      <c r="E14477" s="3" t="s">
        <v>3</v>
      </c>
      <c r="F14477" s="4">
        <v>0</v>
      </c>
      <c r="G14477" s="3">
        <v>2119</v>
      </c>
      <c r="H14477" s="3">
        <v>81</v>
      </c>
      <c r="I14477" s="3">
        <v>486</v>
      </c>
      <c r="J14477" s="3">
        <v>228</v>
      </c>
      <c r="K14477" s="3">
        <v>1679</v>
      </c>
      <c r="L14477" s="3">
        <v>88</v>
      </c>
      <c r="M14477" s="3">
        <v>572</v>
      </c>
    </row>
    <row r="14478" spans="1:13" x14ac:dyDescent="0.25">
      <c r="A14478" s="1" t="str">
        <f>HYPERLINK("http://www.rosaceae.org/Prunus/Prunus_persica/p.persica_gdr_reftransV1_0038946","p.persica_gdr_reftransV1_0038946")</f>
        <v>p.persica_gdr_reftransV1_0038946</v>
      </c>
      <c r="B14478" s="3">
        <v>2791</v>
      </c>
      <c r="C14478" s="1" t="str">
        <f>HYPERLINK("http://www.uniprot.org/uniprot/AT21A_ARATH","AT21A_ARATH")</f>
        <v>AT21A_ARATH</v>
      </c>
      <c r="D14478" t="s">
        <v>7674</v>
      </c>
      <c r="E14478" s="3" t="s">
        <v>3</v>
      </c>
      <c r="F14478" s="4">
        <v>5.0299999999999999E-45</v>
      </c>
      <c r="G14478" s="3">
        <v>262</v>
      </c>
      <c r="H14478" s="3">
        <v>40</v>
      </c>
      <c r="I14478" s="3">
        <v>147</v>
      </c>
      <c r="J14478" s="3">
        <v>1583</v>
      </c>
      <c r="K14478" s="3">
        <v>2017</v>
      </c>
      <c r="L14478" s="3">
        <v>226</v>
      </c>
      <c r="M14478" s="3">
        <v>369</v>
      </c>
    </row>
    <row r="14479" spans="1:13" x14ac:dyDescent="0.25">
      <c r="A14479" s="1" t="str">
        <f>HYPERLINK("http://www.rosaceae.org/Prunus/Prunus_persica/p.persica_gdr_reftransV1_0039146","p.persica_gdr_reftransV1_0039146")</f>
        <v>p.persica_gdr_reftransV1_0039146</v>
      </c>
      <c r="B14479" s="3">
        <v>1516</v>
      </c>
      <c r="C14479" s="1" t="str">
        <f>HYPERLINK("http://www.uniprot.org/uniprot/DCNL1_HUMAN","DCNL1_HUMAN")</f>
        <v>DCNL1_HUMAN</v>
      </c>
      <c r="D14479" t="s">
        <v>9495</v>
      </c>
      <c r="E14479" s="3" t="s">
        <v>28</v>
      </c>
      <c r="F14479" s="4">
        <v>7.5700000000000002E-17</v>
      </c>
      <c r="G14479" s="3">
        <v>207</v>
      </c>
      <c r="H14479" s="3">
        <v>37</v>
      </c>
      <c r="I14479" s="3">
        <v>102</v>
      </c>
      <c r="J14479" s="3">
        <v>333</v>
      </c>
      <c r="K14479" s="3">
        <v>635</v>
      </c>
      <c r="L14479" s="3">
        <v>64</v>
      </c>
      <c r="M14479" s="3">
        <v>165</v>
      </c>
    </row>
    <row r="14480" spans="1:13" x14ac:dyDescent="0.25">
      <c r="A14480" s="1" t="str">
        <f>HYPERLINK("http://www.rosaceae.org/Prunus/Prunus_persica/p.persica_gdr_reftransV1_0039196","p.persica_gdr_reftransV1_0039196")</f>
        <v>p.persica_gdr_reftransV1_0039196</v>
      </c>
      <c r="B14480" s="3">
        <v>504</v>
      </c>
      <c r="C14480" s="1" t="str">
        <f>HYPERLINK("http://www.uniprot.org/uniprot/CKX1_ARATH","CKX1_ARATH")</f>
        <v>CKX1_ARATH</v>
      </c>
      <c r="D14480" t="s">
        <v>1075</v>
      </c>
      <c r="E14480" s="3" t="s">
        <v>3</v>
      </c>
      <c r="F14480" s="4">
        <v>2.78E-41</v>
      </c>
      <c r="G14480" s="3">
        <v>378</v>
      </c>
      <c r="H14480" s="3">
        <v>66</v>
      </c>
      <c r="I14480" s="3">
        <v>97</v>
      </c>
      <c r="J14480" s="3">
        <v>2</v>
      </c>
      <c r="K14480" s="3">
        <v>292</v>
      </c>
      <c r="L14480" s="3">
        <v>445</v>
      </c>
      <c r="M14480" s="3">
        <v>541</v>
      </c>
    </row>
    <row r="14481" spans="1:13" x14ac:dyDescent="0.25">
      <c r="A14481" s="1" t="str">
        <f>HYPERLINK("http://www.rosaceae.org/Prunus/Prunus_persica/p.persica_gdr_reftransV1_0039396","p.persica_gdr_reftransV1_0039396")</f>
        <v>p.persica_gdr_reftransV1_0039396</v>
      </c>
      <c r="B14481" s="3">
        <v>1059</v>
      </c>
      <c r="C14481" s="1" t="str">
        <f>HYPERLINK("http://www.uniprot.org/uniprot/CSPLN_ARALL","CSPLN_ARALL")</f>
        <v>CSPLN_ARALL</v>
      </c>
      <c r="D14481" t="s">
        <v>9496</v>
      </c>
      <c r="E14481" s="3" t="s">
        <v>7530</v>
      </c>
      <c r="F14481" s="4">
        <v>2.0499999999999999E-43</v>
      </c>
      <c r="G14481" s="3">
        <v>386</v>
      </c>
      <c r="H14481" s="3">
        <v>60</v>
      </c>
      <c r="I14481" s="3">
        <v>152</v>
      </c>
      <c r="J14481" s="3">
        <v>386</v>
      </c>
      <c r="K14481" s="3">
        <v>841</v>
      </c>
      <c r="L14481" s="3">
        <v>1</v>
      </c>
      <c r="M14481" s="3">
        <v>152</v>
      </c>
    </row>
    <row r="14482" spans="1:13" x14ac:dyDescent="0.25">
      <c r="A14482" s="1" t="str">
        <f>HYPERLINK("http://www.rosaceae.org/Prunus/Prunus_persica/p.persica_gdr_reftransV1_0039446","p.persica_gdr_reftransV1_0039446")</f>
        <v>p.persica_gdr_reftransV1_0039446</v>
      </c>
      <c r="B14482" s="3">
        <v>2225</v>
      </c>
      <c r="C14482" s="1" t="str">
        <f>HYPERLINK("http://www.uniprot.org/uniprot/TPC13_BOVIN","TPC13_BOVIN")</f>
        <v>TPC13_BOVIN</v>
      </c>
      <c r="D14482" t="s">
        <v>9497</v>
      </c>
      <c r="E14482" s="3" t="s">
        <v>184</v>
      </c>
      <c r="F14482" s="4">
        <v>1.0900000000000001E-23</v>
      </c>
      <c r="G14482" s="3">
        <v>269</v>
      </c>
      <c r="H14482" s="3">
        <v>48</v>
      </c>
      <c r="I14482" s="3">
        <v>113</v>
      </c>
      <c r="J14482" s="3">
        <v>1418</v>
      </c>
      <c r="K14482" s="3">
        <v>1756</v>
      </c>
      <c r="L14482" s="3">
        <v>61</v>
      </c>
      <c r="M14482" s="3">
        <v>172</v>
      </c>
    </row>
    <row r="14483" spans="1:13" x14ac:dyDescent="0.25">
      <c r="A14483" s="1" t="str">
        <f>HYPERLINK("http://www.rosaceae.org/Prunus/Prunus_persica/p.persica_gdr_reftransV1_0039596","p.persica_gdr_reftransV1_0039596")</f>
        <v>p.persica_gdr_reftransV1_0039596</v>
      </c>
      <c r="B14483" s="3">
        <v>827</v>
      </c>
      <c r="C14483" s="1" t="str">
        <f>HYPERLINK("http://www.uniprot.org/uniprot/OP21B_ARATH","OP21B_ARATH")</f>
        <v>OP21B_ARATH</v>
      </c>
      <c r="D14483" t="s">
        <v>9498</v>
      </c>
      <c r="E14483" s="3" t="s">
        <v>3</v>
      </c>
      <c r="F14483" s="4">
        <v>9.7499999999999995E-78</v>
      </c>
      <c r="G14483" s="3">
        <v>611</v>
      </c>
      <c r="H14483" s="3">
        <v>61</v>
      </c>
      <c r="I14483" s="3">
        <v>167</v>
      </c>
      <c r="J14483" s="3">
        <v>96</v>
      </c>
      <c r="K14483" s="3">
        <v>596</v>
      </c>
      <c r="L14483" s="3">
        <v>1</v>
      </c>
      <c r="M14483" s="3">
        <v>167</v>
      </c>
    </row>
    <row r="14484" spans="1:13" x14ac:dyDescent="0.25">
      <c r="A14484" s="1" t="str">
        <f>HYPERLINK("http://www.rosaceae.org/Prunus/Prunus_persica/p.persica_gdr_reftransV1_0039746","p.persica_gdr_reftransV1_0039746")</f>
        <v>p.persica_gdr_reftransV1_0039746</v>
      </c>
      <c r="B14484" s="3">
        <v>885</v>
      </c>
      <c r="C14484" s="1" t="str">
        <f>HYPERLINK("http://www.uniprot.org/uniprot/GDL57_ARATH","GDL57_ARATH")</f>
        <v>GDL57_ARATH</v>
      </c>
      <c r="D14484" t="s">
        <v>9499</v>
      </c>
      <c r="E14484" s="3" t="s">
        <v>3</v>
      </c>
      <c r="F14484" s="4">
        <v>1.1899999999999999E-77</v>
      </c>
      <c r="G14484" s="3">
        <v>631</v>
      </c>
      <c r="H14484" s="3">
        <v>65</v>
      </c>
      <c r="I14484" s="3">
        <v>189</v>
      </c>
      <c r="J14484" s="3">
        <v>167</v>
      </c>
      <c r="K14484" s="3">
        <v>721</v>
      </c>
      <c r="L14484" s="3">
        <v>34</v>
      </c>
      <c r="M14484" s="3">
        <v>217</v>
      </c>
    </row>
    <row r="14485" spans="1:13" x14ac:dyDescent="0.25">
      <c r="A14485" s="1" t="str">
        <f>HYPERLINK("http://www.rosaceae.org/Prunus/Prunus_persica/p.persica_gdr_reftransV1_0040896","p.persica_gdr_reftransV1_0040896")</f>
        <v>p.persica_gdr_reftransV1_0040896</v>
      </c>
      <c r="B14485" s="3">
        <v>1082</v>
      </c>
      <c r="C14485" s="1" t="str">
        <f>HYPERLINK("http://www.uniprot.org/uniprot/CSPLH_ARALL","CSPLH_ARALL")</f>
        <v>CSPLH_ARALL</v>
      </c>
      <c r="D14485" t="s">
        <v>9500</v>
      </c>
      <c r="E14485" s="3" t="s">
        <v>7530</v>
      </c>
      <c r="F14485" s="4">
        <v>5.1000000000000001E-54</v>
      </c>
      <c r="G14485" s="3">
        <v>462</v>
      </c>
      <c r="H14485" s="3">
        <v>67</v>
      </c>
      <c r="I14485" s="3">
        <v>163</v>
      </c>
      <c r="J14485" s="3">
        <v>327</v>
      </c>
      <c r="K14485" s="3">
        <v>815</v>
      </c>
      <c r="L14485" s="3">
        <v>30</v>
      </c>
      <c r="M14485" s="3">
        <v>188</v>
      </c>
    </row>
    <row r="14486" spans="1:13" x14ac:dyDescent="0.25">
      <c r="A14486" s="1" t="str">
        <f>HYPERLINK("http://www.rosaceae.org/Prunus/Prunus_persica/p.persica_gdr_reftransV1_0041096","p.persica_gdr_reftransV1_0041096")</f>
        <v>p.persica_gdr_reftransV1_0041096</v>
      </c>
      <c r="B14486" s="3">
        <v>1952</v>
      </c>
      <c r="C14486" s="1" t="str">
        <f>HYPERLINK("http://www.uniprot.org/uniprot/PLGG1_ARATH","PLGG1_ARATH")</f>
        <v>PLGG1_ARATH</v>
      </c>
      <c r="D14486" t="s">
        <v>9501</v>
      </c>
      <c r="E14486" s="3" t="s">
        <v>3</v>
      </c>
      <c r="F14486" s="4">
        <v>0</v>
      </c>
      <c r="G14486" s="3">
        <v>1688</v>
      </c>
      <c r="H14486" s="3">
        <v>82</v>
      </c>
      <c r="I14486" s="3">
        <v>456</v>
      </c>
      <c r="J14486" s="3">
        <v>387</v>
      </c>
      <c r="K14486" s="3">
        <v>1748</v>
      </c>
      <c r="L14486" s="3">
        <v>57</v>
      </c>
      <c r="M14486" s="3">
        <v>512</v>
      </c>
    </row>
    <row r="14487" spans="1:13" x14ac:dyDescent="0.25">
      <c r="A14487" s="1" t="str">
        <f>HYPERLINK("http://www.rosaceae.org/Prunus/Prunus_persica/p.persica_gdr_reftransV1_0041296","p.persica_gdr_reftransV1_0041296")</f>
        <v>p.persica_gdr_reftransV1_0041296</v>
      </c>
      <c r="B14487" s="3">
        <v>754</v>
      </c>
      <c r="C14487" s="1" t="str">
        <f>HYPERLINK("http://www.uniprot.org/uniprot/ARR22_ARATH","ARR22_ARATH")</f>
        <v>ARR22_ARATH</v>
      </c>
      <c r="D14487" t="s">
        <v>9502</v>
      </c>
      <c r="E14487" s="3" t="s">
        <v>3</v>
      </c>
      <c r="F14487" s="4">
        <v>5.2300000000000002E-15</v>
      </c>
      <c r="G14487" s="3">
        <v>179</v>
      </c>
      <c r="H14487" s="3">
        <v>42</v>
      </c>
      <c r="I14487" s="3">
        <v>115</v>
      </c>
      <c r="J14487" s="3">
        <v>252</v>
      </c>
      <c r="K14487" s="3">
        <v>593</v>
      </c>
      <c r="L14487" s="3">
        <v>22</v>
      </c>
      <c r="M14487" s="3">
        <v>136</v>
      </c>
    </row>
    <row r="14488" spans="1:13" x14ac:dyDescent="0.25">
      <c r="A14488" s="1" t="str">
        <f>HYPERLINK("http://www.rosaceae.org/Prunus/Prunus_persica/p.persica_gdr_reftransV1_0041346","p.persica_gdr_reftransV1_0041346")</f>
        <v>p.persica_gdr_reftransV1_0041346</v>
      </c>
      <c r="B14488" s="3">
        <v>3695</v>
      </c>
      <c r="C14488" s="1" t="str">
        <f>HYPERLINK("http://www.uniprot.org/uniprot/APC1_ARATH","APC1_ARATH")</f>
        <v>APC1_ARATH</v>
      </c>
      <c r="D14488" t="s">
        <v>8198</v>
      </c>
      <c r="E14488" s="3" t="s">
        <v>3</v>
      </c>
      <c r="F14488" s="4">
        <v>0</v>
      </c>
      <c r="G14488" s="3">
        <v>3254</v>
      </c>
      <c r="H14488" s="3">
        <v>62</v>
      </c>
      <c r="I14488" s="3">
        <v>1123</v>
      </c>
      <c r="J14488" s="3">
        <v>1</v>
      </c>
      <c r="K14488" s="3">
        <v>3357</v>
      </c>
      <c r="L14488" s="3">
        <v>687</v>
      </c>
      <c r="M14488" s="3">
        <v>1674</v>
      </c>
    </row>
    <row r="14489" spans="1:13" x14ac:dyDescent="0.25">
      <c r="A14489" s="1" t="str">
        <f>HYPERLINK("http://www.rosaceae.org/Prunus/Prunus_persica/p.persica_gdr_reftransV1_0041496","p.persica_gdr_reftransV1_0041496")</f>
        <v>p.persica_gdr_reftransV1_0041496</v>
      </c>
      <c r="B14489" s="3">
        <v>1226</v>
      </c>
      <c r="C14489" s="1" t="str">
        <f>HYPERLINK("http://www.uniprot.org/uniprot/BH051_ARATH","BH051_ARATH")</f>
        <v>BH051_ARATH</v>
      </c>
      <c r="D14489" t="s">
        <v>9503</v>
      </c>
      <c r="E14489" s="3" t="s">
        <v>3</v>
      </c>
      <c r="F14489" s="4">
        <v>2.2599999999999998E-43</v>
      </c>
      <c r="G14489" s="3">
        <v>398</v>
      </c>
      <c r="H14489" s="3">
        <v>40</v>
      </c>
      <c r="I14489" s="3">
        <v>260</v>
      </c>
      <c r="J14489" s="3">
        <v>59</v>
      </c>
      <c r="K14489" s="3">
        <v>796</v>
      </c>
      <c r="L14489" s="3">
        <v>5</v>
      </c>
      <c r="M14489" s="3">
        <v>252</v>
      </c>
    </row>
    <row r="14490" spans="1:13" x14ac:dyDescent="0.25">
      <c r="A14490" s="1" t="str">
        <f>HYPERLINK("http://www.rosaceae.org/Prunus/Prunus_persica/p.persica_gdr_reftransV1_0041596","p.persica_gdr_reftransV1_0041596")</f>
        <v>p.persica_gdr_reftransV1_0041596</v>
      </c>
      <c r="B14490" s="3">
        <v>3582</v>
      </c>
      <c r="C14490" s="1" t="str">
        <f>HYPERLINK("http://www.uniprot.org/uniprot/PEX6_ARATH","PEX6_ARATH")</f>
        <v>PEX6_ARATH</v>
      </c>
      <c r="D14490" t="s">
        <v>9504</v>
      </c>
      <c r="E14490" s="3" t="s">
        <v>3</v>
      </c>
      <c r="F14490" s="4">
        <v>0</v>
      </c>
      <c r="G14490" s="3">
        <v>1541</v>
      </c>
      <c r="H14490" s="3">
        <v>77</v>
      </c>
      <c r="I14490" s="3">
        <v>385</v>
      </c>
      <c r="J14490" s="3">
        <v>2150</v>
      </c>
      <c r="K14490" s="3">
        <v>3301</v>
      </c>
      <c r="L14490" s="3">
        <v>555</v>
      </c>
      <c r="M14490" s="3">
        <v>938</v>
      </c>
    </row>
    <row r="14491" spans="1:13" x14ac:dyDescent="0.25">
      <c r="A14491" s="1" t="str">
        <f>HYPERLINK("http://www.rosaceae.org/Prunus/Prunus_persica/p.persica_gdr_reftransV1_0043046","p.persica_gdr_reftransV1_0043046")</f>
        <v>p.persica_gdr_reftransV1_0043046</v>
      </c>
      <c r="B14491" s="3">
        <v>3036</v>
      </c>
      <c r="C14491" s="1" t="str">
        <f>HYPERLINK("http://www.uniprot.org/uniprot/CHR9_ARATH","CHR9_ARATH")</f>
        <v>CHR9_ARATH</v>
      </c>
      <c r="D14491" t="s">
        <v>3450</v>
      </c>
      <c r="E14491" s="3" t="s">
        <v>3</v>
      </c>
      <c r="F14491" s="4">
        <v>0</v>
      </c>
      <c r="G14491" s="3">
        <v>2880</v>
      </c>
      <c r="H14491" s="3">
        <v>71</v>
      </c>
      <c r="I14491" s="3">
        <v>785</v>
      </c>
      <c r="J14491" s="3">
        <v>293</v>
      </c>
      <c r="K14491" s="3">
        <v>2641</v>
      </c>
      <c r="L14491" s="3">
        <v>99</v>
      </c>
      <c r="M14491" s="3">
        <v>860</v>
      </c>
    </row>
    <row r="14492" spans="1:13" x14ac:dyDescent="0.25">
      <c r="A14492" s="1" t="str">
        <f>HYPERLINK("http://www.rosaceae.org/Prunus/Prunus_persica/p.persica_gdr_reftransV1_0043146","p.persica_gdr_reftransV1_0043146")</f>
        <v>p.persica_gdr_reftransV1_0043146</v>
      </c>
      <c r="B14492" s="3">
        <v>989</v>
      </c>
      <c r="C14492" s="1" t="str">
        <f>HYPERLINK("http://www.uniprot.org/uniprot/MEE12_ARATH","MEE12_ARATH")</f>
        <v>MEE12_ARATH</v>
      </c>
      <c r="D14492" t="s">
        <v>9505</v>
      </c>
      <c r="E14492" s="3" t="s">
        <v>3</v>
      </c>
      <c r="F14492" s="4">
        <v>2.2300000000000001E-45</v>
      </c>
      <c r="G14492" s="3">
        <v>425</v>
      </c>
      <c r="H14492" s="3">
        <v>39</v>
      </c>
      <c r="I14492" s="3">
        <v>326</v>
      </c>
      <c r="J14492" s="3">
        <v>1</v>
      </c>
      <c r="K14492" s="3">
        <v>957</v>
      </c>
      <c r="L14492" s="3">
        <v>387</v>
      </c>
      <c r="M14492" s="3">
        <v>654</v>
      </c>
    </row>
    <row r="14493" spans="1:13" x14ac:dyDescent="0.25">
      <c r="A14493" s="1" t="str">
        <f>HYPERLINK("http://www.rosaceae.org/Prunus/Prunus_persica/p.persica_gdr_reftransV1_0043196","p.persica_gdr_reftransV1_0043196")</f>
        <v>p.persica_gdr_reftransV1_0043196</v>
      </c>
      <c r="B14493" s="3">
        <v>303</v>
      </c>
      <c r="C14493" s="1" t="str">
        <f>HYPERLINK("http://www.uniprot.org/uniprot/PP303_ARATH","PP303_ARATH")</f>
        <v>PP303_ARATH</v>
      </c>
      <c r="D14493" t="s">
        <v>9506</v>
      </c>
      <c r="E14493" s="3" t="s">
        <v>3</v>
      </c>
      <c r="F14493" s="4">
        <v>3.5000000000000002E-13</v>
      </c>
      <c r="G14493" s="3">
        <v>167</v>
      </c>
      <c r="H14493" s="3">
        <v>37</v>
      </c>
      <c r="I14493" s="3">
        <v>97</v>
      </c>
      <c r="J14493" s="3">
        <v>13</v>
      </c>
      <c r="K14493" s="3">
        <v>303</v>
      </c>
      <c r="L14493" s="3">
        <v>31</v>
      </c>
      <c r="M14493" s="3">
        <v>126</v>
      </c>
    </row>
    <row r="14494" spans="1:13" x14ac:dyDescent="0.25">
      <c r="A14494" s="1" t="str">
        <f>HYPERLINK("http://www.rosaceae.org/Prunus/Prunus_persica/p.persica_gdr_reftransV1_0043246","p.persica_gdr_reftransV1_0043246")</f>
        <v>p.persica_gdr_reftransV1_0043246</v>
      </c>
      <c r="B14494" s="3">
        <v>572</v>
      </c>
      <c r="C14494" s="1" t="str">
        <f>HYPERLINK("http://www.uniprot.org/uniprot/PRU1_PRUAR","PRU1_PRUAR")</f>
        <v>PRU1_PRUAR</v>
      </c>
      <c r="D14494" t="s">
        <v>1198</v>
      </c>
      <c r="E14494" s="3" t="s">
        <v>62</v>
      </c>
      <c r="F14494" s="4">
        <v>3.1E-84</v>
      </c>
      <c r="G14494" s="3">
        <v>645</v>
      </c>
      <c r="H14494" s="3">
        <v>74</v>
      </c>
      <c r="I14494" s="3">
        <v>160</v>
      </c>
      <c r="J14494" s="3">
        <v>8</v>
      </c>
      <c r="K14494" s="3">
        <v>487</v>
      </c>
      <c r="L14494" s="3">
        <v>1</v>
      </c>
      <c r="M14494" s="3">
        <v>160</v>
      </c>
    </row>
    <row r="14495" spans="1:13" x14ac:dyDescent="0.25">
      <c r="A14495" s="1" t="str">
        <f>HYPERLINK("http://www.rosaceae.org/Prunus/Prunus_persica/p.persica_gdr_reftransV1_0043296","p.persica_gdr_reftransV1_0043296")</f>
        <v>p.persica_gdr_reftransV1_0043296</v>
      </c>
      <c r="B14495" s="3">
        <v>992</v>
      </c>
      <c r="C14495" s="1" t="str">
        <f>HYPERLINK("http://www.uniprot.org/uniprot/PPSP3_ARATH","PPSP3_ARATH")</f>
        <v>PPSP3_ARATH</v>
      </c>
      <c r="D14495" t="s">
        <v>2873</v>
      </c>
      <c r="E14495" s="3" t="s">
        <v>3</v>
      </c>
      <c r="F14495" s="4">
        <v>3.4299999999999998E-104</v>
      </c>
      <c r="G14495" s="3">
        <v>800</v>
      </c>
      <c r="H14495" s="3">
        <v>62</v>
      </c>
      <c r="I14495" s="3">
        <v>243</v>
      </c>
      <c r="J14495" s="3">
        <v>107</v>
      </c>
      <c r="K14495" s="3">
        <v>832</v>
      </c>
      <c r="L14495" s="3">
        <v>1</v>
      </c>
      <c r="M14495" s="3">
        <v>243</v>
      </c>
    </row>
    <row r="14496" spans="1:13" x14ac:dyDescent="0.25">
      <c r="A14496" s="1" t="str">
        <f>HYPERLINK("http://www.rosaceae.org/Prunus/Prunus_persica/p.persica_gdr_reftransV1_0043346","p.persica_gdr_reftransV1_0043346")</f>
        <v>p.persica_gdr_reftransV1_0043346</v>
      </c>
      <c r="B14496" s="3">
        <v>2530</v>
      </c>
      <c r="C14496" s="1" t="str">
        <f>HYPERLINK("http://www.uniprot.org/uniprot/AB11G_ARATH","AB11G_ARATH")</f>
        <v>AB11G_ARATH</v>
      </c>
      <c r="D14496" t="s">
        <v>5619</v>
      </c>
      <c r="E14496" s="3" t="s">
        <v>3</v>
      </c>
      <c r="F14496" s="4">
        <v>0</v>
      </c>
      <c r="G14496" s="3">
        <v>3046</v>
      </c>
      <c r="H14496" s="3">
        <v>85</v>
      </c>
      <c r="I14496" s="3">
        <v>697</v>
      </c>
      <c r="J14496" s="3">
        <v>118</v>
      </c>
      <c r="K14496" s="3">
        <v>2184</v>
      </c>
      <c r="L14496" s="3">
        <v>1</v>
      </c>
      <c r="M14496" s="3">
        <v>696</v>
      </c>
    </row>
    <row r="14497" spans="1:13" x14ac:dyDescent="0.25">
      <c r="A14497" s="1" t="str">
        <f>HYPERLINK("http://www.rosaceae.org/Prunus/Prunus_persica/p.persica_gdr_reftransV1_0043396","p.persica_gdr_reftransV1_0043396")</f>
        <v>p.persica_gdr_reftransV1_0043396</v>
      </c>
      <c r="B14497" s="3">
        <v>1387</v>
      </c>
      <c r="C14497" s="1" t="str">
        <f>HYPERLINK("http://www.uniprot.org/uniprot/Y1523_ARATH","Y1523_ARATH")</f>
        <v>Y1523_ARATH</v>
      </c>
      <c r="D14497" t="s">
        <v>3817</v>
      </c>
      <c r="E14497" s="3" t="s">
        <v>3</v>
      </c>
      <c r="F14497" s="4">
        <v>6.6399999999999995E-175</v>
      </c>
      <c r="G14497" s="3">
        <v>1311</v>
      </c>
      <c r="H14497" s="3">
        <v>81</v>
      </c>
      <c r="I14497" s="3">
        <v>302</v>
      </c>
      <c r="J14497" s="3">
        <v>26</v>
      </c>
      <c r="K14497" s="3">
        <v>925</v>
      </c>
      <c r="L14497" s="3">
        <v>238</v>
      </c>
      <c r="M14497" s="3">
        <v>536</v>
      </c>
    </row>
    <row r="14498" spans="1:13" x14ac:dyDescent="0.25">
      <c r="A14498" s="1" t="str">
        <f>HYPERLINK("http://www.rosaceae.org/Prunus/Prunus_persica/p.persica_gdr_reftransV1_0043496","p.persica_gdr_reftransV1_0043496")</f>
        <v>p.persica_gdr_reftransV1_0043496</v>
      </c>
      <c r="B14498" s="3">
        <v>362</v>
      </c>
      <c r="C14498" s="1" t="str">
        <f>HYPERLINK("http://www.uniprot.org/uniprot/Y5520_ARATH","Y5520_ARATH")</f>
        <v>Y5520_ARATH</v>
      </c>
      <c r="D14498" t="s">
        <v>1522</v>
      </c>
      <c r="E14498" s="3" t="s">
        <v>3</v>
      </c>
      <c r="F14498" s="4">
        <v>2.0400000000000001E-16</v>
      </c>
      <c r="G14498" s="3">
        <v>192</v>
      </c>
      <c r="H14498" s="3">
        <v>47</v>
      </c>
      <c r="I14498" s="3">
        <v>93</v>
      </c>
      <c r="J14498" s="3">
        <v>82</v>
      </c>
      <c r="K14498" s="3">
        <v>360</v>
      </c>
      <c r="L14498" s="3">
        <v>7</v>
      </c>
      <c r="M14498" s="3">
        <v>86</v>
      </c>
    </row>
    <row r="14499" spans="1:13" x14ac:dyDescent="0.25">
      <c r="A14499" s="1" t="str">
        <f>HYPERLINK("http://www.rosaceae.org/Prunus/Prunus_persica/p.persica_gdr_reftransV1_0043546","p.persica_gdr_reftransV1_0043546")</f>
        <v>p.persica_gdr_reftransV1_0043546</v>
      </c>
      <c r="B14499" s="3">
        <v>333</v>
      </c>
      <c r="C14499" s="1" t="str">
        <f>HYPERLINK("http://www.uniprot.org/uniprot/Y2317_ARATH","Y2317_ARATH")</f>
        <v>Y2317_ARATH</v>
      </c>
      <c r="D14499" t="s">
        <v>82</v>
      </c>
      <c r="E14499" s="3" t="s">
        <v>3</v>
      </c>
      <c r="F14499" s="4">
        <v>4.2800000000000003E-31</v>
      </c>
      <c r="G14499" s="3">
        <v>303</v>
      </c>
      <c r="H14499" s="3">
        <v>67</v>
      </c>
      <c r="I14499" s="3">
        <v>109</v>
      </c>
      <c r="J14499" s="3">
        <v>6</v>
      </c>
      <c r="K14499" s="3">
        <v>332</v>
      </c>
      <c r="L14499" s="3">
        <v>622</v>
      </c>
      <c r="M14499" s="3">
        <v>730</v>
      </c>
    </row>
    <row r="14500" spans="1:13" x14ac:dyDescent="0.25">
      <c r="A14500" s="1" t="str">
        <f>HYPERLINK("http://www.rosaceae.org/Prunus/Prunus_persica/p.persica_gdr_reftransV1_0043596","p.persica_gdr_reftransV1_0043596")</f>
        <v>p.persica_gdr_reftransV1_0043596</v>
      </c>
      <c r="B14500" s="3">
        <v>525</v>
      </c>
      <c r="C14500" s="1" t="str">
        <f>HYPERLINK("http://www.uniprot.org/uniprot/SYVM2_ARATH","SYVM2_ARATH")</f>
        <v>SYVM2_ARATH</v>
      </c>
      <c r="D14500" t="s">
        <v>7544</v>
      </c>
      <c r="E14500" s="3" t="s">
        <v>3</v>
      </c>
      <c r="F14500" s="4">
        <v>1.01E-45</v>
      </c>
      <c r="G14500" s="3">
        <v>418</v>
      </c>
      <c r="H14500" s="3">
        <v>81</v>
      </c>
      <c r="I14500" s="3">
        <v>91</v>
      </c>
      <c r="J14500" s="3">
        <v>252</v>
      </c>
      <c r="K14500" s="3">
        <v>524</v>
      </c>
      <c r="L14500" s="3">
        <v>54</v>
      </c>
      <c r="M14500" s="3">
        <v>144</v>
      </c>
    </row>
    <row r="14501" spans="1:13" x14ac:dyDescent="0.25">
      <c r="A14501" s="1" t="str">
        <f>HYPERLINK("http://www.rosaceae.org/Prunus/Prunus_persica/p.persica_gdr_reftransV1_0043646","p.persica_gdr_reftransV1_0043646")</f>
        <v>p.persica_gdr_reftransV1_0043646</v>
      </c>
      <c r="B14501" s="3">
        <v>1077</v>
      </c>
      <c r="C14501" s="1" t="str">
        <f>HYPERLINK("http://www.uniprot.org/uniprot/Y3720_ARATH","Y3720_ARATH")</f>
        <v>Y3720_ARATH</v>
      </c>
      <c r="D14501" t="s">
        <v>104</v>
      </c>
      <c r="E14501" s="3" t="s">
        <v>3</v>
      </c>
      <c r="F14501" s="4">
        <v>9.1000000000000001E-31</v>
      </c>
      <c r="G14501" s="3">
        <v>314</v>
      </c>
      <c r="H14501" s="3">
        <v>30</v>
      </c>
      <c r="I14501" s="3">
        <v>357</v>
      </c>
      <c r="J14501" s="3">
        <v>19</v>
      </c>
      <c r="K14501" s="3">
        <v>1038</v>
      </c>
      <c r="L14501" s="3">
        <v>108</v>
      </c>
      <c r="M14501" s="3">
        <v>455</v>
      </c>
    </row>
    <row r="14502" spans="1:13" x14ac:dyDescent="0.25">
      <c r="A14502" s="1" t="str">
        <f>HYPERLINK("http://www.rosaceae.org/Prunus/Prunus_persica/p.persica_gdr_reftransV1_0043696","p.persica_gdr_reftransV1_0043696")</f>
        <v>p.persica_gdr_reftransV1_0043696</v>
      </c>
      <c r="B14502" s="3">
        <v>438</v>
      </c>
      <c r="C14502" s="1" t="str">
        <f>HYPERLINK("http://www.uniprot.org/uniprot/ERG1_PANGI","ERG1_PANGI")</f>
        <v>ERG1_PANGI</v>
      </c>
      <c r="D14502" t="s">
        <v>1476</v>
      </c>
      <c r="E14502" s="3" t="s">
        <v>1477</v>
      </c>
      <c r="F14502" s="4">
        <v>4.03E-23</v>
      </c>
      <c r="G14502" s="3">
        <v>244</v>
      </c>
      <c r="H14502" s="3">
        <v>65</v>
      </c>
      <c r="I14502" s="3">
        <v>113</v>
      </c>
      <c r="J14502" s="3">
        <v>2</v>
      </c>
      <c r="K14502" s="3">
        <v>340</v>
      </c>
      <c r="L14502" s="3">
        <v>427</v>
      </c>
      <c r="M14502" s="3">
        <v>538</v>
      </c>
    </row>
    <row r="14503" spans="1:13" x14ac:dyDescent="0.25">
      <c r="A14503" s="1" t="str">
        <f>HYPERLINK("http://www.rosaceae.org/Prunus/Prunus_persica/p.persica_gdr_reftransV1_0043746","p.persica_gdr_reftransV1_0043746")</f>
        <v>p.persica_gdr_reftransV1_0043746</v>
      </c>
      <c r="B14503" s="3">
        <v>923</v>
      </c>
      <c r="C14503" s="1" t="str">
        <f>HYPERLINK("http://www.uniprot.org/uniprot/VIT1_ARATH","VIT1_ARATH")</f>
        <v>VIT1_ARATH</v>
      </c>
      <c r="D14503" t="s">
        <v>637</v>
      </c>
      <c r="E14503" s="3" t="s">
        <v>3</v>
      </c>
      <c r="F14503" s="4">
        <v>1.12E-107</v>
      </c>
      <c r="G14503" s="3">
        <v>821</v>
      </c>
      <c r="H14503" s="3">
        <v>76</v>
      </c>
      <c r="I14503" s="3">
        <v>216</v>
      </c>
      <c r="J14503" s="3">
        <v>115</v>
      </c>
      <c r="K14503" s="3">
        <v>762</v>
      </c>
      <c r="L14503" s="3">
        <v>16</v>
      </c>
      <c r="M14503" s="3">
        <v>230</v>
      </c>
    </row>
    <row r="14504" spans="1:13" x14ac:dyDescent="0.25">
      <c r="A14504" s="1" t="str">
        <f>HYPERLINK("http://www.rosaceae.org/Prunus/Prunus_persica/p.persica_gdr_reftransV1_0043896","p.persica_gdr_reftransV1_0043896")</f>
        <v>p.persica_gdr_reftransV1_0043896</v>
      </c>
      <c r="B14504" s="3">
        <v>517</v>
      </c>
      <c r="C14504" s="1" t="str">
        <f>HYPERLINK("http://www.uniprot.org/uniprot/TRNH3_ARATH","TRNH3_ARATH")</f>
        <v>TRNH3_ARATH</v>
      </c>
      <c r="D14504" t="s">
        <v>9507</v>
      </c>
      <c r="E14504" s="3" t="s">
        <v>3</v>
      </c>
      <c r="F14504" s="4">
        <v>3.9299999999999996E-62</v>
      </c>
      <c r="G14504" s="3">
        <v>506</v>
      </c>
      <c r="H14504" s="3">
        <v>66</v>
      </c>
      <c r="I14504" s="3">
        <v>145</v>
      </c>
      <c r="J14504" s="3">
        <v>3</v>
      </c>
      <c r="K14504" s="3">
        <v>434</v>
      </c>
      <c r="L14504" s="3">
        <v>1</v>
      </c>
      <c r="M14504" s="3">
        <v>144</v>
      </c>
    </row>
    <row r="14505" spans="1:13" x14ac:dyDescent="0.25">
      <c r="A14505" s="1" t="str">
        <f>HYPERLINK("http://www.rosaceae.org/Prunus/Prunus_persica/p.persica_gdr_reftransV1_0043946","p.persica_gdr_reftransV1_0043946")</f>
        <v>p.persica_gdr_reftransV1_0043946</v>
      </c>
      <c r="B14505" s="3">
        <v>1285</v>
      </c>
      <c r="C14505" s="1" t="str">
        <f>HYPERLINK("http://www.uniprot.org/uniprot/GRXC3_ARATH","GRXC3_ARATH")</f>
        <v>GRXC3_ARATH</v>
      </c>
      <c r="D14505" t="s">
        <v>8502</v>
      </c>
      <c r="E14505" s="3" t="s">
        <v>3</v>
      </c>
      <c r="F14505" s="4">
        <v>6.2899999999999999E-46</v>
      </c>
      <c r="G14505" s="3">
        <v>406</v>
      </c>
      <c r="H14505" s="3">
        <v>76</v>
      </c>
      <c r="I14505" s="3">
        <v>101</v>
      </c>
      <c r="J14505" s="3">
        <v>609</v>
      </c>
      <c r="K14505" s="3">
        <v>911</v>
      </c>
      <c r="L14505" s="3">
        <v>30</v>
      </c>
      <c r="M14505" s="3">
        <v>130</v>
      </c>
    </row>
    <row r="14506" spans="1:13" x14ac:dyDescent="0.25">
      <c r="A14506" s="1" t="str">
        <f>HYPERLINK("http://www.rosaceae.org/Prunus/Prunus_persica/p.persica_gdr_reftransV1_0044046","p.persica_gdr_reftransV1_0044046")</f>
        <v>p.persica_gdr_reftransV1_0044046</v>
      </c>
      <c r="B14506" s="3">
        <v>922</v>
      </c>
      <c r="C14506" s="1" t="str">
        <f>HYPERLINK("http://www.uniprot.org/uniprot/CSLA9_ARATH","CSLA9_ARATH")</f>
        <v>CSLA9_ARATH</v>
      </c>
      <c r="D14506" t="s">
        <v>5825</v>
      </c>
      <c r="E14506" s="3" t="s">
        <v>3</v>
      </c>
      <c r="F14506" s="4">
        <v>8.0399999999999996E-105</v>
      </c>
      <c r="G14506" s="3">
        <v>827</v>
      </c>
      <c r="H14506" s="3">
        <v>75</v>
      </c>
      <c r="I14506" s="3">
        <v>214</v>
      </c>
      <c r="J14506" s="3">
        <v>1</v>
      </c>
      <c r="K14506" s="3">
        <v>642</v>
      </c>
      <c r="L14506" s="3">
        <v>319</v>
      </c>
      <c r="M14506" s="3">
        <v>532</v>
      </c>
    </row>
    <row r="14507" spans="1:13" x14ac:dyDescent="0.25">
      <c r="A14507" s="1" t="str">
        <f>HYPERLINK("http://www.rosaceae.org/Prunus/Prunus_persica/p.persica_gdr_reftransV1_0044146","p.persica_gdr_reftransV1_0044146")</f>
        <v>p.persica_gdr_reftransV1_0044146</v>
      </c>
      <c r="B14507" s="3">
        <v>700</v>
      </c>
      <c r="C14507" s="1" t="str">
        <f>HYPERLINK("http://www.uniprot.org/uniprot/FB145_ARATH","FB145_ARATH")</f>
        <v>FB145_ARATH</v>
      </c>
      <c r="D14507" t="s">
        <v>7683</v>
      </c>
      <c r="E14507" s="3" t="s">
        <v>3</v>
      </c>
      <c r="F14507" s="4">
        <v>2.91E-15</v>
      </c>
      <c r="G14507" s="3">
        <v>189</v>
      </c>
      <c r="H14507" s="3">
        <v>29</v>
      </c>
      <c r="I14507" s="3">
        <v>234</v>
      </c>
      <c r="J14507" s="3">
        <v>3</v>
      </c>
      <c r="K14507" s="3">
        <v>698</v>
      </c>
      <c r="L14507" s="3">
        <v>6</v>
      </c>
      <c r="M14507" s="3">
        <v>221</v>
      </c>
    </row>
    <row r="14508" spans="1:13" x14ac:dyDescent="0.25">
      <c r="A14508" s="1" t="str">
        <f>HYPERLINK("http://www.rosaceae.org/Prunus/Prunus_persica/p.persica_gdr_reftransV1_0044246","p.persica_gdr_reftransV1_0044246")</f>
        <v>p.persica_gdr_reftransV1_0044246</v>
      </c>
      <c r="B14508" s="3">
        <v>1145</v>
      </c>
      <c r="C14508" s="1" t="str">
        <f>HYPERLINK("http://www.uniprot.org/uniprot/AOC3_ARATH","AOC3_ARATH")</f>
        <v>AOC3_ARATH</v>
      </c>
      <c r="D14508" t="s">
        <v>9508</v>
      </c>
      <c r="E14508" s="3" t="s">
        <v>3</v>
      </c>
      <c r="F14508" s="4">
        <v>1.04E-91</v>
      </c>
      <c r="G14508" s="3">
        <v>723</v>
      </c>
      <c r="H14508" s="3">
        <v>58</v>
      </c>
      <c r="I14508" s="3">
        <v>258</v>
      </c>
      <c r="J14508" s="3">
        <v>309</v>
      </c>
      <c r="K14508" s="3">
        <v>1058</v>
      </c>
      <c r="L14508" s="3">
        <v>5</v>
      </c>
      <c r="M14508" s="3">
        <v>258</v>
      </c>
    </row>
    <row r="14509" spans="1:13" x14ac:dyDescent="0.25">
      <c r="A14509" s="1" t="str">
        <f>HYPERLINK("http://www.rosaceae.org/Prunus/Prunus_persica/p.persica_gdr_reftransV1_0044296","p.persica_gdr_reftransV1_0044296")</f>
        <v>p.persica_gdr_reftransV1_0044296</v>
      </c>
      <c r="B14509" s="3">
        <v>1949</v>
      </c>
      <c r="C14509" s="1" t="str">
        <f>HYPERLINK("http://www.uniprot.org/uniprot/RL1D1_PONAB","RL1D1_PONAB")</f>
        <v>RL1D1_PONAB</v>
      </c>
      <c r="D14509" t="s">
        <v>9509</v>
      </c>
      <c r="E14509" s="3" t="s">
        <v>176</v>
      </c>
      <c r="F14509" s="4">
        <v>3.5E-28</v>
      </c>
      <c r="G14509" s="3">
        <v>305</v>
      </c>
      <c r="H14509" s="3">
        <v>32</v>
      </c>
      <c r="I14509" s="3">
        <v>256</v>
      </c>
      <c r="J14509" s="3">
        <v>177</v>
      </c>
      <c r="K14509" s="3">
        <v>929</v>
      </c>
      <c r="L14509" s="3">
        <v>15</v>
      </c>
      <c r="M14509" s="3">
        <v>266</v>
      </c>
    </row>
    <row r="14510" spans="1:13" x14ac:dyDescent="0.25">
      <c r="A14510" s="1" t="str">
        <f>HYPERLINK("http://www.rosaceae.org/Prunus/Prunus_persica/p.persica_gdr_reftransV1_0044346","p.persica_gdr_reftransV1_0044346")</f>
        <v>p.persica_gdr_reftransV1_0044346</v>
      </c>
      <c r="B14510" s="3">
        <v>1409</v>
      </c>
      <c r="C14510" s="1" t="str">
        <f>HYPERLINK("http://www.uniprot.org/uniprot/EML1_ARATH","EML1_ARATH")</f>
        <v>EML1_ARATH</v>
      </c>
      <c r="D14510" t="s">
        <v>9510</v>
      </c>
      <c r="E14510" s="3" t="s">
        <v>3</v>
      </c>
      <c r="F14510" s="4">
        <v>3.6299999999999998E-22</v>
      </c>
      <c r="G14510" s="3">
        <v>249</v>
      </c>
      <c r="H14510" s="3">
        <v>31</v>
      </c>
      <c r="I14510" s="3">
        <v>317</v>
      </c>
      <c r="J14510" s="3">
        <v>217</v>
      </c>
      <c r="K14510" s="3">
        <v>1056</v>
      </c>
      <c r="L14510" s="3">
        <v>1</v>
      </c>
      <c r="M14510" s="3">
        <v>309</v>
      </c>
    </row>
    <row r="14511" spans="1:13" x14ac:dyDescent="0.25">
      <c r="A14511" s="1" t="str">
        <f>HYPERLINK("http://www.rosaceae.org/Prunus/Prunus_persica/p.persica_gdr_reftransV1_0044546","p.persica_gdr_reftransV1_0044546")</f>
        <v>p.persica_gdr_reftransV1_0044546</v>
      </c>
      <c r="B14511" s="3">
        <v>1376</v>
      </c>
      <c r="C14511" s="1" t="str">
        <f>HYPERLINK("http://www.uniprot.org/uniprot/GALM_BOVIN","GALM_BOVIN")</f>
        <v>GALM_BOVIN</v>
      </c>
      <c r="D14511" t="s">
        <v>9511</v>
      </c>
      <c r="E14511" s="3" t="s">
        <v>184</v>
      </c>
      <c r="F14511" s="4">
        <v>3.3599999999999998E-82</v>
      </c>
      <c r="G14511" s="3">
        <v>674</v>
      </c>
      <c r="H14511" s="3">
        <v>44</v>
      </c>
      <c r="I14511" s="3">
        <v>328</v>
      </c>
      <c r="J14511" s="3">
        <v>156</v>
      </c>
      <c r="K14511" s="3">
        <v>1133</v>
      </c>
      <c r="L14511" s="3">
        <v>22</v>
      </c>
      <c r="M14511" s="3">
        <v>340</v>
      </c>
    </row>
    <row r="14512" spans="1:13" x14ac:dyDescent="0.25">
      <c r="A14512" s="1" t="str">
        <f>HYPERLINK("http://www.rosaceae.org/Prunus/Prunus_persica/p.persica_gdr_reftransV1_0044596","p.persica_gdr_reftransV1_0044596")</f>
        <v>p.persica_gdr_reftransV1_0044596</v>
      </c>
      <c r="B14512" s="3">
        <v>1267</v>
      </c>
      <c r="C14512" s="1" t="str">
        <f>HYPERLINK("http://www.uniprot.org/uniprot/SHH1_ARATH","SHH1_ARATH")</f>
        <v>SHH1_ARATH</v>
      </c>
      <c r="D14512" t="s">
        <v>1715</v>
      </c>
      <c r="E14512" s="3" t="s">
        <v>3</v>
      </c>
      <c r="F14512" s="4">
        <v>2.9400000000000001E-83</v>
      </c>
      <c r="G14512" s="3">
        <v>670</v>
      </c>
      <c r="H14512" s="3">
        <v>55</v>
      </c>
      <c r="I14512" s="3">
        <v>244</v>
      </c>
      <c r="J14512" s="3">
        <v>291</v>
      </c>
      <c r="K14512" s="3">
        <v>992</v>
      </c>
      <c r="L14512" s="3">
        <v>14</v>
      </c>
      <c r="M14512" s="3">
        <v>256</v>
      </c>
    </row>
    <row r="14513" spans="1:13" x14ac:dyDescent="0.25">
      <c r="A14513" s="1" t="str">
        <f>HYPERLINK("http://www.rosaceae.org/Prunus/Prunus_persica/p.persica_gdr_reftransV1_0044696","p.persica_gdr_reftransV1_0044696")</f>
        <v>p.persica_gdr_reftransV1_0044696</v>
      </c>
      <c r="B14513" s="3">
        <v>1116</v>
      </c>
      <c r="C14513" s="1" t="str">
        <f>HYPERLINK("http://www.uniprot.org/uniprot/EXLB1_ARATH","EXLB1_ARATH")</f>
        <v>EXLB1_ARATH</v>
      </c>
      <c r="D14513" t="s">
        <v>9512</v>
      </c>
      <c r="E14513" s="3" t="s">
        <v>3</v>
      </c>
      <c r="F14513" s="4">
        <v>1.3900000000000001E-100</v>
      </c>
      <c r="G14513" s="3">
        <v>780</v>
      </c>
      <c r="H14513" s="3">
        <v>57</v>
      </c>
      <c r="I14513" s="3">
        <v>252</v>
      </c>
      <c r="J14513" s="3">
        <v>260</v>
      </c>
      <c r="K14513" s="3">
        <v>1012</v>
      </c>
      <c r="L14513" s="3">
        <v>1</v>
      </c>
      <c r="M14513" s="3">
        <v>249</v>
      </c>
    </row>
    <row r="14514" spans="1:13" x14ac:dyDescent="0.25">
      <c r="A14514" s="1" t="str">
        <f>HYPERLINK("http://www.rosaceae.org/Prunus/Prunus_persica/p.persica_gdr_reftransV1_0044746","p.persica_gdr_reftransV1_0044746")</f>
        <v>p.persica_gdr_reftransV1_0044746</v>
      </c>
      <c r="B14514" s="3">
        <v>1645</v>
      </c>
      <c r="C14514" s="1" t="str">
        <f>HYPERLINK("http://www.uniprot.org/uniprot/PSD1_ARATH","PSD1_ARATH")</f>
        <v>PSD1_ARATH</v>
      </c>
      <c r="D14514" t="s">
        <v>9513</v>
      </c>
      <c r="E14514" s="3" t="s">
        <v>3</v>
      </c>
      <c r="F14514" s="4">
        <v>0</v>
      </c>
      <c r="G14514" s="3">
        <v>1505</v>
      </c>
      <c r="H14514" s="3">
        <v>65</v>
      </c>
      <c r="I14514" s="3">
        <v>457</v>
      </c>
      <c r="J14514" s="3">
        <v>233</v>
      </c>
      <c r="K14514" s="3">
        <v>1561</v>
      </c>
      <c r="L14514" s="3">
        <v>1</v>
      </c>
      <c r="M14514" s="3">
        <v>453</v>
      </c>
    </row>
    <row r="14515" spans="1:13" x14ac:dyDescent="0.25">
      <c r="A14515" s="1" t="str">
        <f>HYPERLINK("http://www.rosaceae.org/Prunus/Prunus_persica/p.persica_gdr_reftransV1_0044796","p.persica_gdr_reftransV1_0044796")</f>
        <v>p.persica_gdr_reftransV1_0044796</v>
      </c>
      <c r="B14515" s="3">
        <v>404</v>
      </c>
      <c r="C14515" s="1" t="str">
        <f>HYPERLINK("http://www.uniprot.org/uniprot/R13L1_ARATH","R13L1_ARATH")</f>
        <v>R13L1_ARATH</v>
      </c>
      <c r="D14515" t="s">
        <v>100</v>
      </c>
      <c r="E14515" s="3" t="s">
        <v>3</v>
      </c>
      <c r="F14515" s="4">
        <v>9.3400000000000008E-10</v>
      </c>
      <c r="G14515" s="3">
        <v>144</v>
      </c>
      <c r="H14515" s="3">
        <v>32</v>
      </c>
      <c r="I14515" s="3">
        <v>146</v>
      </c>
      <c r="J14515" s="3">
        <v>1</v>
      </c>
      <c r="K14515" s="3">
        <v>402</v>
      </c>
      <c r="L14515" s="3">
        <v>669</v>
      </c>
      <c r="M14515" s="3">
        <v>799</v>
      </c>
    </row>
    <row r="14516" spans="1:13" x14ac:dyDescent="0.25">
      <c r="A14516" s="1" t="str">
        <f>HYPERLINK("http://www.rosaceae.org/Prunus/Prunus_persica/p.persica_gdr_reftransV1_0044846","p.persica_gdr_reftransV1_0044846")</f>
        <v>p.persica_gdr_reftransV1_0044846</v>
      </c>
      <c r="B14516" s="3">
        <v>1036</v>
      </c>
      <c r="C14516" s="1" t="str">
        <f>HYPERLINK("http://www.uniprot.org/uniprot/RSZ33_ARATH","RSZ33_ARATH")</f>
        <v>RSZ33_ARATH</v>
      </c>
      <c r="D14516" t="s">
        <v>4329</v>
      </c>
      <c r="E14516" s="3" t="s">
        <v>3</v>
      </c>
      <c r="F14516" s="4">
        <v>1.11E-62</v>
      </c>
      <c r="G14516" s="3">
        <v>528</v>
      </c>
      <c r="H14516" s="3">
        <v>80</v>
      </c>
      <c r="I14516" s="3">
        <v>147</v>
      </c>
      <c r="J14516" s="3">
        <v>532</v>
      </c>
      <c r="K14516" s="3">
        <v>972</v>
      </c>
      <c r="L14516" s="3">
        <v>1</v>
      </c>
      <c r="M14516" s="3">
        <v>144</v>
      </c>
    </row>
    <row r="14517" spans="1:13" x14ac:dyDescent="0.25">
      <c r="A14517" s="1" t="str">
        <f>HYPERLINK("http://www.rosaceae.org/Prunus/Prunus_persica/p.persica_gdr_reftransV1_0044996","p.persica_gdr_reftransV1_0044996")</f>
        <v>p.persica_gdr_reftransV1_0044996</v>
      </c>
      <c r="B14517" s="3">
        <v>1117</v>
      </c>
      <c r="C14517" s="1" t="str">
        <f>HYPERLINK("http://www.uniprot.org/uniprot/CTDSL_CHICK","CTDSL_CHICK")</f>
        <v>CTDSL_CHICK</v>
      </c>
      <c r="D14517" t="s">
        <v>9514</v>
      </c>
      <c r="E14517" s="3" t="s">
        <v>1278</v>
      </c>
      <c r="F14517" s="4">
        <v>1.36E-42</v>
      </c>
      <c r="G14517" s="3">
        <v>392</v>
      </c>
      <c r="H14517" s="3">
        <v>50</v>
      </c>
      <c r="I14517" s="3">
        <v>167</v>
      </c>
      <c r="J14517" s="3">
        <v>266</v>
      </c>
      <c r="K14517" s="3">
        <v>760</v>
      </c>
      <c r="L14517" s="3">
        <v>95</v>
      </c>
      <c r="M14517" s="3">
        <v>260</v>
      </c>
    </row>
    <row r="14518" spans="1:13" x14ac:dyDescent="0.25">
      <c r="A14518" s="1" t="str">
        <f>HYPERLINK("http://www.rosaceae.org/Prunus/Prunus_persica/p.persica_gdr_reftransV1_0045046","p.persica_gdr_reftransV1_0045046")</f>
        <v>p.persica_gdr_reftransV1_0045046</v>
      </c>
      <c r="B14518" s="3">
        <v>4539</v>
      </c>
      <c r="C14518" s="1" t="str">
        <f>HYPERLINK("http://www.uniprot.org/uniprot/GCN2_ARATH","GCN2_ARATH")</f>
        <v>GCN2_ARATH</v>
      </c>
      <c r="D14518" t="s">
        <v>7626</v>
      </c>
      <c r="E14518" s="3" t="s">
        <v>3</v>
      </c>
      <c r="F14518" s="4">
        <v>0</v>
      </c>
      <c r="G14518" s="3">
        <v>2799</v>
      </c>
      <c r="H14518" s="3">
        <v>67</v>
      </c>
      <c r="I14518" s="3">
        <v>856</v>
      </c>
      <c r="J14518" s="3">
        <v>482</v>
      </c>
      <c r="K14518" s="3">
        <v>3025</v>
      </c>
      <c r="L14518" s="3">
        <v>21</v>
      </c>
      <c r="M14518" s="3">
        <v>865</v>
      </c>
    </row>
    <row r="14519" spans="1:13" x14ac:dyDescent="0.25">
      <c r="A14519" s="1" t="str">
        <f>HYPERLINK("http://www.rosaceae.org/Prunus/Prunus_persica/p.persica_gdr_reftransV1_0045146","p.persica_gdr_reftransV1_0045146")</f>
        <v>p.persica_gdr_reftransV1_0045146</v>
      </c>
      <c r="B14519" s="3">
        <v>1367</v>
      </c>
      <c r="C14519" s="1" t="str">
        <f>HYPERLINK("http://www.uniprot.org/uniprot/DBR_TOBAC","DBR_TOBAC")</f>
        <v>DBR_TOBAC</v>
      </c>
      <c r="D14519" t="s">
        <v>199</v>
      </c>
      <c r="E14519" s="3" t="s">
        <v>200</v>
      </c>
      <c r="F14519" s="4">
        <v>0</v>
      </c>
      <c r="G14519" s="3">
        <v>1443</v>
      </c>
      <c r="H14519" s="3">
        <v>78</v>
      </c>
      <c r="I14519" s="3">
        <v>348</v>
      </c>
      <c r="J14519" s="3">
        <v>259</v>
      </c>
      <c r="K14519" s="3">
        <v>1302</v>
      </c>
      <c r="L14519" s="3">
        <v>2</v>
      </c>
      <c r="M14519" s="3">
        <v>343</v>
      </c>
    </row>
    <row r="14520" spans="1:13" x14ac:dyDescent="0.25">
      <c r="A14520" s="1" t="str">
        <f>HYPERLINK("http://www.rosaceae.org/Prunus/Prunus_persica/p.persica_gdr_reftransV1_0045196","p.persica_gdr_reftransV1_0045196")</f>
        <v>p.persica_gdr_reftransV1_0045196</v>
      </c>
      <c r="B14520" s="3">
        <v>773</v>
      </c>
      <c r="C14520" s="1" t="str">
        <f>HYPERLINK("http://www.uniprot.org/uniprot/SF3B6_ARATH","SF3B6_ARATH")</f>
        <v>SF3B6_ARATH</v>
      </c>
      <c r="D14520" t="s">
        <v>186</v>
      </c>
      <c r="E14520" s="3" t="s">
        <v>3</v>
      </c>
      <c r="F14520" s="4">
        <v>1.87E-66</v>
      </c>
      <c r="G14520" s="3">
        <v>531</v>
      </c>
      <c r="H14520" s="3">
        <v>88</v>
      </c>
      <c r="I14520" s="3">
        <v>124</v>
      </c>
      <c r="J14520" s="3">
        <v>287</v>
      </c>
      <c r="K14520" s="3">
        <v>658</v>
      </c>
      <c r="L14520" s="3">
        <v>1</v>
      </c>
      <c r="M14520" s="3">
        <v>124</v>
      </c>
    </row>
    <row r="14521" spans="1:13" x14ac:dyDescent="0.25">
      <c r="A14521" s="1" t="str">
        <f>HYPERLINK("http://www.rosaceae.org/Prunus/Prunus_persica/p.persica_gdr_reftransV1_0045246","p.persica_gdr_reftransV1_0045246")</f>
        <v>p.persica_gdr_reftransV1_0045246</v>
      </c>
      <c r="B14521" s="3">
        <v>1035</v>
      </c>
      <c r="C14521" s="1" t="str">
        <f>HYPERLINK("http://www.uniprot.org/uniprot/LGUL_SOYBN","LGUL_SOYBN")</f>
        <v>LGUL_SOYBN</v>
      </c>
      <c r="D14521" t="s">
        <v>9515</v>
      </c>
      <c r="E14521" s="3" t="s">
        <v>307</v>
      </c>
      <c r="F14521" s="4">
        <v>1.48E-114</v>
      </c>
      <c r="G14521" s="3">
        <v>864</v>
      </c>
      <c r="H14521" s="3">
        <v>89</v>
      </c>
      <c r="I14521" s="3">
        <v>175</v>
      </c>
      <c r="J14521" s="3">
        <v>124</v>
      </c>
      <c r="K14521" s="3">
        <v>648</v>
      </c>
      <c r="L14521" s="3">
        <v>1</v>
      </c>
      <c r="M14521" s="3">
        <v>175</v>
      </c>
    </row>
    <row r="14522" spans="1:13" x14ac:dyDescent="0.25">
      <c r="A14522" s="1" t="str">
        <f>HYPERLINK("http://www.rosaceae.org/Prunus/Prunus_persica/p.persica_gdr_reftransV1_0045346","p.persica_gdr_reftransV1_0045346")</f>
        <v>p.persica_gdr_reftransV1_0045346</v>
      </c>
      <c r="B14522" s="3">
        <v>955</v>
      </c>
      <c r="C14522" s="1" t="str">
        <f>HYPERLINK("http://www.uniprot.org/uniprot/VATE_CITLI","VATE_CITLI")</f>
        <v>VATE_CITLI</v>
      </c>
      <c r="D14522" t="s">
        <v>9516</v>
      </c>
      <c r="E14522" s="3" t="s">
        <v>1784</v>
      </c>
      <c r="F14522" s="4">
        <v>1.1000000000000001E-112</v>
      </c>
      <c r="G14522" s="3">
        <v>853</v>
      </c>
      <c r="H14522" s="3">
        <v>73</v>
      </c>
      <c r="I14522" s="3">
        <v>230</v>
      </c>
      <c r="J14522" s="3">
        <v>71</v>
      </c>
      <c r="K14522" s="3">
        <v>760</v>
      </c>
      <c r="L14522" s="3">
        <v>1</v>
      </c>
      <c r="M14522" s="3">
        <v>230</v>
      </c>
    </row>
    <row r="14523" spans="1:13" x14ac:dyDescent="0.25">
      <c r="A14523" s="1" t="str">
        <f>HYPERLINK("http://www.rosaceae.org/Prunus/Prunus_persica/p.persica_gdr_reftransV1_0045446","p.persica_gdr_reftransV1_0045446")</f>
        <v>p.persica_gdr_reftransV1_0045446</v>
      </c>
      <c r="B14523" s="3">
        <v>2186</v>
      </c>
      <c r="C14523" s="1" t="str">
        <f>HYPERLINK("http://www.uniprot.org/uniprot/DPOE2_DICDI","DPOE2_DICDI")</f>
        <v>DPOE2_DICDI</v>
      </c>
      <c r="D14523" t="s">
        <v>9517</v>
      </c>
      <c r="E14523" s="3" t="s">
        <v>9</v>
      </c>
      <c r="F14523" s="4">
        <v>7.7899999999999995E-89</v>
      </c>
      <c r="G14523" s="3">
        <v>765</v>
      </c>
      <c r="H14523" s="3">
        <v>37</v>
      </c>
      <c r="I14523" s="3">
        <v>445</v>
      </c>
      <c r="J14523" s="3">
        <v>209</v>
      </c>
      <c r="K14523" s="3">
        <v>1528</v>
      </c>
      <c r="L14523" s="3">
        <v>70</v>
      </c>
      <c r="M14523" s="3">
        <v>505</v>
      </c>
    </row>
    <row r="14524" spans="1:13" x14ac:dyDescent="0.25">
      <c r="A14524" s="1" t="str">
        <f>HYPERLINK("http://www.rosaceae.org/Prunus/Prunus_persica/p.persica_gdr_reftransV1_0045546","p.persica_gdr_reftransV1_0045546")</f>
        <v>p.persica_gdr_reftransV1_0045546</v>
      </c>
      <c r="B14524" s="3">
        <v>495</v>
      </c>
      <c r="C14524" s="1" t="str">
        <f>HYPERLINK("http://www.uniprot.org/uniprot/ACO12_ARATH","ACO12_ARATH")</f>
        <v>ACO12_ARATH</v>
      </c>
      <c r="D14524" t="s">
        <v>6161</v>
      </c>
      <c r="E14524" s="3" t="s">
        <v>3</v>
      </c>
      <c r="F14524" s="4">
        <v>1.18E-79</v>
      </c>
      <c r="G14524" s="3">
        <v>651</v>
      </c>
      <c r="H14524" s="3">
        <v>74</v>
      </c>
      <c r="I14524" s="3">
        <v>163</v>
      </c>
      <c r="J14524" s="3">
        <v>7</v>
      </c>
      <c r="K14524" s="3">
        <v>495</v>
      </c>
      <c r="L14524" s="3">
        <v>336</v>
      </c>
      <c r="M14524" s="3">
        <v>495</v>
      </c>
    </row>
    <row r="14525" spans="1:13" x14ac:dyDescent="0.25">
      <c r="A14525" s="1" t="str">
        <f>HYPERLINK("http://www.rosaceae.org/Prunus/Prunus_persica/p.persica_gdr_reftransV1_0045596","p.persica_gdr_reftransV1_0045596")</f>
        <v>p.persica_gdr_reftransV1_0045596</v>
      </c>
      <c r="B14525" s="3">
        <v>1119</v>
      </c>
      <c r="C14525" s="1" t="str">
        <f>HYPERLINK("http://www.uniprot.org/uniprot/RS4_SOLTU","RS4_SOLTU")</f>
        <v>RS4_SOLTU</v>
      </c>
      <c r="D14525" t="s">
        <v>9518</v>
      </c>
      <c r="E14525" s="3" t="s">
        <v>11</v>
      </c>
      <c r="F14525" s="4">
        <v>4.95E-162</v>
      </c>
      <c r="G14525" s="3">
        <v>1188</v>
      </c>
      <c r="H14525" s="3">
        <v>92</v>
      </c>
      <c r="I14525" s="3">
        <v>264</v>
      </c>
      <c r="J14525" s="3">
        <v>212</v>
      </c>
      <c r="K14525" s="3">
        <v>1003</v>
      </c>
      <c r="L14525" s="3">
        <v>1</v>
      </c>
      <c r="M14525" s="3">
        <v>264</v>
      </c>
    </row>
    <row r="14526" spans="1:13" x14ac:dyDescent="0.25">
      <c r="A14526" s="1" t="str">
        <f>HYPERLINK("http://www.rosaceae.org/Prunus/Prunus_persica/p.persica_gdr_reftransV1_0045646","p.persica_gdr_reftransV1_0045646")</f>
        <v>p.persica_gdr_reftransV1_0045646</v>
      </c>
      <c r="B14526" s="3">
        <v>3097</v>
      </c>
      <c r="C14526" s="1" t="str">
        <f>HYPERLINK("http://www.uniprot.org/uniprot/KIN13_ARATH","KIN13_ARATH")</f>
        <v>KIN13_ARATH</v>
      </c>
      <c r="D14526" t="s">
        <v>465</v>
      </c>
      <c r="E14526" s="3" t="s">
        <v>3</v>
      </c>
      <c r="F14526" s="4">
        <v>7.1600000000000007E-167</v>
      </c>
      <c r="G14526" s="3">
        <v>1331</v>
      </c>
      <c r="H14526" s="3">
        <v>61</v>
      </c>
      <c r="I14526" s="3">
        <v>499</v>
      </c>
      <c r="J14526" s="3">
        <v>523</v>
      </c>
      <c r="K14526" s="3">
        <v>1941</v>
      </c>
      <c r="L14526" s="3">
        <v>32</v>
      </c>
      <c r="M14526" s="3">
        <v>526</v>
      </c>
    </row>
    <row r="14527" spans="1:13" x14ac:dyDescent="0.25">
      <c r="A14527" s="1" t="str">
        <f>HYPERLINK("http://www.rosaceae.org/Prunus/Prunus_persica/p.persica_gdr_reftransV1_0045746","p.persica_gdr_reftransV1_0045746")</f>
        <v>p.persica_gdr_reftransV1_0045746</v>
      </c>
      <c r="B14527" s="3">
        <v>2273</v>
      </c>
      <c r="C14527" s="1" t="str">
        <f>HYPERLINK("http://www.uniprot.org/uniprot/VP35B_ARATH","VP35B_ARATH")</f>
        <v>VP35B_ARATH</v>
      </c>
      <c r="D14527" t="s">
        <v>3185</v>
      </c>
      <c r="E14527" s="3" t="s">
        <v>3</v>
      </c>
      <c r="F14527" s="4">
        <v>0</v>
      </c>
      <c r="G14527" s="3">
        <v>2756</v>
      </c>
      <c r="H14527" s="3">
        <v>81</v>
      </c>
      <c r="I14527" s="3">
        <v>621</v>
      </c>
      <c r="J14527" s="3">
        <v>410</v>
      </c>
      <c r="K14527" s="3">
        <v>2272</v>
      </c>
      <c r="L14527" s="3">
        <v>171</v>
      </c>
      <c r="M14527" s="3">
        <v>790</v>
      </c>
    </row>
    <row r="14528" spans="1:13" x14ac:dyDescent="0.25">
      <c r="A14528" s="1" t="str">
        <f>HYPERLINK("http://www.rosaceae.org/Prunus/Prunus_persica/p.persica_gdr_reftransV1_0045846","p.persica_gdr_reftransV1_0045846")</f>
        <v>p.persica_gdr_reftransV1_0045846</v>
      </c>
      <c r="B14528" s="3">
        <v>3410</v>
      </c>
      <c r="C14528" s="1" t="str">
        <f>HYPERLINK("http://www.uniprot.org/uniprot/FTSH_CYACA","FTSH_CYACA")</f>
        <v>FTSH_CYACA</v>
      </c>
      <c r="D14528" t="s">
        <v>5927</v>
      </c>
      <c r="E14528" s="3" t="s">
        <v>1967</v>
      </c>
      <c r="F14528" s="4">
        <v>8.5600000000000002E-91</v>
      </c>
      <c r="G14528" s="3">
        <v>795</v>
      </c>
      <c r="H14528" s="3">
        <v>42</v>
      </c>
      <c r="I14528" s="3">
        <v>470</v>
      </c>
      <c r="J14528" s="3">
        <v>917</v>
      </c>
      <c r="K14528" s="3">
        <v>2284</v>
      </c>
      <c r="L14528" s="3">
        <v>152</v>
      </c>
      <c r="M14528" s="3">
        <v>609</v>
      </c>
    </row>
    <row r="14529" spans="1:13" x14ac:dyDescent="0.25">
      <c r="A14529" s="1" t="str">
        <f>HYPERLINK("http://www.rosaceae.org/Prunus/Prunus_persica/p.persica_gdr_reftransV1_0045896","p.persica_gdr_reftransV1_0045896")</f>
        <v>p.persica_gdr_reftransV1_0045896</v>
      </c>
      <c r="B14529" s="3">
        <v>848</v>
      </c>
      <c r="C14529" s="1" t="str">
        <f>HYPERLINK("http://www.uniprot.org/uniprot/RPA12_RAT","RPA12_RAT")</f>
        <v>RPA12_RAT</v>
      </c>
      <c r="D14529" t="s">
        <v>9519</v>
      </c>
      <c r="E14529" s="3" t="s">
        <v>161</v>
      </c>
      <c r="F14529" s="4">
        <v>3.5900000000000004E-15</v>
      </c>
      <c r="G14529" s="3">
        <v>181</v>
      </c>
      <c r="H14529" s="3">
        <v>33</v>
      </c>
      <c r="I14529" s="3">
        <v>111</v>
      </c>
      <c r="J14529" s="3">
        <v>323</v>
      </c>
      <c r="K14529" s="3">
        <v>652</v>
      </c>
      <c r="L14529" s="3">
        <v>13</v>
      </c>
      <c r="M14529" s="3">
        <v>122</v>
      </c>
    </row>
    <row r="14530" spans="1:13" x14ac:dyDescent="0.25">
      <c r="A14530" s="1" t="str">
        <f>HYPERLINK("http://www.rosaceae.org/Prunus/Prunus_persica/p.persica_gdr_reftransV1_0045946","p.persica_gdr_reftransV1_0045946")</f>
        <v>p.persica_gdr_reftransV1_0045946</v>
      </c>
      <c r="B14530" s="3">
        <v>1154</v>
      </c>
      <c r="C14530" s="1" t="str">
        <f>HYPERLINK("http://www.uniprot.org/uniprot/YAB1_ARATH","YAB1_ARATH")</f>
        <v>YAB1_ARATH</v>
      </c>
      <c r="D14530" t="s">
        <v>1108</v>
      </c>
      <c r="E14530" s="3" t="s">
        <v>3</v>
      </c>
      <c r="F14530" s="4">
        <v>9.7699999999999995E-77</v>
      </c>
      <c r="G14530" s="3">
        <v>620</v>
      </c>
      <c r="H14530" s="3">
        <v>67</v>
      </c>
      <c r="I14530" s="3">
        <v>207</v>
      </c>
      <c r="J14530" s="3">
        <v>244</v>
      </c>
      <c r="K14530" s="3">
        <v>846</v>
      </c>
      <c r="L14530" s="3">
        <v>26</v>
      </c>
      <c r="M14530" s="3">
        <v>229</v>
      </c>
    </row>
    <row r="14531" spans="1:13" x14ac:dyDescent="0.25">
      <c r="A14531" s="1" t="str">
        <f>HYPERLINK("http://www.rosaceae.org/Prunus/Prunus_persica/p.persica_gdr_reftransV1_0046096","p.persica_gdr_reftransV1_0046096")</f>
        <v>p.persica_gdr_reftransV1_0046096</v>
      </c>
      <c r="B14531" s="3">
        <v>1932</v>
      </c>
      <c r="C14531" s="1" t="str">
        <f>HYPERLINK("http://www.uniprot.org/uniprot/C3H48_ARATH","C3H48_ARATH")</f>
        <v>C3H48_ARATH</v>
      </c>
      <c r="D14531" t="s">
        <v>1976</v>
      </c>
      <c r="E14531" s="3" t="s">
        <v>3</v>
      </c>
      <c r="F14531" s="4">
        <v>7.6900000000000002E-148</v>
      </c>
      <c r="G14531" s="3">
        <v>1137</v>
      </c>
      <c r="H14531" s="3">
        <v>51</v>
      </c>
      <c r="I14531" s="3">
        <v>434</v>
      </c>
      <c r="J14531" s="3">
        <v>343</v>
      </c>
      <c r="K14531" s="3">
        <v>1641</v>
      </c>
      <c r="L14531" s="3">
        <v>22</v>
      </c>
      <c r="M14531" s="3">
        <v>421</v>
      </c>
    </row>
    <row r="14532" spans="1:13" x14ac:dyDescent="0.25">
      <c r="A14532" s="1" t="str">
        <f>HYPERLINK("http://www.rosaceae.org/Prunus/Prunus_persica/p.persica_gdr_reftransV1_0046146","p.persica_gdr_reftransV1_0046146")</f>
        <v>p.persica_gdr_reftransV1_0046146</v>
      </c>
      <c r="B14532" s="3">
        <v>1317</v>
      </c>
      <c r="C14532" s="1" t="str">
        <f>HYPERLINK("http://www.uniprot.org/uniprot/RHMA_ECO7I","RHMA_ECO7I")</f>
        <v>RHMA_ECO7I</v>
      </c>
      <c r="D14532" t="s">
        <v>9520</v>
      </c>
      <c r="E14532" s="3" t="s">
        <v>2372</v>
      </c>
      <c r="F14532" s="4">
        <v>3.1000000000000001E-40</v>
      </c>
      <c r="G14532" s="3">
        <v>378</v>
      </c>
      <c r="H14532" s="3">
        <v>34</v>
      </c>
      <c r="I14532" s="3">
        <v>253</v>
      </c>
      <c r="J14532" s="3">
        <v>241</v>
      </c>
      <c r="K14532" s="3">
        <v>996</v>
      </c>
      <c r="L14532" s="3">
        <v>9</v>
      </c>
      <c r="M14532" s="3">
        <v>255</v>
      </c>
    </row>
    <row r="14533" spans="1:13" x14ac:dyDescent="0.25">
      <c r="A14533" s="1" t="str">
        <f>HYPERLINK("http://www.rosaceae.org/Prunus/Prunus_persica/p.persica_gdr_reftransV1_0046246","p.persica_gdr_reftransV1_0046246")</f>
        <v>p.persica_gdr_reftransV1_0046246</v>
      </c>
      <c r="B14533" s="3">
        <v>412</v>
      </c>
      <c r="C14533" s="1" t="str">
        <f>HYPERLINK("http://www.uniprot.org/uniprot/TYW1_ARATH","TYW1_ARATH")</f>
        <v>TYW1_ARATH</v>
      </c>
      <c r="D14533" t="s">
        <v>2005</v>
      </c>
      <c r="E14533" s="3" t="s">
        <v>3</v>
      </c>
      <c r="F14533" s="4">
        <v>1.07E-63</v>
      </c>
      <c r="G14533" s="3">
        <v>536</v>
      </c>
      <c r="H14533" s="3">
        <v>84</v>
      </c>
      <c r="I14533" s="3">
        <v>113</v>
      </c>
      <c r="J14533" s="3">
        <v>73</v>
      </c>
      <c r="K14533" s="3">
        <v>411</v>
      </c>
      <c r="L14533" s="3">
        <v>526</v>
      </c>
      <c r="M14533" s="3">
        <v>638</v>
      </c>
    </row>
    <row r="14534" spans="1:13" x14ac:dyDescent="0.25">
      <c r="A14534" s="1" t="str">
        <f>HYPERLINK("http://www.rosaceae.org/Prunus/Prunus_persica/p.persica_gdr_reftransV1_0046596","p.persica_gdr_reftransV1_0046596")</f>
        <v>p.persica_gdr_reftransV1_0046596</v>
      </c>
      <c r="B14534" s="3">
        <v>1303</v>
      </c>
      <c r="C14534" s="1" t="str">
        <f>HYPERLINK("http://www.uniprot.org/uniprot/ISPD_MENPI","ISPD_MENPI")</f>
        <v>ISPD_MENPI</v>
      </c>
      <c r="D14534" t="s">
        <v>2525</v>
      </c>
      <c r="E14534" s="3" t="s">
        <v>2526</v>
      </c>
      <c r="F14534" s="4">
        <v>9.4200000000000001E-85</v>
      </c>
      <c r="G14534" s="3">
        <v>682</v>
      </c>
      <c r="H14534" s="3">
        <v>57</v>
      </c>
      <c r="I14534" s="3">
        <v>256</v>
      </c>
      <c r="J14534" s="3">
        <v>211</v>
      </c>
      <c r="K14534" s="3">
        <v>978</v>
      </c>
      <c r="L14534" s="3">
        <v>5</v>
      </c>
      <c r="M14534" s="3">
        <v>255</v>
      </c>
    </row>
    <row r="14535" spans="1:13" x14ac:dyDescent="0.25">
      <c r="A14535" s="1" t="str">
        <f>HYPERLINK("http://www.rosaceae.org/Prunus/Prunus_persica/p.persica_gdr_reftransV1_0046646","p.persica_gdr_reftransV1_0046646")</f>
        <v>p.persica_gdr_reftransV1_0046646</v>
      </c>
      <c r="B14535" s="3">
        <v>1391</v>
      </c>
      <c r="C14535" s="1" t="str">
        <f>HYPERLINK("http://www.uniprot.org/uniprot/RBP1_ARATH","RBP1_ARATH")</f>
        <v>RBP1_ARATH</v>
      </c>
      <c r="D14535" t="s">
        <v>9521</v>
      </c>
      <c r="E14535" s="3" t="s">
        <v>3</v>
      </c>
      <c r="F14535" s="4">
        <v>7.5999999999999997E-59</v>
      </c>
      <c r="G14535" s="3">
        <v>517</v>
      </c>
      <c r="H14535" s="3">
        <v>53</v>
      </c>
      <c r="I14535" s="3">
        <v>205</v>
      </c>
      <c r="J14535" s="3">
        <v>702</v>
      </c>
      <c r="K14535" s="3">
        <v>1283</v>
      </c>
      <c r="L14535" s="3">
        <v>1</v>
      </c>
      <c r="M14535" s="3">
        <v>205</v>
      </c>
    </row>
    <row r="14536" spans="1:13" x14ac:dyDescent="0.25">
      <c r="A14536" s="1" t="str">
        <f>HYPERLINK("http://www.rosaceae.org/Prunus/Prunus_persica/p.persica_gdr_reftransV1_0046696","p.persica_gdr_reftransV1_0046696")</f>
        <v>p.persica_gdr_reftransV1_0046696</v>
      </c>
      <c r="B14536" s="3">
        <v>2184</v>
      </c>
      <c r="C14536" s="1" t="str">
        <f>HYPERLINK("http://www.uniprot.org/uniprot/CNDD3_MOUSE","CNDD3_MOUSE")</f>
        <v>CNDD3_MOUSE</v>
      </c>
      <c r="D14536" t="s">
        <v>7187</v>
      </c>
      <c r="E14536" s="3" t="s">
        <v>157</v>
      </c>
      <c r="F14536" s="4">
        <v>2.8200000000000002E-66</v>
      </c>
      <c r="G14536" s="3">
        <v>622</v>
      </c>
      <c r="H14536" s="3">
        <v>31</v>
      </c>
      <c r="I14536" s="3">
        <v>530</v>
      </c>
      <c r="J14536" s="3">
        <v>179</v>
      </c>
      <c r="K14536" s="3">
        <v>1720</v>
      </c>
      <c r="L14536" s="3">
        <v>752</v>
      </c>
      <c r="M14536" s="3">
        <v>1253</v>
      </c>
    </row>
    <row r="14537" spans="1:13" x14ac:dyDescent="0.25">
      <c r="A14537" s="1" t="str">
        <f>HYPERLINK("http://www.rosaceae.org/Prunus/Prunus_persica/p.persica_gdr_reftransV1_0046746","p.persica_gdr_reftransV1_0046746")</f>
        <v>p.persica_gdr_reftransV1_0046746</v>
      </c>
      <c r="B14537" s="3">
        <v>2293</v>
      </c>
      <c r="C14537" s="1" t="str">
        <f>HYPERLINK("http://www.uniprot.org/uniprot/HDG5_ARATH","HDG5_ARATH")</f>
        <v>HDG5_ARATH</v>
      </c>
      <c r="D14537" t="s">
        <v>9522</v>
      </c>
      <c r="E14537" s="3" t="s">
        <v>3</v>
      </c>
      <c r="F14537" s="4">
        <v>0</v>
      </c>
      <c r="G14537" s="3">
        <v>2109</v>
      </c>
      <c r="H14537" s="3">
        <v>61</v>
      </c>
      <c r="I14537" s="3">
        <v>720</v>
      </c>
      <c r="J14537" s="3">
        <v>2</v>
      </c>
      <c r="K14537" s="3">
        <v>2095</v>
      </c>
      <c r="L14537" s="3">
        <v>130</v>
      </c>
      <c r="M14537" s="3">
        <v>817</v>
      </c>
    </row>
    <row r="14538" spans="1:13" x14ac:dyDescent="0.25">
      <c r="A14538" s="1" t="str">
        <f>HYPERLINK("http://www.rosaceae.org/Prunus/Prunus_persica/p.persica_gdr_reftransV1_0046896","p.persica_gdr_reftransV1_0046896")</f>
        <v>p.persica_gdr_reftransV1_0046896</v>
      </c>
      <c r="B14538" s="3">
        <v>414</v>
      </c>
      <c r="C14538" s="1" t="str">
        <f>HYPERLINK("http://www.uniprot.org/uniprot/THADA_CHICK","THADA_CHICK")</f>
        <v>THADA_CHICK</v>
      </c>
      <c r="D14538" t="s">
        <v>5432</v>
      </c>
      <c r="E14538" s="3" t="s">
        <v>1278</v>
      </c>
      <c r="F14538" s="4">
        <v>9.3299999999999999E-22</v>
      </c>
      <c r="G14538" s="3">
        <v>237</v>
      </c>
      <c r="H14538" s="3">
        <v>42</v>
      </c>
      <c r="I14538" s="3">
        <v>103</v>
      </c>
      <c r="J14538" s="3">
        <v>20</v>
      </c>
      <c r="K14538" s="3">
        <v>328</v>
      </c>
      <c r="L14538" s="3">
        <v>1197</v>
      </c>
      <c r="M14538" s="3">
        <v>1299</v>
      </c>
    </row>
    <row r="14539" spans="1:13" x14ac:dyDescent="0.25">
      <c r="A14539" s="1" t="str">
        <f>HYPERLINK("http://www.rosaceae.org/Prunus/Prunus_persica/p.persica_gdr_reftransV1_0046946","p.persica_gdr_reftransV1_0046946")</f>
        <v>p.persica_gdr_reftransV1_0046946</v>
      </c>
      <c r="B14539" s="3">
        <v>1471</v>
      </c>
      <c r="C14539" s="1" t="str">
        <f>HYPERLINK("http://www.uniprot.org/uniprot/Y1689_ARATH","Y1689_ARATH")</f>
        <v>Y1689_ARATH</v>
      </c>
      <c r="D14539" t="s">
        <v>7456</v>
      </c>
      <c r="E14539" s="3" t="s">
        <v>3</v>
      </c>
      <c r="F14539" s="4">
        <v>2.11E-172</v>
      </c>
      <c r="G14539" s="3">
        <v>1278</v>
      </c>
      <c r="H14539" s="3">
        <v>84</v>
      </c>
      <c r="I14539" s="3">
        <v>317</v>
      </c>
      <c r="J14539" s="3">
        <v>170</v>
      </c>
      <c r="K14539" s="3">
        <v>1099</v>
      </c>
      <c r="L14539" s="3">
        <v>41</v>
      </c>
      <c r="M14539" s="3">
        <v>357</v>
      </c>
    </row>
    <row r="14540" spans="1:13" x14ac:dyDescent="0.25">
      <c r="A14540" s="1" t="str">
        <f>HYPERLINK("http://www.rosaceae.org/Prunus/Prunus_persica/p.persica_gdr_reftransV1_0046996","p.persica_gdr_reftransV1_0046996")</f>
        <v>p.persica_gdr_reftransV1_0046996</v>
      </c>
      <c r="B14540" s="3">
        <v>1816</v>
      </c>
      <c r="C14540" s="1" t="str">
        <f>HYPERLINK("http://www.uniprot.org/uniprot/MURG_SALRD","MURG_SALRD")</f>
        <v>MURG_SALRD</v>
      </c>
      <c r="D14540" t="s">
        <v>9523</v>
      </c>
      <c r="E14540" s="3" t="s">
        <v>8762</v>
      </c>
      <c r="F14540" s="4">
        <v>7.4399999999999999E-56</v>
      </c>
      <c r="G14540" s="3">
        <v>505</v>
      </c>
      <c r="H14540" s="3">
        <v>38</v>
      </c>
      <c r="I14540" s="3">
        <v>292</v>
      </c>
      <c r="J14540" s="3">
        <v>510</v>
      </c>
      <c r="K14540" s="3">
        <v>1385</v>
      </c>
      <c r="L14540" s="3">
        <v>8</v>
      </c>
      <c r="M14540" s="3">
        <v>287</v>
      </c>
    </row>
    <row r="14541" spans="1:13" x14ac:dyDescent="0.25">
      <c r="A14541" s="1" t="str">
        <f>HYPERLINK("http://www.rosaceae.org/Prunus/Prunus_persica/p.persica_gdr_reftransV1_0047046","p.persica_gdr_reftransV1_0047046")</f>
        <v>p.persica_gdr_reftransV1_0047046</v>
      </c>
      <c r="B14541" s="3">
        <v>2323</v>
      </c>
      <c r="C14541" s="1" t="str">
        <f>HYPERLINK("http://www.uniprot.org/uniprot/SERK2_ARATH","SERK2_ARATH")</f>
        <v>SERK2_ARATH</v>
      </c>
      <c r="D14541" t="s">
        <v>7403</v>
      </c>
      <c r="E14541" s="3" t="s">
        <v>3</v>
      </c>
      <c r="F14541" s="4">
        <v>0</v>
      </c>
      <c r="G14541" s="3">
        <v>2589</v>
      </c>
      <c r="H14541" s="3">
        <v>93</v>
      </c>
      <c r="I14541" s="3">
        <v>600</v>
      </c>
      <c r="J14541" s="3">
        <v>438</v>
      </c>
      <c r="K14541" s="3">
        <v>2237</v>
      </c>
      <c r="L14541" s="3">
        <v>29</v>
      </c>
      <c r="M14541" s="3">
        <v>628</v>
      </c>
    </row>
    <row r="14542" spans="1:13" x14ac:dyDescent="0.25">
      <c r="A14542" s="1" t="str">
        <f>HYPERLINK("http://www.rosaceae.org/Prunus/Prunus_persica/p.persica_gdr_reftransV1_0047096","p.persica_gdr_reftransV1_0047096")</f>
        <v>p.persica_gdr_reftransV1_0047096</v>
      </c>
      <c r="B14542" s="3">
        <v>308</v>
      </c>
      <c r="C14542" s="1" t="str">
        <f>HYPERLINK("http://www.uniprot.org/uniprot/ESP1_ARATH","ESP1_ARATH")</f>
        <v>ESP1_ARATH</v>
      </c>
      <c r="D14542" t="s">
        <v>3366</v>
      </c>
      <c r="E14542" s="3" t="s">
        <v>3</v>
      </c>
      <c r="F14542" s="4">
        <v>5.4999999999999999E-14</v>
      </c>
      <c r="G14542" s="3">
        <v>175</v>
      </c>
      <c r="H14542" s="3">
        <v>41</v>
      </c>
      <c r="I14542" s="3">
        <v>102</v>
      </c>
      <c r="J14542" s="3">
        <v>5</v>
      </c>
      <c r="K14542" s="3">
        <v>304</v>
      </c>
      <c r="L14542" s="3">
        <v>133</v>
      </c>
      <c r="M14542" s="3">
        <v>231</v>
      </c>
    </row>
    <row r="14543" spans="1:13" x14ac:dyDescent="0.25">
      <c r="A14543" s="1" t="str">
        <f>HYPERLINK("http://www.rosaceae.org/Prunus/Prunus_persica/p.persica_gdr_reftransV1_0047196","p.persica_gdr_reftransV1_0047196")</f>
        <v>p.persica_gdr_reftransV1_0047196</v>
      </c>
      <c r="B14543" s="3">
        <v>760</v>
      </c>
      <c r="C14543" s="1" t="str">
        <f>HYPERLINK("http://www.uniprot.org/uniprot/PUR8_PSEAE","PUR8_PSEAE")</f>
        <v>PUR8_PSEAE</v>
      </c>
      <c r="D14543" t="s">
        <v>2932</v>
      </c>
      <c r="E14543" s="3" t="s">
        <v>2933</v>
      </c>
      <c r="F14543" s="4">
        <v>6.9700000000000002E-115</v>
      </c>
      <c r="G14543" s="3">
        <v>882</v>
      </c>
      <c r="H14543" s="3">
        <v>64</v>
      </c>
      <c r="I14543" s="3">
        <v>252</v>
      </c>
      <c r="J14543" s="3">
        <v>2</v>
      </c>
      <c r="K14543" s="3">
        <v>754</v>
      </c>
      <c r="L14543" s="3">
        <v>74</v>
      </c>
      <c r="M14543" s="3">
        <v>325</v>
      </c>
    </row>
    <row r="14544" spans="1:13" x14ac:dyDescent="0.25">
      <c r="A14544" s="1" t="str">
        <f>HYPERLINK("http://www.rosaceae.org/Prunus/Prunus_persica/p.persica_gdr_reftransV1_0047246","p.persica_gdr_reftransV1_0047246")</f>
        <v>p.persica_gdr_reftransV1_0047246</v>
      </c>
      <c r="B14544" s="3">
        <v>821</v>
      </c>
      <c r="C14544" s="1" t="str">
        <f>HYPERLINK("http://www.uniprot.org/uniprot/CRF2_ARATH","CRF2_ARATH")</f>
        <v>CRF2_ARATH</v>
      </c>
      <c r="D14544" t="s">
        <v>9524</v>
      </c>
      <c r="E14544" s="3" t="s">
        <v>3</v>
      </c>
      <c r="F14544" s="4">
        <v>3.8900000000000002E-46</v>
      </c>
      <c r="G14544" s="3">
        <v>413</v>
      </c>
      <c r="H14544" s="3">
        <v>45</v>
      </c>
      <c r="I14544" s="3">
        <v>246</v>
      </c>
      <c r="J14544" s="3">
        <v>154</v>
      </c>
      <c r="K14544" s="3">
        <v>807</v>
      </c>
      <c r="L14544" s="3">
        <v>120</v>
      </c>
      <c r="M14544" s="3">
        <v>343</v>
      </c>
    </row>
    <row r="14545" spans="1:13" x14ac:dyDescent="0.25">
      <c r="A14545" s="1" t="str">
        <f>HYPERLINK("http://www.rosaceae.org/Prunus/Prunus_persica/p.persica_gdr_reftransV1_0047296","p.persica_gdr_reftransV1_0047296")</f>
        <v>p.persica_gdr_reftransV1_0047296</v>
      </c>
      <c r="B14545" s="3">
        <v>439</v>
      </c>
      <c r="C14545" s="1" t="str">
        <f>HYPERLINK("http://www.uniprot.org/uniprot/PII2_ARATH","PII2_ARATH")</f>
        <v>PII2_ARATH</v>
      </c>
      <c r="D14545" t="s">
        <v>3670</v>
      </c>
      <c r="E14545" s="3" t="s">
        <v>3</v>
      </c>
      <c r="F14545" s="4">
        <v>1.44E-42</v>
      </c>
      <c r="G14545" s="3">
        <v>381</v>
      </c>
      <c r="H14545" s="3">
        <v>65</v>
      </c>
      <c r="I14545" s="3">
        <v>143</v>
      </c>
      <c r="J14545" s="3">
        <v>3</v>
      </c>
      <c r="K14545" s="3">
        <v>431</v>
      </c>
      <c r="L14545" s="3">
        <v>137</v>
      </c>
      <c r="M14545" s="3">
        <v>279</v>
      </c>
    </row>
    <row r="14546" spans="1:13" x14ac:dyDescent="0.25">
      <c r="A14546" s="1" t="str">
        <f>HYPERLINK("http://www.rosaceae.org/Prunus/Prunus_persica/p.persica_gdr_reftransV1_0047446","p.persica_gdr_reftransV1_0047446")</f>
        <v>p.persica_gdr_reftransV1_0047446</v>
      </c>
      <c r="B14546" s="3">
        <v>600</v>
      </c>
      <c r="C14546" s="1" t="str">
        <f>HYPERLINK("http://www.uniprot.org/uniprot/WAK5_ARATH","WAK5_ARATH")</f>
        <v>WAK5_ARATH</v>
      </c>
      <c r="D14546" t="s">
        <v>1794</v>
      </c>
      <c r="E14546" s="3" t="s">
        <v>3</v>
      </c>
      <c r="F14546" s="4">
        <v>4.7100000000000004E-53</v>
      </c>
      <c r="G14546" s="3">
        <v>470</v>
      </c>
      <c r="H14546" s="3">
        <v>50</v>
      </c>
      <c r="I14546" s="3">
        <v>187</v>
      </c>
      <c r="J14546" s="3">
        <v>19</v>
      </c>
      <c r="K14546" s="3">
        <v>555</v>
      </c>
      <c r="L14546" s="3">
        <v>502</v>
      </c>
      <c r="M14546" s="3">
        <v>688</v>
      </c>
    </row>
    <row r="14547" spans="1:13" x14ac:dyDescent="0.25">
      <c r="A14547" s="1" t="str">
        <f>HYPERLINK("http://www.rosaceae.org/Prunus/Prunus_persica/p.persica_gdr_reftransV1_0047496","p.persica_gdr_reftransV1_0047496")</f>
        <v>p.persica_gdr_reftransV1_0047496</v>
      </c>
      <c r="B14547" s="3">
        <v>740</v>
      </c>
      <c r="C14547" s="1" t="str">
        <f>HYPERLINK("http://www.uniprot.org/uniprot/CSPL3_VITVI","CSPL3_VITVI")</f>
        <v>CSPL3_VITVI</v>
      </c>
      <c r="D14547" t="s">
        <v>3412</v>
      </c>
      <c r="E14547" s="3" t="s">
        <v>362</v>
      </c>
      <c r="F14547" s="4">
        <v>2.5100000000000003E-60</v>
      </c>
      <c r="G14547" s="3">
        <v>383</v>
      </c>
      <c r="H14547" s="3">
        <v>72</v>
      </c>
      <c r="I14547" s="3">
        <v>103</v>
      </c>
      <c r="J14547" s="3">
        <v>129</v>
      </c>
      <c r="K14547" s="3">
        <v>437</v>
      </c>
      <c r="L14547" s="3">
        <v>3</v>
      </c>
      <c r="M14547" s="3">
        <v>103</v>
      </c>
    </row>
    <row r="14548" spans="1:13" x14ac:dyDescent="0.25">
      <c r="A14548" s="1" t="str">
        <f>HYPERLINK("http://www.rosaceae.org/Prunus/Prunus_persica/p.persica_gdr_reftransV1_0047546","p.persica_gdr_reftransV1_0047546")</f>
        <v>p.persica_gdr_reftransV1_0047546</v>
      </c>
      <c r="B14548" s="3">
        <v>981</v>
      </c>
      <c r="C14548" s="1" t="str">
        <f>HYPERLINK("http://www.uniprot.org/uniprot/SAR1A_ARATH","SAR1A_ARATH")</f>
        <v>SAR1A_ARATH</v>
      </c>
      <c r="D14548" t="s">
        <v>3604</v>
      </c>
      <c r="E14548" s="3" t="s">
        <v>3</v>
      </c>
      <c r="F14548" s="4">
        <v>2.9600000000000002E-115</v>
      </c>
      <c r="G14548" s="3">
        <v>867</v>
      </c>
      <c r="H14548" s="3">
        <v>94</v>
      </c>
      <c r="I14548" s="3">
        <v>193</v>
      </c>
      <c r="J14548" s="3">
        <v>124</v>
      </c>
      <c r="K14548" s="3">
        <v>702</v>
      </c>
      <c r="L14548" s="3">
        <v>1</v>
      </c>
      <c r="M14548" s="3">
        <v>193</v>
      </c>
    </row>
    <row r="14549" spans="1:13" x14ac:dyDescent="0.25">
      <c r="A14549" s="1" t="str">
        <f>HYPERLINK("http://www.rosaceae.org/Prunus/Prunus_persica/p.persica_gdr_reftransV1_0047696","p.persica_gdr_reftransV1_0047696")</f>
        <v>p.persica_gdr_reftransV1_0047696</v>
      </c>
      <c r="B14549" s="3">
        <v>1435</v>
      </c>
      <c r="C14549" s="1" t="str">
        <f>HYPERLINK("http://www.uniprot.org/uniprot/R13L1_ARATH","R13L1_ARATH")</f>
        <v>R13L1_ARATH</v>
      </c>
      <c r="D14549" t="s">
        <v>100</v>
      </c>
      <c r="E14549" s="3" t="s">
        <v>3</v>
      </c>
      <c r="F14549" s="4">
        <v>1.2399999999999999E-87</v>
      </c>
      <c r="G14549" s="3">
        <v>756</v>
      </c>
      <c r="H14549" s="3">
        <v>37</v>
      </c>
      <c r="I14549" s="3">
        <v>467</v>
      </c>
      <c r="J14549" s="3">
        <v>23</v>
      </c>
      <c r="K14549" s="3">
        <v>1372</v>
      </c>
      <c r="L14549" s="3">
        <v>4</v>
      </c>
      <c r="M14549" s="3">
        <v>458</v>
      </c>
    </row>
    <row r="14550" spans="1:13" x14ac:dyDescent="0.25">
      <c r="A14550" s="1" t="str">
        <f>HYPERLINK("http://www.rosaceae.org/Prunus/Prunus_persica/p.persica_gdr_reftransV1_0047946","p.persica_gdr_reftransV1_0047946")</f>
        <v>p.persica_gdr_reftransV1_0047946</v>
      </c>
      <c r="B14550" s="3">
        <v>2358</v>
      </c>
      <c r="C14550" s="1" t="str">
        <f>HYPERLINK("http://www.uniprot.org/uniprot/METK_LITCN","METK_LITCN")</f>
        <v>METK_LITCN</v>
      </c>
      <c r="D14550" t="s">
        <v>4776</v>
      </c>
      <c r="E14550" s="3" t="s">
        <v>4777</v>
      </c>
      <c r="F14550" s="4">
        <v>0</v>
      </c>
      <c r="G14550" s="3">
        <v>1951</v>
      </c>
      <c r="H14550" s="3">
        <v>95</v>
      </c>
      <c r="I14550" s="3">
        <v>393</v>
      </c>
      <c r="J14550" s="3">
        <v>367</v>
      </c>
      <c r="K14550" s="3">
        <v>1545</v>
      </c>
      <c r="L14550" s="3">
        <v>1</v>
      </c>
      <c r="M14550" s="3">
        <v>393</v>
      </c>
    </row>
    <row r="14551" spans="1:13" x14ac:dyDescent="0.25">
      <c r="A14551" s="1" t="str">
        <f>HYPERLINK("http://www.rosaceae.org/Prunus/Prunus_persica/p.persica_gdr_reftransV1_0047996","p.persica_gdr_reftransV1_0047996")</f>
        <v>p.persica_gdr_reftransV1_0047996</v>
      </c>
      <c r="B14551" s="3">
        <v>1695</v>
      </c>
      <c r="C14551" s="1" t="str">
        <f>HYPERLINK("http://www.uniprot.org/uniprot/TCX4_ARATH","TCX4_ARATH")</f>
        <v>TCX4_ARATH</v>
      </c>
      <c r="D14551" t="s">
        <v>9525</v>
      </c>
      <c r="E14551" s="3" t="s">
        <v>3</v>
      </c>
      <c r="F14551" s="4">
        <v>3.7099999999999998E-37</v>
      </c>
      <c r="G14551" s="3">
        <v>376</v>
      </c>
      <c r="H14551" s="3">
        <v>31</v>
      </c>
      <c r="I14551" s="3">
        <v>533</v>
      </c>
      <c r="J14551" s="3">
        <v>1</v>
      </c>
      <c r="K14551" s="3">
        <v>1530</v>
      </c>
      <c r="L14551" s="3">
        <v>17</v>
      </c>
      <c r="M14551" s="3">
        <v>495</v>
      </c>
    </row>
    <row r="14552" spans="1:13" x14ac:dyDescent="0.25">
      <c r="A14552" s="1" t="str">
        <f>HYPERLINK("http://www.rosaceae.org/Prunus/Prunus_persica/p.persica_gdr_reftransV1_0048046","p.persica_gdr_reftransV1_0048046")</f>
        <v>p.persica_gdr_reftransV1_0048046</v>
      </c>
      <c r="B14552" s="3">
        <v>3076</v>
      </c>
      <c r="C14552" s="1" t="str">
        <f>HYPERLINK("http://www.uniprot.org/uniprot/PP175_ARATH","PP175_ARATH")</f>
        <v>PP175_ARATH</v>
      </c>
      <c r="D14552" t="s">
        <v>272</v>
      </c>
      <c r="E14552" s="3" t="s">
        <v>3</v>
      </c>
      <c r="F14552" s="4">
        <v>9.3900000000000001E-145</v>
      </c>
      <c r="G14552" s="3">
        <v>1175</v>
      </c>
      <c r="H14552" s="3">
        <v>40</v>
      </c>
      <c r="I14552" s="3">
        <v>574</v>
      </c>
      <c r="J14552" s="3">
        <v>687</v>
      </c>
      <c r="K14552" s="3">
        <v>2399</v>
      </c>
      <c r="L14552" s="3">
        <v>39</v>
      </c>
      <c r="M14552" s="3">
        <v>612</v>
      </c>
    </row>
    <row r="14553" spans="1:13" x14ac:dyDescent="0.25">
      <c r="A14553" s="1" t="str">
        <f>HYPERLINK("http://www.rosaceae.org/Prunus/Prunus_persica/p.persica_gdr_reftransV1_0048146","p.persica_gdr_reftransV1_0048146")</f>
        <v>p.persica_gdr_reftransV1_0048146</v>
      </c>
      <c r="B14553" s="3">
        <v>1434</v>
      </c>
      <c r="C14553" s="1" t="str">
        <f>HYPERLINK("http://www.uniprot.org/uniprot/P4KG7_ARATH","P4KG7_ARATH")</f>
        <v>P4KG7_ARATH</v>
      </c>
      <c r="D14553" t="s">
        <v>8117</v>
      </c>
      <c r="E14553" s="3" t="s">
        <v>3</v>
      </c>
      <c r="F14553" s="4">
        <v>0</v>
      </c>
      <c r="G14553" s="3">
        <v>1414</v>
      </c>
      <c r="H14553" s="3">
        <v>73</v>
      </c>
      <c r="I14553" s="3">
        <v>371</v>
      </c>
      <c r="J14553" s="3">
        <v>3</v>
      </c>
      <c r="K14553" s="3">
        <v>1085</v>
      </c>
      <c r="L14553" s="3">
        <v>1</v>
      </c>
      <c r="M14553" s="3">
        <v>371</v>
      </c>
    </row>
    <row r="14554" spans="1:13" x14ac:dyDescent="0.25">
      <c r="A14554" s="1" t="str">
        <f>HYPERLINK("http://www.rosaceae.org/Prunus/Prunus_persica/p.persica_gdr_reftransV1_0048296","p.persica_gdr_reftransV1_0048296")</f>
        <v>p.persica_gdr_reftransV1_0048296</v>
      </c>
      <c r="B14554" s="3">
        <v>1369</v>
      </c>
      <c r="C14554" s="1" t="str">
        <f>HYPERLINK("http://www.uniprot.org/uniprot/PUB24_ARATH","PUB24_ARATH")</f>
        <v>PUB24_ARATH</v>
      </c>
      <c r="D14554" t="s">
        <v>477</v>
      </c>
      <c r="E14554" s="3" t="s">
        <v>3</v>
      </c>
      <c r="F14554" s="4">
        <v>1.6700000000000001E-99</v>
      </c>
      <c r="G14554" s="3">
        <v>800</v>
      </c>
      <c r="H14554" s="3">
        <v>41</v>
      </c>
      <c r="I14554" s="3">
        <v>450</v>
      </c>
      <c r="J14554" s="3">
        <v>35</v>
      </c>
      <c r="K14554" s="3">
        <v>1258</v>
      </c>
      <c r="L14554" s="3">
        <v>6</v>
      </c>
      <c r="M14554" s="3">
        <v>445</v>
      </c>
    </row>
    <row r="14555" spans="1:13" x14ac:dyDescent="0.25">
      <c r="A14555" s="1" t="str">
        <f>HYPERLINK("http://www.rosaceae.org/Prunus/Prunus_persica/p.persica_gdr_reftransV1_0048346","p.persica_gdr_reftransV1_0048346")</f>
        <v>p.persica_gdr_reftransV1_0048346</v>
      </c>
      <c r="B14555" s="3">
        <v>3060</v>
      </c>
      <c r="C14555" s="1" t="str">
        <f>HYPERLINK("http://www.uniprot.org/uniprot/BH143_ARATH","BH143_ARATH")</f>
        <v>BH143_ARATH</v>
      </c>
      <c r="D14555" t="s">
        <v>9526</v>
      </c>
      <c r="E14555" s="3" t="s">
        <v>3</v>
      </c>
      <c r="F14555" s="4">
        <v>2.4799999999999999E-20</v>
      </c>
      <c r="G14555" s="3">
        <v>242</v>
      </c>
      <c r="H14555" s="3">
        <v>33</v>
      </c>
      <c r="I14555" s="3">
        <v>345</v>
      </c>
      <c r="J14555" s="3">
        <v>1086</v>
      </c>
      <c r="K14555" s="3">
        <v>2102</v>
      </c>
      <c r="L14555" s="3">
        <v>1</v>
      </c>
      <c r="M14555" s="3">
        <v>313</v>
      </c>
    </row>
    <row r="14556" spans="1:13" x14ac:dyDescent="0.25">
      <c r="A14556" s="1" t="str">
        <f>HYPERLINK("http://www.rosaceae.org/Prunus/Prunus_persica/p.persica_gdr_reftransV1_0048446","p.persica_gdr_reftransV1_0048446")</f>
        <v>p.persica_gdr_reftransV1_0048446</v>
      </c>
      <c r="B14556" s="3">
        <v>1096</v>
      </c>
      <c r="C14556" s="1" t="str">
        <f>HYPERLINK("http://www.uniprot.org/uniprot/MPK9_ARATH","MPK9_ARATH")</f>
        <v>MPK9_ARATH</v>
      </c>
      <c r="D14556" t="s">
        <v>9527</v>
      </c>
      <c r="E14556" s="3" t="s">
        <v>3</v>
      </c>
      <c r="F14556" s="4">
        <v>6.0800000000000001E-138</v>
      </c>
      <c r="G14556" s="3">
        <v>1052</v>
      </c>
      <c r="H14556" s="3">
        <v>77</v>
      </c>
      <c r="I14556" s="3">
        <v>297</v>
      </c>
      <c r="J14556" s="3">
        <v>1</v>
      </c>
      <c r="K14556" s="3">
        <v>888</v>
      </c>
      <c r="L14556" s="3">
        <v>220</v>
      </c>
      <c r="M14556" s="3">
        <v>508</v>
      </c>
    </row>
    <row r="14557" spans="1:13" x14ac:dyDescent="0.25">
      <c r="A14557" s="1" t="str">
        <f>HYPERLINK("http://www.rosaceae.org/Prunus/Prunus_persica/p.persica_gdr_reftransV1_0048496","p.persica_gdr_reftransV1_0048496")</f>
        <v>p.persica_gdr_reftransV1_0048496</v>
      </c>
      <c r="B14557" s="3">
        <v>1665</v>
      </c>
      <c r="C14557" s="1" t="str">
        <f>HYPERLINK("http://www.uniprot.org/uniprot/SPP2_TOBAC","SPP2_TOBAC")</f>
        <v>SPP2_TOBAC</v>
      </c>
      <c r="D14557" t="s">
        <v>9528</v>
      </c>
      <c r="E14557" s="3" t="s">
        <v>200</v>
      </c>
      <c r="F14557" s="4">
        <v>2.19E-88</v>
      </c>
      <c r="G14557" s="3">
        <v>730</v>
      </c>
      <c r="H14557" s="3">
        <v>63</v>
      </c>
      <c r="I14557" s="3">
        <v>203</v>
      </c>
      <c r="J14557" s="3">
        <v>2</v>
      </c>
      <c r="K14557" s="3">
        <v>610</v>
      </c>
      <c r="L14557" s="3">
        <v>192</v>
      </c>
      <c r="M14557" s="3">
        <v>394</v>
      </c>
    </row>
    <row r="14558" spans="1:13" x14ac:dyDescent="0.25">
      <c r="A14558" s="1" t="str">
        <f>HYPERLINK("http://www.rosaceae.org/Prunus/Prunus_persica/p.persica_gdr_reftransV1_0048596","p.persica_gdr_reftransV1_0048596")</f>
        <v>p.persica_gdr_reftransV1_0048596</v>
      </c>
      <c r="B14558" s="3">
        <v>2200</v>
      </c>
      <c r="C14558" s="1" t="str">
        <f>HYPERLINK("http://www.uniprot.org/uniprot/TMVRN_NICGU","TMVRN_NICGU")</f>
        <v>TMVRN_NICGU</v>
      </c>
      <c r="D14558" t="s">
        <v>151</v>
      </c>
      <c r="E14558" s="3" t="s">
        <v>152</v>
      </c>
      <c r="F14558" s="4">
        <v>1.56E-116</v>
      </c>
      <c r="G14558" s="3">
        <v>986</v>
      </c>
      <c r="H14558" s="3">
        <v>42</v>
      </c>
      <c r="I14558" s="3">
        <v>531</v>
      </c>
      <c r="J14558" s="3">
        <v>5</v>
      </c>
      <c r="K14558" s="3">
        <v>1573</v>
      </c>
      <c r="L14558" s="3">
        <v>10</v>
      </c>
      <c r="M14558" s="3">
        <v>500</v>
      </c>
    </row>
    <row r="14559" spans="1:13" x14ac:dyDescent="0.25">
      <c r="A14559" s="1" t="str">
        <f>HYPERLINK("http://www.rosaceae.org/Prunus/Prunus_persica/p.persica_gdr_reftransV1_0048846","p.persica_gdr_reftransV1_0048846")</f>
        <v>p.persica_gdr_reftransV1_0048846</v>
      </c>
      <c r="B14559" s="3">
        <v>2142</v>
      </c>
      <c r="C14559" s="1" t="str">
        <f>HYPERLINK("http://www.uniprot.org/uniprot/RENT3_ARATH","RENT3_ARATH")</f>
        <v>RENT3_ARATH</v>
      </c>
      <c r="D14559" t="s">
        <v>5477</v>
      </c>
      <c r="E14559" s="3" t="s">
        <v>3</v>
      </c>
      <c r="F14559" s="4">
        <v>2.9400000000000002E-121</v>
      </c>
      <c r="G14559" s="3">
        <v>970</v>
      </c>
      <c r="H14559" s="3">
        <v>50</v>
      </c>
      <c r="I14559" s="3">
        <v>538</v>
      </c>
      <c r="J14559" s="3">
        <v>105</v>
      </c>
      <c r="K14559" s="3">
        <v>1658</v>
      </c>
      <c r="L14559" s="3">
        <v>1</v>
      </c>
      <c r="M14559" s="3">
        <v>482</v>
      </c>
    </row>
    <row r="14560" spans="1:13" x14ac:dyDescent="0.25">
      <c r="A14560" s="1" t="str">
        <f>HYPERLINK("http://www.rosaceae.org/Prunus/Prunus_persica/p.persica_gdr_reftransV1_0048896","p.persica_gdr_reftransV1_0048896")</f>
        <v>p.persica_gdr_reftransV1_0048896</v>
      </c>
      <c r="B14560" s="3">
        <v>1959</v>
      </c>
      <c r="C14560" s="1" t="str">
        <f>HYPERLINK("http://www.uniprot.org/uniprot/TLP14_ORYSJ","TLP14_ORYSJ")</f>
        <v>TLP14_ORYSJ</v>
      </c>
      <c r="D14560" t="s">
        <v>8838</v>
      </c>
      <c r="E14560" s="3" t="s">
        <v>38</v>
      </c>
      <c r="F14560" s="4">
        <v>0</v>
      </c>
      <c r="G14560" s="3">
        <v>1681</v>
      </c>
      <c r="H14560" s="3">
        <v>75</v>
      </c>
      <c r="I14560" s="3">
        <v>445</v>
      </c>
      <c r="J14560" s="3">
        <v>301</v>
      </c>
      <c r="K14560" s="3">
        <v>1578</v>
      </c>
      <c r="L14560" s="3">
        <v>1</v>
      </c>
      <c r="M14560" s="3">
        <v>445</v>
      </c>
    </row>
    <row r="14561" spans="1:13" x14ac:dyDescent="0.25">
      <c r="A14561" s="1" t="str">
        <f>HYPERLINK("http://www.rosaceae.org/Prunus/Prunus_persica/p.persica_gdr_reftransV1_0048946","p.persica_gdr_reftransV1_0048946")</f>
        <v>p.persica_gdr_reftransV1_0048946</v>
      </c>
      <c r="B14561" s="3">
        <v>1043</v>
      </c>
      <c r="C14561" s="1" t="str">
        <f>HYPERLINK("http://www.uniprot.org/uniprot/PSD11_ARATH","PSD11_ARATH")</f>
        <v>PSD11_ARATH</v>
      </c>
      <c r="D14561" t="s">
        <v>9055</v>
      </c>
      <c r="E14561" s="3" t="s">
        <v>3</v>
      </c>
      <c r="F14561" s="4">
        <v>3.4299999999999999E-9</v>
      </c>
      <c r="G14561" s="3">
        <v>148</v>
      </c>
      <c r="H14561" s="3">
        <v>81</v>
      </c>
      <c r="I14561" s="3">
        <v>37</v>
      </c>
      <c r="J14561" s="3">
        <v>196</v>
      </c>
      <c r="K14561" s="3">
        <v>306</v>
      </c>
      <c r="L14561" s="3">
        <v>117</v>
      </c>
      <c r="M14561" s="3">
        <v>153</v>
      </c>
    </row>
    <row r="14562" spans="1:13" x14ac:dyDescent="0.25">
      <c r="A14562" s="1" t="str">
        <f>HYPERLINK("http://www.rosaceae.org/Prunus/Prunus_persica/p.persica_gdr_reftransV1_0048996","p.persica_gdr_reftransV1_0048996")</f>
        <v>p.persica_gdr_reftransV1_0048996</v>
      </c>
      <c r="B14562" s="3">
        <v>2811</v>
      </c>
      <c r="C14562" s="1" t="str">
        <f>HYPERLINK("http://www.uniprot.org/uniprot/AGLU_SPIOL","AGLU_SPIOL")</f>
        <v>AGLU_SPIOL</v>
      </c>
      <c r="D14562" t="s">
        <v>9529</v>
      </c>
      <c r="E14562" s="3" t="s">
        <v>131</v>
      </c>
      <c r="F14562" s="4">
        <v>0</v>
      </c>
      <c r="G14562" s="3">
        <v>2931</v>
      </c>
      <c r="H14562" s="3">
        <v>63</v>
      </c>
      <c r="I14562" s="3">
        <v>889</v>
      </c>
      <c r="J14562" s="3">
        <v>172</v>
      </c>
      <c r="K14562" s="3">
        <v>2790</v>
      </c>
      <c r="L14562" s="3">
        <v>21</v>
      </c>
      <c r="M14562" s="3">
        <v>902</v>
      </c>
    </row>
    <row r="14563" spans="1:13" x14ac:dyDescent="0.25">
      <c r="A14563" s="1" t="str">
        <f>HYPERLINK("http://www.rosaceae.org/Prunus/Prunus_persica/p.persica_gdr_reftransV1_0049046","p.persica_gdr_reftransV1_0049046")</f>
        <v>p.persica_gdr_reftransV1_0049046</v>
      </c>
      <c r="B14563" s="3">
        <v>622</v>
      </c>
      <c r="C14563" s="1" t="str">
        <f>HYPERLINK("http://www.uniprot.org/uniprot/HSL1_ARATH","HSL1_ARATH")</f>
        <v>HSL1_ARATH</v>
      </c>
      <c r="D14563" t="s">
        <v>4280</v>
      </c>
      <c r="E14563" s="3" t="s">
        <v>3</v>
      </c>
      <c r="F14563" s="4">
        <v>1.2399999999999999E-20</v>
      </c>
      <c r="G14563" s="3">
        <v>234</v>
      </c>
      <c r="H14563" s="3">
        <v>41</v>
      </c>
      <c r="I14563" s="3">
        <v>122</v>
      </c>
      <c r="J14563" s="3">
        <v>262</v>
      </c>
      <c r="K14563" s="3">
        <v>621</v>
      </c>
      <c r="L14563" s="3">
        <v>48</v>
      </c>
      <c r="M14563" s="3">
        <v>169</v>
      </c>
    </row>
    <row r="14564" spans="1:13" x14ac:dyDescent="0.25">
      <c r="A14564" s="1" t="str">
        <f>HYPERLINK("http://www.rosaceae.org/Prunus/Prunus_persica/p.persica_gdr_reftransV1_0049096","p.persica_gdr_reftransV1_0049096")</f>
        <v>p.persica_gdr_reftransV1_0049096</v>
      </c>
      <c r="B14564" s="3">
        <v>389</v>
      </c>
      <c r="C14564" s="1" t="str">
        <f>HYPERLINK("http://www.uniprot.org/uniprot/Y1570_ARATH","Y1570_ARATH")</f>
        <v>Y1570_ARATH</v>
      </c>
      <c r="D14564" t="s">
        <v>9530</v>
      </c>
      <c r="E14564" s="3" t="s">
        <v>3</v>
      </c>
      <c r="F14564" s="4">
        <v>3.3899999999999999E-46</v>
      </c>
      <c r="G14564" s="3">
        <v>415</v>
      </c>
      <c r="H14564" s="3">
        <v>60</v>
      </c>
      <c r="I14564" s="3">
        <v>129</v>
      </c>
      <c r="J14564" s="3">
        <v>1</v>
      </c>
      <c r="K14564" s="3">
        <v>387</v>
      </c>
      <c r="L14564" s="3">
        <v>351</v>
      </c>
      <c r="M14564" s="3">
        <v>479</v>
      </c>
    </row>
    <row r="14565" spans="1:13" x14ac:dyDescent="0.25">
      <c r="A14565" s="1" t="str">
        <f>HYPERLINK("http://www.rosaceae.org/Prunus/Prunus_persica/p.persica_gdr_reftransV1_0049146","p.persica_gdr_reftransV1_0049146")</f>
        <v>p.persica_gdr_reftransV1_0049146</v>
      </c>
      <c r="B14565" s="3">
        <v>3966</v>
      </c>
      <c r="C14565" s="1" t="str">
        <f>HYPERLINK("http://www.uniprot.org/uniprot/MLH3_ARATH","MLH3_ARATH")</f>
        <v>MLH3_ARATH</v>
      </c>
      <c r="D14565" t="s">
        <v>9488</v>
      </c>
      <c r="E14565" s="3" t="s">
        <v>3</v>
      </c>
      <c r="F14565" s="4">
        <v>3.5700000000000003E-136</v>
      </c>
      <c r="G14565" s="3">
        <v>1165</v>
      </c>
      <c r="H14565" s="3">
        <v>53</v>
      </c>
      <c r="I14565" s="3">
        <v>450</v>
      </c>
      <c r="J14565" s="3">
        <v>120</v>
      </c>
      <c r="K14565" s="3">
        <v>1448</v>
      </c>
      <c r="L14565" s="3">
        <v>726</v>
      </c>
      <c r="M14565" s="3">
        <v>1155</v>
      </c>
    </row>
    <row r="14566" spans="1:13" x14ac:dyDescent="0.25">
      <c r="A14566" s="1" t="str">
        <f>HYPERLINK("http://www.rosaceae.org/Prunus/Prunus_persica/p.persica_gdr_reftransV1_0049196","p.persica_gdr_reftransV1_0049196")</f>
        <v>p.persica_gdr_reftransV1_0049196</v>
      </c>
      <c r="B14566" s="3">
        <v>483</v>
      </c>
      <c r="C14566" s="1" t="str">
        <f>HYPERLINK("http://www.uniprot.org/uniprot/CALS5_ARATH","CALS5_ARATH")</f>
        <v>CALS5_ARATH</v>
      </c>
      <c r="D14566" t="s">
        <v>932</v>
      </c>
      <c r="E14566" s="3" t="s">
        <v>3</v>
      </c>
      <c r="F14566" s="4">
        <v>1.88E-88</v>
      </c>
      <c r="G14566" s="3">
        <v>737</v>
      </c>
      <c r="H14566" s="3">
        <v>84</v>
      </c>
      <c r="I14566" s="3">
        <v>160</v>
      </c>
      <c r="J14566" s="3">
        <v>2</v>
      </c>
      <c r="K14566" s="3">
        <v>481</v>
      </c>
      <c r="L14566" s="3">
        <v>959</v>
      </c>
      <c r="M14566" s="3">
        <v>1118</v>
      </c>
    </row>
    <row r="14567" spans="1:13" x14ac:dyDescent="0.25">
      <c r="A14567" s="1" t="str">
        <f>HYPERLINK("http://www.rosaceae.org/Prunus/Prunus_persica/p.persica_gdr_reftransV1_0000097","p.persica_gdr_reftransV1_0000097")</f>
        <v>p.persica_gdr_reftransV1_0000097</v>
      </c>
      <c r="B14567" s="3">
        <v>2326</v>
      </c>
      <c r="C14567" s="1" t="str">
        <f>HYPERLINK("http://www.uniprot.org/uniprot/TAO1_ARATH","TAO1_ARATH")</f>
        <v>TAO1_ARATH</v>
      </c>
      <c r="D14567" t="s">
        <v>4417</v>
      </c>
      <c r="E14567" s="3" t="s">
        <v>3</v>
      </c>
      <c r="F14567" s="4">
        <v>1.53E-33</v>
      </c>
      <c r="G14567" s="3">
        <v>359</v>
      </c>
      <c r="H14567" s="3">
        <v>32</v>
      </c>
      <c r="I14567" s="3">
        <v>466</v>
      </c>
      <c r="J14567" s="3">
        <v>1</v>
      </c>
      <c r="K14567" s="3">
        <v>1338</v>
      </c>
      <c r="L14567" s="3">
        <v>501</v>
      </c>
      <c r="M14567" s="3">
        <v>956</v>
      </c>
    </row>
    <row r="14568" spans="1:13" x14ac:dyDescent="0.25">
      <c r="A14568" s="1" t="str">
        <f>HYPERLINK("http://www.rosaceae.org/Prunus/Prunus_persica/p.persica_gdr_reftransV1_0000197","p.persica_gdr_reftransV1_0000197")</f>
        <v>p.persica_gdr_reftransV1_0000197</v>
      </c>
      <c r="B14568" s="3">
        <v>1030</v>
      </c>
      <c r="C14568" s="1" t="str">
        <f>HYPERLINK("http://www.uniprot.org/uniprot/SDR2A_ARATH","SDR2A_ARATH")</f>
        <v>SDR2A_ARATH</v>
      </c>
      <c r="D14568" t="s">
        <v>9083</v>
      </c>
      <c r="E14568" s="3" t="s">
        <v>3</v>
      </c>
      <c r="F14568" s="4">
        <v>6.9700000000000002E-59</v>
      </c>
      <c r="G14568" s="3">
        <v>503</v>
      </c>
      <c r="H14568" s="3">
        <v>52</v>
      </c>
      <c r="I14568" s="3">
        <v>200</v>
      </c>
      <c r="J14568" s="3">
        <v>427</v>
      </c>
      <c r="K14568" s="3">
        <v>1005</v>
      </c>
      <c r="L14568" s="3">
        <v>31</v>
      </c>
      <c r="M14568" s="3">
        <v>230</v>
      </c>
    </row>
    <row r="14569" spans="1:13" x14ac:dyDescent="0.25">
      <c r="A14569" s="1" t="str">
        <f>HYPERLINK("http://www.rosaceae.org/Prunus/Prunus_persica/p.persica_gdr_reftransV1_0000297","p.persica_gdr_reftransV1_0000297")</f>
        <v>p.persica_gdr_reftransV1_0000297</v>
      </c>
      <c r="B14569" s="3">
        <v>2820</v>
      </c>
      <c r="C14569" s="1" t="str">
        <f>HYPERLINK("http://www.uniprot.org/uniprot/B3GTJ_ARATH","B3GTJ_ARATH")</f>
        <v>B3GTJ_ARATH</v>
      </c>
      <c r="D14569" t="s">
        <v>3881</v>
      </c>
      <c r="E14569" s="3" t="s">
        <v>3</v>
      </c>
      <c r="F14569" s="4">
        <v>0</v>
      </c>
      <c r="G14569" s="3">
        <v>2340</v>
      </c>
      <c r="H14569" s="3">
        <v>67</v>
      </c>
      <c r="I14569" s="3">
        <v>671</v>
      </c>
      <c r="J14569" s="3">
        <v>515</v>
      </c>
      <c r="K14569" s="3">
        <v>2461</v>
      </c>
      <c r="L14569" s="3">
        <v>11</v>
      </c>
      <c r="M14569" s="3">
        <v>681</v>
      </c>
    </row>
    <row r="14570" spans="1:13" x14ac:dyDescent="0.25">
      <c r="A14570" s="1" t="str">
        <f>HYPERLINK("http://www.rosaceae.org/Prunus/Prunus_persica/p.persica_gdr_reftransV1_0000397","p.persica_gdr_reftransV1_0000397")</f>
        <v>p.persica_gdr_reftransV1_0000397</v>
      </c>
      <c r="B14570" s="3">
        <v>873</v>
      </c>
      <c r="C14570" s="1" t="str">
        <f>HYPERLINK("http://www.uniprot.org/uniprot/ODO1_PETHY","ODO1_PETHY")</f>
        <v>ODO1_PETHY</v>
      </c>
      <c r="D14570" t="s">
        <v>9531</v>
      </c>
      <c r="E14570" s="3" t="s">
        <v>509</v>
      </c>
      <c r="F14570" s="4">
        <v>7.8000000000000005E-84</v>
      </c>
      <c r="G14570" s="3">
        <v>665</v>
      </c>
      <c r="H14570" s="3">
        <v>89</v>
      </c>
      <c r="I14570" s="3">
        <v>133</v>
      </c>
      <c r="J14570" s="3">
        <v>32</v>
      </c>
      <c r="K14570" s="3">
        <v>430</v>
      </c>
      <c r="L14570" s="3">
        <v>1</v>
      </c>
      <c r="M14570" s="3">
        <v>133</v>
      </c>
    </row>
    <row r="14571" spans="1:13" x14ac:dyDescent="0.25">
      <c r="A14571" s="1" t="str">
        <f>HYPERLINK("http://www.rosaceae.org/Prunus/Prunus_persica/p.persica_gdr_reftransV1_0000447","p.persica_gdr_reftransV1_0000447")</f>
        <v>p.persica_gdr_reftransV1_0000447</v>
      </c>
      <c r="B14571" s="3">
        <v>494</v>
      </c>
      <c r="C14571" s="1" t="str">
        <f>HYPERLINK("http://www.uniprot.org/uniprot/BRL2_ARATH","BRL2_ARATH")</f>
        <v>BRL2_ARATH</v>
      </c>
      <c r="D14571" t="s">
        <v>3231</v>
      </c>
      <c r="E14571" s="3" t="s">
        <v>3</v>
      </c>
      <c r="F14571" s="4">
        <v>1E-62</v>
      </c>
      <c r="G14571" s="3">
        <v>543</v>
      </c>
      <c r="H14571" s="3">
        <v>65</v>
      </c>
      <c r="I14571" s="3">
        <v>164</v>
      </c>
      <c r="J14571" s="3">
        <v>3</v>
      </c>
      <c r="K14571" s="3">
        <v>494</v>
      </c>
      <c r="L14571" s="3">
        <v>243</v>
      </c>
      <c r="M14571" s="3">
        <v>406</v>
      </c>
    </row>
    <row r="14572" spans="1:13" x14ac:dyDescent="0.25">
      <c r="A14572" s="1" t="str">
        <f>HYPERLINK("http://www.rosaceae.org/Prunus/Prunus_persica/p.persica_gdr_reftransV1_0000497","p.persica_gdr_reftransV1_0000497")</f>
        <v>p.persica_gdr_reftransV1_0000497</v>
      </c>
      <c r="B14572" s="3">
        <v>2127</v>
      </c>
      <c r="C14572" s="1" t="str">
        <f>HYPERLINK("http://www.uniprot.org/uniprot/Y3475_ARATH","Y3475_ARATH")</f>
        <v>Y3475_ARATH</v>
      </c>
      <c r="D14572" t="s">
        <v>827</v>
      </c>
      <c r="E14572" s="3" t="s">
        <v>3</v>
      </c>
      <c r="F14572" s="4">
        <v>2.5700000000000001E-147</v>
      </c>
      <c r="G14572" s="3">
        <v>1188</v>
      </c>
      <c r="H14572" s="3">
        <v>45</v>
      </c>
      <c r="I14572" s="3">
        <v>713</v>
      </c>
      <c r="J14572" s="3">
        <v>2</v>
      </c>
      <c r="K14572" s="3">
        <v>2125</v>
      </c>
      <c r="L14572" s="3">
        <v>69</v>
      </c>
      <c r="M14572" s="3">
        <v>768</v>
      </c>
    </row>
    <row r="14573" spans="1:13" x14ac:dyDescent="0.25">
      <c r="A14573" s="1" t="str">
        <f>HYPERLINK("http://www.rosaceae.org/Prunus/Prunus_persica/p.persica_gdr_reftransV1_0000597","p.persica_gdr_reftransV1_0000597")</f>
        <v>p.persica_gdr_reftransV1_0000597</v>
      </c>
      <c r="B14573" s="3">
        <v>335</v>
      </c>
      <c r="C14573" s="1" t="str">
        <f>HYPERLINK("http://www.uniprot.org/uniprot/UPTG_PEA","UPTG_PEA")</f>
        <v>UPTG_PEA</v>
      </c>
      <c r="D14573" t="s">
        <v>6725</v>
      </c>
      <c r="E14573" s="3" t="s">
        <v>60</v>
      </c>
      <c r="F14573" s="4">
        <v>2.7400000000000001E-74</v>
      </c>
      <c r="G14573" s="3">
        <v>588</v>
      </c>
      <c r="H14573" s="3">
        <v>90</v>
      </c>
      <c r="I14573" s="3">
        <v>111</v>
      </c>
      <c r="J14573" s="3">
        <v>2</v>
      </c>
      <c r="K14573" s="3">
        <v>334</v>
      </c>
      <c r="L14573" s="3">
        <v>146</v>
      </c>
      <c r="M14573" s="3">
        <v>256</v>
      </c>
    </row>
    <row r="14574" spans="1:13" x14ac:dyDescent="0.25">
      <c r="A14574" s="1" t="str">
        <f>HYPERLINK("http://www.rosaceae.org/Prunus/Prunus_persica/p.persica_gdr_reftransV1_0000647","p.persica_gdr_reftransV1_0000647")</f>
        <v>p.persica_gdr_reftransV1_0000647</v>
      </c>
      <c r="B14574" s="3">
        <v>1649</v>
      </c>
      <c r="C14574" s="1" t="str">
        <f>HYPERLINK("http://www.uniprot.org/uniprot/MED12_ARATH","MED12_ARATH")</f>
        <v>MED12_ARATH</v>
      </c>
      <c r="D14574" t="s">
        <v>3056</v>
      </c>
      <c r="E14574" s="3" t="s">
        <v>3</v>
      </c>
      <c r="F14574" s="4">
        <v>1.8199999999999999E-9</v>
      </c>
      <c r="G14574" s="3">
        <v>156</v>
      </c>
      <c r="H14574" s="3">
        <v>48</v>
      </c>
      <c r="I14574" s="3">
        <v>63</v>
      </c>
      <c r="J14574" s="3">
        <v>836</v>
      </c>
      <c r="K14574" s="3">
        <v>1024</v>
      </c>
      <c r="L14574" s="3">
        <v>154</v>
      </c>
      <c r="M14574" s="3">
        <v>214</v>
      </c>
    </row>
    <row r="14575" spans="1:13" x14ac:dyDescent="0.25">
      <c r="A14575" s="1" t="str">
        <f>HYPERLINK("http://www.rosaceae.org/Prunus/Prunus_persica/p.persica_gdr_reftransV1_0000697","p.persica_gdr_reftransV1_0000697")</f>
        <v>p.persica_gdr_reftransV1_0000697</v>
      </c>
      <c r="B14575" s="3">
        <v>2569</v>
      </c>
      <c r="C14575" s="1" t="str">
        <f>HYPERLINK("http://www.uniprot.org/uniprot/Y5830_ARATH","Y5830_ARATH")</f>
        <v>Y5830_ARATH</v>
      </c>
      <c r="D14575" t="s">
        <v>6316</v>
      </c>
      <c r="E14575" s="3" t="s">
        <v>3</v>
      </c>
      <c r="F14575" s="4">
        <v>0</v>
      </c>
      <c r="G14575" s="3">
        <v>1816</v>
      </c>
      <c r="H14575" s="3">
        <v>65</v>
      </c>
      <c r="I14575" s="3">
        <v>629</v>
      </c>
      <c r="J14575" s="3">
        <v>387</v>
      </c>
      <c r="K14575" s="3">
        <v>2267</v>
      </c>
      <c r="L14575" s="3">
        <v>31</v>
      </c>
      <c r="M14575" s="3">
        <v>653</v>
      </c>
    </row>
    <row r="14576" spans="1:13" x14ac:dyDescent="0.25">
      <c r="A14576" s="1" t="str">
        <f>HYPERLINK("http://www.rosaceae.org/Prunus/Prunus_persica/p.persica_gdr_reftransV1_0000747","p.persica_gdr_reftransV1_0000747")</f>
        <v>p.persica_gdr_reftransV1_0000747</v>
      </c>
      <c r="B14576" s="3">
        <v>2390</v>
      </c>
      <c r="C14576" s="1" t="str">
        <f>HYPERLINK("http://www.uniprot.org/uniprot/BXL7_ARATH","BXL7_ARATH")</f>
        <v>BXL7_ARATH</v>
      </c>
      <c r="D14576" t="s">
        <v>6425</v>
      </c>
      <c r="E14576" s="3" t="s">
        <v>3</v>
      </c>
      <c r="F14576" s="4">
        <v>0</v>
      </c>
      <c r="G14576" s="3">
        <v>1534</v>
      </c>
      <c r="H14576" s="3">
        <v>63</v>
      </c>
      <c r="I14576" s="3">
        <v>486</v>
      </c>
      <c r="J14576" s="3">
        <v>48</v>
      </c>
      <c r="K14576" s="3">
        <v>1499</v>
      </c>
      <c r="L14576" s="3">
        <v>288</v>
      </c>
      <c r="M14576" s="3">
        <v>767</v>
      </c>
    </row>
    <row r="14577" spans="1:13" x14ac:dyDescent="0.25">
      <c r="A14577" s="1" t="str">
        <f>HYPERLINK("http://www.rosaceae.org/Prunus/Prunus_persica/p.persica_gdr_reftransV1_0000797","p.persica_gdr_reftransV1_0000797")</f>
        <v>p.persica_gdr_reftransV1_0000797</v>
      </c>
      <c r="B14577" s="3">
        <v>1898</v>
      </c>
      <c r="C14577" s="1" t="str">
        <f>HYPERLINK("http://www.uniprot.org/uniprot/BRL2_ARATH","BRL2_ARATH")</f>
        <v>BRL2_ARATH</v>
      </c>
      <c r="D14577" t="s">
        <v>3231</v>
      </c>
      <c r="E14577" s="3" t="s">
        <v>3</v>
      </c>
      <c r="F14577" s="4">
        <v>0</v>
      </c>
      <c r="G14577" s="3">
        <v>2521</v>
      </c>
      <c r="H14577" s="3">
        <v>80</v>
      </c>
      <c r="I14577" s="3">
        <v>602</v>
      </c>
      <c r="J14577" s="3">
        <v>1</v>
      </c>
      <c r="K14577" s="3">
        <v>1785</v>
      </c>
      <c r="L14577" s="3">
        <v>542</v>
      </c>
      <c r="M14577" s="3">
        <v>1140</v>
      </c>
    </row>
    <row r="14578" spans="1:13" x14ac:dyDescent="0.25">
      <c r="A14578" s="1" t="str">
        <f>HYPERLINK("http://www.rosaceae.org/Prunus/Prunus_persica/p.persica_gdr_reftransV1_0000847","p.persica_gdr_reftransV1_0000847")</f>
        <v>p.persica_gdr_reftransV1_0000847</v>
      </c>
      <c r="B14578" s="3">
        <v>1377</v>
      </c>
      <c r="C14578" s="1" t="str">
        <f>HYPERLINK("http://www.uniprot.org/uniprot/SYP22_ARATH","SYP22_ARATH")</f>
        <v>SYP22_ARATH</v>
      </c>
      <c r="D14578" t="s">
        <v>7365</v>
      </c>
      <c r="E14578" s="3" t="s">
        <v>3</v>
      </c>
      <c r="F14578" s="4">
        <v>2.5099999999999999E-117</v>
      </c>
      <c r="G14578" s="3">
        <v>901</v>
      </c>
      <c r="H14578" s="3">
        <v>76</v>
      </c>
      <c r="I14578" s="3">
        <v>255</v>
      </c>
      <c r="J14578" s="3">
        <v>189</v>
      </c>
      <c r="K14578" s="3">
        <v>953</v>
      </c>
      <c r="L14578" s="3">
        <v>1</v>
      </c>
      <c r="M14578" s="3">
        <v>249</v>
      </c>
    </row>
    <row r="14579" spans="1:13" x14ac:dyDescent="0.25">
      <c r="A14579" s="1" t="str">
        <f>HYPERLINK("http://www.rosaceae.org/Prunus/Prunus_persica/p.persica_gdr_reftransV1_0000947","p.persica_gdr_reftransV1_0000947")</f>
        <v>p.persica_gdr_reftransV1_0000947</v>
      </c>
      <c r="B14579" s="3">
        <v>1160</v>
      </c>
      <c r="C14579" s="1" t="str">
        <f>HYPERLINK("http://www.uniprot.org/uniprot/NUDT2_ARATH","NUDT2_ARATH")</f>
        <v>NUDT2_ARATH</v>
      </c>
      <c r="D14579" t="s">
        <v>5183</v>
      </c>
      <c r="E14579" s="3" t="s">
        <v>3</v>
      </c>
      <c r="F14579" s="4">
        <v>3.91E-92</v>
      </c>
      <c r="G14579" s="3">
        <v>728</v>
      </c>
      <c r="H14579" s="3">
        <v>58</v>
      </c>
      <c r="I14579" s="3">
        <v>238</v>
      </c>
      <c r="J14579" s="3">
        <v>423</v>
      </c>
      <c r="K14579" s="3">
        <v>1136</v>
      </c>
      <c r="L14579" s="3">
        <v>19</v>
      </c>
      <c r="M14579" s="3">
        <v>256</v>
      </c>
    </row>
    <row r="14580" spans="1:13" x14ac:dyDescent="0.25">
      <c r="A14580" s="1" t="str">
        <f>HYPERLINK("http://www.rosaceae.org/Prunus/Prunus_persica/p.persica_gdr_reftransV1_0001047","p.persica_gdr_reftransV1_0001047")</f>
        <v>p.persica_gdr_reftransV1_0001047</v>
      </c>
      <c r="B14580" s="3">
        <v>895</v>
      </c>
      <c r="C14580" s="1" t="str">
        <f>HYPERLINK("http://www.uniprot.org/uniprot/PGLR4_ARATH","PGLR4_ARATH")</f>
        <v>PGLR4_ARATH</v>
      </c>
      <c r="D14580" t="s">
        <v>4096</v>
      </c>
      <c r="E14580" s="3" t="s">
        <v>3</v>
      </c>
      <c r="F14580" s="4">
        <v>4.3899999999999999E-139</v>
      </c>
      <c r="G14580" s="3">
        <v>1049</v>
      </c>
      <c r="H14580" s="3">
        <v>82</v>
      </c>
      <c r="I14580" s="3">
        <v>232</v>
      </c>
      <c r="J14580" s="3">
        <v>3</v>
      </c>
      <c r="K14580" s="3">
        <v>698</v>
      </c>
      <c r="L14580" s="3">
        <v>232</v>
      </c>
      <c r="M14580" s="3">
        <v>463</v>
      </c>
    </row>
    <row r="14581" spans="1:13" x14ac:dyDescent="0.25">
      <c r="A14581" s="1" t="str">
        <f>HYPERLINK("http://www.rosaceae.org/Prunus/Prunus_persica/p.persica_gdr_reftransV1_0001147","p.persica_gdr_reftransV1_0001147")</f>
        <v>p.persica_gdr_reftransV1_0001147</v>
      </c>
      <c r="B14581" s="3">
        <v>1903</v>
      </c>
      <c r="C14581" s="1" t="str">
        <f>HYPERLINK("http://www.uniprot.org/uniprot/DNJB3_MOUSE","DNJB3_MOUSE")</f>
        <v>DNJB3_MOUSE</v>
      </c>
      <c r="D14581" t="s">
        <v>3252</v>
      </c>
      <c r="E14581" s="3" t="s">
        <v>157</v>
      </c>
      <c r="F14581" s="4">
        <v>7.8399999999999999E-14</v>
      </c>
      <c r="G14581" s="3">
        <v>184</v>
      </c>
      <c r="H14581" s="3">
        <v>48</v>
      </c>
      <c r="I14581" s="3">
        <v>69</v>
      </c>
      <c r="J14581" s="3">
        <v>1349</v>
      </c>
      <c r="K14581" s="3">
        <v>1555</v>
      </c>
      <c r="L14581" s="3">
        <v>3</v>
      </c>
      <c r="M14581" s="3">
        <v>66</v>
      </c>
    </row>
    <row r="14582" spans="1:13" x14ac:dyDescent="0.25">
      <c r="A14582" s="1" t="str">
        <f>HYPERLINK("http://www.rosaceae.org/Prunus/Prunus_persica/p.persica_gdr_reftransV1_0001197","p.persica_gdr_reftransV1_0001197")</f>
        <v>p.persica_gdr_reftransV1_0001197</v>
      </c>
      <c r="B14582" s="3">
        <v>1251</v>
      </c>
      <c r="C14582" s="1" t="str">
        <f>HYPERLINK("http://www.uniprot.org/uniprot/ROC5_ORYSJ","ROC5_ORYSJ")</f>
        <v>ROC5_ORYSJ</v>
      </c>
      <c r="D14582" t="s">
        <v>9532</v>
      </c>
      <c r="E14582" s="3" t="s">
        <v>38</v>
      </c>
      <c r="F14582" s="4">
        <v>1.6900000000000001E-172</v>
      </c>
      <c r="G14582" s="3">
        <v>1313</v>
      </c>
      <c r="H14582" s="3">
        <v>60</v>
      </c>
      <c r="I14582" s="3">
        <v>413</v>
      </c>
      <c r="J14582" s="3">
        <v>30</v>
      </c>
      <c r="K14582" s="3">
        <v>1244</v>
      </c>
      <c r="L14582" s="3">
        <v>395</v>
      </c>
      <c r="M14582" s="3">
        <v>801</v>
      </c>
    </row>
    <row r="14583" spans="1:13" x14ac:dyDescent="0.25">
      <c r="A14583" s="1" t="str">
        <f>HYPERLINK("http://www.rosaceae.org/Prunus/Prunus_persica/p.persica_gdr_reftransV1_0001247","p.persica_gdr_reftransV1_0001247")</f>
        <v>p.persica_gdr_reftransV1_0001247</v>
      </c>
      <c r="B14583" s="3">
        <v>1423</v>
      </c>
      <c r="C14583" s="1" t="str">
        <f>HYPERLINK("http://www.uniprot.org/uniprot/OLE16_BROSE","OLE16_BROSE")</f>
        <v>OLE16_BROSE</v>
      </c>
      <c r="D14583" t="s">
        <v>9533</v>
      </c>
      <c r="E14583" s="3" t="s">
        <v>9534</v>
      </c>
      <c r="F14583" s="4">
        <v>1.3799999999999999E-15</v>
      </c>
      <c r="G14583" s="3">
        <v>193</v>
      </c>
      <c r="H14583" s="3">
        <v>45</v>
      </c>
      <c r="I14583" s="3">
        <v>75</v>
      </c>
      <c r="J14583" s="3">
        <v>882</v>
      </c>
      <c r="K14583" s="3">
        <v>1106</v>
      </c>
      <c r="L14583" s="3">
        <v>84</v>
      </c>
      <c r="M14583" s="3">
        <v>158</v>
      </c>
    </row>
    <row r="14584" spans="1:13" x14ac:dyDescent="0.25">
      <c r="A14584" s="1" t="str">
        <f>HYPERLINK("http://www.rosaceae.org/Prunus/Prunus_persica/p.persica_gdr_reftransV1_0001297","p.persica_gdr_reftransV1_0001297")</f>
        <v>p.persica_gdr_reftransV1_0001297</v>
      </c>
      <c r="B14584" s="3">
        <v>7408</v>
      </c>
      <c r="C14584" s="1" t="str">
        <f>HYPERLINK("http://www.uniprot.org/uniprot/RDRP_ACLSA","RDRP_ACLSA")</f>
        <v>RDRP_ACLSA</v>
      </c>
      <c r="D14584" t="s">
        <v>9535</v>
      </c>
      <c r="E14584" s="3" t="s">
        <v>794</v>
      </c>
      <c r="F14584" s="4">
        <v>6.66E-146</v>
      </c>
      <c r="G14584" s="3">
        <v>1307</v>
      </c>
      <c r="H14584" s="3">
        <v>39</v>
      </c>
      <c r="I14584" s="3">
        <v>874</v>
      </c>
      <c r="J14584" s="3">
        <v>2415</v>
      </c>
      <c r="K14584" s="3">
        <v>4943</v>
      </c>
      <c r="L14584" s="3">
        <v>1025</v>
      </c>
      <c r="M14584" s="3">
        <v>1849</v>
      </c>
    </row>
    <row r="14585" spans="1:13" x14ac:dyDescent="0.25">
      <c r="A14585" s="1" t="str">
        <f>HYPERLINK("http://www.rosaceae.org/Prunus/Prunus_persica/p.persica_gdr_reftransV1_0001347","p.persica_gdr_reftransV1_0001347")</f>
        <v>p.persica_gdr_reftransV1_0001347</v>
      </c>
      <c r="B14585" s="3">
        <v>4498</v>
      </c>
      <c r="C14585" s="1" t="str">
        <f>HYPERLINK("http://www.uniprot.org/uniprot/AB39G_ORYSJ","AB39G_ORYSJ")</f>
        <v>AB39G_ORYSJ</v>
      </c>
      <c r="D14585" t="s">
        <v>9536</v>
      </c>
      <c r="E14585" s="3" t="s">
        <v>38</v>
      </c>
      <c r="F14585" s="4">
        <v>0</v>
      </c>
      <c r="G14585" s="3">
        <v>5050</v>
      </c>
      <c r="H14585" s="3">
        <v>68</v>
      </c>
      <c r="I14585" s="3">
        <v>1405</v>
      </c>
      <c r="J14585" s="3">
        <v>199</v>
      </c>
      <c r="K14585" s="3">
        <v>4401</v>
      </c>
      <c r="L14585" s="3">
        <v>46</v>
      </c>
      <c r="M14585" s="3">
        <v>1444</v>
      </c>
    </row>
    <row r="14586" spans="1:13" x14ac:dyDescent="0.25">
      <c r="A14586" s="1" t="str">
        <f>HYPERLINK("http://www.rosaceae.org/Prunus/Prunus_persica/p.persica_gdr_reftransV1_0001397","p.persica_gdr_reftransV1_0001397")</f>
        <v>p.persica_gdr_reftransV1_0001397</v>
      </c>
      <c r="B14586" s="3">
        <v>2018</v>
      </c>
      <c r="C14586" s="1" t="str">
        <f>HYPERLINK("http://www.uniprot.org/uniprot/Y1015_ARATH","Y1015_ARATH")</f>
        <v>Y1015_ARATH</v>
      </c>
      <c r="D14586" t="s">
        <v>5792</v>
      </c>
      <c r="E14586" s="3" t="s">
        <v>3</v>
      </c>
      <c r="F14586" s="4">
        <v>5.6600000000000001E-117</v>
      </c>
      <c r="G14586" s="3">
        <v>923</v>
      </c>
      <c r="H14586" s="3">
        <v>69</v>
      </c>
      <c r="I14586" s="3">
        <v>293</v>
      </c>
      <c r="J14586" s="3">
        <v>633</v>
      </c>
      <c r="K14586" s="3">
        <v>1490</v>
      </c>
      <c r="L14586" s="3">
        <v>39</v>
      </c>
      <c r="M14586" s="3">
        <v>327</v>
      </c>
    </row>
    <row r="14587" spans="1:13" x14ac:dyDescent="0.25">
      <c r="A14587" s="1" t="str">
        <f>HYPERLINK("http://www.rosaceae.org/Prunus/Prunus_persica/p.persica_gdr_reftransV1_0001447","p.persica_gdr_reftransV1_0001447")</f>
        <v>p.persica_gdr_reftransV1_0001447</v>
      </c>
      <c r="B14587" s="3">
        <v>634</v>
      </c>
      <c r="C14587" s="1" t="str">
        <f>HYPERLINK("http://www.uniprot.org/uniprot/MAPT_ARATH","MAPT_ARATH")</f>
        <v>MAPT_ARATH</v>
      </c>
      <c r="D14587" t="s">
        <v>2573</v>
      </c>
      <c r="E14587" s="3" t="s">
        <v>3</v>
      </c>
      <c r="F14587" s="4">
        <v>5.3200000000000003E-20</v>
      </c>
      <c r="G14587" s="3">
        <v>229</v>
      </c>
      <c r="H14587" s="3">
        <v>40</v>
      </c>
      <c r="I14587" s="3">
        <v>110</v>
      </c>
      <c r="J14587" s="3">
        <v>12</v>
      </c>
      <c r="K14587" s="3">
        <v>341</v>
      </c>
      <c r="L14587" s="3">
        <v>41</v>
      </c>
      <c r="M14587" s="3">
        <v>150</v>
      </c>
    </row>
    <row r="14588" spans="1:13" x14ac:dyDescent="0.25">
      <c r="A14588" s="1" t="str">
        <f>HYPERLINK("http://www.rosaceae.org/Prunus/Prunus_persica/p.persica_gdr_reftransV1_0001597","p.persica_gdr_reftransV1_0001597")</f>
        <v>p.persica_gdr_reftransV1_0001597</v>
      </c>
      <c r="B14588" s="3">
        <v>2054</v>
      </c>
      <c r="C14588" s="1" t="str">
        <f>HYPERLINK("http://www.uniprot.org/uniprot/MTP1_ARATH","MTP1_ARATH")</f>
        <v>MTP1_ARATH</v>
      </c>
      <c r="D14588" t="s">
        <v>9537</v>
      </c>
      <c r="E14588" s="3" t="s">
        <v>3</v>
      </c>
      <c r="F14588" s="4">
        <v>1.43E-86</v>
      </c>
      <c r="G14588" s="3">
        <v>725</v>
      </c>
      <c r="H14588" s="3">
        <v>85</v>
      </c>
      <c r="I14588" s="3">
        <v>160</v>
      </c>
      <c r="J14588" s="3">
        <v>961</v>
      </c>
      <c r="K14588" s="3">
        <v>1434</v>
      </c>
      <c r="L14588" s="3">
        <v>239</v>
      </c>
      <c r="M14588" s="3">
        <v>398</v>
      </c>
    </row>
    <row r="14589" spans="1:13" x14ac:dyDescent="0.25">
      <c r="A14589" s="1" t="str">
        <f>HYPERLINK("http://www.rosaceae.org/Prunus/Prunus_persica/p.persica_gdr_reftransV1_0001647","p.persica_gdr_reftransV1_0001647")</f>
        <v>p.persica_gdr_reftransV1_0001647</v>
      </c>
      <c r="B14589" s="3">
        <v>625</v>
      </c>
      <c r="C14589" s="1" t="str">
        <f>HYPERLINK("http://www.uniprot.org/uniprot/USPAL_ARATH","USPAL_ARATH")</f>
        <v>USPAL_ARATH</v>
      </c>
      <c r="D14589" t="s">
        <v>430</v>
      </c>
      <c r="E14589" s="3" t="s">
        <v>3</v>
      </c>
      <c r="F14589" s="4">
        <v>2.88E-9</v>
      </c>
      <c r="G14589" s="3">
        <v>137</v>
      </c>
      <c r="H14589" s="3">
        <v>29</v>
      </c>
      <c r="I14589" s="3">
        <v>142</v>
      </c>
      <c r="J14589" s="3">
        <v>133</v>
      </c>
      <c r="K14589" s="3">
        <v>546</v>
      </c>
      <c r="L14589" s="3">
        <v>24</v>
      </c>
      <c r="M14589" s="3">
        <v>156</v>
      </c>
    </row>
    <row r="14590" spans="1:13" x14ac:dyDescent="0.25">
      <c r="A14590" s="1" t="str">
        <f>HYPERLINK("http://www.rosaceae.org/Prunus/Prunus_persica/p.persica_gdr_reftransV1_0001747","p.persica_gdr_reftransV1_0001747")</f>
        <v>p.persica_gdr_reftransV1_0001747</v>
      </c>
      <c r="B14590" s="3">
        <v>3974</v>
      </c>
      <c r="C14590" s="1" t="str">
        <f>HYPERLINK("http://www.uniprot.org/uniprot/Y5436_ARATH","Y5436_ARATH")</f>
        <v>Y5436_ARATH</v>
      </c>
      <c r="D14590" t="s">
        <v>3010</v>
      </c>
      <c r="E14590" s="3" t="s">
        <v>3</v>
      </c>
      <c r="F14590" s="4">
        <v>0</v>
      </c>
      <c r="G14590" s="3">
        <v>1555</v>
      </c>
      <c r="H14590" s="3">
        <v>77</v>
      </c>
      <c r="I14590" s="3">
        <v>418</v>
      </c>
      <c r="J14590" s="3">
        <v>2560</v>
      </c>
      <c r="K14590" s="3">
        <v>3807</v>
      </c>
      <c r="L14590" s="3">
        <v>1</v>
      </c>
      <c r="M14590" s="3">
        <v>418</v>
      </c>
    </row>
    <row r="14591" spans="1:13" x14ac:dyDescent="0.25">
      <c r="A14591" s="1" t="str">
        <f>HYPERLINK("http://www.rosaceae.org/Prunus/Prunus_persica/p.persica_gdr_reftransV1_0001797","p.persica_gdr_reftransV1_0001797")</f>
        <v>p.persica_gdr_reftransV1_0001797</v>
      </c>
      <c r="B14591" s="3">
        <v>2290</v>
      </c>
      <c r="C14591" s="1" t="str">
        <f>HYPERLINK("http://www.uniprot.org/uniprot/SSY4_ARATH","SSY4_ARATH")</f>
        <v>SSY4_ARATH</v>
      </c>
      <c r="D14591" t="s">
        <v>6124</v>
      </c>
      <c r="E14591" s="3" t="s">
        <v>3</v>
      </c>
      <c r="F14591" s="4">
        <v>5.1700000000000004E-108</v>
      </c>
      <c r="G14591" s="3">
        <v>923</v>
      </c>
      <c r="H14591" s="3">
        <v>34</v>
      </c>
      <c r="I14591" s="3">
        <v>641</v>
      </c>
      <c r="J14591" s="3">
        <v>198</v>
      </c>
      <c r="K14591" s="3">
        <v>2039</v>
      </c>
      <c r="L14591" s="3">
        <v>379</v>
      </c>
      <c r="M14591" s="3">
        <v>1015</v>
      </c>
    </row>
    <row r="14592" spans="1:13" x14ac:dyDescent="0.25">
      <c r="A14592" s="1" t="str">
        <f>HYPERLINK("http://www.rosaceae.org/Prunus/Prunus_persica/p.persica_gdr_reftransV1_0001997","p.persica_gdr_reftransV1_0001997")</f>
        <v>p.persica_gdr_reftransV1_0001997</v>
      </c>
      <c r="B14592" s="3">
        <v>2037</v>
      </c>
      <c r="C14592" s="1" t="str">
        <f>HYPERLINK("http://www.uniprot.org/uniprot/RSLE2_ORYSJ","RSLE2_ORYSJ")</f>
        <v>RSLE2_ORYSJ</v>
      </c>
      <c r="D14592" t="s">
        <v>4476</v>
      </c>
      <c r="E14592" s="3" t="s">
        <v>38</v>
      </c>
      <c r="F14592" s="4">
        <v>3.6100000000000001E-45</v>
      </c>
      <c r="G14592" s="3">
        <v>444</v>
      </c>
      <c r="H14592" s="3">
        <v>27</v>
      </c>
      <c r="I14592" s="3">
        <v>533</v>
      </c>
      <c r="J14592" s="3">
        <v>369</v>
      </c>
      <c r="K14592" s="3">
        <v>1901</v>
      </c>
      <c r="L14592" s="3">
        <v>66</v>
      </c>
      <c r="M14592" s="3">
        <v>538</v>
      </c>
    </row>
    <row r="14593" spans="1:13" x14ac:dyDescent="0.25">
      <c r="A14593" s="1" t="str">
        <f>HYPERLINK("http://www.rosaceae.org/Prunus/Prunus_persica/p.persica_gdr_reftransV1_0002047","p.persica_gdr_reftransV1_0002047")</f>
        <v>p.persica_gdr_reftransV1_0002047</v>
      </c>
      <c r="B14593" s="3">
        <v>832</v>
      </c>
      <c r="C14593" s="1" t="str">
        <f>HYPERLINK("http://www.uniprot.org/uniprot/SAU72_ARATH","SAU72_ARATH")</f>
        <v>SAU72_ARATH</v>
      </c>
      <c r="D14593" t="s">
        <v>7574</v>
      </c>
      <c r="E14593" s="3" t="s">
        <v>3</v>
      </c>
      <c r="F14593" s="4">
        <v>8.7299999999999995E-42</v>
      </c>
      <c r="G14593" s="3">
        <v>368</v>
      </c>
      <c r="H14593" s="3">
        <v>75</v>
      </c>
      <c r="I14593" s="3">
        <v>121</v>
      </c>
      <c r="J14593" s="3">
        <v>98</v>
      </c>
      <c r="K14593" s="3">
        <v>457</v>
      </c>
      <c r="L14593" s="3">
        <v>1</v>
      </c>
      <c r="M14593" s="3">
        <v>118</v>
      </c>
    </row>
    <row r="14594" spans="1:13" x14ac:dyDescent="0.25">
      <c r="A14594" s="1" t="str">
        <f>HYPERLINK("http://www.rosaceae.org/Prunus/Prunus_persica/p.persica_gdr_reftransV1_0002097","p.persica_gdr_reftransV1_0002097")</f>
        <v>p.persica_gdr_reftransV1_0002097</v>
      </c>
      <c r="B14594" s="3">
        <v>1540</v>
      </c>
      <c r="C14594" s="1" t="str">
        <f>HYPERLINK("http://www.uniprot.org/uniprot/UGAL2_ARATH","UGAL2_ARATH")</f>
        <v>UGAL2_ARATH</v>
      </c>
      <c r="D14594" t="s">
        <v>3157</v>
      </c>
      <c r="E14594" s="3" t="s">
        <v>3</v>
      </c>
      <c r="F14594" s="4">
        <v>1.7400000000000001E-75</v>
      </c>
      <c r="G14594" s="3">
        <v>633</v>
      </c>
      <c r="H14594" s="3">
        <v>52</v>
      </c>
      <c r="I14594" s="3">
        <v>320</v>
      </c>
      <c r="J14594" s="3">
        <v>144</v>
      </c>
      <c r="K14594" s="3">
        <v>1070</v>
      </c>
      <c r="L14594" s="3">
        <v>4</v>
      </c>
      <c r="M14594" s="3">
        <v>322</v>
      </c>
    </row>
    <row r="14595" spans="1:13" x14ac:dyDescent="0.25">
      <c r="A14595" s="1" t="str">
        <f>HYPERLINK("http://www.rosaceae.org/Prunus/Prunus_persica/p.persica_gdr_reftransV1_0002147","p.persica_gdr_reftransV1_0002147")</f>
        <v>p.persica_gdr_reftransV1_0002147</v>
      </c>
      <c r="B14595" s="3">
        <v>1818</v>
      </c>
      <c r="C14595" s="1" t="str">
        <f>HYPERLINK("http://www.uniprot.org/uniprot/FBD4_ARATH","FBD4_ARATH")</f>
        <v>FBD4_ARATH</v>
      </c>
      <c r="D14595" t="s">
        <v>7082</v>
      </c>
      <c r="E14595" s="3" t="s">
        <v>3</v>
      </c>
      <c r="F14595" s="4">
        <v>8.7400000000000003E-12</v>
      </c>
      <c r="G14595" s="3">
        <v>173</v>
      </c>
      <c r="H14595" s="3">
        <v>22</v>
      </c>
      <c r="I14595" s="3">
        <v>420</v>
      </c>
      <c r="J14595" s="3">
        <v>515</v>
      </c>
      <c r="K14595" s="3">
        <v>1660</v>
      </c>
      <c r="L14595" s="3">
        <v>12</v>
      </c>
      <c r="M14595" s="3">
        <v>412</v>
      </c>
    </row>
    <row r="14596" spans="1:13" x14ac:dyDescent="0.25">
      <c r="A14596" s="1" t="str">
        <f>HYPERLINK("http://www.rosaceae.org/Prunus/Prunus_persica/p.persica_gdr_reftransV1_0002197","p.persica_gdr_reftransV1_0002197")</f>
        <v>p.persica_gdr_reftransV1_0002197</v>
      </c>
      <c r="B14596" s="3">
        <v>394</v>
      </c>
      <c r="C14596" s="1" t="str">
        <f>HYPERLINK("http://www.uniprot.org/uniprot/Y4885_ARATH","Y4885_ARATH")</f>
        <v>Y4885_ARATH</v>
      </c>
      <c r="D14596" t="s">
        <v>468</v>
      </c>
      <c r="E14596" s="3" t="s">
        <v>3</v>
      </c>
      <c r="F14596" s="4">
        <v>9.7099999999999999E-32</v>
      </c>
      <c r="G14596" s="3">
        <v>310</v>
      </c>
      <c r="H14596" s="3">
        <v>59</v>
      </c>
      <c r="I14596" s="3">
        <v>101</v>
      </c>
      <c r="J14596" s="3">
        <v>92</v>
      </c>
      <c r="K14596" s="3">
        <v>394</v>
      </c>
      <c r="L14596" s="3">
        <v>942</v>
      </c>
      <c r="M14596" s="3">
        <v>1041</v>
      </c>
    </row>
    <row r="14597" spans="1:13" x14ac:dyDescent="0.25">
      <c r="A14597" s="1" t="str">
        <f>HYPERLINK("http://www.rosaceae.org/Prunus/Prunus_persica/p.persica_gdr_reftransV1_0002247","p.persica_gdr_reftransV1_0002247")</f>
        <v>p.persica_gdr_reftransV1_0002247</v>
      </c>
      <c r="B14597" s="3">
        <v>576</v>
      </c>
      <c r="C14597" s="1" t="str">
        <f>HYPERLINK("http://www.uniprot.org/uniprot/PP312_ARATH","PP312_ARATH")</f>
        <v>PP312_ARATH</v>
      </c>
      <c r="D14597" t="s">
        <v>4597</v>
      </c>
      <c r="E14597" s="3" t="s">
        <v>3</v>
      </c>
      <c r="F14597" s="4">
        <v>1.59E-91</v>
      </c>
      <c r="G14597" s="3">
        <v>736</v>
      </c>
      <c r="H14597" s="3">
        <v>68</v>
      </c>
      <c r="I14597" s="3">
        <v>189</v>
      </c>
      <c r="J14597" s="3">
        <v>2</v>
      </c>
      <c r="K14597" s="3">
        <v>568</v>
      </c>
      <c r="L14597" s="3">
        <v>21</v>
      </c>
      <c r="M14597" s="3">
        <v>209</v>
      </c>
    </row>
    <row r="14598" spans="1:13" x14ac:dyDescent="0.25">
      <c r="A14598" s="1" t="str">
        <f>HYPERLINK("http://www.rosaceae.org/Prunus/Prunus_persica/p.persica_gdr_reftransV1_0002347","p.persica_gdr_reftransV1_0002347")</f>
        <v>p.persica_gdr_reftransV1_0002347</v>
      </c>
      <c r="B14598" s="3">
        <v>659</v>
      </c>
      <c r="C14598" s="1" t="str">
        <f>HYPERLINK("http://www.uniprot.org/uniprot/ALOX1_PICPG","ALOX1_PICPG")</f>
        <v>ALOX1_PICPG</v>
      </c>
      <c r="D14598" t="s">
        <v>4903</v>
      </c>
      <c r="E14598" s="3" t="s">
        <v>4904</v>
      </c>
      <c r="F14598" s="4">
        <v>2.8300000000000001E-96</v>
      </c>
      <c r="G14598" s="3">
        <v>770</v>
      </c>
      <c r="H14598" s="3">
        <v>65</v>
      </c>
      <c r="I14598" s="3">
        <v>218</v>
      </c>
      <c r="J14598" s="3">
        <v>3</v>
      </c>
      <c r="K14598" s="3">
        <v>656</v>
      </c>
      <c r="L14598" s="3">
        <v>310</v>
      </c>
      <c r="M14598" s="3">
        <v>523</v>
      </c>
    </row>
    <row r="14599" spans="1:13" x14ac:dyDescent="0.25">
      <c r="A14599" s="1" t="str">
        <f>HYPERLINK("http://www.rosaceae.org/Prunus/Prunus_persica/p.persica_gdr_reftransV1_0002397","p.persica_gdr_reftransV1_0002397")</f>
        <v>p.persica_gdr_reftransV1_0002397</v>
      </c>
      <c r="B14599" s="3">
        <v>1417</v>
      </c>
      <c r="C14599" s="1" t="str">
        <f>HYPERLINK("http://www.uniprot.org/uniprot/THO7A_ARATH","THO7A_ARATH")</f>
        <v>THO7A_ARATH</v>
      </c>
      <c r="D14599" t="s">
        <v>4014</v>
      </c>
      <c r="E14599" s="3" t="s">
        <v>3</v>
      </c>
      <c r="F14599" s="4">
        <v>1.37E-90</v>
      </c>
      <c r="G14599" s="3">
        <v>721</v>
      </c>
      <c r="H14599" s="3">
        <v>77</v>
      </c>
      <c r="I14599" s="3">
        <v>200</v>
      </c>
      <c r="J14599" s="3">
        <v>203</v>
      </c>
      <c r="K14599" s="3">
        <v>799</v>
      </c>
      <c r="L14599" s="3">
        <v>1</v>
      </c>
      <c r="M14599" s="3">
        <v>200</v>
      </c>
    </row>
    <row r="14600" spans="1:13" x14ac:dyDescent="0.25">
      <c r="A14600" s="1" t="str">
        <f>HYPERLINK("http://www.rosaceae.org/Prunus/Prunus_persica/p.persica_gdr_reftransV1_0002497","p.persica_gdr_reftransV1_0002497")</f>
        <v>p.persica_gdr_reftransV1_0002497</v>
      </c>
      <c r="B14600" s="3">
        <v>370</v>
      </c>
      <c r="C14600" s="1" t="str">
        <f>HYPERLINK("http://www.uniprot.org/uniprot/POLX_TOBAC","POLX_TOBAC")</f>
        <v>POLX_TOBAC</v>
      </c>
      <c r="D14600" t="s">
        <v>1253</v>
      </c>
      <c r="E14600" s="3" t="s">
        <v>200</v>
      </c>
      <c r="F14600" s="4">
        <v>1.71E-18</v>
      </c>
      <c r="G14600" s="3">
        <v>211</v>
      </c>
      <c r="H14600" s="3">
        <v>39</v>
      </c>
      <c r="I14600" s="3">
        <v>114</v>
      </c>
      <c r="J14600" s="3">
        <v>19</v>
      </c>
      <c r="K14600" s="3">
        <v>360</v>
      </c>
      <c r="L14600" s="3">
        <v>543</v>
      </c>
      <c r="M14600" s="3">
        <v>656</v>
      </c>
    </row>
    <row r="14601" spans="1:13" x14ac:dyDescent="0.25">
      <c r="A14601" s="1" t="str">
        <f>HYPERLINK("http://www.rosaceae.org/Prunus/Prunus_persica/p.persica_gdr_reftransV1_0002597","p.persica_gdr_reftransV1_0002597")</f>
        <v>p.persica_gdr_reftransV1_0002597</v>
      </c>
      <c r="B14601" s="3">
        <v>771</v>
      </c>
      <c r="C14601" s="1" t="str">
        <f>HYPERLINK("http://www.uniprot.org/uniprot/CLV1_ARATH","CLV1_ARATH")</f>
        <v>CLV1_ARATH</v>
      </c>
      <c r="D14601" t="s">
        <v>2635</v>
      </c>
      <c r="E14601" s="3" t="s">
        <v>3</v>
      </c>
      <c r="F14601" s="4">
        <v>5.8299999999999996E-100</v>
      </c>
      <c r="G14601" s="3">
        <v>817</v>
      </c>
      <c r="H14601" s="3">
        <v>62</v>
      </c>
      <c r="I14601" s="3">
        <v>257</v>
      </c>
      <c r="J14601" s="3">
        <v>1</v>
      </c>
      <c r="K14601" s="3">
        <v>771</v>
      </c>
      <c r="L14601" s="3">
        <v>340</v>
      </c>
      <c r="M14601" s="3">
        <v>596</v>
      </c>
    </row>
    <row r="14602" spans="1:13" x14ac:dyDescent="0.25">
      <c r="A14602" s="1" t="str">
        <f>HYPERLINK("http://www.rosaceae.org/Prunus/Prunus_persica/p.persica_gdr_reftransV1_0002647","p.persica_gdr_reftransV1_0002647")</f>
        <v>p.persica_gdr_reftransV1_0002647</v>
      </c>
      <c r="B14602" s="3">
        <v>1455</v>
      </c>
      <c r="C14602" s="1" t="str">
        <f>HYPERLINK("http://www.uniprot.org/uniprot/OCS1_MAIZE","OCS1_MAIZE")</f>
        <v>OCS1_MAIZE</v>
      </c>
      <c r="D14602" t="s">
        <v>2396</v>
      </c>
      <c r="E14602" s="3" t="s">
        <v>72</v>
      </c>
      <c r="F14602" s="4">
        <v>7.9400000000000004E-22</v>
      </c>
      <c r="G14602" s="3">
        <v>238</v>
      </c>
      <c r="H14602" s="3">
        <v>40</v>
      </c>
      <c r="I14602" s="3">
        <v>128</v>
      </c>
      <c r="J14602" s="3">
        <v>791</v>
      </c>
      <c r="K14602" s="3">
        <v>1174</v>
      </c>
      <c r="L14602" s="3">
        <v>26</v>
      </c>
      <c r="M14602" s="3">
        <v>151</v>
      </c>
    </row>
    <row r="14603" spans="1:13" x14ac:dyDescent="0.25">
      <c r="A14603" s="1" t="str">
        <f>HYPERLINK("http://www.rosaceae.org/Prunus/Prunus_persica/p.persica_gdr_reftransV1_0002697","p.persica_gdr_reftransV1_0002697")</f>
        <v>p.persica_gdr_reftransV1_0002697</v>
      </c>
      <c r="B14603" s="3">
        <v>1823</v>
      </c>
      <c r="C14603" s="1" t="str">
        <f>HYPERLINK("http://www.uniprot.org/uniprot/NAC82_ARATH","NAC82_ARATH")</f>
        <v>NAC82_ARATH</v>
      </c>
      <c r="D14603" t="s">
        <v>7845</v>
      </c>
      <c r="E14603" s="3" t="s">
        <v>3</v>
      </c>
      <c r="F14603" s="4">
        <v>1.2E-81</v>
      </c>
      <c r="G14603" s="3">
        <v>694</v>
      </c>
      <c r="H14603" s="3">
        <v>46</v>
      </c>
      <c r="I14603" s="3">
        <v>369</v>
      </c>
      <c r="J14603" s="3">
        <v>344</v>
      </c>
      <c r="K14603" s="3">
        <v>1393</v>
      </c>
      <c r="L14603" s="3">
        <v>1</v>
      </c>
      <c r="M14603" s="3">
        <v>337</v>
      </c>
    </row>
    <row r="14604" spans="1:13" x14ac:dyDescent="0.25">
      <c r="A14604" s="1" t="str">
        <f>HYPERLINK("http://www.rosaceae.org/Prunus/Prunus_persica/p.persica_gdr_reftransV1_0002897","p.persica_gdr_reftransV1_0002897")</f>
        <v>p.persica_gdr_reftransV1_0002897</v>
      </c>
      <c r="B14604" s="3">
        <v>1180</v>
      </c>
      <c r="C14604" s="1" t="str">
        <f>HYPERLINK("http://www.uniprot.org/uniprot/BH120_ARATH","BH120_ARATH")</f>
        <v>BH120_ARATH</v>
      </c>
      <c r="D14604" t="s">
        <v>8916</v>
      </c>
      <c r="E14604" s="3" t="s">
        <v>3</v>
      </c>
      <c r="F14604" s="4">
        <v>1.2500000000000001E-34</v>
      </c>
      <c r="G14604" s="3">
        <v>332</v>
      </c>
      <c r="H14604" s="3">
        <v>43</v>
      </c>
      <c r="I14604" s="3">
        <v>178</v>
      </c>
      <c r="J14604" s="3">
        <v>271</v>
      </c>
      <c r="K14604" s="3">
        <v>804</v>
      </c>
      <c r="L14604" s="3">
        <v>22</v>
      </c>
      <c r="M14604" s="3">
        <v>193</v>
      </c>
    </row>
    <row r="14605" spans="1:13" x14ac:dyDescent="0.25">
      <c r="A14605" s="1" t="str">
        <f>HYPERLINK("http://www.rosaceae.org/Prunus/Prunus_persica/p.persica_gdr_reftransV1_0002997","p.persica_gdr_reftransV1_0002997")</f>
        <v>p.persica_gdr_reftransV1_0002997</v>
      </c>
      <c r="B14605" s="3">
        <v>852</v>
      </c>
      <c r="C14605" s="1" t="str">
        <f>HYPERLINK("http://www.uniprot.org/uniprot/ELIP1_ARATH","ELIP1_ARATH")</f>
        <v>ELIP1_ARATH</v>
      </c>
      <c r="D14605" t="s">
        <v>586</v>
      </c>
      <c r="E14605" s="3" t="s">
        <v>3</v>
      </c>
      <c r="F14605" s="4">
        <v>1.54E-58</v>
      </c>
      <c r="G14605" s="3">
        <v>487</v>
      </c>
      <c r="H14605" s="3">
        <v>63</v>
      </c>
      <c r="I14605" s="3">
        <v>185</v>
      </c>
      <c r="J14605" s="3">
        <v>177</v>
      </c>
      <c r="K14605" s="3">
        <v>725</v>
      </c>
      <c r="L14605" s="3">
        <v>10</v>
      </c>
      <c r="M14605" s="3">
        <v>193</v>
      </c>
    </row>
    <row r="14606" spans="1:13" x14ac:dyDescent="0.25">
      <c r="A14606" s="1" t="str">
        <f>HYPERLINK("http://www.rosaceae.org/Prunus/Prunus_persica/p.persica_gdr_reftransV1_0003047","p.persica_gdr_reftransV1_0003047")</f>
        <v>p.persica_gdr_reftransV1_0003047</v>
      </c>
      <c r="B14606" s="3">
        <v>1375</v>
      </c>
      <c r="C14606" s="1" t="str">
        <f>HYPERLINK("http://www.uniprot.org/uniprot/CM2_ARATH","CM2_ARATH")</f>
        <v>CM2_ARATH</v>
      </c>
      <c r="D14606" t="s">
        <v>9335</v>
      </c>
      <c r="E14606" s="3" t="s">
        <v>3</v>
      </c>
      <c r="F14606" s="4">
        <v>1.2900000000000001E-71</v>
      </c>
      <c r="G14606" s="3">
        <v>595</v>
      </c>
      <c r="H14606" s="3">
        <v>63</v>
      </c>
      <c r="I14606" s="3">
        <v>178</v>
      </c>
      <c r="J14606" s="3">
        <v>206</v>
      </c>
      <c r="K14606" s="3">
        <v>730</v>
      </c>
      <c r="L14606" s="3">
        <v>9</v>
      </c>
      <c r="M14606" s="3">
        <v>186</v>
      </c>
    </row>
    <row r="14607" spans="1:13" x14ac:dyDescent="0.25">
      <c r="A14607" s="1" t="str">
        <f>HYPERLINK("http://www.rosaceae.org/Prunus/Prunus_persica/p.persica_gdr_reftransV1_0003147","p.persica_gdr_reftransV1_0003147")</f>
        <v>p.persica_gdr_reftransV1_0003147</v>
      </c>
      <c r="B14607" s="3">
        <v>1077</v>
      </c>
      <c r="C14607" s="1" t="str">
        <f>HYPERLINK("http://www.uniprot.org/uniprot/RK5_ARATH","RK5_ARATH")</f>
        <v>RK5_ARATH</v>
      </c>
      <c r="D14607" t="s">
        <v>9538</v>
      </c>
      <c r="E14607" s="3" t="s">
        <v>3</v>
      </c>
      <c r="F14607" s="4">
        <v>2.7999999999999999E-120</v>
      </c>
      <c r="G14607" s="3">
        <v>911</v>
      </c>
      <c r="H14607" s="3">
        <v>72</v>
      </c>
      <c r="I14607" s="3">
        <v>240</v>
      </c>
      <c r="J14607" s="3">
        <v>303</v>
      </c>
      <c r="K14607" s="3">
        <v>1019</v>
      </c>
      <c r="L14607" s="3">
        <v>1</v>
      </c>
      <c r="M14607" s="3">
        <v>236</v>
      </c>
    </row>
    <row r="14608" spans="1:13" x14ac:dyDescent="0.25">
      <c r="A14608" s="1" t="str">
        <f>HYPERLINK("http://www.rosaceae.org/Prunus/Prunus_persica/p.persica_gdr_reftransV1_0003197","p.persica_gdr_reftransV1_0003197")</f>
        <v>p.persica_gdr_reftransV1_0003197</v>
      </c>
      <c r="B14608" s="3">
        <v>3443</v>
      </c>
      <c r="C14608" s="1" t="str">
        <f>HYPERLINK("http://www.uniprot.org/uniprot/CHR4_ARATH","CHR4_ARATH")</f>
        <v>CHR4_ARATH</v>
      </c>
      <c r="D14608" t="s">
        <v>534</v>
      </c>
      <c r="E14608" s="3" t="s">
        <v>3</v>
      </c>
      <c r="F14608" s="4">
        <v>2.3300000000000002E-13</v>
      </c>
      <c r="G14608" s="3">
        <v>193</v>
      </c>
      <c r="H14608" s="3">
        <v>58</v>
      </c>
      <c r="I14608" s="3">
        <v>60</v>
      </c>
      <c r="J14608" s="3">
        <v>2180</v>
      </c>
      <c r="K14608" s="3">
        <v>2359</v>
      </c>
      <c r="L14608" s="3">
        <v>1697</v>
      </c>
      <c r="M14608" s="3">
        <v>1756</v>
      </c>
    </row>
    <row r="14609" spans="1:13" x14ac:dyDescent="0.25">
      <c r="A14609" s="1" t="str">
        <f>HYPERLINK("http://www.rosaceae.org/Prunus/Prunus_persica/p.persica_gdr_reftransV1_0003247","p.persica_gdr_reftransV1_0003247")</f>
        <v>p.persica_gdr_reftransV1_0003247</v>
      </c>
      <c r="B14609" s="3">
        <v>459</v>
      </c>
      <c r="C14609" s="1" t="str">
        <f>HYPERLINK("http://www.uniprot.org/uniprot/GEL1_ASPFU","GEL1_ASPFU")</f>
        <v>GEL1_ASPFU</v>
      </c>
      <c r="D14609" t="s">
        <v>9539</v>
      </c>
      <c r="E14609" s="3" t="s">
        <v>4665</v>
      </c>
      <c r="F14609" s="4">
        <v>1.8999999999999998E-74</v>
      </c>
      <c r="G14609" s="3">
        <v>600</v>
      </c>
      <c r="H14609" s="3">
        <v>73</v>
      </c>
      <c r="I14609" s="3">
        <v>154</v>
      </c>
      <c r="J14609" s="3">
        <v>1</v>
      </c>
      <c r="K14609" s="3">
        <v>459</v>
      </c>
      <c r="L14609" s="3">
        <v>91</v>
      </c>
      <c r="M14609" s="3">
        <v>243</v>
      </c>
    </row>
    <row r="14610" spans="1:13" x14ac:dyDescent="0.25">
      <c r="A14610" s="1" t="str">
        <f>HYPERLINK("http://www.rosaceae.org/Prunus/Prunus_persica/p.persica_gdr_reftransV1_0003397","p.persica_gdr_reftransV1_0003397")</f>
        <v>p.persica_gdr_reftransV1_0003397</v>
      </c>
      <c r="B14610" s="3">
        <v>1401</v>
      </c>
      <c r="C14610" s="1" t="str">
        <f>HYPERLINK("http://www.uniprot.org/uniprot/CCT14_ARATH","CCT14_ARATH")</f>
        <v>CCT14_ARATH</v>
      </c>
      <c r="D14610" t="s">
        <v>9540</v>
      </c>
      <c r="E14610" s="3" t="s">
        <v>3</v>
      </c>
      <c r="F14610" s="4">
        <v>1.2599999999999999E-62</v>
      </c>
      <c r="G14610" s="3">
        <v>555</v>
      </c>
      <c r="H14610" s="3">
        <v>47</v>
      </c>
      <c r="I14610" s="3">
        <v>259</v>
      </c>
      <c r="J14610" s="3">
        <v>313</v>
      </c>
      <c r="K14610" s="3">
        <v>1083</v>
      </c>
      <c r="L14610" s="3">
        <v>12</v>
      </c>
      <c r="M14610" s="3">
        <v>270</v>
      </c>
    </row>
    <row r="14611" spans="1:13" x14ac:dyDescent="0.25">
      <c r="A14611" s="1" t="str">
        <f>HYPERLINK("http://www.rosaceae.org/Prunus/Prunus_persica/p.persica_gdr_reftransV1_0003447","p.persica_gdr_reftransV1_0003447")</f>
        <v>p.persica_gdr_reftransV1_0003447</v>
      </c>
      <c r="B14611" s="3">
        <v>1484</v>
      </c>
      <c r="C14611" s="1" t="str">
        <f>HYPERLINK("http://www.uniprot.org/uniprot/DBR_TOBAC","DBR_TOBAC")</f>
        <v>DBR_TOBAC</v>
      </c>
      <c r="D14611" t="s">
        <v>199</v>
      </c>
      <c r="E14611" s="3" t="s">
        <v>200</v>
      </c>
      <c r="F14611" s="4">
        <v>0</v>
      </c>
      <c r="G14611" s="3">
        <v>1419</v>
      </c>
      <c r="H14611" s="3">
        <v>77</v>
      </c>
      <c r="I14611" s="3">
        <v>342</v>
      </c>
      <c r="J14611" s="3">
        <v>260</v>
      </c>
      <c r="K14611" s="3">
        <v>1285</v>
      </c>
      <c r="L14611" s="3">
        <v>5</v>
      </c>
      <c r="M14611" s="3">
        <v>343</v>
      </c>
    </row>
    <row r="14612" spans="1:13" x14ac:dyDescent="0.25">
      <c r="A14612" s="1" t="str">
        <f>HYPERLINK("http://www.rosaceae.org/Prunus/Prunus_persica/p.persica_gdr_reftransV1_0003497","p.persica_gdr_reftransV1_0003497")</f>
        <v>p.persica_gdr_reftransV1_0003497</v>
      </c>
      <c r="B14612" s="3">
        <v>481</v>
      </c>
      <c r="C14612" s="1" t="str">
        <f>HYPERLINK("http://www.uniprot.org/uniprot/GEL3_ASPFC","GEL3_ASPFC")</f>
        <v>GEL3_ASPFC</v>
      </c>
      <c r="D14612" t="s">
        <v>9541</v>
      </c>
      <c r="E14612" s="3" t="s">
        <v>4665</v>
      </c>
      <c r="F14612" s="4">
        <v>2.9400000000000001E-35</v>
      </c>
      <c r="G14612" s="3">
        <v>333</v>
      </c>
      <c r="H14612" s="3">
        <v>45</v>
      </c>
      <c r="I14612" s="3">
        <v>146</v>
      </c>
      <c r="J14612" s="3">
        <v>6</v>
      </c>
      <c r="K14612" s="3">
        <v>437</v>
      </c>
      <c r="L14612" s="3">
        <v>323</v>
      </c>
      <c r="M14612" s="3">
        <v>468</v>
      </c>
    </row>
    <row r="14613" spans="1:13" x14ac:dyDescent="0.25">
      <c r="A14613" s="1" t="str">
        <f>HYPERLINK("http://www.rosaceae.org/Prunus/Prunus_persica/p.persica_gdr_reftransV1_0003547","p.persica_gdr_reftransV1_0003547")</f>
        <v>p.persica_gdr_reftransV1_0003547</v>
      </c>
      <c r="B14613" s="3">
        <v>506</v>
      </c>
      <c r="C14613" s="1" t="str">
        <f>HYPERLINK("http://www.uniprot.org/uniprot/PAP13_ARATH","PAP13_ARATH")</f>
        <v>PAP13_ARATH</v>
      </c>
      <c r="D14613" t="s">
        <v>1019</v>
      </c>
      <c r="E14613" s="3" t="s">
        <v>3</v>
      </c>
      <c r="F14613" s="4">
        <v>2.71E-40</v>
      </c>
      <c r="G14613" s="3">
        <v>361</v>
      </c>
      <c r="H14613" s="3">
        <v>69</v>
      </c>
      <c r="I14613" s="3">
        <v>121</v>
      </c>
      <c r="J14613" s="3">
        <v>26</v>
      </c>
      <c r="K14613" s="3">
        <v>388</v>
      </c>
      <c r="L14613" s="3">
        <v>180</v>
      </c>
      <c r="M14613" s="3">
        <v>299</v>
      </c>
    </row>
    <row r="14614" spans="1:13" x14ac:dyDescent="0.25">
      <c r="A14614" s="1" t="str">
        <f>HYPERLINK("http://www.rosaceae.org/Prunus/Prunus_persica/p.persica_gdr_reftransV1_0003647","p.persica_gdr_reftransV1_0003647")</f>
        <v>p.persica_gdr_reftransV1_0003647</v>
      </c>
      <c r="B14614" s="3">
        <v>1246</v>
      </c>
      <c r="C14614" s="1" t="str">
        <f>HYPERLINK("http://www.uniprot.org/uniprot/ECAP_SOLLC","ECAP_SOLLC")</f>
        <v>ECAP_SOLLC</v>
      </c>
      <c r="D14614" t="s">
        <v>2716</v>
      </c>
      <c r="E14614" s="3" t="s">
        <v>64</v>
      </c>
      <c r="F14614" s="4">
        <v>0</v>
      </c>
      <c r="G14614" s="3">
        <v>1440</v>
      </c>
      <c r="H14614" s="3">
        <v>79</v>
      </c>
      <c r="I14614" s="3">
        <v>335</v>
      </c>
      <c r="J14614" s="3">
        <v>21</v>
      </c>
      <c r="K14614" s="3">
        <v>1025</v>
      </c>
      <c r="L14614" s="3">
        <v>419</v>
      </c>
      <c r="M14614" s="3">
        <v>753</v>
      </c>
    </row>
    <row r="14615" spans="1:13" x14ac:dyDescent="0.25">
      <c r="A14615" s="1" t="str">
        <f>HYPERLINK("http://www.rosaceae.org/Prunus/Prunus_persica/p.persica_gdr_reftransV1_0003897","p.persica_gdr_reftransV1_0003897")</f>
        <v>p.persica_gdr_reftransV1_0003897</v>
      </c>
      <c r="B14615" s="3">
        <v>1608</v>
      </c>
      <c r="C14615" s="1" t="str">
        <f>HYPERLINK("http://www.uniprot.org/uniprot/idH5_ARATH","idH5_ARATH")</f>
        <v>idH5_ARATH</v>
      </c>
      <c r="D14615" t="s">
        <v>8470</v>
      </c>
      <c r="E14615" s="3" t="s">
        <v>3</v>
      </c>
      <c r="F14615" s="4">
        <v>0</v>
      </c>
      <c r="G14615" s="3">
        <v>1674</v>
      </c>
      <c r="H14615" s="3">
        <v>84</v>
      </c>
      <c r="I14615" s="3">
        <v>379</v>
      </c>
      <c r="J14615" s="3">
        <v>394</v>
      </c>
      <c r="K14615" s="3">
        <v>1530</v>
      </c>
      <c r="L14615" s="3">
        <v>3</v>
      </c>
      <c r="M14615" s="3">
        <v>374</v>
      </c>
    </row>
    <row r="14616" spans="1:13" x14ac:dyDescent="0.25">
      <c r="A14616" s="1" t="str">
        <f>HYPERLINK("http://www.rosaceae.org/Prunus/Prunus_persica/p.persica_gdr_reftransV1_0004047","p.persica_gdr_reftransV1_0004047")</f>
        <v>p.persica_gdr_reftransV1_0004047</v>
      </c>
      <c r="B14616" s="3">
        <v>924</v>
      </c>
      <c r="C14616" s="1" t="str">
        <f>HYPERLINK("http://www.uniprot.org/uniprot/GSTU8_ARATH","GSTU8_ARATH")</f>
        <v>GSTU8_ARATH</v>
      </c>
      <c r="D14616" t="s">
        <v>9542</v>
      </c>
      <c r="E14616" s="3" t="s">
        <v>3</v>
      </c>
      <c r="F14616" s="4">
        <v>2.9500000000000001E-73</v>
      </c>
      <c r="G14616" s="3">
        <v>590</v>
      </c>
      <c r="H14616" s="3">
        <v>52</v>
      </c>
      <c r="I14616" s="3">
        <v>220</v>
      </c>
      <c r="J14616" s="3">
        <v>40</v>
      </c>
      <c r="K14616" s="3">
        <v>687</v>
      </c>
      <c r="L14616" s="3">
        <v>5</v>
      </c>
      <c r="M14616" s="3">
        <v>224</v>
      </c>
    </row>
    <row r="14617" spans="1:13" x14ac:dyDescent="0.25">
      <c r="A14617" s="1" t="str">
        <f>HYPERLINK("http://www.rosaceae.org/Prunus/Prunus_persica/p.persica_gdr_reftransV1_0004147","p.persica_gdr_reftransV1_0004147")</f>
        <v>p.persica_gdr_reftransV1_0004147</v>
      </c>
      <c r="B14617" s="3">
        <v>3255</v>
      </c>
      <c r="C14617" s="1" t="str">
        <f>HYPERLINK("http://www.uniprot.org/uniprot/RBG2_ARATH","RBG2_ARATH")</f>
        <v>RBG2_ARATH</v>
      </c>
      <c r="D14617" t="s">
        <v>4734</v>
      </c>
      <c r="E14617" s="3" t="s">
        <v>3</v>
      </c>
      <c r="F14617" s="4">
        <v>4.0900000000000002E-7</v>
      </c>
      <c r="G14617" s="3">
        <v>131</v>
      </c>
      <c r="H14617" s="3">
        <v>39</v>
      </c>
      <c r="I14617" s="3">
        <v>74</v>
      </c>
      <c r="J14617" s="3">
        <v>1006</v>
      </c>
      <c r="K14617" s="3">
        <v>1227</v>
      </c>
      <c r="L14617" s="3">
        <v>35</v>
      </c>
      <c r="M14617" s="3">
        <v>108</v>
      </c>
    </row>
    <row r="14618" spans="1:13" x14ac:dyDescent="0.25">
      <c r="A14618" s="1" t="str">
        <f>HYPERLINK("http://www.rosaceae.org/Prunus/Prunus_persica/p.persica_gdr_reftransV1_0004347","p.persica_gdr_reftransV1_0004347")</f>
        <v>p.persica_gdr_reftransV1_0004347</v>
      </c>
      <c r="B14618" s="3">
        <v>1947</v>
      </c>
      <c r="C14618" s="1" t="str">
        <f>HYPERLINK("http://www.uniprot.org/uniprot/NRAM2_ARATH","NRAM2_ARATH")</f>
        <v>NRAM2_ARATH</v>
      </c>
      <c r="D14618" t="s">
        <v>6910</v>
      </c>
      <c r="E14618" s="3" t="s">
        <v>3</v>
      </c>
      <c r="F14618" s="4">
        <v>6.3100000000000002E-161</v>
      </c>
      <c r="G14618" s="3">
        <v>1235</v>
      </c>
      <c r="H14618" s="3">
        <v>85</v>
      </c>
      <c r="I14618" s="3">
        <v>272</v>
      </c>
      <c r="J14618" s="3">
        <v>607</v>
      </c>
      <c r="K14618" s="3">
        <v>1422</v>
      </c>
      <c r="L14618" s="3">
        <v>236</v>
      </c>
      <c r="M14618" s="3">
        <v>507</v>
      </c>
    </row>
    <row r="14619" spans="1:13" x14ac:dyDescent="0.25">
      <c r="A14619" s="1" t="str">
        <f>HYPERLINK("http://www.rosaceae.org/Prunus/Prunus_persica/p.persica_gdr_reftransV1_0004397","p.persica_gdr_reftransV1_0004397")</f>
        <v>p.persica_gdr_reftransV1_0004397</v>
      </c>
      <c r="B14619" s="3">
        <v>1046</v>
      </c>
      <c r="C14619" s="1" t="str">
        <f>HYPERLINK("http://www.uniprot.org/uniprot/PP316_ARATH","PP316_ARATH")</f>
        <v>PP316_ARATH</v>
      </c>
      <c r="D14619" t="s">
        <v>191</v>
      </c>
      <c r="E14619" s="3" t="s">
        <v>3</v>
      </c>
      <c r="F14619" s="4">
        <v>4.16E-41</v>
      </c>
      <c r="G14619" s="3">
        <v>395</v>
      </c>
      <c r="H14619" s="3">
        <v>42</v>
      </c>
      <c r="I14619" s="3">
        <v>172</v>
      </c>
      <c r="J14619" s="3">
        <v>1</v>
      </c>
      <c r="K14619" s="3">
        <v>516</v>
      </c>
      <c r="L14619" s="3">
        <v>364</v>
      </c>
      <c r="M14619" s="3">
        <v>534</v>
      </c>
    </row>
    <row r="14620" spans="1:13" x14ac:dyDescent="0.25">
      <c r="A14620" s="1" t="str">
        <f>HYPERLINK("http://www.rosaceae.org/Prunus/Prunus_persica/p.persica_gdr_reftransV1_0004447","p.persica_gdr_reftransV1_0004447")</f>
        <v>p.persica_gdr_reftransV1_0004447</v>
      </c>
      <c r="B14620" s="3">
        <v>1158</v>
      </c>
      <c r="C14620" s="1" t="str">
        <f>HYPERLINK("http://www.uniprot.org/uniprot/CAPZB_ARATH","CAPZB_ARATH")</f>
        <v>CAPZB_ARATH</v>
      </c>
      <c r="D14620" t="s">
        <v>7420</v>
      </c>
      <c r="E14620" s="3" t="s">
        <v>3</v>
      </c>
      <c r="F14620" s="4">
        <v>1.14E-124</v>
      </c>
      <c r="G14620" s="3">
        <v>942</v>
      </c>
      <c r="H14620" s="3">
        <v>82</v>
      </c>
      <c r="I14620" s="3">
        <v>214</v>
      </c>
      <c r="J14620" s="3">
        <v>327</v>
      </c>
      <c r="K14620" s="3">
        <v>965</v>
      </c>
      <c r="L14620" s="3">
        <v>43</v>
      </c>
      <c r="M14620" s="3">
        <v>256</v>
      </c>
    </row>
    <row r="14621" spans="1:13" x14ac:dyDescent="0.25">
      <c r="A14621" s="1" t="str">
        <f>HYPERLINK("http://www.rosaceae.org/Prunus/Prunus_persica/p.persica_gdr_reftransV1_0004897","p.persica_gdr_reftransV1_0004897")</f>
        <v>p.persica_gdr_reftransV1_0004897</v>
      </c>
      <c r="B14621" s="3">
        <v>1450</v>
      </c>
      <c r="C14621" s="1" t="str">
        <f>HYPERLINK("http://www.uniprot.org/uniprot/DHLA_XANFL","DHLA_XANFL")</f>
        <v>DHLA_XANFL</v>
      </c>
      <c r="D14621" t="s">
        <v>9543</v>
      </c>
      <c r="E14621" s="3" t="s">
        <v>9544</v>
      </c>
      <c r="F14621" s="4">
        <v>1.8800000000000001E-12</v>
      </c>
      <c r="G14621" s="3">
        <v>174</v>
      </c>
      <c r="H14621" s="3">
        <v>30</v>
      </c>
      <c r="I14621" s="3">
        <v>276</v>
      </c>
      <c r="J14621" s="3">
        <v>252</v>
      </c>
      <c r="K14621" s="3">
        <v>1004</v>
      </c>
      <c r="L14621" s="3">
        <v>51</v>
      </c>
      <c r="M14621" s="3">
        <v>306</v>
      </c>
    </row>
    <row r="14622" spans="1:13" x14ac:dyDescent="0.25">
      <c r="A14622" s="1" t="str">
        <f>HYPERLINK("http://www.rosaceae.org/Prunus/Prunus_persica/p.persica_gdr_reftransV1_0004947","p.persica_gdr_reftransV1_0004947")</f>
        <v>p.persica_gdr_reftransV1_0004947</v>
      </c>
      <c r="B14622" s="3">
        <v>1443</v>
      </c>
      <c r="C14622" s="1" t="str">
        <f>HYPERLINK("http://www.uniprot.org/uniprot/ITPK3_ARATH","ITPK3_ARATH")</f>
        <v>ITPK3_ARATH</v>
      </c>
      <c r="D14622" t="s">
        <v>3287</v>
      </c>
      <c r="E14622" s="3" t="s">
        <v>3</v>
      </c>
      <c r="F14622" s="4">
        <v>1.6600000000000001E-143</v>
      </c>
      <c r="G14622" s="3">
        <v>1086</v>
      </c>
      <c r="H14622" s="3">
        <v>78</v>
      </c>
      <c r="I14622" s="3">
        <v>307</v>
      </c>
      <c r="J14622" s="3">
        <v>231</v>
      </c>
      <c r="K14622" s="3">
        <v>1151</v>
      </c>
      <c r="L14622" s="3">
        <v>41</v>
      </c>
      <c r="M14622" s="3">
        <v>347</v>
      </c>
    </row>
    <row r="14623" spans="1:13" x14ac:dyDescent="0.25">
      <c r="A14623" s="1" t="str">
        <f>HYPERLINK("http://www.rosaceae.org/Prunus/Prunus_persica/p.persica_gdr_reftransV1_0005147","p.persica_gdr_reftransV1_0005147")</f>
        <v>p.persica_gdr_reftransV1_0005147</v>
      </c>
      <c r="B14623" s="3">
        <v>1831</v>
      </c>
      <c r="C14623" s="1" t="str">
        <f>HYPERLINK("http://www.uniprot.org/uniprot/SCP49_ARATH","SCP49_ARATH")</f>
        <v>SCP49_ARATH</v>
      </c>
      <c r="D14623" t="s">
        <v>9545</v>
      </c>
      <c r="E14623" s="3" t="s">
        <v>3</v>
      </c>
      <c r="F14623" s="4">
        <v>0</v>
      </c>
      <c r="G14623" s="3">
        <v>1900</v>
      </c>
      <c r="H14623" s="3">
        <v>70</v>
      </c>
      <c r="I14623" s="3">
        <v>482</v>
      </c>
      <c r="J14623" s="3">
        <v>226</v>
      </c>
      <c r="K14623" s="3">
        <v>1647</v>
      </c>
      <c r="L14623" s="3">
        <v>35</v>
      </c>
      <c r="M14623" s="3">
        <v>516</v>
      </c>
    </row>
    <row r="14624" spans="1:13" x14ac:dyDescent="0.25">
      <c r="A14624" s="1" t="str">
        <f>HYPERLINK("http://www.rosaceae.org/Prunus/Prunus_persica/p.persica_gdr_reftransV1_0005197","p.persica_gdr_reftransV1_0005197")</f>
        <v>p.persica_gdr_reftransV1_0005197</v>
      </c>
      <c r="B14624" s="3">
        <v>1108</v>
      </c>
      <c r="C14624" s="1" t="str">
        <f>HYPERLINK("http://www.uniprot.org/uniprot/SBT16_ARATH","SBT16_ARATH")</f>
        <v>SBT16_ARATH</v>
      </c>
      <c r="D14624" t="s">
        <v>3012</v>
      </c>
      <c r="E14624" s="3" t="s">
        <v>3</v>
      </c>
      <c r="F14624" s="4">
        <v>2.95E-58</v>
      </c>
      <c r="G14624" s="3">
        <v>525</v>
      </c>
      <c r="H14624" s="3">
        <v>44</v>
      </c>
      <c r="I14624" s="3">
        <v>272</v>
      </c>
      <c r="J14624" s="3">
        <v>166</v>
      </c>
      <c r="K14624" s="3">
        <v>951</v>
      </c>
      <c r="L14624" s="3">
        <v>496</v>
      </c>
      <c r="M14624" s="3">
        <v>761</v>
      </c>
    </row>
    <row r="14625" spans="1:13" x14ac:dyDescent="0.25">
      <c r="A14625" s="1" t="str">
        <f>HYPERLINK("http://www.rosaceae.org/Prunus/Prunus_persica/p.persica_gdr_reftransV1_0005347","p.persica_gdr_reftransV1_0005347")</f>
        <v>p.persica_gdr_reftransV1_0005347</v>
      </c>
      <c r="B14625" s="3">
        <v>1518</v>
      </c>
      <c r="C14625" s="1" t="str">
        <f>HYPERLINK("http://www.uniprot.org/uniprot/UBI4P_NICSY","UBI4P_NICSY")</f>
        <v>UBI4P_NICSY</v>
      </c>
      <c r="D14625" t="s">
        <v>9546</v>
      </c>
      <c r="E14625" s="3" t="s">
        <v>495</v>
      </c>
      <c r="F14625" s="4">
        <v>0</v>
      </c>
      <c r="G14625" s="3">
        <v>1835</v>
      </c>
      <c r="H14625" s="3">
        <v>100</v>
      </c>
      <c r="I14625" s="3">
        <v>358</v>
      </c>
      <c r="J14625" s="3">
        <v>445</v>
      </c>
      <c r="K14625" s="3">
        <v>1518</v>
      </c>
      <c r="L14625" s="3">
        <v>20</v>
      </c>
      <c r="M14625" s="3">
        <v>377</v>
      </c>
    </row>
    <row r="14626" spans="1:13" x14ac:dyDescent="0.25">
      <c r="A14626" s="1" t="str">
        <f>HYPERLINK("http://www.rosaceae.org/Prunus/Prunus_persica/p.persica_gdr_reftransV1_0005397","p.persica_gdr_reftransV1_0005397")</f>
        <v>p.persica_gdr_reftransV1_0005397</v>
      </c>
      <c r="B14626" s="3">
        <v>804</v>
      </c>
      <c r="C14626" s="1" t="str">
        <f>HYPERLINK("http://www.uniprot.org/uniprot/CAR4_ARATH","CAR4_ARATH")</f>
        <v>CAR4_ARATH</v>
      </c>
      <c r="D14626" t="s">
        <v>2424</v>
      </c>
      <c r="E14626" s="3" t="s">
        <v>3</v>
      </c>
      <c r="F14626" s="4">
        <v>4.2799999999999998E-70</v>
      </c>
      <c r="G14626" s="3">
        <v>561</v>
      </c>
      <c r="H14626" s="3">
        <v>70</v>
      </c>
      <c r="I14626" s="3">
        <v>165</v>
      </c>
      <c r="J14626" s="3">
        <v>125</v>
      </c>
      <c r="K14626" s="3">
        <v>619</v>
      </c>
      <c r="L14626" s="3">
        <v>13</v>
      </c>
      <c r="M14626" s="3">
        <v>177</v>
      </c>
    </row>
    <row r="14627" spans="1:13" x14ac:dyDescent="0.25">
      <c r="A14627" s="1" t="str">
        <f>HYPERLINK("http://www.rosaceae.org/Prunus/Prunus_persica/p.persica_gdr_reftransV1_0005597","p.persica_gdr_reftransV1_0005597")</f>
        <v>p.persica_gdr_reftransV1_0005597</v>
      </c>
      <c r="B14627" s="3">
        <v>404</v>
      </c>
      <c r="C14627" s="1" t="str">
        <f>HYPERLINK("http://www.uniprot.org/uniprot/TMVRN_NICGU","TMVRN_NICGU")</f>
        <v>TMVRN_NICGU</v>
      </c>
      <c r="D14627" t="s">
        <v>151</v>
      </c>
      <c r="E14627" s="3" t="s">
        <v>152</v>
      </c>
      <c r="F14627" s="4">
        <v>2.7900000000000001E-26</v>
      </c>
      <c r="G14627" s="3">
        <v>270</v>
      </c>
      <c r="H14627" s="3">
        <v>46</v>
      </c>
      <c r="I14627" s="3">
        <v>134</v>
      </c>
      <c r="J14627" s="3">
        <v>3</v>
      </c>
      <c r="K14627" s="3">
        <v>404</v>
      </c>
      <c r="L14627" s="3">
        <v>322</v>
      </c>
      <c r="M14627" s="3">
        <v>453</v>
      </c>
    </row>
    <row r="14628" spans="1:13" x14ac:dyDescent="0.25">
      <c r="A14628" s="1" t="str">
        <f>HYPERLINK("http://www.rosaceae.org/Prunus/Prunus_persica/p.persica_gdr_reftransV1_0005747","p.persica_gdr_reftransV1_0005747")</f>
        <v>p.persica_gdr_reftransV1_0005747</v>
      </c>
      <c r="B14628" s="3">
        <v>691</v>
      </c>
      <c r="C14628" s="1" t="str">
        <f>HYPERLINK("http://www.uniprot.org/uniprot/CAMT3_ARATH","CAMT3_ARATH")</f>
        <v>CAMT3_ARATH</v>
      </c>
      <c r="D14628" t="s">
        <v>2685</v>
      </c>
      <c r="E14628" s="3" t="s">
        <v>3</v>
      </c>
      <c r="F14628" s="4">
        <v>4.0699999999999999E-73</v>
      </c>
      <c r="G14628" s="3">
        <v>582</v>
      </c>
      <c r="H14628" s="3">
        <v>73</v>
      </c>
      <c r="I14628" s="3">
        <v>150</v>
      </c>
      <c r="J14628" s="3">
        <v>242</v>
      </c>
      <c r="K14628" s="3">
        <v>691</v>
      </c>
      <c r="L14628" s="3">
        <v>9</v>
      </c>
      <c r="M14628" s="3">
        <v>158</v>
      </c>
    </row>
    <row r="14629" spans="1:13" x14ac:dyDescent="0.25">
      <c r="A14629" s="1" t="str">
        <f>HYPERLINK("http://www.rosaceae.org/Prunus/Prunus_persica/p.persica_gdr_reftransV1_0005847","p.persica_gdr_reftransV1_0005847")</f>
        <v>p.persica_gdr_reftransV1_0005847</v>
      </c>
      <c r="B14629" s="3">
        <v>1012</v>
      </c>
      <c r="C14629" s="1" t="str">
        <f>HYPERLINK("http://www.uniprot.org/uniprot/WSD1_ARATH","WSD1_ARATH")</f>
        <v>WSD1_ARATH</v>
      </c>
      <c r="D14629" t="s">
        <v>84</v>
      </c>
      <c r="E14629" s="3" t="s">
        <v>3</v>
      </c>
      <c r="F14629" s="4">
        <v>1.8700000000000001E-18</v>
      </c>
      <c r="G14629" s="3">
        <v>220</v>
      </c>
      <c r="H14629" s="3">
        <v>28</v>
      </c>
      <c r="I14629" s="3">
        <v>242</v>
      </c>
      <c r="J14629" s="3">
        <v>131</v>
      </c>
      <c r="K14629" s="3">
        <v>829</v>
      </c>
      <c r="L14629" s="3">
        <v>227</v>
      </c>
      <c r="M14629" s="3">
        <v>467</v>
      </c>
    </row>
    <row r="14630" spans="1:13" x14ac:dyDescent="0.25">
      <c r="A14630" s="1" t="str">
        <f>HYPERLINK("http://www.rosaceae.org/Prunus/Prunus_persica/p.persica_gdr_reftransV1_0005897","p.persica_gdr_reftransV1_0005897")</f>
        <v>p.persica_gdr_reftransV1_0005897</v>
      </c>
      <c r="B14630" s="3">
        <v>485</v>
      </c>
      <c r="C14630" s="1" t="str">
        <f>HYPERLINK("http://www.uniprot.org/uniprot/CNGC5_ARATH","CNGC5_ARATH")</f>
        <v>CNGC5_ARATH</v>
      </c>
      <c r="D14630" t="s">
        <v>2976</v>
      </c>
      <c r="E14630" s="3" t="s">
        <v>3</v>
      </c>
      <c r="F14630" s="4">
        <v>4.18E-9</v>
      </c>
      <c r="G14630" s="3">
        <v>140</v>
      </c>
      <c r="H14630" s="3">
        <v>39</v>
      </c>
      <c r="I14630" s="3">
        <v>96</v>
      </c>
      <c r="J14630" s="3">
        <v>5</v>
      </c>
      <c r="K14630" s="3">
        <v>292</v>
      </c>
      <c r="L14630" s="3">
        <v>531</v>
      </c>
      <c r="M14630" s="3">
        <v>613</v>
      </c>
    </row>
    <row r="14631" spans="1:13" x14ac:dyDescent="0.25">
      <c r="A14631" s="1" t="str">
        <f>HYPERLINK("http://www.rosaceae.org/Prunus/Prunus_persica/p.persica_gdr_reftransV1_0005947","p.persica_gdr_reftransV1_0005947")</f>
        <v>p.persica_gdr_reftransV1_0005947</v>
      </c>
      <c r="B14631" s="3">
        <v>1063</v>
      </c>
      <c r="C14631" s="1" t="str">
        <f>HYPERLINK("http://www.uniprot.org/uniprot/Y1816_ARATH","Y1816_ARATH")</f>
        <v>Y1816_ARATH</v>
      </c>
      <c r="D14631" t="s">
        <v>3744</v>
      </c>
      <c r="E14631" s="3" t="s">
        <v>3</v>
      </c>
      <c r="F14631" s="4">
        <v>1.7700000000000001E-10</v>
      </c>
      <c r="G14631" s="3">
        <v>153</v>
      </c>
      <c r="H14631" s="3">
        <v>25</v>
      </c>
      <c r="I14631" s="3">
        <v>142</v>
      </c>
      <c r="J14631" s="3">
        <v>224</v>
      </c>
      <c r="K14631" s="3">
        <v>643</v>
      </c>
      <c r="L14631" s="3">
        <v>57</v>
      </c>
      <c r="M14631" s="3">
        <v>197</v>
      </c>
    </row>
    <row r="14632" spans="1:13" x14ac:dyDescent="0.25">
      <c r="A14632" s="1" t="str">
        <f>HYPERLINK("http://www.rosaceae.org/Prunus/Prunus_persica/p.persica_gdr_reftransV1_0005997","p.persica_gdr_reftransV1_0005997")</f>
        <v>p.persica_gdr_reftransV1_0005997</v>
      </c>
      <c r="B14632" s="3">
        <v>7548</v>
      </c>
      <c r="C14632" s="1" t="str">
        <f>HYPERLINK("http://www.uniprot.org/uniprot/RDRP_ACLSP","RDRP_ACLSP")</f>
        <v>RDRP_ACLSP</v>
      </c>
      <c r="D14632" t="s">
        <v>793</v>
      </c>
      <c r="E14632" s="3" t="s">
        <v>794</v>
      </c>
      <c r="F14632" s="4">
        <v>0</v>
      </c>
      <c r="G14632" s="3">
        <v>9059</v>
      </c>
      <c r="H14632" s="3">
        <v>89</v>
      </c>
      <c r="I14632" s="3">
        <v>1884</v>
      </c>
      <c r="J14632" s="3">
        <v>1764</v>
      </c>
      <c r="K14632" s="3">
        <v>7412</v>
      </c>
      <c r="L14632" s="3">
        <v>1</v>
      </c>
      <c r="M14632" s="3">
        <v>1884</v>
      </c>
    </row>
    <row r="14633" spans="1:13" x14ac:dyDescent="0.25">
      <c r="A14633" s="1" t="str">
        <f>HYPERLINK("http://www.rosaceae.org/Prunus/Prunus_persica/p.persica_gdr_reftransV1_0006097","p.persica_gdr_reftransV1_0006097")</f>
        <v>p.persica_gdr_reftransV1_0006097</v>
      </c>
      <c r="B14633" s="3">
        <v>464</v>
      </c>
      <c r="C14633" s="1" t="str">
        <f>HYPERLINK("http://www.uniprot.org/uniprot/ELMOC_DICDI","ELMOC_DICDI")</f>
        <v>ELMOC_DICDI</v>
      </c>
      <c r="D14633" t="s">
        <v>9547</v>
      </c>
      <c r="E14633" s="3" t="s">
        <v>9</v>
      </c>
      <c r="F14633" s="4">
        <v>2.9499999999999998E-7</v>
      </c>
      <c r="G14633" s="3">
        <v>124</v>
      </c>
      <c r="H14633" s="3">
        <v>35</v>
      </c>
      <c r="I14633" s="3">
        <v>89</v>
      </c>
      <c r="J14633" s="3">
        <v>224</v>
      </c>
      <c r="K14633" s="3">
        <v>463</v>
      </c>
      <c r="L14633" s="3">
        <v>453</v>
      </c>
      <c r="M14633" s="3">
        <v>541</v>
      </c>
    </row>
    <row r="14634" spans="1:13" x14ac:dyDescent="0.25">
      <c r="A14634" s="1" t="str">
        <f>HYPERLINK("http://www.rosaceae.org/Prunus/Prunus_persica/p.persica_gdr_reftransV1_0006197","p.persica_gdr_reftransV1_0006197")</f>
        <v>p.persica_gdr_reftransV1_0006197</v>
      </c>
      <c r="B14634" s="3">
        <v>349</v>
      </c>
      <c r="C14634" s="1" t="str">
        <f>HYPERLINK("http://www.uniprot.org/uniprot/BRI1_ARATH","BRI1_ARATH")</f>
        <v>BRI1_ARATH</v>
      </c>
      <c r="D14634" t="s">
        <v>9548</v>
      </c>
      <c r="E14634" s="3" t="s">
        <v>3</v>
      </c>
      <c r="F14634" s="4">
        <v>7.2599999999999999E-23</v>
      </c>
      <c r="G14634" s="3">
        <v>243</v>
      </c>
      <c r="H14634" s="3">
        <v>46</v>
      </c>
      <c r="I14634" s="3">
        <v>111</v>
      </c>
      <c r="J14634" s="3">
        <v>14</v>
      </c>
      <c r="K14634" s="3">
        <v>346</v>
      </c>
      <c r="L14634" s="3">
        <v>659</v>
      </c>
      <c r="M14634" s="3">
        <v>769</v>
      </c>
    </row>
    <row r="14635" spans="1:13" x14ac:dyDescent="0.25">
      <c r="A14635" s="1" t="str">
        <f>HYPERLINK("http://www.rosaceae.org/Prunus/Prunus_persica/p.persica_gdr_reftransV1_0006247","p.persica_gdr_reftransV1_0006247")</f>
        <v>p.persica_gdr_reftransV1_0006247</v>
      </c>
      <c r="B14635" s="3">
        <v>457</v>
      </c>
      <c r="C14635" s="1" t="str">
        <f>HYPERLINK("http://www.uniprot.org/uniprot/U90A1_ARATH","U90A1_ARATH")</f>
        <v>U90A1_ARATH</v>
      </c>
      <c r="D14635" t="s">
        <v>9138</v>
      </c>
      <c r="E14635" s="3" t="s">
        <v>3</v>
      </c>
      <c r="F14635" s="4">
        <v>3.6700000000000001E-23</v>
      </c>
      <c r="G14635" s="3">
        <v>244</v>
      </c>
      <c r="H14635" s="3">
        <v>47</v>
      </c>
      <c r="I14635" s="3">
        <v>133</v>
      </c>
      <c r="J14635" s="3">
        <v>76</v>
      </c>
      <c r="K14635" s="3">
        <v>450</v>
      </c>
      <c r="L14635" s="3">
        <v>9</v>
      </c>
      <c r="M14635" s="3">
        <v>135</v>
      </c>
    </row>
    <row r="14636" spans="1:13" x14ac:dyDescent="0.25">
      <c r="A14636" s="1" t="str">
        <f>HYPERLINK("http://www.rosaceae.org/Prunus/Prunus_persica/p.persica_gdr_reftransV1_0006447","p.persica_gdr_reftransV1_0006447")</f>
        <v>p.persica_gdr_reftransV1_0006447</v>
      </c>
      <c r="B14636" s="3">
        <v>809</v>
      </c>
      <c r="C14636" s="1" t="str">
        <f>HYPERLINK("http://www.uniprot.org/uniprot/KATAM_ORYSJ","KATAM_ORYSJ")</f>
        <v>KATAM_ORYSJ</v>
      </c>
      <c r="D14636" t="s">
        <v>1088</v>
      </c>
      <c r="E14636" s="3" t="s">
        <v>38</v>
      </c>
      <c r="F14636" s="4">
        <v>1.9399999999999999E-60</v>
      </c>
      <c r="G14636" s="3">
        <v>526</v>
      </c>
      <c r="H14636" s="3">
        <v>58</v>
      </c>
      <c r="I14636" s="3">
        <v>174</v>
      </c>
      <c r="J14636" s="3">
        <v>5</v>
      </c>
      <c r="K14636" s="3">
        <v>514</v>
      </c>
      <c r="L14636" s="3">
        <v>390</v>
      </c>
      <c r="M14636" s="3">
        <v>562</v>
      </c>
    </row>
    <row r="14637" spans="1:13" x14ac:dyDescent="0.25">
      <c r="A14637" s="1" t="str">
        <f>HYPERLINK("http://www.rosaceae.org/Prunus/Prunus_persica/p.persica_gdr_reftransV1_0006597","p.persica_gdr_reftransV1_0006597")</f>
        <v>p.persica_gdr_reftransV1_0006597</v>
      </c>
      <c r="B14637" s="3">
        <v>2275</v>
      </c>
      <c r="C14637" s="1" t="str">
        <f>HYPERLINK("http://www.uniprot.org/uniprot/SUT33_ARATH","SUT33_ARATH")</f>
        <v>SUT33_ARATH</v>
      </c>
      <c r="D14637" t="s">
        <v>2452</v>
      </c>
      <c r="E14637" s="3" t="s">
        <v>3</v>
      </c>
      <c r="F14637" s="4">
        <v>0</v>
      </c>
      <c r="G14637" s="3">
        <v>2476</v>
      </c>
      <c r="H14637" s="3">
        <v>74</v>
      </c>
      <c r="I14637" s="3">
        <v>624</v>
      </c>
      <c r="J14637" s="3">
        <v>352</v>
      </c>
      <c r="K14637" s="3">
        <v>2217</v>
      </c>
      <c r="L14637" s="3">
        <v>1</v>
      </c>
      <c r="M14637" s="3">
        <v>623</v>
      </c>
    </row>
    <row r="14638" spans="1:13" x14ac:dyDescent="0.25">
      <c r="A14638" s="1" t="str">
        <f>HYPERLINK("http://www.rosaceae.org/Prunus/Prunus_persica/p.persica_gdr_reftransV1_0006647","p.persica_gdr_reftransV1_0006647")</f>
        <v>p.persica_gdr_reftransV1_0006647</v>
      </c>
      <c r="B14638" s="3">
        <v>1233</v>
      </c>
      <c r="C14638" s="1" t="str">
        <f>HYPERLINK("http://www.uniprot.org/uniprot/GAT22_ARATH","GAT22_ARATH")</f>
        <v>GAT22_ARATH</v>
      </c>
      <c r="D14638" t="s">
        <v>9549</v>
      </c>
      <c r="E14638" s="3" t="s">
        <v>3</v>
      </c>
      <c r="F14638" s="4">
        <v>1.7800000000000001E-15</v>
      </c>
      <c r="G14638" s="3">
        <v>198</v>
      </c>
      <c r="H14638" s="3">
        <v>43</v>
      </c>
      <c r="I14638" s="3">
        <v>98</v>
      </c>
      <c r="J14638" s="3">
        <v>474</v>
      </c>
      <c r="K14638" s="3">
        <v>767</v>
      </c>
      <c r="L14638" s="3">
        <v>142</v>
      </c>
      <c r="M14638" s="3">
        <v>228</v>
      </c>
    </row>
    <row r="14639" spans="1:13" x14ac:dyDescent="0.25">
      <c r="A14639" s="1" t="str">
        <f>HYPERLINK("http://www.rosaceae.org/Prunus/Prunus_persica/p.persica_gdr_reftransV1_0006697","p.persica_gdr_reftransV1_0006697")</f>
        <v>p.persica_gdr_reftransV1_0006697</v>
      </c>
      <c r="B14639" s="3">
        <v>493</v>
      </c>
      <c r="C14639" s="1" t="str">
        <f>HYPERLINK("http://www.uniprot.org/uniprot/Y1670_ARATH","Y1670_ARATH")</f>
        <v>Y1670_ARATH</v>
      </c>
      <c r="D14639" t="s">
        <v>3135</v>
      </c>
      <c r="E14639" s="3" t="s">
        <v>3</v>
      </c>
      <c r="F14639" s="4">
        <v>2.4599999999999999E-35</v>
      </c>
      <c r="G14639" s="3">
        <v>340</v>
      </c>
      <c r="H14639" s="3">
        <v>50</v>
      </c>
      <c r="I14639" s="3">
        <v>154</v>
      </c>
      <c r="J14639" s="3">
        <v>1</v>
      </c>
      <c r="K14639" s="3">
        <v>435</v>
      </c>
      <c r="L14639" s="3">
        <v>711</v>
      </c>
      <c r="M14639" s="3">
        <v>862</v>
      </c>
    </row>
    <row r="14640" spans="1:13" x14ac:dyDescent="0.25">
      <c r="A14640" s="1" t="str">
        <f>HYPERLINK("http://www.rosaceae.org/Prunus/Prunus_persica/p.persica_gdr_reftransV1_0006947","p.persica_gdr_reftransV1_0006947")</f>
        <v>p.persica_gdr_reftransV1_0006947</v>
      </c>
      <c r="B14640" s="3">
        <v>536</v>
      </c>
      <c r="C14640" s="1" t="str">
        <f>HYPERLINK("http://www.uniprot.org/uniprot/BGL13_ORYSJ","BGL13_ORYSJ")</f>
        <v>BGL13_ORYSJ</v>
      </c>
      <c r="D14640" t="s">
        <v>1113</v>
      </c>
      <c r="E14640" s="3" t="s">
        <v>38</v>
      </c>
      <c r="F14640" s="4">
        <v>3.9700000000000001E-64</v>
      </c>
      <c r="G14640" s="3">
        <v>537</v>
      </c>
      <c r="H14640" s="3">
        <v>67</v>
      </c>
      <c r="I14640" s="3">
        <v>141</v>
      </c>
      <c r="J14640" s="3">
        <v>113</v>
      </c>
      <c r="K14640" s="3">
        <v>535</v>
      </c>
      <c r="L14640" s="3">
        <v>366</v>
      </c>
      <c r="M14640" s="3">
        <v>506</v>
      </c>
    </row>
    <row r="14641" spans="1:13" x14ac:dyDescent="0.25">
      <c r="A14641" s="1" t="str">
        <f>HYPERLINK("http://www.rosaceae.org/Prunus/Prunus_persica/p.persica_gdr_reftransV1_0007047","p.persica_gdr_reftransV1_0007047")</f>
        <v>p.persica_gdr_reftransV1_0007047</v>
      </c>
      <c r="B14641" s="3">
        <v>2916</v>
      </c>
      <c r="C14641" s="1" t="str">
        <f>HYPERLINK("http://www.uniprot.org/uniprot/C2D61_ARATH","C2D61_ARATH")</f>
        <v>C2D61_ARATH</v>
      </c>
      <c r="D14641" t="s">
        <v>6475</v>
      </c>
      <c r="E14641" s="3" t="s">
        <v>3</v>
      </c>
      <c r="F14641" s="4">
        <v>0</v>
      </c>
      <c r="G14641" s="3">
        <v>1778</v>
      </c>
      <c r="H14641" s="3">
        <v>80</v>
      </c>
      <c r="I14641" s="3">
        <v>399</v>
      </c>
      <c r="J14641" s="3">
        <v>1637</v>
      </c>
      <c r="K14641" s="3">
        <v>2833</v>
      </c>
      <c r="L14641" s="3">
        <v>6</v>
      </c>
      <c r="M14641" s="3">
        <v>403</v>
      </c>
    </row>
    <row r="14642" spans="1:13" x14ac:dyDescent="0.25">
      <c r="A14642" s="1" t="str">
        <f>HYPERLINK("http://www.rosaceae.org/Prunus/Prunus_persica/p.persica_gdr_reftransV1_0007097","p.persica_gdr_reftransV1_0007097")</f>
        <v>p.persica_gdr_reftransV1_0007097</v>
      </c>
      <c r="B14642" s="3">
        <v>494</v>
      </c>
      <c r="C14642" s="1" t="str">
        <f>HYPERLINK("http://www.uniprot.org/uniprot/Y1141_ARATH","Y1141_ARATH")</f>
        <v>Y1141_ARATH</v>
      </c>
      <c r="D14642" t="s">
        <v>2233</v>
      </c>
      <c r="E14642" s="3" t="s">
        <v>3</v>
      </c>
      <c r="F14642" s="4">
        <v>9.3500000000000005E-23</v>
      </c>
      <c r="G14642" s="3">
        <v>246</v>
      </c>
      <c r="H14642" s="3">
        <v>46</v>
      </c>
      <c r="I14642" s="3">
        <v>109</v>
      </c>
      <c r="J14642" s="3">
        <v>107</v>
      </c>
      <c r="K14642" s="3">
        <v>415</v>
      </c>
      <c r="L14642" s="3">
        <v>737</v>
      </c>
      <c r="M14642" s="3">
        <v>845</v>
      </c>
    </row>
    <row r="14643" spans="1:13" x14ac:dyDescent="0.25">
      <c r="A14643" s="1" t="str">
        <f>HYPERLINK("http://www.rosaceae.org/Prunus/Prunus_persica/p.persica_gdr_reftransV1_0007147","p.persica_gdr_reftransV1_0007147")</f>
        <v>p.persica_gdr_reftransV1_0007147</v>
      </c>
      <c r="B14643" s="3">
        <v>1065</v>
      </c>
      <c r="C14643" s="1" t="str">
        <f>HYPERLINK("http://www.uniprot.org/uniprot/EMC4_DANRE","EMC4_DANRE")</f>
        <v>EMC4_DANRE</v>
      </c>
      <c r="D14643" t="s">
        <v>2391</v>
      </c>
      <c r="E14643" s="3" t="s">
        <v>704</v>
      </c>
      <c r="F14643" s="4">
        <v>2.1199999999999999E-23</v>
      </c>
      <c r="G14643" s="3">
        <v>248</v>
      </c>
      <c r="H14643" s="3">
        <v>35</v>
      </c>
      <c r="I14643" s="3">
        <v>171</v>
      </c>
      <c r="J14643" s="3">
        <v>324</v>
      </c>
      <c r="K14643" s="3">
        <v>818</v>
      </c>
      <c r="L14643" s="3">
        <v>24</v>
      </c>
      <c r="M14643" s="3">
        <v>187</v>
      </c>
    </row>
    <row r="14644" spans="1:13" x14ac:dyDescent="0.25">
      <c r="A14644" s="1" t="str">
        <f>HYPERLINK("http://www.rosaceae.org/Prunus/Prunus_persica/p.persica_gdr_reftransV1_0007197","p.persica_gdr_reftransV1_0007197")</f>
        <v>p.persica_gdr_reftransV1_0007197</v>
      </c>
      <c r="B14644" s="3">
        <v>3544</v>
      </c>
      <c r="C14644" s="1" t="str">
        <f>HYPERLINK("http://www.uniprot.org/uniprot/DRL21_ARATH","DRL21_ARATH")</f>
        <v>DRL21_ARATH</v>
      </c>
      <c r="D14644" t="s">
        <v>3610</v>
      </c>
      <c r="E14644" s="3" t="s">
        <v>3</v>
      </c>
      <c r="F14644" s="4">
        <v>2.64E-99</v>
      </c>
      <c r="G14644" s="3">
        <v>899</v>
      </c>
      <c r="H14644" s="3">
        <v>41</v>
      </c>
      <c r="I14644" s="3">
        <v>493</v>
      </c>
      <c r="J14644" s="3">
        <v>2117</v>
      </c>
      <c r="K14644" s="3">
        <v>3544</v>
      </c>
      <c r="L14644" s="3">
        <v>418</v>
      </c>
      <c r="M14644" s="3">
        <v>905</v>
      </c>
    </row>
    <row r="14645" spans="1:13" x14ac:dyDescent="0.25">
      <c r="A14645" s="1" t="str">
        <f>HYPERLINK("http://www.rosaceae.org/Prunus/Prunus_persica/p.persica_gdr_reftransV1_0007347","p.persica_gdr_reftransV1_0007347")</f>
        <v>p.persica_gdr_reftransV1_0007347</v>
      </c>
      <c r="B14645" s="3">
        <v>685</v>
      </c>
      <c r="C14645" s="1" t="str">
        <f>HYPERLINK("http://www.uniprot.org/uniprot/CNBL4_ARATH","CNBL4_ARATH")</f>
        <v>CNBL4_ARATH</v>
      </c>
      <c r="D14645" t="s">
        <v>3023</v>
      </c>
      <c r="E14645" s="3" t="s">
        <v>3</v>
      </c>
      <c r="F14645" s="4">
        <v>2.62E-40</v>
      </c>
      <c r="G14645" s="3">
        <v>361</v>
      </c>
      <c r="H14645" s="3">
        <v>59</v>
      </c>
      <c r="I14645" s="3">
        <v>140</v>
      </c>
      <c r="J14645" s="3">
        <v>151</v>
      </c>
      <c r="K14645" s="3">
        <v>567</v>
      </c>
      <c r="L14645" s="3">
        <v>1</v>
      </c>
      <c r="M14645" s="3">
        <v>136</v>
      </c>
    </row>
    <row r="14646" spans="1:13" x14ac:dyDescent="0.25">
      <c r="A14646" s="1" t="str">
        <f>HYPERLINK("http://www.rosaceae.org/Prunus/Prunus_persica/p.persica_gdr_reftransV1_0007547","p.persica_gdr_reftransV1_0007547")</f>
        <v>p.persica_gdr_reftransV1_0007547</v>
      </c>
      <c r="B14646" s="3">
        <v>2166</v>
      </c>
      <c r="C14646" s="1" t="str">
        <f>HYPERLINK("http://www.uniprot.org/uniprot/STRAP_DICDI","STRAP_DICDI")</f>
        <v>STRAP_DICDI</v>
      </c>
      <c r="D14646" t="s">
        <v>9550</v>
      </c>
      <c r="E14646" s="3" t="s">
        <v>9</v>
      </c>
      <c r="F14646" s="4">
        <v>1.48E-72</v>
      </c>
      <c r="G14646" s="3">
        <v>621</v>
      </c>
      <c r="H14646" s="3">
        <v>51</v>
      </c>
      <c r="I14646" s="3">
        <v>256</v>
      </c>
      <c r="J14646" s="3">
        <v>949</v>
      </c>
      <c r="K14646" s="3">
        <v>1713</v>
      </c>
      <c r="L14646" s="3">
        <v>4</v>
      </c>
      <c r="M14646" s="3">
        <v>256</v>
      </c>
    </row>
    <row r="14647" spans="1:13" x14ac:dyDescent="0.25">
      <c r="A14647" s="1" t="str">
        <f>HYPERLINK("http://www.rosaceae.org/Prunus/Prunus_persica/p.persica_gdr_reftransV1_0007597","p.persica_gdr_reftransV1_0007597")</f>
        <v>p.persica_gdr_reftransV1_0007597</v>
      </c>
      <c r="B14647" s="3">
        <v>3002</v>
      </c>
      <c r="C14647" s="1" t="str">
        <f>HYPERLINK("http://www.uniprot.org/uniprot/INVE_ARATH","INVE_ARATH")</f>
        <v>INVE_ARATH</v>
      </c>
      <c r="D14647" t="s">
        <v>3007</v>
      </c>
      <c r="E14647" s="3" t="s">
        <v>3</v>
      </c>
      <c r="F14647" s="4">
        <v>2.8299999999999998E-167</v>
      </c>
      <c r="G14647" s="3">
        <v>1316</v>
      </c>
      <c r="H14647" s="3">
        <v>82</v>
      </c>
      <c r="I14647" s="3">
        <v>295</v>
      </c>
      <c r="J14647" s="3">
        <v>366</v>
      </c>
      <c r="K14647" s="3">
        <v>1250</v>
      </c>
      <c r="L14647" s="3">
        <v>323</v>
      </c>
      <c r="M14647" s="3">
        <v>617</v>
      </c>
    </row>
    <row r="14648" spans="1:13" x14ac:dyDescent="0.25">
      <c r="A14648" s="1" t="str">
        <f>HYPERLINK("http://www.rosaceae.org/Prunus/Prunus_persica/p.persica_gdr_reftransV1_0007697","p.persica_gdr_reftransV1_0007697")</f>
        <v>p.persica_gdr_reftransV1_0007697</v>
      </c>
      <c r="B14648" s="3">
        <v>1212</v>
      </c>
      <c r="C14648" s="1" t="str">
        <f>HYPERLINK("http://www.uniprot.org/uniprot/PYR1_ARATH","PYR1_ARATH")</f>
        <v>PYR1_ARATH</v>
      </c>
      <c r="D14648" t="s">
        <v>9551</v>
      </c>
      <c r="E14648" s="3" t="s">
        <v>3</v>
      </c>
      <c r="F14648" s="4">
        <v>7.4700000000000003E-94</v>
      </c>
      <c r="G14648" s="3">
        <v>733</v>
      </c>
      <c r="H14648" s="3">
        <v>72</v>
      </c>
      <c r="I14648" s="3">
        <v>185</v>
      </c>
      <c r="J14648" s="3">
        <v>224</v>
      </c>
      <c r="K14648" s="3">
        <v>769</v>
      </c>
      <c r="L14648" s="3">
        <v>1</v>
      </c>
      <c r="M14648" s="3">
        <v>185</v>
      </c>
    </row>
    <row r="14649" spans="1:13" x14ac:dyDescent="0.25">
      <c r="A14649" s="1" t="str">
        <f>HYPERLINK("http://www.rosaceae.org/Prunus/Prunus_persica/p.persica_gdr_reftransV1_0007847","p.persica_gdr_reftransV1_0007847")</f>
        <v>p.persica_gdr_reftransV1_0007847</v>
      </c>
      <c r="B14649" s="3">
        <v>1499</v>
      </c>
      <c r="C14649" s="1" t="str">
        <f>HYPERLINK("http://www.uniprot.org/uniprot/ADT3_ARATH","ADT3_ARATH")</f>
        <v>ADT3_ARATH</v>
      </c>
      <c r="D14649" t="s">
        <v>2528</v>
      </c>
      <c r="E14649" s="3" t="s">
        <v>3</v>
      </c>
      <c r="F14649" s="4">
        <v>0</v>
      </c>
      <c r="G14649" s="3">
        <v>1470</v>
      </c>
      <c r="H14649" s="3">
        <v>82</v>
      </c>
      <c r="I14649" s="3">
        <v>369</v>
      </c>
      <c r="J14649" s="3">
        <v>88</v>
      </c>
      <c r="K14649" s="3">
        <v>1188</v>
      </c>
      <c r="L14649" s="3">
        <v>2</v>
      </c>
      <c r="M14649" s="3">
        <v>370</v>
      </c>
    </row>
    <row r="14650" spans="1:13" x14ac:dyDescent="0.25">
      <c r="A14650" s="1" t="str">
        <f>HYPERLINK("http://www.rosaceae.org/Prunus/Prunus_persica/p.persica_gdr_reftransV1_0007897","p.persica_gdr_reftransV1_0007897")</f>
        <v>p.persica_gdr_reftransV1_0007897</v>
      </c>
      <c r="B14650" s="3">
        <v>1190</v>
      </c>
      <c r="C14650" s="1" t="str">
        <f>HYPERLINK("http://www.uniprot.org/uniprot/TMX2_XENTR","TMX2_XENTR")</f>
        <v>TMX2_XENTR</v>
      </c>
      <c r="D14650" t="s">
        <v>9552</v>
      </c>
      <c r="E14650" s="3" t="s">
        <v>173</v>
      </c>
      <c r="F14650" s="4">
        <v>5.7399999999999999E-21</v>
      </c>
      <c r="G14650" s="3">
        <v>236</v>
      </c>
      <c r="H14650" s="3">
        <v>30</v>
      </c>
      <c r="I14650" s="3">
        <v>240</v>
      </c>
      <c r="J14650" s="3">
        <v>132</v>
      </c>
      <c r="K14650" s="3">
        <v>830</v>
      </c>
      <c r="L14650" s="3">
        <v>21</v>
      </c>
      <c r="M14650" s="3">
        <v>258</v>
      </c>
    </row>
    <row r="14651" spans="1:13" x14ac:dyDescent="0.25">
      <c r="A14651" s="1" t="str">
        <f>HYPERLINK("http://www.rosaceae.org/Prunus/Prunus_persica/p.persica_gdr_reftransV1_0007947","p.persica_gdr_reftransV1_0007947")</f>
        <v>p.persica_gdr_reftransV1_0007947</v>
      </c>
      <c r="B14651" s="3">
        <v>2210</v>
      </c>
      <c r="C14651" s="1" t="str">
        <f>HYPERLINK("http://www.uniprot.org/uniprot/PKS2_ARATH","PKS2_ARATH")</f>
        <v>PKS2_ARATH</v>
      </c>
      <c r="D14651" t="s">
        <v>9553</v>
      </c>
      <c r="E14651" s="3" t="s">
        <v>3</v>
      </c>
      <c r="F14651" s="4">
        <v>4.0700000000000002E-42</v>
      </c>
      <c r="G14651" s="3">
        <v>412</v>
      </c>
      <c r="H14651" s="3">
        <v>35</v>
      </c>
      <c r="I14651" s="3">
        <v>438</v>
      </c>
      <c r="J14651" s="3">
        <v>333</v>
      </c>
      <c r="K14651" s="3">
        <v>1487</v>
      </c>
      <c r="L14651" s="3">
        <v>68</v>
      </c>
      <c r="M14651" s="3">
        <v>418</v>
      </c>
    </row>
    <row r="14652" spans="1:13" x14ac:dyDescent="0.25">
      <c r="A14652" s="1" t="str">
        <f>HYPERLINK("http://www.rosaceae.org/Prunus/Prunus_persica/p.persica_gdr_reftransV1_0007997","p.persica_gdr_reftransV1_0007997")</f>
        <v>p.persica_gdr_reftransV1_0007997</v>
      </c>
      <c r="B14652" s="3">
        <v>1206</v>
      </c>
      <c r="C14652" s="1" t="str">
        <f>HYPERLINK("http://www.uniprot.org/uniprot/PER4_VITVI","PER4_VITVI")</f>
        <v>PER4_VITVI</v>
      </c>
      <c r="D14652" t="s">
        <v>1069</v>
      </c>
      <c r="E14652" s="3" t="s">
        <v>362</v>
      </c>
      <c r="F14652" s="4">
        <v>1.9800000000000001E-164</v>
      </c>
      <c r="G14652" s="3">
        <v>1213</v>
      </c>
      <c r="H14652" s="3">
        <v>72</v>
      </c>
      <c r="I14652" s="3">
        <v>321</v>
      </c>
      <c r="J14652" s="3">
        <v>201</v>
      </c>
      <c r="K14652" s="3">
        <v>1157</v>
      </c>
      <c r="L14652" s="3">
        <v>1</v>
      </c>
      <c r="M14652" s="3">
        <v>321</v>
      </c>
    </row>
    <row r="14653" spans="1:13" x14ac:dyDescent="0.25">
      <c r="A14653" s="1" t="str">
        <f>HYPERLINK("http://www.rosaceae.org/Prunus/Prunus_persica/p.persica_gdr_reftransV1_0008097","p.persica_gdr_reftransV1_0008097")</f>
        <v>p.persica_gdr_reftransV1_0008097</v>
      </c>
      <c r="B14653" s="3">
        <v>1012</v>
      </c>
      <c r="C14653" s="1" t="str">
        <f>HYPERLINK("http://www.uniprot.org/uniprot/FLS2_ARATH","FLS2_ARATH")</f>
        <v>FLS2_ARATH</v>
      </c>
      <c r="D14653" t="s">
        <v>2958</v>
      </c>
      <c r="E14653" s="3" t="s">
        <v>3</v>
      </c>
      <c r="F14653" s="4">
        <v>8.8299999999999999E-41</v>
      </c>
      <c r="G14653" s="3">
        <v>398</v>
      </c>
      <c r="H14653" s="3">
        <v>37</v>
      </c>
      <c r="I14653" s="3">
        <v>350</v>
      </c>
      <c r="J14653" s="3">
        <v>3</v>
      </c>
      <c r="K14653" s="3">
        <v>995</v>
      </c>
      <c r="L14653" s="3">
        <v>415</v>
      </c>
      <c r="M14653" s="3">
        <v>763</v>
      </c>
    </row>
    <row r="14654" spans="1:13" x14ac:dyDescent="0.25">
      <c r="A14654" s="1" t="str">
        <f>HYPERLINK("http://www.rosaceae.org/Prunus/Prunus_persica/p.persica_gdr_reftransV1_0008197","p.persica_gdr_reftransV1_0008197")</f>
        <v>p.persica_gdr_reftransV1_0008197</v>
      </c>
      <c r="B14654" s="3">
        <v>2133</v>
      </c>
      <c r="C14654" s="1" t="str">
        <f>HYPERLINK("http://www.uniprot.org/uniprot/NET4B_ARATH","NET4B_ARATH")</f>
        <v>NET4B_ARATH</v>
      </c>
      <c r="D14654" t="s">
        <v>9554</v>
      </c>
      <c r="E14654" s="3" t="s">
        <v>3</v>
      </c>
      <c r="F14654" s="4">
        <v>1.35E-40</v>
      </c>
      <c r="G14654" s="3">
        <v>403</v>
      </c>
      <c r="H14654" s="3">
        <v>30</v>
      </c>
      <c r="I14654" s="3">
        <v>571</v>
      </c>
      <c r="J14654" s="3">
        <v>295</v>
      </c>
      <c r="K14654" s="3">
        <v>1938</v>
      </c>
      <c r="L14654" s="3">
        <v>12</v>
      </c>
      <c r="M14654" s="3">
        <v>512</v>
      </c>
    </row>
    <row r="14655" spans="1:13" x14ac:dyDescent="0.25">
      <c r="A14655" s="1" t="str">
        <f>HYPERLINK("http://www.rosaceae.org/Prunus/Prunus_persica/p.persica_gdr_reftransV1_0008297","p.persica_gdr_reftransV1_0008297")</f>
        <v>p.persica_gdr_reftransV1_0008297</v>
      </c>
      <c r="B14655" s="3">
        <v>826</v>
      </c>
      <c r="C14655" s="1" t="str">
        <f>HYPERLINK("http://www.uniprot.org/uniprot/SC13B_ARATH","SC13B_ARATH")</f>
        <v>SC13B_ARATH</v>
      </c>
      <c r="D14655" t="s">
        <v>3223</v>
      </c>
      <c r="E14655" s="3" t="s">
        <v>3</v>
      </c>
      <c r="F14655" s="4">
        <v>4.4400000000000002E-73</v>
      </c>
      <c r="G14655" s="3">
        <v>592</v>
      </c>
      <c r="H14655" s="3">
        <v>86</v>
      </c>
      <c r="I14655" s="3">
        <v>128</v>
      </c>
      <c r="J14655" s="3">
        <v>441</v>
      </c>
      <c r="K14655" s="3">
        <v>824</v>
      </c>
      <c r="L14655" s="3">
        <v>175</v>
      </c>
      <c r="M14655" s="3">
        <v>302</v>
      </c>
    </row>
    <row r="14656" spans="1:13" x14ac:dyDescent="0.25">
      <c r="A14656" s="1" t="str">
        <f>HYPERLINK("http://www.rosaceae.org/Prunus/Prunus_persica/p.persica_gdr_reftransV1_0008347","p.persica_gdr_reftransV1_0008347")</f>
        <v>p.persica_gdr_reftransV1_0008347</v>
      </c>
      <c r="B14656" s="3">
        <v>2122</v>
      </c>
      <c r="C14656" s="1" t="str">
        <f>HYPERLINK("http://www.uniprot.org/uniprot/4CLL6_ARATH","4CLL6_ARATH")</f>
        <v>4CLL6_ARATH</v>
      </c>
      <c r="D14656" t="s">
        <v>9555</v>
      </c>
      <c r="E14656" s="3" t="s">
        <v>3</v>
      </c>
      <c r="F14656" s="4">
        <v>0</v>
      </c>
      <c r="G14656" s="3">
        <v>1731</v>
      </c>
      <c r="H14656" s="3">
        <v>61</v>
      </c>
      <c r="I14656" s="3">
        <v>553</v>
      </c>
      <c r="J14656" s="3">
        <v>70</v>
      </c>
      <c r="K14656" s="3">
        <v>1695</v>
      </c>
      <c r="L14656" s="3">
        <v>22</v>
      </c>
      <c r="M14656" s="3">
        <v>566</v>
      </c>
    </row>
    <row r="14657" spans="1:13" x14ac:dyDescent="0.25">
      <c r="A14657" s="1" t="str">
        <f>HYPERLINK("http://www.rosaceae.org/Prunus/Prunus_persica/p.persica_gdr_reftransV1_0008447","p.persica_gdr_reftransV1_0008447")</f>
        <v>p.persica_gdr_reftransV1_0008447</v>
      </c>
      <c r="B14657" s="3">
        <v>1726</v>
      </c>
      <c r="C14657" s="1" t="str">
        <f>HYPERLINK("http://www.uniprot.org/uniprot/WDR55_BOVIN","WDR55_BOVIN")</f>
        <v>WDR55_BOVIN</v>
      </c>
      <c r="D14657" t="s">
        <v>9556</v>
      </c>
      <c r="E14657" s="3" t="s">
        <v>184</v>
      </c>
      <c r="F14657" s="4">
        <v>2.0999999999999999E-61</v>
      </c>
      <c r="G14657" s="3">
        <v>543</v>
      </c>
      <c r="H14657" s="3">
        <v>36</v>
      </c>
      <c r="I14657" s="3">
        <v>359</v>
      </c>
      <c r="J14657" s="3">
        <v>363</v>
      </c>
      <c r="K14657" s="3">
        <v>1436</v>
      </c>
      <c r="L14657" s="3">
        <v>30</v>
      </c>
      <c r="M14657" s="3">
        <v>366</v>
      </c>
    </row>
    <row r="14658" spans="1:13" x14ac:dyDescent="0.25">
      <c r="A14658" s="1" t="str">
        <f>HYPERLINK("http://www.rosaceae.org/Prunus/Prunus_persica/p.persica_gdr_reftransV1_0008497","p.persica_gdr_reftransV1_0008497")</f>
        <v>p.persica_gdr_reftransV1_0008497</v>
      </c>
      <c r="B14658" s="3">
        <v>1854</v>
      </c>
      <c r="C14658" s="1" t="str">
        <f>HYPERLINK("http://www.uniprot.org/uniprot/PPR1_ARATH","PPR1_ARATH")</f>
        <v>PPR1_ARATH</v>
      </c>
      <c r="D14658" t="s">
        <v>9557</v>
      </c>
      <c r="E14658" s="3" t="s">
        <v>3</v>
      </c>
      <c r="F14658" s="4">
        <v>1.0999999999999999E-164</v>
      </c>
      <c r="G14658" s="3">
        <v>1245</v>
      </c>
      <c r="H14658" s="3">
        <v>65</v>
      </c>
      <c r="I14658" s="3">
        <v>356</v>
      </c>
      <c r="J14658" s="3">
        <v>462</v>
      </c>
      <c r="K14658" s="3">
        <v>1529</v>
      </c>
      <c r="L14658" s="3">
        <v>51</v>
      </c>
      <c r="M14658" s="3">
        <v>406</v>
      </c>
    </row>
    <row r="14659" spans="1:13" x14ac:dyDescent="0.25">
      <c r="A14659" s="1" t="str">
        <f>HYPERLINK("http://www.rosaceae.org/Prunus/Prunus_persica/p.persica_gdr_reftransV1_0008547","p.persica_gdr_reftransV1_0008547")</f>
        <v>p.persica_gdr_reftransV1_0008547</v>
      </c>
      <c r="B14659" s="3">
        <v>1625</v>
      </c>
      <c r="C14659" s="1" t="str">
        <f>HYPERLINK("http://www.uniprot.org/uniprot/E135_ARATH","E135_ARATH")</f>
        <v>E135_ARATH</v>
      </c>
      <c r="D14659" t="s">
        <v>6888</v>
      </c>
      <c r="E14659" s="3" t="s">
        <v>3</v>
      </c>
      <c r="F14659" s="4">
        <v>0</v>
      </c>
      <c r="G14659" s="3">
        <v>1460</v>
      </c>
      <c r="H14659" s="3">
        <v>63</v>
      </c>
      <c r="I14659" s="3">
        <v>430</v>
      </c>
      <c r="J14659" s="3">
        <v>96</v>
      </c>
      <c r="K14659" s="3">
        <v>1385</v>
      </c>
      <c r="L14659" s="3">
        <v>29</v>
      </c>
      <c r="M14659" s="3">
        <v>452</v>
      </c>
    </row>
    <row r="14660" spans="1:13" x14ac:dyDescent="0.25">
      <c r="A14660" s="1" t="str">
        <f>HYPERLINK("http://www.rosaceae.org/Prunus/Prunus_persica/p.persica_gdr_reftransV1_0008597","p.persica_gdr_reftransV1_0008597")</f>
        <v>p.persica_gdr_reftransV1_0008597</v>
      </c>
      <c r="B14660" s="3">
        <v>2098</v>
      </c>
      <c r="C14660" s="1" t="str">
        <f>HYPERLINK("http://www.uniprot.org/uniprot/LRP6B_ARATH","LRP6B_ARATH")</f>
        <v>LRP6B_ARATH</v>
      </c>
      <c r="D14660" t="s">
        <v>9558</v>
      </c>
      <c r="E14660" s="3" t="s">
        <v>3</v>
      </c>
      <c r="F14660" s="4">
        <v>2.2099999999999999E-81</v>
      </c>
      <c r="G14660" s="3">
        <v>702</v>
      </c>
      <c r="H14660" s="3">
        <v>70</v>
      </c>
      <c r="I14660" s="3">
        <v>193</v>
      </c>
      <c r="J14660" s="3">
        <v>947</v>
      </c>
      <c r="K14660" s="3">
        <v>1522</v>
      </c>
      <c r="L14660" s="3">
        <v>189</v>
      </c>
      <c r="M14660" s="3">
        <v>381</v>
      </c>
    </row>
    <row r="14661" spans="1:13" x14ac:dyDescent="0.25">
      <c r="A14661" s="1" t="str">
        <f>HYPERLINK("http://www.rosaceae.org/Prunus/Prunus_persica/p.persica_gdr_reftransV1_0008947","p.persica_gdr_reftransV1_0008947")</f>
        <v>p.persica_gdr_reftransV1_0008947</v>
      </c>
      <c r="B14661" s="3">
        <v>2029</v>
      </c>
      <c r="C14661" s="1" t="str">
        <f>HYPERLINK("http://www.uniprot.org/uniprot/TGT2_ARATH","TGT2_ARATH")</f>
        <v>TGT2_ARATH</v>
      </c>
      <c r="D14661" t="s">
        <v>5090</v>
      </c>
      <c r="E14661" s="3" t="s">
        <v>3</v>
      </c>
      <c r="F14661" s="4">
        <v>1.23E-53</v>
      </c>
      <c r="G14661" s="3">
        <v>505</v>
      </c>
      <c r="H14661" s="3">
        <v>45</v>
      </c>
      <c r="I14661" s="3">
        <v>266</v>
      </c>
      <c r="J14661" s="3">
        <v>436</v>
      </c>
      <c r="K14661" s="3">
        <v>1233</v>
      </c>
      <c r="L14661" s="3">
        <v>264</v>
      </c>
      <c r="M14661" s="3">
        <v>490</v>
      </c>
    </row>
    <row r="14662" spans="1:13" x14ac:dyDescent="0.25">
      <c r="A14662" s="1" t="str">
        <f>HYPERLINK("http://www.rosaceae.org/Prunus/Prunus_persica/p.persica_gdr_reftransV1_0008997","p.persica_gdr_reftransV1_0008997")</f>
        <v>p.persica_gdr_reftransV1_0008997</v>
      </c>
      <c r="B14662" s="3">
        <v>4716</v>
      </c>
      <c r="C14662" s="1" t="str">
        <f>HYPERLINK("http://www.uniprot.org/uniprot/C3H19_ARATH","C3H19_ARATH")</f>
        <v>C3H19_ARATH</v>
      </c>
      <c r="D14662" t="s">
        <v>2254</v>
      </c>
      <c r="E14662" s="3" t="s">
        <v>3</v>
      </c>
      <c r="F14662" s="4">
        <v>0</v>
      </c>
      <c r="G14662" s="3">
        <v>2377</v>
      </c>
      <c r="H14662" s="3">
        <v>58</v>
      </c>
      <c r="I14662" s="3">
        <v>896</v>
      </c>
      <c r="J14662" s="3">
        <v>614</v>
      </c>
      <c r="K14662" s="3">
        <v>3235</v>
      </c>
      <c r="L14662" s="3">
        <v>598</v>
      </c>
      <c r="M14662" s="3">
        <v>1450</v>
      </c>
    </row>
    <row r="14663" spans="1:13" x14ac:dyDescent="0.25">
      <c r="A14663" s="1" t="str">
        <f>HYPERLINK("http://www.rosaceae.org/Prunus/Prunus_persica/p.persica_gdr_reftransV1_0009147","p.persica_gdr_reftransV1_0009147")</f>
        <v>p.persica_gdr_reftransV1_0009147</v>
      </c>
      <c r="B14663" s="3">
        <v>556</v>
      </c>
      <c r="C14663" s="1" t="str">
        <f>HYPERLINK("http://www.uniprot.org/uniprot/PRP16_BOVIN","PRP16_BOVIN")</f>
        <v>PRP16_BOVIN</v>
      </c>
      <c r="D14663" t="s">
        <v>9559</v>
      </c>
      <c r="E14663" s="3" t="s">
        <v>184</v>
      </c>
      <c r="F14663" s="4">
        <v>9.9100000000000001E-33</v>
      </c>
      <c r="G14663" s="3">
        <v>324</v>
      </c>
      <c r="H14663" s="3">
        <v>41</v>
      </c>
      <c r="I14663" s="3">
        <v>181</v>
      </c>
      <c r="J14663" s="3">
        <v>5</v>
      </c>
      <c r="K14663" s="3">
        <v>547</v>
      </c>
      <c r="L14663" s="3">
        <v>344</v>
      </c>
      <c r="M14663" s="3">
        <v>510</v>
      </c>
    </row>
    <row r="14664" spans="1:13" x14ac:dyDescent="0.25">
      <c r="A14664" s="1" t="str">
        <f>HYPERLINK("http://www.rosaceae.org/Prunus/Prunus_persica/p.persica_gdr_reftransV1_0009197","p.persica_gdr_reftransV1_0009197")</f>
        <v>p.persica_gdr_reftransV1_0009197</v>
      </c>
      <c r="B14664" s="3">
        <v>2626</v>
      </c>
      <c r="C14664" s="1" t="str">
        <f>HYPERLINK("http://www.uniprot.org/uniprot/THIK2_ARATH","THIK2_ARATH")</f>
        <v>THIK2_ARATH</v>
      </c>
      <c r="D14664" t="s">
        <v>2179</v>
      </c>
      <c r="E14664" s="3" t="s">
        <v>3</v>
      </c>
      <c r="F14664" s="4">
        <v>0</v>
      </c>
      <c r="G14664" s="3">
        <v>1410</v>
      </c>
      <c r="H14664" s="3">
        <v>85</v>
      </c>
      <c r="I14664" s="3">
        <v>322</v>
      </c>
      <c r="J14664" s="3">
        <v>62</v>
      </c>
      <c r="K14664" s="3">
        <v>1024</v>
      </c>
      <c r="L14664" s="3">
        <v>1</v>
      </c>
      <c r="M14664" s="3">
        <v>321</v>
      </c>
    </row>
    <row r="14665" spans="1:13" x14ac:dyDescent="0.25">
      <c r="A14665" s="1" t="str">
        <f>HYPERLINK("http://www.rosaceae.org/Prunus/Prunus_persica/p.persica_gdr_reftransV1_0009447","p.persica_gdr_reftransV1_0009447")</f>
        <v>p.persica_gdr_reftransV1_0009447</v>
      </c>
      <c r="B14665" s="3">
        <v>1753</v>
      </c>
      <c r="C14665" s="1" t="str">
        <f>HYPERLINK("http://www.uniprot.org/uniprot/MFRN_DICDI","MFRN_DICDI")</f>
        <v>MFRN_DICDI</v>
      </c>
      <c r="D14665" t="s">
        <v>153</v>
      </c>
      <c r="E14665" s="3" t="s">
        <v>9</v>
      </c>
      <c r="F14665" s="4">
        <v>1.54E-60</v>
      </c>
      <c r="G14665" s="3">
        <v>532</v>
      </c>
      <c r="H14665" s="3">
        <v>41</v>
      </c>
      <c r="I14665" s="3">
        <v>301</v>
      </c>
      <c r="J14665" s="3">
        <v>428</v>
      </c>
      <c r="K14665" s="3">
        <v>1294</v>
      </c>
      <c r="L14665" s="3">
        <v>12</v>
      </c>
      <c r="M14665" s="3">
        <v>308</v>
      </c>
    </row>
    <row r="14666" spans="1:13" x14ac:dyDescent="0.25">
      <c r="A14666" s="1" t="str">
        <f>HYPERLINK("http://www.rosaceae.org/Prunus/Prunus_persica/p.persica_gdr_reftransV1_0009497","p.persica_gdr_reftransV1_0009497")</f>
        <v>p.persica_gdr_reftransV1_0009497</v>
      </c>
      <c r="B14666" s="3">
        <v>1834</v>
      </c>
      <c r="C14666" s="1" t="str">
        <f>HYPERLINK("http://www.uniprot.org/uniprot/LAC11_ARATH","LAC11_ARATH")</f>
        <v>LAC11_ARATH</v>
      </c>
      <c r="D14666" t="s">
        <v>7068</v>
      </c>
      <c r="E14666" s="3" t="s">
        <v>3</v>
      </c>
      <c r="F14666" s="4">
        <v>2.7600000000000002E-109</v>
      </c>
      <c r="G14666" s="3">
        <v>803</v>
      </c>
      <c r="H14666" s="3">
        <v>70</v>
      </c>
      <c r="I14666" s="3">
        <v>252</v>
      </c>
      <c r="J14666" s="3">
        <v>796</v>
      </c>
      <c r="K14666" s="3">
        <v>1515</v>
      </c>
      <c r="L14666" s="3">
        <v>251</v>
      </c>
      <c r="M14666" s="3">
        <v>502</v>
      </c>
    </row>
    <row r="14667" spans="1:13" x14ac:dyDescent="0.25">
      <c r="A14667" s="1" t="str">
        <f>HYPERLINK("http://www.rosaceae.org/Prunus/Prunus_persica/p.persica_gdr_reftransV1_0009547","p.persica_gdr_reftransV1_0009547")</f>
        <v>p.persica_gdr_reftransV1_0009547</v>
      </c>
      <c r="B14667" s="3">
        <v>1511</v>
      </c>
      <c r="C14667" s="1" t="str">
        <f>HYPERLINK("http://www.uniprot.org/uniprot/SIP12_MAIZE","SIP12_MAIZE")</f>
        <v>SIP12_MAIZE</v>
      </c>
      <c r="D14667" t="s">
        <v>9560</v>
      </c>
      <c r="E14667" s="3" t="s">
        <v>72</v>
      </c>
      <c r="F14667" s="4">
        <v>3.0500000000000002E-58</v>
      </c>
      <c r="G14667" s="3">
        <v>506</v>
      </c>
      <c r="H14667" s="3">
        <v>65</v>
      </c>
      <c r="I14667" s="3">
        <v>218</v>
      </c>
      <c r="J14667" s="3">
        <v>525</v>
      </c>
      <c r="K14667" s="3">
        <v>1178</v>
      </c>
      <c r="L14667" s="3">
        <v>15</v>
      </c>
      <c r="M14667" s="3">
        <v>231</v>
      </c>
    </row>
    <row r="14668" spans="1:13" x14ac:dyDescent="0.25">
      <c r="A14668" s="1" t="str">
        <f>HYPERLINK("http://www.rosaceae.org/Prunus/Prunus_persica/p.persica_gdr_reftransV1_0009697","p.persica_gdr_reftransV1_0009697")</f>
        <v>p.persica_gdr_reftransV1_0009697</v>
      </c>
      <c r="B14668" s="3">
        <v>1906</v>
      </c>
      <c r="C14668" s="1" t="str">
        <f>HYPERLINK("http://www.uniprot.org/uniprot/FK202_ARATH","FK202_ARATH")</f>
        <v>FK202_ARATH</v>
      </c>
      <c r="D14668" t="s">
        <v>1497</v>
      </c>
      <c r="E14668" s="3" t="s">
        <v>3</v>
      </c>
      <c r="F14668" s="4">
        <v>9.8500000000000003E-69</v>
      </c>
      <c r="G14668" s="3">
        <v>585</v>
      </c>
      <c r="H14668" s="3">
        <v>79</v>
      </c>
      <c r="I14668" s="3">
        <v>134</v>
      </c>
      <c r="J14668" s="3">
        <v>1096</v>
      </c>
      <c r="K14668" s="3">
        <v>1497</v>
      </c>
      <c r="L14668" s="3">
        <v>75</v>
      </c>
      <c r="M14668" s="3">
        <v>208</v>
      </c>
    </row>
    <row r="14669" spans="1:13" x14ac:dyDescent="0.25">
      <c r="A14669" s="1" t="str">
        <f>HYPERLINK("http://www.rosaceae.org/Prunus/Prunus_persica/p.persica_gdr_reftransV1_0009847","p.persica_gdr_reftransV1_0009847")</f>
        <v>p.persica_gdr_reftransV1_0009847</v>
      </c>
      <c r="B14669" s="3">
        <v>552</v>
      </c>
      <c r="C14669" s="1" t="str">
        <f>HYPERLINK("http://www.uniprot.org/uniprot/PP227_ARATH","PP227_ARATH")</f>
        <v>PP227_ARATH</v>
      </c>
      <c r="D14669" t="s">
        <v>9561</v>
      </c>
      <c r="E14669" s="3" t="s">
        <v>3</v>
      </c>
      <c r="F14669" s="4">
        <v>3.8600000000000001E-24</v>
      </c>
      <c r="G14669" s="3">
        <v>257</v>
      </c>
      <c r="H14669" s="3">
        <v>41</v>
      </c>
      <c r="I14669" s="3">
        <v>112</v>
      </c>
      <c r="J14669" s="3">
        <v>7</v>
      </c>
      <c r="K14669" s="3">
        <v>342</v>
      </c>
      <c r="L14669" s="3">
        <v>256</v>
      </c>
      <c r="M14669" s="3">
        <v>367</v>
      </c>
    </row>
    <row r="14670" spans="1:13" x14ac:dyDescent="0.25">
      <c r="A14670" s="1" t="str">
        <f>HYPERLINK("http://www.rosaceae.org/Prunus/Prunus_persica/p.persica_gdr_reftransV1_0009947","p.persica_gdr_reftransV1_0009947")</f>
        <v>p.persica_gdr_reftransV1_0009947</v>
      </c>
      <c r="B14670" s="3">
        <v>5553</v>
      </c>
      <c r="C14670" s="1" t="str">
        <f>HYPERLINK("http://www.uniprot.org/uniprot/AIR9_ARATH","AIR9_ARATH")</f>
        <v>AIR9_ARATH</v>
      </c>
      <c r="D14670" t="s">
        <v>9562</v>
      </c>
      <c r="E14670" s="3" t="s">
        <v>3</v>
      </c>
      <c r="F14670" s="4">
        <v>0</v>
      </c>
      <c r="G14670" s="3">
        <v>5725</v>
      </c>
      <c r="H14670" s="3">
        <v>75</v>
      </c>
      <c r="I14670" s="3">
        <v>1464</v>
      </c>
      <c r="J14670" s="3">
        <v>198</v>
      </c>
      <c r="K14670" s="3">
        <v>4586</v>
      </c>
      <c r="L14670" s="3">
        <v>246</v>
      </c>
      <c r="M14670" s="3">
        <v>1708</v>
      </c>
    </row>
    <row r="14671" spans="1:13" x14ac:dyDescent="0.25">
      <c r="A14671" s="1" t="str">
        <f>HYPERLINK("http://www.rosaceae.org/Prunus/Prunus_persica/p.persica_gdr_reftransV1_0010097","p.persica_gdr_reftransV1_0010097")</f>
        <v>p.persica_gdr_reftransV1_0010097</v>
      </c>
      <c r="B14671" s="3">
        <v>1612</v>
      </c>
      <c r="C14671" s="1" t="str">
        <f>HYPERLINK("http://www.uniprot.org/uniprot/CDL1_ARATH","CDL1_ARATH")</f>
        <v>CDL1_ARATH</v>
      </c>
      <c r="D14671" t="s">
        <v>801</v>
      </c>
      <c r="E14671" s="3" t="s">
        <v>3</v>
      </c>
      <c r="F14671" s="4">
        <v>0</v>
      </c>
      <c r="G14671" s="3">
        <v>1437</v>
      </c>
      <c r="H14671" s="3">
        <v>78</v>
      </c>
      <c r="I14671" s="3">
        <v>357</v>
      </c>
      <c r="J14671" s="3">
        <v>505</v>
      </c>
      <c r="K14671" s="3">
        <v>1566</v>
      </c>
      <c r="L14671" s="3">
        <v>1</v>
      </c>
      <c r="M14671" s="3">
        <v>357</v>
      </c>
    </row>
    <row r="14672" spans="1:13" x14ac:dyDescent="0.25">
      <c r="A14672" s="1" t="str">
        <f>HYPERLINK("http://www.rosaceae.org/Prunus/Prunus_persica/p.persica_gdr_reftransV1_0010147","p.persica_gdr_reftransV1_0010147")</f>
        <v>p.persica_gdr_reftransV1_0010147</v>
      </c>
      <c r="B14672" s="3">
        <v>1547</v>
      </c>
      <c r="C14672" s="1" t="str">
        <f>HYPERLINK("http://www.uniprot.org/uniprot/AB28G_ARATH","AB28G_ARATH")</f>
        <v>AB28G_ARATH</v>
      </c>
      <c r="D14672" t="s">
        <v>5918</v>
      </c>
      <c r="E14672" s="3" t="s">
        <v>3</v>
      </c>
      <c r="F14672" s="4">
        <v>0</v>
      </c>
      <c r="G14672" s="3">
        <v>1795</v>
      </c>
      <c r="H14672" s="3">
        <v>71</v>
      </c>
      <c r="I14672" s="3">
        <v>515</v>
      </c>
      <c r="J14672" s="3">
        <v>13</v>
      </c>
      <c r="K14672" s="3">
        <v>1545</v>
      </c>
      <c r="L14672" s="3">
        <v>92</v>
      </c>
      <c r="M14672" s="3">
        <v>596</v>
      </c>
    </row>
    <row r="14673" spans="1:13" x14ac:dyDescent="0.25">
      <c r="A14673" s="1" t="str">
        <f>HYPERLINK("http://www.rosaceae.org/Prunus/Prunus_persica/p.persica_gdr_reftransV1_0010197","p.persica_gdr_reftransV1_0010197")</f>
        <v>p.persica_gdr_reftransV1_0010197</v>
      </c>
      <c r="B14673" s="3">
        <v>2755</v>
      </c>
      <c r="C14673" s="1" t="str">
        <f>HYPERLINK("http://www.uniprot.org/uniprot/CAAT9_ARATH","CAAT9_ARATH")</f>
        <v>CAAT9_ARATH</v>
      </c>
      <c r="D14673" t="s">
        <v>9563</v>
      </c>
      <c r="E14673" s="3" t="s">
        <v>3</v>
      </c>
      <c r="F14673" s="4">
        <v>2.14E-171</v>
      </c>
      <c r="G14673" s="3">
        <v>1332</v>
      </c>
      <c r="H14673" s="3">
        <v>77</v>
      </c>
      <c r="I14673" s="3">
        <v>392</v>
      </c>
      <c r="J14673" s="3">
        <v>1471</v>
      </c>
      <c r="K14673" s="3">
        <v>2643</v>
      </c>
      <c r="L14673" s="3">
        <v>26</v>
      </c>
      <c r="M14673" s="3">
        <v>416</v>
      </c>
    </row>
    <row r="14674" spans="1:13" x14ac:dyDescent="0.25">
      <c r="A14674" s="1" t="str">
        <f>HYPERLINK("http://www.rosaceae.org/Prunus/Prunus_persica/p.persica_gdr_reftransV1_0010297","p.persica_gdr_reftransV1_0010297")</f>
        <v>p.persica_gdr_reftransV1_0010297</v>
      </c>
      <c r="B14674" s="3">
        <v>1098</v>
      </c>
      <c r="C14674" s="1" t="str">
        <f>HYPERLINK("http://www.uniprot.org/uniprot/VPS25_ARATH","VPS25_ARATH")</f>
        <v>VPS25_ARATH</v>
      </c>
      <c r="D14674" t="s">
        <v>9564</v>
      </c>
      <c r="E14674" s="3" t="s">
        <v>3</v>
      </c>
      <c r="F14674" s="4">
        <v>2.09E-107</v>
      </c>
      <c r="G14674" s="3">
        <v>818</v>
      </c>
      <c r="H14674" s="3">
        <v>82</v>
      </c>
      <c r="I14674" s="3">
        <v>180</v>
      </c>
      <c r="J14674" s="3">
        <v>305</v>
      </c>
      <c r="K14674" s="3">
        <v>844</v>
      </c>
      <c r="L14674" s="3">
        <v>1</v>
      </c>
      <c r="M14674" s="3">
        <v>179</v>
      </c>
    </row>
    <row r="14675" spans="1:13" x14ac:dyDescent="0.25">
      <c r="A14675" s="1" t="str">
        <f>HYPERLINK("http://www.rosaceae.org/Prunus/Prunus_persica/p.persica_gdr_reftransV1_0010447","p.persica_gdr_reftransV1_0010447")</f>
        <v>p.persica_gdr_reftransV1_0010447</v>
      </c>
      <c r="B14675" s="3">
        <v>3886</v>
      </c>
      <c r="C14675" s="1" t="str">
        <f>HYPERLINK("http://www.uniprot.org/uniprot/HSL2_ARATH","HSL2_ARATH")</f>
        <v>HSL2_ARATH</v>
      </c>
      <c r="D14675" t="s">
        <v>634</v>
      </c>
      <c r="E14675" s="3" t="s">
        <v>3</v>
      </c>
      <c r="F14675" s="4">
        <v>5.2099999999999998E-168</v>
      </c>
      <c r="G14675" s="3">
        <v>1375</v>
      </c>
      <c r="H14675" s="3">
        <v>40</v>
      </c>
      <c r="I14675" s="3">
        <v>961</v>
      </c>
      <c r="J14675" s="3">
        <v>856</v>
      </c>
      <c r="K14675" s="3">
        <v>3606</v>
      </c>
      <c r="L14675" s="3">
        <v>46</v>
      </c>
      <c r="M14675" s="3">
        <v>986</v>
      </c>
    </row>
    <row r="14676" spans="1:13" x14ac:dyDescent="0.25">
      <c r="A14676" s="1" t="str">
        <f>HYPERLINK("http://www.rosaceae.org/Prunus/Prunus_persica/p.persica_gdr_reftransV1_0010547","p.persica_gdr_reftransV1_0010547")</f>
        <v>p.persica_gdr_reftransV1_0010547</v>
      </c>
      <c r="B14676" s="3">
        <v>807</v>
      </c>
      <c r="C14676" s="1" t="str">
        <f>HYPERLINK("http://www.uniprot.org/uniprot/HS177_ORYSJ","HS177_ORYSJ")</f>
        <v>HS177_ORYSJ</v>
      </c>
      <c r="D14676" t="s">
        <v>9565</v>
      </c>
      <c r="E14676" s="3" t="s">
        <v>38</v>
      </c>
      <c r="F14676" s="4">
        <v>5.5700000000000004E-10</v>
      </c>
      <c r="G14676" s="3">
        <v>144</v>
      </c>
      <c r="H14676" s="3">
        <v>30</v>
      </c>
      <c r="I14676" s="3">
        <v>106</v>
      </c>
      <c r="J14676" s="3">
        <v>421</v>
      </c>
      <c r="K14676" s="3">
        <v>702</v>
      </c>
      <c r="L14676" s="3">
        <v>54</v>
      </c>
      <c r="M14676" s="3">
        <v>159</v>
      </c>
    </row>
    <row r="14677" spans="1:13" x14ac:dyDescent="0.25">
      <c r="A14677" s="1" t="str">
        <f>HYPERLINK("http://www.rosaceae.org/Prunus/Prunus_persica/p.persica_gdr_reftransV1_0010647","p.persica_gdr_reftransV1_0010647")</f>
        <v>p.persica_gdr_reftransV1_0010647</v>
      </c>
      <c r="B14677" s="3">
        <v>728</v>
      </c>
      <c r="C14677" s="1" t="str">
        <f>HYPERLINK("http://www.uniprot.org/uniprot/BH093_ARATH","BH093_ARATH")</f>
        <v>BH093_ARATH</v>
      </c>
      <c r="D14677" t="s">
        <v>3405</v>
      </c>
      <c r="E14677" s="3" t="s">
        <v>3</v>
      </c>
      <c r="F14677" s="4">
        <v>2.1699999999999999E-66</v>
      </c>
      <c r="G14677" s="3">
        <v>548</v>
      </c>
      <c r="H14677" s="3">
        <v>68</v>
      </c>
      <c r="I14677" s="3">
        <v>154</v>
      </c>
      <c r="J14677" s="3">
        <v>280</v>
      </c>
      <c r="K14677" s="3">
        <v>726</v>
      </c>
      <c r="L14677" s="3">
        <v>198</v>
      </c>
      <c r="M14677" s="3">
        <v>351</v>
      </c>
    </row>
    <row r="14678" spans="1:13" x14ac:dyDescent="0.25">
      <c r="A14678" s="1" t="str">
        <f>HYPERLINK("http://www.rosaceae.org/Prunus/Prunus_persica/p.persica_gdr_reftransV1_0010747","p.persica_gdr_reftransV1_0010747")</f>
        <v>p.persica_gdr_reftransV1_0010747</v>
      </c>
      <c r="B14678" s="3">
        <v>1695</v>
      </c>
      <c r="C14678" s="1" t="str">
        <f>HYPERLINK("http://www.uniprot.org/uniprot/COPIA_DROME","COPIA_DROME")</f>
        <v>COPIA_DROME</v>
      </c>
      <c r="D14678" t="s">
        <v>478</v>
      </c>
      <c r="E14678" s="3" t="s">
        <v>5</v>
      </c>
      <c r="F14678" s="4">
        <v>2.89E-30</v>
      </c>
      <c r="G14678" s="3">
        <v>326</v>
      </c>
      <c r="H14678" s="3">
        <v>31</v>
      </c>
      <c r="I14678" s="3">
        <v>338</v>
      </c>
      <c r="J14678" s="3">
        <v>45</v>
      </c>
      <c r="K14678" s="3">
        <v>998</v>
      </c>
      <c r="L14678" s="3">
        <v>230</v>
      </c>
      <c r="M14678" s="3">
        <v>555</v>
      </c>
    </row>
    <row r="14679" spans="1:13" x14ac:dyDescent="0.25">
      <c r="A14679" s="1" t="str">
        <f>HYPERLINK("http://www.rosaceae.org/Prunus/Prunus_persica/p.persica_gdr_reftransV1_0010797","p.persica_gdr_reftransV1_0010797")</f>
        <v>p.persica_gdr_reftransV1_0010797</v>
      </c>
      <c r="B14679" s="3">
        <v>2666</v>
      </c>
      <c r="C14679" s="1" t="str">
        <f>HYPERLINK("http://www.uniprot.org/uniprot/PP110_ARATH","PP110_ARATH")</f>
        <v>PP110_ARATH</v>
      </c>
      <c r="D14679" t="s">
        <v>9566</v>
      </c>
      <c r="E14679" s="3" t="s">
        <v>3</v>
      </c>
      <c r="F14679" s="4">
        <v>0</v>
      </c>
      <c r="G14679" s="3">
        <v>2323</v>
      </c>
      <c r="H14679" s="3">
        <v>67</v>
      </c>
      <c r="I14679" s="3">
        <v>662</v>
      </c>
      <c r="J14679" s="3">
        <v>4</v>
      </c>
      <c r="K14679" s="3">
        <v>1965</v>
      </c>
      <c r="L14679" s="3">
        <v>1</v>
      </c>
      <c r="M14679" s="3">
        <v>657</v>
      </c>
    </row>
    <row r="14680" spans="1:13" x14ac:dyDescent="0.25">
      <c r="A14680" s="1" t="str">
        <f>HYPERLINK("http://www.rosaceae.org/Prunus/Prunus_persica/p.persica_gdr_reftransV1_0011097","p.persica_gdr_reftransV1_0011097")</f>
        <v>p.persica_gdr_reftransV1_0011097</v>
      </c>
      <c r="B14680" s="3">
        <v>2181</v>
      </c>
      <c r="C14680" s="1" t="str">
        <f>HYPERLINK("http://www.uniprot.org/uniprot/DEGP1_ARATH","DEGP1_ARATH")</f>
        <v>DEGP1_ARATH</v>
      </c>
      <c r="D14680" t="s">
        <v>1097</v>
      </c>
      <c r="E14680" s="3" t="s">
        <v>3</v>
      </c>
      <c r="F14680" s="4">
        <v>0</v>
      </c>
      <c r="G14680" s="3">
        <v>1645</v>
      </c>
      <c r="H14680" s="3">
        <v>88</v>
      </c>
      <c r="I14680" s="3">
        <v>368</v>
      </c>
      <c r="J14680" s="3">
        <v>439</v>
      </c>
      <c r="K14680" s="3">
        <v>1536</v>
      </c>
      <c r="L14680" s="3">
        <v>73</v>
      </c>
      <c r="M14680" s="3">
        <v>439</v>
      </c>
    </row>
    <row r="14681" spans="1:13" x14ac:dyDescent="0.25">
      <c r="A14681" s="1" t="str">
        <f>HYPERLINK("http://www.rosaceae.org/Prunus/Prunus_persica/p.persica_gdr_reftransV1_0011547","p.persica_gdr_reftransV1_0011547")</f>
        <v>p.persica_gdr_reftransV1_0011547</v>
      </c>
      <c r="B14681" s="3">
        <v>3666</v>
      </c>
      <c r="C14681" s="1" t="str">
        <f>HYPERLINK("http://www.uniprot.org/uniprot/PPP7_ARATH","PPP7_ARATH")</f>
        <v>PPP7_ARATH</v>
      </c>
      <c r="D14681" t="s">
        <v>3108</v>
      </c>
      <c r="E14681" s="3" t="s">
        <v>3</v>
      </c>
      <c r="F14681" s="4">
        <v>1.3099999999999999E-109</v>
      </c>
      <c r="G14681" s="3">
        <v>914</v>
      </c>
      <c r="H14681" s="3">
        <v>52</v>
      </c>
      <c r="I14681" s="3">
        <v>366</v>
      </c>
      <c r="J14681" s="3">
        <v>946</v>
      </c>
      <c r="K14681" s="3">
        <v>1995</v>
      </c>
      <c r="L14681" s="3">
        <v>11</v>
      </c>
      <c r="M14681" s="3">
        <v>376</v>
      </c>
    </row>
    <row r="14682" spans="1:13" x14ac:dyDescent="0.25">
      <c r="A14682" s="1" t="str">
        <f>HYPERLINK("http://www.rosaceae.org/Prunus/Prunus_persica/p.persica_gdr_reftransV1_0011647","p.persica_gdr_reftransV1_0011647")</f>
        <v>p.persica_gdr_reftransV1_0011647</v>
      </c>
      <c r="B14682" s="3">
        <v>1031</v>
      </c>
      <c r="C14682" s="1" t="str">
        <f>HYPERLINK("http://www.uniprot.org/uniprot/HEI10_ARATH","HEI10_ARATH")</f>
        <v>HEI10_ARATH</v>
      </c>
      <c r="D14682" t="s">
        <v>9567</v>
      </c>
      <c r="E14682" s="3" t="s">
        <v>3</v>
      </c>
      <c r="F14682" s="4">
        <v>2.3999999999999999E-122</v>
      </c>
      <c r="G14682" s="3">
        <v>927</v>
      </c>
      <c r="H14682" s="3">
        <v>72</v>
      </c>
      <c r="I14682" s="3">
        <v>254</v>
      </c>
      <c r="J14682" s="3">
        <v>2</v>
      </c>
      <c r="K14682" s="3">
        <v>751</v>
      </c>
      <c r="L14682" s="3">
        <v>62</v>
      </c>
      <c r="M14682" s="3">
        <v>304</v>
      </c>
    </row>
    <row r="14683" spans="1:13" x14ac:dyDescent="0.25">
      <c r="A14683" s="1" t="str">
        <f>HYPERLINK("http://www.rosaceae.org/Prunus/Prunus_persica/p.persica_gdr_reftransV1_0011697","p.persica_gdr_reftransV1_0011697")</f>
        <v>p.persica_gdr_reftransV1_0011697</v>
      </c>
      <c r="B14683" s="3">
        <v>2592</v>
      </c>
      <c r="C14683" s="1" t="str">
        <f>HYPERLINK("http://www.uniprot.org/uniprot/CSLD3_ARATH","CSLD3_ARATH")</f>
        <v>CSLD3_ARATH</v>
      </c>
      <c r="D14683" t="s">
        <v>9212</v>
      </c>
      <c r="E14683" s="3" t="s">
        <v>3</v>
      </c>
      <c r="F14683" s="4">
        <v>0</v>
      </c>
      <c r="G14683" s="3">
        <v>1636</v>
      </c>
      <c r="H14683" s="3">
        <v>76</v>
      </c>
      <c r="I14683" s="3">
        <v>408</v>
      </c>
      <c r="J14683" s="3">
        <v>3</v>
      </c>
      <c r="K14683" s="3">
        <v>1214</v>
      </c>
      <c r="L14683" s="3">
        <v>1</v>
      </c>
      <c r="M14683" s="3">
        <v>407</v>
      </c>
    </row>
    <row r="14684" spans="1:13" x14ac:dyDescent="0.25">
      <c r="A14684" s="1" t="str">
        <f>HYPERLINK("http://www.rosaceae.org/Prunus/Prunus_persica/p.persica_gdr_reftransV1_0011897","p.persica_gdr_reftransV1_0011897")</f>
        <v>p.persica_gdr_reftransV1_0011897</v>
      </c>
      <c r="B14684" s="3">
        <v>586</v>
      </c>
      <c r="C14684" s="1" t="str">
        <f>HYPERLINK("http://www.uniprot.org/uniprot/TRXY1_ARATH","TRXY1_ARATH")</f>
        <v>TRXY1_ARATH</v>
      </c>
      <c r="D14684" t="s">
        <v>8515</v>
      </c>
      <c r="E14684" s="3" t="s">
        <v>3</v>
      </c>
      <c r="F14684" s="4">
        <v>2.5E-36</v>
      </c>
      <c r="G14684" s="3">
        <v>327</v>
      </c>
      <c r="H14684" s="3">
        <v>82</v>
      </c>
      <c r="I14684" s="3">
        <v>72</v>
      </c>
      <c r="J14684" s="3">
        <v>369</v>
      </c>
      <c r="K14684" s="3">
        <v>584</v>
      </c>
      <c r="L14684" s="3">
        <v>63</v>
      </c>
      <c r="M14684" s="3">
        <v>134</v>
      </c>
    </row>
    <row r="14685" spans="1:13" x14ac:dyDescent="0.25">
      <c r="A14685" s="1" t="str">
        <f>HYPERLINK("http://www.rosaceae.org/Prunus/Prunus_persica/p.persica_gdr_reftransV1_0012047","p.persica_gdr_reftransV1_0012047")</f>
        <v>p.persica_gdr_reftransV1_0012047</v>
      </c>
      <c r="B14685" s="3">
        <v>1366</v>
      </c>
      <c r="C14685" s="1" t="str">
        <f>HYPERLINK("http://www.uniprot.org/uniprot/AB6I_ARATH","AB6I_ARATH")</f>
        <v>AB6I_ARATH</v>
      </c>
      <c r="D14685" t="s">
        <v>9568</v>
      </c>
      <c r="E14685" s="3" t="s">
        <v>3</v>
      </c>
      <c r="F14685" s="4">
        <v>5.0499999999999996E-146</v>
      </c>
      <c r="G14685" s="3">
        <v>1098</v>
      </c>
      <c r="H14685" s="3">
        <v>81</v>
      </c>
      <c r="I14685" s="3">
        <v>248</v>
      </c>
      <c r="J14685" s="3">
        <v>333</v>
      </c>
      <c r="K14685" s="3">
        <v>1076</v>
      </c>
      <c r="L14685" s="3">
        <v>91</v>
      </c>
      <c r="M14685" s="3">
        <v>338</v>
      </c>
    </row>
    <row r="14686" spans="1:13" x14ac:dyDescent="0.25">
      <c r="A14686" s="1" t="str">
        <f>HYPERLINK("http://www.rosaceae.org/Prunus/Prunus_persica/p.persica_gdr_reftransV1_0012147","p.persica_gdr_reftransV1_0012147")</f>
        <v>p.persica_gdr_reftransV1_0012147</v>
      </c>
      <c r="B14686" s="3">
        <v>1477</v>
      </c>
      <c r="C14686" s="1" t="str">
        <f>HYPERLINK("http://www.uniprot.org/uniprot/PAP_CITUN","PAP_CITUN")</f>
        <v>PAP_CITUN</v>
      </c>
      <c r="D14686" t="s">
        <v>9569</v>
      </c>
      <c r="E14686" s="3" t="s">
        <v>4547</v>
      </c>
      <c r="F14686" s="4">
        <v>1.0899999999999999E-83</v>
      </c>
      <c r="G14686" s="3">
        <v>685</v>
      </c>
      <c r="H14686" s="3">
        <v>69</v>
      </c>
      <c r="I14686" s="3">
        <v>224</v>
      </c>
      <c r="J14686" s="3">
        <v>101</v>
      </c>
      <c r="K14686" s="3">
        <v>766</v>
      </c>
      <c r="L14686" s="3">
        <v>1</v>
      </c>
      <c r="M14686" s="3">
        <v>220</v>
      </c>
    </row>
    <row r="14687" spans="1:13" x14ac:dyDescent="0.25">
      <c r="A14687" s="1" t="str">
        <f>HYPERLINK("http://www.rosaceae.org/Prunus/Prunus_persica/p.persica_gdr_reftransV1_0012197","p.persica_gdr_reftransV1_0012197")</f>
        <v>p.persica_gdr_reftransV1_0012197</v>
      </c>
      <c r="B14687" s="3">
        <v>1239</v>
      </c>
      <c r="C14687" s="1" t="str">
        <f>HYPERLINK("http://www.uniprot.org/uniprot/PUMP3_ARATH","PUMP3_ARATH")</f>
        <v>PUMP3_ARATH</v>
      </c>
      <c r="D14687" t="s">
        <v>9570</v>
      </c>
      <c r="E14687" s="3" t="s">
        <v>3</v>
      </c>
      <c r="F14687" s="4">
        <v>1.83E-115</v>
      </c>
      <c r="G14687" s="3">
        <v>775</v>
      </c>
      <c r="H14687" s="3">
        <v>77</v>
      </c>
      <c r="I14687" s="3">
        <v>179</v>
      </c>
      <c r="J14687" s="3">
        <v>374</v>
      </c>
      <c r="K14687" s="3">
        <v>910</v>
      </c>
      <c r="L14687" s="3">
        <v>127</v>
      </c>
      <c r="M14687" s="3">
        <v>301</v>
      </c>
    </row>
    <row r="14688" spans="1:13" x14ac:dyDescent="0.25">
      <c r="A14688" s="1" t="str">
        <f>HYPERLINK("http://www.rosaceae.org/Prunus/Prunus_persica/p.persica_gdr_reftransV1_0012447","p.persica_gdr_reftransV1_0012447")</f>
        <v>p.persica_gdr_reftransV1_0012447</v>
      </c>
      <c r="B14688" s="3">
        <v>2866</v>
      </c>
      <c r="C14688" s="1" t="str">
        <f>HYPERLINK("http://www.uniprot.org/uniprot/SUC4_ARATH","SUC4_ARATH")</f>
        <v>SUC4_ARATH</v>
      </c>
      <c r="D14688" t="s">
        <v>2151</v>
      </c>
      <c r="E14688" s="3" t="s">
        <v>3</v>
      </c>
      <c r="F14688" s="4">
        <v>0</v>
      </c>
      <c r="G14688" s="3">
        <v>1664</v>
      </c>
      <c r="H14688" s="3">
        <v>73</v>
      </c>
      <c r="I14688" s="3">
        <v>470</v>
      </c>
      <c r="J14688" s="3">
        <v>280</v>
      </c>
      <c r="K14688" s="3">
        <v>1689</v>
      </c>
      <c r="L14688" s="3">
        <v>43</v>
      </c>
      <c r="M14688" s="3">
        <v>506</v>
      </c>
    </row>
    <row r="14689" spans="1:13" x14ac:dyDescent="0.25">
      <c r="A14689" s="1" t="str">
        <f>HYPERLINK("http://www.rosaceae.org/Prunus/Prunus_persica/p.persica_gdr_reftransV1_0012497","p.persica_gdr_reftransV1_0012497")</f>
        <v>p.persica_gdr_reftransV1_0012497</v>
      </c>
      <c r="B14689" s="3">
        <v>1818</v>
      </c>
      <c r="C14689" s="1" t="str">
        <f>HYPERLINK("http://www.uniprot.org/uniprot/ABI5_ARATH","ABI5_ARATH")</f>
        <v>ABI5_ARATH</v>
      </c>
      <c r="D14689" t="s">
        <v>3385</v>
      </c>
      <c r="E14689" s="3" t="s">
        <v>3</v>
      </c>
      <c r="F14689" s="4">
        <v>6.46E-90</v>
      </c>
      <c r="G14689" s="3">
        <v>746</v>
      </c>
      <c r="H14689" s="3">
        <v>54</v>
      </c>
      <c r="I14689" s="3">
        <v>353</v>
      </c>
      <c r="J14689" s="3">
        <v>351</v>
      </c>
      <c r="K14689" s="3">
        <v>1328</v>
      </c>
      <c r="L14689" s="3">
        <v>139</v>
      </c>
      <c r="M14689" s="3">
        <v>442</v>
      </c>
    </row>
    <row r="14690" spans="1:13" x14ac:dyDescent="0.25">
      <c r="A14690" s="1" t="str">
        <f>HYPERLINK("http://www.rosaceae.org/Prunus/Prunus_persica/p.persica_gdr_reftransV1_0012547","p.persica_gdr_reftransV1_0012547")</f>
        <v>p.persica_gdr_reftransV1_0012547</v>
      </c>
      <c r="B14690" s="3">
        <v>586</v>
      </c>
      <c r="C14690" s="1" t="str">
        <f>HYPERLINK("http://www.uniprot.org/uniprot/CLP41_ARATH","CLP41_ARATH")</f>
        <v>CLP41_ARATH</v>
      </c>
      <c r="D14690" t="s">
        <v>3537</v>
      </c>
      <c r="E14690" s="3" t="s">
        <v>3</v>
      </c>
      <c r="F14690" s="4">
        <v>1.65E-45</v>
      </c>
      <c r="G14690" s="3">
        <v>395</v>
      </c>
      <c r="H14690" s="3">
        <v>72</v>
      </c>
      <c r="I14690" s="3">
        <v>103</v>
      </c>
      <c r="J14690" s="3">
        <v>2</v>
      </c>
      <c r="K14690" s="3">
        <v>310</v>
      </c>
      <c r="L14690" s="3">
        <v>130</v>
      </c>
      <c r="M14690" s="3">
        <v>232</v>
      </c>
    </row>
    <row r="14691" spans="1:13" x14ac:dyDescent="0.25">
      <c r="A14691" s="1" t="str">
        <f>HYPERLINK("http://www.rosaceae.org/Prunus/Prunus_persica/p.persica_gdr_reftransV1_0012597","p.persica_gdr_reftransV1_0012597")</f>
        <v>p.persica_gdr_reftransV1_0012597</v>
      </c>
      <c r="B14691" s="3">
        <v>899</v>
      </c>
      <c r="C14691" s="1" t="str">
        <f>HYPERLINK("http://www.uniprot.org/uniprot/PDR3_TOBAC","PDR3_TOBAC")</f>
        <v>PDR3_TOBAC</v>
      </c>
      <c r="D14691" t="s">
        <v>7294</v>
      </c>
      <c r="E14691" s="3" t="s">
        <v>200</v>
      </c>
      <c r="F14691" s="4">
        <v>1.34E-93</v>
      </c>
      <c r="G14691" s="3">
        <v>787</v>
      </c>
      <c r="H14691" s="3">
        <v>70</v>
      </c>
      <c r="I14691" s="3">
        <v>215</v>
      </c>
      <c r="J14691" s="3">
        <v>251</v>
      </c>
      <c r="K14691" s="3">
        <v>895</v>
      </c>
      <c r="L14691" s="3">
        <v>1233</v>
      </c>
      <c r="M14691" s="3">
        <v>1447</v>
      </c>
    </row>
    <row r="14692" spans="1:13" x14ac:dyDescent="0.25">
      <c r="A14692" s="1" t="str">
        <f>HYPERLINK("http://www.rosaceae.org/Prunus/Prunus_persica/p.persica_gdr_reftransV1_0012897","p.persica_gdr_reftransV1_0012897")</f>
        <v>p.persica_gdr_reftransV1_0012897</v>
      </c>
      <c r="B14692" s="3">
        <v>2024</v>
      </c>
      <c r="C14692" s="1" t="str">
        <f>HYPERLINK("http://www.uniprot.org/uniprot/DAZP1_MOUSE","DAZP1_MOUSE")</f>
        <v>DAZP1_MOUSE</v>
      </c>
      <c r="D14692" t="s">
        <v>9571</v>
      </c>
      <c r="E14692" s="3" t="s">
        <v>157</v>
      </c>
      <c r="F14692" s="4">
        <v>1.8299999999999999E-10</v>
      </c>
      <c r="G14692" s="3">
        <v>162</v>
      </c>
      <c r="H14692" s="3">
        <v>38</v>
      </c>
      <c r="I14692" s="3">
        <v>101</v>
      </c>
      <c r="J14692" s="3">
        <v>1655</v>
      </c>
      <c r="K14692" s="3">
        <v>1957</v>
      </c>
      <c r="L14692" s="3">
        <v>108</v>
      </c>
      <c r="M14692" s="3">
        <v>202</v>
      </c>
    </row>
    <row r="14693" spans="1:13" x14ac:dyDescent="0.25">
      <c r="A14693" s="1" t="str">
        <f>HYPERLINK("http://www.rosaceae.org/Prunus/Prunus_persica/p.persica_gdr_reftransV1_0013097","p.persica_gdr_reftransV1_0013097")</f>
        <v>p.persica_gdr_reftransV1_0013097</v>
      </c>
      <c r="B14693" s="3">
        <v>1538</v>
      </c>
      <c r="C14693" s="1" t="str">
        <f>HYPERLINK("http://www.uniprot.org/uniprot/MKKA_DICDI","MKKA_DICDI")</f>
        <v>MKKA_DICDI</v>
      </c>
      <c r="D14693" t="s">
        <v>5229</v>
      </c>
      <c r="E14693" s="3" t="s">
        <v>9</v>
      </c>
      <c r="F14693" s="4">
        <v>3.7099999999999999E-50</v>
      </c>
      <c r="G14693" s="3">
        <v>479</v>
      </c>
      <c r="H14693" s="3">
        <v>35</v>
      </c>
      <c r="I14693" s="3">
        <v>285</v>
      </c>
      <c r="J14693" s="3">
        <v>91</v>
      </c>
      <c r="K14693" s="3">
        <v>912</v>
      </c>
      <c r="L14693" s="3">
        <v>156</v>
      </c>
      <c r="M14693" s="3">
        <v>429</v>
      </c>
    </row>
    <row r="14694" spans="1:13" x14ac:dyDescent="0.25">
      <c r="A14694" s="1" t="str">
        <f>HYPERLINK("http://www.rosaceae.org/Prunus/Prunus_persica/p.persica_gdr_reftransV1_0013147","p.persica_gdr_reftransV1_0013147")</f>
        <v>p.persica_gdr_reftransV1_0013147</v>
      </c>
      <c r="B14694" s="3">
        <v>1482</v>
      </c>
      <c r="C14694" s="1" t="str">
        <f>HYPERLINK("http://www.uniprot.org/uniprot/MUS81_ARATH","MUS81_ARATH")</f>
        <v>MUS81_ARATH</v>
      </c>
      <c r="D14694" t="s">
        <v>412</v>
      </c>
      <c r="E14694" s="3" t="s">
        <v>3</v>
      </c>
      <c r="F14694" s="4">
        <v>1.13E-86</v>
      </c>
      <c r="G14694" s="3">
        <v>731</v>
      </c>
      <c r="H14694" s="3">
        <v>57</v>
      </c>
      <c r="I14694" s="3">
        <v>250</v>
      </c>
      <c r="J14694" s="3">
        <v>640</v>
      </c>
      <c r="K14694" s="3">
        <v>1383</v>
      </c>
      <c r="L14694" s="3">
        <v>1</v>
      </c>
      <c r="M14694" s="3">
        <v>239</v>
      </c>
    </row>
    <row r="14695" spans="1:13" x14ac:dyDescent="0.25">
      <c r="A14695" s="1" t="str">
        <f>HYPERLINK("http://www.rosaceae.org/Prunus/Prunus_persica/p.persica_gdr_reftransV1_0013247","p.persica_gdr_reftransV1_0013247")</f>
        <v>p.persica_gdr_reftransV1_0013247</v>
      </c>
      <c r="B14695" s="3">
        <v>1424</v>
      </c>
      <c r="C14695" s="1" t="str">
        <f>HYPERLINK("http://www.uniprot.org/uniprot/XXT2_ARATH","XXT2_ARATH")</f>
        <v>XXT2_ARATH</v>
      </c>
      <c r="D14695" t="s">
        <v>6279</v>
      </c>
      <c r="E14695" s="3" t="s">
        <v>3</v>
      </c>
      <c r="F14695" s="4">
        <v>0</v>
      </c>
      <c r="G14695" s="3">
        <v>1521</v>
      </c>
      <c r="H14695" s="3">
        <v>93</v>
      </c>
      <c r="I14695" s="3">
        <v>296</v>
      </c>
      <c r="J14695" s="3">
        <v>535</v>
      </c>
      <c r="K14695" s="3">
        <v>1422</v>
      </c>
      <c r="L14695" s="3">
        <v>161</v>
      </c>
      <c r="M14695" s="3">
        <v>456</v>
      </c>
    </row>
    <row r="14696" spans="1:13" x14ac:dyDescent="0.25">
      <c r="A14696" s="1" t="str">
        <f>HYPERLINK("http://www.rosaceae.org/Prunus/Prunus_persica/p.persica_gdr_reftransV1_0013297","p.persica_gdr_reftransV1_0013297")</f>
        <v>p.persica_gdr_reftransV1_0013297</v>
      </c>
      <c r="B14696" s="3">
        <v>1228</v>
      </c>
      <c r="C14696" s="1" t="str">
        <f>HYPERLINK("http://www.uniprot.org/uniprot/TAF13_ARATH","TAF13_ARATH")</f>
        <v>TAF13_ARATH</v>
      </c>
      <c r="D14696" t="s">
        <v>9149</v>
      </c>
      <c r="E14696" s="3" t="s">
        <v>3</v>
      </c>
      <c r="F14696" s="4">
        <v>1.51E-50</v>
      </c>
      <c r="G14696" s="3">
        <v>436</v>
      </c>
      <c r="H14696" s="3">
        <v>80</v>
      </c>
      <c r="I14696" s="3">
        <v>99</v>
      </c>
      <c r="J14696" s="3">
        <v>527</v>
      </c>
      <c r="K14696" s="3">
        <v>823</v>
      </c>
      <c r="L14696" s="3">
        <v>26</v>
      </c>
      <c r="M14696" s="3">
        <v>124</v>
      </c>
    </row>
    <row r="14697" spans="1:13" x14ac:dyDescent="0.25">
      <c r="A14697" s="1" t="str">
        <f>HYPERLINK("http://www.rosaceae.org/Prunus/Prunus_persica/p.persica_gdr_reftransV1_0013447","p.persica_gdr_reftransV1_0013447")</f>
        <v>p.persica_gdr_reftransV1_0013447</v>
      </c>
      <c r="B14697" s="3">
        <v>2788</v>
      </c>
      <c r="C14697" s="1" t="str">
        <f>HYPERLINK("http://www.uniprot.org/uniprot/PP445_ARATH","PP445_ARATH")</f>
        <v>PP445_ARATH</v>
      </c>
      <c r="D14697" t="s">
        <v>6643</v>
      </c>
      <c r="E14697" s="3" t="s">
        <v>3</v>
      </c>
      <c r="F14697" s="4">
        <v>1.27E-165</v>
      </c>
      <c r="G14697" s="3">
        <v>1325</v>
      </c>
      <c r="H14697" s="3">
        <v>35</v>
      </c>
      <c r="I14697" s="3">
        <v>829</v>
      </c>
      <c r="J14697" s="3">
        <v>329</v>
      </c>
      <c r="K14697" s="3">
        <v>2776</v>
      </c>
      <c r="L14697" s="3">
        <v>69</v>
      </c>
      <c r="M14697" s="3">
        <v>880</v>
      </c>
    </row>
    <row r="14698" spans="1:13" x14ac:dyDescent="0.25">
      <c r="A14698" s="1" t="str">
        <f>HYPERLINK("http://www.rosaceae.org/Prunus/Prunus_persica/p.persica_gdr_reftransV1_0013497","p.persica_gdr_reftransV1_0013497")</f>
        <v>p.persica_gdr_reftransV1_0013497</v>
      </c>
      <c r="B14698" s="3">
        <v>1916</v>
      </c>
      <c r="C14698" s="1" t="str">
        <f>HYPERLINK("http://www.uniprot.org/uniprot/PLP7_ARATH","PLP7_ARATH")</f>
        <v>PLP7_ARATH</v>
      </c>
      <c r="D14698" t="s">
        <v>9572</v>
      </c>
      <c r="E14698" s="3" t="s">
        <v>3</v>
      </c>
      <c r="F14698" s="4">
        <v>0</v>
      </c>
      <c r="G14698" s="3">
        <v>1450</v>
      </c>
      <c r="H14698" s="3">
        <v>67</v>
      </c>
      <c r="I14698" s="3">
        <v>452</v>
      </c>
      <c r="J14698" s="3">
        <v>433</v>
      </c>
      <c r="K14698" s="3">
        <v>1788</v>
      </c>
      <c r="L14698" s="3">
        <v>44</v>
      </c>
      <c r="M14698" s="3">
        <v>461</v>
      </c>
    </row>
    <row r="14699" spans="1:13" x14ac:dyDescent="0.25">
      <c r="A14699" s="1" t="str">
        <f>HYPERLINK("http://www.rosaceae.org/Prunus/Prunus_persica/p.persica_gdr_reftransV1_0013547","p.persica_gdr_reftransV1_0013547")</f>
        <v>p.persica_gdr_reftransV1_0013547</v>
      </c>
      <c r="B14699" s="3">
        <v>1101</v>
      </c>
      <c r="C14699" s="1" t="str">
        <f>HYPERLINK("http://www.uniprot.org/uniprot/UBC4_SOLLC","UBC4_SOLLC")</f>
        <v>UBC4_SOLLC</v>
      </c>
      <c r="D14699" t="s">
        <v>5556</v>
      </c>
      <c r="E14699" s="3" t="s">
        <v>64</v>
      </c>
      <c r="F14699" s="4">
        <v>2.65E-89</v>
      </c>
      <c r="G14699" s="3">
        <v>695</v>
      </c>
      <c r="H14699" s="3">
        <v>98</v>
      </c>
      <c r="I14699" s="3">
        <v>131</v>
      </c>
      <c r="J14699" s="3">
        <v>709</v>
      </c>
      <c r="K14699" s="3">
        <v>1101</v>
      </c>
      <c r="L14699" s="3">
        <v>18</v>
      </c>
      <c r="M14699" s="3">
        <v>148</v>
      </c>
    </row>
    <row r="14700" spans="1:13" x14ac:dyDescent="0.25">
      <c r="A14700" s="1" t="str">
        <f>HYPERLINK("http://www.rosaceae.org/Prunus/Prunus_persica/p.persica_gdr_reftransV1_0013597","p.persica_gdr_reftransV1_0013597")</f>
        <v>p.persica_gdr_reftransV1_0013597</v>
      </c>
      <c r="B14700" s="3">
        <v>1698</v>
      </c>
      <c r="C14700" s="1" t="str">
        <f>HYPERLINK("http://www.uniprot.org/uniprot/CDPK5_SOLTU","CDPK5_SOLTU")</f>
        <v>CDPK5_SOLTU</v>
      </c>
      <c r="D14700" t="s">
        <v>9573</v>
      </c>
      <c r="E14700" s="3" t="s">
        <v>11</v>
      </c>
      <c r="F14700" s="4">
        <v>1.6200000000000001E-135</v>
      </c>
      <c r="G14700" s="3">
        <v>1058</v>
      </c>
      <c r="H14700" s="3">
        <v>73</v>
      </c>
      <c r="I14700" s="3">
        <v>283</v>
      </c>
      <c r="J14700" s="3">
        <v>849</v>
      </c>
      <c r="K14700" s="3">
        <v>1697</v>
      </c>
      <c r="L14700" s="3">
        <v>1</v>
      </c>
      <c r="M14700" s="3">
        <v>249</v>
      </c>
    </row>
    <row r="14701" spans="1:13" x14ac:dyDescent="0.25">
      <c r="A14701" s="1" t="str">
        <f>HYPERLINK("http://www.rosaceae.org/Prunus/Prunus_persica/p.persica_gdr_reftransV1_0013697","p.persica_gdr_reftransV1_0013697")</f>
        <v>p.persica_gdr_reftransV1_0013697</v>
      </c>
      <c r="B14701" s="3">
        <v>1595</v>
      </c>
      <c r="C14701" s="1" t="str">
        <f>HYPERLINK("http://www.uniprot.org/uniprot/HNRPQ_HUMAN","HNRPQ_HUMAN")</f>
        <v>HNRPQ_HUMAN</v>
      </c>
      <c r="D14701" t="s">
        <v>9574</v>
      </c>
      <c r="E14701" s="3" t="s">
        <v>28</v>
      </c>
      <c r="F14701" s="4">
        <v>1.2400000000000001E-41</v>
      </c>
      <c r="G14701" s="3">
        <v>409</v>
      </c>
      <c r="H14701" s="3">
        <v>33</v>
      </c>
      <c r="I14701" s="3">
        <v>272</v>
      </c>
      <c r="J14701" s="3">
        <v>218</v>
      </c>
      <c r="K14701" s="3">
        <v>1027</v>
      </c>
      <c r="L14701" s="3">
        <v>158</v>
      </c>
      <c r="M14701" s="3">
        <v>420</v>
      </c>
    </row>
    <row r="14702" spans="1:13" x14ac:dyDescent="0.25">
      <c r="A14702" s="1" t="str">
        <f>HYPERLINK("http://www.rosaceae.org/Prunus/Prunus_persica/p.persica_gdr_reftransV1_0013847","p.persica_gdr_reftransV1_0013847")</f>
        <v>p.persica_gdr_reftransV1_0013847</v>
      </c>
      <c r="B14702" s="3">
        <v>1184</v>
      </c>
      <c r="C14702" s="1" t="str">
        <f>HYPERLINK("http://www.uniprot.org/uniprot/ETFB_ARATH","ETFB_ARATH")</f>
        <v>ETFB_ARATH</v>
      </c>
      <c r="D14702" t="s">
        <v>9575</v>
      </c>
      <c r="E14702" s="3" t="s">
        <v>3</v>
      </c>
      <c r="F14702" s="4">
        <v>2.5899999999999999E-145</v>
      </c>
      <c r="G14702" s="3">
        <v>1079</v>
      </c>
      <c r="H14702" s="3">
        <v>80</v>
      </c>
      <c r="I14702" s="3">
        <v>251</v>
      </c>
      <c r="J14702" s="3">
        <v>119</v>
      </c>
      <c r="K14702" s="3">
        <v>871</v>
      </c>
      <c r="L14702" s="3">
        <v>1</v>
      </c>
      <c r="M14702" s="3">
        <v>251</v>
      </c>
    </row>
    <row r="14703" spans="1:13" x14ac:dyDescent="0.25">
      <c r="A14703" s="1" t="str">
        <f>HYPERLINK("http://www.rosaceae.org/Prunus/Prunus_persica/p.persica_gdr_reftransV1_0013897","p.persica_gdr_reftransV1_0013897")</f>
        <v>p.persica_gdr_reftransV1_0013897</v>
      </c>
      <c r="B14703" s="3">
        <v>3218</v>
      </c>
      <c r="C14703" s="1" t="str">
        <f>HYPERLINK("http://www.uniprot.org/uniprot/DDL_STRT1","DDL_STRT1")</f>
        <v>DDL_STRT1</v>
      </c>
      <c r="D14703" t="s">
        <v>9576</v>
      </c>
      <c r="E14703" s="3" t="s">
        <v>9577</v>
      </c>
      <c r="F14703" s="4">
        <v>6.6399999999999994E-23</v>
      </c>
      <c r="G14703" s="3">
        <v>263</v>
      </c>
      <c r="H14703" s="3">
        <v>28</v>
      </c>
      <c r="I14703" s="3">
        <v>384</v>
      </c>
      <c r="J14703" s="3">
        <v>400</v>
      </c>
      <c r="K14703" s="3">
        <v>1509</v>
      </c>
      <c r="L14703" s="3">
        <v>9</v>
      </c>
      <c r="M14703" s="3">
        <v>333</v>
      </c>
    </row>
    <row r="14704" spans="1:13" x14ac:dyDescent="0.25">
      <c r="A14704" s="1" t="str">
        <f>HYPERLINK("http://www.rosaceae.org/Prunus/Prunus_persica/p.persica_gdr_reftransV1_0013997","p.persica_gdr_reftransV1_0013997")</f>
        <v>p.persica_gdr_reftransV1_0013997</v>
      </c>
      <c r="B14704" s="3">
        <v>661</v>
      </c>
      <c r="C14704" s="1" t="str">
        <f>HYPERLINK("http://www.uniprot.org/uniprot/AKR1_SOYBN","AKR1_SOYBN")</f>
        <v>AKR1_SOYBN</v>
      </c>
      <c r="D14704" t="s">
        <v>796</v>
      </c>
      <c r="E14704" s="3" t="s">
        <v>307</v>
      </c>
      <c r="F14704" s="4">
        <v>1.02E-94</v>
      </c>
      <c r="G14704" s="3">
        <v>734</v>
      </c>
      <c r="H14704" s="3">
        <v>74</v>
      </c>
      <c r="I14704" s="3">
        <v>180</v>
      </c>
      <c r="J14704" s="3">
        <v>3</v>
      </c>
      <c r="K14704" s="3">
        <v>542</v>
      </c>
      <c r="L14704" s="3">
        <v>5</v>
      </c>
      <c r="M14704" s="3">
        <v>184</v>
      </c>
    </row>
    <row r="14705" spans="1:13" x14ac:dyDescent="0.25">
      <c r="A14705" s="1" t="str">
        <f>HYPERLINK("http://www.rosaceae.org/Prunus/Prunus_persica/p.persica_gdr_reftransV1_0014047","p.persica_gdr_reftransV1_0014047")</f>
        <v>p.persica_gdr_reftransV1_0014047</v>
      </c>
      <c r="B14705" s="3">
        <v>3176</v>
      </c>
      <c r="C14705" s="1" t="str">
        <f>HYPERLINK("http://www.uniprot.org/uniprot/NHX2_ARATH","NHX2_ARATH")</f>
        <v>NHX2_ARATH</v>
      </c>
      <c r="D14705" t="s">
        <v>9578</v>
      </c>
      <c r="E14705" s="3" t="s">
        <v>3</v>
      </c>
      <c r="F14705" s="4">
        <v>0</v>
      </c>
      <c r="G14705" s="3">
        <v>1730</v>
      </c>
      <c r="H14705" s="3">
        <v>85</v>
      </c>
      <c r="I14705" s="3">
        <v>397</v>
      </c>
      <c r="J14705" s="3">
        <v>685</v>
      </c>
      <c r="K14705" s="3">
        <v>1875</v>
      </c>
      <c r="L14705" s="3">
        <v>7</v>
      </c>
      <c r="M14705" s="3">
        <v>403</v>
      </c>
    </row>
    <row r="14706" spans="1:13" x14ac:dyDescent="0.25">
      <c r="A14706" s="1" t="str">
        <f>HYPERLINK("http://www.rosaceae.org/Prunus/Prunus_persica/p.persica_gdr_reftransV1_0014247","p.persica_gdr_reftransV1_0014247")</f>
        <v>p.persica_gdr_reftransV1_0014247</v>
      </c>
      <c r="B14706" s="3">
        <v>732</v>
      </c>
      <c r="C14706" s="1" t="str">
        <f>HYPERLINK("http://www.uniprot.org/uniprot/TF29_SCHPO","TF29_SCHPO")</f>
        <v>TF29_SCHPO</v>
      </c>
      <c r="D14706" t="s">
        <v>6490</v>
      </c>
      <c r="E14706" s="3" t="s">
        <v>464</v>
      </c>
      <c r="F14706" s="4">
        <v>3.6600000000000001E-13</v>
      </c>
      <c r="G14706" s="3">
        <v>177</v>
      </c>
      <c r="H14706" s="3">
        <v>34</v>
      </c>
      <c r="I14706" s="3">
        <v>158</v>
      </c>
      <c r="J14706" s="3">
        <v>264</v>
      </c>
      <c r="K14706" s="3">
        <v>725</v>
      </c>
      <c r="L14706" s="3">
        <v>1107</v>
      </c>
      <c r="M14706" s="3">
        <v>1257</v>
      </c>
    </row>
    <row r="14707" spans="1:13" x14ac:dyDescent="0.25">
      <c r="A14707" s="1" t="str">
        <f>HYPERLINK("http://www.rosaceae.org/Prunus/Prunus_persica/p.persica_gdr_reftransV1_0014397","p.persica_gdr_reftransV1_0014397")</f>
        <v>p.persica_gdr_reftransV1_0014397</v>
      </c>
      <c r="B14707" s="3">
        <v>1581</v>
      </c>
      <c r="C14707" s="1" t="str">
        <f>HYPERLINK("http://www.uniprot.org/uniprot/PSYR1_ARATH","PSYR1_ARATH")</f>
        <v>PSYR1_ARATH</v>
      </c>
      <c r="D14707" t="s">
        <v>177</v>
      </c>
      <c r="E14707" s="3" t="s">
        <v>3</v>
      </c>
      <c r="F14707" s="4">
        <v>8.3700000000000004E-71</v>
      </c>
      <c r="G14707" s="3">
        <v>636</v>
      </c>
      <c r="H14707" s="3">
        <v>48</v>
      </c>
      <c r="I14707" s="3">
        <v>313</v>
      </c>
      <c r="J14707" s="3">
        <v>651</v>
      </c>
      <c r="K14707" s="3">
        <v>1580</v>
      </c>
      <c r="L14707" s="3">
        <v>389</v>
      </c>
      <c r="M14707" s="3">
        <v>700</v>
      </c>
    </row>
    <row r="14708" spans="1:13" x14ac:dyDescent="0.25">
      <c r="A14708" s="1" t="str">
        <f>HYPERLINK("http://www.rosaceae.org/Prunus/Prunus_persica/p.persica_gdr_reftransV1_0014447","p.persica_gdr_reftransV1_0014447")</f>
        <v>p.persica_gdr_reftransV1_0014447</v>
      </c>
      <c r="B14708" s="3">
        <v>2251</v>
      </c>
      <c r="C14708" s="1" t="str">
        <f>HYPERLINK("http://www.uniprot.org/uniprot/HDHD3_XENLA","HDHD3_XENLA")</f>
        <v>HDHD3_XENLA</v>
      </c>
      <c r="D14708" t="s">
        <v>2711</v>
      </c>
      <c r="E14708" s="3" t="s">
        <v>475</v>
      </c>
      <c r="F14708" s="4">
        <v>7.2599999999999996E-16</v>
      </c>
      <c r="G14708" s="3">
        <v>202</v>
      </c>
      <c r="H14708" s="3">
        <v>33</v>
      </c>
      <c r="I14708" s="3">
        <v>203</v>
      </c>
      <c r="J14708" s="3">
        <v>1257</v>
      </c>
      <c r="K14708" s="3">
        <v>1823</v>
      </c>
      <c r="L14708" s="3">
        <v>9</v>
      </c>
      <c r="M14708" s="3">
        <v>206</v>
      </c>
    </row>
    <row r="14709" spans="1:13" x14ac:dyDescent="0.25">
      <c r="A14709" s="1" t="str">
        <f>HYPERLINK("http://www.rosaceae.org/Prunus/Prunus_persica/p.persica_gdr_reftransV1_0014647","p.persica_gdr_reftransV1_0014647")</f>
        <v>p.persica_gdr_reftransV1_0014647</v>
      </c>
      <c r="B14709" s="3">
        <v>1198</v>
      </c>
      <c r="C14709" s="1" t="str">
        <f>HYPERLINK("http://www.uniprot.org/uniprot/PUM4_ARATH","PUM4_ARATH")</f>
        <v>PUM4_ARATH</v>
      </c>
      <c r="D14709" t="s">
        <v>6465</v>
      </c>
      <c r="E14709" s="3" t="s">
        <v>3</v>
      </c>
      <c r="F14709" s="4">
        <v>2.3300000000000001E-69</v>
      </c>
      <c r="G14709" s="3">
        <v>613</v>
      </c>
      <c r="H14709" s="3">
        <v>50</v>
      </c>
      <c r="I14709" s="3">
        <v>287</v>
      </c>
      <c r="J14709" s="3">
        <v>60</v>
      </c>
      <c r="K14709" s="3">
        <v>878</v>
      </c>
      <c r="L14709" s="3">
        <v>1</v>
      </c>
      <c r="M14709" s="3">
        <v>284</v>
      </c>
    </row>
    <row r="14710" spans="1:13" x14ac:dyDescent="0.25">
      <c r="A14710" s="1" t="str">
        <f>HYPERLINK("http://www.rosaceae.org/Prunus/Prunus_persica/p.persica_gdr_reftransV1_0014697","p.persica_gdr_reftransV1_0014697")</f>
        <v>p.persica_gdr_reftransV1_0014697</v>
      </c>
      <c r="B14710" s="3">
        <v>8462</v>
      </c>
      <c r="C14710" s="1" t="str">
        <f>HYPERLINK("http://www.uniprot.org/uniprot/PR35B_ARATH","PR35B_ARATH")</f>
        <v>PR35B_ARATH</v>
      </c>
      <c r="D14710" t="s">
        <v>4141</v>
      </c>
      <c r="E14710" s="3" t="s">
        <v>3</v>
      </c>
      <c r="F14710" s="4">
        <v>0</v>
      </c>
      <c r="G14710" s="3">
        <v>1587</v>
      </c>
      <c r="H14710" s="3">
        <v>47</v>
      </c>
      <c r="I14710" s="3">
        <v>794</v>
      </c>
      <c r="J14710" s="3">
        <v>255</v>
      </c>
      <c r="K14710" s="3">
        <v>2585</v>
      </c>
      <c r="L14710" s="3">
        <v>1</v>
      </c>
      <c r="M14710" s="3">
        <v>772</v>
      </c>
    </row>
    <row r="14711" spans="1:13" x14ac:dyDescent="0.25">
      <c r="A14711" s="1" t="str">
        <f>HYPERLINK("http://www.rosaceae.org/Prunus/Prunus_persica/p.persica_gdr_reftransV1_0014797","p.persica_gdr_reftransV1_0014797")</f>
        <v>p.persica_gdr_reftransV1_0014797</v>
      </c>
      <c r="B14711" s="3">
        <v>708</v>
      </c>
      <c r="C14711" s="1" t="str">
        <f>HYPERLINK("http://www.uniprot.org/uniprot/E137_ARATH","E137_ARATH")</f>
        <v>E137_ARATH</v>
      </c>
      <c r="D14711" t="s">
        <v>1950</v>
      </c>
      <c r="E14711" s="3" t="s">
        <v>3</v>
      </c>
      <c r="F14711" s="4">
        <v>1.04E-111</v>
      </c>
      <c r="G14711" s="3">
        <v>863</v>
      </c>
      <c r="H14711" s="3">
        <v>74</v>
      </c>
      <c r="I14711" s="3">
        <v>232</v>
      </c>
      <c r="J14711" s="3">
        <v>2</v>
      </c>
      <c r="K14711" s="3">
        <v>697</v>
      </c>
      <c r="L14711" s="3">
        <v>23</v>
      </c>
      <c r="M14711" s="3">
        <v>254</v>
      </c>
    </row>
    <row r="14712" spans="1:13" x14ac:dyDescent="0.25">
      <c r="A14712" s="1" t="str">
        <f>HYPERLINK("http://www.rosaceae.org/Prunus/Prunus_persica/p.persica_gdr_reftransV1_0014847","p.persica_gdr_reftransV1_0014847")</f>
        <v>p.persica_gdr_reftransV1_0014847</v>
      </c>
      <c r="B14712" s="3">
        <v>2114</v>
      </c>
      <c r="C14712" s="1" t="str">
        <f>HYPERLINK("http://www.uniprot.org/uniprot/WVD2_ARATH","WVD2_ARATH")</f>
        <v>WVD2_ARATH</v>
      </c>
      <c r="D14712" t="s">
        <v>2325</v>
      </c>
      <c r="E14712" s="3" t="s">
        <v>3</v>
      </c>
      <c r="F14712" s="4">
        <v>2.7499999999999999E-35</v>
      </c>
      <c r="G14712" s="3">
        <v>345</v>
      </c>
      <c r="H14712" s="3">
        <v>69</v>
      </c>
      <c r="I14712" s="3">
        <v>137</v>
      </c>
      <c r="J14712" s="3">
        <v>1203</v>
      </c>
      <c r="K14712" s="3">
        <v>1613</v>
      </c>
      <c r="L14712" s="3">
        <v>59</v>
      </c>
      <c r="M14712" s="3">
        <v>190</v>
      </c>
    </row>
    <row r="14713" spans="1:13" x14ac:dyDescent="0.25">
      <c r="A14713" s="1" t="str">
        <f>HYPERLINK("http://www.rosaceae.org/Prunus/Prunus_persica/p.persica_gdr_reftransV1_0014897","p.persica_gdr_reftransV1_0014897")</f>
        <v>p.persica_gdr_reftransV1_0014897</v>
      </c>
      <c r="B14713" s="3">
        <v>2862</v>
      </c>
      <c r="C14713" s="1" t="str">
        <f>HYPERLINK("http://www.uniprot.org/uniprot/SBT17_ARATH","SBT17_ARATH")</f>
        <v>SBT17_ARATH</v>
      </c>
      <c r="D14713" t="s">
        <v>218</v>
      </c>
      <c r="E14713" s="3" t="s">
        <v>3</v>
      </c>
      <c r="F14713" s="4">
        <v>0</v>
      </c>
      <c r="G14713" s="3">
        <v>1861</v>
      </c>
      <c r="H14713" s="3">
        <v>55</v>
      </c>
      <c r="I14713" s="3">
        <v>738</v>
      </c>
      <c r="J14713" s="3">
        <v>390</v>
      </c>
      <c r="K14713" s="3">
        <v>2585</v>
      </c>
      <c r="L14713" s="3">
        <v>31</v>
      </c>
      <c r="M14713" s="3">
        <v>757</v>
      </c>
    </row>
    <row r="14714" spans="1:13" x14ac:dyDescent="0.25">
      <c r="A14714" s="1" t="str">
        <f>HYPERLINK("http://www.rosaceae.org/Prunus/Prunus_persica/p.persica_gdr_reftransV1_0014947","p.persica_gdr_reftransV1_0014947")</f>
        <v>p.persica_gdr_reftransV1_0014947</v>
      </c>
      <c r="B14714" s="3">
        <v>522</v>
      </c>
      <c r="C14714" s="1" t="str">
        <f>HYPERLINK("http://www.uniprot.org/uniprot/GUN25_ARATH","GUN25_ARATH")</f>
        <v>GUN25_ARATH</v>
      </c>
      <c r="D14714" t="s">
        <v>4816</v>
      </c>
      <c r="E14714" s="3" t="s">
        <v>3</v>
      </c>
      <c r="F14714" s="4">
        <v>1.51E-61</v>
      </c>
      <c r="G14714" s="3">
        <v>525</v>
      </c>
      <c r="H14714" s="3">
        <v>75</v>
      </c>
      <c r="I14714" s="3">
        <v>154</v>
      </c>
      <c r="J14714" s="3">
        <v>1</v>
      </c>
      <c r="K14714" s="3">
        <v>459</v>
      </c>
      <c r="L14714" s="3">
        <v>455</v>
      </c>
      <c r="M14714" s="3">
        <v>605</v>
      </c>
    </row>
    <row r="14715" spans="1:13" x14ac:dyDescent="0.25">
      <c r="A14715" s="1" t="str">
        <f>HYPERLINK("http://www.rosaceae.org/Prunus/Prunus_persica/p.persica_gdr_reftransV1_0015147","p.persica_gdr_reftransV1_0015147")</f>
        <v>p.persica_gdr_reftransV1_0015147</v>
      </c>
      <c r="B14715" s="3">
        <v>4766</v>
      </c>
      <c r="C14715" s="1" t="str">
        <f>HYPERLINK("http://www.uniprot.org/uniprot/Y9963_DICDI","Y9963_DICDI")</f>
        <v>Y9963_DICDI</v>
      </c>
      <c r="D14715" t="s">
        <v>9579</v>
      </c>
      <c r="E14715" s="3" t="s">
        <v>9</v>
      </c>
      <c r="F14715" s="4">
        <v>1.38E-47</v>
      </c>
      <c r="G14715" s="3">
        <v>485</v>
      </c>
      <c r="H14715" s="3">
        <v>38</v>
      </c>
      <c r="I14715" s="3">
        <v>282</v>
      </c>
      <c r="J14715" s="3">
        <v>3161</v>
      </c>
      <c r="K14715" s="3">
        <v>3988</v>
      </c>
      <c r="L14715" s="3">
        <v>1061</v>
      </c>
      <c r="M14715" s="3">
        <v>1327</v>
      </c>
    </row>
    <row r="14716" spans="1:13" x14ac:dyDescent="0.25">
      <c r="A14716" s="1" t="str">
        <f>HYPERLINK("http://www.rosaceae.org/Prunus/Prunus_persica/p.persica_gdr_reftransV1_0015297","p.persica_gdr_reftransV1_0015297")</f>
        <v>p.persica_gdr_reftransV1_0015297</v>
      </c>
      <c r="B14716" s="3">
        <v>1056</v>
      </c>
      <c r="C14716" s="1" t="str">
        <f>HYPERLINK("http://www.uniprot.org/uniprot/NAA11_HUMAN","NAA11_HUMAN")</f>
        <v>NAA11_HUMAN</v>
      </c>
      <c r="D14716" t="s">
        <v>9580</v>
      </c>
      <c r="E14716" s="3" t="s">
        <v>28</v>
      </c>
      <c r="F14716" s="4">
        <v>2.9100000000000002E-66</v>
      </c>
      <c r="G14716" s="3">
        <v>547</v>
      </c>
      <c r="H14716" s="3">
        <v>69</v>
      </c>
      <c r="I14716" s="3">
        <v>149</v>
      </c>
      <c r="J14716" s="3">
        <v>436</v>
      </c>
      <c r="K14716" s="3">
        <v>879</v>
      </c>
      <c r="L14716" s="3">
        <v>3</v>
      </c>
      <c r="M14716" s="3">
        <v>151</v>
      </c>
    </row>
    <row r="14717" spans="1:13" x14ac:dyDescent="0.25">
      <c r="A14717" s="1" t="str">
        <f>HYPERLINK("http://www.rosaceae.org/Prunus/Prunus_persica/p.persica_gdr_reftransV1_0015397","p.persica_gdr_reftransV1_0015397")</f>
        <v>p.persica_gdr_reftransV1_0015397</v>
      </c>
      <c r="B14717" s="3">
        <v>1052</v>
      </c>
      <c r="C14717" s="1" t="str">
        <f>HYPERLINK("http://www.uniprot.org/uniprot/RPS4C_ARATH","RPS4C_ARATH")</f>
        <v>RPS4C_ARATH</v>
      </c>
      <c r="D14717" t="s">
        <v>9581</v>
      </c>
      <c r="E14717" s="3" t="s">
        <v>3</v>
      </c>
      <c r="F14717" s="4">
        <v>3.0599999999999999E-20</v>
      </c>
      <c r="G14717" s="3">
        <v>238</v>
      </c>
      <c r="H14717" s="3">
        <v>29</v>
      </c>
      <c r="I14717" s="3">
        <v>272</v>
      </c>
      <c r="J14717" s="3">
        <v>26</v>
      </c>
      <c r="K14717" s="3">
        <v>760</v>
      </c>
      <c r="L14717" s="3">
        <v>850</v>
      </c>
      <c r="M14717" s="3">
        <v>1116</v>
      </c>
    </row>
    <row r="14718" spans="1:13" x14ac:dyDescent="0.25">
      <c r="A14718" s="1" t="str">
        <f>HYPERLINK("http://www.rosaceae.org/Prunus/Prunus_persica/p.persica_gdr_reftransV1_0015647","p.persica_gdr_reftransV1_0015647")</f>
        <v>p.persica_gdr_reftransV1_0015647</v>
      </c>
      <c r="B14718" s="3">
        <v>4923</v>
      </c>
      <c r="C14718" s="1" t="str">
        <f>HYPERLINK("http://www.uniprot.org/uniprot/LONP2_SPIOL","LONP2_SPIOL")</f>
        <v>LONP2_SPIOL</v>
      </c>
      <c r="D14718" t="s">
        <v>9582</v>
      </c>
      <c r="E14718" s="3" t="s">
        <v>131</v>
      </c>
      <c r="F14718" s="4">
        <v>0</v>
      </c>
      <c r="G14718" s="3">
        <v>3524</v>
      </c>
      <c r="H14718" s="3">
        <v>84</v>
      </c>
      <c r="I14718" s="3">
        <v>840</v>
      </c>
      <c r="J14718" s="3">
        <v>148</v>
      </c>
      <c r="K14718" s="3">
        <v>2667</v>
      </c>
      <c r="L14718" s="3">
        <v>1</v>
      </c>
      <c r="M14718" s="3">
        <v>840</v>
      </c>
    </row>
    <row r="14719" spans="1:13" x14ac:dyDescent="0.25">
      <c r="A14719" s="1" t="str">
        <f>HYPERLINK("http://www.rosaceae.org/Prunus/Prunus_persica/p.persica_gdr_reftransV1_0015947","p.persica_gdr_reftransV1_0015947")</f>
        <v>p.persica_gdr_reftransV1_0015947</v>
      </c>
      <c r="B14719" s="3">
        <v>1859</v>
      </c>
      <c r="C14719" s="1" t="str">
        <f>HYPERLINK("http://www.uniprot.org/uniprot/MIK_ARATH","MIK_ARATH")</f>
        <v>MIK_ARATH</v>
      </c>
      <c r="D14719" t="s">
        <v>9583</v>
      </c>
      <c r="E14719" s="3" t="s">
        <v>3</v>
      </c>
      <c r="F14719" s="4">
        <v>1.1699999999999999E-118</v>
      </c>
      <c r="G14719" s="3">
        <v>933</v>
      </c>
      <c r="H14719" s="3">
        <v>66</v>
      </c>
      <c r="I14719" s="3">
        <v>296</v>
      </c>
      <c r="J14719" s="3">
        <v>828</v>
      </c>
      <c r="K14719" s="3">
        <v>1715</v>
      </c>
      <c r="L14719" s="3">
        <v>2</v>
      </c>
      <c r="M14719" s="3">
        <v>295</v>
      </c>
    </row>
    <row r="14720" spans="1:13" x14ac:dyDescent="0.25">
      <c r="A14720" s="1" t="str">
        <f>HYPERLINK("http://www.rosaceae.org/Prunus/Prunus_persica/p.persica_gdr_reftransV1_0015997","p.persica_gdr_reftransV1_0015997")</f>
        <v>p.persica_gdr_reftransV1_0015997</v>
      </c>
      <c r="B14720" s="3">
        <v>2728</v>
      </c>
      <c r="C14720" s="1" t="str">
        <f>HYPERLINK("http://www.uniprot.org/uniprot/FBK8_ARATH","FBK8_ARATH")</f>
        <v>FBK8_ARATH</v>
      </c>
      <c r="D14720" t="s">
        <v>2871</v>
      </c>
      <c r="E14720" s="3" t="s">
        <v>3</v>
      </c>
      <c r="F14720" s="4">
        <v>0</v>
      </c>
      <c r="G14720" s="3">
        <v>1561</v>
      </c>
      <c r="H14720" s="3">
        <v>65</v>
      </c>
      <c r="I14720" s="3">
        <v>478</v>
      </c>
      <c r="J14720" s="3">
        <v>947</v>
      </c>
      <c r="K14720" s="3">
        <v>2377</v>
      </c>
      <c r="L14720" s="3">
        <v>1</v>
      </c>
      <c r="M14720" s="3">
        <v>475</v>
      </c>
    </row>
    <row r="14721" spans="1:13" x14ac:dyDescent="0.25">
      <c r="A14721" s="1" t="str">
        <f>HYPERLINK("http://www.rosaceae.org/Prunus/Prunus_persica/p.persica_gdr_reftransV1_0016197","p.persica_gdr_reftransV1_0016197")</f>
        <v>p.persica_gdr_reftransV1_0016197</v>
      </c>
      <c r="B14721" s="3">
        <v>1886</v>
      </c>
      <c r="C14721" s="1" t="str">
        <f>HYPERLINK("http://www.uniprot.org/uniprot/MNIF1_ARATH","MNIF1_ARATH")</f>
        <v>MNIF1_ARATH</v>
      </c>
      <c r="D14721" t="s">
        <v>9584</v>
      </c>
      <c r="E14721" s="3" t="s">
        <v>3</v>
      </c>
      <c r="F14721" s="4">
        <v>0</v>
      </c>
      <c r="G14721" s="3">
        <v>1863</v>
      </c>
      <c r="H14721" s="3">
        <v>77</v>
      </c>
      <c r="I14721" s="3">
        <v>457</v>
      </c>
      <c r="J14721" s="3">
        <v>88</v>
      </c>
      <c r="K14721" s="3">
        <v>1458</v>
      </c>
      <c r="L14721" s="3">
        <v>1</v>
      </c>
      <c r="M14721" s="3">
        <v>453</v>
      </c>
    </row>
    <row r="14722" spans="1:13" x14ac:dyDescent="0.25">
      <c r="A14722" s="1" t="str">
        <f>HYPERLINK("http://www.rosaceae.org/Prunus/Prunus_persica/p.persica_gdr_reftransV1_0016247","p.persica_gdr_reftransV1_0016247")</f>
        <v>p.persica_gdr_reftransV1_0016247</v>
      </c>
      <c r="B14722" s="3">
        <v>1508</v>
      </c>
      <c r="C14722" s="1" t="str">
        <f>HYPERLINK("http://www.uniprot.org/uniprot/ACCO2_MALDO","ACCO2_MALDO")</f>
        <v>ACCO2_MALDO</v>
      </c>
      <c r="D14722" t="s">
        <v>9585</v>
      </c>
      <c r="E14722" s="3" t="s">
        <v>540</v>
      </c>
      <c r="F14722" s="4">
        <v>0</v>
      </c>
      <c r="G14722" s="3">
        <v>1375</v>
      </c>
      <c r="H14722" s="3">
        <v>85</v>
      </c>
      <c r="I14722" s="3">
        <v>330</v>
      </c>
      <c r="J14722" s="3">
        <v>429</v>
      </c>
      <c r="K14722" s="3">
        <v>1409</v>
      </c>
      <c r="L14722" s="3">
        <v>1</v>
      </c>
      <c r="M14722" s="3">
        <v>326</v>
      </c>
    </row>
    <row r="14723" spans="1:13" x14ac:dyDescent="0.25">
      <c r="A14723" s="1" t="str">
        <f>HYPERLINK("http://www.rosaceae.org/Prunus/Prunus_persica/p.persica_gdr_reftransV1_0016297","p.persica_gdr_reftransV1_0016297")</f>
        <v>p.persica_gdr_reftransV1_0016297</v>
      </c>
      <c r="B14723" s="3">
        <v>3902</v>
      </c>
      <c r="C14723" s="1" t="str">
        <f>HYPERLINK("http://www.uniprot.org/uniprot/PIF3_ARATH","PIF3_ARATH")</f>
        <v>PIF3_ARATH</v>
      </c>
      <c r="D14723" t="s">
        <v>9586</v>
      </c>
      <c r="E14723" s="3" t="s">
        <v>3</v>
      </c>
      <c r="F14723" s="4">
        <v>4.9100000000000002E-51</v>
      </c>
      <c r="G14723" s="3">
        <v>494</v>
      </c>
      <c r="H14723" s="3">
        <v>57</v>
      </c>
      <c r="I14723" s="3">
        <v>199</v>
      </c>
      <c r="J14723" s="3">
        <v>1473</v>
      </c>
      <c r="K14723" s="3">
        <v>2045</v>
      </c>
      <c r="L14723" s="3">
        <v>240</v>
      </c>
      <c r="M14723" s="3">
        <v>420</v>
      </c>
    </row>
    <row r="14724" spans="1:13" x14ac:dyDescent="0.25">
      <c r="A14724" s="1" t="str">
        <f>HYPERLINK("http://www.rosaceae.org/Prunus/Prunus_persica/p.persica_gdr_reftransV1_0016397","p.persica_gdr_reftransV1_0016397")</f>
        <v>p.persica_gdr_reftransV1_0016397</v>
      </c>
      <c r="B14724" s="3">
        <v>2310</v>
      </c>
      <c r="C14724" s="1" t="str">
        <f>HYPERLINK("http://www.uniprot.org/uniprot/HAT5_ARATH","HAT5_ARATH")</f>
        <v>HAT5_ARATH</v>
      </c>
      <c r="D14724" t="s">
        <v>2876</v>
      </c>
      <c r="E14724" s="3" t="s">
        <v>3</v>
      </c>
      <c r="F14724" s="4">
        <v>2.7000000000000001E-39</v>
      </c>
      <c r="G14724" s="3">
        <v>381</v>
      </c>
      <c r="H14724" s="3">
        <v>44</v>
      </c>
      <c r="I14724" s="3">
        <v>218</v>
      </c>
      <c r="J14724" s="3">
        <v>1031</v>
      </c>
      <c r="K14724" s="3">
        <v>1675</v>
      </c>
      <c r="L14724" s="3">
        <v>27</v>
      </c>
      <c r="M14724" s="3">
        <v>223</v>
      </c>
    </row>
    <row r="14725" spans="1:13" x14ac:dyDescent="0.25">
      <c r="A14725" s="1" t="str">
        <f>HYPERLINK("http://www.rosaceae.org/Prunus/Prunus_persica/p.persica_gdr_reftransV1_0016447","p.persica_gdr_reftransV1_0016447")</f>
        <v>p.persica_gdr_reftransV1_0016447</v>
      </c>
      <c r="B14725" s="3">
        <v>2742</v>
      </c>
      <c r="C14725" s="1" t="str">
        <f>HYPERLINK("http://www.uniprot.org/uniprot/SUT42_ARATH","SUT42_ARATH")</f>
        <v>SUT42_ARATH</v>
      </c>
      <c r="D14725" t="s">
        <v>9587</v>
      </c>
      <c r="E14725" s="3" t="s">
        <v>3</v>
      </c>
      <c r="F14725" s="4">
        <v>0</v>
      </c>
      <c r="G14725" s="3">
        <v>1913</v>
      </c>
      <c r="H14725" s="3">
        <v>74</v>
      </c>
      <c r="I14725" s="3">
        <v>576</v>
      </c>
      <c r="J14725" s="3">
        <v>275</v>
      </c>
      <c r="K14725" s="3">
        <v>2002</v>
      </c>
      <c r="L14725" s="3">
        <v>113</v>
      </c>
      <c r="M14725" s="3">
        <v>676</v>
      </c>
    </row>
    <row r="14726" spans="1:13" x14ac:dyDescent="0.25">
      <c r="A14726" s="1" t="str">
        <f>HYPERLINK("http://www.rosaceae.org/Prunus/Prunus_persica/p.persica_gdr_reftransV1_0016497","p.persica_gdr_reftransV1_0016497")</f>
        <v>p.persica_gdr_reftransV1_0016497</v>
      </c>
      <c r="B14726" s="3">
        <v>1852</v>
      </c>
      <c r="C14726" s="1" t="str">
        <f>HYPERLINK("http://www.uniprot.org/uniprot/RPI4_ARATH","RPI4_ARATH")</f>
        <v>RPI4_ARATH</v>
      </c>
      <c r="D14726" t="s">
        <v>8556</v>
      </c>
      <c r="E14726" s="3" t="s">
        <v>3</v>
      </c>
      <c r="F14726" s="4">
        <v>1.24E-48</v>
      </c>
      <c r="G14726" s="3">
        <v>448</v>
      </c>
      <c r="H14726" s="3">
        <v>62</v>
      </c>
      <c r="I14726" s="3">
        <v>136</v>
      </c>
      <c r="J14726" s="3">
        <v>695</v>
      </c>
      <c r="K14726" s="3">
        <v>1099</v>
      </c>
      <c r="L14726" s="3">
        <v>125</v>
      </c>
      <c r="M14726" s="3">
        <v>260</v>
      </c>
    </row>
    <row r="14727" spans="1:13" x14ac:dyDescent="0.25">
      <c r="A14727" s="1" t="str">
        <f>HYPERLINK("http://www.rosaceae.org/Prunus/Prunus_persica/p.persica_gdr_reftransV1_0016547","p.persica_gdr_reftransV1_0016547")</f>
        <v>p.persica_gdr_reftransV1_0016547</v>
      </c>
      <c r="B14727" s="3">
        <v>1626</v>
      </c>
      <c r="C14727" s="1" t="str">
        <f>HYPERLINK("http://www.uniprot.org/uniprot/TON1B_ARATH","TON1B_ARATH")</f>
        <v>TON1B_ARATH</v>
      </c>
      <c r="D14727" t="s">
        <v>839</v>
      </c>
      <c r="E14727" s="3" t="s">
        <v>3</v>
      </c>
      <c r="F14727" s="4">
        <v>6.6299999999999999E-76</v>
      </c>
      <c r="G14727" s="3">
        <v>630</v>
      </c>
      <c r="H14727" s="3">
        <v>89</v>
      </c>
      <c r="I14727" s="3">
        <v>144</v>
      </c>
      <c r="J14727" s="3">
        <v>160</v>
      </c>
      <c r="K14727" s="3">
        <v>591</v>
      </c>
      <c r="L14727" s="3">
        <v>1</v>
      </c>
      <c r="M14727" s="3">
        <v>144</v>
      </c>
    </row>
    <row r="14728" spans="1:13" x14ac:dyDescent="0.25">
      <c r="A14728" s="1" t="str">
        <f>HYPERLINK("http://www.rosaceae.org/Prunus/Prunus_persica/p.persica_gdr_reftransV1_0016597","p.persica_gdr_reftransV1_0016597")</f>
        <v>p.persica_gdr_reftransV1_0016597</v>
      </c>
      <c r="B14728" s="3">
        <v>4844</v>
      </c>
      <c r="C14728" s="1" t="str">
        <f>HYPERLINK("http://www.uniprot.org/uniprot/B2_DAUCA","B2_DAUCA")</f>
        <v>B2_DAUCA</v>
      </c>
      <c r="D14728" t="s">
        <v>1441</v>
      </c>
      <c r="E14728" s="3" t="s">
        <v>32</v>
      </c>
      <c r="F14728" s="4">
        <v>3.4499999999999999E-16</v>
      </c>
      <c r="G14728" s="3">
        <v>207</v>
      </c>
      <c r="H14728" s="3">
        <v>37</v>
      </c>
      <c r="I14728" s="3">
        <v>134</v>
      </c>
      <c r="J14728" s="3">
        <v>907</v>
      </c>
      <c r="K14728" s="3">
        <v>1296</v>
      </c>
      <c r="L14728" s="3">
        <v>76</v>
      </c>
      <c r="M14728" s="3">
        <v>207</v>
      </c>
    </row>
    <row r="14729" spans="1:13" x14ac:dyDescent="0.25">
      <c r="A14729" s="1" t="str">
        <f>HYPERLINK("http://www.rosaceae.org/Prunus/Prunus_persica/p.persica_gdr_reftransV1_0016697","p.persica_gdr_reftransV1_0016697")</f>
        <v>p.persica_gdr_reftransV1_0016697</v>
      </c>
      <c r="B14729" s="3">
        <v>3947</v>
      </c>
      <c r="C14729" s="1" t="str">
        <f>HYPERLINK("http://www.uniprot.org/uniprot/U2AF2_DROME","U2AF2_DROME")</f>
        <v>U2AF2_DROME</v>
      </c>
      <c r="D14729" t="s">
        <v>5875</v>
      </c>
      <c r="E14729" s="3" t="s">
        <v>5</v>
      </c>
      <c r="F14729" s="4">
        <v>4.3699999999999999E-14</v>
      </c>
      <c r="G14729" s="3">
        <v>195</v>
      </c>
      <c r="H14729" s="3">
        <v>30</v>
      </c>
      <c r="I14729" s="3">
        <v>226</v>
      </c>
      <c r="J14729" s="3">
        <v>1498</v>
      </c>
      <c r="K14729" s="3">
        <v>2163</v>
      </c>
      <c r="L14729" s="3">
        <v>65</v>
      </c>
      <c r="M14729" s="3">
        <v>256</v>
      </c>
    </row>
    <row r="14730" spans="1:13" x14ac:dyDescent="0.25">
      <c r="A14730" s="1" t="str">
        <f>HYPERLINK("http://www.rosaceae.org/Prunus/Prunus_persica/p.persica_gdr_reftransV1_0016797","p.persica_gdr_reftransV1_0016797")</f>
        <v>p.persica_gdr_reftransV1_0016797</v>
      </c>
      <c r="B14730" s="3">
        <v>1851</v>
      </c>
      <c r="C14730" s="1" t="str">
        <f>HYPERLINK("http://www.uniprot.org/uniprot/GLYT3_ARATH","GLYT3_ARATH")</f>
        <v>GLYT3_ARATH</v>
      </c>
      <c r="D14730" t="s">
        <v>2169</v>
      </c>
      <c r="E14730" s="3" t="s">
        <v>3</v>
      </c>
      <c r="F14730" s="4">
        <v>1.8100000000000001E-75</v>
      </c>
      <c r="G14730" s="3">
        <v>654</v>
      </c>
      <c r="H14730" s="3">
        <v>37</v>
      </c>
      <c r="I14730" s="3">
        <v>348</v>
      </c>
      <c r="J14730" s="3">
        <v>384</v>
      </c>
      <c r="K14730" s="3">
        <v>1400</v>
      </c>
      <c r="L14730" s="3">
        <v>172</v>
      </c>
      <c r="M14730" s="3">
        <v>514</v>
      </c>
    </row>
    <row r="14731" spans="1:13" x14ac:dyDescent="0.25">
      <c r="A14731" s="1" t="str">
        <f>HYPERLINK("http://www.rosaceae.org/Prunus/Prunus_persica/p.persica_gdr_reftransV1_0017047","p.persica_gdr_reftransV1_0017047")</f>
        <v>p.persica_gdr_reftransV1_0017047</v>
      </c>
      <c r="B14731" s="3">
        <v>1881</v>
      </c>
      <c r="C14731" s="1" t="str">
        <f>HYPERLINK("http://www.uniprot.org/uniprot/ZDHC9_ARATH","ZDHC9_ARATH")</f>
        <v>ZDHC9_ARATH</v>
      </c>
      <c r="D14731" t="s">
        <v>3591</v>
      </c>
      <c r="E14731" s="3" t="s">
        <v>3</v>
      </c>
      <c r="F14731" s="4">
        <v>1.38E-160</v>
      </c>
      <c r="G14731" s="3">
        <v>1222</v>
      </c>
      <c r="H14731" s="3">
        <v>59</v>
      </c>
      <c r="I14731" s="3">
        <v>412</v>
      </c>
      <c r="J14731" s="3">
        <v>293</v>
      </c>
      <c r="K14731" s="3">
        <v>1504</v>
      </c>
      <c r="L14731" s="3">
        <v>16</v>
      </c>
      <c r="M14731" s="3">
        <v>425</v>
      </c>
    </row>
    <row r="14732" spans="1:13" x14ac:dyDescent="0.25">
      <c r="A14732" s="1" t="str">
        <f>HYPERLINK("http://www.rosaceae.org/Prunus/Prunus_persica/p.persica_gdr_reftransV1_0017147","p.persica_gdr_reftransV1_0017147")</f>
        <v>p.persica_gdr_reftransV1_0017147</v>
      </c>
      <c r="B14732" s="3">
        <v>2110</v>
      </c>
      <c r="C14732" s="1" t="str">
        <f>HYPERLINK("http://www.uniprot.org/uniprot/CDC73_ARATH","CDC73_ARATH")</f>
        <v>CDC73_ARATH</v>
      </c>
      <c r="D14732" t="s">
        <v>9588</v>
      </c>
      <c r="E14732" s="3" t="s">
        <v>3</v>
      </c>
      <c r="F14732" s="4">
        <v>0</v>
      </c>
      <c r="G14732" s="3">
        <v>1413</v>
      </c>
      <c r="H14732" s="3">
        <v>70</v>
      </c>
      <c r="I14732" s="3">
        <v>421</v>
      </c>
      <c r="J14732" s="3">
        <v>776</v>
      </c>
      <c r="K14732" s="3">
        <v>2002</v>
      </c>
      <c r="L14732" s="3">
        <v>1</v>
      </c>
      <c r="M14732" s="3">
        <v>415</v>
      </c>
    </row>
    <row r="14733" spans="1:13" x14ac:dyDescent="0.25">
      <c r="A14733" s="1" t="str">
        <f>HYPERLINK("http://www.rosaceae.org/Prunus/Prunus_persica/p.persica_gdr_reftransV1_0017497","p.persica_gdr_reftransV1_0017497")</f>
        <v>p.persica_gdr_reftransV1_0017497</v>
      </c>
      <c r="B14733" s="3">
        <v>2256</v>
      </c>
      <c r="C14733" s="1" t="str">
        <f>HYPERLINK("http://www.uniprot.org/uniprot/RH18_ARATH","RH18_ARATH")</f>
        <v>RH18_ARATH</v>
      </c>
      <c r="D14733" t="s">
        <v>9589</v>
      </c>
      <c r="E14733" s="3" t="s">
        <v>3</v>
      </c>
      <c r="F14733" s="4">
        <v>0</v>
      </c>
      <c r="G14733" s="3">
        <v>2073</v>
      </c>
      <c r="H14733" s="3">
        <v>71</v>
      </c>
      <c r="I14733" s="3">
        <v>597</v>
      </c>
      <c r="J14733" s="3">
        <v>455</v>
      </c>
      <c r="K14733" s="3">
        <v>2227</v>
      </c>
      <c r="L14733" s="3">
        <v>1</v>
      </c>
      <c r="M14733" s="3">
        <v>593</v>
      </c>
    </row>
    <row r="14734" spans="1:13" x14ac:dyDescent="0.25">
      <c r="A14734" s="1" t="str">
        <f>HYPERLINK("http://www.rosaceae.org/Prunus/Prunus_persica/p.persica_gdr_reftransV1_0017647","p.persica_gdr_reftransV1_0017647")</f>
        <v>p.persica_gdr_reftransV1_0017647</v>
      </c>
      <c r="B14734" s="3">
        <v>4423</v>
      </c>
      <c r="C14734" s="1" t="str">
        <f>HYPERLINK("http://www.uniprot.org/uniprot/MNS4_ARATH","MNS4_ARATH")</f>
        <v>MNS4_ARATH</v>
      </c>
      <c r="D14734" t="s">
        <v>9590</v>
      </c>
      <c r="E14734" s="3" t="s">
        <v>3</v>
      </c>
      <c r="F14734" s="4">
        <v>8.7499999999999996E-110</v>
      </c>
      <c r="G14734" s="3">
        <v>942</v>
      </c>
      <c r="H14734" s="3">
        <v>89</v>
      </c>
      <c r="I14734" s="3">
        <v>187</v>
      </c>
      <c r="J14734" s="3">
        <v>1814</v>
      </c>
      <c r="K14734" s="3">
        <v>2374</v>
      </c>
      <c r="L14734" s="3">
        <v>253</v>
      </c>
      <c r="M14734" s="3">
        <v>439</v>
      </c>
    </row>
    <row r="14735" spans="1:13" x14ac:dyDescent="0.25">
      <c r="A14735" s="1" t="str">
        <f>HYPERLINK("http://www.rosaceae.org/Prunus/Prunus_persica/p.persica_gdr_reftransV1_0017697","p.persica_gdr_reftransV1_0017697")</f>
        <v>p.persica_gdr_reftransV1_0017697</v>
      </c>
      <c r="B14735" s="3">
        <v>2158</v>
      </c>
      <c r="C14735" s="1" t="str">
        <f>HYPERLINK("http://www.uniprot.org/uniprot/CRK35_ARATH","CRK35_ARATH")</f>
        <v>CRK35_ARATH</v>
      </c>
      <c r="D14735" t="s">
        <v>9591</v>
      </c>
      <c r="E14735" s="3" t="s">
        <v>3</v>
      </c>
      <c r="F14735" s="4">
        <v>6.3400000000000002E-84</v>
      </c>
      <c r="G14735" s="3">
        <v>730</v>
      </c>
      <c r="H14735" s="3">
        <v>59</v>
      </c>
      <c r="I14735" s="3">
        <v>232</v>
      </c>
      <c r="J14735" s="3">
        <v>1126</v>
      </c>
      <c r="K14735" s="3">
        <v>1818</v>
      </c>
      <c r="L14735" s="3">
        <v>323</v>
      </c>
      <c r="M14735" s="3">
        <v>553</v>
      </c>
    </row>
    <row r="14736" spans="1:13" x14ac:dyDescent="0.25">
      <c r="A14736" s="1" t="str">
        <f>HYPERLINK("http://www.rosaceae.org/Prunus/Prunus_persica/p.persica_gdr_reftransV1_0017797","p.persica_gdr_reftransV1_0017797")</f>
        <v>p.persica_gdr_reftransV1_0017797</v>
      </c>
      <c r="B14736" s="3">
        <v>2658</v>
      </c>
      <c r="C14736" s="1" t="str">
        <f>HYPERLINK("http://www.uniprot.org/uniprot/PEX7_ARATH","PEX7_ARATH")</f>
        <v>PEX7_ARATH</v>
      </c>
      <c r="D14736" t="s">
        <v>9592</v>
      </c>
      <c r="E14736" s="3" t="s">
        <v>3</v>
      </c>
      <c r="F14736" s="4">
        <v>0</v>
      </c>
      <c r="G14736" s="3">
        <v>1439</v>
      </c>
      <c r="H14736" s="3">
        <v>80</v>
      </c>
      <c r="I14736" s="3">
        <v>323</v>
      </c>
      <c r="J14736" s="3">
        <v>132</v>
      </c>
      <c r="K14736" s="3">
        <v>1100</v>
      </c>
      <c r="L14736" s="3">
        <v>1</v>
      </c>
      <c r="M14736" s="3">
        <v>316</v>
      </c>
    </row>
    <row r="14737" spans="1:13" x14ac:dyDescent="0.25">
      <c r="A14737" s="1" t="str">
        <f>HYPERLINK("http://www.rosaceae.org/Prunus/Prunus_persica/p.persica_gdr_reftransV1_0018047","p.persica_gdr_reftransV1_0018047")</f>
        <v>p.persica_gdr_reftransV1_0018047</v>
      </c>
      <c r="B14737" s="3">
        <v>2035</v>
      </c>
      <c r="C14737" s="1" t="str">
        <f>HYPERLINK("http://www.uniprot.org/uniprot/QWRF3_ARATH","QWRF3_ARATH")</f>
        <v>QWRF3_ARATH</v>
      </c>
      <c r="D14737" t="s">
        <v>9593</v>
      </c>
      <c r="E14737" s="3" t="s">
        <v>3</v>
      </c>
      <c r="F14737" s="4">
        <v>6.2200000000000001E-60</v>
      </c>
      <c r="G14737" s="3">
        <v>545</v>
      </c>
      <c r="H14737" s="3">
        <v>39</v>
      </c>
      <c r="I14737" s="3">
        <v>388</v>
      </c>
      <c r="J14737" s="3">
        <v>299</v>
      </c>
      <c r="K14737" s="3">
        <v>1444</v>
      </c>
      <c r="L14737" s="3">
        <v>99</v>
      </c>
      <c r="M14737" s="3">
        <v>468</v>
      </c>
    </row>
    <row r="14738" spans="1:13" x14ac:dyDescent="0.25">
      <c r="A14738" s="1" t="str">
        <f>HYPERLINK("http://www.rosaceae.org/Prunus/Prunus_persica/p.persica_gdr_reftransV1_0018197","p.persica_gdr_reftransV1_0018197")</f>
        <v>p.persica_gdr_reftransV1_0018197</v>
      </c>
      <c r="B14738" s="3">
        <v>1449</v>
      </c>
      <c r="C14738" s="1" t="str">
        <f>HYPERLINK("http://www.uniprot.org/uniprot/AFP3_ARATH","AFP3_ARATH")</f>
        <v>AFP3_ARATH</v>
      </c>
      <c r="D14738" t="s">
        <v>5253</v>
      </c>
      <c r="E14738" s="3" t="s">
        <v>3</v>
      </c>
      <c r="F14738" s="4">
        <v>5.4199999999999996E-26</v>
      </c>
      <c r="G14738" s="3">
        <v>273</v>
      </c>
      <c r="H14738" s="3">
        <v>68</v>
      </c>
      <c r="I14738" s="3">
        <v>71</v>
      </c>
      <c r="J14738" s="3">
        <v>385</v>
      </c>
      <c r="K14738" s="3">
        <v>594</v>
      </c>
      <c r="L14738" s="3">
        <v>160</v>
      </c>
      <c r="M14738" s="3">
        <v>230</v>
      </c>
    </row>
    <row r="14739" spans="1:13" x14ac:dyDescent="0.25">
      <c r="A14739" s="1" t="str">
        <f>HYPERLINK("http://www.rosaceae.org/Prunus/Prunus_persica/p.persica_gdr_reftransV1_0018247","p.persica_gdr_reftransV1_0018247")</f>
        <v>p.persica_gdr_reftransV1_0018247</v>
      </c>
      <c r="B14739" s="3">
        <v>2706</v>
      </c>
      <c r="C14739" s="1" t="str">
        <f>HYPERLINK("http://www.uniprot.org/uniprot/YMF11_MARPO","YMF11_MARPO")</f>
        <v>YMF11_MARPO</v>
      </c>
      <c r="D14739" t="s">
        <v>9594</v>
      </c>
      <c r="E14739" s="3" t="s">
        <v>9595</v>
      </c>
      <c r="F14739" s="4">
        <v>3.5499999999999999E-20</v>
      </c>
      <c r="G14739" s="3">
        <v>247</v>
      </c>
      <c r="H14739" s="3">
        <v>25</v>
      </c>
      <c r="I14739" s="3">
        <v>400</v>
      </c>
      <c r="J14739" s="3">
        <v>1520</v>
      </c>
      <c r="K14739" s="3">
        <v>2503</v>
      </c>
      <c r="L14739" s="3">
        <v>323</v>
      </c>
      <c r="M14739" s="3">
        <v>714</v>
      </c>
    </row>
    <row r="14740" spans="1:13" x14ac:dyDescent="0.25">
      <c r="A14740" s="1" t="str">
        <f>HYPERLINK("http://www.rosaceae.org/Prunus/Prunus_persica/p.persica_gdr_reftransV1_0018397","p.persica_gdr_reftransV1_0018397")</f>
        <v>p.persica_gdr_reftransV1_0018397</v>
      </c>
      <c r="B14740" s="3">
        <v>1311</v>
      </c>
      <c r="C14740" s="1" t="str">
        <f>HYPERLINK("http://www.uniprot.org/uniprot/DNAJ_CLOTH","DNAJ_CLOTH")</f>
        <v>DNAJ_CLOTH</v>
      </c>
      <c r="D14740" t="s">
        <v>9596</v>
      </c>
      <c r="E14740" s="3" t="s">
        <v>9597</v>
      </c>
      <c r="F14740" s="4">
        <v>5.1599999999999999E-8</v>
      </c>
      <c r="G14740" s="3">
        <v>140</v>
      </c>
      <c r="H14740" s="3">
        <v>53</v>
      </c>
      <c r="I14740" s="3">
        <v>57</v>
      </c>
      <c r="J14740" s="3">
        <v>374</v>
      </c>
      <c r="K14740" s="3">
        <v>544</v>
      </c>
      <c r="L14740" s="3">
        <v>7</v>
      </c>
      <c r="M14740" s="3">
        <v>58</v>
      </c>
    </row>
    <row r="14741" spans="1:13" x14ac:dyDescent="0.25">
      <c r="A14741" s="1" t="str">
        <f>HYPERLINK("http://www.rosaceae.org/Prunus/Prunus_persica/p.persica_gdr_reftransV1_0018597","p.persica_gdr_reftransV1_0018597")</f>
        <v>p.persica_gdr_reftransV1_0018597</v>
      </c>
      <c r="B14741" s="3">
        <v>2171</v>
      </c>
      <c r="C14741" s="1" t="str">
        <f>HYPERLINK("http://www.uniprot.org/uniprot/DNAJ_BACC4","DNAJ_BACC4")</f>
        <v>DNAJ_BACC4</v>
      </c>
      <c r="D14741" t="s">
        <v>9598</v>
      </c>
      <c r="E14741" s="3" t="s">
        <v>5969</v>
      </c>
      <c r="F14741" s="4">
        <v>7.1999999999999997E-16</v>
      </c>
      <c r="G14741" s="3">
        <v>205</v>
      </c>
      <c r="H14741" s="3">
        <v>57</v>
      </c>
      <c r="I14741" s="3">
        <v>65</v>
      </c>
      <c r="J14741" s="3">
        <v>410</v>
      </c>
      <c r="K14741" s="3">
        <v>604</v>
      </c>
      <c r="L14741" s="3">
        <v>3</v>
      </c>
      <c r="M14741" s="3">
        <v>67</v>
      </c>
    </row>
    <row r="14742" spans="1:13" x14ac:dyDescent="0.25">
      <c r="A14742" s="1" t="str">
        <f>HYPERLINK("http://www.rosaceae.org/Prunus/Prunus_persica/p.persica_gdr_reftransV1_0018797","p.persica_gdr_reftransV1_0018797")</f>
        <v>p.persica_gdr_reftransV1_0018797</v>
      </c>
      <c r="B14742" s="3">
        <v>1959</v>
      </c>
      <c r="C14742" s="1" t="str">
        <f>HYPERLINK("http://www.uniprot.org/uniprot/MGAT3_RAT","MGAT3_RAT")</f>
        <v>MGAT3_RAT</v>
      </c>
      <c r="D14742" t="s">
        <v>3707</v>
      </c>
      <c r="E14742" s="3" t="s">
        <v>161</v>
      </c>
      <c r="F14742" s="4">
        <v>2.2200000000000001E-10</v>
      </c>
      <c r="G14742" s="3">
        <v>163</v>
      </c>
      <c r="H14742" s="3">
        <v>34</v>
      </c>
      <c r="I14742" s="3">
        <v>134</v>
      </c>
      <c r="J14742" s="3">
        <v>5</v>
      </c>
      <c r="K14742" s="3">
        <v>379</v>
      </c>
      <c r="L14742" s="3">
        <v>206</v>
      </c>
      <c r="M14742" s="3">
        <v>335</v>
      </c>
    </row>
    <row r="14743" spans="1:13" x14ac:dyDescent="0.25">
      <c r="A14743" s="1" t="str">
        <f>HYPERLINK("http://www.rosaceae.org/Prunus/Prunus_persica/p.persica_gdr_reftransV1_0018847","p.persica_gdr_reftransV1_0018847")</f>
        <v>p.persica_gdr_reftransV1_0018847</v>
      </c>
      <c r="B14743" s="3">
        <v>2947</v>
      </c>
      <c r="C14743" s="1" t="str">
        <f>HYPERLINK("http://www.uniprot.org/uniprot/PP326_ARATH","PP326_ARATH")</f>
        <v>PP326_ARATH</v>
      </c>
      <c r="D14743" t="s">
        <v>6274</v>
      </c>
      <c r="E14743" s="3" t="s">
        <v>3</v>
      </c>
      <c r="F14743" s="4">
        <v>0</v>
      </c>
      <c r="G14743" s="3">
        <v>1513</v>
      </c>
      <c r="H14743" s="3">
        <v>72</v>
      </c>
      <c r="I14743" s="3">
        <v>386</v>
      </c>
      <c r="J14743" s="3">
        <v>2</v>
      </c>
      <c r="K14743" s="3">
        <v>1159</v>
      </c>
      <c r="L14743" s="3">
        <v>316</v>
      </c>
      <c r="M14743" s="3">
        <v>701</v>
      </c>
    </row>
    <row r="14744" spans="1:13" x14ac:dyDescent="0.25">
      <c r="A14744" s="1" t="str">
        <f>HYPERLINK("http://www.rosaceae.org/Prunus/Prunus_persica/p.persica_gdr_reftransV1_0018897","p.persica_gdr_reftransV1_0018897")</f>
        <v>p.persica_gdr_reftransV1_0018897</v>
      </c>
      <c r="B14744" s="3">
        <v>4753</v>
      </c>
      <c r="C14744" s="1" t="str">
        <f>HYPERLINK("http://www.uniprot.org/uniprot/MD33B_ARATH","MD33B_ARATH")</f>
        <v>MD33B_ARATH</v>
      </c>
      <c r="D14744" t="s">
        <v>723</v>
      </c>
      <c r="E14744" s="3" t="s">
        <v>3</v>
      </c>
      <c r="F14744" s="4">
        <v>0</v>
      </c>
      <c r="G14744" s="3">
        <v>3594</v>
      </c>
      <c r="H14744" s="3">
        <v>61</v>
      </c>
      <c r="I14744" s="3">
        <v>1349</v>
      </c>
      <c r="J14744" s="3">
        <v>296</v>
      </c>
      <c r="K14744" s="3">
        <v>4276</v>
      </c>
      <c r="L14744" s="3">
        <v>1</v>
      </c>
      <c r="M14744" s="3">
        <v>1242</v>
      </c>
    </row>
    <row r="14745" spans="1:13" x14ac:dyDescent="0.25">
      <c r="A14745" s="1" t="str">
        <f>HYPERLINK("http://www.rosaceae.org/Prunus/Prunus_persica/p.persica_gdr_reftransV1_0019047","p.persica_gdr_reftransV1_0019047")</f>
        <v>p.persica_gdr_reftransV1_0019047</v>
      </c>
      <c r="B14745" s="3">
        <v>2405</v>
      </c>
      <c r="C14745" s="1" t="str">
        <f>HYPERLINK("http://www.uniprot.org/uniprot/AGD14_ARATH","AGD14_ARATH")</f>
        <v>AGD14_ARATH</v>
      </c>
      <c r="D14745" t="s">
        <v>5551</v>
      </c>
      <c r="E14745" s="3" t="s">
        <v>3</v>
      </c>
      <c r="F14745" s="4">
        <v>6.6699999999999998E-63</v>
      </c>
      <c r="G14745" s="3">
        <v>582</v>
      </c>
      <c r="H14745" s="3">
        <v>43</v>
      </c>
      <c r="I14745" s="3">
        <v>317</v>
      </c>
      <c r="J14745" s="3">
        <v>290</v>
      </c>
      <c r="K14745" s="3">
        <v>1231</v>
      </c>
      <c r="L14745" s="3">
        <v>1</v>
      </c>
      <c r="M14745" s="3">
        <v>294</v>
      </c>
    </row>
    <row r="14746" spans="1:13" x14ac:dyDescent="0.25">
      <c r="A14746" s="1" t="str">
        <f>HYPERLINK("http://www.rosaceae.org/Prunus/Prunus_persica/p.persica_gdr_reftransV1_0019647","p.persica_gdr_reftransV1_0019647")</f>
        <v>p.persica_gdr_reftransV1_0019647</v>
      </c>
      <c r="B14746" s="3">
        <v>1798</v>
      </c>
      <c r="C14746" s="1" t="str">
        <f>HYPERLINK("http://www.uniprot.org/uniprot/LPA1_ARATH","LPA1_ARATH")</f>
        <v>LPA1_ARATH</v>
      </c>
      <c r="D14746" t="s">
        <v>375</v>
      </c>
      <c r="E14746" s="3" t="s">
        <v>3</v>
      </c>
      <c r="F14746" s="4">
        <v>7.5899999999999996E-178</v>
      </c>
      <c r="G14746" s="3">
        <v>1335</v>
      </c>
      <c r="H14746" s="3">
        <v>79</v>
      </c>
      <c r="I14746" s="3">
        <v>333</v>
      </c>
      <c r="J14746" s="3">
        <v>635</v>
      </c>
      <c r="K14746" s="3">
        <v>1633</v>
      </c>
      <c r="L14746" s="3">
        <v>125</v>
      </c>
      <c r="M14746" s="3">
        <v>453</v>
      </c>
    </row>
    <row r="14747" spans="1:13" x14ac:dyDescent="0.25">
      <c r="A14747" s="1" t="str">
        <f>HYPERLINK("http://www.rosaceae.org/Prunus/Prunus_persica/p.persica_gdr_reftransV1_0019697","p.persica_gdr_reftransV1_0019697")</f>
        <v>p.persica_gdr_reftransV1_0019697</v>
      </c>
      <c r="B14747" s="3">
        <v>2733</v>
      </c>
      <c r="C14747" s="1" t="str">
        <f>HYPERLINK("http://www.uniprot.org/uniprot/CX32_ARATH","CX32_ARATH")</f>
        <v>CX32_ARATH</v>
      </c>
      <c r="D14747" t="s">
        <v>1141</v>
      </c>
      <c r="E14747" s="3" t="s">
        <v>3</v>
      </c>
      <c r="F14747" s="4">
        <v>3.41E-35</v>
      </c>
      <c r="G14747" s="3">
        <v>362</v>
      </c>
      <c r="H14747" s="3">
        <v>75</v>
      </c>
      <c r="I14747" s="3">
        <v>93</v>
      </c>
      <c r="J14747" s="3">
        <v>1700</v>
      </c>
      <c r="K14747" s="3">
        <v>1978</v>
      </c>
      <c r="L14747" s="3">
        <v>138</v>
      </c>
      <c r="M14747" s="3">
        <v>227</v>
      </c>
    </row>
    <row r="14748" spans="1:13" x14ac:dyDescent="0.25">
      <c r="A14748" s="1" t="str">
        <f>HYPERLINK("http://www.rosaceae.org/Prunus/Prunus_persica/p.persica_gdr_reftransV1_0019747","p.persica_gdr_reftransV1_0019747")</f>
        <v>p.persica_gdr_reftransV1_0019747</v>
      </c>
      <c r="B14748" s="3">
        <v>1502</v>
      </c>
      <c r="C14748" s="1" t="str">
        <f>HYPERLINK("http://www.uniprot.org/uniprot/GH317_ARATH","GH317_ARATH")</f>
        <v>GH317_ARATH</v>
      </c>
      <c r="D14748" t="s">
        <v>9599</v>
      </c>
      <c r="E14748" s="3" t="s">
        <v>3</v>
      </c>
      <c r="F14748" s="4">
        <v>0</v>
      </c>
      <c r="G14748" s="3">
        <v>1646</v>
      </c>
      <c r="H14748" s="3">
        <v>72</v>
      </c>
      <c r="I14748" s="3">
        <v>429</v>
      </c>
      <c r="J14748" s="3">
        <v>225</v>
      </c>
      <c r="K14748" s="3">
        <v>1502</v>
      </c>
      <c r="L14748" s="3">
        <v>179</v>
      </c>
      <c r="M14748" s="3">
        <v>605</v>
      </c>
    </row>
    <row r="14749" spans="1:13" x14ac:dyDescent="0.25">
      <c r="A14749" s="1" t="str">
        <f>HYPERLINK("http://www.rosaceae.org/Prunus/Prunus_persica/p.persica_gdr_reftransV1_0019997","p.persica_gdr_reftransV1_0019997")</f>
        <v>p.persica_gdr_reftransV1_0019997</v>
      </c>
      <c r="B14749" s="3">
        <v>1418</v>
      </c>
      <c r="C14749" s="1" t="str">
        <f>HYPERLINK("http://www.uniprot.org/uniprot/MEM11_ARATH","MEM11_ARATH")</f>
        <v>MEM11_ARATH</v>
      </c>
      <c r="D14749" t="s">
        <v>9600</v>
      </c>
      <c r="E14749" s="3" t="s">
        <v>3</v>
      </c>
      <c r="F14749" s="4">
        <v>7.3700000000000002E-91</v>
      </c>
      <c r="G14749" s="3">
        <v>722</v>
      </c>
      <c r="H14749" s="3">
        <v>66</v>
      </c>
      <c r="I14749" s="3">
        <v>225</v>
      </c>
      <c r="J14749" s="3">
        <v>348</v>
      </c>
      <c r="K14749" s="3">
        <v>1022</v>
      </c>
      <c r="L14749" s="3">
        <v>1</v>
      </c>
      <c r="M14749" s="3">
        <v>223</v>
      </c>
    </row>
    <row r="14750" spans="1:13" x14ac:dyDescent="0.25">
      <c r="A14750" s="1" t="str">
        <f>HYPERLINK("http://www.rosaceae.org/Prunus/Prunus_persica/p.persica_gdr_reftransV1_0020047","p.persica_gdr_reftransV1_0020047")</f>
        <v>p.persica_gdr_reftransV1_0020047</v>
      </c>
      <c r="B14750" s="3">
        <v>5218</v>
      </c>
      <c r="C14750" s="1" t="str">
        <f>HYPERLINK("http://www.uniprot.org/uniprot/PHYA_LATSA","PHYA_LATSA")</f>
        <v>PHYA_LATSA</v>
      </c>
      <c r="D14750" t="s">
        <v>9601</v>
      </c>
      <c r="E14750" s="3" t="s">
        <v>9602</v>
      </c>
      <c r="F14750" s="4">
        <v>0</v>
      </c>
      <c r="G14750" s="3">
        <v>4751</v>
      </c>
      <c r="H14750" s="3">
        <v>78</v>
      </c>
      <c r="I14750" s="3">
        <v>1158</v>
      </c>
      <c r="J14750" s="3">
        <v>364</v>
      </c>
      <c r="K14750" s="3">
        <v>3837</v>
      </c>
      <c r="L14750" s="3">
        <v>20</v>
      </c>
      <c r="M14750" s="3">
        <v>1123</v>
      </c>
    </row>
    <row r="14751" spans="1:13" x14ac:dyDescent="0.25">
      <c r="A14751" s="1" t="str">
        <f>HYPERLINK("http://www.rosaceae.org/Prunus/Prunus_persica/p.persica_gdr_reftransV1_0020197","p.persica_gdr_reftransV1_0020197")</f>
        <v>p.persica_gdr_reftransV1_0020197</v>
      </c>
      <c r="B14751" s="3">
        <v>4212</v>
      </c>
      <c r="C14751" s="1" t="str">
        <f>HYPERLINK("http://www.uniprot.org/uniprot/RBM28_HUMAN","RBM28_HUMAN")</f>
        <v>RBM28_HUMAN</v>
      </c>
      <c r="D14751" t="s">
        <v>9603</v>
      </c>
      <c r="E14751" s="3" t="s">
        <v>28</v>
      </c>
      <c r="F14751" s="4">
        <v>1.7000000000000001E-47</v>
      </c>
      <c r="G14751" s="3">
        <v>475</v>
      </c>
      <c r="H14751" s="3">
        <v>44</v>
      </c>
      <c r="I14751" s="3">
        <v>264</v>
      </c>
      <c r="J14751" s="3">
        <v>1821</v>
      </c>
      <c r="K14751" s="3">
        <v>2606</v>
      </c>
      <c r="L14751" s="3">
        <v>335</v>
      </c>
      <c r="M14751" s="3">
        <v>593</v>
      </c>
    </row>
    <row r="14752" spans="1:13" x14ac:dyDescent="0.25">
      <c r="A14752" s="1" t="str">
        <f>HYPERLINK("http://www.rosaceae.org/Prunus/Prunus_persica/p.persica_gdr_reftransV1_0020547","p.persica_gdr_reftransV1_0020547")</f>
        <v>p.persica_gdr_reftransV1_0020547</v>
      </c>
      <c r="B14752" s="3">
        <v>1249</v>
      </c>
      <c r="C14752" s="1" t="str">
        <f>HYPERLINK("http://www.uniprot.org/uniprot/GLIP2_ARATH","GLIP2_ARATH")</f>
        <v>GLIP2_ARATH</v>
      </c>
      <c r="D14752" t="s">
        <v>9604</v>
      </c>
      <c r="E14752" s="3" t="s">
        <v>3</v>
      </c>
      <c r="F14752" s="4">
        <v>2.7900000000000002E-111</v>
      </c>
      <c r="G14752" s="3">
        <v>867</v>
      </c>
      <c r="H14752" s="3">
        <v>54</v>
      </c>
      <c r="I14752" s="3">
        <v>324</v>
      </c>
      <c r="J14752" s="3">
        <v>328</v>
      </c>
      <c r="K14752" s="3">
        <v>1248</v>
      </c>
      <c r="L14752" s="3">
        <v>52</v>
      </c>
      <c r="M14752" s="3">
        <v>375</v>
      </c>
    </row>
    <row r="14753" spans="1:13" x14ac:dyDescent="0.25">
      <c r="A14753" s="1" t="str">
        <f>HYPERLINK("http://www.rosaceae.org/Prunus/Prunus_persica/p.persica_gdr_reftransV1_0020597","p.persica_gdr_reftransV1_0020597")</f>
        <v>p.persica_gdr_reftransV1_0020597</v>
      </c>
      <c r="B14753" s="3">
        <v>1904</v>
      </c>
      <c r="C14753" s="1" t="str">
        <f>HYPERLINK("http://www.uniprot.org/uniprot/PYRH_SYNJA","PYRH_SYNJA")</f>
        <v>PYRH_SYNJA</v>
      </c>
      <c r="D14753" t="s">
        <v>6647</v>
      </c>
      <c r="E14753" s="3" t="s">
        <v>2403</v>
      </c>
      <c r="F14753" s="4">
        <v>1.33E-105</v>
      </c>
      <c r="G14753" s="3">
        <v>837</v>
      </c>
      <c r="H14753" s="3">
        <v>65</v>
      </c>
      <c r="I14753" s="3">
        <v>236</v>
      </c>
      <c r="J14753" s="3">
        <v>787</v>
      </c>
      <c r="K14753" s="3">
        <v>1494</v>
      </c>
      <c r="L14753" s="3">
        <v>2</v>
      </c>
      <c r="M14753" s="3">
        <v>237</v>
      </c>
    </row>
    <row r="14754" spans="1:13" x14ac:dyDescent="0.25">
      <c r="A14754" s="1" t="str">
        <f>HYPERLINK("http://www.rosaceae.org/Prunus/Prunus_persica/p.persica_gdr_reftransV1_0020897","p.persica_gdr_reftransV1_0020897")</f>
        <v>p.persica_gdr_reftransV1_0020897</v>
      </c>
      <c r="B14754" s="3">
        <v>1041</v>
      </c>
      <c r="C14754" s="1" t="str">
        <f>HYPERLINK("http://www.uniprot.org/uniprot/DNJ11_ARATH","DNJ11_ARATH")</f>
        <v>DNJ11_ARATH</v>
      </c>
      <c r="D14754" t="s">
        <v>3899</v>
      </c>
      <c r="E14754" s="3" t="s">
        <v>3</v>
      </c>
      <c r="F14754" s="4">
        <v>1.0500000000000001E-38</v>
      </c>
      <c r="G14754" s="3">
        <v>354</v>
      </c>
      <c r="H14754" s="3">
        <v>62</v>
      </c>
      <c r="I14754" s="3">
        <v>106</v>
      </c>
      <c r="J14754" s="3">
        <v>510</v>
      </c>
      <c r="K14754" s="3">
        <v>812</v>
      </c>
      <c r="L14754" s="3">
        <v>56</v>
      </c>
      <c r="M14754" s="3">
        <v>161</v>
      </c>
    </row>
    <row r="14755" spans="1:13" x14ac:dyDescent="0.25">
      <c r="A14755" s="1" t="str">
        <f>HYPERLINK("http://www.rosaceae.org/Prunus/Prunus_persica/p.persica_gdr_reftransV1_0020997","p.persica_gdr_reftransV1_0020997")</f>
        <v>p.persica_gdr_reftransV1_0020997</v>
      </c>
      <c r="B14755" s="3">
        <v>2266</v>
      </c>
      <c r="C14755" s="1" t="str">
        <f>HYPERLINK("http://www.uniprot.org/uniprot/CF107_ARATH","CF107_ARATH")</f>
        <v>CF107_ARATH</v>
      </c>
      <c r="D14755" t="s">
        <v>9605</v>
      </c>
      <c r="E14755" s="3" t="s">
        <v>3</v>
      </c>
      <c r="F14755" s="4">
        <v>0</v>
      </c>
      <c r="G14755" s="3">
        <v>2071</v>
      </c>
      <c r="H14755" s="3">
        <v>64</v>
      </c>
      <c r="I14755" s="3">
        <v>637</v>
      </c>
      <c r="J14755" s="3">
        <v>120</v>
      </c>
      <c r="K14755" s="3">
        <v>1988</v>
      </c>
      <c r="L14755" s="3">
        <v>22</v>
      </c>
      <c r="M14755" s="3">
        <v>648</v>
      </c>
    </row>
    <row r="14756" spans="1:13" x14ac:dyDescent="0.25">
      <c r="A14756" s="1" t="str">
        <f>HYPERLINK("http://www.rosaceae.org/Prunus/Prunus_persica/p.persica_gdr_reftransV1_0021197","p.persica_gdr_reftransV1_0021197")</f>
        <v>p.persica_gdr_reftransV1_0021197</v>
      </c>
      <c r="B14756" s="3">
        <v>1913</v>
      </c>
      <c r="C14756" s="1" t="str">
        <f>HYPERLINK("http://www.uniprot.org/uniprot/DAR5_ARATH","DAR5_ARATH")</f>
        <v>DAR5_ARATH</v>
      </c>
      <c r="D14756" t="s">
        <v>9606</v>
      </c>
      <c r="E14756" s="3" t="s">
        <v>3</v>
      </c>
      <c r="F14756" s="4">
        <v>1.78E-13</v>
      </c>
      <c r="G14756" s="3">
        <v>189</v>
      </c>
      <c r="H14756" s="3">
        <v>43</v>
      </c>
      <c r="I14756" s="3">
        <v>103</v>
      </c>
      <c r="J14756" s="3">
        <v>4</v>
      </c>
      <c r="K14756" s="3">
        <v>309</v>
      </c>
      <c r="L14756" s="3">
        <v>190</v>
      </c>
      <c r="M14756" s="3">
        <v>288</v>
      </c>
    </row>
    <row r="14757" spans="1:13" x14ac:dyDescent="0.25">
      <c r="A14757" s="1" t="str">
        <f>HYPERLINK("http://www.rosaceae.org/Prunus/Prunus_persica/p.persica_gdr_reftransV1_0021397","p.persica_gdr_reftransV1_0021397")</f>
        <v>p.persica_gdr_reftransV1_0021397</v>
      </c>
      <c r="B14757" s="3">
        <v>2121</v>
      </c>
      <c r="C14757" s="1" t="str">
        <f>HYPERLINK("http://www.uniprot.org/uniprot/MUB2_ARATH","MUB2_ARATH")</f>
        <v>MUB2_ARATH</v>
      </c>
      <c r="D14757" t="s">
        <v>9607</v>
      </c>
      <c r="E14757" s="3" t="s">
        <v>3</v>
      </c>
      <c r="F14757" s="4">
        <v>5.6899999999999998E-42</v>
      </c>
      <c r="G14757" s="3">
        <v>386</v>
      </c>
      <c r="H14757" s="3">
        <v>75</v>
      </c>
      <c r="I14757" s="3">
        <v>93</v>
      </c>
      <c r="J14757" s="3">
        <v>1022</v>
      </c>
      <c r="K14757" s="3">
        <v>1300</v>
      </c>
      <c r="L14757" s="3">
        <v>1</v>
      </c>
      <c r="M14757" s="3">
        <v>93</v>
      </c>
    </row>
    <row r="14758" spans="1:13" x14ac:dyDescent="0.25">
      <c r="A14758" s="1" t="str">
        <f>HYPERLINK("http://www.rosaceae.org/Prunus/Prunus_persica/p.persica_gdr_reftransV1_0021597","p.persica_gdr_reftransV1_0021597")</f>
        <v>p.persica_gdr_reftransV1_0021597</v>
      </c>
      <c r="B14758" s="3">
        <v>1833</v>
      </c>
      <c r="C14758" s="1" t="str">
        <f>HYPERLINK("http://www.uniprot.org/uniprot/TL1Y_ARATH","TL1Y_ARATH")</f>
        <v>TL1Y_ARATH</v>
      </c>
      <c r="D14758" t="s">
        <v>9608</v>
      </c>
      <c r="E14758" s="3" t="s">
        <v>3</v>
      </c>
      <c r="F14758" s="4">
        <v>1.3900000000000001E-31</v>
      </c>
      <c r="G14758" s="3">
        <v>317</v>
      </c>
      <c r="H14758" s="3">
        <v>66</v>
      </c>
      <c r="I14758" s="3">
        <v>82</v>
      </c>
      <c r="J14758" s="3">
        <v>498</v>
      </c>
      <c r="K14758" s="3">
        <v>740</v>
      </c>
      <c r="L14758" s="3">
        <v>144</v>
      </c>
      <c r="M14758" s="3">
        <v>225</v>
      </c>
    </row>
    <row r="14759" spans="1:13" x14ac:dyDescent="0.25">
      <c r="A14759" s="1" t="str">
        <f>HYPERLINK("http://www.rosaceae.org/Prunus/Prunus_persica/p.persica_gdr_reftransV1_0021797","p.persica_gdr_reftransV1_0021797")</f>
        <v>p.persica_gdr_reftransV1_0021797</v>
      </c>
      <c r="B14759" s="3">
        <v>2723</v>
      </c>
      <c r="C14759" s="1" t="str">
        <f>HYPERLINK("http://www.uniprot.org/uniprot/TMN3_ARATH","TMN3_ARATH")</f>
        <v>TMN3_ARATH</v>
      </c>
      <c r="D14759" t="s">
        <v>5108</v>
      </c>
      <c r="E14759" s="3" t="s">
        <v>3</v>
      </c>
      <c r="F14759" s="4">
        <v>0</v>
      </c>
      <c r="G14759" s="3">
        <v>1267</v>
      </c>
      <c r="H14759" s="3">
        <v>81</v>
      </c>
      <c r="I14759" s="3">
        <v>302</v>
      </c>
      <c r="J14759" s="3">
        <v>1713</v>
      </c>
      <c r="K14759" s="3">
        <v>2615</v>
      </c>
      <c r="L14759" s="3">
        <v>9</v>
      </c>
      <c r="M14759" s="3">
        <v>310</v>
      </c>
    </row>
    <row r="14760" spans="1:13" x14ac:dyDescent="0.25">
      <c r="A14760" s="1" t="str">
        <f>HYPERLINK("http://www.rosaceae.org/Prunus/Prunus_persica/p.persica_gdr_reftransV1_0021847","p.persica_gdr_reftransV1_0021847")</f>
        <v>p.persica_gdr_reftransV1_0021847</v>
      </c>
      <c r="B14760" s="3">
        <v>1535</v>
      </c>
      <c r="C14760" s="1" t="str">
        <f>HYPERLINK("http://www.uniprot.org/uniprot/RIC7_ARATH","RIC7_ARATH")</f>
        <v>RIC7_ARATH</v>
      </c>
      <c r="D14760" t="s">
        <v>9609</v>
      </c>
      <c r="E14760" s="3" t="s">
        <v>3</v>
      </c>
      <c r="F14760" s="4">
        <v>1.9300000000000001E-11</v>
      </c>
      <c r="G14760" s="3">
        <v>163</v>
      </c>
      <c r="H14760" s="3">
        <v>57</v>
      </c>
      <c r="I14760" s="3">
        <v>58</v>
      </c>
      <c r="J14760" s="3">
        <v>779</v>
      </c>
      <c r="K14760" s="3">
        <v>931</v>
      </c>
      <c r="L14760" s="3">
        <v>5</v>
      </c>
      <c r="M14760" s="3">
        <v>62</v>
      </c>
    </row>
    <row r="14761" spans="1:13" x14ac:dyDescent="0.25">
      <c r="A14761" s="1" t="str">
        <f>HYPERLINK("http://www.rosaceae.org/Prunus/Prunus_persica/p.persica_gdr_reftransV1_0021997","p.persica_gdr_reftransV1_0021997")</f>
        <v>p.persica_gdr_reftransV1_0021997</v>
      </c>
      <c r="B14761" s="3">
        <v>1669</v>
      </c>
      <c r="C14761" s="1" t="str">
        <f>HYPERLINK("http://www.uniprot.org/uniprot/PRS4A_ARATH","PRS4A_ARATH")</f>
        <v>PRS4A_ARATH</v>
      </c>
      <c r="D14761" t="s">
        <v>9610</v>
      </c>
      <c r="E14761" s="3" t="s">
        <v>3</v>
      </c>
      <c r="F14761" s="4">
        <v>0</v>
      </c>
      <c r="G14761" s="3">
        <v>1967</v>
      </c>
      <c r="H14761" s="3">
        <v>96</v>
      </c>
      <c r="I14761" s="3">
        <v>446</v>
      </c>
      <c r="J14761" s="3">
        <v>273</v>
      </c>
      <c r="K14761" s="3">
        <v>1610</v>
      </c>
      <c r="L14761" s="3">
        <v>1</v>
      </c>
      <c r="M14761" s="3">
        <v>443</v>
      </c>
    </row>
    <row r="14762" spans="1:13" x14ac:dyDescent="0.25">
      <c r="A14762" s="1" t="str">
        <f>HYPERLINK("http://www.rosaceae.org/Prunus/Prunus_persica/p.persica_gdr_reftransV1_0022397","p.persica_gdr_reftransV1_0022397")</f>
        <v>p.persica_gdr_reftransV1_0022397</v>
      </c>
      <c r="B14762" s="3">
        <v>2317</v>
      </c>
      <c r="C14762" s="1" t="str">
        <f>HYPERLINK("http://www.uniprot.org/uniprot/HEXO1_ARATH","HEXO1_ARATH")</f>
        <v>HEXO1_ARATH</v>
      </c>
      <c r="D14762" t="s">
        <v>9611</v>
      </c>
      <c r="E14762" s="3" t="s">
        <v>3</v>
      </c>
      <c r="F14762" s="4">
        <v>0</v>
      </c>
      <c r="G14762" s="3">
        <v>1368</v>
      </c>
      <c r="H14762" s="3">
        <v>69</v>
      </c>
      <c r="I14762" s="3">
        <v>360</v>
      </c>
      <c r="J14762" s="3">
        <v>307</v>
      </c>
      <c r="K14762" s="3">
        <v>1386</v>
      </c>
      <c r="L14762" s="3">
        <v>212</v>
      </c>
      <c r="M14762" s="3">
        <v>541</v>
      </c>
    </row>
    <row r="14763" spans="1:13" x14ac:dyDescent="0.25">
      <c r="A14763" s="1" t="str">
        <f>HYPERLINK("http://www.rosaceae.org/Prunus/Prunus_persica/p.persica_gdr_reftransV1_0022647","p.persica_gdr_reftransV1_0022647")</f>
        <v>p.persica_gdr_reftransV1_0022647</v>
      </c>
      <c r="B14763" s="3">
        <v>5905</v>
      </c>
      <c r="C14763" s="1" t="str">
        <f>HYPERLINK("http://www.uniprot.org/uniprot/NP214_ARATH","NP214_ARATH")</f>
        <v>NP214_ARATH</v>
      </c>
      <c r="D14763" t="s">
        <v>9612</v>
      </c>
      <c r="E14763" s="3" t="s">
        <v>3</v>
      </c>
      <c r="F14763" s="4">
        <v>2.0100000000000002E-127</v>
      </c>
      <c r="G14763" s="3">
        <v>1150</v>
      </c>
      <c r="H14763" s="3">
        <v>55</v>
      </c>
      <c r="I14763" s="3">
        <v>407</v>
      </c>
      <c r="J14763" s="3">
        <v>286</v>
      </c>
      <c r="K14763" s="3">
        <v>1503</v>
      </c>
      <c r="L14763" s="3">
        <v>17</v>
      </c>
      <c r="M14763" s="3">
        <v>422</v>
      </c>
    </row>
    <row r="14764" spans="1:13" x14ac:dyDescent="0.25">
      <c r="A14764" s="1" t="str">
        <f>HYPERLINK("http://www.rosaceae.org/Prunus/Prunus_persica/p.persica_gdr_reftransV1_0022947","p.persica_gdr_reftransV1_0022947")</f>
        <v>p.persica_gdr_reftransV1_0022947</v>
      </c>
      <c r="B14764" s="3">
        <v>643</v>
      </c>
      <c r="C14764" s="1" t="str">
        <f>HYPERLINK("http://www.uniprot.org/uniprot/MYB44_ARATH","MYB44_ARATH")</f>
        <v>MYB44_ARATH</v>
      </c>
      <c r="D14764" t="s">
        <v>1249</v>
      </c>
      <c r="E14764" s="3" t="s">
        <v>3</v>
      </c>
      <c r="F14764" s="4">
        <v>2.8099999999999999E-62</v>
      </c>
      <c r="G14764" s="3">
        <v>514</v>
      </c>
      <c r="H14764" s="3">
        <v>87</v>
      </c>
      <c r="I14764" s="3">
        <v>105</v>
      </c>
      <c r="J14764" s="3">
        <v>30</v>
      </c>
      <c r="K14764" s="3">
        <v>344</v>
      </c>
      <c r="L14764" s="3">
        <v>3</v>
      </c>
      <c r="M14764" s="3">
        <v>107</v>
      </c>
    </row>
    <row r="14765" spans="1:13" x14ac:dyDescent="0.25">
      <c r="A14765" s="1" t="str">
        <f>HYPERLINK("http://www.rosaceae.org/Prunus/Prunus_persica/p.persica_gdr_reftransV1_0022997","p.persica_gdr_reftransV1_0022997")</f>
        <v>p.persica_gdr_reftransV1_0022997</v>
      </c>
      <c r="B14765" s="3">
        <v>2219</v>
      </c>
      <c r="C14765" s="1" t="str">
        <f>HYPERLINK("http://www.uniprot.org/uniprot/PER73_ARATH","PER73_ARATH")</f>
        <v>PER73_ARATH</v>
      </c>
      <c r="D14765" t="s">
        <v>9613</v>
      </c>
      <c r="E14765" s="3" t="s">
        <v>3</v>
      </c>
      <c r="F14765" s="4">
        <v>2.7799999999999998E-63</v>
      </c>
      <c r="G14765" s="3">
        <v>495</v>
      </c>
      <c r="H14765" s="3">
        <v>71</v>
      </c>
      <c r="I14765" s="3">
        <v>135</v>
      </c>
      <c r="J14765" s="3">
        <v>1652</v>
      </c>
      <c r="K14765" s="3">
        <v>2056</v>
      </c>
      <c r="L14765" s="3">
        <v>1</v>
      </c>
      <c r="M14765" s="3">
        <v>135</v>
      </c>
    </row>
    <row r="14766" spans="1:13" x14ac:dyDescent="0.25">
      <c r="A14766" s="1" t="str">
        <f>HYPERLINK("http://www.rosaceae.org/Prunus/Prunus_persica/p.persica_gdr_reftransV1_0023097","p.persica_gdr_reftransV1_0023097")</f>
        <v>p.persica_gdr_reftransV1_0023097</v>
      </c>
      <c r="B14766" s="3">
        <v>1141</v>
      </c>
      <c r="C14766" s="1" t="str">
        <f>HYPERLINK("http://www.uniprot.org/uniprot/FANCI_MOUSE","FANCI_MOUSE")</f>
        <v>FANCI_MOUSE</v>
      </c>
      <c r="D14766" t="s">
        <v>9614</v>
      </c>
      <c r="E14766" s="3" t="s">
        <v>157</v>
      </c>
      <c r="F14766" s="4">
        <v>2.85E-16</v>
      </c>
      <c r="G14766" s="3">
        <v>207</v>
      </c>
      <c r="H14766" s="3">
        <v>31</v>
      </c>
      <c r="I14766" s="3">
        <v>238</v>
      </c>
      <c r="J14766" s="3">
        <v>476</v>
      </c>
      <c r="K14766" s="3">
        <v>1126</v>
      </c>
      <c r="L14766" s="3">
        <v>1059</v>
      </c>
      <c r="M14766" s="3">
        <v>1288</v>
      </c>
    </row>
    <row r="14767" spans="1:13" x14ac:dyDescent="0.25">
      <c r="A14767" s="1" t="str">
        <f>HYPERLINK("http://www.rosaceae.org/Prunus/Prunus_persica/p.persica_gdr_reftransV1_0023597","p.persica_gdr_reftransV1_0023597")</f>
        <v>p.persica_gdr_reftransV1_0023597</v>
      </c>
      <c r="B14767" s="3">
        <v>2545</v>
      </c>
      <c r="C14767" s="1" t="str">
        <f>HYPERLINK("http://www.uniprot.org/uniprot/VSR3_ARATH","VSR3_ARATH")</f>
        <v>VSR3_ARATH</v>
      </c>
      <c r="D14767" t="s">
        <v>9615</v>
      </c>
      <c r="E14767" s="3" t="s">
        <v>3</v>
      </c>
      <c r="F14767" s="4">
        <v>0</v>
      </c>
      <c r="G14767" s="3">
        <v>2711</v>
      </c>
      <c r="H14767" s="3">
        <v>83</v>
      </c>
      <c r="I14767" s="3">
        <v>605</v>
      </c>
      <c r="J14767" s="3">
        <v>507</v>
      </c>
      <c r="K14767" s="3">
        <v>2321</v>
      </c>
      <c r="L14767" s="3">
        <v>24</v>
      </c>
      <c r="M14767" s="3">
        <v>628</v>
      </c>
    </row>
    <row r="14768" spans="1:13" x14ac:dyDescent="0.25">
      <c r="A14768" s="1" t="str">
        <f>HYPERLINK("http://www.rosaceae.org/Prunus/Prunus_persica/p.persica_gdr_reftransV1_0023647","p.persica_gdr_reftransV1_0023647")</f>
        <v>p.persica_gdr_reftransV1_0023647</v>
      </c>
      <c r="B14768" s="3">
        <v>778</v>
      </c>
      <c r="C14768" s="1" t="str">
        <f>HYPERLINK("http://www.uniprot.org/uniprot/STGL3_ARATH","STGL3_ARATH")</f>
        <v>STGL3_ARATH</v>
      </c>
      <c r="D14768" t="s">
        <v>9616</v>
      </c>
      <c r="E14768" s="3" t="s">
        <v>3</v>
      </c>
      <c r="F14768" s="4">
        <v>2.3400000000000001E-12</v>
      </c>
      <c r="G14768" s="3">
        <v>161</v>
      </c>
      <c r="H14768" s="3">
        <v>31</v>
      </c>
      <c r="I14768" s="3">
        <v>143</v>
      </c>
      <c r="J14768" s="3">
        <v>309</v>
      </c>
      <c r="K14768" s="3">
        <v>710</v>
      </c>
      <c r="L14768" s="3">
        <v>7</v>
      </c>
      <c r="M14768" s="3">
        <v>147</v>
      </c>
    </row>
    <row r="14769" spans="1:13" x14ac:dyDescent="0.25">
      <c r="A14769" s="1" t="str">
        <f>HYPERLINK("http://www.rosaceae.org/Prunus/Prunus_persica/p.persica_gdr_reftransV1_0023697","p.persica_gdr_reftransV1_0023697")</f>
        <v>p.persica_gdr_reftransV1_0023697</v>
      </c>
      <c r="B14769" s="3">
        <v>2566</v>
      </c>
      <c r="C14769" s="1" t="str">
        <f>HYPERLINK("http://www.uniprot.org/uniprot/ACOX2_CUCMA","ACOX2_CUCMA")</f>
        <v>ACOX2_CUCMA</v>
      </c>
      <c r="D14769" t="s">
        <v>9617</v>
      </c>
      <c r="E14769" s="3" t="s">
        <v>1511</v>
      </c>
      <c r="F14769" s="4">
        <v>0</v>
      </c>
      <c r="G14769" s="3">
        <v>3147</v>
      </c>
      <c r="H14769" s="3">
        <v>83</v>
      </c>
      <c r="I14769" s="3">
        <v>694</v>
      </c>
      <c r="J14769" s="3">
        <v>281</v>
      </c>
      <c r="K14769" s="3">
        <v>2356</v>
      </c>
      <c r="L14769" s="3">
        <v>1</v>
      </c>
      <c r="M14769" s="3">
        <v>690</v>
      </c>
    </row>
    <row r="14770" spans="1:13" x14ac:dyDescent="0.25">
      <c r="A14770" s="1" t="str">
        <f>HYPERLINK("http://www.rosaceae.org/Prunus/Prunus_persica/p.persica_gdr_reftransV1_0023747","p.persica_gdr_reftransV1_0023747")</f>
        <v>p.persica_gdr_reftransV1_0023747</v>
      </c>
      <c r="B14770" s="3">
        <v>844</v>
      </c>
      <c r="C14770" s="1" t="str">
        <f>HYPERLINK("http://www.uniprot.org/uniprot/PLP6_ARATH","PLP6_ARATH")</f>
        <v>PLP6_ARATH</v>
      </c>
      <c r="D14770" t="s">
        <v>2699</v>
      </c>
      <c r="E14770" s="3" t="s">
        <v>3</v>
      </c>
      <c r="F14770" s="4">
        <v>2.1E-54</v>
      </c>
      <c r="G14770" s="3">
        <v>480</v>
      </c>
      <c r="H14770" s="3">
        <v>51</v>
      </c>
      <c r="I14770" s="3">
        <v>199</v>
      </c>
      <c r="J14770" s="3">
        <v>14</v>
      </c>
      <c r="K14770" s="3">
        <v>571</v>
      </c>
      <c r="L14770" s="3">
        <v>286</v>
      </c>
      <c r="M14770" s="3">
        <v>481</v>
      </c>
    </row>
    <row r="14771" spans="1:13" x14ac:dyDescent="0.25">
      <c r="A14771" s="1" t="str">
        <f>HYPERLINK("http://www.rosaceae.org/Prunus/Prunus_persica/p.persica_gdr_reftransV1_0023897","p.persica_gdr_reftransV1_0023897")</f>
        <v>p.persica_gdr_reftransV1_0023897</v>
      </c>
      <c r="B14771" s="3">
        <v>1043</v>
      </c>
      <c r="C14771" s="1" t="str">
        <f>HYPERLINK("http://www.uniprot.org/uniprot/RMA2_ARATH","RMA2_ARATH")</f>
        <v>RMA2_ARATH</v>
      </c>
      <c r="D14771" t="s">
        <v>9618</v>
      </c>
      <c r="E14771" s="3" t="s">
        <v>3</v>
      </c>
      <c r="F14771" s="4">
        <v>3.6300000000000001E-9</v>
      </c>
      <c r="G14771" s="3">
        <v>142</v>
      </c>
      <c r="H14771" s="3">
        <v>64</v>
      </c>
      <c r="I14771" s="3">
        <v>36</v>
      </c>
      <c r="J14771" s="3">
        <v>932</v>
      </c>
      <c r="K14771" s="3">
        <v>1039</v>
      </c>
      <c r="L14771" s="3">
        <v>15</v>
      </c>
      <c r="M14771" s="3">
        <v>50</v>
      </c>
    </row>
    <row r="14772" spans="1:13" x14ac:dyDescent="0.25">
      <c r="A14772" s="1" t="str">
        <f>HYPERLINK("http://www.rosaceae.org/Prunus/Prunus_persica/p.persica_gdr_reftransV1_0024147","p.persica_gdr_reftransV1_0024147")</f>
        <v>p.persica_gdr_reftransV1_0024147</v>
      </c>
      <c r="B14772" s="3">
        <v>2535</v>
      </c>
      <c r="C14772" s="1" t="str">
        <f>HYPERLINK("http://www.uniprot.org/uniprot/ATB16_ARATH","ATB16_ARATH")</f>
        <v>ATB16_ARATH</v>
      </c>
      <c r="D14772" t="s">
        <v>9619</v>
      </c>
      <c r="E14772" s="3" t="s">
        <v>3</v>
      </c>
      <c r="F14772" s="4">
        <v>1.0600000000000001E-51</v>
      </c>
      <c r="G14772" s="3">
        <v>475</v>
      </c>
      <c r="H14772" s="3">
        <v>61</v>
      </c>
      <c r="I14772" s="3">
        <v>155</v>
      </c>
      <c r="J14772" s="3">
        <v>1047</v>
      </c>
      <c r="K14772" s="3">
        <v>1490</v>
      </c>
      <c r="L14772" s="3">
        <v>18</v>
      </c>
      <c r="M14772" s="3">
        <v>169</v>
      </c>
    </row>
    <row r="14773" spans="1:13" x14ac:dyDescent="0.25">
      <c r="A14773" s="1" t="str">
        <f>HYPERLINK("http://www.rosaceae.org/Prunus/Prunus_persica/p.persica_gdr_reftransV1_0024197","p.persica_gdr_reftransV1_0024197")</f>
        <v>p.persica_gdr_reftransV1_0024197</v>
      </c>
      <c r="B14773" s="3">
        <v>1777</v>
      </c>
      <c r="C14773" s="1" t="str">
        <f>HYPERLINK("http://www.uniprot.org/uniprot/UBC13_ARATH","UBC13_ARATH")</f>
        <v>UBC13_ARATH</v>
      </c>
      <c r="D14773" t="s">
        <v>9620</v>
      </c>
      <c r="E14773" s="3" t="s">
        <v>3</v>
      </c>
      <c r="F14773" s="4">
        <v>8.2300000000000004E-67</v>
      </c>
      <c r="G14773" s="3">
        <v>563</v>
      </c>
      <c r="H14773" s="3">
        <v>93</v>
      </c>
      <c r="I14773" s="3">
        <v>125</v>
      </c>
      <c r="J14773" s="3">
        <v>1127</v>
      </c>
      <c r="K14773" s="3">
        <v>1501</v>
      </c>
      <c r="L14773" s="3">
        <v>17</v>
      </c>
      <c r="M14773" s="3">
        <v>141</v>
      </c>
    </row>
    <row r="14774" spans="1:13" x14ac:dyDescent="0.25">
      <c r="A14774" s="1" t="str">
        <f>HYPERLINK("http://www.rosaceae.org/Prunus/Prunus_persica/p.persica_gdr_reftransV1_0024447","p.persica_gdr_reftransV1_0024447")</f>
        <v>p.persica_gdr_reftransV1_0024447</v>
      </c>
      <c r="B14774" s="3">
        <v>1382</v>
      </c>
      <c r="C14774" s="1" t="str">
        <f>HYPERLINK("http://www.uniprot.org/uniprot/MARH3_XENLA","MARH3_XENLA")</f>
        <v>MARH3_XENLA</v>
      </c>
      <c r="D14774" t="s">
        <v>9621</v>
      </c>
      <c r="E14774" s="3" t="s">
        <v>475</v>
      </c>
      <c r="F14774" s="4">
        <v>5.7000000000000005E-7</v>
      </c>
      <c r="G14774" s="3">
        <v>129</v>
      </c>
      <c r="H14774" s="3">
        <v>34</v>
      </c>
      <c r="I14774" s="3">
        <v>67</v>
      </c>
      <c r="J14774" s="3">
        <v>459</v>
      </c>
      <c r="K14774" s="3">
        <v>659</v>
      </c>
      <c r="L14774" s="3">
        <v>70</v>
      </c>
      <c r="M14774" s="3">
        <v>135</v>
      </c>
    </row>
    <row r="14775" spans="1:13" x14ac:dyDescent="0.25">
      <c r="A14775" s="1" t="str">
        <f>HYPERLINK("http://www.rosaceae.org/Prunus/Prunus_persica/p.persica_gdr_reftransV1_0024547","p.persica_gdr_reftransV1_0024547")</f>
        <v>p.persica_gdr_reftransV1_0024547</v>
      </c>
      <c r="B14775" s="3">
        <v>590</v>
      </c>
      <c r="C14775" s="1" t="str">
        <f>HYPERLINK("http://www.uniprot.org/uniprot/GRDP2_ARATH","GRDP2_ARATH")</f>
        <v>GRDP2_ARATH</v>
      </c>
      <c r="D14775" t="s">
        <v>6376</v>
      </c>
      <c r="E14775" s="3" t="s">
        <v>3</v>
      </c>
      <c r="F14775" s="4">
        <v>4.9200000000000002E-13</v>
      </c>
      <c r="G14775" s="3">
        <v>173</v>
      </c>
      <c r="H14775" s="3">
        <v>41</v>
      </c>
      <c r="I14775" s="3">
        <v>99</v>
      </c>
      <c r="J14775" s="3">
        <v>16</v>
      </c>
      <c r="K14775" s="3">
        <v>300</v>
      </c>
      <c r="L14775" s="3">
        <v>405</v>
      </c>
      <c r="M14775" s="3">
        <v>503</v>
      </c>
    </row>
    <row r="14776" spans="1:13" x14ac:dyDescent="0.25">
      <c r="A14776" s="1" t="str">
        <f>HYPERLINK("http://www.rosaceae.org/Prunus/Prunus_persica/p.persica_gdr_reftransV1_0024597","p.persica_gdr_reftransV1_0024597")</f>
        <v>p.persica_gdr_reftransV1_0024597</v>
      </c>
      <c r="B14776" s="3">
        <v>2329</v>
      </c>
      <c r="C14776" s="1" t="str">
        <f>HYPERLINK("http://www.uniprot.org/uniprot/DNJB1_MOUSE","DNJB1_MOUSE")</f>
        <v>DNJB1_MOUSE</v>
      </c>
      <c r="D14776" t="s">
        <v>9622</v>
      </c>
      <c r="E14776" s="3" t="s">
        <v>157</v>
      </c>
      <c r="F14776" s="4">
        <v>2.69E-35</v>
      </c>
      <c r="G14776" s="3">
        <v>357</v>
      </c>
      <c r="H14776" s="3">
        <v>46</v>
      </c>
      <c r="I14776" s="3">
        <v>141</v>
      </c>
      <c r="J14776" s="3">
        <v>1610</v>
      </c>
      <c r="K14776" s="3">
        <v>2032</v>
      </c>
      <c r="L14776" s="3">
        <v>198</v>
      </c>
      <c r="M14776" s="3">
        <v>338</v>
      </c>
    </row>
    <row r="14777" spans="1:13" x14ac:dyDescent="0.25">
      <c r="A14777" s="1" t="str">
        <f>HYPERLINK("http://www.rosaceae.org/Prunus/Prunus_persica/p.persica_gdr_reftransV1_0024697","p.persica_gdr_reftransV1_0024697")</f>
        <v>p.persica_gdr_reftransV1_0024697</v>
      </c>
      <c r="B14777" s="3">
        <v>990</v>
      </c>
      <c r="C14777" s="1" t="str">
        <f>HYPERLINK("http://www.uniprot.org/uniprot/MND1_ARATH","MND1_ARATH")</f>
        <v>MND1_ARATH</v>
      </c>
      <c r="D14777" t="s">
        <v>9623</v>
      </c>
      <c r="E14777" s="3" t="s">
        <v>3</v>
      </c>
      <c r="F14777" s="4">
        <v>2.34E-122</v>
      </c>
      <c r="G14777" s="3">
        <v>918</v>
      </c>
      <c r="H14777" s="3">
        <v>80</v>
      </c>
      <c r="I14777" s="3">
        <v>215</v>
      </c>
      <c r="J14777" s="3">
        <v>96</v>
      </c>
      <c r="K14777" s="3">
        <v>740</v>
      </c>
      <c r="L14777" s="3">
        <v>1</v>
      </c>
      <c r="M14777" s="3">
        <v>215</v>
      </c>
    </row>
    <row r="14778" spans="1:13" x14ac:dyDescent="0.25">
      <c r="A14778" s="1" t="str">
        <f>HYPERLINK("http://www.rosaceae.org/Prunus/Prunus_persica/p.persica_gdr_reftransV1_0024847","p.persica_gdr_reftransV1_0024847")</f>
        <v>p.persica_gdr_reftransV1_0024847</v>
      </c>
      <c r="B14778" s="3">
        <v>2661</v>
      </c>
      <c r="C14778" s="1" t="str">
        <f>HYPERLINK("http://www.uniprot.org/uniprot/ACOX1_ARATH","ACOX1_ARATH")</f>
        <v>ACOX1_ARATH</v>
      </c>
      <c r="D14778" t="s">
        <v>5338</v>
      </c>
      <c r="E14778" s="3" t="s">
        <v>3</v>
      </c>
      <c r="F14778" s="4">
        <v>0</v>
      </c>
      <c r="G14778" s="3">
        <v>2877</v>
      </c>
      <c r="H14778" s="3">
        <v>74</v>
      </c>
      <c r="I14778" s="3">
        <v>716</v>
      </c>
      <c r="J14778" s="3">
        <v>323</v>
      </c>
      <c r="K14778" s="3">
        <v>2470</v>
      </c>
      <c r="L14778" s="3">
        <v>1</v>
      </c>
      <c r="M14778" s="3">
        <v>664</v>
      </c>
    </row>
    <row r="14779" spans="1:13" x14ac:dyDescent="0.25">
      <c r="A14779" s="1" t="str">
        <f>HYPERLINK("http://www.rosaceae.org/Prunus/Prunus_persica/p.persica_gdr_reftransV1_0025297","p.persica_gdr_reftransV1_0025297")</f>
        <v>p.persica_gdr_reftransV1_0025297</v>
      </c>
      <c r="B14779" s="3">
        <v>2402</v>
      </c>
      <c r="C14779" s="1" t="str">
        <f>HYPERLINK("http://www.uniprot.org/uniprot/RH8_ORYSJ","RH8_ORYSJ")</f>
        <v>RH8_ORYSJ</v>
      </c>
      <c r="D14779" t="s">
        <v>9624</v>
      </c>
      <c r="E14779" s="3" t="s">
        <v>38</v>
      </c>
      <c r="F14779" s="4">
        <v>3.1900000000000002E-147</v>
      </c>
      <c r="G14779" s="3">
        <v>1154</v>
      </c>
      <c r="H14779" s="3">
        <v>95</v>
      </c>
      <c r="I14779" s="3">
        <v>225</v>
      </c>
      <c r="J14779" s="3">
        <v>1205</v>
      </c>
      <c r="K14779" s="3">
        <v>1879</v>
      </c>
      <c r="L14779" s="3">
        <v>284</v>
      </c>
      <c r="M14779" s="3">
        <v>508</v>
      </c>
    </row>
    <row r="14780" spans="1:13" x14ac:dyDescent="0.25">
      <c r="A14780" s="1" t="str">
        <f>HYPERLINK("http://www.rosaceae.org/Prunus/Prunus_persica/p.persica_gdr_reftransV1_0025347","p.persica_gdr_reftransV1_0025347")</f>
        <v>p.persica_gdr_reftransV1_0025347</v>
      </c>
      <c r="B14780" s="3">
        <v>2319</v>
      </c>
      <c r="C14780" s="1" t="str">
        <f>HYPERLINK("http://www.uniprot.org/uniprot/AGAL_COFAR","AGAL_COFAR")</f>
        <v>AGAL_COFAR</v>
      </c>
      <c r="D14780" t="s">
        <v>8972</v>
      </c>
      <c r="E14780" s="3" t="s">
        <v>5450</v>
      </c>
      <c r="F14780" s="4">
        <v>2.4600000000000001E-20</v>
      </c>
      <c r="G14780" s="3">
        <v>241</v>
      </c>
      <c r="H14780" s="3">
        <v>26</v>
      </c>
      <c r="I14780" s="3">
        <v>350</v>
      </c>
      <c r="J14780" s="3">
        <v>229</v>
      </c>
      <c r="K14780" s="3">
        <v>1269</v>
      </c>
      <c r="L14780" s="3">
        <v>23</v>
      </c>
      <c r="M14780" s="3">
        <v>285</v>
      </c>
    </row>
    <row r="14781" spans="1:13" x14ac:dyDescent="0.25">
      <c r="A14781" s="1" t="str">
        <f>HYPERLINK("http://www.rosaceae.org/Prunus/Prunus_persica/p.persica_gdr_reftransV1_0025397","p.persica_gdr_reftransV1_0025397")</f>
        <v>p.persica_gdr_reftransV1_0025397</v>
      </c>
      <c r="B14781" s="3">
        <v>428</v>
      </c>
      <c r="C14781" s="1" t="str">
        <f>HYPERLINK("http://www.uniprot.org/uniprot/PPAF2_IPOBA","PPAF2_IPOBA")</f>
        <v>PPAF2_IPOBA</v>
      </c>
      <c r="D14781" t="s">
        <v>6228</v>
      </c>
      <c r="E14781" s="3" t="s">
        <v>6229</v>
      </c>
      <c r="F14781" s="4">
        <v>5.9200000000000001E-48</v>
      </c>
      <c r="G14781" s="3">
        <v>420</v>
      </c>
      <c r="H14781" s="3">
        <v>76</v>
      </c>
      <c r="I14781" s="3">
        <v>104</v>
      </c>
      <c r="J14781" s="3">
        <v>118</v>
      </c>
      <c r="K14781" s="3">
        <v>426</v>
      </c>
      <c r="L14781" s="3">
        <v>24</v>
      </c>
      <c r="M14781" s="3">
        <v>127</v>
      </c>
    </row>
    <row r="14782" spans="1:13" x14ac:dyDescent="0.25">
      <c r="A14782" s="1" t="str">
        <f>HYPERLINK("http://www.rosaceae.org/Prunus/Prunus_persica/p.persica_gdr_reftransV1_0025447","p.persica_gdr_reftransV1_0025447")</f>
        <v>p.persica_gdr_reftransV1_0025447</v>
      </c>
      <c r="B14782" s="3">
        <v>1630</v>
      </c>
      <c r="C14782" s="1" t="str">
        <f>HYPERLINK("http://www.uniprot.org/uniprot/PRS6A_BRACM","PRS6A_BRACM")</f>
        <v>PRS6A_BRACM</v>
      </c>
      <c r="D14782" t="s">
        <v>9625</v>
      </c>
      <c r="E14782" s="3" t="s">
        <v>825</v>
      </c>
      <c r="F14782" s="4">
        <v>0</v>
      </c>
      <c r="G14782" s="3">
        <v>2055</v>
      </c>
      <c r="H14782" s="3">
        <v>96</v>
      </c>
      <c r="I14782" s="3">
        <v>424</v>
      </c>
      <c r="J14782" s="3">
        <v>226</v>
      </c>
      <c r="K14782" s="3">
        <v>1494</v>
      </c>
      <c r="L14782" s="3">
        <v>1</v>
      </c>
      <c r="M14782" s="3">
        <v>424</v>
      </c>
    </row>
    <row r="14783" spans="1:13" x14ac:dyDescent="0.25">
      <c r="A14783" s="1" t="str">
        <f>HYPERLINK("http://www.rosaceae.org/Prunus/Prunus_persica/p.persica_gdr_reftransV1_0025747","p.persica_gdr_reftransV1_0025747")</f>
        <v>p.persica_gdr_reftransV1_0025747</v>
      </c>
      <c r="B14783" s="3">
        <v>3142</v>
      </c>
      <c r="C14783" s="1" t="str">
        <f>HYPERLINK("http://www.uniprot.org/uniprot/idM1_ARATH","idM1_ARATH")</f>
        <v>idM1_ARATH</v>
      </c>
      <c r="D14783" t="s">
        <v>1345</v>
      </c>
      <c r="E14783" s="3" t="s">
        <v>3</v>
      </c>
      <c r="F14783" s="4">
        <v>2.4E-87</v>
      </c>
      <c r="G14783" s="3">
        <v>796</v>
      </c>
      <c r="H14783" s="3">
        <v>38</v>
      </c>
      <c r="I14783" s="3">
        <v>483</v>
      </c>
      <c r="J14783" s="3">
        <v>110</v>
      </c>
      <c r="K14783" s="3">
        <v>1537</v>
      </c>
      <c r="L14783" s="3">
        <v>570</v>
      </c>
      <c r="M14783" s="3">
        <v>1032</v>
      </c>
    </row>
    <row r="14784" spans="1:13" x14ac:dyDescent="0.25">
      <c r="A14784" s="1" t="str">
        <f>HYPERLINK("http://www.rosaceae.org/Prunus/Prunus_persica/p.persica_gdr_reftransV1_0025797","p.persica_gdr_reftransV1_0025797")</f>
        <v>p.persica_gdr_reftransV1_0025797</v>
      </c>
      <c r="B14784" s="3">
        <v>2889</v>
      </c>
      <c r="C14784" s="1" t="str">
        <f>HYPERLINK("http://www.uniprot.org/uniprot/E1314_ARATH","E1314_ARATH")</f>
        <v>E1314_ARATH</v>
      </c>
      <c r="D14784" t="s">
        <v>7783</v>
      </c>
      <c r="E14784" s="3" t="s">
        <v>3</v>
      </c>
      <c r="F14784" s="4">
        <v>2.24E-103</v>
      </c>
      <c r="G14784" s="3">
        <v>857</v>
      </c>
      <c r="H14784" s="3">
        <v>48</v>
      </c>
      <c r="I14784" s="3">
        <v>322</v>
      </c>
      <c r="J14784" s="3">
        <v>627</v>
      </c>
      <c r="K14784" s="3">
        <v>1592</v>
      </c>
      <c r="L14784" s="3">
        <v>30</v>
      </c>
      <c r="M14784" s="3">
        <v>350</v>
      </c>
    </row>
    <row r="14785" spans="1:13" x14ac:dyDescent="0.25">
      <c r="A14785" s="1" t="str">
        <f>HYPERLINK("http://www.rosaceae.org/Prunus/Prunus_persica/p.persica_gdr_reftransV1_0025897","p.persica_gdr_reftransV1_0025897")</f>
        <v>p.persica_gdr_reftransV1_0025897</v>
      </c>
      <c r="B14785" s="3">
        <v>2427</v>
      </c>
      <c r="C14785" s="1" t="str">
        <f>HYPERLINK("http://www.uniprot.org/uniprot/ENG2_SCHPO","ENG2_SCHPO")</f>
        <v>ENG2_SCHPO</v>
      </c>
      <c r="D14785" t="s">
        <v>9626</v>
      </c>
      <c r="E14785" s="3" t="s">
        <v>464</v>
      </c>
      <c r="F14785" s="4">
        <v>2.44E-26</v>
      </c>
      <c r="G14785" s="3">
        <v>297</v>
      </c>
      <c r="H14785" s="3">
        <v>30</v>
      </c>
      <c r="I14785" s="3">
        <v>254</v>
      </c>
      <c r="J14785" s="3">
        <v>1313</v>
      </c>
      <c r="K14785" s="3">
        <v>2062</v>
      </c>
      <c r="L14785" s="3">
        <v>428</v>
      </c>
      <c r="M14785" s="3">
        <v>672</v>
      </c>
    </row>
    <row r="14786" spans="1:13" x14ac:dyDescent="0.25">
      <c r="A14786" s="1" t="str">
        <f>HYPERLINK("http://www.rosaceae.org/Prunus/Prunus_persica/p.persica_gdr_reftransV1_0026097","p.persica_gdr_reftransV1_0026097")</f>
        <v>p.persica_gdr_reftransV1_0026097</v>
      </c>
      <c r="B14786" s="3">
        <v>5019</v>
      </c>
      <c r="C14786" s="1" t="str">
        <f>HYPERLINK("http://www.uniprot.org/uniprot/M3KE1_ARATH","M3KE1_ARATH")</f>
        <v>M3KE1_ARATH</v>
      </c>
      <c r="D14786" t="s">
        <v>9627</v>
      </c>
      <c r="E14786" s="3" t="s">
        <v>3</v>
      </c>
      <c r="F14786" s="4">
        <v>0</v>
      </c>
      <c r="G14786" s="3">
        <v>5310</v>
      </c>
      <c r="H14786" s="3">
        <v>73</v>
      </c>
      <c r="I14786" s="3">
        <v>1466</v>
      </c>
      <c r="J14786" s="3">
        <v>353</v>
      </c>
      <c r="K14786" s="3">
        <v>4714</v>
      </c>
      <c r="L14786" s="3">
        <v>1</v>
      </c>
      <c r="M14786" s="3">
        <v>1368</v>
      </c>
    </row>
    <row r="14787" spans="1:13" x14ac:dyDescent="0.25">
      <c r="A14787" s="1" t="str">
        <f>HYPERLINK("http://www.rosaceae.org/Prunus/Prunus_persica/p.persica_gdr_reftransV1_0026147","p.persica_gdr_reftransV1_0026147")</f>
        <v>p.persica_gdr_reftransV1_0026147</v>
      </c>
      <c r="B14787" s="3">
        <v>1794</v>
      </c>
      <c r="C14787" s="1" t="str">
        <f>HYPERLINK("http://www.uniprot.org/uniprot/Y1295_ARATH","Y1295_ARATH")</f>
        <v>Y1295_ARATH</v>
      </c>
      <c r="D14787" t="s">
        <v>9628</v>
      </c>
      <c r="E14787" s="3" t="s">
        <v>3</v>
      </c>
      <c r="F14787" s="4">
        <v>1.9500000000000001E-153</v>
      </c>
      <c r="G14787" s="3">
        <v>1167</v>
      </c>
      <c r="H14787" s="3">
        <v>63</v>
      </c>
      <c r="I14787" s="3">
        <v>348</v>
      </c>
      <c r="J14787" s="3">
        <v>399</v>
      </c>
      <c r="K14787" s="3">
        <v>1442</v>
      </c>
      <c r="L14787" s="3">
        <v>39</v>
      </c>
      <c r="M14787" s="3">
        <v>386</v>
      </c>
    </row>
    <row r="14788" spans="1:13" x14ac:dyDescent="0.25">
      <c r="A14788" s="1" t="str">
        <f>HYPERLINK("http://www.rosaceae.org/Prunus/Prunus_persica/p.persica_gdr_reftransV1_0026247","p.persica_gdr_reftransV1_0026247")</f>
        <v>p.persica_gdr_reftransV1_0026247</v>
      </c>
      <c r="B14788" s="3">
        <v>2384</v>
      </c>
      <c r="C14788" s="1" t="str">
        <f>HYPERLINK("http://www.uniprot.org/uniprot/SDN5_ARATH","SDN5_ARATH")</f>
        <v>SDN5_ARATH</v>
      </c>
      <c r="D14788" t="s">
        <v>9629</v>
      </c>
      <c r="E14788" s="3" t="s">
        <v>3</v>
      </c>
      <c r="F14788" s="4">
        <v>0</v>
      </c>
      <c r="G14788" s="3">
        <v>1922</v>
      </c>
      <c r="H14788" s="3">
        <v>66</v>
      </c>
      <c r="I14788" s="3">
        <v>545</v>
      </c>
      <c r="J14788" s="3">
        <v>638</v>
      </c>
      <c r="K14788" s="3">
        <v>2257</v>
      </c>
      <c r="L14788" s="3">
        <v>28</v>
      </c>
      <c r="M14788" s="3">
        <v>566</v>
      </c>
    </row>
    <row r="14789" spans="1:13" x14ac:dyDescent="0.25">
      <c r="A14789" s="1" t="str">
        <f>HYPERLINK("http://www.rosaceae.org/Prunus/Prunus_persica/p.persica_gdr_reftransV1_0026347","p.persica_gdr_reftransV1_0026347")</f>
        <v>p.persica_gdr_reftransV1_0026347</v>
      </c>
      <c r="B14789" s="3">
        <v>7621</v>
      </c>
      <c r="C14789" s="1" t="str">
        <f>HYPERLINK("http://www.uniprot.org/uniprot/IMB1_ARATH","IMB1_ARATH")</f>
        <v>IMB1_ARATH</v>
      </c>
      <c r="D14789" t="s">
        <v>9630</v>
      </c>
      <c r="E14789" s="3" t="s">
        <v>3</v>
      </c>
      <c r="F14789" s="4">
        <v>0</v>
      </c>
      <c r="G14789" s="3">
        <v>3759</v>
      </c>
      <c r="H14789" s="3">
        <v>82</v>
      </c>
      <c r="I14789" s="3">
        <v>869</v>
      </c>
      <c r="J14789" s="3">
        <v>175</v>
      </c>
      <c r="K14789" s="3">
        <v>2781</v>
      </c>
      <c r="L14789" s="3">
        <v>1</v>
      </c>
      <c r="M14789" s="3">
        <v>867</v>
      </c>
    </row>
    <row r="14790" spans="1:13" x14ac:dyDescent="0.25">
      <c r="A14790" s="1" t="str">
        <f>HYPERLINK("http://www.rosaceae.org/Prunus/Prunus_persica/p.persica_gdr_reftransV1_0026497","p.persica_gdr_reftransV1_0026497")</f>
        <v>p.persica_gdr_reftransV1_0026497</v>
      </c>
      <c r="B14790" s="3">
        <v>1702</v>
      </c>
      <c r="C14790" s="1" t="str">
        <f>HYPERLINK("http://www.uniprot.org/uniprot/RPM1_ARATH","RPM1_ARATH")</f>
        <v>RPM1_ARATH</v>
      </c>
      <c r="D14790" t="s">
        <v>453</v>
      </c>
      <c r="E14790" s="3" t="s">
        <v>3</v>
      </c>
      <c r="F14790" s="4">
        <v>1.7600000000000001E-88</v>
      </c>
      <c r="G14790" s="3">
        <v>549</v>
      </c>
      <c r="H14790" s="3">
        <v>40</v>
      </c>
      <c r="I14790" s="3">
        <v>330</v>
      </c>
      <c r="J14790" s="3">
        <v>392</v>
      </c>
      <c r="K14790" s="3">
        <v>1360</v>
      </c>
      <c r="L14790" s="3">
        <v>575</v>
      </c>
      <c r="M14790" s="3">
        <v>903</v>
      </c>
    </row>
    <row r="14791" spans="1:13" x14ac:dyDescent="0.25">
      <c r="A14791" s="1" t="str">
        <f>HYPERLINK("http://www.rosaceae.org/Prunus/Prunus_persica/p.persica_gdr_reftransV1_0026747","p.persica_gdr_reftransV1_0026747")</f>
        <v>p.persica_gdr_reftransV1_0026747</v>
      </c>
      <c r="B14791" s="3">
        <v>2358</v>
      </c>
      <c r="C14791" s="1" t="str">
        <f>HYPERLINK("http://www.uniprot.org/uniprot/HEM3_PEA","HEM3_PEA")</f>
        <v>HEM3_PEA</v>
      </c>
      <c r="D14791" t="s">
        <v>9631</v>
      </c>
      <c r="E14791" s="3" t="s">
        <v>60</v>
      </c>
      <c r="F14791" s="4">
        <v>4.4799999999999998E-89</v>
      </c>
      <c r="G14791" s="3">
        <v>746</v>
      </c>
      <c r="H14791" s="3">
        <v>83</v>
      </c>
      <c r="I14791" s="3">
        <v>163</v>
      </c>
      <c r="J14791" s="3">
        <v>1538</v>
      </c>
      <c r="K14791" s="3">
        <v>2026</v>
      </c>
      <c r="L14791" s="3">
        <v>207</v>
      </c>
      <c r="M14791" s="3">
        <v>369</v>
      </c>
    </row>
    <row r="14792" spans="1:13" x14ac:dyDescent="0.25">
      <c r="A14792" s="1" t="str">
        <f>HYPERLINK("http://www.rosaceae.org/Prunus/Prunus_persica/p.persica_gdr_reftransV1_0027147","p.persica_gdr_reftransV1_0027147")</f>
        <v>p.persica_gdr_reftransV1_0027147</v>
      </c>
      <c r="B14792" s="3">
        <v>1242</v>
      </c>
      <c r="C14792" s="1" t="str">
        <f>HYPERLINK("http://www.uniprot.org/uniprot/RWDD1_MOUSE","RWDD1_MOUSE")</f>
        <v>RWDD1_MOUSE</v>
      </c>
      <c r="D14792" t="s">
        <v>9632</v>
      </c>
      <c r="E14792" s="3" t="s">
        <v>157</v>
      </c>
      <c r="F14792" s="4">
        <v>1.44E-24</v>
      </c>
      <c r="G14792" s="3">
        <v>261</v>
      </c>
      <c r="H14792" s="3">
        <v>37</v>
      </c>
      <c r="I14792" s="3">
        <v>205</v>
      </c>
      <c r="J14792" s="3">
        <v>486</v>
      </c>
      <c r="K14792" s="3">
        <v>1088</v>
      </c>
      <c r="L14792" s="3">
        <v>1</v>
      </c>
      <c r="M14792" s="3">
        <v>192</v>
      </c>
    </row>
    <row r="14793" spans="1:13" x14ac:dyDescent="0.25">
      <c r="A14793" s="1" t="str">
        <f>HYPERLINK("http://www.rosaceae.org/Prunus/Prunus_persica/p.persica_gdr_reftransV1_0027197","p.persica_gdr_reftransV1_0027197")</f>
        <v>p.persica_gdr_reftransV1_0027197</v>
      </c>
      <c r="B14793" s="3">
        <v>3367</v>
      </c>
      <c r="C14793" s="1" t="str">
        <f>HYPERLINK("http://www.uniprot.org/uniprot/FTZ21_ARATH","FTZ21_ARATH")</f>
        <v>FTZ21_ARATH</v>
      </c>
      <c r="D14793" t="s">
        <v>9633</v>
      </c>
      <c r="E14793" s="3" t="s">
        <v>3</v>
      </c>
      <c r="F14793" s="4">
        <v>0</v>
      </c>
      <c r="G14793" s="3">
        <v>1590</v>
      </c>
      <c r="H14793" s="3">
        <v>76</v>
      </c>
      <c r="I14793" s="3">
        <v>485</v>
      </c>
      <c r="J14793" s="3">
        <v>400</v>
      </c>
      <c r="K14793" s="3">
        <v>1833</v>
      </c>
      <c r="L14793" s="3">
        <v>1</v>
      </c>
      <c r="M14793" s="3">
        <v>478</v>
      </c>
    </row>
    <row r="14794" spans="1:13" x14ac:dyDescent="0.25">
      <c r="A14794" s="1" t="str">
        <f>HYPERLINK("http://www.rosaceae.org/Prunus/Prunus_persica/p.persica_gdr_reftransV1_0027347","p.persica_gdr_reftransV1_0027347")</f>
        <v>p.persica_gdr_reftransV1_0027347</v>
      </c>
      <c r="B14794" s="3">
        <v>2216</v>
      </c>
      <c r="C14794" s="1" t="str">
        <f>HYPERLINK("http://www.uniprot.org/uniprot/LPP2_ARATH","LPP2_ARATH")</f>
        <v>LPP2_ARATH</v>
      </c>
      <c r="D14794" t="s">
        <v>3652</v>
      </c>
      <c r="E14794" s="3" t="s">
        <v>3</v>
      </c>
      <c r="F14794" s="4">
        <v>5.4000000000000004E-74</v>
      </c>
      <c r="G14794" s="3">
        <v>632</v>
      </c>
      <c r="H14794" s="3">
        <v>78</v>
      </c>
      <c r="I14794" s="3">
        <v>169</v>
      </c>
      <c r="J14794" s="3">
        <v>1649</v>
      </c>
      <c r="K14794" s="3">
        <v>2155</v>
      </c>
      <c r="L14794" s="3">
        <v>1</v>
      </c>
      <c r="M14794" s="3">
        <v>169</v>
      </c>
    </row>
    <row r="14795" spans="1:13" x14ac:dyDescent="0.25">
      <c r="A14795" s="1" t="str">
        <f>HYPERLINK("http://www.rosaceae.org/Prunus/Prunus_persica/p.persica_gdr_reftransV1_0027397","p.persica_gdr_reftransV1_0027397")</f>
        <v>p.persica_gdr_reftransV1_0027397</v>
      </c>
      <c r="B14795" s="3">
        <v>674</v>
      </c>
      <c r="C14795" s="1" t="str">
        <f>HYPERLINK("http://www.uniprot.org/uniprot/YL728_MIMIV","YL728_MIMIV")</f>
        <v>YL728_MIMIV</v>
      </c>
      <c r="D14795" t="s">
        <v>2032</v>
      </c>
      <c r="E14795" s="3" t="s">
        <v>2033</v>
      </c>
      <c r="F14795" s="4">
        <v>2.8899999999999999E-17</v>
      </c>
      <c r="G14795" s="3">
        <v>207</v>
      </c>
      <c r="H14795" s="3">
        <v>39</v>
      </c>
      <c r="I14795" s="3">
        <v>119</v>
      </c>
      <c r="J14795" s="3">
        <v>3</v>
      </c>
      <c r="K14795" s="3">
        <v>356</v>
      </c>
      <c r="L14795" s="3">
        <v>384</v>
      </c>
      <c r="M14795" s="3">
        <v>497</v>
      </c>
    </row>
    <row r="14796" spans="1:13" x14ac:dyDescent="0.25">
      <c r="A14796" s="1" t="str">
        <f>HYPERLINK("http://www.rosaceae.org/Prunus/Prunus_persica/p.persica_gdr_reftransV1_0027797","p.persica_gdr_reftransV1_0027797")</f>
        <v>p.persica_gdr_reftransV1_0027797</v>
      </c>
      <c r="B14796" s="3">
        <v>1858</v>
      </c>
      <c r="C14796" s="1" t="str">
        <f>HYPERLINK("http://www.uniprot.org/uniprot/PGLR4_ARATH","PGLR4_ARATH")</f>
        <v>PGLR4_ARATH</v>
      </c>
      <c r="D14796" t="s">
        <v>4096</v>
      </c>
      <c r="E14796" s="3" t="s">
        <v>3</v>
      </c>
      <c r="F14796" s="4">
        <v>1.8000000000000001E-106</v>
      </c>
      <c r="G14796" s="3">
        <v>862</v>
      </c>
      <c r="H14796" s="3">
        <v>47</v>
      </c>
      <c r="I14796" s="3">
        <v>400</v>
      </c>
      <c r="J14796" s="3">
        <v>345</v>
      </c>
      <c r="K14796" s="3">
        <v>1532</v>
      </c>
      <c r="L14796" s="3">
        <v>79</v>
      </c>
      <c r="M14796" s="3">
        <v>463</v>
      </c>
    </row>
    <row r="14797" spans="1:13" x14ac:dyDescent="0.25">
      <c r="A14797" s="1" t="str">
        <f>HYPERLINK("http://www.rosaceae.org/Prunus/Prunus_persica/p.persica_gdr_reftransV1_0027847","p.persica_gdr_reftransV1_0027847")</f>
        <v>p.persica_gdr_reftransV1_0027847</v>
      </c>
      <c r="B14797" s="3">
        <v>2376</v>
      </c>
      <c r="C14797" s="1" t="str">
        <f>HYPERLINK("http://www.uniprot.org/uniprot/DCDA1_ARATH","DCDA1_ARATH")</f>
        <v>DCDA1_ARATH</v>
      </c>
      <c r="D14797" t="s">
        <v>9634</v>
      </c>
      <c r="E14797" s="3" t="s">
        <v>3</v>
      </c>
      <c r="F14797" s="4">
        <v>1.0200000000000001E-175</v>
      </c>
      <c r="G14797" s="3">
        <v>1342</v>
      </c>
      <c r="H14797" s="3">
        <v>78</v>
      </c>
      <c r="I14797" s="3">
        <v>337</v>
      </c>
      <c r="J14797" s="3">
        <v>1346</v>
      </c>
      <c r="K14797" s="3">
        <v>2332</v>
      </c>
      <c r="L14797" s="3">
        <v>3</v>
      </c>
      <c r="M14797" s="3">
        <v>326</v>
      </c>
    </row>
    <row r="14798" spans="1:13" x14ac:dyDescent="0.25">
      <c r="A14798" s="1" t="str">
        <f>HYPERLINK("http://www.rosaceae.org/Prunus/Prunus_persica/p.persica_gdr_reftransV1_0027897","p.persica_gdr_reftransV1_0027897")</f>
        <v>p.persica_gdr_reftransV1_0027897</v>
      </c>
      <c r="B14798" s="3">
        <v>1675</v>
      </c>
      <c r="C14798" s="1" t="str">
        <f>HYPERLINK("http://www.uniprot.org/uniprot/Y4757_DICDI","Y4757_DICDI")</f>
        <v>Y4757_DICDI</v>
      </c>
      <c r="D14798" t="s">
        <v>6481</v>
      </c>
      <c r="E14798" s="3" t="s">
        <v>9</v>
      </c>
      <c r="F14798" s="4">
        <v>1.2399999999999999E-20</v>
      </c>
      <c r="G14798" s="3">
        <v>247</v>
      </c>
      <c r="H14798" s="3">
        <v>36</v>
      </c>
      <c r="I14798" s="3">
        <v>193</v>
      </c>
      <c r="J14798" s="3">
        <v>436</v>
      </c>
      <c r="K14798" s="3">
        <v>966</v>
      </c>
      <c r="L14798" s="3">
        <v>575</v>
      </c>
      <c r="M14798" s="3">
        <v>764</v>
      </c>
    </row>
    <row r="14799" spans="1:13" x14ac:dyDescent="0.25">
      <c r="A14799" s="1" t="str">
        <f>HYPERLINK("http://www.rosaceae.org/Prunus/Prunus_persica/p.persica_gdr_reftransV1_0028047","p.persica_gdr_reftransV1_0028047")</f>
        <v>p.persica_gdr_reftransV1_0028047</v>
      </c>
      <c r="B14799" s="3">
        <v>1634</v>
      </c>
      <c r="C14799" s="1" t="str">
        <f>HYPERLINK("http://www.uniprot.org/uniprot/ZN622_HUMAN","ZN622_HUMAN")</f>
        <v>ZN622_HUMAN</v>
      </c>
      <c r="D14799" t="s">
        <v>9635</v>
      </c>
      <c r="E14799" s="3" t="s">
        <v>28</v>
      </c>
      <c r="F14799" s="4">
        <v>8.5299999999999997E-25</v>
      </c>
      <c r="G14799" s="3">
        <v>277</v>
      </c>
      <c r="H14799" s="3">
        <v>33</v>
      </c>
      <c r="I14799" s="3">
        <v>228</v>
      </c>
      <c r="J14799" s="3">
        <v>681</v>
      </c>
      <c r="K14799" s="3">
        <v>1343</v>
      </c>
      <c r="L14799" s="3">
        <v>254</v>
      </c>
      <c r="M14799" s="3">
        <v>469</v>
      </c>
    </row>
    <row r="14800" spans="1:13" x14ac:dyDescent="0.25">
      <c r="A14800" s="1" t="str">
        <f>HYPERLINK("http://www.rosaceae.org/Prunus/Prunus_persica/p.persica_gdr_reftransV1_0028097","p.persica_gdr_reftransV1_0028097")</f>
        <v>p.persica_gdr_reftransV1_0028097</v>
      </c>
      <c r="B14800" s="3">
        <v>1662</v>
      </c>
      <c r="C14800" s="1" t="str">
        <f>HYPERLINK("http://www.uniprot.org/uniprot/CHFR_XENLA","CHFR_XENLA")</f>
        <v>CHFR_XENLA</v>
      </c>
      <c r="D14800" t="s">
        <v>9636</v>
      </c>
      <c r="E14800" s="3" t="s">
        <v>475</v>
      </c>
      <c r="F14800" s="4">
        <v>1.2499999999999999E-7</v>
      </c>
      <c r="G14800" s="3">
        <v>139</v>
      </c>
      <c r="H14800" s="3">
        <v>32</v>
      </c>
      <c r="I14800" s="3">
        <v>114</v>
      </c>
      <c r="J14800" s="3">
        <v>1236</v>
      </c>
      <c r="K14800" s="3">
        <v>1526</v>
      </c>
      <c r="L14800" s="3">
        <v>221</v>
      </c>
      <c r="M14800" s="3">
        <v>334</v>
      </c>
    </row>
    <row r="14801" spans="1:13" x14ac:dyDescent="0.25">
      <c r="A14801" s="1" t="str">
        <f>HYPERLINK("http://www.rosaceae.org/Prunus/Prunus_persica/p.persica_gdr_reftransV1_0028347","p.persica_gdr_reftransV1_0028347")</f>
        <v>p.persica_gdr_reftransV1_0028347</v>
      </c>
      <c r="B14801" s="3">
        <v>440</v>
      </c>
      <c r="C14801" s="1" t="str">
        <f>HYPERLINK("http://www.uniprot.org/uniprot/TMVRN_NICGU","TMVRN_NICGU")</f>
        <v>TMVRN_NICGU</v>
      </c>
      <c r="D14801" t="s">
        <v>151</v>
      </c>
      <c r="E14801" s="3" t="s">
        <v>152</v>
      </c>
      <c r="F14801" s="4">
        <v>8.8700000000000003E-14</v>
      </c>
      <c r="G14801" s="3">
        <v>177</v>
      </c>
      <c r="H14801" s="3">
        <v>44</v>
      </c>
      <c r="I14801" s="3">
        <v>111</v>
      </c>
      <c r="J14801" s="3">
        <v>6</v>
      </c>
      <c r="K14801" s="3">
        <v>338</v>
      </c>
      <c r="L14801" s="3">
        <v>316</v>
      </c>
      <c r="M14801" s="3">
        <v>424</v>
      </c>
    </row>
    <row r="14802" spans="1:13" x14ac:dyDescent="0.25">
      <c r="A14802" s="1" t="str">
        <f>HYPERLINK("http://www.rosaceae.org/Prunus/Prunus_persica/p.persica_gdr_reftransV1_0028397","p.persica_gdr_reftransV1_0028397")</f>
        <v>p.persica_gdr_reftransV1_0028397</v>
      </c>
      <c r="B14802" s="3">
        <v>1989</v>
      </c>
      <c r="C14802" s="1" t="str">
        <f>HYPERLINK("http://www.uniprot.org/uniprot/LSH6_ARATH","LSH6_ARATH")</f>
        <v>LSH6_ARATH</v>
      </c>
      <c r="D14802" t="s">
        <v>3892</v>
      </c>
      <c r="E14802" s="3" t="s">
        <v>3</v>
      </c>
      <c r="F14802" s="4">
        <v>5.2200000000000003E-82</v>
      </c>
      <c r="G14802" s="3">
        <v>674</v>
      </c>
      <c r="H14802" s="3">
        <v>88</v>
      </c>
      <c r="I14802" s="3">
        <v>140</v>
      </c>
      <c r="J14802" s="3">
        <v>467</v>
      </c>
      <c r="K14802" s="3">
        <v>886</v>
      </c>
      <c r="L14802" s="3">
        <v>31</v>
      </c>
      <c r="M14802" s="3">
        <v>170</v>
      </c>
    </row>
    <row r="14803" spans="1:13" x14ac:dyDescent="0.25">
      <c r="A14803" s="1" t="str">
        <f>HYPERLINK("http://www.rosaceae.org/Prunus/Prunus_persica/p.persica_gdr_reftransV1_0028697","p.persica_gdr_reftransV1_0028697")</f>
        <v>p.persica_gdr_reftransV1_0028697</v>
      </c>
      <c r="B14803" s="3">
        <v>962</v>
      </c>
      <c r="C14803" s="1" t="str">
        <f>HYPERLINK("http://www.uniprot.org/uniprot/HHT1_ARATH","HHT1_ARATH")</f>
        <v>HHT1_ARATH</v>
      </c>
      <c r="D14803" t="s">
        <v>1756</v>
      </c>
      <c r="E14803" s="3" t="s">
        <v>3</v>
      </c>
      <c r="F14803" s="4">
        <v>3.8499999999999999E-21</v>
      </c>
      <c r="G14803" s="3">
        <v>239</v>
      </c>
      <c r="H14803" s="3">
        <v>33</v>
      </c>
      <c r="I14803" s="3">
        <v>240</v>
      </c>
      <c r="J14803" s="3">
        <v>266</v>
      </c>
      <c r="K14803" s="3">
        <v>961</v>
      </c>
      <c r="L14803" s="3">
        <v>221</v>
      </c>
      <c r="M14803" s="3">
        <v>451</v>
      </c>
    </row>
    <row r="14804" spans="1:13" x14ac:dyDescent="0.25">
      <c r="A14804" s="1" t="str">
        <f>HYPERLINK("http://www.rosaceae.org/Prunus/Prunus_persica/p.persica_gdr_reftransV1_0028747","p.persica_gdr_reftransV1_0028747")</f>
        <v>p.persica_gdr_reftransV1_0028747</v>
      </c>
      <c r="B14804" s="3">
        <v>1662</v>
      </c>
      <c r="C14804" s="1" t="str">
        <f>HYPERLINK("http://www.uniprot.org/uniprot/RING3_ARATH","RING3_ARATH")</f>
        <v>RING3_ARATH</v>
      </c>
      <c r="D14804" t="s">
        <v>4543</v>
      </c>
      <c r="E14804" s="3" t="s">
        <v>3</v>
      </c>
      <c r="F14804" s="4">
        <v>1.9200000000000001E-82</v>
      </c>
      <c r="G14804" s="3">
        <v>673</v>
      </c>
      <c r="H14804" s="3">
        <v>62</v>
      </c>
      <c r="I14804" s="3">
        <v>234</v>
      </c>
      <c r="J14804" s="3">
        <v>305</v>
      </c>
      <c r="K14804" s="3">
        <v>982</v>
      </c>
      <c r="L14804" s="3">
        <v>1</v>
      </c>
      <c r="M14804" s="3">
        <v>230</v>
      </c>
    </row>
    <row r="14805" spans="1:13" x14ac:dyDescent="0.25">
      <c r="A14805" s="1" t="str">
        <f>HYPERLINK("http://www.rosaceae.org/Prunus/Prunus_persica/p.persica_gdr_reftransV1_0029197","p.persica_gdr_reftransV1_0029197")</f>
        <v>p.persica_gdr_reftransV1_0029197</v>
      </c>
      <c r="B14805" s="3">
        <v>2964</v>
      </c>
      <c r="C14805" s="1" t="str">
        <f>HYPERLINK("http://www.uniprot.org/uniprot/SAC8_ARATH","SAC8_ARATH")</f>
        <v>SAC8_ARATH</v>
      </c>
      <c r="D14805" t="s">
        <v>9637</v>
      </c>
      <c r="E14805" s="3" t="s">
        <v>3</v>
      </c>
      <c r="F14805" s="4">
        <v>1.5199999999999999E-165</v>
      </c>
      <c r="G14805" s="3">
        <v>773</v>
      </c>
      <c r="H14805" s="3">
        <v>72</v>
      </c>
      <c r="I14805" s="3">
        <v>189</v>
      </c>
      <c r="J14805" s="3">
        <v>813</v>
      </c>
      <c r="K14805" s="3">
        <v>1379</v>
      </c>
      <c r="L14805" s="3">
        <v>183</v>
      </c>
      <c r="M14805" s="3">
        <v>371</v>
      </c>
    </row>
    <row r="14806" spans="1:13" x14ac:dyDescent="0.25">
      <c r="A14806" s="1" t="str">
        <f>HYPERLINK("http://www.rosaceae.org/Prunus/Prunus_persica/p.persica_gdr_reftransV1_0029247","p.persica_gdr_reftransV1_0029247")</f>
        <v>p.persica_gdr_reftransV1_0029247</v>
      </c>
      <c r="B14806" s="3">
        <v>2518</v>
      </c>
      <c r="C14806" s="1" t="str">
        <f>HYPERLINK("http://www.uniprot.org/uniprot/GCN5_ARATH","GCN5_ARATH")</f>
        <v>GCN5_ARATH</v>
      </c>
      <c r="D14806" t="s">
        <v>3384</v>
      </c>
      <c r="E14806" s="3" t="s">
        <v>3</v>
      </c>
      <c r="F14806" s="4">
        <v>3.8900000000000002E-122</v>
      </c>
      <c r="G14806" s="3">
        <v>993</v>
      </c>
      <c r="H14806" s="3">
        <v>77</v>
      </c>
      <c r="I14806" s="3">
        <v>228</v>
      </c>
      <c r="J14806" s="3">
        <v>217</v>
      </c>
      <c r="K14806" s="3">
        <v>894</v>
      </c>
      <c r="L14806" s="3">
        <v>341</v>
      </c>
      <c r="M14806" s="3">
        <v>568</v>
      </c>
    </row>
    <row r="14807" spans="1:13" x14ac:dyDescent="0.25">
      <c r="A14807" s="1" t="str">
        <f>HYPERLINK("http://www.rosaceae.org/Prunus/Prunus_persica/p.persica_gdr_reftransV1_0029397","p.persica_gdr_reftransV1_0029397")</f>
        <v>p.persica_gdr_reftransV1_0029397</v>
      </c>
      <c r="B14807" s="3">
        <v>1596</v>
      </c>
      <c r="C14807" s="1" t="str">
        <f>HYPERLINK("http://www.uniprot.org/uniprot/MET7A_HUMAN","MET7A_HUMAN")</f>
        <v>MET7A_HUMAN</v>
      </c>
      <c r="D14807" t="s">
        <v>9638</v>
      </c>
      <c r="E14807" s="3" t="s">
        <v>28</v>
      </c>
      <c r="F14807" s="4">
        <v>1.9000000000000001E-15</v>
      </c>
      <c r="G14807" s="3">
        <v>196</v>
      </c>
      <c r="H14807" s="3">
        <v>43</v>
      </c>
      <c r="I14807" s="3">
        <v>86</v>
      </c>
      <c r="J14807" s="3">
        <v>257</v>
      </c>
      <c r="K14807" s="3">
        <v>511</v>
      </c>
      <c r="L14807" s="3">
        <v>159</v>
      </c>
      <c r="M14807" s="3">
        <v>244</v>
      </c>
    </row>
    <row r="14808" spans="1:13" x14ac:dyDescent="0.25">
      <c r="A14808" s="1" t="str">
        <f>HYPERLINK("http://www.rosaceae.org/Prunus/Prunus_persica/p.persica_gdr_reftransV1_0029497","p.persica_gdr_reftransV1_0029497")</f>
        <v>p.persica_gdr_reftransV1_0029497</v>
      </c>
      <c r="B14808" s="3">
        <v>2031</v>
      </c>
      <c r="C14808" s="1" t="str">
        <f>HYPERLINK("http://www.uniprot.org/uniprot/RRP8_ARATH","RRP8_ARATH")</f>
        <v>RRP8_ARATH</v>
      </c>
      <c r="D14808" t="s">
        <v>9639</v>
      </c>
      <c r="E14808" s="3" t="s">
        <v>3</v>
      </c>
      <c r="F14808" s="4">
        <v>1.03E-85</v>
      </c>
      <c r="G14808" s="3">
        <v>709</v>
      </c>
      <c r="H14808" s="3">
        <v>68</v>
      </c>
      <c r="I14808" s="3">
        <v>211</v>
      </c>
      <c r="J14808" s="3">
        <v>931</v>
      </c>
      <c r="K14808" s="3">
        <v>1563</v>
      </c>
      <c r="L14808" s="3">
        <v>102</v>
      </c>
      <c r="M14808" s="3">
        <v>287</v>
      </c>
    </row>
    <row r="14809" spans="1:13" x14ac:dyDescent="0.25">
      <c r="A14809" s="1" t="str">
        <f>HYPERLINK("http://www.rosaceae.org/Prunus/Prunus_persica/p.persica_gdr_reftransV1_0029597","p.persica_gdr_reftransV1_0029597")</f>
        <v>p.persica_gdr_reftransV1_0029597</v>
      </c>
      <c r="B14809" s="3">
        <v>2449</v>
      </c>
      <c r="C14809" s="1" t="str">
        <f>HYPERLINK("http://www.uniprot.org/uniprot/CAS1_MALDO","CAS1_MALDO")</f>
        <v>CAS1_MALDO</v>
      </c>
      <c r="D14809" t="s">
        <v>9640</v>
      </c>
      <c r="E14809" s="3" t="s">
        <v>540</v>
      </c>
      <c r="F14809" s="4">
        <v>1.41E-166</v>
      </c>
      <c r="G14809" s="3">
        <v>1272</v>
      </c>
      <c r="H14809" s="3">
        <v>90</v>
      </c>
      <c r="I14809" s="3">
        <v>269</v>
      </c>
      <c r="J14809" s="3">
        <v>1334</v>
      </c>
      <c r="K14809" s="3">
        <v>2140</v>
      </c>
      <c r="L14809" s="3">
        <v>1</v>
      </c>
      <c r="M14809" s="3">
        <v>269</v>
      </c>
    </row>
    <row r="14810" spans="1:13" x14ac:dyDescent="0.25">
      <c r="A14810" s="1" t="str">
        <f>HYPERLINK("http://www.rosaceae.org/Prunus/Prunus_persica/p.persica_gdr_reftransV1_0029697","p.persica_gdr_reftransV1_0029697")</f>
        <v>p.persica_gdr_reftransV1_0029697</v>
      </c>
      <c r="B14810" s="3">
        <v>1862</v>
      </c>
      <c r="C14810" s="1" t="str">
        <f>HYPERLINK("http://www.uniprot.org/uniprot/LIRP1_ORYSJ","LIRP1_ORYSJ")</f>
        <v>LIRP1_ORYSJ</v>
      </c>
      <c r="D14810" t="s">
        <v>9641</v>
      </c>
      <c r="E14810" s="3" t="s">
        <v>38</v>
      </c>
      <c r="F14810" s="4">
        <v>2.0700000000000001E-25</v>
      </c>
      <c r="G14810" s="3">
        <v>265</v>
      </c>
      <c r="H14810" s="3">
        <v>64</v>
      </c>
      <c r="I14810" s="3">
        <v>76</v>
      </c>
      <c r="J14810" s="3">
        <v>399</v>
      </c>
      <c r="K14810" s="3">
        <v>626</v>
      </c>
      <c r="L14810" s="3">
        <v>51</v>
      </c>
      <c r="M14810" s="3">
        <v>126</v>
      </c>
    </row>
    <row r="14811" spans="1:13" x14ac:dyDescent="0.25">
      <c r="A14811" s="1" t="str">
        <f>HYPERLINK("http://www.rosaceae.org/Prunus/Prunus_persica/p.persica_gdr_reftransV1_0030097","p.persica_gdr_reftransV1_0030097")</f>
        <v>p.persica_gdr_reftransV1_0030097</v>
      </c>
      <c r="B14811" s="3">
        <v>1801</v>
      </c>
      <c r="C14811" s="1" t="str">
        <f>HYPERLINK("http://www.uniprot.org/uniprot/ZMYM1_HUMAN","ZMYM1_HUMAN")</f>
        <v>ZMYM1_HUMAN</v>
      </c>
      <c r="D14811" t="s">
        <v>1744</v>
      </c>
      <c r="E14811" s="3" t="s">
        <v>28</v>
      </c>
      <c r="F14811" s="4">
        <v>1.8599999999999999E-29</v>
      </c>
      <c r="G14811" s="3">
        <v>321</v>
      </c>
      <c r="H14811" s="3">
        <v>28</v>
      </c>
      <c r="I14811" s="3">
        <v>366</v>
      </c>
      <c r="J14811" s="3">
        <v>2</v>
      </c>
      <c r="K14811" s="3">
        <v>1078</v>
      </c>
      <c r="L14811" s="3">
        <v>576</v>
      </c>
      <c r="M14811" s="3">
        <v>922</v>
      </c>
    </row>
    <row r="14812" spans="1:13" x14ac:dyDescent="0.25">
      <c r="A14812" s="1" t="str">
        <f>HYPERLINK("http://www.rosaceae.org/Prunus/Prunus_persica/p.persica_gdr_reftransV1_0030297","p.persica_gdr_reftransV1_0030297")</f>
        <v>p.persica_gdr_reftransV1_0030297</v>
      </c>
      <c r="B14812" s="3">
        <v>3005</v>
      </c>
      <c r="C14812" s="1" t="str">
        <f>HYPERLINK("http://www.uniprot.org/uniprot/B3GTK_ARATH","B3GTK_ARATH")</f>
        <v>B3GTK_ARATH</v>
      </c>
      <c r="D14812" t="s">
        <v>9642</v>
      </c>
      <c r="E14812" s="3" t="s">
        <v>3</v>
      </c>
      <c r="F14812" s="4">
        <v>0</v>
      </c>
      <c r="G14812" s="3">
        <v>2433</v>
      </c>
      <c r="H14812" s="3">
        <v>69</v>
      </c>
      <c r="I14812" s="3">
        <v>693</v>
      </c>
      <c r="J14812" s="3">
        <v>344</v>
      </c>
      <c r="K14812" s="3">
        <v>2395</v>
      </c>
      <c r="L14812" s="3">
        <v>1</v>
      </c>
      <c r="M14812" s="3">
        <v>684</v>
      </c>
    </row>
    <row r="14813" spans="1:13" x14ac:dyDescent="0.25">
      <c r="A14813" s="1" t="str">
        <f>HYPERLINK("http://www.rosaceae.org/Prunus/Prunus_persica/p.persica_gdr_reftransV1_0030447","p.persica_gdr_reftransV1_0030447")</f>
        <v>p.persica_gdr_reftransV1_0030447</v>
      </c>
      <c r="B14813" s="3">
        <v>2626</v>
      </c>
      <c r="C14813" s="1" t="str">
        <f>HYPERLINK("http://www.uniprot.org/uniprot/FB135_ARATH","FB135_ARATH")</f>
        <v>FB135_ARATH</v>
      </c>
      <c r="D14813" t="s">
        <v>6152</v>
      </c>
      <c r="E14813" s="3" t="s">
        <v>3</v>
      </c>
      <c r="F14813" s="4">
        <v>7.4900000000000003E-29</v>
      </c>
      <c r="G14813" s="3">
        <v>312</v>
      </c>
      <c r="H14813" s="3">
        <v>29</v>
      </c>
      <c r="I14813" s="3">
        <v>391</v>
      </c>
      <c r="J14813" s="3">
        <v>1281</v>
      </c>
      <c r="K14813" s="3">
        <v>2333</v>
      </c>
      <c r="L14813" s="3">
        <v>28</v>
      </c>
      <c r="M14813" s="3">
        <v>404</v>
      </c>
    </row>
    <row r="14814" spans="1:13" x14ac:dyDescent="0.25">
      <c r="A14814" s="1" t="str">
        <f>HYPERLINK("http://www.rosaceae.org/Prunus/Prunus_persica/p.persica_gdr_reftransV1_0030547","p.persica_gdr_reftransV1_0030547")</f>
        <v>p.persica_gdr_reftransV1_0030547</v>
      </c>
      <c r="B14814" s="3">
        <v>4246</v>
      </c>
      <c r="C14814" s="1" t="str">
        <f>HYPERLINK("http://www.uniprot.org/uniprot/QKIL1_ARATH","QKIL1_ARATH")</f>
        <v>QKIL1_ARATH</v>
      </c>
      <c r="D14814" t="s">
        <v>9241</v>
      </c>
      <c r="E14814" s="3" t="s">
        <v>3</v>
      </c>
      <c r="F14814" s="4">
        <v>3.0000000000000001E-92</v>
      </c>
      <c r="G14814" s="3">
        <v>782</v>
      </c>
      <c r="H14814" s="3">
        <v>86</v>
      </c>
      <c r="I14814" s="3">
        <v>169</v>
      </c>
      <c r="J14814" s="3">
        <v>3146</v>
      </c>
      <c r="K14814" s="3">
        <v>3652</v>
      </c>
      <c r="L14814" s="3">
        <v>141</v>
      </c>
      <c r="M14814" s="3">
        <v>308</v>
      </c>
    </row>
    <row r="14815" spans="1:13" x14ac:dyDescent="0.25">
      <c r="A14815" s="1" t="str">
        <f>HYPERLINK("http://www.rosaceae.org/Prunus/Prunus_persica/p.persica_gdr_reftransV1_0030947","p.persica_gdr_reftransV1_0030947")</f>
        <v>p.persica_gdr_reftransV1_0030947</v>
      </c>
      <c r="B14815" s="3">
        <v>2018</v>
      </c>
      <c r="C14815" s="1" t="str">
        <f>HYPERLINK("http://www.uniprot.org/uniprot/PMA4_NICPL","PMA4_NICPL")</f>
        <v>PMA4_NICPL</v>
      </c>
      <c r="D14815" t="s">
        <v>8938</v>
      </c>
      <c r="E14815" s="3" t="s">
        <v>1450</v>
      </c>
      <c r="F14815" s="4">
        <v>0</v>
      </c>
      <c r="G14815" s="3">
        <v>2017</v>
      </c>
      <c r="H14815" s="3">
        <v>90</v>
      </c>
      <c r="I14815" s="3">
        <v>455</v>
      </c>
      <c r="J14815" s="3">
        <v>652</v>
      </c>
      <c r="K14815" s="3">
        <v>2016</v>
      </c>
      <c r="L14815" s="3">
        <v>498</v>
      </c>
      <c r="M14815" s="3">
        <v>952</v>
      </c>
    </row>
    <row r="14816" spans="1:13" x14ac:dyDescent="0.25">
      <c r="A14816" s="1" t="str">
        <f>HYPERLINK("http://www.rosaceae.org/Prunus/Prunus_persica/p.persica_gdr_reftransV1_0031247","p.persica_gdr_reftransV1_0031247")</f>
        <v>p.persica_gdr_reftransV1_0031247</v>
      </c>
      <c r="B14816" s="3">
        <v>5562</v>
      </c>
      <c r="C14816" s="1" t="str">
        <f>HYPERLINK("http://www.uniprot.org/uniprot/PAT1_ARATH","PAT1_ARATH")</f>
        <v>PAT1_ARATH</v>
      </c>
      <c r="D14816" t="s">
        <v>7803</v>
      </c>
      <c r="E14816" s="3" t="s">
        <v>3</v>
      </c>
      <c r="F14816" s="4">
        <v>0</v>
      </c>
      <c r="G14816" s="3">
        <v>1810</v>
      </c>
      <c r="H14816" s="3">
        <v>77</v>
      </c>
      <c r="I14816" s="3">
        <v>435</v>
      </c>
      <c r="J14816" s="3">
        <v>3500</v>
      </c>
      <c r="K14816" s="3">
        <v>4798</v>
      </c>
      <c r="L14816" s="3">
        <v>59</v>
      </c>
      <c r="M14816" s="3">
        <v>490</v>
      </c>
    </row>
    <row r="14817" spans="1:13" x14ac:dyDescent="0.25">
      <c r="A14817" s="1" t="str">
        <f>HYPERLINK("http://www.rosaceae.org/Prunus/Prunus_persica/p.persica_gdr_reftransV1_0031497","p.persica_gdr_reftransV1_0031497")</f>
        <v>p.persica_gdr_reftransV1_0031497</v>
      </c>
      <c r="B14817" s="3">
        <v>580</v>
      </c>
      <c r="C14817" s="1" t="str">
        <f>HYPERLINK("http://www.uniprot.org/uniprot/PIP25_ARATH","PIP25_ARATH")</f>
        <v>PIP25_ARATH</v>
      </c>
      <c r="D14817" t="s">
        <v>7978</v>
      </c>
      <c r="E14817" s="3" t="s">
        <v>3</v>
      </c>
      <c r="F14817" s="4">
        <v>5.91E-52</v>
      </c>
      <c r="G14817" s="3">
        <v>441</v>
      </c>
      <c r="H14817" s="3">
        <v>78</v>
      </c>
      <c r="I14817" s="3">
        <v>106</v>
      </c>
      <c r="J14817" s="3">
        <v>3</v>
      </c>
      <c r="K14817" s="3">
        <v>308</v>
      </c>
      <c r="L14817" s="3">
        <v>4</v>
      </c>
      <c r="M14817" s="3">
        <v>109</v>
      </c>
    </row>
    <row r="14818" spans="1:13" x14ac:dyDescent="0.25">
      <c r="A14818" s="1" t="str">
        <f>HYPERLINK("http://www.rosaceae.org/Prunus/Prunus_persica/p.persica_gdr_reftransV1_0031597","p.persica_gdr_reftransV1_0031597")</f>
        <v>p.persica_gdr_reftransV1_0031597</v>
      </c>
      <c r="B14818" s="3">
        <v>1210</v>
      </c>
      <c r="C14818" s="1" t="str">
        <f>HYPERLINK("http://www.uniprot.org/uniprot/AGP31_ARATH","AGP31_ARATH")</f>
        <v>AGP31_ARATH</v>
      </c>
      <c r="D14818" t="s">
        <v>9643</v>
      </c>
      <c r="E14818" s="3" t="s">
        <v>3</v>
      </c>
      <c r="F14818" s="4">
        <v>1.8300000000000001E-33</v>
      </c>
      <c r="G14818" s="3">
        <v>334</v>
      </c>
      <c r="H14818" s="3">
        <v>53</v>
      </c>
      <c r="I14818" s="3">
        <v>132</v>
      </c>
      <c r="J14818" s="3">
        <v>249</v>
      </c>
      <c r="K14818" s="3">
        <v>629</v>
      </c>
      <c r="L14818" s="3">
        <v>227</v>
      </c>
      <c r="M14818" s="3">
        <v>357</v>
      </c>
    </row>
    <row r="14819" spans="1:13" x14ac:dyDescent="0.25">
      <c r="A14819" s="1" t="str">
        <f>HYPERLINK("http://www.rosaceae.org/Prunus/Prunus_persica/p.persica_gdr_reftransV1_0032297","p.persica_gdr_reftransV1_0032297")</f>
        <v>p.persica_gdr_reftransV1_0032297</v>
      </c>
      <c r="B14819" s="3">
        <v>2311</v>
      </c>
      <c r="C14819" s="1" t="str">
        <f>HYPERLINK("http://www.uniprot.org/uniprot/YIE2_SCHPO","YIE2_SCHPO")</f>
        <v>YIE2_SCHPO</v>
      </c>
      <c r="D14819" t="s">
        <v>7729</v>
      </c>
      <c r="E14819" s="3" t="s">
        <v>464</v>
      </c>
      <c r="F14819" s="4">
        <v>1.5900000000000001E-29</v>
      </c>
      <c r="G14819" s="3">
        <v>316</v>
      </c>
      <c r="H14819" s="3">
        <v>43</v>
      </c>
      <c r="I14819" s="3">
        <v>171</v>
      </c>
      <c r="J14819" s="3">
        <v>1098</v>
      </c>
      <c r="K14819" s="3">
        <v>1601</v>
      </c>
      <c r="L14819" s="3">
        <v>3</v>
      </c>
      <c r="M14819" s="3">
        <v>173</v>
      </c>
    </row>
    <row r="14820" spans="1:13" x14ac:dyDescent="0.25">
      <c r="A14820" s="1" t="str">
        <f>HYPERLINK("http://www.rosaceae.org/Prunus/Prunus_persica/p.persica_gdr_reftransV1_0032497","p.persica_gdr_reftransV1_0032497")</f>
        <v>p.persica_gdr_reftransV1_0032497</v>
      </c>
      <c r="B14820" s="3">
        <v>2081</v>
      </c>
      <c r="C14820" s="1" t="str">
        <f>HYPERLINK("http://www.uniprot.org/uniprot/AAPC_CENCI","AAPC_CENCI")</f>
        <v>AAPC_CENCI</v>
      </c>
      <c r="D14820" t="s">
        <v>2585</v>
      </c>
      <c r="E14820" s="3" t="s">
        <v>2586</v>
      </c>
      <c r="F14820" s="4">
        <v>1.8100000000000001E-17</v>
      </c>
      <c r="G14820" s="3">
        <v>216</v>
      </c>
      <c r="H14820" s="3">
        <v>32</v>
      </c>
      <c r="I14820" s="3">
        <v>212</v>
      </c>
      <c r="J14820" s="3">
        <v>1307</v>
      </c>
      <c r="K14820" s="3">
        <v>1888</v>
      </c>
      <c r="L14820" s="3">
        <v>101</v>
      </c>
      <c r="M14820" s="3">
        <v>310</v>
      </c>
    </row>
    <row r="14821" spans="1:13" x14ac:dyDescent="0.25">
      <c r="A14821" s="1" t="str">
        <f>HYPERLINK("http://www.rosaceae.org/Prunus/Prunus_persica/p.persica_gdr_reftransV1_0032547","p.persica_gdr_reftransV1_0032547")</f>
        <v>p.persica_gdr_reftransV1_0032547</v>
      </c>
      <c r="B14821" s="3">
        <v>3472</v>
      </c>
      <c r="C14821" s="1" t="str">
        <f>HYPERLINK("http://www.uniprot.org/uniprot/NADB_ARATH","NADB_ARATH")</f>
        <v>NADB_ARATH</v>
      </c>
      <c r="D14821" t="s">
        <v>9644</v>
      </c>
      <c r="E14821" s="3" t="s">
        <v>3</v>
      </c>
      <c r="F14821" s="4">
        <v>2.9200000000000002E-174</v>
      </c>
      <c r="G14821" s="3">
        <v>1378</v>
      </c>
      <c r="H14821" s="3">
        <v>79</v>
      </c>
      <c r="I14821" s="3">
        <v>334</v>
      </c>
      <c r="J14821" s="3">
        <v>2095</v>
      </c>
      <c r="K14821" s="3">
        <v>3090</v>
      </c>
      <c r="L14821" s="3">
        <v>309</v>
      </c>
      <c r="M14821" s="3">
        <v>642</v>
      </c>
    </row>
    <row r="14822" spans="1:13" x14ac:dyDescent="0.25">
      <c r="A14822" s="1" t="str">
        <f>HYPERLINK("http://www.rosaceae.org/Prunus/Prunus_persica/p.persica_gdr_reftransV1_0032597","p.persica_gdr_reftransV1_0032597")</f>
        <v>p.persica_gdr_reftransV1_0032597</v>
      </c>
      <c r="B14822" s="3">
        <v>944</v>
      </c>
      <c r="C14822" s="1" t="str">
        <f>HYPERLINK("http://www.uniprot.org/uniprot/ZB14_MAIZE","ZB14_MAIZE")</f>
        <v>ZB14_MAIZE</v>
      </c>
      <c r="D14822" t="s">
        <v>9645</v>
      </c>
      <c r="E14822" s="3" t="s">
        <v>72</v>
      </c>
      <c r="F14822" s="4">
        <v>5.8599999999999999E-57</v>
      </c>
      <c r="G14822" s="3">
        <v>473</v>
      </c>
      <c r="H14822" s="3">
        <v>73</v>
      </c>
      <c r="I14822" s="3">
        <v>113</v>
      </c>
      <c r="J14822" s="3">
        <v>329</v>
      </c>
      <c r="K14822" s="3">
        <v>667</v>
      </c>
      <c r="L14822" s="3">
        <v>16</v>
      </c>
      <c r="M14822" s="3">
        <v>128</v>
      </c>
    </row>
    <row r="14823" spans="1:13" x14ac:dyDescent="0.25">
      <c r="A14823" s="1" t="str">
        <f>HYPERLINK("http://www.rosaceae.org/Prunus/Prunus_persica/p.persica_gdr_reftransV1_0032797","p.persica_gdr_reftransV1_0032797")</f>
        <v>p.persica_gdr_reftransV1_0032797</v>
      </c>
      <c r="B14823" s="3">
        <v>1424</v>
      </c>
      <c r="C14823" s="1" t="str">
        <f>HYPERLINK("http://www.uniprot.org/uniprot/SCE1_ARATH","SCE1_ARATH")</f>
        <v>SCE1_ARATH</v>
      </c>
      <c r="D14823" t="s">
        <v>4825</v>
      </c>
      <c r="E14823" s="3" t="s">
        <v>3</v>
      </c>
      <c r="F14823" s="4">
        <v>7.0699999999999997E-69</v>
      </c>
      <c r="G14823" s="3">
        <v>505</v>
      </c>
      <c r="H14823" s="3">
        <v>87</v>
      </c>
      <c r="I14823" s="3">
        <v>101</v>
      </c>
      <c r="J14823" s="3">
        <v>256</v>
      </c>
      <c r="K14823" s="3">
        <v>558</v>
      </c>
      <c r="L14823" s="3">
        <v>1</v>
      </c>
      <c r="M14823" s="3">
        <v>101</v>
      </c>
    </row>
    <row r="14824" spans="1:13" x14ac:dyDescent="0.25">
      <c r="A14824" s="1" t="str">
        <f>HYPERLINK("http://www.rosaceae.org/Prunus/Prunus_persica/p.persica_gdr_reftransV1_0032847","p.persica_gdr_reftransV1_0032847")</f>
        <v>p.persica_gdr_reftransV1_0032847</v>
      </c>
      <c r="B14824" s="3">
        <v>3018</v>
      </c>
      <c r="C14824" s="1" t="str">
        <f>HYPERLINK("http://www.uniprot.org/uniprot/MUT7_HUMAN","MUT7_HUMAN")</f>
        <v>MUT7_HUMAN</v>
      </c>
      <c r="D14824" t="s">
        <v>65</v>
      </c>
      <c r="E14824" s="3" t="s">
        <v>28</v>
      </c>
      <c r="F14824" s="4">
        <v>2.96E-13</v>
      </c>
      <c r="G14824" s="3">
        <v>191</v>
      </c>
      <c r="H14824" s="3">
        <v>32</v>
      </c>
      <c r="I14824" s="3">
        <v>161</v>
      </c>
      <c r="J14824" s="3">
        <v>636</v>
      </c>
      <c r="K14824" s="3">
        <v>1049</v>
      </c>
      <c r="L14824" s="3">
        <v>394</v>
      </c>
      <c r="M14824" s="3">
        <v>550</v>
      </c>
    </row>
    <row r="14825" spans="1:13" x14ac:dyDescent="0.25">
      <c r="A14825" s="1" t="str">
        <f>HYPERLINK("http://www.rosaceae.org/Prunus/Prunus_persica/p.persica_gdr_reftransV1_0032947","p.persica_gdr_reftransV1_0032947")</f>
        <v>p.persica_gdr_reftransV1_0032947</v>
      </c>
      <c r="B14825" s="3">
        <v>2011</v>
      </c>
      <c r="C14825" s="1" t="str">
        <f>HYPERLINK("http://www.uniprot.org/uniprot/S35F1_HUMAN","S35F1_HUMAN")</f>
        <v>S35F1_HUMAN</v>
      </c>
      <c r="D14825" t="s">
        <v>7000</v>
      </c>
      <c r="E14825" s="3" t="s">
        <v>28</v>
      </c>
      <c r="F14825" s="4">
        <v>1.8699999999999999E-65</v>
      </c>
      <c r="G14825" s="3">
        <v>579</v>
      </c>
      <c r="H14825" s="3">
        <v>44</v>
      </c>
      <c r="I14825" s="3">
        <v>285</v>
      </c>
      <c r="J14825" s="3">
        <v>441</v>
      </c>
      <c r="K14825" s="3">
        <v>1271</v>
      </c>
      <c r="L14825" s="3">
        <v>58</v>
      </c>
      <c r="M14825" s="3">
        <v>342</v>
      </c>
    </row>
    <row r="14826" spans="1:13" x14ac:dyDescent="0.25">
      <c r="A14826" s="1" t="str">
        <f>HYPERLINK("http://www.rosaceae.org/Prunus/Prunus_persica/p.persica_gdr_reftransV1_0032997","p.persica_gdr_reftransV1_0032997")</f>
        <v>p.persica_gdr_reftransV1_0032997</v>
      </c>
      <c r="B14826" s="3">
        <v>6025</v>
      </c>
      <c r="C14826" s="1" t="str">
        <f>HYPERLINK("http://www.uniprot.org/uniprot/SPK1_ARATH","SPK1_ARATH")</f>
        <v>SPK1_ARATH</v>
      </c>
      <c r="D14826" t="s">
        <v>9646</v>
      </c>
      <c r="E14826" s="3" t="s">
        <v>3</v>
      </c>
      <c r="F14826" s="4">
        <v>0</v>
      </c>
      <c r="G14826" s="3">
        <v>7618</v>
      </c>
      <c r="H14826" s="3">
        <v>81</v>
      </c>
      <c r="I14826" s="3">
        <v>1819</v>
      </c>
      <c r="J14826" s="3">
        <v>217</v>
      </c>
      <c r="K14826" s="3">
        <v>5652</v>
      </c>
      <c r="L14826" s="3">
        <v>27</v>
      </c>
      <c r="M14826" s="3">
        <v>1830</v>
      </c>
    </row>
    <row r="14827" spans="1:13" x14ac:dyDescent="0.25">
      <c r="A14827" s="1" t="str">
        <f>HYPERLINK("http://www.rosaceae.org/Prunus/Prunus_persica/p.persica_gdr_reftransV1_0033047","p.persica_gdr_reftransV1_0033047")</f>
        <v>p.persica_gdr_reftransV1_0033047</v>
      </c>
      <c r="B14827" s="3">
        <v>3438</v>
      </c>
      <c r="C14827" s="1" t="str">
        <f>HYPERLINK("http://www.uniprot.org/uniprot/S38A6_XENTR","S38A6_XENTR")</f>
        <v>S38A6_XENTR</v>
      </c>
      <c r="D14827" t="s">
        <v>1297</v>
      </c>
      <c r="E14827" s="3" t="s">
        <v>173</v>
      </c>
      <c r="F14827" s="4">
        <v>3.65E-12</v>
      </c>
      <c r="G14827" s="3">
        <v>180</v>
      </c>
      <c r="H14827" s="3">
        <v>34</v>
      </c>
      <c r="I14827" s="3">
        <v>172</v>
      </c>
      <c r="J14827" s="3">
        <v>923</v>
      </c>
      <c r="K14827" s="3">
        <v>1435</v>
      </c>
      <c r="L14827" s="3">
        <v>21</v>
      </c>
      <c r="M14827" s="3">
        <v>182</v>
      </c>
    </row>
    <row r="14828" spans="1:13" x14ac:dyDescent="0.25">
      <c r="A14828" s="1" t="str">
        <f>HYPERLINK("http://www.rosaceae.org/Prunus/Prunus_persica/p.persica_gdr_reftransV1_0033147","p.persica_gdr_reftransV1_0033147")</f>
        <v>p.persica_gdr_reftransV1_0033147</v>
      </c>
      <c r="B14828" s="3">
        <v>2721</v>
      </c>
      <c r="C14828" s="1" t="str">
        <f>HYPERLINK("http://www.uniprot.org/uniprot/PSD11_ARATH","PSD11_ARATH")</f>
        <v>PSD11_ARATH</v>
      </c>
      <c r="D14828" t="s">
        <v>9055</v>
      </c>
      <c r="E14828" s="3" t="s">
        <v>3</v>
      </c>
      <c r="F14828" s="4">
        <v>0</v>
      </c>
      <c r="G14828" s="3">
        <v>1667</v>
      </c>
      <c r="H14828" s="3">
        <v>88</v>
      </c>
      <c r="I14828" s="3">
        <v>415</v>
      </c>
      <c r="J14828" s="3">
        <v>393</v>
      </c>
      <c r="K14828" s="3">
        <v>1637</v>
      </c>
      <c r="L14828" s="3">
        <v>6</v>
      </c>
      <c r="M14828" s="3">
        <v>419</v>
      </c>
    </row>
    <row r="14829" spans="1:13" x14ac:dyDescent="0.25">
      <c r="A14829" s="1" t="str">
        <f>HYPERLINK("http://www.rosaceae.org/Prunus/Prunus_persica/p.persica_gdr_reftransV1_0033447","p.persica_gdr_reftransV1_0033447")</f>
        <v>p.persica_gdr_reftransV1_0033447</v>
      </c>
      <c r="B14829" s="3">
        <v>2154</v>
      </c>
      <c r="C14829" s="1" t="str">
        <f>HYPERLINK("http://www.uniprot.org/uniprot/TXN4B_HUMAN","TXN4B_HUMAN")</f>
        <v>TXN4B_HUMAN</v>
      </c>
      <c r="D14829" t="s">
        <v>9647</v>
      </c>
      <c r="E14829" s="3" t="s">
        <v>28</v>
      </c>
      <c r="F14829" s="4">
        <v>2.15E-58</v>
      </c>
      <c r="G14829" s="3">
        <v>507</v>
      </c>
      <c r="H14829" s="3">
        <v>64</v>
      </c>
      <c r="I14829" s="3">
        <v>151</v>
      </c>
      <c r="J14829" s="3">
        <v>224</v>
      </c>
      <c r="K14829" s="3">
        <v>676</v>
      </c>
      <c r="L14829" s="3">
        <v>1</v>
      </c>
      <c r="M14829" s="3">
        <v>149</v>
      </c>
    </row>
    <row r="14830" spans="1:13" x14ac:dyDescent="0.25">
      <c r="A14830" s="1" t="str">
        <f>HYPERLINK("http://www.rosaceae.org/Prunus/Prunus_persica/p.persica_gdr_reftransV1_0033547","p.persica_gdr_reftransV1_0033547")</f>
        <v>p.persica_gdr_reftransV1_0033547</v>
      </c>
      <c r="B14830" s="3">
        <v>4320</v>
      </c>
      <c r="C14830" s="1" t="str">
        <f>HYPERLINK("http://www.uniprot.org/uniprot/RRP12_CHICK","RRP12_CHICK")</f>
        <v>RRP12_CHICK</v>
      </c>
      <c r="D14830" t="s">
        <v>5444</v>
      </c>
      <c r="E14830" s="3" t="s">
        <v>1278</v>
      </c>
      <c r="F14830" s="4">
        <v>2.2699999999999998E-71</v>
      </c>
      <c r="G14830" s="3">
        <v>681</v>
      </c>
      <c r="H14830" s="3">
        <v>24</v>
      </c>
      <c r="I14830" s="3">
        <v>1281</v>
      </c>
      <c r="J14830" s="3">
        <v>179</v>
      </c>
      <c r="K14830" s="3">
        <v>3856</v>
      </c>
      <c r="L14830" s="3">
        <v>104</v>
      </c>
      <c r="M14830" s="3">
        <v>1261</v>
      </c>
    </row>
    <row r="14831" spans="1:13" x14ac:dyDescent="0.25">
      <c r="A14831" s="1" t="str">
        <f>HYPERLINK("http://www.rosaceae.org/Prunus/Prunus_persica/p.persica_gdr_reftransV1_0033747","p.persica_gdr_reftransV1_0033747")</f>
        <v>p.persica_gdr_reftransV1_0033747</v>
      </c>
      <c r="B14831" s="3">
        <v>5308</v>
      </c>
      <c r="C14831" s="1" t="str">
        <f>HYPERLINK("http://www.uniprot.org/uniprot/GNOM_ARATH","GNOM_ARATH")</f>
        <v>GNOM_ARATH</v>
      </c>
      <c r="D14831" t="s">
        <v>6234</v>
      </c>
      <c r="E14831" s="3" t="s">
        <v>3</v>
      </c>
      <c r="F14831" s="4">
        <v>0</v>
      </c>
      <c r="G14831" s="3">
        <v>5980</v>
      </c>
      <c r="H14831" s="3">
        <v>79</v>
      </c>
      <c r="I14831" s="3">
        <v>1470</v>
      </c>
      <c r="J14831" s="3">
        <v>593</v>
      </c>
      <c r="K14831" s="3">
        <v>4996</v>
      </c>
      <c r="L14831" s="3">
        <v>1</v>
      </c>
      <c r="M14831" s="3">
        <v>1451</v>
      </c>
    </row>
    <row r="14832" spans="1:13" x14ac:dyDescent="0.25">
      <c r="A14832" s="1" t="str">
        <f>HYPERLINK("http://www.rosaceae.org/Prunus/Prunus_persica/p.persica_gdr_reftransV1_0033847","p.persica_gdr_reftransV1_0033847")</f>
        <v>p.persica_gdr_reftransV1_0033847</v>
      </c>
      <c r="B14832" s="3">
        <v>3125</v>
      </c>
      <c r="C14832" s="1" t="str">
        <f>HYPERLINK("http://www.uniprot.org/uniprot/GYRB_NICBE","GYRB_NICBE")</f>
        <v>GYRB_NICBE</v>
      </c>
      <c r="D14832" t="s">
        <v>7983</v>
      </c>
      <c r="E14832" s="3" t="s">
        <v>1986</v>
      </c>
      <c r="F14832" s="4">
        <v>0</v>
      </c>
      <c r="G14832" s="3">
        <v>2442</v>
      </c>
      <c r="H14832" s="3">
        <v>89</v>
      </c>
      <c r="I14832" s="3">
        <v>522</v>
      </c>
      <c r="J14832" s="3">
        <v>1182</v>
      </c>
      <c r="K14832" s="3">
        <v>2747</v>
      </c>
      <c r="L14832" s="3">
        <v>210</v>
      </c>
      <c r="M14832" s="3">
        <v>731</v>
      </c>
    </row>
    <row r="14833" spans="1:13" x14ac:dyDescent="0.25">
      <c r="A14833" s="1" t="str">
        <f>HYPERLINK("http://www.rosaceae.org/Prunus/Prunus_persica/p.persica_gdr_reftransV1_0033947","p.persica_gdr_reftransV1_0033947")</f>
        <v>p.persica_gdr_reftransV1_0033947</v>
      </c>
      <c r="B14833" s="3">
        <v>4605</v>
      </c>
      <c r="C14833" s="1" t="str">
        <f>HYPERLINK("http://www.uniprot.org/uniprot/HERC4_MOUSE","HERC4_MOUSE")</f>
        <v>HERC4_MOUSE</v>
      </c>
      <c r="D14833" t="s">
        <v>9648</v>
      </c>
      <c r="E14833" s="3" t="s">
        <v>157</v>
      </c>
      <c r="F14833" s="4">
        <v>1.86E-21</v>
      </c>
      <c r="G14833" s="3">
        <v>263</v>
      </c>
      <c r="H14833" s="3">
        <v>32</v>
      </c>
      <c r="I14833" s="3">
        <v>305</v>
      </c>
      <c r="J14833" s="3">
        <v>1927</v>
      </c>
      <c r="K14833" s="3">
        <v>2829</v>
      </c>
      <c r="L14833" s="3">
        <v>41</v>
      </c>
      <c r="M14833" s="3">
        <v>334</v>
      </c>
    </row>
    <row r="14834" spans="1:13" x14ac:dyDescent="0.25">
      <c r="A14834" s="1" t="str">
        <f>HYPERLINK("http://www.rosaceae.org/Prunus/Prunus_persica/p.persica_gdr_reftransV1_0034047","p.persica_gdr_reftransV1_0034047")</f>
        <v>p.persica_gdr_reftransV1_0034047</v>
      </c>
      <c r="B14834" s="3">
        <v>1716</v>
      </c>
      <c r="C14834" s="1" t="str">
        <f>HYPERLINK("http://www.uniprot.org/uniprot/PROT1_ARATH","PROT1_ARATH")</f>
        <v>PROT1_ARATH</v>
      </c>
      <c r="D14834" t="s">
        <v>6541</v>
      </c>
      <c r="E14834" s="3" t="s">
        <v>3</v>
      </c>
      <c r="F14834" s="4">
        <v>0</v>
      </c>
      <c r="G14834" s="3">
        <v>1618</v>
      </c>
      <c r="H14834" s="3">
        <v>73</v>
      </c>
      <c r="I14834" s="3">
        <v>448</v>
      </c>
      <c r="J14834" s="3">
        <v>214</v>
      </c>
      <c r="K14834" s="3">
        <v>1557</v>
      </c>
      <c r="L14834" s="3">
        <v>23</v>
      </c>
      <c r="M14834" s="3">
        <v>442</v>
      </c>
    </row>
    <row r="14835" spans="1:13" x14ac:dyDescent="0.25">
      <c r="A14835" s="1" t="str">
        <f>HYPERLINK("http://www.rosaceae.org/Prunus/Prunus_persica/p.persica_gdr_reftransV1_0034197","p.persica_gdr_reftransV1_0034197")</f>
        <v>p.persica_gdr_reftransV1_0034197</v>
      </c>
      <c r="B14835" s="3">
        <v>2900</v>
      </c>
      <c r="C14835" s="1" t="str">
        <f>HYPERLINK("http://www.uniprot.org/uniprot/ELP2_ARATH","ELP2_ARATH")</f>
        <v>ELP2_ARATH</v>
      </c>
      <c r="D14835" t="s">
        <v>9649</v>
      </c>
      <c r="E14835" s="3" t="s">
        <v>3</v>
      </c>
      <c r="F14835" s="4">
        <v>0</v>
      </c>
      <c r="G14835" s="3">
        <v>2220</v>
      </c>
      <c r="H14835" s="3">
        <v>67</v>
      </c>
      <c r="I14835" s="3">
        <v>633</v>
      </c>
      <c r="J14835" s="3">
        <v>802</v>
      </c>
      <c r="K14835" s="3">
        <v>2676</v>
      </c>
      <c r="L14835" s="3">
        <v>210</v>
      </c>
      <c r="M14835" s="3">
        <v>834</v>
      </c>
    </row>
    <row r="14836" spans="1:13" x14ac:dyDescent="0.25">
      <c r="A14836" s="1" t="str">
        <f>HYPERLINK("http://www.rosaceae.org/Prunus/Prunus_persica/p.persica_gdr_reftransV1_0034497","p.persica_gdr_reftransV1_0034497")</f>
        <v>p.persica_gdr_reftransV1_0034497</v>
      </c>
      <c r="B14836" s="3">
        <v>1293</v>
      </c>
      <c r="C14836" s="1" t="str">
        <f>HYPERLINK("http://www.uniprot.org/uniprot/ZFP6_ARATH","ZFP6_ARATH")</f>
        <v>ZFP6_ARATH</v>
      </c>
      <c r="D14836" t="s">
        <v>9650</v>
      </c>
      <c r="E14836" s="3" t="s">
        <v>3</v>
      </c>
      <c r="F14836" s="4">
        <v>1.1099999999999999E-17</v>
      </c>
      <c r="G14836" s="3">
        <v>209</v>
      </c>
      <c r="H14836" s="3">
        <v>60</v>
      </c>
      <c r="I14836" s="3">
        <v>81</v>
      </c>
      <c r="J14836" s="3">
        <v>200</v>
      </c>
      <c r="K14836" s="3">
        <v>442</v>
      </c>
      <c r="L14836" s="3">
        <v>8</v>
      </c>
      <c r="M14836" s="3">
        <v>79</v>
      </c>
    </row>
    <row r="14837" spans="1:13" x14ac:dyDescent="0.25">
      <c r="A14837" s="1" t="str">
        <f>HYPERLINK("http://www.rosaceae.org/Prunus/Prunus_persica/p.persica_gdr_reftransV1_0035047","p.persica_gdr_reftransV1_0035047")</f>
        <v>p.persica_gdr_reftransV1_0035047</v>
      </c>
      <c r="B14837" s="3">
        <v>2384</v>
      </c>
      <c r="C14837" s="1" t="str">
        <f>HYPERLINK("http://www.uniprot.org/uniprot/ATP4_IPOBA","ATP4_IPOBA")</f>
        <v>ATP4_IPOBA</v>
      </c>
      <c r="D14837" t="s">
        <v>9651</v>
      </c>
      <c r="E14837" s="3" t="s">
        <v>6229</v>
      </c>
      <c r="F14837" s="4">
        <v>3.8500000000000002E-63</v>
      </c>
      <c r="G14837" s="3">
        <v>549</v>
      </c>
      <c r="H14837" s="3">
        <v>82</v>
      </c>
      <c r="I14837" s="3">
        <v>125</v>
      </c>
      <c r="J14837" s="3">
        <v>318</v>
      </c>
      <c r="K14837" s="3">
        <v>692</v>
      </c>
      <c r="L14837" s="3">
        <v>76</v>
      </c>
      <c r="M14837" s="3">
        <v>200</v>
      </c>
    </row>
    <row r="14838" spans="1:13" x14ac:dyDescent="0.25">
      <c r="A14838" s="1" t="str">
        <f>HYPERLINK("http://www.rosaceae.org/Prunus/Prunus_persica/p.persica_gdr_reftransV1_0035297","p.persica_gdr_reftransV1_0035297")</f>
        <v>p.persica_gdr_reftransV1_0035297</v>
      </c>
      <c r="B14838" s="3">
        <v>4070</v>
      </c>
      <c r="C14838" s="1" t="str">
        <f>HYPERLINK("http://www.uniprot.org/uniprot/EMB8_PICGL","EMB8_PICGL")</f>
        <v>EMB8_PICGL</v>
      </c>
      <c r="D14838" t="s">
        <v>469</v>
      </c>
      <c r="E14838" s="3" t="s">
        <v>470</v>
      </c>
      <c r="F14838" s="4">
        <v>6.2100000000000006E-33</v>
      </c>
      <c r="G14838" s="3">
        <v>349</v>
      </c>
      <c r="H14838" s="3">
        <v>38</v>
      </c>
      <c r="I14838" s="3">
        <v>209</v>
      </c>
      <c r="J14838" s="3">
        <v>2687</v>
      </c>
      <c r="K14838" s="3">
        <v>3301</v>
      </c>
      <c r="L14838" s="3">
        <v>167</v>
      </c>
      <c r="M14838" s="3">
        <v>375</v>
      </c>
    </row>
    <row r="14839" spans="1:13" x14ac:dyDescent="0.25">
      <c r="A14839" s="1" t="str">
        <f>HYPERLINK("http://www.rosaceae.org/Prunus/Prunus_persica/p.persica_gdr_reftransV1_0035497","p.persica_gdr_reftransV1_0035497")</f>
        <v>p.persica_gdr_reftransV1_0035497</v>
      </c>
      <c r="B14839" s="3">
        <v>1698</v>
      </c>
      <c r="C14839" s="1" t="str">
        <f>HYPERLINK("http://www.uniprot.org/uniprot/CDPKY_ARATH","CDPKY_ARATH")</f>
        <v>CDPKY_ARATH</v>
      </c>
      <c r="D14839" t="s">
        <v>9652</v>
      </c>
      <c r="E14839" s="3" t="s">
        <v>3</v>
      </c>
      <c r="F14839" s="4">
        <v>5.8699999999999996E-94</v>
      </c>
      <c r="G14839" s="3">
        <v>777</v>
      </c>
      <c r="H14839" s="3">
        <v>50</v>
      </c>
      <c r="I14839" s="3">
        <v>278</v>
      </c>
      <c r="J14839" s="3">
        <v>213</v>
      </c>
      <c r="K14839" s="3">
        <v>1046</v>
      </c>
      <c r="L14839" s="3">
        <v>63</v>
      </c>
      <c r="M14839" s="3">
        <v>339</v>
      </c>
    </row>
    <row r="14840" spans="1:13" x14ac:dyDescent="0.25">
      <c r="A14840" s="1" t="str">
        <f>HYPERLINK("http://www.rosaceae.org/Prunus/Prunus_persica/p.persica_gdr_reftransV1_0035647","p.persica_gdr_reftransV1_0035647")</f>
        <v>p.persica_gdr_reftransV1_0035647</v>
      </c>
      <c r="B14840" s="3">
        <v>383</v>
      </c>
      <c r="C14840" s="1" t="str">
        <f>HYPERLINK("http://www.uniprot.org/uniprot/U86A1_ARATH","U86A1_ARATH")</f>
        <v>U86A1_ARATH</v>
      </c>
      <c r="D14840" t="s">
        <v>1139</v>
      </c>
      <c r="E14840" s="3" t="s">
        <v>3</v>
      </c>
      <c r="F14840" s="4">
        <v>3.82E-50</v>
      </c>
      <c r="G14840" s="3">
        <v>434</v>
      </c>
      <c r="H14840" s="3">
        <v>63</v>
      </c>
      <c r="I14840" s="3">
        <v>131</v>
      </c>
      <c r="J14840" s="3">
        <v>1</v>
      </c>
      <c r="K14840" s="3">
        <v>381</v>
      </c>
      <c r="L14840" s="3">
        <v>140</v>
      </c>
      <c r="M14840" s="3">
        <v>267</v>
      </c>
    </row>
    <row r="14841" spans="1:13" x14ac:dyDescent="0.25">
      <c r="A14841" s="1" t="str">
        <f>HYPERLINK("http://www.rosaceae.org/Prunus/Prunus_persica/p.persica_gdr_reftransV1_0035997","p.persica_gdr_reftransV1_0035997")</f>
        <v>p.persica_gdr_reftransV1_0035997</v>
      </c>
      <c r="B14841" s="3">
        <v>3652</v>
      </c>
      <c r="C14841" s="1" t="str">
        <f>HYPERLINK("http://www.uniprot.org/uniprot/YHLA_SCHPO","YHLA_SCHPO")</f>
        <v>YHLA_SCHPO</v>
      </c>
      <c r="D14841" t="s">
        <v>9653</v>
      </c>
      <c r="E14841" s="3" t="s">
        <v>464</v>
      </c>
      <c r="F14841" s="4">
        <v>1.1799999999999999E-14</v>
      </c>
      <c r="G14841" s="3">
        <v>204</v>
      </c>
      <c r="H14841" s="3">
        <v>37</v>
      </c>
      <c r="I14841" s="3">
        <v>92</v>
      </c>
      <c r="J14841" s="3">
        <v>1296</v>
      </c>
      <c r="K14841" s="3">
        <v>1571</v>
      </c>
      <c r="L14841" s="3">
        <v>252</v>
      </c>
      <c r="M14841" s="3">
        <v>342</v>
      </c>
    </row>
    <row r="14842" spans="1:13" x14ac:dyDescent="0.25">
      <c r="A14842" s="1" t="str">
        <f>HYPERLINK("http://www.rosaceae.org/Prunus/Prunus_persica/p.persica_gdr_reftransV1_0036097","p.persica_gdr_reftransV1_0036097")</f>
        <v>p.persica_gdr_reftransV1_0036097</v>
      </c>
      <c r="B14842" s="3">
        <v>3089</v>
      </c>
      <c r="C14842" s="1" t="str">
        <f>HYPERLINK("http://www.uniprot.org/uniprot/RPI2_ARATH","RPI2_ARATH")</f>
        <v>RPI2_ARATH</v>
      </c>
      <c r="D14842" t="s">
        <v>6631</v>
      </c>
      <c r="E14842" s="3" t="s">
        <v>3</v>
      </c>
      <c r="F14842" s="4">
        <v>8.3400000000000003E-122</v>
      </c>
      <c r="G14842" s="3">
        <v>975</v>
      </c>
      <c r="H14842" s="3">
        <v>79</v>
      </c>
      <c r="I14842" s="3">
        <v>234</v>
      </c>
      <c r="J14842" s="3">
        <v>543</v>
      </c>
      <c r="K14842" s="3">
        <v>1244</v>
      </c>
      <c r="L14842" s="3">
        <v>32</v>
      </c>
      <c r="M14842" s="3">
        <v>264</v>
      </c>
    </row>
    <row r="14843" spans="1:13" x14ac:dyDescent="0.25">
      <c r="A14843" s="1" t="str">
        <f>HYPERLINK("http://www.rosaceae.org/Prunus/Prunus_persica/p.persica_gdr_reftransV1_0036197","p.persica_gdr_reftransV1_0036197")</f>
        <v>p.persica_gdr_reftransV1_0036197</v>
      </c>
      <c r="B14843" s="3">
        <v>2158</v>
      </c>
      <c r="C14843" s="1" t="str">
        <f>HYPERLINK("http://www.uniprot.org/uniprot/TBG1_ARATH","TBG1_ARATH")</f>
        <v>TBG1_ARATH</v>
      </c>
      <c r="D14843" t="s">
        <v>9654</v>
      </c>
      <c r="E14843" s="3" t="s">
        <v>3</v>
      </c>
      <c r="F14843" s="4">
        <v>0</v>
      </c>
      <c r="G14843" s="3">
        <v>2460</v>
      </c>
      <c r="H14843" s="3">
        <v>96</v>
      </c>
      <c r="I14843" s="3">
        <v>473</v>
      </c>
      <c r="J14843" s="3">
        <v>362</v>
      </c>
      <c r="K14843" s="3">
        <v>1780</v>
      </c>
      <c r="L14843" s="3">
        <v>1</v>
      </c>
      <c r="M14843" s="3">
        <v>473</v>
      </c>
    </row>
    <row r="14844" spans="1:13" x14ac:dyDescent="0.25">
      <c r="A14844" s="1" t="str">
        <f>HYPERLINK("http://www.rosaceae.org/Prunus/Prunus_persica/p.persica_gdr_reftransV1_0036647","p.persica_gdr_reftransV1_0036647")</f>
        <v>p.persica_gdr_reftransV1_0036647</v>
      </c>
      <c r="B14844" s="3">
        <v>1274</v>
      </c>
      <c r="C14844" s="1" t="str">
        <f>HYPERLINK("http://www.uniprot.org/uniprot/COQ3_ARATH","COQ3_ARATH")</f>
        <v>COQ3_ARATH</v>
      </c>
      <c r="D14844" t="s">
        <v>9655</v>
      </c>
      <c r="E14844" s="3" t="s">
        <v>3</v>
      </c>
      <c r="F14844" s="4">
        <v>3.0300000000000003E-122</v>
      </c>
      <c r="G14844" s="3">
        <v>936</v>
      </c>
      <c r="H14844" s="3">
        <v>76</v>
      </c>
      <c r="I14844" s="3">
        <v>211</v>
      </c>
      <c r="J14844" s="3">
        <v>205</v>
      </c>
      <c r="K14844" s="3">
        <v>837</v>
      </c>
      <c r="L14844" s="3">
        <v>76</v>
      </c>
      <c r="M14844" s="3">
        <v>286</v>
      </c>
    </row>
    <row r="14845" spans="1:13" x14ac:dyDescent="0.25">
      <c r="A14845" s="1" t="str">
        <f>HYPERLINK("http://www.rosaceae.org/Prunus/Prunus_persica/p.persica_gdr_reftransV1_0036897","p.persica_gdr_reftransV1_0036897")</f>
        <v>p.persica_gdr_reftransV1_0036897</v>
      </c>
      <c r="B14845" s="3">
        <v>5403</v>
      </c>
      <c r="C14845" s="1" t="str">
        <f>HYPERLINK("http://www.uniprot.org/uniprot/MAX2A_PETHY","MAX2A_PETHY")</f>
        <v>MAX2A_PETHY</v>
      </c>
      <c r="D14845" t="s">
        <v>9364</v>
      </c>
      <c r="E14845" s="3" t="s">
        <v>509</v>
      </c>
      <c r="F14845" s="4">
        <v>0</v>
      </c>
      <c r="G14845" s="3">
        <v>2295</v>
      </c>
      <c r="H14845" s="3">
        <v>62</v>
      </c>
      <c r="I14845" s="3">
        <v>732</v>
      </c>
      <c r="J14845" s="3">
        <v>3139</v>
      </c>
      <c r="K14845" s="3">
        <v>5316</v>
      </c>
      <c r="L14845" s="3">
        <v>2</v>
      </c>
      <c r="M14845" s="3">
        <v>708</v>
      </c>
    </row>
    <row r="14846" spans="1:13" x14ac:dyDescent="0.25">
      <c r="A14846" s="1" t="str">
        <f>HYPERLINK("http://www.rosaceae.org/Prunus/Prunus_persica/p.persica_gdr_reftransV1_0036947","p.persica_gdr_reftransV1_0036947")</f>
        <v>p.persica_gdr_reftransV1_0036947</v>
      </c>
      <c r="B14846" s="3">
        <v>1767</v>
      </c>
      <c r="C14846" s="1" t="str">
        <f>HYPERLINK("http://www.uniprot.org/uniprot/SYFM_ARATH","SYFM_ARATH")</f>
        <v>SYFM_ARATH</v>
      </c>
      <c r="D14846" t="s">
        <v>9656</v>
      </c>
      <c r="E14846" s="3" t="s">
        <v>3</v>
      </c>
      <c r="F14846" s="4">
        <v>0</v>
      </c>
      <c r="G14846" s="3">
        <v>1703</v>
      </c>
      <c r="H14846" s="3">
        <v>75</v>
      </c>
      <c r="I14846" s="3">
        <v>433</v>
      </c>
      <c r="J14846" s="3">
        <v>121</v>
      </c>
      <c r="K14846" s="3">
        <v>1410</v>
      </c>
      <c r="L14846" s="3">
        <v>2</v>
      </c>
      <c r="M14846" s="3">
        <v>429</v>
      </c>
    </row>
    <row r="14847" spans="1:13" x14ac:dyDescent="0.25">
      <c r="A14847" s="1" t="str">
        <f>HYPERLINK("http://www.rosaceae.org/Prunus/Prunus_persica/p.persica_gdr_reftransV1_0037447","p.persica_gdr_reftransV1_0037447")</f>
        <v>p.persica_gdr_reftransV1_0037447</v>
      </c>
      <c r="B14847" s="3">
        <v>5122</v>
      </c>
      <c r="C14847" s="1" t="str">
        <f>HYPERLINK("http://www.uniprot.org/uniprot/IREH1_ARATH","IREH1_ARATH")</f>
        <v>IREH1_ARATH</v>
      </c>
      <c r="D14847" t="s">
        <v>6042</v>
      </c>
      <c r="E14847" s="3" t="s">
        <v>3</v>
      </c>
      <c r="F14847" s="4">
        <v>0</v>
      </c>
      <c r="G14847" s="3">
        <v>3996</v>
      </c>
      <c r="H14847" s="3">
        <v>70</v>
      </c>
      <c r="I14847" s="3">
        <v>1107</v>
      </c>
      <c r="J14847" s="3">
        <v>606</v>
      </c>
      <c r="K14847" s="3">
        <v>3905</v>
      </c>
      <c r="L14847" s="3">
        <v>120</v>
      </c>
      <c r="M14847" s="3">
        <v>1215</v>
      </c>
    </row>
    <row r="14848" spans="1:13" x14ac:dyDescent="0.25">
      <c r="A14848" s="1" t="str">
        <f>HYPERLINK("http://www.rosaceae.org/Prunus/Prunus_persica/p.persica_gdr_reftransV1_0037547","p.persica_gdr_reftransV1_0037547")</f>
        <v>p.persica_gdr_reftransV1_0037547</v>
      </c>
      <c r="B14848" s="3">
        <v>6439</v>
      </c>
      <c r="C14848" s="1" t="str">
        <f>HYPERLINK("http://www.uniprot.org/uniprot/SMG1_MOUSE","SMG1_MOUSE")</f>
        <v>SMG1_MOUSE</v>
      </c>
      <c r="D14848" t="s">
        <v>9380</v>
      </c>
      <c r="E14848" s="3" t="s">
        <v>157</v>
      </c>
      <c r="F14848" s="4">
        <v>6.7600000000000003E-90</v>
      </c>
      <c r="G14848" s="3">
        <v>851</v>
      </c>
      <c r="H14848" s="3">
        <v>46</v>
      </c>
      <c r="I14848" s="3">
        <v>369</v>
      </c>
      <c r="J14848" s="3">
        <v>5</v>
      </c>
      <c r="K14848" s="3">
        <v>1081</v>
      </c>
      <c r="L14848" s="3">
        <v>2131</v>
      </c>
      <c r="M14848" s="3">
        <v>2499</v>
      </c>
    </row>
    <row r="14849" spans="1:13" x14ac:dyDescent="0.25">
      <c r="A14849" s="1" t="str">
        <f>HYPERLINK("http://www.rosaceae.org/Prunus/Prunus_persica/p.persica_gdr_reftransV1_0037647","p.persica_gdr_reftransV1_0037647")</f>
        <v>p.persica_gdr_reftransV1_0037647</v>
      </c>
      <c r="B14849" s="3">
        <v>1955</v>
      </c>
      <c r="C14849" s="1" t="str">
        <f>HYPERLINK("http://www.uniprot.org/uniprot/UBP12_ARATH","UBP12_ARATH")</f>
        <v>UBP12_ARATH</v>
      </c>
      <c r="D14849" t="s">
        <v>5651</v>
      </c>
      <c r="E14849" s="3" t="s">
        <v>3</v>
      </c>
      <c r="F14849" s="4">
        <v>1.2200000000000001E-16</v>
      </c>
      <c r="G14849" s="3">
        <v>217</v>
      </c>
      <c r="H14849" s="3">
        <v>37</v>
      </c>
      <c r="I14849" s="3">
        <v>143</v>
      </c>
      <c r="J14849" s="3">
        <v>264</v>
      </c>
      <c r="K14849" s="3">
        <v>689</v>
      </c>
      <c r="L14849" s="3">
        <v>49</v>
      </c>
      <c r="M14849" s="3">
        <v>181</v>
      </c>
    </row>
    <row r="14850" spans="1:13" x14ac:dyDescent="0.25">
      <c r="A14850" s="1" t="str">
        <f>HYPERLINK("http://www.rosaceae.org/Prunus/Prunus_persica/p.persica_gdr_reftransV1_0037797","p.persica_gdr_reftransV1_0037797")</f>
        <v>p.persica_gdr_reftransV1_0037797</v>
      </c>
      <c r="B14850" s="3">
        <v>3518</v>
      </c>
      <c r="C14850" s="1" t="str">
        <f>HYPERLINK("http://www.uniprot.org/uniprot/ROGF1_ARATH","ROGF1_ARATH")</f>
        <v>ROGF1_ARATH</v>
      </c>
      <c r="D14850" t="s">
        <v>3583</v>
      </c>
      <c r="E14850" s="3" t="s">
        <v>3</v>
      </c>
      <c r="F14850" s="4">
        <v>0</v>
      </c>
      <c r="G14850" s="3">
        <v>1835</v>
      </c>
      <c r="H14850" s="3">
        <v>71</v>
      </c>
      <c r="I14850" s="3">
        <v>530</v>
      </c>
      <c r="J14850" s="3">
        <v>1505</v>
      </c>
      <c r="K14850" s="3">
        <v>3082</v>
      </c>
      <c r="L14850" s="3">
        <v>43</v>
      </c>
      <c r="M14850" s="3">
        <v>548</v>
      </c>
    </row>
    <row r="14851" spans="1:13" x14ac:dyDescent="0.25">
      <c r="A14851" s="1" t="str">
        <f>HYPERLINK("http://www.rosaceae.org/Prunus/Prunus_persica/p.persica_gdr_reftransV1_0038047","p.persica_gdr_reftransV1_0038047")</f>
        <v>p.persica_gdr_reftransV1_0038047</v>
      </c>
      <c r="B14851" s="3">
        <v>3151</v>
      </c>
      <c r="C14851" s="1" t="str">
        <f>HYPERLINK("http://www.uniprot.org/uniprot/GRIK1_ARATH","GRIK1_ARATH")</f>
        <v>GRIK1_ARATH</v>
      </c>
      <c r="D14851" t="s">
        <v>9657</v>
      </c>
      <c r="E14851" s="3" t="s">
        <v>3</v>
      </c>
      <c r="F14851" s="4">
        <v>2.04E-81</v>
      </c>
      <c r="G14851" s="3">
        <v>706</v>
      </c>
      <c r="H14851" s="3">
        <v>72</v>
      </c>
      <c r="I14851" s="3">
        <v>169</v>
      </c>
      <c r="J14851" s="3">
        <v>2139</v>
      </c>
      <c r="K14851" s="3">
        <v>2645</v>
      </c>
      <c r="L14851" s="3">
        <v>223</v>
      </c>
      <c r="M14851" s="3">
        <v>391</v>
      </c>
    </row>
    <row r="14852" spans="1:13" x14ac:dyDescent="0.25">
      <c r="A14852" s="1" t="str">
        <f>HYPERLINK("http://www.rosaceae.org/Prunus/Prunus_persica/p.persica_gdr_reftransV1_0038097","p.persica_gdr_reftransV1_0038097")</f>
        <v>p.persica_gdr_reftransV1_0038097</v>
      </c>
      <c r="B14852" s="3">
        <v>1718</v>
      </c>
      <c r="C14852" s="1" t="str">
        <f>HYPERLINK("http://www.uniprot.org/uniprot/ENT1_ARATH","ENT1_ARATH")</f>
        <v>ENT1_ARATH</v>
      </c>
      <c r="D14852" t="s">
        <v>9658</v>
      </c>
      <c r="E14852" s="3" t="s">
        <v>3</v>
      </c>
      <c r="F14852" s="4">
        <v>0</v>
      </c>
      <c r="G14852" s="3">
        <v>1392</v>
      </c>
      <c r="H14852" s="3">
        <v>67</v>
      </c>
      <c r="I14852" s="3">
        <v>445</v>
      </c>
      <c r="J14852" s="3">
        <v>138</v>
      </c>
      <c r="K14852" s="3">
        <v>1448</v>
      </c>
      <c r="L14852" s="3">
        <v>7</v>
      </c>
      <c r="M14852" s="3">
        <v>450</v>
      </c>
    </row>
    <row r="14853" spans="1:13" x14ac:dyDescent="0.25">
      <c r="A14853" s="1" t="str">
        <f>HYPERLINK("http://www.rosaceae.org/Prunus/Prunus_persica/p.persica_gdr_reftransV1_0038197","p.persica_gdr_reftransV1_0038197")</f>
        <v>p.persica_gdr_reftransV1_0038197</v>
      </c>
      <c r="B14853" s="3">
        <v>817</v>
      </c>
      <c r="C14853" s="1" t="str">
        <f>HYPERLINK("http://www.uniprot.org/uniprot/TT12_ARATH","TT12_ARATH")</f>
        <v>TT12_ARATH</v>
      </c>
      <c r="D14853" t="s">
        <v>353</v>
      </c>
      <c r="E14853" s="3" t="s">
        <v>3</v>
      </c>
      <c r="F14853" s="4">
        <v>1.9299999999999999E-21</v>
      </c>
      <c r="G14853" s="3">
        <v>241</v>
      </c>
      <c r="H14853" s="3">
        <v>42</v>
      </c>
      <c r="I14853" s="3">
        <v>119</v>
      </c>
      <c r="J14853" s="3">
        <v>162</v>
      </c>
      <c r="K14853" s="3">
        <v>518</v>
      </c>
      <c r="L14853" s="3">
        <v>51</v>
      </c>
      <c r="M14853" s="3">
        <v>169</v>
      </c>
    </row>
    <row r="14854" spans="1:13" x14ac:dyDescent="0.25">
      <c r="A14854" s="1" t="str">
        <f>HYPERLINK("http://www.rosaceae.org/Prunus/Prunus_persica/p.persica_gdr_reftransV1_0038247","p.persica_gdr_reftransV1_0038247")</f>
        <v>p.persica_gdr_reftransV1_0038247</v>
      </c>
      <c r="B14854" s="3">
        <v>1745</v>
      </c>
      <c r="C14854" s="1" t="str">
        <f>HYPERLINK("http://www.uniprot.org/uniprot/TRIP4_MOUSE","TRIP4_MOUSE")</f>
        <v>TRIP4_MOUSE</v>
      </c>
      <c r="D14854" t="s">
        <v>7393</v>
      </c>
      <c r="E14854" s="3" t="s">
        <v>157</v>
      </c>
      <c r="F14854" s="4">
        <v>7.2100000000000002E-22</v>
      </c>
      <c r="G14854" s="3">
        <v>257</v>
      </c>
      <c r="H14854" s="3">
        <v>38</v>
      </c>
      <c r="I14854" s="3">
        <v>165</v>
      </c>
      <c r="J14854" s="3">
        <v>151</v>
      </c>
      <c r="K14854" s="3">
        <v>645</v>
      </c>
      <c r="L14854" s="3">
        <v>421</v>
      </c>
      <c r="M14854" s="3">
        <v>574</v>
      </c>
    </row>
    <row r="14855" spans="1:13" x14ac:dyDescent="0.25">
      <c r="A14855" s="1" t="str">
        <f>HYPERLINK("http://www.rosaceae.org/Prunus/Prunus_persica/p.persica_gdr_reftransV1_0038597","p.persica_gdr_reftransV1_0038597")</f>
        <v>p.persica_gdr_reftransV1_0038597</v>
      </c>
      <c r="B14855" s="3">
        <v>1934</v>
      </c>
      <c r="C14855" s="1" t="str">
        <f>HYPERLINK("http://www.uniprot.org/uniprot/C75A2_SOLME","C75A2_SOLME")</f>
        <v>C75A2_SOLME</v>
      </c>
      <c r="D14855" t="s">
        <v>9659</v>
      </c>
      <c r="E14855" s="3" t="s">
        <v>9068</v>
      </c>
      <c r="F14855" s="4">
        <v>9.0700000000000003E-109</v>
      </c>
      <c r="G14855" s="3">
        <v>883</v>
      </c>
      <c r="H14855" s="3">
        <v>40</v>
      </c>
      <c r="I14855" s="3">
        <v>451</v>
      </c>
      <c r="J14855" s="3">
        <v>377</v>
      </c>
      <c r="K14855" s="3">
        <v>1711</v>
      </c>
      <c r="L14855" s="3">
        <v>57</v>
      </c>
      <c r="M14855" s="3">
        <v>503</v>
      </c>
    </row>
    <row r="14856" spans="1:13" x14ac:dyDescent="0.25">
      <c r="A14856" s="1" t="str">
        <f>HYPERLINK("http://www.rosaceae.org/Prunus/Prunus_persica/p.persica_gdr_reftransV1_0038647","p.persica_gdr_reftransV1_0038647")</f>
        <v>p.persica_gdr_reftransV1_0038647</v>
      </c>
      <c r="B14856" s="3">
        <v>2672</v>
      </c>
      <c r="C14856" s="1" t="str">
        <f>HYPERLINK("http://www.uniprot.org/uniprot/CIA1_ARATH","CIA1_ARATH")</f>
        <v>CIA1_ARATH</v>
      </c>
      <c r="D14856" t="s">
        <v>9660</v>
      </c>
      <c r="E14856" s="3" t="s">
        <v>3</v>
      </c>
      <c r="F14856" s="4">
        <v>1.7499999999999999E-93</v>
      </c>
      <c r="G14856" s="3">
        <v>781</v>
      </c>
      <c r="H14856" s="3">
        <v>71</v>
      </c>
      <c r="I14856" s="3">
        <v>208</v>
      </c>
      <c r="J14856" s="3">
        <v>264</v>
      </c>
      <c r="K14856" s="3">
        <v>884</v>
      </c>
      <c r="L14856" s="3">
        <v>4</v>
      </c>
      <c r="M14856" s="3">
        <v>209</v>
      </c>
    </row>
    <row r="14857" spans="1:13" x14ac:dyDescent="0.25">
      <c r="A14857" s="1" t="str">
        <f>HYPERLINK("http://www.rosaceae.org/Prunus/Prunus_persica/p.persica_gdr_reftransV1_0039547","p.persica_gdr_reftransV1_0039547")</f>
        <v>p.persica_gdr_reftransV1_0039547</v>
      </c>
      <c r="B14857" s="3">
        <v>1714</v>
      </c>
      <c r="C14857" s="1" t="str">
        <f>HYPERLINK("http://www.uniprot.org/uniprot/ADHL6_ARATH","ADHL6_ARATH")</f>
        <v>ADHL6_ARATH</v>
      </c>
      <c r="D14857" t="s">
        <v>9661</v>
      </c>
      <c r="E14857" s="3" t="s">
        <v>3</v>
      </c>
      <c r="F14857" s="4">
        <v>0</v>
      </c>
      <c r="G14857" s="3">
        <v>1605</v>
      </c>
      <c r="H14857" s="3">
        <v>75</v>
      </c>
      <c r="I14857" s="3">
        <v>381</v>
      </c>
      <c r="J14857" s="3">
        <v>219</v>
      </c>
      <c r="K14857" s="3">
        <v>1361</v>
      </c>
      <c r="L14857" s="3">
        <v>1</v>
      </c>
      <c r="M14857" s="3">
        <v>381</v>
      </c>
    </row>
    <row r="14858" spans="1:13" x14ac:dyDescent="0.25">
      <c r="A14858" s="1" t="str">
        <f>HYPERLINK("http://www.rosaceae.org/Prunus/Prunus_persica/p.persica_gdr_reftransV1_0039697","p.persica_gdr_reftransV1_0039697")</f>
        <v>p.persica_gdr_reftransV1_0039697</v>
      </c>
      <c r="B14858" s="3">
        <v>3906</v>
      </c>
      <c r="C14858" s="1" t="str">
        <f>HYPERLINK("http://www.uniprot.org/uniprot/STSYN_PEA","STSYN_PEA")</f>
        <v>STSYN_PEA</v>
      </c>
      <c r="D14858" t="s">
        <v>9662</v>
      </c>
      <c r="E14858" s="3" t="s">
        <v>60</v>
      </c>
      <c r="F14858" s="4">
        <v>0</v>
      </c>
      <c r="G14858" s="3">
        <v>3196</v>
      </c>
      <c r="H14858" s="3">
        <v>69</v>
      </c>
      <c r="I14858" s="3">
        <v>867</v>
      </c>
      <c r="J14858" s="3">
        <v>1089</v>
      </c>
      <c r="K14858" s="3">
        <v>3683</v>
      </c>
      <c r="L14858" s="3">
        <v>1</v>
      </c>
      <c r="M14858" s="3">
        <v>853</v>
      </c>
    </row>
    <row r="14859" spans="1:13" x14ac:dyDescent="0.25">
      <c r="A14859" s="1" t="str">
        <f>HYPERLINK("http://www.rosaceae.org/Prunus/Prunus_persica/p.persica_gdr_reftransV1_0039997","p.persica_gdr_reftransV1_0039997")</f>
        <v>p.persica_gdr_reftransV1_0039997</v>
      </c>
      <c r="B14859" s="3">
        <v>1219</v>
      </c>
      <c r="C14859" s="1" t="str">
        <f>HYPERLINK("http://www.uniprot.org/uniprot/NSE2_ARATH","NSE2_ARATH")</f>
        <v>NSE2_ARATH</v>
      </c>
      <c r="D14859" t="s">
        <v>9663</v>
      </c>
      <c r="E14859" s="3" t="s">
        <v>3</v>
      </c>
      <c r="F14859" s="4">
        <v>1.97E-89</v>
      </c>
      <c r="G14859" s="3">
        <v>709</v>
      </c>
      <c r="H14859" s="3">
        <v>58</v>
      </c>
      <c r="I14859" s="3">
        <v>229</v>
      </c>
      <c r="J14859" s="3">
        <v>222</v>
      </c>
      <c r="K14859" s="3">
        <v>902</v>
      </c>
      <c r="L14859" s="3">
        <v>21</v>
      </c>
      <c r="M14859" s="3">
        <v>249</v>
      </c>
    </row>
    <row r="14860" spans="1:13" x14ac:dyDescent="0.25">
      <c r="A14860" s="1" t="str">
        <f>HYPERLINK("http://www.rosaceae.org/Prunus/Prunus_persica/p.persica_gdr_reftransV1_0040097","p.persica_gdr_reftransV1_0040097")</f>
        <v>p.persica_gdr_reftransV1_0040097</v>
      </c>
      <c r="B14860" s="3">
        <v>2487</v>
      </c>
      <c r="C14860" s="1" t="str">
        <f>HYPERLINK("http://www.uniprot.org/uniprot/PHR_ARATH","PHR_ARATH")</f>
        <v>PHR_ARATH</v>
      </c>
      <c r="D14860" t="s">
        <v>7050</v>
      </c>
      <c r="E14860" s="3" t="s">
        <v>3</v>
      </c>
      <c r="F14860" s="4">
        <v>0</v>
      </c>
      <c r="G14860" s="3">
        <v>1588</v>
      </c>
      <c r="H14860" s="3">
        <v>74</v>
      </c>
      <c r="I14860" s="3">
        <v>384</v>
      </c>
      <c r="J14860" s="3">
        <v>138</v>
      </c>
      <c r="K14860" s="3">
        <v>1280</v>
      </c>
      <c r="L14860" s="3">
        <v>2</v>
      </c>
      <c r="M14860" s="3">
        <v>384</v>
      </c>
    </row>
    <row r="14861" spans="1:13" x14ac:dyDescent="0.25">
      <c r="A14861" s="1" t="str">
        <f>HYPERLINK("http://www.rosaceae.org/Prunus/Prunus_persica/p.persica_gdr_reftransV1_0040197","p.persica_gdr_reftransV1_0040197")</f>
        <v>p.persica_gdr_reftransV1_0040197</v>
      </c>
      <c r="B14861" s="3">
        <v>5965</v>
      </c>
      <c r="C14861" s="1" t="str">
        <f>HYPERLINK("http://www.uniprot.org/uniprot/PLDB1_ARATH","PLDB1_ARATH")</f>
        <v>PLDB1_ARATH</v>
      </c>
      <c r="D14861" t="s">
        <v>9664</v>
      </c>
      <c r="E14861" s="3" t="s">
        <v>3</v>
      </c>
      <c r="F14861" s="4">
        <v>0</v>
      </c>
      <c r="G14861" s="3">
        <v>3884</v>
      </c>
      <c r="H14861" s="3">
        <v>72</v>
      </c>
      <c r="I14861" s="3">
        <v>1035</v>
      </c>
      <c r="J14861" s="3">
        <v>699</v>
      </c>
      <c r="K14861" s="3">
        <v>3761</v>
      </c>
      <c r="L14861" s="3">
        <v>75</v>
      </c>
      <c r="M14861" s="3">
        <v>1083</v>
      </c>
    </row>
    <row r="14862" spans="1:13" x14ac:dyDescent="0.25">
      <c r="A14862" s="1" t="str">
        <f>HYPERLINK("http://www.rosaceae.org/Prunus/Prunus_persica/p.persica_gdr_reftransV1_0040497","p.persica_gdr_reftransV1_0040497")</f>
        <v>p.persica_gdr_reftransV1_0040497</v>
      </c>
      <c r="B14862" s="3">
        <v>2126</v>
      </c>
      <c r="C14862" s="1" t="str">
        <f>HYPERLINK("http://www.uniprot.org/uniprot/STR7_ARATH","STR7_ARATH")</f>
        <v>STR7_ARATH</v>
      </c>
      <c r="D14862" t="s">
        <v>7054</v>
      </c>
      <c r="E14862" s="3" t="s">
        <v>3</v>
      </c>
      <c r="F14862" s="4">
        <v>6.0099999999999999E-94</v>
      </c>
      <c r="G14862" s="3">
        <v>784</v>
      </c>
      <c r="H14862" s="3">
        <v>76</v>
      </c>
      <c r="I14862" s="3">
        <v>205</v>
      </c>
      <c r="J14862" s="3">
        <v>249</v>
      </c>
      <c r="K14862" s="3">
        <v>860</v>
      </c>
      <c r="L14862" s="3">
        <v>250</v>
      </c>
      <c r="M14862" s="3">
        <v>454</v>
      </c>
    </row>
    <row r="14863" spans="1:13" x14ac:dyDescent="0.25">
      <c r="A14863" s="1" t="str">
        <f>HYPERLINK("http://www.rosaceae.org/Prunus/Prunus_persica/p.persica_gdr_reftransV1_0040647","p.persica_gdr_reftransV1_0040647")</f>
        <v>p.persica_gdr_reftransV1_0040647</v>
      </c>
      <c r="B14863" s="3">
        <v>2464</v>
      </c>
      <c r="C14863" s="1" t="str">
        <f>HYPERLINK("http://www.uniprot.org/uniprot/SC5D_TOBAC","SC5D_TOBAC")</f>
        <v>SC5D_TOBAC</v>
      </c>
      <c r="D14863" t="s">
        <v>9665</v>
      </c>
      <c r="E14863" s="3" t="s">
        <v>200</v>
      </c>
      <c r="F14863" s="4">
        <v>3.4899999999999998E-109</v>
      </c>
      <c r="G14863" s="3">
        <v>876</v>
      </c>
      <c r="H14863" s="3">
        <v>83</v>
      </c>
      <c r="I14863" s="3">
        <v>197</v>
      </c>
      <c r="J14863" s="3">
        <v>1501</v>
      </c>
      <c r="K14863" s="3">
        <v>2091</v>
      </c>
      <c r="L14863" s="3">
        <v>73</v>
      </c>
      <c r="M14863" s="3">
        <v>269</v>
      </c>
    </row>
    <row r="14864" spans="1:13" x14ac:dyDescent="0.25">
      <c r="A14864" s="1" t="str">
        <f>HYPERLINK("http://www.rosaceae.org/Prunus/Prunus_persica/p.persica_gdr_reftransV1_0040747","p.persica_gdr_reftransV1_0040747")</f>
        <v>p.persica_gdr_reftransV1_0040747</v>
      </c>
      <c r="B14864" s="3">
        <v>2850</v>
      </c>
      <c r="C14864" s="1" t="str">
        <f>HYPERLINK("http://www.uniprot.org/uniprot/RSC5_DICDI","RSC5_DICDI")</f>
        <v>RSC5_DICDI</v>
      </c>
      <c r="D14864" t="s">
        <v>2473</v>
      </c>
      <c r="E14864" s="3" t="s">
        <v>9</v>
      </c>
      <c r="F14864" s="4">
        <v>1.0299999999999999E-29</v>
      </c>
      <c r="G14864" s="3">
        <v>317</v>
      </c>
      <c r="H14864" s="3">
        <v>30</v>
      </c>
      <c r="I14864" s="3">
        <v>236</v>
      </c>
      <c r="J14864" s="3">
        <v>341</v>
      </c>
      <c r="K14864" s="3">
        <v>1021</v>
      </c>
      <c r="L14864" s="3">
        <v>53</v>
      </c>
      <c r="M14864" s="3">
        <v>286</v>
      </c>
    </row>
    <row r="14865" spans="1:13" x14ac:dyDescent="0.25">
      <c r="A14865" s="1" t="str">
        <f>HYPERLINK("http://www.rosaceae.org/Prunus/Prunus_persica/p.persica_gdr_reftransV1_0040797","p.persica_gdr_reftransV1_0040797")</f>
        <v>p.persica_gdr_reftransV1_0040797</v>
      </c>
      <c r="B14865" s="3">
        <v>1546</v>
      </c>
      <c r="C14865" s="1" t="str">
        <f>HYPERLINK("http://www.uniprot.org/uniprot/RK5_ARATH","RK5_ARATH")</f>
        <v>RK5_ARATH</v>
      </c>
      <c r="D14865" t="s">
        <v>9538</v>
      </c>
      <c r="E14865" s="3" t="s">
        <v>3</v>
      </c>
      <c r="F14865" s="4">
        <v>1.6799999999999999E-61</v>
      </c>
      <c r="G14865" s="3">
        <v>530</v>
      </c>
      <c r="H14865" s="3">
        <v>67</v>
      </c>
      <c r="I14865" s="3">
        <v>158</v>
      </c>
      <c r="J14865" s="3">
        <v>1019</v>
      </c>
      <c r="K14865" s="3">
        <v>1492</v>
      </c>
      <c r="L14865" s="3">
        <v>1</v>
      </c>
      <c r="M14865" s="3">
        <v>154</v>
      </c>
    </row>
    <row r="14866" spans="1:13" x14ac:dyDescent="0.25">
      <c r="A14866" s="1" t="str">
        <f>HYPERLINK("http://www.rosaceae.org/Prunus/Prunus_persica/p.persica_gdr_reftransV1_0040997","p.persica_gdr_reftransV1_0040997")</f>
        <v>p.persica_gdr_reftransV1_0040997</v>
      </c>
      <c r="B14866" s="3">
        <v>2253</v>
      </c>
      <c r="C14866" s="1" t="str">
        <f>HYPERLINK("http://www.uniprot.org/uniprot/GSTZ_EUPES","GSTZ_EUPES")</f>
        <v>GSTZ_EUPES</v>
      </c>
      <c r="D14866" t="s">
        <v>9666</v>
      </c>
      <c r="E14866" s="3" t="s">
        <v>1191</v>
      </c>
      <c r="F14866" s="4">
        <v>9.1699999999999995E-79</v>
      </c>
      <c r="G14866" s="3">
        <v>659</v>
      </c>
      <c r="H14866" s="3">
        <v>74</v>
      </c>
      <c r="I14866" s="3">
        <v>167</v>
      </c>
      <c r="J14866" s="3">
        <v>1515</v>
      </c>
      <c r="K14866" s="3">
        <v>2012</v>
      </c>
      <c r="L14866" s="3">
        <v>1</v>
      </c>
      <c r="M14866" s="3">
        <v>167</v>
      </c>
    </row>
    <row r="14867" spans="1:13" x14ac:dyDescent="0.25">
      <c r="A14867" s="1" t="str">
        <f>HYPERLINK("http://www.rosaceae.org/Prunus/Prunus_persica/p.persica_gdr_reftransV1_0041147","p.persica_gdr_reftransV1_0041147")</f>
        <v>p.persica_gdr_reftransV1_0041147</v>
      </c>
      <c r="B14867" s="3">
        <v>6442</v>
      </c>
      <c r="C14867" s="1" t="str">
        <f>HYPERLINK("http://www.uniprot.org/uniprot/DHX36_MOUSE","DHX36_MOUSE")</f>
        <v>DHX36_MOUSE</v>
      </c>
      <c r="D14867" t="s">
        <v>2269</v>
      </c>
      <c r="E14867" s="3" t="s">
        <v>157</v>
      </c>
      <c r="F14867" s="4">
        <v>1.57E-104</v>
      </c>
      <c r="G14867" s="3">
        <v>940</v>
      </c>
      <c r="H14867" s="3">
        <v>44</v>
      </c>
      <c r="I14867" s="3">
        <v>471</v>
      </c>
      <c r="J14867" s="3">
        <v>2599</v>
      </c>
      <c r="K14867" s="3">
        <v>3990</v>
      </c>
      <c r="L14867" s="3">
        <v>455</v>
      </c>
      <c r="M14867" s="3">
        <v>912</v>
      </c>
    </row>
    <row r="14868" spans="1:13" x14ac:dyDescent="0.25">
      <c r="A14868" s="1" t="str">
        <f>HYPERLINK("http://www.rosaceae.org/Prunus/Prunus_persica/p.persica_gdr_reftransV1_0041347","p.persica_gdr_reftransV1_0041347")</f>
        <v>p.persica_gdr_reftransV1_0041347</v>
      </c>
      <c r="B14868" s="3">
        <v>2568</v>
      </c>
      <c r="C14868" s="1" t="str">
        <f>HYPERLINK("http://www.uniprot.org/uniprot/Y1491_ARATH","Y1491_ARATH")</f>
        <v>Y1491_ARATH</v>
      </c>
      <c r="D14868" t="s">
        <v>310</v>
      </c>
      <c r="E14868" s="3" t="s">
        <v>3</v>
      </c>
      <c r="F14868" s="4">
        <v>5.4300000000000001E-65</v>
      </c>
      <c r="G14868" s="3">
        <v>591</v>
      </c>
      <c r="H14868" s="3">
        <v>39</v>
      </c>
      <c r="I14868" s="3">
        <v>351</v>
      </c>
      <c r="J14868" s="3">
        <v>608</v>
      </c>
      <c r="K14868" s="3">
        <v>1648</v>
      </c>
      <c r="L14868" s="3">
        <v>91</v>
      </c>
      <c r="M14868" s="3">
        <v>425</v>
      </c>
    </row>
    <row r="14869" spans="1:13" x14ac:dyDescent="0.25">
      <c r="A14869" s="1" t="str">
        <f>HYPERLINK("http://www.rosaceae.org/Prunus/Prunus_persica/p.persica_gdr_reftransV1_0041397","p.persica_gdr_reftransV1_0041397")</f>
        <v>p.persica_gdr_reftransV1_0041397</v>
      </c>
      <c r="B14869" s="3">
        <v>2625</v>
      </c>
      <c r="C14869" s="1" t="str">
        <f>HYPERLINK("http://www.uniprot.org/uniprot/FAAH_ARATH","FAAH_ARATH")</f>
        <v>FAAH_ARATH</v>
      </c>
      <c r="D14869" t="s">
        <v>5286</v>
      </c>
      <c r="E14869" s="3" t="s">
        <v>3</v>
      </c>
      <c r="F14869" s="4">
        <v>2.8600000000000003E-113</v>
      </c>
      <c r="G14869" s="3">
        <v>623</v>
      </c>
      <c r="H14869" s="3">
        <v>51</v>
      </c>
      <c r="I14869" s="3">
        <v>281</v>
      </c>
      <c r="J14869" s="3">
        <v>969</v>
      </c>
      <c r="K14869" s="3">
        <v>1793</v>
      </c>
      <c r="L14869" s="3">
        <v>147</v>
      </c>
      <c r="M14869" s="3">
        <v>426</v>
      </c>
    </row>
    <row r="14870" spans="1:13" x14ac:dyDescent="0.25">
      <c r="A14870" s="1" t="str">
        <f>HYPERLINK("http://www.rosaceae.org/Prunus/Prunus_persica/p.persica_gdr_reftransV1_0041447","p.persica_gdr_reftransV1_0041447")</f>
        <v>p.persica_gdr_reftransV1_0041447</v>
      </c>
      <c r="B14870" s="3">
        <v>2394</v>
      </c>
      <c r="C14870" s="1" t="str">
        <f>HYPERLINK("http://www.uniprot.org/uniprot/AB17A_HUMAN","AB17A_HUMAN")</f>
        <v>AB17A_HUMAN</v>
      </c>
      <c r="D14870" t="s">
        <v>9667</v>
      </c>
      <c r="E14870" s="3" t="s">
        <v>28</v>
      </c>
      <c r="F14870" s="4">
        <v>5.5500000000000001E-46</v>
      </c>
      <c r="G14870" s="3">
        <v>433</v>
      </c>
      <c r="H14870" s="3">
        <v>54</v>
      </c>
      <c r="I14870" s="3">
        <v>155</v>
      </c>
      <c r="J14870" s="3">
        <v>1454</v>
      </c>
      <c r="K14870" s="3">
        <v>1915</v>
      </c>
      <c r="L14870" s="3">
        <v>158</v>
      </c>
      <c r="M14870" s="3">
        <v>309</v>
      </c>
    </row>
    <row r="14871" spans="1:13" x14ac:dyDescent="0.25">
      <c r="A14871" s="1" t="str">
        <f>HYPERLINK("http://www.rosaceae.org/Prunus/Prunus_persica/p.persica_gdr_reftransV1_0041847","p.persica_gdr_reftransV1_0041847")</f>
        <v>p.persica_gdr_reftransV1_0041847</v>
      </c>
      <c r="B14871" s="3">
        <v>2674</v>
      </c>
      <c r="C14871" s="1" t="str">
        <f>HYPERLINK("http://www.uniprot.org/uniprot/ALAT2_ARATH","ALAT2_ARATH")</f>
        <v>ALAT2_ARATH</v>
      </c>
      <c r="D14871" t="s">
        <v>9668</v>
      </c>
      <c r="E14871" s="3" t="s">
        <v>3</v>
      </c>
      <c r="F14871" s="4">
        <v>0</v>
      </c>
      <c r="G14871" s="3">
        <v>2051</v>
      </c>
      <c r="H14871" s="3">
        <v>80</v>
      </c>
      <c r="I14871" s="3">
        <v>507</v>
      </c>
      <c r="J14871" s="3">
        <v>169</v>
      </c>
      <c r="K14871" s="3">
        <v>1686</v>
      </c>
      <c r="L14871" s="3">
        <v>1</v>
      </c>
      <c r="M14871" s="3">
        <v>502</v>
      </c>
    </row>
    <row r="14872" spans="1:13" x14ac:dyDescent="0.25">
      <c r="A14872" s="1" t="str">
        <f>HYPERLINK("http://www.rosaceae.org/Prunus/Prunus_persica/p.persica_gdr_reftransV1_0041997","p.persica_gdr_reftransV1_0041997")</f>
        <v>p.persica_gdr_reftransV1_0041997</v>
      </c>
      <c r="B14872" s="3">
        <v>1795</v>
      </c>
      <c r="C14872" s="1" t="str">
        <f>HYPERLINK("http://www.uniprot.org/uniprot/HEM6_SOYBN","HEM6_SOYBN")</f>
        <v>HEM6_SOYBN</v>
      </c>
      <c r="D14872" t="s">
        <v>3447</v>
      </c>
      <c r="E14872" s="3" t="s">
        <v>307</v>
      </c>
      <c r="F14872" s="4">
        <v>0</v>
      </c>
      <c r="G14872" s="3">
        <v>1533</v>
      </c>
      <c r="H14872" s="3">
        <v>79</v>
      </c>
      <c r="I14872" s="3">
        <v>387</v>
      </c>
      <c r="J14872" s="3">
        <v>303</v>
      </c>
      <c r="K14872" s="3">
        <v>1451</v>
      </c>
      <c r="L14872" s="3">
        <v>41</v>
      </c>
      <c r="M14872" s="3">
        <v>385</v>
      </c>
    </row>
    <row r="14873" spans="1:13" x14ac:dyDescent="0.25">
      <c r="A14873" s="1" t="str">
        <f>HYPERLINK("http://www.rosaceae.org/Prunus/Prunus_persica/p.persica_gdr_reftransV1_0042547","p.persica_gdr_reftransV1_0042547")</f>
        <v>p.persica_gdr_reftransV1_0042547</v>
      </c>
      <c r="B14873" s="3">
        <v>4185</v>
      </c>
      <c r="C14873" s="1" t="str">
        <f>HYPERLINK("http://www.uniprot.org/uniprot/Y3913_ARATH","Y3913_ARATH")</f>
        <v>Y3913_ARATH</v>
      </c>
      <c r="D14873" t="s">
        <v>1707</v>
      </c>
      <c r="E14873" s="3" t="s">
        <v>3</v>
      </c>
      <c r="F14873" s="4">
        <v>3.9299999999999999E-17</v>
      </c>
      <c r="G14873" s="3">
        <v>222</v>
      </c>
      <c r="H14873" s="3">
        <v>37</v>
      </c>
      <c r="I14873" s="3">
        <v>112</v>
      </c>
      <c r="J14873" s="3">
        <v>1466</v>
      </c>
      <c r="K14873" s="3">
        <v>1798</v>
      </c>
      <c r="L14873" s="3">
        <v>363</v>
      </c>
      <c r="M14873" s="3">
        <v>474</v>
      </c>
    </row>
    <row r="14874" spans="1:13" x14ac:dyDescent="0.25">
      <c r="A14874" s="1" t="str">
        <f>HYPERLINK("http://www.rosaceae.org/Prunus/Prunus_persica/p.persica_gdr_reftransV1_0042647","p.persica_gdr_reftransV1_0042647")</f>
        <v>p.persica_gdr_reftransV1_0042647</v>
      </c>
      <c r="B14874" s="3">
        <v>3608</v>
      </c>
      <c r="C14874" s="1" t="str">
        <f>HYPERLINK("http://www.uniprot.org/uniprot/LOX15_SOLTU","LOX15_SOLTU")</f>
        <v>LOX15_SOLTU</v>
      </c>
      <c r="D14874" t="s">
        <v>2422</v>
      </c>
      <c r="E14874" s="3" t="s">
        <v>11</v>
      </c>
      <c r="F14874" s="4">
        <v>0</v>
      </c>
      <c r="G14874" s="3">
        <v>3193</v>
      </c>
      <c r="H14874" s="3">
        <v>70</v>
      </c>
      <c r="I14874" s="3">
        <v>851</v>
      </c>
      <c r="J14874" s="3">
        <v>512</v>
      </c>
      <c r="K14874" s="3">
        <v>3061</v>
      </c>
      <c r="L14874" s="3">
        <v>15</v>
      </c>
      <c r="M14874" s="3">
        <v>862</v>
      </c>
    </row>
    <row r="14875" spans="1:13" x14ac:dyDescent="0.25">
      <c r="A14875" s="1" t="str">
        <f>HYPERLINK("http://www.rosaceae.org/Prunus/Prunus_persica/p.persica_gdr_reftransV1_0042997","p.persica_gdr_reftransV1_0042997")</f>
        <v>p.persica_gdr_reftransV1_0042997</v>
      </c>
      <c r="B14875" s="3">
        <v>3507</v>
      </c>
      <c r="C14875" s="1" t="str">
        <f>HYPERLINK("http://www.uniprot.org/uniprot/DGAT1_ARATH","DGAT1_ARATH")</f>
        <v>DGAT1_ARATH</v>
      </c>
      <c r="D14875" t="s">
        <v>8725</v>
      </c>
      <c r="E14875" s="3" t="s">
        <v>3</v>
      </c>
      <c r="F14875" s="4">
        <v>2.4899999999999999E-168</v>
      </c>
      <c r="G14875" s="3">
        <v>1326</v>
      </c>
      <c r="H14875" s="3">
        <v>78</v>
      </c>
      <c r="I14875" s="3">
        <v>307</v>
      </c>
      <c r="J14875" s="3">
        <v>2129</v>
      </c>
      <c r="K14875" s="3">
        <v>3049</v>
      </c>
      <c r="L14875" s="3">
        <v>105</v>
      </c>
      <c r="M14875" s="3">
        <v>404</v>
      </c>
    </row>
    <row r="14876" spans="1:13" x14ac:dyDescent="0.25">
      <c r="A14876" s="1" t="str">
        <f>HYPERLINK("http://www.rosaceae.org/Prunus/Prunus_persica/p.persica_gdr_reftransV1_0043047","p.persica_gdr_reftransV1_0043047")</f>
        <v>p.persica_gdr_reftransV1_0043047</v>
      </c>
      <c r="B14876" s="3">
        <v>667</v>
      </c>
      <c r="C14876" s="1" t="str">
        <f>HYPERLINK("http://www.uniprot.org/uniprot/DYL1_HELCR","DYL1_HELCR")</f>
        <v>DYL1_HELCR</v>
      </c>
      <c r="D14876" t="s">
        <v>6875</v>
      </c>
      <c r="E14876" s="3" t="s">
        <v>6876</v>
      </c>
      <c r="F14876" s="4">
        <v>3.9300000000000001E-23</v>
      </c>
      <c r="G14876" s="3">
        <v>233</v>
      </c>
      <c r="H14876" s="3">
        <v>50</v>
      </c>
      <c r="I14876" s="3">
        <v>90</v>
      </c>
      <c r="J14876" s="3">
        <v>76</v>
      </c>
      <c r="K14876" s="3">
        <v>345</v>
      </c>
      <c r="L14876" s="3">
        <v>1</v>
      </c>
      <c r="M14876" s="3">
        <v>88</v>
      </c>
    </row>
    <row r="14877" spans="1:13" x14ac:dyDescent="0.25">
      <c r="A14877" s="1" t="str">
        <f>HYPERLINK("http://www.rosaceae.org/Prunus/Prunus_persica/p.persica_gdr_reftransV1_0043097","p.persica_gdr_reftransV1_0043097")</f>
        <v>p.persica_gdr_reftransV1_0043097</v>
      </c>
      <c r="B14877" s="3">
        <v>1905</v>
      </c>
      <c r="C14877" s="1" t="str">
        <f>HYPERLINK("http://www.uniprot.org/uniprot/INV1_ARATH","INV1_ARATH")</f>
        <v>INV1_ARATH</v>
      </c>
      <c r="D14877" t="s">
        <v>1382</v>
      </c>
      <c r="E14877" s="3" t="s">
        <v>3</v>
      </c>
      <c r="F14877" s="4">
        <v>0</v>
      </c>
      <c r="G14877" s="3">
        <v>2051</v>
      </c>
      <c r="H14877" s="3">
        <v>67</v>
      </c>
      <c r="I14877" s="3">
        <v>570</v>
      </c>
      <c r="J14877" s="3">
        <v>176</v>
      </c>
      <c r="K14877" s="3">
        <v>1861</v>
      </c>
      <c r="L14877" s="3">
        <v>19</v>
      </c>
      <c r="M14877" s="3">
        <v>584</v>
      </c>
    </row>
    <row r="14878" spans="1:13" x14ac:dyDescent="0.25">
      <c r="A14878" s="1" t="str">
        <f>HYPERLINK("http://www.rosaceae.org/Prunus/Prunus_persica/p.persica_gdr_reftransV1_0043147","p.persica_gdr_reftransV1_0043147")</f>
        <v>p.persica_gdr_reftransV1_0043147</v>
      </c>
      <c r="B14878" s="3">
        <v>1633</v>
      </c>
      <c r="C14878" s="1" t="str">
        <f>HYPERLINK("http://www.uniprot.org/uniprot/FH11_ARATH","FH11_ARATH")</f>
        <v>FH11_ARATH</v>
      </c>
      <c r="D14878" t="s">
        <v>3628</v>
      </c>
      <c r="E14878" s="3" t="s">
        <v>3</v>
      </c>
      <c r="F14878" s="4">
        <v>0</v>
      </c>
      <c r="G14878" s="3">
        <v>1624</v>
      </c>
      <c r="H14878" s="3">
        <v>75</v>
      </c>
      <c r="I14878" s="3">
        <v>423</v>
      </c>
      <c r="J14878" s="3">
        <v>54</v>
      </c>
      <c r="K14878" s="3">
        <v>1316</v>
      </c>
      <c r="L14878" s="3">
        <v>462</v>
      </c>
      <c r="M14878" s="3">
        <v>884</v>
      </c>
    </row>
    <row r="14879" spans="1:13" x14ac:dyDescent="0.25">
      <c r="A14879" s="1" t="str">
        <f>HYPERLINK("http://www.rosaceae.org/Prunus/Prunus_persica/p.persica_gdr_reftransV1_0043197","p.persica_gdr_reftransV1_0043197")</f>
        <v>p.persica_gdr_reftransV1_0043197</v>
      </c>
      <c r="B14879" s="3">
        <v>2944</v>
      </c>
      <c r="C14879" s="1" t="str">
        <f>HYPERLINK("http://www.uniprot.org/uniprot/CUL1_ARATH","CUL1_ARATH")</f>
        <v>CUL1_ARATH</v>
      </c>
      <c r="D14879" t="s">
        <v>2309</v>
      </c>
      <c r="E14879" s="3" t="s">
        <v>3</v>
      </c>
      <c r="F14879" s="4">
        <v>0</v>
      </c>
      <c r="G14879" s="3">
        <v>3462</v>
      </c>
      <c r="H14879" s="3">
        <v>85</v>
      </c>
      <c r="I14879" s="3">
        <v>738</v>
      </c>
      <c r="J14879" s="3">
        <v>484</v>
      </c>
      <c r="K14879" s="3">
        <v>2697</v>
      </c>
      <c r="L14879" s="3">
        <v>1</v>
      </c>
      <c r="M14879" s="3">
        <v>738</v>
      </c>
    </row>
    <row r="14880" spans="1:13" x14ac:dyDescent="0.25">
      <c r="A14880" s="1" t="str">
        <f>HYPERLINK("http://www.rosaceae.org/Prunus/Prunus_persica/p.persica_gdr_reftransV1_0043297","p.persica_gdr_reftransV1_0043297")</f>
        <v>p.persica_gdr_reftransV1_0043297</v>
      </c>
      <c r="B14880" s="3">
        <v>330</v>
      </c>
      <c r="C14880" s="1" t="str">
        <f>HYPERLINK("http://www.uniprot.org/uniprot/HDG1_ARATH","HDG1_ARATH")</f>
        <v>HDG1_ARATH</v>
      </c>
      <c r="D14880" t="s">
        <v>9669</v>
      </c>
      <c r="E14880" s="3" t="s">
        <v>3</v>
      </c>
      <c r="F14880" s="4">
        <v>9.6199999999999999E-33</v>
      </c>
      <c r="G14880" s="3">
        <v>314</v>
      </c>
      <c r="H14880" s="3">
        <v>59</v>
      </c>
      <c r="I14880" s="3">
        <v>101</v>
      </c>
      <c r="J14880" s="3">
        <v>2</v>
      </c>
      <c r="K14880" s="3">
        <v>298</v>
      </c>
      <c r="L14880" s="3">
        <v>313</v>
      </c>
      <c r="M14880" s="3">
        <v>413</v>
      </c>
    </row>
    <row r="14881" spans="1:13" x14ac:dyDescent="0.25">
      <c r="A14881" s="1" t="str">
        <f>HYPERLINK("http://www.rosaceae.org/Prunus/Prunus_persica/p.persica_gdr_reftransV1_0043347","p.persica_gdr_reftransV1_0043347")</f>
        <v>p.persica_gdr_reftransV1_0043347</v>
      </c>
      <c r="B14881" s="3">
        <v>880</v>
      </c>
      <c r="C14881" s="1" t="str">
        <f>HYPERLINK("http://www.uniprot.org/uniprot/PP380_ARATH","PP380_ARATH")</f>
        <v>PP380_ARATH</v>
      </c>
      <c r="D14881" t="s">
        <v>5617</v>
      </c>
      <c r="E14881" s="3" t="s">
        <v>3</v>
      </c>
      <c r="F14881" s="4">
        <v>5.0200000000000001E-72</v>
      </c>
      <c r="G14881" s="3">
        <v>610</v>
      </c>
      <c r="H14881" s="3">
        <v>51</v>
      </c>
      <c r="I14881" s="3">
        <v>212</v>
      </c>
      <c r="J14881" s="3">
        <v>2</v>
      </c>
      <c r="K14881" s="3">
        <v>634</v>
      </c>
      <c r="L14881" s="3">
        <v>397</v>
      </c>
      <c r="M14881" s="3">
        <v>607</v>
      </c>
    </row>
    <row r="14882" spans="1:13" x14ac:dyDescent="0.25">
      <c r="A14882" s="1" t="str">
        <f>HYPERLINK("http://www.rosaceae.org/Prunus/Prunus_persica/p.persica_gdr_reftransV1_0043447","p.persica_gdr_reftransV1_0043447")</f>
        <v>p.persica_gdr_reftransV1_0043447</v>
      </c>
      <c r="B14882" s="3">
        <v>1401</v>
      </c>
      <c r="C14882" s="1" t="str">
        <f>HYPERLINK("http://www.uniprot.org/uniprot/UFD1_RAT","UFD1_RAT")</f>
        <v>UFD1_RAT</v>
      </c>
      <c r="D14882" t="s">
        <v>6125</v>
      </c>
      <c r="E14882" s="3" t="s">
        <v>161</v>
      </c>
      <c r="F14882" s="4">
        <v>1.8600000000000001E-76</v>
      </c>
      <c r="G14882" s="3">
        <v>632</v>
      </c>
      <c r="H14882" s="3">
        <v>51</v>
      </c>
      <c r="I14882" s="3">
        <v>232</v>
      </c>
      <c r="J14882" s="3">
        <v>495</v>
      </c>
      <c r="K14882" s="3">
        <v>1172</v>
      </c>
      <c r="L14882" s="3">
        <v>19</v>
      </c>
      <c r="M14882" s="3">
        <v>246</v>
      </c>
    </row>
    <row r="14883" spans="1:13" x14ac:dyDescent="0.25">
      <c r="A14883" s="1" t="str">
        <f>HYPERLINK("http://www.rosaceae.org/Prunus/Prunus_persica/p.persica_gdr_reftransV1_0043497","p.persica_gdr_reftransV1_0043497")</f>
        <v>p.persica_gdr_reftransV1_0043497</v>
      </c>
      <c r="B14883" s="3">
        <v>1460</v>
      </c>
      <c r="C14883" s="1" t="str">
        <f>HYPERLINK("http://www.uniprot.org/uniprot/CCD32_ARATH","CCD32_ARATH")</f>
        <v>CCD32_ARATH</v>
      </c>
      <c r="D14883" t="s">
        <v>9408</v>
      </c>
      <c r="E14883" s="3" t="s">
        <v>3</v>
      </c>
      <c r="F14883" s="4">
        <v>5.3599999999999998E-119</v>
      </c>
      <c r="G14883" s="3">
        <v>925</v>
      </c>
      <c r="H14883" s="3">
        <v>54</v>
      </c>
      <c r="I14883" s="3">
        <v>375</v>
      </c>
      <c r="J14883" s="3">
        <v>196</v>
      </c>
      <c r="K14883" s="3">
        <v>1308</v>
      </c>
      <c r="L14883" s="3">
        <v>1</v>
      </c>
      <c r="M14883" s="3">
        <v>367</v>
      </c>
    </row>
    <row r="14884" spans="1:13" x14ac:dyDescent="0.25">
      <c r="A14884" s="1" t="str">
        <f>HYPERLINK("http://www.rosaceae.org/Prunus/Prunus_persica/p.persica_gdr_reftransV1_0043547","p.persica_gdr_reftransV1_0043547")</f>
        <v>p.persica_gdr_reftransV1_0043547</v>
      </c>
      <c r="B14884" s="3">
        <v>1607</v>
      </c>
      <c r="C14884" s="1" t="str">
        <f>HYPERLINK("http://www.uniprot.org/uniprot/SGT3_SOYBN","SGT3_SOYBN")</f>
        <v>SGT3_SOYBN</v>
      </c>
      <c r="D14884" t="s">
        <v>9670</v>
      </c>
      <c r="E14884" s="3" t="s">
        <v>307</v>
      </c>
      <c r="F14884" s="4">
        <v>2.75E-106</v>
      </c>
      <c r="G14884" s="3">
        <v>854</v>
      </c>
      <c r="H14884" s="3">
        <v>43</v>
      </c>
      <c r="I14884" s="3">
        <v>465</v>
      </c>
      <c r="J14884" s="3">
        <v>190</v>
      </c>
      <c r="K14884" s="3">
        <v>1569</v>
      </c>
      <c r="L14884" s="3">
        <v>15</v>
      </c>
      <c r="M14884" s="3">
        <v>464</v>
      </c>
    </row>
    <row r="14885" spans="1:13" x14ac:dyDescent="0.25">
      <c r="A14885" s="1" t="str">
        <f>HYPERLINK("http://www.rosaceae.org/Prunus/Prunus_persica/p.persica_gdr_reftransV1_0043597","p.persica_gdr_reftransV1_0043597")</f>
        <v>p.persica_gdr_reftransV1_0043597</v>
      </c>
      <c r="B14885" s="3">
        <v>395</v>
      </c>
      <c r="C14885" s="1" t="str">
        <f>HYPERLINK("http://www.uniprot.org/uniprot/NAC98_ARATH","NAC98_ARATH")</f>
        <v>NAC98_ARATH</v>
      </c>
      <c r="D14885" t="s">
        <v>9671</v>
      </c>
      <c r="E14885" s="3" t="s">
        <v>3</v>
      </c>
      <c r="F14885" s="4">
        <v>6.7800000000000001E-42</v>
      </c>
      <c r="G14885" s="3">
        <v>372</v>
      </c>
      <c r="H14885" s="3">
        <v>87</v>
      </c>
      <c r="I14885" s="3">
        <v>77</v>
      </c>
      <c r="J14885" s="3">
        <v>3</v>
      </c>
      <c r="K14885" s="3">
        <v>233</v>
      </c>
      <c r="L14885" s="3">
        <v>99</v>
      </c>
      <c r="M14885" s="3">
        <v>175</v>
      </c>
    </row>
    <row r="14886" spans="1:13" x14ac:dyDescent="0.25">
      <c r="A14886" s="1" t="str">
        <f>HYPERLINK("http://www.rosaceae.org/Prunus/Prunus_persica/p.persica_gdr_reftransV1_0043647","p.persica_gdr_reftransV1_0043647")</f>
        <v>p.persica_gdr_reftransV1_0043647</v>
      </c>
      <c r="B14886" s="3">
        <v>393</v>
      </c>
      <c r="C14886" s="1" t="str">
        <f>HYPERLINK("http://www.uniprot.org/uniprot/C7A12_PANGI","C7A12_PANGI")</f>
        <v>C7A12_PANGI</v>
      </c>
      <c r="D14886" t="s">
        <v>5987</v>
      </c>
      <c r="E14886" s="3" t="s">
        <v>1477</v>
      </c>
      <c r="F14886" s="4">
        <v>1.28E-46</v>
      </c>
      <c r="G14886" s="3">
        <v>410</v>
      </c>
      <c r="H14886" s="3">
        <v>61</v>
      </c>
      <c r="I14886" s="3">
        <v>131</v>
      </c>
      <c r="J14886" s="3">
        <v>2</v>
      </c>
      <c r="K14886" s="3">
        <v>391</v>
      </c>
      <c r="L14886" s="3">
        <v>33</v>
      </c>
      <c r="M14886" s="3">
        <v>163</v>
      </c>
    </row>
    <row r="14887" spans="1:13" x14ac:dyDescent="0.25">
      <c r="A14887" s="1" t="str">
        <f>HYPERLINK("http://www.rosaceae.org/Prunus/Prunus_persica/p.persica_gdr_reftransV1_0043797","p.persica_gdr_reftransV1_0043797")</f>
        <v>p.persica_gdr_reftransV1_0043797</v>
      </c>
      <c r="B14887" s="3">
        <v>434</v>
      </c>
      <c r="C14887" s="1" t="str">
        <f>HYPERLINK("http://www.uniprot.org/uniprot/HDG5_ARATH","HDG5_ARATH")</f>
        <v>HDG5_ARATH</v>
      </c>
      <c r="D14887" t="s">
        <v>9522</v>
      </c>
      <c r="E14887" s="3" t="s">
        <v>3</v>
      </c>
      <c r="F14887" s="4">
        <v>1.1699999999999999E-18</v>
      </c>
      <c r="G14887" s="3">
        <v>213</v>
      </c>
      <c r="H14887" s="3">
        <v>44</v>
      </c>
      <c r="I14887" s="3">
        <v>147</v>
      </c>
      <c r="J14887" s="3">
        <v>86</v>
      </c>
      <c r="K14887" s="3">
        <v>433</v>
      </c>
      <c r="L14887" s="3">
        <v>1</v>
      </c>
      <c r="M14887" s="3">
        <v>142</v>
      </c>
    </row>
    <row r="14888" spans="1:13" x14ac:dyDescent="0.25">
      <c r="A14888" s="1" t="str">
        <f>HYPERLINK("http://www.rosaceae.org/Prunus/Prunus_persica/p.persica_gdr_reftransV1_0043997","p.persica_gdr_reftransV1_0043997")</f>
        <v>p.persica_gdr_reftransV1_0043997</v>
      </c>
      <c r="B14888" s="3">
        <v>1325</v>
      </c>
      <c r="C14888" s="1" t="str">
        <f>HYPERLINK("http://www.uniprot.org/uniprot/TANB_ARATH","TANB_ARATH")</f>
        <v>TANB_ARATH</v>
      </c>
      <c r="D14888" t="s">
        <v>9672</v>
      </c>
      <c r="E14888" s="3" t="s">
        <v>3</v>
      </c>
      <c r="F14888" s="4">
        <v>2.0300000000000001E-112</v>
      </c>
      <c r="G14888" s="3">
        <v>884</v>
      </c>
      <c r="H14888" s="3">
        <v>54</v>
      </c>
      <c r="I14888" s="3">
        <v>381</v>
      </c>
      <c r="J14888" s="3">
        <v>58</v>
      </c>
      <c r="K14888" s="3">
        <v>1041</v>
      </c>
      <c r="L14888" s="3">
        <v>1</v>
      </c>
      <c r="M14888" s="3">
        <v>371</v>
      </c>
    </row>
    <row r="14889" spans="1:13" x14ac:dyDescent="0.25">
      <c r="A14889" s="1" t="str">
        <f>HYPERLINK("http://www.rosaceae.org/Prunus/Prunus_persica/p.persica_gdr_reftransV1_0044047","p.persica_gdr_reftransV1_0044047")</f>
        <v>p.persica_gdr_reftransV1_0044047</v>
      </c>
      <c r="B14889" s="3">
        <v>1542</v>
      </c>
      <c r="C14889" s="1" t="str">
        <f>HYPERLINK("http://www.uniprot.org/uniprot/C3H18_ARATH","C3H18_ARATH")</f>
        <v>C3H18_ARATH</v>
      </c>
      <c r="D14889" t="s">
        <v>8216</v>
      </c>
      <c r="E14889" s="3" t="s">
        <v>3</v>
      </c>
      <c r="F14889" s="4">
        <v>1.23E-118</v>
      </c>
      <c r="G14889" s="3">
        <v>940</v>
      </c>
      <c r="H14889" s="3">
        <v>61</v>
      </c>
      <c r="I14889" s="3">
        <v>353</v>
      </c>
      <c r="J14889" s="3">
        <v>513</v>
      </c>
      <c r="K14889" s="3">
        <v>1541</v>
      </c>
      <c r="L14889" s="3">
        <v>204</v>
      </c>
      <c r="M14889" s="3">
        <v>535</v>
      </c>
    </row>
    <row r="14890" spans="1:13" x14ac:dyDescent="0.25">
      <c r="A14890" s="1" t="str">
        <f>HYPERLINK("http://www.rosaceae.org/Prunus/Prunus_persica/p.persica_gdr_reftransV1_0044147","p.persica_gdr_reftransV1_0044147")</f>
        <v>p.persica_gdr_reftransV1_0044147</v>
      </c>
      <c r="B14890" s="3">
        <v>2502</v>
      </c>
      <c r="C14890" s="1" t="str">
        <f>HYPERLINK("http://www.uniprot.org/uniprot/NOP2_HUMAN","NOP2_HUMAN")</f>
        <v>NOP2_HUMAN</v>
      </c>
      <c r="D14890" t="s">
        <v>9673</v>
      </c>
      <c r="E14890" s="3" t="s">
        <v>28</v>
      </c>
      <c r="F14890" s="4">
        <v>4.2199999999999997E-179</v>
      </c>
      <c r="G14890" s="3">
        <v>1399</v>
      </c>
      <c r="H14890" s="3">
        <v>64</v>
      </c>
      <c r="I14890" s="3">
        <v>396</v>
      </c>
      <c r="J14890" s="3">
        <v>853</v>
      </c>
      <c r="K14890" s="3">
        <v>2034</v>
      </c>
      <c r="L14890" s="3">
        <v>210</v>
      </c>
      <c r="M14890" s="3">
        <v>600</v>
      </c>
    </row>
    <row r="14891" spans="1:13" x14ac:dyDescent="0.25">
      <c r="A14891" s="1" t="str">
        <f>HYPERLINK("http://www.rosaceae.org/Prunus/Prunus_persica/p.persica_gdr_reftransV1_0044297","p.persica_gdr_reftransV1_0044297")</f>
        <v>p.persica_gdr_reftransV1_0044297</v>
      </c>
      <c r="B14891" s="3">
        <v>2419</v>
      </c>
      <c r="C14891" s="1" t="str">
        <f>HYPERLINK("http://www.uniprot.org/uniprot/CSLC5_ARATH","CSLC5_ARATH")</f>
        <v>CSLC5_ARATH</v>
      </c>
      <c r="D14891" t="s">
        <v>7262</v>
      </c>
      <c r="E14891" s="3" t="s">
        <v>3</v>
      </c>
      <c r="F14891" s="4">
        <v>0</v>
      </c>
      <c r="G14891" s="3">
        <v>2631</v>
      </c>
      <c r="H14891" s="3">
        <v>80</v>
      </c>
      <c r="I14891" s="3">
        <v>673</v>
      </c>
      <c r="J14891" s="3">
        <v>1</v>
      </c>
      <c r="K14891" s="3">
        <v>2016</v>
      </c>
      <c r="L14891" s="3">
        <v>23</v>
      </c>
      <c r="M14891" s="3">
        <v>692</v>
      </c>
    </row>
    <row r="14892" spans="1:13" x14ac:dyDescent="0.25">
      <c r="A14892" s="1" t="str">
        <f>HYPERLINK("http://www.rosaceae.org/Prunus/Prunus_persica/p.persica_gdr_reftransV1_0044497","p.persica_gdr_reftransV1_0044497")</f>
        <v>p.persica_gdr_reftransV1_0044497</v>
      </c>
      <c r="B14892" s="3">
        <v>334</v>
      </c>
      <c r="C14892" s="1" t="str">
        <f>HYPERLINK("http://www.uniprot.org/uniprot/AB12B_ARATH","AB12B_ARATH")</f>
        <v>AB12B_ARATH</v>
      </c>
      <c r="D14892" t="s">
        <v>9674</v>
      </c>
      <c r="E14892" s="3" t="s">
        <v>3</v>
      </c>
      <c r="F14892" s="4">
        <v>2.7900000000000001E-17</v>
      </c>
      <c r="G14892" s="3">
        <v>200</v>
      </c>
      <c r="H14892" s="3">
        <v>55</v>
      </c>
      <c r="I14892" s="3">
        <v>86</v>
      </c>
      <c r="J14892" s="3">
        <v>64</v>
      </c>
      <c r="K14892" s="3">
        <v>321</v>
      </c>
      <c r="L14892" s="3">
        <v>14</v>
      </c>
      <c r="M14892" s="3">
        <v>98</v>
      </c>
    </row>
    <row r="14893" spans="1:13" x14ac:dyDescent="0.25">
      <c r="A14893" s="1" t="str">
        <f>HYPERLINK("http://www.rosaceae.org/Prunus/Prunus_persica/p.persica_gdr_reftransV1_0044647","p.persica_gdr_reftransV1_0044647")</f>
        <v>p.persica_gdr_reftransV1_0044647</v>
      </c>
      <c r="B14893" s="3">
        <v>1458</v>
      </c>
      <c r="C14893" s="1" t="str">
        <f>HYPERLINK("http://www.uniprot.org/uniprot/FAD3C_RICCO","FAD3C_RICCO")</f>
        <v>FAD3C_RICCO</v>
      </c>
      <c r="D14893" t="s">
        <v>9675</v>
      </c>
      <c r="E14893" s="3" t="s">
        <v>421</v>
      </c>
      <c r="F14893" s="4">
        <v>0</v>
      </c>
      <c r="G14893" s="3">
        <v>1509</v>
      </c>
      <c r="H14893" s="3">
        <v>71</v>
      </c>
      <c r="I14893" s="3">
        <v>376</v>
      </c>
      <c r="J14893" s="3">
        <v>249</v>
      </c>
      <c r="K14893" s="3">
        <v>1376</v>
      </c>
      <c r="L14893" s="3">
        <v>74</v>
      </c>
      <c r="M14893" s="3">
        <v>449</v>
      </c>
    </row>
    <row r="14894" spans="1:13" x14ac:dyDescent="0.25">
      <c r="A14894" s="1" t="str">
        <f>HYPERLINK("http://www.rosaceae.org/Prunus/Prunus_persica/p.persica_gdr_reftransV1_0044797","p.persica_gdr_reftransV1_0044797")</f>
        <v>p.persica_gdr_reftransV1_0044797</v>
      </c>
      <c r="B14894" s="3">
        <v>633</v>
      </c>
      <c r="C14894" s="1" t="str">
        <f>HYPERLINK("http://www.uniprot.org/uniprot/FRS1_ARATH","FRS1_ARATH")</f>
        <v>FRS1_ARATH</v>
      </c>
      <c r="D14894" t="s">
        <v>9676</v>
      </c>
      <c r="E14894" s="3" t="s">
        <v>3</v>
      </c>
      <c r="F14894" s="4">
        <v>1.59E-13</v>
      </c>
      <c r="G14894" s="3">
        <v>177</v>
      </c>
      <c r="H14894" s="3">
        <v>37</v>
      </c>
      <c r="I14894" s="3">
        <v>109</v>
      </c>
      <c r="J14894" s="3">
        <v>337</v>
      </c>
      <c r="K14894" s="3">
        <v>633</v>
      </c>
      <c r="L14894" s="3">
        <v>390</v>
      </c>
      <c r="M14894" s="3">
        <v>498</v>
      </c>
    </row>
    <row r="14895" spans="1:13" x14ac:dyDescent="0.25">
      <c r="A14895" s="1" t="str">
        <f>HYPERLINK("http://www.rosaceae.org/Prunus/Prunus_persica/p.persica_gdr_reftransV1_0044947","p.persica_gdr_reftransV1_0044947")</f>
        <v>p.persica_gdr_reftransV1_0044947</v>
      </c>
      <c r="B14895" s="3">
        <v>2123</v>
      </c>
      <c r="C14895" s="1" t="str">
        <f>HYPERLINK("http://www.uniprot.org/uniprot/TTC7B_HUMAN","TTC7B_HUMAN")</f>
        <v>TTC7B_HUMAN</v>
      </c>
      <c r="D14895" t="s">
        <v>2339</v>
      </c>
      <c r="E14895" s="3" t="s">
        <v>28</v>
      </c>
      <c r="F14895" s="4">
        <v>1.5E-16</v>
      </c>
      <c r="G14895" s="3">
        <v>216</v>
      </c>
      <c r="H14895" s="3">
        <v>26</v>
      </c>
      <c r="I14895" s="3">
        <v>479</v>
      </c>
      <c r="J14895" s="3">
        <v>520</v>
      </c>
      <c r="K14895" s="3">
        <v>1779</v>
      </c>
      <c r="L14895" s="3">
        <v>369</v>
      </c>
      <c r="M14895" s="3">
        <v>839</v>
      </c>
    </row>
    <row r="14896" spans="1:13" x14ac:dyDescent="0.25">
      <c r="A14896" s="1" t="str">
        <f>HYPERLINK("http://www.rosaceae.org/Prunus/Prunus_persica/p.persica_gdr_reftransV1_0044997","p.persica_gdr_reftransV1_0044997")</f>
        <v>p.persica_gdr_reftransV1_0044997</v>
      </c>
      <c r="B14896" s="3">
        <v>1292</v>
      </c>
      <c r="C14896" s="1" t="str">
        <f>HYPERLINK("http://www.uniprot.org/uniprot/F179B_MOUSE","F179B_MOUSE")</f>
        <v>F179B_MOUSE</v>
      </c>
      <c r="D14896" t="s">
        <v>9677</v>
      </c>
      <c r="E14896" s="3" t="s">
        <v>157</v>
      </c>
      <c r="F14896" s="4">
        <v>2.1299999999999999E-8</v>
      </c>
      <c r="G14896" s="3">
        <v>145</v>
      </c>
      <c r="H14896" s="3">
        <v>29</v>
      </c>
      <c r="I14896" s="3">
        <v>177</v>
      </c>
      <c r="J14896" s="3">
        <v>555</v>
      </c>
      <c r="K14896" s="3">
        <v>1076</v>
      </c>
      <c r="L14896" s="3">
        <v>1209</v>
      </c>
      <c r="M14896" s="3">
        <v>1375</v>
      </c>
    </row>
    <row r="14897" spans="1:13" x14ac:dyDescent="0.25">
      <c r="A14897" s="1" t="str">
        <f>HYPERLINK("http://www.rosaceae.org/Prunus/Prunus_persica/p.persica_gdr_reftransV1_0045047","p.persica_gdr_reftransV1_0045047")</f>
        <v>p.persica_gdr_reftransV1_0045047</v>
      </c>
      <c r="B14897" s="3">
        <v>1245</v>
      </c>
      <c r="C14897" s="1" t="str">
        <f>HYPERLINK("http://www.uniprot.org/uniprot/AAE6_ARATH","AAE6_ARATH")</f>
        <v>AAE6_ARATH</v>
      </c>
      <c r="D14897" t="s">
        <v>5412</v>
      </c>
      <c r="E14897" s="3" t="s">
        <v>3</v>
      </c>
      <c r="F14897" s="4">
        <v>4.7800000000000001E-167</v>
      </c>
      <c r="G14897" s="3">
        <v>1254</v>
      </c>
      <c r="H14897" s="3">
        <v>71</v>
      </c>
      <c r="I14897" s="3">
        <v>346</v>
      </c>
      <c r="J14897" s="3">
        <v>208</v>
      </c>
      <c r="K14897" s="3">
        <v>1245</v>
      </c>
      <c r="L14897" s="3">
        <v>201</v>
      </c>
      <c r="M14897" s="3">
        <v>545</v>
      </c>
    </row>
    <row r="14898" spans="1:13" x14ac:dyDescent="0.25">
      <c r="A14898" s="1" t="str">
        <f>HYPERLINK("http://www.rosaceae.org/Prunus/Prunus_persica/p.persica_gdr_reftransV1_0045097","p.persica_gdr_reftransV1_0045097")</f>
        <v>p.persica_gdr_reftransV1_0045097</v>
      </c>
      <c r="B14898" s="3">
        <v>1650</v>
      </c>
      <c r="C14898" s="1" t="str">
        <f>HYPERLINK("http://www.uniprot.org/uniprot/LTL1_ARATH","LTL1_ARATH")</f>
        <v>LTL1_ARATH</v>
      </c>
      <c r="D14898" t="s">
        <v>325</v>
      </c>
      <c r="E14898" s="3" t="s">
        <v>3</v>
      </c>
      <c r="F14898" s="4">
        <v>1.02E-179</v>
      </c>
      <c r="G14898" s="3">
        <v>1334</v>
      </c>
      <c r="H14898" s="3">
        <v>66</v>
      </c>
      <c r="I14898" s="3">
        <v>378</v>
      </c>
      <c r="J14898" s="3">
        <v>185</v>
      </c>
      <c r="K14898" s="3">
        <v>1318</v>
      </c>
      <c r="L14898" s="3">
        <v>21</v>
      </c>
      <c r="M14898" s="3">
        <v>363</v>
      </c>
    </row>
    <row r="14899" spans="1:13" x14ac:dyDescent="0.25">
      <c r="A14899" s="1" t="str">
        <f>HYPERLINK("http://www.rosaceae.org/Prunus/Prunus_persica/p.persica_gdr_reftransV1_0045297","p.persica_gdr_reftransV1_0045297")</f>
        <v>p.persica_gdr_reftransV1_0045297</v>
      </c>
      <c r="B14899" s="3">
        <v>598</v>
      </c>
      <c r="C14899" s="1" t="str">
        <f>HYPERLINK("http://www.uniprot.org/uniprot/PEK10_ARATH","PEK10_ARATH")</f>
        <v>PEK10_ARATH</v>
      </c>
      <c r="D14899" t="s">
        <v>9678</v>
      </c>
      <c r="E14899" s="3" t="s">
        <v>3</v>
      </c>
      <c r="F14899" s="4">
        <v>6.9500000000000003E-88</v>
      </c>
      <c r="G14899" s="3">
        <v>716</v>
      </c>
      <c r="H14899" s="3">
        <v>67</v>
      </c>
      <c r="I14899" s="3">
        <v>203</v>
      </c>
      <c r="J14899" s="3">
        <v>1</v>
      </c>
      <c r="K14899" s="3">
        <v>597</v>
      </c>
      <c r="L14899" s="3">
        <v>347</v>
      </c>
      <c r="M14899" s="3">
        <v>549</v>
      </c>
    </row>
    <row r="14900" spans="1:13" x14ac:dyDescent="0.25">
      <c r="A14900" s="1" t="str">
        <f>HYPERLINK("http://www.rosaceae.org/Prunus/Prunus_persica/p.persica_gdr_reftransV1_0045347","p.persica_gdr_reftransV1_0045347")</f>
        <v>p.persica_gdr_reftransV1_0045347</v>
      </c>
      <c r="B14900" s="3">
        <v>2625</v>
      </c>
      <c r="C14900" s="1" t="str">
        <f>HYPERLINK("http://www.uniprot.org/uniprot/Y1491_ARATH","Y1491_ARATH")</f>
        <v>Y1491_ARATH</v>
      </c>
      <c r="D14900" t="s">
        <v>310</v>
      </c>
      <c r="E14900" s="3" t="s">
        <v>3</v>
      </c>
      <c r="F14900" s="4">
        <v>2.4899999999999999E-44</v>
      </c>
      <c r="G14900" s="3">
        <v>436</v>
      </c>
      <c r="H14900" s="3">
        <v>33</v>
      </c>
      <c r="I14900" s="3">
        <v>311</v>
      </c>
      <c r="J14900" s="3">
        <v>1359</v>
      </c>
      <c r="K14900" s="3">
        <v>2285</v>
      </c>
      <c r="L14900" s="3">
        <v>73</v>
      </c>
      <c r="M14900" s="3">
        <v>368</v>
      </c>
    </row>
    <row r="14901" spans="1:13" x14ac:dyDescent="0.25">
      <c r="A14901" s="1" t="str">
        <f>HYPERLINK("http://www.rosaceae.org/Prunus/Prunus_persica/p.persica_gdr_reftransV1_0045397","p.persica_gdr_reftransV1_0045397")</f>
        <v>p.persica_gdr_reftransV1_0045397</v>
      </c>
      <c r="B14901" s="3">
        <v>1134</v>
      </c>
      <c r="C14901" s="1" t="str">
        <f>HYPERLINK("http://www.uniprot.org/uniprot/PP182_ARATH","PP182_ARATH")</f>
        <v>PP182_ARATH</v>
      </c>
      <c r="D14901" t="s">
        <v>3451</v>
      </c>
      <c r="E14901" s="3" t="s">
        <v>3</v>
      </c>
      <c r="F14901" s="4">
        <v>6.1599999999999996E-85</v>
      </c>
      <c r="G14901" s="3">
        <v>704</v>
      </c>
      <c r="H14901" s="3">
        <v>67</v>
      </c>
      <c r="I14901" s="3">
        <v>202</v>
      </c>
      <c r="J14901" s="3">
        <v>1</v>
      </c>
      <c r="K14901" s="3">
        <v>606</v>
      </c>
      <c r="L14901" s="3">
        <v>383</v>
      </c>
      <c r="M14901" s="3">
        <v>583</v>
      </c>
    </row>
    <row r="14902" spans="1:13" x14ac:dyDescent="0.25">
      <c r="A14902" s="1" t="str">
        <f>HYPERLINK("http://www.rosaceae.org/Prunus/Prunus_persica/p.persica_gdr_reftransV1_0045447","p.persica_gdr_reftransV1_0045447")</f>
        <v>p.persica_gdr_reftransV1_0045447</v>
      </c>
      <c r="B14902" s="3">
        <v>334</v>
      </c>
      <c r="C14902" s="1" t="str">
        <f>HYPERLINK("http://www.uniprot.org/uniprot/AB10C_ARATH","AB10C_ARATH")</f>
        <v>AB10C_ARATH</v>
      </c>
      <c r="D14902" t="s">
        <v>1068</v>
      </c>
      <c r="E14902" s="3" t="s">
        <v>3</v>
      </c>
      <c r="F14902" s="4">
        <v>1.2900000000000001E-35</v>
      </c>
      <c r="G14902" s="3">
        <v>338</v>
      </c>
      <c r="H14902" s="3">
        <v>61</v>
      </c>
      <c r="I14902" s="3">
        <v>111</v>
      </c>
      <c r="J14902" s="3">
        <v>2</v>
      </c>
      <c r="K14902" s="3">
        <v>334</v>
      </c>
      <c r="L14902" s="3">
        <v>1051</v>
      </c>
      <c r="M14902" s="3">
        <v>1161</v>
      </c>
    </row>
    <row r="14903" spans="1:13" x14ac:dyDescent="0.25">
      <c r="A14903" s="1" t="str">
        <f>HYPERLINK("http://www.rosaceae.org/Prunus/Prunus_persica/p.persica_gdr_reftransV1_0045497","p.persica_gdr_reftransV1_0045497")</f>
        <v>p.persica_gdr_reftransV1_0045497</v>
      </c>
      <c r="B14903" s="3">
        <v>2307</v>
      </c>
      <c r="C14903" s="1" t="str">
        <f>HYPERLINK("http://www.uniprot.org/uniprot/UBP24_ARATH","UBP24_ARATH")</f>
        <v>UBP24_ARATH</v>
      </c>
      <c r="D14903" t="s">
        <v>9679</v>
      </c>
      <c r="E14903" s="3" t="s">
        <v>3</v>
      </c>
      <c r="F14903" s="4">
        <v>0</v>
      </c>
      <c r="G14903" s="3">
        <v>1433</v>
      </c>
      <c r="H14903" s="3">
        <v>58</v>
      </c>
      <c r="I14903" s="3">
        <v>561</v>
      </c>
      <c r="J14903" s="3">
        <v>358</v>
      </c>
      <c r="K14903" s="3">
        <v>1980</v>
      </c>
      <c r="L14903" s="3">
        <v>1</v>
      </c>
      <c r="M14903" s="3">
        <v>551</v>
      </c>
    </row>
    <row r="14904" spans="1:13" x14ac:dyDescent="0.25">
      <c r="A14904" s="1" t="str">
        <f>HYPERLINK("http://www.rosaceae.org/Prunus/Prunus_persica/p.persica_gdr_reftransV1_0045547","p.persica_gdr_reftransV1_0045547")</f>
        <v>p.persica_gdr_reftransV1_0045547</v>
      </c>
      <c r="B14904" s="3">
        <v>2430</v>
      </c>
      <c r="C14904" s="1" t="str">
        <f>HYPERLINK("http://www.uniprot.org/uniprot/RH8_ARATH","RH8_ARATH")</f>
        <v>RH8_ARATH</v>
      </c>
      <c r="D14904" t="s">
        <v>9680</v>
      </c>
      <c r="E14904" s="3" t="s">
        <v>3</v>
      </c>
      <c r="F14904" s="4">
        <v>0</v>
      </c>
      <c r="G14904" s="3">
        <v>2157</v>
      </c>
      <c r="H14904" s="3">
        <v>92</v>
      </c>
      <c r="I14904" s="3">
        <v>434</v>
      </c>
      <c r="J14904" s="3">
        <v>646</v>
      </c>
      <c r="K14904" s="3">
        <v>1947</v>
      </c>
      <c r="L14904" s="3">
        <v>72</v>
      </c>
      <c r="M14904" s="3">
        <v>505</v>
      </c>
    </row>
    <row r="14905" spans="1:13" x14ac:dyDescent="0.25">
      <c r="A14905" s="1" t="str">
        <f>HYPERLINK("http://www.rosaceae.org/Prunus/Prunus_persica/p.persica_gdr_reftransV1_0045647","p.persica_gdr_reftransV1_0045647")</f>
        <v>p.persica_gdr_reftransV1_0045647</v>
      </c>
      <c r="B14905" s="3">
        <v>2126</v>
      </c>
      <c r="C14905" s="1" t="str">
        <f>HYPERLINK("http://www.uniprot.org/uniprot/MDL4_PRUSE","MDL4_PRUSE")</f>
        <v>MDL4_PRUSE</v>
      </c>
      <c r="D14905" t="s">
        <v>9681</v>
      </c>
      <c r="E14905" s="3" t="s">
        <v>441</v>
      </c>
      <c r="F14905" s="4">
        <v>0</v>
      </c>
      <c r="G14905" s="3">
        <v>2802</v>
      </c>
      <c r="H14905" s="3">
        <v>95</v>
      </c>
      <c r="I14905" s="3">
        <v>574</v>
      </c>
      <c r="J14905" s="3">
        <v>213</v>
      </c>
      <c r="K14905" s="3">
        <v>1934</v>
      </c>
      <c r="L14905" s="3">
        <v>1</v>
      </c>
      <c r="M14905" s="3">
        <v>574</v>
      </c>
    </row>
    <row r="14906" spans="1:13" x14ac:dyDescent="0.25">
      <c r="A14906" s="1" t="str">
        <f>HYPERLINK("http://www.rosaceae.org/Prunus/Prunus_persica/p.persica_gdr_reftransV1_0045697","p.persica_gdr_reftransV1_0045697")</f>
        <v>p.persica_gdr_reftransV1_0045697</v>
      </c>
      <c r="B14906" s="3">
        <v>693</v>
      </c>
      <c r="C14906" s="1" t="str">
        <f>HYPERLINK("http://www.uniprot.org/uniprot/RLA2_PARAR","RLA2_PARAR")</f>
        <v>RLA2_PARAR</v>
      </c>
      <c r="D14906" t="s">
        <v>3360</v>
      </c>
      <c r="E14906" s="3" t="s">
        <v>3361</v>
      </c>
      <c r="F14906" s="4">
        <v>8.5999999999999995E-25</v>
      </c>
      <c r="G14906" s="3">
        <v>247</v>
      </c>
      <c r="H14906" s="3">
        <v>77</v>
      </c>
      <c r="I14906" s="3">
        <v>62</v>
      </c>
      <c r="J14906" s="3">
        <v>110</v>
      </c>
      <c r="K14906" s="3">
        <v>295</v>
      </c>
      <c r="L14906" s="3">
        <v>1</v>
      </c>
      <c r="M14906" s="3">
        <v>62</v>
      </c>
    </row>
    <row r="14907" spans="1:13" x14ac:dyDescent="0.25">
      <c r="A14907" s="1" t="str">
        <f>HYPERLINK("http://www.rosaceae.org/Prunus/Prunus_persica/p.persica_gdr_reftransV1_0045747","p.persica_gdr_reftransV1_0045747")</f>
        <v>p.persica_gdr_reftransV1_0045747</v>
      </c>
      <c r="B14907" s="3">
        <v>3440</v>
      </c>
      <c r="C14907" s="1" t="str">
        <f>HYPERLINK("http://www.uniprot.org/uniprot/K125_TOBAC","K125_TOBAC")</f>
        <v>K125_TOBAC</v>
      </c>
      <c r="D14907" t="s">
        <v>7756</v>
      </c>
      <c r="E14907" s="3" t="s">
        <v>200</v>
      </c>
      <c r="F14907" s="4">
        <v>0</v>
      </c>
      <c r="G14907" s="3">
        <v>3921</v>
      </c>
      <c r="H14907" s="3">
        <v>75</v>
      </c>
      <c r="I14907" s="3">
        <v>1004</v>
      </c>
      <c r="J14907" s="3">
        <v>169</v>
      </c>
      <c r="K14907" s="3">
        <v>3180</v>
      </c>
      <c r="L14907" s="3">
        <v>3</v>
      </c>
      <c r="M14907" s="3">
        <v>1005</v>
      </c>
    </row>
    <row r="14908" spans="1:13" x14ac:dyDescent="0.25">
      <c r="A14908" s="1" t="str">
        <f>HYPERLINK("http://www.rosaceae.org/Prunus/Prunus_persica/p.persica_gdr_reftransV1_0045847","p.persica_gdr_reftransV1_0045847")</f>
        <v>p.persica_gdr_reftransV1_0045847</v>
      </c>
      <c r="B14908" s="3">
        <v>1910</v>
      </c>
      <c r="C14908" s="1" t="str">
        <f>HYPERLINK("http://www.uniprot.org/uniprot/EI2BB_DICDI","EI2BB_DICDI")</f>
        <v>EI2BB_DICDI</v>
      </c>
      <c r="D14908" t="s">
        <v>9682</v>
      </c>
      <c r="E14908" s="3" t="s">
        <v>9</v>
      </c>
      <c r="F14908" s="4">
        <v>1.1199999999999999E-87</v>
      </c>
      <c r="G14908" s="3">
        <v>728</v>
      </c>
      <c r="H14908" s="3">
        <v>42</v>
      </c>
      <c r="I14908" s="3">
        <v>399</v>
      </c>
      <c r="J14908" s="3">
        <v>515</v>
      </c>
      <c r="K14908" s="3">
        <v>1708</v>
      </c>
      <c r="L14908" s="3">
        <v>16</v>
      </c>
      <c r="M14908" s="3">
        <v>385</v>
      </c>
    </row>
    <row r="14909" spans="1:13" x14ac:dyDescent="0.25">
      <c r="A14909" s="1" t="str">
        <f>HYPERLINK("http://www.rosaceae.org/Prunus/Prunus_persica/p.persica_gdr_reftransV1_0045897","p.persica_gdr_reftransV1_0045897")</f>
        <v>p.persica_gdr_reftransV1_0045897</v>
      </c>
      <c r="B14909" s="3">
        <v>2066</v>
      </c>
      <c r="C14909" s="1" t="str">
        <f>HYPERLINK("http://www.uniprot.org/uniprot/PUX10_ARATH","PUX10_ARATH")</f>
        <v>PUX10_ARATH</v>
      </c>
      <c r="D14909" t="s">
        <v>8328</v>
      </c>
      <c r="E14909" s="3" t="s">
        <v>3</v>
      </c>
      <c r="F14909" s="4">
        <v>4.5800000000000002E-154</v>
      </c>
      <c r="G14909" s="3">
        <v>1188</v>
      </c>
      <c r="H14909" s="3">
        <v>68</v>
      </c>
      <c r="I14909" s="3">
        <v>501</v>
      </c>
      <c r="J14909" s="3">
        <v>323</v>
      </c>
      <c r="K14909" s="3">
        <v>1744</v>
      </c>
      <c r="L14909" s="3">
        <v>1</v>
      </c>
      <c r="M14909" s="3">
        <v>480</v>
      </c>
    </row>
    <row r="14910" spans="1:13" x14ac:dyDescent="0.25">
      <c r="A14910" s="1" t="str">
        <f>HYPERLINK("http://www.rosaceae.org/Prunus/Prunus_persica/p.persica_gdr_reftransV1_0046097","p.persica_gdr_reftransV1_0046097")</f>
        <v>p.persica_gdr_reftransV1_0046097</v>
      </c>
      <c r="B14910" s="3">
        <v>311</v>
      </c>
      <c r="C14910" s="1" t="str">
        <f>HYPERLINK("http://www.uniprot.org/uniprot/HST_ARATH","HST_ARATH")</f>
        <v>HST_ARATH</v>
      </c>
      <c r="D14910" t="s">
        <v>2435</v>
      </c>
      <c r="E14910" s="3" t="s">
        <v>3</v>
      </c>
      <c r="F14910" s="4">
        <v>8.1900000000000005E-36</v>
      </c>
      <c r="G14910" s="3">
        <v>329</v>
      </c>
      <c r="H14910" s="3">
        <v>59</v>
      </c>
      <c r="I14910" s="3">
        <v>106</v>
      </c>
      <c r="J14910" s="3">
        <v>1</v>
      </c>
      <c r="K14910" s="3">
        <v>309</v>
      </c>
      <c r="L14910" s="3">
        <v>137</v>
      </c>
      <c r="M14910" s="3">
        <v>240</v>
      </c>
    </row>
    <row r="14911" spans="1:13" x14ac:dyDescent="0.25">
      <c r="A14911" s="1" t="str">
        <f>HYPERLINK("http://www.rosaceae.org/Prunus/Prunus_persica/p.persica_gdr_reftransV1_0046147","p.persica_gdr_reftransV1_0046147")</f>
        <v>p.persica_gdr_reftransV1_0046147</v>
      </c>
      <c r="B14911" s="3">
        <v>1900</v>
      </c>
      <c r="C14911" s="1" t="str">
        <f>HYPERLINK("http://www.uniprot.org/uniprot/ASHH3_ARATH","ASHH3_ARATH")</f>
        <v>ASHH3_ARATH</v>
      </c>
      <c r="D14911" t="s">
        <v>8021</v>
      </c>
      <c r="E14911" s="3" t="s">
        <v>3</v>
      </c>
      <c r="F14911" s="4">
        <v>8.5499999999999998E-170</v>
      </c>
      <c r="G14911" s="3">
        <v>1276</v>
      </c>
      <c r="H14911" s="3">
        <v>71</v>
      </c>
      <c r="I14911" s="3">
        <v>372</v>
      </c>
      <c r="J14911" s="3">
        <v>305</v>
      </c>
      <c r="K14911" s="3">
        <v>1402</v>
      </c>
      <c r="L14911" s="3">
        <v>1</v>
      </c>
      <c r="M14911" s="3">
        <v>363</v>
      </c>
    </row>
    <row r="14912" spans="1:13" x14ac:dyDescent="0.25">
      <c r="A14912" s="1" t="str">
        <f>HYPERLINK("http://www.rosaceae.org/Prunus/Prunus_persica/p.persica_gdr_reftransV1_0046247","p.persica_gdr_reftransV1_0046247")</f>
        <v>p.persica_gdr_reftransV1_0046247</v>
      </c>
      <c r="B14912" s="3">
        <v>476</v>
      </c>
      <c r="C14912" s="1" t="str">
        <f>HYPERLINK("http://www.uniprot.org/uniprot/COB21_ORYSJ","COB21_ORYSJ")</f>
        <v>COB21_ORYSJ</v>
      </c>
      <c r="D14912" t="s">
        <v>7766</v>
      </c>
      <c r="E14912" s="3" t="s">
        <v>38</v>
      </c>
      <c r="F14912" s="4">
        <v>9.4599999999999994E-81</v>
      </c>
      <c r="G14912" s="3">
        <v>668</v>
      </c>
      <c r="H14912" s="3">
        <v>81</v>
      </c>
      <c r="I14912" s="3">
        <v>145</v>
      </c>
      <c r="J14912" s="3">
        <v>3</v>
      </c>
      <c r="K14912" s="3">
        <v>437</v>
      </c>
      <c r="L14912" s="3">
        <v>386</v>
      </c>
      <c r="M14912" s="3">
        <v>530</v>
      </c>
    </row>
    <row r="14913" spans="1:13" x14ac:dyDescent="0.25">
      <c r="A14913" s="1" t="str">
        <f>HYPERLINK("http://www.rosaceae.org/Prunus/Prunus_persica/p.persica_gdr_reftransV1_0046297","p.persica_gdr_reftransV1_0046297")</f>
        <v>p.persica_gdr_reftransV1_0046297</v>
      </c>
      <c r="B14913" s="3">
        <v>1462</v>
      </c>
      <c r="C14913" s="1" t="str">
        <f>HYPERLINK("http://www.uniprot.org/uniprot/RBM39_PONAB","RBM39_PONAB")</f>
        <v>RBM39_PONAB</v>
      </c>
      <c r="D14913" t="s">
        <v>947</v>
      </c>
      <c r="E14913" s="3" t="s">
        <v>176</v>
      </c>
      <c r="F14913" s="4">
        <v>7.4699999999999998E-53</v>
      </c>
      <c r="G14913" s="3">
        <v>487</v>
      </c>
      <c r="H14913" s="3">
        <v>39</v>
      </c>
      <c r="I14913" s="3">
        <v>358</v>
      </c>
      <c r="J14913" s="3">
        <v>406</v>
      </c>
      <c r="K14913" s="3">
        <v>1461</v>
      </c>
      <c r="L14913" s="3">
        <v>191</v>
      </c>
      <c r="M14913" s="3">
        <v>512</v>
      </c>
    </row>
    <row r="14914" spans="1:13" x14ac:dyDescent="0.25">
      <c r="A14914" s="1" t="str">
        <f>HYPERLINK("http://www.rosaceae.org/Prunus/Prunus_persica/p.persica_gdr_reftransV1_0046397","p.persica_gdr_reftransV1_0046397")</f>
        <v>p.persica_gdr_reftransV1_0046397</v>
      </c>
      <c r="B14914" s="3">
        <v>2454</v>
      </c>
      <c r="C14914" s="1" t="str">
        <f>HYPERLINK("http://www.uniprot.org/uniprot/IAA9_ARATH","IAA9_ARATH")</f>
        <v>IAA9_ARATH</v>
      </c>
      <c r="D14914" t="s">
        <v>4728</v>
      </c>
      <c r="E14914" s="3" t="s">
        <v>3</v>
      </c>
      <c r="F14914" s="4">
        <v>7.3000000000000001E-131</v>
      </c>
      <c r="G14914" s="3">
        <v>1029</v>
      </c>
      <c r="H14914" s="3">
        <v>61</v>
      </c>
      <c r="I14914" s="3">
        <v>380</v>
      </c>
      <c r="J14914" s="3">
        <v>685</v>
      </c>
      <c r="K14914" s="3">
        <v>1815</v>
      </c>
      <c r="L14914" s="3">
        <v>1</v>
      </c>
      <c r="M14914" s="3">
        <v>337</v>
      </c>
    </row>
    <row r="14915" spans="1:13" x14ac:dyDescent="0.25">
      <c r="A14915" s="1" t="str">
        <f>HYPERLINK("http://www.rosaceae.org/Prunus/Prunus_persica/p.persica_gdr_reftransV1_0046447","p.persica_gdr_reftransV1_0046447")</f>
        <v>p.persica_gdr_reftransV1_0046447</v>
      </c>
      <c r="B14915" s="3">
        <v>608</v>
      </c>
      <c r="C14915" s="1" t="str">
        <f>HYPERLINK("http://www.uniprot.org/uniprot/SRK2E_ARATH","SRK2E_ARATH")</f>
        <v>SRK2E_ARATH</v>
      </c>
      <c r="D14915" t="s">
        <v>9683</v>
      </c>
      <c r="E14915" s="3" t="s">
        <v>3</v>
      </c>
      <c r="F14915" s="4">
        <v>2.9800000000000002E-53</v>
      </c>
      <c r="G14915" s="3">
        <v>456</v>
      </c>
      <c r="H14915" s="3">
        <v>75</v>
      </c>
      <c r="I14915" s="3">
        <v>128</v>
      </c>
      <c r="J14915" s="3">
        <v>3</v>
      </c>
      <c r="K14915" s="3">
        <v>380</v>
      </c>
      <c r="L14915" s="3">
        <v>235</v>
      </c>
      <c r="M14915" s="3">
        <v>362</v>
      </c>
    </row>
    <row r="14916" spans="1:13" x14ac:dyDescent="0.25">
      <c r="A14916" s="1" t="str">
        <f>HYPERLINK("http://www.rosaceae.org/Prunus/Prunus_persica/p.persica_gdr_reftransV1_0046497","p.persica_gdr_reftransV1_0046497")</f>
        <v>p.persica_gdr_reftransV1_0046497</v>
      </c>
      <c r="B14916" s="3">
        <v>2216</v>
      </c>
      <c r="C14916" s="1" t="str">
        <f>HYPERLINK("http://www.uniprot.org/uniprot/P2C11_ARATH","P2C11_ARATH")</f>
        <v>P2C11_ARATH</v>
      </c>
      <c r="D14916" t="s">
        <v>8796</v>
      </c>
      <c r="E14916" s="3" t="s">
        <v>3</v>
      </c>
      <c r="F14916" s="4">
        <v>9.2200000000000005E-138</v>
      </c>
      <c r="G14916" s="3">
        <v>1073</v>
      </c>
      <c r="H14916" s="3">
        <v>75</v>
      </c>
      <c r="I14916" s="3">
        <v>276</v>
      </c>
      <c r="J14916" s="3">
        <v>580</v>
      </c>
      <c r="K14916" s="3">
        <v>1407</v>
      </c>
      <c r="L14916" s="3">
        <v>96</v>
      </c>
      <c r="M14916" s="3">
        <v>371</v>
      </c>
    </row>
    <row r="14917" spans="1:13" x14ac:dyDescent="0.25">
      <c r="A14917" s="1" t="str">
        <f>HYPERLINK("http://www.rosaceae.org/Prunus/Prunus_persica/p.persica_gdr_reftransV1_0046547","p.persica_gdr_reftransV1_0046547")</f>
        <v>p.persica_gdr_reftransV1_0046547</v>
      </c>
      <c r="B14917" s="3">
        <v>1247</v>
      </c>
      <c r="C14917" s="1" t="str">
        <f>HYPERLINK("http://www.uniprot.org/uniprot/MT810_ARATH","MT810_ARATH")</f>
        <v>MT810_ARATH</v>
      </c>
      <c r="D14917" t="s">
        <v>9684</v>
      </c>
      <c r="E14917" s="3" t="s">
        <v>3</v>
      </c>
      <c r="F14917" s="4">
        <v>4.3299999999999997E-71</v>
      </c>
      <c r="G14917" s="3">
        <v>592</v>
      </c>
      <c r="H14917" s="3">
        <v>47</v>
      </c>
      <c r="I14917" s="3">
        <v>252</v>
      </c>
      <c r="J14917" s="3">
        <v>419</v>
      </c>
      <c r="K14917" s="3">
        <v>1162</v>
      </c>
      <c r="L14917" s="3">
        <v>8</v>
      </c>
      <c r="M14917" s="3">
        <v>259</v>
      </c>
    </row>
    <row r="14918" spans="1:13" x14ac:dyDescent="0.25">
      <c r="A14918" s="1" t="str">
        <f>HYPERLINK("http://www.rosaceae.org/Prunus/Prunus_persica/p.persica_gdr_reftransV1_0046647","p.persica_gdr_reftransV1_0046647")</f>
        <v>p.persica_gdr_reftransV1_0046647</v>
      </c>
      <c r="B14918" s="3">
        <v>2201</v>
      </c>
      <c r="C14918" s="1" t="str">
        <f>HYPERLINK("http://www.uniprot.org/uniprot/RRNAD_HUMAN","RRNAD_HUMAN")</f>
        <v>RRNAD_HUMAN</v>
      </c>
      <c r="D14918" t="s">
        <v>9685</v>
      </c>
      <c r="E14918" s="3" t="s">
        <v>28</v>
      </c>
      <c r="F14918" s="4">
        <v>2.44E-26</v>
      </c>
      <c r="G14918" s="3">
        <v>292</v>
      </c>
      <c r="H14918" s="3">
        <v>29</v>
      </c>
      <c r="I14918" s="3">
        <v>357</v>
      </c>
      <c r="J14918" s="3">
        <v>139</v>
      </c>
      <c r="K14918" s="3">
        <v>1143</v>
      </c>
      <c r="L14918" s="3">
        <v>28</v>
      </c>
      <c r="M14918" s="3">
        <v>356</v>
      </c>
    </row>
    <row r="14919" spans="1:13" x14ac:dyDescent="0.25">
      <c r="A14919" s="1" t="str">
        <f>HYPERLINK("http://www.rosaceae.org/Prunus/Prunus_persica/p.persica_gdr_reftransV1_0046697","p.persica_gdr_reftransV1_0046697")</f>
        <v>p.persica_gdr_reftransV1_0046697</v>
      </c>
      <c r="B14919" s="3">
        <v>567</v>
      </c>
      <c r="C14919" s="1" t="str">
        <f>HYPERLINK("http://www.uniprot.org/uniprot/UBP5_ARATH","UBP5_ARATH")</f>
        <v>UBP5_ARATH</v>
      </c>
      <c r="D14919" t="s">
        <v>4275</v>
      </c>
      <c r="E14919" s="3" t="s">
        <v>3</v>
      </c>
      <c r="F14919" s="4">
        <v>3.8599999999999998E-100</v>
      </c>
      <c r="G14919" s="3">
        <v>807</v>
      </c>
      <c r="H14919" s="3">
        <v>90</v>
      </c>
      <c r="I14919" s="3">
        <v>159</v>
      </c>
      <c r="J14919" s="3">
        <v>89</v>
      </c>
      <c r="K14919" s="3">
        <v>565</v>
      </c>
      <c r="L14919" s="3">
        <v>308</v>
      </c>
      <c r="M14919" s="3">
        <v>466</v>
      </c>
    </row>
    <row r="14920" spans="1:13" x14ac:dyDescent="0.25">
      <c r="A14920" s="1" t="str">
        <f>HYPERLINK("http://www.rosaceae.org/Prunus/Prunus_persica/p.persica_gdr_reftransV1_0046797","p.persica_gdr_reftransV1_0046797")</f>
        <v>p.persica_gdr_reftransV1_0046797</v>
      </c>
      <c r="B14920" s="3">
        <v>1053</v>
      </c>
      <c r="C14920" s="1" t="str">
        <f>HYPERLINK("http://www.uniprot.org/uniprot/P24D9_ARATH","P24D9_ARATH")</f>
        <v>P24D9_ARATH</v>
      </c>
      <c r="D14920" t="s">
        <v>9014</v>
      </c>
      <c r="E14920" s="3" t="s">
        <v>3</v>
      </c>
      <c r="F14920" s="4">
        <v>3.3099999999999998E-95</v>
      </c>
      <c r="G14920" s="3">
        <v>739</v>
      </c>
      <c r="H14920" s="3">
        <v>69</v>
      </c>
      <c r="I14920" s="3">
        <v>212</v>
      </c>
      <c r="J14920" s="3">
        <v>299</v>
      </c>
      <c r="K14920" s="3">
        <v>925</v>
      </c>
      <c r="L14920" s="3">
        <v>3</v>
      </c>
      <c r="M14920" s="3">
        <v>214</v>
      </c>
    </row>
    <row r="14921" spans="1:13" x14ac:dyDescent="0.25">
      <c r="A14921" s="1" t="str">
        <f>HYPERLINK("http://www.rosaceae.org/Prunus/Prunus_persica/p.persica_gdr_reftransV1_0046847","p.persica_gdr_reftransV1_0046847")</f>
        <v>p.persica_gdr_reftransV1_0046847</v>
      </c>
      <c r="B14921" s="3">
        <v>1530</v>
      </c>
      <c r="C14921" s="1" t="str">
        <f>HYPERLINK("http://www.uniprot.org/uniprot/TMVRN_NICGU","TMVRN_NICGU")</f>
        <v>TMVRN_NICGU</v>
      </c>
      <c r="D14921" t="s">
        <v>151</v>
      </c>
      <c r="E14921" s="3" t="s">
        <v>152</v>
      </c>
      <c r="F14921" s="4">
        <v>1E-35</v>
      </c>
      <c r="G14921" s="3">
        <v>369</v>
      </c>
      <c r="H14921" s="3">
        <v>52</v>
      </c>
      <c r="I14921" s="3">
        <v>142</v>
      </c>
      <c r="J14921" s="3">
        <v>502</v>
      </c>
      <c r="K14921" s="3">
        <v>924</v>
      </c>
      <c r="L14921" s="3">
        <v>12</v>
      </c>
      <c r="M14921" s="3">
        <v>153</v>
      </c>
    </row>
    <row r="14922" spans="1:13" x14ac:dyDescent="0.25">
      <c r="A14922" s="1" t="str">
        <f>HYPERLINK("http://www.rosaceae.org/Prunus/Prunus_persica/p.persica_gdr_reftransV1_0046947","p.persica_gdr_reftransV1_0046947")</f>
        <v>p.persica_gdr_reftransV1_0046947</v>
      </c>
      <c r="B14922" s="3">
        <v>1456</v>
      </c>
      <c r="C14922" s="1" t="str">
        <f>HYPERLINK("http://www.uniprot.org/uniprot/KHK_HUMAN","KHK_HUMAN")</f>
        <v>KHK_HUMAN</v>
      </c>
      <c r="D14922" t="s">
        <v>9686</v>
      </c>
      <c r="E14922" s="3" t="s">
        <v>28</v>
      </c>
      <c r="F14922" s="4">
        <v>2.4699999999999999E-15</v>
      </c>
      <c r="G14922" s="3">
        <v>196</v>
      </c>
      <c r="H14922" s="3">
        <v>22</v>
      </c>
      <c r="I14922" s="3">
        <v>344</v>
      </c>
      <c r="J14922" s="3">
        <v>313</v>
      </c>
      <c r="K14922" s="3">
        <v>1317</v>
      </c>
      <c r="L14922" s="3">
        <v>2</v>
      </c>
      <c r="M14922" s="3">
        <v>289</v>
      </c>
    </row>
    <row r="14923" spans="1:13" x14ac:dyDescent="0.25">
      <c r="A14923" s="1" t="str">
        <f>HYPERLINK("http://www.rosaceae.org/Prunus/Prunus_persica/p.persica_gdr_reftransV1_0047097","p.persica_gdr_reftransV1_0047097")</f>
        <v>p.persica_gdr_reftransV1_0047097</v>
      </c>
      <c r="B14923" s="3">
        <v>1588</v>
      </c>
      <c r="C14923" s="1" t="str">
        <f>HYPERLINK("http://www.uniprot.org/uniprot/B3GT9_ARATH","B3GT9_ARATH")</f>
        <v>B3GT9_ARATH</v>
      </c>
      <c r="D14923" t="s">
        <v>9687</v>
      </c>
      <c r="E14923" s="3" t="s">
        <v>3</v>
      </c>
      <c r="F14923" s="4">
        <v>0</v>
      </c>
      <c r="G14923" s="3">
        <v>1426</v>
      </c>
      <c r="H14923" s="3">
        <v>78</v>
      </c>
      <c r="I14923" s="3">
        <v>347</v>
      </c>
      <c r="J14923" s="3">
        <v>419</v>
      </c>
      <c r="K14923" s="3">
        <v>1447</v>
      </c>
      <c r="L14923" s="3">
        <v>1</v>
      </c>
      <c r="M14923" s="3">
        <v>346</v>
      </c>
    </row>
    <row r="14924" spans="1:13" x14ac:dyDescent="0.25">
      <c r="A14924" s="1" t="str">
        <f>HYPERLINK("http://www.rosaceae.org/Prunus/Prunus_persica/p.persica_gdr_reftransV1_0047147","p.persica_gdr_reftransV1_0047147")</f>
        <v>p.persica_gdr_reftransV1_0047147</v>
      </c>
      <c r="B14924" s="3">
        <v>3344</v>
      </c>
      <c r="C14924" s="1" t="str">
        <f>HYPERLINK("http://www.uniprot.org/uniprot/SYVM1_ARATH","SYVM1_ARATH")</f>
        <v>SYVM1_ARATH</v>
      </c>
      <c r="D14924" t="s">
        <v>6884</v>
      </c>
      <c r="E14924" s="3" t="s">
        <v>3</v>
      </c>
      <c r="F14924" s="4">
        <v>0</v>
      </c>
      <c r="G14924" s="3">
        <v>3719</v>
      </c>
      <c r="H14924" s="3">
        <v>71</v>
      </c>
      <c r="I14924" s="3">
        <v>975</v>
      </c>
      <c r="J14924" s="3">
        <v>44</v>
      </c>
      <c r="K14924" s="3">
        <v>2935</v>
      </c>
      <c r="L14924" s="3">
        <v>114</v>
      </c>
      <c r="M14924" s="3">
        <v>1084</v>
      </c>
    </row>
    <row r="14925" spans="1:13" x14ac:dyDescent="0.25">
      <c r="A14925" s="1" t="str">
        <f>HYPERLINK("http://www.rosaceae.org/Prunus/Prunus_persica/p.persica_gdr_reftransV1_0047197","p.persica_gdr_reftransV1_0047197")</f>
        <v>p.persica_gdr_reftransV1_0047197</v>
      </c>
      <c r="B14925" s="3">
        <v>1941</v>
      </c>
      <c r="C14925" s="1" t="str">
        <f>HYPERLINK("http://www.uniprot.org/uniprot/SUGP1_ARATH","SUGP1_ARATH")</f>
        <v>SUGP1_ARATH</v>
      </c>
      <c r="D14925" t="s">
        <v>1705</v>
      </c>
      <c r="E14925" s="3" t="s">
        <v>3</v>
      </c>
      <c r="F14925" s="4">
        <v>2.0300000000000001E-124</v>
      </c>
      <c r="G14925" s="3">
        <v>982</v>
      </c>
      <c r="H14925" s="3">
        <v>65</v>
      </c>
      <c r="I14925" s="3">
        <v>315</v>
      </c>
      <c r="J14925" s="3">
        <v>717</v>
      </c>
      <c r="K14925" s="3">
        <v>1592</v>
      </c>
      <c r="L14925" s="3">
        <v>129</v>
      </c>
      <c r="M14925" s="3">
        <v>443</v>
      </c>
    </row>
    <row r="14926" spans="1:13" x14ac:dyDescent="0.25">
      <c r="A14926" s="1" t="str">
        <f>HYPERLINK("http://www.rosaceae.org/Prunus/Prunus_persica/p.persica_gdr_reftransV1_0047247","p.persica_gdr_reftransV1_0047247")</f>
        <v>p.persica_gdr_reftransV1_0047247</v>
      </c>
      <c r="B14926" s="3">
        <v>866</v>
      </c>
      <c r="C14926" s="1" t="str">
        <f>HYPERLINK("http://www.uniprot.org/uniprot/ST14_SOLTU","ST14_SOLTU")</f>
        <v>ST14_SOLTU</v>
      </c>
      <c r="D14926" t="s">
        <v>9688</v>
      </c>
      <c r="E14926" s="3" t="s">
        <v>11</v>
      </c>
      <c r="F14926" s="4">
        <v>1.0099999999999999E-62</v>
      </c>
      <c r="G14926" s="3">
        <v>517</v>
      </c>
      <c r="H14926" s="3">
        <v>66</v>
      </c>
      <c r="I14926" s="3">
        <v>141</v>
      </c>
      <c r="J14926" s="3">
        <v>317</v>
      </c>
      <c r="K14926" s="3">
        <v>739</v>
      </c>
      <c r="L14926" s="3">
        <v>75</v>
      </c>
      <c r="M14926" s="3">
        <v>214</v>
      </c>
    </row>
    <row r="14927" spans="1:13" x14ac:dyDescent="0.25">
      <c r="A14927" s="1" t="str">
        <f>HYPERLINK("http://www.rosaceae.org/Prunus/Prunus_persica/p.persica_gdr_reftransV1_0047297","p.persica_gdr_reftransV1_0047297")</f>
        <v>p.persica_gdr_reftransV1_0047297</v>
      </c>
      <c r="B14927" s="3">
        <v>1972</v>
      </c>
      <c r="C14927" s="1" t="str">
        <f>HYPERLINK("http://www.uniprot.org/uniprot/Y1491_ARATH","Y1491_ARATH")</f>
        <v>Y1491_ARATH</v>
      </c>
      <c r="D14927" t="s">
        <v>310</v>
      </c>
      <c r="E14927" s="3" t="s">
        <v>3</v>
      </c>
      <c r="F14927" s="4">
        <v>1.32E-87</v>
      </c>
      <c r="G14927" s="3">
        <v>740</v>
      </c>
      <c r="H14927" s="3">
        <v>37</v>
      </c>
      <c r="I14927" s="3">
        <v>475</v>
      </c>
      <c r="J14927" s="3">
        <v>443</v>
      </c>
      <c r="K14927" s="3">
        <v>1843</v>
      </c>
      <c r="L14927" s="3">
        <v>29</v>
      </c>
      <c r="M14927" s="3">
        <v>475</v>
      </c>
    </row>
    <row r="14928" spans="1:13" x14ac:dyDescent="0.25">
      <c r="A14928" s="1" t="str">
        <f>HYPERLINK("http://www.rosaceae.org/Prunus/Prunus_persica/p.persica_gdr_reftransV1_0047397","p.persica_gdr_reftransV1_0047397")</f>
        <v>p.persica_gdr_reftransV1_0047397</v>
      </c>
      <c r="B14928" s="3">
        <v>1174</v>
      </c>
      <c r="C14928" s="1" t="str">
        <f>HYPERLINK("http://www.uniprot.org/uniprot/VA714_ARATH","VA714_ARATH")</f>
        <v>VA714_ARATH</v>
      </c>
      <c r="D14928" t="s">
        <v>4942</v>
      </c>
      <c r="E14928" s="3" t="s">
        <v>3</v>
      </c>
      <c r="F14928" s="4">
        <v>5.1399999999999999E-127</v>
      </c>
      <c r="G14928" s="3">
        <v>954</v>
      </c>
      <c r="H14928" s="3">
        <v>87</v>
      </c>
      <c r="I14928" s="3">
        <v>221</v>
      </c>
      <c r="J14928" s="3">
        <v>125</v>
      </c>
      <c r="K14928" s="3">
        <v>784</v>
      </c>
      <c r="L14928" s="3">
        <v>1</v>
      </c>
      <c r="M14928" s="3">
        <v>221</v>
      </c>
    </row>
    <row r="14929" spans="1:13" x14ac:dyDescent="0.25">
      <c r="A14929" s="1" t="str">
        <f>HYPERLINK("http://www.rosaceae.org/Prunus/Prunus_persica/p.persica_gdr_reftransV1_0047547","p.persica_gdr_reftransV1_0047547")</f>
        <v>p.persica_gdr_reftransV1_0047547</v>
      </c>
      <c r="B14929" s="3">
        <v>1845</v>
      </c>
      <c r="C14929" s="1" t="str">
        <f>HYPERLINK("http://www.uniprot.org/uniprot/PRL1_ARATH","PRL1_ARATH")</f>
        <v>PRL1_ARATH</v>
      </c>
      <c r="D14929" t="s">
        <v>9689</v>
      </c>
      <c r="E14929" s="3" t="s">
        <v>3</v>
      </c>
      <c r="F14929" s="4">
        <v>0</v>
      </c>
      <c r="G14929" s="3">
        <v>1943</v>
      </c>
      <c r="H14929" s="3">
        <v>77</v>
      </c>
      <c r="I14929" s="3">
        <v>490</v>
      </c>
      <c r="J14929" s="3">
        <v>238</v>
      </c>
      <c r="K14929" s="3">
        <v>1677</v>
      </c>
      <c r="L14929" s="3">
        <v>1</v>
      </c>
      <c r="M14929" s="3">
        <v>486</v>
      </c>
    </row>
    <row r="14930" spans="1:13" x14ac:dyDescent="0.25">
      <c r="A14930" s="1" t="str">
        <f>HYPERLINK("http://www.rosaceae.org/Prunus/Prunus_persica/p.persica_gdr_reftransV1_0047597","p.persica_gdr_reftransV1_0047597")</f>
        <v>p.persica_gdr_reftransV1_0047597</v>
      </c>
      <c r="B14930" s="3">
        <v>873</v>
      </c>
      <c r="C14930" s="1" t="str">
        <f>HYPERLINK("http://www.uniprot.org/uniprot/PT504_ARATH","PT504_ARATH")</f>
        <v>PT504_ARATH</v>
      </c>
      <c r="D14930" t="s">
        <v>7965</v>
      </c>
      <c r="E14930" s="3" t="s">
        <v>3</v>
      </c>
      <c r="F14930" s="4">
        <v>6.6099999999999996E-84</v>
      </c>
      <c r="G14930" s="3">
        <v>667</v>
      </c>
      <c r="H14930" s="3">
        <v>86</v>
      </c>
      <c r="I14930" s="3">
        <v>147</v>
      </c>
      <c r="J14930" s="3">
        <v>102</v>
      </c>
      <c r="K14930" s="3">
        <v>542</v>
      </c>
      <c r="L14930" s="3">
        <v>4</v>
      </c>
      <c r="M14930" s="3">
        <v>150</v>
      </c>
    </row>
    <row r="14931" spans="1:13" x14ac:dyDescent="0.25">
      <c r="A14931" s="1" t="str">
        <f>HYPERLINK("http://www.rosaceae.org/Prunus/Prunus_persica/p.persica_gdr_reftransV1_0047697","p.persica_gdr_reftransV1_0047697")</f>
        <v>p.persica_gdr_reftransV1_0047697</v>
      </c>
      <c r="B14931" s="3">
        <v>555</v>
      </c>
      <c r="C14931" s="1" t="str">
        <f>HYPERLINK("http://www.uniprot.org/uniprot/Y1343_ARATH","Y1343_ARATH")</f>
        <v>Y1343_ARATH</v>
      </c>
      <c r="D14931" t="s">
        <v>1207</v>
      </c>
      <c r="E14931" s="3" t="s">
        <v>3</v>
      </c>
      <c r="F14931" s="4">
        <v>5.6199999999999998E-15</v>
      </c>
      <c r="G14931" s="3">
        <v>188</v>
      </c>
      <c r="H14931" s="3">
        <v>45</v>
      </c>
      <c r="I14931" s="3">
        <v>92</v>
      </c>
      <c r="J14931" s="3">
        <v>278</v>
      </c>
      <c r="K14931" s="3">
        <v>553</v>
      </c>
      <c r="L14931" s="3">
        <v>451</v>
      </c>
      <c r="M14931" s="3">
        <v>540</v>
      </c>
    </row>
    <row r="14932" spans="1:13" x14ac:dyDescent="0.25">
      <c r="A14932" s="1" t="str">
        <f>HYPERLINK("http://www.rosaceae.org/Prunus/Prunus_persica/p.persica_gdr_reftransV1_0047747","p.persica_gdr_reftransV1_0047747")</f>
        <v>p.persica_gdr_reftransV1_0047747</v>
      </c>
      <c r="B14932" s="3">
        <v>767</v>
      </c>
      <c r="C14932" s="1" t="str">
        <f>HYPERLINK("http://www.uniprot.org/uniprot/PP127_ARATH","PP127_ARATH")</f>
        <v>PP127_ARATH</v>
      </c>
      <c r="D14932" t="s">
        <v>5030</v>
      </c>
      <c r="E14932" s="3" t="s">
        <v>3</v>
      </c>
      <c r="F14932" s="4">
        <v>4.2200000000000003E-56</v>
      </c>
      <c r="G14932" s="3">
        <v>497</v>
      </c>
      <c r="H14932" s="3">
        <v>60</v>
      </c>
      <c r="I14932" s="3">
        <v>149</v>
      </c>
      <c r="J14932" s="3">
        <v>2</v>
      </c>
      <c r="K14932" s="3">
        <v>448</v>
      </c>
      <c r="L14932" s="3">
        <v>547</v>
      </c>
      <c r="M14932" s="3">
        <v>695</v>
      </c>
    </row>
    <row r="14933" spans="1:13" x14ac:dyDescent="0.25">
      <c r="A14933" s="1" t="str">
        <f>HYPERLINK("http://www.rosaceae.org/Prunus/Prunus_persica/p.persica_gdr_reftransV1_0047797","p.persica_gdr_reftransV1_0047797")</f>
        <v>p.persica_gdr_reftransV1_0047797</v>
      </c>
      <c r="B14933" s="3">
        <v>377</v>
      </c>
      <c r="C14933" s="1" t="str">
        <f>HYPERLINK("http://www.uniprot.org/uniprot/PDR1_TOBAC","PDR1_TOBAC")</f>
        <v>PDR1_TOBAC</v>
      </c>
      <c r="D14933" t="s">
        <v>498</v>
      </c>
      <c r="E14933" s="3" t="s">
        <v>200</v>
      </c>
      <c r="F14933" s="4">
        <v>1.9599999999999998E-33</v>
      </c>
      <c r="G14933" s="3">
        <v>323</v>
      </c>
      <c r="H14933" s="3">
        <v>54</v>
      </c>
      <c r="I14933" s="3">
        <v>127</v>
      </c>
      <c r="J14933" s="3">
        <v>2</v>
      </c>
      <c r="K14933" s="3">
        <v>376</v>
      </c>
      <c r="L14933" s="3">
        <v>777</v>
      </c>
      <c r="M14933" s="3">
        <v>888</v>
      </c>
    </row>
    <row r="14934" spans="1:13" x14ac:dyDescent="0.25">
      <c r="A14934" s="1" t="str">
        <f>HYPERLINK("http://www.rosaceae.org/Prunus/Prunus_persica/p.persica_gdr_reftransV1_0047897","p.persica_gdr_reftransV1_0047897")</f>
        <v>p.persica_gdr_reftransV1_0047897</v>
      </c>
      <c r="B14934" s="3">
        <v>1153</v>
      </c>
      <c r="C14934" s="1" t="str">
        <f>HYPERLINK("http://www.uniprot.org/uniprot/SODC_NICPL","SODC_NICPL")</f>
        <v>SODC_NICPL</v>
      </c>
      <c r="D14934" t="s">
        <v>5333</v>
      </c>
      <c r="E14934" s="3" t="s">
        <v>1450</v>
      </c>
      <c r="F14934" s="4">
        <v>1.2000000000000001E-86</v>
      </c>
      <c r="G14934" s="3">
        <v>679</v>
      </c>
      <c r="H14934" s="3">
        <v>86</v>
      </c>
      <c r="I14934" s="3">
        <v>151</v>
      </c>
      <c r="J14934" s="3">
        <v>213</v>
      </c>
      <c r="K14934" s="3">
        <v>665</v>
      </c>
      <c r="L14934" s="3">
        <v>1</v>
      </c>
      <c r="M14934" s="3">
        <v>151</v>
      </c>
    </row>
    <row r="14935" spans="1:13" x14ac:dyDescent="0.25">
      <c r="A14935" s="1" t="str">
        <f>HYPERLINK("http://www.rosaceae.org/Prunus/Prunus_persica/p.persica_gdr_reftransV1_0047947","p.persica_gdr_reftransV1_0047947")</f>
        <v>p.persica_gdr_reftransV1_0047947</v>
      </c>
      <c r="B14935" s="3">
        <v>1209</v>
      </c>
      <c r="C14935" s="1" t="str">
        <f>HYPERLINK("http://www.uniprot.org/uniprot/NLTP1_PRUPE","NLTP1_PRUPE")</f>
        <v>NLTP1_PRUPE</v>
      </c>
      <c r="D14935" t="s">
        <v>9690</v>
      </c>
      <c r="E14935" s="3" t="s">
        <v>784</v>
      </c>
      <c r="F14935" s="4">
        <v>8.8599999999999995E-19</v>
      </c>
      <c r="G14935" s="3">
        <v>209</v>
      </c>
      <c r="H14935" s="3">
        <v>98</v>
      </c>
      <c r="I14935" s="3">
        <v>44</v>
      </c>
      <c r="J14935" s="3">
        <v>917</v>
      </c>
      <c r="K14935" s="3">
        <v>1048</v>
      </c>
      <c r="L14935" s="3">
        <v>48</v>
      </c>
      <c r="M14935" s="3">
        <v>91</v>
      </c>
    </row>
    <row r="14936" spans="1:13" x14ac:dyDescent="0.25">
      <c r="A14936" s="1" t="str">
        <f>HYPERLINK("http://www.rosaceae.org/Prunus/Prunus_persica/p.persica_gdr_reftransV1_0047997","p.persica_gdr_reftransV1_0047997")</f>
        <v>p.persica_gdr_reftransV1_0047997</v>
      </c>
      <c r="B14936" s="3">
        <v>986</v>
      </c>
      <c r="C14936" s="1" t="str">
        <f>HYPERLINK("http://www.uniprot.org/uniprot/FK201_ARATH","FK201_ARATH")</f>
        <v>FK201_ARATH</v>
      </c>
      <c r="D14936" t="s">
        <v>9691</v>
      </c>
      <c r="E14936" s="3" t="s">
        <v>3</v>
      </c>
      <c r="F14936" s="4">
        <v>1.2700000000000001E-81</v>
      </c>
      <c r="G14936" s="3">
        <v>644</v>
      </c>
      <c r="H14936" s="3">
        <v>83</v>
      </c>
      <c r="I14936" s="3">
        <v>144</v>
      </c>
      <c r="J14936" s="3">
        <v>146</v>
      </c>
      <c r="K14936" s="3">
        <v>577</v>
      </c>
      <c r="L14936" s="3">
        <v>1</v>
      </c>
      <c r="M14936" s="3">
        <v>144</v>
      </c>
    </row>
    <row r="14937" spans="1:13" x14ac:dyDescent="0.25">
      <c r="A14937" s="1" t="str">
        <f>HYPERLINK("http://www.rosaceae.org/Prunus/Prunus_persica/p.persica_gdr_reftransV1_0048047","p.persica_gdr_reftransV1_0048047")</f>
        <v>p.persica_gdr_reftransV1_0048047</v>
      </c>
      <c r="B14937" s="3">
        <v>6384</v>
      </c>
      <c r="C14937" s="1" t="str">
        <f>HYPERLINK("http://www.uniprot.org/uniprot/AB1A_ARATH","AB1A_ARATH")</f>
        <v>AB1A_ARATH</v>
      </c>
      <c r="D14937" t="s">
        <v>7951</v>
      </c>
      <c r="E14937" s="3" t="s">
        <v>3</v>
      </c>
      <c r="F14937" s="4">
        <v>0</v>
      </c>
      <c r="G14937" s="3">
        <v>6964</v>
      </c>
      <c r="H14937" s="3">
        <v>73</v>
      </c>
      <c r="I14937" s="3">
        <v>1901</v>
      </c>
      <c r="J14937" s="3">
        <v>511</v>
      </c>
      <c r="K14937" s="3">
        <v>6174</v>
      </c>
      <c r="L14937" s="3">
        <v>1</v>
      </c>
      <c r="M14937" s="3">
        <v>1882</v>
      </c>
    </row>
    <row r="14938" spans="1:13" x14ac:dyDescent="0.25">
      <c r="A14938" s="1" t="str">
        <f>HYPERLINK("http://www.rosaceae.org/Prunus/Prunus_persica/p.persica_gdr_reftransV1_0048097","p.persica_gdr_reftransV1_0048097")</f>
        <v>p.persica_gdr_reftransV1_0048097</v>
      </c>
      <c r="B14938" s="3">
        <v>825</v>
      </c>
      <c r="C14938" s="1" t="str">
        <f>HYPERLINK("http://www.uniprot.org/uniprot/PPR16_ARATH","PPR16_ARATH")</f>
        <v>PPR16_ARATH</v>
      </c>
      <c r="D14938" t="s">
        <v>7879</v>
      </c>
      <c r="E14938" s="3" t="s">
        <v>3</v>
      </c>
      <c r="F14938" s="4">
        <v>4.9600000000000004E-63</v>
      </c>
      <c r="G14938" s="3">
        <v>528</v>
      </c>
      <c r="H14938" s="3">
        <v>60</v>
      </c>
      <c r="I14938" s="3">
        <v>169</v>
      </c>
      <c r="J14938" s="3">
        <v>318</v>
      </c>
      <c r="K14938" s="3">
        <v>824</v>
      </c>
      <c r="L14938" s="3">
        <v>34</v>
      </c>
      <c r="M14938" s="3">
        <v>202</v>
      </c>
    </row>
    <row r="14939" spans="1:13" x14ac:dyDescent="0.25">
      <c r="A14939" s="1" t="str">
        <f>HYPERLINK("http://www.rosaceae.org/Prunus/Prunus_persica/p.persica_gdr_reftransV1_0048147","p.persica_gdr_reftransV1_0048147")</f>
        <v>p.persica_gdr_reftransV1_0048147</v>
      </c>
      <c r="B14939" s="3">
        <v>6050</v>
      </c>
      <c r="C14939" s="1" t="str">
        <f>HYPERLINK("http://www.uniprot.org/uniprot/NET1D_ARATH","NET1D_ARATH")</f>
        <v>NET1D_ARATH</v>
      </c>
      <c r="D14939" t="s">
        <v>9015</v>
      </c>
      <c r="E14939" s="3" t="s">
        <v>3</v>
      </c>
      <c r="F14939" s="4">
        <v>0</v>
      </c>
      <c r="G14939" s="3">
        <v>3021</v>
      </c>
      <c r="H14939" s="3">
        <v>54</v>
      </c>
      <c r="I14939" s="3">
        <v>1311</v>
      </c>
      <c r="J14939" s="3">
        <v>423</v>
      </c>
      <c r="K14939" s="3">
        <v>4352</v>
      </c>
      <c r="L14939" s="3">
        <v>1</v>
      </c>
      <c r="M14939" s="3">
        <v>1288</v>
      </c>
    </row>
    <row r="14940" spans="1:13" x14ac:dyDescent="0.25">
      <c r="A14940" s="1" t="str">
        <f>HYPERLINK("http://www.rosaceae.org/Prunus/Prunus_persica/p.persica_gdr_reftransV1_0048247","p.persica_gdr_reftransV1_0048247")</f>
        <v>p.persica_gdr_reftransV1_0048247</v>
      </c>
      <c r="B14940" s="3">
        <v>773</v>
      </c>
      <c r="C14940" s="1" t="str">
        <f>HYPERLINK("http://www.uniprot.org/uniprot/ACO12_ARATH","ACO12_ARATH")</f>
        <v>ACO12_ARATH</v>
      </c>
      <c r="D14940" t="s">
        <v>6161</v>
      </c>
      <c r="E14940" s="3" t="s">
        <v>3</v>
      </c>
      <c r="F14940" s="4">
        <v>4.6499999999999999E-125</v>
      </c>
      <c r="G14940" s="3">
        <v>967</v>
      </c>
      <c r="H14940" s="3">
        <v>75</v>
      </c>
      <c r="I14940" s="3">
        <v>232</v>
      </c>
      <c r="J14940" s="3">
        <v>76</v>
      </c>
      <c r="K14940" s="3">
        <v>771</v>
      </c>
      <c r="L14940" s="3">
        <v>1</v>
      </c>
      <c r="M14940" s="3">
        <v>232</v>
      </c>
    </row>
    <row r="14941" spans="1:13" x14ac:dyDescent="0.25">
      <c r="A14941" s="1" t="str">
        <f>HYPERLINK("http://www.rosaceae.org/Prunus/Prunus_persica/p.persica_gdr_reftransV1_0048347","p.persica_gdr_reftransV1_0048347")</f>
        <v>p.persica_gdr_reftransV1_0048347</v>
      </c>
      <c r="B14941" s="3">
        <v>868</v>
      </c>
      <c r="C14941" s="1" t="str">
        <f>HYPERLINK("http://www.uniprot.org/uniprot/EGC_CITJA","EGC_CITJA")</f>
        <v>EGC_CITJA</v>
      </c>
      <c r="D14941" t="s">
        <v>4570</v>
      </c>
      <c r="E14941" s="3" t="s">
        <v>4571</v>
      </c>
      <c r="F14941" s="4">
        <v>1.49E-13</v>
      </c>
      <c r="G14941" s="3">
        <v>170</v>
      </c>
      <c r="H14941" s="3">
        <v>37</v>
      </c>
      <c r="I14941" s="3">
        <v>117</v>
      </c>
      <c r="J14941" s="3">
        <v>277</v>
      </c>
      <c r="K14941" s="3">
        <v>621</v>
      </c>
      <c r="L14941" s="3">
        <v>24</v>
      </c>
      <c r="M14941" s="3">
        <v>130</v>
      </c>
    </row>
    <row r="14942" spans="1:13" x14ac:dyDescent="0.25">
      <c r="A14942" s="1" t="str">
        <f>HYPERLINK("http://www.rosaceae.org/Prunus/Prunus_persica/p.persica_gdr_reftransV1_0048447","p.persica_gdr_reftransV1_0048447")</f>
        <v>p.persica_gdr_reftransV1_0048447</v>
      </c>
      <c r="B14942" s="3">
        <v>506</v>
      </c>
      <c r="C14942" s="1" t="str">
        <f>HYPERLINK("http://www.uniprot.org/uniprot/GGLO6_ARATH","GGLO6_ARATH")</f>
        <v>GGLO6_ARATH</v>
      </c>
      <c r="D14942" t="s">
        <v>4604</v>
      </c>
      <c r="E14942" s="3" t="s">
        <v>3</v>
      </c>
      <c r="F14942" s="4">
        <v>1.73E-70</v>
      </c>
      <c r="G14942" s="3">
        <v>585</v>
      </c>
      <c r="H14942" s="3">
        <v>67</v>
      </c>
      <c r="I14942" s="3">
        <v>168</v>
      </c>
      <c r="J14942" s="3">
        <v>1</v>
      </c>
      <c r="K14942" s="3">
        <v>504</v>
      </c>
      <c r="L14942" s="3">
        <v>31</v>
      </c>
      <c r="M14942" s="3">
        <v>197</v>
      </c>
    </row>
    <row r="14943" spans="1:13" x14ac:dyDescent="0.25">
      <c r="A14943" s="1" t="str">
        <f>HYPERLINK("http://www.rosaceae.org/Prunus/Prunus_persica/p.persica_gdr_reftransV1_0048497","p.persica_gdr_reftransV1_0048497")</f>
        <v>p.persica_gdr_reftransV1_0048497</v>
      </c>
      <c r="B14943" s="3">
        <v>2234</v>
      </c>
      <c r="C14943" s="1" t="str">
        <f>HYPERLINK("http://www.uniprot.org/uniprot/PDI14_ARATH","PDI14_ARATH")</f>
        <v>PDI14_ARATH</v>
      </c>
      <c r="D14943" t="s">
        <v>9692</v>
      </c>
      <c r="E14943" s="3" t="s">
        <v>3</v>
      </c>
      <c r="F14943" s="4">
        <v>0</v>
      </c>
      <c r="G14943" s="3">
        <v>1716</v>
      </c>
      <c r="H14943" s="3">
        <v>72</v>
      </c>
      <c r="I14943" s="3">
        <v>479</v>
      </c>
      <c r="J14943" s="3">
        <v>426</v>
      </c>
      <c r="K14943" s="3">
        <v>1862</v>
      </c>
      <c r="L14943" s="3">
        <v>83</v>
      </c>
      <c r="M14943" s="3">
        <v>561</v>
      </c>
    </row>
    <row r="14944" spans="1:13" x14ac:dyDescent="0.25">
      <c r="A14944" s="1" t="str">
        <f>HYPERLINK("http://www.rosaceae.org/Prunus/Prunus_persica/p.persica_gdr_reftransV1_0048597","p.persica_gdr_reftransV1_0048597")</f>
        <v>p.persica_gdr_reftransV1_0048597</v>
      </c>
      <c r="B14944" s="3">
        <v>930</v>
      </c>
      <c r="C14944" s="1" t="str">
        <f>HYPERLINK("http://www.uniprot.org/uniprot/Gid2_ARATH","Gid2_ARATH")</f>
        <v>Gid2_ARATH</v>
      </c>
      <c r="D14944" t="s">
        <v>9693</v>
      </c>
      <c r="E14944" s="3" t="s">
        <v>3</v>
      </c>
      <c r="F14944" s="4">
        <v>2.6099999999999999E-50</v>
      </c>
      <c r="G14944" s="3">
        <v>430</v>
      </c>
      <c r="H14944" s="3">
        <v>59</v>
      </c>
      <c r="I14944" s="3">
        <v>140</v>
      </c>
      <c r="J14944" s="3">
        <v>66</v>
      </c>
      <c r="K14944" s="3">
        <v>485</v>
      </c>
      <c r="L14944" s="3">
        <v>31</v>
      </c>
      <c r="M14944" s="3">
        <v>145</v>
      </c>
    </row>
    <row r="14945" spans="1:13" x14ac:dyDescent="0.25">
      <c r="A14945" s="1" t="str">
        <f>HYPERLINK("http://www.rosaceae.org/Prunus/Prunus_persica/p.persica_gdr_reftransV1_0048647","p.persica_gdr_reftransV1_0048647")</f>
        <v>p.persica_gdr_reftransV1_0048647</v>
      </c>
      <c r="B14945" s="3">
        <v>1911</v>
      </c>
      <c r="C14945" s="1" t="str">
        <f>HYPERLINK("http://www.uniprot.org/uniprot/P2C59_ARATH","P2C59_ARATH")</f>
        <v>P2C59_ARATH</v>
      </c>
      <c r="D14945" t="s">
        <v>963</v>
      </c>
      <c r="E14945" s="3" t="s">
        <v>3</v>
      </c>
      <c r="F14945" s="4">
        <v>0</v>
      </c>
      <c r="G14945" s="3">
        <v>1409</v>
      </c>
      <c r="H14945" s="3">
        <v>87</v>
      </c>
      <c r="I14945" s="3">
        <v>308</v>
      </c>
      <c r="J14945" s="3">
        <v>700</v>
      </c>
      <c r="K14945" s="3">
        <v>1623</v>
      </c>
      <c r="L14945" s="3">
        <v>1</v>
      </c>
      <c r="M14945" s="3">
        <v>303</v>
      </c>
    </row>
    <row r="14946" spans="1:13" x14ac:dyDescent="0.25">
      <c r="A14946" s="1" t="str">
        <f>HYPERLINK("http://www.rosaceae.org/Prunus/Prunus_persica/p.persica_gdr_reftransV1_0048697","p.persica_gdr_reftransV1_0048697")</f>
        <v>p.persica_gdr_reftransV1_0048697</v>
      </c>
      <c r="B14946" s="3">
        <v>1651</v>
      </c>
      <c r="C14946" s="1" t="str">
        <f>HYPERLINK("http://www.uniprot.org/uniprot/TLP1_PRUPE","TLP1_PRUPE")</f>
        <v>TLP1_PRUPE</v>
      </c>
      <c r="D14946" t="s">
        <v>3178</v>
      </c>
      <c r="E14946" s="3" t="s">
        <v>784</v>
      </c>
      <c r="F14946" s="4">
        <v>2.4200000000000002E-73</v>
      </c>
      <c r="G14946" s="3">
        <v>612</v>
      </c>
      <c r="H14946" s="3">
        <v>51</v>
      </c>
      <c r="I14946" s="3">
        <v>238</v>
      </c>
      <c r="J14946" s="3">
        <v>660</v>
      </c>
      <c r="K14946" s="3">
        <v>1370</v>
      </c>
      <c r="L14946" s="3">
        <v>11</v>
      </c>
      <c r="M14946" s="3">
        <v>246</v>
      </c>
    </row>
    <row r="14947" spans="1:13" x14ac:dyDescent="0.25">
      <c r="A14947" s="1" t="str">
        <f>HYPERLINK("http://www.rosaceae.org/Prunus/Prunus_persica/p.persica_gdr_reftransV1_0048797","p.persica_gdr_reftransV1_0048797")</f>
        <v>p.persica_gdr_reftransV1_0048797</v>
      </c>
      <c r="B14947" s="3">
        <v>1127</v>
      </c>
      <c r="C14947" s="1" t="str">
        <f>HYPERLINK("http://www.uniprot.org/uniprot/SODCP_SOLCS","SODCP_SOLCS")</f>
        <v>SODCP_SOLCS</v>
      </c>
      <c r="D14947" t="s">
        <v>9694</v>
      </c>
      <c r="E14947" s="3" t="s">
        <v>9695</v>
      </c>
      <c r="F14947" s="4">
        <v>2.6899999999999999E-92</v>
      </c>
      <c r="G14947" s="3">
        <v>723</v>
      </c>
      <c r="H14947" s="3">
        <v>77</v>
      </c>
      <c r="I14947" s="3">
        <v>213</v>
      </c>
      <c r="J14947" s="3">
        <v>216</v>
      </c>
      <c r="K14947" s="3">
        <v>833</v>
      </c>
      <c r="L14947" s="3">
        <v>8</v>
      </c>
      <c r="M14947" s="3">
        <v>220</v>
      </c>
    </row>
    <row r="14948" spans="1:13" x14ac:dyDescent="0.25">
      <c r="A14948" s="1" t="str">
        <f>HYPERLINK("http://www.rosaceae.org/Prunus/Prunus_persica/p.persica_gdr_reftransV1_0048847","p.persica_gdr_reftransV1_0048847")</f>
        <v>p.persica_gdr_reftransV1_0048847</v>
      </c>
      <c r="B14948" s="3">
        <v>789</v>
      </c>
      <c r="C14948" s="1" t="str">
        <f>HYPERLINK("http://www.uniprot.org/uniprot/PPR45_ARATH","PPR45_ARATH")</f>
        <v>PPR45_ARATH</v>
      </c>
      <c r="D14948" t="s">
        <v>6117</v>
      </c>
      <c r="E14948" s="3" t="s">
        <v>3</v>
      </c>
      <c r="F14948" s="4">
        <v>2.8999999999999999E-126</v>
      </c>
      <c r="G14948" s="3">
        <v>991</v>
      </c>
      <c r="H14948" s="3">
        <v>69</v>
      </c>
      <c r="I14948" s="3">
        <v>262</v>
      </c>
      <c r="J14948" s="3">
        <v>4</v>
      </c>
      <c r="K14948" s="3">
        <v>789</v>
      </c>
      <c r="L14948" s="3">
        <v>194</v>
      </c>
      <c r="M14948" s="3">
        <v>455</v>
      </c>
    </row>
    <row r="14949" spans="1:13" x14ac:dyDescent="0.25">
      <c r="A14949" s="1" t="str">
        <f>HYPERLINK("http://www.rosaceae.org/Prunus/Prunus_persica/p.persica_gdr_reftransV1_0049097","p.persica_gdr_reftransV1_0049097")</f>
        <v>p.persica_gdr_reftransV1_0049097</v>
      </c>
      <c r="B14949" s="3">
        <v>1196</v>
      </c>
      <c r="C14949" s="1" t="str">
        <f>HYPERLINK("http://www.uniprot.org/uniprot/PER43_ARATH","PER43_ARATH")</f>
        <v>PER43_ARATH</v>
      </c>
      <c r="D14949" t="s">
        <v>9696</v>
      </c>
      <c r="E14949" s="3" t="s">
        <v>3</v>
      </c>
      <c r="F14949" s="4">
        <v>8.9499999999999996E-152</v>
      </c>
      <c r="G14949" s="3">
        <v>1129</v>
      </c>
      <c r="H14949" s="3">
        <v>69</v>
      </c>
      <c r="I14949" s="3">
        <v>303</v>
      </c>
      <c r="J14949" s="3">
        <v>268</v>
      </c>
      <c r="K14949" s="3">
        <v>1176</v>
      </c>
      <c r="L14949" s="3">
        <v>24</v>
      </c>
      <c r="M14949" s="3">
        <v>325</v>
      </c>
    </row>
    <row r="14950" spans="1:13" x14ac:dyDescent="0.25">
      <c r="A14950" s="1" t="str">
        <f>HYPERLINK("http://www.rosaceae.org/Prunus/Prunus_persica/p.persica_gdr_reftransV1_0049197","p.persica_gdr_reftransV1_0049197")</f>
        <v>p.persica_gdr_reftransV1_0049197</v>
      </c>
      <c r="B14950" s="3">
        <v>3534</v>
      </c>
      <c r="C14950" s="1" t="str">
        <f>HYPERLINK("http://www.uniprot.org/uniprot/CHUP1_ARATH","CHUP1_ARATH")</f>
        <v>CHUP1_ARATH</v>
      </c>
      <c r="D14950" t="s">
        <v>3256</v>
      </c>
      <c r="E14950" s="3" t="s">
        <v>3</v>
      </c>
      <c r="F14950" s="4">
        <v>0</v>
      </c>
      <c r="G14950" s="3">
        <v>2566</v>
      </c>
      <c r="H14950" s="3">
        <v>71</v>
      </c>
      <c r="I14950" s="3">
        <v>1015</v>
      </c>
      <c r="J14950" s="3">
        <v>397</v>
      </c>
      <c r="K14950" s="3">
        <v>3363</v>
      </c>
      <c r="L14950" s="3">
        <v>1</v>
      </c>
      <c r="M14950" s="3">
        <v>988</v>
      </c>
    </row>
    <row r="14951" spans="1:13" x14ac:dyDescent="0.25">
      <c r="A14951" s="1" t="str">
        <f>HYPERLINK("http://www.rosaceae.org/Prunus/Prunus_persica/p.persica_gdr_reftransV1_0000148","p.persica_gdr_reftransV1_0000148")</f>
        <v>p.persica_gdr_reftransV1_0000148</v>
      </c>
      <c r="B14951" s="3">
        <v>2915</v>
      </c>
      <c r="C14951" s="1" t="str">
        <f>HYPERLINK("http://www.uniprot.org/uniprot/EXOSX_MOUSE","EXOSX_MOUSE")</f>
        <v>EXOSX_MOUSE</v>
      </c>
      <c r="D14951" t="s">
        <v>6990</v>
      </c>
      <c r="E14951" s="3" t="s">
        <v>157</v>
      </c>
      <c r="F14951" s="4">
        <v>8.1199999999999997E-86</v>
      </c>
      <c r="G14951" s="3">
        <v>770</v>
      </c>
      <c r="H14951" s="3">
        <v>38</v>
      </c>
      <c r="I14951" s="3">
        <v>534</v>
      </c>
      <c r="J14951" s="3">
        <v>1300</v>
      </c>
      <c r="K14951" s="3">
        <v>2730</v>
      </c>
      <c r="L14951" s="3">
        <v>52</v>
      </c>
      <c r="M14951" s="3">
        <v>545</v>
      </c>
    </row>
    <row r="14952" spans="1:13" x14ac:dyDescent="0.25">
      <c r="A14952" s="1" t="str">
        <f>HYPERLINK("http://www.rosaceae.org/Prunus/Prunus_persica/p.persica_gdr_reftransV1_0000198","p.persica_gdr_reftransV1_0000198")</f>
        <v>p.persica_gdr_reftransV1_0000198</v>
      </c>
      <c r="B14952" s="3">
        <v>791</v>
      </c>
      <c r="C14952" s="1" t="str">
        <f>HYPERLINK("http://www.uniprot.org/uniprot/CNGC1_ARATH","CNGC1_ARATH")</f>
        <v>CNGC1_ARATH</v>
      </c>
      <c r="D14952" t="s">
        <v>241</v>
      </c>
      <c r="E14952" s="3" t="s">
        <v>3</v>
      </c>
      <c r="F14952" s="4">
        <v>3.0099999999999998E-30</v>
      </c>
      <c r="G14952" s="3">
        <v>310</v>
      </c>
      <c r="H14952" s="3">
        <v>37</v>
      </c>
      <c r="I14952" s="3">
        <v>213</v>
      </c>
      <c r="J14952" s="3">
        <v>3</v>
      </c>
      <c r="K14952" s="3">
        <v>620</v>
      </c>
      <c r="L14952" s="3">
        <v>405</v>
      </c>
      <c r="M14952" s="3">
        <v>602</v>
      </c>
    </row>
    <row r="14953" spans="1:13" x14ac:dyDescent="0.25">
      <c r="A14953" s="1" t="str">
        <f>HYPERLINK("http://www.rosaceae.org/Prunus/Prunus_persica/p.persica_gdr_reftransV1_0000248","p.persica_gdr_reftransV1_0000248")</f>
        <v>p.persica_gdr_reftransV1_0000248</v>
      </c>
      <c r="B14953" s="3">
        <v>439</v>
      </c>
      <c r="C14953" s="1" t="str">
        <f>HYPERLINK("http://www.uniprot.org/uniprot/ARC2B_ARATH","ARC2B_ARATH")</f>
        <v>ARC2B_ARATH</v>
      </c>
      <c r="D14953" t="s">
        <v>383</v>
      </c>
      <c r="E14953" s="3" t="s">
        <v>3</v>
      </c>
      <c r="F14953" s="4">
        <v>1.7200000000000001E-51</v>
      </c>
      <c r="G14953" s="3">
        <v>439</v>
      </c>
      <c r="H14953" s="3">
        <v>66</v>
      </c>
      <c r="I14953" s="3">
        <v>130</v>
      </c>
      <c r="J14953" s="3">
        <v>4</v>
      </c>
      <c r="K14953" s="3">
        <v>393</v>
      </c>
      <c r="L14953" s="3">
        <v>167</v>
      </c>
      <c r="M14953" s="3">
        <v>296</v>
      </c>
    </row>
    <row r="14954" spans="1:13" x14ac:dyDescent="0.25">
      <c r="A14954" s="1" t="str">
        <f>HYPERLINK("http://www.rosaceae.org/Prunus/Prunus_persica/p.persica_gdr_reftransV1_0000298","p.persica_gdr_reftransV1_0000298")</f>
        <v>p.persica_gdr_reftransV1_0000298</v>
      </c>
      <c r="B14954" s="3">
        <v>486</v>
      </c>
      <c r="C14954" s="1" t="str">
        <f>HYPERLINK("http://www.uniprot.org/uniprot/PP337_ARATH","PP337_ARATH")</f>
        <v>PP337_ARATH</v>
      </c>
      <c r="D14954" t="s">
        <v>8618</v>
      </c>
      <c r="E14954" s="3" t="s">
        <v>3</v>
      </c>
      <c r="F14954" s="4">
        <v>1.5299999999999999E-30</v>
      </c>
      <c r="G14954" s="3">
        <v>299</v>
      </c>
      <c r="H14954" s="3">
        <v>40</v>
      </c>
      <c r="I14954" s="3">
        <v>160</v>
      </c>
      <c r="J14954" s="3">
        <v>7</v>
      </c>
      <c r="K14954" s="3">
        <v>480</v>
      </c>
      <c r="L14954" s="3">
        <v>125</v>
      </c>
      <c r="M14954" s="3">
        <v>284</v>
      </c>
    </row>
    <row r="14955" spans="1:13" x14ac:dyDescent="0.25">
      <c r="A14955" s="1" t="str">
        <f>HYPERLINK("http://www.rosaceae.org/Prunus/Prunus_persica/p.persica_gdr_reftransV1_0000348","p.persica_gdr_reftransV1_0000348")</f>
        <v>p.persica_gdr_reftransV1_0000348</v>
      </c>
      <c r="B14955" s="3">
        <v>1603</v>
      </c>
      <c r="C14955" s="1" t="str">
        <f>HYPERLINK("http://www.uniprot.org/uniprot/Y1571_ARATH","Y1571_ARATH")</f>
        <v>Y1571_ARATH</v>
      </c>
      <c r="D14955" t="s">
        <v>2449</v>
      </c>
      <c r="E14955" s="3" t="s">
        <v>3</v>
      </c>
      <c r="F14955" s="4">
        <v>3.9099999999999997E-34</v>
      </c>
      <c r="G14955" s="3">
        <v>356</v>
      </c>
      <c r="H14955" s="3">
        <v>36</v>
      </c>
      <c r="I14955" s="3">
        <v>285</v>
      </c>
      <c r="J14955" s="3">
        <v>503</v>
      </c>
      <c r="K14955" s="3">
        <v>1294</v>
      </c>
      <c r="L14955" s="3">
        <v>235</v>
      </c>
      <c r="M14955" s="3">
        <v>518</v>
      </c>
    </row>
    <row r="14956" spans="1:13" x14ac:dyDescent="0.25">
      <c r="A14956" s="1" t="str">
        <f>HYPERLINK("http://www.rosaceae.org/Prunus/Prunus_persica/p.persica_gdr_reftransV1_0000398","p.persica_gdr_reftransV1_0000398")</f>
        <v>p.persica_gdr_reftransV1_0000398</v>
      </c>
      <c r="B14956" s="3">
        <v>1263</v>
      </c>
      <c r="C14956" s="1" t="str">
        <f>HYPERLINK("http://www.uniprot.org/uniprot/KCS4_ARATH","KCS4_ARATH")</f>
        <v>KCS4_ARATH</v>
      </c>
      <c r="D14956" t="s">
        <v>148</v>
      </c>
      <c r="E14956" s="3" t="s">
        <v>3</v>
      </c>
      <c r="F14956" s="4">
        <v>0</v>
      </c>
      <c r="G14956" s="3">
        <v>1561</v>
      </c>
      <c r="H14956" s="3">
        <v>90</v>
      </c>
      <c r="I14956" s="3">
        <v>315</v>
      </c>
      <c r="J14956" s="3">
        <v>1</v>
      </c>
      <c r="K14956" s="3">
        <v>945</v>
      </c>
      <c r="L14956" s="3">
        <v>198</v>
      </c>
      <c r="M14956" s="3">
        <v>512</v>
      </c>
    </row>
    <row r="14957" spans="1:13" x14ac:dyDescent="0.25">
      <c r="A14957" s="1" t="str">
        <f>HYPERLINK("http://www.rosaceae.org/Prunus/Prunus_persica/p.persica_gdr_reftransV1_0000448","p.persica_gdr_reftransV1_0000448")</f>
        <v>p.persica_gdr_reftransV1_0000448</v>
      </c>
      <c r="B14957" s="3">
        <v>563</v>
      </c>
      <c r="C14957" s="1" t="str">
        <f>HYPERLINK("http://www.uniprot.org/uniprot/FTCD_PIG","FTCD_PIG")</f>
        <v>FTCD_PIG</v>
      </c>
      <c r="D14957" t="s">
        <v>9697</v>
      </c>
      <c r="E14957" s="3" t="s">
        <v>1126</v>
      </c>
      <c r="F14957" s="4">
        <v>7.9399999999999996E-8</v>
      </c>
      <c r="G14957" s="3">
        <v>130</v>
      </c>
      <c r="H14957" s="3">
        <v>28</v>
      </c>
      <c r="I14957" s="3">
        <v>126</v>
      </c>
      <c r="J14957" s="3">
        <v>118</v>
      </c>
      <c r="K14957" s="3">
        <v>495</v>
      </c>
      <c r="L14957" s="3">
        <v>2</v>
      </c>
      <c r="M14957" s="3">
        <v>119</v>
      </c>
    </row>
    <row r="14958" spans="1:13" x14ac:dyDescent="0.25">
      <c r="A14958" s="1" t="str">
        <f>HYPERLINK("http://www.rosaceae.org/Prunus/Prunus_persica/p.persica_gdr_reftransV1_0000498","p.persica_gdr_reftransV1_0000498")</f>
        <v>p.persica_gdr_reftransV1_0000498</v>
      </c>
      <c r="B14958" s="3">
        <v>2649</v>
      </c>
      <c r="C14958" s="1" t="str">
        <f>HYPERLINK("http://www.uniprot.org/uniprot/PP361_ARATH","PP361_ARATH")</f>
        <v>PP361_ARATH</v>
      </c>
      <c r="D14958" t="s">
        <v>9698</v>
      </c>
      <c r="E14958" s="3" t="s">
        <v>3</v>
      </c>
      <c r="F14958" s="4">
        <v>0</v>
      </c>
      <c r="G14958" s="3">
        <v>1500</v>
      </c>
      <c r="H14958" s="3">
        <v>56</v>
      </c>
      <c r="I14958" s="3">
        <v>509</v>
      </c>
      <c r="J14958" s="3">
        <v>233</v>
      </c>
      <c r="K14958" s="3">
        <v>1654</v>
      </c>
      <c r="L14958" s="3">
        <v>73</v>
      </c>
      <c r="M14958" s="3">
        <v>580</v>
      </c>
    </row>
    <row r="14959" spans="1:13" x14ac:dyDescent="0.25">
      <c r="A14959" s="1" t="str">
        <f>HYPERLINK("http://www.rosaceae.org/Prunus/Prunus_persica/p.persica_gdr_reftransV1_0000548","p.persica_gdr_reftransV1_0000548")</f>
        <v>p.persica_gdr_reftransV1_0000548</v>
      </c>
      <c r="B14959" s="3">
        <v>3779</v>
      </c>
      <c r="C14959" s="1" t="str">
        <f>HYPERLINK("http://www.uniprot.org/uniprot/OLEO2_ARATH","OLEO2_ARATH")</f>
        <v>OLEO2_ARATH</v>
      </c>
      <c r="D14959" t="s">
        <v>9699</v>
      </c>
      <c r="E14959" s="3" t="s">
        <v>3</v>
      </c>
      <c r="F14959" s="4">
        <v>1.9199999999999999E-19</v>
      </c>
      <c r="G14959" s="3">
        <v>231</v>
      </c>
      <c r="H14959" s="3">
        <v>44</v>
      </c>
      <c r="I14959" s="3">
        <v>139</v>
      </c>
      <c r="J14959" s="3">
        <v>3117</v>
      </c>
      <c r="K14959" s="3">
        <v>3533</v>
      </c>
      <c r="L14959" s="3">
        <v>41</v>
      </c>
      <c r="M14959" s="3">
        <v>173</v>
      </c>
    </row>
    <row r="14960" spans="1:13" x14ac:dyDescent="0.25">
      <c r="A14960" s="1" t="str">
        <f>HYPERLINK("http://www.rosaceae.org/Prunus/Prunus_persica/p.persica_gdr_reftransV1_0000598","p.persica_gdr_reftransV1_0000598")</f>
        <v>p.persica_gdr_reftransV1_0000598</v>
      </c>
      <c r="B14960" s="3">
        <v>904</v>
      </c>
      <c r="C14960" s="1" t="str">
        <f>HYPERLINK("http://www.uniprot.org/uniprot/GSO1_ARATH","GSO1_ARATH")</f>
        <v>GSO1_ARATH</v>
      </c>
      <c r="D14960" t="s">
        <v>848</v>
      </c>
      <c r="E14960" s="3" t="s">
        <v>3</v>
      </c>
      <c r="F14960" s="4">
        <v>5.4499999999999997E-41</v>
      </c>
      <c r="G14960" s="3">
        <v>397</v>
      </c>
      <c r="H14960" s="3">
        <v>36</v>
      </c>
      <c r="I14960" s="3">
        <v>281</v>
      </c>
      <c r="J14960" s="3">
        <v>9</v>
      </c>
      <c r="K14960" s="3">
        <v>851</v>
      </c>
      <c r="L14960" s="3">
        <v>56</v>
      </c>
      <c r="M14960" s="3">
        <v>331</v>
      </c>
    </row>
    <row r="14961" spans="1:13" x14ac:dyDescent="0.25">
      <c r="A14961" s="1" t="str">
        <f>HYPERLINK("http://www.rosaceae.org/Prunus/Prunus_persica/p.persica_gdr_reftransV1_0000698","p.persica_gdr_reftransV1_0000698")</f>
        <v>p.persica_gdr_reftransV1_0000698</v>
      </c>
      <c r="B14961" s="3">
        <v>2140</v>
      </c>
      <c r="C14961" s="1" t="str">
        <f>HYPERLINK("http://www.uniprot.org/uniprot/ARFA_ARATH","ARFA_ARATH")</f>
        <v>ARFA_ARATH</v>
      </c>
      <c r="D14961" t="s">
        <v>8167</v>
      </c>
      <c r="E14961" s="3" t="s">
        <v>3</v>
      </c>
      <c r="F14961" s="4">
        <v>3.6599999999999996E-161</v>
      </c>
      <c r="G14961" s="3">
        <v>1255</v>
      </c>
      <c r="H14961" s="3">
        <v>42</v>
      </c>
      <c r="I14961" s="3">
        <v>673</v>
      </c>
      <c r="J14961" s="3">
        <v>71</v>
      </c>
      <c r="K14961" s="3">
        <v>2026</v>
      </c>
      <c r="L14961" s="3">
        <v>23</v>
      </c>
      <c r="M14961" s="3">
        <v>632</v>
      </c>
    </row>
    <row r="14962" spans="1:13" x14ac:dyDescent="0.25">
      <c r="A14962" s="1" t="str">
        <f>HYPERLINK("http://www.rosaceae.org/Prunus/Prunus_persica/p.persica_gdr_reftransV1_0000798","p.persica_gdr_reftransV1_0000798")</f>
        <v>p.persica_gdr_reftransV1_0000798</v>
      </c>
      <c r="B14962" s="3">
        <v>363</v>
      </c>
      <c r="C14962" s="1" t="str">
        <f>HYPERLINK("http://www.uniprot.org/uniprot/ALMTD_ARATH","ALMTD_ARATH")</f>
        <v>ALMTD_ARATH</v>
      </c>
      <c r="D14962" t="s">
        <v>6662</v>
      </c>
      <c r="E14962" s="3" t="s">
        <v>3</v>
      </c>
      <c r="F14962" s="4">
        <v>5.7599999999999996E-19</v>
      </c>
      <c r="G14962" s="3">
        <v>211</v>
      </c>
      <c r="H14962" s="3">
        <v>51</v>
      </c>
      <c r="I14962" s="3">
        <v>113</v>
      </c>
      <c r="J14962" s="3">
        <v>1</v>
      </c>
      <c r="K14962" s="3">
        <v>339</v>
      </c>
      <c r="L14962" s="3">
        <v>36</v>
      </c>
      <c r="M14962" s="3">
        <v>144</v>
      </c>
    </row>
    <row r="14963" spans="1:13" x14ac:dyDescent="0.25">
      <c r="A14963" s="1" t="str">
        <f>HYPERLINK("http://www.rosaceae.org/Prunus/Prunus_persica/p.persica_gdr_reftransV1_0000848","p.persica_gdr_reftransV1_0000848")</f>
        <v>p.persica_gdr_reftransV1_0000848</v>
      </c>
      <c r="B14963" s="3">
        <v>2023</v>
      </c>
      <c r="C14963" s="1" t="str">
        <f>HYPERLINK("http://www.uniprot.org/uniprot/ACT7_ARATH","ACT7_ARATH")</f>
        <v>ACT7_ARATH</v>
      </c>
      <c r="D14963" t="s">
        <v>4814</v>
      </c>
      <c r="E14963" s="3" t="s">
        <v>3</v>
      </c>
      <c r="F14963" s="4">
        <v>0</v>
      </c>
      <c r="G14963" s="3">
        <v>1999</v>
      </c>
      <c r="H14963" s="3">
        <v>99</v>
      </c>
      <c r="I14963" s="3">
        <v>377</v>
      </c>
      <c r="J14963" s="3">
        <v>724</v>
      </c>
      <c r="K14963" s="3">
        <v>1854</v>
      </c>
      <c r="L14963" s="3">
        <v>1</v>
      </c>
      <c r="M14963" s="3">
        <v>377</v>
      </c>
    </row>
    <row r="14964" spans="1:13" x14ac:dyDescent="0.25">
      <c r="A14964" s="1" t="str">
        <f>HYPERLINK("http://www.rosaceae.org/Prunus/Prunus_persica/p.persica_gdr_reftransV1_0000948","p.persica_gdr_reftransV1_0000948")</f>
        <v>p.persica_gdr_reftransV1_0000948</v>
      </c>
      <c r="B14964" s="3">
        <v>2859</v>
      </c>
      <c r="C14964" s="1" t="str">
        <f>HYPERLINK("http://www.uniprot.org/uniprot/UREA_ARATH","UREA_ARATH")</f>
        <v>UREA_ARATH</v>
      </c>
      <c r="D14964" t="s">
        <v>4930</v>
      </c>
      <c r="E14964" s="3" t="s">
        <v>3</v>
      </c>
      <c r="F14964" s="4">
        <v>0</v>
      </c>
      <c r="G14964" s="3">
        <v>3278</v>
      </c>
      <c r="H14964" s="3">
        <v>78</v>
      </c>
      <c r="I14964" s="3">
        <v>838</v>
      </c>
      <c r="J14964" s="3">
        <v>129</v>
      </c>
      <c r="K14964" s="3">
        <v>2633</v>
      </c>
      <c r="L14964" s="3">
        <v>1</v>
      </c>
      <c r="M14964" s="3">
        <v>838</v>
      </c>
    </row>
    <row r="14965" spans="1:13" x14ac:dyDescent="0.25">
      <c r="A14965" s="1" t="str">
        <f>HYPERLINK("http://www.rosaceae.org/Prunus/Prunus_persica/p.persica_gdr_reftransV1_0000998","p.persica_gdr_reftransV1_0000998")</f>
        <v>p.persica_gdr_reftransV1_0000998</v>
      </c>
      <c r="B14965" s="3">
        <v>2675</v>
      </c>
      <c r="C14965" s="1" t="str">
        <f>HYPERLINK("http://www.uniprot.org/uniprot/SUT1_STYHA","SUT1_STYHA")</f>
        <v>SUT1_STYHA</v>
      </c>
      <c r="D14965" t="s">
        <v>9700</v>
      </c>
      <c r="E14965" s="3" t="s">
        <v>5290</v>
      </c>
      <c r="F14965" s="4">
        <v>0</v>
      </c>
      <c r="G14965" s="3">
        <v>2415</v>
      </c>
      <c r="H14965" s="3">
        <v>69</v>
      </c>
      <c r="I14965" s="3">
        <v>694</v>
      </c>
      <c r="J14965" s="3">
        <v>536</v>
      </c>
      <c r="K14965" s="3">
        <v>2602</v>
      </c>
      <c r="L14965" s="3">
        <v>1</v>
      </c>
      <c r="M14965" s="3">
        <v>662</v>
      </c>
    </row>
    <row r="14966" spans="1:13" x14ac:dyDescent="0.25">
      <c r="A14966" s="1" t="str">
        <f>HYPERLINK("http://www.rosaceae.org/Prunus/Prunus_persica/p.persica_gdr_reftransV1_0001198","p.persica_gdr_reftransV1_0001198")</f>
        <v>p.persica_gdr_reftransV1_0001198</v>
      </c>
      <c r="B14966" s="3">
        <v>2234</v>
      </c>
      <c r="C14966" s="1" t="str">
        <f>HYPERLINK("http://www.uniprot.org/uniprot/SCL6_ARATH","SCL6_ARATH")</f>
        <v>SCL6_ARATH</v>
      </c>
      <c r="D14966" t="s">
        <v>7816</v>
      </c>
      <c r="E14966" s="3" t="s">
        <v>3</v>
      </c>
      <c r="F14966" s="4">
        <v>1.3E-132</v>
      </c>
      <c r="G14966" s="3">
        <v>1056</v>
      </c>
      <c r="H14966" s="3">
        <v>61</v>
      </c>
      <c r="I14966" s="3">
        <v>358</v>
      </c>
      <c r="J14966" s="3">
        <v>914</v>
      </c>
      <c r="K14966" s="3">
        <v>1978</v>
      </c>
      <c r="L14966" s="3">
        <v>211</v>
      </c>
      <c r="M14966" s="3">
        <v>555</v>
      </c>
    </row>
    <row r="14967" spans="1:13" x14ac:dyDescent="0.25">
      <c r="A14967" s="1" t="str">
        <f>HYPERLINK("http://www.rosaceae.org/Prunus/Prunus_persica/p.persica_gdr_reftransV1_0001248","p.persica_gdr_reftransV1_0001248")</f>
        <v>p.persica_gdr_reftransV1_0001248</v>
      </c>
      <c r="B14967" s="3">
        <v>1071</v>
      </c>
      <c r="C14967" s="1" t="str">
        <f>HYPERLINK("http://www.uniprot.org/uniprot/MP_ACLSA","MP_ACLSA")</f>
        <v>MP_ACLSA</v>
      </c>
      <c r="D14967" t="s">
        <v>9701</v>
      </c>
      <c r="E14967" s="3" t="s">
        <v>794</v>
      </c>
      <c r="F14967" s="4">
        <v>3.04E-179</v>
      </c>
      <c r="G14967" s="3">
        <v>1319</v>
      </c>
      <c r="H14967" s="3">
        <v>82</v>
      </c>
      <c r="I14967" s="3">
        <v>325</v>
      </c>
      <c r="J14967" s="3">
        <v>1</v>
      </c>
      <c r="K14967" s="3">
        <v>975</v>
      </c>
      <c r="L14967" s="3">
        <v>134</v>
      </c>
      <c r="M14967" s="3">
        <v>457</v>
      </c>
    </row>
    <row r="14968" spans="1:13" x14ac:dyDescent="0.25">
      <c r="A14968" s="1" t="str">
        <f>HYPERLINK("http://www.rosaceae.org/Prunus/Prunus_persica/p.persica_gdr_reftransV1_0001348","p.persica_gdr_reftransV1_0001348")</f>
        <v>p.persica_gdr_reftransV1_0001348</v>
      </c>
      <c r="B14968" s="3">
        <v>855</v>
      </c>
      <c r="C14968" s="1" t="str">
        <f>HYPERLINK("http://www.uniprot.org/uniprot/CYSP1_MAIZE","CYSP1_MAIZE")</f>
        <v>CYSP1_MAIZE</v>
      </c>
      <c r="D14968" t="s">
        <v>9702</v>
      </c>
      <c r="E14968" s="3" t="s">
        <v>72</v>
      </c>
      <c r="F14968" s="4">
        <v>2.7699999999999999E-70</v>
      </c>
      <c r="G14968" s="3">
        <v>580</v>
      </c>
      <c r="H14968" s="3">
        <v>64</v>
      </c>
      <c r="I14968" s="3">
        <v>165</v>
      </c>
      <c r="J14968" s="3">
        <v>365</v>
      </c>
      <c r="K14968" s="3">
        <v>850</v>
      </c>
      <c r="L14968" s="3">
        <v>200</v>
      </c>
      <c r="M14968" s="3">
        <v>363</v>
      </c>
    </row>
    <row r="14969" spans="1:13" x14ac:dyDescent="0.25">
      <c r="A14969" s="1" t="str">
        <f>HYPERLINK("http://www.rosaceae.org/Prunus/Prunus_persica/p.persica_gdr_reftransV1_0001398","p.persica_gdr_reftransV1_0001398")</f>
        <v>p.persica_gdr_reftransV1_0001398</v>
      </c>
      <c r="B14969" s="3">
        <v>490</v>
      </c>
      <c r="C14969" s="1" t="str">
        <f>HYPERLINK("http://www.uniprot.org/uniprot/RDRP_ACLSP","RDRP_ACLSP")</f>
        <v>RDRP_ACLSP</v>
      </c>
      <c r="D14969" t="s">
        <v>793</v>
      </c>
      <c r="E14969" s="3" t="s">
        <v>794</v>
      </c>
      <c r="F14969" s="4">
        <v>1.0999999999999999E-96</v>
      </c>
      <c r="G14969" s="3">
        <v>798</v>
      </c>
      <c r="H14969" s="3">
        <v>92</v>
      </c>
      <c r="I14969" s="3">
        <v>163</v>
      </c>
      <c r="J14969" s="3">
        <v>2</v>
      </c>
      <c r="K14969" s="3">
        <v>490</v>
      </c>
      <c r="L14969" s="3">
        <v>965</v>
      </c>
      <c r="M14969" s="3">
        <v>1127</v>
      </c>
    </row>
    <row r="14970" spans="1:13" x14ac:dyDescent="0.25">
      <c r="A14970" s="1" t="str">
        <f>HYPERLINK("http://www.rosaceae.org/Prunus/Prunus_persica/p.persica_gdr_reftransV1_0001448","p.persica_gdr_reftransV1_0001448")</f>
        <v>p.persica_gdr_reftransV1_0001448</v>
      </c>
      <c r="B14970" s="3">
        <v>1217</v>
      </c>
      <c r="C14970" s="1" t="str">
        <f>HYPERLINK("http://www.uniprot.org/uniprot/DCN1M_DICDI","DCN1M_DICDI")</f>
        <v>DCN1M_DICDI</v>
      </c>
      <c r="D14970" t="s">
        <v>9703</v>
      </c>
      <c r="E14970" s="3" t="s">
        <v>9</v>
      </c>
      <c r="F14970" s="4">
        <v>3.1499999999999999E-33</v>
      </c>
      <c r="G14970" s="3">
        <v>327</v>
      </c>
      <c r="H14970" s="3">
        <v>39</v>
      </c>
      <c r="I14970" s="3">
        <v>176</v>
      </c>
      <c r="J14970" s="3">
        <v>436</v>
      </c>
      <c r="K14970" s="3">
        <v>960</v>
      </c>
      <c r="L14970" s="3">
        <v>94</v>
      </c>
      <c r="M14970" s="3">
        <v>265</v>
      </c>
    </row>
    <row r="14971" spans="1:13" x14ac:dyDescent="0.25">
      <c r="A14971" s="1" t="str">
        <f>HYPERLINK("http://www.rosaceae.org/Prunus/Prunus_persica/p.persica_gdr_reftransV1_0001498","p.persica_gdr_reftransV1_0001498")</f>
        <v>p.persica_gdr_reftransV1_0001498</v>
      </c>
      <c r="B14971" s="3">
        <v>2201</v>
      </c>
      <c r="C14971" s="1" t="str">
        <f>HYPERLINK("http://www.uniprot.org/uniprot/TOM1_HUMAN","TOM1_HUMAN")</f>
        <v>TOM1_HUMAN</v>
      </c>
      <c r="D14971" t="s">
        <v>9704</v>
      </c>
      <c r="E14971" s="3" t="s">
        <v>28</v>
      </c>
      <c r="F14971" s="4">
        <v>1.42E-26</v>
      </c>
      <c r="G14971" s="3">
        <v>294</v>
      </c>
      <c r="H14971" s="3">
        <v>31</v>
      </c>
      <c r="I14971" s="3">
        <v>297</v>
      </c>
      <c r="J14971" s="3">
        <v>1124</v>
      </c>
      <c r="K14971" s="3">
        <v>1921</v>
      </c>
      <c r="L14971" s="3">
        <v>18</v>
      </c>
      <c r="M14971" s="3">
        <v>313</v>
      </c>
    </row>
    <row r="14972" spans="1:13" x14ac:dyDescent="0.25">
      <c r="A14972" s="1" t="str">
        <f>HYPERLINK("http://www.rosaceae.org/Prunus/Prunus_persica/p.persica_gdr_reftransV1_0001548","p.persica_gdr_reftransV1_0001548")</f>
        <v>p.persica_gdr_reftransV1_0001548</v>
      </c>
      <c r="B14972" s="3">
        <v>1082</v>
      </c>
      <c r="C14972" s="1" t="str">
        <f>HYPERLINK("http://www.uniprot.org/uniprot/TRM32_ARATH","TRM32_ARATH")</f>
        <v>TRM32_ARATH</v>
      </c>
      <c r="D14972" t="s">
        <v>4198</v>
      </c>
      <c r="E14972" s="3" t="s">
        <v>3</v>
      </c>
      <c r="F14972" s="4">
        <v>1.21E-21</v>
      </c>
      <c r="G14972" s="3">
        <v>247</v>
      </c>
      <c r="H14972" s="3">
        <v>43</v>
      </c>
      <c r="I14972" s="3">
        <v>146</v>
      </c>
      <c r="J14972" s="3">
        <v>523</v>
      </c>
      <c r="K14972" s="3">
        <v>945</v>
      </c>
      <c r="L14972" s="3">
        <v>397</v>
      </c>
      <c r="M14972" s="3">
        <v>533</v>
      </c>
    </row>
    <row r="14973" spans="1:13" x14ac:dyDescent="0.25">
      <c r="A14973" s="1" t="str">
        <f>HYPERLINK("http://www.rosaceae.org/Prunus/Prunus_persica/p.persica_gdr_reftransV1_0001748","p.persica_gdr_reftransV1_0001748")</f>
        <v>p.persica_gdr_reftransV1_0001748</v>
      </c>
      <c r="B14973" s="3">
        <v>1773</v>
      </c>
      <c r="C14973" s="1" t="str">
        <f>HYPERLINK("http://www.uniprot.org/uniprot/C7A22_PANGI","C7A22_PANGI")</f>
        <v>C7A22_PANGI</v>
      </c>
      <c r="D14973" t="s">
        <v>3096</v>
      </c>
      <c r="E14973" s="3" t="s">
        <v>1477</v>
      </c>
      <c r="F14973" s="4">
        <v>0</v>
      </c>
      <c r="G14973" s="3">
        <v>1569</v>
      </c>
      <c r="H14973" s="3">
        <v>56</v>
      </c>
      <c r="I14973" s="3">
        <v>525</v>
      </c>
      <c r="J14973" s="3">
        <v>135</v>
      </c>
      <c r="K14973" s="3">
        <v>1682</v>
      </c>
      <c r="L14973" s="3">
        <v>1</v>
      </c>
      <c r="M14973" s="3">
        <v>524</v>
      </c>
    </row>
    <row r="14974" spans="1:13" x14ac:dyDescent="0.25">
      <c r="A14974" s="1" t="str">
        <f>HYPERLINK("http://www.rosaceae.org/Prunus/Prunus_persica/p.persica_gdr_reftransV1_0001798","p.persica_gdr_reftransV1_0001798")</f>
        <v>p.persica_gdr_reftransV1_0001798</v>
      </c>
      <c r="B14974" s="3">
        <v>2239</v>
      </c>
      <c r="C14974" s="1" t="str">
        <f>HYPERLINK("http://www.uniprot.org/uniprot/KI11B_XENLA","KI11B_XENLA")</f>
        <v>KI11B_XENLA</v>
      </c>
      <c r="D14974" t="s">
        <v>9705</v>
      </c>
      <c r="E14974" s="3" t="s">
        <v>475</v>
      </c>
      <c r="F14974" s="4">
        <v>3.8199999999999998E-32</v>
      </c>
      <c r="G14974" s="3">
        <v>347</v>
      </c>
      <c r="H14974" s="3">
        <v>31</v>
      </c>
      <c r="I14974" s="3">
        <v>383</v>
      </c>
      <c r="J14974" s="3">
        <v>1035</v>
      </c>
      <c r="K14974" s="3">
        <v>2078</v>
      </c>
      <c r="L14974" s="3">
        <v>3</v>
      </c>
      <c r="M14974" s="3">
        <v>363</v>
      </c>
    </row>
    <row r="14975" spans="1:13" x14ac:dyDescent="0.25">
      <c r="A14975" s="1" t="str">
        <f>HYPERLINK("http://www.rosaceae.org/Prunus/Prunus_persica/p.persica_gdr_reftransV1_0001848","p.persica_gdr_reftransV1_0001848")</f>
        <v>p.persica_gdr_reftransV1_0001848</v>
      </c>
      <c r="B14975" s="3">
        <v>2123</v>
      </c>
      <c r="C14975" s="1" t="str">
        <f>HYPERLINK("http://www.uniprot.org/uniprot/XYLB_HUMAN","XYLB_HUMAN")</f>
        <v>XYLB_HUMAN</v>
      </c>
      <c r="D14975" t="s">
        <v>9706</v>
      </c>
      <c r="E14975" s="3" t="s">
        <v>28</v>
      </c>
      <c r="F14975" s="4">
        <v>1.14E-120</v>
      </c>
      <c r="G14975" s="3">
        <v>729</v>
      </c>
      <c r="H14975" s="3">
        <v>52</v>
      </c>
      <c r="I14975" s="3">
        <v>265</v>
      </c>
      <c r="J14975" s="3">
        <v>950</v>
      </c>
      <c r="K14975" s="3">
        <v>1744</v>
      </c>
      <c r="L14975" s="3">
        <v>11</v>
      </c>
      <c r="M14975" s="3">
        <v>272</v>
      </c>
    </row>
    <row r="14976" spans="1:13" x14ac:dyDescent="0.25">
      <c r="A14976" s="1" t="str">
        <f>HYPERLINK("http://www.rosaceae.org/Prunus/Prunus_persica/p.persica_gdr_reftransV1_0001898","p.persica_gdr_reftransV1_0001898")</f>
        <v>p.persica_gdr_reftransV1_0001898</v>
      </c>
      <c r="B14976" s="3">
        <v>1540</v>
      </c>
      <c r="C14976" s="1" t="str">
        <f>HYPERLINK("http://www.uniprot.org/uniprot/BAN_ARATH","BAN_ARATH")</f>
        <v>BAN_ARATH</v>
      </c>
      <c r="D14976" t="s">
        <v>9707</v>
      </c>
      <c r="E14976" s="3" t="s">
        <v>3</v>
      </c>
      <c r="F14976" s="4">
        <v>1.27E-145</v>
      </c>
      <c r="G14976" s="3">
        <v>1101</v>
      </c>
      <c r="H14976" s="3">
        <v>64</v>
      </c>
      <c r="I14976" s="3">
        <v>326</v>
      </c>
      <c r="J14976" s="3">
        <v>309</v>
      </c>
      <c r="K14976" s="3">
        <v>1286</v>
      </c>
      <c r="L14976" s="3">
        <v>11</v>
      </c>
      <c r="M14976" s="3">
        <v>335</v>
      </c>
    </row>
    <row r="14977" spans="1:13" x14ac:dyDescent="0.25">
      <c r="A14977" s="1" t="str">
        <f>HYPERLINK("http://www.rosaceae.org/Prunus/Prunus_persica/p.persica_gdr_reftransV1_0001948","p.persica_gdr_reftransV1_0001948")</f>
        <v>p.persica_gdr_reftransV1_0001948</v>
      </c>
      <c r="B14977" s="3">
        <v>917</v>
      </c>
      <c r="C14977" s="1" t="str">
        <f>HYPERLINK("http://www.uniprot.org/uniprot/NRPBB_ARATH","NRPBB_ARATH")</f>
        <v>NRPBB_ARATH</v>
      </c>
      <c r="D14977" t="s">
        <v>9708</v>
      </c>
      <c r="E14977" s="3" t="s">
        <v>3</v>
      </c>
      <c r="F14977" s="4">
        <v>2.6100000000000001E-70</v>
      </c>
      <c r="G14977" s="3">
        <v>560</v>
      </c>
      <c r="H14977" s="3">
        <v>89</v>
      </c>
      <c r="I14977" s="3">
        <v>116</v>
      </c>
      <c r="J14977" s="3">
        <v>324</v>
      </c>
      <c r="K14977" s="3">
        <v>671</v>
      </c>
      <c r="L14977" s="3">
        <v>1</v>
      </c>
      <c r="M14977" s="3">
        <v>116</v>
      </c>
    </row>
    <row r="14978" spans="1:13" x14ac:dyDescent="0.25">
      <c r="A14978" s="1" t="str">
        <f>HYPERLINK("http://www.rosaceae.org/Prunus/Prunus_persica/p.persica_gdr_reftransV1_0002048","p.persica_gdr_reftransV1_0002048")</f>
        <v>p.persica_gdr_reftransV1_0002048</v>
      </c>
      <c r="B14978" s="3">
        <v>1345</v>
      </c>
      <c r="C14978" s="1" t="str">
        <f>HYPERLINK("http://www.uniprot.org/uniprot/AUX28_SOYBN","AUX28_SOYBN")</f>
        <v>AUX28_SOYBN</v>
      </c>
      <c r="D14978" t="s">
        <v>2451</v>
      </c>
      <c r="E14978" s="3" t="s">
        <v>307</v>
      </c>
      <c r="F14978" s="4">
        <v>2.2099999999999998E-99</v>
      </c>
      <c r="G14978" s="3">
        <v>779</v>
      </c>
      <c r="H14978" s="3">
        <v>72</v>
      </c>
      <c r="I14978" s="3">
        <v>257</v>
      </c>
      <c r="J14978" s="3">
        <v>494</v>
      </c>
      <c r="K14978" s="3">
        <v>1252</v>
      </c>
      <c r="L14978" s="3">
        <v>1</v>
      </c>
      <c r="M14978" s="3">
        <v>243</v>
      </c>
    </row>
    <row r="14979" spans="1:13" x14ac:dyDescent="0.25">
      <c r="A14979" s="1" t="str">
        <f>HYPERLINK("http://www.rosaceae.org/Prunus/Prunus_persica/p.persica_gdr_reftransV1_0002098","p.persica_gdr_reftransV1_0002098")</f>
        <v>p.persica_gdr_reftransV1_0002098</v>
      </c>
      <c r="B14979" s="3">
        <v>1366</v>
      </c>
      <c r="C14979" s="1" t="str">
        <f>HYPERLINK("http://www.uniprot.org/uniprot/C3H37_ARATH","C3H37_ARATH")</f>
        <v>C3H37_ARATH</v>
      </c>
      <c r="D14979" t="s">
        <v>8084</v>
      </c>
      <c r="E14979" s="3" t="s">
        <v>3</v>
      </c>
      <c r="F14979" s="4">
        <v>2.0999999999999999E-79</v>
      </c>
      <c r="G14979" s="3">
        <v>554</v>
      </c>
      <c r="H14979" s="3">
        <v>62</v>
      </c>
      <c r="I14979" s="3">
        <v>179</v>
      </c>
      <c r="J14979" s="3">
        <v>873</v>
      </c>
      <c r="K14979" s="3">
        <v>1340</v>
      </c>
      <c r="L14979" s="3">
        <v>75</v>
      </c>
      <c r="M14979" s="3">
        <v>252</v>
      </c>
    </row>
    <row r="14980" spans="1:13" x14ac:dyDescent="0.25">
      <c r="A14980" s="1" t="str">
        <f>HYPERLINK("http://www.rosaceae.org/Prunus/Prunus_persica/p.persica_gdr_reftransV1_0002498","p.persica_gdr_reftransV1_0002498")</f>
        <v>p.persica_gdr_reftransV1_0002498</v>
      </c>
      <c r="B14980" s="3">
        <v>1026</v>
      </c>
      <c r="C14980" s="1" t="str">
        <f>HYPERLINK("http://www.uniprot.org/uniprot/AB15B_ARATH","AB15B_ARATH")</f>
        <v>AB15B_ARATH</v>
      </c>
      <c r="D14980" t="s">
        <v>446</v>
      </c>
      <c r="E14980" s="3" t="s">
        <v>3</v>
      </c>
      <c r="F14980" s="4">
        <v>2.1799999999999999E-135</v>
      </c>
      <c r="G14980" s="3">
        <v>1084</v>
      </c>
      <c r="H14980" s="3">
        <v>75</v>
      </c>
      <c r="I14980" s="3">
        <v>292</v>
      </c>
      <c r="J14980" s="3">
        <v>147</v>
      </c>
      <c r="K14980" s="3">
        <v>1022</v>
      </c>
      <c r="L14980" s="3">
        <v>9</v>
      </c>
      <c r="M14980" s="3">
        <v>299</v>
      </c>
    </row>
    <row r="14981" spans="1:13" x14ac:dyDescent="0.25">
      <c r="A14981" s="1" t="str">
        <f>HYPERLINK("http://www.rosaceae.org/Prunus/Prunus_persica/p.persica_gdr_reftransV1_0002548","p.persica_gdr_reftransV1_0002548")</f>
        <v>p.persica_gdr_reftransV1_0002548</v>
      </c>
      <c r="B14981" s="3">
        <v>1031</v>
      </c>
      <c r="C14981" s="1" t="str">
        <f>HYPERLINK("http://www.uniprot.org/uniprot/PRA1H_ARATH","PRA1H_ARATH")</f>
        <v>PRA1H_ARATH</v>
      </c>
      <c r="D14981" t="s">
        <v>9709</v>
      </c>
      <c r="E14981" s="3" t="s">
        <v>3</v>
      </c>
      <c r="F14981" s="4">
        <v>2.2700000000000002E-87</v>
      </c>
      <c r="G14981" s="3">
        <v>689</v>
      </c>
      <c r="H14981" s="3">
        <v>58</v>
      </c>
      <c r="I14981" s="3">
        <v>241</v>
      </c>
      <c r="J14981" s="3">
        <v>298</v>
      </c>
      <c r="K14981" s="3">
        <v>978</v>
      </c>
      <c r="L14981" s="3">
        <v>1</v>
      </c>
      <c r="M14981" s="3">
        <v>241</v>
      </c>
    </row>
    <row r="14982" spans="1:13" x14ac:dyDescent="0.25">
      <c r="A14982" s="1" t="str">
        <f>HYPERLINK("http://www.rosaceae.org/Prunus/Prunus_persica/p.persica_gdr_reftransV1_0002648","p.persica_gdr_reftransV1_0002648")</f>
        <v>p.persica_gdr_reftransV1_0002648</v>
      </c>
      <c r="B14982" s="3">
        <v>2719</v>
      </c>
      <c r="C14982" s="1" t="str">
        <f>HYPERLINK("http://www.uniprot.org/uniprot/CNGC1_ARATH","CNGC1_ARATH")</f>
        <v>CNGC1_ARATH</v>
      </c>
      <c r="D14982" t="s">
        <v>241</v>
      </c>
      <c r="E14982" s="3" t="s">
        <v>3</v>
      </c>
      <c r="F14982" s="4">
        <v>0</v>
      </c>
      <c r="G14982" s="3">
        <v>2997</v>
      </c>
      <c r="H14982" s="3">
        <v>81</v>
      </c>
      <c r="I14982" s="3">
        <v>719</v>
      </c>
      <c r="J14982" s="3">
        <v>208</v>
      </c>
      <c r="K14982" s="3">
        <v>2337</v>
      </c>
      <c r="L14982" s="3">
        <v>1</v>
      </c>
      <c r="M14982" s="3">
        <v>716</v>
      </c>
    </row>
    <row r="14983" spans="1:13" x14ac:dyDescent="0.25">
      <c r="A14983" s="1" t="str">
        <f>HYPERLINK("http://www.rosaceae.org/Prunus/Prunus_persica/p.persica_gdr_reftransV1_0002748","p.persica_gdr_reftransV1_0002748")</f>
        <v>p.persica_gdr_reftransV1_0002748</v>
      </c>
      <c r="B14983" s="3">
        <v>1080</v>
      </c>
      <c r="C14983" s="1" t="str">
        <f>HYPERLINK("http://www.uniprot.org/uniprot/HBP1C_WHEAT","HBP1C_WHEAT")</f>
        <v>HBP1C_WHEAT</v>
      </c>
      <c r="D14983" t="s">
        <v>999</v>
      </c>
      <c r="E14983" s="3" t="s">
        <v>710</v>
      </c>
      <c r="F14983" s="4">
        <v>1.94E-15</v>
      </c>
      <c r="G14983" s="3">
        <v>198</v>
      </c>
      <c r="H14983" s="3">
        <v>25</v>
      </c>
      <c r="I14983" s="3">
        <v>224</v>
      </c>
      <c r="J14983" s="3">
        <v>107</v>
      </c>
      <c r="K14983" s="3">
        <v>724</v>
      </c>
      <c r="L14983" s="3">
        <v>258</v>
      </c>
      <c r="M14983" s="3">
        <v>458</v>
      </c>
    </row>
    <row r="14984" spans="1:13" x14ac:dyDescent="0.25">
      <c r="A14984" s="1" t="str">
        <f>HYPERLINK("http://www.rosaceae.org/Prunus/Prunus_persica/p.persica_gdr_reftransV1_0003048","p.persica_gdr_reftransV1_0003048")</f>
        <v>p.persica_gdr_reftransV1_0003048</v>
      </c>
      <c r="B14984" s="3">
        <v>3508</v>
      </c>
      <c r="C14984" s="1" t="str">
        <f>HYPERLINK("http://www.uniprot.org/uniprot/CESA4_ARATH","CESA4_ARATH")</f>
        <v>CESA4_ARATH</v>
      </c>
      <c r="D14984" t="s">
        <v>9710</v>
      </c>
      <c r="E14984" s="3" t="s">
        <v>3</v>
      </c>
      <c r="F14984" s="4">
        <v>0</v>
      </c>
      <c r="G14984" s="3">
        <v>4174</v>
      </c>
      <c r="H14984" s="3">
        <v>79</v>
      </c>
      <c r="I14984" s="3">
        <v>1038</v>
      </c>
      <c r="J14984" s="3">
        <v>191</v>
      </c>
      <c r="K14984" s="3">
        <v>3262</v>
      </c>
      <c r="L14984" s="3">
        <v>14</v>
      </c>
      <c r="M14984" s="3">
        <v>1049</v>
      </c>
    </row>
    <row r="14985" spans="1:13" x14ac:dyDescent="0.25">
      <c r="A14985" s="1" t="str">
        <f>HYPERLINK("http://www.rosaceae.org/Prunus/Prunus_persica/p.persica_gdr_reftransV1_0003098","p.persica_gdr_reftransV1_0003098")</f>
        <v>p.persica_gdr_reftransV1_0003098</v>
      </c>
      <c r="B14985" s="3">
        <v>1401</v>
      </c>
      <c r="C14985" s="1" t="str">
        <f>HYPERLINK("http://www.uniprot.org/uniprot/ERF61_ARATH","ERF61_ARATH")</f>
        <v>ERF61_ARATH</v>
      </c>
      <c r="D14985" t="s">
        <v>9711</v>
      </c>
      <c r="E14985" s="3" t="s">
        <v>3</v>
      </c>
      <c r="F14985" s="4">
        <v>1.0699999999999999E-38</v>
      </c>
      <c r="G14985" s="3">
        <v>373</v>
      </c>
      <c r="H14985" s="3">
        <v>54</v>
      </c>
      <c r="I14985" s="3">
        <v>225</v>
      </c>
      <c r="J14985" s="3">
        <v>89</v>
      </c>
      <c r="K14985" s="3">
        <v>682</v>
      </c>
      <c r="L14985" s="3">
        <v>1</v>
      </c>
      <c r="M14985" s="3">
        <v>225</v>
      </c>
    </row>
    <row r="14986" spans="1:13" x14ac:dyDescent="0.25">
      <c r="A14986" s="1" t="str">
        <f>HYPERLINK("http://www.rosaceae.org/Prunus/Prunus_persica/p.persica_gdr_reftransV1_0003148","p.persica_gdr_reftransV1_0003148")</f>
        <v>p.persica_gdr_reftransV1_0003148</v>
      </c>
      <c r="B14986" s="3">
        <v>1269</v>
      </c>
      <c r="C14986" s="1" t="str">
        <f>HYPERLINK("http://www.uniprot.org/uniprot/SOT15_ARATH","SOT15_ARATH")</f>
        <v>SOT15_ARATH</v>
      </c>
      <c r="D14986" t="s">
        <v>9712</v>
      </c>
      <c r="E14986" s="3" t="s">
        <v>3</v>
      </c>
      <c r="F14986" s="4">
        <v>6.4300000000000002E-156</v>
      </c>
      <c r="G14986" s="3">
        <v>1162</v>
      </c>
      <c r="H14986" s="3">
        <v>63</v>
      </c>
      <c r="I14986" s="3">
        <v>326</v>
      </c>
      <c r="J14986" s="3">
        <v>24</v>
      </c>
      <c r="K14986" s="3">
        <v>995</v>
      </c>
      <c r="L14986" s="3">
        <v>33</v>
      </c>
      <c r="M14986" s="3">
        <v>358</v>
      </c>
    </row>
    <row r="14987" spans="1:13" x14ac:dyDescent="0.25">
      <c r="A14987" s="1" t="str">
        <f>HYPERLINK("http://www.rosaceae.org/Prunus/Prunus_persica/p.persica_gdr_reftransV1_0003198","p.persica_gdr_reftransV1_0003198")</f>
        <v>p.persica_gdr_reftransV1_0003198</v>
      </c>
      <c r="B14987" s="3">
        <v>2389</v>
      </c>
      <c r="C14987" s="1" t="str">
        <f>HYPERLINK("http://www.uniprot.org/uniprot/SBT33_ARATH","SBT33_ARATH")</f>
        <v>SBT33_ARATH</v>
      </c>
      <c r="D14987" t="s">
        <v>3104</v>
      </c>
      <c r="E14987" s="3" t="s">
        <v>3</v>
      </c>
      <c r="F14987" s="4">
        <v>0</v>
      </c>
      <c r="G14987" s="3">
        <v>1794</v>
      </c>
      <c r="H14987" s="3">
        <v>50</v>
      </c>
      <c r="I14987" s="3">
        <v>781</v>
      </c>
      <c r="J14987" s="3">
        <v>46</v>
      </c>
      <c r="K14987" s="3">
        <v>2352</v>
      </c>
      <c r="L14987" s="3">
        <v>27</v>
      </c>
      <c r="M14987" s="3">
        <v>775</v>
      </c>
    </row>
    <row r="14988" spans="1:13" x14ac:dyDescent="0.25">
      <c r="A14988" s="1" t="str">
        <f>HYPERLINK("http://www.rosaceae.org/Prunus/Prunus_persica/p.persica_gdr_reftransV1_0003248","p.persica_gdr_reftransV1_0003248")</f>
        <v>p.persica_gdr_reftransV1_0003248</v>
      </c>
      <c r="B14988" s="3">
        <v>576</v>
      </c>
      <c r="C14988" s="1" t="str">
        <f>HYPERLINK("http://www.uniprot.org/uniprot/POT3_ARATH","POT3_ARATH")</f>
        <v>POT3_ARATH</v>
      </c>
      <c r="D14988" t="s">
        <v>753</v>
      </c>
      <c r="E14988" s="3" t="s">
        <v>3</v>
      </c>
      <c r="F14988" s="4">
        <v>2.9500000000000003E-70</v>
      </c>
      <c r="G14988" s="3">
        <v>594</v>
      </c>
      <c r="H14988" s="3">
        <v>63</v>
      </c>
      <c r="I14988" s="3">
        <v>182</v>
      </c>
      <c r="J14988" s="3">
        <v>3</v>
      </c>
      <c r="K14988" s="3">
        <v>548</v>
      </c>
      <c r="L14988" s="3">
        <v>3</v>
      </c>
      <c r="M14988" s="3">
        <v>184</v>
      </c>
    </row>
    <row r="14989" spans="1:13" x14ac:dyDescent="0.25">
      <c r="A14989" s="1" t="str">
        <f>HYPERLINK("http://www.rosaceae.org/Prunus/Prunus_persica/p.persica_gdr_reftransV1_0003298","p.persica_gdr_reftransV1_0003298")</f>
        <v>p.persica_gdr_reftransV1_0003298</v>
      </c>
      <c r="B14989" s="3">
        <v>1778</v>
      </c>
      <c r="C14989" s="1" t="str">
        <f>HYPERLINK("http://www.uniprot.org/uniprot/RH28_ARATH","RH28_ARATH")</f>
        <v>RH28_ARATH</v>
      </c>
      <c r="D14989" t="s">
        <v>1686</v>
      </c>
      <c r="E14989" s="3" t="s">
        <v>3</v>
      </c>
      <c r="F14989" s="4">
        <v>0</v>
      </c>
      <c r="G14989" s="3">
        <v>1758</v>
      </c>
      <c r="H14989" s="3">
        <v>76</v>
      </c>
      <c r="I14989" s="3">
        <v>458</v>
      </c>
      <c r="J14989" s="3">
        <v>404</v>
      </c>
      <c r="K14989" s="3">
        <v>1777</v>
      </c>
      <c r="L14989" s="3">
        <v>197</v>
      </c>
      <c r="M14989" s="3">
        <v>652</v>
      </c>
    </row>
    <row r="14990" spans="1:13" x14ac:dyDescent="0.25">
      <c r="A14990" s="1" t="str">
        <f>HYPERLINK("http://www.rosaceae.org/Prunus/Prunus_persica/p.persica_gdr_reftransV1_0003548","p.persica_gdr_reftransV1_0003548")</f>
        <v>p.persica_gdr_reftransV1_0003548</v>
      </c>
      <c r="B14990" s="3">
        <v>822</v>
      </c>
      <c r="C14990" s="1" t="str">
        <f>HYPERLINK("http://www.uniprot.org/uniprot/TRPA1_ARATH","TRPA1_ARATH")</f>
        <v>TRPA1_ARATH</v>
      </c>
      <c r="D14990" t="s">
        <v>174</v>
      </c>
      <c r="E14990" s="3" t="s">
        <v>3</v>
      </c>
      <c r="F14990" s="4">
        <v>2.5799999999999998E-106</v>
      </c>
      <c r="G14990" s="3">
        <v>811</v>
      </c>
      <c r="H14990" s="3">
        <v>70</v>
      </c>
      <c r="I14990" s="3">
        <v>210</v>
      </c>
      <c r="J14990" s="3">
        <v>193</v>
      </c>
      <c r="K14990" s="3">
        <v>822</v>
      </c>
      <c r="L14990" s="3">
        <v>10</v>
      </c>
      <c r="M14990" s="3">
        <v>219</v>
      </c>
    </row>
    <row r="14991" spans="1:13" x14ac:dyDescent="0.25">
      <c r="A14991" s="1" t="str">
        <f>HYPERLINK("http://www.rosaceae.org/Prunus/Prunus_persica/p.persica_gdr_reftransV1_0003598","p.persica_gdr_reftransV1_0003598")</f>
        <v>p.persica_gdr_reftransV1_0003598</v>
      </c>
      <c r="B14991" s="3">
        <v>442</v>
      </c>
      <c r="C14991" s="1" t="str">
        <f>HYPERLINK("http://www.uniprot.org/uniprot/TRN1_ARATH","TRN1_ARATH")</f>
        <v>TRN1_ARATH</v>
      </c>
      <c r="D14991" t="s">
        <v>8252</v>
      </c>
      <c r="E14991" s="3" t="s">
        <v>3</v>
      </c>
      <c r="F14991" s="4">
        <v>1.2899999999999999E-31</v>
      </c>
      <c r="G14991" s="3">
        <v>312</v>
      </c>
      <c r="H14991" s="3">
        <v>49</v>
      </c>
      <c r="I14991" s="3">
        <v>147</v>
      </c>
      <c r="J14991" s="3">
        <v>9</v>
      </c>
      <c r="K14991" s="3">
        <v>440</v>
      </c>
      <c r="L14991" s="3">
        <v>5</v>
      </c>
      <c r="M14991" s="3">
        <v>151</v>
      </c>
    </row>
    <row r="14992" spans="1:13" x14ac:dyDescent="0.25">
      <c r="A14992" s="1" t="str">
        <f>HYPERLINK("http://www.rosaceae.org/Prunus/Prunus_persica/p.persica_gdr_reftransV1_0003648","p.persica_gdr_reftransV1_0003648")</f>
        <v>p.persica_gdr_reftransV1_0003648</v>
      </c>
      <c r="B14992" s="3">
        <v>1066</v>
      </c>
      <c r="C14992" s="1" t="str">
        <f>HYPERLINK("http://www.uniprot.org/uniprot/OLEO1_PRUDU","OLEO1_PRUDU")</f>
        <v>OLEO1_PRUDU</v>
      </c>
      <c r="D14992" t="s">
        <v>9713</v>
      </c>
      <c r="E14992" s="3" t="s">
        <v>418</v>
      </c>
      <c r="F14992" s="4">
        <v>4.0400000000000001E-75</v>
      </c>
      <c r="G14992" s="3">
        <v>599</v>
      </c>
      <c r="H14992" s="3">
        <v>100</v>
      </c>
      <c r="I14992" s="3">
        <v>148</v>
      </c>
      <c r="J14992" s="3">
        <v>80</v>
      </c>
      <c r="K14992" s="3">
        <v>523</v>
      </c>
      <c r="L14992" s="3">
        <v>1</v>
      </c>
      <c r="M14992" s="3">
        <v>148</v>
      </c>
    </row>
    <row r="14993" spans="1:13" x14ac:dyDescent="0.25">
      <c r="A14993" s="1" t="str">
        <f>HYPERLINK("http://www.rosaceae.org/Prunus/Prunus_persica/p.persica_gdr_reftransV1_0003698","p.persica_gdr_reftransV1_0003698")</f>
        <v>p.persica_gdr_reftransV1_0003698</v>
      </c>
      <c r="B14993" s="3">
        <v>3220</v>
      </c>
      <c r="C14993" s="1" t="str">
        <f>HYPERLINK("http://www.uniprot.org/uniprot/Y4729_ARATH","Y4729_ARATH")</f>
        <v>Y4729_ARATH</v>
      </c>
      <c r="D14993" t="s">
        <v>334</v>
      </c>
      <c r="E14993" s="3" t="s">
        <v>3</v>
      </c>
      <c r="F14993" s="4">
        <v>0</v>
      </c>
      <c r="G14993" s="3">
        <v>2194</v>
      </c>
      <c r="H14993" s="3">
        <v>53</v>
      </c>
      <c r="I14993" s="3">
        <v>792</v>
      </c>
      <c r="J14993" s="3">
        <v>178</v>
      </c>
      <c r="K14993" s="3">
        <v>2526</v>
      </c>
      <c r="L14993" s="3">
        <v>10</v>
      </c>
      <c r="M14993" s="3">
        <v>757</v>
      </c>
    </row>
    <row r="14994" spans="1:13" x14ac:dyDescent="0.25">
      <c r="A14994" s="1" t="str">
        <f>HYPERLINK("http://www.rosaceae.org/Prunus/Prunus_persica/p.persica_gdr_reftransV1_0003948","p.persica_gdr_reftransV1_0003948")</f>
        <v>p.persica_gdr_reftransV1_0003948</v>
      </c>
      <c r="B14994" s="3">
        <v>423</v>
      </c>
      <c r="C14994" s="1" t="str">
        <f>HYPERLINK("http://www.uniprot.org/uniprot/Y4885_ARATH","Y4885_ARATH")</f>
        <v>Y4885_ARATH</v>
      </c>
      <c r="D14994" t="s">
        <v>468</v>
      </c>
      <c r="E14994" s="3" t="s">
        <v>3</v>
      </c>
      <c r="F14994" s="4">
        <v>3.7800000000000001E-54</v>
      </c>
      <c r="G14994" s="3">
        <v>477</v>
      </c>
      <c r="H14994" s="3">
        <v>59</v>
      </c>
      <c r="I14994" s="3">
        <v>140</v>
      </c>
      <c r="J14994" s="3">
        <v>3</v>
      </c>
      <c r="K14994" s="3">
        <v>422</v>
      </c>
      <c r="L14994" s="3">
        <v>834</v>
      </c>
      <c r="M14994" s="3">
        <v>972</v>
      </c>
    </row>
    <row r="14995" spans="1:13" x14ac:dyDescent="0.25">
      <c r="A14995" s="1" t="str">
        <f>HYPERLINK("http://www.rosaceae.org/Prunus/Prunus_persica/p.persica_gdr_reftransV1_0004048","p.persica_gdr_reftransV1_0004048")</f>
        <v>p.persica_gdr_reftransV1_0004048</v>
      </c>
      <c r="B14995" s="3">
        <v>309</v>
      </c>
      <c r="C14995" s="1" t="str">
        <f>HYPERLINK("http://www.uniprot.org/uniprot/C86B1_ARATH","C86B1_ARATH")</f>
        <v>C86B1_ARATH</v>
      </c>
      <c r="D14995" t="s">
        <v>9714</v>
      </c>
      <c r="E14995" s="3" t="s">
        <v>3</v>
      </c>
      <c r="F14995" s="4">
        <v>9.0599999999999998E-22</v>
      </c>
      <c r="G14995" s="3">
        <v>230</v>
      </c>
      <c r="H14995" s="3">
        <v>62</v>
      </c>
      <c r="I14995" s="3">
        <v>66</v>
      </c>
      <c r="J14995" s="3">
        <v>2</v>
      </c>
      <c r="K14995" s="3">
        <v>199</v>
      </c>
      <c r="L14995" s="3">
        <v>25</v>
      </c>
      <c r="M14995" s="3">
        <v>87</v>
      </c>
    </row>
    <row r="14996" spans="1:13" x14ac:dyDescent="0.25">
      <c r="A14996" s="1" t="str">
        <f>HYPERLINK("http://www.rosaceae.org/Prunus/Prunus_persica/p.persica_gdr_reftransV1_0004098","p.persica_gdr_reftransV1_0004098")</f>
        <v>p.persica_gdr_reftransV1_0004098</v>
      </c>
      <c r="B14996" s="3">
        <v>1685</v>
      </c>
      <c r="C14996" s="1" t="str">
        <f>HYPERLINK("http://www.uniprot.org/uniprot/UGFGT_MEDTR","UGFGT_MEDTR")</f>
        <v>UGFGT_MEDTR</v>
      </c>
      <c r="D14996" t="s">
        <v>403</v>
      </c>
      <c r="E14996" s="3" t="s">
        <v>91</v>
      </c>
      <c r="F14996" s="4">
        <v>2.4999999999999998E-72</v>
      </c>
      <c r="G14996" s="3">
        <v>623</v>
      </c>
      <c r="H14996" s="3">
        <v>53</v>
      </c>
      <c r="I14996" s="3">
        <v>232</v>
      </c>
      <c r="J14996" s="3">
        <v>954</v>
      </c>
      <c r="K14996" s="3">
        <v>1646</v>
      </c>
      <c r="L14996" s="3">
        <v>15</v>
      </c>
      <c r="M14996" s="3">
        <v>246</v>
      </c>
    </row>
    <row r="14997" spans="1:13" x14ac:dyDescent="0.25">
      <c r="A14997" s="1" t="str">
        <f>HYPERLINK("http://www.rosaceae.org/Prunus/Prunus_persica/p.persica_gdr_reftransV1_0004398","p.persica_gdr_reftransV1_0004398")</f>
        <v>p.persica_gdr_reftransV1_0004398</v>
      </c>
      <c r="B14997" s="3">
        <v>2224</v>
      </c>
      <c r="C14997" s="1" t="str">
        <f>HYPERLINK("http://www.uniprot.org/uniprot/MIPEP_ARATH","MIPEP_ARATH")</f>
        <v>MIPEP_ARATH</v>
      </c>
      <c r="D14997" t="s">
        <v>6593</v>
      </c>
      <c r="E14997" s="3" t="s">
        <v>3</v>
      </c>
      <c r="F14997" s="4">
        <v>0</v>
      </c>
      <c r="G14997" s="3">
        <v>1463</v>
      </c>
      <c r="H14997" s="3">
        <v>71</v>
      </c>
      <c r="I14997" s="3">
        <v>377</v>
      </c>
      <c r="J14997" s="3">
        <v>194</v>
      </c>
      <c r="K14997" s="3">
        <v>1324</v>
      </c>
      <c r="L14997" s="3">
        <v>30</v>
      </c>
      <c r="M14997" s="3">
        <v>406</v>
      </c>
    </row>
    <row r="14998" spans="1:13" x14ac:dyDescent="0.25">
      <c r="A14998" s="1" t="str">
        <f>HYPERLINK("http://www.rosaceae.org/Prunus/Prunus_persica/p.persica_gdr_reftransV1_0004448","p.persica_gdr_reftransV1_0004448")</f>
        <v>p.persica_gdr_reftransV1_0004448</v>
      </c>
      <c r="B14998" s="3">
        <v>597</v>
      </c>
      <c r="C14998" s="1" t="str">
        <f>HYPERLINK("http://www.uniprot.org/uniprot/KISHA_DANRE","KISHA_DANRE")</f>
        <v>KISHA_DANRE</v>
      </c>
      <c r="D14998" t="s">
        <v>9715</v>
      </c>
      <c r="E14998" s="3" t="s">
        <v>704</v>
      </c>
      <c r="F14998" s="4">
        <v>6.5099999999999997E-21</v>
      </c>
      <c r="G14998" s="3">
        <v>215</v>
      </c>
      <c r="H14998" s="3">
        <v>59</v>
      </c>
      <c r="I14998" s="3">
        <v>70</v>
      </c>
      <c r="J14998" s="3">
        <v>103</v>
      </c>
      <c r="K14998" s="3">
        <v>309</v>
      </c>
      <c r="L14998" s="3">
        <v>1</v>
      </c>
      <c r="M14998" s="3">
        <v>70</v>
      </c>
    </row>
    <row r="14999" spans="1:13" x14ac:dyDescent="0.25">
      <c r="A14999" s="1" t="str">
        <f>HYPERLINK("http://www.rosaceae.org/Prunus/Prunus_persica/p.persica_gdr_reftransV1_0004498","p.persica_gdr_reftransV1_0004498")</f>
        <v>p.persica_gdr_reftransV1_0004498</v>
      </c>
      <c r="B14999" s="3">
        <v>6375</v>
      </c>
      <c r="C14999" s="1" t="str">
        <f>HYPERLINK("http://www.uniprot.org/uniprot/TAF1_ARATH","TAF1_ARATH")</f>
        <v>TAF1_ARATH</v>
      </c>
      <c r="D14999" t="s">
        <v>2600</v>
      </c>
      <c r="E14999" s="3" t="s">
        <v>3</v>
      </c>
      <c r="F14999" s="4">
        <v>0</v>
      </c>
      <c r="G14999" s="3">
        <v>3706</v>
      </c>
      <c r="H14999" s="3">
        <v>52</v>
      </c>
      <c r="I14999" s="3">
        <v>1666</v>
      </c>
      <c r="J14999" s="3">
        <v>1140</v>
      </c>
      <c r="K14999" s="3">
        <v>5960</v>
      </c>
      <c r="L14999" s="3">
        <v>30</v>
      </c>
      <c r="M14999" s="3">
        <v>1664</v>
      </c>
    </row>
    <row r="15000" spans="1:13" x14ac:dyDescent="0.25">
      <c r="A15000" s="1" t="str">
        <f>HYPERLINK("http://www.rosaceae.org/Prunus/Prunus_persica/p.persica_gdr_reftransV1_0004548","p.persica_gdr_reftransV1_0004548")</f>
        <v>p.persica_gdr_reftransV1_0004548</v>
      </c>
      <c r="B15000" s="3">
        <v>1734</v>
      </c>
      <c r="C15000" s="1" t="str">
        <f>HYPERLINK("http://www.uniprot.org/uniprot/EMF2_ARATH","EMF2_ARATH")</f>
        <v>EMF2_ARATH</v>
      </c>
      <c r="D15000" t="s">
        <v>9157</v>
      </c>
      <c r="E15000" s="3" t="s">
        <v>3</v>
      </c>
      <c r="F15000" s="4">
        <v>0</v>
      </c>
      <c r="G15000" s="3">
        <v>1436</v>
      </c>
      <c r="H15000" s="3">
        <v>58</v>
      </c>
      <c r="I15000" s="3">
        <v>519</v>
      </c>
      <c r="J15000" s="3">
        <v>17</v>
      </c>
      <c r="K15000" s="3">
        <v>1474</v>
      </c>
      <c r="L15000" s="3">
        <v>15</v>
      </c>
      <c r="M15000" s="3">
        <v>514</v>
      </c>
    </row>
    <row r="15001" spans="1:13" x14ac:dyDescent="0.25">
      <c r="A15001" s="1" t="str">
        <f>HYPERLINK("http://www.rosaceae.org/Prunus/Prunus_persica/p.persica_gdr_reftransV1_0004598","p.persica_gdr_reftransV1_0004598")</f>
        <v>p.persica_gdr_reftransV1_0004598</v>
      </c>
      <c r="B15001" s="3">
        <v>733</v>
      </c>
      <c r="C15001" s="1" t="str">
        <f>HYPERLINK("http://www.uniprot.org/uniprot/PGLT1_HUMAN","PGLT1_HUMAN")</f>
        <v>PGLT1_HUMAN</v>
      </c>
      <c r="D15001" t="s">
        <v>9716</v>
      </c>
      <c r="E15001" s="3" t="s">
        <v>28</v>
      </c>
      <c r="F15001" s="4">
        <v>4.0699999999999999E-11</v>
      </c>
      <c r="G15001" s="3">
        <v>158</v>
      </c>
      <c r="H15001" s="3">
        <v>28</v>
      </c>
      <c r="I15001" s="3">
        <v>128</v>
      </c>
      <c r="J15001" s="3">
        <v>291</v>
      </c>
      <c r="K15001" s="3">
        <v>674</v>
      </c>
      <c r="L15001" s="3">
        <v>250</v>
      </c>
      <c r="M15001" s="3">
        <v>375</v>
      </c>
    </row>
    <row r="15002" spans="1:13" x14ac:dyDescent="0.25">
      <c r="A15002" s="1" t="str">
        <f>HYPERLINK("http://www.rosaceae.org/Prunus/Prunus_persica/p.persica_gdr_reftransV1_0004748","p.persica_gdr_reftransV1_0004748")</f>
        <v>p.persica_gdr_reftransV1_0004748</v>
      </c>
      <c r="B15002" s="3">
        <v>2403</v>
      </c>
      <c r="C15002" s="1" t="str">
        <f>HYPERLINK("http://www.uniprot.org/uniprot/AP2_ARATH","AP2_ARATH")</f>
        <v>AP2_ARATH</v>
      </c>
      <c r="D15002" t="s">
        <v>2653</v>
      </c>
      <c r="E15002" s="3" t="s">
        <v>3</v>
      </c>
      <c r="F15002" s="4">
        <v>2.4799999999999999E-105</v>
      </c>
      <c r="G15002" s="3">
        <v>864</v>
      </c>
      <c r="H15002" s="3">
        <v>61</v>
      </c>
      <c r="I15002" s="3">
        <v>357</v>
      </c>
      <c r="J15002" s="3">
        <v>936</v>
      </c>
      <c r="K15002" s="3">
        <v>1970</v>
      </c>
      <c r="L15002" s="3">
        <v>1</v>
      </c>
      <c r="M15002" s="3">
        <v>294</v>
      </c>
    </row>
    <row r="15003" spans="1:13" x14ac:dyDescent="0.25">
      <c r="A15003" s="1" t="str">
        <f>HYPERLINK("http://www.rosaceae.org/Prunus/Prunus_persica/p.persica_gdr_reftransV1_0004848","p.persica_gdr_reftransV1_0004848")</f>
        <v>p.persica_gdr_reftransV1_0004848</v>
      </c>
      <c r="B15003" s="3">
        <v>809</v>
      </c>
      <c r="C15003" s="1" t="str">
        <f>HYPERLINK("http://www.uniprot.org/uniprot/CSE_ARATH","CSE_ARATH")</f>
        <v>CSE_ARATH</v>
      </c>
      <c r="D15003" t="s">
        <v>584</v>
      </c>
      <c r="E15003" s="3" t="s">
        <v>3</v>
      </c>
      <c r="F15003" s="4">
        <v>1.23E-21</v>
      </c>
      <c r="G15003" s="3">
        <v>237</v>
      </c>
      <c r="H15003" s="3">
        <v>35</v>
      </c>
      <c r="I15003" s="3">
        <v>150</v>
      </c>
      <c r="J15003" s="3">
        <v>8</v>
      </c>
      <c r="K15003" s="3">
        <v>454</v>
      </c>
      <c r="L15003" s="3">
        <v>36</v>
      </c>
      <c r="M15003" s="3">
        <v>183</v>
      </c>
    </row>
    <row r="15004" spans="1:13" x14ac:dyDescent="0.25">
      <c r="A15004" s="1" t="str">
        <f>HYPERLINK("http://www.rosaceae.org/Prunus/Prunus_persica/p.persica_gdr_reftransV1_0004998","p.persica_gdr_reftransV1_0004998")</f>
        <v>p.persica_gdr_reftransV1_0004998</v>
      </c>
      <c r="B15004" s="3">
        <v>1805</v>
      </c>
      <c r="C15004" s="1" t="str">
        <f>HYPERLINK("http://www.uniprot.org/uniprot/BGL11_ARATH","BGL11_ARATH")</f>
        <v>BGL11_ARATH</v>
      </c>
      <c r="D15004" t="s">
        <v>4630</v>
      </c>
      <c r="E15004" s="3" t="s">
        <v>3</v>
      </c>
      <c r="F15004" s="4">
        <v>0</v>
      </c>
      <c r="G15004" s="3">
        <v>1605</v>
      </c>
      <c r="H15004" s="3">
        <v>64</v>
      </c>
      <c r="I15004" s="3">
        <v>485</v>
      </c>
      <c r="J15004" s="3">
        <v>276</v>
      </c>
      <c r="K15004" s="3">
        <v>1655</v>
      </c>
      <c r="L15004" s="3">
        <v>26</v>
      </c>
      <c r="M15004" s="3">
        <v>510</v>
      </c>
    </row>
    <row r="15005" spans="1:13" x14ac:dyDescent="0.25">
      <c r="A15005" s="1" t="str">
        <f>HYPERLINK("http://www.rosaceae.org/Prunus/Prunus_persica/p.persica_gdr_reftransV1_0005148","p.persica_gdr_reftransV1_0005148")</f>
        <v>p.persica_gdr_reftransV1_0005148</v>
      </c>
      <c r="B15005" s="3">
        <v>1780</v>
      </c>
      <c r="C15005" s="1" t="str">
        <f>HYPERLINK("http://www.uniprot.org/uniprot/PATL4_ARATH","PATL4_ARATH")</f>
        <v>PATL4_ARATH</v>
      </c>
      <c r="D15005" t="s">
        <v>7503</v>
      </c>
      <c r="E15005" s="3" t="s">
        <v>3</v>
      </c>
      <c r="F15005" s="4">
        <v>6.5199999999999997E-113</v>
      </c>
      <c r="G15005" s="3">
        <v>909</v>
      </c>
      <c r="H15005" s="3">
        <v>50</v>
      </c>
      <c r="I15005" s="3">
        <v>341</v>
      </c>
      <c r="J15005" s="3">
        <v>593</v>
      </c>
      <c r="K15005" s="3">
        <v>1606</v>
      </c>
      <c r="L15005" s="3">
        <v>201</v>
      </c>
      <c r="M15005" s="3">
        <v>535</v>
      </c>
    </row>
    <row r="15006" spans="1:13" x14ac:dyDescent="0.25">
      <c r="A15006" s="1" t="str">
        <f>HYPERLINK("http://www.rosaceae.org/Prunus/Prunus_persica/p.persica_gdr_reftransV1_0005248","p.persica_gdr_reftransV1_0005248")</f>
        <v>p.persica_gdr_reftransV1_0005248</v>
      </c>
      <c r="B15006" s="3">
        <v>1794</v>
      </c>
      <c r="C15006" s="1" t="str">
        <f>HYPERLINK("http://www.uniprot.org/uniprot/TBB1_LUPAL","TBB1_LUPAL")</f>
        <v>TBB1_LUPAL</v>
      </c>
      <c r="D15006" t="s">
        <v>3877</v>
      </c>
      <c r="E15006" s="3" t="s">
        <v>2143</v>
      </c>
      <c r="F15006" s="4">
        <v>0</v>
      </c>
      <c r="G15006" s="3">
        <v>2205</v>
      </c>
      <c r="H15006" s="3">
        <v>97</v>
      </c>
      <c r="I15006" s="3">
        <v>430</v>
      </c>
      <c r="J15006" s="3">
        <v>390</v>
      </c>
      <c r="K15006" s="3">
        <v>1679</v>
      </c>
      <c r="L15006" s="3">
        <v>1</v>
      </c>
      <c r="M15006" s="3">
        <v>430</v>
      </c>
    </row>
    <row r="15007" spans="1:13" x14ac:dyDescent="0.25">
      <c r="A15007" s="1" t="str">
        <f>HYPERLINK("http://www.rosaceae.org/Prunus/Prunus_persica/p.persica_gdr_reftransV1_0005548","p.persica_gdr_reftransV1_0005548")</f>
        <v>p.persica_gdr_reftransV1_0005548</v>
      </c>
      <c r="B15007" s="3">
        <v>446</v>
      </c>
      <c r="C15007" s="1" t="str">
        <f>HYPERLINK("http://www.uniprot.org/uniprot/PP297_ARATH","PP297_ARATH")</f>
        <v>PP297_ARATH</v>
      </c>
      <c r="D15007" t="s">
        <v>1300</v>
      </c>
      <c r="E15007" s="3" t="s">
        <v>3</v>
      </c>
      <c r="F15007" s="4">
        <v>7.9300000000000005E-26</v>
      </c>
      <c r="G15007" s="3">
        <v>267</v>
      </c>
      <c r="H15007" s="3">
        <v>53</v>
      </c>
      <c r="I15007" s="3">
        <v>106</v>
      </c>
      <c r="J15007" s="3">
        <v>126</v>
      </c>
      <c r="K15007" s="3">
        <v>443</v>
      </c>
      <c r="L15007" s="3">
        <v>199</v>
      </c>
      <c r="M15007" s="3">
        <v>303</v>
      </c>
    </row>
    <row r="15008" spans="1:13" x14ac:dyDescent="0.25">
      <c r="A15008" s="1" t="str">
        <f>HYPERLINK("http://www.rosaceae.org/Prunus/Prunus_persica/p.persica_gdr_reftransV1_0005898","p.persica_gdr_reftransV1_0005898")</f>
        <v>p.persica_gdr_reftransV1_0005898</v>
      </c>
      <c r="B15008" s="3">
        <v>756</v>
      </c>
      <c r="C15008" s="1" t="str">
        <f>HYPERLINK("http://www.uniprot.org/uniprot/JOIN_SOLLC","JOIN_SOLLC")</f>
        <v>JOIN_SOLLC</v>
      </c>
      <c r="D15008" t="s">
        <v>2718</v>
      </c>
      <c r="E15008" s="3" t="s">
        <v>64</v>
      </c>
      <c r="F15008" s="4">
        <v>7.4899999999999994E-60</v>
      </c>
      <c r="G15008" s="3">
        <v>498</v>
      </c>
      <c r="H15008" s="3">
        <v>83</v>
      </c>
      <c r="I15008" s="3">
        <v>113</v>
      </c>
      <c r="J15008" s="3">
        <v>357</v>
      </c>
      <c r="K15008" s="3">
        <v>695</v>
      </c>
      <c r="L15008" s="3">
        <v>1</v>
      </c>
      <c r="M15008" s="3">
        <v>113</v>
      </c>
    </row>
    <row r="15009" spans="1:13" x14ac:dyDescent="0.25">
      <c r="A15009" s="1" t="str">
        <f>HYPERLINK("http://www.rosaceae.org/Prunus/Prunus_persica/p.persica_gdr_reftransV1_0005998","p.persica_gdr_reftransV1_0005998")</f>
        <v>p.persica_gdr_reftransV1_0005998</v>
      </c>
      <c r="B15009" s="3">
        <v>811</v>
      </c>
      <c r="C15009" s="1" t="str">
        <f>HYPERLINK("http://www.uniprot.org/uniprot/R13L3_ARATH","R13L3_ARATH")</f>
        <v>R13L3_ARATH</v>
      </c>
      <c r="D15009" t="s">
        <v>5414</v>
      </c>
      <c r="E15009" s="3" t="s">
        <v>3</v>
      </c>
      <c r="F15009" s="4">
        <v>1.4399999999999999E-22</v>
      </c>
      <c r="G15009" s="3">
        <v>252</v>
      </c>
      <c r="H15009" s="3">
        <v>33</v>
      </c>
      <c r="I15009" s="3">
        <v>260</v>
      </c>
      <c r="J15009" s="3">
        <v>4</v>
      </c>
      <c r="K15009" s="3">
        <v>735</v>
      </c>
      <c r="L15009" s="3">
        <v>407</v>
      </c>
      <c r="M15009" s="3">
        <v>646</v>
      </c>
    </row>
    <row r="15010" spans="1:13" x14ac:dyDescent="0.25">
      <c r="A15010" s="1" t="str">
        <f>HYPERLINK("http://www.rosaceae.org/Prunus/Prunus_persica/p.persica_gdr_reftransV1_0006048","p.persica_gdr_reftransV1_0006048")</f>
        <v>p.persica_gdr_reftransV1_0006048</v>
      </c>
      <c r="B15010" s="3">
        <v>1105</v>
      </c>
      <c r="C15010" s="1" t="str">
        <f>HYPERLINK("http://www.uniprot.org/uniprot/DYL1_RAT","DYL1_RAT")</f>
        <v>DYL1_RAT</v>
      </c>
      <c r="D15010" t="s">
        <v>9717</v>
      </c>
      <c r="E15010" s="3" t="s">
        <v>161</v>
      </c>
      <c r="F15010" s="4">
        <v>9.6500000000000007E-19</v>
      </c>
      <c r="G15010" s="3">
        <v>207</v>
      </c>
      <c r="H15010" s="3">
        <v>42</v>
      </c>
      <c r="I15010" s="3">
        <v>91</v>
      </c>
      <c r="J15010" s="3">
        <v>767</v>
      </c>
      <c r="K15010" s="3">
        <v>1039</v>
      </c>
      <c r="L15010" s="3">
        <v>1</v>
      </c>
      <c r="M15010" s="3">
        <v>89</v>
      </c>
    </row>
    <row r="15011" spans="1:13" x14ac:dyDescent="0.25">
      <c r="A15011" s="1" t="str">
        <f>HYPERLINK("http://www.rosaceae.org/Prunus/Prunus_persica/p.persica_gdr_reftransV1_0006198","p.persica_gdr_reftransV1_0006198")</f>
        <v>p.persica_gdr_reftransV1_0006198</v>
      </c>
      <c r="B15011" s="3">
        <v>564</v>
      </c>
      <c r="C15011" s="1" t="str">
        <f>HYPERLINK("http://www.uniprot.org/uniprot/MYO9_ARATH","MYO9_ARATH")</f>
        <v>MYO9_ARATH</v>
      </c>
      <c r="D15011" t="s">
        <v>9718</v>
      </c>
      <c r="E15011" s="3" t="s">
        <v>3</v>
      </c>
      <c r="F15011" s="4">
        <v>6.1699999999999996E-100</v>
      </c>
      <c r="G15011" s="3">
        <v>821</v>
      </c>
      <c r="H15011" s="3">
        <v>80</v>
      </c>
      <c r="I15011" s="3">
        <v>187</v>
      </c>
      <c r="J15011" s="3">
        <v>3</v>
      </c>
      <c r="K15011" s="3">
        <v>563</v>
      </c>
      <c r="L15011" s="3">
        <v>186</v>
      </c>
      <c r="M15011" s="3">
        <v>372</v>
      </c>
    </row>
    <row r="15012" spans="1:13" x14ac:dyDescent="0.25">
      <c r="A15012" s="1" t="str">
        <f>HYPERLINK("http://www.rosaceae.org/Prunus/Prunus_persica/p.persica_gdr_reftransV1_0006248","p.persica_gdr_reftransV1_0006248")</f>
        <v>p.persica_gdr_reftransV1_0006248</v>
      </c>
      <c r="B15012" s="3">
        <v>344</v>
      </c>
      <c r="C15012" s="1" t="str">
        <f>HYPERLINK("http://www.uniprot.org/uniprot/C81E7_MEDTR","C81E7_MEDTR")</f>
        <v>C81E7_MEDTR</v>
      </c>
      <c r="D15012" t="s">
        <v>9719</v>
      </c>
      <c r="E15012" s="3" t="s">
        <v>91</v>
      </c>
      <c r="F15012" s="4">
        <v>1.07E-21</v>
      </c>
      <c r="G15012" s="3">
        <v>230</v>
      </c>
      <c r="H15012" s="3">
        <v>59</v>
      </c>
      <c r="I15012" s="3">
        <v>103</v>
      </c>
      <c r="J15012" s="3">
        <v>32</v>
      </c>
      <c r="K15012" s="3">
        <v>340</v>
      </c>
      <c r="L15012" s="3">
        <v>11</v>
      </c>
      <c r="M15012" s="3">
        <v>111</v>
      </c>
    </row>
    <row r="15013" spans="1:13" x14ac:dyDescent="0.25">
      <c r="A15013" s="1" t="str">
        <f>HYPERLINK("http://www.rosaceae.org/Prunus/Prunus_persica/p.persica_gdr_reftransV1_0006448","p.persica_gdr_reftransV1_0006448")</f>
        <v>p.persica_gdr_reftransV1_0006448</v>
      </c>
      <c r="B15013" s="3">
        <v>487</v>
      </c>
      <c r="C15013" s="1" t="str">
        <f>HYPERLINK("http://www.uniprot.org/uniprot/PLA1_PLAAC","PLA1_PLAAC")</f>
        <v>PLA1_PLAAC</v>
      </c>
      <c r="D15013" t="s">
        <v>3329</v>
      </c>
      <c r="E15013" s="3" t="s">
        <v>3330</v>
      </c>
      <c r="F15013" s="4">
        <v>2.0499999999999998E-40</v>
      </c>
      <c r="G15013" s="3">
        <v>352</v>
      </c>
      <c r="H15013" s="3">
        <v>46</v>
      </c>
      <c r="I15013" s="3">
        <v>145</v>
      </c>
      <c r="J15013" s="3">
        <v>9</v>
      </c>
      <c r="K15013" s="3">
        <v>443</v>
      </c>
      <c r="L15013" s="3">
        <v>36</v>
      </c>
      <c r="M15013" s="3">
        <v>179</v>
      </c>
    </row>
    <row r="15014" spans="1:13" x14ac:dyDescent="0.25">
      <c r="A15014" s="1" t="str">
        <f>HYPERLINK("http://www.rosaceae.org/Prunus/Prunus_persica/p.persica_gdr_reftransV1_0006698","p.persica_gdr_reftransV1_0006698")</f>
        <v>p.persica_gdr_reftransV1_0006698</v>
      </c>
      <c r="B15014" s="3">
        <v>808</v>
      </c>
      <c r="C15014" s="1" t="str">
        <f>HYPERLINK("http://www.uniprot.org/uniprot/PLDD1_ARATH","PLDD1_ARATH")</f>
        <v>PLDD1_ARATH</v>
      </c>
      <c r="D15014" t="s">
        <v>2454</v>
      </c>
      <c r="E15014" s="3" t="s">
        <v>3</v>
      </c>
      <c r="F15014" s="4">
        <v>5.5399999999999999E-45</v>
      </c>
      <c r="G15014" s="3">
        <v>421</v>
      </c>
      <c r="H15014" s="3">
        <v>52</v>
      </c>
      <c r="I15014" s="3">
        <v>167</v>
      </c>
      <c r="J15014" s="3">
        <v>1</v>
      </c>
      <c r="K15014" s="3">
        <v>456</v>
      </c>
      <c r="L15014" s="3">
        <v>1</v>
      </c>
      <c r="M15014" s="3">
        <v>165</v>
      </c>
    </row>
    <row r="15015" spans="1:13" x14ac:dyDescent="0.25">
      <c r="A15015" s="1" t="str">
        <f>HYPERLINK("http://www.rosaceae.org/Prunus/Prunus_persica/p.persica_gdr_reftransV1_0006748","p.persica_gdr_reftransV1_0006748")</f>
        <v>p.persica_gdr_reftransV1_0006748</v>
      </c>
      <c r="B15015" s="3">
        <v>1326</v>
      </c>
      <c r="C15015" s="1" t="str">
        <f>HYPERLINK("http://www.uniprot.org/uniprot/URED_ARATH","URED_ARATH")</f>
        <v>URED_ARATH</v>
      </c>
      <c r="D15015" t="s">
        <v>9720</v>
      </c>
      <c r="E15015" s="3" t="s">
        <v>3</v>
      </c>
      <c r="F15015" s="4">
        <v>1.0299999999999999E-146</v>
      </c>
      <c r="G15015" s="3">
        <v>1097</v>
      </c>
      <c r="H15015" s="3">
        <v>64</v>
      </c>
      <c r="I15015" s="3">
        <v>311</v>
      </c>
      <c r="J15015" s="3">
        <v>11</v>
      </c>
      <c r="K15015" s="3">
        <v>943</v>
      </c>
      <c r="L15015" s="3">
        <v>4</v>
      </c>
      <c r="M15015" s="3">
        <v>293</v>
      </c>
    </row>
    <row r="15016" spans="1:13" x14ac:dyDescent="0.25">
      <c r="A15016" s="1" t="str">
        <f>HYPERLINK("http://www.rosaceae.org/Prunus/Prunus_persica/p.persica_gdr_reftransV1_0006848","p.persica_gdr_reftransV1_0006848")</f>
        <v>p.persica_gdr_reftransV1_0006848</v>
      </c>
      <c r="B15016" s="3">
        <v>2318</v>
      </c>
      <c r="C15016" s="1" t="str">
        <f>HYPERLINK("http://www.uniprot.org/uniprot/CRK8_ARATH","CRK8_ARATH")</f>
        <v>CRK8_ARATH</v>
      </c>
      <c r="D15016" t="s">
        <v>9721</v>
      </c>
      <c r="E15016" s="3" t="s">
        <v>3</v>
      </c>
      <c r="F15016" s="4">
        <v>1.0600000000000001E-124</v>
      </c>
      <c r="G15016" s="3">
        <v>1015</v>
      </c>
      <c r="H15016" s="3">
        <v>64</v>
      </c>
      <c r="I15016" s="3">
        <v>289</v>
      </c>
      <c r="J15016" s="3">
        <v>1454</v>
      </c>
      <c r="K15016" s="3">
        <v>2317</v>
      </c>
      <c r="L15016" s="3">
        <v>326</v>
      </c>
      <c r="M15016" s="3">
        <v>614</v>
      </c>
    </row>
    <row r="15017" spans="1:13" x14ac:dyDescent="0.25">
      <c r="A15017" s="1" t="str">
        <f>HYPERLINK("http://www.rosaceae.org/Prunus/Prunus_persica/p.persica_gdr_reftransV1_0006898","p.persica_gdr_reftransV1_0006898")</f>
        <v>p.persica_gdr_reftransV1_0006898</v>
      </c>
      <c r="B15017" s="3">
        <v>680</v>
      </c>
      <c r="C15017" s="1" t="str">
        <f>HYPERLINK("http://www.uniprot.org/uniprot/TBL26_ARATH","TBL26_ARATH")</f>
        <v>TBL26_ARATH</v>
      </c>
      <c r="D15017" t="s">
        <v>9722</v>
      </c>
      <c r="E15017" s="3" t="s">
        <v>3</v>
      </c>
      <c r="F15017" s="4">
        <v>2.6E-28</v>
      </c>
      <c r="G15017" s="3">
        <v>286</v>
      </c>
      <c r="H15017" s="3">
        <v>61</v>
      </c>
      <c r="I15017" s="3">
        <v>105</v>
      </c>
      <c r="J15017" s="3">
        <v>1</v>
      </c>
      <c r="K15017" s="3">
        <v>312</v>
      </c>
      <c r="L15017" s="3">
        <v>331</v>
      </c>
      <c r="M15017" s="3">
        <v>435</v>
      </c>
    </row>
    <row r="15018" spans="1:13" x14ac:dyDescent="0.25">
      <c r="A15018" s="1" t="str">
        <f>HYPERLINK("http://www.rosaceae.org/Prunus/Prunus_persica/p.persica_gdr_reftransV1_0006948","p.persica_gdr_reftransV1_0006948")</f>
        <v>p.persica_gdr_reftransV1_0006948</v>
      </c>
      <c r="B15018" s="3">
        <v>480</v>
      </c>
      <c r="C15018" s="1" t="str">
        <f>HYPERLINK("http://www.uniprot.org/uniprot/NCPR_CATRO","NCPR_CATRO")</f>
        <v>NCPR_CATRO</v>
      </c>
      <c r="D15018" t="s">
        <v>9723</v>
      </c>
      <c r="E15018" s="3" t="s">
        <v>457</v>
      </c>
      <c r="F15018" s="4">
        <v>7.4600000000000005E-57</v>
      </c>
      <c r="G15018" s="3">
        <v>493</v>
      </c>
      <c r="H15018" s="3">
        <v>83</v>
      </c>
      <c r="I15018" s="3">
        <v>104</v>
      </c>
      <c r="J15018" s="3">
        <v>140</v>
      </c>
      <c r="K15018" s="3">
        <v>451</v>
      </c>
      <c r="L15018" s="3">
        <v>611</v>
      </c>
      <c r="M15018" s="3">
        <v>714</v>
      </c>
    </row>
    <row r="15019" spans="1:13" x14ac:dyDescent="0.25">
      <c r="A15019" s="1" t="str">
        <f>HYPERLINK("http://www.rosaceae.org/Prunus/Prunus_persica/p.persica_gdr_reftransV1_0007198","p.persica_gdr_reftransV1_0007198")</f>
        <v>p.persica_gdr_reftransV1_0007198</v>
      </c>
      <c r="B15019" s="3">
        <v>953</v>
      </c>
      <c r="C15019" s="1" t="str">
        <f>HYPERLINK("http://www.uniprot.org/uniprot/HSP13_SOYBN","HSP13_SOYBN")</f>
        <v>HSP13_SOYBN</v>
      </c>
      <c r="D15019" t="s">
        <v>9724</v>
      </c>
      <c r="E15019" s="3" t="s">
        <v>307</v>
      </c>
      <c r="F15019" s="4">
        <v>5.0300000000000001E-29</v>
      </c>
      <c r="G15019" s="3">
        <v>285</v>
      </c>
      <c r="H15019" s="3">
        <v>46</v>
      </c>
      <c r="I15019" s="3">
        <v>127</v>
      </c>
      <c r="J15019" s="3">
        <v>317</v>
      </c>
      <c r="K15019" s="3">
        <v>619</v>
      </c>
      <c r="L15019" s="3">
        <v>27</v>
      </c>
      <c r="M15019" s="3">
        <v>153</v>
      </c>
    </row>
    <row r="15020" spans="1:13" x14ac:dyDescent="0.25">
      <c r="A15020" s="1" t="str">
        <f>HYPERLINK("http://www.rosaceae.org/Prunus/Prunus_persica/p.persica_gdr_reftransV1_0007248","p.persica_gdr_reftransV1_0007248")</f>
        <v>p.persica_gdr_reftransV1_0007248</v>
      </c>
      <c r="B15020" s="3">
        <v>558</v>
      </c>
      <c r="C15020" s="1" t="str">
        <f>HYPERLINK("http://www.uniprot.org/uniprot/ACP1_CASGL","ACP1_CASGL")</f>
        <v>ACP1_CASGL</v>
      </c>
      <c r="D15020" t="s">
        <v>3441</v>
      </c>
      <c r="E15020" s="3" t="s">
        <v>3442</v>
      </c>
      <c r="F15020" s="4">
        <v>3.3999999999999998E-40</v>
      </c>
      <c r="G15020" s="3">
        <v>350</v>
      </c>
      <c r="H15020" s="3">
        <v>74</v>
      </c>
      <c r="I15020" s="3">
        <v>99</v>
      </c>
      <c r="J15020" s="3">
        <v>3</v>
      </c>
      <c r="K15020" s="3">
        <v>296</v>
      </c>
      <c r="L15020" s="3">
        <v>17</v>
      </c>
      <c r="M15020" s="3">
        <v>112</v>
      </c>
    </row>
    <row r="15021" spans="1:13" x14ac:dyDescent="0.25">
      <c r="A15021" s="1" t="str">
        <f>HYPERLINK("http://www.rosaceae.org/Prunus/Prunus_persica/p.persica_gdr_reftransV1_0007298","p.persica_gdr_reftransV1_0007298")</f>
        <v>p.persica_gdr_reftransV1_0007298</v>
      </c>
      <c r="B15021" s="3">
        <v>968</v>
      </c>
      <c r="C15021" s="1" t="str">
        <f>HYPERLINK("http://www.uniprot.org/uniprot/FKB13_ARATH","FKB13_ARATH")</f>
        <v>FKB13_ARATH</v>
      </c>
      <c r="D15021" t="s">
        <v>9725</v>
      </c>
      <c r="E15021" s="3" t="s">
        <v>3</v>
      </c>
      <c r="F15021" s="4">
        <v>2.84E-87</v>
      </c>
      <c r="G15021" s="3">
        <v>683</v>
      </c>
      <c r="H15021" s="3">
        <v>62</v>
      </c>
      <c r="I15021" s="3">
        <v>224</v>
      </c>
      <c r="J15021" s="3">
        <v>236</v>
      </c>
      <c r="K15021" s="3">
        <v>892</v>
      </c>
      <c r="L15021" s="3">
        <v>1</v>
      </c>
      <c r="M15021" s="3">
        <v>208</v>
      </c>
    </row>
    <row r="15022" spans="1:13" x14ac:dyDescent="0.25">
      <c r="A15022" s="1" t="str">
        <f>HYPERLINK("http://www.rosaceae.org/Prunus/Prunus_persica/p.persica_gdr_reftransV1_0007498","p.persica_gdr_reftransV1_0007498")</f>
        <v>p.persica_gdr_reftransV1_0007498</v>
      </c>
      <c r="B15022" s="3">
        <v>673</v>
      </c>
      <c r="C15022" s="1" t="str">
        <f>HYPERLINK("http://www.uniprot.org/uniprot/COPIA_DROME","COPIA_DROME")</f>
        <v>COPIA_DROME</v>
      </c>
      <c r="D15022" t="s">
        <v>478</v>
      </c>
      <c r="E15022" s="3" t="s">
        <v>5</v>
      </c>
      <c r="F15022" s="4">
        <v>3.46E-7</v>
      </c>
      <c r="G15022" s="3">
        <v>128</v>
      </c>
      <c r="H15022" s="3">
        <v>37</v>
      </c>
      <c r="I15022" s="3">
        <v>94</v>
      </c>
      <c r="J15022" s="3">
        <v>160</v>
      </c>
      <c r="K15022" s="3">
        <v>441</v>
      </c>
      <c r="L15022" s="3">
        <v>1307</v>
      </c>
      <c r="M15022" s="3">
        <v>1400</v>
      </c>
    </row>
    <row r="15023" spans="1:13" x14ac:dyDescent="0.25">
      <c r="A15023" s="1" t="str">
        <f>HYPERLINK("http://www.rosaceae.org/Prunus/Prunus_persica/p.persica_gdr_reftransV1_0007648","p.persica_gdr_reftransV1_0007648")</f>
        <v>p.persica_gdr_reftransV1_0007648</v>
      </c>
      <c r="B15023" s="3">
        <v>1607</v>
      </c>
      <c r="C15023" s="1" t="str">
        <f>HYPERLINK("http://www.uniprot.org/uniprot/LOG5_ARATH","LOG5_ARATH")</f>
        <v>LOG5_ARATH</v>
      </c>
      <c r="D15023" t="s">
        <v>9726</v>
      </c>
      <c r="E15023" s="3" t="s">
        <v>3</v>
      </c>
      <c r="F15023" s="4">
        <v>2.26E-124</v>
      </c>
      <c r="G15023" s="3">
        <v>951</v>
      </c>
      <c r="H15023" s="3">
        <v>84</v>
      </c>
      <c r="I15023" s="3">
        <v>224</v>
      </c>
      <c r="J15023" s="3">
        <v>852</v>
      </c>
      <c r="K15023" s="3">
        <v>1511</v>
      </c>
      <c r="L15023" s="3">
        <v>5</v>
      </c>
      <c r="M15023" s="3">
        <v>228</v>
      </c>
    </row>
    <row r="15024" spans="1:13" x14ac:dyDescent="0.25">
      <c r="A15024" s="1" t="str">
        <f>HYPERLINK("http://www.rosaceae.org/Prunus/Prunus_persica/p.persica_gdr_reftransV1_0007798","p.persica_gdr_reftransV1_0007798")</f>
        <v>p.persica_gdr_reftransV1_0007798</v>
      </c>
      <c r="B15024" s="3">
        <v>1705</v>
      </c>
      <c r="C15024" s="1" t="str">
        <f>HYPERLINK("http://www.uniprot.org/uniprot/CHid1_XENTR","CHid1_XENTR")</f>
        <v>CHid1_XENTR</v>
      </c>
      <c r="D15024" t="s">
        <v>9727</v>
      </c>
      <c r="E15024" s="3" t="s">
        <v>173</v>
      </c>
      <c r="F15024" s="4">
        <v>3.2800000000000003E-73</v>
      </c>
      <c r="G15024" s="3">
        <v>625</v>
      </c>
      <c r="H15024" s="3">
        <v>36</v>
      </c>
      <c r="I15024" s="3">
        <v>377</v>
      </c>
      <c r="J15024" s="3">
        <v>322</v>
      </c>
      <c r="K15024" s="3">
        <v>1422</v>
      </c>
      <c r="L15024" s="3">
        <v>39</v>
      </c>
      <c r="M15024" s="3">
        <v>394</v>
      </c>
    </row>
    <row r="15025" spans="1:13" x14ac:dyDescent="0.25">
      <c r="A15025" s="1" t="str">
        <f>HYPERLINK("http://www.rosaceae.org/Prunus/Prunus_persica/p.persica_gdr_reftransV1_0007848","p.persica_gdr_reftransV1_0007848")</f>
        <v>p.persica_gdr_reftransV1_0007848</v>
      </c>
      <c r="B15025" s="3">
        <v>1386</v>
      </c>
      <c r="C15025" s="1" t="str">
        <f>HYPERLINK("http://www.uniprot.org/uniprot/PP285_ARATH","PP285_ARATH")</f>
        <v>PP285_ARATH</v>
      </c>
      <c r="D15025" t="s">
        <v>6714</v>
      </c>
      <c r="E15025" s="3" t="s">
        <v>3</v>
      </c>
      <c r="F15025" s="4">
        <v>0</v>
      </c>
      <c r="G15025" s="3">
        <v>1709</v>
      </c>
      <c r="H15025" s="3">
        <v>74</v>
      </c>
      <c r="I15025" s="3">
        <v>432</v>
      </c>
      <c r="J15025" s="3">
        <v>2</v>
      </c>
      <c r="K15025" s="3">
        <v>1297</v>
      </c>
      <c r="L15025" s="3">
        <v>470</v>
      </c>
      <c r="M15025" s="3">
        <v>890</v>
      </c>
    </row>
    <row r="15026" spans="1:13" x14ac:dyDescent="0.25">
      <c r="A15026" s="1" t="str">
        <f>HYPERLINK("http://www.rosaceae.org/Prunus/Prunus_persica/p.persica_gdr_reftransV1_0007898","p.persica_gdr_reftransV1_0007898")</f>
        <v>p.persica_gdr_reftransV1_0007898</v>
      </c>
      <c r="B15026" s="3">
        <v>1638</v>
      </c>
      <c r="C15026" s="1" t="str">
        <f>HYPERLINK("http://www.uniprot.org/uniprot/ASAT1_ARATH","ASAT1_ARATH")</f>
        <v>ASAT1_ARATH</v>
      </c>
      <c r="D15026" t="s">
        <v>81</v>
      </c>
      <c r="E15026" s="3" t="s">
        <v>3</v>
      </c>
      <c r="F15026" s="4">
        <v>2.54E-53</v>
      </c>
      <c r="G15026" s="3">
        <v>482</v>
      </c>
      <c r="H15026" s="3">
        <v>48</v>
      </c>
      <c r="I15026" s="3">
        <v>244</v>
      </c>
      <c r="J15026" s="3">
        <v>793</v>
      </c>
      <c r="K15026" s="3">
        <v>1524</v>
      </c>
      <c r="L15026" s="3">
        <v>101</v>
      </c>
      <c r="M15026" s="3">
        <v>330</v>
      </c>
    </row>
    <row r="15027" spans="1:13" x14ac:dyDescent="0.25">
      <c r="A15027" s="1" t="str">
        <f>HYPERLINK("http://www.rosaceae.org/Prunus/Prunus_persica/p.persica_gdr_reftransV1_0007948","p.persica_gdr_reftransV1_0007948")</f>
        <v>p.persica_gdr_reftransV1_0007948</v>
      </c>
      <c r="B15027" s="3">
        <v>891</v>
      </c>
      <c r="C15027" s="1" t="str">
        <f>HYPERLINK("http://www.uniprot.org/uniprot/ACCO_PRUMU","ACCO_PRUMU")</f>
        <v>ACCO_PRUMU</v>
      </c>
      <c r="D15027" t="s">
        <v>7463</v>
      </c>
      <c r="E15027" s="3" t="s">
        <v>7464</v>
      </c>
      <c r="F15027" s="4">
        <v>7.4999999999999999E-133</v>
      </c>
      <c r="G15027" s="3">
        <v>993</v>
      </c>
      <c r="H15027" s="3">
        <v>98</v>
      </c>
      <c r="I15027" s="3">
        <v>188</v>
      </c>
      <c r="J15027" s="3">
        <v>143</v>
      </c>
      <c r="K15027" s="3">
        <v>706</v>
      </c>
      <c r="L15027" s="3">
        <v>132</v>
      </c>
      <c r="M15027" s="3">
        <v>319</v>
      </c>
    </row>
    <row r="15028" spans="1:13" x14ac:dyDescent="0.25">
      <c r="A15028" s="1" t="str">
        <f>HYPERLINK("http://www.rosaceae.org/Prunus/Prunus_persica/p.persica_gdr_reftransV1_0007998","p.persica_gdr_reftransV1_0007998")</f>
        <v>p.persica_gdr_reftransV1_0007998</v>
      </c>
      <c r="B15028" s="3">
        <v>970</v>
      </c>
      <c r="C15028" s="1" t="str">
        <f>HYPERLINK("http://www.uniprot.org/uniprot/NDK5_ARATH","NDK5_ARATH")</f>
        <v>NDK5_ARATH</v>
      </c>
      <c r="D15028" t="s">
        <v>9728</v>
      </c>
      <c r="E15028" s="3" t="s">
        <v>3</v>
      </c>
      <c r="F15028" s="4">
        <v>2.99E-64</v>
      </c>
      <c r="G15028" s="3">
        <v>524</v>
      </c>
      <c r="H15028" s="3">
        <v>68</v>
      </c>
      <c r="I15028" s="3">
        <v>144</v>
      </c>
      <c r="J15028" s="3">
        <v>206</v>
      </c>
      <c r="K15028" s="3">
        <v>634</v>
      </c>
      <c r="L15028" s="3">
        <v>1</v>
      </c>
      <c r="M15028" s="3">
        <v>144</v>
      </c>
    </row>
    <row r="15029" spans="1:13" x14ac:dyDescent="0.25">
      <c r="A15029" s="1" t="str">
        <f>HYPERLINK("http://www.rosaceae.org/Prunus/Prunus_persica/p.persica_gdr_reftransV1_0008098","p.persica_gdr_reftransV1_0008098")</f>
        <v>p.persica_gdr_reftransV1_0008098</v>
      </c>
      <c r="B15029" s="3">
        <v>569</v>
      </c>
      <c r="C15029" s="1" t="str">
        <f>HYPERLINK("http://www.uniprot.org/uniprot/AB10C_ARATH","AB10C_ARATH")</f>
        <v>AB10C_ARATH</v>
      </c>
      <c r="D15029" t="s">
        <v>1068</v>
      </c>
      <c r="E15029" s="3" t="s">
        <v>3</v>
      </c>
      <c r="F15029" s="4">
        <v>4.1300000000000002E-81</v>
      </c>
      <c r="G15029" s="3">
        <v>684</v>
      </c>
      <c r="H15029" s="3">
        <v>70</v>
      </c>
      <c r="I15029" s="3">
        <v>185</v>
      </c>
      <c r="J15029" s="3">
        <v>12</v>
      </c>
      <c r="K15029" s="3">
        <v>566</v>
      </c>
      <c r="L15029" s="3">
        <v>1121</v>
      </c>
      <c r="M15029" s="3">
        <v>1305</v>
      </c>
    </row>
    <row r="15030" spans="1:13" x14ac:dyDescent="0.25">
      <c r="A15030" s="1" t="str">
        <f>HYPERLINK("http://www.rosaceae.org/Prunus/Prunus_persica/p.persica_gdr_reftransV1_0008148","p.persica_gdr_reftransV1_0008148")</f>
        <v>p.persica_gdr_reftransV1_0008148</v>
      </c>
      <c r="B15030" s="3">
        <v>913</v>
      </c>
      <c r="C15030" s="1" t="str">
        <f>HYPERLINK("http://www.uniprot.org/uniprot/GOT1A_MOUSE","GOT1A_MOUSE")</f>
        <v>GOT1A_MOUSE</v>
      </c>
      <c r="D15030" t="s">
        <v>9729</v>
      </c>
      <c r="E15030" s="3" t="s">
        <v>157</v>
      </c>
      <c r="F15030" s="4">
        <v>4.4400000000000003E-11</v>
      </c>
      <c r="G15030" s="3">
        <v>153</v>
      </c>
      <c r="H15030" s="3">
        <v>40</v>
      </c>
      <c r="I15030" s="3">
        <v>88</v>
      </c>
      <c r="J15030" s="3">
        <v>230</v>
      </c>
      <c r="K15030" s="3">
        <v>484</v>
      </c>
      <c r="L15030" s="3">
        <v>31</v>
      </c>
      <c r="M15030" s="3">
        <v>118</v>
      </c>
    </row>
    <row r="15031" spans="1:13" x14ac:dyDescent="0.25">
      <c r="A15031" s="1" t="str">
        <f>HYPERLINK("http://www.rosaceae.org/Prunus/Prunus_persica/p.persica_gdr_reftransV1_0008248","p.persica_gdr_reftransV1_0008248")</f>
        <v>p.persica_gdr_reftransV1_0008248</v>
      </c>
      <c r="B15031" s="3">
        <v>2434</v>
      </c>
      <c r="C15031" s="1" t="str">
        <f>HYPERLINK("http://www.uniprot.org/uniprot/FBL10_ARATH","FBL10_ARATH")</f>
        <v>FBL10_ARATH</v>
      </c>
      <c r="D15031" t="s">
        <v>9730</v>
      </c>
      <c r="E15031" s="3" t="s">
        <v>3</v>
      </c>
      <c r="F15031" s="4">
        <v>0</v>
      </c>
      <c r="G15031" s="3">
        <v>1439</v>
      </c>
      <c r="H15031" s="3">
        <v>61</v>
      </c>
      <c r="I15031" s="3">
        <v>508</v>
      </c>
      <c r="J15031" s="3">
        <v>645</v>
      </c>
      <c r="K15031" s="3">
        <v>2156</v>
      </c>
      <c r="L15031" s="3">
        <v>138</v>
      </c>
      <c r="M15031" s="3">
        <v>641</v>
      </c>
    </row>
    <row r="15032" spans="1:13" x14ac:dyDescent="0.25">
      <c r="A15032" s="1" t="str">
        <f>HYPERLINK("http://www.rosaceae.org/Prunus/Prunus_persica/p.persica_gdr_reftransV1_0008298","p.persica_gdr_reftransV1_0008298")</f>
        <v>p.persica_gdr_reftransV1_0008298</v>
      </c>
      <c r="B15032" s="3">
        <v>909</v>
      </c>
      <c r="C15032" s="1" t="str">
        <f>HYPERLINK("http://www.uniprot.org/uniprot/PR4B_TOBAC","PR4B_TOBAC")</f>
        <v>PR4B_TOBAC</v>
      </c>
      <c r="D15032" t="s">
        <v>1170</v>
      </c>
      <c r="E15032" s="3" t="s">
        <v>200</v>
      </c>
      <c r="F15032" s="4">
        <v>1.2000000000000001E-72</v>
      </c>
      <c r="G15032" s="3">
        <v>578</v>
      </c>
      <c r="H15032" s="3">
        <v>73</v>
      </c>
      <c r="I15032" s="3">
        <v>147</v>
      </c>
      <c r="J15032" s="3">
        <v>388</v>
      </c>
      <c r="K15032" s="3">
        <v>825</v>
      </c>
      <c r="L15032" s="3">
        <v>1</v>
      </c>
      <c r="M15032" s="3">
        <v>147</v>
      </c>
    </row>
    <row r="15033" spans="1:13" x14ac:dyDescent="0.25">
      <c r="A15033" s="1" t="str">
        <f>HYPERLINK("http://www.rosaceae.org/Prunus/Prunus_persica/p.persica_gdr_reftransV1_0008348","p.persica_gdr_reftransV1_0008348")</f>
        <v>p.persica_gdr_reftransV1_0008348</v>
      </c>
      <c r="B15033" s="3">
        <v>1620</v>
      </c>
      <c r="C15033" s="1" t="str">
        <f>HYPERLINK("http://www.uniprot.org/uniprot/PLT5_ARATH","PLT5_ARATH")</f>
        <v>PLT5_ARATH</v>
      </c>
      <c r="D15033" t="s">
        <v>133</v>
      </c>
      <c r="E15033" s="3" t="s">
        <v>3</v>
      </c>
      <c r="F15033" s="4">
        <v>0</v>
      </c>
      <c r="G15033" s="3">
        <v>1752</v>
      </c>
      <c r="H15033" s="3">
        <v>67</v>
      </c>
      <c r="I15033" s="3">
        <v>502</v>
      </c>
      <c r="J15033" s="3">
        <v>128</v>
      </c>
      <c r="K15033" s="3">
        <v>1618</v>
      </c>
      <c r="L15033" s="3">
        <v>39</v>
      </c>
      <c r="M15033" s="3">
        <v>539</v>
      </c>
    </row>
    <row r="15034" spans="1:13" x14ac:dyDescent="0.25">
      <c r="A15034" s="1" t="str">
        <f>HYPERLINK("http://www.rosaceae.org/Prunus/Prunus_persica/p.persica_gdr_reftransV1_0008448","p.persica_gdr_reftransV1_0008448")</f>
        <v>p.persica_gdr_reftransV1_0008448</v>
      </c>
      <c r="B15034" s="3">
        <v>810</v>
      </c>
      <c r="C15034" s="1" t="str">
        <f>HYPERLINK("http://www.uniprot.org/uniprot/SRX_ARATH","SRX_ARATH")</f>
        <v>SRX_ARATH</v>
      </c>
      <c r="D15034" t="s">
        <v>9731</v>
      </c>
      <c r="E15034" s="3" t="s">
        <v>3</v>
      </c>
      <c r="F15034" s="4">
        <v>1.6799999999999999E-45</v>
      </c>
      <c r="G15034" s="3">
        <v>392</v>
      </c>
      <c r="H15034" s="3">
        <v>84</v>
      </c>
      <c r="I15034" s="3">
        <v>86</v>
      </c>
      <c r="J15034" s="3">
        <v>335</v>
      </c>
      <c r="K15034" s="3">
        <v>592</v>
      </c>
      <c r="L15034" s="3">
        <v>40</v>
      </c>
      <c r="M15034" s="3">
        <v>125</v>
      </c>
    </row>
    <row r="15035" spans="1:13" x14ac:dyDescent="0.25">
      <c r="A15035" s="1" t="str">
        <f>HYPERLINK("http://www.rosaceae.org/Prunus/Prunus_persica/p.persica_gdr_reftransV1_0008498","p.persica_gdr_reftransV1_0008498")</f>
        <v>p.persica_gdr_reftransV1_0008498</v>
      </c>
      <c r="B15035" s="3">
        <v>1510</v>
      </c>
      <c r="C15035" s="1" t="str">
        <f>HYPERLINK("http://www.uniprot.org/uniprot/LRK81_ARATH","LRK81_ARATH")</f>
        <v>LRK81_ARATH</v>
      </c>
      <c r="D15035" t="s">
        <v>1599</v>
      </c>
      <c r="E15035" s="3" t="s">
        <v>3</v>
      </c>
      <c r="F15035" s="4">
        <v>1.37E-8</v>
      </c>
      <c r="G15035" s="3">
        <v>147</v>
      </c>
      <c r="H15035" s="3">
        <v>32</v>
      </c>
      <c r="I15035" s="3">
        <v>247</v>
      </c>
      <c r="J15035" s="3">
        <v>567</v>
      </c>
      <c r="K15035" s="3">
        <v>1274</v>
      </c>
      <c r="L15035" s="3">
        <v>11</v>
      </c>
      <c r="M15035" s="3">
        <v>244</v>
      </c>
    </row>
    <row r="15036" spans="1:13" x14ac:dyDescent="0.25">
      <c r="A15036" s="1" t="str">
        <f>HYPERLINK("http://www.rosaceae.org/Prunus/Prunus_persica/p.persica_gdr_reftransV1_0008848","p.persica_gdr_reftransV1_0008848")</f>
        <v>p.persica_gdr_reftransV1_0008848</v>
      </c>
      <c r="B15036" s="3">
        <v>4072</v>
      </c>
      <c r="C15036" s="1" t="str">
        <f>HYPERLINK("http://www.uniprot.org/uniprot/IPO5_HUMAN","IPO5_HUMAN")</f>
        <v>IPO5_HUMAN</v>
      </c>
      <c r="D15036" t="s">
        <v>2574</v>
      </c>
      <c r="E15036" s="3" t="s">
        <v>28</v>
      </c>
      <c r="F15036" s="4">
        <v>0</v>
      </c>
      <c r="G15036" s="3">
        <v>1640</v>
      </c>
      <c r="H15036" s="3">
        <v>36</v>
      </c>
      <c r="I15036" s="3">
        <v>1083</v>
      </c>
      <c r="J15036" s="3">
        <v>228</v>
      </c>
      <c r="K15036" s="3">
        <v>3425</v>
      </c>
      <c r="L15036" s="3">
        <v>11</v>
      </c>
      <c r="M15036" s="3">
        <v>1071</v>
      </c>
    </row>
    <row r="15037" spans="1:13" x14ac:dyDescent="0.25">
      <c r="A15037" s="1" t="str">
        <f>HYPERLINK("http://www.rosaceae.org/Prunus/Prunus_persica/p.persica_gdr_reftransV1_0008948","p.persica_gdr_reftransV1_0008948")</f>
        <v>p.persica_gdr_reftransV1_0008948</v>
      </c>
      <c r="B15037" s="3">
        <v>885</v>
      </c>
      <c r="C15037" s="1" t="str">
        <f>HYPERLINK("http://www.uniprot.org/uniprot/AAP8_ARATH","AAP8_ARATH")</f>
        <v>AAP8_ARATH</v>
      </c>
      <c r="D15037" t="s">
        <v>9732</v>
      </c>
      <c r="E15037" s="3" t="s">
        <v>3</v>
      </c>
      <c r="F15037" s="4">
        <v>9.4500000000000001E-90</v>
      </c>
      <c r="G15037" s="3">
        <v>720</v>
      </c>
      <c r="H15037" s="3">
        <v>53</v>
      </c>
      <c r="I15037" s="3">
        <v>299</v>
      </c>
      <c r="J15037" s="3">
        <v>1</v>
      </c>
      <c r="K15037" s="3">
        <v>885</v>
      </c>
      <c r="L15037" s="3">
        <v>30</v>
      </c>
      <c r="M15037" s="3">
        <v>328</v>
      </c>
    </row>
    <row r="15038" spans="1:13" x14ac:dyDescent="0.25">
      <c r="A15038" s="1" t="str">
        <f>HYPERLINK("http://www.rosaceae.org/Prunus/Prunus_persica/p.persica_gdr_reftransV1_0008998","p.persica_gdr_reftransV1_0008998")</f>
        <v>p.persica_gdr_reftransV1_0008998</v>
      </c>
      <c r="B15038" s="3">
        <v>1702</v>
      </c>
      <c r="C15038" s="1" t="str">
        <f>HYPERLINK("http://www.uniprot.org/uniprot/Y1669_ARATH","Y1669_ARATH")</f>
        <v>Y1669_ARATH</v>
      </c>
      <c r="D15038" t="s">
        <v>9733</v>
      </c>
      <c r="E15038" s="3" t="s">
        <v>3</v>
      </c>
      <c r="F15038" s="4">
        <v>0</v>
      </c>
      <c r="G15038" s="3">
        <v>1479</v>
      </c>
      <c r="H15038" s="3">
        <v>75</v>
      </c>
      <c r="I15038" s="3">
        <v>375</v>
      </c>
      <c r="J15038" s="3">
        <v>170</v>
      </c>
      <c r="K15038" s="3">
        <v>1261</v>
      </c>
      <c r="L15038" s="3">
        <v>3</v>
      </c>
      <c r="M15038" s="3">
        <v>377</v>
      </c>
    </row>
    <row r="15039" spans="1:13" x14ac:dyDescent="0.25">
      <c r="A15039" s="1" t="str">
        <f>HYPERLINK("http://www.rosaceae.org/Prunus/Prunus_persica/p.persica_gdr_reftransV1_0009148","p.persica_gdr_reftransV1_0009148")</f>
        <v>p.persica_gdr_reftransV1_0009148</v>
      </c>
      <c r="B15039" s="3">
        <v>900</v>
      </c>
      <c r="C15039" s="1" t="str">
        <f>HYPERLINK("http://www.uniprot.org/uniprot/GOT1B_MOUSE","GOT1B_MOUSE")</f>
        <v>GOT1B_MOUSE</v>
      </c>
      <c r="D15039" t="s">
        <v>9734</v>
      </c>
      <c r="E15039" s="3" t="s">
        <v>157</v>
      </c>
      <c r="F15039" s="4">
        <v>8.2800000000000004E-21</v>
      </c>
      <c r="G15039" s="3">
        <v>223</v>
      </c>
      <c r="H15039" s="3">
        <v>49</v>
      </c>
      <c r="I15039" s="3">
        <v>105</v>
      </c>
      <c r="J15039" s="3">
        <v>356</v>
      </c>
      <c r="K15039" s="3">
        <v>670</v>
      </c>
      <c r="L15039" s="3">
        <v>26</v>
      </c>
      <c r="M15039" s="3">
        <v>130</v>
      </c>
    </row>
    <row r="15040" spans="1:13" x14ac:dyDescent="0.25">
      <c r="A15040" s="1" t="str">
        <f>HYPERLINK("http://www.rosaceae.org/Prunus/Prunus_persica/p.persica_gdr_reftransV1_0009198","p.persica_gdr_reftransV1_0009198")</f>
        <v>p.persica_gdr_reftransV1_0009198</v>
      </c>
      <c r="B15040" s="3">
        <v>1853</v>
      </c>
      <c r="C15040" s="1" t="str">
        <f>HYPERLINK("http://www.uniprot.org/uniprot/SRO2_ARATH","SRO2_ARATH")</f>
        <v>SRO2_ARATH</v>
      </c>
      <c r="D15040" t="s">
        <v>9735</v>
      </c>
      <c r="E15040" s="3" t="s">
        <v>3</v>
      </c>
      <c r="F15040" s="4">
        <v>3.3499999999999998E-83</v>
      </c>
      <c r="G15040" s="3">
        <v>691</v>
      </c>
      <c r="H15040" s="3">
        <v>45</v>
      </c>
      <c r="I15040" s="3">
        <v>330</v>
      </c>
      <c r="J15040" s="3">
        <v>639</v>
      </c>
      <c r="K15040" s="3">
        <v>1613</v>
      </c>
      <c r="L15040" s="3">
        <v>2</v>
      </c>
      <c r="M15040" s="3">
        <v>319</v>
      </c>
    </row>
    <row r="15041" spans="1:13" x14ac:dyDescent="0.25">
      <c r="A15041" s="1" t="str">
        <f>HYPERLINK("http://www.rosaceae.org/Prunus/Prunus_persica/p.persica_gdr_reftransV1_0009248","p.persica_gdr_reftransV1_0009248")</f>
        <v>p.persica_gdr_reftransV1_0009248</v>
      </c>
      <c r="B15041" s="3">
        <v>1788</v>
      </c>
      <c r="C15041" s="1" t="str">
        <f>HYPERLINK("http://www.uniprot.org/uniprot/RECAM_ARATH","RECAM_ARATH")</f>
        <v>RECAM_ARATH</v>
      </c>
      <c r="D15041" t="s">
        <v>9736</v>
      </c>
      <c r="E15041" s="3" t="s">
        <v>3</v>
      </c>
      <c r="F15041" s="4">
        <v>1.9299999999999999E-131</v>
      </c>
      <c r="G15041" s="3">
        <v>1020</v>
      </c>
      <c r="H15041" s="3">
        <v>63</v>
      </c>
      <c r="I15041" s="3">
        <v>367</v>
      </c>
      <c r="J15041" s="3">
        <v>174</v>
      </c>
      <c r="K15041" s="3">
        <v>1274</v>
      </c>
      <c r="L15041" s="3">
        <v>25</v>
      </c>
      <c r="M15041" s="3">
        <v>388</v>
      </c>
    </row>
    <row r="15042" spans="1:13" x14ac:dyDescent="0.25">
      <c r="A15042" s="1" t="str">
        <f>HYPERLINK("http://www.rosaceae.org/Prunus/Prunus_persica/p.persica_gdr_reftransV1_0009298","p.persica_gdr_reftransV1_0009298")</f>
        <v>p.persica_gdr_reftransV1_0009298</v>
      </c>
      <c r="B15042" s="3">
        <v>1778</v>
      </c>
      <c r="C15042" s="1" t="str">
        <f>HYPERLINK("http://www.uniprot.org/uniprot/TRM1_METTH","TRM1_METTH")</f>
        <v>TRM1_METTH</v>
      </c>
      <c r="D15042" t="s">
        <v>9737</v>
      </c>
      <c r="E15042" s="3" t="s">
        <v>910</v>
      </c>
      <c r="F15042" s="4">
        <v>9.6099999999999996E-24</v>
      </c>
      <c r="G15042" s="3">
        <v>266</v>
      </c>
      <c r="H15042" s="3">
        <v>30</v>
      </c>
      <c r="I15042" s="3">
        <v>379</v>
      </c>
      <c r="J15042" s="3">
        <v>449</v>
      </c>
      <c r="K15042" s="3">
        <v>1567</v>
      </c>
      <c r="L15042" s="3">
        <v>25</v>
      </c>
      <c r="M15042" s="3">
        <v>368</v>
      </c>
    </row>
    <row r="15043" spans="1:13" x14ac:dyDescent="0.25">
      <c r="A15043" s="1" t="str">
        <f>HYPERLINK("http://www.rosaceae.org/Prunus/Prunus_persica/p.persica_gdr_reftransV1_0009348","p.persica_gdr_reftransV1_0009348")</f>
        <v>p.persica_gdr_reftransV1_0009348</v>
      </c>
      <c r="B15043" s="3">
        <v>3724</v>
      </c>
      <c r="C15043" s="1" t="str">
        <f>HYPERLINK("http://www.uniprot.org/uniprot/KCR1_ARATH","KCR1_ARATH")</f>
        <v>KCR1_ARATH</v>
      </c>
      <c r="D15043" t="s">
        <v>9738</v>
      </c>
      <c r="E15043" s="3" t="s">
        <v>3</v>
      </c>
      <c r="F15043" s="4">
        <v>3.7300000000000001E-49</v>
      </c>
      <c r="G15043" s="3">
        <v>465</v>
      </c>
      <c r="H15043" s="3">
        <v>46</v>
      </c>
      <c r="I15043" s="3">
        <v>214</v>
      </c>
      <c r="J15043" s="3">
        <v>217</v>
      </c>
      <c r="K15043" s="3">
        <v>852</v>
      </c>
      <c r="L15043" s="3">
        <v>10</v>
      </c>
      <c r="M15043" s="3">
        <v>218</v>
      </c>
    </row>
    <row r="15044" spans="1:13" x14ac:dyDescent="0.25">
      <c r="A15044" s="1" t="str">
        <f>HYPERLINK("http://www.rosaceae.org/Prunus/Prunus_persica/p.persica_gdr_reftransV1_0009448","p.persica_gdr_reftransV1_0009448")</f>
        <v>p.persica_gdr_reftransV1_0009448</v>
      </c>
      <c r="B15044" s="3">
        <v>1719</v>
      </c>
      <c r="C15044" s="1" t="str">
        <f>HYPERLINK("http://www.uniprot.org/uniprot/PP301_ARATH","PP301_ARATH")</f>
        <v>PP301_ARATH</v>
      </c>
      <c r="D15044" t="s">
        <v>1571</v>
      </c>
      <c r="E15044" s="3" t="s">
        <v>3</v>
      </c>
      <c r="F15044" s="4">
        <v>1.1700000000000001E-142</v>
      </c>
      <c r="G15044" s="3">
        <v>1127</v>
      </c>
      <c r="H15044" s="3">
        <v>49</v>
      </c>
      <c r="I15044" s="3">
        <v>423</v>
      </c>
      <c r="J15044" s="3">
        <v>396</v>
      </c>
      <c r="K15044" s="3">
        <v>1661</v>
      </c>
      <c r="L15044" s="3">
        <v>359</v>
      </c>
      <c r="M15044" s="3">
        <v>781</v>
      </c>
    </row>
    <row r="15045" spans="1:13" x14ac:dyDescent="0.25">
      <c r="A15045" s="1" t="str">
        <f>HYPERLINK("http://www.rosaceae.org/Prunus/Prunus_persica/p.persica_gdr_reftransV1_0009598","p.persica_gdr_reftransV1_0009598")</f>
        <v>p.persica_gdr_reftransV1_0009598</v>
      </c>
      <c r="B15045" s="3">
        <v>2464</v>
      </c>
      <c r="C15045" s="1" t="str">
        <f>HYPERLINK("http://www.uniprot.org/uniprot/RH53_ARATH","RH53_ARATH")</f>
        <v>RH53_ARATH</v>
      </c>
      <c r="D15045" t="s">
        <v>9739</v>
      </c>
      <c r="E15045" s="3" t="s">
        <v>3</v>
      </c>
      <c r="F15045" s="4">
        <v>0</v>
      </c>
      <c r="G15045" s="3">
        <v>1827</v>
      </c>
      <c r="H15045" s="3">
        <v>70</v>
      </c>
      <c r="I15045" s="3">
        <v>501</v>
      </c>
      <c r="J15045" s="3">
        <v>875</v>
      </c>
      <c r="K15045" s="3">
        <v>2359</v>
      </c>
      <c r="L15045" s="3">
        <v>1</v>
      </c>
      <c r="M15045" s="3">
        <v>487</v>
      </c>
    </row>
    <row r="15046" spans="1:13" x14ac:dyDescent="0.25">
      <c r="A15046" s="1" t="str">
        <f>HYPERLINK("http://www.rosaceae.org/Prunus/Prunus_persica/p.persica_gdr_reftransV1_0009648","p.persica_gdr_reftransV1_0009648")</f>
        <v>p.persica_gdr_reftransV1_0009648</v>
      </c>
      <c r="B15046" s="3">
        <v>2975</v>
      </c>
      <c r="C15046" s="1" t="str">
        <f>HYPERLINK("http://www.uniprot.org/uniprot/INVB_ARATH","INVB_ARATH")</f>
        <v>INVB_ARATH</v>
      </c>
      <c r="D15046" t="s">
        <v>6436</v>
      </c>
      <c r="E15046" s="3" t="s">
        <v>3</v>
      </c>
      <c r="F15046" s="4">
        <v>0</v>
      </c>
      <c r="G15046" s="3">
        <v>2583</v>
      </c>
      <c r="H15046" s="3">
        <v>84</v>
      </c>
      <c r="I15046" s="3">
        <v>567</v>
      </c>
      <c r="J15046" s="3">
        <v>890</v>
      </c>
      <c r="K15046" s="3">
        <v>2584</v>
      </c>
      <c r="L15046" s="3">
        <v>9</v>
      </c>
      <c r="M15046" s="3">
        <v>571</v>
      </c>
    </row>
    <row r="15047" spans="1:13" x14ac:dyDescent="0.25">
      <c r="A15047" s="1" t="str">
        <f>HYPERLINK("http://www.rosaceae.org/Prunus/Prunus_persica/p.persica_gdr_reftransV1_0009848","p.persica_gdr_reftransV1_0009848")</f>
        <v>p.persica_gdr_reftransV1_0009848</v>
      </c>
      <c r="B15047" s="3">
        <v>1405</v>
      </c>
      <c r="C15047" s="1" t="str">
        <f>HYPERLINK("http://www.uniprot.org/uniprot/KRP3_ARATH","KRP3_ARATH")</f>
        <v>KRP3_ARATH</v>
      </c>
      <c r="D15047" t="s">
        <v>4739</v>
      </c>
      <c r="E15047" s="3" t="s">
        <v>3</v>
      </c>
      <c r="F15047" s="4">
        <v>9.3100000000000001E-35</v>
      </c>
      <c r="G15047" s="3">
        <v>337</v>
      </c>
      <c r="H15047" s="3">
        <v>40</v>
      </c>
      <c r="I15047" s="3">
        <v>256</v>
      </c>
      <c r="J15047" s="3">
        <v>154</v>
      </c>
      <c r="K15047" s="3">
        <v>894</v>
      </c>
      <c r="L15047" s="3">
        <v>1</v>
      </c>
      <c r="M15047" s="3">
        <v>222</v>
      </c>
    </row>
    <row r="15048" spans="1:13" x14ac:dyDescent="0.25">
      <c r="A15048" s="1" t="str">
        <f>HYPERLINK("http://www.rosaceae.org/Prunus/Prunus_persica/p.persica_gdr_reftransV1_0009948","p.persica_gdr_reftransV1_0009948")</f>
        <v>p.persica_gdr_reftransV1_0009948</v>
      </c>
      <c r="B15048" s="3">
        <v>1027</v>
      </c>
      <c r="C15048" s="1" t="str">
        <f>HYPERLINK("http://www.uniprot.org/uniprot/RBS_MARPA","RBS_MARPA")</f>
        <v>RBS_MARPA</v>
      </c>
      <c r="D15048" t="s">
        <v>9740</v>
      </c>
      <c r="E15048" s="3" t="s">
        <v>9741</v>
      </c>
      <c r="F15048" s="4">
        <v>1.88E-59</v>
      </c>
      <c r="G15048" s="3">
        <v>496</v>
      </c>
      <c r="H15048" s="3">
        <v>64</v>
      </c>
      <c r="I15048" s="3">
        <v>134</v>
      </c>
      <c r="J15048" s="3">
        <v>306</v>
      </c>
      <c r="K15048" s="3">
        <v>704</v>
      </c>
      <c r="L15048" s="3">
        <v>45</v>
      </c>
      <c r="M15048" s="3">
        <v>178</v>
      </c>
    </row>
    <row r="15049" spans="1:13" x14ac:dyDescent="0.25">
      <c r="A15049" s="1" t="str">
        <f>HYPERLINK("http://www.rosaceae.org/Prunus/Prunus_persica/p.persica_gdr_reftransV1_0010098","p.persica_gdr_reftransV1_0010098")</f>
        <v>p.persica_gdr_reftransV1_0010098</v>
      </c>
      <c r="B15049" s="3">
        <v>2161</v>
      </c>
      <c r="C15049" s="1" t="str">
        <f>HYPERLINK("http://www.uniprot.org/uniprot/Y5262_ARATH","Y5262_ARATH")</f>
        <v>Y5262_ARATH</v>
      </c>
      <c r="D15049" t="s">
        <v>399</v>
      </c>
      <c r="E15049" s="3" t="s">
        <v>3</v>
      </c>
      <c r="F15049" s="4">
        <v>3.76E-18</v>
      </c>
      <c r="G15049" s="3">
        <v>227</v>
      </c>
      <c r="H15049" s="3">
        <v>35</v>
      </c>
      <c r="I15049" s="3">
        <v>167</v>
      </c>
      <c r="J15049" s="3">
        <v>797</v>
      </c>
      <c r="K15049" s="3">
        <v>1297</v>
      </c>
      <c r="L15049" s="3">
        <v>104</v>
      </c>
      <c r="M15049" s="3">
        <v>267</v>
      </c>
    </row>
    <row r="15050" spans="1:13" x14ac:dyDescent="0.25">
      <c r="A15050" s="1" t="str">
        <f>HYPERLINK("http://www.rosaceae.org/Prunus/Prunus_persica/p.persica_gdr_reftransV1_0010248","p.persica_gdr_reftransV1_0010248")</f>
        <v>p.persica_gdr_reftransV1_0010248</v>
      </c>
      <c r="B15050" s="3">
        <v>1661</v>
      </c>
      <c r="C15050" s="1" t="str">
        <f>HYPERLINK("http://www.uniprot.org/uniprot/SAT5_ARATH","SAT5_ARATH")</f>
        <v>SAT5_ARATH</v>
      </c>
      <c r="D15050" t="s">
        <v>9742</v>
      </c>
      <c r="E15050" s="3" t="s">
        <v>3</v>
      </c>
      <c r="F15050" s="4">
        <v>6.5699999999999998E-100</v>
      </c>
      <c r="G15050" s="3">
        <v>734</v>
      </c>
      <c r="H15050" s="3">
        <v>87</v>
      </c>
      <c r="I15050" s="3">
        <v>164</v>
      </c>
      <c r="J15050" s="3">
        <v>883</v>
      </c>
      <c r="K15050" s="3">
        <v>1371</v>
      </c>
      <c r="L15050" s="3">
        <v>149</v>
      </c>
      <c r="M15050" s="3">
        <v>312</v>
      </c>
    </row>
    <row r="15051" spans="1:13" x14ac:dyDescent="0.25">
      <c r="A15051" s="1" t="str">
        <f>HYPERLINK("http://www.rosaceae.org/Prunus/Prunus_persica/p.persica_gdr_reftransV1_0010298","p.persica_gdr_reftransV1_0010298")</f>
        <v>p.persica_gdr_reftransV1_0010298</v>
      </c>
      <c r="B15051" s="3">
        <v>7172</v>
      </c>
      <c r="C15051" s="1" t="str">
        <f>HYPERLINK("http://www.uniprot.org/uniprot/BRM_ARATH","BRM_ARATH")</f>
        <v>BRM_ARATH</v>
      </c>
      <c r="D15051" t="s">
        <v>9743</v>
      </c>
      <c r="E15051" s="3" t="s">
        <v>3</v>
      </c>
      <c r="F15051" s="4">
        <v>0</v>
      </c>
      <c r="G15051" s="3">
        <v>6561</v>
      </c>
      <c r="H15051" s="3">
        <v>67</v>
      </c>
      <c r="I15051" s="3">
        <v>2146</v>
      </c>
      <c r="J15051" s="3">
        <v>501</v>
      </c>
      <c r="K15051" s="3">
        <v>6896</v>
      </c>
      <c r="L15051" s="3">
        <v>126</v>
      </c>
      <c r="M15051" s="3">
        <v>2193</v>
      </c>
    </row>
    <row r="15052" spans="1:13" x14ac:dyDescent="0.25">
      <c r="A15052" s="1" t="str">
        <f>HYPERLINK("http://www.rosaceae.org/Prunus/Prunus_persica/p.persica_gdr_reftransV1_0010348","p.persica_gdr_reftransV1_0010348")</f>
        <v>p.persica_gdr_reftransV1_0010348</v>
      </c>
      <c r="B15052" s="3">
        <v>1164</v>
      </c>
      <c r="C15052" s="1" t="str">
        <f>HYPERLINK("http://www.uniprot.org/uniprot/P2C72_ARATH","P2C72_ARATH")</f>
        <v>P2C72_ARATH</v>
      </c>
      <c r="D15052" t="s">
        <v>9744</v>
      </c>
      <c r="E15052" s="3" t="s">
        <v>3</v>
      </c>
      <c r="F15052" s="4">
        <v>4.1100000000000001E-98</v>
      </c>
      <c r="G15052" s="3">
        <v>773</v>
      </c>
      <c r="H15052" s="3">
        <v>53</v>
      </c>
      <c r="I15052" s="3">
        <v>307</v>
      </c>
      <c r="J15052" s="3">
        <v>135</v>
      </c>
      <c r="K15052" s="3">
        <v>1049</v>
      </c>
      <c r="L15052" s="3">
        <v>44</v>
      </c>
      <c r="M15052" s="3">
        <v>327</v>
      </c>
    </row>
    <row r="15053" spans="1:13" x14ac:dyDescent="0.25">
      <c r="A15053" s="1" t="str">
        <f>HYPERLINK("http://www.rosaceae.org/Prunus/Prunus_persica/p.persica_gdr_reftransV1_0010548","p.persica_gdr_reftransV1_0010548")</f>
        <v>p.persica_gdr_reftransV1_0010548</v>
      </c>
      <c r="B15053" s="3">
        <v>3340</v>
      </c>
      <c r="C15053" s="1" t="str">
        <f>HYPERLINK("http://www.uniprot.org/uniprot/PP163_ARATH","PP163_ARATH")</f>
        <v>PP163_ARATH</v>
      </c>
      <c r="D15053" t="s">
        <v>6293</v>
      </c>
      <c r="E15053" s="3" t="s">
        <v>3</v>
      </c>
      <c r="F15053" s="4">
        <v>0</v>
      </c>
      <c r="G15053" s="3">
        <v>2889</v>
      </c>
      <c r="H15053" s="3">
        <v>65</v>
      </c>
      <c r="I15053" s="3">
        <v>841</v>
      </c>
      <c r="J15053" s="3">
        <v>628</v>
      </c>
      <c r="K15053" s="3">
        <v>3150</v>
      </c>
      <c r="L15053" s="3">
        <v>1</v>
      </c>
      <c r="M15053" s="3">
        <v>821</v>
      </c>
    </row>
    <row r="15054" spans="1:13" x14ac:dyDescent="0.25">
      <c r="A15054" s="1" t="str">
        <f>HYPERLINK("http://www.rosaceae.org/Prunus/Prunus_persica/p.persica_gdr_reftransV1_0010698","p.persica_gdr_reftransV1_0010698")</f>
        <v>p.persica_gdr_reftransV1_0010698</v>
      </c>
      <c r="B15054" s="3">
        <v>1541</v>
      </c>
      <c r="C15054" s="1" t="str">
        <f>HYPERLINK("http://www.uniprot.org/uniprot/TRM61_DICDI","TRM61_DICDI")</f>
        <v>TRM61_DICDI</v>
      </c>
      <c r="D15054" t="s">
        <v>9745</v>
      </c>
      <c r="E15054" s="3" t="s">
        <v>9</v>
      </c>
      <c r="F15054" s="4">
        <v>1.18E-64</v>
      </c>
      <c r="G15054" s="3">
        <v>556</v>
      </c>
      <c r="H15054" s="3">
        <v>42</v>
      </c>
      <c r="I15054" s="3">
        <v>306</v>
      </c>
      <c r="J15054" s="3">
        <v>417</v>
      </c>
      <c r="K15054" s="3">
        <v>1307</v>
      </c>
      <c r="L15054" s="3">
        <v>2</v>
      </c>
      <c r="M15054" s="3">
        <v>307</v>
      </c>
    </row>
    <row r="15055" spans="1:13" x14ac:dyDescent="0.25">
      <c r="A15055" s="1" t="str">
        <f>HYPERLINK("http://www.rosaceae.org/Prunus/Prunus_persica/p.persica_gdr_reftransV1_0010848","p.persica_gdr_reftransV1_0010848")</f>
        <v>p.persica_gdr_reftransV1_0010848</v>
      </c>
      <c r="B15055" s="3">
        <v>2305</v>
      </c>
      <c r="C15055" s="1" t="str">
        <f>HYPERLINK("http://www.uniprot.org/uniprot/PP217_ARATH","PP217_ARATH")</f>
        <v>PP217_ARATH</v>
      </c>
      <c r="D15055" t="s">
        <v>5869</v>
      </c>
      <c r="E15055" s="3" t="s">
        <v>3</v>
      </c>
      <c r="F15055" s="4">
        <v>0</v>
      </c>
      <c r="G15055" s="3">
        <v>2844</v>
      </c>
      <c r="H15055" s="3">
        <v>78</v>
      </c>
      <c r="I15055" s="3">
        <v>653</v>
      </c>
      <c r="J15055" s="3">
        <v>1</v>
      </c>
      <c r="K15055" s="3">
        <v>1959</v>
      </c>
      <c r="L15055" s="3">
        <v>219</v>
      </c>
      <c r="M15055" s="3">
        <v>871</v>
      </c>
    </row>
    <row r="15056" spans="1:13" x14ac:dyDescent="0.25">
      <c r="A15056" s="1" t="str">
        <f>HYPERLINK("http://www.rosaceae.org/Prunus/Prunus_persica/p.persica_gdr_reftransV1_0011048","p.persica_gdr_reftransV1_0011048")</f>
        <v>p.persica_gdr_reftransV1_0011048</v>
      </c>
      <c r="B15056" s="3">
        <v>1097</v>
      </c>
      <c r="C15056" s="1" t="str">
        <f>HYPERLINK("http://www.uniprot.org/uniprot/PP166_ARATH","PP166_ARATH")</f>
        <v>PP166_ARATH</v>
      </c>
      <c r="D15056" t="s">
        <v>2631</v>
      </c>
      <c r="E15056" s="3" t="s">
        <v>3</v>
      </c>
      <c r="F15056" s="4">
        <v>4.9599999999999996E-100</v>
      </c>
      <c r="G15056" s="3">
        <v>797</v>
      </c>
      <c r="H15056" s="3">
        <v>47</v>
      </c>
      <c r="I15056" s="3">
        <v>340</v>
      </c>
      <c r="J15056" s="3">
        <v>3</v>
      </c>
      <c r="K15056" s="3">
        <v>1022</v>
      </c>
      <c r="L15056" s="3">
        <v>12</v>
      </c>
      <c r="M15056" s="3">
        <v>347</v>
      </c>
    </row>
    <row r="15057" spans="1:13" x14ac:dyDescent="0.25">
      <c r="A15057" s="1" t="str">
        <f>HYPERLINK("http://www.rosaceae.org/Prunus/Prunus_persica/p.persica_gdr_reftransV1_0011398","p.persica_gdr_reftransV1_0011398")</f>
        <v>p.persica_gdr_reftransV1_0011398</v>
      </c>
      <c r="B15057" s="3">
        <v>2341</v>
      </c>
      <c r="C15057" s="1" t="str">
        <f>HYPERLINK("http://www.uniprot.org/uniprot/PIRL9_ARATH","PIRL9_ARATH")</f>
        <v>PIRL9_ARATH</v>
      </c>
      <c r="D15057" t="s">
        <v>9746</v>
      </c>
      <c r="E15057" s="3" t="s">
        <v>3</v>
      </c>
      <c r="F15057" s="4">
        <v>1.11E-79</v>
      </c>
      <c r="G15057" s="3">
        <v>691</v>
      </c>
      <c r="H15057" s="3">
        <v>49</v>
      </c>
      <c r="I15057" s="3">
        <v>319</v>
      </c>
      <c r="J15057" s="3">
        <v>280</v>
      </c>
      <c r="K15057" s="3">
        <v>1236</v>
      </c>
      <c r="L15057" s="3">
        <v>4</v>
      </c>
      <c r="M15057" s="3">
        <v>289</v>
      </c>
    </row>
    <row r="15058" spans="1:13" x14ac:dyDescent="0.25">
      <c r="A15058" s="1" t="str">
        <f>HYPERLINK("http://www.rosaceae.org/Prunus/Prunus_persica/p.persica_gdr_reftransV1_0011448","p.persica_gdr_reftransV1_0011448")</f>
        <v>p.persica_gdr_reftransV1_0011448</v>
      </c>
      <c r="B15058" s="3">
        <v>3006</v>
      </c>
      <c r="C15058" s="1" t="str">
        <f>HYPERLINK("http://www.uniprot.org/uniprot/RH48_ARATH","RH48_ARATH")</f>
        <v>RH48_ARATH</v>
      </c>
      <c r="D15058" t="s">
        <v>9747</v>
      </c>
      <c r="E15058" s="3" t="s">
        <v>3</v>
      </c>
      <c r="F15058" s="4">
        <v>0</v>
      </c>
      <c r="G15058" s="3">
        <v>2023</v>
      </c>
      <c r="H15058" s="3">
        <v>69</v>
      </c>
      <c r="I15058" s="3">
        <v>539</v>
      </c>
      <c r="J15058" s="3">
        <v>685</v>
      </c>
      <c r="K15058" s="3">
        <v>2298</v>
      </c>
      <c r="L15058" s="3">
        <v>261</v>
      </c>
      <c r="M15058" s="3">
        <v>798</v>
      </c>
    </row>
    <row r="15059" spans="1:13" x14ac:dyDescent="0.25">
      <c r="A15059" s="1" t="str">
        <f>HYPERLINK("http://www.rosaceae.org/Prunus/Prunus_persica/p.persica_gdr_reftransV1_0011498","p.persica_gdr_reftransV1_0011498")</f>
        <v>p.persica_gdr_reftransV1_0011498</v>
      </c>
      <c r="B15059" s="3">
        <v>2279</v>
      </c>
      <c r="C15059" s="1" t="str">
        <f>HYPERLINK("http://www.uniprot.org/uniprot/SD25_ARATH","SD25_ARATH")</f>
        <v>SD25_ARATH</v>
      </c>
      <c r="D15059" t="s">
        <v>4190</v>
      </c>
      <c r="E15059" s="3" t="s">
        <v>3</v>
      </c>
      <c r="F15059" s="4">
        <v>0</v>
      </c>
      <c r="G15059" s="3">
        <v>2415</v>
      </c>
      <c r="H15059" s="3">
        <v>67</v>
      </c>
      <c r="I15059" s="3">
        <v>702</v>
      </c>
      <c r="J15059" s="3">
        <v>1</v>
      </c>
      <c r="K15059" s="3">
        <v>2073</v>
      </c>
      <c r="L15059" s="3">
        <v>120</v>
      </c>
      <c r="M15059" s="3">
        <v>821</v>
      </c>
    </row>
    <row r="15060" spans="1:13" x14ac:dyDescent="0.25">
      <c r="A15060" s="1" t="str">
        <f>HYPERLINK("http://www.rosaceae.org/Prunus/Prunus_persica/p.persica_gdr_reftransV1_0011548","p.persica_gdr_reftransV1_0011548")</f>
        <v>p.persica_gdr_reftransV1_0011548</v>
      </c>
      <c r="B15060" s="3">
        <v>1355</v>
      </c>
      <c r="C15060" s="1" t="str">
        <f>HYPERLINK("http://www.uniprot.org/uniprot/MPC4_ARATH","MPC4_ARATH")</f>
        <v>MPC4_ARATH</v>
      </c>
      <c r="D15060" t="s">
        <v>3331</v>
      </c>
      <c r="E15060" s="3" t="s">
        <v>3</v>
      </c>
      <c r="F15060" s="4">
        <v>2.6999999999999999E-14</v>
      </c>
      <c r="G15060" s="3">
        <v>179</v>
      </c>
      <c r="H15060" s="3">
        <v>86</v>
      </c>
      <c r="I15060" s="3">
        <v>37</v>
      </c>
      <c r="J15060" s="3">
        <v>1</v>
      </c>
      <c r="K15060" s="3">
        <v>111</v>
      </c>
      <c r="L15060" s="3">
        <v>17</v>
      </c>
      <c r="M15060" s="3">
        <v>53</v>
      </c>
    </row>
    <row r="15061" spans="1:13" x14ac:dyDescent="0.25">
      <c r="A15061" s="1" t="str">
        <f>HYPERLINK("http://www.rosaceae.org/Prunus/Prunus_persica/p.persica_gdr_reftransV1_0011648","p.persica_gdr_reftransV1_0011648")</f>
        <v>p.persica_gdr_reftransV1_0011648</v>
      </c>
      <c r="B15061" s="3">
        <v>2534</v>
      </c>
      <c r="C15061" s="1" t="str">
        <f>HYPERLINK("http://www.uniprot.org/uniprot/Y2239_ARATH","Y2239_ARATH")</f>
        <v>Y2239_ARATH</v>
      </c>
      <c r="D15061" t="s">
        <v>9748</v>
      </c>
      <c r="E15061" s="3" t="s">
        <v>3</v>
      </c>
      <c r="F15061" s="4">
        <v>0</v>
      </c>
      <c r="G15061" s="3">
        <v>2310</v>
      </c>
      <c r="H15061" s="3">
        <v>75</v>
      </c>
      <c r="I15061" s="3">
        <v>618</v>
      </c>
      <c r="J15061" s="3">
        <v>298</v>
      </c>
      <c r="K15061" s="3">
        <v>2148</v>
      </c>
      <c r="L15061" s="3">
        <v>29</v>
      </c>
      <c r="M15061" s="3">
        <v>633</v>
      </c>
    </row>
    <row r="15062" spans="1:13" x14ac:dyDescent="0.25">
      <c r="A15062" s="1" t="str">
        <f>HYPERLINK("http://www.rosaceae.org/Prunus/Prunus_persica/p.persica_gdr_reftransV1_0011798","p.persica_gdr_reftransV1_0011798")</f>
        <v>p.persica_gdr_reftransV1_0011798</v>
      </c>
      <c r="B15062" s="3">
        <v>1174</v>
      </c>
      <c r="C15062" s="1" t="str">
        <f>HYPERLINK("http://www.uniprot.org/uniprot/P2C33_ARATH","P2C33_ARATH")</f>
        <v>P2C33_ARATH</v>
      </c>
      <c r="D15062" t="s">
        <v>58</v>
      </c>
      <c r="E15062" s="3" t="s">
        <v>3</v>
      </c>
      <c r="F15062" s="4">
        <v>1.4499999999999999E-103</v>
      </c>
      <c r="G15062" s="3">
        <v>824</v>
      </c>
      <c r="H15062" s="3">
        <v>62</v>
      </c>
      <c r="I15062" s="3">
        <v>269</v>
      </c>
      <c r="J15062" s="3">
        <v>398</v>
      </c>
      <c r="K15062" s="3">
        <v>1174</v>
      </c>
      <c r="L15062" s="3">
        <v>84</v>
      </c>
      <c r="M15062" s="3">
        <v>318</v>
      </c>
    </row>
    <row r="15063" spans="1:13" x14ac:dyDescent="0.25">
      <c r="A15063" s="1" t="str">
        <f>HYPERLINK("http://www.rosaceae.org/Prunus/Prunus_persica/p.persica_gdr_reftransV1_0011898","p.persica_gdr_reftransV1_0011898")</f>
        <v>p.persica_gdr_reftransV1_0011898</v>
      </c>
      <c r="B15063" s="3">
        <v>1256</v>
      </c>
      <c r="C15063" s="1" t="str">
        <f>HYPERLINK("http://www.uniprot.org/uniprot/LSM1B_ARATH","LSM1B_ARATH")</f>
        <v>LSM1B_ARATH</v>
      </c>
      <c r="D15063" t="s">
        <v>1770</v>
      </c>
      <c r="E15063" s="3" t="s">
        <v>3</v>
      </c>
      <c r="F15063" s="4">
        <v>1.5699999999999999E-45</v>
      </c>
      <c r="G15063" s="3">
        <v>403</v>
      </c>
      <c r="H15063" s="3">
        <v>82</v>
      </c>
      <c r="I15063" s="3">
        <v>128</v>
      </c>
      <c r="J15063" s="3">
        <v>462</v>
      </c>
      <c r="K15063" s="3">
        <v>845</v>
      </c>
      <c r="L15063" s="3">
        <v>1</v>
      </c>
      <c r="M15063" s="3">
        <v>128</v>
      </c>
    </row>
    <row r="15064" spans="1:13" x14ac:dyDescent="0.25">
      <c r="A15064" s="1" t="str">
        <f>HYPERLINK("http://www.rosaceae.org/Prunus/Prunus_persica/p.persica_gdr_reftransV1_0011998","p.persica_gdr_reftransV1_0011998")</f>
        <v>p.persica_gdr_reftransV1_0011998</v>
      </c>
      <c r="B15064" s="3">
        <v>1713</v>
      </c>
      <c r="C15064" s="1" t="str">
        <f>HYPERLINK("http://www.uniprot.org/uniprot/SCMC3_HUMAN","SCMC3_HUMAN")</f>
        <v>SCMC3_HUMAN</v>
      </c>
      <c r="D15064" t="s">
        <v>9749</v>
      </c>
      <c r="E15064" s="3" t="s">
        <v>28</v>
      </c>
      <c r="F15064" s="4">
        <v>5.3500000000000005E-82</v>
      </c>
      <c r="G15064" s="3">
        <v>692</v>
      </c>
      <c r="H15064" s="3">
        <v>46</v>
      </c>
      <c r="I15064" s="3">
        <v>347</v>
      </c>
      <c r="J15064" s="3">
        <v>6</v>
      </c>
      <c r="K15064" s="3">
        <v>1007</v>
      </c>
      <c r="L15064" s="3">
        <v>125</v>
      </c>
      <c r="M15064" s="3">
        <v>463</v>
      </c>
    </row>
    <row r="15065" spans="1:13" x14ac:dyDescent="0.25">
      <c r="A15065" s="1" t="str">
        <f>HYPERLINK("http://www.rosaceae.org/Prunus/Prunus_persica/p.persica_gdr_reftransV1_0012048","p.persica_gdr_reftransV1_0012048")</f>
        <v>p.persica_gdr_reftransV1_0012048</v>
      </c>
      <c r="B15065" s="3">
        <v>385</v>
      </c>
      <c r="C15065" s="1" t="str">
        <f>HYPERLINK("http://www.uniprot.org/uniprot/NEN2_ARATH","NEN2_ARATH")</f>
        <v>NEN2_ARATH</v>
      </c>
      <c r="D15065" t="s">
        <v>9750</v>
      </c>
      <c r="E15065" s="3" t="s">
        <v>3</v>
      </c>
      <c r="F15065" s="4">
        <v>4.3600000000000001E-27</v>
      </c>
      <c r="G15065" s="3">
        <v>269</v>
      </c>
      <c r="H15065" s="3">
        <v>41</v>
      </c>
      <c r="I15065" s="3">
        <v>186</v>
      </c>
      <c r="J15065" s="3">
        <v>3</v>
      </c>
      <c r="K15065" s="3">
        <v>374</v>
      </c>
      <c r="L15065" s="3">
        <v>160</v>
      </c>
      <c r="M15065" s="3">
        <v>345</v>
      </c>
    </row>
    <row r="15066" spans="1:13" x14ac:dyDescent="0.25">
      <c r="A15066" s="1" t="str">
        <f>HYPERLINK("http://www.rosaceae.org/Prunus/Prunus_persica/p.persica_gdr_reftransV1_0012148","p.persica_gdr_reftransV1_0012148")</f>
        <v>p.persica_gdr_reftransV1_0012148</v>
      </c>
      <c r="B15066" s="3">
        <v>2081</v>
      </c>
      <c r="C15066" s="1" t="str">
        <f>HYPERLINK("http://www.uniprot.org/uniprot/TI442_ARATH","TI442_ARATH")</f>
        <v>TI442_ARATH</v>
      </c>
      <c r="D15066" t="s">
        <v>9751</v>
      </c>
      <c r="E15066" s="3" t="s">
        <v>3</v>
      </c>
      <c r="F15066" s="4">
        <v>1.03E-167</v>
      </c>
      <c r="G15066" s="3">
        <v>1278</v>
      </c>
      <c r="H15066" s="3">
        <v>59</v>
      </c>
      <c r="I15066" s="3">
        <v>444</v>
      </c>
      <c r="J15066" s="3">
        <v>179</v>
      </c>
      <c r="K15066" s="3">
        <v>1504</v>
      </c>
      <c r="L15066" s="3">
        <v>1</v>
      </c>
      <c r="M15066" s="3">
        <v>429</v>
      </c>
    </row>
    <row r="15067" spans="1:13" x14ac:dyDescent="0.25">
      <c r="A15067" s="1" t="str">
        <f>HYPERLINK("http://www.rosaceae.org/Prunus/Prunus_persica/p.persica_gdr_reftransV1_0012198","p.persica_gdr_reftransV1_0012198")</f>
        <v>p.persica_gdr_reftransV1_0012198</v>
      </c>
      <c r="B15067" s="3">
        <v>2730</v>
      </c>
      <c r="C15067" s="1" t="str">
        <f>HYPERLINK("http://www.uniprot.org/uniprot/LIMYB_ARATH","LIMYB_ARATH")</f>
        <v>LIMYB_ARATH</v>
      </c>
      <c r="D15067" t="s">
        <v>1896</v>
      </c>
      <c r="E15067" s="3" t="s">
        <v>3</v>
      </c>
      <c r="F15067" s="4">
        <v>4.5299999999999998E-30</v>
      </c>
      <c r="G15067" s="3">
        <v>323</v>
      </c>
      <c r="H15067" s="3">
        <v>24</v>
      </c>
      <c r="I15067" s="3">
        <v>438</v>
      </c>
      <c r="J15067" s="3">
        <v>285</v>
      </c>
      <c r="K15067" s="3">
        <v>1547</v>
      </c>
      <c r="L15067" s="3">
        <v>2</v>
      </c>
      <c r="M15067" s="3">
        <v>425</v>
      </c>
    </row>
    <row r="15068" spans="1:13" x14ac:dyDescent="0.25">
      <c r="A15068" s="1" t="str">
        <f>HYPERLINK("http://www.rosaceae.org/Prunus/Prunus_persica/p.persica_gdr_reftransV1_0012298","p.persica_gdr_reftransV1_0012298")</f>
        <v>p.persica_gdr_reftransV1_0012298</v>
      </c>
      <c r="B15068" s="3">
        <v>2837</v>
      </c>
      <c r="C15068" s="1" t="str">
        <f>HYPERLINK("http://www.uniprot.org/uniprot/AGD3_ARATH","AGD3_ARATH")</f>
        <v>AGD3_ARATH</v>
      </c>
      <c r="D15068" t="s">
        <v>8966</v>
      </c>
      <c r="E15068" s="3" t="s">
        <v>3</v>
      </c>
      <c r="F15068" s="4">
        <v>0</v>
      </c>
      <c r="G15068" s="3">
        <v>2617</v>
      </c>
      <c r="H15068" s="3">
        <v>64</v>
      </c>
      <c r="I15068" s="3">
        <v>813</v>
      </c>
      <c r="J15068" s="3">
        <v>2</v>
      </c>
      <c r="K15068" s="3">
        <v>2377</v>
      </c>
      <c r="L15068" s="3">
        <v>13</v>
      </c>
      <c r="M15068" s="3">
        <v>819</v>
      </c>
    </row>
    <row r="15069" spans="1:13" x14ac:dyDescent="0.25">
      <c r="A15069" s="1" t="str">
        <f>HYPERLINK("http://www.rosaceae.org/Prunus/Prunus_persica/p.persica_gdr_reftransV1_0012398","p.persica_gdr_reftransV1_0012398")</f>
        <v>p.persica_gdr_reftransV1_0012398</v>
      </c>
      <c r="B15069" s="3">
        <v>1150</v>
      </c>
      <c r="C15069" s="1" t="str">
        <f>HYPERLINK("http://www.uniprot.org/uniprot/CYB5_BRAOB","CYB5_BRAOB")</f>
        <v>CYB5_BRAOB</v>
      </c>
      <c r="D15069" t="s">
        <v>9306</v>
      </c>
      <c r="E15069" s="3" t="s">
        <v>1308</v>
      </c>
      <c r="F15069" s="4">
        <v>2.3899999999999998E-53</v>
      </c>
      <c r="G15069" s="3">
        <v>454</v>
      </c>
      <c r="H15069" s="3">
        <v>80</v>
      </c>
      <c r="I15069" s="3">
        <v>105</v>
      </c>
      <c r="J15069" s="3">
        <v>581</v>
      </c>
      <c r="K15069" s="3">
        <v>895</v>
      </c>
      <c r="L15069" s="3">
        <v>30</v>
      </c>
      <c r="M15069" s="3">
        <v>134</v>
      </c>
    </row>
    <row r="15070" spans="1:13" x14ac:dyDescent="0.25">
      <c r="A15070" s="1" t="str">
        <f>HYPERLINK("http://www.rosaceae.org/Prunus/Prunus_persica/p.persica_gdr_reftransV1_0013048","p.persica_gdr_reftransV1_0013048")</f>
        <v>p.persica_gdr_reftransV1_0013048</v>
      </c>
      <c r="B15070" s="3">
        <v>1868</v>
      </c>
      <c r="C15070" s="1" t="str">
        <f>HYPERLINK("http://www.uniprot.org/uniprot/TM245_RAT","TM245_RAT")</f>
        <v>TM245_RAT</v>
      </c>
      <c r="D15070" t="s">
        <v>9752</v>
      </c>
      <c r="E15070" s="3" t="s">
        <v>161</v>
      </c>
      <c r="F15070" s="4">
        <v>6.7099999999999999E-8</v>
      </c>
      <c r="G15070" s="3">
        <v>143</v>
      </c>
      <c r="H15070" s="3">
        <v>28</v>
      </c>
      <c r="I15070" s="3">
        <v>144</v>
      </c>
      <c r="J15070" s="3">
        <v>601</v>
      </c>
      <c r="K15070" s="3">
        <v>1026</v>
      </c>
      <c r="L15070" s="3">
        <v>713</v>
      </c>
      <c r="M15070" s="3">
        <v>854</v>
      </c>
    </row>
    <row r="15071" spans="1:13" x14ac:dyDescent="0.25">
      <c r="A15071" s="1" t="str">
        <f>HYPERLINK("http://www.rosaceae.org/Prunus/Prunus_persica/p.persica_gdr_reftransV1_0013098","p.persica_gdr_reftransV1_0013098")</f>
        <v>p.persica_gdr_reftransV1_0013098</v>
      </c>
      <c r="B15071" s="3">
        <v>4978</v>
      </c>
      <c r="C15071" s="1" t="str">
        <f>HYPERLINK("http://www.uniprot.org/uniprot/REF6_ARATH","REF6_ARATH")</f>
        <v>REF6_ARATH</v>
      </c>
      <c r="D15071" t="s">
        <v>9753</v>
      </c>
      <c r="E15071" s="3" t="s">
        <v>3</v>
      </c>
      <c r="F15071" s="4">
        <v>0</v>
      </c>
      <c r="G15071" s="3">
        <v>3394</v>
      </c>
      <c r="H15071" s="3">
        <v>51</v>
      </c>
      <c r="I15071" s="3">
        <v>1512</v>
      </c>
      <c r="J15071" s="3">
        <v>277</v>
      </c>
      <c r="K15071" s="3">
        <v>4710</v>
      </c>
      <c r="L15071" s="3">
        <v>3</v>
      </c>
      <c r="M15071" s="3">
        <v>1357</v>
      </c>
    </row>
    <row r="15072" spans="1:13" x14ac:dyDescent="0.25">
      <c r="A15072" s="1" t="str">
        <f>HYPERLINK("http://www.rosaceae.org/Prunus/Prunus_persica/p.persica_gdr_reftransV1_0013248","p.persica_gdr_reftransV1_0013248")</f>
        <v>p.persica_gdr_reftransV1_0013248</v>
      </c>
      <c r="B15072" s="3">
        <v>1921</v>
      </c>
      <c r="C15072" s="1" t="str">
        <f>HYPERLINK("http://www.uniprot.org/uniprot/idH1_ARATH","idH1_ARATH")</f>
        <v>idH1_ARATH</v>
      </c>
      <c r="D15072" t="s">
        <v>8391</v>
      </c>
      <c r="E15072" s="3" t="s">
        <v>3</v>
      </c>
      <c r="F15072" s="4">
        <v>0</v>
      </c>
      <c r="G15072" s="3">
        <v>1607</v>
      </c>
      <c r="H15072" s="3">
        <v>88</v>
      </c>
      <c r="I15072" s="3">
        <v>373</v>
      </c>
      <c r="J15072" s="3">
        <v>633</v>
      </c>
      <c r="K15072" s="3">
        <v>1751</v>
      </c>
      <c r="L15072" s="3">
        <v>1</v>
      </c>
      <c r="M15072" s="3">
        <v>367</v>
      </c>
    </row>
    <row r="15073" spans="1:13" x14ac:dyDescent="0.25">
      <c r="A15073" s="1" t="str">
        <f>HYPERLINK("http://www.rosaceae.org/Prunus/Prunus_persica/p.persica_gdr_reftransV1_0013398","p.persica_gdr_reftransV1_0013398")</f>
        <v>p.persica_gdr_reftransV1_0013398</v>
      </c>
      <c r="B15073" s="3">
        <v>879</v>
      </c>
      <c r="C15073" s="1" t="str">
        <f>HYPERLINK("http://www.uniprot.org/uniprot/RPB9A_ARATH","RPB9A_ARATH")</f>
        <v>RPB9A_ARATH</v>
      </c>
      <c r="D15073" t="s">
        <v>9754</v>
      </c>
      <c r="E15073" s="3" t="s">
        <v>3</v>
      </c>
      <c r="F15073" s="4">
        <v>6.7599999999999996E-72</v>
      </c>
      <c r="G15073" s="3">
        <v>569</v>
      </c>
      <c r="H15073" s="3">
        <v>89</v>
      </c>
      <c r="I15073" s="3">
        <v>114</v>
      </c>
      <c r="J15073" s="3">
        <v>430</v>
      </c>
      <c r="K15073" s="3">
        <v>771</v>
      </c>
      <c r="L15073" s="3">
        <v>1</v>
      </c>
      <c r="M15073" s="3">
        <v>114</v>
      </c>
    </row>
    <row r="15074" spans="1:13" x14ac:dyDescent="0.25">
      <c r="A15074" s="1" t="str">
        <f>HYPERLINK("http://www.rosaceae.org/Prunus/Prunus_persica/p.persica_gdr_reftransV1_0013448","p.persica_gdr_reftransV1_0013448")</f>
        <v>p.persica_gdr_reftransV1_0013448</v>
      </c>
      <c r="B15074" s="3">
        <v>3820</v>
      </c>
      <c r="C15074" s="1" t="str">
        <f>HYPERLINK("http://www.uniprot.org/uniprot/RLP12_ARATH","RLP12_ARATH")</f>
        <v>RLP12_ARATH</v>
      </c>
      <c r="D15074" t="s">
        <v>1219</v>
      </c>
      <c r="E15074" s="3" t="s">
        <v>3</v>
      </c>
      <c r="F15074" s="4">
        <v>3.52E-84</v>
      </c>
      <c r="G15074" s="3">
        <v>764</v>
      </c>
      <c r="H15074" s="3">
        <v>34</v>
      </c>
      <c r="I15074" s="3">
        <v>758</v>
      </c>
      <c r="J15074" s="3">
        <v>941</v>
      </c>
      <c r="K15074" s="3">
        <v>3190</v>
      </c>
      <c r="L15074" s="3">
        <v>103</v>
      </c>
      <c r="M15074" s="3">
        <v>770</v>
      </c>
    </row>
    <row r="15075" spans="1:13" x14ac:dyDescent="0.25">
      <c r="A15075" s="1" t="str">
        <f>HYPERLINK("http://www.rosaceae.org/Prunus/Prunus_persica/p.persica_gdr_reftransV1_0013498","p.persica_gdr_reftransV1_0013498")</f>
        <v>p.persica_gdr_reftransV1_0013498</v>
      </c>
      <c r="B15075" s="3">
        <v>1566</v>
      </c>
      <c r="C15075" s="1" t="str">
        <f>HYPERLINK("http://www.uniprot.org/uniprot/ABIL1_ARATH","ABIL1_ARATH")</f>
        <v>ABIL1_ARATH</v>
      </c>
      <c r="D15075" t="s">
        <v>9755</v>
      </c>
      <c r="E15075" s="3" t="s">
        <v>3</v>
      </c>
      <c r="F15075" s="4">
        <v>2.4500000000000002E-120</v>
      </c>
      <c r="G15075" s="3">
        <v>930</v>
      </c>
      <c r="H15075" s="3">
        <v>65</v>
      </c>
      <c r="I15075" s="3">
        <v>308</v>
      </c>
      <c r="J15075" s="3">
        <v>159</v>
      </c>
      <c r="K15075" s="3">
        <v>1082</v>
      </c>
      <c r="L15075" s="3">
        <v>1</v>
      </c>
      <c r="M15075" s="3">
        <v>298</v>
      </c>
    </row>
    <row r="15076" spans="1:13" x14ac:dyDescent="0.25">
      <c r="A15076" s="1" t="str">
        <f>HYPERLINK("http://www.rosaceae.org/Prunus/Prunus_persica/p.persica_gdr_reftransV1_0013648","p.persica_gdr_reftransV1_0013648")</f>
        <v>p.persica_gdr_reftransV1_0013648</v>
      </c>
      <c r="B15076" s="3">
        <v>435</v>
      </c>
      <c r="C15076" s="1" t="str">
        <f>HYPERLINK("http://www.uniprot.org/uniprot/TRA1_MAIZE","TRA1_MAIZE")</f>
        <v>TRA1_MAIZE</v>
      </c>
      <c r="D15076" t="s">
        <v>3264</v>
      </c>
      <c r="E15076" s="3" t="s">
        <v>72</v>
      </c>
      <c r="F15076" s="4">
        <v>2.2699999999999999E-16</v>
      </c>
      <c r="G15076" s="3">
        <v>196</v>
      </c>
      <c r="H15076" s="3">
        <v>33</v>
      </c>
      <c r="I15076" s="3">
        <v>138</v>
      </c>
      <c r="J15076" s="3">
        <v>41</v>
      </c>
      <c r="K15076" s="3">
        <v>433</v>
      </c>
      <c r="L15076" s="3">
        <v>391</v>
      </c>
      <c r="M15076" s="3">
        <v>525</v>
      </c>
    </row>
    <row r="15077" spans="1:13" x14ac:dyDescent="0.25">
      <c r="A15077" s="1" t="str">
        <f>HYPERLINK("http://www.rosaceae.org/Prunus/Prunus_persica/p.persica_gdr_reftransV1_0013698","p.persica_gdr_reftransV1_0013698")</f>
        <v>p.persica_gdr_reftransV1_0013698</v>
      </c>
      <c r="B15077" s="3">
        <v>916</v>
      </c>
      <c r="C15077" s="1" t="str">
        <f>HYPERLINK("http://www.uniprot.org/uniprot/CRK8_ARATH","CRK8_ARATH")</f>
        <v>CRK8_ARATH</v>
      </c>
      <c r="D15077" t="s">
        <v>9721</v>
      </c>
      <c r="E15077" s="3" t="s">
        <v>3</v>
      </c>
      <c r="F15077" s="4">
        <v>6.4800000000000001E-66</v>
      </c>
      <c r="G15077" s="3">
        <v>571</v>
      </c>
      <c r="H15077" s="3">
        <v>66</v>
      </c>
      <c r="I15077" s="3">
        <v>160</v>
      </c>
      <c r="J15077" s="3">
        <v>1</v>
      </c>
      <c r="K15077" s="3">
        <v>477</v>
      </c>
      <c r="L15077" s="3">
        <v>482</v>
      </c>
      <c r="M15077" s="3">
        <v>640</v>
      </c>
    </row>
    <row r="15078" spans="1:13" x14ac:dyDescent="0.25">
      <c r="A15078" s="1" t="str">
        <f>HYPERLINK("http://www.rosaceae.org/Prunus/Prunus_persica/p.persica_gdr_reftransV1_0013798","p.persica_gdr_reftransV1_0013798")</f>
        <v>p.persica_gdr_reftransV1_0013798</v>
      </c>
      <c r="B15078" s="3">
        <v>2556</v>
      </c>
      <c r="C15078" s="1" t="str">
        <f>HYPERLINK("http://www.uniprot.org/uniprot/Y3725_ARATH","Y3725_ARATH")</f>
        <v>Y3725_ARATH</v>
      </c>
      <c r="D15078" t="s">
        <v>9756</v>
      </c>
      <c r="E15078" s="3" t="s">
        <v>3</v>
      </c>
      <c r="F15078" s="4">
        <v>3.4999999999999999E-130</v>
      </c>
      <c r="G15078" s="3">
        <v>735</v>
      </c>
      <c r="H15078" s="3">
        <v>60</v>
      </c>
      <c r="I15078" s="3">
        <v>307</v>
      </c>
      <c r="J15078" s="3">
        <v>1457</v>
      </c>
      <c r="K15078" s="3">
        <v>2365</v>
      </c>
      <c r="L15078" s="3">
        <v>83</v>
      </c>
      <c r="M15078" s="3">
        <v>361</v>
      </c>
    </row>
    <row r="15079" spans="1:13" x14ac:dyDescent="0.25">
      <c r="A15079" s="1" t="str">
        <f>HYPERLINK("http://www.rosaceae.org/Prunus/Prunus_persica/p.persica_gdr_reftransV1_0013898","p.persica_gdr_reftransV1_0013898")</f>
        <v>p.persica_gdr_reftransV1_0013898</v>
      </c>
      <c r="B15079" s="3">
        <v>2011</v>
      </c>
      <c r="C15079" s="1" t="str">
        <f>HYPERLINK("http://www.uniprot.org/uniprot/GAE4_ARATH","GAE4_ARATH")</f>
        <v>GAE4_ARATH</v>
      </c>
      <c r="D15079" t="s">
        <v>1329</v>
      </c>
      <c r="E15079" s="3" t="s">
        <v>3</v>
      </c>
      <c r="F15079" s="4">
        <v>0</v>
      </c>
      <c r="G15079" s="3">
        <v>1587</v>
      </c>
      <c r="H15079" s="3">
        <v>74</v>
      </c>
      <c r="I15079" s="3">
        <v>437</v>
      </c>
      <c r="J15079" s="3">
        <v>334</v>
      </c>
      <c r="K15079" s="3">
        <v>1620</v>
      </c>
      <c r="L15079" s="3">
        <v>1</v>
      </c>
      <c r="M15079" s="3">
        <v>436</v>
      </c>
    </row>
    <row r="15080" spans="1:13" x14ac:dyDescent="0.25">
      <c r="A15080" s="1" t="str">
        <f>HYPERLINK("http://www.rosaceae.org/Prunus/Prunus_persica/p.persica_gdr_reftransV1_0014098","p.persica_gdr_reftransV1_0014098")</f>
        <v>p.persica_gdr_reftransV1_0014098</v>
      </c>
      <c r="B15080" s="3">
        <v>2084</v>
      </c>
      <c r="C15080" s="1" t="str">
        <f>HYPERLINK("http://www.uniprot.org/uniprot/CRK3_ARATH","CRK3_ARATH")</f>
        <v>CRK3_ARATH</v>
      </c>
      <c r="D15080" t="s">
        <v>3424</v>
      </c>
      <c r="E15080" s="3" t="s">
        <v>3</v>
      </c>
      <c r="F15080" s="4">
        <v>7.4899999999999999E-111</v>
      </c>
      <c r="G15080" s="3">
        <v>912</v>
      </c>
      <c r="H15080" s="3">
        <v>41</v>
      </c>
      <c r="I15080" s="3">
        <v>505</v>
      </c>
      <c r="J15080" s="3">
        <v>585</v>
      </c>
      <c r="K15080" s="3">
        <v>2081</v>
      </c>
      <c r="L15080" s="3">
        <v>120</v>
      </c>
      <c r="M15080" s="3">
        <v>607</v>
      </c>
    </row>
    <row r="15081" spans="1:13" x14ac:dyDescent="0.25">
      <c r="A15081" s="1" t="str">
        <f>HYPERLINK("http://www.rosaceae.org/Prunus/Prunus_persica/p.persica_gdr_reftransV1_0014148","p.persica_gdr_reftransV1_0014148")</f>
        <v>p.persica_gdr_reftransV1_0014148</v>
      </c>
      <c r="B15081" s="3">
        <v>1579</v>
      </c>
      <c r="C15081" s="1" t="str">
        <f>HYPERLINK("http://www.uniprot.org/uniprot/DEF1A_ARATH","DEF1A_ARATH")</f>
        <v>DEF1A_ARATH</v>
      </c>
      <c r="D15081" t="s">
        <v>9757</v>
      </c>
      <c r="E15081" s="3" t="s">
        <v>3</v>
      </c>
      <c r="F15081" s="4">
        <v>4.9399999999999997E-123</v>
      </c>
      <c r="G15081" s="3">
        <v>946</v>
      </c>
      <c r="H15081" s="3">
        <v>67</v>
      </c>
      <c r="I15081" s="3">
        <v>279</v>
      </c>
      <c r="J15081" s="3">
        <v>643</v>
      </c>
      <c r="K15081" s="3">
        <v>1467</v>
      </c>
      <c r="L15081" s="3">
        <v>7</v>
      </c>
      <c r="M15081" s="3">
        <v>267</v>
      </c>
    </row>
    <row r="15082" spans="1:13" x14ac:dyDescent="0.25">
      <c r="A15082" s="1" t="str">
        <f>HYPERLINK("http://www.rosaceae.org/Prunus/Prunus_persica/p.persica_gdr_reftransV1_0014248","p.persica_gdr_reftransV1_0014248")</f>
        <v>p.persica_gdr_reftransV1_0014248</v>
      </c>
      <c r="B15082" s="3">
        <v>476</v>
      </c>
      <c r="C15082" s="1" t="str">
        <f>HYPERLINK("http://www.uniprot.org/uniprot/C7A22_PANGI","C7A22_PANGI")</f>
        <v>C7A22_PANGI</v>
      </c>
      <c r="D15082" t="s">
        <v>3096</v>
      </c>
      <c r="E15082" s="3" t="s">
        <v>1477</v>
      </c>
      <c r="F15082" s="4">
        <v>4.0500000000000001E-62</v>
      </c>
      <c r="G15082" s="3">
        <v>522</v>
      </c>
      <c r="H15082" s="3">
        <v>62</v>
      </c>
      <c r="I15082" s="3">
        <v>158</v>
      </c>
      <c r="J15082" s="3">
        <v>1</v>
      </c>
      <c r="K15082" s="3">
        <v>474</v>
      </c>
      <c r="L15082" s="3">
        <v>346</v>
      </c>
      <c r="M15082" s="3">
        <v>503</v>
      </c>
    </row>
    <row r="15083" spans="1:13" x14ac:dyDescent="0.25">
      <c r="A15083" s="1" t="str">
        <f>HYPERLINK("http://www.rosaceae.org/Prunus/Prunus_persica/p.persica_gdr_reftransV1_0014348","p.persica_gdr_reftransV1_0014348")</f>
        <v>p.persica_gdr_reftransV1_0014348</v>
      </c>
      <c r="B15083" s="3">
        <v>2462</v>
      </c>
      <c r="C15083" s="1" t="str">
        <f>HYPERLINK("http://www.uniprot.org/uniprot/GAIPB_CUCMA","GAIPB_CUCMA")</f>
        <v>GAIPB_CUCMA</v>
      </c>
      <c r="D15083" t="s">
        <v>9758</v>
      </c>
      <c r="E15083" s="3" t="s">
        <v>1511</v>
      </c>
      <c r="F15083" s="4">
        <v>0</v>
      </c>
      <c r="G15083" s="3">
        <v>2188</v>
      </c>
      <c r="H15083" s="3">
        <v>71</v>
      </c>
      <c r="I15083" s="3">
        <v>635</v>
      </c>
      <c r="J15083" s="3">
        <v>265</v>
      </c>
      <c r="K15083" s="3">
        <v>2157</v>
      </c>
      <c r="L15083" s="3">
        <v>1</v>
      </c>
      <c r="M15083" s="3">
        <v>584</v>
      </c>
    </row>
    <row r="15084" spans="1:13" x14ac:dyDescent="0.25">
      <c r="A15084" s="1" t="str">
        <f>HYPERLINK("http://www.rosaceae.org/Prunus/Prunus_persica/p.persica_gdr_reftransV1_0014398","p.persica_gdr_reftransV1_0014398")</f>
        <v>p.persica_gdr_reftransV1_0014398</v>
      </c>
      <c r="B15084" s="3">
        <v>1163</v>
      </c>
      <c r="C15084" s="1" t="str">
        <f>HYPERLINK("http://www.uniprot.org/uniprot/RS17_SOLLC","RS17_SOLLC")</f>
        <v>RS17_SOLLC</v>
      </c>
      <c r="D15084" t="s">
        <v>9759</v>
      </c>
      <c r="E15084" s="3" t="s">
        <v>64</v>
      </c>
      <c r="F15084" s="4">
        <v>2.1800000000000001E-69</v>
      </c>
      <c r="G15084" s="3">
        <v>564</v>
      </c>
      <c r="H15084" s="3">
        <v>91</v>
      </c>
      <c r="I15084" s="3">
        <v>117</v>
      </c>
      <c r="J15084" s="3">
        <v>113</v>
      </c>
      <c r="K15084" s="3">
        <v>463</v>
      </c>
      <c r="L15084" s="3">
        <v>1</v>
      </c>
      <c r="M15084" s="3">
        <v>117</v>
      </c>
    </row>
    <row r="15085" spans="1:13" x14ac:dyDescent="0.25">
      <c r="A15085" s="1" t="str">
        <f>HYPERLINK("http://www.rosaceae.org/Prunus/Prunus_persica/p.persica_gdr_reftransV1_0014648","p.persica_gdr_reftransV1_0014648")</f>
        <v>p.persica_gdr_reftransV1_0014648</v>
      </c>
      <c r="B15085" s="3">
        <v>2908</v>
      </c>
      <c r="C15085" s="1" t="str">
        <f>HYPERLINK("http://www.uniprot.org/uniprot/PI3K1_SOYBN","PI3K1_SOYBN")</f>
        <v>PI3K1_SOYBN</v>
      </c>
      <c r="D15085" t="s">
        <v>9760</v>
      </c>
      <c r="E15085" s="3" t="s">
        <v>307</v>
      </c>
      <c r="F15085" s="4">
        <v>0</v>
      </c>
      <c r="G15085" s="3">
        <v>3809</v>
      </c>
      <c r="H15085" s="3">
        <v>91</v>
      </c>
      <c r="I15085" s="3">
        <v>816</v>
      </c>
      <c r="J15085" s="3">
        <v>302</v>
      </c>
      <c r="K15085" s="3">
        <v>2749</v>
      </c>
      <c r="L15085" s="3">
        <v>1</v>
      </c>
      <c r="M15085" s="3">
        <v>814</v>
      </c>
    </row>
    <row r="15086" spans="1:13" x14ac:dyDescent="0.25">
      <c r="A15086" s="1" t="str">
        <f>HYPERLINK("http://www.rosaceae.org/Prunus/Prunus_persica/p.persica_gdr_reftransV1_0014748","p.persica_gdr_reftransV1_0014748")</f>
        <v>p.persica_gdr_reftransV1_0014748</v>
      </c>
      <c r="B15086" s="3">
        <v>1530</v>
      </c>
      <c r="C15086" s="1" t="str">
        <f>HYPERLINK("http://www.uniprot.org/uniprot/RS6_ASPOF","RS6_ASPOF")</f>
        <v>RS6_ASPOF</v>
      </c>
      <c r="D15086" t="s">
        <v>3094</v>
      </c>
      <c r="E15086" s="3" t="s">
        <v>3095</v>
      </c>
      <c r="F15086" s="4">
        <v>7.0399999999999998E-102</v>
      </c>
      <c r="G15086" s="3">
        <v>568</v>
      </c>
      <c r="H15086" s="3">
        <v>92</v>
      </c>
      <c r="I15086" s="3">
        <v>168</v>
      </c>
      <c r="J15086" s="3">
        <v>609</v>
      </c>
      <c r="K15086" s="3">
        <v>1112</v>
      </c>
      <c r="L15086" s="3">
        <v>76</v>
      </c>
      <c r="M15086" s="3">
        <v>243</v>
      </c>
    </row>
    <row r="15087" spans="1:13" x14ac:dyDescent="0.25">
      <c r="A15087" s="1" t="str">
        <f>HYPERLINK("http://www.rosaceae.org/Prunus/Prunus_persica/p.persica_gdr_reftransV1_0014798","p.persica_gdr_reftransV1_0014798")</f>
        <v>p.persica_gdr_reftransV1_0014798</v>
      </c>
      <c r="B15087" s="3">
        <v>432</v>
      </c>
      <c r="C15087" s="1" t="str">
        <f>HYPERLINK("http://www.uniprot.org/uniprot/EDM2_ARATH","EDM2_ARATH")</f>
        <v>EDM2_ARATH</v>
      </c>
      <c r="D15087" t="s">
        <v>7306</v>
      </c>
      <c r="E15087" s="3" t="s">
        <v>3</v>
      </c>
      <c r="F15087" s="4">
        <v>7.0400000000000003E-45</v>
      </c>
      <c r="G15087" s="3">
        <v>410</v>
      </c>
      <c r="H15087" s="3">
        <v>57</v>
      </c>
      <c r="I15087" s="3">
        <v>144</v>
      </c>
      <c r="J15087" s="3">
        <v>3</v>
      </c>
      <c r="K15087" s="3">
        <v>431</v>
      </c>
      <c r="L15087" s="3">
        <v>233</v>
      </c>
      <c r="M15087" s="3">
        <v>375</v>
      </c>
    </row>
    <row r="15088" spans="1:13" x14ac:dyDescent="0.25">
      <c r="A15088" s="1" t="str">
        <f>HYPERLINK("http://www.rosaceae.org/Prunus/Prunus_persica/p.persica_gdr_reftransV1_0015048","p.persica_gdr_reftransV1_0015048")</f>
        <v>p.persica_gdr_reftransV1_0015048</v>
      </c>
      <c r="B15088" s="3">
        <v>1040</v>
      </c>
      <c r="C15088" s="1" t="str">
        <f>HYPERLINK("http://www.uniprot.org/uniprot/AFC2_ARATH","AFC2_ARATH")</f>
        <v>AFC2_ARATH</v>
      </c>
      <c r="D15088" t="s">
        <v>2742</v>
      </c>
      <c r="E15088" s="3" t="s">
        <v>3</v>
      </c>
      <c r="F15088" s="4">
        <v>1.01E-60</v>
      </c>
      <c r="G15088" s="3">
        <v>525</v>
      </c>
      <c r="H15088" s="3">
        <v>82</v>
      </c>
      <c r="I15088" s="3">
        <v>119</v>
      </c>
      <c r="J15088" s="3">
        <v>1</v>
      </c>
      <c r="K15088" s="3">
        <v>357</v>
      </c>
      <c r="L15088" s="3">
        <v>35</v>
      </c>
      <c r="M15088" s="3">
        <v>152</v>
      </c>
    </row>
    <row r="15089" spans="1:13" x14ac:dyDescent="0.25">
      <c r="A15089" s="1" t="str">
        <f>HYPERLINK("http://www.rosaceae.org/Prunus/Prunus_persica/p.persica_gdr_reftransV1_0015248","p.persica_gdr_reftransV1_0015248")</f>
        <v>p.persica_gdr_reftransV1_0015248</v>
      </c>
      <c r="B15089" s="3">
        <v>1256</v>
      </c>
      <c r="C15089" s="1" t="str">
        <f>HYPERLINK("http://www.uniprot.org/uniprot/MOG1_MOUSE","MOG1_MOUSE")</f>
        <v>MOG1_MOUSE</v>
      </c>
      <c r="D15089" t="s">
        <v>9761</v>
      </c>
      <c r="E15089" s="3" t="s">
        <v>157</v>
      </c>
      <c r="F15089" s="4">
        <v>5.9500000000000003E-12</v>
      </c>
      <c r="G15089" s="3">
        <v>165</v>
      </c>
      <c r="H15089" s="3">
        <v>45</v>
      </c>
      <c r="I15089" s="3">
        <v>76</v>
      </c>
      <c r="J15089" s="3">
        <v>844</v>
      </c>
      <c r="K15089" s="3">
        <v>1071</v>
      </c>
      <c r="L15089" s="3">
        <v>8</v>
      </c>
      <c r="M15089" s="3">
        <v>83</v>
      </c>
    </row>
    <row r="15090" spans="1:13" x14ac:dyDescent="0.25">
      <c r="A15090" s="1" t="str">
        <f>HYPERLINK("http://www.rosaceae.org/Prunus/Prunus_persica/p.persica_gdr_reftransV1_0015348","p.persica_gdr_reftransV1_0015348")</f>
        <v>p.persica_gdr_reftransV1_0015348</v>
      </c>
      <c r="B15090" s="3">
        <v>877</v>
      </c>
      <c r="C15090" s="1" t="str">
        <f>HYPERLINK("http://www.uniprot.org/uniprot/WRKY2_ARATH","WRKY2_ARATH")</f>
        <v>WRKY2_ARATH</v>
      </c>
      <c r="D15090" t="s">
        <v>2227</v>
      </c>
      <c r="E15090" s="3" t="s">
        <v>3</v>
      </c>
      <c r="F15090" s="4">
        <v>6.9700000000000002E-83</v>
      </c>
      <c r="G15090" s="3">
        <v>492</v>
      </c>
      <c r="H15090" s="3">
        <v>60</v>
      </c>
      <c r="I15090" s="3">
        <v>206</v>
      </c>
      <c r="J15090" s="3">
        <v>3</v>
      </c>
      <c r="K15090" s="3">
        <v>587</v>
      </c>
      <c r="L15090" s="3">
        <v>265</v>
      </c>
      <c r="M15090" s="3">
        <v>456</v>
      </c>
    </row>
    <row r="15091" spans="1:13" x14ac:dyDescent="0.25">
      <c r="A15091" s="1" t="str">
        <f>HYPERLINK("http://www.rosaceae.org/Prunus/Prunus_persica/p.persica_gdr_reftransV1_0015398","p.persica_gdr_reftransV1_0015398")</f>
        <v>p.persica_gdr_reftransV1_0015398</v>
      </c>
      <c r="B15091" s="3">
        <v>995</v>
      </c>
      <c r="C15091" s="1" t="str">
        <f>HYPERLINK("http://www.uniprot.org/uniprot/Y4317_ARATH","Y4317_ARATH")</f>
        <v>Y4317_ARATH</v>
      </c>
      <c r="D15091" t="s">
        <v>1662</v>
      </c>
      <c r="E15091" s="3" t="s">
        <v>3</v>
      </c>
      <c r="F15091" s="4">
        <v>6.4799999999999998E-7</v>
      </c>
      <c r="G15091" s="3">
        <v>127</v>
      </c>
      <c r="H15091" s="3">
        <v>52</v>
      </c>
      <c r="I15091" s="3">
        <v>52</v>
      </c>
      <c r="J15091" s="3">
        <v>843</v>
      </c>
      <c r="K15091" s="3">
        <v>995</v>
      </c>
      <c r="L15091" s="3">
        <v>191</v>
      </c>
      <c r="M15091" s="3">
        <v>242</v>
      </c>
    </row>
    <row r="15092" spans="1:13" x14ac:dyDescent="0.25">
      <c r="A15092" s="1" t="str">
        <f>HYPERLINK("http://www.rosaceae.org/Prunus/Prunus_persica/p.persica_gdr_reftransV1_0015498","p.persica_gdr_reftransV1_0015498")</f>
        <v>p.persica_gdr_reftransV1_0015498</v>
      </c>
      <c r="B15092" s="3">
        <v>2033</v>
      </c>
      <c r="C15092" s="1" t="str">
        <f>HYPERLINK("http://www.uniprot.org/uniprot/FBX21_PONAB","FBX21_PONAB")</f>
        <v>FBX21_PONAB</v>
      </c>
      <c r="D15092" t="s">
        <v>9762</v>
      </c>
      <c r="E15092" s="3" t="s">
        <v>176</v>
      </c>
      <c r="F15092" s="4">
        <v>5.9800000000000003E-7</v>
      </c>
      <c r="G15092" s="3">
        <v>135</v>
      </c>
      <c r="H15092" s="3">
        <v>39</v>
      </c>
      <c r="I15092" s="3">
        <v>61</v>
      </c>
      <c r="J15092" s="3">
        <v>541</v>
      </c>
      <c r="K15092" s="3">
        <v>723</v>
      </c>
      <c r="L15092" s="3">
        <v>491</v>
      </c>
      <c r="M15092" s="3">
        <v>549</v>
      </c>
    </row>
    <row r="15093" spans="1:13" x14ac:dyDescent="0.25">
      <c r="A15093" s="1" t="str">
        <f>HYPERLINK("http://www.rosaceae.org/Prunus/Prunus_persica/p.persica_gdr_reftransV1_0015848","p.persica_gdr_reftransV1_0015848")</f>
        <v>p.persica_gdr_reftransV1_0015848</v>
      </c>
      <c r="B15093" s="3">
        <v>888</v>
      </c>
      <c r="C15093" s="1" t="str">
        <f>HYPERLINK("http://www.uniprot.org/uniprot/PT311_ARATH","PT311_ARATH")</f>
        <v>PT311_ARATH</v>
      </c>
      <c r="D15093" t="s">
        <v>5463</v>
      </c>
      <c r="E15093" s="3" t="s">
        <v>3</v>
      </c>
      <c r="F15093" s="4">
        <v>5.8699999999999997E-96</v>
      </c>
      <c r="G15093" s="3">
        <v>747</v>
      </c>
      <c r="H15093" s="3">
        <v>85</v>
      </c>
      <c r="I15093" s="3">
        <v>169</v>
      </c>
      <c r="J15093" s="3">
        <v>1</v>
      </c>
      <c r="K15093" s="3">
        <v>507</v>
      </c>
      <c r="L15093" s="3">
        <v>138</v>
      </c>
      <c r="M15093" s="3">
        <v>306</v>
      </c>
    </row>
    <row r="15094" spans="1:13" x14ac:dyDescent="0.25">
      <c r="A15094" s="1" t="str">
        <f>HYPERLINK("http://www.rosaceae.org/Prunus/Prunus_persica/p.persica_gdr_reftransV1_0015898","p.persica_gdr_reftransV1_0015898")</f>
        <v>p.persica_gdr_reftransV1_0015898</v>
      </c>
      <c r="B15094" s="3">
        <v>2308</v>
      </c>
      <c r="C15094" s="1" t="str">
        <f>HYPERLINK("http://www.uniprot.org/uniprot/RK1_PEA","RK1_PEA")</f>
        <v>RK1_PEA</v>
      </c>
      <c r="D15094" t="s">
        <v>9763</v>
      </c>
      <c r="E15094" s="3" t="s">
        <v>60</v>
      </c>
      <c r="F15094" s="4">
        <v>4.9200000000000002E-64</v>
      </c>
      <c r="G15094" s="3">
        <v>555</v>
      </c>
      <c r="H15094" s="3">
        <v>85</v>
      </c>
      <c r="I15094" s="3">
        <v>124</v>
      </c>
      <c r="J15094" s="3">
        <v>1516</v>
      </c>
      <c r="K15094" s="3">
        <v>1887</v>
      </c>
      <c r="L15094" s="3">
        <v>53</v>
      </c>
      <c r="M15094" s="3">
        <v>176</v>
      </c>
    </row>
    <row r="15095" spans="1:13" x14ac:dyDescent="0.25">
      <c r="A15095" s="1" t="str">
        <f>HYPERLINK("http://www.rosaceae.org/Prunus/Prunus_persica/p.persica_gdr_reftransV1_0016098","p.persica_gdr_reftransV1_0016098")</f>
        <v>p.persica_gdr_reftransV1_0016098</v>
      </c>
      <c r="B15095" s="3">
        <v>1934</v>
      </c>
      <c r="C15095" s="1" t="str">
        <f>HYPERLINK("http://www.uniprot.org/uniprot/TM208_DANRE","TM208_DANRE")</f>
        <v>TM208_DANRE</v>
      </c>
      <c r="D15095" t="s">
        <v>9764</v>
      </c>
      <c r="E15095" s="3" t="s">
        <v>704</v>
      </c>
      <c r="F15095" s="4">
        <v>6.7600000000000002E-18</v>
      </c>
      <c r="G15095" s="3">
        <v>213</v>
      </c>
      <c r="H15095" s="3">
        <v>35</v>
      </c>
      <c r="I15095" s="3">
        <v>115</v>
      </c>
      <c r="J15095" s="3">
        <v>394</v>
      </c>
      <c r="K15095" s="3">
        <v>735</v>
      </c>
      <c r="L15095" s="3">
        <v>17</v>
      </c>
      <c r="M15095" s="3">
        <v>131</v>
      </c>
    </row>
    <row r="15096" spans="1:13" x14ac:dyDescent="0.25">
      <c r="A15096" s="1" t="str">
        <f>HYPERLINK("http://www.rosaceae.org/Prunus/Prunus_persica/p.persica_gdr_reftransV1_0016248","p.persica_gdr_reftransV1_0016248")</f>
        <v>p.persica_gdr_reftransV1_0016248</v>
      </c>
      <c r="B15096" s="3">
        <v>2171</v>
      </c>
      <c r="C15096" s="1" t="str">
        <f>HYPERLINK("http://www.uniprot.org/uniprot/P5CR_SOYBN","P5CR_SOYBN")</f>
        <v>P5CR_SOYBN</v>
      </c>
      <c r="D15096" t="s">
        <v>9765</v>
      </c>
      <c r="E15096" s="3" t="s">
        <v>307</v>
      </c>
      <c r="F15096" s="4">
        <v>6.4200000000000004E-85</v>
      </c>
      <c r="G15096" s="3">
        <v>705</v>
      </c>
      <c r="H15096" s="3">
        <v>83</v>
      </c>
      <c r="I15096" s="3">
        <v>160</v>
      </c>
      <c r="J15096" s="3">
        <v>391</v>
      </c>
      <c r="K15096" s="3">
        <v>870</v>
      </c>
      <c r="L15096" s="3">
        <v>115</v>
      </c>
      <c r="M15096" s="3">
        <v>274</v>
      </c>
    </row>
    <row r="15097" spans="1:13" x14ac:dyDescent="0.25">
      <c r="A15097" s="1" t="str">
        <f>HYPERLINK("http://www.rosaceae.org/Prunus/Prunus_persica/p.persica_gdr_reftransV1_0016448","p.persica_gdr_reftransV1_0016448")</f>
        <v>p.persica_gdr_reftransV1_0016448</v>
      </c>
      <c r="B15097" s="3">
        <v>1081</v>
      </c>
      <c r="C15097" s="1" t="str">
        <f>HYPERLINK("http://www.uniprot.org/uniprot/SKOR_ARATH","SKOR_ARATH")</f>
        <v>SKOR_ARATH</v>
      </c>
      <c r="D15097" t="s">
        <v>3390</v>
      </c>
      <c r="E15097" s="3" t="s">
        <v>3</v>
      </c>
      <c r="F15097" s="4">
        <v>7.9200000000000001E-95</v>
      </c>
      <c r="G15097" s="3">
        <v>722</v>
      </c>
      <c r="H15097" s="3">
        <v>62</v>
      </c>
      <c r="I15097" s="3">
        <v>247</v>
      </c>
      <c r="J15097" s="3">
        <v>1</v>
      </c>
      <c r="K15097" s="3">
        <v>741</v>
      </c>
      <c r="L15097" s="3">
        <v>429</v>
      </c>
      <c r="M15097" s="3">
        <v>674</v>
      </c>
    </row>
    <row r="15098" spans="1:13" x14ac:dyDescent="0.25">
      <c r="A15098" s="1" t="str">
        <f>HYPERLINK("http://www.rosaceae.org/Prunus/Prunus_persica/p.persica_gdr_reftransV1_0016798","p.persica_gdr_reftransV1_0016798")</f>
        <v>p.persica_gdr_reftransV1_0016798</v>
      </c>
      <c r="B15098" s="3">
        <v>980</v>
      </c>
      <c r="C15098" s="1" t="str">
        <f>HYPERLINK("http://www.uniprot.org/uniprot/RNHX1_ARATH","RNHX1_ARATH")</f>
        <v>RNHX1_ARATH</v>
      </c>
      <c r="D15098" t="s">
        <v>124</v>
      </c>
      <c r="E15098" s="3" t="s">
        <v>3</v>
      </c>
      <c r="F15098" s="4">
        <v>1.5299999999999999E-27</v>
      </c>
      <c r="G15098" s="3">
        <v>292</v>
      </c>
      <c r="H15098" s="3">
        <v>38</v>
      </c>
      <c r="I15098" s="3">
        <v>173</v>
      </c>
      <c r="J15098" s="3">
        <v>15</v>
      </c>
      <c r="K15098" s="3">
        <v>533</v>
      </c>
      <c r="L15098" s="3">
        <v>450</v>
      </c>
      <c r="M15098" s="3">
        <v>618</v>
      </c>
    </row>
    <row r="15099" spans="1:13" x14ac:dyDescent="0.25">
      <c r="A15099" s="1" t="str">
        <f>HYPERLINK("http://www.rosaceae.org/Prunus/Prunus_persica/p.persica_gdr_reftransV1_0016898","p.persica_gdr_reftransV1_0016898")</f>
        <v>p.persica_gdr_reftransV1_0016898</v>
      </c>
      <c r="B15099" s="3">
        <v>1332</v>
      </c>
      <c r="C15099" s="1" t="str">
        <f>HYPERLINK("http://www.uniprot.org/uniprot/FLX_ARATH","FLX_ARATH")</f>
        <v>FLX_ARATH</v>
      </c>
      <c r="D15099" t="s">
        <v>9766</v>
      </c>
      <c r="E15099" s="3" t="s">
        <v>3</v>
      </c>
      <c r="F15099" s="4">
        <v>1.18E-54</v>
      </c>
      <c r="G15099" s="3">
        <v>481</v>
      </c>
      <c r="H15099" s="3">
        <v>51</v>
      </c>
      <c r="I15099" s="3">
        <v>227</v>
      </c>
      <c r="J15099" s="3">
        <v>508</v>
      </c>
      <c r="K15099" s="3">
        <v>1176</v>
      </c>
      <c r="L15099" s="3">
        <v>36</v>
      </c>
      <c r="M15099" s="3">
        <v>262</v>
      </c>
    </row>
    <row r="15100" spans="1:13" x14ac:dyDescent="0.25">
      <c r="A15100" s="1" t="str">
        <f>HYPERLINK("http://www.rosaceae.org/Prunus/Prunus_persica/p.persica_gdr_reftransV1_0017248","p.persica_gdr_reftransV1_0017248")</f>
        <v>p.persica_gdr_reftransV1_0017248</v>
      </c>
      <c r="B15100" s="3">
        <v>2169</v>
      </c>
      <c r="C15100" s="1" t="str">
        <f>HYPERLINK("http://www.uniprot.org/uniprot/WBP4_CHICK","WBP4_CHICK")</f>
        <v>WBP4_CHICK</v>
      </c>
      <c r="D15100" t="s">
        <v>9767</v>
      </c>
      <c r="E15100" s="3" t="s">
        <v>1278</v>
      </c>
      <c r="F15100" s="4">
        <v>3.5499999999999999E-9</v>
      </c>
      <c r="G15100" s="3">
        <v>152</v>
      </c>
      <c r="H15100" s="3">
        <v>43</v>
      </c>
      <c r="I15100" s="3">
        <v>80</v>
      </c>
      <c r="J15100" s="3">
        <v>1773</v>
      </c>
      <c r="K15100" s="3">
        <v>2012</v>
      </c>
      <c r="L15100" s="3">
        <v>1</v>
      </c>
      <c r="M15100" s="3">
        <v>80</v>
      </c>
    </row>
    <row r="15101" spans="1:13" x14ac:dyDescent="0.25">
      <c r="A15101" s="1" t="str">
        <f>HYPERLINK("http://www.rosaceae.org/Prunus/Prunus_persica/p.persica_gdr_reftransV1_0017398","p.persica_gdr_reftransV1_0017398")</f>
        <v>p.persica_gdr_reftransV1_0017398</v>
      </c>
      <c r="B15101" s="3">
        <v>2784</v>
      </c>
      <c r="C15101" s="1" t="str">
        <f>HYPERLINK("http://www.uniprot.org/uniprot/B3GTF_ARATH","B3GTF_ARATH")</f>
        <v>B3GTF_ARATH</v>
      </c>
      <c r="D15101" t="s">
        <v>9768</v>
      </c>
      <c r="E15101" s="3" t="s">
        <v>3</v>
      </c>
      <c r="F15101" s="4">
        <v>0</v>
      </c>
      <c r="G15101" s="3">
        <v>2201</v>
      </c>
      <c r="H15101" s="3">
        <v>64</v>
      </c>
      <c r="I15101" s="3">
        <v>640</v>
      </c>
      <c r="J15101" s="3">
        <v>449</v>
      </c>
      <c r="K15101" s="3">
        <v>2332</v>
      </c>
      <c r="L15101" s="3">
        <v>1</v>
      </c>
      <c r="M15101" s="3">
        <v>640</v>
      </c>
    </row>
    <row r="15102" spans="1:13" x14ac:dyDescent="0.25">
      <c r="A15102" s="1" t="str">
        <f>HYPERLINK("http://www.rosaceae.org/Prunus/Prunus_persica/p.persica_gdr_reftransV1_0017448","p.persica_gdr_reftransV1_0017448")</f>
        <v>p.persica_gdr_reftransV1_0017448</v>
      </c>
      <c r="B15102" s="3">
        <v>1477</v>
      </c>
      <c r="C15102" s="1" t="str">
        <f>HYPERLINK("http://www.uniprot.org/uniprot/ERA_GEOMG","ERA_GEOMG")</f>
        <v>ERA_GEOMG</v>
      </c>
      <c r="D15102" t="s">
        <v>9769</v>
      </c>
      <c r="E15102" s="3" t="s">
        <v>9770</v>
      </c>
      <c r="F15102" s="4">
        <v>6.3200000000000002E-49</v>
      </c>
      <c r="G15102" s="3">
        <v>311</v>
      </c>
      <c r="H15102" s="3">
        <v>42</v>
      </c>
      <c r="I15102" s="3">
        <v>185</v>
      </c>
      <c r="J15102" s="3">
        <v>593</v>
      </c>
      <c r="K15102" s="3">
        <v>1144</v>
      </c>
      <c r="L15102" s="3">
        <v>113</v>
      </c>
      <c r="M15102" s="3">
        <v>297</v>
      </c>
    </row>
    <row r="15103" spans="1:13" x14ac:dyDescent="0.25">
      <c r="A15103" s="1" t="str">
        <f>HYPERLINK("http://www.rosaceae.org/Prunus/Prunus_persica/p.persica_gdr_reftransV1_0017498","p.persica_gdr_reftransV1_0017498")</f>
        <v>p.persica_gdr_reftransV1_0017498</v>
      </c>
      <c r="B15103" s="3">
        <v>1564</v>
      </c>
      <c r="C15103" s="1" t="str">
        <f>HYPERLINK("http://www.uniprot.org/uniprot/LHT1_ARATH","LHT1_ARATH")</f>
        <v>LHT1_ARATH</v>
      </c>
      <c r="D15103" t="s">
        <v>9771</v>
      </c>
      <c r="E15103" s="3" t="s">
        <v>3</v>
      </c>
      <c r="F15103" s="4">
        <v>0</v>
      </c>
      <c r="G15103" s="3">
        <v>1638</v>
      </c>
      <c r="H15103" s="3">
        <v>81</v>
      </c>
      <c r="I15103" s="3">
        <v>403</v>
      </c>
      <c r="J15103" s="3">
        <v>356</v>
      </c>
      <c r="K15103" s="3">
        <v>1564</v>
      </c>
      <c r="L15103" s="3">
        <v>44</v>
      </c>
      <c r="M15103" s="3">
        <v>446</v>
      </c>
    </row>
    <row r="15104" spans="1:13" x14ac:dyDescent="0.25">
      <c r="A15104" s="1" t="str">
        <f>HYPERLINK("http://www.rosaceae.org/Prunus/Prunus_persica/p.persica_gdr_reftransV1_0017848","p.persica_gdr_reftransV1_0017848")</f>
        <v>p.persica_gdr_reftransV1_0017848</v>
      </c>
      <c r="B15104" s="3">
        <v>2162</v>
      </c>
      <c r="C15104" s="1" t="str">
        <f>HYPERLINK("http://www.uniprot.org/uniprot/TT12_ARATH","TT12_ARATH")</f>
        <v>TT12_ARATH</v>
      </c>
      <c r="D15104" t="s">
        <v>353</v>
      </c>
      <c r="E15104" s="3" t="s">
        <v>3</v>
      </c>
      <c r="F15104" s="4">
        <v>1.12E-99</v>
      </c>
      <c r="G15104" s="3">
        <v>826</v>
      </c>
      <c r="H15104" s="3">
        <v>51</v>
      </c>
      <c r="I15104" s="3">
        <v>393</v>
      </c>
      <c r="J15104" s="3">
        <v>856</v>
      </c>
      <c r="K15104" s="3">
        <v>2028</v>
      </c>
      <c r="L15104" s="3">
        <v>25</v>
      </c>
      <c r="M15104" s="3">
        <v>416</v>
      </c>
    </row>
    <row r="15105" spans="1:13" x14ac:dyDescent="0.25">
      <c r="A15105" s="1" t="str">
        <f>HYPERLINK("http://www.rosaceae.org/Prunus/Prunus_persica/p.persica_gdr_reftransV1_0017998","p.persica_gdr_reftransV1_0017998")</f>
        <v>p.persica_gdr_reftransV1_0017998</v>
      </c>
      <c r="B15105" s="3">
        <v>2066</v>
      </c>
      <c r="C15105" s="1" t="str">
        <f>HYPERLINK("http://www.uniprot.org/uniprot/Y4211_ARATH","Y4211_ARATH")</f>
        <v>Y4211_ARATH</v>
      </c>
      <c r="D15105" t="s">
        <v>9772</v>
      </c>
      <c r="E15105" s="3" t="s">
        <v>3</v>
      </c>
      <c r="F15105" s="4">
        <v>2.3299999999999999E-14</v>
      </c>
      <c r="G15105" s="3">
        <v>198</v>
      </c>
      <c r="H15105" s="3">
        <v>39</v>
      </c>
      <c r="I15105" s="3">
        <v>87</v>
      </c>
      <c r="J15105" s="3">
        <v>1648</v>
      </c>
      <c r="K15105" s="3">
        <v>1902</v>
      </c>
      <c r="L15105" s="3">
        <v>106</v>
      </c>
      <c r="M15105" s="3">
        <v>192</v>
      </c>
    </row>
    <row r="15106" spans="1:13" x14ac:dyDescent="0.25">
      <c r="A15106" s="1" t="str">
        <f>HYPERLINK("http://www.rosaceae.org/Prunus/Prunus_persica/p.persica_gdr_reftransV1_0018248","p.persica_gdr_reftransV1_0018248")</f>
        <v>p.persica_gdr_reftransV1_0018248</v>
      </c>
      <c r="B15106" s="3">
        <v>714</v>
      </c>
      <c r="C15106" s="1" t="str">
        <f>HYPERLINK("http://www.uniprot.org/uniprot/RPS2_ARATH","RPS2_ARATH")</f>
        <v>RPS2_ARATH</v>
      </c>
      <c r="D15106" t="s">
        <v>9773</v>
      </c>
      <c r="E15106" s="3" t="s">
        <v>3</v>
      </c>
      <c r="F15106" s="4">
        <v>7.4799999999999997E-7</v>
      </c>
      <c r="G15106" s="3">
        <v>126</v>
      </c>
      <c r="H15106" s="3">
        <v>27</v>
      </c>
      <c r="I15106" s="3">
        <v>117</v>
      </c>
      <c r="J15106" s="3">
        <v>287</v>
      </c>
      <c r="K15106" s="3">
        <v>634</v>
      </c>
      <c r="L15106" s="3">
        <v>750</v>
      </c>
      <c r="M15106" s="3">
        <v>861</v>
      </c>
    </row>
    <row r="15107" spans="1:13" x14ac:dyDescent="0.25">
      <c r="A15107" s="1" t="str">
        <f>HYPERLINK("http://www.rosaceae.org/Prunus/Prunus_persica/p.persica_gdr_reftransV1_0018498","p.persica_gdr_reftransV1_0018498")</f>
        <v>p.persica_gdr_reftransV1_0018498</v>
      </c>
      <c r="B15107" s="3">
        <v>4966</v>
      </c>
      <c r="C15107" s="1" t="str">
        <f>HYPERLINK("http://www.uniprot.org/uniprot/TPPC8_HUMAN","TPPC8_HUMAN")</f>
        <v>TPPC8_HUMAN</v>
      </c>
      <c r="D15107" t="s">
        <v>4881</v>
      </c>
      <c r="E15107" s="3" t="s">
        <v>28</v>
      </c>
      <c r="F15107" s="4">
        <v>1.4400000000000001E-47</v>
      </c>
      <c r="G15107" s="3">
        <v>485</v>
      </c>
      <c r="H15107" s="3">
        <v>31</v>
      </c>
      <c r="I15107" s="3">
        <v>433</v>
      </c>
      <c r="J15107" s="3">
        <v>2778</v>
      </c>
      <c r="K15107" s="3">
        <v>3971</v>
      </c>
      <c r="L15107" s="3">
        <v>340</v>
      </c>
      <c r="M15107" s="3">
        <v>764</v>
      </c>
    </row>
    <row r="15108" spans="1:13" x14ac:dyDescent="0.25">
      <c r="A15108" s="1" t="str">
        <f>HYPERLINK("http://www.rosaceae.org/Prunus/Prunus_persica/p.persica_gdr_reftransV1_0018598","p.persica_gdr_reftransV1_0018598")</f>
        <v>p.persica_gdr_reftransV1_0018598</v>
      </c>
      <c r="B15108" s="3">
        <v>999</v>
      </c>
      <c r="C15108" s="1" t="str">
        <f>HYPERLINK("http://www.uniprot.org/uniprot/PPR89_ARATH","PPR89_ARATH")</f>
        <v>PPR89_ARATH</v>
      </c>
      <c r="D15108" t="s">
        <v>2248</v>
      </c>
      <c r="E15108" s="3" t="s">
        <v>3</v>
      </c>
      <c r="F15108" s="4">
        <v>1.74E-7</v>
      </c>
      <c r="G15108" s="3">
        <v>129</v>
      </c>
      <c r="H15108" s="3">
        <v>34</v>
      </c>
      <c r="I15108" s="3">
        <v>102</v>
      </c>
      <c r="J15108" s="3">
        <v>507</v>
      </c>
      <c r="K15108" s="3">
        <v>806</v>
      </c>
      <c r="L15108" s="3">
        <v>1</v>
      </c>
      <c r="M15108" s="3">
        <v>101</v>
      </c>
    </row>
    <row r="15109" spans="1:13" x14ac:dyDescent="0.25">
      <c r="A15109" s="1" t="str">
        <f>HYPERLINK("http://www.rosaceae.org/Prunus/Prunus_persica/p.persica_gdr_reftransV1_0018648","p.persica_gdr_reftransV1_0018648")</f>
        <v>p.persica_gdr_reftransV1_0018648</v>
      </c>
      <c r="B15109" s="3">
        <v>2751</v>
      </c>
      <c r="C15109" s="1" t="str">
        <f>HYPERLINK("http://www.uniprot.org/uniprot/FYPP_PEA","FYPP_PEA")</f>
        <v>FYPP_PEA</v>
      </c>
      <c r="D15109" t="s">
        <v>5130</v>
      </c>
      <c r="E15109" s="3" t="s">
        <v>60</v>
      </c>
      <c r="F15109" s="4">
        <v>3.0100000000000002E-85</v>
      </c>
      <c r="G15109" s="3">
        <v>720</v>
      </c>
      <c r="H15109" s="3">
        <v>99</v>
      </c>
      <c r="I15109" s="3">
        <v>132</v>
      </c>
      <c r="J15109" s="3">
        <v>399</v>
      </c>
      <c r="K15109" s="3">
        <v>794</v>
      </c>
      <c r="L15109" s="3">
        <v>172</v>
      </c>
      <c r="M15109" s="3">
        <v>303</v>
      </c>
    </row>
    <row r="15110" spans="1:13" x14ac:dyDescent="0.25">
      <c r="A15110" s="1" t="str">
        <f>HYPERLINK("http://www.rosaceae.org/Prunus/Prunus_persica/p.persica_gdr_reftransV1_0018998","p.persica_gdr_reftransV1_0018998")</f>
        <v>p.persica_gdr_reftransV1_0018998</v>
      </c>
      <c r="B15110" s="3">
        <v>376</v>
      </c>
      <c r="C15110" s="1" t="str">
        <f>HYPERLINK("http://www.uniprot.org/uniprot/QKY_ARATH","QKY_ARATH")</f>
        <v>QKY_ARATH</v>
      </c>
      <c r="D15110" t="s">
        <v>707</v>
      </c>
      <c r="E15110" s="3" t="s">
        <v>3</v>
      </c>
      <c r="F15110" s="4">
        <v>2.2999999999999999E-33</v>
      </c>
      <c r="G15110" s="3">
        <v>322</v>
      </c>
      <c r="H15110" s="3">
        <v>48</v>
      </c>
      <c r="I15110" s="3">
        <v>121</v>
      </c>
      <c r="J15110" s="3">
        <v>3</v>
      </c>
      <c r="K15110" s="3">
        <v>362</v>
      </c>
      <c r="L15110" s="3">
        <v>790</v>
      </c>
      <c r="M15110" s="3">
        <v>910</v>
      </c>
    </row>
    <row r="15111" spans="1:13" x14ac:dyDescent="0.25">
      <c r="A15111" s="1" t="str">
        <f>HYPERLINK("http://www.rosaceae.org/Prunus/Prunus_persica/p.persica_gdr_reftransV1_0019248","p.persica_gdr_reftransV1_0019248")</f>
        <v>p.persica_gdr_reftransV1_0019248</v>
      </c>
      <c r="B15111" s="3">
        <v>2742</v>
      </c>
      <c r="C15111" s="1" t="str">
        <f>HYPERLINK("http://www.uniprot.org/uniprot/ZTP50_ARATH","ZTP50_ARATH")</f>
        <v>ZTP50_ARATH</v>
      </c>
      <c r="D15111" t="s">
        <v>9774</v>
      </c>
      <c r="E15111" s="3" t="s">
        <v>3</v>
      </c>
      <c r="F15111" s="4">
        <v>0</v>
      </c>
      <c r="G15111" s="3">
        <v>1730</v>
      </c>
      <c r="H15111" s="3">
        <v>77</v>
      </c>
      <c r="I15111" s="3">
        <v>607</v>
      </c>
      <c r="J15111" s="3">
        <v>487</v>
      </c>
      <c r="K15111" s="3">
        <v>2295</v>
      </c>
      <c r="L15111" s="3">
        <v>18</v>
      </c>
      <c r="M15111" s="3">
        <v>619</v>
      </c>
    </row>
    <row r="15112" spans="1:13" x14ac:dyDescent="0.25">
      <c r="A15112" s="1" t="str">
        <f>HYPERLINK("http://www.rosaceae.org/Prunus/Prunus_persica/p.persica_gdr_reftransV1_0019298","p.persica_gdr_reftransV1_0019298")</f>
        <v>p.persica_gdr_reftransV1_0019298</v>
      </c>
      <c r="B15112" s="3">
        <v>2188</v>
      </c>
      <c r="C15112" s="1" t="str">
        <f>HYPERLINK("http://www.uniprot.org/uniprot/SERB1_ARATH","SERB1_ARATH")</f>
        <v>SERB1_ARATH</v>
      </c>
      <c r="D15112" t="s">
        <v>7029</v>
      </c>
      <c r="E15112" s="3" t="s">
        <v>3</v>
      </c>
      <c r="F15112" s="4">
        <v>0</v>
      </c>
      <c r="G15112" s="3">
        <v>1731</v>
      </c>
      <c r="H15112" s="3">
        <v>84</v>
      </c>
      <c r="I15112" s="3">
        <v>390</v>
      </c>
      <c r="J15112" s="3">
        <v>807</v>
      </c>
      <c r="K15112" s="3">
        <v>1973</v>
      </c>
      <c r="L15112" s="3">
        <v>41</v>
      </c>
      <c r="M15112" s="3">
        <v>430</v>
      </c>
    </row>
    <row r="15113" spans="1:13" x14ac:dyDescent="0.25">
      <c r="A15113" s="1" t="str">
        <f>HYPERLINK("http://www.rosaceae.org/Prunus/Prunus_persica/p.persica_gdr_reftransV1_0019348","p.persica_gdr_reftransV1_0019348")</f>
        <v>p.persica_gdr_reftransV1_0019348</v>
      </c>
      <c r="B15113" s="3">
        <v>1727</v>
      </c>
      <c r="C15113" s="1" t="str">
        <f>HYPERLINK("http://www.uniprot.org/uniprot/CTLHB_DICDI","CTLHB_DICDI")</f>
        <v>CTLHB_DICDI</v>
      </c>
      <c r="D15113" t="s">
        <v>1178</v>
      </c>
      <c r="E15113" s="3" t="s">
        <v>9</v>
      </c>
      <c r="F15113" s="4">
        <v>3.6399999999999999E-18</v>
      </c>
      <c r="G15113" s="3">
        <v>226</v>
      </c>
      <c r="H15113" s="3">
        <v>26</v>
      </c>
      <c r="I15113" s="3">
        <v>284</v>
      </c>
      <c r="J15113" s="3">
        <v>648</v>
      </c>
      <c r="K15113" s="3">
        <v>1484</v>
      </c>
      <c r="L15113" s="3">
        <v>199</v>
      </c>
      <c r="M15113" s="3">
        <v>438</v>
      </c>
    </row>
    <row r="15114" spans="1:13" x14ac:dyDescent="0.25">
      <c r="A15114" s="1" t="str">
        <f>HYPERLINK("http://www.rosaceae.org/Prunus/Prunus_persica/p.persica_gdr_reftransV1_0019498","p.persica_gdr_reftransV1_0019498")</f>
        <v>p.persica_gdr_reftransV1_0019498</v>
      </c>
      <c r="B15114" s="3">
        <v>4276</v>
      </c>
      <c r="C15114" s="1" t="str">
        <f>HYPERLINK("http://www.uniprot.org/uniprot/FTSH_SYNFM","FTSH_SYNFM")</f>
        <v>FTSH_SYNFM</v>
      </c>
      <c r="D15114" t="s">
        <v>9775</v>
      </c>
      <c r="E15114" s="3" t="s">
        <v>9776</v>
      </c>
      <c r="F15114" s="4">
        <v>4.9900000000000003E-53</v>
      </c>
      <c r="G15114" s="3">
        <v>516</v>
      </c>
      <c r="H15114" s="3">
        <v>28</v>
      </c>
      <c r="I15114" s="3">
        <v>562</v>
      </c>
      <c r="J15114" s="3">
        <v>418</v>
      </c>
      <c r="K15114" s="3">
        <v>2064</v>
      </c>
      <c r="L15114" s="3">
        <v>150</v>
      </c>
      <c r="M15114" s="3">
        <v>645</v>
      </c>
    </row>
    <row r="15115" spans="1:13" x14ac:dyDescent="0.25">
      <c r="A15115" s="1" t="str">
        <f>HYPERLINK("http://www.rosaceae.org/Prunus/Prunus_persica/p.persica_gdr_reftransV1_0019548","p.persica_gdr_reftransV1_0019548")</f>
        <v>p.persica_gdr_reftransV1_0019548</v>
      </c>
      <c r="B15115" s="3">
        <v>1506</v>
      </c>
      <c r="C15115" s="1" t="str">
        <f>HYPERLINK("http://www.uniprot.org/uniprot/HLP_ARATH","HLP_ARATH")</f>
        <v>HLP_ARATH</v>
      </c>
      <c r="D15115" t="s">
        <v>9777</v>
      </c>
      <c r="E15115" s="3" t="s">
        <v>3</v>
      </c>
      <c r="F15115" s="4">
        <v>5.4600000000000004E-56</v>
      </c>
      <c r="G15115" s="3">
        <v>484</v>
      </c>
      <c r="H15115" s="3">
        <v>80</v>
      </c>
      <c r="I15115" s="3">
        <v>143</v>
      </c>
      <c r="J15115" s="3">
        <v>393</v>
      </c>
      <c r="K15115" s="3">
        <v>797</v>
      </c>
      <c r="L15115" s="3">
        <v>32</v>
      </c>
      <c r="M15115" s="3">
        <v>173</v>
      </c>
    </row>
    <row r="15116" spans="1:13" x14ac:dyDescent="0.25">
      <c r="A15116" s="1" t="str">
        <f>HYPERLINK("http://www.rosaceae.org/Prunus/Prunus_persica/p.persica_gdr_reftransV1_0019748","p.persica_gdr_reftransV1_0019748")</f>
        <v>p.persica_gdr_reftransV1_0019748</v>
      </c>
      <c r="B15116" s="3">
        <v>2108</v>
      </c>
      <c r="C15116" s="1" t="str">
        <f>HYPERLINK("http://www.uniprot.org/uniprot/AB1F_ARATH","AB1F_ARATH")</f>
        <v>AB1F_ARATH</v>
      </c>
      <c r="D15116" t="s">
        <v>7057</v>
      </c>
      <c r="E15116" s="3" t="s">
        <v>3</v>
      </c>
      <c r="F15116" s="4">
        <v>0</v>
      </c>
      <c r="G15116" s="3">
        <v>1719</v>
      </c>
      <c r="H15116" s="3">
        <v>89</v>
      </c>
      <c r="I15116" s="3">
        <v>350</v>
      </c>
      <c r="J15116" s="3">
        <v>619</v>
      </c>
      <c r="K15116" s="3">
        <v>1668</v>
      </c>
      <c r="L15116" s="3">
        <v>244</v>
      </c>
      <c r="M15116" s="3">
        <v>593</v>
      </c>
    </row>
    <row r="15117" spans="1:13" x14ac:dyDescent="0.25">
      <c r="A15117" s="1" t="str">
        <f>HYPERLINK("http://www.rosaceae.org/Prunus/Prunus_persica/p.persica_gdr_reftransV1_0019798","p.persica_gdr_reftransV1_0019798")</f>
        <v>p.persica_gdr_reftransV1_0019798</v>
      </c>
      <c r="B15117" s="3">
        <v>628</v>
      </c>
      <c r="C15117" s="1" t="str">
        <f>HYPERLINK("http://www.uniprot.org/uniprot/PP228_ARATH","PP228_ARATH")</f>
        <v>PP228_ARATH</v>
      </c>
      <c r="D15117" t="s">
        <v>4215</v>
      </c>
      <c r="E15117" s="3" t="s">
        <v>3</v>
      </c>
      <c r="F15117" s="4">
        <v>1.4500000000000001E-35</v>
      </c>
      <c r="G15117" s="3">
        <v>345</v>
      </c>
      <c r="H15117" s="3">
        <v>35</v>
      </c>
      <c r="I15117" s="3">
        <v>215</v>
      </c>
      <c r="J15117" s="3">
        <v>3</v>
      </c>
      <c r="K15117" s="3">
        <v>623</v>
      </c>
      <c r="L15117" s="3">
        <v>191</v>
      </c>
      <c r="M15117" s="3">
        <v>404</v>
      </c>
    </row>
    <row r="15118" spans="1:13" x14ac:dyDescent="0.25">
      <c r="A15118" s="1" t="str">
        <f>HYPERLINK("http://www.rosaceae.org/Prunus/Prunus_persica/p.persica_gdr_reftransV1_0019848","p.persica_gdr_reftransV1_0019848")</f>
        <v>p.persica_gdr_reftransV1_0019848</v>
      </c>
      <c r="B15118" s="3">
        <v>495</v>
      </c>
      <c r="C15118" s="1" t="str">
        <f>HYPERLINK("http://www.uniprot.org/uniprot/ARP1_ARATH","ARP1_ARATH")</f>
        <v>ARP1_ARATH</v>
      </c>
      <c r="D15118" t="s">
        <v>5986</v>
      </c>
      <c r="E15118" s="3" t="s">
        <v>3</v>
      </c>
      <c r="F15118" s="4">
        <v>1.7699999999999999E-38</v>
      </c>
      <c r="G15118" s="3">
        <v>346</v>
      </c>
      <c r="H15118" s="3">
        <v>81</v>
      </c>
      <c r="I15118" s="3">
        <v>96</v>
      </c>
      <c r="J15118" s="3">
        <v>146</v>
      </c>
      <c r="K15118" s="3">
        <v>433</v>
      </c>
      <c r="L15118" s="3">
        <v>1</v>
      </c>
      <c r="M15118" s="3">
        <v>95</v>
      </c>
    </row>
    <row r="15119" spans="1:13" x14ac:dyDescent="0.25">
      <c r="A15119" s="1" t="str">
        <f>HYPERLINK("http://www.rosaceae.org/Prunus/Prunus_persica/p.persica_gdr_reftransV1_0020098","p.persica_gdr_reftransV1_0020098")</f>
        <v>p.persica_gdr_reftransV1_0020098</v>
      </c>
      <c r="B15119" s="3">
        <v>2137</v>
      </c>
      <c r="C15119" s="1" t="str">
        <f>HYPERLINK("http://www.uniprot.org/uniprot/SY121_ARATH","SY121_ARATH")</f>
        <v>SY121_ARATH</v>
      </c>
      <c r="D15119" t="s">
        <v>359</v>
      </c>
      <c r="E15119" s="3" t="s">
        <v>3</v>
      </c>
      <c r="F15119" s="4">
        <v>2.8100000000000001E-132</v>
      </c>
      <c r="G15119" s="3">
        <v>1031</v>
      </c>
      <c r="H15119" s="3">
        <v>83</v>
      </c>
      <c r="I15119" s="3">
        <v>244</v>
      </c>
      <c r="J15119" s="3">
        <v>956</v>
      </c>
      <c r="K15119" s="3">
        <v>1687</v>
      </c>
      <c r="L15119" s="3">
        <v>45</v>
      </c>
      <c r="M15119" s="3">
        <v>288</v>
      </c>
    </row>
    <row r="15120" spans="1:13" x14ac:dyDescent="0.25">
      <c r="A15120" s="1" t="str">
        <f>HYPERLINK("http://www.rosaceae.org/Prunus/Prunus_persica/p.persica_gdr_reftransV1_0020548","p.persica_gdr_reftransV1_0020548")</f>
        <v>p.persica_gdr_reftransV1_0020548</v>
      </c>
      <c r="B15120" s="3">
        <v>1216</v>
      </c>
      <c r="C15120" s="1" t="str">
        <f>HYPERLINK("http://www.uniprot.org/uniprot/HIR4_ARATH","HIR4_ARATH")</f>
        <v>HIR4_ARATH</v>
      </c>
      <c r="D15120" t="s">
        <v>9778</v>
      </c>
      <c r="E15120" s="3" t="s">
        <v>3</v>
      </c>
      <c r="F15120" s="4">
        <v>0</v>
      </c>
      <c r="G15120" s="3">
        <v>1331</v>
      </c>
      <c r="H15120" s="3">
        <v>87</v>
      </c>
      <c r="I15120" s="3">
        <v>290</v>
      </c>
      <c r="J15120" s="3">
        <v>273</v>
      </c>
      <c r="K15120" s="3">
        <v>1139</v>
      </c>
      <c r="L15120" s="3">
        <v>1</v>
      </c>
      <c r="M15120" s="3">
        <v>290</v>
      </c>
    </row>
    <row r="15121" spans="1:13" x14ac:dyDescent="0.25">
      <c r="A15121" s="1" t="str">
        <f>HYPERLINK("http://www.rosaceae.org/Prunus/Prunus_persica/p.persica_gdr_reftransV1_0020598","p.persica_gdr_reftransV1_0020598")</f>
        <v>p.persica_gdr_reftransV1_0020598</v>
      </c>
      <c r="B15121" s="3">
        <v>1410</v>
      </c>
      <c r="C15121" s="1" t="str">
        <f>HYPERLINK("http://www.uniprot.org/uniprot/SD25_ARATH","SD25_ARATH")</f>
        <v>SD25_ARATH</v>
      </c>
      <c r="D15121" t="s">
        <v>4190</v>
      </c>
      <c r="E15121" s="3" t="s">
        <v>3</v>
      </c>
      <c r="F15121" s="4">
        <v>5.7500000000000003E-25</v>
      </c>
      <c r="G15121" s="3">
        <v>279</v>
      </c>
      <c r="H15121" s="3">
        <v>50</v>
      </c>
      <c r="I15121" s="3">
        <v>115</v>
      </c>
      <c r="J15121" s="3">
        <v>1061</v>
      </c>
      <c r="K15121" s="3">
        <v>1405</v>
      </c>
      <c r="L15121" s="3">
        <v>5</v>
      </c>
      <c r="M15121" s="3">
        <v>116</v>
      </c>
    </row>
    <row r="15122" spans="1:13" x14ac:dyDescent="0.25">
      <c r="A15122" s="1" t="str">
        <f>HYPERLINK("http://www.rosaceae.org/Prunus/Prunus_persica/p.persica_gdr_reftransV1_0020898","p.persica_gdr_reftransV1_0020898")</f>
        <v>p.persica_gdr_reftransV1_0020898</v>
      </c>
      <c r="B15122" s="3">
        <v>2411</v>
      </c>
      <c r="C15122" s="1" t="str">
        <f>HYPERLINK("http://www.uniprot.org/uniprot/SIGB_ARATH","SIGB_ARATH")</f>
        <v>SIGB_ARATH</v>
      </c>
      <c r="D15122" t="s">
        <v>9391</v>
      </c>
      <c r="E15122" s="3" t="s">
        <v>3</v>
      </c>
      <c r="F15122" s="4">
        <v>0</v>
      </c>
      <c r="G15122" s="3">
        <v>1490</v>
      </c>
      <c r="H15122" s="3">
        <v>68</v>
      </c>
      <c r="I15122" s="3">
        <v>525</v>
      </c>
      <c r="J15122" s="3">
        <v>617</v>
      </c>
      <c r="K15122" s="3">
        <v>2182</v>
      </c>
      <c r="L15122" s="3">
        <v>52</v>
      </c>
      <c r="M15122" s="3">
        <v>570</v>
      </c>
    </row>
    <row r="15123" spans="1:13" x14ac:dyDescent="0.25">
      <c r="A15123" s="1" t="str">
        <f>HYPERLINK("http://www.rosaceae.org/Prunus/Prunus_persica/p.persica_gdr_reftransV1_0020998","p.persica_gdr_reftransV1_0020998")</f>
        <v>p.persica_gdr_reftransV1_0020998</v>
      </c>
      <c r="B15123" s="3">
        <v>4657</v>
      </c>
      <c r="C15123" s="1" t="str">
        <f>HYPERLINK("http://www.uniprot.org/uniprot/NCKP1_ARATH","NCKP1_ARATH")</f>
        <v>NCKP1_ARATH</v>
      </c>
      <c r="D15123" t="s">
        <v>9779</v>
      </c>
      <c r="E15123" s="3" t="s">
        <v>3</v>
      </c>
      <c r="F15123" s="4">
        <v>0</v>
      </c>
      <c r="G15123" s="3">
        <v>5829</v>
      </c>
      <c r="H15123" s="3">
        <v>79</v>
      </c>
      <c r="I15123" s="3">
        <v>1437</v>
      </c>
      <c r="J15123" s="3">
        <v>177</v>
      </c>
      <c r="K15123" s="3">
        <v>4328</v>
      </c>
      <c r="L15123" s="3">
        <v>1</v>
      </c>
      <c r="M15123" s="3">
        <v>1422</v>
      </c>
    </row>
    <row r="15124" spans="1:13" x14ac:dyDescent="0.25">
      <c r="A15124" s="1" t="str">
        <f>HYPERLINK("http://www.rosaceae.org/Prunus/Prunus_persica/p.persica_gdr_reftransV1_0021248","p.persica_gdr_reftransV1_0021248")</f>
        <v>p.persica_gdr_reftransV1_0021248</v>
      </c>
      <c r="B15124" s="3">
        <v>1276</v>
      </c>
      <c r="C15124" s="1" t="str">
        <f>HYPERLINK("http://www.uniprot.org/uniprot/SPL4_ARATH","SPL4_ARATH")</f>
        <v>SPL4_ARATH</v>
      </c>
      <c r="D15124" t="s">
        <v>9780</v>
      </c>
      <c r="E15124" s="3" t="s">
        <v>3</v>
      </c>
      <c r="F15124" s="4">
        <v>7.3700000000000003E-37</v>
      </c>
      <c r="G15124" s="3">
        <v>346</v>
      </c>
      <c r="H15124" s="3">
        <v>59</v>
      </c>
      <c r="I15124" s="3">
        <v>124</v>
      </c>
      <c r="J15124" s="3">
        <v>400</v>
      </c>
      <c r="K15124" s="3">
        <v>765</v>
      </c>
      <c r="L15124" s="3">
        <v>54</v>
      </c>
      <c r="M15124" s="3">
        <v>174</v>
      </c>
    </row>
    <row r="15125" spans="1:13" x14ac:dyDescent="0.25">
      <c r="A15125" s="1" t="str">
        <f>HYPERLINK("http://www.rosaceae.org/Prunus/Prunus_persica/p.persica_gdr_reftransV1_0022748","p.persica_gdr_reftransV1_0022748")</f>
        <v>p.persica_gdr_reftransV1_0022748</v>
      </c>
      <c r="B15125" s="3">
        <v>2484</v>
      </c>
      <c r="C15125" s="1" t="str">
        <f>HYPERLINK("http://www.uniprot.org/uniprot/HIAT1_HUMAN","HIAT1_HUMAN")</f>
        <v>HIAT1_HUMAN</v>
      </c>
      <c r="D15125" t="s">
        <v>9781</v>
      </c>
      <c r="E15125" s="3" t="s">
        <v>28</v>
      </c>
      <c r="F15125" s="4">
        <v>1.6400000000000001E-12</v>
      </c>
      <c r="G15125" s="3">
        <v>181</v>
      </c>
      <c r="H15125" s="3">
        <v>26</v>
      </c>
      <c r="I15125" s="3">
        <v>291</v>
      </c>
      <c r="J15125" s="3">
        <v>1155</v>
      </c>
      <c r="K15125" s="3">
        <v>2006</v>
      </c>
      <c r="L15125" s="3">
        <v>73</v>
      </c>
      <c r="M15125" s="3">
        <v>338</v>
      </c>
    </row>
    <row r="15126" spans="1:13" x14ac:dyDescent="0.25">
      <c r="A15126" s="1" t="str">
        <f>HYPERLINK("http://www.rosaceae.org/Prunus/Prunus_persica/p.persica_gdr_reftransV1_0023348","p.persica_gdr_reftransV1_0023348")</f>
        <v>p.persica_gdr_reftransV1_0023348</v>
      </c>
      <c r="B15126" s="3">
        <v>1155</v>
      </c>
      <c r="C15126" s="1" t="str">
        <f>HYPERLINK("http://www.uniprot.org/uniprot/PP301_ARATH","PP301_ARATH")</f>
        <v>PP301_ARATH</v>
      </c>
      <c r="D15126" t="s">
        <v>1571</v>
      </c>
      <c r="E15126" s="3" t="s">
        <v>3</v>
      </c>
      <c r="F15126" s="4">
        <v>6.4399999999999995E-132</v>
      </c>
      <c r="G15126" s="3">
        <v>1036</v>
      </c>
      <c r="H15126" s="3">
        <v>54</v>
      </c>
      <c r="I15126" s="3">
        <v>335</v>
      </c>
      <c r="J15126" s="3">
        <v>1</v>
      </c>
      <c r="K15126" s="3">
        <v>1005</v>
      </c>
      <c r="L15126" s="3">
        <v>447</v>
      </c>
      <c r="M15126" s="3">
        <v>781</v>
      </c>
    </row>
    <row r="15127" spans="1:13" x14ac:dyDescent="0.25">
      <c r="A15127" s="1" t="str">
        <f>HYPERLINK("http://www.rosaceae.org/Prunus/Prunus_persica/p.persica_gdr_reftransV1_0023498","p.persica_gdr_reftransV1_0023498")</f>
        <v>p.persica_gdr_reftransV1_0023498</v>
      </c>
      <c r="B15127" s="3">
        <v>3540</v>
      </c>
      <c r="C15127" s="1" t="str">
        <f>HYPERLINK("http://www.uniprot.org/uniprot/WAKLI_ARATH","WAKLI_ARATH")</f>
        <v>WAKLI_ARATH</v>
      </c>
      <c r="D15127" t="s">
        <v>9782</v>
      </c>
      <c r="E15127" s="3" t="s">
        <v>3</v>
      </c>
      <c r="F15127" s="4">
        <v>1.4499999999999999E-70</v>
      </c>
      <c r="G15127" s="3">
        <v>653</v>
      </c>
      <c r="H15127" s="3">
        <v>43</v>
      </c>
      <c r="I15127" s="3">
        <v>359</v>
      </c>
      <c r="J15127" s="3">
        <v>434</v>
      </c>
      <c r="K15127" s="3">
        <v>1477</v>
      </c>
      <c r="L15127" s="3">
        <v>347</v>
      </c>
      <c r="M15127" s="3">
        <v>697</v>
      </c>
    </row>
    <row r="15128" spans="1:13" x14ac:dyDescent="0.25">
      <c r="A15128" s="1" t="str">
        <f>HYPERLINK("http://www.rosaceae.org/Prunus/Prunus_persica/p.persica_gdr_reftransV1_0023748","p.persica_gdr_reftransV1_0023748")</f>
        <v>p.persica_gdr_reftransV1_0023748</v>
      </c>
      <c r="B15128" s="3">
        <v>1044</v>
      </c>
      <c r="C15128" s="1" t="str">
        <f>HYPERLINK("http://www.uniprot.org/uniprot/PTP1_ARATH","PTP1_ARATH")</f>
        <v>PTP1_ARATH</v>
      </c>
      <c r="D15128" t="s">
        <v>8301</v>
      </c>
      <c r="E15128" s="3" t="s">
        <v>3</v>
      </c>
      <c r="F15128" s="4">
        <v>6.8900000000000004E-56</v>
      </c>
      <c r="G15128" s="3">
        <v>486</v>
      </c>
      <c r="H15128" s="3">
        <v>56</v>
      </c>
      <c r="I15128" s="3">
        <v>181</v>
      </c>
      <c r="J15128" s="3">
        <v>534</v>
      </c>
      <c r="K15128" s="3">
        <v>1043</v>
      </c>
      <c r="L15128" s="3">
        <v>80</v>
      </c>
      <c r="M15128" s="3">
        <v>250</v>
      </c>
    </row>
    <row r="15129" spans="1:13" x14ac:dyDescent="0.25">
      <c r="A15129" s="1" t="str">
        <f>HYPERLINK("http://www.rosaceae.org/Prunus/Prunus_persica/p.persica_gdr_reftransV1_0023898","p.persica_gdr_reftransV1_0023898")</f>
        <v>p.persica_gdr_reftransV1_0023898</v>
      </c>
      <c r="B15129" s="3">
        <v>6861</v>
      </c>
      <c r="C15129" s="1" t="str">
        <f>HYPERLINK("http://www.uniprot.org/uniprot/BTAF1_ARATH","BTAF1_ARATH")</f>
        <v>BTAF1_ARATH</v>
      </c>
      <c r="D15129" t="s">
        <v>9783</v>
      </c>
      <c r="E15129" s="3" t="s">
        <v>3</v>
      </c>
      <c r="F15129" s="4">
        <v>0</v>
      </c>
      <c r="G15129" s="3">
        <v>6788</v>
      </c>
      <c r="H15129" s="3">
        <v>71</v>
      </c>
      <c r="I15129" s="3">
        <v>2058</v>
      </c>
      <c r="J15129" s="3">
        <v>394</v>
      </c>
      <c r="K15129" s="3">
        <v>6540</v>
      </c>
      <c r="L15129" s="3">
        <v>4</v>
      </c>
      <c r="M15129" s="3">
        <v>2045</v>
      </c>
    </row>
    <row r="15130" spans="1:13" x14ac:dyDescent="0.25">
      <c r="A15130" s="1" t="str">
        <f>HYPERLINK("http://www.rosaceae.org/Prunus/Prunus_persica/p.persica_gdr_reftransV1_0024098","p.persica_gdr_reftransV1_0024098")</f>
        <v>p.persica_gdr_reftransV1_0024098</v>
      </c>
      <c r="B15130" s="3">
        <v>723</v>
      </c>
      <c r="C15130" s="1" t="str">
        <f>HYPERLINK("http://www.uniprot.org/uniprot/Y4885_ARATH","Y4885_ARATH")</f>
        <v>Y4885_ARATH</v>
      </c>
      <c r="D15130" t="s">
        <v>468</v>
      </c>
      <c r="E15130" s="3" t="s">
        <v>3</v>
      </c>
      <c r="F15130" s="4">
        <v>2.5299999999999999E-74</v>
      </c>
      <c r="G15130" s="3">
        <v>634</v>
      </c>
      <c r="H15130" s="3">
        <v>52</v>
      </c>
      <c r="I15130" s="3">
        <v>235</v>
      </c>
      <c r="J15130" s="3">
        <v>5</v>
      </c>
      <c r="K15130" s="3">
        <v>703</v>
      </c>
      <c r="L15130" s="3">
        <v>775</v>
      </c>
      <c r="M15130" s="3">
        <v>1008</v>
      </c>
    </row>
    <row r="15131" spans="1:13" x14ac:dyDescent="0.25">
      <c r="A15131" s="1" t="str">
        <f>HYPERLINK("http://www.rosaceae.org/Prunus/Prunus_persica/p.persica_gdr_reftransV1_0024248","p.persica_gdr_reftransV1_0024248")</f>
        <v>p.persica_gdr_reftransV1_0024248</v>
      </c>
      <c r="B15131" s="3">
        <v>1580</v>
      </c>
      <c r="C15131" s="1" t="str">
        <f>HYPERLINK("http://www.uniprot.org/uniprot/SYP32_ARATH","SYP32_ARATH")</f>
        <v>SYP32_ARATH</v>
      </c>
      <c r="D15131" t="s">
        <v>6158</v>
      </c>
      <c r="E15131" s="3" t="s">
        <v>3</v>
      </c>
      <c r="F15131" s="4">
        <v>2.7600000000000001E-57</v>
      </c>
      <c r="G15131" s="3">
        <v>509</v>
      </c>
      <c r="H15131" s="3">
        <v>62</v>
      </c>
      <c r="I15131" s="3">
        <v>197</v>
      </c>
      <c r="J15131" s="3">
        <v>673</v>
      </c>
      <c r="K15131" s="3">
        <v>1257</v>
      </c>
      <c r="L15131" s="3">
        <v>1</v>
      </c>
      <c r="M15131" s="3">
        <v>195</v>
      </c>
    </row>
    <row r="15132" spans="1:13" x14ac:dyDescent="0.25">
      <c r="A15132" s="1" t="str">
        <f>HYPERLINK("http://www.rosaceae.org/Prunus/Prunus_persica/p.persica_gdr_reftransV1_0024398","p.persica_gdr_reftransV1_0024398")</f>
        <v>p.persica_gdr_reftransV1_0024398</v>
      </c>
      <c r="B15132" s="3">
        <v>2903</v>
      </c>
      <c r="C15132" s="1" t="str">
        <f>HYPERLINK("http://www.uniprot.org/uniprot/FDM4_ARATH","FDM4_ARATH")</f>
        <v>FDM4_ARATH</v>
      </c>
      <c r="D15132" t="s">
        <v>9784</v>
      </c>
      <c r="E15132" s="3" t="s">
        <v>3</v>
      </c>
      <c r="F15132" s="4">
        <v>2.7499999999999998E-165</v>
      </c>
      <c r="G15132" s="3">
        <v>1310</v>
      </c>
      <c r="H15132" s="3">
        <v>45</v>
      </c>
      <c r="I15132" s="3">
        <v>723</v>
      </c>
      <c r="J15132" s="3">
        <v>631</v>
      </c>
      <c r="K15132" s="3">
        <v>2616</v>
      </c>
      <c r="L15132" s="3">
        <v>2</v>
      </c>
      <c r="M15132" s="3">
        <v>721</v>
      </c>
    </row>
    <row r="15133" spans="1:13" x14ac:dyDescent="0.25">
      <c r="A15133" s="1" t="str">
        <f>HYPERLINK("http://www.rosaceae.org/Prunus/Prunus_persica/p.persica_gdr_reftransV1_0024448","p.persica_gdr_reftransV1_0024448")</f>
        <v>p.persica_gdr_reftransV1_0024448</v>
      </c>
      <c r="B15133" s="3">
        <v>613</v>
      </c>
      <c r="C15133" s="1" t="str">
        <f>HYPERLINK("http://www.uniprot.org/uniprot/CPS3B_ARATH","CPS3B_ARATH")</f>
        <v>CPS3B_ARATH</v>
      </c>
      <c r="D15133" t="s">
        <v>8646</v>
      </c>
      <c r="E15133" s="3" t="s">
        <v>3</v>
      </c>
      <c r="F15133" s="4">
        <v>8.2199999999999993E-108</v>
      </c>
      <c r="G15133" s="3">
        <v>842</v>
      </c>
      <c r="H15133" s="3">
        <v>80</v>
      </c>
      <c r="I15133" s="3">
        <v>190</v>
      </c>
      <c r="J15133" s="3">
        <v>1</v>
      </c>
      <c r="K15133" s="3">
        <v>570</v>
      </c>
      <c r="L15133" s="3">
        <v>1</v>
      </c>
      <c r="M15133" s="3">
        <v>187</v>
      </c>
    </row>
    <row r="15134" spans="1:13" x14ac:dyDescent="0.25">
      <c r="A15134" s="1" t="str">
        <f>HYPERLINK("http://www.rosaceae.org/Prunus/Prunus_persica/p.persica_gdr_reftransV1_0024498","p.persica_gdr_reftransV1_0024498")</f>
        <v>p.persica_gdr_reftransV1_0024498</v>
      </c>
      <c r="B15134" s="3">
        <v>2257</v>
      </c>
      <c r="C15134" s="1" t="str">
        <f>HYPERLINK("http://www.uniprot.org/uniprot/HA22I_ARATH","HA22I_ARATH")</f>
        <v>HA22I_ARATH</v>
      </c>
      <c r="D15134" t="s">
        <v>6264</v>
      </c>
      <c r="E15134" s="3" t="s">
        <v>3</v>
      </c>
      <c r="F15134" s="4">
        <v>1.17E-67</v>
      </c>
      <c r="G15134" s="3">
        <v>589</v>
      </c>
      <c r="H15134" s="3">
        <v>63</v>
      </c>
      <c r="I15134" s="3">
        <v>161</v>
      </c>
      <c r="J15134" s="3">
        <v>1477</v>
      </c>
      <c r="K15134" s="3">
        <v>1959</v>
      </c>
      <c r="L15134" s="3">
        <v>1</v>
      </c>
      <c r="M15134" s="3">
        <v>161</v>
      </c>
    </row>
    <row r="15135" spans="1:13" x14ac:dyDescent="0.25">
      <c r="A15135" s="1" t="str">
        <f>HYPERLINK("http://www.rosaceae.org/Prunus/Prunus_persica/p.persica_gdr_reftransV1_0024748","p.persica_gdr_reftransV1_0024748")</f>
        <v>p.persica_gdr_reftransV1_0024748</v>
      </c>
      <c r="B15135" s="3">
        <v>1295</v>
      </c>
      <c r="C15135" s="1" t="str">
        <f>HYPERLINK("http://www.uniprot.org/uniprot/ACL5_ARATH","ACL5_ARATH")</f>
        <v>ACL5_ARATH</v>
      </c>
      <c r="D15135" t="s">
        <v>3526</v>
      </c>
      <c r="E15135" s="3" t="s">
        <v>3</v>
      </c>
      <c r="F15135" s="4">
        <v>3.52E-152</v>
      </c>
      <c r="G15135" s="3">
        <v>1137</v>
      </c>
      <c r="H15135" s="3">
        <v>66</v>
      </c>
      <c r="I15135" s="3">
        <v>315</v>
      </c>
      <c r="J15135" s="3">
        <v>283</v>
      </c>
      <c r="K15135" s="3">
        <v>1224</v>
      </c>
      <c r="L15135" s="3">
        <v>26</v>
      </c>
      <c r="M15135" s="3">
        <v>338</v>
      </c>
    </row>
    <row r="15136" spans="1:13" x14ac:dyDescent="0.25">
      <c r="A15136" s="1" t="str">
        <f>HYPERLINK("http://www.rosaceae.org/Prunus/Prunus_persica/p.persica_gdr_reftransV1_0024798","p.persica_gdr_reftransV1_0024798")</f>
        <v>p.persica_gdr_reftransV1_0024798</v>
      </c>
      <c r="B15136" s="3">
        <v>1360</v>
      </c>
      <c r="C15136" s="1" t="str">
        <f>HYPERLINK("http://www.uniprot.org/uniprot/DNJ50_ARATH","DNJ50_ARATH")</f>
        <v>DNJ50_ARATH</v>
      </c>
      <c r="D15136" t="s">
        <v>9785</v>
      </c>
      <c r="E15136" s="3" t="s">
        <v>3</v>
      </c>
      <c r="F15136" s="4">
        <v>9.5999999999999995E-142</v>
      </c>
      <c r="G15136" s="3">
        <v>1066</v>
      </c>
      <c r="H15136" s="3">
        <v>71</v>
      </c>
      <c r="I15136" s="3">
        <v>300</v>
      </c>
      <c r="J15136" s="3">
        <v>385</v>
      </c>
      <c r="K15136" s="3">
        <v>1284</v>
      </c>
      <c r="L15136" s="3">
        <v>1</v>
      </c>
      <c r="M15136" s="3">
        <v>300</v>
      </c>
    </row>
    <row r="15137" spans="1:13" x14ac:dyDescent="0.25">
      <c r="A15137" s="1" t="str">
        <f>HYPERLINK("http://www.rosaceae.org/Prunus/Prunus_persica/p.persica_gdr_reftransV1_0025048","p.persica_gdr_reftransV1_0025048")</f>
        <v>p.persica_gdr_reftransV1_0025048</v>
      </c>
      <c r="B15137" s="3">
        <v>1802</v>
      </c>
      <c r="C15137" s="1" t="str">
        <f>HYPERLINK("http://www.uniprot.org/uniprot/SNUT2_HUMAN","SNUT2_HUMAN")</f>
        <v>SNUT2_HUMAN</v>
      </c>
      <c r="D15137" t="s">
        <v>9786</v>
      </c>
      <c r="E15137" s="3" t="s">
        <v>28</v>
      </c>
      <c r="F15137" s="4">
        <v>8.9699999999999998E-150</v>
      </c>
      <c r="G15137" s="3">
        <v>1159</v>
      </c>
      <c r="H15137" s="3">
        <v>52</v>
      </c>
      <c r="I15137" s="3">
        <v>460</v>
      </c>
      <c r="J15137" s="3">
        <v>102</v>
      </c>
      <c r="K15137" s="3">
        <v>1454</v>
      </c>
      <c r="L15137" s="3">
        <v>103</v>
      </c>
      <c r="M15137" s="3">
        <v>555</v>
      </c>
    </row>
    <row r="15138" spans="1:13" x14ac:dyDescent="0.25">
      <c r="A15138" s="1" t="str">
        <f>HYPERLINK("http://www.rosaceae.org/Prunus/Prunus_persica/p.persica_gdr_reftransV1_0025298","p.persica_gdr_reftransV1_0025298")</f>
        <v>p.persica_gdr_reftransV1_0025298</v>
      </c>
      <c r="B15138" s="3">
        <v>2888</v>
      </c>
      <c r="C15138" s="1" t="str">
        <f>HYPERLINK("http://www.uniprot.org/uniprot/MET13_BOVIN","MET13_BOVIN")</f>
        <v>MET13_BOVIN</v>
      </c>
      <c r="D15138" t="s">
        <v>2320</v>
      </c>
      <c r="E15138" s="3" t="s">
        <v>184</v>
      </c>
      <c r="F15138" s="4">
        <v>2.3199999999999999E-97</v>
      </c>
      <c r="G15138" s="3">
        <v>840</v>
      </c>
      <c r="H15138" s="3">
        <v>31</v>
      </c>
      <c r="I15138" s="3">
        <v>721</v>
      </c>
      <c r="J15138" s="3">
        <v>661</v>
      </c>
      <c r="K15138" s="3">
        <v>2787</v>
      </c>
      <c r="L15138" s="3">
        <v>10</v>
      </c>
      <c r="M15138" s="3">
        <v>658</v>
      </c>
    </row>
    <row r="15139" spans="1:13" x14ac:dyDescent="0.25">
      <c r="A15139" s="1" t="str">
        <f>HYPERLINK("http://www.rosaceae.org/Prunus/Prunus_persica/p.persica_gdr_reftransV1_0025398","p.persica_gdr_reftransV1_0025398")</f>
        <v>p.persica_gdr_reftransV1_0025398</v>
      </c>
      <c r="B15139" s="3">
        <v>1572</v>
      </c>
      <c r="C15139" s="1" t="str">
        <f>HYPERLINK("http://www.uniprot.org/uniprot/PDC1_PEA","PDC1_PEA")</f>
        <v>PDC1_PEA</v>
      </c>
      <c r="D15139" t="s">
        <v>834</v>
      </c>
      <c r="E15139" s="3" t="s">
        <v>60</v>
      </c>
      <c r="F15139" s="4">
        <v>0</v>
      </c>
      <c r="G15139" s="3">
        <v>1966</v>
      </c>
      <c r="H15139" s="3">
        <v>88</v>
      </c>
      <c r="I15139" s="3">
        <v>415</v>
      </c>
      <c r="J15139" s="3">
        <v>281</v>
      </c>
      <c r="K15139" s="3">
        <v>1525</v>
      </c>
      <c r="L15139" s="3">
        <v>179</v>
      </c>
      <c r="M15139" s="3">
        <v>593</v>
      </c>
    </row>
    <row r="15140" spans="1:13" x14ac:dyDescent="0.25">
      <c r="A15140" s="1" t="str">
        <f>HYPERLINK("http://www.rosaceae.org/Prunus/Prunus_persica/p.persica_gdr_reftransV1_0025598","p.persica_gdr_reftransV1_0025598")</f>
        <v>p.persica_gdr_reftransV1_0025598</v>
      </c>
      <c r="B15140" s="3">
        <v>736</v>
      </c>
      <c r="C15140" s="1" t="str">
        <f>HYPERLINK("http://www.uniprot.org/uniprot/RL273_ARATH","RL273_ARATH")</f>
        <v>RL273_ARATH</v>
      </c>
      <c r="D15140" t="s">
        <v>1814</v>
      </c>
      <c r="E15140" s="3" t="s">
        <v>3</v>
      </c>
      <c r="F15140" s="4">
        <v>1.2E-68</v>
      </c>
      <c r="G15140" s="3">
        <v>545</v>
      </c>
      <c r="H15140" s="3">
        <v>82</v>
      </c>
      <c r="I15140" s="3">
        <v>135</v>
      </c>
      <c r="J15140" s="3">
        <v>278</v>
      </c>
      <c r="K15140" s="3">
        <v>682</v>
      </c>
      <c r="L15140" s="3">
        <v>1</v>
      </c>
      <c r="M15140" s="3">
        <v>135</v>
      </c>
    </row>
    <row r="15141" spans="1:13" x14ac:dyDescent="0.25">
      <c r="A15141" s="1" t="str">
        <f>HYPERLINK("http://www.rosaceae.org/Prunus/Prunus_persica/p.persica_gdr_reftransV1_0025748","p.persica_gdr_reftransV1_0025748")</f>
        <v>p.persica_gdr_reftransV1_0025748</v>
      </c>
      <c r="B15141" s="3">
        <v>668</v>
      </c>
      <c r="C15141" s="1" t="str">
        <f>HYPERLINK("http://www.uniprot.org/uniprot/MUS81_ARATH","MUS81_ARATH")</f>
        <v>MUS81_ARATH</v>
      </c>
      <c r="D15141" t="s">
        <v>412</v>
      </c>
      <c r="E15141" s="3" t="s">
        <v>3</v>
      </c>
      <c r="F15141" s="4">
        <v>2.3799999999999999E-23</v>
      </c>
      <c r="G15141" s="3">
        <v>254</v>
      </c>
      <c r="H15141" s="3">
        <v>35</v>
      </c>
      <c r="I15141" s="3">
        <v>229</v>
      </c>
      <c r="J15141" s="3">
        <v>1</v>
      </c>
      <c r="K15141" s="3">
        <v>666</v>
      </c>
      <c r="L15141" s="3">
        <v>199</v>
      </c>
      <c r="M15141" s="3">
        <v>405</v>
      </c>
    </row>
    <row r="15142" spans="1:13" x14ac:dyDescent="0.25">
      <c r="A15142" s="1" t="str">
        <f>HYPERLINK("http://www.rosaceae.org/Prunus/Prunus_persica/p.persica_gdr_reftransV1_0026248","p.persica_gdr_reftransV1_0026248")</f>
        <v>p.persica_gdr_reftransV1_0026248</v>
      </c>
      <c r="B15142" s="3">
        <v>1158</v>
      </c>
      <c r="C15142" s="1" t="str">
        <f>HYPERLINK("http://www.uniprot.org/uniprot/ADXL_MOUSE","ADXL_MOUSE")</f>
        <v>ADXL_MOUSE</v>
      </c>
      <c r="D15142" t="s">
        <v>9787</v>
      </c>
      <c r="E15142" s="3" t="s">
        <v>157</v>
      </c>
      <c r="F15142" s="4">
        <v>9.1200000000000001E-7</v>
      </c>
      <c r="G15142" s="3">
        <v>124</v>
      </c>
      <c r="H15142" s="3">
        <v>36</v>
      </c>
      <c r="I15142" s="3">
        <v>108</v>
      </c>
      <c r="J15142" s="3">
        <v>213</v>
      </c>
      <c r="K15142" s="3">
        <v>536</v>
      </c>
      <c r="L15142" s="3">
        <v>58</v>
      </c>
      <c r="M15142" s="3">
        <v>159</v>
      </c>
    </row>
    <row r="15143" spans="1:13" x14ac:dyDescent="0.25">
      <c r="A15143" s="1" t="str">
        <f>HYPERLINK("http://www.rosaceae.org/Prunus/Prunus_persica/p.persica_gdr_reftransV1_0026498","p.persica_gdr_reftransV1_0026498")</f>
        <v>p.persica_gdr_reftransV1_0026498</v>
      </c>
      <c r="B15143" s="3">
        <v>1582</v>
      </c>
      <c r="C15143" s="1" t="str">
        <f>HYPERLINK("http://www.uniprot.org/uniprot/NB5R1_ARATH","NB5R1_ARATH")</f>
        <v>NB5R1_ARATH</v>
      </c>
      <c r="D15143" t="s">
        <v>1351</v>
      </c>
      <c r="E15143" s="3" t="s">
        <v>3</v>
      </c>
      <c r="F15143" s="4">
        <v>4.8199999999999997E-153</v>
      </c>
      <c r="G15143" s="3">
        <v>1146</v>
      </c>
      <c r="H15143" s="3">
        <v>82</v>
      </c>
      <c r="I15143" s="3">
        <v>252</v>
      </c>
      <c r="J15143" s="3">
        <v>440</v>
      </c>
      <c r="K15143" s="3">
        <v>1195</v>
      </c>
      <c r="L15143" s="3">
        <v>30</v>
      </c>
      <c r="M15143" s="3">
        <v>281</v>
      </c>
    </row>
    <row r="15144" spans="1:13" x14ac:dyDescent="0.25">
      <c r="A15144" s="1" t="str">
        <f>HYPERLINK("http://www.rosaceae.org/Prunus/Prunus_persica/p.persica_gdr_reftransV1_0026548","p.persica_gdr_reftransV1_0026548")</f>
        <v>p.persica_gdr_reftransV1_0026548</v>
      </c>
      <c r="B15144" s="3">
        <v>2724</v>
      </c>
      <c r="C15144" s="1" t="str">
        <f>HYPERLINK("http://www.uniprot.org/uniprot/SAP12_ARATH","SAP12_ARATH")</f>
        <v>SAP12_ARATH</v>
      </c>
      <c r="D15144" t="s">
        <v>7660</v>
      </c>
      <c r="E15144" s="3" t="s">
        <v>3</v>
      </c>
      <c r="F15144" s="4">
        <v>7.0700000000000005E-66</v>
      </c>
      <c r="G15144" s="3">
        <v>569</v>
      </c>
      <c r="H15144" s="3">
        <v>65</v>
      </c>
      <c r="I15144" s="3">
        <v>171</v>
      </c>
      <c r="J15144" s="3">
        <v>1920</v>
      </c>
      <c r="K15144" s="3">
        <v>2432</v>
      </c>
      <c r="L15144" s="3">
        <v>4</v>
      </c>
      <c r="M15144" s="3">
        <v>169</v>
      </c>
    </row>
    <row r="15145" spans="1:13" x14ac:dyDescent="0.25">
      <c r="A15145" s="1" t="str">
        <f>HYPERLINK("http://www.rosaceae.org/Prunus/Prunus_persica/p.persica_gdr_reftransV1_0026698","p.persica_gdr_reftransV1_0026698")</f>
        <v>p.persica_gdr_reftransV1_0026698</v>
      </c>
      <c r="B15145" s="3">
        <v>1597</v>
      </c>
      <c r="C15145" s="1" t="str">
        <f>HYPERLINK("http://www.uniprot.org/uniprot/VA713_ARATH","VA713_ARATH")</f>
        <v>VA713_ARATH</v>
      </c>
      <c r="D15145" t="s">
        <v>9788</v>
      </c>
      <c r="E15145" s="3" t="s">
        <v>3</v>
      </c>
      <c r="F15145" s="4">
        <v>2.4899999999999999E-124</v>
      </c>
      <c r="G15145" s="3">
        <v>950</v>
      </c>
      <c r="H15145" s="3">
        <v>81</v>
      </c>
      <c r="I15145" s="3">
        <v>221</v>
      </c>
      <c r="J15145" s="3">
        <v>841</v>
      </c>
      <c r="K15145" s="3">
        <v>1500</v>
      </c>
      <c r="L15145" s="3">
        <v>1</v>
      </c>
      <c r="M15145" s="3">
        <v>221</v>
      </c>
    </row>
    <row r="15146" spans="1:13" x14ac:dyDescent="0.25">
      <c r="A15146" s="1" t="str">
        <f>HYPERLINK("http://www.rosaceae.org/Prunus/Prunus_persica/p.persica_gdr_reftransV1_0026848","p.persica_gdr_reftransV1_0026848")</f>
        <v>p.persica_gdr_reftransV1_0026848</v>
      </c>
      <c r="B15146" s="3">
        <v>1510</v>
      </c>
      <c r="C15146" s="1" t="str">
        <f>HYPERLINK("http://www.uniprot.org/uniprot/BH068_ARATH","BH068_ARATH")</f>
        <v>BH068_ARATH</v>
      </c>
      <c r="D15146" t="s">
        <v>1973</v>
      </c>
      <c r="E15146" s="3" t="s">
        <v>3</v>
      </c>
      <c r="F15146" s="4">
        <v>2.3600000000000001E-80</v>
      </c>
      <c r="G15146" s="3">
        <v>670</v>
      </c>
      <c r="H15146" s="3">
        <v>53</v>
      </c>
      <c r="I15146" s="3">
        <v>323</v>
      </c>
      <c r="J15146" s="3">
        <v>168</v>
      </c>
      <c r="K15146" s="3">
        <v>1052</v>
      </c>
      <c r="L15146" s="3">
        <v>100</v>
      </c>
      <c r="M15146" s="3">
        <v>407</v>
      </c>
    </row>
    <row r="15147" spans="1:13" x14ac:dyDescent="0.25">
      <c r="A15147" s="1" t="str">
        <f>HYPERLINK("http://www.rosaceae.org/Prunus/Prunus_persica/p.persica_gdr_reftransV1_0026898","p.persica_gdr_reftransV1_0026898")</f>
        <v>p.persica_gdr_reftransV1_0026898</v>
      </c>
      <c r="B15147" s="3">
        <v>2758</v>
      </c>
      <c r="C15147" s="1" t="str">
        <f>HYPERLINK("http://www.uniprot.org/uniprot/BH074_ARATH","BH074_ARATH")</f>
        <v>BH074_ARATH</v>
      </c>
      <c r="D15147" t="s">
        <v>1805</v>
      </c>
      <c r="E15147" s="3" t="s">
        <v>3</v>
      </c>
      <c r="F15147" s="4">
        <v>2.9400000000000002E-50</v>
      </c>
      <c r="G15147" s="3">
        <v>472</v>
      </c>
      <c r="H15147" s="3">
        <v>45</v>
      </c>
      <c r="I15147" s="3">
        <v>337</v>
      </c>
      <c r="J15147" s="3">
        <v>1045</v>
      </c>
      <c r="K15147" s="3">
        <v>2025</v>
      </c>
      <c r="L15147" s="3">
        <v>1</v>
      </c>
      <c r="M15147" s="3">
        <v>268</v>
      </c>
    </row>
    <row r="15148" spans="1:13" x14ac:dyDescent="0.25">
      <c r="A15148" s="1" t="str">
        <f>HYPERLINK("http://www.rosaceae.org/Prunus/Prunus_persica/p.persica_gdr_reftransV1_0026948","p.persica_gdr_reftransV1_0026948")</f>
        <v>p.persica_gdr_reftransV1_0026948</v>
      </c>
      <c r="B15148" s="3">
        <v>1936</v>
      </c>
      <c r="C15148" s="1" t="str">
        <f>HYPERLINK("http://www.uniprot.org/uniprot/PP223_ARATH","PP223_ARATH")</f>
        <v>PP223_ARATH</v>
      </c>
      <c r="D15148" t="s">
        <v>3430</v>
      </c>
      <c r="E15148" s="3" t="s">
        <v>3</v>
      </c>
      <c r="F15148" s="4">
        <v>0</v>
      </c>
      <c r="G15148" s="3">
        <v>1703</v>
      </c>
      <c r="H15148" s="3">
        <v>67</v>
      </c>
      <c r="I15148" s="3">
        <v>470</v>
      </c>
      <c r="J15148" s="3">
        <v>2</v>
      </c>
      <c r="K15148" s="3">
        <v>1399</v>
      </c>
      <c r="L15148" s="3">
        <v>154</v>
      </c>
      <c r="M15148" s="3">
        <v>623</v>
      </c>
    </row>
    <row r="15149" spans="1:13" x14ac:dyDescent="0.25">
      <c r="A15149" s="1" t="str">
        <f>HYPERLINK("http://www.rosaceae.org/Prunus/Prunus_persica/p.persica_gdr_reftransV1_0027098","p.persica_gdr_reftransV1_0027098")</f>
        <v>p.persica_gdr_reftransV1_0027098</v>
      </c>
      <c r="B15149" s="3">
        <v>2944</v>
      </c>
      <c r="C15149" s="1" t="str">
        <f>HYPERLINK("http://www.uniprot.org/uniprot/PRP18_BOVIN","PRP18_BOVIN")</f>
        <v>PRP18_BOVIN</v>
      </c>
      <c r="D15149" t="s">
        <v>9789</v>
      </c>
      <c r="E15149" s="3" t="s">
        <v>184</v>
      </c>
      <c r="F15149" s="4">
        <v>1.12E-33</v>
      </c>
      <c r="G15149" s="3">
        <v>347</v>
      </c>
      <c r="H15149" s="3">
        <v>56</v>
      </c>
      <c r="I15149" s="3">
        <v>98</v>
      </c>
      <c r="J15149" s="3">
        <v>1267</v>
      </c>
      <c r="K15149" s="3">
        <v>1560</v>
      </c>
      <c r="L15149" s="3">
        <v>245</v>
      </c>
      <c r="M15149" s="3">
        <v>342</v>
      </c>
    </row>
    <row r="15150" spans="1:13" x14ac:dyDescent="0.25">
      <c r="A15150" s="1" t="str">
        <f>HYPERLINK("http://www.rosaceae.org/Prunus/Prunus_persica/p.persica_gdr_reftransV1_0027198","p.persica_gdr_reftransV1_0027198")</f>
        <v>p.persica_gdr_reftransV1_0027198</v>
      </c>
      <c r="B15150" s="3">
        <v>1683</v>
      </c>
      <c r="C15150" s="1" t="str">
        <f>HYPERLINK("http://www.uniprot.org/uniprot/COL2_ARATH","COL2_ARATH")</f>
        <v>COL2_ARATH</v>
      </c>
      <c r="D15150" t="s">
        <v>9790</v>
      </c>
      <c r="E15150" s="3" t="s">
        <v>3</v>
      </c>
      <c r="F15150" s="4">
        <v>9.58E-126</v>
      </c>
      <c r="G15150" s="3">
        <v>975</v>
      </c>
      <c r="H15150" s="3">
        <v>58</v>
      </c>
      <c r="I15150" s="3">
        <v>400</v>
      </c>
      <c r="J15150" s="3">
        <v>420</v>
      </c>
      <c r="K15150" s="3">
        <v>1577</v>
      </c>
      <c r="L15150" s="3">
        <v>1</v>
      </c>
      <c r="M15150" s="3">
        <v>347</v>
      </c>
    </row>
    <row r="15151" spans="1:13" x14ac:dyDescent="0.25">
      <c r="A15151" s="1" t="str">
        <f>HYPERLINK("http://www.rosaceae.org/Prunus/Prunus_persica/p.persica_gdr_reftransV1_0027448","p.persica_gdr_reftransV1_0027448")</f>
        <v>p.persica_gdr_reftransV1_0027448</v>
      </c>
      <c r="B15151" s="3">
        <v>920</v>
      </c>
      <c r="C15151" s="1" t="str">
        <f>HYPERLINK("http://www.uniprot.org/uniprot/RL91_ARATH","RL91_ARATH")</f>
        <v>RL91_ARATH</v>
      </c>
      <c r="D15151" t="s">
        <v>6840</v>
      </c>
      <c r="E15151" s="3" t="s">
        <v>3</v>
      </c>
      <c r="F15151" s="4">
        <v>6.3899999999999994E-101</v>
      </c>
      <c r="G15151" s="3">
        <v>770</v>
      </c>
      <c r="H15151" s="3">
        <v>82</v>
      </c>
      <c r="I15151" s="3">
        <v>192</v>
      </c>
      <c r="J15151" s="3">
        <v>182</v>
      </c>
      <c r="K15151" s="3">
        <v>757</v>
      </c>
      <c r="L15151" s="3">
        <v>3</v>
      </c>
      <c r="M15151" s="3">
        <v>194</v>
      </c>
    </row>
    <row r="15152" spans="1:13" x14ac:dyDescent="0.25">
      <c r="A15152" s="1" t="str">
        <f>HYPERLINK("http://www.rosaceae.org/Prunus/Prunus_persica/p.persica_gdr_reftransV1_0027748","p.persica_gdr_reftransV1_0027748")</f>
        <v>p.persica_gdr_reftransV1_0027748</v>
      </c>
      <c r="B15152" s="3">
        <v>2439</v>
      </c>
      <c r="C15152" s="1" t="str">
        <f>HYPERLINK("http://www.uniprot.org/uniprot/PGES2_DANRE","PGES2_DANRE")</f>
        <v>PGES2_DANRE</v>
      </c>
      <c r="D15152" t="s">
        <v>1706</v>
      </c>
      <c r="E15152" s="3" t="s">
        <v>704</v>
      </c>
      <c r="F15152" s="4">
        <v>4.2300000000000001E-29</v>
      </c>
      <c r="G15152" s="3">
        <v>312</v>
      </c>
      <c r="H15152" s="3">
        <v>34</v>
      </c>
      <c r="I15152" s="3">
        <v>262</v>
      </c>
      <c r="J15152" s="3">
        <v>1676</v>
      </c>
      <c r="K15152" s="3">
        <v>2320</v>
      </c>
      <c r="L15152" s="3">
        <v>21</v>
      </c>
      <c r="M15152" s="3">
        <v>271</v>
      </c>
    </row>
    <row r="15153" spans="1:13" x14ac:dyDescent="0.25">
      <c r="A15153" s="1" t="str">
        <f>HYPERLINK("http://www.rosaceae.org/Prunus/Prunus_persica/p.persica_gdr_reftransV1_0027898","p.persica_gdr_reftransV1_0027898")</f>
        <v>p.persica_gdr_reftransV1_0027898</v>
      </c>
      <c r="B15153" s="3">
        <v>6387</v>
      </c>
      <c r="C15153" s="1" t="str">
        <f>HYPERLINK("http://www.uniprot.org/uniprot/LTN1_ARATH","LTN1_ARATH")</f>
        <v>LTN1_ARATH</v>
      </c>
      <c r="D15153" t="s">
        <v>9791</v>
      </c>
      <c r="E15153" s="3" t="s">
        <v>3</v>
      </c>
      <c r="F15153" s="4">
        <v>0</v>
      </c>
      <c r="G15153" s="3">
        <v>4311</v>
      </c>
      <c r="H15153" s="3">
        <v>51</v>
      </c>
      <c r="I15153" s="3">
        <v>1891</v>
      </c>
      <c r="J15153" s="3">
        <v>488</v>
      </c>
      <c r="K15153" s="3">
        <v>6082</v>
      </c>
      <c r="L15153" s="3">
        <v>43</v>
      </c>
      <c r="M15153" s="3">
        <v>1872</v>
      </c>
    </row>
    <row r="15154" spans="1:13" x14ac:dyDescent="0.25">
      <c r="A15154" s="1" t="str">
        <f>HYPERLINK("http://www.rosaceae.org/Prunus/Prunus_persica/p.persica_gdr_reftransV1_0027948","p.persica_gdr_reftransV1_0027948")</f>
        <v>p.persica_gdr_reftransV1_0027948</v>
      </c>
      <c r="B15154" s="3">
        <v>3294</v>
      </c>
      <c r="C15154" s="1" t="str">
        <f>HYPERLINK("http://www.uniprot.org/uniprot/BH144_ARATH","BH144_ARATH")</f>
        <v>BH144_ARATH</v>
      </c>
      <c r="D15154" t="s">
        <v>7253</v>
      </c>
      <c r="E15154" s="3" t="s">
        <v>3</v>
      </c>
      <c r="F15154" s="4">
        <v>1.0900000000000001E-26</v>
      </c>
      <c r="G15154" s="3">
        <v>289</v>
      </c>
      <c r="H15154" s="3">
        <v>42</v>
      </c>
      <c r="I15154" s="3">
        <v>245</v>
      </c>
      <c r="J15154" s="3">
        <v>2298</v>
      </c>
      <c r="K15154" s="3">
        <v>2981</v>
      </c>
      <c r="L15154" s="3">
        <v>3</v>
      </c>
      <c r="M15154" s="3">
        <v>244</v>
      </c>
    </row>
    <row r="15155" spans="1:13" x14ac:dyDescent="0.25">
      <c r="A15155" s="1" t="str">
        <f>HYPERLINK("http://www.rosaceae.org/Prunus/Prunus_persica/p.persica_gdr_reftransV1_0028148","p.persica_gdr_reftransV1_0028148")</f>
        <v>p.persica_gdr_reftransV1_0028148</v>
      </c>
      <c r="B15155" s="3">
        <v>2445</v>
      </c>
      <c r="C15155" s="1" t="str">
        <f>HYPERLINK("http://www.uniprot.org/uniprot/EMB74_ARATH","EMB74_ARATH")</f>
        <v>EMB74_ARATH</v>
      </c>
      <c r="D15155" t="s">
        <v>5798</v>
      </c>
      <c r="E15155" s="3" t="s">
        <v>3</v>
      </c>
      <c r="F15155" s="4">
        <v>3.6500000000000001E-16</v>
      </c>
      <c r="G15155" s="3">
        <v>205</v>
      </c>
      <c r="H15155" s="3">
        <v>44</v>
      </c>
      <c r="I15155" s="3">
        <v>95</v>
      </c>
      <c r="J15155" s="3">
        <v>111</v>
      </c>
      <c r="K15155" s="3">
        <v>395</v>
      </c>
      <c r="L15155" s="3">
        <v>64</v>
      </c>
      <c r="M15155" s="3">
        <v>153</v>
      </c>
    </row>
    <row r="15156" spans="1:13" x14ac:dyDescent="0.25">
      <c r="A15156" s="1" t="str">
        <f>HYPERLINK("http://www.rosaceae.org/Prunus/Prunus_persica/p.persica_gdr_reftransV1_0028348","p.persica_gdr_reftransV1_0028348")</f>
        <v>p.persica_gdr_reftransV1_0028348</v>
      </c>
      <c r="B15156" s="3">
        <v>3159</v>
      </c>
      <c r="C15156" s="1" t="str">
        <f>HYPERLINK("http://www.uniprot.org/uniprot/APY7_ARATH","APY7_ARATH")</f>
        <v>APY7_ARATH</v>
      </c>
      <c r="D15156" t="s">
        <v>7357</v>
      </c>
      <c r="E15156" s="3" t="s">
        <v>3</v>
      </c>
      <c r="F15156" s="4">
        <v>1.77E-79</v>
      </c>
      <c r="G15156" s="3">
        <v>718</v>
      </c>
      <c r="H15156" s="3">
        <v>37</v>
      </c>
      <c r="I15156" s="3">
        <v>468</v>
      </c>
      <c r="J15156" s="3">
        <v>1537</v>
      </c>
      <c r="K15156" s="3">
        <v>2925</v>
      </c>
      <c r="L15156" s="3">
        <v>108</v>
      </c>
      <c r="M15156" s="3">
        <v>561</v>
      </c>
    </row>
    <row r="15157" spans="1:13" x14ac:dyDescent="0.25">
      <c r="A15157" s="1" t="str">
        <f>HYPERLINK("http://www.rosaceae.org/Prunus/Prunus_persica/p.persica_gdr_reftransV1_0028498","p.persica_gdr_reftransV1_0028498")</f>
        <v>p.persica_gdr_reftransV1_0028498</v>
      </c>
      <c r="B15157" s="3">
        <v>1699</v>
      </c>
      <c r="C15157" s="1" t="str">
        <f>HYPERLINK("http://www.uniprot.org/uniprot/DHRS7_HUMAN","DHRS7_HUMAN")</f>
        <v>DHRS7_HUMAN</v>
      </c>
      <c r="D15157" t="s">
        <v>4090</v>
      </c>
      <c r="E15157" s="3" t="s">
        <v>28</v>
      </c>
      <c r="F15157" s="4">
        <v>1.12E-10</v>
      </c>
      <c r="G15157" s="3">
        <v>162</v>
      </c>
      <c r="H15157" s="3">
        <v>43</v>
      </c>
      <c r="I15157" s="3">
        <v>84</v>
      </c>
      <c r="J15157" s="3">
        <v>866</v>
      </c>
      <c r="K15157" s="3">
        <v>1114</v>
      </c>
      <c r="L15157" s="3">
        <v>165</v>
      </c>
      <c r="M15157" s="3">
        <v>248</v>
      </c>
    </row>
    <row r="15158" spans="1:13" x14ac:dyDescent="0.25">
      <c r="A15158" s="1" t="str">
        <f>HYPERLINK("http://www.rosaceae.org/Prunus/Prunus_persica/p.persica_gdr_reftransV1_0028698","p.persica_gdr_reftransV1_0028698")</f>
        <v>p.persica_gdr_reftransV1_0028698</v>
      </c>
      <c r="B15158" s="3">
        <v>2931</v>
      </c>
      <c r="C15158" s="1" t="str">
        <f>HYPERLINK("http://www.uniprot.org/uniprot/CBWD1_HUMAN","CBWD1_HUMAN")</f>
        <v>CBWD1_HUMAN</v>
      </c>
      <c r="D15158" t="s">
        <v>2515</v>
      </c>
      <c r="E15158" s="3" t="s">
        <v>28</v>
      </c>
      <c r="F15158" s="4">
        <v>6.7099999999999998E-50</v>
      </c>
      <c r="G15158" s="3">
        <v>473</v>
      </c>
      <c r="H15158" s="3">
        <v>43</v>
      </c>
      <c r="I15158" s="3">
        <v>230</v>
      </c>
      <c r="J15158" s="3">
        <v>2024</v>
      </c>
      <c r="K15158" s="3">
        <v>2707</v>
      </c>
      <c r="L15158" s="3">
        <v>21</v>
      </c>
      <c r="M15158" s="3">
        <v>249</v>
      </c>
    </row>
    <row r="15159" spans="1:13" x14ac:dyDescent="0.25">
      <c r="A15159" s="1" t="str">
        <f>HYPERLINK("http://www.rosaceae.org/Prunus/Prunus_persica/p.persica_gdr_reftransV1_0028848","p.persica_gdr_reftransV1_0028848")</f>
        <v>p.persica_gdr_reftransV1_0028848</v>
      </c>
      <c r="B15159" s="3">
        <v>3179</v>
      </c>
      <c r="C15159" s="1" t="str">
        <f>HYPERLINK("http://www.uniprot.org/uniprot/P2C04_ARATH","P2C04_ARATH")</f>
        <v>P2C04_ARATH</v>
      </c>
      <c r="D15159" t="s">
        <v>6297</v>
      </c>
      <c r="E15159" s="3" t="s">
        <v>3</v>
      </c>
      <c r="F15159" s="4">
        <v>0</v>
      </c>
      <c r="G15159" s="3">
        <v>1676</v>
      </c>
      <c r="H15159" s="3">
        <v>62</v>
      </c>
      <c r="I15159" s="3">
        <v>618</v>
      </c>
      <c r="J15159" s="3">
        <v>211</v>
      </c>
      <c r="K15159" s="3">
        <v>2037</v>
      </c>
      <c r="L15159" s="3">
        <v>1</v>
      </c>
      <c r="M15159" s="3">
        <v>538</v>
      </c>
    </row>
    <row r="15160" spans="1:13" x14ac:dyDescent="0.25">
      <c r="A15160" s="1" t="str">
        <f>HYPERLINK("http://www.rosaceae.org/Prunus/Prunus_persica/p.persica_gdr_reftransV1_0028948","p.persica_gdr_reftransV1_0028948")</f>
        <v>p.persica_gdr_reftransV1_0028948</v>
      </c>
      <c r="B15160" s="3">
        <v>2391</v>
      </c>
      <c r="C15160" s="1" t="str">
        <f>HYPERLINK("http://www.uniprot.org/uniprot/PTR2_ARATH","PTR2_ARATH")</f>
        <v>PTR2_ARATH</v>
      </c>
      <c r="D15160" t="s">
        <v>9792</v>
      </c>
      <c r="E15160" s="3" t="s">
        <v>3</v>
      </c>
      <c r="F15160" s="4">
        <v>0</v>
      </c>
      <c r="G15160" s="3">
        <v>2003</v>
      </c>
      <c r="H15160" s="3">
        <v>68</v>
      </c>
      <c r="I15160" s="3">
        <v>530</v>
      </c>
      <c r="J15160" s="3">
        <v>339</v>
      </c>
      <c r="K15160" s="3">
        <v>1928</v>
      </c>
      <c r="L15160" s="3">
        <v>53</v>
      </c>
      <c r="M15160" s="3">
        <v>582</v>
      </c>
    </row>
    <row r="15161" spans="1:13" x14ac:dyDescent="0.25">
      <c r="A15161" s="1" t="str">
        <f>HYPERLINK("http://www.rosaceae.org/Prunus/Prunus_persica/p.persica_gdr_reftransV1_0029098","p.persica_gdr_reftransV1_0029098")</f>
        <v>p.persica_gdr_reftransV1_0029098</v>
      </c>
      <c r="B15161" s="3">
        <v>3389</v>
      </c>
      <c r="C15161" s="1" t="str">
        <f>HYPERLINK("http://www.uniprot.org/uniprot/MATE1_ARATH","MATE1_ARATH")</f>
        <v>MATE1_ARATH</v>
      </c>
      <c r="D15161" t="s">
        <v>1536</v>
      </c>
      <c r="E15161" s="3" t="s">
        <v>3</v>
      </c>
      <c r="F15161" s="4">
        <v>7.13E-115</v>
      </c>
      <c r="G15161" s="3">
        <v>957</v>
      </c>
      <c r="H15161" s="3">
        <v>71</v>
      </c>
      <c r="I15161" s="3">
        <v>271</v>
      </c>
      <c r="J15161" s="3">
        <v>2025</v>
      </c>
      <c r="K15161" s="3">
        <v>2834</v>
      </c>
      <c r="L15161" s="3">
        <v>245</v>
      </c>
      <c r="M15161" s="3">
        <v>515</v>
      </c>
    </row>
    <row r="15162" spans="1:13" x14ac:dyDescent="0.25">
      <c r="A15162" s="1" t="str">
        <f>HYPERLINK("http://www.rosaceae.org/Prunus/Prunus_persica/p.persica_gdr_reftransV1_0029148","p.persica_gdr_reftransV1_0029148")</f>
        <v>p.persica_gdr_reftransV1_0029148</v>
      </c>
      <c r="B15162" s="3">
        <v>1650</v>
      </c>
      <c r="C15162" s="1" t="str">
        <f>HYPERLINK("http://www.uniprot.org/uniprot/RBP45_NICPL","RBP45_NICPL")</f>
        <v>RBP45_NICPL</v>
      </c>
      <c r="D15162" t="s">
        <v>1449</v>
      </c>
      <c r="E15162" s="3" t="s">
        <v>1450</v>
      </c>
      <c r="F15162" s="4">
        <v>4.73E-148</v>
      </c>
      <c r="G15162" s="3">
        <v>1128</v>
      </c>
      <c r="H15162" s="3">
        <v>70</v>
      </c>
      <c r="I15162" s="3">
        <v>330</v>
      </c>
      <c r="J15162" s="3">
        <v>295</v>
      </c>
      <c r="K15162" s="3">
        <v>1272</v>
      </c>
      <c r="L15162" s="3">
        <v>81</v>
      </c>
      <c r="M15162" s="3">
        <v>404</v>
      </c>
    </row>
    <row r="15163" spans="1:13" x14ac:dyDescent="0.25">
      <c r="A15163" s="1" t="str">
        <f>HYPERLINK("http://www.rosaceae.org/Prunus/Prunus_persica/p.persica_gdr_reftransV1_0029198","p.persica_gdr_reftransV1_0029198")</f>
        <v>p.persica_gdr_reftransV1_0029198</v>
      </c>
      <c r="B15163" s="3">
        <v>5721</v>
      </c>
      <c r="C15163" s="1" t="str">
        <f>HYPERLINK("http://www.uniprot.org/uniprot/BIG5_ARATH","BIG5_ARATH")</f>
        <v>BIG5_ARATH</v>
      </c>
      <c r="D15163" t="s">
        <v>2395</v>
      </c>
      <c r="E15163" s="3" t="s">
        <v>3</v>
      </c>
      <c r="F15163" s="4">
        <v>0</v>
      </c>
      <c r="G15163" s="3">
        <v>6817</v>
      </c>
      <c r="H15163" s="3">
        <v>75</v>
      </c>
      <c r="I15163" s="3">
        <v>1772</v>
      </c>
      <c r="J15163" s="3">
        <v>365</v>
      </c>
      <c r="K15163" s="3">
        <v>5644</v>
      </c>
      <c r="L15163" s="3">
        <v>6</v>
      </c>
      <c r="M15163" s="3">
        <v>1734</v>
      </c>
    </row>
    <row r="15164" spans="1:13" x14ac:dyDescent="0.25">
      <c r="A15164" s="1" t="str">
        <f>HYPERLINK("http://www.rosaceae.org/Prunus/Prunus_persica/p.persica_gdr_reftransV1_0029348","p.persica_gdr_reftransV1_0029348")</f>
        <v>p.persica_gdr_reftransV1_0029348</v>
      </c>
      <c r="B15164" s="3">
        <v>1386</v>
      </c>
      <c r="C15164" s="1" t="str">
        <f>HYPERLINK("http://www.uniprot.org/uniprot/MBD7_ARATH","MBD7_ARATH")</f>
        <v>MBD7_ARATH</v>
      </c>
      <c r="D15164" t="s">
        <v>9793</v>
      </c>
      <c r="E15164" s="3" t="s">
        <v>3</v>
      </c>
      <c r="F15164" s="4">
        <v>2.5999999999999999E-33</v>
      </c>
      <c r="G15164" s="3">
        <v>332</v>
      </c>
      <c r="H15164" s="3">
        <v>40</v>
      </c>
      <c r="I15164" s="3">
        <v>225</v>
      </c>
      <c r="J15164" s="3">
        <v>413</v>
      </c>
      <c r="K15164" s="3">
        <v>1081</v>
      </c>
      <c r="L15164" s="3">
        <v>107</v>
      </c>
      <c r="M15164" s="3">
        <v>300</v>
      </c>
    </row>
    <row r="15165" spans="1:13" x14ac:dyDescent="0.25">
      <c r="A15165" s="1" t="str">
        <f>HYPERLINK("http://www.rosaceae.org/Prunus/Prunus_persica/p.persica_gdr_reftransV1_0029548","p.persica_gdr_reftransV1_0029548")</f>
        <v>p.persica_gdr_reftransV1_0029548</v>
      </c>
      <c r="B15165" s="3">
        <v>2056</v>
      </c>
      <c r="C15165" s="1" t="str">
        <f>HYPERLINK("http://www.uniprot.org/uniprot/MURG_FLAPJ","MURG_FLAPJ")</f>
        <v>MURG_FLAPJ</v>
      </c>
      <c r="D15165" t="s">
        <v>9794</v>
      </c>
      <c r="E15165" s="3" t="s">
        <v>9795</v>
      </c>
      <c r="F15165" s="4">
        <v>1E-70</v>
      </c>
      <c r="G15165" s="3">
        <v>613</v>
      </c>
      <c r="H15165" s="3">
        <v>37</v>
      </c>
      <c r="I15165" s="3">
        <v>380</v>
      </c>
      <c r="J15165" s="3">
        <v>459</v>
      </c>
      <c r="K15165" s="3">
        <v>1598</v>
      </c>
      <c r="L15165" s="3">
        <v>1</v>
      </c>
      <c r="M15165" s="3">
        <v>367</v>
      </c>
    </row>
    <row r="15166" spans="1:13" x14ac:dyDescent="0.25">
      <c r="A15166" s="1" t="str">
        <f>HYPERLINK("http://www.rosaceae.org/Prunus/Prunus_persica/p.persica_gdr_reftransV1_0029748","p.persica_gdr_reftransV1_0029748")</f>
        <v>p.persica_gdr_reftransV1_0029748</v>
      </c>
      <c r="B15166" s="3">
        <v>1218</v>
      </c>
      <c r="C15166" s="1" t="str">
        <f>HYPERLINK("http://www.uniprot.org/uniprot/CCA34_ARATH","CCA34_ARATH")</f>
        <v>CCA34_ARATH</v>
      </c>
      <c r="D15166" t="s">
        <v>8050</v>
      </c>
      <c r="E15166" s="3" t="s">
        <v>3</v>
      </c>
      <c r="F15166" s="4">
        <v>1.13E-103</v>
      </c>
      <c r="G15166" s="3">
        <v>815</v>
      </c>
      <c r="H15166" s="3">
        <v>57</v>
      </c>
      <c r="I15166" s="3">
        <v>255</v>
      </c>
      <c r="J15166" s="3">
        <v>117</v>
      </c>
      <c r="K15166" s="3">
        <v>878</v>
      </c>
      <c r="L15166" s="3">
        <v>113</v>
      </c>
      <c r="M15166" s="3">
        <v>367</v>
      </c>
    </row>
    <row r="15167" spans="1:13" x14ac:dyDescent="0.25">
      <c r="A15167" s="1" t="str">
        <f>HYPERLINK("http://www.rosaceae.org/Prunus/Prunus_persica/p.persica_gdr_reftransV1_0030148","p.persica_gdr_reftransV1_0030148")</f>
        <v>p.persica_gdr_reftransV1_0030148</v>
      </c>
      <c r="B15167" s="3">
        <v>1505</v>
      </c>
      <c r="C15167" s="1" t="str">
        <f>HYPERLINK("http://www.uniprot.org/uniprot/ATB12_ARATH","ATB12_ARATH")</f>
        <v>ATB12_ARATH</v>
      </c>
      <c r="D15167" t="s">
        <v>1730</v>
      </c>
      <c r="E15167" s="3" t="s">
        <v>3</v>
      </c>
      <c r="F15167" s="4">
        <v>1.0400000000000001E-39</v>
      </c>
      <c r="G15167" s="3">
        <v>375</v>
      </c>
      <c r="H15167" s="3">
        <v>43</v>
      </c>
      <c r="I15167" s="3">
        <v>202</v>
      </c>
      <c r="J15167" s="3">
        <v>677</v>
      </c>
      <c r="K15167" s="3">
        <v>1222</v>
      </c>
      <c r="L15167" s="3">
        <v>34</v>
      </c>
      <c r="M15167" s="3">
        <v>235</v>
      </c>
    </row>
    <row r="15168" spans="1:13" x14ac:dyDescent="0.25">
      <c r="A15168" s="1" t="str">
        <f>HYPERLINK("http://www.rosaceae.org/Prunus/Prunus_persica/p.persica_gdr_reftransV1_0030598","p.persica_gdr_reftransV1_0030598")</f>
        <v>p.persica_gdr_reftransV1_0030598</v>
      </c>
      <c r="B15168" s="3">
        <v>1022</v>
      </c>
      <c r="C15168" s="1" t="str">
        <f>HYPERLINK("http://www.uniprot.org/uniprot/DBR_TOBAC","DBR_TOBAC")</f>
        <v>DBR_TOBAC</v>
      </c>
      <c r="D15168" t="s">
        <v>199</v>
      </c>
      <c r="E15168" s="3" t="s">
        <v>200</v>
      </c>
      <c r="F15168" s="4">
        <v>5.2400000000000002E-141</v>
      </c>
      <c r="G15168" s="3">
        <v>1054</v>
      </c>
      <c r="H15168" s="3">
        <v>75</v>
      </c>
      <c r="I15168" s="3">
        <v>269</v>
      </c>
      <c r="J15168" s="3">
        <v>128</v>
      </c>
      <c r="K15168" s="3">
        <v>934</v>
      </c>
      <c r="L15168" s="3">
        <v>75</v>
      </c>
      <c r="M15168" s="3">
        <v>343</v>
      </c>
    </row>
    <row r="15169" spans="1:13" x14ac:dyDescent="0.25">
      <c r="A15169" s="1" t="str">
        <f>HYPERLINK("http://www.rosaceae.org/Prunus/Prunus_persica/p.persica_gdr_reftransV1_0030698","p.persica_gdr_reftransV1_0030698")</f>
        <v>p.persica_gdr_reftransV1_0030698</v>
      </c>
      <c r="B15169" s="3">
        <v>1649</v>
      </c>
      <c r="C15169" s="1" t="str">
        <f>HYPERLINK("http://www.uniprot.org/uniprot/TET19_ARATH","TET19_ARATH")</f>
        <v>TET19_ARATH</v>
      </c>
      <c r="D15169" t="s">
        <v>2417</v>
      </c>
      <c r="E15169" s="3" t="s">
        <v>3</v>
      </c>
      <c r="F15169" s="4">
        <v>8.7300000000000003E-91</v>
      </c>
      <c r="G15169" s="3">
        <v>728</v>
      </c>
      <c r="H15169" s="3">
        <v>65</v>
      </c>
      <c r="I15169" s="3">
        <v>216</v>
      </c>
      <c r="J15169" s="3">
        <v>821</v>
      </c>
      <c r="K15169" s="3">
        <v>1462</v>
      </c>
      <c r="L15169" s="3">
        <v>4</v>
      </c>
      <c r="M15169" s="3">
        <v>218</v>
      </c>
    </row>
    <row r="15170" spans="1:13" x14ac:dyDescent="0.25">
      <c r="A15170" s="1" t="str">
        <f>HYPERLINK("http://www.rosaceae.org/Prunus/Prunus_persica/p.persica_gdr_reftransV1_0030848","p.persica_gdr_reftransV1_0030848")</f>
        <v>p.persica_gdr_reftransV1_0030848</v>
      </c>
      <c r="B15170" s="3">
        <v>3681</v>
      </c>
      <c r="C15170" s="1" t="str">
        <f>HYPERLINK("http://www.uniprot.org/uniprot/FOLD1_ARATH","FOLD1_ARATH")</f>
        <v>FOLD1_ARATH</v>
      </c>
      <c r="D15170" t="s">
        <v>3364</v>
      </c>
      <c r="E15170" s="3" t="s">
        <v>3</v>
      </c>
      <c r="F15170" s="4">
        <v>1.46E-78</v>
      </c>
      <c r="G15170" s="3">
        <v>604</v>
      </c>
      <c r="H15170" s="3">
        <v>54</v>
      </c>
      <c r="I15170" s="3">
        <v>209</v>
      </c>
      <c r="J15170" s="3">
        <v>231</v>
      </c>
      <c r="K15170" s="3">
        <v>857</v>
      </c>
      <c r="L15170" s="3">
        <v>45</v>
      </c>
      <c r="M15170" s="3">
        <v>242</v>
      </c>
    </row>
    <row r="15171" spans="1:13" x14ac:dyDescent="0.25">
      <c r="A15171" s="1" t="str">
        <f>HYPERLINK("http://www.rosaceae.org/Prunus/Prunus_persica/p.persica_gdr_reftransV1_0030898","p.persica_gdr_reftransV1_0030898")</f>
        <v>p.persica_gdr_reftransV1_0030898</v>
      </c>
      <c r="B15171" s="3">
        <v>2500</v>
      </c>
      <c r="C15171" s="1" t="str">
        <f>HYPERLINK("http://www.uniprot.org/uniprot/HGD_ARATH","HGD_ARATH")</f>
        <v>HGD_ARATH</v>
      </c>
      <c r="D15171" t="s">
        <v>9796</v>
      </c>
      <c r="E15171" s="3" t="s">
        <v>3</v>
      </c>
      <c r="F15171" s="4">
        <v>0</v>
      </c>
      <c r="G15171" s="3">
        <v>1537</v>
      </c>
      <c r="H15171" s="3">
        <v>70</v>
      </c>
      <c r="I15171" s="3">
        <v>431</v>
      </c>
      <c r="J15171" s="3">
        <v>1010</v>
      </c>
      <c r="K15171" s="3">
        <v>2302</v>
      </c>
      <c r="L15171" s="3">
        <v>13</v>
      </c>
      <c r="M15171" s="3">
        <v>388</v>
      </c>
    </row>
    <row r="15172" spans="1:13" x14ac:dyDescent="0.25">
      <c r="A15172" s="1" t="str">
        <f>HYPERLINK("http://www.rosaceae.org/Prunus/Prunus_persica/p.persica_gdr_reftransV1_0030948","p.persica_gdr_reftransV1_0030948")</f>
        <v>p.persica_gdr_reftransV1_0030948</v>
      </c>
      <c r="B15172" s="3">
        <v>675</v>
      </c>
      <c r="C15172" s="1" t="str">
        <f>HYPERLINK("http://www.uniprot.org/uniprot/PPR32_ARATH","PPR32_ARATH")</f>
        <v>PPR32_ARATH</v>
      </c>
      <c r="D15172" t="s">
        <v>3693</v>
      </c>
      <c r="E15172" s="3" t="s">
        <v>3</v>
      </c>
      <c r="F15172" s="4">
        <v>2.0100000000000001E-49</v>
      </c>
      <c r="G15172" s="3">
        <v>447</v>
      </c>
      <c r="H15172" s="3">
        <v>41</v>
      </c>
      <c r="I15172" s="3">
        <v>196</v>
      </c>
      <c r="J15172" s="3">
        <v>4</v>
      </c>
      <c r="K15172" s="3">
        <v>588</v>
      </c>
      <c r="L15172" s="3">
        <v>367</v>
      </c>
      <c r="M15172" s="3">
        <v>562</v>
      </c>
    </row>
    <row r="15173" spans="1:13" x14ac:dyDescent="0.25">
      <c r="A15173" s="1" t="str">
        <f>HYPERLINK("http://www.rosaceae.org/Prunus/Prunus_persica/p.persica_gdr_reftransV1_0031648","p.persica_gdr_reftransV1_0031648")</f>
        <v>p.persica_gdr_reftransV1_0031648</v>
      </c>
      <c r="B15173" s="3">
        <v>1991</v>
      </c>
      <c r="C15173" s="1" t="str">
        <f>HYPERLINK("http://www.uniprot.org/uniprot/AGD5_ARATH","AGD5_ARATH")</f>
        <v>AGD5_ARATH</v>
      </c>
      <c r="D15173" t="s">
        <v>7619</v>
      </c>
      <c r="E15173" s="3" t="s">
        <v>3</v>
      </c>
      <c r="F15173" s="4">
        <v>2.84E-157</v>
      </c>
      <c r="G15173" s="3">
        <v>1207</v>
      </c>
      <c r="H15173" s="3">
        <v>58</v>
      </c>
      <c r="I15173" s="3">
        <v>504</v>
      </c>
      <c r="J15173" s="3">
        <v>322</v>
      </c>
      <c r="K15173" s="3">
        <v>1782</v>
      </c>
      <c r="L15173" s="3">
        <v>1</v>
      </c>
      <c r="M15173" s="3">
        <v>483</v>
      </c>
    </row>
    <row r="15174" spans="1:13" x14ac:dyDescent="0.25">
      <c r="A15174" s="1" t="str">
        <f>HYPERLINK("http://www.rosaceae.org/Prunus/Prunus_persica/p.persica_gdr_reftransV1_0031848","p.persica_gdr_reftransV1_0031848")</f>
        <v>p.persica_gdr_reftransV1_0031848</v>
      </c>
      <c r="B15174" s="3">
        <v>1894</v>
      </c>
      <c r="C15174" s="1" t="str">
        <f>HYPERLINK("http://www.uniprot.org/uniprot/AIM32_ZYGRC","AIM32_ZYGRC")</f>
        <v>AIM32_ZYGRC</v>
      </c>
      <c r="D15174" t="s">
        <v>9797</v>
      </c>
      <c r="E15174" s="3" t="s">
        <v>9798</v>
      </c>
      <c r="F15174" s="4">
        <v>1.59E-8</v>
      </c>
      <c r="G15174" s="3">
        <v>145</v>
      </c>
      <c r="H15174" s="3">
        <v>43</v>
      </c>
      <c r="I15174" s="3">
        <v>65</v>
      </c>
      <c r="J15174" s="3">
        <v>629</v>
      </c>
      <c r="K15174" s="3">
        <v>823</v>
      </c>
      <c r="L15174" s="3">
        <v>216</v>
      </c>
      <c r="M15174" s="3">
        <v>276</v>
      </c>
    </row>
    <row r="15175" spans="1:13" x14ac:dyDescent="0.25">
      <c r="A15175" s="1" t="str">
        <f>HYPERLINK("http://www.rosaceae.org/Prunus/Prunus_persica/p.persica_gdr_reftransV1_0031898","p.persica_gdr_reftransV1_0031898")</f>
        <v>p.persica_gdr_reftransV1_0031898</v>
      </c>
      <c r="B15175" s="3">
        <v>1173</v>
      </c>
      <c r="C15175" s="1" t="str">
        <f>HYPERLINK("http://www.uniprot.org/uniprot/CDC7_DICDI","CDC7_DICDI")</f>
        <v>CDC7_DICDI</v>
      </c>
      <c r="D15175" t="s">
        <v>9799</v>
      </c>
      <c r="E15175" s="3" t="s">
        <v>9</v>
      </c>
      <c r="F15175" s="4">
        <v>1.37E-21</v>
      </c>
      <c r="G15175" s="3">
        <v>250</v>
      </c>
      <c r="H15175" s="3">
        <v>39</v>
      </c>
      <c r="I15175" s="3">
        <v>144</v>
      </c>
      <c r="J15175" s="3">
        <v>452</v>
      </c>
      <c r="K15175" s="3">
        <v>874</v>
      </c>
      <c r="L15175" s="3">
        <v>912</v>
      </c>
      <c r="M15175" s="3">
        <v>1049</v>
      </c>
    </row>
    <row r="15176" spans="1:13" x14ac:dyDescent="0.25">
      <c r="A15176" s="1" t="str">
        <f>HYPERLINK("http://www.rosaceae.org/Prunus/Prunus_persica/p.persica_gdr_reftransV1_0031998","p.persica_gdr_reftransV1_0031998")</f>
        <v>p.persica_gdr_reftransV1_0031998</v>
      </c>
      <c r="B15176" s="3">
        <v>1575</v>
      </c>
      <c r="C15176" s="1" t="str">
        <f>HYPERLINK("http://www.uniprot.org/uniprot/PDCB3_ARATH","PDCB3_ARATH")</f>
        <v>PDCB3_ARATH</v>
      </c>
      <c r="D15176" t="s">
        <v>3021</v>
      </c>
      <c r="E15176" s="3" t="s">
        <v>3</v>
      </c>
      <c r="F15176" s="4">
        <v>2.8300000000000001E-19</v>
      </c>
      <c r="G15176" s="3">
        <v>222</v>
      </c>
      <c r="H15176" s="3">
        <v>48</v>
      </c>
      <c r="I15176" s="3">
        <v>90</v>
      </c>
      <c r="J15176" s="3">
        <v>691</v>
      </c>
      <c r="K15176" s="3">
        <v>960</v>
      </c>
      <c r="L15176" s="3">
        <v>16</v>
      </c>
      <c r="M15176" s="3">
        <v>104</v>
      </c>
    </row>
    <row r="15177" spans="1:13" x14ac:dyDescent="0.25">
      <c r="A15177" s="1" t="str">
        <f>HYPERLINK("http://www.rosaceae.org/Prunus/Prunus_persica/p.persica_gdr_reftransV1_0032048","p.persica_gdr_reftransV1_0032048")</f>
        <v>p.persica_gdr_reftransV1_0032048</v>
      </c>
      <c r="B15177" s="3">
        <v>2300</v>
      </c>
      <c r="C15177" s="1" t="str">
        <f>HYPERLINK("http://www.uniprot.org/uniprot/PSMD3_DAUCA","PSMD3_DAUCA")</f>
        <v>PSMD3_DAUCA</v>
      </c>
      <c r="D15177" t="s">
        <v>4276</v>
      </c>
      <c r="E15177" s="3" t="s">
        <v>32</v>
      </c>
      <c r="F15177" s="4">
        <v>7.2800000000000003E-166</v>
      </c>
      <c r="G15177" s="3">
        <v>1274</v>
      </c>
      <c r="H15177" s="3">
        <v>88</v>
      </c>
      <c r="I15177" s="3">
        <v>305</v>
      </c>
      <c r="J15177" s="3">
        <v>1074</v>
      </c>
      <c r="K15177" s="3">
        <v>1985</v>
      </c>
      <c r="L15177" s="3">
        <v>185</v>
      </c>
      <c r="M15177" s="3">
        <v>489</v>
      </c>
    </row>
    <row r="15178" spans="1:13" x14ac:dyDescent="0.25">
      <c r="A15178" s="1" t="str">
        <f>HYPERLINK("http://www.rosaceae.org/Prunus/Prunus_persica/p.persica_gdr_reftransV1_0032098","p.persica_gdr_reftransV1_0032098")</f>
        <v>p.persica_gdr_reftransV1_0032098</v>
      </c>
      <c r="B15178" s="3">
        <v>2788</v>
      </c>
      <c r="C15178" s="1" t="str">
        <f>HYPERLINK("http://www.uniprot.org/uniprot/AB3F_ARATH","AB3F_ARATH")</f>
        <v>AB3F_ARATH</v>
      </c>
      <c r="D15178" t="s">
        <v>3324</v>
      </c>
      <c r="E15178" s="3" t="s">
        <v>3</v>
      </c>
      <c r="F15178" s="4">
        <v>0</v>
      </c>
      <c r="G15178" s="3">
        <v>2602</v>
      </c>
      <c r="H15178" s="3">
        <v>83</v>
      </c>
      <c r="I15178" s="3">
        <v>569</v>
      </c>
      <c r="J15178" s="3">
        <v>292</v>
      </c>
      <c r="K15178" s="3">
        <v>1992</v>
      </c>
      <c r="L15178" s="3">
        <v>146</v>
      </c>
      <c r="M15178" s="3">
        <v>714</v>
      </c>
    </row>
    <row r="15179" spans="1:13" x14ac:dyDescent="0.25">
      <c r="A15179" s="1" t="str">
        <f>HYPERLINK("http://www.rosaceae.org/Prunus/Prunus_persica/p.persica_gdr_reftransV1_0032148","p.persica_gdr_reftransV1_0032148")</f>
        <v>p.persica_gdr_reftransV1_0032148</v>
      </c>
      <c r="B15179" s="3">
        <v>4545</v>
      </c>
      <c r="C15179" s="1" t="str">
        <f>HYPERLINK("http://www.uniprot.org/uniprot/RBM5B_XENLA","RBM5B_XENLA")</f>
        <v>RBM5B_XENLA</v>
      </c>
      <c r="D15179" t="s">
        <v>7839</v>
      </c>
      <c r="E15179" s="3" t="s">
        <v>475</v>
      </c>
      <c r="F15179" s="4">
        <v>1.8700000000000001E-18</v>
      </c>
      <c r="G15179" s="3">
        <v>236</v>
      </c>
      <c r="H15179" s="3">
        <v>28</v>
      </c>
      <c r="I15179" s="3">
        <v>251</v>
      </c>
      <c r="J15179" s="3">
        <v>1312</v>
      </c>
      <c r="K15179" s="3">
        <v>2043</v>
      </c>
      <c r="L15179" s="3">
        <v>101</v>
      </c>
      <c r="M15179" s="3">
        <v>325</v>
      </c>
    </row>
    <row r="15180" spans="1:13" x14ac:dyDescent="0.25">
      <c r="A15180" s="1" t="str">
        <f>HYPERLINK("http://www.rosaceae.org/Prunus/Prunus_persica/p.persica_gdr_reftransV1_0032348","p.persica_gdr_reftransV1_0032348")</f>
        <v>p.persica_gdr_reftransV1_0032348</v>
      </c>
      <c r="B15180" s="3">
        <v>1975</v>
      </c>
      <c r="C15180" s="1" t="str">
        <f>HYPERLINK("http://www.uniprot.org/uniprot/EXLA2_ARATH","EXLA2_ARATH")</f>
        <v>EXLA2_ARATH</v>
      </c>
      <c r="D15180" t="s">
        <v>9800</v>
      </c>
      <c r="E15180" s="3" t="s">
        <v>3</v>
      </c>
      <c r="F15180" s="4">
        <v>6.9999999999999995E-51</v>
      </c>
      <c r="G15180" s="3">
        <v>463</v>
      </c>
      <c r="H15180" s="3">
        <v>66</v>
      </c>
      <c r="I15180" s="3">
        <v>126</v>
      </c>
      <c r="J15180" s="3">
        <v>399</v>
      </c>
      <c r="K15180" s="3">
        <v>776</v>
      </c>
      <c r="L15180" s="3">
        <v>140</v>
      </c>
      <c r="M15180" s="3">
        <v>264</v>
      </c>
    </row>
    <row r="15181" spans="1:13" x14ac:dyDescent="0.25">
      <c r="A15181" s="1" t="str">
        <f>HYPERLINK("http://www.rosaceae.org/Prunus/Prunus_persica/p.persica_gdr_reftransV1_0032598","p.persica_gdr_reftransV1_0032598")</f>
        <v>p.persica_gdr_reftransV1_0032598</v>
      </c>
      <c r="B15181" s="3">
        <v>3060</v>
      </c>
      <c r="C15181" s="1" t="str">
        <f>HYPERLINK("http://www.uniprot.org/uniprot/ARSB_DICDI","ARSB_DICDI")</f>
        <v>ARSB_DICDI</v>
      </c>
      <c r="D15181" t="s">
        <v>9801</v>
      </c>
      <c r="E15181" s="3" t="s">
        <v>9</v>
      </c>
      <c r="F15181" s="4">
        <v>5.8199999999999999E-61</v>
      </c>
      <c r="G15181" s="3">
        <v>566</v>
      </c>
      <c r="H15181" s="3">
        <v>31</v>
      </c>
      <c r="I15181" s="3">
        <v>554</v>
      </c>
      <c r="J15181" s="3">
        <v>1121</v>
      </c>
      <c r="K15181" s="3">
        <v>2668</v>
      </c>
      <c r="L15181" s="3">
        <v>66</v>
      </c>
      <c r="M15181" s="3">
        <v>558</v>
      </c>
    </row>
    <row r="15182" spans="1:13" x14ac:dyDescent="0.25">
      <c r="A15182" s="1" t="str">
        <f>HYPERLINK("http://www.rosaceae.org/Prunus/Prunus_persica/p.persica_gdr_reftransV1_0032748","p.persica_gdr_reftransV1_0032748")</f>
        <v>p.persica_gdr_reftransV1_0032748</v>
      </c>
      <c r="B15182" s="3">
        <v>2089</v>
      </c>
      <c r="C15182" s="1" t="str">
        <f>HYPERLINK("http://www.uniprot.org/uniprot/P2C16_ARATH","P2C16_ARATH")</f>
        <v>P2C16_ARATH</v>
      </c>
      <c r="D15182" t="s">
        <v>1383</v>
      </c>
      <c r="E15182" s="3" t="s">
        <v>3</v>
      </c>
      <c r="F15182" s="4">
        <v>1.54E-86</v>
      </c>
      <c r="G15182" s="3">
        <v>735</v>
      </c>
      <c r="H15182" s="3">
        <v>43</v>
      </c>
      <c r="I15182" s="3">
        <v>442</v>
      </c>
      <c r="J15182" s="3">
        <v>808</v>
      </c>
      <c r="K15182" s="3">
        <v>2085</v>
      </c>
      <c r="L15182" s="3">
        <v>1</v>
      </c>
      <c r="M15182" s="3">
        <v>387</v>
      </c>
    </row>
    <row r="15183" spans="1:13" x14ac:dyDescent="0.25">
      <c r="A15183" s="1" t="str">
        <f>HYPERLINK("http://www.rosaceae.org/Prunus/Prunus_persica/p.persica_gdr_reftransV1_0033098","p.persica_gdr_reftransV1_0033098")</f>
        <v>p.persica_gdr_reftransV1_0033098</v>
      </c>
      <c r="B15183" s="3">
        <v>966</v>
      </c>
      <c r="C15183" s="1" t="str">
        <f>HYPERLINK("http://www.uniprot.org/uniprot/H2A4_ORYSJ","H2A4_ORYSJ")</f>
        <v>H2A4_ORYSJ</v>
      </c>
      <c r="D15183" t="s">
        <v>425</v>
      </c>
      <c r="E15183" s="3" t="s">
        <v>38</v>
      </c>
      <c r="F15183" s="4">
        <v>2.8799999999999999E-51</v>
      </c>
      <c r="G15183" s="3">
        <v>438</v>
      </c>
      <c r="H15183" s="3">
        <v>87</v>
      </c>
      <c r="I15183" s="3">
        <v>126</v>
      </c>
      <c r="J15183" s="3">
        <v>227</v>
      </c>
      <c r="K15183" s="3">
        <v>586</v>
      </c>
      <c r="L15183" s="3">
        <v>28</v>
      </c>
      <c r="M15183" s="3">
        <v>153</v>
      </c>
    </row>
    <row r="15184" spans="1:13" x14ac:dyDescent="0.25">
      <c r="A15184" s="1" t="str">
        <f>HYPERLINK("http://www.rosaceae.org/Prunus/Prunus_persica/p.persica_gdr_reftransV1_0033348","p.persica_gdr_reftransV1_0033348")</f>
        <v>p.persica_gdr_reftransV1_0033348</v>
      </c>
      <c r="B15184" s="3">
        <v>2144</v>
      </c>
      <c r="C15184" s="1" t="str">
        <f>HYPERLINK("http://www.uniprot.org/uniprot/PUR2_ARATH","PUR2_ARATH")</f>
        <v>PUR2_ARATH</v>
      </c>
      <c r="D15184" t="s">
        <v>9802</v>
      </c>
      <c r="E15184" s="3" t="s">
        <v>3</v>
      </c>
      <c r="F15184" s="4">
        <v>0</v>
      </c>
      <c r="G15184" s="3">
        <v>1874</v>
      </c>
      <c r="H15184" s="3">
        <v>75</v>
      </c>
      <c r="I15184" s="3">
        <v>502</v>
      </c>
      <c r="J15184" s="3">
        <v>404</v>
      </c>
      <c r="K15184" s="3">
        <v>1909</v>
      </c>
      <c r="L15184" s="3">
        <v>45</v>
      </c>
      <c r="M15184" s="3">
        <v>530</v>
      </c>
    </row>
    <row r="15185" spans="1:13" x14ac:dyDescent="0.25">
      <c r="A15185" s="1" t="str">
        <f>HYPERLINK("http://www.rosaceae.org/Prunus/Prunus_persica/p.persica_gdr_reftransV1_0033698","p.persica_gdr_reftransV1_0033698")</f>
        <v>p.persica_gdr_reftransV1_0033698</v>
      </c>
      <c r="B15185" s="3">
        <v>1942</v>
      </c>
      <c r="C15185" s="1" t="str">
        <f>HYPERLINK("http://www.uniprot.org/uniprot/PP142_ARATH","PP142_ARATH")</f>
        <v>PP142_ARATH</v>
      </c>
      <c r="D15185" t="s">
        <v>9803</v>
      </c>
      <c r="E15185" s="3" t="s">
        <v>3</v>
      </c>
      <c r="F15185" s="4">
        <v>1.72E-167</v>
      </c>
      <c r="G15185" s="3">
        <v>1274</v>
      </c>
      <c r="H15185" s="3">
        <v>61</v>
      </c>
      <c r="I15185" s="3">
        <v>461</v>
      </c>
      <c r="J15185" s="3">
        <v>424</v>
      </c>
      <c r="K15185" s="3">
        <v>1779</v>
      </c>
      <c r="L15185" s="3">
        <v>23</v>
      </c>
      <c r="M15185" s="3">
        <v>480</v>
      </c>
    </row>
    <row r="15186" spans="1:13" x14ac:dyDescent="0.25">
      <c r="A15186" s="1" t="str">
        <f>HYPERLINK("http://www.rosaceae.org/Prunus/Prunus_persica/p.persica_gdr_reftransV1_0033798","p.persica_gdr_reftransV1_0033798")</f>
        <v>p.persica_gdr_reftransV1_0033798</v>
      </c>
      <c r="B15186" s="3">
        <v>5417</v>
      </c>
      <c r="C15186" s="1" t="str">
        <f>HYPERLINK("http://www.uniprot.org/uniprot/MUTS2_SYNY3","MUTS2_SYNY3")</f>
        <v>MUTS2_SYNY3</v>
      </c>
      <c r="D15186" t="s">
        <v>9286</v>
      </c>
      <c r="E15186" s="3" t="s">
        <v>527</v>
      </c>
      <c r="F15186" s="4">
        <v>2.1899999999999999E-36</v>
      </c>
      <c r="G15186" s="3">
        <v>387</v>
      </c>
      <c r="H15186" s="3">
        <v>37</v>
      </c>
      <c r="I15186" s="3">
        <v>277</v>
      </c>
      <c r="J15186" s="3">
        <v>2170</v>
      </c>
      <c r="K15186" s="3">
        <v>2982</v>
      </c>
      <c r="L15186" s="3">
        <v>441</v>
      </c>
      <c r="M15186" s="3">
        <v>696</v>
      </c>
    </row>
    <row r="15187" spans="1:13" x14ac:dyDescent="0.25">
      <c r="A15187" s="1" t="str">
        <f>HYPERLINK("http://www.rosaceae.org/Prunus/Prunus_persica/p.persica_gdr_reftransV1_0034048","p.persica_gdr_reftransV1_0034048")</f>
        <v>p.persica_gdr_reftransV1_0034048</v>
      </c>
      <c r="B15187" s="3">
        <v>1259</v>
      </c>
      <c r="C15187" s="1" t="str">
        <f>HYPERLINK("http://www.uniprot.org/uniprot/QKY_ARATH","QKY_ARATH")</f>
        <v>QKY_ARATH</v>
      </c>
      <c r="D15187" t="s">
        <v>707</v>
      </c>
      <c r="E15187" s="3" t="s">
        <v>3</v>
      </c>
      <c r="F15187" s="4">
        <v>1.6300000000000001E-127</v>
      </c>
      <c r="G15187" s="3">
        <v>1029</v>
      </c>
      <c r="H15187" s="3">
        <v>57</v>
      </c>
      <c r="I15187" s="3">
        <v>327</v>
      </c>
      <c r="J15187" s="3">
        <v>31</v>
      </c>
      <c r="K15187" s="3">
        <v>1008</v>
      </c>
      <c r="L15187" s="3">
        <v>755</v>
      </c>
      <c r="M15187" s="3">
        <v>1081</v>
      </c>
    </row>
    <row r="15188" spans="1:13" x14ac:dyDescent="0.25">
      <c r="A15188" s="1" t="str">
        <f>HYPERLINK("http://www.rosaceae.org/Prunus/Prunus_persica/p.persica_gdr_reftransV1_0034098","p.persica_gdr_reftransV1_0034098")</f>
        <v>p.persica_gdr_reftransV1_0034098</v>
      </c>
      <c r="B15188" s="3">
        <v>2173</v>
      </c>
      <c r="C15188" s="1" t="str">
        <f>HYPERLINK("http://www.uniprot.org/uniprot/AAE1_ARATH","AAE1_ARATH")</f>
        <v>AAE1_ARATH</v>
      </c>
      <c r="D15188" t="s">
        <v>4488</v>
      </c>
      <c r="E15188" s="3" t="s">
        <v>3</v>
      </c>
      <c r="F15188" s="4">
        <v>0</v>
      </c>
      <c r="G15188" s="3">
        <v>2231</v>
      </c>
      <c r="H15188" s="3">
        <v>73</v>
      </c>
      <c r="I15188" s="3">
        <v>553</v>
      </c>
      <c r="J15188" s="3">
        <v>216</v>
      </c>
      <c r="K15188" s="3">
        <v>1874</v>
      </c>
      <c r="L15188" s="3">
        <v>3</v>
      </c>
      <c r="M15188" s="3">
        <v>555</v>
      </c>
    </row>
    <row r="15189" spans="1:13" x14ac:dyDescent="0.25">
      <c r="A15189" s="1" t="str">
        <f>HYPERLINK("http://www.rosaceae.org/Prunus/Prunus_persica/p.persica_gdr_reftransV1_0034448","p.persica_gdr_reftransV1_0034448")</f>
        <v>p.persica_gdr_reftransV1_0034448</v>
      </c>
      <c r="B15189" s="3">
        <v>1439</v>
      </c>
      <c r="C15189" s="1" t="str">
        <f>HYPERLINK("http://www.uniprot.org/uniprot/BGL12_ORYSJ","BGL12_ORYSJ")</f>
        <v>BGL12_ORYSJ</v>
      </c>
      <c r="D15189" t="s">
        <v>8371</v>
      </c>
      <c r="E15189" s="3" t="s">
        <v>38</v>
      </c>
      <c r="F15189" s="4">
        <v>4.0700000000000002E-84</v>
      </c>
      <c r="G15189" s="3">
        <v>422</v>
      </c>
      <c r="H15189" s="3">
        <v>50</v>
      </c>
      <c r="I15189" s="3">
        <v>169</v>
      </c>
      <c r="J15189" s="3">
        <v>5</v>
      </c>
      <c r="K15189" s="3">
        <v>511</v>
      </c>
      <c r="L15189" s="3">
        <v>229</v>
      </c>
      <c r="M15189" s="3">
        <v>374</v>
      </c>
    </row>
    <row r="15190" spans="1:13" x14ac:dyDescent="0.25">
      <c r="A15190" s="1" t="str">
        <f>HYPERLINK("http://www.rosaceae.org/Prunus/Prunus_persica/p.persica_gdr_reftransV1_0034498","p.persica_gdr_reftransV1_0034498")</f>
        <v>p.persica_gdr_reftransV1_0034498</v>
      </c>
      <c r="B15190" s="3">
        <v>3082</v>
      </c>
      <c r="C15190" s="1" t="str">
        <f>HYPERLINK("http://www.uniprot.org/uniprot/LHWL3_ARATH","LHWL3_ARATH")</f>
        <v>LHWL3_ARATH</v>
      </c>
      <c r="D15190" t="s">
        <v>6623</v>
      </c>
      <c r="E15190" s="3" t="s">
        <v>3</v>
      </c>
      <c r="F15190" s="4">
        <v>0</v>
      </c>
      <c r="G15190" s="3">
        <v>1460</v>
      </c>
      <c r="H15190" s="3">
        <v>46</v>
      </c>
      <c r="I15190" s="3">
        <v>753</v>
      </c>
      <c r="J15190" s="3">
        <v>317</v>
      </c>
      <c r="K15190" s="3">
        <v>2527</v>
      </c>
      <c r="L15190" s="3">
        <v>1</v>
      </c>
      <c r="M15190" s="3">
        <v>715</v>
      </c>
    </row>
    <row r="15191" spans="1:13" x14ac:dyDescent="0.25">
      <c r="A15191" s="1" t="str">
        <f>HYPERLINK("http://www.rosaceae.org/Prunus/Prunus_persica/p.persica_gdr_reftransV1_0034748","p.persica_gdr_reftransV1_0034748")</f>
        <v>p.persica_gdr_reftransV1_0034748</v>
      </c>
      <c r="B15191" s="3">
        <v>1752</v>
      </c>
      <c r="C15191" s="1" t="str">
        <f>HYPERLINK("http://www.uniprot.org/uniprot/OPR3_SOLLC","OPR3_SOLLC")</f>
        <v>OPR3_SOLLC</v>
      </c>
      <c r="D15191" t="s">
        <v>8567</v>
      </c>
      <c r="E15191" s="3" t="s">
        <v>64</v>
      </c>
      <c r="F15191" s="4">
        <v>0</v>
      </c>
      <c r="G15191" s="3">
        <v>1591</v>
      </c>
      <c r="H15191" s="3">
        <v>78</v>
      </c>
      <c r="I15191" s="3">
        <v>397</v>
      </c>
      <c r="J15191" s="3">
        <v>290</v>
      </c>
      <c r="K15191" s="3">
        <v>1477</v>
      </c>
      <c r="L15191" s="3">
        <v>1</v>
      </c>
      <c r="M15191" s="3">
        <v>396</v>
      </c>
    </row>
    <row r="15192" spans="1:13" x14ac:dyDescent="0.25">
      <c r="A15192" s="1" t="str">
        <f>HYPERLINK("http://www.rosaceae.org/Prunus/Prunus_persica/p.persica_gdr_reftransV1_0035148","p.persica_gdr_reftransV1_0035148")</f>
        <v>p.persica_gdr_reftransV1_0035148</v>
      </c>
      <c r="B15192" s="3">
        <v>3991</v>
      </c>
      <c r="C15192" s="1" t="str">
        <f>HYPERLINK("http://www.uniprot.org/uniprot/YODA_ARATH","YODA_ARATH")</f>
        <v>YODA_ARATH</v>
      </c>
      <c r="D15192" t="s">
        <v>2168</v>
      </c>
      <c r="E15192" s="3" t="s">
        <v>3</v>
      </c>
      <c r="F15192" s="4">
        <v>5.54E-19</v>
      </c>
      <c r="G15192" s="3">
        <v>240</v>
      </c>
      <c r="H15192" s="3">
        <v>27</v>
      </c>
      <c r="I15192" s="3">
        <v>354</v>
      </c>
      <c r="J15192" s="3">
        <v>399</v>
      </c>
      <c r="K15192" s="3">
        <v>1424</v>
      </c>
      <c r="L15192" s="3">
        <v>369</v>
      </c>
      <c r="M15192" s="3">
        <v>652</v>
      </c>
    </row>
    <row r="15193" spans="1:13" x14ac:dyDescent="0.25">
      <c r="A15193" s="1" t="str">
        <f>HYPERLINK("http://www.rosaceae.org/Prunus/Prunus_persica/p.persica_gdr_reftransV1_0035448","p.persica_gdr_reftransV1_0035448")</f>
        <v>p.persica_gdr_reftransV1_0035448</v>
      </c>
      <c r="B15193" s="3">
        <v>3347</v>
      </c>
      <c r="C15193" s="1" t="str">
        <f>HYPERLINK("http://www.uniprot.org/uniprot/C97B2_SOYBN","C97B2_SOYBN")</f>
        <v>C97B2_SOYBN</v>
      </c>
      <c r="D15193" t="s">
        <v>9804</v>
      </c>
      <c r="E15193" s="3" t="s">
        <v>307</v>
      </c>
      <c r="F15193" s="4">
        <v>2.0099999999999998E-154</v>
      </c>
      <c r="G15193" s="3">
        <v>1233</v>
      </c>
      <c r="H15193" s="3">
        <v>86</v>
      </c>
      <c r="I15193" s="3">
        <v>280</v>
      </c>
      <c r="J15193" s="3">
        <v>2118</v>
      </c>
      <c r="K15193" s="3">
        <v>2957</v>
      </c>
      <c r="L15193" s="3">
        <v>43</v>
      </c>
      <c r="M15193" s="3">
        <v>322</v>
      </c>
    </row>
    <row r="15194" spans="1:13" x14ac:dyDescent="0.25">
      <c r="A15194" s="1" t="str">
        <f>HYPERLINK("http://www.rosaceae.org/Prunus/Prunus_persica/p.persica_gdr_reftransV1_0035648","p.persica_gdr_reftransV1_0035648")</f>
        <v>p.persica_gdr_reftransV1_0035648</v>
      </c>
      <c r="B15194" s="3">
        <v>1916</v>
      </c>
      <c r="C15194" s="1" t="str">
        <f>HYPERLINK("http://www.uniprot.org/uniprot/LGUL_SOYBN","LGUL_SOYBN")</f>
        <v>LGUL_SOYBN</v>
      </c>
      <c r="D15194" t="s">
        <v>9515</v>
      </c>
      <c r="E15194" s="3" t="s">
        <v>307</v>
      </c>
      <c r="F15194" s="4">
        <v>2.4000000000000001E-110</v>
      </c>
      <c r="G15194" s="3">
        <v>862</v>
      </c>
      <c r="H15194" s="3">
        <v>89</v>
      </c>
      <c r="I15194" s="3">
        <v>175</v>
      </c>
      <c r="J15194" s="3">
        <v>265</v>
      </c>
      <c r="K15194" s="3">
        <v>789</v>
      </c>
      <c r="L15194" s="3">
        <v>1</v>
      </c>
      <c r="M15194" s="3">
        <v>175</v>
      </c>
    </row>
    <row r="15195" spans="1:13" x14ac:dyDescent="0.25">
      <c r="A15195" s="1" t="str">
        <f>HYPERLINK("http://www.rosaceae.org/Prunus/Prunus_persica/p.persica_gdr_reftransV1_0035798","p.persica_gdr_reftransV1_0035798")</f>
        <v>p.persica_gdr_reftransV1_0035798</v>
      </c>
      <c r="B15195" s="3">
        <v>1134</v>
      </c>
      <c r="C15195" s="1" t="str">
        <f>HYPERLINK("http://www.uniprot.org/uniprot/BAP2_ARATH","BAP2_ARATH")</f>
        <v>BAP2_ARATH</v>
      </c>
      <c r="D15195" t="s">
        <v>8637</v>
      </c>
      <c r="E15195" s="3" t="s">
        <v>3</v>
      </c>
      <c r="F15195" s="4">
        <v>2.1000000000000001E-34</v>
      </c>
      <c r="G15195" s="3">
        <v>330</v>
      </c>
      <c r="H15195" s="3">
        <v>40</v>
      </c>
      <c r="I15195" s="3">
        <v>201</v>
      </c>
      <c r="J15195" s="3">
        <v>178</v>
      </c>
      <c r="K15195" s="3">
        <v>684</v>
      </c>
      <c r="L15195" s="3">
        <v>8</v>
      </c>
      <c r="M15195" s="3">
        <v>205</v>
      </c>
    </row>
    <row r="15196" spans="1:13" x14ac:dyDescent="0.25">
      <c r="A15196" s="1" t="str">
        <f>HYPERLINK("http://www.rosaceae.org/Prunus/Prunus_persica/p.persica_gdr_reftransV1_0035898","p.persica_gdr_reftransV1_0035898")</f>
        <v>p.persica_gdr_reftransV1_0035898</v>
      </c>
      <c r="B15196" s="3">
        <v>1324</v>
      </c>
      <c r="C15196" s="1" t="str">
        <f>HYPERLINK("http://www.uniprot.org/uniprot/EXOS7_HUMAN","EXOS7_HUMAN")</f>
        <v>EXOS7_HUMAN</v>
      </c>
      <c r="D15196" t="s">
        <v>9805</v>
      </c>
      <c r="E15196" s="3" t="s">
        <v>28</v>
      </c>
      <c r="F15196" s="4">
        <v>1.8799999999999999E-56</v>
      </c>
      <c r="G15196" s="3">
        <v>493</v>
      </c>
      <c r="H15196" s="3">
        <v>39</v>
      </c>
      <c r="I15196" s="3">
        <v>276</v>
      </c>
      <c r="J15196" s="3">
        <v>277</v>
      </c>
      <c r="K15196" s="3">
        <v>1098</v>
      </c>
      <c r="L15196" s="3">
        <v>4</v>
      </c>
      <c r="M15196" s="3">
        <v>272</v>
      </c>
    </row>
    <row r="15197" spans="1:13" x14ac:dyDescent="0.25">
      <c r="A15197" s="1" t="str">
        <f>HYPERLINK("http://www.rosaceae.org/Prunus/Prunus_persica/p.persica_gdr_reftransV1_0036148","p.persica_gdr_reftransV1_0036148")</f>
        <v>p.persica_gdr_reftransV1_0036148</v>
      </c>
      <c r="B15197" s="3">
        <v>1184</v>
      </c>
      <c r="C15197" s="1" t="str">
        <f>HYPERLINK("http://www.uniprot.org/uniprot/OML4_ORYSJ","OML4_ORYSJ")</f>
        <v>OML4_ORYSJ</v>
      </c>
      <c r="D15197" t="s">
        <v>4661</v>
      </c>
      <c r="E15197" s="3" t="s">
        <v>38</v>
      </c>
      <c r="F15197" s="4">
        <v>8.1399999999999997E-52</v>
      </c>
      <c r="G15197" s="3">
        <v>484</v>
      </c>
      <c r="H15197" s="3">
        <v>88</v>
      </c>
      <c r="I15197" s="3">
        <v>97</v>
      </c>
      <c r="J15197" s="3">
        <v>2</v>
      </c>
      <c r="K15197" s="3">
        <v>292</v>
      </c>
      <c r="L15197" s="3">
        <v>855</v>
      </c>
      <c r="M15197" s="3">
        <v>951</v>
      </c>
    </row>
    <row r="15198" spans="1:13" x14ac:dyDescent="0.25">
      <c r="A15198" s="1" t="str">
        <f>HYPERLINK("http://www.rosaceae.org/Prunus/Prunus_persica/p.persica_gdr_reftransV1_0036198","p.persica_gdr_reftransV1_0036198")</f>
        <v>p.persica_gdr_reftransV1_0036198</v>
      </c>
      <c r="B15198" s="3">
        <v>2607</v>
      </c>
      <c r="C15198" s="1" t="str">
        <f>HYPERLINK("http://www.uniprot.org/uniprot/B2_DAUCA","B2_DAUCA")</f>
        <v>B2_DAUCA</v>
      </c>
      <c r="D15198" t="s">
        <v>1441</v>
      </c>
      <c r="E15198" s="3" t="s">
        <v>32</v>
      </c>
      <c r="F15198" s="4">
        <v>5.9300000000000001E-86</v>
      </c>
      <c r="G15198" s="3">
        <v>713</v>
      </c>
      <c r="H15198" s="3">
        <v>82</v>
      </c>
      <c r="I15198" s="3">
        <v>151</v>
      </c>
      <c r="J15198" s="3">
        <v>1647</v>
      </c>
      <c r="K15198" s="3">
        <v>2099</v>
      </c>
      <c r="L15198" s="3">
        <v>55</v>
      </c>
      <c r="M15198" s="3">
        <v>205</v>
      </c>
    </row>
    <row r="15199" spans="1:13" x14ac:dyDescent="0.25">
      <c r="A15199" s="1" t="str">
        <f>HYPERLINK("http://www.rosaceae.org/Prunus/Prunus_persica/p.persica_gdr_reftransV1_0036598","p.persica_gdr_reftransV1_0036598")</f>
        <v>p.persica_gdr_reftransV1_0036598</v>
      </c>
      <c r="B15199" s="3">
        <v>3680</v>
      </c>
      <c r="C15199" s="1" t="str">
        <f>HYPERLINK("http://www.uniprot.org/uniprot/ASPL2_ARATH","ASPL2_ARATH")</f>
        <v>ASPL2_ARATH</v>
      </c>
      <c r="D15199" t="s">
        <v>545</v>
      </c>
      <c r="E15199" s="3" t="s">
        <v>3</v>
      </c>
      <c r="F15199" s="4">
        <v>4.5199999999999997E-32</v>
      </c>
      <c r="G15199" s="3">
        <v>342</v>
      </c>
      <c r="H15199" s="3">
        <v>30</v>
      </c>
      <c r="I15199" s="3">
        <v>407</v>
      </c>
      <c r="J15199" s="3">
        <v>233</v>
      </c>
      <c r="K15199" s="3">
        <v>1372</v>
      </c>
      <c r="L15199" s="3">
        <v>39</v>
      </c>
      <c r="M15199" s="3">
        <v>431</v>
      </c>
    </row>
    <row r="15200" spans="1:13" x14ac:dyDescent="0.25">
      <c r="A15200" s="1" t="str">
        <f>HYPERLINK("http://www.rosaceae.org/Prunus/Prunus_persica/p.persica_gdr_reftransV1_0036998","p.persica_gdr_reftransV1_0036998")</f>
        <v>p.persica_gdr_reftransV1_0036998</v>
      </c>
      <c r="B15200" s="3">
        <v>3073</v>
      </c>
      <c r="C15200" s="1" t="str">
        <f>HYPERLINK("http://www.uniprot.org/uniprot/UKL4_ARATH","UKL4_ARATH")</f>
        <v>UKL4_ARATH</v>
      </c>
      <c r="D15200" t="s">
        <v>6993</v>
      </c>
      <c r="E15200" s="3" t="s">
        <v>3</v>
      </c>
      <c r="F15200" s="4">
        <v>1.17E-163</v>
      </c>
      <c r="G15200" s="3">
        <v>1279</v>
      </c>
      <c r="H15200" s="3">
        <v>57</v>
      </c>
      <c r="I15200" s="3">
        <v>498</v>
      </c>
      <c r="J15200" s="3">
        <v>234</v>
      </c>
      <c r="K15200" s="3">
        <v>1700</v>
      </c>
      <c r="L15200" s="3">
        <v>1</v>
      </c>
      <c r="M15200" s="3">
        <v>393</v>
      </c>
    </row>
    <row r="15201" spans="1:13" x14ac:dyDescent="0.25">
      <c r="A15201" s="1" t="str">
        <f>HYPERLINK("http://www.rosaceae.org/Prunus/Prunus_persica/p.persica_gdr_reftransV1_0037298","p.persica_gdr_reftransV1_0037298")</f>
        <v>p.persica_gdr_reftransV1_0037298</v>
      </c>
      <c r="B15201" s="3">
        <v>1331</v>
      </c>
      <c r="C15201" s="1" t="str">
        <f>HYPERLINK("http://www.uniprot.org/uniprot/TMVRN_NICGU","TMVRN_NICGU")</f>
        <v>TMVRN_NICGU</v>
      </c>
      <c r="D15201" t="s">
        <v>151</v>
      </c>
      <c r="E15201" s="3" t="s">
        <v>152</v>
      </c>
      <c r="F15201" s="4">
        <v>4.5999999999999998E-45</v>
      </c>
      <c r="G15201" s="3">
        <v>389</v>
      </c>
      <c r="H15201" s="3">
        <v>61</v>
      </c>
      <c r="I15201" s="3">
        <v>142</v>
      </c>
      <c r="J15201" s="3">
        <v>491</v>
      </c>
      <c r="K15201" s="3">
        <v>913</v>
      </c>
      <c r="L15201" s="3">
        <v>12</v>
      </c>
      <c r="M15201" s="3">
        <v>153</v>
      </c>
    </row>
    <row r="15202" spans="1:13" x14ac:dyDescent="0.25">
      <c r="A15202" s="1" t="str">
        <f>HYPERLINK("http://www.rosaceae.org/Prunus/Prunus_persica/p.persica_gdr_reftransV1_0037548","p.persica_gdr_reftransV1_0037548")</f>
        <v>p.persica_gdr_reftransV1_0037548</v>
      </c>
      <c r="B15202" s="3">
        <v>703</v>
      </c>
      <c r="C15202" s="1" t="str">
        <f>HYPERLINK("http://www.uniprot.org/uniprot/GL111_ORYSJ","GL111_ORYSJ")</f>
        <v>GL111_ORYSJ</v>
      </c>
      <c r="D15202" t="s">
        <v>9806</v>
      </c>
      <c r="E15202" s="3" t="s">
        <v>38</v>
      </c>
      <c r="F15202" s="4">
        <v>1.9599999999999999E-49</v>
      </c>
      <c r="G15202" s="3">
        <v>423</v>
      </c>
      <c r="H15202" s="3">
        <v>55</v>
      </c>
      <c r="I15202" s="3">
        <v>156</v>
      </c>
      <c r="J15202" s="3">
        <v>4</v>
      </c>
      <c r="K15202" s="3">
        <v>471</v>
      </c>
      <c r="L15202" s="3">
        <v>68</v>
      </c>
      <c r="M15202" s="3">
        <v>221</v>
      </c>
    </row>
    <row r="15203" spans="1:13" x14ac:dyDescent="0.25">
      <c r="A15203" s="1" t="str">
        <f>HYPERLINK("http://www.rosaceae.org/Prunus/Prunus_persica/p.persica_gdr_reftransV1_0037598","p.persica_gdr_reftransV1_0037598")</f>
        <v>p.persica_gdr_reftransV1_0037598</v>
      </c>
      <c r="B15203" s="3">
        <v>1343</v>
      </c>
      <c r="C15203" s="1" t="str">
        <f>HYPERLINK("http://www.uniprot.org/uniprot/P4H4_ARATH","P4H4_ARATH")</f>
        <v>P4H4_ARATH</v>
      </c>
      <c r="D15203" t="s">
        <v>9807</v>
      </c>
      <c r="E15203" s="3" t="s">
        <v>3</v>
      </c>
      <c r="F15203" s="4">
        <v>1.57E-153</v>
      </c>
      <c r="G15203" s="3">
        <v>1143</v>
      </c>
      <c r="H15203" s="3">
        <v>77</v>
      </c>
      <c r="I15203" s="3">
        <v>267</v>
      </c>
      <c r="J15203" s="3">
        <v>208</v>
      </c>
      <c r="K15203" s="3">
        <v>1008</v>
      </c>
      <c r="L15203" s="3">
        <v>32</v>
      </c>
      <c r="M15203" s="3">
        <v>298</v>
      </c>
    </row>
    <row r="15204" spans="1:13" x14ac:dyDescent="0.25">
      <c r="A15204" s="1" t="str">
        <f>HYPERLINK("http://www.rosaceae.org/Prunus/Prunus_persica/p.persica_gdr_reftransV1_0037948","p.persica_gdr_reftransV1_0037948")</f>
        <v>p.persica_gdr_reftransV1_0037948</v>
      </c>
      <c r="B15204" s="3">
        <v>1264</v>
      </c>
      <c r="C15204" s="1" t="str">
        <f>HYPERLINK("http://www.uniprot.org/uniprot/TI171_ARATH","TI171_ARATH")</f>
        <v>TI171_ARATH</v>
      </c>
      <c r="D15204" t="s">
        <v>9808</v>
      </c>
      <c r="E15204" s="3" t="s">
        <v>3</v>
      </c>
      <c r="F15204" s="4">
        <v>7.6099999999999998E-73</v>
      </c>
      <c r="G15204" s="3">
        <v>596</v>
      </c>
      <c r="H15204" s="3">
        <v>61</v>
      </c>
      <c r="I15204" s="3">
        <v>227</v>
      </c>
      <c r="J15204" s="3">
        <v>144</v>
      </c>
      <c r="K15204" s="3">
        <v>821</v>
      </c>
      <c r="L15204" s="3">
        <v>1</v>
      </c>
      <c r="M15204" s="3">
        <v>218</v>
      </c>
    </row>
    <row r="15205" spans="1:13" x14ac:dyDescent="0.25">
      <c r="A15205" s="1" t="str">
        <f>HYPERLINK("http://www.rosaceae.org/Prunus/Prunus_persica/p.persica_gdr_reftransV1_0037998","p.persica_gdr_reftransV1_0037998")</f>
        <v>p.persica_gdr_reftransV1_0037998</v>
      </c>
      <c r="B15205" s="3">
        <v>1835</v>
      </c>
      <c r="C15205" s="1" t="str">
        <f>HYPERLINK("http://www.uniprot.org/uniprot/CLPR4_ARATH","CLPR4_ARATH")</f>
        <v>CLPR4_ARATH</v>
      </c>
      <c r="D15205" t="s">
        <v>18</v>
      </c>
      <c r="E15205" s="3" t="s">
        <v>3</v>
      </c>
      <c r="F15205" s="4">
        <v>2.91E-78</v>
      </c>
      <c r="G15205" s="3">
        <v>655</v>
      </c>
      <c r="H15205" s="3">
        <v>83</v>
      </c>
      <c r="I15205" s="3">
        <v>149</v>
      </c>
      <c r="J15205" s="3">
        <v>379</v>
      </c>
      <c r="K15205" s="3">
        <v>825</v>
      </c>
      <c r="L15205" s="3">
        <v>157</v>
      </c>
      <c r="M15205" s="3">
        <v>305</v>
      </c>
    </row>
    <row r="15206" spans="1:13" x14ac:dyDescent="0.25">
      <c r="A15206" s="1" t="str">
        <f>HYPERLINK("http://www.rosaceae.org/Prunus/Prunus_persica/p.persica_gdr_reftransV1_0038348","p.persica_gdr_reftransV1_0038348")</f>
        <v>p.persica_gdr_reftransV1_0038348</v>
      </c>
      <c r="B15206" s="3">
        <v>4285</v>
      </c>
      <c r="C15206" s="1" t="str">
        <f>HYPERLINK("http://www.uniprot.org/uniprot/RCD1_ARATH","RCD1_ARATH")</f>
        <v>RCD1_ARATH</v>
      </c>
      <c r="D15206" t="s">
        <v>4220</v>
      </c>
      <c r="E15206" s="3" t="s">
        <v>3</v>
      </c>
      <c r="F15206" s="4">
        <v>5.8400000000000001E-69</v>
      </c>
      <c r="G15206" s="3">
        <v>636</v>
      </c>
      <c r="H15206" s="3">
        <v>42</v>
      </c>
      <c r="I15206" s="3">
        <v>380</v>
      </c>
      <c r="J15206" s="3">
        <v>2604</v>
      </c>
      <c r="K15206" s="3">
        <v>3716</v>
      </c>
      <c r="L15206" s="3">
        <v>1</v>
      </c>
      <c r="M15206" s="3">
        <v>369</v>
      </c>
    </row>
    <row r="15207" spans="1:13" x14ac:dyDescent="0.25">
      <c r="A15207" s="1" t="str">
        <f>HYPERLINK("http://www.rosaceae.org/Prunus/Prunus_persica/p.persica_gdr_reftransV1_0038748","p.persica_gdr_reftransV1_0038748")</f>
        <v>p.persica_gdr_reftransV1_0038748</v>
      </c>
      <c r="B15207" s="3">
        <v>3787</v>
      </c>
      <c r="C15207" s="1" t="str">
        <f>HYPERLINK("http://www.uniprot.org/uniprot/RBG2_ARATH","RBG2_ARATH")</f>
        <v>RBG2_ARATH</v>
      </c>
      <c r="D15207" t="s">
        <v>4734</v>
      </c>
      <c r="E15207" s="3" t="s">
        <v>3</v>
      </c>
      <c r="F15207" s="4">
        <v>7.4300000000000002E-10</v>
      </c>
      <c r="G15207" s="3">
        <v>154</v>
      </c>
      <c r="H15207" s="3">
        <v>43</v>
      </c>
      <c r="I15207" s="3">
        <v>75</v>
      </c>
      <c r="J15207" s="3">
        <v>1007</v>
      </c>
      <c r="K15207" s="3">
        <v>1231</v>
      </c>
      <c r="L15207" s="3">
        <v>34</v>
      </c>
      <c r="M15207" s="3">
        <v>108</v>
      </c>
    </row>
    <row r="15208" spans="1:13" x14ac:dyDescent="0.25">
      <c r="A15208" s="1" t="str">
        <f>HYPERLINK("http://www.rosaceae.org/Prunus/Prunus_persica/p.persica_gdr_reftransV1_0038848","p.persica_gdr_reftransV1_0038848")</f>
        <v>p.persica_gdr_reftransV1_0038848</v>
      </c>
      <c r="B15208" s="3">
        <v>876</v>
      </c>
      <c r="C15208" s="1" t="str">
        <f>HYPERLINK("http://www.uniprot.org/uniprot/Y5161_ARATH","Y5161_ARATH")</f>
        <v>Y5161_ARATH</v>
      </c>
      <c r="D15208" t="s">
        <v>2905</v>
      </c>
      <c r="E15208" s="3" t="s">
        <v>3</v>
      </c>
      <c r="F15208" s="4">
        <v>1.2099999999999999E-47</v>
      </c>
      <c r="G15208" s="3">
        <v>412</v>
      </c>
      <c r="H15208" s="3">
        <v>51</v>
      </c>
      <c r="I15208" s="3">
        <v>173</v>
      </c>
      <c r="J15208" s="3">
        <v>171</v>
      </c>
      <c r="K15208" s="3">
        <v>689</v>
      </c>
      <c r="L15208" s="3">
        <v>1</v>
      </c>
      <c r="M15208" s="3">
        <v>170</v>
      </c>
    </row>
    <row r="15209" spans="1:13" x14ac:dyDescent="0.25">
      <c r="A15209" s="1" t="str">
        <f>HYPERLINK("http://www.rosaceae.org/Prunus/Prunus_persica/p.persica_gdr_reftransV1_0038948","p.persica_gdr_reftransV1_0038948")</f>
        <v>p.persica_gdr_reftransV1_0038948</v>
      </c>
      <c r="B15209" s="3">
        <v>1612</v>
      </c>
      <c r="C15209" s="1" t="str">
        <f>HYPERLINK("http://www.uniprot.org/uniprot/HSTC_ARATH","HSTC_ARATH")</f>
        <v>HSTC_ARATH</v>
      </c>
      <c r="D15209" t="s">
        <v>6039</v>
      </c>
      <c r="E15209" s="3" t="s">
        <v>3</v>
      </c>
      <c r="F15209" s="4">
        <v>1.8600000000000001E-122</v>
      </c>
      <c r="G15209" s="3">
        <v>954</v>
      </c>
      <c r="H15209" s="3">
        <v>74</v>
      </c>
      <c r="I15209" s="3">
        <v>276</v>
      </c>
      <c r="J15209" s="3">
        <v>644</v>
      </c>
      <c r="K15209" s="3">
        <v>1468</v>
      </c>
      <c r="L15209" s="3">
        <v>26</v>
      </c>
      <c r="M15209" s="3">
        <v>291</v>
      </c>
    </row>
    <row r="15210" spans="1:13" x14ac:dyDescent="0.25">
      <c r="A15210" s="1" t="str">
        <f>HYPERLINK("http://www.rosaceae.org/Prunus/Prunus_persica/p.persica_gdr_reftransV1_0039548","p.persica_gdr_reftransV1_0039548")</f>
        <v>p.persica_gdr_reftransV1_0039548</v>
      </c>
      <c r="B15210" s="3">
        <v>1660</v>
      </c>
      <c r="C15210" s="1" t="str">
        <f>HYPERLINK("http://www.uniprot.org/uniprot/MTP10_ARATH","MTP10_ARATH")</f>
        <v>MTP10_ARATH</v>
      </c>
      <c r="D15210" t="s">
        <v>3873</v>
      </c>
      <c r="E15210" s="3" t="s">
        <v>3</v>
      </c>
      <c r="F15210" s="4">
        <v>0</v>
      </c>
      <c r="G15210" s="3">
        <v>1413</v>
      </c>
      <c r="H15210" s="3">
        <v>76</v>
      </c>
      <c r="I15210" s="3">
        <v>389</v>
      </c>
      <c r="J15210" s="3">
        <v>291</v>
      </c>
      <c r="K15210" s="3">
        <v>1457</v>
      </c>
      <c r="L15210" s="3">
        <v>47</v>
      </c>
      <c r="M15210" s="3">
        <v>428</v>
      </c>
    </row>
    <row r="15211" spans="1:13" x14ac:dyDescent="0.25">
      <c r="A15211" s="1" t="str">
        <f>HYPERLINK("http://www.rosaceae.org/Prunus/Prunus_persica/p.persica_gdr_reftransV1_0040698","p.persica_gdr_reftransV1_0040698")</f>
        <v>p.persica_gdr_reftransV1_0040698</v>
      </c>
      <c r="B15211" s="3">
        <v>2994</v>
      </c>
      <c r="C15211" s="1" t="str">
        <f>HYPERLINK("http://www.uniprot.org/uniprot/BGH3B_BACO1","BGH3B_BACO1")</f>
        <v>BGH3B_BACO1</v>
      </c>
      <c r="D15211" t="s">
        <v>355</v>
      </c>
      <c r="E15211" s="3" t="s">
        <v>356</v>
      </c>
      <c r="F15211" s="4">
        <v>2.0399999999999999E-35</v>
      </c>
      <c r="G15211" s="3">
        <v>375</v>
      </c>
      <c r="H15211" s="3">
        <v>33</v>
      </c>
      <c r="I15211" s="3">
        <v>291</v>
      </c>
      <c r="J15211" s="3">
        <v>382</v>
      </c>
      <c r="K15211" s="3">
        <v>1194</v>
      </c>
      <c r="L15211" s="3">
        <v>30</v>
      </c>
      <c r="M15211" s="3">
        <v>307</v>
      </c>
    </row>
    <row r="15212" spans="1:13" x14ac:dyDescent="0.25">
      <c r="A15212" s="1" t="str">
        <f>HYPERLINK("http://www.rosaceae.org/Prunus/Prunus_persica/p.persica_gdr_reftransV1_0040948","p.persica_gdr_reftransV1_0040948")</f>
        <v>p.persica_gdr_reftransV1_0040948</v>
      </c>
      <c r="B15212" s="3">
        <v>1609</v>
      </c>
      <c r="C15212" s="1" t="str">
        <f>HYPERLINK("http://www.uniprot.org/uniprot/PNC1_ARATH","PNC1_ARATH")</f>
        <v>PNC1_ARATH</v>
      </c>
      <c r="D15212" t="s">
        <v>9809</v>
      </c>
      <c r="E15212" s="3" t="s">
        <v>3</v>
      </c>
      <c r="F15212" s="4">
        <v>1.1E-75</v>
      </c>
      <c r="G15212" s="3">
        <v>634</v>
      </c>
      <c r="H15212" s="3">
        <v>78</v>
      </c>
      <c r="I15212" s="3">
        <v>152</v>
      </c>
      <c r="J15212" s="3">
        <v>1153</v>
      </c>
      <c r="K15212" s="3">
        <v>1608</v>
      </c>
      <c r="L15212" s="3">
        <v>23</v>
      </c>
      <c r="M15212" s="3">
        <v>174</v>
      </c>
    </row>
    <row r="15213" spans="1:13" x14ac:dyDescent="0.25">
      <c r="A15213" s="1" t="str">
        <f>HYPERLINK("http://www.rosaceae.org/Prunus/Prunus_persica/p.persica_gdr_reftransV1_0041498","p.persica_gdr_reftransV1_0041498")</f>
        <v>p.persica_gdr_reftransV1_0041498</v>
      </c>
      <c r="B15213" s="3">
        <v>3604</v>
      </c>
      <c r="C15213" s="1" t="str">
        <f>HYPERLINK("http://www.uniprot.org/uniprot/FPA_ARATH","FPA_ARATH")</f>
        <v>FPA_ARATH</v>
      </c>
      <c r="D15213" t="s">
        <v>1119</v>
      </c>
      <c r="E15213" s="3" t="s">
        <v>3</v>
      </c>
      <c r="F15213" s="4">
        <v>2.28E-37</v>
      </c>
      <c r="G15213" s="3">
        <v>394</v>
      </c>
      <c r="H15213" s="3">
        <v>47</v>
      </c>
      <c r="I15213" s="3">
        <v>163</v>
      </c>
      <c r="J15213" s="3">
        <v>1188</v>
      </c>
      <c r="K15213" s="3">
        <v>1676</v>
      </c>
      <c r="L15213" s="3">
        <v>441</v>
      </c>
      <c r="M15213" s="3">
        <v>600</v>
      </c>
    </row>
    <row r="15214" spans="1:13" x14ac:dyDescent="0.25">
      <c r="A15214" s="1" t="str">
        <f>HYPERLINK("http://www.rosaceae.org/Prunus/Prunus_persica/p.persica_gdr_reftransV1_0041698","p.persica_gdr_reftransV1_0041698")</f>
        <v>p.persica_gdr_reftransV1_0041698</v>
      </c>
      <c r="B15214" s="3">
        <v>3065</v>
      </c>
      <c r="C15214" s="1" t="str">
        <f>HYPERLINK("http://www.uniprot.org/uniprot/JMJ30_ARATH","JMJ30_ARATH")</f>
        <v>JMJ30_ARATH</v>
      </c>
      <c r="D15214" t="s">
        <v>3766</v>
      </c>
      <c r="E15214" s="3" t="s">
        <v>3</v>
      </c>
      <c r="F15214" s="4">
        <v>4.8400000000000004E-12</v>
      </c>
      <c r="G15214" s="3">
        <v>178</v>
      </c>
      <c r="H15214" s="3">
        <v>29</v>
      </c>
      <c r="I15214" s="3">
        <v>276</v>
      </c>
      <c r="J15214" s="3">
        <v>2234</v>
      </c>
      <c r="K15214" s="3">
        <v>3034</v>
      </c>
      <c r="L15214" s="3">
        <v>182</v>
      </c>
      <c r="M15214" s="3">
        <v>403</v>
      </c>
    </row>
    <row r="15215" spans="1:13" x14ac:dyDescent="0.25">
      <c r="A15215" s="1" t="str">
        <f>HYPERLINK("http://www.rosaceae.org/Prunus/Prunus_persica/p.persica_gdr_reftransV1_0042298","p.persica_gdr_reftransV1_0042298")</f>
        <v>p.persica_gdr_reftransV1_0042298</v>
      </c>
      <c r="B15215" s="3">
        <v>1915</v>
      </c>
      <c r="C15215" s="1" t="str">
        <f>HYPERLINK("http://www.uniprot.org/uniprot/CIGR2_ORYSJ","CIGR2_ORYSJ")</f>
        <v>CIGR2_ORYSJ</v>
      </c>
      <c r="D15215" t="s">
        <v>7435</v>
      </c>
      <c r="E15215" s="3" t="s">
        <v>38</v>
      </c>
      <c r="F15215" s="4">
        <v>1.28E-117</v>
      </c>
      <c r="G15215" s="3">
        <v>945</v>
      </c>
      <c r="H15215" s="3">
        <v>61</v>
      </c>
      <c r="I15215" s="3">
        <v>321</v>
      </c>
      <c r="J15215" s="3">
        <v>954</v>
      </c>
      <c r="K15215" s="3">
        <v>1913</v>
      </c>
      <c r="L15215" s="3">
        <v>83</v>
      </c>
      <c r="M15215" s="3">
        <v>399</v>
      </c>
    </row>
    <row r="15216" spans="1:13" x14ac:dyDescent="0.25">
      <c r="A15216" s="1" t="str">
        <f>HYPERLINK("http://www.rosaceae.org/Prunus/Prunus_persica/p.persica_gdr_reftransV1_0042348","p.persica_gdr_reftransV1_0042348")</f>
        <v>p.persica_gdr_reftransV1_0042348</v>
      </c>
      <c r="B15216" s="3">
        <v>2334</v>
      </c>
      <c r="C15216" s="1" t="str">
        <f>HYPERLINK("http://www.uniprot.org/uniprot/YTHD2_MACFA","YTHD2_MACFA")</f>
        <v>YTHD2_MACFA</v>
      </c>
      <c r="D15216" t="s">
        <v>7039</v>
      </c>
      <c r="E15216" s="3" t="s">
        <v>674</v>
      </c>
      <c r="F15216" s="4">
        <v>4.22E-53</v>
      </c>
      <c r="G15216" s="3">
        <v>503</v>
      </c>
      <c r="H15216" s="3">
        <v>49</v>
      </c>
      <c r="I15216" s="3">
        <v>189</v>
      </c>
      <c r="J15216" s="3">
        <v>1252</v>
      </c>
      <c r="K15216" s="3">
        <v>1809</v>
      </c>
      <c r="L15216" s="3">
        <v>396</v>
      </c>
      <c r="M15216" s="3">
        <v>577</v>
      </c>
    </row>
    <row r="15217" spans="1:13" x14ac:dyDescent="0.25">
      <c r="A15217" s="1" t="str">
        <f>HYPERLINK("http://www.rosaceae.org/Prunus/Prunus_persica/p.persica_gdr_reftransV1_0042498","p.persica_gdr_reftransV1_0042498")</f>
        <v>p.persica_gdr_reftransV1_0042498</v>
      </c>
      <c r="B15217" s="3">
        <v>1356</v>
      </c>
      <c r="C15217" s="1" t="str">
        <f>HYPERLINK("http://www.uniprot.org/uniprot/FAHD1_DICDI","FAHD1_DICDI")</f>
        <v>FAHD1_DICDI</v>
      </c>
      <c r="D15217" t="s">
        <v>8890</v>
      </c>
      <c r="E15217" s="3" t="s">
        <v>9</v>
      </c>
      <c r="F15217" s="4">
        <v>1.3800000000000001E-72</v>
      </c>
      <c r="G15217" s="3">
        <v>597</v>
      </c>
      <c r="H15217" s="3">
        <v>58</v>
      </c>
      <c r="I15217" s="3">
        <v>218</v>
      </c>
      <c r="J15217" s="3">
        <v>233</v>
      </c>
      <c r="K15217" s="3">
        <v>880</v>
      </c>
      <c r="L15217" s="3">
        <v>1</v>
      </c>
      <c r="M15217" s="3">
        <v>218</v>
      </c>
    </row>
    <row r="15218" spans="1:13" x14ac:dyDescent="0.25">
      <c r="A15218" s="1" t="str">
        <f>HYPERLINK("http://www.rosaceae.org/Prunus/Prunus_persica/p.persica_gdr_reftransV1_0042698","p.persica_gdr_reftransV1_0042698")</f>
        <v>p.persica_gdr_reftransV1_0042698</v>
      </c>
      <c r="B15218" s="3">
        <v>2565</v>
      </c>
      <c r="C15218" s="1" t="str">
        <f>HYPERLINK("http://www.uniprot.org/uniprot/PMA4_NICPL","PMA4_NICPL")</f>
        <v>PMA4_NICPL</v>
      </c>
      <c r="D15218" t="s">
        <v>8938</v>
      </c>
      <c r="E15218" s="3" t="s">
        <v>1450</v>
      </c>
      <c r="F15218" s="4">
        <v>0</v>
      </c>
      <c r="G15218" s="3">
        <v>1647</v>
      </c>
      <c r="H15218" s="3">
        <v>88</v>
      </c>
      <c r="I15218" s="3">
        <v>383</v>
      </c>
      <c r="J15218" s="3">
        <v>138</v>
      </c>
      <c r="K15218" s="3">
        <v>1286</v>
      </c>
      <c r="L15218" s="3">
        <v>570</v>
      </c>
      <c r="M15218" s="3">
        <v>952</v>
      </c>
    </row>
    <row r="15219" spans="1:13" x14ac:dyDescent="0.25">
      <c r="A15219" s="1" t="str">
        <f>HYPERLINK("http://www.rosaceae.org/Prunus/Prunus_persica/p.persica_gdr_reftransV1_0042848","p.persica_gdr_reftransV1_0042848")</f>
        <v>p.persica_gdr_reftransV1_0042848</v>
      </c>
      <c r="B15219" s="3">
        <v>492</v>
      </c>
      <c r="C15219" s="1" t="str">
        <f>HYPERLINK("http://www.uniprot.org/uniprot/RK20_PLAOC","RK20_PLAOC")</f>
        <v>RK20_PLAOC</v>
      </c>
      <c r="D15219" t="s">
        <v>9810</v>
      </c>
      <c r="E15219" s="3" t="s">
        <v>5400</v>
      </c>
      <c r="F15219" s="4">
        <v>9.1999999999999995E-43</v>
      </c>
      <c r="G15219" s="3">
        <v>363</v>
      </c>
      <c r="H15219" s="3">
        <v>89</v>
      </c>
      <c r="I15219" s="3">
        <v>94</v>
      </c>
      <c r="J15219" s="3">
        <v>210</v>
      </c>
      <c r="K15219" s="3">
        <v>491</v>
      </c>
      <c r="L15219" s="3">
        <v>19</v>
      </c>
      <c r="M15219" s="3">
        <v>112</v>
      </c>
    </row>
    <row r="15220" spans="1:13" x14ac:dyDescent="0.25">
      <c r="A15220" s="1" t="str">
        <f>HYPERLINK("http://www.rosaceae.org/Prunus/Prunus_persica/p.persica_gdr_reftransV1_0042948","p.persica_gdr_reftransV1_0042948")</f>
        <v>p.persica_gdr_reftransV1_0042948</v>
      </c>
      <c r="B15220" s="3">
        <v>1900</v>
      </c>
      <c r="C15220" s="1" t="str">
        <f>HYPERLINK("http://www.uniprot.org/uniprot/CHI4_ORYSJ","CHI4_ORYSJ")</f>
        <v>CHI4_ORYSJ</v>
      </c>
      <c r="D15220" t="s">
        <v>2294</v>
      </c>
      <c r="E15220" s="3" t="s">
        <v>38</v>
      </c>
      <c r="F15220" s="4">
        <v>7.4100000000000004E-50</v>
      </c>
      <c r="G15220" s="3">
        <v>456</v>
      </c>
      <c r="H15220" s="3">
        <v>71</v>
      </c>
      <c r="I15220" s="3">
        <v>112</v>
      </c>
      <c r="J15220" s="3">
        <v>1563</v>
      </c>
      <c r="K15220" s="3">
        <v>1898</v>
      </c>
      <c r="L15220" s="3">
        <v>174</v>
      </c>
      <c r="M15220" s="3">
        <v>285</v>
      </c>
    </row>
    <row r="15221" spans="1:13" x14ac:dyDescent="0.25">
      <c r="A15221" s="1" t="str">
        <f>HYPERLINK("http://www.rosaceae.org/Prunus/Prunus_persica/p.persica_gdr_reftransV1_0043098","p.persica_gdr_reftransV1_0043098")</f>
        <v>p.persica_gdr_reftransV1_0043098</v>
      </c>
      <c r="B15221" s="3">
        <v>1040</v>
      </c>
      <c r="C15221" s="1" t="str">
        <f>HYPERLINK("http://www.uniprot.org/uniprot/UTR4_ARATH","UTR4_ARATH")</f>
        <v>UTR4_ARATH</v>
      </c>
      <c r="D15221" t="s">
        <v>6782</v>
      </c>
      <c r="E15221" s="3" t="s">
        <v>3</v>
      </c>
      <c r="F15221" s="4">
        <v>1.47E-169</v>
      </c>
      <c r="G15221" s="3">
        <v>1243</v>
      </c>
      <c r="H15221" s="3">
        <v>86</v>
      </c>
      <c r="I15221" s="3">
        <v>265</v>
      </c>
      <c r="J15221" s="3">
        <v>36</v>
      </c>
      <c r="K15221" s="3">
        <v>830</v>
      </c>
      <c r="L15221" s="3">
        <v>2</v>
      </c>
      <c r="M15221" s="3">
        <v>266</v>
      </c>
    </row>
    <row r="15222" spans="1:13" x14ac:dyDescent="0.25">
      <c r="A15222" s="1" t="str">
        <f>HYPERLINK("http://www.rosaceae.org/Prunus/Prunus_persica/p.persica_gdr_reftransV1_0043148","p.persica_gdr_reftransV1_0043148")</f>
        <v>p.persica_gdr_reftransV1_0043148</v>
      </c>
      <c r="B15222" s="3">
        <v>1119</v>
      </c>
      <c r="C15222" s="1" t="str">
        <f>HYPERLINK("http://www.uniprot.org/uniprot/21KD_DAUCA","21KD_DAUCA")</f>
        <v>21KD_DAUCA</v>
      </c>
      <c r="D15222" t="s">
        <v>1280</v>
      </c>
      <c r="E15222" s="3" t="s">
        <v>32</v>
      </c>
      <c r="F15222" s="4">
        <v>2.7500000000000001E-32</v>
      </c>
      <c r="G15222" s="3">
        <v>313</v>
      </c>
      <c r="H15222" s="3">
        <v>37</v>
      </c>
      <c r="I15222" s="3">
        <v>144</v>
      </c>
      <c r="J15222" s="3">
        <v>236</v>
      </c>
      <c r="K15222" s="3">
        <v>664</v>
      </c>
      <c r="L15222" s="3">
        <v>28</v>
      </c>
      <c r="M15222" s="3">
        <v>171</v>
      </c>
    </row>
    <row r="15223" spans="1:13" x14ac:dyDescent="0.25">
      <c r="A15223" s="1" t="str">
        <f>HYPERLINK("http://www.rosaceae.org/Prunus/Prunus_persica/p.persica_gdr_reftransV1_0043248","p.persica_gdr_reftransV1_0043248")</f>
        <v>p.persica_gdr_reftransV1_0043248</v>
      </c>
      <c r="B15223" s="3">
        <v>417</v>
      </c>
      <c r="C15223" s="1" t="str">
        <f>HYPERLINK("http://www.uniprot.org/uniprot/Y4361_ARATH","Y4361_ARATH")</f>
        <v>Y4361_ARATH</v>
      </c>
      <c r="D15223" t="s">
        <v>2715</v>
      </c>
      <c r="E15223" s="3" t="s">
        <v>3</v>
      </c>
      <c r="F15223" s="4">
        <v>7.35E-56</v>
      </c>
      <c r="G15223" s="3">
        <v>490</v>
      </c>
      <c r="H15223" s="3">
        <v>82</v>
      </c>
      <c r="I15223" s="3">
        <v>124</v>
      </c>
      <c r="J15223" s="3">
        <v>46</v>
      </c>
      <c r="K15223" s="3">
        <v>417</v>
      </c>
      <c r="L15223" s="3">
        <v>1013</v>
      </c>
      <c r="M15223" s="3">
        <v>1135</v>
      </c>
    </row>
    <row r="15224" spans="1:13" x14ac:dyDescent="0.25">
      <c r="A15224" s="1" t="str">
        <f>HYPERLINK("http://www.rosaceae.org/Prunus/Prunus_persica/p.persica_gdr_reftransV1_0043298","p.persica_gdr_reftransV1_0043298")</f>
        <v>p.persica_gdr_reftransV1_0043298</v>
      </c>
      <c r="B15224" s="3">
        <v>464</v>
      </c>
      <c r="C15224" s="1" t="str">
        <f>HYPERLINK("http://www.uniprot.org/uniprot/C76BA_SWEMU","C76BA_SWEMU")</f>
        <v>C76BA_SWEMU</v>
      </c>
      <c r="D15224" t="s">
        <v>7163</v>
      </c>
      <c r="E15224" s="3" t="s">
        <v>7164</v>
      </c>
      <c r="F15224" s="4">
        <v>1.44E-50</v>
      </c>
      <c r="G15224" s="3">
        <v>441</v>
      </c>
      <c r="H15224" s="3">
        <v>54</v>
      </c>
      <c r="I15224" s="3">
        <v>153</v>
      </c>
      <c r="J15224" s="3">
        <v>1</v>
      </c>
      <c r="K15224" s="3">
        <v>459</v>
      </c>
      <c r="L15224" s="3">
        <v>211</v>
      </c>
      <c r="M15224" s="3">
        <v>361</v>
      </c>
    </row>
    <row r="15225" spans="1:13" x14ac:dyDescent="0.25">
      <c r="A15225" s="1" t="str">
        <f>HYPERLINK("http://www.rosaceae.org/Prunus/Prunus_persica/p.persica_gdr_reftransV1_0043348","p.persica_gdr_reftransV1_0043348")</f>
        <v>p.persica_gdr_reftransV1_0043348</v>
      </c>
      <c r="B15225" s="3">
        <v>1490</v>
      </c>
      <c r="C15225" s="1" t="str">
        <f>HYPERLINK("http://www.uniprot.org/uniprot/PIN6_ARATH","PIN6_ARATH")</f>
        <v>PIN6_ARATH</v>
      </c>
      <c r="D15225" t="s">
        <v>9811</v>
      </c>
      <c r="E15225" s="3" t="s">
        <v>3</v>
      </c>
      <c r="F15225" s="4">
        <v>8.1400000000000004E-135</v>
      </c>
      <c r="G15225" s="3">
        <v>1050</v>
      </c>
      <c r="H15225" s="3">
        <v>59</v>
      </c>
      <c r="I15225" s="3">
        <v>421</v>
      </c>
      <c r="J15225" s="3">
        <v>334</v>
      </c>
      <c r="K15225" s="3">
        <v>1485</v>
      </c>
      <c r="L15225" s="3">
        <v>155</v>
      </c>
      <c r="M15225" s="3">
        <v>561</v>
      </c>
    </row>
    <row r="15226" spans="1:13" x14ac:dyDescent="0.25">
      <c r="A15226" s="1" t="str">
        <f>HYPERLINK("http://www.rosaceae.org/Prunus/Prunus_persica/p.persica_gdr_reftransV1_0043398","p.persica_gdr_reftransV1_0043398")</f>
        <v>p.persica_gdr_reftransV1_0043398</v>
      </c>
      <c r="B15226" s="3">
        <v>911</v>
      </c>
      <c r="C15226" s="1" t="str">
        <f>HYPERLINK("http://www.uniprot.org/uniprot/GL32_ARATH","GL32_ARATH")</f>
        <v>GL32_ARATH</v>
      </c>
      <c r="D15226" t="s">
        <v>8386</v>
      </c>
      <c r="E15226" s="3" t="s">
        <v>3</v>
      </c>
      <c r="F15226" s="4">
        <v>5.1799999999999997E-99</v>
      </c>
      <c r="G15226" s="3">
        <v>761</v>
      </c>
      <c r="H15226" s="3">
        <v>69</v>
      </c>
      <c r="I15226" s="3">
        <v>204</v>
      </c>
      <c r="J15226" s="3">
        <v>87</v>
      </c>
      <c r="K15226" s="3">
        <v>683</v>
      </c>
      <c r="L15226" s="3">
        <v>22</v>
      </c>
      <c r="M15226" s="3">
        <v>221</v>
      </c>
    </row>
    <row r="15227" spans="1:13" x14ac:dyDescent="0.25">
      <c r="A15227" s="1" t="str">
        <f>HYPERLINK("http://www.rosaceae.org/Prunus/Prunus_persica/p.persica_gdr_reftransV1_0043448","p.persica_gdr_reftransV1_0043448")</f>
        <v>p.persica_gdr_reftransV1_0043448</v>
      </c>
      <c r="B15227" s="3">
        <v>2290</v>
      </c>
      <c r="C15227" s="1" t="str">
        <f>HYPERLINK("http://www.uniprot.org/uniprot/PME34_ARATH","PME34_ARATH")</f>
        <v>PME34_ARATH</v>
      </c>
      <c r="D15227" t="s">
        <v>9812</v>
      </c>
      <c r="E15227" s="3" t="s">
        <v>3</v>
      </c>
      <c r="F15227" s="4">
        <v>0</v>
      </c>
      <c r="G15227" s="3">
        <v>2083</v>
      </c>
      <c r="H15227" s="3">
        <v>74</v>
      </c>
      <c r="I15227" s="3">
        <v>530</v>
      </c>
      <c r="J15227" s="3">
        <v>364</v>
      </c>
      <c r="K15227" s="3">
        <v>1947</v>
      </c>
      <c r="L15227" s="3">
        <v>82</v>
      </c>
      <c r="M15227" s="3">
        <v>598</v>
      </c>
    </row>
    <row r="15228" spans="1:13" x14ac:dyDescent="0.25">
      <c r="A15228" s="1" t="str">
        <f>HYPERLINK("http://www.rosaceae.org/Prunus/Prunus_persica/p.persica_gdr_reftransV1_0043498","p.persica_gdr_reftransV1_0043498")</f>
        <v>p.persica_gdr_reftransV1_0043498</v>
      </c>
      <c r="B15228" s="3">
        <v>1231</v>
      </c>
      <c r="C15228" s="1" t="str">
        <f>HYPERLINK("http://www.uniprot.org/uniprot/GDL85_ARATH","GDL85_ARATH")</f>
        <v>GDL85_ARATH</v>
      </c>
      <c r="D15228" t="s">
        <v>9813</v>
      </c>
      <c r="E15228" s="3" t="s">
        <v>3</v>
      </c>
      <c r="F15228" s="4">
        <v>7.0099999999999998E-111</v>
      </c>
      <c r="G15228" s="3">
        <v>862</v>
      </c>
      <c r="H15228" s="3">
        <v>55</v>
      </c>
      <c r="I15228" s="3">
        <v>323</v>
      </c>
      <c r="J15228" s="3">
        <v>127</v>
      </c>
      <c r="K15228" s="3">
        <v>1095</v>
      </c>
      <c r="L15228" s="3">
        <v>25</v>
      </c>
      <c r="M15228" s="3">
        <v>346</v>
      </c>
    </row>
    <row r="15229" spans="1:13" x14ac:dyDescent="0.25">
      <c r="A15229" s="1" t="str">
        <f>HYPERLINK("http://www.rosaceae.org/Prunus/Prunus_persica/p.persica_gdr_reftransV1_0043548","p.persica_gdr_reftransV1_0043548")</f>
        <v>p.persica_gdr_reftransV1_0043548</v>
      </c>
      <c r="B15229" s="3">
        <v>447</v>
      </c>
      <c r="C15229" s="1" t="str">
        <f>HYPERLINK("http://www.uniprot.org/uniprot/GLIP5_ARATH","GLIP5_ARATH")</f>
        <v>GLIP5_ARATH</v>
      </c>
      <c r="D15229" t="s">
        <v>798</v>
      </c>
      <c r="E15229" s="3" t="s">
        <v>3</v>
      </c>
      <c r="F15229" s="4">
        <v>3.9999999999999998E-44</v>
      </c>
      <c r="G15229" s="3">
        <v>390</v>
      </c>
      <c r="H15229" s="3">
        <v>58</v>
      </c>
      <c r="I15229" s="3">
        <v>118</v>
      </c>
      <c r="J15229" s="3">
        <v>95</v>
      </c>
      <c r="K15229" s="3">
        <v>445</v>
      </c>
      <c r="L15229" s="3">
        <v>265</v>
      </c>
      <c r="M15229" s="3">
        <v>382</v>
      </c>
    </row>
    <row r="15230" spans="1:13" x14ac:dyDescent="0.25">
      <c r="A15230" s="1" t="str">
        <f>HYPERLINK("http://www.rosaceae.org/Prunus/Prunus_persica/p.persica_gdr_reftransV1_0043698","p.persica_gdr_reftransV1_0043698")</f>
        <v>p.persica_gdr_reftransV1_0043698</v>
      </c>
      <c r="B15230" s="3">
        <v>1877</v>
      </c>
      <c r="C15230" s="1" t="str">
        <f>HYPERLINK("http://www.uniprot.org/uniprot/NPR5_ARATH","NPR5_ARATH")</f>
        <v>NPR5_ARATH</v>
      </c>
      <c r="D15230" t="s">
        <v>9814</v>
      </c>
      <c r="E15230" s="3" t="s">
        <v>3</v>
      </c>
      <c r="F15230" s="4">
        <v>0</v>
      </c>
      <c r="G15230" s="3">
        <v>1667</v>
      </c>
      <c r="H15230" s="3">
        <v>81</v>
      </c>
      <c r="I15230" s="3">
        <v>450</v>
      </c>
      <c r="J15230" s="3">
        <v>149</v>
      </c>
      <c r="K15230" s="3">
        <v>1483</v>
      </c>
      <c r="L15230" s="3">
        <v>20</v>
      </c>
      <c r="M15230" s="3">
        <v>453</v>
      </c>
    </row>
    <row r="15231" spans="1:13" x14ac:dyDescent="0.25">
      <c r="A15231" s="1" t="str">
        <f>HYPERLINK("http://www.rosaceae.org/Prunus/Prunus_persica/p.persica_gdr_reftransV1_0043748","p.persica_gdr_reftransV1_0043748")</f>
        <v>p.persica_gdr_reftransV1_0043748</v>
      </c>
      <c r="B15231" s="3">
        <v>2232</v>
      </c>
      <c r="C15231" s="1" t="str">
        <f>HYPERLINK("http://www.uniprot.org/uniprot/TIR1_ARATH","TIR1_ARATH")</f>
        <v>TIR1_ARATH</v>
      </c>
      <c r="D15231" t="s">
        <v>5021</v>
      </c>
      <c r="E15231" s="3" t="s">
        <v>3</v>
      </c>
      <c r="F15231" s="4">
        <v>0</v>
      </c>
      <c r="G15231" s="3">
        <v>1633</v>
      </c>
      <c r="H15231" s="3">
        <v>57</v>
      </c>
      <c r="I15231" s="3">
        <v>565</v>
      </c>
      <c r="J15231" s="3">
        <v>118</v>
      </c>
      <c r="K15231" s="3">
        <v>1797</v>
      </c>
      <c r="L15231" s="3">
        <v>11</v>
      </c>
      <c r="M15231" s="3">
        <v>573</v>
      </c>
    </row>
    <row r="15232" spans="1:13" x14ac:dyDescent="0.25">
      <c r="A15232" s="1" t="str">
        <f>HYPERLINK("http://www.rosaceae.org/Prunus/Prunus_persica/p.persica_gdr_reftransV1_0043798","p.persica_gdr_reftransV1_0043798")</f>
        <v>p.persica_gdr_reftransV1_0043798</v>
      </c>
      <c r="B15232" s="3">
        <v>681</v>
      </c>
      <c r="C15232" s="1" t="str">
        <f>HYPERLINK("http://www.uniprot.org/uniprot/P2C14_ARATH","P2C14_ARATH")</f>
        <v>P2C14_ARATH</v>
      </c>
      <c r="D15232" t="s">
        <v>785</v>
      </c>
      <c r="E15232" s="3" t="s">
        <v>3</v>
      </c>
      <c r="F15232" s="4">
        <v>5.1000000000000003E-17</v>
      </c>
      <c r="G15232" s="3">
        <v>204</v>
      </c>
      <c r="H15232" s="3">
        <v>45</v>
      </c>
      <c r="I15232" s="3">
        <v>142</v>
      </c>
      <c r="J15232" s="3">
        <v>269</v>
      </c>
      <c r="K15232" s="3">
        <v>676</v>
      </c>
      <c r="L15232" s="3">
        <v>326</v>
      </c>
      <c r="M15232" s="3">
        <v>444</v>
      </c>
    </row>
    <row r="15233" spans="1:13" x14ac:dyDescent="0.25">
      <c r="A15233" s="1" t="str">
        <f>HYPERLINK("http://www.rosaceae.org/Prunus/Prunus_persica/p.persica_gdr_reftransV1_0043848","p.persica_gdr_reftransV1_0043848")</f>
        <v>p.persica_gdr_reftransV1_0043848</v>
      </c>
      <c r="B15233" s="3">
        <v>867</v>
      </c>
      <c r="C15233" s="1" t="str">
        <f>HYPERLINK("http://www.uniprot.org/uniprot/CRI4_MAIZE","CRI4_MAIZE")</f>
        <v>CRI4_MAIZE</v>
      </c>
      <c r="D15233" t="s">
        <v>471</v>
      </c>
      <c r="E15233" s="3" t="s">
        <v>72</v>
      </c>
      <c r="F15233" s="4">
        <v>1.45E-154</v>
      </c>
      <c r="G15233" s="3">
        <v>1186</v>
      </c>
      <c r="H15233" s="3">
        <v>78</v>
      </c>
      <c r="I15233" s="3">
        <v>283</v>
      </c>
      <c r="J15233" s="3">
        <v>2</v>
      </c>
      <c r="K15233" s="3">
        <v>847</v>
      </c>
      <c r="L15233" s="3">
        <v>591</v>
      </c>
      <c r="M15233" s="3">
        <v>873</v>
      </c>
    </row>
    <row r="15234" spans="1:13" x14ac:dyDescent="0.25">
      <c r="A15234" s="1" t="str">
        <f>HYPERLINK("http://www.rosaceae.org/Prunus/Prunus_persica/p.persica_gdr_reftransV1_0043898","p.persica_gdr_reftransV1_0043898")</f>
        <v>p.persica_gdr_reftransV1_0043898</v>
      </c>
      <c r="B15234" s="3">
        <v>713</v>
      </c>
      <c r="C15234" s="1" t="str">
        <f>HYPERLINK("http://www.uniprot.org/uniprot/SUMO1_ARATH","SUMO1_ARATH")</f>
        <v>SUMO1_ARATH</v>
      </c>
      <c r="D15234" t="s">
        <v>9815</v>
      </c>
      <c r="E15234" s="3" t="s">
        <v>3</v>
      </c>
      <c r="F15234" s="4">
        <v>3.0099999999999999E-17</v>
      </c>
      <c r="G15234" s="3">
        <v>193</v>
      </c>
      <c r="H15234" s="3">
        <v>51</v>
      </c>
      <c r="I15234" s="3">
        <v>72</v>
      </c>
      <c r="J15234" s="3">
        <v>310</v>
      </c>
      <c r="K15234" s="3">
        <v>525</v>
      </c>
      <c r="L15234" s="3">
        <v>18</v>
      </c>
      <c r="M15234" s="3">
        <v>88</v>
      </c>
    </row>
    <row r="15235" spans="1:13" x14ac:dyDescent="0.25">
      <c r="A15235" s="1" t="str">
        <f>HYPERLINK("http://www.rosaceae.org/Prunus/Prunus_persica/p.persica_gdr_reftransV1_0043948","p.persica_gdr_reftransV1_0043948")</f>
        <v>p.persica_gdr_reftransV1_0043948</v>
      </c>
      <c r="B15235" s="3">
        <v>1141</v>
      </c>
      <c r="C15235" s="1" t="str">
        <f>HYPERLINK("http://www.uniprot.org/uniprot/RUP2_ARATH","RUP2_ARATH")</f>
        <v>RUP2_ARATH</v>
      </c>
      <c r="D15235" t="s">
        <v>9816</v>
      </c>
      <c r="E15235" s="3" t="s">
        <v>3</v>
      </c>
      <c r="F15235" s="4">
        <v>4.0599999999999999E-143</v>
      </c>
      <c r="G15235" s="3">
        <v>1074</v>
      </c>
      <c r="H15235" s="3">
        <v>65</v>
      </c>
      <c r="I15235" s="3">
        <v>332</v>
      </c>
      <c r="J15235" s="3">
        <v>18</v>
      </c>
      <c r="K15235" s="3">
        <v>998</v>
      </c>
      <c r="L15235" s="3">
        <v>41</v>
      </c>
      <c r="M15235" s="3">
        <v>368</v>
      </c>
    </row>
    <row r="15236" spans="1:13" x14ac:dyDescent="0.25">
      <c r="A15236" s="1" t="str">
        <f>HYPERLINK("http://www.rosaceae.org/Prunus/Prunus_persica/p.persica_gdr_reftransV1_0043998","p.persica_gdr_reftransV1_0043998")</f>
        <v>p.persica_gdr_reftransV1_0043998</v>
      </c>
      <c r="B15236" s="3">
        <v>1357</v>
      </c>
      <c r="C15236" s="1" t="str">
        <f>HYPERLINK("http://www.uniprot.org/uniprot/ROC4_NICSY","ROC4_NICSY")</f>
        <v>ROC4_NICSY</v>
      </c>
      <c r="D15236" t="s">
        <v>8267</v>
      </c>
      <c r="E15236" s="3" t="s">
        <v>495</v>
      </c>
      <c r="F15236" s="4">
        <v>7.7999999999999999E-108</v>
      </c>
      <c r="G15236" s="3">
        <v>842</v>
      </c>
      <c r="H15236" s="3">
        <v>59</v>
      </c>
      <c r="I15236" s="3">
        <v>318</v>
      </c>
      <c r="J15236" s="3">
        <v>279</v>
      </c>
      <c r="K15236" s="3">
        <v>1214</v>
      </c>
      <c r="L15236" s="3">
        <v>1</v>
      </c>
      <c r="M15236" s="3">
        <v>315</v>
      </c>
    </row>
    <row r="15237" spans="1:13" x14ac:dyDescent="0.25">
      <c r="A15237" s="1" t="str">
        <f>HYPERLINK("http://www.rosaceae.org/Prunus/Prunus_persica/p.persica_gdr_reftransV1_0044048","p.persica_gdr_reftransV1_0044048")</f>
        <v>p.persica_gdr_reftransV1_0044048</v>
      </c>
      <c r="B15237" s="3">
        <v>547</v>
      </c>
      <c r="C15237" s="1" t="str">
        <f>HYPERLINK("http://www.uniprot.org/uniprot/RER1B_ARATH","RER1B_ARATH")</f>
        <v>RER1B_ARATH</v>
      </c>
      <c r="D15237" t="s">
        <v>3828</v>
      </c>
      <c r="E15237" s="3" t="s">
        <v>3</v>
      </c>
      <c r="F15237" s="4">
        <v>3.5300000000000001E-70</v>
      </c>
      <c r="G15237" s="3">
        <v>554</v>
      </c>
      <c r="H15237" s="3">
        <v>83</v>
      </c>
      <c r="I15237" s="3">
        <v>120</v>
      </c>
      <c r="J15237" s="3">
        <v>187</v>
      </c>
      <c r="K15237" s="3">
        <v>546</v>
      </c>
      <c r="L15237" s="3">
        <v>73</v>
      </c>
      <c r="M15237" s="3">
        <v>192</v>
      </c>
    </row>
    <row r="15238" spans="1:13" x14ac:dyDescent="0.25">
      <c r="A15238" s="1" t="str">
        <f>HYPERLINK("http://www.rosaceae.org/Prunus/Prunus_persica/p.persica_gdr_reftransV1_0044148","p.persica_gdr_reftransV1_0044148")</f>
        <v>p.persica_gdr_reftransV1_0044148</v>
      </c>
      <c r="B15238" s="3">
        <v>1138</v>
      </c>
      <c r="C15238" s="1" t="str">
        <f>HYPERLINK("http://www.uniprot.org/uniprot/NRP2_ORYSJ","NRP2_ORYSJ")</f>
        <v>NRP2_ORYSJ</v>
      </c>
      <c r="D15238" t="s">
        <v>6484</v>
      </c>
      <c r="E15238" s="3" t="s">
        <v>38</v>
      </c>
      <c r="F15238" s="4">
        <v>5.3299999999999995E-91</v>
      </c>
      <c r="G15238" s="3">
        <v>717</v>
      </c>
      <c r="H15238" s="3">
        <v>61</v>
      </c>
      <c r="I15238" s="3">
        <v>221</v>
      </c>
      <c r="J15238" s="3">
        <v>107</v>
      </c>
      <c r="K15238" s="3">
        <v>763</v>
      </c>
      <c r="L15238" s="3">
        <v>5</v>
      </c>
      <c r="M15238" s="3">
        <v>223</v>
      </c>
    </row>
    <row r="15239" spans="1:13" x14ac:dyDescent="0.25">
      <c r="A15239" s="1" t="str">
        <f>HYPERLINK("http://www.rosaceae.org/Prunus/Prunus_persica/p.persica_gdr_reftransV1_0044248","p.persica_gdr_reftransV1_0044248")</f>
        <v>p.persica_gdr_reftransV1_0044248</v>
      </c>
      <c r="B15239" s="3">
        <v>1273</v>
      </c>
      <c r="C15239" s="1" t="str">
        <f>HYPERLINK("http://www.uniprot.org/uniprot/WSD1_ARATH","WSD1_ARATH")</f>
        <v>WSD1_ARATH</v>
      </c>
      <c r="D15239" t="s">
        <v>84</v>
      </c>
      <c r="E15239" s="3" t="s">
        <v>3</v>
      </c>
      <c r="F15239" s="4">
        <v>1.4800000000000001E-22</v>
      </c>
      <c r="G15239" s="3">
        <v>256</v>
      </c>
      <c r="H15239" s="3">
        <v>24</v>
      </c>
      <c r="I15239" s="3">
        <v>354</v>
      </c>
      <c r="J15239" s="3">
        <v>16</v>
      </c>
      <c r="K15239" s="3">
        <v>1044</v>
      </c>
      <c r="L15239" s="3">
        <v>121</v>
      </c>
      <c r="M15239" s="3">
        <v>471</v>
      </c>
    </row>
    <row r="15240" spans="1:13" x14ac:dyDescent="0.25">
      <c r="A15240" s="1" t="str">
        <f>HYPERLINK("http://www.rosaceae.org/Prunus/Prunus_persica/p.persica_gdr_reftransV1_0044348","p.persica_gdr_reftransV1_0044348")</f>
        <v>p.persica_gdr_reftransV1_0044348</v>
      </c>
      <c r="B15240" s="3">
        <v>1435</v>
      </c>
      <c r="C15240" s="1" t="str">
        <f>HYPERLINK("http://www.uniprot.org/uniprot/IM30_PEA","IM30_PEA")</f>
        <v>IM30_PEA</v>
      </c>
      <c r="D15240" t="s">
        <v>4064</v>
      </c>
      <c r="E15240" s="3" t="s">
        <v>60</v>
      </c>
      <c r="F15240" s="4">
        <v>3.6999999999999998E-157</v>
      </c>
      <c r="G15240" s="3">
        <v>1173</v>
      </c>
      <c r="H15240" s="3">
        <v>75</v>
      </c>
      <c r="I15240" s="3">
        <v>340</v>
      </c>
      <c r="J15240" s="3">
        <v>324</v>
      </c>
      <c r="K15240" s="3">
        <v>1331</v>
      </c>
      <c r="L15240" s="3">
        <v>1</v>
      </c>
      <c r="M15240" s="3">
        <v>323</v>
      </c>
    </row>
    <row r="15241" spans="1:13" x14ac:dyDescent="0.25">
      <c r="A15241" s="1" t="str">
        <f>HYPERLINK("http://www.rosaceae.org/Prunus/Prunus_persica/p.persica_gdr_reftransV1_0044448","p.persica_gdr_reftransV1_0044448")</f>
        <v>p.persica_gdr_reftransV1_0044448</v>
      </c>
      <c r="B15241" s="3">
        <v>633</v>
      </c>
      <c r="C15241" s="1" t="str">
        <f>HYPERLINK("http://www.uniprot.org/uniprot/BRC2B_ARATH","BRC2B_ARATH")</f>
        <v>BRC2B_ARATH</v>
      </c>
      <c r="D15241" t="s">
        <v>9817</v>
      </c>
      <c r="E15241" s="3" t="s">
        <v>3</v>
      </c>
      <c r="F15241" s="4">
        <v>4.45E-88</v>
      </c>
      <c r="G15241" s="3">
        <v>732</v>
      </c>
      <c r="H15241" s="3">
        <v>64</v>
      </c>
      <c r="I15241" s="3">
        <v>211</v>
      </c>
      <c r="J15241" s="3">
        <v>3</v>
      </c>
      <c r="K15241" s="3">
        <v>632</v>
      </c>
      <c r="L15241" s="3">
        <v>672</v>
      </c>
      <c r="M15241" s="3">
        <v>878</v>
      </c>
    </row>
    <row r="15242" spans="1:13" x14ac:dyDescent="0.25">
      <c r="A15242" s="1" t="str">
        <f>HYPERLINK("http://www.rosaceae.org/Prunus/Prunus_persica/p.persica_gdr_reftransV1_0044498","p.persica_gdr_reftransV1_0044498")</f>
        <v>p.persica_gdr_reftransV1_0044498</v>
      </c>
      <c r="B15242" s="3">
        <v>753</v>
      </c>
      <c r="C15242" s="1" t="str">
        <f>HYPERLINK("http://www.uniprot.org/uniprot/ENL1_ARATH","ENL1_ARATH")</f>
        <v>ENL1_ARATH</v>
      </c>
      <c r="D15242" t="s">
        <v>4552</v>
      </c>
      <c r="E15242" s="3" t="s">
        <v>3</v>
      </c>
      <c r="F15242" s="4">
        <v>3.4200000000000002E-23</v>
      </c>
      <c r="G15242" s="3">
        <v>242</v>
      </c>
      <c r="H15242" s="3">
        <v>37</v>
      </c>
      <c r="I15242" s="3">
        <v>167</v>
      </c>
      <c r="J15242" s="3">
        <v>121</v>
      </c>
      <c r="K15242" s="3">
        <v>588</v>
      </c>
      <c r="L15242" s="3">
        <v>14</v>
      </c>
      <c r="M15242" s="3">
        <v>176</v>
      </c>
    </row>
    <row r="15243" spans="1:13" x14ac:dyDescent="0.25">
      <c r="A15243" s="1" t="str">
        <f>HYPERLINK("http://www.rosaceae.org/Prunus/Prunus_persica/p.persica_gdr_reftransV1_0044548","p.persica_gdr_reftransV1_0044548")</f>
        <v>p.persica_gdr_reftransV1_0044548</v>
      </c>
      <c r="B15243" s="3">
        <v>1471</v>
      </c>
      <c r="C15243" s="1" t="str">
        <f>HYPERLINK("http://www.uniprot.org/uniprot/KCS3_ARATH","KCS3_ARATH")</f>
        <v>KCS3_ARATH</v>
      </c>
      <c r="D15243" t="s">
        <v>1209</v>
      </c>
      <c r="E15243" s="3" t="s">
        <v>3</v>
      </c>
      <c r="F15243" s="4">
        <v>0</v>
      </c>
      <c r="G15243" s="3">
        <v>1746</v>
      </c>
      <c r="H15243" s="3">
        <v>72</v>
      </c>
      <c r="I15243" s="3">
        <v>462</v>
      </c>
      <c r="J15243" s="3">
        <v>58</v>
      </c>
      <c r="K15243" s="3">
        <v>1404</v>
      </c>
      <c r="L15243" s="3">
        <v>14</v>
      </c>
      <c r="M15243" s="3">
        <v>475</v>
      </c>
    </row>
    <row r="15244" spans="1:13" x14ac:dyDescent="0.25">
      <c r="A15244" s="1" t="str">
        <f>HYPERLINK("http://www.rosaceae.org/Prunus/Prunus_persica/p.persica_gdr_reftransV1_0044598","p.persica_gdr_reftransV1_0044598")</f>
        <v>p.persica_gdr_reftransV1_0044598</v>
      </c>
      <c r="B15244" s="3">
        <v>1788</v>
      </c>
      <c r="C15244" s="1" t="str">
        <f>HYPERLINK("http://www.uniprot.org/uniprot/PNC1_ARATH","PNC1_ARATH")</f>
        <v>PNC1_ARATH</v>
      </c>
      <c r="D15244" t="s">
        <v>9809</v>
      </c>
      <c r="E15244" s="3" t="s">
        <v>3</v>
      </c>
      <c r="F15244" s="4">
        <v>6.16E-149</v>
      </c>
      <c r="G15244" s="3">
        <v>1130</v>
      </c>
      <c r="H15244" s="3">
        <v>73</v>
      </c>
      <c r="I15244" s="3">
        <v>297</v>
      </c>
      <c r="J15244" s="3">
        <v>720</v>
      </c>
      <c r="K15244" s="3">
        <v>1610</v>
      </c>
      <c r="L15244" s="3">
        <v>8</v>
      </c>
      <c r="M15244" s="3">
        <v>301</v>
      </c>
    </row>
    <row r="15245" spans="1:13" x14ac:dyDescent="0.25">
      <c r="A15245" s="1" t="str">
        <f>HYPERLINK("http://www.rosaceae.org/Prunus/Prunus_persica/p.persica_gdr_reftransV1_0044648","p.persica_gdr_reftransV1_0044648")</f>
        <v>p.persica_gdr_reftransV1_0044648</v>
      </c>
      <c r="B15245" s="3">
        <v>1677</v>
      </c>
      <c r="C15245" s="1" t="str">
        <f>HYPERLINK("http://www.uniprot.org/uniprot/TM87B_MOUSE","TM87B_MOUSE")</f>
        <v>TM87B_MOUSE</v>
      </c>
      <c r="D15245" t="s">
        <v>1248</v>
      </c>
      <c r="E15245" s="3" t="s">
        <v>157</v>
      </c>
      <c r="F15245" s="4">
        <v>1.22E-52</v>
      </c>
      <c r="G15245" s="3">
        <v>491</v>
      </c>
      <c r="H15245" s="3">
        <v>38</v>
      </c>
      <c r="I15245" s="3">
        <v>317</v>
      </c>
      <c r="J15245" s="3">
        <v>524</v>
      </c>
      <c r="K15245" s="3">
        <v>1429</v>
      </c>
      <c r="L15245" s="3">
        <v>206</v>
      </c>
      <c r="M15245" s="3">
        <v>513</v>
      </c>
    </row>
    <row r="15246" spans="1:13" x14ac:dyDescent="0.25">
      <c r="A15246" s="1" t="str">
        <f>HYPERLINK("http://www.rosaceae.org/Prunus/Prunus_persica/p.persica_gdr_reftransV1_0044698","p.persica_gdr_reftransV1_0044698")</f>
        <v>p.persica_gdr_reftransV1_0044698</v>
      </c>
      <c r="B15246" s="3">
        <v>974</v>
      </c>
      <c r="C15246" s="1" t="str">
        <f>HYPERLINK("http://www.uniprot.org/uniprot/ATB51_ARATH","ATB51_ARATH")</f>
        <v>ATB51_ARATH</v>
      </c>
      <c r="D15246" t="s">
        <v>9818</v>
      </c>
      <c r="E15246" s="3" t="s">
        <v>3</v>
      </c>
      <c r="F15246" s="4">
        <v>2.1200000000000002E-53</v>
      </c>
      <c r="G15246" s="3">
        <v>459</v>
      </c>
      <c r="H15246" s="3">
        <v>50</v>
      </c>
      <c r="I15246" s="3">
        <v>220</v>
      </c>
      <c r="J15246" s="3">
        <v>132</v>
      </c>
      <c r="K15246" s="3">
        <v>758</v>
      </c>
      <c r="L15246" s="3">
        <v>26</v>
      </c>
      <c r="M15246" s="3">
        <v>235</v>
      </c>
    </row>
    <row r="15247" spans="1:13" x14ac:dyDescent="0.25">
      <c r="A15247" s="1" t="str">
        <f>HYPERLINK("http://www.rosaceae.org/Prunus/Prunus_persica/p.persica_gdr_reftransV1_0044748","p.persica_gdr_reftransV1_0044748")</f>
        <v>p.persica_gdr_reftransV1_0044748</v>
      </c>
      <c r="B15247" s="3">
        <v>725</v>
      </c>
      <c r="C15247" s="1" t="str">
        <f>HYPERLINK("http://www.uniprot.org/uniprot/ICE1_ARATH","ICE1_ARATH")</f>
        <v>ICE1_ARATH</v>
      </c>
      <c r="D15247" t="s">
        <v>9389</v>
      </c>
      <c r="E15247" s="3" t="s">
        <v>3</v>
      </c>
      <c r="F15247" s="4">
        <v>9.9399999999999993E-7</v>
      </c>
      <c r="G15247" s="3">
        <v>125</v>
      </c>
      <c r="H15247" s="3">
        <v>27</v>
      </c>
      <c r="I15247" s="3">
        <v>172</v>
      </c>
      <c r="J15247" s="3">
        <v>194</v>
      </c>
      <c r="K15247" s="3">
        <v>601</v>
      </c>
      <c r="L15247" s="3">
        <v>314</v>
      </c>
      <c r="M15247" s="3">
        <v>484</v>
      </c>
    </row>
    <row r="15248" spans="1:13" x14ac:dyDescent="0.25">
      <c r="A15248" s="1" t="str">
        <f>HYPERLINK("http://www.rosaceae.org/Prunus/Prunus_persica/p.persica_gdr_reftransV1_0044798","p.persica_gdr_reftransV1_0044798")</f>
        <v>p.persica_gdr_reftransV1_0044798</v>
      </c>
      <c r="B15248" s="3">
        <v>576</v>
      </c>
      <c r="C15248" s="1" t="str">
        <f>HYPERLINK("http://www.uniprot.org/uniprot/MYO14_ARATH","MYO14_ARATH")</f>
        <v>MYO14_ARATH</v>
      </c>
      <c r="D15248" t="s">
        <v>9819</v>
      </c>
      <c r="E15248" s="3" t="s">
        <v>3</v>
      </c>
      <c r="F15248" s="4">
        <v>8.3600000000000004E-51</v>
      </c>
      <c r="G15248" s="3">
        <v>461</v>
      </c>
      <c r="H15248" s="3">
        <v>61</v>
      </c>
      <c r="I15248" s="3">
        <v>192</v>
      </c>
      <c r="J15248" s="3">
        <v>1</v>
      </c>
      <c r="K15248" s="3">
        <v>576</v>
      </c>
      <c r="L15248" s="3">
        <v>849</v>
      </c>
      <c r="M15248" s="3">
        <v>1019</v>
      </c>
    </row>
    <row r="15249" spans="1:13" x14ac:dyDescent="0.25">
      <c r="A15249" s="1" t="str">
        <f>HYPERLINK("http://www.rosaceae.org/Prunus/Prunus_persica/p.persica_gdr_reftransV1_0044898","p.persica_gdr_reftransV1_0044898")</f>
        <v>p.persica_gdr_reftransV1_0044898</v>
      </c>
      <c r="B15249" s="3">
        <v>962</v>
      </c>
      <c r="C15249" s="1" t="str">
        <f>HYPERLINK("http://www.uniprot.org/uniprot/CRR38_ARATH","CRR38_ARATH")</f>
        <v>CRR38_ARATH</v>
      </c>
      <c r="D15249" t="s">
        <v>3712</v>
      </c>
      <c r="E15249" s="3" t="s">
        <v>3</v>
      </c>
      <c r="F15249" s="4">
        <v>2.3099999999999999E-32</v>
      </c>
      <c r="G15249" s="3">
        <v>315</v>
      </c>
      <c r="H15249" s="3">
        <v>35</v>
      </c>
      <c r="I15249" s="3">
        <v>179</v>
      </c>
      <c r="J15249" s="3">
        <v>150</v>
      </c>
      <c r="K15249" s="3">
        <v>686</v>
      </c>
      <c r="L15249" s="3">
        <v>72</v>
      </c>
      <c r="M15249" s="3">
        <v>248</v>
      </c>
    </row>
    <row r="15250" spans="1:13" x14ac:dyDescent="0.25">
      <c r="A15250" s="1" t="str">
        <f>HYPERLINK("http://www.rosaceae.org/Prunus/Prunus_persica/p.persica_gdr_reftransV1_0044998","p.persica_gdr_reftransV1_0044998")</f>
        <v>p.persica_gdr_reftransV1_0044998</v>
      </c>
      <c r="B15250" s="3">
        <v>353</v>
      </c>
      <c r="C15250" s="1" t="str">
        <f>HYPERLINK("http://www.uniprot.org/uniprot/SCAM5_ARATH","SCAM5_ARATH")</f>
        <v>SCAM5_ARATH</v>
      </c>
      <c r="D15250" t="s">
        <v>9820</v>
      </c>
      <c r="E15250" s="3" t="s">
        <v>3</v>
      </c>
      <c r="F15250" s="4">
        <v>1.15E-40</v>
      </c>
      <c r="G15250" s="3">
        <v>357</v>
      </c>
      <c r="H15250" s="3">
        <v>67</v>
      </c>
      <c r="I15250" s="3">
        <v>99</v>
      </c>
      <c r="J15250" s="3">
        <v>6</v>
      </c>
      <c r="K15250" s="3">
        <v>302</v>
      </c>
      <c r="L15250" s="3">
        <v>193</v>
      </c>
      <c r="M15250" s="3">
        <v>291</v>
      </c>
    </row>
    <row r="15251" spans="1:13" x14ac:dyDescent="0.25">
      <c r="A15251" s="1" t="str">
        <f>HYPERLINK("http://www.rosaceae.org/Prunus/Prunus_persica/p.persica_gdr_reftransV1_0045098","p.persica_gdr_reftransV1_0045098")</f>
        <v>p.persica_gdr_reftransV1_0045098</v>
      </c>
      <c r="B15251" s="3">
        <v>1320</v>
      </c>
      <c r="C15251" s="1" t="str">
        <f>HYPERLINK("http://www.uniprot.org/uniprot/APK1B_ARATH","APK1B_ARATH")</f>
        <v>APK1B_ARATH</v>
      </c>
      <c r="D15251" t="s">
        <v>9821</v>
      </c>
      <c r="E15251" s="3" t="s">
        <v>3</v>
      </c>
      <c r="F15251" s="4">
        <v>4.8E-78</v>
      </c>
      <c r="G15251" s="3">
        <v>650</v>
      </c>
      <c r="H15251" s="3">
        <v>54</v>
      </c>
      <c r="I15251" s="3">
        <v>227</v>
      </c>
      <c r="J15251" s="3">
        <v>3</v>
      </c>
      <c r="K15251" s="3">
        <v>683</v>
      </c>
      <c r="L15251" s="3">
        <v>43</v>
      </c>
      <c r="M15251" s="3">
        <v>237</v>
      </c>
    </row>
    <row r="15252" spans="1:13" x14ac:dyDescent="0.25">
      <c r="A15252" s="1" t="str">
        <f>HYPERLINK("http://www.rosaceae.org/Prunus/Prunus_persica/p.persica_gdr_reftransV1_0045248","p.persica_gdr_reftransV1_0045248")</f>
        <v>p.persica_gdr_reftransV1_0045248</v>
      </c>
      <c r="B15252" s="3">
        <v>1610</v>
      </c>
      <c r="C15252" s="1" t="str">
        <f>HYPERLINK("http://www.uniprot.org/uniprot/CCR1_ARATH","CCR1_ARATH")</f>
        <v>CCR1_ARATH</v>
      </c>
      <c r="D15252" t="s">
        <v>1195</v>
      </c>
      <c r="E15252" s="3" t="s">
        <v>3</v>
      </c>
      <c r="F15252" s="4">
        <v>1.1599999999999999E-69</v>
      </c>
      <c r="G15252" s="3">
        <v>595</v>
      </c>
      <c r="H15252" s="3">
        <v>47</v>
      </c>
      <c r="I15252" s="3">
        <v>289</v>
      </c>
      <c r="J15252" s="3">
        <v>275</v>
      </c>
      <c r="K15252" s="3">
        <v>1135</v>
      </c>
      <c r="L15252" s="3">
        <v>41</v>
      </c>
      <c r="M15252" s="3">
        <v>322</v>
      </c>
    </row>
    <row r="15253" spans="1:13" x14ac:dyDescent="0.25">
      <c r="A15253" s="1" t="str">
        <f>HYPERLINK("http://www.rosaceae.org/Prunus/Prunus_persica/p.persica_gdr_reftransV1_0045298","p.persica_gdr_reftransV1_0045298")</f>
        <v>p.persica_gdr_reftransV1_0045298</v>
      </c>
      <c r="B15253" s="3">
        <v>825</v>
      </c>
      <c r="C15253" s="1" t="str">
        <f>HYPERLINK("http://www.uniprot.org/uniprot/ANT_ARATH","ANT_ARATH")</f>
        <v>ANT_ARATH</v>
      </c>
      <c r="D15253" t="s">
        <v>9042</v>
      </c>
      <c r="E15253" s="3" t="s">
        <v>3</v>
      </c>
      <c r="F15253" s="4">
        <v>3.76E-16</v>
      </c>
      <c r="G15253" s="3">
        <v>200</v>
      </c>
      <c r="H15253" s="3">
        <v>51</v>
      </c>
      <c r="I15253" s="3">
        <v>88</v>
      </c>
      <c r="J15253" s="3">
        <v>94</v>
      </c>
      <c r="K15253" s="3">
        <v>354</v>
      </c>
      <c r="L15253" s="3">
        <v>66</v>
      </c>
      <c r="M15253" s="3">
        <v>142</v>
      </c>
    </row>
    <row r="15254" spans="1:13" x14ac:dyDescent="0.25">
      <c r="A15254" s="1" t="str">
        <f>HYPERLINK("http://www.rosaceae.org/Prunus/Prunus_persica/p.persica_gdr_reftransV1_0045348","p.persica_gdr_reftransV1_0045348")</f>
        <v>p.persica_gdr_reftransV1_0045348</v>
      </c>
      <c r="B15254" s="3">
        <v>976</v>
      </c>
      <c r="C15254" s="1" t="str">
        <f>HYPERLINK("http://www.uniprot.org/uniprot/ROGF3_ARATH","ROGF3_ARATH")</f>
        <v>ROGF3_ARATH</v>
      </c>
      <c r="D15254" t="s">
        <v>9822</v>
      </c>
      <c r="E15254" s="3" t="s">
        <v>3</v>
      </c>
      <c r="F15254" s="4">
        <v>5.0499999999999998E-149</v>
      </c>
      <c r="G15254" s="3">
        <v>1117</v>
      </c>
      <c r="H15254" s="3">
        <v>76</v>
      </c>
      <c r="I15254" s="3">
        <v>274</v>
      </c>
      <c r="J15254" s="3">
        <v>6</v>
      </c>
      <c r="K15254" s="3">
        <v>827</v>
      </c>
      <c r="L15254" s="3">
        <v>198</v>
      </c>
      <c r="M15254" s="3">
        <v>471</v>
      </c>
    </row>
    <row r="15255" spans="1:13" x14ac:dyDescent="0.25">
      <c r="A15255" s="1" t="str">
        <f>HYPERLINK("http://www.rosaceae.org/Prunus/Prunus_persica/p.persica_gdr_reftransV1_0045398","p.persica_gdr_reftransV1_0045398")</f>
        <v>p.persica_gdr_reftransV1_0045398</v>
      </c>
      <c r="B15255" s="3">
        <v>1604</v>
      </c>
      <c r="C15255" s="1" t="str">
        <f>HYPERLINK("http://www.uniprot.org/uniprot/SAP11_ARATH","SAP11_ARATH")</f>
        <v>SAP11_ARATH</v>
      </c>
      <c r="D15255" t="s">
        <v>9823</v>
      </c>
      <c r="E15255" s="3" t="s">
        <v>3</v>
      </c>
      <c r="F15255" s="4">
        <v>2.7500000000000002E-109</v>
      </c>
      <c r="G15255" s="3">
        <v>856</v>
      </c>
      <c r="H15255" s="3">
        <v>63</v>
      </c>
      <c r="I15255" s="3">
        <v>293</v>
      </c>
      <c r="J15255" s="3">
        <v>559</v>
      </c>
      <c r="K15255" s="3">
        <v>1431</v>
      </c>
      <c r="L15255" s="3">
        <v>1</v>
      </c>
      <c r="M15255" s="3">
        <v>278</v>
      </c>
    </row>
    <row r="15256" spans="1:13" x14ac:dyDescent="0.25">
      <c r="A15256" s="1" t="str">
        <f>HYPERLINK("http://www.rosaceae.org/Prunus/Prunus_persica/p.persica_gdr_reftransV1_0045448","p.persica_gdr_reftransV1_0045448")</f>
        <v>p.persica_gdr_reftransV1_0045448</v>
      </c>
      <c r="B15256" s="3">
        <v>469</v>
      </c>
      <c r="C15256" s="1" t="str">
        <f>HYPERLINK("http://www.uniprot.org/uniprot/Y1670_ARATH","Y1670_ARATH")</f>
        <v>Y1670_ARATH</v>
      </c>
      <c r="D15256" t="s">
        <v>3135</v>
      </c>
      <c r="E15256" s="3" t="s">
        <v>3</v>
      </c>
      <c r="F15256" s="4">
        <v>6.1300000000000005E-36</v>
      </c>
      <c r="G15256" s="3">
        <v>343</v>
      </c>
      <c r="H15256" s="3">
        <v>44</v>
      </c>
      <c r="I15256" s="3">
        <v>153</v>
      </c>
      <c r="J15256" s="3">
        <v>4</v>
      </c>
      <c r="K15256" s="3">
        <v>462</v>
      </c>
      <c r="L15256" s="3">
        <v>525</v>
      </c>
      <c r="M15256" s="3">
        <v>672</v>
      </c>
    </row>
    <row r="15257" spans="1:13" x14ac:dyDescent="0.25">
      <c r="A15257" s="1" t="str">
        <f>HYPERLINK("http://www.rosaceae.org/Prunus/Prunus_persica/p.persica_gdr_reftransV1_0045498","p.persica_gdr_reftransV1_0045498")</f>
        <v>p.persica_gdr_reftransV1_0045498</v>
      </c>
      <c r="B15257" s="3">
        <v>2364</v>
      </c>
      <c r="C15257" s="1" t="str">
        <f>HYPERLINK("http://www.uniprot.org/uniprot/GLNA1_LOTJA","GLNA1_LOTJA")</f>
        <v>GLNA1_LOTJA</v>
      </c>
      <c r="D15257" t="s">
        <v>9824</v>
      </c>
      <c r="E15257" s="3" t="s">
        <v>880</v>
      </c>
      <c r="F15257" s="4">
        <v>0</v>
      </c>
      <c r="G15257" s="3">
        <v>1606</v>
      </c>
      <c r="H15257" s="3">
        <v>91</v>
      </c>
      <c r="I15257" s="3">
        <v>341</v>
      </c>
      <c r="J15257" s="3">
        <v>1086</v>
      </c>
      <c r="K15257" s="3">
        <v>2108</v>
      </c>
      <c r="L15257" s="3">
        <v>16</v>
      </c>
      <c r="M15257" s="3">
        <v>356</v>
      </c>
    </row>
    <row r="15258" spans="1:13" x14ac:dyDescent="0.25">
      <c r="A15258" s="1" t="str">
        <f>HYPERLINK("http://www.rosaceae.org/Prunus/Prunus_persica/p.persica_gdr_reftransV1_0045548","p.persica_gdr_reftransV1_0045548")</f>
        <v>p.persica_gdr_reftransV1_0045548</v>
      </c>
      <c r="B15258" s="3">
        <v>1694</v>
      </c>
      <c r="C15258" s="1" t="str">
        <f>HYPERLINK("http://www.uniprot.org/uniprot/AK1_ARATH","AK1_ARATH")</f>
        <v>AK1_ARATH</v>
      </c>
      <c r="D15258" t="s">
        <v>4315</v>
      </c>
      <c r="E15258" s="3" t="s">
        <v>3</v>
      </c>
      <c r="F15258" s="4">
        <v>0</v>
      </c>
      <c r="G15258" s="3">
        <v>1420</v>
      </c>
      <c r="H15258" s="3">
        <v>81</v>
      </c>
      <c r="I15258" s="3">
        <v>324</v>
      </c>
      <c r="J15258" s="3">
        <v>220</v>
      </c>
      <c r="K15258" s="3">
        <v>1191</v>
      </c>
      <c r="L15258" s="3">
        <v>237</v>
      </c>
      <c r="M15258" s="3">
        <v>560</v>
      </c>
    </row>
    <row r="15259" spans="1:13" x14ac:dyDescent="0.25">
      <c r="A15259" s="1" t="str">
        <f>HYPERLINK("http://www.rosaceae.org/Prunus/Prunus_persica/p.persica_gdr_reftransV1_0045648","p.persica_gdr_reftransV1_0045648")</f>
        <v>p.persica_gdr_reftransV1_0045648</v>
      </c>
      <c r="B15259" s="3">
        <v>1146</v>
      </c>
      <c r="C15259" s="1" t="str">
        <f>HYPERLINK("http://www.uniprot.org/uniprot/KNAP2_MALDO","KNAP2_MALDO")</f>
        <v>KNAP2_MALDO</v>
      </c>
      <c r="D15259" t="s">
        <v>9825</v>
      </c>
      <c r="E15259" s="3" t="s">
        <v>540</v>
      </c>
      <c r="F15259" s="4">
        <v>9.6699999999999994E-170</v>
      </c>
      <c r="G15259" s="3">
        <v>1253</v>
      </c>
      <c r="H15259" s="3">
        <v>92</v>
      </c>
      <c r="I15259" s="3">
        <v>318</v>
      </c>
      <c r="J15259" s="3">
        <v>1</v>
      </c>
      <c r="K15259" s="3">
        <v>948</v>
      </c>
      <c r="L15259" s="3">
        <v>83</v>
      </c>
      <c r="M15259" s="3">
        <v>397</v>
      </c>
    </row>
    <row r="15260" spans="1:13" x14ac:dyDescent="0.25">
      <c r="A15260" s="1" t="str">
        <f>HYPERLINK("http://www.rosaceae.org/Prunus/Prunus_persica/p.persica_gdr_reftransV1_0045698","p.persica_gdr_reftransV1_0045698")</f>
        <v>p.persica_gdr_reftransV1_0045698</v>
      </c>
      <c r="B15260" s="3">
        <v>1021</v>
      </c>
      <c r="C15260" s="1" t="str">
        <f>HYPERLINK("http://www.uniprot.org/uniprot/SCO12_ARATH","SCO12_ARATH")</f>
        <v>SCO12_ARATH</v>
      </c>
      <c r="D15260" t="s">
        <v>9826</v>
      </c>
      <c r="E15260" s="3" t="s">
        <v>3</v>
      </c>
      <c r="F15260" s="4">
        <v>5.08E-111</v>
      </c>
      <c r="G15260" s="3">
        <v>849</v>
      </c>
      <c r="H15260" s="3">
        <v>60</v>
      </c>
      <c r="I15260" s="3">
        <v>279</v>
      </c>
      <c r="J15260" s="3">
        <v>123</v>
      </c>
      <c r="K15260" s="3">
        <v>935</v>
      </c>
      <c r="L15260" s="3">
        <v>1</v>
      </c>
      <c r="M15260" s="3">
        <v>275</v>
      </c>
    </row>
    <row r="15261" spans="1:13" x14ac:dyDescent="0.25">
      <c r="A15261" s="1" t="str">
        <f>HYPERLINK("http://www.rosaceae.org/Prunus/Prunus_persica/p.persica_gdr_reftransV1_0045748","p.persica_gdr_reftransV1_0045748")</f>
        <v>p.persica_gdr_reftransV1_0045748</v>
      </c>
      <c r="B15261" s="3">
        <v>1377</v>
      </c>
      <c r="C15261" s="1" t="str">
        <f>HYPERLINK("http://www.uniprot.org/uniprot/DR100_ARATH","DR100_ARATH")</f>
        <v>DR100_ARATH</v>
      </c>
      <c r="D15261" t="s">
        <v>4395</v>
      </c>
      <c r="E15261" s="3" t="s">
        <v>3</v>
      </c>
      <c r="F15261" s="4">
        <v>5.7599999999999998E-26</v>
      </c>
      <c r="G15261" s="3">
        <v>279</v>
      </c>
      <c r="H15261" s="3">
        <v>34</v>
      </c>
      <c r="I15261" s="3">
        <v>329</v>
      </c>
      <c r="J15261" s="3">
        <v>220</v>
      </c>
      <c r="K15261" s="3">
        <v>1137</v>
      </c>
      <c r="L15261" s="3">
        <v>31</v>
      </c>
      <c r="M15261" s="3">
        <v>347</v>
      </c>
    </row>
    <row r="15262" spans="1:13" x14ac:dyDescent="0.25">
      <c r="A15262" s="1" t="str">
        <f>HYPERLINK("http://www.rosaceae.org/Prunus/Prunus_persica/p.persica_gdr_reftransV1_0045948","p.persica_gdr_reftransV1_0045948")</f>
        <v>p.persica_gdr_reftransV1_0045948</v>
      </c>
      <c r="B15262" s="3">
        <v>1728</v>
      </c>
      <c r="C15262" s="1" t="str">
        <f>HYPERLINK("http://www.uniprot.org/uniprot/CCNB2_MEDSV","CCNB2_MEDSV")</f>
        <v>CCNB2_MEDSV</v>
      </c>
      <c r="D15262" t="s">
        <v>9827</v>
      </c>
      <c r="E15262" s="3" t="s">
        <v>515</v>
      </c>
      <c r="F15262" s="4">
        <v>4.3E-175</v>
      </c>
      <c r="G15262" s="3">
        <v>1312</v>
      </c>
      <c r="H15262" s="3">
        <v>66</v>
      </c>
      <c r="I15262" s="3">
        <v>437</v>
      </c>
      <c r="J15262" s="3">
        <v>142</v>
      </c>
      <c r="K15262" s="3">
        <v>1449</v>
      </c>
      <c r="L15262" s="3">
        <v>5</v>
      </c>
      <c r="M15262" s="3">
        <v>431</v>
      </c>
    </row>
    <row r="15263" spans="1:13" x14ac:dyDescent="0.25">
      <c r="A15263" s="1" t="str">
        <f>HYPERLINK("http://www.rosaceae.org/Prunus/Prunus_persica/p.persica_gdr_reftransV1_0045998","p.persica_gdr_reftransV1_0045998")</f>
        <v>p.persica_gdr_reftransV1_0045998</v>
      </c>
      <c r="B15263" s="3">
        <v>1454</v>
      </c>
      <c r="C15263" s="1" t="str">
        <f>HYPERLINK("http://www.uniprot.org/uniprot/MBD11_ARATH","MBD11_ARATH")</f>
        <v>MBD11_ARATH</v>
      </c>
      <c r="D15263" t="s">
        <v>9828</v>
      </c>
      <c r="E15263" s="3" t="s">
        <v>3</v>
      </c>
      <c r="F15263" s="4">
        <v>1.16E-31</v>
      </c>
      <c r="G15263" s="3">
        <v>316</v>
      </c>
      <c r="H15263" s="3">
        <v>72</v>
      </c>
      <c r="I15263" s="3">
        <v>89</v>
      </c>
      <c r="J15263" s="3">
        <v>138</v>
      </c>
      <c r="K15263" s="3">
        <v>404</v>
      </c>
      <c r="L15263" s="3">
        <v>8</v>
      </c>
      <c r="M15263" s="3">
        <v>96</v>
      </c>
    </row>
    <row r="15264" spans="1:13" x14ac:dyDescent="0.25">
      <c r="A15264" s="1" t="str">
        <f>HYPERLINK("http://www.rosaceae.org/Prunus/Prunus_persica/p.persica_gdr_reftransV1_0046048","p.persica_gdr_reftransV1_0046048")</f>
        <v>p.persica_gdr_reftransV1_0046048</v>
      </c>
      <c r="B15264" s="3">
        <v>1190</v>
      </c>
      <c r="C15264" s="1" t="str">
        <f>HYPERLINK("http://www.uniprot.org/uniprot/WRKY1_ARATH","WRKY1_ARATH")</f>
        <v>WRKY1_ARATH</v>
      </c>
      <c r="D15264" t="s">
        <v>9829</v>
      </c>
      <c r="E15264" s="3" t="s">
        <v>3</v>
      </c>
      <c r="F15264" s="4">
        <v>1.9800000000000002E-58</v>
      </c>
      <c r="G15264" s="3">
        <v>517</v>
      </c>
      <c r="H15264" s="3">
        <v>42</v>
      </c>
      <c r="I15264" s="3">
        <v>305</v>
      </c>
      <c r="J15264" s="3">
        <v>3</v>
      </c>
      <c r="K15264" s="3">
        <v>791</v>
      </c>
      <c r="L15264" s="3">
        <v>47</v>
      </c>
      <c r="M15264" s="3">
        <v>335</v>
      </c>
    </row>
    <row r="15265" spans="1:13" x14ac:dyDescent="0.25">
      <c r="A15265" s="1" t="str">
        <f>HYPERLINK("http://www.rosaceae.org/Prunus/Prunus_persica/p.persica_gdr_reftransV1_0046298","p.persica_gdr_reftransV1_0046298")</f>
        <v>p.persica_gdr_reftransV1_0046298</v>
      </c>
      <c r="B15265" s="3">
        <v>1495</v>
      </c>
      <c r="C15265" s="1" t="str">
        <f>HYPERLINK("http://www.uniprot.org/uniprot/BH137_ARATH","BH137_ARATH")</f>
        <v>BH137_ARATH</v>
      </c>
      <c r="D15265" t="s">
        <v>9830</v>
      </c>
      <c r="E15265" s="3" t="s">
        <v>3</v>
      </c>
      <c r="F15265" s="4">
        <v>1.2100000000000001E-51</v>
      </c>
      <c r="G15265" s="3">
        <v>463</v>
      </c>
      <c r="H15265" s="3">
        <v>38</v>
      </c>
      <c r="I15265" s="3">
        <v>345</v>
      </c>
      <c r="J15265" s="3">
        <v>474</v>
      </c>
      <c r="K15265" s="3">
        <v>1490</v>
      </c>
      <c r="L15265" s="3">
        <v>4</v>
      </c>
      <c r="M15265" s="3">
        <v>280</v>
      </c>
    </row>
    <row r="15266" spans="1:13" x14ac:dyDescent="0.25">
      <c r="A15266" s="1" t="str">
        <f>HYPERLINK("http://www.rosaceae.org/Prunus/Prunus_persica/p.persica_gdr_reftransV1_0046348","p.persica_gdr_reftransV1_0046348")</f>
        <v>p.persica_gdr_reftransV1_0046348</v>
      </c>
      <c r="B15266" s="3">
        <v>2062</v>
      </c>
      <c r="C15266" s="1" t="str">
        <f>HYPERLINK("http://www.uniprot.org/uniprot/BGL12_ORYSJ","BGL12_ORYSJ")</f>
        <v>BGL12_ORYSJ</v>
      </c>
      <c r="D15266" t="s">
        <v>8371</v>
      </c>
      <c r="E15266" s="3" t="s">
        <v>38</v>
      </c>
      <c r="F15266" s="4">
        <v>0</v>
      </c>
      <c r="G15266" s="3">
        <v>1593</v>
      </c>
      <c r="H15266" s="3">
        <v>63</v>
      </c>
      <c r="I15266" s="3">
        <v>446</v>
      </c>
      <c r="J15266" s="3">
        <v>271</v>
      </c>
      <c r="K15266" s="3">
        <v>1608</v>
      </c>
      <c r="L15266" s="3">
        <v>65</v>
      </c>
      <c r="M15266" s="3">
        <v>508</v>
      </c>
    </row>
    <row r="15267" spans="1:13" x14ac:dyDescent="0.25">
      <c r="A15267" s="1" t="str">
        <f>HYPERLINK("http://www.rosaceae.org/Prunus/Prunus_persica/p.persica_gdr_reftransV1_0046398","p.persica_gdr_reftransV1_0046398")</f>
        <v>p.persica_gdr_reftransV1_0046398</v>
      </c>
      <c r="B15267" s="3">
        <v>1532</v>
      </c>
      <c r="C15267" s="1" t="str">
        <f>HYPERLINK("http://www.uniprot.org/uniprot/RPAP3_XENLA","RPAP3_XENLA")</f>
        <v>RPAP3_XENLA</v>
      </c>
      <c r="D15267" t="s">
        <v>9831</v>
      </c>
      <c r="E15267" s="3" t="s">
        <v>475</v>
      </c>
      <c r="F15267" s="4">
        <v>6.5499999999999997E-29</v>
      </c>
      <c r="G15267" s="3">
        <v>311</v>
      </c>
      <c r="H15267" s="3">
        <v>30</v>
      </c>
      <c r="I15267" s="3">
        <v>347</v>
      </c>
      <c r="J15267" s="3">
        <v>383</v>
      </c>
      <c r="K15267" s="3">
        <v>1258</v>
      </c>
      <c r="L15267" s="3">
        <v>284</v>
      </c>
      <c r="M15267" s="3">
        <v>630</v>
      </c>
    </row>
    <row r="15268" spans="1:13" x14ac:dyDescent="0.25">
      <c r="A15268" s="1" t="str">
        <f>HYPERLINK("http://www.rosaceae.org/Prunus/Prunus_persica/p.persica_gdr_reftransV1_0046448","p.persica_gdr_reftransV1_0046448")</f>
        <v>p.persica_gdr_reftransV1_0046448</v>
      </c>
      <c r="B15268" s="3">
        <v>824</v>
      </c>
      <c r="C15268" s="1" t="str">
        <f>HYPERLINK("http://www.uniprot.org/uniprot/ALFC2_ARATH","ALFC2_ARATH")</f>
        <v>ALFC2_ARATH</v>
      </c>
      <c r="D15268" t="s">
        <v>3389</v>
      </c>
      <c r="E15268" s="3" t="s">
        <v>3</v>
      </c>
      <c r="F15268" s="4">
        <v>6.9899999999999999E-74</v>
      </c>
      <c r="G15268" s="3">
        <v>605</v>
      </c>
      <c r="H15268" s="3">
        <v>90</v>
      </c>
      <c r="I15268" s="3">
        <v>124</v>
      </c>
      <c r="J15268" s="3">
        <v>452</v>
      </c>
      <c r="K15268" s="3">
        <v>823</v>
      </c>
      <c r="L15268" s="3">
        <v>43</v>
      </c>
      <c r="M15268" s="3">
        <v>166</v>
      </c>
    </row>
    <row r="15269" spans="1:13" x14ac:dyDescent="0.25">
      <c r="A15269" s="1" t="str">
        <f>HYPERLINK("http://www.rosaceae.org/Prunus/Prunus_persica/p.persica_gdr_reftransV1_0046498","p.persica_gdr_reftransV1_0046498")</f>
        <v>p.persica_gdr_reftransV1_0046498</v>
      </c>
      <c r="B15269" s="3">
        <v>767</v>
      </c>
      <c r="C15269" s="1" t="str">
        <f>HYPERLINK("http://www.uniprot.org/uniprot/RL222_ARATH","RL222_ARATH")</f>
        <v>RL222_ARATH</v>
      </c>
      <c r="D15269" t="s">
        <v>9832</v>
      </c>
      <c r="E15269" s="3" t="s">
        <v>3</v>
      </c>
      <c r="F15269" s="4">
        <v>5.5300000000000001E-51</v>
      </c>
      <c r="G15269" s="3">
        <v>427</v>
      </c>
      <c r="H15269" s="3">
        <v>85</v>
      </c>
      <c r="I15269" s="3">
        <v>124</v>
      </c>
      <c r="J15269" s="3">
        <v>92</v>
      </c>
      <c r="K15269" s="3">
        <v>463</v>
      </c>
      <c r="L15269" s="3">
        <v>1</v>
      </c>
      <c r="M15269" s="3">
        <v>124</v>
      </c>
    </row>
    <row r="15270" spans="1:13" x14ac:dyDescent="0.25">
      <c r="A15270" s="1" t="str">
        <f>HYPERLINK("http://www.rosaceae.org/Prunus/Prunus_persica/p.persica_gdr_reftransV1_0046748","p.persica_gdr_reftransV1_0046748")</f>
        <v>p.persica_gdr_reftransV1_0046748</v>
      </c>
      <c r="B15270" s="3">
        <v>1954</v>
      </c>
      <c r="C15270" s="1" t="str">
        <f>HYPERLINK("http://www.uniprot.org/uniprot/PTA14_ARATH","PTA14_ARATH")</f>
        <v>PTA14_ARATH</v>
      </c>
      <c r="D15270" t="s">
        <v>9833</v>
      </c>
      <c r="E15270" s="3" t="s">
        <v>3</v>
      </c>
      <c r="F15270" s="4">
        <v>0</v>
      </c>
      <c r="G15270" s="3">
        <v>1787</v>
      </c>
      <c r="H15270" s="3">
        <v>74</v>
      </c>
      <c r="I15270" s="3">
        <v>462</v>
      </c>
      <c r="J15270" s="3">
        <v>329</v>
      </c>
      <c r="K15270" s="3">
        <v>1711</v>
      </c>
      <c r="L15270" s="3">
        <v>28</v>
      </c>
      <c r="M15270" s="3">
        <v>483</v>
      </c>
    </row>
    <row r="15271" spans="1:13" x14ac:dyDescent="0.25">
      <c r="A15271" s="1" t="str">
        <f>HYPERLINK("http://www.rosaceae.org/Prunus/Prunus_persica/p.persica_gdr_reftransV1_0046798","p.persica_gdr_reftransV1_0046798")</f>
        <v>p.persica_gdr_reftransV1_0046798</v>
      </c>
      <c r="B15271" s="3">
        <v>2844</v>
      </c>
      <c r="C15271" s="1" t="str">
        <f>HYPERLINK("http://www.uniprot.org/uniprot/P4KG7_ARATH","P4KG7_ARATH")</f>
        <v>P4KG7_ARATH</v>
      </c>
      <c r="D15271" t="s">
        <v>8117</v>
      </c>
      <c r="E15271" s="3" t="s">
        <v>3</v>
      </c>
      <c r="F15271" s="4">
        <v>0</v>
      </c>
      <c r="G15271" s="3">
        <v>2411</v>
      </c>
      <c r="H15271" s="3">
        <v>71</v>
      </c>
      <c r="I15271" s="3">
        <v>665</v>
      </c>
      <c r="J15271" s="3">
        <v>542</v>
      </c>
      <c r="K15271" s="3">
        <v>2461</v>
      </c>
      <c r="L15271" s="3">
        <v>1</v>
      </c>
      <c r="M15271" s="3">
        <v>650</v>
      </c>
    </row>
    <row r="15272" spans="1:13" x14ac:dyDescent="0.25">
      <c r="A15272" s="1" t="str">
        <f>HYPERLINK("http://www.rosaceae.org/Prunus/Prunus_persica/p.persica_gdr_reftransV1_0046948","p.persica_gdr_reftransV1_0046948")</f>
        <v>p.persica_gdr_reftransV1_0046948</v>
      </c>
      <c r="B15272" s="3">
        <v>2495</v>
      </c>
      <c r="C15272" s="1" t="str">
        <f>HYPERLINK("http://www.uniprot.org/uniprot/PUR6_VIGAC","PUR6_VIGAC")</f>
        <v>PUR6_VIGAC</v>
      </c>
      <c r="D15272" t="s">
        <v>9167</v>
      </c>
      <c r="E15272" s="3" t="s">
        <v>2702</v>
      </c>
      <c r="F15272" s="4">
        <v>0</v>
      </c>
      <c r="G15272" s="3">
        <v>1989</v>
      </c>
      <c r="H15272" s="3">
        <v>77</v>
      </c>
      <c r="I15272" s="3">
        <v>541</v>
      </c>
      <c r="J15272" s="3">
        <v>523</v>
      </c>
      <c r="K15272" s="3">
        <v>2142</v>
      </c>
      <c r="L15272" s="3">
        <v>17</v>
      </c>
      <c r="M15272" s="3">
        <v>554</v>
      </c>
    </row>
    <row r="15273" spans="1:13" x14ac:dyDescent="0.25">
      <c r="A15273" s="1" t="str">
        <f>HYPERLINK("http://www.rosaceae.org/Prunus/Prunus_persica/p.persica_gdr_reftransV1_0046998","p.persica_gdr_reftransV1_0046998")</f>
        <v>p.persica_gdr_reftransV1_0046998</v>
      </c>
      <c r="B15273" s="3">
        <v>1130</v>
      </c>
      <c r="C15273" s="1" t="str">
        <f>HYPERLINK("http://www.uniprot.org/uniprot/CNBL7_ORYSJ","CNBL7_ORYSJ")</f>
        <v>CNBL7_ORYSJ</v>
      </c>
      <c r="D15273" t="s">
        <v>9834</v>
      </c>
      <c r="E15273" s="3" t="s">
        <v>38</v>
      </c>
      <c r="F15273" s="4">
        <v>5.8400000000000002E-90</v>
      </c>
      <c r="G15273" s="3">
        <v>706</v>
      </c>
      <c r="H15273" s="3">
        <v>62</v>
      </c>
      <c r="I15273" s="3">
        <v>211</v>
      </c>
      <c r="J15273" s="3">
        <v>483</v>
      </c>
      <c r="K15273" s="3">
        <v>1106</v>
      </c>
      <c r="L15273" s="3">
        <v>1</v>
      </c>
      <c r="M15273" s="3">
        <v>211</v>
      </c>
    </row>
    <row r="15274" spans="1:13" x14ac:dyDescent="0.25">
      <c r="A15274" s="1" t="str">
        <f>HYPERLINK("http://www.rosaceae.org/Prunus/Prunus_persica/p.persica_gdr_reftransV1_0047148","p.persica_gdr_reftransV1_0047148")</f>
        <v>p.persica_gdr_reftransV1_0047148</v>
      </c>
      <c r="B15274" s="3">
        <v>512</v>
      </c>
      <c r="C15274" s="1" t="str">
        <f>HYPERLINK("http://www.uniprot.org/uniprot/C76C4_ARATH","C76C4_ARATH")</f>
        <v>C76C4_ARATH</v>
      </c>
      <c r="D15274" t="s">
        <v>9835</v>
      </c>
      <c r="E15274" s="3" t="s">
        <v>3</v>
      </c>
      <c r="F15274" s="4">
        <v>6.0499999999999996E-67</v>
      </c>
      <c r="G15274" s="3">
        <v>556</v>
      </c>
      <c r="H15274" s="3">
        <v>65</v>
      </c>
      <c r="I15274" s="3">
        <v>149</v>
      </c>
      <c r="J15274" s="3">
        <v>61</v>
      </c>
      <c r="K15274" s="3">
        <v>507</v>
      </c>
      <c r="L15274" s="3">
        <v>359</v>
      </c>
      <c r="M15274" s="3">
        <v>506</v>
      </c>
    </row>
    <row r="15275" spans="1:13" x14ac:dyDescent="0.25">
      <c r="A15275" s="1" t="str">
        <f>HYPERLINK("http://www.rosaceae.org/Prunus/Prunus_persica/p.persica_gdr_reftransV1_0047298","p.persica_gdr_reftransV1_0047298")</f>
        <v>p.persica_gdr_reftransV1_0047298</v>
      </c>
      <c r="B15275" s="3">
        <v>784</v>
      </c>
      <c r="C15275" s="1" t="str">
        <f>HYPERLINK("http://www.uniprot.org/uniprot/WAK2_ARATH","WAK2_ARATH")</f>
        <v>WAK2_ARATH</v>
      </c>
      <c r="D15275" t="s">
        <v>2792</v>
      </c>
      <c r="E15275" s="3" t="s">
        <v>3</v>
      </c>
      <c r="F15275" s="4">
        <v>5.0700000000000002E-55</v>
      </c>
      <c r="G15275" s="3">
        <v>491</v>
      </c>
      <c r="H15275" s="3">
        <v>38</v>
      </c>
      <c r="I15275" s="3">
        <v>264</v>
      </c>
      <c r="J15275" s="3">
        <v>1</v>
      </c>
      <c r="K15275" s="3">
        <v>783</v>
      </c>
      <c r="L15275" s="3">
        <v>137</v>
      </c>
      <c r="M15275" s="3">
        <v>393</v>
      </c>
    </row>
    <row r="15276" spans="1:13" x14ac:dyDescent="0.25">
      <c r="A15276" s="1" t="str">
        <f>HYPERLINK("http://www.rosaceae.org/Prunus/Prunus_persica/p.persica_gdr_reftransV1_0047348","p.persica_gdr_reftransV1_0047348")</f>
        <v>p.persica_gdr_reftransV1_0047348</v>
      </c>
      <c r="B15276" s="3">
        <v>1540</v>
      </c>
      <c r="C15276" s="1" t="str">
        <f>HYPERLINK("http://www.uniprot.org/uniprot/MYB4_ORYSJ","MYB4_ORYSJ")</f>
        <v>MYB4_ORYSJ</v>
      </c>
      <c r="D15276" t="s">
        <v>2801</v>
      </c>
      <c r="E15276" s="3" t="s">
        <v>38</v>
      </c>
      <c r="F15276" s="4">
        <v>1.8099999999999999E-47</v>
      </c>
      <c r="G15276" s="3">
        <v>432</v>
      </c>
      <c r="H15276" s="3">
        <v>85</v>
      </c>
      <c r="I15276" s="3">
        <v>89</v>
      </c>
      <c r="J15276" s="3">
        <v>147</v>
      </c>
      <c r="K15276" s="3">
        <v>413</v>
      </c>
      <c r="L15276" s="3">
        <v>1</v>
      </c>
      <c r="M15276" s="3">
        <v>89</v>
      </c>
    </row>
    <row r="15277" spans="1:13" x14ac:dyDescent="0.25">
      <c r="A15277" s="1" t="str">
        <f>HYPERLINK("http://www.rosaceae.org/Prunus/Prunus_persica/p.persica_gdr_reftransV1_0047398","p.persica_gdr_reftransV1_0047398")</f>
        <v>p.persica_gdr_reftransV1_0047398</v>
      </c>
      <c r="B15277" s="3">
        <v>2366</v>
      </c>
      <c r="C15277" s="1" t="str">
        <f>HYPERLINK("http://www.uniprot.org/uniprot/UFSP_ARATH","UFSP_ARATH")</f>
        <v>UFSP_ARATH</v>
      </c>
      <c r="D15277" t="s">
        <v>9436</v>
      </c>
      <c r="E15277" s="3" t="s">
        <v>3</v>
      </c>
      <c r="F15277" s="4">
        <v>0</v>
      </c>
      <c r="G15277" s="3">
        <v>2106</v>
      </c>
      <c r="H15277" s="3">
        <v>64</v>
      </c>
      <c r="I15277" s="3">
        <v>693</v>
      </c>
      <c r="J15277" s="3">
        <v>170</v>
      </c>
      <c r="K15277" s="3">
        <v>2242</v>
      </c>
      <c r="L15277" s="3">
        <v>6</v>
      </c>
      <c r="M15277" s="3">
        <v>645</v>
      </c>
    </row>
    <row r="15278" spans="1:13" x14ac:dyDescent="0.25">
      <c r="A15278" s="1" t="str">
        <f>HYPERLINK("http://www.rosaceae.org/Prunus/Prunus_persica/p.persica_gdr_reftransV1_0047548","p.persica_gdr_reftransV1_0047548")</f>
        <v>p.persica_gdr_reftransV1_0047548</v>
      </c>
      <c r="B15278" s="3">
        <v>2716</v>
      </c>
      <c r="C15278" s="1" t="str">
        <f>HYPERLINK("http://www.uniprot.org/uniprot/Y2349_ARATH","Y2349_ARATH")</f>
        <v>Y2349_ARATH</v>
      </c>
      <c r="D15278" t="s">
        <v>3494</v>
      </c>
      <c r="E15278" s="3" t="s">
        <v>3</v>
      </c>
      <c r="F15278" s="4">
        <v>2.6800000000000002E-140</v>
      </c>
      <c r="G15278" s="3">
        <v>1126</v>
      </c>
      <c r="H15278" s="3">
        <v>51</v>
      </c>
      <c r="I15278" s="3">
        <v>637</v>
      </c>
      <c r="J15278" s="3">
        <v>478</v>
      </c>
      <c r="K15278" s="3">
        <v>2370</v>
      </c>
      <c r="L15278" s="3">
        <v>1</v>
      </c>
      <c r="M15278" s="3">
        <v>599</v>
      </c>
    </row>
    <row r="15279" spans="1:13" x14ac:dyDescent="0.25">
      <c r="A15279" s="1" t="str">
        <f>HYPERLINK("http://www.rosaceae.org/Prunus/Prunus_persica/p.persica_gdr_reftransV1_0047598","p.persica_gdr_reftransV1_0047598")</f>
        <v>p.persica_gdr_reftransV1_0047598</v>
      </c>
      <c r="B15279" s="3">
        <v>761</v>
      </c>
      <c r="C15279" s="1" t="str">
        <f>HYPERLINK("http://www.uniprot.org/uniprot/RS202_ARATH","RS202_ARATH")</f>
        <v>RS202_ARATH</v>
      </c>
      <c r="D15279" t="s">
        <v>6615</v>
      </c>
      <c r="E15279" s="3" t="s">
        <v>3</v>
      </c>
      <c r="F15279" s="4">
        <v>3.81E-74</v>
      </c>
      <c r="G15279" s="3">
        <v>581</v>
      </c>
      <c r="H15279" s="3">
        <v>93</v>
      </c>
      <c r="I15279" s="3">
        <v>122</v>
      </c>
      <c r="J15279" s="3">
        <v>165</v>
      </c>
      <c r="K15279" s="3">
        <v>527</v>
      </c>
      <c r="L15279" s="3">
        <v>1</v>
      </c>
      <c r="M15279" s="3">
        <v>122</v>
      </c>
    </row>
    <row r="15280" spans="1:13" x14ac:dyDescent="0.25">
      <c r="A15280" s="1" t="str">
        <f>HYPERLINK("http://www.rosaceae.org/Prunus/Prunus_persica/p.persica_gdr_reftransV1_0047648","p.persica_gdr_reftransV1_0047648")</f>
        <v>p.persica_gdr_reftransV1_0047648</v>
      </c>
      <c r="B15280" s="3">
        <v>2304</v>
      </c>
      <c r="C15280" s="1" t="str">
        <f>HYPERLINK("http://www.uniprot.org/uniprot/CHUP1_ARATH","CHUP1_ARATH")</f>
        <v>CHUP1_ARATH</v>
      </c>
      <c r="D15280" t="s">
        <v>3256</v>
      </c>
      <c r="E15280" s="3" t="s">
        <v>3</v>
      </c>
      <c r="F15280" s="4">
        <v>1.0599999999999999E-77</v>
      </c>
      <c r="G15280" s="3">
        <v>704</v>
      </c>
      <c r="H15280" s="3">
        <v>59</v>
      </c>
      <c r="I15280" s="3">
        <v>240</v>
      </c>
      <c r="J15280" s="3">
        <v>415</v>
      </c>
      <c r="K15280" s="3">
        <v>1116</v>
      </c>
      <c r="L15280" s="3">
        <v>723</v>
      </c>
      <c r="M15280" s="3">
        <v>962</v>
      </c>
    </row>
    <row r="15281" spans="1:13" x14ac:dyDescent="0.25">
      <c r="A15281" s="1" t="str">
        <f>HYPERLINK("http://www.rosaceae.org/Prunus/Prunus_persica/p.persica_gdr_reftransV1_0047698","p.persica_gdr_reftransV1_0047698")</f>
        <v>p.persica_gdr_reftransV1_0047698</v>
      </c>
      <c r="B15281" s="3">
        <v>373</v>
      </c>
      <c r="C15281" s="1" t="str">
        <f>HYPERLINK("http://www.uniprot.org/uniprot/GLR14_ARATH","GLR14_ARATH")</f>
        <v>GLR14_ARATH</v>
      </c>
      <c r="D15281" t="s">
        <v>9836</v>
      </c>
      <c r="E15281" s="3" t="s">
        <v>3</v>
      </c>
      <c r="F15281" s="4">
        <v>6.1699999999999997E-17</v>
      </c>
      <c r="G15281" s="3">
        <v>198</v>
      </c>
      <c r="H15281" s="3">
        <v>55</v>
      </c>
      <c r="I15281" s="3">
        <v>99</v>
      </c>
      <c r="J15281" s="3">
        <v>37</v>
      </c>
      <c r="K15281" s="3">
        <v>333</v>
      </c>
      <c r="L15281" s="3">
        <v>41</v>
      </c>
      <c r="M15281" s="3">
        <v>139</v>
      </c>
    </row>
    <row r="15282" spans="1:13" x14ac:dyDescent="0.25">
      <c r="A15282" s="1" t="str">
        <f>HYPERLINK("http://www.rosaceae.org/Prunus/Prunus_persica/p.persica_gdr_reftransV1_0047748","p.persica_gdr_reftransV1_0047748")</f>
        <v>p.persica_gdr_reftransV1_0047748</v>
      </c>
      <c r="B15282" s="3">
        <v>580</v>
      </c>
      <c r="C15282" s="1" t="str">
        <f>HYPERLINK("http://www.uniprot.org/uniprot/Y4230_ARATH","Y4230_ARATH")</f>
        <v>Y4230_ARATH</v>
      </c>
      <c r="D15282" t="s">
        <v>3999</v>
      </c>
      <c r="E15282" s="3" t="s">
        <v>3</v>
      </c>
      <c r="F15282" s="4">
        <v>1.0800000000000001E-84</v>
      </c>
      <c r="G15282" s="3">
        <v>698</v>
      </c>
      <c r="H15282" s="3">
        <v>72</v>
      </c>
      <c r="I15282" s="3">
        <v>193</v>
      </c>
      <c r="J15282" s="3">
        <v>1</v>
      </c>
      <c r="K15282" s="3">
        <v>579</v>
      </c>
      <c r="L15282" s="3">
        <v>461</v>
      </c>
      <c r="M15282" s="3">
        <v>648</v>
      </c>
    </row>
    <row r="15283" spans="1:13" x14ac:dyDescent="0.25">
      <c r="A15283" s="1" t="str">
        <f>HYPERLINK("http://www.rosaceae.org/Prunus/Prunus_persica/p.persica_gdr_reftransV1_0047798","p.persica_gdr_reftransV1_0047798")</f>
        <v>p.persica_gdr_reftransV1_0047798</v>
      </c>
      <c r="B15283" s="3">
        <v>8234</v>
      </c>
      <c r="C15283" s="1" t="str">
        <f>HYPERLINK("http://www.uniprot.org/uniprot/MDN1_DICDI","MDN1_DICDI")</f>
        <v>MDN1_DICDI</v>
      </c>
      <c r="D15283" t="s">
        <v>406</v>
      </c>
      <c r="E15283" s="3" t="s">
        <v>9</v>
      </c>
      <c r="F15283" s="4">
        <v>3.1800000000000002E-70</v>
      </c>
      <c r="G15283" s="3">
        <v>686</v>
      </c>
      <c r="H15283" s="3">
        <v>45</v>
      </c>
      <c r="I15283" s="3">
        <v>284</v>
      </c>
      <c r="J15283" s="3">
        <v>245</v>
      </c>
      <c r="K15283" s="3">
        <v>1087</v>
      </c>
      <c r="L15283" s="3">
        <v>5621</v>
      </c>
      <c r="M15283" s="3">
        <v>5894</v>
      </c>
    </row>
    <row r="15284" spans="1:13" x14ac:dyDescent="0.25">
      <c r="A15284" s="1" t="str">
        <f>HYPERLINK("http://www.rosaceae.org/Prunus/Prunus_persica/p.persica_gdr_reftransV1_0047898","p.persica_gdr_reftransV1_0047898")</f>
        <v>p.persica_gdr_reftransV1_0047898</v>
      </c>
      <c r="B15284" s="3">
        <v>1535</v>
      </c>
      <c r="C15284" s="1" t="str">
        <f>HYPERLINK("http://www.uniprot.org/uniprot/VIP5_ARATH","VIP5_ARATH")</f>
        <v>VIP5_ARATH</v>
      </c>
      <c r="D15284" t="s">
        <v>5407</v>
      </c>
      <c r="E15284" s="3" t="s">
        <v>3</v>
      </c>
      <c r="F15284" s="4">
        <v>5.0100000000000004E-178</v>
      </c>
      <c r="G15284" s="3">
        <v>1345</v>
      </c>
      <c r="H15284" s="3">
        <v>62</v>
      </c>
      <c r="I15284" s="3">
        <v>464</v>
      </c>
      <c r="J15284" s="3">
        <v>119</v>
      </c>
      <c r="K15284" s="3">
        <v>1492</v>
      </c>
      <c r="L15284" s="3">
        <v>59</v>
      </c>
      <c r="M15284" s="3">
        <v>522</v>
      </c>
    </row>
    <row r="15285" spans="1:13" x14ac:dyDescent="0.25">
      <c r="A15285" s="1" t="str">
        <f>HYPERLINK("http://www.rosaceae.org/Prunus/Prunus_persica/p.persica_gdr_reftransV1_0047948","p.persica_gdr_reftransV1_0047948")</f>
        <v>p.persica_gdr_reftransV1_0047948</v>
      </c>
      <c r="B15285" s="3">
        <v>1398</v>
      </c>
      <c r="C15285" s="1" t="str">
        <f>HYPERLINK("http://www.uniprot.org/uniprot/AUX28_SOYBN","AUX28_SOYBN")</f>
        <v>AUX28_SOYBN</v>
      </c>
      <c r="D15285" t="s">
        <v>2451</v>
      </c>
      <c r="E15285" s="3" t="s">
        <v>307</v>
      </c>
      <c r="F15285" s="4">
        <v>3.86E-99</v>
      </c>
      <c r="G15285" s="3">
        <v>779</v>
      </c>
      <c r="H15285" s="3">
        <v>72</v>
      </c>
      <c r="I15285" s="3">
        <v>257</v>
      </c>
      <c r="J15285" s="3">
        <v>241</v>
      </c>
      <c r="K15285" s="3">
        <v>999</v>
      </c>
      <c r="L15285" s="3">
        <v>1</v>
      </c>
      <c r="M15285" s="3">
        <v>243</v>
      </c>
    </row>
    <row r="15286" spans="1:13" x14ac:dyDescent="0.25">
      <c r="A15286" s="1" t="str">
        <f>HYPERLINK("http://www.rosaceae.org/Prunus/Prunus_persica/p.persica_gdr_reftransV1_0047998","p.persica_gdr_reftransV1_0047998")</f>
        <v>p.persica_gdr_reftransV1_0047998</v>
      </c>
      <c r="B15286" s="3">
        <v>882</v>
      </c>
      <c r="C15286" s="1" t="str">
        <f>HYPERLINK("http://www.uniprot.org/uniprot/CML20_ARATH","CML20_ARATH")</f>
        <v>CML20_ARATH</v>
      </c>
      <c r="D15286" t="s">
        <v>9837</v>
      </c>
      <c r="E15286" s="3" t="s">
        <v>3</v>
      </c>
      <c r="F15286" s="4">
        <v>5.2900000000000001E-96</v>
      </c>
      <c r="G15286" s="3">
        <v>734</v>
      </c>
      <c r="H15286" s="3">
        <v>85</v>
      </c>
      <c r="I15286" s="3">
        <v>168</v>
      </c>
      <c r="J15286" s="3">
        <v>280</v>
      </c>
      <c r="K15286" s="3">
        <v>783</v>
      </c>
      <c r="L15286" s="3">
        <v>1</v>
      </c>
      <c r="M15286" s="3">
        <v>167</v>
      </c>
    </row>
    <row r="15287" spans="1:13" x14ac:dyDescent="0.25">
      <c r="A15287" s="1" t="str">
        <f>HYPERLINK("http://www.rosaceae.org/Prunus/Prunus_persica/p.persica_gdr_reftransV1_0048098","p.persica_gdr_reftransV1_0048098")</f>
        <v>p.persica_gdr_reftransV1_0048098</v>
      </c>
      <c r="B15287" s="3">
        <v>1576</v>
      </c>
      <c r="C15287" s="1" t="str">
        <f>HYPERLINK("http://www.uniprot.org/uniprot/SERK1_ARATH","SERK1_ARATH")</f>
        <v>SERK1_ARATH</v>
      </c>
      <c r="D15287" t="s">
        <v>1676</v>
      </c>
      <c r="E15287" s="3" t="s">
        <v>3</v>
      </c>
      <c r="F15287" s="4">
        <v>2.6099999999999998E-62</v>
      </c>
      <c r="G15287" s="3">
        <v>562</v>
      </c>
      <c r="H15287" s="3">
        <v>63</v>
      </c>
      <c r="I15287" s="3">
        <v>180</v>
      </c>
      <c r="J15287" s="3">
        <v>596</v>
      </c>
      <c r="K15287" s="3">
        <v>1132</v>
      </c>
      <c r="L15287" s="3">
        <v>25</v>
      </c>
      <c r="M15287" s="3">
        <v>204</v>
      </c>
    </row>
    <row r="15288" spans="1:13" x14ac:dyDescent="0.25">
      <c r="A15288" s="1" t="str">
        <f>HYPERLINK("http://www.rosaceae.org/Prunus/Prunus_persica/p.persica_gdr_reftransV1_0048148","p.persica_gdr_reftransV1_0048148")</f>
        <v>p.persica_gdr_reftransV1_0048148</v>
      </c>
      <c r="B15288" s="3">
        <v>961</v>
      </c>
      <c r="C15288" s="1" t="str">
        <f>HYPERLINK("http://www.uniprot.org/uniprot/RGP1_ARATH","RGP1_ARATH")</f>
        <v>RGP1_ARATH</v>
      </c>
      <c r="D15288" t="s">
        <v>9838</v>
      </c>
      <c r="E15288" s="3" t="s">
        <v>3</v>
      </c>
      <c r="F15288" s="4">
        <v>7.8299999999999999E-20</v>
      </c>
      <c r="G15288" s="3">
        <v>227</v>
      </c>
      <c r="H15288" s="3">
        <v>53</v>
      </c>
      <c r="I15288" s="3">
        <v>88</v>
      </c>
      <c r="J15288" s="3">
        <v>451</v>
      </c>
      <c r="K15288" s="3">
        <v>714</v>
      </c>
      <c r="L15288" s="3">
        <v>179</v>
      </c>
      <c r="M15288" s="3">
        <v>261</v>
      </c>
    </row>
    <row r="15289" spans="1:13" x14ac:dyDescent="0.25">
      <c r="A15289" s="1" t="str">
        <f>HYPERLINK("http://www.rosaceae.org/Prunus/Prunus_persica/p.persica_gdr_reftransV1_0048298","p.persica_gdr_reftransV1_0048298")</f>
        <v>p.persica_gdr_reftransV1_0048298</v>
      </c>
      <c r="B15289" s="3">
        <v>1322</v>
      </c>
      <c r="C15289" s="1" t="str">
        <f>HYPERLINK("http://www.uniprot.org/uniprot/SAB_ARATH","SAB_ARATH")</f>
        <v>SAB_ARATH</v>
      </c>
      <c r="D15289" t="s">
        <v>3098</v>
      </c>
      <c r="E15289" s="3" t="s">
        <v>3</v>
      </c>
      <c r="F15289" s="4">
        <v>2.37E-155</v>
      </c>
      <c r="G15289" s="3">
        <v>1269</v>
      </c>
      <c r="H15289" s="3">
        <v>57</v>
      </c>
      <c r="I15289" s="3">
        <v>440</v>
      </c>
      <c r="J15289" s="3">
        <v>2</v>
      </c>
      <c r="K15289" s="3">
        <v>1321</v>
      </c>
      <c r="L15289" s="3">
        <v>86</v>
      </c>
      <c r="M15289" s="3">
        <v>519</v>
      </c>
    </row>
    <row r="15290" spans="1:13" x14ac:dyDescent="0.25">
      <c r="A15290" s="1" t="str">
        <f>HYPERLINK("http://www.rosaceae.org/Prunus/Prunus_persica/p.persica_gdr_reftransV1_0048398","p.persica_gdr_reftransV1_0048398")</f>
        <v>p.persica_gdr_reftransV1_0048398</v>
      </c>
      <c r="B15290" s="3">
        <v>702</v>
      </c>
      <c r="C15290" s="1" t="str">
        <f>HYPERLINK("http://www.uniprot.org/uniprot/YEII_ECOLI","YEII_ECOLI")</f>
        <v>YEII_ECOLI</v>
      </c>
      <c r="D15290" t="s">
        <v>9839</v>
      </c>
      <c r="E15290" s="3" t="s">
        <v>2372</v>
      </c>
      <c r="F15290" s="4">
        <v>4.8200000000000002E-15</v>
      </c>
      <c r="G15290" s="3">
        <v>187</v>
      </c>
      <c r="H15290" s="3">
        <v>28</v>
      </c>
      <c r="I15290" s="3">
        <v>180</v>
      </c>
      <c r="J15290" s="3">
        <v>5</v>
      </c>
      <c r="K15290" s="3">
        <v>544</v>
      </c>
      <c r="L15290" s="3">
        <v>51</v>
      </c>
      <c r="M15290" s="3">
        <v>227</v>
      </c>
    </row>
    <row r="15291" spans="1:13" x14ac:dyDescent="0.25">
      <c r="A15291" s="1" t="str">
        <f>HYPERLINK("http://www.rosaceae.org/Prunus/Prunus_persica/p.persica_gdr_reftransV1_0048498","p.persica_gdr_reftransV1_0048498")</f>
        <v>p.persica_gdr_reftransV1_0048498</v>
      </c>
      <c r="B15291" s="3">
        <v>3133</v>
      </c>
      <c r="C15291" s="1" t="str">
        <f>HYPERLINK("http://www.uniprot.org/uniprot/FZL_ARATH","FZL_ARATH")</f>
        <v>FZL_ARATH</v>
      </c>
      <c r="D15291" t="s">
        <v>9293</v>
      </c>
      <c r="E15291" s="3" t="s">
        <v>3</v>
      </c>
      <c r="F15291" s="4">
        <v>0</v>
      </c>
      <c r="G15291" s="3">
        <v>1684</v>
      </c>
      <c r="H15291" s="3">
        <v>64</v>
      </c>
      <c r="I15291" s="3">
        <v>557</v>
      </c>
      <c r="J15291" s="3">
        <v>1256</v>
      </c>
      <c r="K15291" s="3">
        <v>2917</v>
      </c>
      <c r="L15291" s="3">
        <v>350</v>
      </c>
      <c r="M15291" s="3">
        <v>906</v>
      </c>
    </row>
    <row r="15292" spans="1:13" x14ac:dyDescent="0.25">
      <c r="A15292" s="1" t="str">
        <f>HYPERLINK("http://www.rosaceae.org/Prunus/Prunus_persica/p.persica_gdr_reftransV1_0048548","p.persica_gdr_reftransV1_0048548")</f>
        <v>p.persica_gdr_reftransV1_0048548</v>
      </c>
      <c r="B15292" s="3">
        <v>1065</v>
      </c>
      <c r="C15292" s="1" t="str">
        <f>HYPERLINK("http://www.uniprot.org/uniprot/HAP28_RAT","HAP28_RAT")</f>
        <v>HAP28_RAT</v>
      </c>
      <c r="D15292" t="s">
        <v>190</v>
      </c>
      <c r="E15292" s="3" t="s">
        <v>161</v>
      </c>
      <c r="F15292" s="4">
        <v>5.8700000000000002E-13</v>
      </c>
      <c r="G15292" s="3">
        <v>171</v>
      </c>
      <c r="H15292" s="3">
        <v>58</v>
      </c>
      <c r="I15292" s="3">
        <v>62</v>
      </c>
      <c r="J15292" s="3">
        <v>479</v>
      </c>
      <c r="K15292" s="3">
        <v>664</v>
      </c>
      <c r="L15292" s="3">
        <v>85</v>
      </c>
      <c r="M15292" s="3">
        <v>146</v>
      </c>
    </row>
    <row r="15293" spans="1:13" x14ac:dyDescent="0.25">
      <c r="A15293" s="1" t="str">
        <f>HYPERLINK("http://www.rosaceae.org/Prunus/Prunus_persica/p.persica_gdr_reftransV1_0048598","p.persica_gdr_reftransV1_0048598")</f>
        <v>p.persica_gdr_reftransV1_0048598</v>
      </c>
      <c r="B15293" s="3">
        <v>1780</v>
      </c>
      <c r="C15293" s="1" t="str">
        <f>HYPERLINK("http://www.uniprot.org/uniprot/NAC78_ARATH","NAC78_ARATH")</f>
        <v>NAC78_ARATH</v>
      </c>
      <c r="D15293" t="s">
        <v>6255</v>
      </c>
      <c r="E15293" s="3" t="s">
        <v>3</v>
      </c>
      <c r="F15293" s="4">
        <v>7.4999999999999998E-20</v>
      </c>
      <c r="G15293" s="3">
        <v>240</v>
      </c>
      <c r="H15293" s="3">
        <v>57</v>
      </c>
      <c r="I15293" s="3">
        <v>81</v>
      </c>
      <c r="J15293" s="3">
        <v>3</v>
      </c>
      <c r="K15293" s="3">
        <v>242</v>
      </c>
      <c r="L15293" s="3">
        <v>121</v>
      </c>
      <c r="M15293" s="3">
        <v>198</v>
      </c>
    </row>
    <row r="15294" spans="1:13" x14ac:dyDescent="0.25">
      <c r="A15294" s="1" t="str">
        <f>HYPERLINK("http://www.rosaceae.org/Prunus/Prunus_persica/p.persica_gdr_reftransV1_0048698","p.persica_gdr_reftransV1_0048698")</f>
        <v>p.persica_gdr_reftransV1_0048698</v>
      </c>
      <c r="B15294" s="3">
        <v>1490</v>
      </c>
      <c r="C15294" s="1" t="str">
        <f>HYPERLINK("http://www.uniprot.org/uniprot/CYSK_CITLA","CYSK_CITLA")</f>
        <v>CYSK_CITLA</v>
      </c>
      <c r="D15294" t="s">
        <v>1258</v>
      </c>
      <c r="E15294" s="3" t="s">
        <v>1259</v>
      </c>
      <c r="F15294" s="4">
        <v>0</v>
      </c>
      <c r="G15294" s="3">
        <v>1398</v>
      </c>
      <c r="H15294" s="3">
        <v>89</v>
      </c>
      <c r="I15294" s="3">
        <v>325</v>
      </c>
      <c r="J15294" s="3">
        <v>324</v>
      </c>
      <c r="K15294" s="3">
        <v>1298</v>
      </c>
      <c r="L15294" s="3">
        <v>1</v>
      </c>
      <c r="M15294" s="3">
        <v>325</v>
      </c>
    </row>
    <row r="15295" spans="1:13" x14ac:dyDescent="0.25">
      <c r="A15295" s="1" t="str">
        <f>HYPERLINK("http://www.rosaceae.org/Prunus/Prunus_persica/p.persica_gdr_reftransV1_0048898","p.persica_gdr_reftransV1_0048898")</f>
        <v>p.persica_gdr_reftransV1_0048898</v>
      </c>
      <c r="B15295" s="3">
        <v>1011</v>
      </c>
      <c r="C15295" s="1" t="str">
        <f>HYPERLINK("http://www.uniprot.org/uniprot/HPR3_ARATH","HPR3_ARATH")</f>
        <v>HPR3_ARATH</v>
      </c>
      <c r="D15295" t="s">
        <v>8238</v>
      </c>
      <c r="E15295" s="3" t="s">
        <v>3</v>
      </c>
      <c r="F15295" s="4">
        <v>4.14E-24</v>
      </c>
      <c r="G15295" s="3">
        <v>259</v>
      </c>
      <c r="H15295" s="3">
        <v>46</v>
      </c>
      <c r="I15295" s="3">
        <v>160</v>
      </c>
      <c r="J15295" s="3">
        <v>539</v>
      </c>
      <c r="K15295" s="3">
        <v>1009</v>
      </c>
      <c r="L15295" s="3">
        <v>5</v>
      </c>
      <c r="M15295" s="3">
        <v>160</v>
      </c>
    </row>
    <row r="15296" spans="1:13" x14ac:dyDescent="0.25">
      <c r="A15296" s="1" t="str">
        <f>HYPERLINK("http://www.rosaceae.org/Prunus/Prunus_persica/p.persica_gdr_reftransV1_0048948","p.persica_gdr_reftransV1_0048948")</f>
        <v>p.persica_gdr_reftransV1_0048948</v>
      </c>
      <c r="B15296" s="3">
        <v>3335</v>
      </c>
      <c r="C15296" s="1" t="str">
        <f>HYPERLINK("http://www.uniprot.org/uniprot/C3H22_ORYSJ","C3H22_ORYSJ")</f>
        <v>C3H22_ORYSJ</v>
      </c>
      <c r="D15296" t="s">
        <v>3815</v>
      </c>
      <c r="E15296" s="3" t="s">
        <v>38</v>
      </c>
      <c r="F15296" s="4">
        <v>2.5800000000000002E-101</v>
      </c>
      <c r="G15296" s="3">
        <v>875</v>
      </c>
      <c r="H15296" s="3">
        <v>53</v>
      </c>
      <c r="I15296" s="3">
        <v>425</v>
      </c>
      <c r="J15296" s="3">
        <v>632</v>
      </c>
      <c r="K15296" s="3">
        <v>1840</v>
      </c>
      <c r="L15296" s="3">
        <v>149</v>
      </c>
      <c r="M15296" s="3">
        <v>525</v>
      </c>
    </row>
    <row r="15297" spans="1:13" x14ac:dyDescent="0.25">
      <c r="A15297" s="1" t="str">
        <f>HYPERLINK("http://www.rosaceae.org/Prunus/Prunus_persica/p.persica_gdr_reftransV1_0048998","p.persica_gdr_reftransV1_0048998")</f>
        <v>p.persica_gdr_reftransV1_0048998</v>
      </c>
      <c r="B15297" s="3">
        <v>1021</v>
      </c>
      <c r="C15297" s="1" t="str">
        <f>HYPERLINK("http://www.uniprot.org/uniprot/GPT1_ARATH","GPT1_ARATH")</f>
        <v>GPT1_ARATH</v>
      </c>
      <c r="D15297" t="s">
        <v>9840</v>
      </c>
      <c r="E15297" s="3" t="s">
        <v>3</v>
      </c>
      <c r="F15297" s="4">
        <v>8.8799999999999998E-124</v>
      </c>
      <c r="G15297" s="3">
        <v>944</v>
      </c>
      <c r="H15297" s="3">
        <v>90</v>
      </c>
      <c r="I15297" s="3">
        <v>226</v>
      </c>
      <c r="J15297" s="3">
        <v>1</v>
      </c>
      <c r="K15297" s="3">
        <v>678</v>
      </c>
      <c r="L15297" s="3">
        <v>162</v>
      </c>
      <c r="M15297" s="3">
        <v>387</v>
      </c>
    </row>
    <row r="15298" spans="1:13" x14ac:dyDescent="0.25">
      <c r="A15298" s="1" t="str">
        <f>HYPERLINK("http://www.rosaceae.org/Prunus/Prunus_persica/p.persica_gdr_reftransV1_0049098","p.persica_gdr_reftransV1_0049098")</f>
        <v>p.persica_gdr_reftransV1_0049098</v>
      </c>
      <c r="B15298" s="3">
        <v>589</v>
      </c>
      <c r="C15298" s="1" t="str">
        <f>HYPERLINK("http://www.uniprot.org/uniprot/PP407_ARATH","PP407_ARATH")</f>
        <v>PP407_ARATH</v>
      </c>
      <c r="D15298" t="s">
        <v>724</v>
      </c>
      <c r="E15298" s="3" t="s">
        <v>3</v>
      </c>
      <c r="F15298" s="4">
        <v>1.24E-92</v>
      </c>
      <c r="G15298" s="3">
        <v>747</v>
      </c>
      <c r="H15298" s="3">
        <v>75</v>
      </c>
      <c r="I15298" s="3">
        <v>182</v>
      </c>
      <c r="J15298" s="3">
        <v>9</v>
      </c>
      <c r="K15298" s="3">
        <v>554</v>
      </c>
      <c r="L15298" s="3">
        <v>235</v>
      </c>
      <c r="M15298" s="3">
        <v>416</v>
      </c>
    </row>
    <row r="15299" spans="1:13" x14ac:dyDescent="0.25">
      <c r="A15299" s="1" t="str">
        <f>HYPERLINK("http://www.rosaceae.org/Prunus/Prunus_persica/p.persica_gdr_reftransV1_0049148","p.persica_gdr_reftransV1_0049148")</f>
        <v>p.persica_gdr_reftransV1_0049148</v>
      </c>
      <c r="B15299" s="3">
        <v>2501</v>
      </c>
      <c r="C15299" s="1" t="str">
        <f>HYPERLINK("http://www.uniprot.org/uniprot/LRK71_ARATH","LRK71_ARATH")</f>
        <v>LRK71_ARATH</v>
      </c>
      <c r="D15299" t="s">
        <v>5136</v>
      </c>
      <c r="E15299" s="3" t="s">
        <v>3</v>
      </c>
      <c r="F15299" s="4">
        <v>0</v>
      </c>
      <c r="G15299" s="3">
        <v>2063</v>
      </c>
      <c r="H15299" s="3">
        <v>64</v>
      </c>
      <c r="I15299" s="3">
        <v>657</v>
      </c>
      <c r="J15299" s="3">
        <v>386</v>
      </c>
      <c r="K15299" s="3">
        <v>2332</v>
      </c>
      <c r="L15299" s="3">
        <v>20</v>
      </c>
      <c r="M15299" s="3">
        <v>667</v>
      </c>
    </row>
    <row r="15300" spans="1:13" x14ac:dyDescent="0.25">
      <c r="A15300" s="1" t="str">
        <f>HYPERLINK("http://www.rosaceae.org/Prunus/Prunus_persica/p.persica_gdr_reftransV1_0049198","p.persica_gdr_reftransV1_0049198")</f>
        <v>p.persica_gdr_reftransV1_0049198</v>
      </c>
      <c r="B15300" s="3">
        <v>798</v>
      </c>
      <c r="C15300" s="1" t="str">
        <f>HYPERLINK("http://www.uniprot.org/uniprot/MYO6_ARATH","MYO6_ARATH")</f>
        <v>MYO6_ARATH</v>
      </c>
      <c r="D15300" t="s">
        <v>2872</v>
      </c>
      <c r="E15300" s="3" t="s">
        <v>3</v>
      </c>
      <c r="F15300" s="4">
        <v>1.05E-76</v>
      </c>
      <c r="G15300" s="3">
        <v>661</v>
      </c>
      <c r="H15300" s="3">
        <v>71</v>
      </c>
      <c r="I15300" s="3">
        <v>187</v>
      </c>
      <c r="J15300" s="3">
        <v>230</v>
      </c>
      <c r="K15300" s="3">
        <v>790</v>
      </c>
      <c r="L15300" s="3">
        <v>1320</v>
      </c>
      <c r="M15300" s="3">
        <v>1505</v>
      </c>
    </row>
    <row r="15301" spans="1:13" x14ac:dyDescent="0.25">
      <c r="A15301" s="1" t="str">
        <f>HYPERLINK("http://www.rosaceae.org/Prunus/Prunus_persica/p.persica_gdr_reftransV1_0000049","p.persica_gdr_reftransV1_0000049")</f>
        <v>p.persica_gdr_reftransV1_0000049</v>
      </c>
      <c r="B15301" s="3">
        <v>1959</v>
      </c>
      <c r="C15301" s="1" t="str">
        <f>HYPERLINK("http://www.uniprot.org/uniprot/B3GT2_ARATH","B3GT2_ARATH")</f>
        <v>B3GT2_ARATH</v>
      </c>
      <c r="D15301" t="s">
        <v>3163</v>
      </c>
      <c r="E15301" s="3" t="s">
        <v>3</v>
      </c>
      <c r="F15301" s="4">
        <v>0</v>
      </c>
      <c r="G15301" s="3">
        <v>1409</v>
      </c>
      <c r="H15301" s="3">
        <v>79</v>
      </c>
      <c r="I15301" s="3">
        <v>345</v>
      </c>
      <c r="J15301" s="3">
        <v>923</v>
      </c>
      <c r="K15301" s="3">
        <v>1957</v>
      </c>
      <c r="L15301" s="3">
        <v>1</v>
      </c>
      <c r="M15301" s="3">
        <v>345</v>
      </c>
    </row>
    <row r="15302" spans="1:13" x14ac:dyDescent="0.25">
      <c r="A15302" s="1" t="str">
        <f>HYPERLINK("http://www.rosaceae.org/Prunus/Prunus_persica/p.persica_gdr_reftransV1_0000099","p.persica_gdr_reftransV1_0000099")</f>
        <v>p.persica_gdr_reftransV1_0000099</v>
      </c>
      <c r="B15302" s="3">
        <v>501</v>
      </c>
      <c r="C15302" s="1" t="str">
        <f>HYPERLINK("http://www.uniprot.org/uniprot/TGA21_TOBAC","TGA21_TOBAC")</f>
        <v>TGA21_TOBAC</v>
      </c>
      <c r="D15302" t="s">
        <v>7942</v>
      </c>
      <c r="E15302" s="3" t="s">
        <v>200</v>
      </c>
      <c r="F15302" s="4">
        <v>1.6799999999999999E-31</v>
      </c>
      <c r="G15302" s="3">
        <v>305</v>
      </c>
      <c r="H15302" s="3">
        <v>63</v>
      </c>
      <c r="I15302" s="3">
        <v>104</v>
      </c>
      <c r="J15302" s="3">
        <v>198</v>
      </c>
      <c r="K15302" s="3">
        <v>500</v>
      </c>
      <c r="L15302" s="3">
        <v>350</v>
      </c>
      <c r="M15302" s="3">
        <v>453</v>
      </c>
    </row>
    <row r="15303" spans="1:13" x14ac:dyDescent="0.25">
      <c r="A15303" s="1" t="str">
        <f>HYPERLINK("http://www.rosaceae.org/Prunus/Prunus_persica/p.persica_gdr_reftransV1_0000149","p.persica_gdr_reftransV1_0000149")</f>
        <v>p.persica_gdr_reftransV1_0000149</v>
      </c>
      <c r="B15303" s="3">
        <v>2301</v>
      </c>
      <c r="C15303" s="1" t="str">
        <f>HYPERLINK("http://www.uniprot.org/uniprot/RRPO_OENBE","RRPO_OENBE")</f>
        <v>RRPO_OENBE</v>
      </c>
      <c r="D15303" t="s">
        <v>9841</v>
      </c>
      <c r="E15303" s="3" t="s">
        <v>2775</v>
      </c>
      <c r="F15303" s="4">
        <v>8.1599999999999996E-13</v>
      </c>
      <c r="G15303" s="3">
        <v>174</v>
      </c>
      <c r="H15303" s="3">
        <v>42</v>
      </c>
      <c r="I15303" s="3">
        <v>126</v>
      </c>
      <c r="J15303" s="3">
        <v>2034</v>
      </c>
      <c r="K15303" s="3">
        <v>2300</v>
      </c>
      <c r="L15303" s="3">
        <v>3</v>
      </c>
      <c r="M15303" s="3">
        <v>128</v>
      </c>
    </row>
    <row r="15304" spans="1:13" x14ac:dyDescent="0.25">
      <c r="A15304" s="1" t="str">
        <f>HYPERLINK("http://www.rosaceae.org/Prunus/Prunus_persica/p.persica_gdr_reftransV1_0000399","p.persica_gdr_reftransV1_0000399")</f>
        <v>p.persica_gdr_reftransV1_0000399</v>
      </c>
      <c r="B15304" s="3">
        <v>2214</v>
      </c>
      <c r="C15304" s="1" t="str">
        <f>HYPERLINK("http://www.uniprot.org/uniprot/ABAH1_ARATH","ABAH1_ARATH")</f>
        <v>ABAH1_ARATH</v>
      </c>
      <c r="D15304" t="s">
        <v>8419</v>
      </c>
      <c r="E15304" s="3" t="s">
        <v>3</v>
      </c>
      <c r="F15304" s="4">
        <v>0</v>
      </c>
      <c r="G15304" s="3">
        <v>1939</v>
      </c>
      <c r="H15304" s="3">
        <v>83</v>
      </c>
      <c r="I15304" s="3">
        <v>428</v>
      </c>
      <c r="J15304" s="3">
        <v>333</v>
      </c>
      <c r="K15304" s="3">
        <v>1616</v>
      </c>
      <c r="L15304" s="3">
        <v>45</v>
      </c>
      <c r="M15304" s="3">
        <v>462</v>
      </c>
    </row>
    <row r="15305" spans="1:13" x14ac:dyDescent="0.25">
      <c r="A15305" s="1" t="str">
        <f>HYPERLINK("http://www.rosaceae.org/Prunus/Prunus_persica/p.persica_gdr_reftransV1_0000499","p.persica_gdr_reftransV1_0000499")</f>
        <v>p.persica_gdr_reftransV1_0000499</v>
      </c>
      <c r="B15305" s="3">
        <v>520</v>
      </c>
      <c r="C15305" s="1" t="str">
        <f>HYPERLINK("http://www.uniprot.org/uniprot/Y5614_ARATH","Y5614_ARATH")</f>
        <v>Y5614_ARATH</v>
      </c>
      <c r="D15305" t="s">
        <v>3631</v>
      </c>
      <c r="E15305" s="3" t="s">
        <v>3</v>
      </c>
      <c r="F15305" s="4">
        <v>9.1100000000000003E-38</v>
      </c>
      <c r="G15305" s="3">
        <v>360</v>
      </c>
      <c r="H15305" s="3">
        <v>72</v>
      </c>
      <c r="I15305" s="3">
        <v>92</v>
      </c>
      <c r="J15305" s="3">
        <v>2</v>
      </c>
      <c r="K15305" s="3">
        <v>277</v>
      </c>
      <c r="L15305" s="3">
        <v>893</v>
      </c>
      <c r="M15305" s="3">
        <v>984</v>
      </c>
    </row>
    <row r="15306" spans="1:13" x14ac:dyDescent="0.25">
      <c r="A15306" s="1" t="str">
        <f>HYPERLINK("http://www.rosaceae.org/Prunus/Prunus_persica/p.persica_gdr_reftransV1_0000549","p.persica_gdr_reftransV1_0000549")</f>
        <v>p.persica_gdr_reftransV1_0000549</v>
      </c>
      <c r="B15306" s="3">
        <v>1183</v>
      </c>
      <c r="C15306" s="1" t="str">
        <f>HYPERLINK("http://www.uniprot.org/uniprot/Y1670_ARATH","Y1670_ARATH")</f>
        <v>Y1670_ARATH</v>
      </c>
      <c r="D15306" t="s">
        <v>3135</v>
      </c>
      <c r="E15306" s="3" t="s">
        <v>3</v>
      </c>
      <c r="F15306" s="4">
        <v>1.7199999999999999E-36</v>
      </c>
      <c r="G15306" s="3">
        <v>362</v>
      </c>
      <c r="H15306" s="3">
        <v>37</v>
      </c>
      <c r="I15306" s="3">
        <v>311</v>
      </c>
      <c r="J15306" s="3">
        <v>17</v>
      </c>
      <c r="K15306" s="3">
        <v>877</v>
      </c>
      <c r="L15306" s="3">
        <v>524</v>
      </c>
      <c r="M15306" s="3">
        <v>828</v>
      </c>
    </row>
    <row r="15307" spans="1:13" x14ac:dyDescent="0.25">
      <c r="A15307" s="1" t="str">
        <f>HYPERLINK("http://www.rosaceae.org/Prunus/Prunus_persica/p.persica_gdr_reftransV1_0000699","p.persica_gdr_reftransV1_0000699")</f>
        <v>p.persica_gdr_reftransV1_0000699</v>
      </c>
      <c r="B15307" s="3">
        <v>319</v>
      </c>
      <c r="C15307" s="1" t="str">
        <f>HYPERLINK("http://www.uniprot.org/uniprot/PP431_ARATH","PP431_ARATH")</f>
        <v>PP431_ARATH</v>
      </c>
      <c r="D15307" t="s">
        <v>3469</v>
      </c>
      <c r="E15307" s="3" t="s">
        <v>3</v>
      </c>
      <c r="F15307" s="4">
        <v>2.1000000000000001E-26</v>
      </c>
      <c r="G15307" s="3">
        <v>267</v>
      </c>
      <c r="H15307" s="3">
        <v>51</v>
      </c>
      <c r="I15307" s="3">
        <v>105</v>
      </c>
      <c r="J15307" s="3">
        <v>4</v>
      </c>
      <c r="K15307" s="3">
        <v>318</v>
      </c>
      <c r="L15307" s="3">
        <v>8</v>
      </c>
      <c r="M15307" s="3">
        <v>100</v>
      </c>
    </row>
    <row r="15308" spans="1:13" x14ac:dyDescent="0.25">
      <c r="A15308" s="1" t="str">
        <f>HYPERLINK("http://www.rosaceae.org/Prunus/Prunus_persica/p.persica_gdr_reftransV1_0000849","p.persica_gdr_reftransV1_0000849")</f>
        <v>p.persica_gdr_reftransV1_0000849</v>
      </c>
      <c r="B15308" s="3">
        <v>807</v>
      </c>
      <c r="C15308" s="1" t="str">
        <f>HYPERLINK("http://www.uniprot.org/uniprot/CDF2_ARATH","CDF2_ARATH")</f>
        <v>CDF2_ARATH</v>
      </c>
      <c r="D15308" t="s">
        <v>5959</v>
      </c>
      <c r="E15308" s="3" t="s">
        <v>3</v>
      </c>
      <c r="F15308" s="4">
        <v>6.8100000000000003E-11</v>
      </c>
      <c r="G15308" s="3">
        <v>158</v>
      </c>
      <c r="H15308" s="3">
        <v>46</v>
      </c>
      <c r="I15308" s="3">
        <v>83</v>
      </c>
      <c r="J15308" s="3">
        <v>485</v>
      </c>
      <c r="K15308" s="3">
        <v>691</v>
      </c>
      <c r="L15308" s="3">
        <v>346</v>
      </c>
      <c r="M15308" s="3">
        <v>428</v>
      </c>
    </row>
    <row r="15309" spans="1:13" x14ac:dyDescent="0.25">
      <c r="A15309" s="1" t="str">
        <f>HYPERLINK("http://www.rosaceae.org/Prunus/Prunus_persica/p.persica_gdr_reftransV1_0000899","p.persica_gdr_reftransV1_0000899")</f>
        <v>p.persica_gdr_reftransV1_0000899</v>
      </c>
      <c r="B15309" s="3">
        <v>1874</v>
      </c>
      <c r="C15309" s="1" t="str">
        <f>HYPERLINK("http://www.uniprot.org/uniprot/PP219_ARATH","PP219_ARATH")</f>
        <v>PP219_ARATH</v>
      </c>
      <c r="D15309" t="s">
        <v>1645</v>
      </c>
      <c r="E15309" s="3" t="s">
        <v>3</v>
      </c>
      <c r="F15309" s="4">
        <v>0</v>
      </c>
      <c r="G15309" s="3">
        <v>1592</v>
      </c>
      <c r="H15309" s="3">
        <v>55</v>
      </c>
      <c r="I15309" s="3">
        <v>514</v>
      </c>
      <c r="J15309" s="3">
        <v>177</v>
      </c>
      <c r="K15309" s="3">
        <v>1718</v>
      </c>
      <c r="L15309" s="3">
        <v>41</v>
      </c>
      <c r="M15309" s="3">
        <v>554</v>
      </c>
    </row>
    <row r="15310" spans="1:13" x14ac:dyDescent="0.25">
      <c r="A15310" s="1" t="str">
        <f>HYPERLINK("http://www.rosaceae.org/Prunus/Prunus_persica/p.persica_gdr_reftransV1_0000949","p.persica_gdr_reftransV1_0000949")</f>
        <v>p.persica_gdr_reftransV1_0000949</v>
      </c>
      <c r="B15310" s="3">
        <v>517</v>
      </c>
      <c r="C15310" s="1" t="str">
        <f>HYPERLINK("http://www.uniprot.org/uniprot/CAF1K_ARATH","CAF1K_ARATH")</f>
        <v>CAF1K_ARATH</v>
      </c>
      <c r="D15310" t="s">
        <v>6482</v>
      </c>
      <c r="E15310" s="3" t="s">
        <v>3</v>
      </c>
      <c r="F15310" s="4">
        <v>3.0199999999999998E-39</v>
      </c>
      <c r="G15310" s="3">
        <v>353</v>
      </c>
      <c r="H15310" s="3">
        <v>60</v>
      </c>
      <c r="I15310" s="3">
        <v>117</v>
      </c>
      <c r="J15310" s="3">
        <v>3</v>
      </c>
      <c r="K15310" s="3">
        <v>344</v>
      </c>
      <c r="L15310" s="3">
        <v>3</v>
      </c>
      <c r="M15310" s="3">
        <v>119</v>
      </c>
    </row>
    <row r="15311" spans="1:13" x14ac:dyDescent="0.25">
      <c r="A15311" s="1" t="str">
        <f>HYPERLINK("http://www.rosaceae.org/Prunus/Prunus_persica/p.persica_gdr_reftransV1_0000999","p.persica_gdr_reftransV1_0000999")</f>
        <v>p.persica_gdr_reftransV1_0000999</v>
      </c>
      <c r="B15311" s="3">
        <v>375</v>
      </c>
      <c r="C15311" s="1" t="str">
        <f>HYPERLINK("http://www.uniprot.org/uniprot/XTH22_ARATH","XTH22_ARATH")</f>
        <v>XTH22_ARATH</v>
      </c>
      <c r="D15311" t="s">
        <v>2156</v>
      </c>
      <c r="E15311" s="3" t="s">
        <v>3</v>
      </c>
      <c r="F15311" s="4">
        <v>7.5600000000000004E-41</v>
      </c>
      <c r="G15311" s="3">
        <v>359</v>
      </c>
      <c r="H15311" s="3">
        <v>63</v>
      </c>
      <c r="I15311" s="3">
        <v>109</v>
      </c>
      <c r="J15311" s="3">
        <v>1</v>
      </c>
      <c r="K15311" s="3">
        <v>327</v>
      </c>
      <c r="L15311" s="3">
        <v>175</v>
      </c>
      <c r="M15311" s="3">
        <v>281</v>
      </c>
    </row>
    <row r="15312" spans="1:13" x14ac:dyDescent="0.25">
      <c r="A15312" s="1" t="str">
        <f>HYPERLINK("http://www.rosaceae.org/Prunus/Prunus_persica/p.persica_gdr_reftransV1_0001049","p.persica_gdr_reftransV1_0001049")</f>
        <v>p.persica_gdr_reftransV1_0001049</v>
      </c>
      <c r="B15312" s="3">
        <v>414</v>
      </c>
      <c r="C15312" s="1" t="str">
        <f>HYPERLINK("http://www.uniprot.org/uniprot/SCP20_ARATH","SCP20_ARATH")</f>
        <v>SCP20_ARATH</v>
      </c>
      <c r="D15312" t="s">
        <v>1548</v>
      </c>
      <c r="E15312" s="3" t="s">
        <v>3</v>
      </c>
      <c r="F15312" s="4">
        <v>3.3300000000000001E-39</v>
      </c>
      <c r="G15312" s="3">
        <v>358</v>
      </c>
      <c r="H15312" s="3">
        <v>66</v>
      </c>
      <c r="I15312" s="3">
        <v>98</v>
      </c>
      <c r="J15312" s="3">
        <v>14</v>
      </c>
      <c r="K15312" s="3">
        <v>298</v>
      </c>
      <c r="L15312" s="3">
        <v>8</v>
      </c>
      <c r="M15312" s="3">
        <v>105</v>
      </c>
    </row>
    <row r="15313" spans="1:13" x14ac:dyDescent="0.25">
      <c r="A15313" s="1" t="str">
        <f>HYPERLINK("http://www.rosaceae.org/Prunus/Prunus_persica/p.persica_gdr_reftransV1_0001149","p.persica_gdr_reftransV1_0001149")</f>
        <v>p.persica_gdr_reftransV1_0001149</v>
      </c>
      <c r="B15313" s="3">
        <v>1468</v>
      </c>
      <c r="C15313" s="1" t="str">
        <f>HYPERLINK("http://www.uniprot.org/uniprot/SYF2_XENTR","SYF2_XENTR")</f>
        <v>SYF2_XENTR</v>
      </c>
      <c r="D15313" t="s">
        <v>9842</v>
      </c>
      <c r="E15313" s="3" t="s">
        <v>173</v>
      </c>
      <c r="F15313" s="4">
        <v>8.1600000000000001E-20</v>
      </c>
      <c r="G15313" s="3">
        <v>229</v>
      </c>
      <c r="H15313" s="3">
        <v>37</v>
      </c>
      <c r="I15313" s="3">
        <v>219</v>
      </c>
      <c r="J15313" s="3">
        <v>480</v>
      </c>
      <c r="K15313" s="3">
        <v>1115</v>
      </c>
      <c r="L15313" s="3">
        <v>38</v>
      </c>
      <c r="M15313" s="3">
        <v>249</v>
      </c>
    </row>
    <row r="15314" spans="1:13" x14ac:dyDescent="0.25">
      <c r="A15314" s="1" t="str">
        <f>HYPERLINK("http://www.rosaceae.org/Prunus/Prunus_persica/p.persica_gdr_reftransV1_0001199","p.persica_gdr_reftransV1_0001199")</f>
        <v>p.persica_gdr_reftransV1_0001199</v>
      </c>
      <c r="B15314" s="3">
        <v>858</v>
      </c>
      <c r="C15314" s="1" t="str">
        <f>HYPERLINK("http://www.uniprot.org/uniprot/BGL12_ORYSJ","BGL12_ORYSJ")</f>
        <v>BGL12_ORYSJ</v>
      </c>
      <c r="D15314" t="s">
        <v>8371</v>
      </c>
      <c r="E15314" s="3" t="s">
        <v>38</v>
      </c>
      <c r="F15314" s="4">
        <v>2.5900000000000001E-45</v>
      </c>
      <c r="G15314" s="3">
        <v>417</v>
      </c>
      <c r="H15314" s="3">
        <v>66</v>
      </c>
      <c r="I15314" s="3">
        <v>122</v>
      </c>
      <c r="J15314" s="3">
        <v>2</v>
      </c>
      <c r="K15314" s="3">
        <v>367</v>
      </c>
      <c r="L15314" s="3">
        <v>385</v>
      </c>
      <c r="M15314" s="3">
        <v>504</v>
      </c>
    </row>
    <row r="15315" spans="1:13" x14ac:dyDescent="0.25">
      <c r="A15315" s="1" t="str">
        <f>HYPERLINK("http://www.rosaceae.org/Prunus/Prunus_persica/p.persica_gdr_reftransV1_0001249","p.persica_gdr_reftransV1_0001249")</f>
        <v>p.persica_gdr_reftransV1_0001249</v>
      </c>
      <c r="B15315" s="3">
        <v>960</v>
      </c>
      <c r="C15315" s="1" t="str">
        <f>HYPERLINK("http://www.uniprot.org/uniprot/MTND2_VITVI","MTND2_VITVI")</f>
        <v>MTND2_VITVI</v>
      </c>
      <c r="D15315" t="s">
        <v>4944</v>
      </c>
      <c r="E15315" s="3" t="s">
        <v>362</v>
      </c>
      <c r="F15315" s="4">
        <v>4.3199999999999996E-124</v>
      </c>
      <c r="G15315" s="3">
        <v>925</v>
      </c>
      <c r="H15315" s="3">
        <v>87</v>
      </c>
      <c r="I15315" s="3">
        <v>193</v>
      </c>
      <c r="J15315" s="3">
        <v>291</v>
      </c>
      <c r="K15315" s="3">
        <v>869</v>
      </c>
      <c r="L15315" s="3">
        <v>1</v>
      </c>
      <c r="M15315" s="3">
        <v>193</v>
      </c>
    </row>
    <row r="15316" spans="1:13" x14ac:dyDescent="0.25">
      <c r="A15316" s="1" t="str">
        <f>HYPERLINK("http://www.rosaceae.org/Prunus/Prunus_persica/p.persica_gdr_reftransV1_0001299","p.persica_gdr_reftransV1_0001299")</f>
        <v>p.persica_gdr_reftransV1_0001299</v>
      </c>
      <c r="B15316" s="3">
        <v>1248</v>
      </c>
      <c r="C15316" s="1" t="str">
        <f>HYPERLINK("http://www.uniprot.org/uniprot/MT810_ARATH","MT810_ARATH")</f>
        <v>MT810_ARATH</v>
      </c>
      <c r="D15316" t="s">
        <v>9684</v>
      </c>
      <c r="E15316" s="3" t="s">
        <v>3</v>
      </c>
      <c r="F15316" s="4">
        <v>4.1099999999999997E-65</v>
      </c>
      <c r="G15316" s="3">
        <v>539</v>
      </c>
      <c r="H15316" s="3">
        <v>47</v>
      </c>
      <c r="I15316" s="3">
        <v>233</v>
      </c>
      <c r="J15316" s="3">
        <v>90</v>
      </c>
      <c r="K15316" s="3">
        <v>776</v>
      </c>
      <c r="L15316" s="3">
        <v>27</v>
      </c>
      <c r="M15316" s="3">
        <v>259</v>
      </c>
    </row>
    <row r="15317" spans="1:13" x14ac:dyDescent="0.25">
      <c r="A15317" s="1" t="str">
        <f>HYPERLINK("http://www.rosaceae.org/Prunus/Prunus_persica/p.persica_gdr_reftransV1_0001499","p.persica_gdr_reftransV1_0001499")</f>
        <v>p.persica_gdr_reftransV1_0001499</v>
      </c>
      <c r="B15317" s="3">
        <v>1355</v>
      </c>
      <c r="C15317" s="1" t="str">
        <f>HYPERLINK("http://www.uniprot.org/uniprot/EIF3I_ARATH","EIF3I_ARATH")</f>
        <v>EIF3I_ARATH</v>
      </c>
      <c r="D15317" t="s">
        <v>9843</v>
      </c>
      <c r="E15317" s="3" t="s">
        <v>3</v>
      </c>
      <c r="F15317" s="4">
        <v>4.1600000000000002E-143</v>
      </c>
      <c r="G15317" s="3">
        <v>869</v>
      </c>
      <c r="H15317" s="3">
        <v>77</v>
      </c>
      <c r="I15317" s="3">
        <v>204</v>
      </c>
      <c r="J15317" s="3">
        <v>615</v>
      </c>
      <c r="K15317" s="3">
        <v>1220</v>
      </c>
      <c r="L15317" s="3">
        <v>1</v>
      </c>
      <c r="M15317" s="3">
        <v>204</v>
      </c>
    </row>
    <row r="15318" spans="1:13" x14ac:dyDescent="0.25">
      <c r="A15318" s="1" t="str">
        <f>HYPERLINK("http://www.rosaceae.org/Prunus/Prunus_persica/p.persica_gdr_reftransV1_0001549","p.persica_gdr_reftransV1_0001549")</f>
        <v>p.persica_gdr_reftransV1_0001549</v>
      </c>
      <c r="B15318" s="3">
        <v>1105</v>
      </c>
      <c r="C15318" s="1" t="str">
        <f>HYPERLINK("http://www.uniprot.org/uniprot/QAY_NEUAF","QAY_NEUAF")</f>
        <v>QAY_NEUAF</v>
      </c>
      <c r="D15318" t="s">
        <v>9844</v>
      </c>
      <c r="E15318" s="3" t="s">
        <v>9845</v>
      </c>
      <c r="F15318" s="4">
        <v>1.99E-56</v>
      </c>
      <c r="G15318" s="3">
        <v>504</v>
      </c>
      <c r="H15318" s="3">
        <v>34</v>
      </c>
      <c r="I15318" s="3">
        <v>340</v>
      </c>
      <c r="J15318" s="3">
        <v>16</v>
      </c>
      <c r="K15318" s="3">
        <v>996</v>
      </c>
      <c r="L15318" s="3">
        <v>194</v>
      </c>
      <c r="M15318" s="3">
        <v>526</v>
      </c>
    </row>
    <row r="15319" spans="1:13" x14ac:dyDescent="0.25">
      <c r="A15319" s="1" t="str">
        <f>HYPERLINK("http://www.rosaceae.org/Prunus/Prunus_persica/p.persica_gdr_reftransV1_0001599","p.persica_gdr_reftransV1_0001599")</f>
        <v>p.persica_gdr_reftransV1_0001599</v>
      </c>
      <c r="B15319" s="3">
        <v>1073</v>
      </c>
      <c r="C15319" s="1" t="str">
        <f>HYPERLINK("http://www.uniprot.org/uniprot/PER5_VITVI","PER5_VITVI")</f>
        <v>PER5_VITVI</v>
      </c>
      <c r="D15319" t="s">
        <v>9846</v>
      </c>
      <c r="E15319" s="3" t="s">
        <v>362</v>
      </c>
      <c r="F15319" s="4">
        <v>4.4200000000000001E-114</v>
      </c>
      <c r="G15319" s="3">
        <v>876</v>
      </c>
      <c r="H15319" s="3">
        <v>59</v>
      </c>
      <c r="I15319" s="3">
        <v>303</v>
      </c>
      <c r="J15319" s="3">
        <v>151</v>
      </c>
      <c r="K15319" s="3">
        <v>1059</v>
      </c>
      <c r="L15319" s="3">
        <v>26</v>
      </c>
      <c r="M15319" s="3">
        <v>328</v>
      </c>
    </row>
    <row r="15320" spans="1:13" x14ac:dyDescent="0.25">
      <c r="A15320" s="1" t="str">
        <f>HYPERLINK("http://www.rosaceae.org/Prunus/Prunus_persica/p.persica_gdr_reftransV1_0001649","p.persica_gdr_reftransV1_0001649")</f>
        <v>p.persica_gdr_reftransV1_0001649</v>
      </c>
      <c r="B15320" s="3">
        <v>972</v>
      </c>
      <c r="C15320" s="1" t="str">
        <f>HYPERLINK("http://www.uniprot.org/uniprot/PMA1_NEUCR","PMA1_NEUCR")</f>
        <v>PMA1_NEUCR</v>
      </c>
      <c r="D15320" t="s">
        <v>6061</v>
      </c>
      <c r="E15320" s="3" t="s">
        <v>435</v>
      </c>
      <c r="F15320" s="4">
        <v>1.1099999999999999E-160</v>
      </c>
      <c r="G15320" s="3">
        <v>1233</v>
      </c>
      <c r="H15320" s="3">
        <v>89</v>
      </c>
      <c r="I15320" s="3">
        <v>261</v>
      </c>
      <c r="J15320" s="3">
        <v>4</v>
      </c>
      <c r="K15320" s="3">
        <v>786</v>
      </c>
      <c r="L15320" s="3">
        <v>662</v>
      </c>
      <c r="M15320" s="3">
        <v>920</v>
      </c>
    </row>
    <row r="15321" spans="1:13" x14ac:dyDescent="0.25">
      <c r="A15321" s="1" t="str">
        <f>HYPERLINK("http://www.rosaceae.org/Prunus/Prunus_persica/p.persica_gdr_reftransV1_0001899","p.persica_gdr_reftransV1_0001899")</f>
        <v>p.persica_gdr_reftransV1_0001899</v>
      </c>
      <c r="B15321" s="3">
        <v>4550</v>
      </c>
      <c r="C15321" s="1" t="str">
        <f>HYPERLINK("http://www.uniprot.org/uniprot/FB92_ARATH","FB92_ARATH")</f>
        <v>FB92_ARATH</v>
      </c>
      <c r="D15321" t="s">
        <v>9847</v>
      </c>
      <c r="E15321" s="3" t="s">
        <v>3</v>
      </c>
      <c r="F15321" s="4">
        <v>0</v>
      </c>
      <c r="G15321" s="3">
        <v>2297</v>
      </c>
      <c r="H15321" s="3">
        <v>60</v>
      </c>
      <c r="I15321" s="3">
        <v>736</v>
      </c>
      <c r="J15321" s="3">
        <v>830</v>
      </c>
      <c r="K15321" s="3">
        <v>3010</v>
      </c>
      <c r="L15321" s="3">
        <v>148</v>
      </c>
      <c r="M15321" s="3">
        <v>841</v>
      </c>
    </row>
    <row r="15322" spans="1:13" x14ac:dyDescent="0.25">
      <c r="A15322" s="1" t="str">
        <f>HYPERLINK("http://www.rosaceae.org/Prunus/Prunus_persica/p.persica_gdr_reftransV1_0002099","p.persica_gdr_reftransV1_0002099")</f>
        <v>p.persica_gdr_reftransV1_0002099</v>
      </c>
      <c r="B15322" s="3">
        <v>1382</v>
      </c>
      <c r="C15322" s="1" t="str">
        <f>HYPERLINK("http://www.uniprot.org/uniprot/CCR1_ARATH","CCR1_ARATH")</f>
        <v>CCR1_ARATH</v>
      </c>
      <c r="D15322" t="s">
        <v>1195</v>
      </c>
      <c r="E15322" s="3" t="s">
        <v>3</v>
      </c>
      <c r="F15322" s="4">
        <v>4.7E-71</v>
      </c>
      <c r="G15322" s="3">
        <v>599</v>
      </c>
      <c r="H15322" s="3">
        <v>44</v>
      </c>
      <c r="I15322" s="3">
        <v>326</v>
      </c>
      <c r="J15322" s="3">
        <v>249</v>
      </c>
      <c r="K15322" s="3">
        <v>1223</v>
      </c>
      <c r="L15322" s="3">
        <v>4</v>
      </c>
      <c r="M15322" s="3">
        <v>323</v>
      </c>
    </row>
    <row r="15323" spans="1:13" x14ac:dyDescent="0.25">
      <c r="A15323" s="1" t="str">
        <f>HYPERLINK("http://www.rosaceae.org/Prunus/Prunus_persica/p.persica_gdr_reftransV1_0002199","p.persica_gdr_reftransV1_0002199")</f>
        <v>p.persica_gdr_reftransV1_0002199</v>
      </c>
      <c r="B15323" s="3">
        <v>1900</v>
      </c>
      <c r="C15323" s="1" t="str">
        <f>HYPERLINK("http://www.uniprot.org/uniprot/PTBP3_ARATH","PTBP3_ARATH")</f>
        <v>PTBP3_ARATH</v>
      </c>
      <c r="D15323" t="s">
        <v>5572</v>
      </c>
      <c r="E15323" s="3" t="s">
        <v>3</v>
      </c>
      <c r="F15323" s="4">
        <v>0</v>
      </c>
      <c r="G15323" s="3">
        <v>1923</v>
      </c>
      <c r="H15323" s="3">
        <v>83</v>
      </c>
      <c r="I15323" s="3">
        <v>444</v>
      </c>
      <c r="J15323" s="3">
        <v>442</v>
      </c>
      <c r="K15323" s="3">
        <v>1773</v>
      </c>
      <c r="L15323" s="3">
        <v>1</v>
      </c>
      <c r="M15323" s="3">
        <v>432</v>
      </c>
    </row>
    <row r="15324" spans="1:13" x14ac:dyDescent="0.25">
      <c r="A15324" s="1" t="str">
        <f>HYPERLINK("http://www.rosaceae.org/Prunus/Prunus_persica/p.persica_gdr_reftransV1_0002349","p.persica_gdr_reftransV1_0002349")</f>
        <v>p.persica_gdr_reftransV1_0002349</v>
      </c>
      <c r="B15324" s="3">
        <v>3762</v>
      </c>
      <c r="C15324" s="1" t="str">
        <f>HYPERLINK("http://www.uniprot.org/uniprot/MOCOS_SOLLC","MOCOS_SOLLC")</f>
        <v>MOCOS_SOLLC</v>
      </c>
      <c r="D15324" t="s">
        <v>7120</v>
      </c>
      <c r="E15324" s="3" t="s">
        <v>64</v>
      </c>
      <c r="F15324" s="4">
        <v>9.7300000000000003E-16</v>
      </c>
      <c r="G15324" s="3">
        <v>213</v>
      </c>
      <c r="H15324" s="3">
        <v>26</v>
      </c>
      <c r="I15324" s="3">
        <v>318</v>
      </c>
      <c r="J15324" s="3">
        <v>2048</v>
      </c>
      <c r="K15324" s="3">
        <v>2896</v>
      </c>
      <c r="L15324" s="3">
        <v>8</v>
      </c>
      <c r="M15324" s="3">
        <v>308</v>
      </c>
    </row>
    <row r="15325" spans="1:13" x14ac:dyDescent="0.25">
      <c r="A15325" s="1" t="str">
        <f>HYPERLINK("http://www.rosaceae.org/Prunus/Prunus_persica/p.persica_gdr_reftransV1_0002499","p.persica_gdr_reftransV1_0002499")</f>
        <v>p.persica_gdr_reftransV1_0002499</v>
      </c>
      <c r="B15325" s="3">
        <v>2740</v>
      </c>
      <c r="C15325" s="1" t="str">
        <f>HYPERLINK("http://www.uniprot.org/uniprot/SBP65_SOYBN","SBP65_SOYBN")</f>
        <v>SBP65_SOYBN</v>
      </c>
      <c r="D15325" t="s">
        <v>9848</v>
      </c>
      <c r="E15325" s="3" t="s">
        <v>307</v>
      </c>
      <c r="F15325" s="4">
        <v>2.4899999999999998E-32</v>
      </c>
      <c r="G15325" s="3">
        <v>346</v>
      </c>
      <c r="H15325" s="3">
        <v>45</v>
      </c>
      <c r="I15325" s="3">
        <v>243</v>
      </c>
      <c r="J15325" s="3">
        <v>1111</v>
      </c>
      <c r="K15325" s="3">
        <v>1770</v>
      </c>
      <c r="L15325" s="3">
        <v>221</v>
      </c>
      <c r="M15325" s="3">
        <v>456</v>
      </c>
    </row>
    <row r="15326" spans="1:13" x14ac:dyDescent="0.25">
      <c r="A15326" s="1" t="str">
        <f>HYPERLINK("http://www.rosaceae.org/Prunus/Prunus_persica/p.persica_gdr_reftransV1_0002599","p.persica_gdr_reftransV1_0002599")</f>
        <v>p.persica_gdr_reftransV1_0002599</v>
      </c>
      <c r="B15326" s="3">
        <v>617</v>
      </c>
      <c r="C15326" s="1" t="str">
        <f>HYPERLINK("http://www.uniprot.org/uniprot/NFYB5_ARATH","NFYB5_ARATH")</f>
        <v>NFYB5_ARATH</v>
      </c>
      <c r="D15326" t="s">
        <v>9849</v>
      </c>
      <c r="E15326" s="3" t="s">
        <v>3</v>
      </c>
      <c r="F15326" s="4">
        <v>1.5100000000000001E-63</v>
      </c>
      <c r="G15326" s="3">
        <v>509</v>
      </c>
      <c r="H15326" s="3">
        <v>73</v>
      </c>
      <c r="I15326" s="3">
        <v>135</v>
      </c>
      <c r="J15326" s="3">
        <v>3</v>
      </c>
      <c r="K15326" s="3">
        <v>374</v>
      </c>
      <c r="L15326" s="3">
        <v>18</v>
      </c>
      <c r="M15326" s="3">
        <v>152</v>
      </c>
    </row>
    <row r="15327" spans="1:13" x14ac:dyDescent="0.25">
      <c r="A15327" s="1" t="str">
        <f>HYPERLINK("http://www.rosaceae.org/Prunus/Prunus_persica/p.persica_gdr_reftransV1_0002749","p.persica_gdr_reftransV1_0002749")</f>
        <v>p.persica_gdr_reftransV1_0002749</v>
      </c>
      <c r="B15327" s="3">
        <v>1849</v>
      </c>
      <c r="C15327" s="1" t="str">
        <f>HYPERLINK("http://www.uniprot.org/uniprot/RPD6A_ARATH","RPD6A_ARATH")</f>
        <v>RPD6A_ARATH</v>
      </c>
      <c r="D15327" t="s">
        <v>3603</v>
      </c>
      <c r="E15327" s="3" t="s">
        <v>3</v>
      </c>
      <c r="F15327" s="4">
        <v>7.3899999999999996E-33</v>
      </c>
      <c r="G15327" s="3">
        <v>320</v>
      </c>
      <c r="H15327" s="3">
        <v>69</v>
      </c>
      <c r="I15327" s="3">
        <v>132</v>
      </c>
      <c r="J15327" s="3">
        <v>2</v>
      </c>
      <c r="K15327" s="3">
        <v>397</v>
      </c>
      <c r="L15327" s="3">
        <v>1</v>
      </c>
      <c r="M15327" s="3">
        <v>110</v>
      </c>
    </row>
    <row r="15328" spans="1:13" x14ac:dyDescent="0.25">
      <c r="A15328" s="1" t="str">
        <f>HYPERLINK("http://www.rosaceae.org/Prunus/Prunus_persica/p.persica_gdr_reftransV1_0002799","p.persica_gdr_reftransV1_0002799")</f>
        <v>p.persica_gdr_reftransV1_0002799</v>
      </c>
      <c r="B15328" s="3">
        <v>1303</v>
      </c>
      <c r="C15328" s="1" t="str">
        <f>HYPERLINK("http://www.uniprot.org/uniprot/EFTU2_SOYBN","EFTU2_SOYBN")</f>
        <v>EFTU2_SOYBN</v>
      </c>
      <c r="D15328" t="s">
        <v>6203</v>
      </c>
      <c r="E15328" s="3" t="s">
        <v>307</v>
      </c>
      <c r="F15328" s="4">
        <v>1.92E-175</v>
      </c>
      <c r="G15328" s="3">
        <v>1305</v>
      </c>
      <c r="H15328" s="3">
        <v>89</v>
      </c>
      <c r="I15328" s="3">
        <v>324</v>
      </c>
      <c r="J15328" s="3">
        <v>3</v>
      </c>
      <c r="K15328" s="3">
        <v>974</v>
      </c>
      <c r="L15328" s="3">
        <v>40</v>
      </c>
      <c r="M15328" s="3">
        <v>359</v>
      </c>
    </row>
    <row r="15329" spans="1:13" x14ac:dyDescent="0.25">
      <c r="A15329" s="1" t="str">
        <f>HYPERLINK("http://www.rosaceae.org/Prunus/Prunus_persica/p.persica_gdr_reftransV1_0002899","p.persica_gdr_reftransV1_0002899")</f>
        <v>p.persica_gdr_reftransV1_0002899</v>
      </c>
      <c r="B15329" s="3">
        <v>1279</v>
      </c>
      <c r="C15329" s="1" t="str">
        <f>HYPERLINK("http://www.uniprot.org/uniprot/LOFG2_ARATH","LOFG2_ARATH")</f>
        <v>LOFG2_ARATH</v>
      </c>
      <c r="D15329" t="s">
        <v>4025</v>
      </c>
      <c r="E15329" s="3" t="s">
        <v>3</v>
      </c>
      <c r="F15329" s="4">
        <v>2.08E-117</v>
      </c>
      <c r="G15329" s="3">
        <v>910</v>
      </c>
      <c r="H15329" s="3">
        <v>69</v>
      </c>
      <c r="I15329" s="3">
        <v>249</v>
      </c>
      <c r="J15329" s="3">
        <v>410</v>
      </c>
      <c r="K15329" s="3">
        <v>1141</v>
      </c>
      <c r="L15329" s="3">
        <v>123</v>
      </c>
      <c r="M15329" s="3">
        <v>370</v>
      </c>
    </row>
    <row r="15330" spans="1:13" x14ac:dyDescent="0.25">
      <c r="A15330" s="1" t="str">
        <f>HYPERLINK("http://www.rosaceae.org/Prunus/Prunus_persica/p.persica_gdr_reftransV1_0002999","p.persica_gdr_reftransV1_0002999")</f>
        <v>p.persica_gdr_reftransV1_0002999</v>
      </c>
      <c r="B15330" s="3">
        <v>407</v>
      </c>
      <c r="C15330" s="1" t="str">
        <f>HYPERLINK("http://www.uniprot.org/uniprot/RPP1_ARATH","RPP1_ARATH")</f>
        <v>RPP1_ARATH</v>
      </c>
      <c r="D15330" t="s">
        <v>1513</v>
      </c>
      <c r="E15330" s="3" t="s">
        <v>3</v>
      </c>
      <c r="F15330" s="4">
        <v>1.2599999999999999E-24</v>
      </c>
      <c r="G15330" s="3">
        <v>258</v>
      </c>
      <c r="H15330" s="3">
        <v>43</v>
      </c>
      <c r="I15330" s="3">
        <v>132</v>
      </c>
      <c r="J15330" s="3">
        <v>12</v>
      </c>
      <c r="K15330" s="3">
        <v>407</v>
      </c>
      <c r="L15330" s="3">
        <v>402</v>
      </c>
      <c r="M15330" s="3">
        <v>532</v>
      </c>
    </row>
    <row r="15331" spans="1:13" x14ac:dyDescent="0.25">
      <c r="A15331" s="1" t="str">
        <f>HYPERLINK("http://www.rosaceae.org/Prunus/Prunus_persica/p.persica_gdr_reftransV1_0003099","p.persica_gdr_reftransV1_0003099")</f>
        <v>p.persica_gdr_reftransV1_0003099</v>
      </c>
      <c r="B15331" s="3">
        <v>416</v>
      </c>
      <c r="C15331" s="1" t="str">
        <f>HYPERLINK("http://www.uniprot.org/uniprot/GLPK_ARATH","GLPK_ARATH")</f>
        <v>GLPK_ARATH</v>
      </c>
      <c r="D15331" t="s">
        <v>2923</v>
      </c>
      <c r="E15331" s="3" t="s">
        <v>3</v>
      </c>
      <c r="F15331" s="4">
        <v>4.7800000000000002E-34</v>
      </c>
      <c r="G15331" s="3">
        <v>321</v>
      </c>
      <c r="H15331" s="3">
        <v>48</v>
      </c>
      <c r="I15331" s="3">
        <v>132</v>
      </c>
      <c r="J15331" s="3">
        <v>16</v>
      </c>
      <c r="K15331" s="3">
        <v>408</v>
      </c>
      <c r="L15331" s="3">
        <v>136</v>
      </c>
      <c r="M15331" s="3">
        <v>263</v>
      </c>
    </row>
    <row r="15332" spans="1:13" x14ac:dyDescent="0.25">
      <c r="A15332" s="1" t="str">
        <f>HYPERLINK("http://www.rosaceae.org/Prunus/Prunus_persica/p.persica_gdr_reftransV1_0003249","p.persica_gdr_reftransV1_0003249")</f>
        <v>p.persica_gdr_reftransV1_0003249</v>
      </c>
      <c r="B15332" s="3">
        <v>2801</v>
      </c>
      <c r="C15332" s="1" t="str">
        <f>HYPERLINK("http://www.uniprot.org/uniprot/MY1R1_SOLTU","MY1R1_SOLTU")</f>
        <v>MY1R1_SOLTU</v>
      </c>
      <c r="D15332" t="s">
        <v>2616</v>
      </c>
      <c r="E15332" s="3" t="s">
        <v>11</v>
      </c>
      <c r="F15332" s="4">
        <v>1.4200000000000001E-31</v>
      </c>
      <c r="G15332" s="3">
        <v>328</v>
      </c>
      <c r="H15332" s="3">
        <v>42</v>
      </c>
      <c r="I15332" s="3">
        <v>210</v>
      </c>
      <c r="J15332" s="3">
        <v>1798</v>
      </c>
      <c r="K15332" s="3">
        <v>2421</v>
      </c>
      <c r="L15332" s="3">
        <v>24</v>
      </c>
      <c r="M15332" s="3">
        <v>207</v>
      </c>
    </row>
    <row r="15333" spans="1:13" x14ac:dyDescent="0.25">
      <c r="A15333" s="1" t="str">
        <f>HYPERLINK("http://www.rosaceae.org/Prunus/Prunus_persica/p.persica_gdr_reftransV1_0003399","p.persica_gdr_reftransV1_0003399")</f>
        <v>p.persica_gdr_reftransV1_0003399</v>
      </c>
      <c r="B15333" s="3">
        <v>2414</v>
      </c>
      <c r="C15333" s="1" t="str">
        <f>HYPERLINK("http://www.uniprot.org/uniprot/VATA_CITUN","VATA_CITUN")</f>
        <v>VATA_CITUN</v>
      </c>
      <c r="D15333" t="s">
        <v>9850</v>
      </c>
      <c r="E15333" s="3" t="s">
        <v>4547</v>
      </c>
      <c r="F15333" s="4">
        <v>0</v>
      </c>
      <c r="G15333" s="3">
        <v>3138</v>
      </c>
      <c r="H15333" s="3">
        <v>96</v>
      </c>
      <c r="I15333" s="3">
        <v>623</v>
      </c>
      <c r="J15333" s="3">
        <v>337</v>
      </c>
      <c r="K15333" s="3">
        <v>2205</v>
      </c>
      <c r="L15333" s="3">
        <v>1</v>
      </c>
      <c r="M15333" s="3">
        <v>623</v>
      </c>
    </row>
    <row r="15334" spans="1:13" x14ac:dyDescent="0.25">
      <c r="A15334" s="1" t="str">
        <f>HYPERLINK("http://www.rosaceae.org/Prunus/Prunus_persica/p.persica_gdr_reftransV1_0003449","p.persica_gdr_reftransV1_0003449")</f>
        <v>p.persica_gdr_reftransV1_0003449</v>
      </c>
      <c r="B15334" s="3">
        <v>572</v>
      </c>
      <c r="C15334" s="1" t="str">
        <f>HYPERLINK("http://www.uniprot.org/uniprot/ADH1_NEUCR","ADH1_NEUCR")</f>
        <v>ADH1_NEUCR</v>
      </c>
      <c r="D15334" t="s">
        <v>2484</v>
      </c>
      <c r="E15334" s="3" t="s">
        <v>435</v>
      </c>
      <c r="F15334" s="4">
        <v>1.04E-105</v>
      </c>
      <c r="G15334" s="3">
        <v>805</v>
      </c>
      <c r="H15334" s="3">
        <v>79</v>
      </c>
      <c r="I15334" s="3">
        <v>190</v>
      </c>
      <c r="J15334" s="3">
        <v>2</v>
      </c>
      <c r="K15334" s="3">
        <v>571</v>
      </c>
      <c r="L15334" s="3">
        <v>117</v>
      </c>
      <c r="M15334" s="3">
        <v>306</v>
      </c>
    </row>
    <row r="15335" spans="1:13" x14ac:dyDescent="0.25">
      <c r="A15335" s="1" t="str">
        <f>HYPERLINK("http://www.rosaceae.org/Prunus/Prunus_persica/p.persica_gdr_reftransV1_0003499","p.persica_gdr_reftransV1_0003499")</f>
        <v>p.persica_gdr_reftransV1_0003499</v>
      </c>
      <c r="B15335" s="3">
        <v>1600</v>
      </c>
      <c r="C15335" s="1" t="str">
        <f>HYPERLINK("http://www.uniprot.org/uniprot/BPC4_ARATH","BPC4_ARATH")</f>
        <v>BPC4_ARATH</v>
      </c>
      <c r="D15335" t="s">
        <v>7613</v>
      </c>
      <c r="E15335" s="3" t="s">
        <v>3</v>
      </c>
      <c r="F15335" s="4">
        <v>3.1699999999999997E-126</v>
      </c>
      <c r="G15335" s="3">
        <v>970</v>
      </c>
      <c r="H15335" s="3">
        <v>59</v>
      </c>
      <c r="I15335" s="3">
        <v>313</v>
      </c>
      <c r="J15335" s="3">
        <v>89</v>
      </c>
      <c r="K15335" s="3">
        <v>1021</v>
      </c>
      <c r="L15335" s="3">
        <v>1</v>
      </c>
      <c r="M15335" s="3">
        <v>296</v>
      </c>
    </row>
    <row r="15336" spans="1:13" x14ac:dyDescent="0.25">
      <c r="A15336" s="1" t="str">
        <f>HYPERLINK("http://www.rosaceae.org/Prunus/Prunus_persica/p.persica_gdr_reftransV1_0003599","p.persica_gdr_reftransV1_0003599")</f>
        <v>p.persica_gdr_reftransV1_0003599</v>
      </c>
      <c r="B15336" s="3">
        <v>1546</v>
      </c>
      <c r="C15336" s="1" t="str">
        <f>HYPERLINK("http://www.uniprot.org/uniprot/C71A9_SOYBN","C71A9_SOYBN")</f>
        <v>C71A9_SOYBN</v>
      </c>
      <c r="D15336" t="s">
        <v>9851</v>
      </c>
      <c r="E15336" s="3" t="s">
        <v>307</v>
      </c>
      <c r="F15336" s="4">
        <v>0</v>
      </c>
      <c r="G15336" s="3">
        <v>1432</v>
      </c>
      <c r="H15336" s="3">
        <v>61</v>
      </c>
      <c r="I15336" s="3">
        <v>463</v>
      </c>
      <c r="J15336" s="3">
        <v>167</v>
      </c>
      <c r="K15336" s="3">
        <v>1546</v>
      </c>
      <c r="L15336" s="3">
        <v>37</v>
      </c>
      <c r="M15336" s="3">
        <v>496</v>
      </c>
    </row>
    <row r="15337" spans="1:13" x14ac:dyDescent="0.25">
      <c r="A15337" s="1" t="str">
        <f>HYPERLINK("http://www.rosaceae.org/Prunus/Prunus_persica/p.persica_gdr_reftransV1_0003649","p.persica_gdr_reftransV1_0003649")</f>
        <v>p.persica_gdr_reftransV1_0003649</v>
      </c>
      <c r="B15337" s="3">
        <v>5089</v>
      </c>
      <c r="C15337" s="1" t="str">
        <f>HYPERLINK("http://www.uniprot.org/uniprot/AB14C_ARATH","AB14C_ARATH")</f>
        <v>AB14C_ARATH</v>
      </c>
      <c r="D15337" t="s">
        <v>9852</v>
      </c>
      <c r="E15337" s="3" t="s">
        <v>3</v>
      </c>
      <c r="F15337" s="4">
        <v>0</v>
      </c>
      <c r="G15337" s="3">
        <v>5460</v>
      </c>
      <c r="H15337" s="3">
        <v>70</v>
      </c>
      <c r="I15337" s="3">
        <v>1524</v>
      </c>
      <c r="J15337" s="3">
        <v>451</v>
      </c>
      <c r="K15337" s="3">
        <v>4902</v>
      </c>
      <c r="L15337" s="3">
        <v>26</v>
      </c>
      <c r="M15337" s="3">
        <v>1539</v>
      </c>
    </row>
    <row r="15338" spans="1:13" x14ac:dyDescent="0.25">
      <c r="A15338" s="1" t="str">
        <f>HYPERLINK("http://www.rosaceae.org/Prunus/Prunus_persica/p.persica_gdr_reftransV1_0003799","p.persica_gdr_reftransV1_0003799")</f>
        <v>p.persica_gdr_reftransV1_0003799</v>
      </c>
      <c r="B15338" s="3">
        <v>1262</v>
      </c>
      <c r="C15338" s="1" t="str">
        <f>HYPERLINK("http://www.uniprot.org/uniprot/Y1643_ARATH","Y1643_ARATH")</f>
        <v>Y1643_ARATH</v>
      </c>
      <c r="D15338" t="s">
        <v>9853</v>
      </c>
      <c r="E15338" s="3" t="s">
        <v>3</v>
      </c>
      <c r="F15338" s="4">
        <v>3.7000000000000002E-41</v>
      </c>
      <c r="G15338" s="3">
        <v>404</v>
      </c>
      <c r="H15338" s="3">
        <v>51</v>
      </c>
      <c r="I15338" s="3">
        <v>158</v>
      </c>
      <c r="J15338" s="3">
        <v>509</v>
      </c>
      <c r="K15338" s="3">
        <v>982</v>
      </c>
      <c r="L15338" s="3">
        <v>650</v>
      </c>
      <c r="M15338" s="3">
        <v>806</v>
      </c>
    </row>
    <row r="15339" spans="1:13" x14ac:dyDescent="0.25">
      <c r="A15339" s="1" t="str">
        <f>HYPERLINK("http://www.rosaceae.org/Prunus/Prunus_persica/p.persica_gdr_reftransV1_0003849","p.persica_gdr_reftransV1_0003849")</f>
        <v>p.persica_gdr_reftransV1_0003849</v>
      </c>
      <c r="B15339" s="3">
        <v>3625</v>
      </c>
      <c r="C15339" s="1" t="str">
        <f>HYPERLINK("http://www.uniprot.org/uniprot/FBL15_ARATH","FBL15_ARATH")</f>
        <v>FBL15_ARATH</v>
      </c>
      <c r="D15339" t="s">
        <v>4748</v>
      </c>
      <c r="E15339" s="3" t="s">
        <v>3</v>
      </c>
      <c r="F15339" s="4">
        <v>0</v>
      </c>
      <c r="G15339" s="3">
        <v>1484</v>
      </c>
      <c r="H15339" s="3">
        <v>74</v>
      </c>
      <c r="I15339" s="3">
        <v>427</v>
      </c>
      <c r="J15339" s="3">
        <v>338</v>
      </c>
      <c r="K15339" s="3">
        <v>1618</v>
      </c>
      <c r="L15339" s="3">
        <v>561</v>
      </c>
      <c r="M15339" s="3">
        <v>982</v>
      </c>
    </row>
    <row r="15340" spans="1:13" x14ac:dyDescent="0.25">
      <c r="A15340" s="1" t="str">
        <f>HYPERLINK("http://www.rosaceae.org/Prunus/Prunus_persica/p.persica_gdr_reftransV1_0003949","p.persica_gdr_reftransV1_0003949")</f>
        <v>p.persica_gdr_reftransV1_0003949</v>
      </c>
      <c r="B15340" s="3">
        <v>366</v>
      </c>
      <c r="C15340" s="1" t="str">
        <f>HYPERLINK("http://www.uniprot.org/uniprot/EGLD_ASPOR","EGLD_ASPOR")</f>
        <v>EGLD_ASPOR</v>
      </c>
      <c r="D15340" t="s">
        <v>9854</v>
      </c>
      <c r="E15340" s="3" t="s">
        <v>262</v>
      </c>
      <c r="F15340" s="4">
        <v>1.58E-16</v>
      </c>
      <c r="G15340" s="3">
        <v>190</v>
      </c>
      <c r="H15340" s="3">
        <v>42</v>
      </c>
      <c r="I15340" s="3">
        <v>115</v>
      </c>
      <c r="J15340" s="3">
        <v>18</v>
      </c>
      <c r="K15340" s="3">
        <v>362</v>
      </c>
      <c r="L15340" s="3">
        <v>124</v>
      </c>
      <c r="M15340" s="3">
        <v>231</v>
      </c>
    </row>
    <row r="15341" spans="1:13" x14ac:dyDescent="0.25">
      <c r="A15341" s="1" t="str">
        <f>HYPERLINK("http://www.rosaceae.org/Prunus/Prunus_persica/p.persica_gdr_reftransV1_0004049","p.persica_gdr_reftransV1_0004049")</f>
        <v>p.persica_gdr_reftransV1_0004049</v>
      </c>
      <c r="B15341" s="3">
        <v>1530</v>
      </c>
      <c r="C15341" s="1" t="str">
        <f>HYPERLINK("http://www.uniprot.org/uniprot/POLG_MRFVC","POLG_MRFVC")</f>
        <v>POLG_MRFVC</v>
      </c>
      <c r="D15341" t="s">
        <v>5878</v>
      </c>
      <c r="E15341" s="3" t="s">
        <v>5879</v>
      </c>
      <c r="F15341" s="4">
        <v>2.9399999999999999E-152</v>
      </c>
      <c r="G15341" s="3">
        <v>1247</v>
      </c>
      <c r="H15341" s="3">
        <v>52</v>
      </c>
      <c r="I15341" s="3">
        <v>483</v>
      </c>
      <c r="J15341" s="3">
        <v>28</v>
      </c>
      <c r="K15341" s="3">
        <v>1461</v>
      </c>
      <c r="L15341" s="3">
        <v>667</v>
      </c>
      <c r="M15341" s="3">
        <v>1142</v>
      </c>
    </row>
    <row r="15342" spans="1:13" x14ac:dyDescent="0.25">
      <c r="A15342" s="1" t="str">
        <f>HYPERLINK("http://www.rosaceae.org/Prunus/Prunus_persica/p.persica_gdr_reftransV1_0004099","p.persica_gdr_reftransV1_0004099")</f>
        <v>p.persica_gdr_reftransV1_0004099</v>
      </c>
      <c r="B15342" s="3">
        <v>1325</v>
      </c>
      <c r="C15342" s="1" t="str">
        <f>HYPERLINK("http://www.uniprot.org/uniprot/ENG1_YEAST","ENG1_YEAST")</f>
        <v>ENG1_YEAST</v>
      </c>
      <c r="D15342" t="s">
        <v>9855</v>
      </c>
      <c r="E15342" s="3" t="s">
        <v>34</v>
      </c>
      <c r="F15342" s="4">
        <v>1.13E-25</v>
      </c>
      <c r="G15342" s="3">
        <v>285</v>
      </c>
      <c r="H15342" s="3">
        <v>33</v>
      </c>
      <c r="I15342" s="3">
        <v>226</v>
      </c>
      <c r="J15342" s="3">
        <v>409</v>
      </c>
      <c r="K15342" s="3">
        <v>1068</v>
      </c>
      <c r="L15342" s="3">
        <v>832</v>
      </c>
      <c r="M15342" s="3">
        <v>1050</v>
      </c>
    </row>
    <row r="15343" spans="1:13" x14ac:dyDescent="0.25">
      <c r="A15343" s="1" t="str">
        <f>HYPERLINK("http://www.rosaceae.org/Prunus/Prunus_persica/p.persica_gdr_reftransV1_0004299","p.persica_gdr_reftransV1_0004299")</f>
        <v>p.persica_gdr_reftransV1_0004299</v>
      </c>
      <c r="B15343" s="3">
        <v>1598</v>
      </c>
      <c r="C15343" s="1" t="str">
        <f>HYPERLINK("http://www.uniprot.org/uniprot/COBL4_ARATH","COBL4_ARATH")</f>
        <v>COBL4_ARATH</v>
      </c>
      <c r="D15343" t="s">
        <v>2784</v>
      </c>
      <c r="E15343" s="3" t="s">
        <v>3</v>
      </c>
      <c r="F15343" s="4">
        <v>0</v>
      </c>
      <c r="G15343" s="3">
        <v>1882</v>
      </c>
      <c r="H15343" s="3">
        <v>84</v>
      </c>
      <c r="I15343" s="3">
        <v>401</v>
      </c>
      <c r="J15343" s="3">
        <v>220</v>
      </c>
      <c r="K15343" s="3">
        <v>1422</v>
      </c>
      <c r="L15343" s="3">
        <v>18</v>
      </c>
      <c r="M15343" s="3">
        <v>418</v>
      </c>
    </row>
    <row r="15344" spans="1:13" x14ac:dyDescent="0.25">
      <c r="A15344" s="1" t="str">
        <f>HYPERLINK("http://www.rosaceae.org/Prunus/Prunus_persica/p.persica_gdr_reftransV1_0004399","p.persica_gdr_reftransV1_0004399")</f>
        <v>p.persica_gdr_reftransV1_0004399</v>
      </c>
      <c r="B15344" s="3">
        <v>3655</v>
      </c>
      <c r="C15344" s="1" t="str">
        <f>HYPERLINK("http://www.uniprot.org/uniprot/SAMC_XENTR","SAMC_XENTR")</f>
        <v>SAMC_XENTR</v>
      </c>
      <c r="D15344" t="s">
        <v>9856</v>
      </c>
      <c r="E15344" s="3" t="s">
        <v>173</v>
      </c>
      <c r="F15344" s="4">
        <v>4.3300000000000002E-23</v>
      </c>
      <c r="G15344" s="3">
        <v>263</v>
      </c>
      <c r="H15344" s="3">
        <v>33</v>
      </c>
      <c r="I15344" s="3">
        <v>248</v>
      </c>
      <c r="J15344" s="3">
        <v>2460</v>
      </c>
      <c r="K15344" s="3">
        <v>3194</v>
      </c>
      <c r="L15344" s="3">
        <v>26</v>
      </c>
      <c r="M15344" s="3">
        <v>265</v>
      </c>
    </row>
    <row r="15345" spans="1:13" x14ac:dyDescent="0.25">
      <c r="A15345" s="1" t="str">
        <f>HYPERLINK("http://www.rosaceae.org/Prunus/Prunus_persica/p.persica_gdr_reftransV1_0004449","p.persica_gdr_reftransV1_0004449")</f>
        <v>p.persica_gdr_reftransV1_0004449</v>
      </c>
      <c r="B15345" s="3">
        <v>2032</v>
      </c>
      <c r="C15345" s="1" t="str">
        <f>HYPERLINK("http://www.uniprot.org/uniprot/SCY1_ARATH","SCY1_ARATH")</f>
        <v>SCY1_ARATH</v>
      </c>
      <c r="D15345" t="s">
        <v>9857</v>
      </c>
      <c r="E15345" s="3" t="s">
        <v>3</v>
      </c>
      <c r="F15345" s="4">
        <v>0</v>
      </c>
      <c r="G15345" s="3">
        <v>1274</v>
      </c>
      <c r="H15345" s="3">
        <v>80</v>
      </c>
      <c r="I15345" s="3">
        <v>339</v>
      </c>
      <c r="J15345" s="3">
        <v>180</v>
      </c>
      <c r="K15345" s="3">
        <v>1190</v>
      </c>
      <c r="L15345" s="3">
        <v>43</v>
      </c>
      <c r="M15345" s="3">
        <v>380</v>
      </c>
    </row>
    <row r="15346" spans="1:13" x14ac:dyDescent="0.25">
      <c r="A15346" s="1" t="str">
        <f>HYPERLINK("http://www.rosaceae.org/Prunus/Prunus_persica/p.persica_gdr_reftransV1_0004499","p.persica_gdr_reftransV1_0004499")</f>
        <v>p.persica_gdr_reftransV1_0004499</v>
      </c>
      <c r="B15346" s="3">
        <v>1955</v>
      </c>
      <c r="C15346" s="1" t="str">
        <f>HYPERLINK("http://www.uniprot.org/uniprot/BAHD1_ARATH","BAHD1_ARATH")</f>
        <v>BAHD1_ARATH</v>
      </c>
      <c r="D15346" t="s">
        <v>897</v>
      </c>
      <c r="E15346" s="3" t="s">
        <v>3</v>
      </c>
      <c r="F15346" s="4">
        <v>3.7899999999999999E-81</v>
      </c>
      <c r="G15346" s="3">
        <v>689</v>
      </c>
      <c r="H15346" s="3">
        <v>37</v>
      </c>
      <c r="I15346" s="3">
        <v>457</v>
      </c>
      <c r="J15346" s="3">
        <v>528</v>
      </c>
      <c r="K15346" s="3">
        <v>1856</v>
      </c>
      <c r="L15346" s="3">
        <v>2</v>
      </c>
      <c r="M15346" s="3">
        <v>442</v>
      </c>
    </row>
    <row r="15347" spans="1:13" x14ac:dyDescent="0.25">
      <c r="A15347" s="1" t="str">
        <f>HYPERLINK("http://www.rosaceae.org/Prunus/Prunus_persica/p.persica_gdr_reftransV1_0004649","p.persica_gdr_reftransV1_0004649")</f>
        <v>p.persica_gdr_reftransV1_0004649</v>
      </c>
      <c r="B15347" s="3">
        <v>1677</v>
      </c>
      <c r="C15347" s="1" t="str">
        <f>HYPERLINK("http://www.uniprot.org/uniprot/CCNB1_SOYBN","CCNB1_SOYBN")</f>
        <v>CCNB1_SOYBN</v>
      </c>
      <c r="D15347" t="s">
        <v>9858</v>
      </c>
      <c r="E15347" s="3" t="s">
        <v>307</v>
      </c>
      <c r="F15347" s="4">
        <v>4.3099999999999997E-139</v>
      </c>
      <c r="G15347" s="3">
        <v>1074</v>
      </c>
      <c r="H15347" s="3">
        <v>65</v>
      </c>
      <c r="I15347" s="3">
        <v>297</v>
      </c>
      <c r="J15347" s="3">
        <v>521</v>
      </c>
      <c r="K15347" s="3">
        <v>1411</v>
      </c>
      <c r="L15347" s="3">
        <v>149</v>
      </c>
      <c r="M15347" s="3">
        <v>441</v>
      </c>
    </row>
    <row r="15348" spans="1:13" x14ac:dyDescent="0.25">
      <c r="A15348" s="1" t="str">
        <f>HYPERLINK("http://www.rosaceae.org/Prunus/Prunus_persica/p.persica_gdr_reftransV1_0004699","p.persica_gdr_reftransV1_0004699")</f>
        <v>p.persica_gdr_reftransV1_0004699</v>
      </c>
      <c r="B15348" s="3">
        <v>2202</v>
      </c>
      <c r="C15348" s="1" t="str">
        <f>HYPERLINK("http://www.uniprot.org/uniprot/ABHD3_MOUSE","ABHD3_MOUSE")</f>
        <v>ABHD3_MOUSE</v>
      </c>
      <c r="D15348" t="s">
        <v>9859</v>
      </c>
      <c r="E15348" s="3" t="s">
        <v>157</v>
      </c>
      <c r="F15348" s="4">
        <v>9.6199999999999995E-40</v>
      </c>
      <c r="G15348" s="3">
        <v>301</v>
      </c>
      <c r="H15348" s="3">
        <v>32</v>
      </c>
      <c r="I15348" s="3">
        <v>213</v>
      </c>
      <c r="J15348" s="3">
        <v>1261</v>
      </c>
      <c r="K15348" s="3">
        <v>1893</v>
      </c>
      <c r="L15348" s="3">
        <v>73</v>
      </c>
      <c r="M15348" s="3">
        <v>275</v>
      </c>
    </row>
    <row r="15349" spans="1:13" x14ac:dyDescent="0.25">
      <c r="A15349" s="1" t="str">
        <f>HYPERLINK("http://www.rosaceae.org/Prunus/Prunus_persica/p.persica_gdr_reftransV1_0004799","p.persica_gdr_reftransV1_0004799")</f>
        <v>p.persica_gdr_reftransV1_0004799</v>
      </c>
      <c r="B15349" s="3">
        <v>4105</v>
      </c>
      <c r="C15349" s="1" t="str">
        <f>HYPERLINK("http://www.uniprot.org/uniprot/VIP1_HUMAN","VIP1_HUMAN")</f>
        <v>VIP1_HUMAN</v>
      </c>
      <c r="D15349" t="s">
        <v>9860</v>
      </c>
      <c r="E15349" s="3" t="s">
        <v>28</v>
      </c>
      <c r="F15349" s="4">
        <v>0</v>
      </c>
      <c r="G15349" s="3">
        <v>1581</v>
      </c>
      <c r="H15349" s="3">
        <v>47</v>
      </c>
      <c r="I15349" s="3">
        <v>773</v>
      </c>
      <c r="J15349" s="3">
        <v>1740</v>
      </c>
      <c r="K15349" s="3">
        <v>3983</v>
      </c>
      <c r="L15349" s="3">
        <v>57</v>
      </c>
      <c r="M15349" s="3">
        <v>766</v>
      </c>
    </row>
    <row r="15350" spans="1:13" x14ac:dyDescent="0.25">
      <c r="A15350" s="1" t="str">
        <f>HYPERLINK("http://www.rosaceae.org/Prunus/Prunus_persica/p.persica_gdr_reftransV1_0004849","p.persica_gdr_reftransV1_0004849")</f>
        <v>p.persica_gdr_reftransV1_0004849</v>
      </c>
      <c r="B15350" s="3">
        <v>2179</v>
      </c>
      <c r="C15350" s="1" t="str">
        <f>HYPERLINK("http://www.uniprot.org/uniprot/2AAB_ARATH","2AAB_ARATH")</f>
        <v>2AAB_ARATH</v>
      </c>
      <c r="D15350" t="s">
        <v>4625</v>
      </c>
      <c r="E15350" s="3" t="s">
        <v>3</v>
      </c>
      <c r="F15350" s="4">
        <v>0</v>
      </c>
      <c r="G15350" s="3">
        <v>2842</v>
      </c>
      <c r="H15350" s="3">
        <v>90</v>
      </c>
      <c r="I15350" s="3">
        <v>587</v>
      </c>
      <c r="J15350" s="3">
        <v>279</v>
      </c>
      <c r="K15350" s="3">
        <v>2039</v>
      </c>
      <c r="L15350" s="3">
        <v>1</v>
      </c>
      <c r="M15350" s="3">
        <v>587</v>
      </c>
    </row>
    <row r="15351" spans="1:13" x14ac:dyDescent="0.25">
      <c r="A15351" s="1" t="str">
        <f>HYPERLINK("http://www.rosaceae.org/Prunus/Prunus_persica/p.persica_gdr_reftransV1_0004999","p.persica_gdr_reftransV1_0004999")</f>
        <v>p.persica_gdr_reftransV1_0004999</v>
      </c>
      <c r="B15351" s="3">
        <v>1734</v>
      </c>
      <c r="C15351" s="1" t="str">
        <f>HYPERLINK("http://www.uniprot.org/uniprot/ENO_ORYSJ","ENO_ORYSJ")</f>
        <v>ENO_ORYSJ</v>
      </c>
      <c r="D15351" t="s">
        <v>9861</v>
      </c>
      <c r="E15351" s="3" t="s">
        <v>38</v>
      </c>
      <c r="F15351" s="4">
        <v>0</v>
      </c>
      <c r="G15351" s="3">
        <v>2165</v>
      </c>
      <c r="H15351" s="3">
        <v>91</v>
      </c>
      <c r="I15351" s="3">
        <v>439</v>
      </c>
      <c r="J15351" s="3">
        <v>322</v>
      </c>
      <c r="K15351" s="3">
        <v>1638</v>
      </c>
      <c r="L15351" s="3">
        <v>8</v>
      </c>
      <c r="M15351" s="3">
        <v>446</v>
      </c>
    </row>
    <row r="15352" spans="1:13" x14ac:dyDescent="0.25">
      <c r="A15352" s="1" t="str">
        <f>HYPERLINK("http://www.rosaceae.org/Prunus/Prunus_persica/p.persica_gdr_reftransV1_0005099","p.persica_gdr_reftransV1_0005099")</f>
        <v>p.persica_gdr_reftransV1_0005099</v>
      </c>
      <c r="B15352" s="3">
        <v>1944</v>
      </c>
      <c r="C15352" s="1" t="str">
        <f>HYPERLINK("http://www.uniprot.org/uniprot/Y1301_ARATH","Y1301_ARATH")</f>
        <v>Y1301_ARATH</v>
      </c>
      <c r="D15352" t="s">
        <v>9862</v>
      </c>
      <c r="E15352" s="3" t="s">
        <v>3</v>
      </c>
      <c r="F15352" s="4">
        <v>0</v>
      </c>
      <c r="G15352" s="3">
        <v>2184</v>
      </c>
      <c r="H15352" s="3">
        <v>74</v>
      </c>
      <c r="I15352" s="3">
        <v>604</v>
      </c>
      <c r="J15352" s="3">
        <v>6</v>
      </c>
      <c r="K15352" s="3">
        <v>1787</v>
      </c>
      <c r="L15352" s="3">
        <v>32</v>
      </c>
      <c r="M15352" s="3">
        <v>627</v>
      </c>
    </row>
    <row r="15353" spans="1:13" x14ac:dyDescent="0.25">
      <c r="A15353" s="1" t="str">
        <f>HYPERLINK("http://www.rosaceae.org/Prunus/Prunus_persica/p.persica_gdr_reftransV1_0005149","p.persica_gdr_reftransV1_0005149")</f>
        <v>p.persica_gdr_reftransV1_0005149</v>
      </c>
      <c r="B15353" s="3">
        <v>2438</v>
      </c>
      <c r="C15353" s="1" t="str">
        <f>HYPERLINK("http://www.uniprot.org/uniprot/BDF2_YEAST","BDF2_YEAST")</f>
        <v>BDF2_YEAST</v>
      </c>
      <c r="D15353" t="s">
        <v>7844</v>
      </c>
      <c r="E15353" s="3" t="s">
        <v>34</v>
      </c>
      <c r="F15353" s="4">
        <v>5.0299999999999998E-13</v>
      </c>
      <c r="G15353" s="3">
        <v>187</v>
      </c>
      <c r="H15353" s="3">
        <v>41</v>
      </c>
      <c r="I15353" s="3">
        <v>98</v>
      </c>
      <c r="J15353" s="3">
        <v>687</v>
      </c>
      <c r="K15353" s="3">
        <v>971</v>
      </c>
      <c r="L15353" s="3">
        <v>327</v>
      </c>
      <c r="M15353" s="3">
        <v>423</v>
      </c>
    </row>
    <row r="15354" spans="1:13" x14ac:dyDescent="0.25">
      <c r="A15354" s="1" t="str">
        <f>HYPERLINK("http://www.rosaceae.org/Prunus/Prunus_persica/p.persica_gdr_reftransV1_0005249","p.persica_gdr_reftransV1_0005249")</f>
        <v>p.persica_gdr_reftransV1_0005249</v>
      </c>
      <c r="B15354" s="3">
        <v>2132</v>
      </c>
      <c r="C15354" s="1" t="str">
        <f>HYPERLINK("http://www.uniprot.org/uniprot/AMY2_ARATH","AMY2_ARATH")</f>
        <v>AMY2_ARATH</v>
      </c>
      <c r="D15354" t="s">
        <v>5744</v>
      </c>
      <c r="E15354" s="3" t="s">
        <v>3</v>
      </c>
      <c r="F15354" s="4">
        <v>0</v>
      </c>
      <c r="G15354" s="3">
        <v>1875</v>
      </c>
      <c r="H15354" s="3">
        <v>81</v>
      </c>
      <c r="I15354" s="3">
        <v>413</v>
      </c>
      <c r="J15354" s="3">
        <v>419</v>
      </c>
      <c r="K15354" s="3">
        <v>1657</v>
      </c>
      <c r="L15354" s="3">
        <v>1</v>
      </c>
      <c r="M15354" s="3">
        <v>413</v>
      </c>
    </row>
    <row r="15355" spans="1:13" x14ac:dyDescent="0.25">
      <c r="A15355" s="1" t="str">
        <f>HYPERLINK("http://www.rosaceae.org/Prunus/Prunus_persica/p.persica_gdr_reftransV1_0005349","p.persica_gdr_reftransV1_0005349")</f>
        <v>p.persica_gdr_reftransV1_0005349</v>
      </c>
      <c r="B15355" s="3">
        <v>5860</v>
      </c>
      <c r="C15355" s="1" t="str">
        <f>HYPERLINK("http://www.uniprot.org/uniprot/SHGR6_ARATH","SHGR6_ARATH")</f>
        <v>SHGR6_ARATH</v>
      </c>
      <c r="D15355" t="s">
        <v>9492</v>
      </c>
      <c r="E15355" s="3" t="s">
        <v>3</v>
      </c>
      <c r="F15355" s="4">
        <v>0</v>
      </c>
      <c r="G15355" s="3">
        <v>6157</v>
      </c>
      <c r="H15355" s="3">
        <v>74</v>
      </c>
      <c r="I15355" s="3">
        <v>1618</v>
      </c>
      <c r="J15355" s="3">
        <v>956</v>
      </c>
      <c r="K15355" s="3">
        <v>5770</v>
      </c>
      <c r="L15355" s="3">
        <v>14</v>
      </c>
      <c r="M15355" s="3">
        <v>1607</v>
      </c>
    </row>
    <row r="15356" spans="1:13" x14ac:dyDescent="0.25">
      <c r="A15356" s="1" t="str">
        <f>HYPERLINK("http://www.rosaceae.org/Prunus/Prunus_persica/p.persica_gdr_reftransV1_0005499","p.persica_gdr_reftransV1_0005499")</f>
        <v>p.persica_gdr_reftransV1_0005499</v>
      </c>
      <c r="B15356" s="3">
        <v>937</v>
      </c>
      <c r="C15356" s="1" t="str">
        <f>HYPERLINK("http://www.uniprot.org/uniprot/HSP16_SOYBN","HSP16_SOYBN")</f>
        <v>HSP16_SOYBN</v>
      </c>
      <c r="D15356" t="s">
        <v>4534</v>
      </c>
      <c r="E15356" s="3" t="s">
        <v>307</v>
      </c>
      <c r="F15356" s="4">
        <v>1.88E-66</v>
      </c>
      <c r="G15356" s="3">
        <v>539</v>
      </c>
      <c r="H15356" s="3">
        <v>80</v>
      </c>
      <c r="I15356" s="3">
        <v>161</v>
      </c>
      <c r="J15356" s="3">
        <v>187</v>
      </c>
      <c r="K15356" s="3">
        <v>660</v>
      </c>
      <c r="L15356" s="3">
        <v>1</v>
      </c>
      <c r="M15356" s="3">
        <v>161</v>
      </c>
    </row>
    <row r="15357" spans="1:13" x14ac:dyDescent="0.25">
      <c r="A15357" s="1" t="str">
        <f>HYPERLINK("http://www.rosaceae.org/Prunus/Prunus_persica/p.persica_gdr_reftransV1_0005549","p.persica_gdr_reftransV1_0005549")</f>
        <v>p.persica_gdr_reftransV1_0005549</v>
      </c>
      <c r="B15357" s="3">
        <v>1537</v>
      </c>
      <c r="C15357" s="1" t="str">
        <f>HYPERLINK("http://www.uniprot.org/uniprot/PTR46_ARATH","PTR46_ARATH")</f>
        <v>PTR46_ARATH</v>
      </c>
      <c r="D15357" t="s">
        <v>6188</v>
      </c>
      <c r="E15357" s="3" t="s">
        <v>3</v>
      </c>
      <c r="F15357" s="4">
        <v>1.9200000000000001E-171</v>
      </c>
      <c r="G15357" s="3">
        <v>1294</v>
      </c>
      <c r="H15357" s="3">
        <v>56</v>
      </c>
      <c r="I15357" s="3">
        <v>419</v>
      </c>
      <c r="J15357" s="3">
        <v>1</v>
      </c>
      <c r="K15357" s="3">
        <v>1248</v>
      </c>
      <c r="L15357" s="3">
        <v>129</v>
      </c>
      <c r="M15357" s="3">
        <v>545</v>
      </c>
    </row>
    <row r="15358" spans="1:13" x14ac:dyDescent="0.25">
      <c r="A15358" s="1" t="str">
        <f>HYPERLINK("http://www.rosaceae.org/Prunus/Prunus_persica/p.persica_gdr_reftransV1_0005599","p.persica_gdr_reftransV1_0005599")</f>
        <v>p.persica_gdr_reftransV1_0005599</v>
      </c>
      <c r="B15358" s="3">
        <v>2266</v>
      </c>
      <c r="C15358" s="1" t="str">
        <f>HYPERLINK("http://www.uniprot.org/uniprot/HBPL1_ARATH","HBPL1_ARATH")</f>
        <v>HBPL1_ARATH</v>
      </c>
      <c r="D15358" t="s">
        <v>4159</v>
      </c>
      <c r="E15358" s="3" t="s">
        <v>3</v>
      </c>
      <c r="F15358" s="4">
        <v>4.0200000000000002E-14</v>
      </c>
      <c r="G15358" s="3">
        <v>189</v>
      </c>
      <c r="H15358" s="3">
        <v>33</v>
      </c>
      <c r="I15358" s="3">
        <v>203</v>
      </c>
      <c r="J15358" s="3">
        <v>1100</v>
      </c>
      <c r="K15358" s="3">
        <v>1621</v>
      </c>
      <c r="L15358" s="3">
        <v>108</v>
      </c>
      <c r="M15358" s="3">
        <v>305</v>
      </c>
    </row>
    <row r="15359" spans="1:13" x14ac:dyDescent="0.25">
      <c r="A15359" s="1" t="str">
        <f>HYPERLINK("http://www.rosaceae.org/Prunus/Prunus_persica/p.persica_gdr_reftransV1_0005649","p.persica_gdr_reftransV1_0005649")</f>
        <v>p.persica_gdr_reftransV1_0005649</v>
      </c>
      <c r="B15359" s="3">
        <v>726</v>
      </c>
      <c r="C15359" s="1" t="str">
        <f>HYPERLINK("http://www.uniprot.org/uniprot/Y5392_ARATH","Y5392_ARATH")</f>
        <v>Y5392_ARATH</v>
      </c>
      <c r="D15359" t="s">
        <v>6491</v>
      </c>
      <c r="E15359" s="3" t="s">
        <v>3</v>
      </c>
      <c r="F15359" s="4">
        <v>2.1900000000000001E-26</v>
      </c>
      <c r="G15359" s="3">
        <v>280</v>
      </c>
      <c r="H15359" s="3">
        <v>45</v>
      </c>
      <c r="I15359" s="3">
        <v>109</v>
      </c>
      <c r="J15359" s="3">
        <v>401</v>
      </c>
      <c r="K15359" s="3">
        <v>721</v>
      </c>
      <c r="L15359" s="3">
        <v>673</v>
      </c>
      <c r="M15359" s="3">
        <v>780</v>
      </c>
    </row>
    <row r="15360" spans="1:13" x14ac:dyDescent="0.25">
      <c r="A15360" s="1" t="str">
        <f>HYPERLINK("http://www.rosaceae.org/Prunus/Prunus_persica/p.persica_gdr_reftransV1_0006049","p.persica_gdr_reftransV1_0006049")</f>
        <v>p.persica_gdr_reftransV1_0006049</v>
      </c>
      <c r="B15360" s="3">
        <v>354</v>
      </c>
      <c r="C15360" s="1" t="str">
        <f>HYPERLINK("http://www.uniprot.org/uniprot/GLR25_ARATH","GLR25_ARATH")</f>
        <v>GLR25_ARATH</v>
      </c>
      <c r="D15360" t="s">
        <v>9863</v>
      </c>
      <c r="E15360" s="3" t="s">
        <v>3</v>
      </c>
      <c r="F15360" s="4">
        <v>8.1899999999999995E-27</v>
      </c>
      <c r="G15360" s="3">
        <v>272</v>
      </c>
      <c r="H15360" s="3">
        <v>56</v>
      </c>
      <c r="I15360" s="3">
        <v>113</v>
      </c>
      <c r="J15360" s="3">
        <v>14</v>
      </c>
      <c r="K15360" s="3">
        <v>352</v>
      </c>
      <c r="L15360" s="3">
        <v>647</v>
      </c>
      <c r="M15360" s="3">
        <v>759</v>
      </c>
    </row>
    <row r="15361" spans="1:13" x14ac:dyDescent="0.25">
      <c r="A15361" s="1" t="str">
        <f>HYPERLINK("http://www.rosaceae.org/Prunus/Prunus_persica/p.persica_gdr_reftransV1_0006099","p.persica_gdr_reftransV1_0006099")</f>
        <v>p.persica_gdr_reftransV1_0006099</v>
      </c>
      <c r="B15361" s="3">
        <v>369</v>
      </c>
      <c r="C15361" s="1" t="str">
        <f>HYPERLINK("http://www.uniprot.org/uniprot/MYB4_ORYSJ","MYB4_ORYSJ")</f>
        <v>MYB4_ORYSJ</v>
      </c>
      <c r="D15361" t="s">
        <v>2801</v>
      </c>
      <c r="E15361" s="3" t="s">
        <v>38</v>
      </c>
      <c r="F15361" s="4">
        <v>2.1699999999999999E-48</v>
      </c>
      <c r="G15361" s="3">
        <v>408</v>
      </c>
      <c r="H15361" s="3">
        <v>83</v>
      </c>
      <c r="I15361" s="3">
        <v>88</v>
      </c>
      <c r="J15361" s="3">
        <v>77</v>
      </c>
      <c r="K15361" s="3">
        <v>340</v>
      </c>
      <c r="L15361" s="3">
        <v>1</v>
      </c>
      <c r="M15361" s="3">
        <v>88</v>
      </c>
    </row>
    <row r="15362" spans="1:13" x14ac:dyDescent="0.25">
      <c r="A15362" s="1" t="str">
        <f>HYPERLINK("http://www.rosaceae.org/Prunus/Prunus_persica/p.persica_gdr_reftransV1_0006199","p.persica_gdr_reftransV1_0006199")</f>
        <v>p.persica_gdr_reftransV1_0006199</v>
      </c>
      <c r="B15362" s="3">
        <v>640</v>
      </c>
      <c r="C15362" s="1" t="str">
        <f>HYPERLINK("http://www.uniprot.org/uniprot/SDR1_ARATH","SDR1_ARATH")</f>
        <v>SDR1_ARATH</v>
      </c>
      <c r="D15362" t="s">
        <v>763</v>
      </c>
      <c r="E15362" s="3" t="s">
        <v>3</v>
      </c>
      <c r="F15362" s="4">
        <v>1.8699999999999999E-88</v>
      </c>
      <c r="G15362" s="3">
        <v>688</v>
      </c>
      <c r="H15362" s="3">
        <v>62</v>
      </c>
      <c r="I15362" s="3">
        <v>215</v>
      </c>
      <c r="J15362" s="3">
        <v>2</v>
      </c>
      <c r="K15362" s="3">
        <v>640</v>
      </c>
      <c r="L15362" s="3">
        <v>30</v>
      </c>
      <c r="M15362" s="3">
        <v>239</v>
      </c>
    </row>
    <row r="15363" spans="1:13" x14ac:dyDescent="0.25">
      <c r="A15363" s="1" t="str">
        <f>HYPERLINK("http://www.rosaceae.org/Prunus/Prunus_persica/p.persica_gdr_reftransV1_0006249","p.persica_gdr_reftransV1_0006249")</f>
        <v>p.persica_gdr_reftransV1_0006249</v>
      </c>
      <c r="B15363" s="3">
        <v>803</v>
      </c>
      <c r="C15363" s="1" t="str">
        <f>HYPERLINK("http://www.uniprot.org/uniprot/PRPX_HORVU","PRPX_HORVU")</f>
        <v>PRPX_HORVU</v>
      </c>
      <c r="D15363" t="s">
        <v>6474</v>
      </c>
      <c r="E15363" s="3" t="s">
        <v>769</v>
      </c>
      <c r="F15363" s="4">
        <v>1.7099999999999999E-59</v>
      </c>
      <c r="G15363" s="3">
        <v>495</v>
      </c>
      <c r="H15363" s="3">
        <v>49</v>
      </c>
      <c r="I15363" s="3">
        <v>200</v>
      </c>
      <c r="J15363" s="3">
        <v>1</v>
      </c>
      <c r="K15363" s="3">
        <v>594</v>
      </c>
      <c r="L15363" s="3">
        <v>38</v>
      </c>
      <c r="M15363" s="3">
        <v>232</v>
      </c>
    </row>
    <row r="15364" spans="1:13" x14ac:dyDescent="0.25">
      <c r="A15364" s="1" t="str">
        <f>HYPERLINK("http://www.rosaceae.org/Prunus/Prunus_persica/p.persica_gdr_reftransV1_0006299","p.persica_gdr_reftransV1_0006299")</f>
        <v>p.persica_gdr_reftransV1_0006299</v>
      </c>
      <c r="B15364" s="3">
        <v>611</v>
      </c>
      <c r="C15364" s="1" t="str">
        <f>HYPERLINK("http://www.uniprot.org/uniprot/NLTP1_SOLLC","NLTP1_SOLLC")</f>
        <v>NLTP1_SOLLC</v>
      </c>
      <c r="D15364" t="s">
        <v>9864</v>
      </c>
      <c r="E15364" s="3" t="s">
        <v>64</v>
      </c>
      <c r="F15364" s="4">
        <v>1.69E-34</v>
      </c>
      <c r="G15364" s="3">
        <v>311</v>
      </c>
      <c r="H15364" s="3">
        <v>58</v>
      </c>
      <c r="I15364" s="3">
        <v>114</v>
      </c>
      <c r="J15364" s="3">
        <v>210</v>
      </c>
      <c r="K15364" s="3">
        <v>551</v>
      </c>
      <c r="L15364" s="3">
        <v>4</v>
      </c>
      <c r="M15364" s="3">
        <v>114</v>
      </c>
    </row>
    <row r="15365" spans="1:13" x14ac:dyDescent="0.25">
      <c r="A15365" s="1" t="str">
        <f>HYPERLINK("http://www.rosaceae.org/Prunus/Prunus_persica/p.persica_gdr_reftransV1_0006399","p.persica_gdr_reftransV1_0006399")</f>
        <v>p.persica_gdr_reftransV1_0006399</v>
      </c>
      <c r="B15365" s="3">
        <v>2577</v>
      </c>
      <c r="C15365" s="1" t="str">
        <f>HYPERLINK("http://www.uniprot.org/uniprot/NMNAT_ARATH","NMNAT_ARATH")</f>
        <v>NMNAT_ARATH</v>
      </c>
      <c r="D15365" t="s">
        <v>5134</v>
      </c>
      <c r="E15365" s="3" t="s">
        <v>3</v>
      </c>
      <c r="F15365" s="4">
        <v>2.52E-73</v>
      </c>
      <c r="G15365" s="3">
        <v>627</v>
      </c>
      <c r="H15365" s="3">
        <v>68</v>
      </c>
      <c r="I15365" s="3">
        <v>164</v>
      </c>
      <c r="J15365" s="3">
        <v>1374</v>
      </c>
      <c r="K15365" s="3">
        <v>1865</v>
      </c>
      <c r="L15365" s="3">
        <v>71</v>
      </c>
      <c r="M15365" s="3">
        <v>234</v>
      </c>
    </row>
    <row r="15366" spans="1:13" x14ac:dyDescent="0.25">
      <c r="A15366" s="1" t="str">
        <f>HYPERLINK("http://www.rosaceae.org/Prunus/Prunus_persica/p.persica_gdr_reftransV1_0006449","p.persica_gdr_reftransV1_0006449")</f>
        <v>p.persica_gdr_reftransV1_0006449</v>
      </c>
      <c r="B15366" s="3">
        <v>579</v>
      </c>
      <c r="C15366" s="1" t="str">
        <f>HYPERLINK("http://www.uniprot.org/uniprot/GLR33_ARATH","GLR33_ARATH")</f>
        <v>GLR33_ARATH</v>
      </c>
      <c r="D15366" t="s">
        <v>2000</v>
      </c>
      <c r="E15366" s="3" t="s">
        <v>3</v>
      </c>
      <c r="F15366" s="4">
        <v>9.4800000000000006E-28</v>
      </c>
      <c r="G15366" s="3">
        <v>225</v>
      </c>
      <c r="H15366" s="3">
        <v>41</v>
      </c>
      <c r="I15366" s="3">
        <v>110</v>
      </c>
      <c r="J15366" s="3">
        <v>189</v>
      </c>
      <c r="K15366" s="3">
        <v>485</v>
      </c>
      <c r="L15366" s="3">
        <v>801</v>
      </c>
      <c r="M15366" s="3">
        <v>909</v>
      </c>
    </row>
    <row r="15367" spans="1:13" x14ac:dyDescent="0.25">
      <c r="A15367" s="1" t="str">
        <f>HYPERLINK("http://www.rosaceae.org/Prunus/Prunus_persica/p.persica_gdr_reftransV1_0006499","p.persica_gdr_reftransV1_0006499")</f>
        <v>p.persica_gdr_reftransV1_0006499</v>
      </c>
      <c r="B15367" s="3">
        <v>1592</v>
      </c>
      <c r="C15367" s="1" t="str">
        <f>HYPERLINK("http://www.uniprot.org/uniprot/IPT9_ARATH","IPT9_ARATH")</f>
        <v>IPT9_ARATH</v>
      </c>
      <c r="D15367" t="s">
        <v>9865</v>
      </c>
      <c r="E15367" s="3" t="s">
        <v>3</v>
      </c>
      <c r="F15367" s="4">
        <v>0</v>
      </c>
      <c r="G15367" s="3">
        <v>1443</v>
      </c>
      <c r="H15367" s="3">
        <v>67</v>
      </c>
      <c r="I15367" s="3">
        <v>436</v>
      </c>
      <c r="J15367" s="3">
        <v>85</v>
      </c>
      <c r="K15367" s="3">
        <v>1368</v>
      </c>
      <c r="L15367" s="3">
        <v>21</v>
      </c>
      <c r="M15367" s="3">
        <v>455</v>
      </c>
    </row>
    <row r="15368" spans="1:13" x14ac:dyDescent="0.25">
      <c r="A15368" s="1" t="str">
        <f>HYPERLINK("http://www.rosaceae.org/Prunus/Prunus_persica/p.persica_gdr_reftransV1_0006599","p.persica_gdr_reftransV1_0006599")</f>
        <v>p.persica_gdr_reftransV1_0006599</v>
      </c>
      <c r="B15368" s="3">
        <v>766</v>
      </c>
      <c r="C15368" s="1" t="str">
        <f>HYPERLINK("http://www.uniprot.org/uniprot/BH096_ARATH","BH096_ARATH")</f>
        <v>BH096_ARATH</v>
      </c>
      <c r="D15368" t="s">
        <v>1202</v>
      </c>
      <c r="E15368" s="3" t="s">
        <v>3</v>
      </c>
      <c r="F15368" s="4">
        <v>2.6200000000000001E-55</v>
      </c>
      <c r="G15368" s="3">
        <v>472</v>
      </c>
      <c r="H15368" s="3">
        <v>51</v>
      </c>
      <c r="I15368" s="3">
        <v>216</v>
      </c>
      <c r="J15368" s="3">
        <v>138</v>
      </c>
      <c r="K15368" s="3">
        <v>749</v>
      </c>
      <c r="L15368" s="3">
        <v>118</v>
      </c>
      <c r="M15368" s="3">
        <v>317</v>
      </c>
    </row>
    <row r="15369" spans="1:13" x14ac:dyDescent="0.25">
      <c r="A15369" s="1" t="str">
        <f>HYPERLINK("http://www.rosaceae.org/Prunus/Prunus_persica/p.persica_gdr_reftransV1_0006699","p.persica_gdr_reftransV1_0006699")</f>
        <v>p.persica_gdr_reftransV1_0006699</v>
      </c>
      <c r="B15369" s="3">
        <v>674</v>
      </c>
      <c r="C15369" s="1" t="str">
        <f>HYPERLINK("http://www.uniprot.org/uniprot/GLYT3_ARATH","GLYT3_ARATH")</f>
        <v>GLYT3_ARATH</v>
      </c>
      <c r="D15369" t="s">
        <v>2169</v>
      </c>
      <c r="E15369" s="3" t="s">
        <v>3</v>
      </c>
      <c r="F15369" s="4">
        <v>6.4599999999999996E-100</v>
      </c>
      <c r="G15369" s="3">
        <v>784</v>
      </c>
      <c r="H15369" s="3">
        <v>66</v>
      </c>
      <c r="I15369" s="3">
        <v>212</v>
      </c>
      <c r="J15369" s="3">
        <v>26</v>
      </c>
      <c r="K15369" s="3">
        <v>661</v>
      </c>
      <c r="L15369" s="3">
        <v>306</v>
      </c>
      <c r="M15369" s="3">
        <v>517</v>
      </c>
    </row>
    <row r="15370" spans="1:13" x14ac:dyDescent="0.25">
      <c r="A15370" s="1" t="str">
        <f>HYPERLINK("http://www.rosaceae.org/Prunus/Prunus_persica/p.persica_gdr_reftransV1_0006799","p.persica_gdr_reftransV1_0006799")</f>
        <v>p.persica_gdr_reftransV1_0006799</v>
      </c>
      <c r="B15370" s="3">
        <v>2331</v>
      </c>
      <c r="C15370" s="1" t="str">
        <f>HYPERLINK("http://www.uniprot.org/uniprot/PPO_MALDO","PPO_MALDO")</f>
        <v>PPO_MALDO</v>
      </c>
      <c r="D15370" t="s">
        <v>2145</v>
      </c>
      <c r="E15370" s="3" t="s">
        <v>540</v>
      </c>
      <c r="F15370" s="4">
        <v>0</v>
      </c>
      <c r="G15370" s="3">
        <v>1726</v>
      </c>
      <c r="H15370" s="3">
        <v>70</v>
      </c>
      <c r="I15370" s="3">
        <v>580</v>
      </c>
      <c r="J15370" s="3">
        <v>388</v>
      </c>
      <c r="K15370" s="3">
        <v>2124</v>
      </c>
      <c r="L15370" s="3">
        <v>27</v>
      </c>
      <c r="M15370" s="3">
        <v>593</v>
      </c>
    </row>
    <row r="15371" spans="1:13" x14ac:dyDescent="0.25">
      <c r="A15371" s="1" t="str">
        <f>HYPERLINK("http://www.rosaceae.org/Prunus/Prunus_persica/p.persica_gdr_reftransV1_0006899","p.persica_gdr_reftransV1_0006899")</f>
        <v>p.persica_gdr_reftransV1_0006899</v>
      </c>
      <c r="B15371" s="3">
        <v>1701</v>
      </c>
      <c r="C15371" s="1" t="str">
        <f>HYPERLINK("http://www.uniprot.org/uniprot/GPDL2_ARATH","GPDL2_ARATH")</f>
        <v>GPDL2_ARATH</v>
      </c>
      <c r="D15371" t="s">
        <v>3941</v>
      </c>
      <c r="E15371" s="3" t="s">
        <v>3</v>
      </c>
      <c r="F15371" s="4">
        <v>1.7800000000000001E-15</v>
      </c>
      <c r="G15371" s="3">
        <v>206</v>
      </c>
      <c r="H15371" s="3">
        <v>45</v>
      </c>
      <c r="I15371" s="3">
        <v>89</v>
      </c>
      <c r="J15371" s="3">
        <v>1442</v>
      </c>
      <c r="K15371" s="3">
        <v>1696</v>
      </c>
      <c r="L15371" s="3">
        <v>773</v>
      </c>
      <c r="M15371" s="3">
        <v>861</v>
      </c>
    </row>
    <row r="15372" spans="1:13" x14ac:dyDescent="0.25">
      <c r="A15372" s="1" t="str">
        <f>HYPERLINK("http://www.rosaceae.org/Prunus/Prunus_persica/p.persica_gdr_reftransV1_0007049","p.persica_gdr_reftransV1_0007049")</f>
        <v>p.persica_gdr_reftransV1_0007049</v>
      </c>
      <c r="B15372" s="3">
        <v>655</v>
      </c>
      <c r="C15372" s="1" t="str">
        <f>HYPERLINK("http://www.uniprot.org/uniprot/LEA14_SOYBN","LEA14_SOYBN")</f>
        <v>LEA14_SOYBN</v>
      </c>
      <c r="D15372" t="s">
        <v>8222</v>
      </c>
      <c r="E15372" s="3" t="s">
        <v>307</v>
      </c>
      <c r="F15372" s="4">
        <v>2.23E-30</v>
      </c>
      <c r="G15372" s="3">
        <v>288</v>
      </c>
      <c r="H15372" s="3">
        <v>39</v>
      </c>
      <c r="I15372" s="3">
        <v>161</v>
      </c>
      <c r="J15372" s="3">
        <v>113</v>
      </c>
      <c r="K15372" s="3">
        <v>586</v>
      </c>
      <c r="L15372" s="3">
        <v>1</v>
      </c>
      <c r="M15372" s="3">
        <v>151</v>
      </c>
    </row>
    <row r="15373" spans="1:13" x14ac:dyDescent="0.25">
      <c r="A15373" s="1" t="str">
        <f>HYPERLINK("http://www.rosaceae.org/Prunus/Prunus_persica/p.persica_gdr_reftransV1_0007199","p.persica_gdr_reftransV1_0007199")</f>
        <v>p.persica_gdr_reftransV1_0007199</v>
      </c>
      <c r="B15373" s="3">
        <v>7708</v>
      </c>
      <c r="C15373" s="1" t="str">
        <f>HYPERLINK("http://www.uniprot.org/uniprot/TOR_ARATH","TOR_ARATH")</f>
        <v>TOR_ARATH</v>
      </c>
      <c r="D15373" t="s">
        <v>9866</v>
      </c>
      <c r="E15373" s="3" t="s">
        <v>3</v>
      </c>
      <c r="F15373" s="4">
        <v>0</v>
      </c>
      <c r="G15373" s="3">
        <v>10449</v>
      </c>
      <c r="H15373" s="3">
        <v>83</v>
      </c>
      <c r="I15373" s="3">
        <v>2482</v>
      </c>
      <c r="J15373" s="3">
        <v>266</v>
      </c>
      <c r="K15373" s="3">
        <v>7687</v>
      </c>
      <c r="L15373" s="3">
        <v>11</v>
      </c>
      <c r="M15373" s="3">
        <v>2481</v>
      </c>
    </row>
    <row r="15374" spans="1:13" x14ac:dyDescent="0.25">
      <c r="A15374" s="1" t="str">
        <f>HYPERLINK("http://www.rosaceae.org/Prunus/Prunus_persica/p.persica_gdr_reftransV1_0007549","p.persica_gdr_reftransV1_0007549")</f>
        <v>p.persica_gdr_reftransV1_0007549</v>
      </c>
      <c r="B15374" s="3">
        <v>2541</v>
      </c>
      <c r="C15374" s="1" t="str">
        <f>HYPERLINK("http://www.uniprot.org/uniprot/PP285_ARATH","PP285_ARATH")</f>
        <v>PP285_ARATH</v>
      </c>
      <c r="D15374" t="s">
        <v>6714</v>
      </c>
      <c r="E15374" s="3" t="s">
        <v>3</v>
      </c>
      <c r="F15374" s="4">
        <v>7.1499999999999995E-141</v>
      </c>
      <c r="G15374" s="3">
        <v>1148</v>
      </c>
      <c r="H15374" s="3">
        <v>33</v>
      </c>
      <c r="I15374" s="3">
        <v>758</v>
      </c>
      <c r="J15374" s="3">
        <v>32</v>
      </c>
      <c r="K15374" s="3">
        <v>2248</v>
      </c>
      <c r="L15374" s="3">
        <v>58</v>
      </c>
      <c r="M15374" s="3">
        <v>811</v>
      </c>
    </row>
    <row r="15375" spans="1:13" x14ac:dyDescent="0.25">
      <c r="A15375" s="1" t="str">
        <f>HYPERLINK("http://www.rosaceae.org/Prunus/Prunus_persica/p.persica_gdr_reftransV1_0007949","p.persica_gdr_reftransV1_0007949")</f>
        <v>p.persica_gdr_reftransV1_0007949</v>
      </c>
      <c r="B15375" s="3">
        <v>6018</v>
      </c>
      <c r="C15375" s="1" t="str">
        <f>HYPERLINK("http://www.uniprot.org/uniprot/NCOR1_XENTR","NCOR1_XENTR")</f>
        <v>NCOR1_XENTR</v>
      </c>
      <c r="D15375" t="s">
        <v>9867</v>
      </c>
      <c r="E15375" s="3" t="s">
        <v>173</v>
      </c>
      <c r="F15375" s="4">
        <v>3.4900000000000001E-14</v>
      </c>
      <c r="G15375" s="3">
        <v>203</v>
      </c>
      <c r="H15375" s="3">
        <v>39</v>
      </c>
      <c r="I15375" s="3">
        <v>108</v>
      </c>
      <c r="J15375" s="3">
        <v>2954</v>
      </c>
      <c r="K15375" s="3">
        <v>3277</v>
      </c>
      <c r="L15375" s="3">
        <v>387</v>
      </c>
      <c r="M15375" s="3">
        <v>493</v>
      </c>
    </row>
    <row r="15376" spans="1:13" x14ac:dyDescent="0.25">
      <c r="A15376" s="1" t="str">
        <f>HYPERLINK("http://www.rosaceae.org/Prunus/Prunus_persica/p.persica_gdr_reftransV1_0008049","p.persica_gdr_reftransV1_0008049")</f>
        <v>p.persica_gdr_reftransV1_0008049</v>
      </c>
      <c r="B15376" s="3">
        <v>1476</v>
      </c>
      <c r="C15376" s="1" t="str">
        <f>HYPERLINK("http://www.uniprot.org/uniprot/PP330_ARATH","PP330_ARATH")</f>
        <v>PP330_ARATH</v>
      </c>
      <c r="D15376" t="s">
        <v>755</v>
      </c>
      <c r="E15376" s="3" t="s">
        <v>3</v>
      </c>
      <c r="F15376" s="4">
        <v>1.1100000000000001E-63</v>
      </c>
      <c r="G15376" s="3">
        <v>568</v>
      </c>
      <c r="H15376" s="3">
        <v>56</v>
      </c>
      <c r="I15376" s="3">
        <v>178</v>
      </c>
      <c r="J15376" s="3">
        <v>941</v>
      </c>
      <c r="K15376" s="3">
        <v>1474</v>
      </c>
      <c r="L15376" s="3">
        <v>418</v>
      </c>
      <c r="M15376" s="3">
        <v>595</v>
      </c>
    </row>
    <row r="15377" spans="1:13" x14ac:dyDescent="0.25">
      <c r="A15377" s="1" t="str">
        <f>HYPERLINK("http://www.rosaceae.org/Prunus/Prunus_persica/p.persica_gdr_reftransV1_0008199","p.persica_gdr_reftransV1_0008199")</f>
        <v>p.persica_gdr_reftransV1_0008199</v>
      </c>
      <c r="B15377" s="3">
        <v>970</v>
      </c>
      <c r="C15377" s="1" t="str">
        <f>HYPERLINK("http://www.uniprot.org/uniprot/ABAH3_ORYSI","ABAH3_ORYSI")</f>
        <v>ABAH3_ORYSI</v>
      </c>
      <c r="D15377" t="s">
        <v>9868</v>
      </c>
      <c r="E15377" s="3" t="s">
        <v>38</v>
      </c>
      <c r="F15377" s="4">
        <v>2.66E-136</v>
      </c>
      <c r="G15377" s="3">
        <v>1036</v>
      </c>
      <c r="H15377" s="3">
        <v>66</v>
      </c>
      <c r="I15377" s="3">
        <v>296</v>
      </c>
      <c r="J15377" s="3">
        <v>76</v>
      </c>
      <c r="K15377" s="3">
        <v>960</v>
      </c>
      <c r="L15377" s="3">
        <v>194</v>
      </c>
      <c r="M15377" s="3">
        <v>489</v>
      </c>
    </row>
    <row r="15378" spans="1:13" x14ac:dyDescent="0.25">
      <c r="A15378" s="1" t="str">
        <f>HYPERLINK("http://www.rosaceae.org/Prunus/Prunus_persica/p.persica_gdr_reftransV1_0008449","p.persica_gdr_reftransV1_0008449")</f>
        <v>p.persica_gdr_reftransV1_0008449</v>
      </c>
      <c r="B15378" s="3">
        <v>1342</v>
      </c>
      <c r="C15378" s="1" t="str">
        <f>HYPERLINK("http://www.uniprot.org/uniprot/PP429_ARATH","PP429_ARATH")</f>
        <v>PP429_ARATH</v>
      </c>
      <c r="D15378" t="s">
        <v>2967</v>
      </c>
      <c r="E15378" s="3" t="s">
        <v>3</v>
      </c>
      <c r="F15378" s="4">
        <v>9.0999999999999991E-165</v>
      </c>
      <c r="G15378" s="3">
        <v>1246</v>
      </c>
      <c r="H15378" s="3">
        <v>76</v>
      </c>
      <c r="I15378" s="3">
        <v>351</v>
      </c>
      <c r="J15378" s="3">
        <v>1</v>
      </c>
      <c r="K15378" s="3">
        <v>1053</v>
      </c>
      <c r="L15378" s="3">
        <v>238</v>
      </c>
      <c r="M15378" s="3">
        <v>588</v>
      </c>
    </row>
    <row r="15379" spans="1:13" x14ac:dyDescent="0.25">
      <c r="A15379" s="1" t="str">
        <f>HYPERLINK("http://www.rosaceae.org/Prunus/Prunus_persica/p.persica_gdr_reftransV1_0008549","p.persica_gdr_reftransV1_0008549")</f>
        <v>p.persica_gdr_reftransV1_0008549</v>
      </c>
      <c r="B15379" s="3">
        <v>1048</v>
      </c>
      <c r="C15379" s="1" t="str">
        <f>HYPERLINK("http://www.uniprot.org/uniprot/ACDH_ARATH","ACDH_ARATH")</f>
        <v>ACDH_ARATH</v>
      </c>
      <c r="D15379" t="s">
        <v>9869</v>
      </c>
      <c r="E15379" s="3" t="s">
        <v>3</v>
      </c>
      <c r="F15379" s="4">
        <v>2.0700000000000001E-93</v>
      </c>
      <c r="G15379" s="3">
        <v>728</v>
      </c>
      <c r="H15379" s="3">
        <v>66</v>
      </c>
      <c r="I15379" s="3">
        <v>203</v>
      </c>
      <c r="J15379" s="3">
        <v>278</v>
      </c>
      <c r="K15379" s="3">
        <v>880</v>
      </c>
      <c r="L15379" s="3">
        <v>27</v>
      </c>
      <c r="M15379" s="3">
        <v>229</v>
      </c>
    </row>
    <row r="15380" spans="1:13" x14ac:dyDescent="0.25">
      <c r="A15380" s="1" t="str">
        <f>HYPERLINK("http://www.rosaceae.org/Prunus/Prunus_persica/p.persica_gdr_reftransV1_0008649","p.persica_gdr_reftransV1_0008649")</f>
        <v>p.persica_gdr_reftransV1_0008649</v>
      </c>
      <c r="B15380" s="3">
        <v>2420</v>
      </c>
      <c r="C15380" s="1" t="str">
        <f>HYPERLINK("http://www.uniprot.org/uniprot/Y2474_ARATH","Y2474_ARATH")</f>
        <v>Y2474_ARATH</v>
      </c>
      <c r="D15380" t="s">
        <v>9870</v>
      </c>
      <c r="E15380" s="3" t="s">
        <v>3</v>
      </c>
      <c r="F15380" s="4">
        <v>0</v>
      </c>
      <c r="G15380" s="3">
        <v>1539</v>
      </c>
      <c r="H15380" s="3">
        <v>72</v>
      </c>
      <c r="I15380" s="3">
        <v>405</v>
      </c>
      <c r="J15380" s="3">
        <v>208</v>
      </c>
      <c r="K15380" s="3">
        <v>1422</v>
      </c>
      <c r="L15380" s="3">
        <v>10</v>
      </c>
      <c r="M15380" s="3">
        <v>405</v>
      </c>
    </row>
    <row r="15381" spans="1:13" x14ac:dyDescent="0.25">
      <c r="A15381" s="1" t="str">
        <f>HYPERLINK("http://www.rosaceae.org/Prunus/Prunus_persica/p.persica_gdr_reftransV1_0008749","p.persica_gdr_reftransV1_0008749")</f>
        <v>p.persica_gdr_reftransV1_0008749</v>
      </c>
      <c r="B15381" s="3">
        <v>2077</v>
      </c>
      <c r="C15381" s="1" t="str">
        <f>HYPERLINK("http://www.uniprot.org/uniprot/MSH7_ARATH","MSH7_ARATH")</f>
        <v>MSH7_ARATH</v>
      </c>
      <c r="D15381" t="s">
        <v>3659</v>
      </c>
      <c r="E15381" s="3" t="s">
        <v>3</v>
      </c>
      <c r="F15381" s="4">
        <v>0</v>
      </c>
      <c r="G15381" s="3">
        <v>2304</v>
      </c>
      <c r="H15381" s="3">
        <v>69</v>
      </c>
      <c r="I15381" s="3">
        <v>617</v>
      </c>
      <c r="J15381" s="3">
        <v>248</v>
      </c>
      <c r="K15381" s="3">
        <v>2077</v>
      </c>
      <c r="L15381" s="3">
        <v>489</v>
      </c>
      <c r="M15381" s="3">
        <v>1105</v>
      </c>
    </row>
    <row r="15382" spans="1:13" x14ac:dyDescent="0.25">
      <c r="A15382" s="1" t="str">
        <f>HYPERLINK("http://www.rosaceae.org/Prunus/Prunus_persica/p.persica_gdr_reftransV1_0008849","p.persica_gdr_reftransV1_0008849")</f>
        <v>p.persica_gdr_reftransV1_0008849</v>
      </c>
      <c r="B15382" s="3">
        <v>1025</v>
      </c>
      <c r="C15382" s="1" t="str">
        <f>HYPERLINK("http://www.uniprot.org/uniprot/TXND9_ARATH","TXND9_ARATH")</f>
        <v>TXND9_ARATH</v>
      </c>
      <c r="D15382" t="s">
        <v>9871</v>
      </c>
      <c r="E15382" s="3" t="s">
        <v>3</v>
      </c>
      <c r="F15382" s="4">
        <v>1.05E-108</v>
      </c>
      <c r="G15382" s="3">
        <v>827</v>
      </c>
      <c r="H15382" s="3">
        <v>78</v>
      </c>
      <c r="I15382" s="3">
        <v>198</v>
      </c>
      <c r="J15382" s="3">
        <v>330</v>
      </c>
      <c r="K15382" s="3">
        <v>911</v>
      </c>
      <c r="L15382" s="3">
        <v>5</v>
      </c>
      <c r="M15382" s="3">
        <v>202</v>
      </c>
    </row>
    <row r="15383" spans="1:13" x14ac:dyDescent="0.25">
      <c r="A15383" s="1" t="str">
        <f>HYPERLINK("http://www.rosaceae.org/Prunus/Prunus_persica/p.persica_gdr_reftransV1_0008999","p.persica_gdr_reftransV1_0008999")</f>
        <v>p.persica_gdr_reftransV1_0008999</v>
      </c>
      <c r="B15383" s="3">
        <v>1297</v>
      </c>
      <c r="C15383" s="1" t="str">
        <f>HYPERLINK("http://www.uniprot.org/uniprot/CTF7_ARATH","CTF7_ARATH")</f>
        <v>CTF7_ARATH</v>
      </c>
      <c r="D15383" t="s">
        <v>9872</v>
      </c>
      <c r="E15383" s="3" t="s">
        <v>3</v>
      </c>
      <c r="F15383" s="4">
        <v>6.0900000000000001E-104</v>
      </c>
      <c r="G15383" s="3">
        <v>817</v>
      </c>
      <c r="H15383" s="3">
        <v>50</v>
      </c>
      <c r="I15383" s="3">
        <v>356</v>
      </c>
      <c r="J15383" s="3">
        <v>90</v>
      </c>
      <c r="K15383" s="3">
        <v>1154</v>
      </c>
      <c r="L15383" s="3">
        <v>1</v>
      </c>
      <c r="M15383" s="3">
        <v>336</v>
      </c>
    </row>
    <row r="15384" spans="1:13" x14ac:dyDescent="0.25">
      <c r="A15384" s="1" t="str">
        <f>HYPERLINK("http://www.rosaceae.org/Prunus/Prunus_persica/p.persica_gdr_reftransV1_0009099","p.persica_gdr_reftransV1_0009099")</f>
        <v>p.persica_gdr_reftransV1_0009099</v>
      </c>
      <c r="B15384" s="3">
        <v>4781</v>
      </c>
      <c r="C15384" s="1" t="str">
        <f>HYPERLINK("http://www.uniprot.org/uniprot/RH3_ARATH","RH3_ARATH")</f>
        <v>RH3_ARATH</v>
      </c>
      <c r="D15384" t="s">
        <v>9873</v>
      </c>
      <c r="E15384" s="3" t="s">
        <v>3</v>
      </c>
      <c r="F15384" s="4">
        <v>0</v>
      </c>
      <c r="G15384" s="3">
        <v>2382</v>
      </c>
      <c r="H15384" s="3">
        <v>73</v>
      </c>
      <c r="I15384" s="3">
        <v>656</v>
      </c>
      <c r="J15384" s="3">
        <v>920</v>
      </c>
      <c r="K15384" s="3">
        <v>2881</v>
      </c>
      <c r="L15384" s="3">
        <v>1</v>
      </c>
      <c r="M15384" s="3">
        <v>641</v>
      </c>
    </row>
    <row r="15385" spans="1:13" x14ac:dyDescent="0.25">
      <c r="A15385" s="1" t="str">
        <f>HYPERLINK("http://www.rosaceae.org/Prunus/Prunus_persica/p.persica_gdr_reftransV1_0009249","p.persica_gdr_reftransV1_0009249")</f>
        <v>p.persica_gdr_reftransV1_0009249</v>
      </c>
      <c r="B15385" s="3">
        <v>3334</v>
      </c>
      <c r="C15385" s="1" t="str">
        <f>HYPERLINK("http://www.uniprot.org/uniprot/CLSY3_ARATH","CLSY3_ARATH")</f>
        <v>CLSY3_ARATH</v>
      </c>
      <c r="D15385" t="s">
        <v>562</v>
      </c>
      <c r="E15385" s="3" t="s">
        <v>3</v>
      </c>
      <c r="F15385" s="4">
        <v>6.1799999999999999E-89</v>
      </c>
      <c r="G15385" s="3">
        <v>814</v>
      </c>
      <c r="H15385" s="3">
        <v>31</v>
      </c>
      <c r="I15385" s="3">
        <v>731</v>
      </c>
      <c r="J15385" s="3">
        <v>921</v>
      </c>
      <c r="K15385" s="3">
        <v>2861</v>
      </c>
      <c r="L15385" s="3">
        <v>675</v>
      </c>
      <c r="M15385" s="3">
        <v>1366</v>
      </c>
    </row>
    <row r="15386" spans="1:13" x14ac:dyDescent="0.25">
      <c r="A15386" s="1" t="str">
        <f>HYPERLINK("http://www.rosaceae.org/Prunus/Prunus_persica/p.persica_gdr_reftransV1_0009299","p.persica_gdr_reftransV1_0009299")</f>
        <v>p.persica_gdr_reftransV1_0009299</v>
      </c>
      <c r="B15386" s="3">
        <v>516</v>
      </c>
      <c r="C15386" s="1" t="str">
        <f>HYPERLINK("http://www.uniprot.org/uniprot/FRS5_ARATH","FRS5_ARATH")</f>
        <v>FRS5_ARATH</v>
      </c>
      <c r="D15386" t="s">
        <v>908</v>
      </c>
      <c r="E15386" s="3" t="s">
        <v>3</v>
      </c>
      <c r="F15386" s="4">
        <v>1.4600000000000001E-29</v>
      </c>
      <c r="G15386" s="3">
        <v>297</v>
      </c>
      <c r="H15386" s="3">
        <v>41</v>
      </c>
      <c r="I15386" s="3">
        <v>149</v>
      </c>
      <c r="J15386" s="3">
        <v>69</v>
      </c>
      <c r="K15386" s="3">
        <v>515</v>
      </c>
      <c r="L15386" s="3">
        <v>268</v>
      </c>
      <c r="M15386" s="3">
        <v>416</v>
      </c>
    </row>
    <row r="15387" spans="1:13" x14ac:dyDescent="0.25">
      <c r="A15387" s="1" t="str">
        <f>HYPERLINK("http://www.rosaceae.org/Prunus/Prunus_persica/p.persica_gdr_reftransV1_0009399","p.persica_gdr_reftransV1_0009399")</f>
        <v>p.persica_gdr_reftransV1_0009399</v>
      </c>
      <c r="B15387" s="3">
        <v>771</v>
      </c>
      <c r="C15387" s="1" t="str">
        <f>HYPERLINK("http://www.uniprot.org/uniprot/Y5278_ARATH","Y5278_ARATH")</f>
        <v>Y5278_ARATH</v>
      </c>
      <c r="D15387" t="s">
        <v>9874</v>
      </c>
      <c r="E15387" s="3" t="s">
        <v>3</v>
      </c>
      <c r="F15387" s="4">
        <v>2.19E-24</v>
      </c>
      <c r="G15387" s="3">
        <v>250</v>
      </c>
      <c r="H15387" s="3">
        <v>48</v>
      </c>
      <c r="I15387" s="3">
        <v>151</v>
      </c>
      <c r="J15387" s="3">
        <v>155</v>
      </c>
      <c r="K15387" s="3">
        <v>607</v>
      </c>
      <c r="L15387" s="3">
        <v>22</v>
      </c>
      <c r="M15387" s="3">
        <v>167</v>
      </c>
    </row>
    <row r="15388" spans="1:13" x14ac:dyDescent="0.25">
      <c r="A15388" s="1" t="str">
        <f>HYPERLINK("http://www.rosaceae.org/Prunus/Prunus_persica/p.persica_gdr_reftransV1_0009499","p.persica_gdr_reftransV1_0009499")</f>
        <v>p.persica_gdr_reftransV1_0009499</v>
      </c>
      <c r="B15388" s="3">
        <v>3036</v>
      </c>
      <c r="C15388" s="1" t="str">
        <f>HYPERLINK("http://www.uniprot.org/uniprot/SKOR_ARATH","SKOR_ARATH")</f>
        <v>SKOR_ARATH</v>
      </c>
      <c r="D15388" t="s">
        <v>3390</v>
      </c>
      <c r="E15388" s="3" t="s">
        <v>3</v>
      </c>
      <c r="F15388" s="4">
        <v>0</v>
      </c>
      <c r="G15388" s="3">
        <v>3046</v>
      </c>
      <c r="H15388" s="3">
        <v>73</v>
      </c>
      <c r="I15388" s="3">
        <v>801</v>
      </c>
      <c r="J15388" s="3">
        <v>375</v>
      </c>
      <c r="K15388" s="3">
        <v>2765</v>
      </c>
      <c r="L15388" s="3">
        <v>33</v>
      </c>
      <c r="M15388" s="3">
        <v>828</v>
      </c>
    </row>
    <row r="15389" spans="1:13" x14ac:dyDescent="0.25">
      <c r="A15389" s="1" t="str">
        <f>HYPERLINK("http://www.rosaceae.org/Prunus/Prunus_persica/p.persica_gdr_reftransV1_0009749","p.persica_gdr_reftransV1_0009749")</f>
        <v>p.persica_gdr_reftransV1_0009749</v>
      </c>
      <c r="B15389" s="3">
        <v>1197</v>
      </c>
      <c r="C15389" s="1" t="str">
        <f>HYPERLINK("http://www.uniprot.org/uniprot/PSF1_MOUSE","PSF1_MOUSE")</f>
        <v>PSF1_MOUSE</v>
      </c>
      <c r="D15389" t="s">
        <v>5098</v>
      </c>
      <c r="E15389" s="3" t="s">
        <v>157</v>
      </c>
      <c r="F15389" s="4">
        <v>1.83E-27</v>
      </c>
      <c r="G15389" s="3">
        <v>279</v>
      </c>
      <c r="H15389" s="3">
        <v>32</v>
      </c>
      <c r="I15389" s="3">
        <v>207</v>
      </c>
      <c r="J15389" s="3">
        <v>340</v>
      </c>
      <c r="K15389" s="3">
        <v>933</v>
      </c>
      <c r="L15389" s="3">
        <v>1</v>
      </c>
      <c r="M15389" s="3">
        <v>196</v>
      </c>
    </row>
    <row r="15390" spans="1:13" x14ac:dyDescent="0.25">
      <c r="A15390" s="1" t="str">
        <f>HYPERLINK("http://www.rosaceae.org/Prunus/Prunus_persica/p.persica_gdr_reftransV1_0009849","p.persica_gdr_reftransV1_0009849")</f>
        <v>p.persica_gdr_reftransV1_0009849</v>
      </c>
      <c r="B15390" s="3">
        <v>1915</v>
      </c>
      <c r="C15390" s="1" t="str">
        <f>HYPERLINK("http://www.uniprot.org/uniprot/TNKS2_MOUSE","TNKS2_MOUSE")</f>
        <v>TNKS2_MOUSE</v>
      </c>
      <c r="D15390" t="s">
        <v>9875</v>
      </c>
      <c r="E15390" s="3" t="s">
        <v>157</v>
      </c>
      <c r="F15390" s="4">
        <v>1.38E-28</v>
      </c>
      <c r="G15390" s="3">
        <v>315</v>
      </c>
      <c r="H15390" s="3">
        <v>28</v>
      </c>
      <c r="I15390" s="3">
        <v>376</v>
      </c>
      <c r="J15390" s="3">
        <v>583</v>
      </c>
      <c r="K15390" s="3">
        <v>1548</v>
      </c>
      <c r="L15390" s="3">
        <v>415</v>
      </c>
      <c r="M15390" s="3">
        <v>784</v>
      </c>
    </row>
    <row r="15391" spans="1:13" x14ac:dyDescent="0.25">
      <c r="A15391" s="1" t="str">
        <f>HYPERLINK("http://www.rosaceae.org/Prunus/Prunus_persica/p.persica_gdr_reftransV1_0009949","p.persica_gdr_reftransV1_0009949")</f>
        <v>p.persica_gdr_reftransV1_0009949</v>
      </c>
      <c r="B15391" s="3">
        <v>1252</v>
      </c>
      <c r="C15391" s="1" t="str">
        <f>HYPERLINK("http://www.uniprot.org/uniprot/AI5L5_ARATH","AI5L5_ARATH")</f>
        <v>AI5L5_ARATH</v>
      </c>
      <c r="D15391" t="s">
        <v>6294</v>
      </c>
      <c r="E15391" s="3" t="s">
        <v>3</v>
      </c>
      <c r="F15391" s="4">
        <v>4.3899999999999999E-31</v>
      </c>
      <c r="G15391" s="3">
        <v>318</v>
      </c>
      <c r="H15391" s="3">
        <v>43</v>
      </c>
      <c r="I15391" s="3">
        <v>267</v>
      </c>
      <c r="J15391" s="3">
        <v>27</v>
      </c>
      <c r="K15391" s="3">
        <v>743</v>
      </c>
      <c r="L15391" s="3">
        <v>135</v>
      </c>
      <c r="M15391" s="3">
        <v>371</v>
      </c>
    </row>
    <row r="15392" spans="1:13" x14ac:dyDescent="0.25">
      <c r="A15392" s="1" t="str">
        <f>HYPERLINK("http://www.rosaceae.org/Prunus/Prunus_persica/p.persica_gdr_reftransV1_0009999","p.persica_gdr_reftransV1_0009999")</f>
        <v>p.persica_gdr_reftransV1_0009999</v>
      </c>
      <c r="B15392" s="3">
        <v>3232</v>
      </c>
      <c r="C15392" s="1" t="str">
        <f>HYPERLINK("http://www.uniprot.org/uniprot/CAF2M_ARATH","CAF2M_ARATH")</f>
        <v>CAF2M_ARATH</v>
      </c>
      <c r="D15392" t="s">
        <v>9876</v>
      </c>
      <c r="E15392" s="3" t="s">
        <v>3</v>
      </c>
      <c r="F15392" s="4">
        <v>4.7299999999999998E-130</v>
      </c>
      <c r="G15392" s="3">
        <v>644</v>
      </c>
      <c r="H15392" s="3">
        <v>77</v>
      </c>
      <c r="I15392" s="3">
        <v>147</v>
      </c>
      <c r="J15392" s="3">
        <v>777</v>
      </c>
      <c r="K15392" s="3">
        <v>1217</v>
      </c>
      <c r="L15392" s="3">
        <v>208</v>
      </c>
      <c r="M15392" s="3">
        <v>354</v>
      </c>
    </row>
    <row r="15393" spans="1:13" x14ac:dyDescent="0.25">
      <c r="A15393" s="1" t="str">
        <f>HYPERLINK("http://www.rosaceae.org/Prunus/Prunus_persica/p.persica_gdr_reftransV1_0010049","p.persica_gdr_reftransV1_0010049")</f>
        <v>p.persica_gdr_reftransV1_0010049</v>
      </c>
      <c r="B15393" s="3">
        <v>1758</v>
      </c>
      <c r="C15393" s="1" t="str">
        <f>HYPERLINK("http://www.uniprot.org/uniprot/E134_MAIZE","E134_MAIZE")</f>
        <v>E134_MAIZE</v>
      </c>
      <c r="D15393" t="s">
        <v>849</v>
      </c>
      <c r="E15393" s="3" t="s">
        <v>72</v>
      </c>
      <c r="F15393" s="4">
        <v>4.4200000000000001E-33</v>
      </c>
      <c r="G15393" s="3">
        <v>333</v>
      </c>
      <c r="H15393" s="3">
        <v>48</v>
      </c>
      <c r="I15393" s="3">
        <v>145</v>
      </c>
      <c r="J15393" s="3">
        <v>517</v>
      </c>
      <c r="K15393" s="3">
        <v>951</v>
      </c>
      <c r="L15393" s="3">
        <v>79</v>
      </c>
      <c r="M15393" s="3">
        <v>219</v>
      </c>
    </row>
    <row r="15394" spans="1:13" x14ac:dyDescent="0.25">
      <c r="A15394" s="1" t="str">
        <f>HYPERLINK("http://www.rosaceae.org/Prunus/Prunus_persica/p.persica_gdr_reftransV1_0010149","p.persica_gdr_reftransV1_0010149")</f>
        <v>p.persica_gdr_reftransV1_0010149</v>
      </c>
      <c r="B15394" s="3">
        <v>3550</v>
      </c>
      <c r="C15394" s="1" t="str">
        <f>HYPERLINK("http://www.uniprot.org/uniprot/UBP15_ARATH","UBP15_ARATH")</f>
        <v>UBP15_ARATH</v>
      </c>
      <c r="D15394" t="s">
        <v>9877</v>
      </c>
      <c r="E15394" s="3" t="s">
        <v>3</v>
      </c>
      <c r="F15394" s="4">
        <v>0</v>
      </c>
      <c r="G15394" s="3">
        <v>1892</v>
      </c>
      <c r="H15394" s="3">
        <v>58</v>
      </c>
      <c r="I15394" s="3">
        <v>644</v>
      </c>
      <c r="J15394" s="3">
        <v>1409</v>
      </c>
      <c r="K15394" s="3">
        <v>3289</v>
      </c>
      <c r="L15394" s="3">
        <v>339</v>
      </c>
      <c r="M15394" s="3">
        <v>909</v>
      </c>
    </row>
    <row r="15395" spans="1:13" x14ac:dyDescent="0.25">
      <c r="A15395" s="1" t="str">
        <f>HYPERLINK("http://www.rosaceae.org/Prunus/Prunus_persica/p.persica_gdr_reftransV1_0010299","p.persica_gdr_reftransV1_0010299")</f>
        <v>p.persica_gdr_reftransV1_0010299</v>
      </c>
      <c r="B15395" s="3">
        <v>860</v>
      </c>
      <c r="C15395" s="1" t="str">
        <f>HYPERLINK("http://www.uniprot.org/uniprot/MZM1_PHANO","MZM1_PHANO")</f>
        <v>MZM1_PHANO</v>
      </c>
      <c r="D15395" t="s">
        <v>9878</v>
      </c>
      <c r="E15395" s="3" t="s">
        <v>8814</v>
      </c>
      <c r="F15395" s="4">
        <v>3.9499999999999998E-7</v>
      </c>
      <c r="G15395" s="3">
        <v>122</v>
      </c>
      <c r="H15395" s="3">
        <v>41</v>
      </c>
      <c r="I15395" s="3">
        <v>80</v>
      </c>
      <c r="J15395" s="3">
        <v>522</v>
      </c>
      <c r="K15395" s="3">
        <v>752</v>
      </c>
      <c r="L15395" s="3">
        <v>7</v>
      </c>
      <c r="M15395" s="3">
        <v>85</v>
      </c>
    </row>
    <row r="15396" spans="1:13" x14ac:dyDescent="0.25">
      <c r="A15396" s="1" t="str">
        <f>HYPERLINK("http://www.rosaceae.org/Prunus/Prunus_persica/p.persica_gdr_reftransV1_0010349","p.persica_gdr_reftransV1_0010349")</f>
        <v>p.persica_gdr_reftransV1_0010349</v>
      </c>
      <c r="B15396" s="3">
        <v>1241</v>
      </c>
      <c r="C15396" s="1" t="str">
        <f>HYPERLINK("http://www.uniprot.org/uniprot/CB069_DANRE","CB069_DANRE")</f>
        <v>CB069_DANRE</v>
      </c>
      <c r="D15396" t="s">
        <v>9879</v>
      </c>
      <c r="E15396" s="3" t="s">
        <v>704</v>
      </c>
      <c r="F15396" s="4">
        <v>8.8599999999999999E-8</v>
      </c>
      <c r="G15396" s="3">
        <v>137</v>
      </c>
      <c r="H15396" s="3">
        <v>27</v>
      </c>
      <c r="I15396" s="3">
        <v>244</v>
      </c>
      <c r="J15396" s="3">
        <v>369</v>
      </c>
      <c r="K15396" s="3">
        <v>1082</v>
      </c>
      <c r="L15396" s="3">
        <v>140</v>
      </c>
      <c r="M15396" s="3">
        <v>340</v>
      </c>
    </row>
    <row r="15397" spans="1:13" x14ac:dyDescent="0.25">
      <c r="A15397" s="1" t="str">
        <f>HYPERLINK("http://www.rosaceae.org/Prunus/Prunus_persica/p.persica_gdr_reftransV1_0010399","p.persica_gdr_reftransV1_0010399")</f>
        <v>p.persica_gdr_reftransV1_0010399</v>
      </c>
      <c r="B15397" s="3">
        <v>2174</v>
      </c>
      <c r="C15397" s="1" t="str">
        <f>HYPERLINK("http://www.uniprot.org/uniprot/RS27A_SOLTU","RS27A_SOLTU")</f>
        <v>RS27A_SOLTU</v>
      </c>
      <c r="D15397" t="s">
        <v>9880</v>
      </c>
      <c r="E15397" s="3" t="s">
        <v>11</v>
      </c>
      <c r="F15397" s="4">
        <v>8.9499999999999993E-83</v>
      </c>
      <c r="G15397" s="3">
        <v>679</v>
      </c>
      <c r="H15397" s="3">
        <v>99</v>
      </c>
      <c r="I15397" s="3">
        <v>156</v>
      </c>
      <c r="J15397" s="3">
        <v>35</v>
      </c>
      <c r="K15397" s="3">
        <v>502</v>
      </c>
      <c r="L15397" s="3">
        <v>1</v>
      </c>
      <c r="M15397" s="3">
        <v>156</v>
      </c>
    </row>
    <row r="15398" spans="1:13" x14ac:dyDescent="0.25">
      <c r="A15398" s="1" t="str">
        <f>HYPERLINK("http://www.rosaceae.org/Prunus/Prunus_persica/p.persica_gdr_reftransV1_0010499","p.persica_gdr_reftransV1_0010499")</f>
        <v>p.persica_gdr_reftransV1_0010499</v>
      </c>
      <c r="B15398" s="3">
        <v>3424</v>
      </c>
      <c r="C15398" s="1" t="str">
        <f>HYPERLINK("http://www.uniprot.org/uniprot/Y5656_ARATH","Y5656_ARATH")</f>
        <v>Y5656_ARATH</v>
      </c>
      <c r="D15398" t="s">
        <v>9353</v>
      </c>
      <c r="E15398" s="3" t="s">
        <v>3</v>
      </c>
      <c r="F15398" s="4">
        <v>0</v>
      </c>
      <c r="G15398" s="3">
        <v>1285</v>
      </c>
      <c r="H15398" s="3">
        <v>58</v>
      </c>
      <c r="I15398" s="3">
        <v>483</v>
      </c>
      <c r="J15398" s="3">
        <v>789</v>
      </c>
      <c r="K15398" s="3">
        <v>2162</v>
      </c>
      <c r="L15398" s="3">
        <v>24</v>
      </c>
      <c r="M15398" s="3">
        <v>481</v>
      </c>
    </row>
    <row r="15399" spans="1:13" x14ac:dyDescent="0.25">
      <c r="A15399" s="1" t="str">
        <f>HYPERLINK("http://www.rosaceae.org/Prunus/Prunus_persica/p.persica_gdr_reftransV1_0010599","p.persica_gdr_reftransV1_0010599")</f>
        <v>p.persica_gdr_reftransV1_0010599</v>
      </c>
      <c r="B15399" s="3">
        <v>2503</v>
      </c>
      <c r="C15399" s="1" t="str">
        <f>HYPERLINK("http://www.uniprot.org/uniprot/FDM1_ARATH","FDM1_ARATH")</f>
        <v>FDM1_ARATH</v>
      </c>
      <c r="D15399" t="s">
        <v>9881</v>
      </c>
      <c r="E15399" s="3" t="s">
        <v>3</v>
      </c>
      <c r="F15399" s="4">
        <v>0</v>
      </c>
      <c r="G15399" s="3">
        <v>1794</v>
      </c>
      <c r="H15399" s="3">
        <v>59</v>
      </c>
      <c r="I15399" s="3">
        <v>619</v>
      </c>
      <c r="J15399" s="3">
        <v>190</v>
      </c>
      <c r="K15399" s="3">
        <v>2043</v>
      </c>
      <c r="L15399" s="3">
        <v>17</v>
      </c>
      <c r="M15399" s="3">
        <v>634</v>
      </c>
    </row>
    <row r="15400" spans="1:13" x14ac:dyDescent="0.25">
      <c r="A15400" s="1" t="str">
        <f>HYPERLINK("http://www.rosaceae.org/Prunus/Prunus_persica/p.persica_gdr_reftransV1_0010799","p.persica_gdr_reftransV1_0010799")</f>
        <v>p.persica_gdr_reftransV1_0010799</v>
      </c>
      <c r="B15400" s="3">
        <v>1285</v>
      </c>
      <c r="C15400" s="1" t="str">
        <f>HYPERLINK("http://www.uniprot.org/uniprot/WRK74_ARATH","WRK74_ARATH")</f>
        <v>WRK74_ARATH</v>
      </c>
      <c r="D15400" t="s">
        <v>9882</v>
      </c>
      <c r="E15400" s="3" t="s">
        <v>3</v>
      </c>
      <c r="F15400" s="4">
        <v>7.9199999999999996E-56</v>
      </c>
      <c r="G15400" s="3">
        <v>491</v>
      </c>
      <c r="H15400" s="3">
        <v>45</v>
      </c>
      <c r="I15400" s="3">
        <v>360</v>
      </c>
      <c r="J15400" s="3">
        <v>3</v>
      </c>
      <c r="K15400" s="3">
        <v>1016</v>
      </c>
      <c r="L15400" s="3">
        <v>1</v>
      </c>
      <c r="M15400" s="3">
        <v>308</v>
      </c>
    </row>
    <row r="15401" spans="1:13" x14ac:dyDescent="0.25">
      <c r="A15401" s="1" t="str">
        <f>HYPERLINK("http://www.rosaceae.org/Prunus/Prunus_persica/p.persica_gdr_reftransV1_0010899","p.persica_gdr_reftransV1_0010899")</f>
        <v>p.persica_gdr_reftransV1_0010899</v>
      </c>
      <c r="B15401" s="3">
        <v>1319</v>
      </c>
      <c r="C15401" s="1" t="str">
        <f>HYPERLINK("http://www.uniprot.org/uniprot/MCU4_ARATH","MCU4_ARATH")</f>
        <v>MCU4_ARATH</v>
      </c>
      <c r="D15401" t="s">
        <v>9883</v>
      </c>
      <c r="E15401" s="3" t="s">
        <v>3</v>
      </c>
      <c r="F15401" s="4">
        <v>4.0000000000000001E-87</v>
      </c>
      <c r="G15401" s="3">
        <v>701</v>
      </c>
      <c r="H15401" s="3">
        <v>56</v>
      </c>
      <c r="I15401" s="3">
        <v>255</v>
      </c>
      <c r="J15401" s="3">
        <v>406</v>
      </c>
      <c r="K15401" s="3">
        <v>1170</v>
      </c>
      <c r="L15401" s="3">
        <v>39</v>
      </c>
      <c r="M15401" s="3">
        <v>282</v>
      </c>
    </row>
    <row r="15402" spans="1:13" x14ac:dyDescent="0.25">
      <c r="A15402" s="1" t="str">
        <f>HYPERLINK("http://www.rosaceae.org/Prunus/Prunus_persica/p.persica_gdr_reftransV1_0010949","p.persica_gdr_reftransV1_0010949")</f>
        <v>p.persica_gdr_reftransV1_0010949</v>
      </c>
      <c r="B15402" s="3">
        <v>3575</v>
      </c>
      <c r="C15402" s="1" t="str">
        <f>HYPERLINK("http://www.uniprot.org/uniprot/ARAK_ARATH","ARAK_ARATH")</f>
        <v>ARAK_ARATH</v>
      </c>
      <c r="D15402" t="s">
        <v>9884</v>
      </c>
      <c r="E15402" s="3" t="s">
        <v>3</v>
      </c>
      <c r="F15402" s="4">
        <v>0</v>
      </c>
      <c r="G15402" s="3">
        <v>3836</v>
      </c>
      <c r="H15402" s="3">
        <v>83</v>
      </c>
      <c r="I15402" s="3">
        <v>887</v>
      </c>
      <c r="J15402" s="3">
        <v>890</v>
      </c>
      <c r="K15402" s="3">
        <v>3541</v>
      </c>
      <c r="L15402" s="3">
        <v>50</v>
      </c>
      <c r="M15402" s="3">
        <v>935</v>
      </c>
    </row>
    <row r="15403" spans="1:13" x14ac:dyDescent="0.25">
      <c r="A15403" s="1" t="str">
        <f>HYPERLINK("http://www.rosaceae.org/Prunus/Prunus_persica/p.persica_gdr_reftransV1_0010999","p.persica_gdr_reftransV1_0010999")</f>
        <v>p.persica_gdr_reftransV1_0010999</v>
      </c>
      <c r="B15403" s="3">
        <v>2128</v>
      </c>
      <c r="C15403" s="1" t="str">
        <f>HYPERLINK("http://www.uniprot.org/uniprot/E131_ARATH","E131_ARATH")</f>
        <v>E131_ARATH</v>
      </c>
      <c r="D15403" t="s">
        <v>4122</v>
      </c>
      <c r="E15403" s="3" t="s">
        <v>3</v>
      </c>
      <c r="F15403" s="4">
        <v>0</v>
      </c>
      <c r="G15403" s="3">
        <v>2133</v>
      </c>
      <c r="H15403" s="3">
        <v>85</v>
      </c>
      <c r="I15403" s="3">
        <v>452</v>
      </c>
      <c r="J15403" s="3">
        <v>491</v>
      </c>
      <c r="K15403" s="3">
        <v>1846</v>
      </c>
      <c r="L15403" s="3">
        <v>41</v>
      </c>
      <c r="M15403" s="3">
        <v>492</v>
      </c>
    </row>
    <row r="15404" spans="1:13" x14ac:dyDescent="0.25">
      <c r="A15404" s="1" t="str">
        <f>HYPERLINK("http://www.rosaceae.org/Prunus/Prunus_persica/p.persica_gdr_reftransV1_0011049","p.persica_gdr_reftransV1_0011049")</f>
        <v>p.persica_gdr_reftransV1_0011049</v>
      </c>
      <c r="B15404" s="3">
        <v>2206</v>
      </c>
      <c r="C15404" s="1" t="str">
        <f>HYPERLINK("http://www.uniprot.org/uniprot/WSS1_YEAST","WSS1_YEAST")</f>
        <v>WSS1_YEAST</v>
      </c>
      <c r="D15404" t="s">
        <v>3735</v>
      </c>
      <c r="E15404" s="3" t="s">
        <v>34</v>
      </c>
      <c r="F15404" s="4">
        <v>4.4999999999999998E-29</v>
      </c>
      <c r="G15404" s="3">
        <v>305</v>
      </c>
      <c r="H15404" s="3">
        <v>37</v>
      </c>
      <c r="I15404" s="3">
        <v>213</v>
      </c>
      <c r="J15404" s="3">
        <v>1371</v>
      </c>
      <c r="K15404" s="3">
        <v>2000</v>
      </c>
      <c r="L15404" s="3">
        <v>38</v>
      </c>
      <c r="M15404" s="3">
        <v>244</v>
      </c>
    </row>
    <row r="15405" spans="1:13" x14ac:dyDescent="0.25">
      <c r="A15405" s="1" t="str">
        <f>HYPERLINK("http://www.rosaceae.org/Prunus/Prunus_persica/p.persica_gdr_reftransV1_0011149","p.persica_gdr_reftransV1_0011149")</f>
        <v>p.persica_gdr_reftransV1_0011149</v>
      </c>
      <c r="B15405" s="3">
        <v>1867</v>
      </c>
      <c r="C15405" s="1" t="str">
        <f>HYPERLINK("http://www.uniprot.org/uniprot/HSFA5_ARATH","HSFA5_ARATH")</f>
        <v>HSFA5_ARATH</v>
      </c>
      <c r="D15405" t="s">
        <v>9885</v>
      </c>
      <c r="E15405" s="3" t="s">
        <v>3</v>
      </c>
      <c r="F15405" s="4">
        <v>2.2000000000000001E-144</v>
      </c>
      <c r="G15405" s="3">
        <v>1116</v>
      </c>
      <c r="H15405" s="3">
        <v>55</v>
      </c>
      <c r="I15405" s="3">
        <v>437</v>
      </c>
      <c r="J15405" s="3">
        <v>5</v>
      </c>
      <c r="K15405" s="3">
        <v>1309</v>
      </c>
      <c r="L15405" s="3">
        <v>57</v>
      </c>
      <c r="M15405" s="3">
        <v>466</v>
      </c>
    </row>
    <row r="15406" spans="1:13" x14ac:dyDescent="0.25">
      <c r="A15406" s="1" t="str">
        <f>HYPERLINK("http://www.rosaceae.org/Prunus/Prunus_persica/p.persica_gdr_reftransV1_0011199","p.persica_gdr_reftransV1_0011199")</f>
        <v>p.persica_gdr_reftransV1_0011199</v>
      </c>
      <c r="B15406" s="3">
        <v>2196</v>
      </c>
      <c r="C15406" s="1" t="str">
        <f>HYPERLINK("http://www.uniprot.org/uniprot/YABD_BACSU","YABD_BACSU")</f>
        <v>YABD_BACSU</v>
      </c>
      <c r="D15406" t="s">
        <v>6446</v>
      </c>
      <c r="E15406" s="3" t="s">
        <v>1630</v>
      </c>
      <c r="F15406" s="4">
        <v>9.34E-19</v>
      </c>
      <c r="G15406" s="3">
        <v>225</v>
      </c>
      <c r="H15406" s="3">
        <v>32</v>
      </c>
      <c r="I15406" s="3">
        <v>199</v>
      </c>
      <c r="J15406" s="3">
        <v>1087</v>
      </c>
      <c r="K15406" s="3">
        <v>1683</v>
      </c>
      <c r="L15406" s="3">
        <v>92</v>
      </c>
      <c r="M15406" s="3">
        <v>252</v>
      </c>
    </row>
    <row r="15407" spans="1:13" x14ac:dyDescent="0.25">
      <c r="A15407" s="1" t="str">
        <f>HYPERLINK("http://www.rosaceae.org/Prunus/Prunus_persica/p.persica_gdr_reftransV1_0011249","p.persica_gdr_reftransV1_0011249")</f>
        <v>p.persica_gdr_reftransV1_0011249</v>
      </c>
      <c r="B15407" s="3">
        <v>1835</v>
      </c>
      <c r="C15407" s="1" t="str">
        <f>HYPERLINK("http://www.uniprot.org/uniprot/PP148_ARATH","PP148_ARATH")</f>
        <v>PP148_ARATH</v>
      </c>
      <c r="D15407" t="s">
        <v>9886</v>
      </c>
      <c r="E15407" s="3" t="s">
        <v>3</v>
      </c>
      <c r="F15407" s="4">
        <v>0</v>
      </c>
      <c r="G15407" s="3">
        <v>1440</v>
      </c>
      <c r="H15407" s="3">
        <v>56</v>
      </c>
      <c r="I15407" s="3">
        <v>491</v>
      </c>
      <c r="J15407" s="3">
        <v>146</v>
      </c>
      <c r="K15407" s="3">
        <v>1615</v>
      </c>
      <c r="L15407" s="3">
        <v>202</v>
      </c>
      <c r="M15407" s="3">
        <v>692</v>
      </c>
    </row>
    <row r="15408" spans="1:13" x14ac:dyDescent="0.25">
      <c r="A15408" s="1" t="str">
        <f>HYPERLINK("http://www.rosaceae.org/Prunus/Prunus_persica/p.persica_gdr_reftransV1_0011299","p.persica_gdr_reftransV1_0011299")</f>
        <v>p.persica_gdr_reftransV1_0011299</v>
      </c>
      <c r="B15408" s="3">
        <v>3731</v>
      </c>
      <c r="C15408" s="1" t="str">
        <f>HYPERLINK("http://www.uniprot.org/uniprot/XLG1_ARATH","XLG1_ARATH")</f>
        <v>XLG1_ARATH</v>
      </c>
      <c r="D15408" t="s">
        <v>1906</v>
      </c>
      <c r="E15408" s="3" t="s">
        <v>3</v>
      </c>
      <c r="F15408" s="4">
        <v>8.6900000000000005E-11</v>
      </c>
      <c r="G15408" s="3">
        <v>171</v>
      </c>
      <c r="H15408" s="3">
        <v>30</v>
      </c>
      <c r="I15408" s="3">
        <v>147</v>
      </c>
      <c r="J15408" s="3">
        <v>587</v>
      </c>
      <c r="K15408" s="3">
        <v>1018</v>
      </c>
      <c r="L15408" s="3">
        <v>283</v>
      </c>
      <c r="M15408" s="3">
        <v>428</v>
      </c>
    </row>
    <row r="15409" spans="1:13" x14ac:dyDescent="0.25">
      <c r="A15409" s="1" t="str">
        <f>HYPERLINK("http://www.rosaceae.org/Prunus/Prunus_persica/p.persica_gdr_reftransV1_0011499","p.persica_gdr_reftransV1_0011499")</f>
        <v>p.persica_gdr_reftransV1_0011499</v>
      </c>
      <c r="B15409" s="3">
        <v>1298</v>
      </c>
      <c r="C15409" s="1" t="str">
        <f>HYPERLINK("http://www.uniprot.org/uniprot/YCF52_PYRYE","YCF52_PYRYE")</f>
        <v>YCF52_PYRYE</v>
      </c>
      <c r="D15409" t="s">
        <v>9887</v>
      </c>
      <c r="E15409" s="3" t="s">
        <v>9888</v>
      </c>
      <c r="F15409" s="4">
        <v>3.12E-12</v>
      </c>
      <c r="G15409" s="3">
        <v>167</v>
      </c>
      <c r="H15409" s="3">
        <v>37</v>
      </c>
      <c r="I15409" s="3">
        <v>83</v>
      </c>
      <c r="J15409" s="3">
        <v>473</v>
      </c>
      <c r="K15409" s="3">
        <v>721</v>
      </c>
      <c r="L15409" s="3">
        <v>89</v>
      </c>
      <c r="M15409" s="3">
        <v>171</v>
      </c>
    </row>
    <row r="15410" spans="1:13" x14ac:dyDescent="0.25">
      <c r="A15410" s="1" t="str">
        <f>HYPERLINK("http://www.rosaceae.org/Prunus/Prunus_persica/p.persica_gdr_reftransV1_0011649","p.persica_gdr_reftransV1_0011649")</f>
        <v>p.persica_gdr_reftransV1_0011649</v>
      </c>
      <c r="B15410" s="3">
        <v>2151</v>
      </c>
      <c r="C15410" s="1" t="str">
        <f>HYPERLINK("http://www.uniprot.org/uniprot/LBD41_ARATH","LBD41_ARATH")</f>
        <v>LBD41_ARATH</v>
      </c>
      <c r="D15410" t="s">
        <v>9889</v>
      </c>
      <c r="E15410" s="3" t="s">
        <v>3</v>
      </c>
      <c r="F15410" s="4">
        <v>2.7899999999999999E-89</v>
      </c>
      <c r="G15410" s="3">
        <v>733</v>
      </c>
      <c r="H15410" s="3">
        <v>57</v>
      </c>
      <c r="I15410" s="3">
        <v>302</v>
      </c>
      <c r="J15410" s="3">
        <v>504</v>
      </c>
      <c r="K15410" s="3">
        <v>1397</v>
      </c>
      <c r="L15410" s="3">
        <v>1</v>
      </c>
      <c r="M15410" s="3">
        <v>263</v>
      </c>
    </row>
    <row r="15411" spans="1:13" x14ac:dyDescent="0.25">
      <c r="A15411" s="1" t="str">
        <f>HYPERLINK("http://www.rosaceae.org/Prunus/Prunus_persica/p.persica_gdr_reftransV1_0011749","p.persica_gdr_reftransV1_0011749")</f>
        <v>p.persica_gdr_reftransV1_0011749</v>
      </c>
      <c r="B15411" s="3">
        <v>1516</v>
      </c>
      <c r="C15411" s="1" t="str">
        <f>HYPERLINK("http://www.uniprot.org/uniprot/NDHO_ARATH","NDHO_ARATH")</f>
        <v>NDHO_ARATH</v>
      </c>
      <c r="D15411" t="s">
        <v>9890</v>
      </c>
      <c r="E15411" s="3" t="s">
        <v>3</v>
      </c>
      <c r="F15411" s="4">
        <v>2.6699999999999998E-25</v>
      </c>
      <c r="G15411" s="3">
        <v>264</v>
      </c>
      <c r="H15411" s="3">
        <v>74</v>
      </c>
      <c r="I15411" s="3">
        <v>69</v>
      </c>
      <c r="J15411" s="3">
        <v>850</v>
      </c>
      <c r="K15411" s="3">
        <v>1056</v>
      </c>
      <c r="L15411" s="3">
        <v>55</v>
      </c>
      <c r="M15411" s="3">
        <v>123</v>
      </c>
    </row>
    <row r="15412" spans="1:13" x14ac:dyDescent="0.25">
      <c r="A15412" s="1" t="str">
        <f>HYPERLINK("http://www.rosaceae.org/Prunus/Prunus_persica/p.persica_gdr_reftransV1_0011949","p.persica_gdr_reftransV1_0011949")</f>
        <v>p.persica_gdr_reftransV1_0011949</v>
      </c>
      <c r="B15412" s="3">
        <v>1735</v>
      </c>
      <c r="C15412" s="1" t="str">
        <f>HYPERLINK("http://www.uniprot.org/uniprot/PS13B_ARATH","PS13B_ARATH")</f>
        <v>PS13B_ARATH</v>
      </c>
      <c r="D15412" t="s">
        <v>9891</v>
      </c>
      <c r="E15412" s="3" t="s">
        <v>3</v>
      </c>
      <c r="F15412" s="4">
        <v>0</v>
      </c>
      <c r="G15412" s="3">
        <v>1708</v>
      </c>
      <c r="H15412" s="3">
        <v>86</v>
      </c>
      <c r="I15412" s="3">
        <v>386</v>
      </c>
      <c r="J15412" s="3">
        <v>460</v>
      </c>
      <c r="K15412" s="3">
        <v>1617</v>
      </c>
      <c r="L15412" s="3">
        <v>1</v>
      </c>
      <c r="M15412" s="3">
        <v>386</v>
      </c>
    </row>
    <row r="15413" spans="1:13" x14ac:dyDescent="0.25">
      <c r="A15413" s="1" t="str">
        <f>HYPERLINK("http://www.rosaceae.org/Prunus/Prunus_persica/p.persica_gdr_reftransV1_0011999","p.persica_gdr_reftransV1_0011999")</f>
        <v>p.persica_gdr_reftransV1_0011999</v>
      </c>
      <c r="B15413" s="3">
        <v>1616</v>
      </c>
      <c r="C15413" s="1" t="str">
        <f>HYPERLINK("http://www.uniprot.org/uniprot/U396_DICDI","U396_DICDI")</f>
        <v>U396_DICDI</v>
      </c>
      <c r="D15413" t="s">
        <v>7916</v>
      </c>
      <c r="E15413" s="3" t="s">
        <v>9</v>
      </c>
      <c r="F15413" s="4">
        <v>1.0900000000000001E-20</v>
      </c>
      <c r="G15413" s="3">
        <v>176</v>
      </c>
      <c r="H15413" s="3">
        <v>58</v>
      </c>
      <c r="I15413" s="3">
        <v>59</v>
      </c>
      <c r="J15413" s="3">
        <v>1256</v>
      </c>
      <c r="K15413" s="3">
        <v>1432</v>
      </c>
      <c r="L15413" s="3">
        <v>452</v>
      </c>
      <c r="M15413" s="3">
        <v>510</v>
      </c>
    </row>
    <row r="15414" spans="1:13" x14ac:dyDescent="0.25">
      <c r="A15414" s="1" t="str">
        <f>HYPERLINK("http://www.rosaceae.org/Prunus/Prunus_persica/p.persica_gdr_reftransV1_0012099","p.persica_gdr_reftransV1_0012099")</f>
        <v>p.persica_gdr_reftransV1_0012099</v>
      </c>
      <c r="B15414" s="3">
        <v>1471</v>
      </c>
      <c r="C15414" s="1" t="str">
        <f>HYPERLINK("http://www.uniprot.org/uniprot/GAT25_ARATH","GAT25_ARATH")</f>
        <v>GAT25_ARATH</v>
      </c>
      <c r="D15414" t="s">
        <v>1587</v>
      </c>
      <c r="E15414" s="3" t="s">
        <v>3</v>
      </c>
      <c r="F15414" s="4">
        <v>1.3900000000000001E-48</v>
      </c>
      <c r="G15414" s="3">
        <v>443</v>
      </c>
      <c r="H15414" s="3">
        <v>40</v>
      </c>
      <c r="I15414" s="3">
        <v>280</v>
      </c>
      <c r="J15414" s="3">
        <v>494</v>
      </c>
      <c r="K15414" s="3">
        <v>1177</v>
      </c>
      <c r="L15414" s="3">
        <v>33</v>
      </c>
      <c r="M15414" s="3">
        <v>309</v>
      </c>
    </row>
    <row r="15415" spans="1:13" x14ac:dyDescent="0.25">
      <c r="A15415" s="1" t="str">
        <f>HYPERLINK("http://www.rosaceae.org/Prunus/Prunus_persica/p.persica_gdr_reftransV1_0012199","p.persica_gdr_reftransV1_0012199")</f>
        <v>p.persica_gdr_reftransV1_0012199</v>
      </c>
      <c r="B15415" s="3">
        <v>325</v>
      </c>
      <c r="C15415" s="1" t="str">
        <f>HYPERLINK("http://www.uniprot.org/uniprot/Y4117_ARATH","Y4117_ARATH")</f>
        <v>Y4117_ARATH</v>
      </c>
      <c r="D15415" t="s">
        <v>5603</v>
      </c>
      <c r="E15415" s="3" t="s">
        <v>3</v>
      </c>
      <c r="F15415" s="4">
        <v>1.12E-18</v>
      </c>
      <c r="G15415" s="3">
        <v>210</v>
      </c>
      <c r="H15415" s="3">
        <v>39</v>
      </c>
      <c r="I15415" s="3">
        <v>118</v>
      </c>
      <c r="J15415" s="3">
        <v>1</v>
      </c>
      <c r="K15415" s="3">
        <v>324</v>
      </c>
      <c r="L15415" s="3">
        <v>212</v>
      </c>
      <c r="M15415" s="3">
        <v>325</v>
      </c>
    </row>
    <row r="15416" spans="1:13" x14ac:dyDescent="0.25">
      <c r="A15416" s="1" t="str">
        <f>HYPERLINK("http://www.rosaceae.org/Prunus/Prunus_persica/p.persica_gdr_reftransV1_0012249","p.persica_gdr_reftransV1_0012249")</f>
        <v>p.persica_gdr_reftransV1_0012249</v>
      </c>
      <c r="B15416" s="3">
        <v>1534</v>
      </c>
      <c r="C15416" s="1" t="str">
        <f>HYPERLINK("http://www.uniprot.org/uniprot/TYW4_MOUSE","TYW4_MOUSE")</f>
        <v>TYW4_MOUSE</v>
      </c>
      <c r="D15416" t="s">
        <v>9892</v>
      </c>
      <c r="E15416" s="3" t="s">
        <v>157</v>
      </c>
      <c r="F15416" s="4">
        <v>9.2199999999999998E-59</v>
      </c>
      <c r="G15416" s="3">
        <v>538</v>
      </c>
      <c r="H15416" s="3">
        <v>37</v>
      </c>
      <c r="I15416" s="3">
        <v>306</v>
      </c>
      <c r="J15416" s="3">
        <v>502</v>
      </c>
      <c r="K15416" s="3">
        <v>1398</v>
      </c>
      <c r="L15416" s="3">
        <v>13</v>
      </c>
      <c r="M15416" s="3">
        <v>311</v>
      </c>
    </row>
    <row r="15417" spans="1:13" x14ac:dyDescent="0.25">
      <c r="A15417" s="1" t="str">
        <f>HYPERLINK("http://www.rosaceae.org/Prunus/Prunus_persica/p.persica_gdr_reftransV1_0012349","p.persica_gdr_reftransV1_0012349")</f>
        <v>p.persica_gdr_reftransV1_0012349</v>
      </c>
      <c r="B15417" s="3">
        <v>1188</v>
      </c>
      <c r="C15417" s="1" t="str">
        <f>HYPERLINK("http://www.uniprot.org/uniprot/GAT15_ARATH","GAT15_ARATH")</f>
        <v>GAT15_ARATH</v>
      </c>
      <c r="D15417" t="s">
        <v>9893</v>
      </c>
      <c r="E15417" s="3" t="s">
        <v>3</v>
      </c>
      <c r="F15417" s="4">
        <v>4.0499999999999999E-50</v>
      </c>
      <c r="G15417" s="3">
        <v>435</v>
      </c>
      <c r="H15417" s="3">
        <v>62</v>
      </c>
      <c r="I15417" s="3">
        <v>149</v>
      </c>
      <c r="J15417" s="3">
        <v>307</v>
      </c>
      <c r="K15417" s="3">
        <v>714</v>
      </c>
      <c r="L15417" s="3">
        <v>1</v>
      </c>
      <c r="M15417" s="3">
        <v>149</v>
      </c>
    </row>
    <row r="15418" spans="1:13" x14ac:dyDescent="0.25">
      <c r="A15418" s="1" t="str">
        <f>HYPERLINK("http://www.rosaceae.org/Prunus/Prunus_persica/p.persica_gdr_reftransV1_0012499","p.persica_gdr_reftransV1_0012499")</f>
        <v>p.persica_gdr_reftransV1_0012499</v>
      </c>
      <c r="B15418" s="3">
        <v>624</v>
      </c>
      <c r="C15418" s="1" t="str">
        <f>HYPERLINK("http://www.uniprot.org/uniprot/PP307_ARATH","PP307_ARATH")</f>
        <v>PP307_ARATH</v>
      </c>
      <c r="D15418" t="s">
        <v>5226</v>
      </c>
      <c r="E15418" s="3" t="s">
        <v>3</v>
      </c>
      <c r="F15418" s="4">
        <v>2.0300000000000001E-27</v>
      </c>
      <c r="G15418" s="3">
        <v>286</v>
      </c>
      <c r="H15418" s="3">
        <v>32</v>
      </c>
      <c r="I15418" s="3">
        <v>206</v>
      </c>
      <c r="J15418" s="3">
        <v>2</v>
      </c>
      <c r="K15418" s="3">
        <v>616</v>
      </c>
      <c r="L15418" s="3">
        <v>149</v>
      </c>
      <c r="M15418" s="3">
        <v>354</v>
      </c>
    </row>
    <row r="15419" spans="1:13" x14ac:dyDescent="0.25">
      <c r="A15419" s="1" t="str">
        <f>HYPERLINK("http://www.rosaceae.org/Prunus/Prunus_persica/p.persica_gdr_reftransV1_0012549","p.persica_gdr_reftransV1_0012549")</f>
        <v>p.persica_gdr_reftransV1_0012549</v>
      </c>
      <c r="B15419" s="3">
        <v>3735</v>
      </c>
      <c r="C15419" s="1" t="str">
        <f>HYPERLINK("http://www.uniprot.org/uniprot/SD18_ARATH","SD18_ARATH")</f>
        <v>SD18_ARATH</v>
      </c>
      <c r="D15419" t="s">
        <v>3417</v>
      </c>
      <c r="E15419" s="3" t="s">
        <v>3</v>
      </c>
      <c r="F15419" s="4">
        <v>0</v>
      </c>
      <c r="G15419" s="3">
        <v>2555</v>
      </c>
      <c r="H15419" s="3">
        <v>61</v>
      </c>
      <c r="I15419" s="3">
        <v>837</v>
      </c>
      <c r="J15419" s="3">
        <v>139</v>
      </c>
      <c r="K15419" s="3">
        <v>2613</v>
      </c>
      <c r="L15419" s="3">
        <v>26</v>
      </c>
      <c r="M15419" s="3">
        <v>850</v>
      </c>
    </row>
    <row r="15420" spans="1:13" x14ac:dyDescent="0.25">
      <c r="A15420" s="1" t="str">
        <f>HYPERLINK("http://www.rosaceae.org/Prunus/Prunus_persica/p.persica_gdr_reftransV1_0012649","p.persica_gdr_reftransV1_0012649")</f>
        <v>p.persica_gdr_reftransV1_0012649</v>
      </c>
      <c r="B15420" s="3">
        <v>1106</v>
      </c>
      <c r="C15420" s="1" t="str">
        <f>HYPERLINK("http://www.uniprot.org/uniprot/FIS1A_ARATH","FIS1A_ARATH")</f>
        <v>FIS1A_ARATH</v>
      </c>
      <c r="D15420" t="s">
        <v>3730</v>
      </c>
      <c r="E15420" s="3" t="s">
        <v>3</v>
      </c>
      <c r="F15420" s="4">
        <v>8.8799999999999998E-58</v>
      </c>
      <c r="G15420" s="3">
        <v>486</v>
      </c>
      <c r="H15420" s="3">
        <v>65</v>
      </c>
      <c r="I15420" s="3">
        <v>143</v>
      </c>
      <c r="J15420" s="3">
        <v>599</v>
      </c>
      <c r="K15420" s="3">
        <v>1027</v>
      </c>
      <c r="L15420" s="3">
        <v>1</v>
      </c>
      <c r="M15420" s="3">
        <v>140</v>
      </c>
    </row>
    <row r="15421" spans="1:13" x14ac:dyDescent="0.25">
      <c r="A15421" s="1" t="str">
        <f>HYPERLINK("http://www.rosaceae.org/Prunus/Prunus_persica/p.persica_gdr_reftransV1_0013049","p.persica_gdr_reftransV1_0013049")</f>
        <v>p.persica_gdr_reftransV1_0013049</v>
      </c>
      <c r="B15421" s="3">
        <v>615</v>
      </c>
      <c r="C15421" s="1" t="str">
        <f>HYPERLINK("http://www.uniprot.org/uniprot/RUXF_ARATH","RUXF_ARATH")</f>
        <v>RUXF_ARATH</v>
      </c>
      <c r="D15421" t="s">
        <v>9894</v>
      </c>
      <c r="E15421" s="3" t="s">
        <v>3</v>
      </c>
      <c r="F15421" s="4">
        <v>2.8699999999999999E-46</v>
      </c>
      <c r="G15421" s="3">
        <v>388</v>
      </c>
      <c r="H15421" s="3">
        <v>95</v>
      </c>
      <c r="I15421" s="3">
        <v>77</v>
      </c>
      <c r="J15421" s="3">
        <v>88</v>
      </c>
      <c r="K15421" s="3">
        <v>318</v>
      </c>
      <c r="L15421" s="3">
        <v>1</v>
      </c>
      <c r="M15421" s="3">
        <v>77</v>
      </c>
    </row>
    <row r="15422" spans="1:13" x14ac:dyDescent="0.25">
      <c r="A15422" s="1" t="str">
        <f>HYPERLINK("http://www.rosaceae.org/Prunus/Prunus_persica/p.persica_gdr_reftransV1_0013099","p.persica_gdr_reftransV1_0013099")</f>
        <v>p.persica_gdr_reftransV1_0013099</v>
      </c>
      <c r="B15422" s="3">
        <v>1774</v>
      </c>
      <c r="C15422" s="1" t="str">
        <f>HYPERLINK("http://www.uniprot.org/uniprot/PGKY_TOBAC","PGKY_TOBAC")</f>
        <v>PGKY_TOBAC</v>
      </c>
      <c r="D15422" t="s">
        <v>3248</v>
      </c>
      <c r="E15422" s="3" t="s">
        <v>200</v>
      </c>
      <c r="F15422" s="4">
        <v>0</v>
      </c>
      <c r="G15422" s="3">
        <v>1765</v>
      </c>
      <c r="H15422" s="3">
        <v>89</v>
      </c>
      <c r="I15422" s="3">
        <v>401</v>
      </c>
      <c r="J15422" s="3">
        <v>326</v>
      </c>
      <c r="K15422" s="3">
        <v>1528</v>
      </c>
      <c r="L15422" s="3">
        <v>1</v>
      </c>
      <c r="M15422" s="3">
        <v>401</v>
      </c>
    </row>
    <row r="15423" spans="1:13" x14ac:dyDescent="0.25">
      <c r="A15423" s="1" t="str">
        <f>HYPERLINK("http://www.rosaceae.org/Prunus/Prunus_persica/p.persica_gdr_reftransV1_0013149","p.persica_gdr_reftransV1_0013149")</f>
        <v>p.persica_gdr_reftransV1_0013149</v>
      </c>
      <c r="B15423" s="3">
        <v>3605</v>
      </c>
      <c r="C15423" s="1" t="str">
        <f>HYPERLINK("http://www.uniprot.org/uniprot/SYGM2_ARATH","SYGM2_ARATH")</f>
        <v>SYGM2_ARATH</v>
      </c>
      <c r="D15423" t="s">
        <v>9895</v>
      </c>
      <c r="E15423" s="3" t="s">
        <v>3</v>
      </c>
      <c r="F15423" s="4">
        <v>0</v>
      </c>
      <c r="G15423" s="3">
        <v>4110</v>
      </c>
      <c r="H15423" s="3">
        <v>74</v>
      </c>
      <c r="I15423" s="3">
        <v>1076</v>
      </c>
      <c r="J15423" s="3">
        <v>81</v>
      </c>
      <c r="K15423" s="3">
        <v>3293</v>
      </c>
      <c r="L15423" s="3">
        <v>1</v>
      </c>
      <c r="M15423" s="3">
        <v>1067</v>
      </c>
    </row>
    <row r="15424" spans="1:13" x14ac:dyDescent="0.25">
      <c r="A15424" s="1" t="str">
        <f>HYPERLINK("http://www.rosaceae.org/Prunus/Prunus_persica/p.persica_gdr_reftransV1_0013399","p.persica_gdr_reftransV1_0013399")</f>
        <v>p.persica_gdr_reftransV1_0013399</v>
      </c>
      <c r="B15424" s="3">
        <v>2556</v>
      </c>
      <c r="C15424" s="1" t="str">
        <f>HYPERLINK("http://www.uniprot.org/uniprot/MTPB_ARATH","MTPB_ARATH")</f>
        <v>MTPB_ARATH</v>
      </c>
      <c r="D15424" t="s">
        <v>9896</v>
      </c>
      <c r="E15424" s="3" t="s">
        <v>3</v>
      </c>
      <c r="F15424" s="4">
        <v>6.3000000000000001E-114</v>
      </c>
      <c r="G15424" s="3">
        <v>921</v>
      </c>
      <c r="H15424" s="3">
        <v>50</v>
      </c>
      <c r="I15424" s="3">
        <v>376</v>
      </c>
      <c r="J15424" s="3">
        <v>226</v>
      </c>
      <c r="K15424" s="3">
        <v>1353</v>
      </c>
      <c r="L15424" s="3">
        <v>13</v>
      </c>
      <c r="M15424" s="3">
        <v>373</v>
      </c>
    </row>
    <row r="15425" spans="1:13" x14ac:dyDescent="0.25">
      <c r="A15425" s="1" t="str">
        <f>HYPERLINK("http://www.rosaceae.org/Prunus/Prunus_persica/p.persica_gdr_reftransV1_0013449","p.persica_gdr_reftransV1_0013449")</f>
        <v>p.persica_gdr_reftransV1_0013449</v>
      </c>
      <c r="B15425" s="3">
        <v>1401</v>
      </c>
      <c r="C15425" s="1" t="str">
        <f>HYPERLINK("http://www.uniprot.org/uniprot/MT799_ARATH","MT799_ARATH")</f>
        <v>MT799_ARATH</v>
      </c>
      <c r="D15425" t="s">
        <v>7664</v>
      </c>
      <c r="E15425" s="3" t="s">
        <v>3</v>
      </c>
      <c r="F15425" s="4">
        <v>2.9000000000000001E-91</v>
      </c>
      <c r="G15425" s="3">
        <v>737</v>
      </c>
      <c r="H15425" s="3">
        <v>41</v>
      </c>
      <c r="I15425" s="3">
        <v>364</v>
      </c>
      <c r="J15425" s="3">
        <v>282</v>
      </c>
      <c r="K15425" s="3">
        <v>1343</v>
      </c>
      <c r="L15425" s="3">
        <v>3</v>
      </c>
      <c r="M15425" s="3">
        <v>362</v>
      </c>
    </row>
    <row r="15426" spans="1:13" x14ac:dyDescent="0.25">
      <c r="A15426" s="1" t="str">
        <f>HYPERLINK("http://www.rosaceae.org/Prunus/Prunus_persica/p.persica_gdr_reftransV1_0013499","p.persica_gdr_reftransV1_0013499")</f>
        <v>p.persica_gdr_reftransV1_0013499</v>
      </c>
      <c r="B15426" s="3">
        <v>2444</v>
      </c>
      <c r="C15426" s="1" t="str">
        <f>HYPERLINK("http://www.uniprot.org/uniprot/ERF3A_HUMAN","ERF3A_HUMAN")</f>
        <v>ERF3A_HUMAN</v>
      </c>
      <c r="D15426" t="s">
        <v>9897</v>
      </c>
      <c r="E15426" s="3" t="s">
        <v>28</v>
      </c>
      <c r="F15426" s="4">
        <v>3.7499999999999998E-173</v>
      </c>
      <c r="G15426" s="3">
        <v>1328</v>
      </c>
      <c r="H15426" s="3">
        <v>59</v>
      </c>
      <c r="I15426" s="3">
        <v>426</v>
      </c>
      <c r="J15426" s="3">
        <v>836</v>
      </c>
      <c r="K15426" s="3">
        <v>2113</v>
      </c>
      <c r="L15426" s="3">
        <v>71</v>
      </c>
      <c r="M15426" s="3">
        <v>492</v>
      </c>
    </row>
    <row r="15427" spans="1:13" x14ac:dyDescent="0.25">
      <c r="A15427" s="1" t="str">
        <f>HYPERLINK("http://www.rosaceae.org/Prunus/Prunus_persica/p.persica_gdr_reftransV1_0013549","p.persica_gdr_reftransV1_0013549")</f>
        <v>p.persica_gdr_reftransV1_0013549</v>
      </c>
      <c r="B15427" s="3">
        <v>2658</v>
      </c>
      <c r="C15427" s="1" t="str">
        <f>HYPERLINK("http://www.uniprot.org/uniprot/HRD1A_ARATH","HRD1A_ARATH")</f>
        <v>HRD1A_ARATH</v>
      </c>
      <c r="D15427" t="s">
        <v>9898</v>
      </c>
      <c r="E15427" s="3" t="s">
        <v>3</v>
      </c>
      <c r="F15427" s="4">
        <v>3.5800000000000002E-128</v>
      </c>
      <c r="G15427" s="3">
        <v>1031</v>
      </c>
      <c r="H15427" s="3">
        <v>82</v>
      </c>
      <c r="I15427" s="3">
        <v>237</v>
      </c>
      <c r="J15427" s="3">
        <v>95</v>
      </c>
      <c r="K15427" s="3">
        <v>805</v>
      </c>
      <c r="L15427" s="3">
        <v>1</v>
      </c>
      <c r="M15427" s="3">
        <v>237</v>
      </c>
    </row>
    <row r="15428" spans="1:13" x14ac:dyDescent="0.25">
      <c r="A15428" s="1" t="str">
        <f>HYPERLINK("http://www.rosaceae.org/Prunus/Prunus_persica/p.persica_gdr_reftransV1_0013949","p.persica_gdr_reftransV1_0013949")</f>
        <v>p.persica_gdr_reftransV1_0013949</v>
      </c>
      <c r="B15428" s="3">
        <v>1480</v>
      </c>
      <c r="C15428" s="1" t="str">
        <f>HYPERLINK("http://www.uniprot.org/uniprot/EX84A_ARATH","EX84A_ARATH")</f>
        <v>EX84A_ARATH</v>
      </c>
      <c r="D15428" t="s">
        <v>9899</v>
      </c>
      <c r="E15428" s="3" t="s">
        <v>3</v>
      </c>
      <c r="F15428" s="4">
        <v>4.7200000000000001E-139</v>
      </c>
      <c r="G15428" s="3">
        <v>1093</v>
      </c>
      <c r="H15428" s="3">
        <v>66</v>
      </c>
      <c r="I15428" s="3">
        <v>360</v>
      </c>
      <c r="J15428" s="3">
        <v>411</v>
      </c>
      <c r="K15428" s="3">
        <v>1478</v>
      </c>
      <c r="L15428" s="3">
        <v>398</v>
      </c>
      <c r="M15428" s="3">
        <v>741</v>
      </c>
    </row>
    <row r="15429" spans="1:13" x14ac:dyDescent="0.25">
      <c r="A15429" s="1" t="str">
        <f>HYPERLINK("http://www.rosaceae.org/Prunus/Prunus_persica/p.persica_gdr_reftransV1_0013999","p.persica_gdr_reftransV1_0013999")</f>
        <v>p.persica_gdr_reftransV1_0013999</v>
      </c>
      <c r="B15429" s="3">
        <v>1388</v>
      </c>
      <c r="C15429" s="1" t="str">
        <f>HYPERLINK("http://www.uniprot.org/uniprot/FRS5_ARATH","FRS5_ARATH")</f>
        <v>FRS5_ARATH</v>
      </c>
      <c r="D15429" t="s">
        <v>908</v>
      </c>
      <c r="E15429" s="3" t="s">
        <v>3</v>
      </c>
      <c r="F15429" s="4">
        <v>2.1299999999999999E-23</v>
      </c>
      <c r="G15429" s="3">
        <v>266</v>
      </c>
      <c r="H15429" s="3">
        <v>43</v>
      </c>
      <c r="I15429" s="3">
        <v>157</v>
      </c>
      <c r="J15429" s="3">
        <v>173</v>
      </c>
      <c r="K15429" s="3">
        <v>622</v>
      </c>
      <c r="L15429" s="3">
        <v>71</v>
      </c>
      <c r="M15429" s="3">
        <v>227</v>
      </c>
    </row>
    <row r="15430" spans="1:13" x14ac:dyDescent="0.25">
      <c r="A15430" s="1" t="str">
        <f>HYPERLINK("http://www.rosaceae.org/Prunus/Prunus_persica/p.persica_gdr_reftransV1_0014249","p.persica_gdr_reftransV1_0014249")</f>
        <v>p.persica_gdr_reftransV1_0014249</v>
      </c>
      <c r="B15430" s="3">
        <v>839</v>
      </c>
      <c r="C15430" s="1" t="str">
        <f>HYPERLINK("http://www.uniprot.org/uniprot/SY121_ARATH","SY121_ARATH")</f>
        <v>SY121_ARATH</v>
      </c>
      <c r="D15430" t="s">
        <v>359</v>
      </c>
      <c r="E15430" s="3" t="s">
        <v>3</v>
      </c>
      <c r="F15430" s="4">
        <v>4.6099999999999999E-125</v>
      </c>
      <c r="G15430" s="3">
        <v>942</v>
      </c>
      <c r="H15430" s="3">
        <v>78</v>
      </c>
      <c r="I15430" s="3">
        <v>223</v>
      </c>
      <c r="J15430" s="3">
        <v>1</v>
      </c>
      <c r="K15430" s="3">
        <v>669</v>
      </c>
      <c r="L15430" s="3">
        <v>66</v>
      </c>
      <c r="M15430" s="3">
        <v>288</v>
      </c>
    </row>
    <row r="15431" spans="1:13" x14ac:dyDescent="0.25">
      <c r="A15431" s="1" t="str">
        <f>HYPERLINK("http://www.rosaceae.org/Prunus/Prunus_persica/p.persica_gdr_reftransV1_0014399","p.persica_gdr_reftransV1_0014399")</f>
        <v>p.persica_gdr_reftransV1_0014399</v>
      </c>
      <c r="B15431" s="3">
        <v>2475</v>
      </c>
      <c r="C15431" s="1" t="str">
        <f>HYPERLINK("http://www.uniprot.org/uniprot/ROGF5_ARATH","ROGF5_ARATH")</f>
        <v>ROGF5_ARATH</v>
      </c>
      <c r="D15431" t="s">
        <v>9900</v>
      </c>
      <c r="E15431" s="3" t="s">
        <v>3</v>
      </c>
      <c r="F15431" s="4">
        <v>0</v>
      </c>
      <c r="G15431" s="3">
        <v>1713</v>
      </c>
      <c r="H15431" s="3">
        <v>60</v>
      </c>
      <c r="I15431" s="3">
        <v>617</v>
      </c>
      <c r="J15431" s="3">
        <v>370</v>
      </c>
      <c r="K15431" s="3">
        <v>2169</v>
      </c>
      <c r="L15431" s="3">
        <v>1</v>
      </c>
      <c r="M15431" s="3">
        <v>610</v>
      </c>
    </row>
    <row r="15432" spans="1:13" x14ac:dyDescent="0.25">
      <c r="A15432" s="1" t="str">
        <f>HYPERLINK("http://www.rosaceae.org/Prunus/Prunus_persica/p.persica_gdr_reftransV1_0014449","p.persica_gdr_reftransV1_0014449")</f>
        <v>p.persica_gdr_reftransV1_0014449</v>
      </c>
      <c r="B15432" s="3">
        <v>1242</v>
      </c>
      <c r="C15432" s="1" t="str">
        <f>HYPERLINK("http://www.uniprot.org/uniprot/WRK21_ARATH","WRK21_ARATH")</f>
        <v>WRK21_ARATH</v>
      </c>
      <c r="D15432" t="s">
        <v>419</v>
      </c>
      <c r="E15432" s="3" t="s">
        <v>3</v>
      </c>
      <c r="F15432" s="4">
        <v>2.4299999999999999E-46</v>
      </c>
      <c r="G15432" s="3">
        <v>428</v>
      </c>
      <c r="H15432" s="3">
        <v>61</v>
      </c>
      <c r="I15432" s="3">
        <v>151</v>
      </c>
      <c r="J15432" s="3">
        <v>502</v>
      </c>
      <c r="K15432" s="3">
        <v>954</v>
      </c>
      <c r="L15432" s="3">
        <v>230</v>
      </c>
      <c r="M15432" s="3">
        <v>379</v>
      </c>
    </row>
    <row r="15433" spans="1:13" x14ac:dyDescent="0.25">
      <c r="A15433" s="1" t="str">
        <f>HYPERLINK("http://www.rosaceae.org/Prunus/Prunus_persica/p.persica_gdr_reftransV1_0014799","p.persica_gdr_reftransV1_0014799")</f>
        <v>p.persica_gdr_reftransV1_0014799</v>
      </c>
      <c r="B15433" s="3">
        <v>345</v>
      </c>
      <c r="C15433" s="1" t="str">
        <f>HYPERLINK("http://www.uniprot.org/uniprot/PP342_ARATH","PP342_ARATH")</f>
        <v>PP342_ARATH</v>
      </c>
      <c r="D15433" t="s">
        <v>1589</v>
      </c>
      <c r="E15433" s="3" t="s">
        <v>3</v>
      </c>
      <c r="F15433" s="4">
        <v>2.7200000000000001E-46</v>
      </c>
      <c r="G15433" s="3">
        <v>414</v>
      </c>
      <c r="H15433" s="3">
        <v>68</v>
      </c>
      <c r="I15433" s="3">
        <v>114</v>
      </c>
      <c r="J15433" s="3">
        <v>3</v>
      </c>
      <c r="K15433" s="3">
        <v>344</v>
      </c>
      <c r="L15433" s="3">
        <v>591</v>
      </c>
      <c r="M15433" s="3">
        <v>704</v>
      </c>
    </row>
    <row r="15434" spans="1:13" x14ac:dyDescent="0.25">
      <c r="A15434" s="1" t="str">
        <f>HYPERLINK("http://www.rosaceae.org/Prunus/Prunus_persica/p.persica_gdr_reftransV1_0014949","p.persica_gdr_reftransV1_0014949")</f>
        <v>p.persica_gdr_reftransV1_0014949</v>
      </c>
      <c r="B15434" s="3">
        <v>2619</v>
      </c>
      <c r="C15434" s="1" t="str">
        <f>HYPERLINK("http://www.uniprot.org/uniprot/GOGC4_ARATH","GOGC4_ARATH")</f>
        <v>GOGC4_ARATH</v>
      </c>
      <c r="D15434" t="s">
        <v>8722</v>
      </c>
      <c r="E15434" s="3" t="s">
        <v>3</v>
      </c>
      <c r="F15434" s="4">
        <v>3.1300000000000002E-179</v>
      </c>
      <c r="G15434" s="3">
        <v>1395</v>
      </c>
      <c r="H15434" s="3">
        <v>54</v>
      </c>
      <c r="I15434" s="3">
        <v>603</v>
      </c>
      <c r="J15434" s="3">
        <v>283</v>
      </c>
      <c r="K15434" s="3">
        <v>2085</v>
      </c>
      <c r="L15434" s="3">
        <v>1</v>
      </c>
      <c r="M15434" s="3">
        <v>577</v>
      </c>
    </row>
    <row r="15435" spans="1:13" x14ac:dyDescent="0.25">
      <c r="A15435" s="1" t="str">
        <f>HYPERLINK("http://www.rosaceae.org/Prunus/Prunus_persica/p.persica_gdr_reftransV1_0014999","p.persica_gdr_reftransV1_0014999")</f>
        <v>p.persica_gdr_reftransV1_0014999</v>
      </c>
      <c r="B15435" s="3">
        <v>1803</v>
      </c>
      <c r="C15435" s="1" t="str">
        <f>HYPERLINK("http://www.uniprot.org/uniprot/PUB26_ARATH","PUB26_ARATH")</f>
        <v>PUB26_ARATH</v>
      </c>
      <c r="D15435" t="s">
        <v>9901</v>
      </c>
      <c r="E15435" s="3" t="s">
        <v>3</v>
      </c>
      <c r="F15435" s="4">
        <v>9.9000000000000004E-36</v>
      </c>
      <c r="G15435" s="3">
        <v>359</v>
      </c>
      <c r="H15435" s="3">
        <v>31</v>
      </c>
      <c r="I15435" s="3">
        <v>423</v>
      </c>
      <c r="J15435" s="3">
        <v>367</v>
      </c>
      <c r="K15435" s="3">
        <v>1587</v>
      </c>
      <c r="L15435" s="3">
        <v>12</v>
      </c>
      <c r="M15435" s="3">
        <v>399</v>
      </c>
    </row>
    <row r="15436" spans="1:13" x14ac:dyDescent="0.25">
      <c r="A15436" s="1" t="str">
        <f>HYPERLINK("http://www.rosaceae.org/Prunus/Prunus_persica/p.persica_gdr_reftransV1_0015099","p.persica_gdr_reftransV1_0015099")</f>
        <v>p.persica_gdr_reftransV1_0015099</v>
      </c>
      <c r="B15436" s="3">
        <v>2061</v>
      </c>
      <c r="C15436" s="1" t="str">
        <f>HYPERLINK("http://www.uniprot.org/uniprot/NIP1_ARATH","NIP1_ARATH")</f>
        <v>NIP1_ARATH</v>
      </c>
      <c r="D15436" t="s">
        <v>1094</v>
      </c>
      <c r="E15436" s="3" t="s">
        <v>3</v>
      </c>
      <c r="F15436" s="4">
        <v>4.3200000000000002E-94</v>
      </c>
      <c r="G15436" s="3">
        <v>710</v>
      </c>
      <c r="H15436" s="3">
        <v>80</v>
      </c>
      <c r="I15436" s="3">
        <v>173</v>
      </c>
      <c r="J15436" s="3">
        <v>1056</v>
      </c>
      <c r="K15436" s="3">
        <v>1574</v>
      </c>
      <c r="L15436" s="3">
        <v>24</v>
      </c>
      <c r="M15436" s="3">
        <v>196</v>
      </c>
    </row>
    <row r="15437" spans="1:13" x14ac:dyDescent="0.25">
      <c r="A15437" s="1" t="str">
        <f>HYPERLINK("http://www.rosaceae.org/Prunus/Prunus_persica/p.persica_gdr_reftransV1_0015149","p.persica_gdr_reftransV1_0015149")</f>
        <v>p.persica_gdr_reftransV1_0015149</v>
      </c>
      <c r="B15437" s="3">
        <v>1797</v>
      </c>
      <c r="C15437" s="1" t="str">
        <f>HYPERLINK("http://www.uniprot.org/uniprot/MDHG_CUCSA","MDHG_CUCSA")</f>
        <v>MDHG_CUCSA</v>
      </c>
      <c r="D15437" t="s">
        <v>7127</v>
      </c>
      <c r="E15437" s="3" t="s">
        <v>1149</v>
      </c>
      <c r="F15437" s="4">
        <v>0</v>
      </c>
      <c r="G15437" s="3">
        <v>1567</v>
      </c>
      <c r="H15437" s="3">
        <v>78</v>
      </c>
      <c r="I15437" s="3">
        <v>390</v>
      </c>
      <c r="J15437" s="3">
        <v>519</v>
      </c>
      <c r="K15437" s="3">
        <v>1688</v>
      </c>
      <c r="L15437" s="3">
        <v>1</v>
      </c>
      <c r="M15437" s="3">
        <v>355</v>
      </c>
    </row>
    <row r="15438" spans="1:13" x14ac:dyDescent="0.25">
      <c r="A15438" s="1" t="str">
        <f>HYPERLINK("http://www.rosaceae.org/Prunus/Prunus_persica/p.persica_gdr_reftransV1_0015299","p.persica_gdr_reftransV1_0015299")</f>
        <v>p.persica_gdr_reftransV1_0015299</v>
      </c>
      <c r="B15438" s="3">
        <v>2601</v>
      </c>
      <c r="C15438" s="1" t="str">
        <f>HYPERLINK("http://www.uniprot.org/uniprot/G3BP_SCHPO","G3BP_SCHPO")</f>
        <v>G3BP_SCHPO</v>
      </c>
      <c r="D15438" t="s">
        <v>2656</v>
      </c>
      <c r="E15438" s="3" t="s">
        <v>464</v>
      </c>
      <c r="F15438" s="4">
        <v>4.3100000000000002E-18</v>
      </c>
      <c r="G15438" s="3">
        <v>226</v>
      </c>
      <c r="H15438" s="3">
        <v>37</v>
      </c>
      <c r="I15438" s="3">
        <v>124</v>
      </c>
      <c r="J15438" s="3">
        <v>315</v>
      </c>
      <c r="K15438" s="3">
        <v>677</v>
      </c>
      <c r="L15438" s="3">
        <v>17</v>
      </c>
      <c r="M15438" s="3">
        <v>139</v>
      </c>
    </row>
    <row r="15439" spans="1:13" x14ac:dyDescent="0.25">
      <c r="A15439" s="1" t="str">
        <f>HYPERLINK("http://www.rosaceae.org/Prunus/Prunus_persica/p.persica_gdr_reftransV1_0015599","p.persica_gdr_reftransV1_0015599")</f>
        <v>p.persica_gdr_reftransV1_0015599</v>
      </c>
      <c r="B15439" s="3">
        <v>1244</v>
      </c>
      <c r="C15439" s="1" t="str">
        <f>HYPERLINK("http://www.uniprot.org/uniprot/KI18A_HUMAN","KI18A_HUMAN")</f>
        <v>KI18A_HUMAN</v>
      </c>
      <c r="D15439" t="s">
        <v>9902</v>
      </c>
      <c r="E15439" s="3" t="s">
        <v>28</v>
      </c>
      <c r="F15439" s="4">
        <v>2.2999999999999999E-52</v>
      </c>
      <c r="G15439" s="3">
        <v>488</v>
      </c>
      <c r="H15439" s="3">
        <v>48</v>
      </c>
      <c r="I15439" s="3">
        <v>223</v>
      </c>
      <c r="J15439" s="3">
        <v>456</v>
      </c>
      <c r="K15439" s="3">
        <v>1109</v>
      </c>
      <c r="L15439" s="3">
        <v>179</v>
      </c>
      <c r="M15439" s="3">
        <v>398</v>
      </c>
    </row>
    <row r="15440" spans="1:13" x14ac:dyDescent="0.25">
      <c r="A15440" s="1" t="str">
        <f>HYPERLINK("http://www.rosaceae.org/Prunus/Prunus_persica/p.persica_gdr_reftransV1_0015799","p.persica_gdr_reftransV1_0015799")</f>
        <v>p.persica_gdr_reftransV1_0015799</v>
      </c>
      <c r="B15440" s="3">
        <v>1096</v>
      </c>
      <c r="C15440" s="1" t="str">
        <f>HYPERLINK("http://www.uniprot.org/uniprot/VATL4_ARATH","VATL4_ARATH")</f>
        <v>VATL4_ARATH</v>
      </c>
      <c r="D15440" t="s">
        <v>2639</v>
      </c>
      <c r="E15440" s="3" t="s">
        <v>3</v>
      </c>
      <c r="F15440" s="4">
        <v>1.29E-48</v>
      </c>
      <c r="G15440" s="3">
        <v>424</v>
      </c>
      <c r="H15440" s="3">
        <v>99</v>
      </c>
      <c r="I15440" s="3">
        <v>123</v>
      </c>
      <c r="J15440" s="3">
        <v>615</v>
      </c>
      <c r="K15440" s="3">
        <v>983</v>
      </c>
      <c r="L15440" s="3">
        <v>1</v>
      </c>
      <c r="M15440" s="3">
        <v>123</v>
      </c>
    </row>
    <row r="15441" spans="1:13" x14ac:dyDescent="0.25">
      <c r="A15441" s="1" t="str">
        <f>HYPERLINK("http://www.rosaceae.org/Prunus/Prunus_persica/p.persica_gdr_reftransV1_0015999","p.persica_gdr_reftransV1_0015999")</f>
        <v>p.persica_gdr_reftransV1_0015999</v>
      </c>
      <c r="B15441" s="3">
        <v>3649</v>
      </c>
      <c r="C15441" s="1" t="str">
        <f>HYPERLINK("http://www.uniprot.org/uniprot/ORP1D_ARATH","ORP1D_ARATH")</f>
        <v>ORP1D_ARATH</v>
      </c>
      <c r="D15441" t="s">
        <v>9903</v>
      </c>
      <c r="E15441" s="3" t="s">
        <v>3</v>
      </c>
      <c r="F15441" s="4">
        <v>0</v>
      </c>
      <c r="G15441" s="3">
        <v>2485</v>
      </c>
      <c r="H15441" s="3">
        <v>72</v>
      </c>
      <c r="I15441" s="3">
        <v>669</v>
      </c>
      <c r="J15441" s="3">
        <v>1154</v>
      </c>
      <c r="K15441" s="3">
        <v>3121</v>
      </c>
      <c r="L15441" s="3">
        <v>1</v>
      </c>
      <c r="M15441" s="3">
        <v>648</v>
      </c>
    </row>
    <row r="15442" spans="1:13" x14ac:dyDescent="0.25">
      <c r="A15442" s="1" t="str">
        <f>HYPERLINK("http://www.rosaceae.org/Prunus/Prunus_persica/p.persica_gdr_reftransV1_0016049","p.persica_gdr_reftransV1_0016049")</f>
        <v>p.persica_gdr_reftransV1_0016049</v>
      </c>
      <c r="B15442" s="3">
        <v>6488</v>
      </c>
      <c r="C15442" s="1" t="str">
        <f>HYPERLINK("http://www.uniprot.org/uniprot/PHT21_ARATH","PHT21_ARATH")</f>
        <v>PHT21_ARATH</v>
      </c>
      <c r="D15442" t="s">
        <v>9904</v>
      </c>
      <c r="E15442" s="3" t="s">
        <v>3</v>
      </c>
      <c r="F15442" s="4">
        <v>0</v>
      </c>
      <c r="G15442" s="3">
        <v>1937</v>
      </c>
      <c r="H15442" s="3">
        <v>74</v>
      </c>
      <c r="I15442" s="3">
        <v>604</v>
      </c>
      <c r="J15442" s="3">
        <v>179</v>
      </c>
      <c r="K15442" s="3">
        <v>1945</v>
      </c>
      <c r="L15442" s="3">
        <v>1</v>
      </c>
      <c r="M15442" s="3">
        <v>587</v>
      </c>
    </row>
    <row r="15443" spans="1:13" x14ac:dyDescent="0.25">
      <c r="A15443" s="1" t="str">
        <f>HYPERLINK("http://www.rosaceae.org/Prunus/Prunus_persica/p.persica_gdr_reftransV1_0016299","p.persica_gdr_reftransV1_0016299")</f>
        <v>p.persica_gdr_reftransV1_0016299</v>
      </c>
      <c r="B15443" s="3">
        <v>1629</v>
      </c>
      <c r="C15443" s="1" t="str">
        <f>HYPERLINK("http://www.uniprot.org/uniprot/GDL54_ARATH","GDL54_ARATH")</f>
        <v>GDL54_ARATH</v>
      </c>
      <c r="D15443" t="s">
        <v>9905</v>
      </c>
      <c r="E15443" s="3" t="s">
        <v>3</v>
      </c>
      <c r="F15443" s="4">
        <v>1.46E-141</v>
      </c>
      <c r="G15443" s="3">
        <v>1080</v>
      </c>
      <c r="H15443" s="3">
        <v>56</v>
      </c>
      <c r="I15443" s="3">
        <v>373</v>
      </c>
      <c r="J15443" s="3">
        <v>215</v>
      </c>
      <c r="K15443" s="3">
        <v>1324</v>
      </c>
      <c r="L15443" s="3">
        <v>25</v>
      </c>
      <c r="M15443" s="3">
        <v>370</v>
      </c>
    </row>
    <row r="15444" spans="1:13" x14ac:dyDescent="0.25">
      <c r="A15444" s="1" t="str">
        <f>HYPERLINK("http://www.rosaceae.org/Prunus/Prunus_persica/p.persica_gdr_reftransV1_0016399","p.persica_gdr_reftransV1_0016399")</f>
        <v>p.persica_gdr_reftransV1_0016399</v>
      </c>
      <c r="B15444" s="3">
        <v>2978</v>
      </c>
      <c r="C15444" s="1" t="str">
        <f>HYPERLINK("http://www.uniprot.org/uniprot/ITIH5_MOUSE","ITIH5_MOUSE")</f>
        <v>ITIH5_MOUSE</v>
      </c>
      <c r="D15444" t="s">
        <v>9906</v>
      </c>
      <c r="E15444" s="3" t="s">
        <v>157</v>
      </c>
      <c r="F15444" s="4">
        <v>2.04E-7</v>
      </c>
      <c r="G15444" s="3">
        <v>141</v>
      </c>
      <c r="H15444" s="3">
        <v>29</v>
      </c>
      <c r="I15444" s="3">
        <v>160</v>
      </c>
      <c r="J15444" s="3">
        <v>981</v>
      </c>
      <c r="K15444" s="3">
        <v>1433</v>
      </c>
      <c r="L15444" s="3">
        <v>293</v>
      </c>
      <c r="M15444" s="3">
        <v>448</v>
      </c>
    </row>
    <row r="15445" spans="1:13" x14ac:dyDescent="0.25">
      <c r="A15445" s="1" t="str">
        <f>HYPERLINK("http://www.rosaceae.org/Prunus/Prunus_persica/p.persica_gdr_reftransV1_0016449","p.persica_gdr_reftransV1_0016449")</f>
        <v>p.persica_gdr_reftransV1_0016449</v>
      </c>
      <c r="B15445" s="3">
        <v>742</v>
      </c>
      <c r="C15445" s="1" t="str">
        <f>HYPERLINK("http://www.uniprot.org/uniprot/PR1_ARATH","PR1_ARATH")</f>
        <v>PR1_ARATH</v>
      </c>
      <c r="D15445" t="s">
        <v>3074</v>
      </c>
      <c r="E15445" s="3" t="s">
        <v>3</v>
      </c>
      <c r="F15445" s="4">
        <v>1.51E-68</v>
      </c>
      <c r="G15445" s="3">
        <v>547</v>
      </c>
      <c r="H15445" s="3">
        <v>63</v>
      </c>
      <c r="I15445" s="3">
        <v>160</v>
      </c>
      <c r="J15445" s="3">
        <v>49</v>
      </c>
      <c r="K15445" s="3">
        <v>528</v>
      </c>
      <c r="L15445" s="3">
        <v>5</v>
      </c>
      <c r="M15445" s="3">
        <v>161</v>
      </c>
    </row>
    <row r="15446" spans="1:13" x14ac:dyDescent="0.25">
      <c r="A15446" s="1" t="str">
        <f>HYPERLINK("http://www.rosaceae.org/Prunus/Prunus_persica/p.persica_gdr_reftransV1_0016549","p.persica_gdr_reftransV1_0016549")</f>
        <v>p.persica_gdr_reftransV1_0016549</v>
      </c>
      <c r="B15446" s="3">
        <v>1842</v>
      </c>
      <c r="C15446" s="1" t="str">
        <f>HYPERLINK("http://www.uniprot.org/uniprot/TIM21_ARATH","TIM21_ARATH")</f>
        <v>TIM21_ARATH</v>
      </c>
      <c r="D15446" t="s">
        <v>9907</v>
      </c>
      <c r="E15446" s="3" t="s">
        <v>3</v>
      </c>
      <c r="F15446" s="4">
        <v>1.21E-83</v>
      </c>
      <c r="G15446" s="3">
        <v>689</v>
      </c>
      <c r="H15446" s="3">
        <v>73</v>
      </c>
      <c r="I15446" s="3">
        <v>187</v>
      </c>
      <c r="J15446" s="3">
        <v>634</v>
      </c>
      <c r="K15446" s="3">
        <v>1194</v>
      </c>
      <c r="L15446" s="3">
        <v>83</v>
      </c>
      <c r="M15446" s="3">
        <v>269</v>
      </c>
    </row>
    <row r="15447" spans="1:13" x14ac:dyDescent="0.25">
      <c r="A15447" s="1" t="str">
        <f>HYPERLINK("http://www.rosaceae.org/Prunus/Prunus_persica/p.persica_gdr_reftransV1_0016749","p.persica_gdr_reftransV1_0016749")</f>
        <v>p.persica_gdr_reftransV1_0016749</v>
      </c>
      <c r="B15447" s="3">
        <v>970</v>
      </c>
      <c r="C15447" s="1" t="str">
        <f>HYPERLINK("http://www.uniprot.org/uniprot/AP1S2_ARATH","AP1S2_ARATH")</f>
        <v>AP1S2_ARATH</v>
      </c>
      <c r="D15447" t="s">
        <v>9908</v>
      </c>
      <c r="E15447" s="3" t="s">
        <v>3</v>
      </c>
      <c r="F15447" s="4">
        <v>5.0799999999999997E-98</v>
      </c>
      <c r="G15447" s="3">
        <v>750</v>
      </c>
      <c r="H15447" s="3">
        <v>78</v>
      </c>
      <c r="I15447" s="3">
        <v>188</v>
      </c>
      <c r="J15447" s="3">
        <v>297</v>
      </c>
      <c r="K15447" s="3">
        <v>860</v>
      </c>
      <c r="L15447" s="3">
        <v>1</v>
      </c>
      <c r="M15447" s="3">
        <v>161</v>
      </c>
    </row>
    <row r="15448" spans="1:13" x14ac:dyDescent="0.25">
      <c r="A15448" s="1" t="str">
        <f>HYPERLINK("http://www.rosaceae.org/Prunus/Prunus_persica/p.persica_gdr_reftransV1_0016999","p.persica_gdr_reftransV1_0016999")</f>
        <v>p.persica_gdr_reftransV1_0016999</v>
      </c>
      <c r="B15448" s="3">
        <v>2811</v>
      </c>
      <c r="C15448" s="1" t="str">
        <f>HYPERLINK("http://www.uniprot.org/uniprot/STAR7_MOUSE","STAR7_MOUSE")</f>
        <v>STAR7_MOUSE</v>
      </c>
      <c r="D15448" t="s">
        <v>7418</v>
      </c>
      <c r="E15448" s="3" t="s">
        <v>157</v>
      </c>
      <c r="F15448" s="4">
        <v>6.64E-12</v>
      </c>
      <c r="G15448" s="3">
        <v>175</v>
      </c>
      <c r="H15448" s="3">
        <v>32</v>
      </c>
      <c r="I15448" s="3">
        <v>154</v>
      </c>
      <c r="J15448" s="3">
        <v>1299</v>
      </c>
      <c r="K15448" s="3">
        <v>1748</v>
      </c>
      <c r="L15448" s="3">
        <v>138</v>
      </c>
      <c r="M15448" s="3">
        <v>286</v>
      </c>
    </row>
    <row r="15449" spans="1:13" x14ac:dyDescent="0.25">
      <c r="A15449" s="1" t="str">
        <f>HYPERLINK("http://www.rosaceae.org/Prunus/Prunus_persica/p.persica_gdr_reftransV1_0017049","p.persica_gdr_reftransV1_0017049")</f>
        <v>p.persica_gdr_reftransV1_0017049</v>
      </c>
      <c r="B15449" s="3">
        <v>2144</v>
      </c>
      <c r="C15449" s="1" t="str">
        <f>HYPERLINK("http://www.uniprot.org/uniprot/GATA_VITVI","GATA_VITVI")</f>
        <v>GATA_VITVI</v>
      </c>
      <c r="D15449" t="s">
        <v>4602</v>
      </c>
      <c r="E15449" s="3" t="s">
        <v>362</v>
      </c>
      <c r="F15449" s="4">
        <v>0</v>
      </c>
      <c r="G15449" s="3">
        <v>1938</v>
      </c>
      <c r="H15449" s="3">
        <v>80</v>
      </c>
      <c r="I15449" s="3">
        <v>487</v>
      </c>
      <c r="J15449" s="3">
        <v>368</v>
      </c>
      <c r="K15449" s="3">
        <v>1828</v>
      </c>
      <c r="L15449" s="3">
        <v>67</v>
      </c>
      <c r="M15449" s="3">
        <v>545</v>
      </c>
    </row>
    <row r="15450" spans="1:13" x14ac:dyDescent="0.25">
      <c r="A15450" s="1" t="str">
        <f>HYPERLINK("http://www.rosaceae.org/Prunus/Prunus_persica/p.persica_gdr_reftransV1_0017149","p.persica_gdr_reftransV1_0017149")</f>
        <v>p.persica_gdr_reftransV1_0017149</v>
      </c>
      <c r="B15450" s="3">
        <v>2416</v>
      </c>
      <c r="C15450" s="1" t="str">
        <f>HYPERLINK("http://www.uniprot.org/uniprot/PCNB_SALTI","PCNB_SALTI")</f>
        <v>PCNB_SALTI</v>
      </c>
      <c r="D15450" t="s">
        <v>9909</v>
      </c>
      <c r="E15450" s="3" t="s">
        <v>9910</v>
      </c>
      <c r="F15450" s="4">
        <v>2.3599999999999998E-22</v>
      </c>
      <c r="G15450" s="3">
        <v>258</v>
      </c>
      <c r="H15450" s="3">
        <v>33</v>
      </c>
      <c r="I15450" s="3">
        <v>189</v>
      </c>
      <c r="J15450" s="3">
        <v>653</v>
      </c>
      <c r="K15450" s="3">
        <v>1192</v>
      </c>
      <c r="L15450" s="3">
        <v>12</v>
      </c>
      <c r="M15450" s="3">
        <v>194</v>
      </c>
    </row>
    <row r="15451" spans="1:13" x14ac:dyDescent="0.25">
      <c r="A15451" s="1" t="str">
        <f>HYPERLINK("http://www.rosaceae.org/Prunus/Prunus_persica/p.persica_gdr_reftransV1_0017499","p.persica_gdr_reftransV1_0017499")</f>
        <v>p.persica_gdr_reftransV1_0017499</v>
      </c>
      <c r="B15451" s="3">
        <v>2712</v>
      </c>
      <c r="C15451" s="1" t="str">
        <f>HYPERLINK("http://www.uniprot.org/uniprot/MEMO1_XENTR","MEMO1_XENTR")</f>
        <v>MEMO1_XENTR</v>
      </c>
      <c r="D15451" t="s">
        <v>9911</v>
      </c>
      <c r="E15451" s="3" t="s">
        <v>173</v>
      </c>
      <c r="F15451" s="4">
        <v>1.02E-55</v>
      </c>
      <c r="G15451" s="3">
        <v>505</v>
      </c>
      <c r="H15451" s="3">
        <v>53</v>
      </c>
      <c r="I15451" s="3">
        <v>192</v>
      </c>
      <c r="J15451" s="3">
        <v>1413</v>
      </c>
      <c r="K15451" s="3">
        <v>1982</v>
      </c>
      <c r="L15451" s="3">
        <v>7</v>
      </c>
      <c r="M15451" s="3">
        <v>197</v>
      </c>
    </row>
    <row r="15452" spans="1:13" x14ac:dyDescent="0.25">
      <c r="A15452" s="1" t="str">
        <f>HYPERLINK("http://www.rosaceae.org/Prunus/Prunus_persica/p.persica_gdr_reftransV1_0017599","p.persica_gdr_reftransV1_0017599")</f>
        <v>p.persica_gdr_reftransV1_0017599</v>
      </c>
      <c r="B15452" s="3">
        <v>1742</v>
      </c>
      <c r="C15452" s="1" t="str">
        <f>HYPERLINK("http://www.uniprot.org/uniprot/DRL4_ARATH","DRL4_ARATH")</f>
        <v>DRL4_ARATH</v>
      </c>
      <c r="D15452" t="s">
        <v>2765</v>
      </c>
      <c r="E15452" s="3" t="s">
        <v>3</v>
      </c>
      <c r="F15452" s="4">
        <v>1.61E-59</v>
      </c>
      <c r="G15452" s="3">
        <v>552</v>
      </c>
      <c r="H15452" s="3">
        <v>43</v>
      </c>
      <c r="I15452" s="3">
        <v>293</v>
      </c>
      <c r="J15452" s="3">
        <v>4</v>
      </c>
      <c r="K15452" s="3">
        <v>882</v>
      </c>
      <c r="L15452" s="3">
        <v>58</v>
      </c>
      <c r="M15452" s="3">
        <v>342</v>
      </c>
    </row>
    <row r="15453" spans="1:13" x14ac:dyDescent="0.25">
      <c r="A15453" s="1" t="str">
        <f>HYPERLINK("http://www.rosaceae.org/Prunus/Prunus_persica/p.persica_gdr_reftransV1_0017699","p.persica_gdr_reftransV1_0017699")</f>
        <v>p.persica_gdr_reftransV1_0017699</v>
      </c>
      <c r="B15453" s="3">
        <v>1493</v>
      </c>
      <c r="C15453" s="1" t="str">
        <f>HYPERLINK("http://www.uniprot.org/uniprot/RAVL1_ARATH","RAVL1_ARATH")</f>
        <v>RAVL1_ARATH</v>
      </c>
      <c r="D15453" t="s">
        <v>8440</v>
      </c>
      <c r="E15453" s="3" t="s">
        <v>3</v>
      </c>
      <c r="F15453" s="4">
        <v>2.67E-98</v>
      </c>
      <c r="G15453" s="3">
        <v>787</v>
      </c>
      <c r="H15453" s="3">
        <v>55</v>
      </c>
      <c r="I15453" s="3">
        <v>298</v>
      </c>
      <c r="J15453" s="3">
        <v>335</v>
      </c>
      <c r="K15453" s="3">
        <v>1204</v>
      </c>
      <c r="L15453" s="3">
        <v>53</v>
      </c>
      <c r="M15453" s="3">
        <v>320</v>
      </c>
    </row>
    <row r="15454" spans="1:13" x14ac:dyDescent="0.25">
      <c r="A15454" s="1" t="str">
        <f>HYPERLINK("http://www.rosaceae.org/Prunus/Prunus_persica/p.persica_gdr_reftransV1_0017949","p.persica_gdr_reftransV1_0017949")</f>
        <v>p.persica_gdr_reftransV1_0017949</v>
      </c>
      <c r="B15454" s="3">
        <v>4646</v>
      </c>
      <c r="C15454" s="1" t="str">
        <f>HYPERLINK("http://www.uniprot.org/uniprot/ABKC_DICDI","ABKC_DICDI")</f>
        <v>ABKC_DICDI</v>
      </c>
      <c r="D15454" t="s">
        <v>9912</v>
      </c>
      <c r="E15454" s="3" t="s">
        <v>9</v>
      </c>
      <c r="F15454" s="4">
        <v>1.09E-64</v>
      </c>
      <c r="G15454" s="3">
        <v>610</v>
      </c>
      <c r="H15454" s="3">
        <v>44</v>
      </c>
      <c r="I15454" s="3">
        <v>284</v>
      </c>
      <c r="J15454" s="3">
        <v>1722</v>
      </c>
      <c r="K15454" s="3">
        <v>2570</v>
      </c>
      <c r="L15454" s="3">
        <v>158</v>
      </c>
      <c r="M15454" s="3">
        <v>428</v>
      </c>
    </row>
    <row r="15455" spans="1:13" x14ac:dyDescent="0.25">
      <c r="A15455" s="1" t="str">
        <f>HYPERLINK("http://www.rosaceae.org/Prunus/Prunus_persica/p.persica_gdr_reftransV1_0017999","p.persica_gdr_reftransV1_0017999")</f>
        <v>p.persica_gdr_reftransV1_0017999</v>
      </c>
      <c r="B15455" s="3">
        <v>3245</v>
      </c>
      <c r="C15455" s="1" t="str">
        <f>HYPERLINK("http://www.uniprot.org/uniprot/BRCA1_ARATH","BRCA1_ARATH")</f>
        <v>BRCA1_ARATH</v>
      </c>
      <c r="D15455" t="s">
        <v>9913</v>
      </c>
      <c r="E15455" s="3" t="s">
        <v>3</v>
      </c>
      <c r="F15455" s="4">
        <v>1.1199999999999999E-133</v>
      </c>
      <c r="G15455" s="3">
        <v>1119</v>
      </c>
      <c r="H15455" s="3">
        <v>57</v>
      </c>
      <c r="I15455" s="3">
        <v>400</v>
      </c>
      <c r="J15455" s="3">
        <v>1917</v>
      </c>
      <c r="K15455" s="3">
        <v>3113</v>
      </c>
      <c r="L15455" s="3">
        <v>551</v>
      </c>
      <c r="M15455" s="3">
        <v>937</v>
      </c>
    </row>
    <row r="15456" spans="1:13" x14ac:dyDescent="0.25">
      <c r="A15456" s="1" t="str">
        <f>HYPERLINK("http://www.rosaceae.org/Prunus/Prunus_persica/p.persica_gdr_reftransV1_0018149","p.persica_gdr_reftransV1_0018149")</f>
        <v>p.persica_gdr_reftransV1_0018149</v>
      </c>
      <c r="B15456" s="3">
        <v>2054</v>
      </c>
      <c r="C15456" s="1" t="str">
        <f>HYPERLINK("http://www.uniprot.org/uniprot/EVI5L_HUMAN","EVI5L_HUMAN")</f>
        <v>EVI5L_HUMAN</v>
      </c>
      <c r="D15456" t="s">
        <v>9914</v>
      </c>
      <c r="E15456" s="3" t="s">
        <v>28</v>
      </c>
      <c r="F15456" s="4">
        <v>6.3499999999999998E-48</v>
      </c>
      <c r="G15456" s="3">
        <v>467</v>
      </c>
      <c r="H15456" s="3">
        <v>35</v>
      </c>
      <c r="I15456" s="3">
        <v>297</v>
      </c>
      <c r="J15456" s="3">
        <v>624</v>
      </c>
      <c r="K15456" s="3">
        <v>1508</v>
      </c>
      <c r="L15456" s="3">
        <v>91</v>
      </c>
      <c r="M15456" s="3">
        <v>354</v>
      </c>
    </row>
    <row r="15457" spans="1:13" x14ac:dyDescent="0.25">
      <c r="A15457" s="1" t="str">
        <f>HYPERLINK("http://www.rosaceae.org/Prunus/Prunus_persica/p.persica_gdr_reftransV1_0018249","p.persica_gdr_reftransV1_0018249")</f>
        <v>p.persica_gdr_reftransV1_0018249</v>
      </c>
      <c r="B15457" s="3">
        <v>987</v>
      </c>
      <c r="C15457" s="1" t="str">
        <f>HYPERLINK("http://www.uniprot.org/uniprot/ATL72_ARATH","ATL72_ARATH")</f>
        <v>ATL72_ARATH</v>
      </c>
      <c r="D15457" t="s">
        <v>4153</v>
      </c>
      <c r="E15457" s="3" t="s">
        <v>3</v>
      </c>
      <c r="F15457" s="4">
        <v>1.2799999999999999E-18</v>
      </c>
      <c r="G15457" s="3">
        <v>211</v>
      </c>
      <c r="H15457" s="3">
        <v>50</v>
      </c>
      <c r="I15457" s="3">
        <v>76</v>
      </c>
      <c r="J15457" s="3">
        <v>365</v>
      </c>
      <c r="K15457" s="3">
        <v>592</v>
      </c>
      <c r="L15457" s="3">
        <v>88</v>
      </c>
      <c r="M15457" s="3">
        <v>159</v>
      </c>
    </row>
    <row r="15458" spans="1:13" x14ac:dyDescent="0.25">
      <c r="A15458" s="1" t="str">
        <f>HYPERLINK("http://www.rosaceae.org/Prunus/Prunus_persica/p.persica_gdr_reftransV1_0018399","p.persica_gdr_reftransV1_0018399")</f>
        <v>p.persica_gdr_reftransV1_0018399</v>
      </c>
      <c r="B15458" s="3">
        <v>2799</v>
      </c>
      <c r="C15458" s="1" t="str">
        <f>HYPERLINK("http://www.uniprot.org/uniprot/RING3_ARATH","RING3_ARATH")</f>
        <v>RING3_ARATH</v>
      </c>
      <c r="D15458" t="s">
        <v>4543</v>
      </c>
      <c r="E15458" s="3" t="s">
        <v>3</v>
      </c>
      <c r="F15458" s="4">
        <v>1.9300000000000002E-9</v>
      </c>
      <c r="G15458" s="3">
        <v>151</v>
      </c>
      <c r="H15458" s="3">
        <v>63</v>
      </c>
      <c r="I15458" s="3">
        <v>38</v>
      </c>
      <c r="J15458" s="3">
        <v>960</v>
      </c>
      <c r="K15458" s="3">
        <v>1073</v>
      </c>
      <c r="L15458" s="3">
        <v>187</v>
      </c>
      <c r="M15458" s="3">
        <v>224</v>
      </c>
    </row>
    <row r="15459" spans="1:13" x14ac:dyDescent="0.25">
      <c r="A15459" s="1" t="str">
        <f>HYPERLINK("http://www.rosaceae.org/Prunus/Prunus_persica/p.persica_gdr_reftransV1_0018549","p.persica_gdr_reftransV1_0018549")</f>
        <v>p.persica_gdr_reftransV1_0018549</v>
      </c>
      <c r="B15459" s="3">
        <v>3531</v>
      </c>
      <c r="C15459" s="1" t="str">
        <f>HYPERLINK("http://www.uniprot.org/uniprot/SEC6_ARATH","SEC6_ARATH")</f>
        <v>SEC6_ARATH</v>
      </c>
      <c r="D15459" t="s">
        <v>9915</v>
      </c>
      <c r="E15459" s="3" t="s">
        <v>3</v>
      </c>
      <c r="F15459" s="4">
        <v>0</v>
      </c>
      <c r="G15459" s="3">
        <v>2508</v>
      </c>
      <c r="H15459" s="3">
        <v>85</v>
      </c>
      <c r="I15459" s="3">
        <v>575</v>
      </c>
      <c r="J15459" s="3">
        <v>1484</v>
      </c>
      <c r="K15459" s="3">
        <v>3208</v>
      </c>
      <c r="L15459" s="3">
        <v>210</v>
      </c>
      <c r="M15459" s="3">
        <v>752</v>
      </c>
    </row>
    <row r="15460" spans="1:13" x14ac:dyDescent="0.25">
      <c r="A15460" s="1" t="str">
        <f>HYPERLINK("http://www.rosaceae.org/Prunus/Prunus_persica/p.persica_gdr_reftransV1_0019049","p.persica_gdr_reftransV1_0019049")</f>
        <v>p.persica_gdr_reftransV1_0019049</v>
      </c>
      <c r="B15460" s="3">
        <v>2373</v>
      </c>
      <c r="C15460" s="1" t="str">
        <f>HYPERLINK("http://www.uniprot.org/uniprot/TCX5_ARATH","TCX5_ARATH")</f>
        <v>TCX5_ARATH</v>
      </c>
      <c r="D15460" t="s">
        <v>6979</v>
      </c>
      <c r="E15460" s="3" t="s">
        <v>3</v>
      </c>
      <c r="F15460" s="4">
        <v>9.8200000000000009E-180</v>
      </c>
      <c r="G15460" s="3">
        <v>1380</v>
      </c>
      <c r="H15460" s="3">
        <v>65</v>
      </c>
      <c r="I15460" s="3">
        <v>466</v>
      </c>
      <c r="J15460" s="3">
        <v>302</v>
      </c>
      <c r="K15460" s="3">
        <v>1672</v>
      </c>
      <c r="L15460" s="3">
        <v>110</v>
      </c>
      <c r="M15460" s="3">
        <v>559</v>
      </c>
    </row>
    <row r="15461" spans="1:13" x14ac:dyDescent="0.25">
      <c r="A15461" s="1" t="str">
        <f>HYPERLINK("http://www.rosaceae.org/Prunus/Prunus_persica/p.persica_gdr_reftransV1_0019149","p.persica_gdr_reftransV1_0019149")</f>
        <v>p.persica_gdr_reftransV1_0019149</v>
      </c>
      <c r="B15461" s="3">
        <v>840</v>
      </c>
      <c r="C15461" s="1" t="str">
        <f>HYPERLINK("http://www.uniprot.org/uniprot/CRPM2_ARATH","CRPM2_ARATH")</f>
        <v>CRPM2_ARATH</v>
      </c>
      <c r="D15461" t="s">
        <v>9916</v>
      </c>
      <c r="E15461" s="3" t="s">
        <v>3</v>
      </c>
      <c r="F15461" s="4">
        <v>1.19E-110</v>
      </c>
      <c r="G15461" s="3">
        <v>833</v>
      </c>
      <c r="H15461" s="3">
        <v>76</v>
      </c>
      <c r="I15461" s="3">
        <v>201</v>
      </c>
      <c r="J15461" s="3">
        <v>123</v>
      </c>
      <c r="K15461" s="3">
        <v>725</v>
      </c>
      <c r="L15461" s="3">
        <v>1</v>
      </c>
      <c r="M15461" s="3">
        <v>201</v>
      </c>
    </row>
    <row r="15462" spans="1:13" x14ac:dyDescent="0.25">
      <c r="A15462" s="1" t="str">
        <f>HYPERLINK("http://www.rosaceae.org/Prunus/Prunus_persica/p.persica_gdr_reftransV1_0019299","p.persica_gdr_reftransV1_0019299")</f>
        <v>p.persica_gdr_reftransV1_0019299</v>
      </c>
      <c r="B15462" s="3">
        <v>5784</v>
      </c>
      <c r="C15462" s="1" t="str">
        <f>HYPERLINK("http://www.uniprot.org/uniprot/GLTB1_ARATH","GLTB1_ARATH")</f>
        <v>GLTB1_ARATH</v>
      </c>
      <c r="D15462" t="s">
        <v>6680</v>
      </c>
      <c r="E15462" s="3" t="s">
        <v>3</v>
      </c>
      <c r="F15462" s="4">
        <v>0</v>
      </c>
      <c r="G15462" s="3">
        <v>7249</v>
      </c>
      <c r="H15462" s="3">
        <v>83</v>
      </c>
      <c r="I15462" s="3">
        <v>1621</v>
      </c>
      <c r="J15462" s="3">
        <v>603</v>
      </c>
      <c r="K15462" s="3">
        <v>5453</v>
      </c>
      <c r="L15462" s="3">
        <v>7</v>
      </c>
      <c r="M15462" s="3">
        <v>1621</v>
      </c>
    </row>
    <row r="15463" spans="1:13" x14ac:dyDescent="0.25">
      <c r="A15463" s="1" t="str">
        <f>HYPERLINK("http://www.rosaceae.org/Prunus/Prunus_persica/p.persica_gdr_reftransV1_0019349","p.persica_gdr_reftransV1_0019349")</f>
        <v>p.persica_gdr_reftransV1_0019349</v>
      </c>
      <c r="B15463" s="3">
        <v>1973</v>
      </c>
      <c r="C15463" s="1" t="str">
        <f>HYPERLINK("http://www.uniprot.org/uniprot/BZIP9_ARATH","BZIP9_ARATH")</f>
        <v>BZIP9_ARATH</v>
      </c>
      <c r="D15463" t="s">
        <v>7311</v>
      </c>
      <c r="E15463" s="3" t="s">
        <v>3</v>
      </c>
      <c r="F15463" s="4">
        <v>1.0100000000000001E-47</v>
      </c>
      <c r="G15463" s="3">
        <v>440</v>
      </c>
      <c r="H15463" s="3">
        <v>52</v>
      </c>
      <c r="I15463" s="3">
        <v>261</v>
      </c>
      <c r="J15463" s="3">
        <v>870</v>
      </c>
      <c r="K15463" s="3">
        <v>1640</v>
      </c>
      <c r="L15463" s="3">
        <v>34</v>
      </c>
      <c r="M15463" s="3">
        <v>276</v>
      </c>
    </row>
    <row r="15464" spans="1:13" x14ac:dyDescent="0.25">
      <c r="A15464" s="1" t="str">
        <f>HYPERLINK("http://www.rosaceae.org/Prunus/Prunus_persica/p.persica_gdr_reftransV1_0019399","p.persica_gdr_reftransV1_0019399")</f>
        <v>p.persica_gdr_reftransV1_0019399</v>
      </c>
      <c r="B15464" s="3">
        <v>2084</v>
      </c>
      <c r="C15464" s="1" t="str">
        <f>HYPERLINK("http://www.uniprot.org/uniprot/SAMH1_DICDI","SAMH1_DICDI")</f>
        <v>SAMH1_DICDI</v>
      </c>
      <c r="D15464" t="s">
        <v>2559</v>
      </c>
      <c r="E15464" s="3" t="s">
        <v>9</v>
      </c>
      <c r="F15464" s="4">
        <v>1.4900000000000001E-87</v>
      </c>
      <c r="G15464" s="3">
        <v>742</v>
      </c>
      <c r="H15464" s="3">
        <v>37</v>
      </c>
      <c r="I15464" s="3">
        <v>460</v>
      </c>
      <c r="J15464" s="3">
        <v>256</v>
      </c>
      <c r="K15464" s="3">
        <v>1632</v>
      </c>
      <c r="L15464" s="3">
        <v>79</v>
      </c>
      <c r="M15464" s="3">
        <v>488</v>
      </c>
    </row>
    <row r="15465" spans="1:13" x14ac:dyDescent="0.25">
      <c r="A15465" s="1" t="str">
        <f>HYPERLINK("http://www.rosaceae.org/Prunus/Prunus_persica/p.persica_gdr_reftransV1_0019549","p.persica_gdr_reftransV1_0019549")</f>
        <v>p.persica_gdr_reftransV1_0019549</v>
      </c>
      <c r="B15465" s="3">
        <v>1112</v>
      </c>
      <c r="C15465" s="1" t="str">
        <f>HYPERLINK("http://www.uniprot.org/uniprot/HMG14_ARATH","HMG14_ARATH")</f>
        <v>HMG14_ARATH</v>
      </c>
      <c r="D15465" t="s">
        <v>1866</v>
      </c>
      <c r="E15465" s="3" t="s">
        <v>3</v>
      </c>
      <c r="F15465" s="4">
        <v>3.0199999999999998E-35</v>
      </c>
      <c r="G15465" s="3">
        <v>331</v>
      </c>
      <c r="H15465" s="3">
        <v>64</v>
      </c>
      <c r="I15465" s="3">
        <v>124</v>
      </c>
      <c r="J15465" s="3">
        <v>351</v>
      </c>
      <c r="K15465" s="3">
        <v>722</v>
      </c>
      <c r="L15465" s="3">
        <v>21</v>
      </c>
      <c r="M15465" s="3">
        <v>138</v>
      </c>
    </row>
    <row r="15466" spans="1:13" x14ac:dyDescent="0.25">
      <c r="A15466" s="1" t="str">
        <f>HYPERLINK("http://www.rosaceae.org/Prunus/Prunus_persica/p.persica_gdr_reftransV1_0019649","p.persica_gdr_reftransV1_0019649")</f>
        <v>p.persica_gdr_reftransV1_0019649</v>
      </c>
      <c r="B15466" s="3">
        <v>1037</v>
      </c>
      <c r="C15466" s="1" t="str">
        <f>HYPERLINK("http://www.uniprot.org/uniprot/P2A01_ARATH","P2A01_ARATH")</f>
        <v>P2A01_ARATH</v>
      </c>
      <c r="D15466" t="s">
        <v>9010</v>
      </c>
      <c r="E15466" s="3" t="s">
        <v>3</v>
      </c>
      <c r="F15466" s="4">
        <v>8.5400000000000004E-30</v>
      </c>
      <c r="G15466" s="3">
        <v>298</v>
      </c>
      <c r="H15466" s="3">
        <v>51</v>
      </c>
      <c r="I15466" s="3">
        <v>98</v>
      </c>
      <c r="J15466" s="3">
        <v>725</v>
      </c>
      <c r="K15466" s="3">
        <v>1018</v>
      </c>
      <c r="L15466" s="3">
        <v>84</v>
      </c>
      <c r="M15466" s="3">
        <v>181</v>
      </c>
    </row>
    <row r="15467" spans="1:13" x14ac:dyDescent="0.25">
      <c r="A15467" s="1" t="str">
        <f>HYPERLINK("http://www.rosaceae.org/Prunus/Prunus_persica/p.persica_gdr_reftransV1_0020099","p.persica_gdr_reftransV1_0020099")</f>
        <v>p.persica_gdr_reftransV1_0020099</v>
      </c>
      <c r="B15467" s="3">
        <v>1049</v>
      </c>
      <c r="C15467" s="1" t="str">
        <f>HYPERLINK("http://www.uniprot.org/uniprot/COL14_ARATH","COL14_ARATH")</f>
        <v>COL14_ARATH</v>
      </c>
      <c r="D15467" t="s">
        <v>9917</v>
      </c>
      <c r="E15467" s="3" t="s">
        <v>3</v>
      </c>
      <c r="F15467" s="4">
        <v>5.4100000000000002E-50</v>
      </c>
      <c r="G15467" s="3">
        <v>450</v>
      </c>
      <c r="H15467" s="3">
        <v>65</v>
      </c>
      <c r="I15467" s="3">
        <v>147</v>
      </c>
      <c r="J15467" s="3">
        <v>451</v>
      </c>
      <c r="K15467" s="3">
        <v>888</v>
      </c>
      <c r="L15467" s="3">
        <v>10</v>
      </c>
      <c r="M15467" s="3">
        <v>153</v>
      </c>
    </row>
    <row r="15468" spans="1:13" x14ac:dyDescent="0.25">
      <c r="A15468" s="1" t="str">
        <f>HYPERLINK("http://www.rosaceae.org/Prunus/Prunus_persica/p.persica_gdr_reftransV1_0020149","p.persica_gdr_reftransV1_0020149")</f>
        <v>p.persica_gdr_reftransV1_0020149</v>
      </c>
      <c r="B15468" s="3">
        <v>817</v>
      </c>
      <c r="C15468" s="1" t="str">
        <f>HYPERLINK("http://www.uniprot.org/uniprot/GLR27_ARATH","GLR27_ARATH")</f>
        <v>GLR27_ARATH</v>
      </c>
      <c r="D15468" t="s">
        <v>1199</v>
      </c>
      <c r="E15468" s="3" t="s">
        <v>3</v>
      </c>
      <c r="F15468" s="4">
        <v>5.1600000000000002E-28</v>
      </c>
      <c r="G15468" s="3">
        <v>295</v>
      </c>
      <c r="H15468" s="3">
        <v>34</v>
      </c>
      <c r="I15468" s="3">
        <v>201</v>
      </c>
      <c r="J15468" s="3">
        <v>220</v>
      </c>
      <c r="K15468" s="3">
        <v>816</v>
      </c>
      <c r="L15468" s="3">
        <v>94</v>
      </c>
      <c r="M15468" s="3">
        <v>293</v>
      </c>
    </row>
    <row r="15469" spans="1:13" x14ac:dyDescent="0.25">
      <c r="A15469" s="1" t="str">
        <f>HYPERLINK("http://www.rosaceae.org/Prunus/Prunus_persica/p.persica_gdr_reftransV1_0020249","p.persica_gdr_reftransV1_0020249")</f>
        <v>p.persica_gdr_reftransV1_0020249</v>
      </c>
      <c r="B15469" s="3">
        <v>4300</v>
      </c>
      <c r="C15469" s="1" t="str">
        <f>HYPERLINK("http://www.uniprot.org/uniprot/HIRA_ORYSJ","HIRA_ORYSJ")</f>
        <v>HIRA_ORYSJ</v>
      </c>
      <c r="D15469" t="s">
        <v>9218</v>
      </c>
      <c r="E15469" s="3" t="s">
        <v>38</v>
      </c>
      <c r="F15469" s="4">
        <v>0</v>
      </c>
      <c r="G15469" s="3">
        <v>3424</v>
      </c>
      <c r="H15469" s="3">
        <v>71</v>
      </c>
      <c r="I15469" s="3">
        <v>923</v>
      </c>
      <c r="J15469" s="3">
        <v>224</v>
      </c>
      <c r="K15469" s="3">
        <v>2926</v>
      </c>
      <c r="L15469" s="3">
        <v>1</v>
      </c>
      <c r="M15469" s="3">
        <v>906</v>
      </c>
    </row>
    <row r="15470" spans="1:13" x14ac:dyDescent="0.25">
      <c r="A15470" s="1" t="str">
        <f>HYPERLINK("http://www.rosaceae.org/Prunus/Prunus_persica/p.persica_gdr_reftransV1_0020449","p.persica_gdr_reftransV1_0020449")</f>
        <v>p.persica_gdr_reftransV1_0020449</v>
      </c>
      <c r="B15470" s="3">
        <v>2172</v>
      </c>
      <c r="C15470" s="1" t="str">
        <f>HYPERLINK("http://www.uniprot.org/uniprot/TF2B2_ARATH","TF2B2_ARATH")</f>
        <v>TF2B2_ARATH</v>
      </c>
      <c r="D15470" t="s">
        <v>4399</v>
      </c>
      <c r="E15470" s="3" t="s">
        <v>3</v>
      </c>
      <c r="F15470" s="4">
        <v>3.0200000000000002E-78</v>
      </c>
      <c r="G15470" s="3">
        <v>663</v>
      </c>
      <c r="H15470" s="3">
        <v>88</v>
      </c>
      <c r="I15470" s="3">
        <v>158</v>
      </c>
      <c r="J15470" s="3">
        <v>553</v>
      </c>
      <c r="K15470" s="3">
        <v>1023</v>
      </c>
      <c r="L15470" s="3">
        <v>121</v>
      </c>
      <c r="M15470" s="3">
        <v>278</v>
      </c>
    </row>
    <row r="15471" spans="1:13" x14ac:dyDescent="0.25">
      <c r="A15471" s="1" t="str">
        <f>HYPERLINK("http://www.rosaceae.org/Prunus/Prunus_persica/p.persica_gdr_reftransV1_0020649","p.persica_gdr_reftransV1_0020649")</f>
        <v>p.persica_gdr_reftransV1_0020649</v>
      </c>
      <c r="B15471" s="3">
        <v>3380</v>
      </c>
      <c r="C15471" s="1" t="str">
        <f>HYPERLINK("http://www.uniprot.org/uniprot/SYHM_ARATH","SYHM_ARATH")</f>
        <v>SYHM_ARATH</v>
      </c>
      <c r="D15471" t="s">
        <v>9918</v>
      </c>
      <c r="E15471" s="3" t="s">
        <v>3</v>
      </c>
      <c r="F15471" s="4">
        <v>0</v>
      </c>
      <c r="G15471" s="3">
        <v>1778</v>
      </c>
      <c r="H15471" s="3">
        <v>83</v>
      </c>
      <c r="I15471" s="3">
        <v>435</v>
      </c>
      <c r="J15471" s="3">
        <v>1767</v>
      </c>
      <c r="K15471" s="3">
        <v>3065</v>
      </c>
      <c r="L15471" s="3">
        <v>43</v>
      </c>
      <c r="M15471" s="3">
        <v>477</v>
      </c>
    </row>
    <row r="15472" spans="1:13" x14ac:dyDescent="0.25">
      <c r="A15472" s="1" t="str">
        <f>HYPERLINK("http://www.rosaceae.org/Prunus/Prunus_persica/p.persica_gdr_reftransV1_0020749","p.persica_gdr_reftransV1_0020749")</f>
        <v>p.persica_gdr_reftransV1_0020749</v>
      </c>
      <c r="B15472" s="3">
        <v>2208</v>
      </c>
      <c r="C15472" s="1" t="str">
        <f>HYPERLINK("http://www.uniprot.org/uniprot/YUC10_ARATH","YUC10_ARATH")</f>
        <v>YUC10_ARATH</v>
      </c>
      <c r="D15472" t="s">
        <v>9919</v>
      </c>
      <c r="E15472" s="3" t="s">
        <v>3</v>
      </c>
      <c r="F15472" s="4">
        <v>2.45E-121</v>
      </c>
      <c r="G15472" s="3">
        <v>963</v>
      </c>
      <c r="H15472" s="3">
        <v>52</v>
      </c>
      <c r="I15472" s="3">
        <v>366</v>
      </c>
      <c r="J15472" s="3">
        <v>360</v>
      </c>
      <c r="K15472" s="3">
        <v>1454</v>
      </c>
      <c r="L15472" s="3">
        <v>9</v>
      </c>
      <c r="M15472" s="3">
        <v>373</v>
      </c>
    </row>
    <row r="15473" spans="1:13" x14ac:dyDescent="0.25">
      <c r="A15473" s="1" t="str">
        <f>HYPERLINK("http://www.rosaceae.org/Prunus/Prunus_persica/p.persica_gdr_reftransV1_0020799","p.persica_gdr_reftransV1_0020799")</f>
        <v>p.persica_gdr_reftransV1_0020799</v>
      </c>
      <c r="B15473" s="3">
        <v>652</v>
      </c>
      <c r="C15473" s="1" t="str">
        <f>HYPERLINK("http://www.uniprot.org/uniprot/APX3_ORYSJ","APX3_ORYSJ")</f>
        <v>APX3_ORYSJ</v>
      </c>
      <c r="D15473" t="s">
        <v>9920</v>
      </c>
      <c r="E15473" s="3" t="s">
        <v>38</v>
      </c>
      <c r="F15473" s="4">
        <v>1.6499999999999999E-39</v>
      </c>
      <c r="G15473" s="3">
        <v>360</v>
      </c>
      <c r="H15473" s="3">
        <v>82</v>
      </c>
      <c r="I15473" s="3">
        <v>97</v>
      </c>
      <c r="J15473" s="3">
        <v>360</v>
      </c>
      <c r="K15473" s="3">
        <v>650</v>
      </c>
      <c r="L15473" s="3">
        <v>152</v>
      </c>
      <c r="M15473" s="3">
        <v>248</v>
      </c>
    </row>
    <row r="15474" spans="1:13" x14ac:dyDescent="0.25">
      <c r="A15474" s="1" t="str">
        <f>HYPERLINK("http://www.rosaceae.org/Prunus/Prunus_persica/p.persica_gdr_reftransV1_0021249","p.persica_gdr_reftransV1_0021249")</f>
        <v>p.persica_gdr_reftransV1_0021249</v>
      </c>
      <c r="B15474" s="3">
        <v>616</v>
      </c>
      <c r="C15474" s="1" t="str">
        <f>HYPERLINK("http://www.uniprot.org/uniprot/SUMO2_ARATH","SUMO2_ARATH")</f>
        <v>SUMO2_ARATH</v>
      </c>
      <c r="D15474" t="s">
        <v>99</v>
      </c>
      <c r="E15474" s="3" t="s">
        <v>3</v>
      </c>
      <c r="F15474" s="4">
        <v>1.04E-16</v>
      </c>
      <c r="G15474" s="3">
        <v>188</v>
      </c>
      <c r="H15474" s="3">
        <v>47</v>
      </c>
      <c r="I15474" s="3">
        <v>81</v>
      </c>
      <c r="J15474" s="3">
        <v>144</v>
      </c>
      <c r="K15474" s="3">
        <v>386</v>
      </c>
      <c r="L15474" s="3">
        <v>15</v>
      </c>
      <c r="M15474" s="3">
        <v>94</v>
      </c>
    </row>
    <row r="15475" spans="1:13" x14ac:dyDescent="0.25">
      <c r="A15475" s="1" t="str">
        <f>HYPERLINK("http://www.rosaceae.org/Prunus/Prunus_persica/p.persica_gdr_reftransV1_0021299","p.persica_gdr_reftransV1_0021299")</f>
        <v>p.persica_gdr_reftransV1_0021299</v>
      </c>
      <c r="B15475" s="3">
        <v>3283</v>
      </c>
      <c r="C15475" s="1" t="str">
        <f>HYPERLINK("http://www.uniprot.org/uniprot/FRAY2_DICDI","FRAY2_DICDI")</f>
        <v>FRAY2_DICDI</v>
      </c>
      <c r="D15475" t="s">
        <v>2965</v>
      </c>
      <c r="E15475" s="3" t="s">
        <v>9</v>
      </c>
      <c r="F15475" s="4">
        <v>3.6099999999999997E-100</v>
      </c>
      <c r="G15475" s="3">
        <v>887</v>
      </c>
      <c r="H15475" s="3">
        <v>56</v>
      </c>
      <c r="I15475" s="3">
        <v>286</v>
      </c>
      <c r="J15475" s="3">
        <v>249</v>
      </c>
      <c r="K15475" s="3">
        <v>1103</v>
      </c>
      <c r="L15475" s="3">
        <v>71</v>
      </c>
      <c r="M15475" s="3">
        <v>353</v>
      </c>
    </row>
    <row r="15476" spans="1:13" x14ac:dyDescent="0.25">
      <c r="A15476" s="1" t="str">
        <f>HYPERLINK("http://www.rosaceae.org/Prunus/Prunus_persica/p.persica_gdr_reftransV1_0021399","p.persica_gdr_reftransV1_0021399")</f>
        <v>p.persica_gdr_reftransV1_0021399</v>
      </c>
      <c r="B15476" s="3">
        <v>1639</v>
      </c>
      <c r="C15476" s="1" t="str">
        <f>HYPERLINK("http://www.uniprot.org/uniprot/GSXL4_ARATH","GSXL4_ARATH")</f>
        <v>GSXL4_ARATH</v>
      </c>
      <c r="D15476" t="s">
        <v>3365</v>
      </c>
      <c r="E15476" s="3" t="s">
        <v>3</v>
      </c>
      <c r="F15476" s="4">
        <v>4.3199999999999999E-129</v>
      </c>
      <c r="G15476" s="3">
        <v>1005</v>
      </c>
      <c r="H15476" s="3">
        <v>64</v>
      </c>
      <c r="I15476" s="3">
        <v>285</v>
      </c>
      <c r="J15476" s="3">
        <v>510</v>
      </c>
      <c r="K15476" s="3">
        <v>1343</v>
      </c>
      <c r="L15476" s="3">
        <v>168</v>
      </c>
      <c r="M15476" s="3">
        <v>452</v>
      </c>
    </row>
    <row r="15477" spans="1:13" x14ac:dyDescent="0.25">
      <c r="A15477" s="1" t="str">
        <f>HYPERLINK("http://www.rosaceae.org/Prunus/Prunus_persica/p.persica_gdr_reftransV1_0021649","p.persica_gdr_reftransV1_0021649")</f>
        <v>p.persica_gdr_reftransV1_0021649</v>
      </c>
      <c r="B15477" s="3">
        <v>3556</v>
      </c>
      <c r="C15477" s="1" t="str">
        <f>HYPERLINK("http://www.uniprot.org/uniprot/MTA70_ORYSJ","MTA70_ORYSJ")</f>
        <v>MTA70_ORYSJ</v>
      </c>
      <c r="D15477" t="s">
        <v>9921</v>
      </c>
      <c r="E15477" s="3" t="s">
        <v>38</v>
      </c>
      <c r="F15477" s="4">
        <v>0</v>
      </c>
      <c r="G15477" s="3">
        <v>1559</v>
      </c>
      <c r="H15477" s="3">
        <v>84</v>
      </c>
      <c r="I15477" s="3">
        <v>356</v>
      </c>
      <c r="J15477" s="3">
        <v>1286</v>
      </c>
      <c r="K15477" s="3">
        <v>2353</v>
      </c>
      <c r="L15477" s="3">
        <v>307</v>
      </c>
      <c r="M15477" s="3">
        <v>653</v>
      </c>
    </row>
    <row r="15478" spans="1:13" x14ac:dyDescent="0.25">
      <c r="A15478" s="1" t="str">
        <f>HYPERLINK("http://www.rosaceae.org/Prunus/Prunus_persica/p.persica_gdr_reftransV1_0021849","p.persica_gdr_reftransV1_0021849")</f>
        <v>p.persica_gdr_reftransV1_0021849</v>
      </c>
      <c r="B15478" s="3">
        <v>559</v>
      </c>
      <c r="C15478" s="1" t="str">
        <f>HYPERLINK("http://www.uniprot.org/uniprot/PP168_ARATH","PP168_ARATH")</f>
        <v>PP168_ARATH</v>
      </c>
      <c r="D15478" t="s">
        <v>2164</v>
      </c>
      <c r="E15478" s="3" t="s">
        <v>3</v>
      </c>
      <c r="F15478" s="4">
        <v>2.14E-56</v>
      </c>
      <c r="G15478" s="3">
        <v>493</v>
      </c>
      <c r="H15478" s="3">
        <v>49</v>
      </c>
      <c r="I15478" s="3">
        <v>177</v>
      </c>
      <c r="J15478" s="3">
        <v>28</v>
      </c>
      <c r="K15478" s="3">
        <v>555</v>
      </c>
      <c r="L15478" s="3">
        <v>1</v>
      </c>
      <c r="M15478" s="3">
        <v>177</v>
      </c>
    </row>
    <row r="15479" spans="1:13" x14ac:dyDescent="0.25">
      <c r="A15479" s="1" t="str">
        <f>HYPERLINK("http://www.rosaceae.org/Prunus/Prunus_persica/p.persica_gdr_reftransV1_0021899","p.persica_gdr_reftransV1_0021899")</f>
        <v>p.persica_gdr_reftransV1_0021899</v>
      </c>
      <c r="B15479" s="3">
        <v>856</v>
      </c>
      <c r="C15479" s="1" t="str">
        <f>HYPERLINK("http://www.uniprot.org/uniprot/RS13_SOYBN","RS13_SOYBN")</f>
        <v>RS13_SOYBN</v>
      </c>
      <c r="D15479" t="s">
        <v>5036</v>
      </c>
      <c r="E15479" s="3" t="s">
        <v>307</v>
      </c>
      <c r="F15479" s="4">
        <v>1.21E-76</v>
      </c>
      <c r="G15479" s="3">
        <v>603</v>
      </c>
      <c r="H15479" s="3">
        <v>93</v>
      </c>
      <c r="I15479" s="3">
        <v>127</v>
      </c>
      <c r="J15479" s="3">
        <v>228</v>
      </c>
      <c r="K15479" s="3">
        <v>605</v>
      </c>
      <c r="L15479" s="3">
        <v>25</v>
      </c>
      <c r="M15479" s="3">
        <v>151</v>
      </c>
    </row>
    <row r="15480" spans="1:13" x14ac:dyDescent="0.25">
      <c r="A15480" s="1" t="str">
        <f>HYPERLINK("http://www.rosaceae.org/Prunus/Prunus_persica/p.persica_gdr_reftransV1_0021949","p.persica_gdr_reftransV1_0021949")</f>
        <v>p.persica_gdr_reftransV1_0021949</v>
      </c>
      <c r="B15480" s="3">
        <v>3161</v>
      </c>
      <c r="C15480" s="1" t="str">
        <f>HYPERLINK("http://www.uniprot.org/uniprot/ATX3_ORYSJ","ATX3_ORYSJ")</f>
        <v>ATX3_ORYSJ</v>
      </c>
      <c r="D15480" t="s">
        <v>9922</v>
      </c>
      <c r="E15480" s="3" t="s">
        <v>38</v>
      </c>
      <c r="F15480" s="4">
        <v>1.3E-65</v>
      </c>
      <c r="G15480" s="3">
        <v>584</v>
      </c>
      <c r="H15480" s="3">
        <v>66</v>
      </c>
      <c r="I15480" s="3">
        <v>173</v>
      </c>
      <c r="J15480" s="3">
        <v>2531</v>
      </c>
      <c r="K15480" s="3">
        <v>3049</v>
      </c>
      <c r="L15480" s="3">
        <v>88</v>
      </c>
      <c r="M15480" s="3">
        <v>259</v>
      </c>
    </row>
    <row r="15481" spans="1:13" x14ac:dyDescent="0.25">
      <c r="A15481" s="1" t="str">
        <f>HYPERLINK("http://www.rosaceae.org/Prunus/Prunus_persica/p.persica_gdr_reftransV1_0021999","p.persica_gdr_reftransV1_0021999")</f>
        <v>p.persica_gdr_reftransV1_0021999</v>
      </c>
      <c r="B15481" s="3">
        <v>2470</v>
      </c>
      <c r="C15481" s="1" t="str">
        <f>HYPERLINK("http://www.uniprot.org/uniprot/TARB1_HUMAN","TARB1_HUMAN")</f>
        <v>TARB1_HUMAN</v>
      </c>
      <c r="D15481" t="s">
        <v>9923</v>
      </c>
      <c r="E15481" s="3" t="s">
        <v>28</v>
      </c>
      <c r="F15481" s="4">
        <v>9.5999999999999997E-49</v>
      </c>
      <c r="G15481" s="3">
        <v>485</v>
      </c>
      <c r="H15481" s="3">
        <v>56</v>
      </c>
      <c r="I15481" s="3">
        <v>167</v>
      </c>
      <c r="J15481" s="3">
        <v>1772</v>
      </c>
      <c r="K15481" s="3">
        <v>2272</v>
      </c>
      <c r="L15481" s="3">
        <v>1449</v>
      </c>
      <c r="M15481" s="3">
        <v>1612</v>
      </c>
    </row>
    <row r="15482" spans="1:13" x14ac:dyDescent="0.25">
      <c r="A15482" s="1" t="str">
        <f>HYPERLINK("http://www.rosaceae.org/Prunus/Prunus_persica/p.persica_gdr_reftransV1_0022049","p.persica_gdr_reftransV1_0022049")</f>
        <v>p.persica_gdr_reftransV1_0022049</v>
      </c>
      <c r="B15482" s="3">
        <v>1305</v>
      </c>
      <c r="C15482" s="1" t="str">
        <f>HYPERLINK("http://www.uniprot.org/uniprot/COQ5_ARATH","COQ5_ARATH")</f>
        <v>COQ5_ARATH</v>
      </c>
      <c r="D15482" t="s">
        <v>9924</v>
      </c>
      <c r="E15482" s="3" t="s">
        <v>3</v>
      </c>
      <c r="F15482" s="4">
        <v>2.8099999999999997E-163</v>
      </c>
      <c r="G15482" s="3">
        <v>1205</v>
      </c>
      <c r="H15482" s="3">
        <v>76</v>
      </c>
      <c r="I15482" s="3">
        <v>289</v>
      </c>
      <c r="J15482" s="3">
        <v>267</v>
      </c>
      <c r="K15482" s="3">
        <v>1133</v>
      </c>
      <c r="L15482" s="3">
        <v>1</v>
      </c>
      <c r="M15482" s="3">
        <v>288</v>
      </c>
    </row>
    <row r="15483" spans="1:13" x14ac:dyDescent="0.25">
      <c r="A15483" s="1" t="str">
        <f>HYPERLINK("http://www.rosaceae.org/Prunus/Prunus_persica/p.persica_gdr_reftransV1_0022399","p.persica_gdr_reftransV1_0022399")</f>
        <v>p.persica_gdr_reftransV1_0022399</v>
      </c>
      <c r="B15483" s="3">
        <v>2365</v>
      </c>
      <c r="C15483" s="1" t="str">
        <f>HYPERLINK("http://www.uniprot.org/uniprot/SIS3_ARATH","SIS3_ARATH")</f>
        <v>SIS3_ARATH</v>
      </c>
      <c r="D15483" t="s">
        <v>1118</v>
      </c>
      <c r="E15483" s="3" t="s">
        <v>3</v>
      </c>
      <c r="F15483" s="4">
        <v>2.79E-106</v>
      </c>
      <c r="G15483" s="3">
        <v>745</v>
      </c>
      <c r="H15483" s="3">
        <v>83</v>
      </c>
      <c r="I15483" s="3">
        <v>178</v>
      </c>
      <c r="J15483" s="3">
        <v>1181</v>
      </c>
      <c r="K15483" s="3">
        <v>1714</v>
      </c>
      <c r="L15483" s="3">
        <v>71</v>
      </c>
      <c r="M15483" s="3">
        <v>248</v>
      </c>
    </row>
    <row r="15484" spans="1:13" x14ac:dyDescent="0.25">
      <c r="A15484" s="1" t="str">
        <f>HYPERLINK("http://www.rosaceae.org/Prunus/Prunus_persica/p.persica_gdr_reftransV1_0022499","p.persica_gdr_reftransV1_0022499")</f>
        <v>p.persica_gdr_reftransV1_0022499</v>
      </c>
      <c r="B15484" s="3">
        <v>1625</v>
      </c>
      <c r="C15484" s="1" t="str">
        <f>HYPERLINK("http://www.uniprot.org/uniprot/GALDH_ARATH","GALDH_ARATH")</f>
        <v>GALDH_ARATH</v>
      </c>
      <c r="D15484" t="s">
        <v>9925</v>
      </c>
      <c r="E15484" s="3" t="s">
        <v>3</v>
      </c>
      <c r="F15484" s="4">
        <v>1.3199999999999999E-164</v>
      </c>
      <c r="G15484" s="3">
        <v>1228</v>
      </c>
      <c r="H15484" s="3">
        <v>81</v>
      </c>
      <c r="I15484" s="3">
        <v>277</v>
      </c>
      <c r="J15484" s="3">
        <v>629</v>
      </c>
      <c r="K15484" s="3">
        <v>1459</v>
      </c>
      <c r="L15484" s="3">
        <v>1</v>
      </c>
      <c r="M15484" s="3">
        <v>277</v>
      </c>
    </row>
    <row r="15485" spans="1:13" x14ac:dyDescent="0.25">
      <c r="A15485" s="1" t="str">
        <f>HYPERLINK("http://www.rosaceae.org/Prunus/Prunus_persica/p.persica_gdr_reftransV1_0022849","p.persica_gdr_reftransV1_0022849")</f>
        <v>p.persica_gdr_reftransV1_0022849</v>
      </c>
      <c r="B15485" s="3">
        <v>1052</v>
      </c>
      <c r="C15485" s="1" t="str">
        <f>HYPERLINK("http://www.uniprot.org/uniprot/ADF_VITVI","ADF_VITVI")</f>
        <v>ADF_VITVI</v>
      </c>
      <c r="D15485" t="s">
        <v>1776</v>
      </c>
      <c r="E15485" s="3" t="s">
        <v>362</v>
      </c>
      <c r="F15485" s="4">
        <v>2.75E-77</v>
      </c>
      <c r="G15485" s="3">
        <v>613</v>
      </c>
      <c r="H15485" s="3">
        <v>86</v>
      </c>
      <c r="I15485" s="3">
        <v>146</v>
      </c>
      <c r="J15485" s="3">
        <v>292</v>
      </c>
      <c r="K15485" s="3">
        <v>729</v>
      </c>
      <c r="L15485" s="3">
        <v>1</v>
      </c>
      <c r="M15485" s="3">
        <v>143</v>
      </c>
    </row>
    <row r="15486" spans="1:13" x14ac:dyDescent="0.25">
      <c r="A15486" s="1" t="str">
        <f>HYPERLINK("http://www.rosaceae.org/Prunus/Prunus_persica/p.persica_gdr_reftransV1_0023099","p.persica_gdr_reftransV1_0023099")</f>
        <v>p.persica_gdr_reftransV1_0023099</v>
      </c>
      <c r="B15486" s="3">
        <v>1710</v>
      </c>
      <c r="C15486" s="1" t="str">
        <f>HYPERLINK("http://www.uniprot.org/uniprot/RNH_HALSA","RNH_HALSA")</f>
        <v>RNH_HALSA</v>
      </c>
      <c r="D15486" t="s">
        <v>9926</v>
      </c>
      <c r="E15486" s="3" t="s">
        <v>9927</v>
      </c>
      <c r="F15486" s="4">
        <v>2.5600000000000002E-13</v>
      </c>
      <c r="G15486" s="3">
        <v>178</v>
      </c>
      <c r="H15486" s="3">
        <v>33</v>
      </c>
      <c r="I15486" s="3">
        <v>176</v>
      </c>
      <c r="J15486" s="3">
        <v>827</v>
      </c>
      <c r="K15486" s="3">
        <v>1348</v>
      </c>
      <c r="L15486" s="3">
        <v>54</v>
      </c>
      <c r="M15486" s="3">
        <v>197</v>
      </c>
    </row>
    <row r="15487" spans="1:13" x14ac:dyDescent="0.25">
      <c r="A15487" s="1" t="str">
        <f>HYPERLINK("http://www.rosaceae.org/Prunus/Prunus_persica/p.persica_gdr_reftransV1_0023349","p.persica_gdr_reftransV1_0023349")</f>
        <v>p.persica_gdr_reftransV1_0023349</v>
      </c>
      <c r="B15487" s="3">
        <v>2220</v>
      </c>
      <c r="C15487" s="1" t="str">
        <f>HYPERLINK("http://www.uniprot.org/uniprot/Y8219_ORYSJ","Y8219_ORYSJ")</f>
        <v>Y8219_ORYSJ</v>
      </c>
      <c r="D15487" t="s">
        <v>9928</v>
      </c>
      <c r="E15487" s="3" t="s">
        <v>38</v>
      </c>
      <c r="F15487" s="4">
        <v>1.41E-87</v>
      </c>
      <c r="G15487" s="3">
        <v>751</v>
      </c>
      <c r="H15487" s="3">
        <v>38</v>
      </c>
      <c r="I15487" s="3">
        <v>437</v>
      </c>
      <c r="J15487" s="3">
        <v>407</v>
      </c>
      <c r="K15487" s="3">
        <v>1660</v>
      </c>
      <c r="L15487" s="3">
        <v>185</v>
      </c>
      <c r="M15487" s="3">
        <v>581</v>
      </c>
    </row>
    <row r="15488" spans="1:13" x14ac:dyDescent="0.25">
      <c r="A15488" s="1" t="str">
        <f>HYPERLINK("http://www.rosaceae.org/Prunus/Prunus_persica/p.persica_gdr_reftransV1_0023449","p.persica_gdr_reftransV1_0023449")</f>
        <v>p.persica_gdr_reftransV1_0023449</v>
      </c>
      <c r="B15488" s="3">
        <v>4687</v>
      </c>
      <c r="C15488" s="1" t="str">
        <f>HYPERLINK("http://www.uniprot.org/uniprot/RIC1_MOUSE","RIC1_MOUSE")</f>
        <v>RIC1_MOUSE</v>
      </c>
      <c r="D15488" t="s">
        <v>9929</v>
      </c>
      <c r="E15488" s="3" t="s">
        <v>157</v>
      </c>
      <c r="F15488" s="4">
        <v>5.2200000000000003E-48</v>
      </c>
      <c r="G15488" s="3">
        <v>488</v>
      </c>
      <c r="H15488" s="3">
        <v>24</v>
      </c>
      <c r="I15488" s="3">
        <v>920</v>
      </c>
      <c r="J15488" s="3">
        <v>2053</v>
      </c>
      <c r="K15488" s="3">
        <v>4470</v>
      </c>
      <c r="L15488" s="3">
        <v>1</v>
      </c>
      <c r="M15488" s="3">
        <v>873</v>
      </c>
    </row>
    <row r="15489" spans="1:13" x14ac:dyDescent="0.25">
      <c r="A15489" s="1" t="str">
        <f>HYPERLINK("http://www.rosaceae.org/Prunus/Prunus_persica/p.persica_gdr_reftransV1_0023599","p.persica_gdr_reftransV1_0023599")</f>
        <v>p.persica_gdr_reftransV1_0023599</v>
      </c>
      <c r="B15489" s="3">
        <v>439</v>
      </c>
      <c r="C15489" s="1" t="str">
        <f>HYPERLINK("http://www.uniprot.org/uniprot/CP18B_ARATH","CP18B_ARATH")</f>
        <v>CP18B_ARATH</v>
      </c>
      <c r="D15489" t="s">
        <v>9930</v>
      </c>
      <c r="E15489" s="3" t="s">
        <v>3</v>
      </c>
      <c r="F15489" s="4">
        <v>3.6399999999999999E-64</v>
      </c>
      <c r="G15489" s="3">
        <v>507</v>
      </c>
      <c r="H15489" s="3">
        <v>88</v>
      </c>
      <c r="I15489" s="3">
        <v>122</v>
      </c>
      <c r="J15489" s="3">
        <v>72</v>
      </c>
      <c r="K15489" s="3">
        <v>437</v>
      </c>
      <c r="L15489" s="3">
        <v>1</v>
      </c>
      <c r="M15489" s="3">
        <v>122</v>
      </c>
    </row>
    <row r="15490" spans="1:13" x14ac:dyDescent="0.25">
      <c r="A15490" s="1" t="str">
        <f>HYPERLINK("http://www.rosaceae.org/Prunus/Prunus_persica/p.persica_gdr_reftransV1_0023699","p.persica_gdr_reftransV1_0023699")</f>
        <v>p.persica_gdr_reftransV1_0023699</v>
      </c>
      <c r="B15490" s="3">
        <v>1227</v>
      </c>
      <c r="C15490" s="1" t="str">
        <f>HYPERLINK("http://www.uniprot.org/uniprot/CCD11_ARATH","CCD11_ARATH")</f>
        <v>CCD11_ARATH</v>
      </c>
      <c r="D15490" t="s">
        <v>6678</v>
      </c>
      <c r="E15490" s="3" t="s">
        <v>3</v>
      </c>
      <c r="F15490" s="4">
        <v>8.5300000000000001E-52</v>
      </c>
      <c r="G15490" s="3">
        <v>463</v>
      </c>
      <c r="H15490" s="3">
        <v>45</v>
      </c>
      <c r="I15490" s="3">
        <v>216</v>
      </c>
      <c r="J15490" s="3">
        <v>534</v>
      </c>
      <c r="K15490" s="3">
        <v>1175</v>
      </c>
      <c r="L15490" s="3">
        <v>36</v>
      </c>
      <c r="M15490" s="3">
        <v>243</v>
      </c>
    </row>
    <row r="15491" spans="1:13" x14ac:dyDescent="0.25">
      <c r="A15491" s="1" t="str">
        <f>HYPERLINK("http://www.rosaceae.org/Prunus/Prunus_persica/p.persica_gdr_reftransV1_0023749","p.persica_gdr_reftransV1_0023749")</f>
        <v>p.persica_gdr_reftransV1_0023749</v>
      </c>
      <c r="B15491" s="3">
        <v>1362</v>
      </c>
      <c r="C15491" s="1" t="str">
        <f>HYPERLINK("http://www.uniprot.org/uniprot/PERR_RAUSE","PERR_RAUSE")</f>
        <v>PERR_RAUSE</v>
      </c>
      <c r="D15491" t="s">
        <v>5831</v>
      </c>
      <c r="E15491" s="3" t="s">
        <v>2816</v>
      </c>
      <c r="F15491" s="4">
        <v>4.1300000000000003E-158</v>
      </c>
      <c r="G15491" s="3">
        <v>1178</v>
      </c>
      <c r="H15491" s="3">
        <v>69</v>
      </c>
      <c r="I15491" s="3">
        <v>334</v>
      </c>
      <c r="J15491" s="3">
        <v>124</v>
      </c>
      <c r="K15491" s="3">
        <v>1125</v>
      </c>
      <c r="L15491" s="3">
        <v>1</v>
      </c>
      <c r="M15491" s="3">
        <v>334</v>
      </c>
    </row>
    <row r="15492" spans="1:13" x14ac:dyDescent="0.25">
      <c r="A15492" s="1" t="str">
        <f>HYPERLINK("http://www.rosaceae.org/Prunus/Prunus_persica/p.persica_gdr_reftransV1_0023849","p.persica_gdr_reftransV1_0023849")</f>
        <v>p.persica_gdr_reftransV1_0023849</v>
      </c>
      <c r="B15492" s="3">
        <v>1438</v>
      </c>
      <c r="C15492" s="1" t="str">
        <f>HYPERLINK("http://www.uniprot.org/uniprot/TAF12_ARATH","TAF12_ARATH")</f>
        <v>TAF12_ARATH</v>
      </c>
      <c r="D15492" t="s">
        <v>7615</v>
      </c>
      <c r="E15492" s="3" t="s">
        <v>3</v>
      </c>
      <c r="F15492" s="4">
        <v>2.7100000000000002E-60</v>
      </c>
      <c r="G15492" s="3">
        <v>379</v>
      </c>
      <c r="H15492" s="3">
        <v>71</v>
      </c>
      <c r="I15492" s="3">
        <v>110</v>
      </c>
      <c r="J15492" s="3">
        <v>926</v>
      </c>
      <c r="K15492" s="3">
        <v>1252</v>
      </c>
      <c r="L15492" s="3">
        <v>353</v>
      </c>
      <c r="M15492" s="3">
        <v>462</v>
      </c>
    </row>
    <row r="15493" spans="1:13" x14ac:dyDescent="0.25">
      <c r="A15493" s="1" t="str">
        <f>HYPERLINK("http://www.rosaceae.org/Prunus/Prunus_persica/p.persica_gdr_reftransV1_0023899","p.persica_gdr_reftransV1_0023899")</f>
        <v>p.persica_gdr_reftransV1_0023899</v>
      </c>
      <c r="B15493" s="3">
        <v>2267</v>
      </c>
      <c r="C15493" s="1" t="str">
        <f>HYPERLINK("http://www.uniprot.org/uniprot/IFRD1_PIG","IFRD1_PIG")</f>
        <v>IFRD1_PIG</v>
      </c>
      <c r="D15493" t="s">
        <v>3156</v>
      </c>
      <c r="E15493" s="3" t="s">
        <v>1126</v>
      </c>
      <c r="F15493" s="4">
        <v>2.65E-31</v>
      </c>
      <c r="G15493" s="3">
        <v>331</v>
      </c>
      <c r="H15493" s="3">
        <v>28</v>
      </c>
      <c r="I15493" s="3">
        <v>359</v>
      </c>
      <c r="J15493" s="3">
        <v>472</v>
      </c>
      <c r="K15493" s="3">
        <v>1527</v>
      </c>
      <c r="L15493" s="3">
        <v>69</v>
      </c>
      <c r="M15493" s="3">
        <v>402</v>
      </c>
    </row>
    <row r="15494" spans="1:13" x14ac:dyDescent="0.25">
      <c r="A15494" s="1" t="str">
        <f>HYPERLINK("http://www.rosaceae.org/Prunus/Prunus_persica/p.persica_gdr_reftransV1_0023949","p.persica_gdr_reftransV1_0023949")</f>
        <v>p.persica_gdr_reftransV1_0023949</v>
      </c>
      <c r="B15494" s="3">
        <v>3977</v>
      </c>
      <c r="C15494" s="1" t="str">
        <f>HYPERLINK("http://www.uniprot.org/uniprot/TAF4B_ARATH","TAF4B_ARATH")</f>
        <v>TAF4B_ARATH</v>
      </c>
      <c r="D15494" t="s">
        <v>1135</v>
      </c>
      <c r="E15494" s="3" t="s">
        <v>3</v>
      </c>
      <c r="F15494" s="4">
        <v>1.5699999999999999E-136</v>
      </c>
      <c r="G15494" s="3">
        <v>862</v>
      </c>
      <c r="H15494" s="3">
        <v>40</v>
      </c>
      <c r="I15494" s="3">
        <v>733</v>
      </c>
      <c r="J15494" s="3">
        <v>329</v>
      </c>
      <c r="K15494" s="3">
        <v>2491</v>
      </c>
      <c r="L15494" s="3">
        <v>1</v>
      </c>
      <c r="M15494" s="3">
        <v>608</v>
      </c>
    </row>
    <row r="15495" spans="1:13" x14ac:dyDescent="0.25">
      <c r="A15495" s="1" t="str">
        <f>HYPERLINK("http://www.rosaceae.org/Prunus/Prunus_persica/p.persica_gdr_reftransV1_0024149","p.persica_gdr_reftransV1_0024149")</f>
        <v>p.persica_gdr_reftransV1_0024149</v>
      </c>
      <c r="B15495" s="3">
        <v>4800</v>
      </c>
      <c r="C15495" s="1" t="str">
        <f>HYPERLINK("http://www.uniprot.org/uniprot/FB304_ARATH","FB304_ARATH")</f>
        <v>FB304_ARATH</v>
      </c>
      <c r="D15495" t="s">
        <v>9931</v>
      </c>
      <c r="E15495" s="3" t="s">
        <v>3</v>
      </c>
      <c r="F15495" s="4">
        <v>0</v>
      </c>
      <c r="G15495" s="3">
        <v>3975</v>
      </c>
      <c r="H15495" s="3">
        <v>56</v>
      </c>
      <c r="I15495" s="3">
        <v>1428</v>
      </c>
      <c r="J15495" s="3">
        <v>352</v>
      </c>
      <c r="K15495" s="3">
        <v>4512</v>
      </c>
      <c r="L15495" s="3">
        <v>4</v>
      </c>
      <c r="M15495" s="3">
        <v>1359</v>
      </c>
    </row>
    <row r="15496" spans="1:13" x14ac:dyDescent="0.25">
      <c r="A15496" s="1" t="str">
        <f>HYPERLINK("http://www.rosaceae.org/Prunus/Prunus_persica/p.persica_gdr_reftransV1_0024349","p.persica_gdr_reftransV1_0024349")</f>
        <v>p.persica_gdr_reftransV1_0024349</v>
      </c>
      <c r="B15496" s="3">
        <v>1136</v>
      </c>
      <c r="C15496" s="1" t="str">
        <f>HYPERLINK("http://www.uniprot.org/uniprot/GAT16_ARATH","GAT16_ARATH")</f>
        <v>GAT16_ARATH</v>
      </c>
      <c r="D15496" t="s">
        <v>9932</v>
      </c>
      <c r="E15496" s="3" t="s">
        <v>3</v>
      </c>
      <c r="F15496" s="4">
        <v>1.19E-13</v>
      </c>
      <c r="G15496" s="3">
        <v>175</v>
      </c>
      <c r="H15496" s="3">
        <v>53</v>
      </c>
      <c r="I15496" s="3">
        <v>60</v>
      </c>
      <c r="J15496" s="3">
        <v>493</v>
      </c>
      <c r="K15496" s="3">
        <v>663</v>
      </c>
      <c r="L15496" s="3">
        <v>20</v>
      </c>
      <c r="M15496" s="3">
        <v>79</v>
      </c>
    </row>
    <row r="15497" spans="1:13" x14ac:dyDescent="0.25">
      <c r="A15497" s="1" t="str">
        <f>HYPERLINK("http://www.rosaceae.org/Prunus/Prunus_persica/p.persica_gdr_reftransV1_0024399","p.persica_gdr_reftransV1_0024399")</f>
        <v>p.persica_gdr_reftransV1_0024399</v>
      </c>
      <c r="B15497" s="3">
        <v>2404</v>
      </c>
      <c r="C15497" s="1" t="str">
        <f>HYPERLINK("http://www.uniprot.org/uniprot/HSFA8_ARATH","HSFA8_ARATH")</f>
        <v>HSFA8_ARATH</v>
      </c>
      <c r="D15497" t="s">
        <v>8899</v>
      </c>
      <c r="E15497" s="3" t="s">
        <v>3</v>
      </c>
      <c r="F15497" s="4">
        <v>6.0799999999999997E-60</v>
      </c>
      <c r="G15497" s="3">
        <v>541</v>
      </c>
      <c r="H15497" s="3">
        <v>41</v>
      </c>
      <c r="I15497" s="3">
        <v>354</v>
      </c>
      <c r="J15497" s="3">
        <v>259</v>
      </c>
      <c r="K15497" s="3">
        <v>1302</v>
      </c>
      <c r="L15497" s="3">
        <v>52</v>
      </c>
      <c r="M15497" s="3">
        <v>373</v>
      </c>
    </row>
    <row r="15498" spans="1:13" x14ac:dyDescent="0.25">
      <c r="A15498" s="1" t="str">
        <f>HYPERLINK("http://www.rosaceae.org/Prunus/Prunus_persica/p.persica_gdr_reftransV1_0024449","p.persica_gdr_reftransV1_0024449")</f>
        <v>p.persica_gdr_reftransV1_0024449</v>
      </c>
      <c r="B15498" s="3">
        <v>1345</v>
      </c>
      <c r="C15498" s="1" t="str">
        <f>HYPERLINK("http://www.uniprot.org/uniprot/BCCP1_ARATH","BCCP1_ARATH")</f>
        <v>BCCP1_ARATH</v>
      </c>
      <c r="D15498" t="s">
        <v>9933</v>
      </c>
      <c r="E15498" s="3" t="s">
        <v>3</v>
      </c>
      <c r="F15498" s="4">
        <v>7.2799999999999999E-67</v>
      </c>
      <c r="G15498" s="3">
        <v>564</v>
      </c>
      <c r="H15498" s="3">
        <v>52</v>
      </c>
      <c r="I15498" s="3">
        <v>296</v>
      </c>
      <c r="J15498" s="3">
        <v>336</v>
      </c>
      <c r="K15498" s="3">
        <v>1211</v>
      </c>
      <c r="L15498" s="3">
        <v>25</v>
      </c>
      <c r="M15498" s="3">
        <v>280</v>
      </c>
    </row>
    <row r="15499" spans="1:13" x14ac:dyDescent="0.25">
      <c r="A15499" s="1" t="str">
        <f>HYPERLINK("http://www.rosaceae.org/Prunus/Prunus_persica/p.persica_gdr_reftransV1_0024549","p.persica_gdr_reftransV1_0024549")</f>
        <v>p.persica_gdr_reftransV1_0024549</v>
      </c>
      <c r="B15499" s="3">
        <v>3076</v>
      </c>
      <c r="C15499" s="1" t="str">
        <f>HYPERLINK("http://www.uniprot.org/uniprot/ACA4_ARATH","ACA4_ARATH")</f>
        <v>ACA4_ARATH</v>
      </c>
      <c r="D15499" t="s">
        <v>6300</v>
      </c>
      <c r="E15499" s="3" t="s">
        <v>3</v>
      </c>
      <c r="F15499" s="4">
        <v>0</v>
      </c>
      <c r="G15499" s="3">
        <v>2241</v>
      </c>
      <c r="H15499" s="3">
        <v>75</v>
      </c>
      <c r="I15499" s="3">
        <v>615</v>
      </c>
      <c r="J15499" s="3">
        <v>1229</v>
      </c>
      <c r="K15499" s="3">
        <v>3070</v>
      </c>
      <c r="L15499" s="3">
        <v>392</v>
      </c>
      <c r="M15499" s="3">
        <v>1004</v>
      </c>
    </row>
    <row r="15500" spans="1:13" x14ac:dyDescent="0.25">
      <c r="A15500" s="1" t="str">
        <f>HYPERLINK("http://www.rosaceae.org/Prunus/Prunus_persica/p.persica_gdr_reftransV1_0024599","p.persica_gdr_reftransV1_0024599")</f>
        <v>p.persica_gdr_reftransV1_0024599</v>
      </c>
      <c r="B15500" s="3">
        <v>2205</v>
      </c>
      <c r="C15500" s="1" t="str">
        <f>HYPERLINK("http://www.uniprot.org/uniprot/TBL14_ARATH","TBL14_ARATH")</f>
        <v>TBL14_ARATH</v>
      </c>
      <c r="D15500" t="s">
        <v>9934</v>
      </c>
      <c r="E15500" s="3" t="s">
        <v>3</v>
      </c>
      <c r="F15500" s="4">
        <v>0</v>
      </c>
      <c r="G15500" s="3">
        <v>1376</v>
      </c>
      <c r="H15500" s="3">
        <v>70</v>
      </c>
      <c r="I15500" s="3">
        <v>353</v>
      </c>
      <c r="J15500" s="3">
        <v>863</v>
      </c>
      <c r="K15500" s="3">
        <v>1891</v>
      </c>
      <c r="L15500" s="3">
        <v>56</v>
      </c>
      <c r="M15500" s="3">
        <v>408</v>
      </c>
    </row>
    <row r="15501" spans="1:13" x14ac:dyDescent="0.25">
      <c r="A15501" s="1" t="str">
        <f>HYPERLINK("http://www.rosaceae.org/Prunus/Prunus_persica/p.persica_gdr_reftransV1_0024849","p.persica_gdr_reftransV1_0024849")</f>
        <v>p.persica_gdr_reftransV1_0024849</v>
      </c>
      <c r="B15501" s="3">
        <v>1375</v>
      </c>
      <c r="C15501" s="1" t="str">
        <f>HYPERLINK("http://www.uniprot.org/uniprot/PUB33_ARATH","PUB33_ARATH")</f>
        <v>PUB33_ARATH</v>
      </c>
      <c r="D15501" t="s">
        <v>1298</v>
      </c>
      <c r="E15501" s="3" t="s">
        <v>3</v>
      </c>
      <c r="F15501" s="4">
        <v>3.2500000000000001E-12</v>
      </c>
      <c r="G15501" s="3">
        <v>176</v>
      </c>
      <c r="H15501" s="3">
        <v>31</v>
      </c>
      <c r="I15501" s="3">
        <v>155</v>
      </c>
      <c r="J15501" s="3">
        <v>753</v>
      </c>
      <c r="K15501" s="3">
        <v>1202</v>
      </c>
      <c r="L15501" s="3">
        <v>47</v>
      </c>
      <c r="M15501" s="3">
        <v>199</v>
      </c>
    </row>
    <row r="15502" spans="1:13" x14ac:dyDescent="0.25">
      <c r="A15502" s="1" t="str">
        <f>HYPERLINK("http://www.rosaceae.org/Prunus/Prunus_persica/p.persica_gdr_reftransV1_0024999","p.persica_gdr_reftransV1_0024999")</f>
        <v>p.persica_gdr_reftransV1_0024999</v>
      </c>
      <c r="B15502" s="3">
        <v>3379</v>
      </c>
      <c r="C15502" s="1" t="str">
        <f>HYPERLINK("http://www.uniprot.org/uniprot/ACCA_PEA","ACCA_PEA")</f>
        <v>ACCA_PEA</v>
      </c>
      <c r="D15502" t="s">
        <v>9935</v>
      </c>
      <c r="E15502" s="3" t="s">
        <v>60</v>
      </c>
      <c r="F15502" s="4">
        <v>9.5399999999999996E-135</v>
      </c>
      <c r="G15502" s="3">
        <v>1124</v>
      </c>
      <c r="H15502" s="3">
        <v>56</v>
      </c>
      <c r="I15502" s="3">
        <v>417</v>
      </c>
      <c r="J15502" s="3">
        <v>477</v>
      </c>
      <c r="K15502" s="3">
        <v>1718</v>
      </c>
      <c r="L15502" s="3">
        <v>13</v>
      </c>
      <c r="M15502" s="3">
        <v>365</v>
      </c>
    </row>
    <row r="15503" spans="1:13" x14ac:dyDescent="0.25">
      <c r="A15503" s="1" t="str">
        <f>HYPERLINK("http://www.rosaceae.org/Prunus/Prunus_persica/p.persica_gdr_reftransV1_0025049","p.persica_gdr_reftransV1_0025049")</f>
        <v>p.persica_gdr_reftransV1_0025049</v>
      </c>
      <c r="B15503" s="3">
        <v>1343</v>
      </c>
      <c r="C15503" s="1" t="str">
        <f>HYPERLINK("http://www.uniprot.org/uniprot/AGL9_PETHY","AGL9_PETHY")</f>
        <v>AGL9_PETHY</v>
      </c>
      <c r="D15503" t="s">
        <v>8543</v>
      </c>
      <c r="E15503" s="3" t="s">
        <v>509</v>
      </c>
      <c r="F15503" s="4">
        <v>3.4000000000000002E-148</v>
      </c>
      <c r="G15503" s="3">
        <v>1102</v>
      </c>
      <c r="H15503" s="3">
        <v>88</v>
      </c>
      <c r="I15503" s="3">
        <v>242</v>
      </c>
      <c r="J15503" s="3">
        <v>282</v>
      </c>
      <c r="K15503" s="3">
        <v>1001</v>
      </c>
      <c r="L15503" s="3">
        <v>1</v>
      </c>
      <c r="M15503" s="3">
        <v>241</v>
      </c>
    </row>
    <row r="15504" spans="1:13" x14ac:dyDescent="0.25">
      <c r="A15504" s="1" t="str">
        <f>HYPERLINK("http://www.rosaceae.org/Prunus/Prunus_persica/p.persica_gdr_reftransV1_0025099","p.persica_gdr_reftransV1_0025099")</f>
        <v>p.persica_gdr_reftransV1_0025099</v>
      </c>
      <c r="B15504" s="3">
        <v>606</v>
      </c>
      <c r="C15504" s="1" t="str">
        <f>HYPERLINK("http://www.uniprot.org/uniprot/NIA_BETPN","NIA_BETPN")</f>
        <v>NIA_BETPN</v>
      </c>
      <c r="D15504" t="s">
        <v>9936</v>
      </c>
      <c r="E15504" s="3" t="s">
        <v>5635</v>
      </c>
      <c r="F15504" s="4">
        <v>5.2400000000000001E-41</v>
      </c>
      <c r="G15504" s="3">
        <v>386</v>
      </c>
      <c r="H15504" s="3">
        <v>55</v>
      </c>
      <c r="I15504" s="3">
        <v>150</v>
      </c>
      <c r="J15504" s="3">
        <v>183</v>
      </c>
      <c r="K15504" s="3">
        <v>605</v>
      </c>
      <c r="L15504" s="3">
        <v>1</v>
      </c>
      <c r="M15504" s="3">
        <v>144</v>
      </c>
    </row>
    <row r="15505" spans="1:13" x14ac:dyDescent="0.25">
      <c r="A15505" s="1" t="str">
        <f>HYPERLINK("http://www.rosaceae.org/Prunus/Prunus_persica/p.persica_gdr_reftransV1_0025199","p.persica_gdr_reftransV1_0025199")</f>
        <v>p.persica_gdr_reftransV1_0025199</v>
      </c>
      <c r="B15505" s="3">
        <v>2197</v>
      </c>
      <c r="C15505" s="1" t="str">
        <f>HYPERLINK("http://www.uniprot.org/uniprot/TCP9_ARATH","TCP9_ARATH")</f>
        <v>TCP9_ARATH</v>
      </c>
      <c r="D15505" t="s">
        <v>1841</v>
      </c>
      <c r="E15505" s="3" t="s">
        <v>3</v>
      </c>
      <c r="F15505" s="4">
        <v>5.2799999999999999E-73</v>
      </c>
      <c r="G15505" s="3">
        <v>630</v>
      </c>
      <c r="H15505" s="3">
        <v>60</v>
      </c>
      <c r="I15505" s="3">
        <v>239</v>
      </c>
      <c r="J15505" s="3">
        <v>1023</v>
      </c>
      <c r="K15505" s="3">
        <v>1682</v>
      </c>
      <c r="L15505" s="3">
        <v>14</v>
      </c>
      <c r="M15505" s="3">
        <v>251</v>
      </c>
    </row>
    <row r="15506" spans="1:13" x14ac:dyDescent="0.25">
      <c r="A15506" s="1" t="str">
        <f>HYPERLINK("http://www.rosaceae.org/Prunus/Prunus_persica/p.persica_gdr_reftransV1_0025299","p.persica_gdr_reftransV1_0025299")</f>
        <v>p.persica_gdr_reftransV1_0025299</v>
      </c>
      <c r="B15506" s="3">
        <v>1581</v>
      </c>
      <c r="C15506" s="1" t="str">
        <f>HYPERLINK("http://www.uniprot.org/uniprot/idM2L_ARATH","idM2L_ARATH")</f>
        <v>idM2L_ARATH</v>
      </c>
      <c r="D15506" t="s">
        <v>4089</v>
      </c>
      <c r="E15506" s="3" t="s">
        <v>3</v>
      </c>
      <c r="F15506" s="4">
        <v>3.17E-64</v>
      </c>
      <c r="G15506" s="3">
        <v>545</v>
      </c>
      <c r="H15506" s="3">
        <v>54</v>
      </c>
      <c r="I15506" s="3">
        <v>205</v>
      </c>
      <c r="J15506" s="3">
        <v>847</v>
      </c>
      <c r="K15506" s="3">
        <v>1443</v>
      </c>
      <c r="L15506" s="3">
        <v>2</v>
      </c>
      <c r="M15506" s="3">
        <v>201</v>
      </c>
    </row>
    <row r="15507" spans="1:13" x14ac:dyDescent="0.25">
      <c r="A15507" s="1" t="str">
        <f>HYPERLINK("http://www.rosaceae.org/Prunus/Prunus_persica/p.persica_gdr_reftransV1_0025449","p.persica_gdr_reftransV1_0025449")</f>
        <v>p.persica_gdr_reftransV1_0025449</v>
      </c>
      <c r="B15507" s="3">
        <v>723</v>
      </c>
      <c r="C15507" s="1" t="str">
        <f>HYPERLINK("http://www.uniprot.org/uniprot/idM1_ARATH","idM1_ARATH")</f>
        <v>idM1_ARATH</v>
      </c>
      <c r="D15507" t="s">
        <v>1345</v>
      </c>
      <c r="E15507" s="3" t="s">
        <v>3</v>
      </c>
      <c r="F15507" s="4">
        <v>4.65E-22</v>
      </c>
      <c r="G15507" s="3">
        <v>248</v>
      </c>
      <c r="H15507" s="3">
        <v>42</v>
      </c>
      <c r="I15507" s="3">
        <v>130</v>
      </c>
      <c r="J15507" s="3">
        <v>336</v>
      </c>
      <c r="K15507" s="3">
        <v>722</v>
      </c>
      <c r="L15507" s="3">
        <v>927</v>
      </c>
      <c r="M15507" s="3">
        <v>1050</v>
      </c>
    </row>
    <row r="15508" spans="1:13" x14ac:dyDescent="0.25">
      <c r="A15508" s="1" t="str">
        <f>HYPERLINK("http://www.rosaceae.org/Prunus/Prunus_persica/p.persica_gdr_reftransV1_0025699","p.persica_gdr_reftransV1_0025699")</f>
        <v>p.persica_gdr_reftransV1_0025699</v>
      </c>
      <c r="B15508" s="3">
        <v>406</v>
      </c>
      <c r="C15508" s="1" t="str">
        <f>HYPERLINK("http://www.uniprot.org/uniprot/PPR35_ARATH","PPR35_ARATH")</f>
        <v>PPR35_ARATH</v>
      </c>
      <c r="D15508" t="s">
        <v>6958</v>
      </c>
      <c r="E15508" s="3" t="s">
        <v>3</v>
      </c>
      <c r="F15508" s="4">
        <v>1.5400000000000001E-17</v>
      </c>
      <c r="G15508" s="3">
        <v>199</v>
      </c>
      <c r="H15508" s="3">
        <v>38</v>
      </c>
      <c r="I15508" s="3">
        <v>122</v>
      </c>
      <c r="J15508" s="3">
        <v>9</v>
      </c>
      <c r="K15508" s="3">
        <v>368</v>
      </c>
      <c r="L15508" s="3">
        <v>84</v>
      </c>
      <c r="M15508" s="3">
        <v>204</v>
      </c>
    </row>
    <row r="15509" spans="1:13" x14ac:dyDescent="0.25">
      <c r="A15509" s="1" t="str">
        <f>HYPERLINK("http://www.rosaceae.org/Prunus/Prunus_persica/p.persica_gdr_reftransV1_0025999","p.persica_gdr_reftransV1_0025999")</f>
        <v>p.persica_gdr_reftransV1_0025999</v>
      </c>
      <c r="B15509" s="3">
        <v>2952</v>
      </c>
      <c r="C15509" s="1" t="str">
        <f>HYPERLINK("http://www.uniprot.org/uniprot/NOM1_MOUSE","NOM1_MOUSE")</f>
        <v>NOM1_MOUSE</v>
      </c>
      <c r="D15509" t="s">
        <v>3724</v>
      </c>
      <c r="E15509" s="3" t="s">
        <v>157</v>
      </c>
      <c r="F15509" s="4">
        <v>6.8499999999999996E-47</v>
      </c>
      <c r="G15509" s="3">
        <v>469</v>
      </c>
      <c r="H15509" s="3">
        <v>38</v>
      </c>
      <c r="I15509" s="3">
        <v>235</v>
      </c>
      <c r="J15509" s="3">
        <v>328</v>
      </c>
      <c r="K15509" s="3">
        <v>1017</v>
      </c>
      <c r="L15509" s="3">
        <v>589</v>
      </c>
      <c r="M15509" s="3">
        <v>819</v>
      </c>
    </row>
    <row r="15510" spans="1:13" x14ac:dyDescent="0.25">
      <c r="A15510" s="1" t="str">
        <f>HYPERLINK("http://www.rosaceae.org/Prunus/Prunus_persica/p.persica_gdr_reftransV1_0026099","p.persica_gdr_reftransV1_0026099")</f>
        <v>p.persica_gdr_reftransV1_0026099</v>
      </c>
      <c r="B15510" s="3">
        <v>1739</v>
      </c>
      <c r="C15510" s="1" t="str">
        <f>HYPERLINK("http://www.uniprot.org/uniprot/SIP_ARATH","SIP_ARATH")</f>
        <v>SIP_ARATH</v>
      </c>
      <c r="D15510" t="s">
        <v>9937</v>
      </c>
      <c r="E15510" s="3" t="s">
        <v>3</v>
      </c>
      <c r="F15510" s="4">
        <v>0</v>
      </c>
      <c r="G15510" s="3">
        <v>1343</v>
      </c>
      <c r="H15510" s="3">
        <v>83</v>
      </c>
      <c r="I15510" s="3">
        <v>337</v>
      </c>
      <c r="J15510" s="3">
        <v>263</v>
      </c>
      <c r="K15510" s="3">
        <v>1273</v>
      </c>
      <c r="L15510" s="3">
        <v>1</v>
      </c>
      <c r="M15510" s="3">
        <v>337</v>
      </c>
    </row>
    <row r="15511" spans="1:13" x14ac:dyDescent="0.25">
      <c r="A15511" s="1" t="str">
        <f>HYPERLINK("http://www.rosaceae.org/Prunus/Prunus_persica/p.persica_gdr_reftransV1_0026149","p.persica_gdr_reftransV1_0026149")</f>
        <v>p.persica_gdr_reftransV1_0026149</v>
      </c>
      <c r="B15511" s="3">
        <v>2362</v>
      </c>
      <c r="C15511" s="1" t="str">
        <f>HYPERLINK("http://www.uniprot.org/uniprot/TBL35_ARATH","TBL35_ARATH")</f>
        <v>TBL35_ARATH</v>
      </c>
      <c r="D15511" t="s">
        <v>9938</v>
      </c>
      <c r="E15511" s="3" t="s">
        <v>3</v>
      </c>
      <c r="F15511" s="4">
        <v>5.5400000000000003E-148</v>
      </c>
      <c r="G15511" s="3">
        <v>1153</v>
      </c>
      <c r="H15511" s="3">
        <v>68</v>
      </c>
      <c r="I15511" s="3">
        <v>339</v>
      </c>
      <c r="J15511" s="3">
        <v>236</v>
      </c>
      <c r="K15511" s="3">
        <v>1228</v>
      </c>
      <c r="L15511" s="3">
        <v>3</v>
      </c>
      <c r="M15511" s="3">
        <v>340</v>
      </c>
    </row>
    <row r="15512" spans="1:13" x14ac:dyDescent="0.25">
      <c r="A15512" s="1" t="str">
        <f>HYPERLINK("http://www.rosaceae.org/Prunus/Prunus_persica/p.persica_gdr_reftransV1_0026249","p.persica_gdr_reftransV1_0026249")</f>
        <v>p.persica_gdr_reftransV1_0026249</v>
      </c>
      <c r="B15512" s="3">
        <v>1849</v>
      </c>
      <c r="C15512" s="1" t="str">
        <f>HYPERLINK("http://www.uniprot.org/uniprot/XYLT1_MOUSE","XYLT1_MOUSE")</f>
        <v>XYLT1_MOUSE</v>
      </c>
      <c r="D15512" t="s">
        <v>9939</v>
      </c>
      <c r="E15512" s="3" t="s">
        <v>157</v>
      </c>
      <c r="F15512" s="4">
        <v>9.01E-17</v>
      </c>
      <c r="G15512" s="3">
        <v>217</v>
      </c>
      <c r="H15512" s="3">
        <v>28</v>
      </c>
      <c r="I15512" s="3">
        <v>265</v>
      </c>
      <c r="J15512" s="3">
        <v>326</v>
      </c>
      <c r="K15512" s="3">
        <v>1108</v>
      </c>
      <c r="L15512" s="3">
        <v>300</v>
      </c>
      <c r="M15512" s="3">
        <v>550</v>
      </c>
    </row>
    <row r="15513" spans="1:13" x14ac:dyDescent="0.25">
      <c r="A15513" s="1" t="str">
        <f>HYPERLINK("http://www.rosaceae.org/Prunus/Prunus_persica/p.persica_gdr_reftransV1_0026399","p.persica_gdr_reftransV1_0026399")</f>
        <v>p.persica_gdr_reftransV1_0026399</v>
      </c>
      <c r="B15513" s="3">
        <v>2617</v>
      </c>
      <c r="C15513" s="1" t="str">
        <f>HYPERLINK("http://www.uniprot.org/uniprot/IST1_BOVIN","IST1_BOVIN")</f>
        <v>IST1_BOVIN</v>
      </c>
      <c r="D15513" t="s">
        <v>1373</v>
      </c>
      <c r="E15513" s="3" t="s">
        <v>184</v>
      </c>
      <c r="F15513" s="4">
        <v>3.4699999999999999E-13</v>
      </c>
      <c r="G15513" s="3">
        <v>185</v>
      </c>
      <c r="H15513" s="3">
        <v>28</v>
      </c>
      <c r="I15513" s="3">
        <v>170</v>
      </c>
      <c r="J15513" s="3">
        <v>1604</v>
      </c>
      <c r="K15513" s="3">
        <v>2110</v>
      </c>
      <c r="L15513" s="3">
        <v>7</v>
      </c>
      <c r="M15513" s="3">
        <v>175</v>
      </c>
    </row>
    <row r="15514" spans="1:13" x14ac:dyDescent="0.25">
      <c r="A15514" s="1" t="str">
        <f>HYPERLINK("http://www.rosaceae.org/Prunus/Prunus_persica/p.persica_gdr_reftransV1_0026499","p.persica_gdr_reftransV1_0026499")</f>
        <v>p.persica_gdr_reftransV1_0026499</v>
      </c>
      <c r="B15514" s="3">
        <v>673</v>
      </c>
      <c r="C15514" s="1" t="str">
        <f>HYPERLINK("http://www.uniprot.org/uniprot/NU98A_ARATH","NU98A_ARATH")</f>
        <v>NU98A_ARATH</v>
      </c>
      <c r="D15514" t="s">
        <v>2674</v>
      </c>
      <c r="E15514" s="3" t="s">
        <v>3</v>
      </c>
      <c r="F15514" s="4">
        <v>4.7800000000000002E-14</v>
      </c>
      <c r="G15514" s="3">
        <v>183</v>
      </c>
      <c r="H15514" s="3">
        <v>51</v>
      </c>
      <c r="I15514" s="3">
        <v>84</v>
      </c>
      <c r="J15514" s="3">
        <v>448</v>
      </c>
      <c r="K15514" s="3">
        <v>672</v>
      </c>
      <c r="L15514" s="3">
        <v>372</v>
      </c>
      <c r="M15514" s="3">
        <v>455</v>
      </c>
    </row>
    <row r="15515" spans="1:13" x14ac:dyDescent="0.25">
      <c r="A15515" s="1" t="str">
        <f>HYPERLINK("http://www.rosaceae.org/Prunus/Prunus_persica/p.persica_gdr_reftransV1_0026599","p.persica_gdr_reftransV1_0026599")</f>
        <v>p.persica_gdr_reftransV1_0026599</v>
      </c>
      <c r="B15515" s="3">
        <v>3475</v>
      </c>
      <c r="C15515" s="1" t="str">
        <f>HYPERLINK("http://www.uniprot.org/uniprot/GCP5_MACFA","GCP5_MACFA")</f>
        <v>GCP5_MACFA</v>
      </c>
      <c r="D15515" t="s">
        <v>9940</v>
      </c>
      <c r="E15515" s="3" t="s">
        <v>674</v>
      </c>
      <c r="F15515" s="4">
        <v>1.98E-30</v>
      </c>
      <c r="G15515" s="3">
        <v>334</v>
      </c>
      <c r="H15515" s="3">
        <v>28</v>
      </c>
      <c r="I15515" s="3">
        <v>363</v>
      </c>
      <c r="J15515" s="3">
        <v>250</v>
      </c>
      <c r="K15515" s="3">
        <v>1257</v>
      </c>
      <c r="L15515" s="3">
        <v>388</v>
      </c>
      <c r="M15515" s="3">
        <v>714</v>
      </c>
    </row>
    <row r="15516" spans="1:13" x14ac:dyDescent="0.25">
      <c r="A15516" s="1" t="str">
        <f>HYPERLINK("http://www.rosaceae.org/Prunus/Prunus_persica/p.persica_gdr_reftransV1_0026649","p.persica_gdr_reftransV1_0026649")</f>
        <v>p.persica_gdr_reftransV1_0026649</v>
      </c>
      <c r="B15516" s="3">
        <v>4198</v>
      </c>
      <c r="C15516" s="1" t="str">
        <f>HYPERLINK("http://www.uniprot.org/uniprot/MSSP2_ARATH","MSSP2_ARATH")</f>
        <v>MSSP2_ARATH</v>
      </c>
      <c r="D15516" t="s">
        <v>5996</v>
      </c>
      <c r="E15516" s="3" t="s">
        <v>3</v>
      </c>
      <c r="F15516" s="4">
        <v>1.41E-105</v>
      </c>
      <c r="G15516" s="3">
        <v>918</v>
      </c>
      <c r="H15516" s="3">
        <v>62</v>
      </c>
      <c r="I15516" s="3">
        <v>381</v>
      </c>
      <c r="J15516" s="3">
        <v>1354</v>
      </c>
      <c r="K15516" s="3">
        <v>2490</v>
      </c>
      <c r="L15516" s="3">
        <v>216</v>
      </c>
      <c r="M15516" s="3">
        <v>582</v>
      </c>
    </row>
    <row r="15517" spans="1:13" x14ac:dyDescent="0.25">
      <c r="A15517" s="1" t="str">
        <f>HYPERLINK("http://www.rosaceae.org/Prunus/Prunus_persica/p.persica_gdr_reftransV1_0026699","p.persica_gdr_reftransV1_0026699")</f>
        <v>p.persica_gdr_reftransV1_0026699</v>
      </c>
      <c r="B15517" s="3">
        <v>2143</v>
      </c>
      <c r="C15517" s="1" t="str">
        <f>HYPERLINK("http://www.uniprot.org/uniprot/UTP18_ARATH","UTP18_ARATH")</f>
        <v>UTP18_ARATH</v>
      </c>
      <c r="D15517" t="s">
        <v>5331</v>
      </c>
      <c r="E15517" s="3" t="s">
        <v>3</v>
      </c>
      <c r="F15517" s="4">
        <v>0</v>
      </c>
      <c r="G15517" s="3">
        <v>1690</v>
      </c>
      <c r="H15517" s="3">
        <v>67</v>
      </c>
      <c r="I15517" s="3">
        <v>498</v>
      </c>
      <c r="J15517" s="3">
        <v>335</v>
      </c>
      <c r="K15517" s="3">
        <v>1789</v>
      </c>
      <c r="L15517" s="3">
        <v>59</v>
      </c>
      <c r="M15517" s="3">
        <v>535</v>
      </c>
    </row>
    <row r="15518" spans="1:13" x14ac:dyDescent="0.25">
      <c r="A15518" s="1" t="str">
        <f>HYPERLINK("http://www.rosaceae.org/Prunus/Prunus_persica/p.persica_gdr_reftransV1_0026749","p.persica_gdr_reftransV1_0026749")</f>
        <v>p.persica_gdr_reftransV1_0026749</v>
      </c>
      <c r="B15518" s="3">
        <v>1167</v>
      </c>
      <c r="C15518" s="1" t="str">
        <f>HYPERLINK("http://www.uniprot.org/uniprot/Y8359_ORYSI","Y8359_ORYSI")</f>
        <v>Y8359_ORYSI</v>
      </c>
      <c r="D15518" t="s">
        <v>4183</v>
      </c>
      <c r="E15518" s="3" t="s">
        <v>38</v>
      </c>
      <c r="F15518" s="4">
        <v>3.8599999999999998E-33</v>
      </c>
      <c r="G15518" s="3">
        <v>321</v>
      </c>
      <c r="H15518" s="3">
        <v>59</v>
      </c>
      <c r="I15518" s="3">
        <v>101</v>
      </c>
      <c r="J15518" s="3">
        <v>76</v>
      </c>
      <c r="K15518" s="3">
        <v>378</v>
      </c>
      <c r="L15518" s="3">
        <v>1</v>
      </c>
      <c r="M15518" s="3">
        <v>101</v>
      </c>
    </row>
    <row r="15519" spans="1:13" x14ac:dyDescent="0.25">
      <c r="A15519" s="1" t="str">
        <f>HYPERLINK("http://www.rosaceae.org/Prunus/Prunus_persica/p.persica_gdr_reftransV1_0026799","p.persica_gdr_reftransV1_0026799")</f>
        <v>p.persica_gdr_reftransV1_0026799</v>
      </c>
      <c r="B15519" s="3">
        <v>3632</v>
      </c>
      <c r="C15519" s="1" t="str">
        <f>HYPERLINK("http://www.uniprot.org/uniprot/DNAJ_RICBR","DNAJ_RICBR")</f>
        <v>DNAJ_RICBR</v>
      </c>
      <c r="D15519" t="s">
        <v>9941</v>
      </c>
      <c r="E15519" s="3" t="s">
        <v>9942</v>
      </c>
      <c r="F15519" s="4">
        <v>4.4099999999999999E-13</v>
      </c>
      <c r="G15519" s="3">
        <v>186</v>
      </c>
      <c r="H15519" s="3">
        <v>53</v>
      </c>
      <c r="I15519" s="3">
        <v>68</v>
      </c>
      <c r="J15519" s="3">
        <v>2908</v>
      </c>
      <c r="K15519" s="3">
        <v>3111</v>
      </c>
      <c r="L15519" s="3">
        <v>2</v>
      </c>
      <c r="M15519" s="3">
        <v>68</v>
      </c>
    </row>
    <row r="15520" spans="1:13" x14ac:dyDescent="0.25">
      <c r="A15520" s="1" t="str">
        <f>HYPERLINK("http://www.rosaceae.org/Prunus/Prunus_persica/p.persica_gdr_reftransV1_0026999","p.persica_gdr_reftransV1_0026999")</f>
        <v>p.persica_gdr_reftransV1_0026999</v>
      </c>
      <c r="B15520" s="3">
        <v>2860</v>
      </c>
      <c r="C15520" s="1" t="str">
        <f>HYPERLINK("http://www.uniprot.org/uniprot/FLXL2_ARATH","FLXL2_ARATH")</f>
        <v>FLXL2_ARATH</v>
      </c>
      <c r="D15520" t="s">
        <v>3668</v>
      </c>
      <c r="E15520" s="3" t="s">
        <v>3</v>
      </c>
      <c r="F15520" s="4">
        <v>1.7399999999999999E-42</v>
      </c>
      <c r="G15520" s="3">
        <v>415</v>
      </c>
      <c r="H15520" s="3">
        <v>43</v>
      </c>
      <c r="I15520" s="3">
        <v>199</v>
      </c>
      <c r="J15520" s="3">
        <v>1552</v>
      </c>
      <c r="K15520" s="3">
        <v>2139</v>
      </c>
      <c r="L15520" s="3">
        <v>49</v>
      </c>
      <c r="M15520" s="3">
        <v>247</v>
      </c>
    </row>
    <row r="15521" spans="1:13" x14ac:dyDescent="0.25">
      <c r="A15521" s="1" t="str">
        <f>HYPERLINK("http://www.rosaceae.org/Prunus/Prunus_persica/p.persica_gdr_reftransV1_0027149","p.persica_gdr_reftransV1_0027149")</f>
        <v>p.persica_gdr_reftransV1_0027149</v>
      </c>
      <c r="B15521" s="3">
        <v>3329</v>
      </c>
      <c r="C15521" s="1" t="str">
        <f>HYPERLINK("http://www.uniprot.org/uniprot/EBM_LILLO","EBM_LILLO")</f>
        <v>EBM_LILLO</v>
      </c>
      <c r="D15521" t="s">
        <v>9943</v>
      </c>
      <c r="E15521" s="3" t="s">
        <v>3887</v>
      </c>
      <c r="F15521" s="4">
        <v>0</v>
      </c>
      <c r="G15521" s="3">
        <v>3738</v>
      </c>
      <c r="H15521" s="3">
        <v>73</v>
      </c>
      <c r="I15521" s="3">
        <v>970</v>
      </c>
      <c r="J15521" s="3">
        <v>179</v>
      </c>
      <c r="K15521" s="3">
        <v>3082</v>
      </c>
      <c r="L15521" s="3">
        <v>1</v>
      </c>
      <c r="M15521" s="3">
        <v>949</v>
      </c>
    </row>
    <row r="15522" spans="1:13" x14ac:dyDescent="0.25">
      <c r="A15522" s="1" t="str">
        <f>HYPERLINK("http://www.rosaceae.org/Prunus/Prunus_persica/p.persica_gdr_reftransV1_0027199","p.persica_gdr_reftransV1_0027199")</f>
        <v>p.persica_gdr_reftransV1_0027199</v>
      </c>
      <c r="B15522" s="3">
        <v>2161</v>
      </c>
      <c r="C15522" s="1" t="str">
        <f>HYPERLINK("http://www.uniprot.org/uniprot/ST7R_ARATH","ST7R_ARATH")</f>
        <v>ST7R_ARATH</v>
      </c>
      <c r="D15522" t="s">
        <v>9944</v>
      </c>
      <c r="E15522" s="3" t="s">
        <v>3</v>
      </c>
      <c r="F15522" s="4">
        <v>5.1800000000000001E-159</v>
      </c>
      <c r="G15522" s="3">
        <v>1219</v>
      </c>
      <c r="H15522" s="3">
        <v>86</v>
      </c>
      <c r="I15522" s="3">
        <v>258</v>
      </c>
      <c r="J15522" s="3">
        <v>1257</v>
      </c>
      <c r="K15522" s="3">
        <v>2030</v>
      </c>
      <c r="L15522" s="3">
        <v>2</v>
      </c>
      <c r="M15522" s="3">
        <v>259</v>
      </c>
    </row>
    <row r="15523" spans="1:13" x14ac:dyDescent="0.25">
      <c r="A15523" s="1" t="str">
        <f>HYPERLINK("http://www.rosaceae.org/Prunus/Prunus_persica/p.persica_gdr_reftransV1_0027399","p.persica_gdr_reftransV1_0027399")</f>
        <v>p.persica_gdr_reftransV1_0027399</v>
      </c>
      <c r="B15523" s="3">
        <v>2412</v>
      </c>
      <c r="C15523" s="1" t="str">
        <f>HYPERLINK("http://www.uniprot.org/uniprot/SPAG1_DANRE","SPAG1_DANRE")</f>
        <v>SPAG1_DANRE</v>
      </c>
      <c r="D15523" t="s">
        <v>9945</v>
      </c>
      <c r="E15523" s="3" t="s">
        <v>704</v>
      </c>
      <c r="F15523" s="4">
        <v>7.3500000000000002E-14</v>
      </c>
      <c r="G15523" s="3">
        <v>191</v>
      </c>
      <c r="H15523" s="3">
        <v>37</v>
      </c>
      <c r="I15523" s="3">
        <v>119</v>
      </c>
      <c r="J15523" s="3">
        <v>1354</v>
      </c>
      <c r="K15523" s="3">
        <v>1704</v>
      </c>
      <c r="L15523" s="3">
        <v>129</v>
      </c>
      <c r="M15523" s="3">
        <v>247</v>
      </c>
    </row>
    <row r="15524" spans="1:13" x14ac:dyDescent="0.25">
      <c r="A15524" s="1" t="str">
        <f>HYPERLINK("http://www.rosaceae.org/Prunus/Prunus_persica/p.persica_gdr_reftransV1_0027599","p.persica_gdr_reftransV1_0027599")</f>
        <v>p.persica_gdr_reftransV1_0027599</v>
      </c>
      <c r="B15524" s="3">
        <v>569</v>
      </c>
      <c r="C15524" s="1" t="str">
        <f>HYPERLINK("http://www.uniprot.org/uniprot/P2C55_ARATH","P2C55_ARATH")</f>
        <v>P2C55_ARATH</v>
      </c>
      <c r="D15524" t="s">
        <v>1366</v>
      </c>
      <c r="E15524" s="3" t="s">
        <v>3</v>
      </c>
      <c r="F15524" s="4">
        <v>1.6E-27</v>
      </c>
      <c r="G15524" s="3">
        <v>278</v>
      </c>
      <c r="H15524" s="3">
        <v>47</v>
      </c>
      <c r="I15524" s="3">
        <v>135</v>
      </c>
      <c r="J15524" s="3">
        <v>6</v>
      </c>
      <c r="K15524" s="3">
        <v>410</v>
      </c>
      <c r="L15524" s="3">
        <v>216</v>
      </c>
      <c r="M15524" s="3">
        <v>344</v>
      </c>
    </row>
    <row r="15525" spans="1:13" x14ac:dyDescent="0.25">
      <c r="A15525" s="1" t="str">
        <f>HYPERLINK("http://www.rosaceae.org/Prunus/Prunus_persica/p.persica_gdr_reftransV1_0027649","p.persica_gdr_reftransV1_0027649")</f>
        <v>p.persica_gdr_reftransV1_0027649</v>
      </c>
      <c r="B15525" s="3">
        <v>4627</v>
      </c>
      <c r="C15525" s="1" t="str">
        <f>HYPERLINK("http://www.uniprot.org/uniprot/GIGAN_ARATH","GIGAN_ARATH")</f>
        <v>GIGAN_ARATH</v>
      </c>
      <c r="D15525" t="s">
        <v>9946</v>
      </c>
      <c r="E15525" s="3" t="s">
        <v>3</v>
      </c>
      <c r="F15525" s="4">
        <v>0</v>
      </c>
      <c r="G15525" s="3">
        <v>3477</v>
      </c>
      <c r="H15525" s="3">
        <v>76</v>
      </c>
      <c r="I15525" s="3">
        <v>955</v>
      </c>
      <c r="J15525" s="3">
        <v>516</v>
      </c>
      <c r="K15525" s="3">
        <v>3374</v>
      </c>
      <c r="L15525" s="3">
        <v>4</v>
      </c>
      <c r="M15525" s="3">
        <v>951</v>
      </c>
    </row>
    <row r="15526" spans="1:13" x14ac:dyDescent="0.25">
      <c r="A15526" s="1" t="str">
        <f>HYPERLINK("http://www.rosaceae.org/Prunus/Prunus_persica/p.persica_gdr_reftransV1_0027749","p.persica_gdr_reftransV1_0027749")</f>
        <v>p.persica_gdr_reftransV1_0027749</v>
      </c>
      <c r="B15526" s="3">
        <v>2006</v>
      </c>
      <c r="C15526" s="1" t="str">
        <f>HYPERLINK("http://www.uniprot.org/uniprot/YHKF_SCHPO","YHKF_SCHPO")</f>
        <v>YHKF_SCHPO</v>
      </c>
      <c r="D15526" t="s">
        <v>463</v>
      </c>
      <c r="E15526" s="3" t="s">
        <v>464</v>
      </c>
      <c r="F15526" s="4">
        <v>3.29E-38</v>
      </c>
      <c r="G15526" s="3">
        <v>382</v>
      </c>
      <c r="H15526" s="3">
        <v>45</v>
      </c>
      <c r="I15526" s="3">
        <v>148</v>
      </c>
      <c r="J15526" s="3">
        <v>1361</v>
      </c>
      <c r="K15526" s="3">
        <v>1804</v>
      </c>
      <c r="L15526" s="3">
        <v>163</v>
      </c>
      <c r="M15526" s="3">
        <v>306</v>
      </c>
    </row>
    <row r="15527" spans="1:13" x14ac:dyDescent="0.25">
      <c r="A15527" s="1" t="str">
        <f>HYPERLINK("http://www.rosaceae.org/Prunus/Prunus_persica/p.persica_gdr_reftransV1_0028249","p.persica_gdr_reftransV1_0028249")</f>
        <v>p.persica_gdr_reftransV1_0028249</v>
      </c>
      <c r="B15527" s="3">
        <v>2047</v>
      </c>
      <c r="C15527" s="1" t="str">
        <f>HYPERLINK("http://www.uniprot.org/uniprot/CMKMT_RAT","CMKMT_RAT")</f>
        <v>CMKMT_RAT</v>
      </c>
      <c r="D15527" t="s">
        <v>9947</v>
      </c>
      <c r="E15527" s="3" t="s">
        <v>161</v>
      </c>
      <c r="F15527" s="4">
        <v>3.7200000000000001E-10</v>
      </c>
      <c r="G15527" s="3">
        <v>158</v>
      </c>
      <c r="H15527" s="3">
        <v>29</v>
      </c>
      <c r="I15527" s="3">
        <v>135</v>
      </c>
      <c r="J15527" s="3">
        <v>467</v>
      </c>
      <c r="K15527" s="3">
        <v>859</v>
      </c>
      <c r="L15527" s="3">
        <v>191</v>
      </c>
      <c r="M15527" s="3">
        <v>320</v>
      </c>
    </row>
    <row r="15528" spans="1:13" x14ac:dyDescent="0.25">
      <c r="A15528" s="1" t="str">
        <f>HYPERLINK("http://www.rosaceae.org/Prunus/Prunus_persica/p.persica_gdr_reftransV1_0028449","p.persica_gdr_reftransV1_0028449")</f>
        <v>p.persica_gdr_reftransV1_0028449</v>
      </c>
      <c r="B15528" s="3">
        <v>2687</v>
      </c>
      <c r="C15528" s="1" t="str">
        <f>HYPERLINK("http://www.uniprot.org/uniprot/MDM38_YEAST","MDM38_YEAST")</f>
        <v>MDM38_YEAST</v>
      </c>
      <c r="D15528" t="s">
        <v>9948</v>
      </c>
      <c r="E15528" s="3" t="s">
        <v>34</v>
      </c>
      <c r="F15528" s="4">
        <v>6.96E-9</v>
      </c>
      <c r="G15528" s="3">
        <v>152</v>
      </c>
      <c r="H15528" s="3">
        <v>35</v>
      </c>
      <c r="I15528" s="3">
        <v>101</v>
      </c>
      <c r="J15528" s="3">
        <v>2150</v>
      </c>
      <c r="K15528" s="3">
        <v>2452</v>
      </c>
      <c r="L15528" s="3">
        <v>97</v>
      </c>
      <c r="M15528" s="3">
        <v>190</v>
      </c>
    </row>
    <row r="15529" spans="1:13" x14ac:dyDescent="0.25">
      <c r="A15529" s="1" t="str">
        <f>HYPERLINK("http://www.rosaceae.org/Prunus/Prunus_persica/p.persica_gdr_reftransV1_0028549","p.persica_gdr_reftransV1_0028549")</f>
        <v>p.persica_gdr_reftransV1_0028549</v>
      </c>
      <c r="B15529" s="3">
        <v>2496</v>
      </c>
      <c r="C15529" s="1" t="str">
        <f>HYPERLINK("http://www.uniprot.org/uniprot/CAB39_HUMAN","CAB39_HUMAN")</f>
        <v>CAB39_HUMAN</v>
      </c>
      <c r="D15529" t="s">
        <v>9058</v>
      </c>
      <c r="E15529" s="3" t="s">
        <v>28</v>
      </c>
      <c r="F15529" s="4">
        <v>7.2599999999999996E-25</v>
      </c>
      <c r="G15529" s="3">
        <v>277</v>
      </c>
      <c r="H15529" s="3">
        <v>37</v>
      </c>
      <c r="I15529" s="3">
        <v>161</v>
      </c>
      <c r="J15529" s="3">
        <v>1872</v>
      </c>
      <c r="K15529" s="3">
        <v>2354</v>
      </c>
      <c r="L15529" s="3">
        <v>1</v>
      </c>
      <c r="M15529" s="3">
        <v>158</v>
      </c>
    </row>
    <row r="15530" spans="1:13" x14ac:dyDescent="0.25">
      <c r="A15530" s="1" t="str">
        <f>HYPERLINK("http://www.rosaceae.org/Prunus/Prunus_persica/p.persica_gdr_reftransV1_0028749","p.persica_gdr_reftransV1_0028749")</f>
        <v>p.persica_gdr_reftransV1_0028749</v>
      </c>
      <c r="B15530" s="3">
        <v>4191</v>
      </c>
      <c r="C15530" s="1" t="str">
        <f>HYPERLINK("http://www.uniprot.org/uniprot/ZEP_ORYSJ","ZEP_ORYSJ")</f>
        <v>ZEP_ORYSJ</v>
      </c>
      <c r="D15530" t="s">
        <v>9949</v>
      </c>
      <c r="E15530" s="3" t="s">
        <v>38</v>
      </c>
      <c r="F15530" s="4">
        <v>1.5600000000000001E-139</v>
      </c>
      <c r="G15530" s="3">
        <v>1155</v>
      </c>
      <c r="H15530" s="3">
        <v>54</v>
      </c>
      <c r="I15530" s="3">
        <v>402</v>
      </c>
      <c r="J15530" s="3">
        <v>2713</v>
      </c>
      <c r="K15530" s="3">
        <v>3918</v>
      </c>
      <c r="L15530" s="3">
        <v>97</v>
      </c>
      <c r="M15530" s="3">
        <v>498</v>
      </c>
    </row>
    <row r="15531" spans="1:13" x14ac:dyDescent="0.25">
      <c r="A15531" s="1" t="str">
        <f>HYPERLINK("http://www.rosaceae.org/Prunus/Prunus_persica/p.persica_gdr_reftransV1_0029049","p.persica_gdr_reftransV1_0029049")</f>
        <v>p.persica_gdr_reftransV1_0029049</v>
      </c>
      <c r="B15531" s="3">
        <v>2661</v>
      </c>
      <c r="C15531" s="1" t="str">
        <f>HYPERLINK("http://www.uniprot.org/uniprot/GSHB_BRAJU","GSHB_BRAJU")</f>
        <v>GSHB_BRAJU</v>
      </c>
      <c r="D15531" t="s">
        <v>7030</v>
      </c>
      <c r="E15531" s="3" t="s">
        <v>7031</v>
      </c>
      <c r="F15531" s="4">
        <v>8.4000000000000004E-149</v>
      </c>
      <c r="G15531" s="3">
        <v>1174</v>
      </c>
      <c r="H15531" s="3">
        <v>68</v>
      </c>
      <c r="I15531" s="3">
        <v>325</v>
      </c>
      <c r="J15531" s="3">
        <v>204</v>
      </c>
      <c r="K15531" s="3">
        <v>1178</v>
      </c>
      <c r="L15531" s="3">
        <v>25</v>
      </c>
      <c r="M15531" s="3">
        <v>338</v>
      </c>
    </row>
    <row r="15532" spans="1:13" x14ac:dyDescent="0.25">
      <c r="A15532" s="1" t="str">
        <f>HYPERLINK("http://www.rosaceae.org/Prunus/Prunus_persica/p.persica_gdr_reftransV1_0029099","p.persica_gdr_reftransV1_0029099")</f>
        <v>p.persica_gdr_reftransV1_0029099</v>
      </c>
      <c r="B15532" s="3">
        <v>1882</v>
      </c>
      <c r="C15532" s="1" t="str">
        <f>HYPERLINK("http://www.uniprot.org/uniprot/ARP1_ARATH","ARP1_ARATH")</f>
        <v>ARP1_ARATH</v>
      </c>
      <c r="D15532" t="s">
        <v>5986</v>
      </c>
      <c r="E15532" s="3" t="s">
        <v>3</v>
      </c>
      <c r="F15532" s="4">
        <v>2.2899999999999999E-35</v>
      </c>
      <c r="G15532" s="3">
        <v>348</v>
      </c>
      <c r="H15532" s="3">
        <v>51</v>
      </c>
      <c r="I15532" s="3">
        <v>139</v>
      </c>
      <c r="J15532" s="3">
        <v>1077</v>
      </c>
      <c r="K15532" s="3">
        <v>1484</v>
      </c>
      <c r="L15532" s="3">
        <v>5</v>
      </c>
      <c r="M15532" s="3">
        <v>133</v>
      </c>
    </row>
    <row r="15533" spans="1:13" x14ac:dyDescent="0.25">
      <c r="A15533" s="1" t="str">
        <f>HYPERLINK("http://www.rosaceae.org/Prunus/Prunus_persica/p.persica_gdr_reftransV1_0029749","p.persica_gdr_reftransV1_0029749")</f>
        <v>p.persica_gdr_reftransV1_0029749</v>
      </c>
      <c r="B15533" s="3">
        <v>3304</v>
      </c>
      <c r="C15533" s="1" t="str">
        <f>HYPERLINK("http://www.uniprot.org/uniprot/TELO2_MOUSE","TELO2_MOUSE")</f>
        <v>TELO2_MOUSE</v>
      </c>
      <c r="D15533" t="s">
        <v>9950</v>
      </c>
      <c r="E15533" s="3" t="s">
        <v>157</v>
      </c>
      <c r="F15533" s="4">
        <v>3.84E-35</v>
      </c>
      <c r="G15533" s="3">
        <v>374</v>
      </c>
      <c r="H15533" s="3">
        <v>27</v>
      </c>
      <c r="I15533" s="3">
        <v>571</v>
      </c>
      <c r="J15533" s="3">
        <v>349</v>
      </c>
      <c r="K15533" s="3">
        <v>2031</v>
      </c>
      <c r="L15533" s="3">
        <v>332</v>
      </c>
      <c r="M15533" s="3">
        <v>824</v>
      </c>
    </row>
    <row r="15534" spans="1:13" x14ac:dyDescent="0.25">
      <c r="A15534" s="1" t="str">
        <f>HYPERLINK("http://www.rosaceae.org/Prunus/Prunus_persica/p.persica_gdr_reftransV1_0029949","p.persica_gdr_reftransV1_0029949")</f>
        <v>p.persica_gdr_reftransV1_0029949</v>
      </c>
      <c r="B15534" s="3">
        <v>2635</v>
      </c>
      <c r="C15534" s="1" t="str">
        <f>HYPERLINK("http://www.uniprot.org/uniprot/ICME_ARATH","ICME_ARATH")</f>
        <v>ICME_ARATH</v>
      </c>
      <c r="D15534" t="s">
        <v>9951</v>
      </c>
      <c r="E15534" s="3" t="s">
        <v>3</v>
      </c>
      <c r="F15534" s="4">
        <v>8.42E-120</v>
      </c>
      <c r="G15534" s="3">
        <v>967</v>
      </c>
      <c r="H15534" s="3">
        <v>73</v>
      </c>
      <c r="I15534" s="3">
        <v>259</v>
      </c>
      <c r="J15534" s="3">
        <v>1290</v>
      </c>
      <c r="K15534" s="3">
        <v>2066</v>
      </c>
      <c r="L15534" s="3">
        <v>62</v>
      </c>
      <c r="M15534" s="3">
        <v>301</v>
      </c>
    </row>
    <row r="15535" spans="1:13" x14ac:dyDescent="0.25">
      <c r="A15535" s="1" t="str">
        <f>HYPERLINK("http://www.rosaceae.org/Prunus/Prunus_persica/p.persica_gdr_reftransV1_0029999","p.persica_gdr_reftransV1_0029999")</f>
        <v>p.persica_gdr_reftransV1_0029999</v>
      </c>
      <c r="B15535" s="3">
        <v>2461</v>
      </c>
      <c r="C15535" s="1" t="str">
        <f>HYPERLINK("http://www.uniprot.org/uniprot/CNGC1_ARATH","CNGC1_ARATH")</f>
        <v>CNGC1_ARATH</v>
      </c>
      <c r="D15535" t="s">
        <v>241</v>
      </c>
      <c r="E15535" s="3" t="s">
        <v>3</v>
      </c>
      <c r="F15535" s="4">
        <v>1.6700000000000001E-123</v>
      </c>
      <c r="G15535" s="3">
        <v>1014</v>
      </c>
      <c r="H15535" s="3">
        <v>39</v>
      </c>
      <c r="I15535" s="3">
        <v>578</v>
      </c>
      <c r="J15535" s="3">
        <v>299</v>
      </c>
      <c r="K15535" s="3">
        <v>1996</v>
      </c>
      <c r="L15535" s="3">
        <v>89</v>
      </c>
      <c r="M15535" s="3">
        <v>636</v>
      </c>
    </row>
    <row r="15536" spans="1:13" x14ac:dyDescent="0.25">
      <c r="A15536" s="1" t="str">
        <f>HYPERLINK("http://www.rosaceae.org/Prunus/Prunus_persica/p.persica_gdr_reftransV1_0030099","p.persica_gdr_reftransV1_0030099")</f>
        <v>p.persica_gdr_reftransV1_0030099</v>
      </c>
      <c r="B15536" s="3">
        <v>2951</v>
      </c>
      <c r="C15536" s="1" t="str">
        <f>HYPERLINK("http://www.uniprot.org/uniprot/DPH1_DICDI","DPH1_DICDI")</f>
        <v>DPH1_DICDI</v>
      </c>
      <c r="D15536" t="s">
        <v>9952</v>
      </c>
      <c r="E15536" s="3" t="s">
        <v>9</v>
      </c>
      <c r="F15536" s="4">
        <v>4.2899999999999997E-117</v>
      </c>
      <c r="G15536" s="3">
        <v>960</v>
      </c>
      <c r="H15536" s="3">
        <v>46</v>
      </c>
      <c r="I15536" s="3">
        <v>404</v>
      </c>
      <c r="J15536" s="3">
        <v>1450</v>
      </c>
      <c r="K15536" s="3">
        <v>2661</v>
      </c>
      <c r="L15536" s="3">
        <v>103</v>
      </c>
      <c r="M15536" s="3">
        <v>469</v>
      </c>
    </row>
    <row r="15537" spans="1:13" x14ac:dyDescent="0.25">
      <c r="A15537" s="1" t="str">
        <f>HYPERLINK("http://www.rosaceae.org/Prunus/Prunus_persica/p.persica_gdr_reftransV1_0030399","p.persica_gdr_reftransV1_0030399")</f>
        <v>p.persica_gdr_reftransV1_0030399</v>
      </c>
      <c r="B15537" s="3">
        <v>3160</v>
      </c>
      <c r="C15537" s="1" t="str">
        <f>HYPERLINK("http://www.uniprot.org/uniprot/B3GTG_ARATH","B3GTG_ARATH")</f>
        <v>B3GTG_ARATH</v>
      </c>
      <c r="D15537" t="s">
        <v>3851</v>
      </c>
      <c r="E15537" s="3" t="s">
        <v>3</v>
      </c>
      <c r="F15537" s="4">
        <v>4.8600000000000004E-124</v>
      </c>
      <c r="G15537" s="3">
        <v>1025</v>
      </c>
      <c r="H15537" s="3">
        <v>50</v>
      </c>
      <c r="I15537" s="3">
        <v>445</v>
      </c>
      <c r="J15537" s="3">
        <v>453</v>
      </c>
      <c r="K15537" s="3">
        <v>1775</v>
      </c>
      <c r="L15537" s="3">
        <v>7</v>
      </c>
      <c r="M15537" s="3">
        <v>413</v>
      </c>
    </row>
    <row r="15538" spans="1:13" x14ac:dyDescent="0.25">
      <c r="A15538" s="1" t="str">
        <f>HYPERLINK("http://www.rosaceae.org/Prunus/Prunus_persica/p.persica_gdr_reftransV1_0030749","p.persica_gdr_reftransV1_0030749")</f>
        <v>p.persica_gdr_reftransV1_0030749</v>
      </c>
      <c r="B15538" s="3">
        <v>2438</v>
      </c>
      <c r="C15538" s="1" t="str">
        <f>HYPERLINK("http://www.uniprot.org/uniprot/RH52C_ORYSJ","RH52C_ORYSJ")</f>
        <v>RH52C_ORYSJ</v>
      </c>
      <c r="D15538" t="s">
        <v>9953</v>
      </c>
      <c r="E15538" s="3" t="s">
        <v>38</v>
      </c>
      <c r="F15538" s="4">
        <v>0</v>
      </c>
      <c r="G15538" s="3">
        <v>1783</v>
      </c>
      <c r="H15538" s="3">
        <v>76</v>
      </c>
      <c r="I15538" s="3">
        <v>430</v>
      </c>
      <c r="J15538" s="3">
        <v>541</v>
      </c>
      <c r="K15538" s="3">
        <v>1830</v>
      </c>
      <c r="L15538" s="3">
        <v>123</v>
      </c>
      <c r="M15538" s="3">
        <v>550</v>
      </c>
    </row>
    <row r="15539" spans="1:13" x14ac:dyDescent="0.25">
      <c r="A15539" s="1" t="str">
        <f>HYPERLINK("http://www.rosaceae.org/Prunus/Prunus_persica/p.persica_gdr_reftransV1_0031149","p.persica_gdr_reftransV1_0031149")</f>
        <v>p.persica_gdr_reftransV1_0031149</v>
      </c>
      <c r="B15539" s="3">
        <v>2339</v>
      </c>
      <c r="C15539" s="1" t="str">
        <f>HYPERLINK("http://www.uniprot.org/uniprot/ACR10_ARATH","ACR10_ARATH")</f>
        <v>ACR10_ARATH</v>
      </c>
      <c r="D15539" t="s">
        <v>618</v>
      </c>
      <c r="E15539" s="3" t="s">
        <v>3</v>
      </c>
      <c r="F15539" s="4">
        <v>4.45E-88</v>
      </c>
      <c r="G15539" s="3">
        <v>742</v>
      </c>
      <c r="H15539" s="3">
        <v>55</v>
      </c>
      <c r="I15539" s="3">
        <v>260</v>
      </c>
      <c r="J15539" s="3">
        <v>934</v>
      </c>
      <c r="K15539" s="3">
        <v>1713</v>
      </c>
      <c r="L15539" s="3">
        <v>156</v>
      </c>
      <c r="M15539" s="3">
        <v>410</v>
      </c>
    </row>
    <row r="15540" spans="1:13" x14ac:dyDescent="0.25">
      <c r="A15540" s="1" t="str">
        <f>HYPERLINK("http://www.rosaceae.org/Prunus/Prunus_persica/p.persica_gdr_reftransV1_0031249","p.persica_gdr_reftransV1_0031249")</f>
        <v>p.persica_gdr_reftransV1_0031249</v>
      </c>
      <c r="B15540" s="3">
        <v>2649</v>
      </c>
      <c r="C15540" s="1" t="str">
        <f>HYPERLINK("http://www.uniprot.org/uniprot/SINA3_ARATH","SINA3_ARATH")</f>
        <v>SINA3_ARATH</v>
      </c>
      <c r="D15540" t="s">
        <v>6245</v>
      </c>
      <c r="E15540" s="3" t="s">
        <v>3</v>
      </c>
      <c r="F15540" s="4">
        <v>3.84E-160</v>
      </c>
      <c r="G15540" s="3">
        <v>1230</v>
      </c>
      <c r="H15540" s="3">
        <v>90</v>
      </c>
      <c r="I15540" s="3">
        <v>251</v>
      </c>
      <c r="J15540" s="3">
        <v>1657</v>
      </c>
      <c r="K15540" s="3">
        <v>2406</v>
      </c>
      <c r="L15540" s="3">
        <v>76</v>
      </c>
      <c r="M15540" s="3">
        <v>325</v>
      </c>
    </row>
    <row r="15541" spans="1:13" x14ac:dyDescent="0.25">
      <c r="A15541" s="1" t="str">
        <f>HYPERLINK("http://www.rosaceae.org/Prunus/Prunus_persica/p.persica_gdr_reftransV1_0031349","p.persica_gdr_reftransV1_0031349")</f>
        <v>p.persica_gdr_reftransV1_0031349</v>
      </c>
      <c r="B15541" s="3">
        <v>1595</v>
      </c>
      <c r="C15541" s="1" t="str">
        <f>HYPERLINK("http://www.uniprot.org/uniprot/PUS7_ORYSJ","PUS7_ORYSJ")</f>
        <v>PUS7_ORYSJ</v>
      </c>
      <c r="D15541" t="s">
        <v>9954</v>
      </c>
      <c r="E15541" s="3" t="s">
        <v>38</v>
      </c>
      <c r="F15541" s="4">
        <v>3.6799999999999999E-80</v>
      </c>
      <c r="G15541" s="3">
        <v>670</v>
      </c>
      <c r="H15541" s="3">
        <v>81</v>
      </c>
      <c r="I15541" s="3">
        <v>149</v>
      </c>
      <c r="J15541" s="3">
        <v>1034</v>
      </c>
      <c r="K15541" s="3">
        <v>1480</v>
      </c>
      <c r="L15541" s="3">
        <v>8</v>
      </c>
      <c r="M15541" s="3">
        <v>156</v>
      </c>
    </row>
    <row r="15542" spans="1:13" x14ac:dyDescent="0.25">
      <c r="A15542" s="1" t="str">
        <f>HYPERLINK("http://www.rosaceae.org/Prunus/Prunus_persica/p.persica_gdr_reftransV1_0031749","p.persica_gdr_reftransV1_0031749")</f>
        <v>p.persica_gdr_reftransV1_0031749</v>
      </c>
      <c r="B15542" s="3">
        <v>2153</v>
      </c>
      <c r="C15542" s="1" t="str">
        <f>HYPERLINK("http://www.uniprot.org/uniprot/AB11I_ARATH","AB11I_ARATH")</f>
        <v>AB11I_ARATH</v>
      </c>
      <c r="D15542" t="s">
        <v>9955</v>
      </c>
      <c r="E15542" s="3" t="s">
        <v>3</v>
      </c>
      <c r="F15542" s="4">
        <v>1.9599999999999999E-107</v>
      </c>
      <c r="G15542" s="3">
        <v>858</v>
      </c>
      <c r="H15542" s="3">
        <v>71</v>
      </c>
      <c r="I15542" s="3">
        <v>249</v>
      </c>
      <c r="J15542" s="3">
        <v>1307</v>
      </c>
      <c r="K15542" s="3">
        <v>2050</v>
      </c>
      <c r="L15542" s="3">
        <v>30</v>
      </c>
      <c r="M15542" s="3">
        <v>278</v>
      </c>
    </row>
    <row r="15543" spans="1:13" x14ac:dyDescent="0.25">
      <c r="A15543" s="1" t="str">
        <f>HYPERLINK("http://www.rosaceae.org/Prunus/Prunus_persica/p.persica_gdr_reftransV1_0031799","p.persica_gdr_reftransV1_0031799")</f>
        <v>p.persica_gdr_reftransV1_0031799</v>
      </c>
      <c r="B15543" s="3">
        <v>4344</v>
      </c>
      <c r="C15543" s="1" t="str">
        <f>HYPERLINK("http://www.uniprot.org/uniprot/SAC3_ARATH","SAC3_ARATH")</f>
        <v>SAC3_ARATH</v>
      </c>
      <c r="D15543" t="s">
        <v>4429</v>
      </c>
      <c r="E15543" s="3" t="s">
        <v>3</v>
      </c>
      <c r="F15543" s="4">
        <v>0</v>
      </c>
      <c r="G15543" s="3">
        <v>2045</v>
      </c>
      <c r="H15543" s="3">
        <v>65</v>
      </c>
      <c r="I15543" s="3">
        <v>628</v>
      </c>
      <c r="J15543" s="3">
        <v>1864</v>
      </c>
      <c r="K15543" s="3">
        <v>3696</v>
      </c>
      <c r="L15543" s="3">
        <v>148</v>
      </c>
      <c r="M15543" s="3">
        <v>772</v>
      </c>
    </row>
    <row r="15544" spans="1:13" x14ac:dyDescent="0.25">
      <c r="A15544" s="1" t="str">
        <f>HYPERLINK("http://www.rosaceae.org/Prunus/Prunus_persica/p.persica_gdr_reftransV1_0031899","p.persica_gdr_reftransV1_0031899")</f>
        <v>p.persica_gdr_reftransV1_0031899</v>
      </c>
      <c r="B15544" s="3">
        <v>1334</v>
      </c>
      <c r="C15544" s="1" t="str">
        <f>HYPERLINK("http://www.uniprot.org/uniprot/PIP12_ARATH","PIP12_ARATH")</f>
        <v>PIP12_ARATH</v>
      </c>
      <c r="D15544" t="s">
        <v>2749</v>
      </c>
      <c r="E15544" s="3" t="s">
        <v>3</v>
      </c>
      <c r="F15544" s="4">
        <v>0</v>
      </c>
      <c r="G15544" s="3">
        <v>1353</v>
      </c>
      <c r="H15544" s="3">
        <v>89</v>
      </c>
      <c r="I15544" s="3">
        <v>286</v>
      </c>
      <c r="J15544" s="3">
        <v>219</v>
      </c>
      <c r="K15544" s="3">
        <v>1076</v>
      </c>
      <c r="L15544" s="3">
        <v>1</v>
      </c>
      <c r="M15544" s="3">
        <v>286</v>
      </c>
    </row>
    <row r="15545" spans="1:13" x14ac:dyDescent="0.25">
      <c r="A15545" s="1" t="str">
        <f>HYPERLINK("http://www.rosaceae.org/Prunus/Prunus_persica/p.persica_gdr_reftransV1_0032399","p.persica_gdr_reftransV1_0032399")</f>
        <v>p.persica_gdr_reftransV1_0032399</v>
      </c>
      <c r="B15545" s="3">
        <v>2378</v>
      </c>
      <c r="C15545" s="1" t="str">
        <f>HYPERLINK("http://www.uniprot.org/uniprot/Y5157_ARATH","Y5157_ARATH")</f>
        <v>Y5157_ARATH</v>
      </c>
      <c r="D15545" t="s">
        <v>5886</v>
      </c>
      <c r="E15545" s="3" t="s">
        <v>3</v>
      </c>
      <c r="F15545" s="4">
        <v>1.28E-93</v>
      </c>
      <c r="G15545" s="3">
        <v>784</v>
      </c>
      <c r="H15545" s="3">
        <v>61</v>
      </c>
      <c r="I15545" s="3">
        <v>259</v>
      </c>
      <c r="J15545" s="3">
        <v>137</v>
      </c>
      <c r="K15545" s="3">
        <v>892</v>
      </c>
      <c r="L15545" s="3">
        <v>197</v>
      </c>
      <c r="M15545" s="3">
        <v>425</v>
      </c>
    </row>
    <row r="15546" spans="1:13" x14ac:dyDescent="0.25">
      <c r="A15546" s="1" t="str">
        <f>HYPERLINK("http://www.rosaceae.org/Prunus/Prunus_persica/p.persica_gdr_reftransV1_0032549","p.persica_gdr_reftransV1_0032549")</f>
        <v>p.persica_gdr_reftransV1_0032549</v>
      </c>
      <c r="B15546" s="3">
        <v>1845</v>
      </c>
      <c r="C15546" s="1" t="str">
        <f>HYPERLINK("http://www.uniprot.org/uniprot/FBL78_ARATH","FBL78_ARATH")</f>
        <v>FBL78_ARATH</v>
      </c>
      <c r="D15546" t="s">
        <v>6849</v>
      </c>
      <c r="E15546" s="3" t="s">
        <v>3</v>
      </c>
      <c r="F15546" s="4">
        <v>4.7599999999999999E-12</v>
      </c>
      <c r="G15546" s="3">
        <v>175</v>
      </c>
      <c r="H15546" s="3">
        <v>30</v>
      </c>
      <c r="I15546" s="3">
        <v>305</v>
      </c>
      <c r="J15546" s="3">
        <v>50</v>
      </c>
      <c r="K15546" s="3">
        <v>910</v>
      </c>
      <c r="L15546" s="3">
        <v>27</v>
      </c>
      <c r="M15546" s="3">
        <v>290</v>
      </c>
    </row>
    <row r="15547" spans="1:13" x14ac:dyDescent="0.25">
      <c r="A15547" s="1" t="str">
        <f>HYPERLINK("http://www.rosaceae.org/Prunus/Prunus_persica/p.persica_gdr_reftransV1_0032699","p.persica_gdr_reftransV1_0032699")</f>
        <v>p.persica_gdr_reftransV1_0032699</v>
      </c>
      <c r="B15547" s="3">
        <v>547</v>
      </c>
      <c r="C15547" s="1" t="str">
        <f>HYPERLINK("http://www.uniprot.org/uniprot/FLP3_ORYSJ","FLP3_ORYSJ")</f>
        <v>FLP3_ORYSJ</v>
      </c>
      <c r="D15547" t="s">
        <v>9956</v>
      </c>
      <c r="E15547" s="3" t="s">
        <v>38</v>
      </c>
      <c r="F15547" s="4">
        <v>1.0799999999999999E-46</v>
      </c>
      <c r="G15547" s="3">
        <v>392</v>
      </c>
      <c r="H15547" s="3">
        <v>68</v>
      </c>
      <c r="I15547" s="3">
        <v>112</v>
      </c>
      <c r="J15547" s="3">
        <v>89</v>
      </c>
      <c r="K15547" s="3">
        <v>403</v>
      </c>
      <c r="L15547" s="3">
        <v>1</v>
      </c>
      <c r="M15547" s="3">
        <v>112</v>
      </c>
    </row>
    <row r="15548" spans="1:13" x14ac:dyDescent="0.25">
      <c r="A15548" s="1" t="str">
        <f>HYPERLINK("http://www.rosaceae.org/Prunus/Prunus_persica/p.persica_gdr_reftransV1_0032799","p.persica_gdr_reftransV1_0032799")</f>
        <v>p.persica_gdr_reftransV1_0032799</v>
      </c>
      <c r="B15548" s="3">
        <v>2151</v>
      </c>
      <c r="C15548" s="1" t="str">
        <f>HYPERLINK("http://www.uniprot.org/uniprot/GOS11_ARATH","GOS11_ARATH")</f>
        <v>GOS11_ARATH</v>
      </c>
      <c r="D15548" t="s">
        <v>9957</v>
      </c>
      <c r="E15548" s="3" t="s">
        <v>3</v>
      </c>
      <c r="F15548" s="4">
        <v>6.3200000000000001E-69</v>
      </c>
      <c r="G15548" s="3">
        <v>589</v>
      </c>
      <c r="H15548" s="3">
        <v>84</v>
      </c>
      <c r="I15548" s="3">
        <v>133</v>
      </c>
      <c r="J15548" s="3">
        <v>1167</v>
      </c>
      <c r="K15548" s="3">
        <v>1565</v>
      </c>
      <c r="L15548" s="3">
        <v>92</v>
      </c>
      <c r="M15548" s="3">
        <v>223</v>
      </c>
    </row>
    <row r="15549" spans="1:13" x14ac:dyDescent="0.25">
      <c r="A15549" s="1" t="str">
        <f>HYPERLINK("http://www.rosaceae.org/Prunus/Prunus_persica/p.persica_gdr_reftransV1_0033199","p.persica_gdr_reftransV1_0033199")</f>
        <v>p.persica_gdr_reftransV1_0033199</v>
      </c>
      <c r="B15549" s="3">
        <v>1780</v>
      </c>
      <c r="C15549" s="1" t="str">
        <f>HYPERLINK("http://www.uniprot.org/uniprot/GSTF9_ARATH","GSTF9_ARATH")</f>
        <v>GSTF9_ARATH</v>
      </c>
      <c r="D15549" t="s">
        <v>731</v>
      </c>
      <c r="E15549" s="3" t="s">
        <v>3</v>
      </c>
      <c r="F15549" s="4">
        <v>5.47E-101</v>
      </c>
      <c r="G15549" s="3">
        <v>799</v>
      </c>
      <c r="H15549" s="3">
        <v>69</v>
      </c>
      <c r="I15549" s="3">
        <v>208</v>
      </c>
      <c r="J15549" s="3">
        <v>930</v>
      </c>
      <c r="K15549" s="3">
        <v>1553</v>
      </c>
      <c r="L15549" s="3">
        <v>1</v>
      </c>
      <c r="M15549" s="3">
        <v>208</v>
      </c>
    </row>
    <row r="15550" spans="1:13" x14ac:dyDescent="0.25">
      <c r="A15550" s="1" t="str">
        <f>HYPERLINK("http://www.rosaceae.org/Prunus/Prunus_persica/p.persica_gdr_reftransV1_0033299","p.persica_gdr_reftransV1_0033299")</f>
        <v>p.persica_gdr_reftransV1_0033299</v>
      </c>
      <c r="B15550" s="3">
        <v>1901</v>
      </c>
      <c r="C15550" s="1" t="str">
        <f>HYPERLINK("http://www.uniprot.org/uniprot/NAP1B_ARATH","NAP1B_ARATH")</f>
        <v>NAP1B_ARATH</v>
      </c>
      <c r="D15550" t="s">
        <v>9958</v>
      </c>
      <c r="E15550" s="3" t="s">
        <v>3</v>
      </c>
      <c r="F15550" s="4">
        <v>5.5799999999999999E-139</v>
      </c>
      <c r="G15550" s="3">
        <v>1072</v>
      </c>
      <c r="H15550" s="3">
        <v>80</v>
      </c>
      <c r="I15550" s="3">
        <v>299</v>
      </c>
      <c r="J15550" s="3">
        <v>172</v>
      </c>
      <c r="K15550" s="3">
        <v>1062</v>
      </c>
      <c r="L15550" s="3">
        <v>1</v>
      </c>
      <c r="M15550" s="3">
        <v>299</v>
      </c>
    </row>
    <row r="15551" spans="1:13" x14ac:dyDescent="0.25">
      <c r="A15551" s="1" t="str">
        <f>HYPERLINK("http://www.rosaceae.org/Prunus/Prunus_persica/p.persica_gdr_reftransV1_0033399","p.persica_gdr_reftransV1_0033399")</f>
        <v>p.persica_gdr_reftransV1_0033399</v>
      </c>
      <c r="B15551" s="3">
        <v>1569</v>
      </c>
      <c r="C15551" s="1" t="str">
        <f>HYPERLINK("http://www.uniprot.org/uniprot/THIK2_ARATH","THIK2_ARATH")</f>
        <v>THIK2_ARATH</v>
      </c>
      <c r="D15551" t="s">
        <v>2179</v>
      </c>
      <c r="E15551" s="3" t="s">
        <v>3</v>
      </c>
      <c r="F15551" s="4">
        <v>2.26E-85</v>
      </c>
      <c r="G15551" s="3">
        <v>710</v>
      </c>
      <c r="H15551" s="3">
        <v>74</v>
      </c>
      <c r="I15551" s="3">
        <v>191</v>
      </c>
      <c r="J15551" s="3">
        <v>1</v>
      </c>
      <c r="K15551" s="3">
        <v>573</v>
      </c>
      <c r="L15551" s="3">
        <v>131</v>
      </c>
      <c r="M15551" s="3">
        <v>321</v>
      </c>
    </row>
    <row r="15552" spans="1:13" x14ac:dyDescent="0.25">
      <c r="A15552" s="1" t="str">
        <f>HYPERLINK("http://www.rosaceae.org/Prunus/Prunus_persica/p.persica_gdr_reftransV1_0033549","p.persica_gdr_reftransV1_0033549")</f>
        <v>p.persica_gdr_reftransV1_0033549</v>
      </c>
      <c r="B15552" s="3">
        <v>1786</v>
      </c>
      <c r="C15552" s="1" t="str">
        <f>HYPERLINK("http://www.uniprot.org/uniprot/AGUA_ARATH","AGUA_ARATH")</f>
        <v>AGUA_ARATH</v>
      </c>
      <c r="D15552" t="s">
        <v>9959</v>
      </c>
      <c r="E15552" s="3" t="s">
        <v>3</v>
      </c>
      <c r="F15552" s="4">
        <v>0</v>
      </c>
      <c r="G15552" s="3">
        <v>1544</v>
      </c>
      <c r="H15552" s="3">
        <v>75</v>
      </c>
      <c r="I15552" s="3">
        <v>373</v>
      </c>
      <c r="J15552" s="3">
        <v>194</v>
      </c>
      <c r="K15552" s="3">
        <v>1312</v>
      </c>
      <c r="L15552" s="3">
        <v>7</v>
      </c>
      <c r="M15552" s="3">
        <v>378</v>
      </c>
    </row>
    <row r="15553" spans="1:13" x14ac:dyDescent="0.25">
      <c r="A15553" s="1" t="str">
        <f>HYPERLINK("http://www.rosaceae.org/Prunus/Prunus_persica/p.persica_gdr_reftransV1_0033699","p.persica_gdr_reftransV1_0033699")</f>
        <v>p.persica_gdr_reftransV1_0033699</v>
      </c>
      <c r="B15553" s="3">
        <v>2885</v>
      </c>
      <c r="C15553" s="1" t="str">
        <f>HYPERLINK("http://www.uniprot.org/uniprot/Y3333_ARATH","Y3333_ARATH")</f>
        <v>Y3333_ARATH</v>
      </c>
      <c r="D15553" t="s">
        <v>9960</v>
      </c>
      <c r="E15553" s="3" t="s">
        <v>3</v>
      </c>
      <c r="F15553" s="4">
        <v>1.16E-171</v>
      </c>
      <c r="G15553" s="3">
        <v>1318</v>
      </c>
      <c r="H15553" s="3">
        <v>64</v>
      </c>
      <c r="I15553" s="3">
        <v>407</v>
      </c>
      <c r="J15553" s="3">
        <v>1202</v>
      </c>
      <c r="K15553" s="3">
        <v>2416</v>
      </c>
      <c r="L15553" s="3">
        <v>1</v>
      </c>
      <c r="M15553" s="3">
        <v>374</v>
      </c>
    </row>
    <row r="15554" spans="1:13" x14ac:dyDescent="0.25">
      <c r="A15554" s="1" t="str">
        <f>HYPERLINK("http://www.rosaceae.org/Prunus/Prunus_persica/p.persica_gdr_reftransV1_0033949","p.persica_gdr_reftransV1_0033949")</f>
        <v>p.persica_gdr_reftransV1_0033949</v>
      </c>
      <c r="B15554" s="3">
        <v>1196</v>
      </c>
      <c r="C15554" s="1" t="str">
        <f>HYPERLINK("http://www.uniprot.org/uniprot/VA721_ARATH","VA721_ARATH")</f>
        <v>VA721_ARATH</v>
      </c>
      <c r="D15554" t="s">
        <v>380</v>
      </c>
      <c r="E15554" s="3" t="s">
        <v>3</v>
      </c>
      <c r="F15554" s="4">
        <v>6.24E-21</v>
      </c>
      <c r="G15554" s="3">
        <v>232</v>
      </c>
      <c r="H15554" s="3">
        <v>83</v>
      </c>
      <c r="I15554" s="3">
        <v>69</v>
      </c>
      <c r="J15554" s="3">
        <v>265</v>
      </c>
      <c r="K15554" s="3">
        <v>471</v>
      </c>
      <c r="L15554" s="3">
        <v>151</v>
      </c>
      <c r="M15554" s="3">
        <v>219</v>
      </c>
    </row>
    <row r="15555" spans="1:13" x14ac:dyDescent="0.25">
      <c r="A15555" s="1" t="str">
        <f>HYPERLINK("http://www.rosaceae.org/Prunus/Prunus_persica/p.persica_gdr_reftransV1_0034499","p.persica_gdr_reftransV1_0034499")</f>
        <v>p.persica_gdr_reftransV1_0034499</v>
      </c>
      <c r="B15555" s="3">
        <v>3004</v>
      </c>
      <c r="C15555" s="1" t="str">
        <f>HYPERLINK("http://www.uniprot.org/uniprot/NMD3_DICDI","NMD3_DICDI")</f>
        <v>NMD3_DICDI</v>
      </c>
      <c r="D15555" t="s">
        <v>9961</v>
      </c>
      <c r="E15555" s="3" t="s">
        <v>9</v>
      </c>
      <c r="F15555" s="4">
        <v>8.1800000000000002E-145</v>
      </c>
      <c r="G15555" s="3">
        <v>1156</v>
      </c>
      <c r="H15555" s="3">
        <v>46</v>
      </c>
      <c r="I15555" s="3">
        <v>458</v>
      </c>
      <c r="J15555" s="3">
        <v>1138</v>
      </c>
      <c r="K15555" s="3">
        <v>2487</v>
      </c>
      <c r="L15555" s="3">
        <v>10</v>
      </c>
      <c r="M15555" s="3">
        <v>454</v>
      </c>
    </row>
    <row r="15556" spans="1:13" x14ac:dyDescent="0.25">
      <c r="A15556" s="1" t="str">
        <f>HYPERLINK("http://www.rosaceae.org/Prunus/Prunus_persica/p.persica_gdr_reftransV1_0034549","p.persica_gdr_reftransV1_0034549")</f>
        <v>p.persica_gdr_reftransV1_0034549</v>
      </c>
      <c r="B15556" s="3">
        <v>5068</v>
      </c>
      <c r="C15556" s="1" t="str">
        <f>HYPERLINK("http://www.uniprot.org/uniprot/Y2267_ARATH","Y2267_ARATH")</f>
        <v>Y2267_ARATH</v>
      </c>
      <c r="D15556" t="s">
        <v>2221</v>
      </c>
      <c r="E15556" s="3" t="s">
        <v>3</v>
      </c>
      <c r="F15556" s="4">
        <v>0</v>
      </c>
      <c r="G15556" s="3">
        <v>1965</v>
      </c>
      <c r="H15556" s="3">
        <v>72</v>
      </c>
      <c r="I15556" s="3">
        <v>647</v>
      </c>
      <c r="J15556" s="3">
        <v>503</v>
      </c>
      <c r="K15556" s="3">
        <v>2413</v>
      </c>
      <c r="L15556" s="3">
        <v>7</v>
      </c>
      <c r="M15556" s="3">
        <v>650</v>
      </c>
    </row>
    <row r="15557" spans="1:13" x14ac:dyDescent="0.25">
      <c r="A15557" s="1" t="str">
        <f>HYPERLINK("http://www.rosaceae.org/Prunus/Prunus_persica/p.persica_gdr_reftransV1_0034649","p.persica_gdr_reftransV1_0034649")</f>
        <v>p.persica_gdr_reftransV1_0034649</v>
      </c>
      <c r="B15557" s="3">
        <v>1375</v>
      </c>
      <c r="C15557" s="1" t="str">
        <f>HYPERLINK("http://www.uniprot.org/uniprot/RLP12_ARATH","RLP12_ARATH")</f>
        <v>RLP12_ARATH</v>
      </c>
      <c r="D15557" t="s">
        <v>1219</v>
      </c>
      <c r="E15557" s="3" t="s">
        <v>3</v>
      </c>
      <c r="F15557" s="4">
        <v>1.64E-21</v>
      </c>
      <c r="G15557" s="3">
        <v>251</v>
      </c>
      <c r="H15557" s="3">
        <v>39</v>
      </c>
      <c r="I15557" s="3">
        <v>142</v>
      </c>
      <c r="J15557" s="3">
        <v>674</v>
      </c>
      <c r="K15557" s="3">
        <v>1099</v>
      </c>
      <c r="L15557" s="3">
        <v>695</v>
      </c>
      <c r="M15557" s="3">
        <v>832</v>
      </c>
    </row>
    <row r="15558" spans="1:13" x14ac:dyDescent="0.25">
      <c r="A15558" s="1" t="str">
        <f>HYPERLINK("http://www.rosaceae.org/Prunus/Prunus_persica/p.persica_gdr_reftransV1_0034749","p.persica_gdr_reftransV1_0034749")</f>
        <v>p.persica_gdr_reftransV1_0034749</v>
      </c>
      <c r="B15558" s="3">
        <v>1446</v>
      </c>
      <c r="C15558" s="1" t="str">
        <f>HYPERLINK("http://www.uniprot.org/uniprot/RADA_LISIN","RADA_LISIN")</f>
        <v>RADA_LISIN</v>
      </c>
      <c r="D15558" t="s">
        <v>9962</v>
      </c>
      <c r="E15558" s="3" t="s">
        <v>9963</v>
      </c>
      <c r="F15558" s="4">
        <v>1.6399999999999999E-94</v>
      </c>
      <c r="G15558" s="3">
        <v>768</v>
      </c>
      <c r="H15558" s="3">
        <v>44</v>
      </c>
      <c r="I15558" s="3">
        <v>339</v>
      </c>
      <c r="J15558" s="3">
        <v>442</v>
      </c>
      <c r="K15558" s="3">
        <v>1443</v>
      </c>
      <c r="L15558" s="3">
        <v>121</v>
      </c>
      <c r="M15558" s="3">
        <v>451</v>
      </c>
    </row>
    <row r="15559" spans="1:13" x14ac:dyDescent="0.25">
      <c r="A15559" s="1" t="str">
        <f>HYPERLINK("http://www.rosaceae.org/Prunus/Prunus_persica/p.persica_gdr_reftransV1_0034799","p.persica_gdr_reftransV1_0034799")</f>
        <v>p.persica_gdr_reftransV1_0034799</v>
      </c>
      <c r="B15559" s="3">
        <v>3626</v>
      </c>
      <c r="C15559" s="1" t="str">
        <f>HYPERLINK("http://www.uniprot.org/uniprot/PP194_ARATH","PP194_ARATH")</f>
        <v>PP194_ARATH</v>
      </c>
      <c r="D15559" t="s">
        <v>9964</v>
      </c>
      <c r="E15559" s="3" t="s">
        <v>3</v>
      </c>
      <c r="F15559" s="4">
        <v>0</v>
      </c>
      <c r="G15559" s="3">
        <v>1938</v>
      </c>
      <c r="H15559" s="3">
        <v>47</v>
      </c>
      <c r="I15559" s="3">
        <v>847</v>
      </c>
      <c r="J15559" s="3">
        <v>162</v>
      </c>
      <c r="K15559" s="3">
        <v>2687</v>
      </c>
      <c r="L15559" s="3">
        <v>12</v>
      </c>
      <c r="M15559" s="3">
        <v>851</v>
      </c>
    </row>
    <row r="15560" spans="1:13" x14ac:dyDescent="0.25">
      <c r="A15560" s="1" t="str">
        <f>HYPERLINK("http://www.rosaceae.org/Prunus/Prunus_persica/p.persica_gdr_reftransV1_0034899","p.persica_gdr_reftransV1_0034899")</f>
        <v>p.persica_gdr_reftransV1_0034899</v>
      </c>
      <c r="B15560" s="3">
        <v>4280</v>
      </c>
      <c r="C15560" s="1" t="str">
        <f>HYPERLINK("http://www.uniprot.org/uniprot/ADCK1_XENTR","ADCK1_XENTR")</f>
        <v>ADCK1_XENTR</v>
      </c>
      <c r="D15560" t="s">
        <v>9965</v>
      </c>
      <c r="E15560" s="3" t="s">
        <v>173</v>
      </c>
      <c r="F15560" s="4">
        <v>1.6399999999999999E-28</v>
      </c>
      <c r="G15560" s="3">
        <v>314</v>
      </c>
      <c r="H15560" s="3">
        <v>34</v>
      </c>
      <c r="I15560" s="3">
        <v>219</v>
      </c>
      <c r="J15560" s="3">
        <v>912</v>
      </c>
      <c r="K15560" s="3">
        <v>1553</v>
      </c>
      <c r="L15560" s="3">
        <v>127</v>
      </c>
      <c r="M15560" s="3">
        <v>334</v>
      </c>
    </row>
    <row r="15561" spans="1:13" x14ac:dyDescent="0.25">
      <c r="A15561" s="1" t="str">
        <f>HYPERLINK("http://www.rosaceae.org/Prunus/Prunus_persica/p.persica_gdr_reftransV1_0034999","p.persica_gdr_reftransV1_0034999")</f>
        <v>p.persica_gdr_reftransV1_0034999</v>
      </c>
      <c r="B15561" s="3">
        <v>3373</v>
      </c>
      <c r="C15561" s="1" t="str">
        <f>HYPERLINK("http://www.uniprot.org/uniprot/WDR48_XENTR","WDR48_XENTR")</f>
        <v>WDR48_XENTR</v>
      </c>
      <c r="D15561" t="s">
        <v>9966</v>
      </c>
      <c r="E15561" s="3" t="s">
        <v>173</v>
      </c>
      <c r="F15561" s="4">
        <v>1.1899999999999999E-115</v>
      </c>
      <c r="G15561" s="3">
        <v>976</v>
      </c>
      <c r="H15561" s="3">
        <v>34</v>
      </c>
      <c r="I15561" s="3">
        <v>741</v>
      </c>
      <c r="J15561" s="3">
        <v>716</v>
      </c>
      <c r="K15561" s="3">
        <v>2881</v>
      </c>
      <c r="L15561" s="3">
        <v>32</v>
      </c>
      <c r="M15561" s="3">
        <v>674</v>
      </c>
    </row>
    <row r="15562" spans="1:13" x14ac:dyDescent="0.25">
      <c r="A15562" s="1" t="str">
        <f>HYPERLINK("http://www.rosaceae.org/Prunus/Prunus_persica/p.persica_gdr_reftransV1_0035049","p.persica_gdr_reftransV1_0035049")</f>
        <v>p.persica_gdr_reftransV1_0035049</v>
      </c>
      <c r="B15562" s="3">
        <v>1589</v>
      </c>
      <c r="C15562" s="1" t="str">
        <f>HYPERLINK("http://www.uniprot.org/uniprot/ATL46_ARATH","ATL46_ARATH")</f>
        <v>ATL46_ARATH</v>
      </c>
      <c r="D15562" t="s">
        <v>890</v>
      </c>
      <c r="E15562" s="3" t="s">
        <v>3</v>
      </c>
      <c r="F15562" s="4">
        <v>1.5899999999999999E-106</v>
      </c>
      <c r="G15562" s="3">
        <v>846</v>
      </c>
      <c r="H15562" s="3">
        <v>61</v>
      </c>
      <c r="I15562" s="3">
        <v>388</v>
      </c>
      <c r="J15562" s="3">
        <v>475</v>
      </c>
      <c r="K15562" s="3">
        <v>1563</v>
      </c>
      <c r="L15562" s="3">
        <v>1</v>
      </c>
      <c r="M15562" s="3">
        <v>365</v>
      </c>
    </row>
    <row r="15563" spans="1:13" x14ac:dyDescent="0.25">
      <c r="A15563" s="1" t="str">
        <f>HYPERLINK("http://www.rosaceae.org/Prunus/Prunus_persica/p.persica_gdr_reftransV1_0035199","p.persica_gdr_reftransV1_0035199")</f>
        <v>p.persica_gdr_reftransV1_0035199</v>
      </c>
      <c r="B15563" s="3">
        <v>3410</v>
      </c>
      <c r="C15563" s="1" t="str">
        <f>HYPERLINK("http://www.uniprot.org/uniprot/RH46_ARATH","RH46_ARATH")</f>
        <v>RH46_ARATH</v>
      </c>
      <c r="D15563" t="s">
        <v>9967</v>
      </c>
      <c r="E15563" s="3" t="s">
        <v>3</v>
      </c>
      <c r="F15563" s="4">
        <v>0</v>
      </c>
      <c r="G15563" s="3">
        <v>1723</v>
      </c>
      <c r="H15563" s="3">
        <v>87</v>
      </c>
      <c r="I15563" s="3">
        <v>378</v>
      </c>
      <c r="J15563" s="3">
        <v>1099</v>
      </c>
      <c r="K15563" s="3">
        <v>2229</v>
      </c>
      <c r="L15563" s="3">
        <v>170</v>
      </c>
      <c r="M15563" s="3">
        <v>547</v>
      </c>
    </row>
    <row r="15564" spans="1:13" x14ac:dyDescent="0.25">
      <c r="A15564" s="1" t="str">
        <f>HYPERLINK("http://www.rosaceae.org/Prunus/Prunus_persica/p.persica_gdr_reftransV1_0035249","p.persica_gdr_reftransV1_0035249")</f>
        <v>p.persica_gdr_reftransV1_0035249</v>
      </c>
      <c r="B15564" s="3">
        <v>1655</v>
      </c>
      <c r="C15564" s="1" t="str">
        <f>HYPERLINK("http://www.uniprot.org/uniprot/EIF3I_ARATH","EIF3I_ARATH")</f>
        <v>EIF3I_ARATH</v>
      </c>
      <c r="D15564" t="s">
        <v>9843</v>
      </c>
      <c r="E15564" s="3" t="s">
        <v>3</v>
      </c>
      <c r="F15564" s="4">
        <v>3.4599999999999999E-128</v>
      </c>
      <c r="G15564" s="3">
        <v>594</v>
      </c>
      <c r="H15564" s="3">
        <v>80</v>
      </c>
      <c r="I15564" s="3">
        <v>131</v>
      </c>
      <c r="J15564" s="3">
        <v>130</v>
      </c>
      <c r="K15564" s="3">
        <v>522</v>
      </c>
      <c r="L15564" s="3">
        <v>1</v>
      </c>
      <c r="M15564" s="3">
        <v>131</v>
      </c>
    </row>
    <row r="15565" spans="1:13" x14ac:dyDescent="0.25">
      <c r="A15565" s="1" t="str">
        <f>HYPERLINK("http://www.rosaceae.org/Prunus/Prunus_persica/p.persica_gdr_reftransV1_0035499","p.persica_gdr_reftransV1_0035499")</f>
        <v>p.persica_gdr_reftransV1_0035499</v>
      </c>
      <c r="B15565" s="3">
        <v>2322</v>
      </c>
      <c r="C15565" s="1" t="str">
        <f>HYPERLINK("http://www.uniprot.org/uniprot/BCS1B_DICDI","BCS1B_DICDI")</f>
        <v>BCS1B_DICDI</v>
      </c>
      <c r="D15565" t="s">
        <v>2777</v>
      </c>
      <c r="E15565" s="3" t="s">
        <v>9</v>
      </c>
      <c r="F15565" s="4">
        <v>2.0900000000000001E-25</v>
      </c>
      <c r="G15565" s="3">
        <v>284</v>
      </c>
      <c r="H15565" s="3">
        <v>33</v>
      </c>
      <c r="I15565" s="3">
        <v>236</v>
      </c>
      <c r="J15565" s="3">
        <v>736</v>
      </c>
      <c r="K15565" s="3">
        <v>1413</v>
      </c>
      <c r="L15565" s="3">
        <v>170</v>
      </c>
      <c r="M15565" s="3">
        <v>398</v>
      </c>
    </row>
    <row r="15566" spans="1:13" x14ac:dyDescent="0.25">
      <c r="A15566" s="1" t="str">
        <f>HYPERLINK("http://www.rosaceae.org/Prunus/Prunus_persica/p.persica_gdr_reftransV1_0035549","p.persica_gdr_reftransV1_0035549")</f>
        <v>p.persica_gdr_reftransV1_0035549</v>
      </c>
      <c r="B15566" s="3">
        <v>1575</v>
      </c>
      <c r="C15566" s="1" t="str">
        <f>HYPERLINK("http://www.uniprot.org/uniprot/PRXD1_XENLA","PRXD1_XENLA")</f>
        <v>PRXD1_XENLA</v>
      </c>
      <c r="D15566" t="s">
        <v>9968</v>
      </c>
      <c r="E15566" s="3" t="s">
        <v>475</v>
      </c>
      <c r="F15566" s="4">
        <v>1.4100000000000001E-28</v>
      </c>
      <c r="G15566" s="3">
        <v>289</v>
      </c>
      <c r="H15566" s="3">
        <v>40</v>
      </c>
      <c r="I15566" s="3">
        <v>169</v>
      </c>
      <c r="J15566" s="3">
        <v>869</v>
      </c>
      <c r="K15566" s="3">
        <v>1366</v>
      </c>
      <c r="L15566" s="3">
        <v>1</v>
      </c>
      <c r="M15566" s="3">
        <v>168</v>
      </c>
    </row>
    <row r="15567" spans="1:13" x14ac:dyDescent="0.25">
      <c r="A15567" s="1" t="str">
        <f>HYPERLINK("http://www.rosaceae.org/Prunus/Prunus_persica/p.persica_gdr_reftransV1_0035699","p.persica_gdr_reftransV1_0035699")</f>
        <v>p.persica_gdr_reftransV1_0035699</v>
      </c>
      <c r="B15567" s="3">
        <v>4407</v>
      </c>
      <c r="C15567" s="1" t="str">
        <f>HYPERLINK("http://www.uniprot.org/uniprot/ALA2_ARATH","ALA2_ARATH")</f>
        <v>ALA2_ARATH</v>
      </c>
      <c r="D15567" t="s">
        <v>9969</v>
      </c>
      <c r="E15567" s="3" t="s">
        <v>3</v>
      </c>
      <c r="F15567" s="4">
        <v>0</v>
      </c>
      <c r="G15567" s="3">
        <v>4238</v>
      </c>
      <c r="H15567" s="3">
        <v>85</v>
      </c>
      <c r="I15567" s="3">
        <v>942</v>
      </c>
      <c r="J15567" s="3">
        <v>1228</v>
      </c>
      <c r="K15567" s="3">
        <v>4032</v>
      </c>
      <c r="L15567" s="3">
        <v>1</v>
      </c>
      <c r="M15567" s="3">
        <v>942</v>
      </c>
    </row>
    <row r="15568" spans="1:13" x14ac:dyDescent="0.25">
      <c r="A15568" s="1" t="str">
        <f>HYPERLINK("http://www.rosaceae.org/Prunus/Prunus_persica/p.persica_gdr_reftransV1_0036049","p.persica_gdr_reftransV1_0036049")</f>
        <v>p.persica_gdr_reftransV1_0036049</v>
      </c>
      <c r="B15568" s="3">
        <v>885</v>
      </c>
      <c r="C15568" s="1" t="str">
        <f>HYPERLINK("http://www.uniprot.org/uniprot/CMB1_DIACA","CMB1_DIACA")</f>
        <v>CMB1_DIACA</v>
      </c>
      <c r="D15568" t="s">
        <v>7214</v>
      </c>
      <c r="E15568" s="3" t="s">
        <v>3050</v>
      </c>
      <c r="F15568" s="4">
        <v>3.8099999999999998E-85</v>
      </c>
      <c r="G15568" s="3">
        <v>668</v>
      </c>
      <c r="H15568" s="3">
        <v>61</v>
      </c>
      <c r="I15568" s="3">
        <v>242</v>
      </c>
      <c r="J15568" s="3">
        <v>3</v>
      </c>
      <c r="K15568" s="3">
        <v>722</v>
      </c>
      <c r="L15568" s="3">
        <v>10</v>
      </c>
      <c r="M15568" s="3">
        <v>233</v>
      </c>
    </row>
    <row r="15569" spans="1:13" x14ac:dyDescent="0.25">
      <c r="A15569" s="1" t="str">
        <f>HYPERLINK("http://www.rosaceae.org/Prunus/Prunus_persica/p.persica_gdr_reftransV1_0036499","p.persica_gdr_reftransV1_0036499")</f>
        <v>p.persica_gdr_reftransV1_0036499</v>
      </c>
      <c r="B15569" s="3">
        <v>2696</v>
      </c>
      <c r="C15569" s="1" t="str">
        <f>HYPERLINK("http://www.uniprot.org/uniprot/C3H18_ARATH","C3H18_ARATH")</f>
        <v>C3H18_ARATH</v>
      </c>
      <c r="D15569" t="s">
        <v>8216</v>
      </c>
      <c r="E15569" s="3" t="s">
        <v>3</v>
      </c>
      <c r="F15569" s="4">
        <v>1.7400000000000001E-165</v>
      </c>
      <c r="G15569" s="3">
        <v>1288</v>
      </c>
      <c r="H15569" s="3">
        <v>54</v>
      </c>
      <c r="I15569" s="3">
        <v>561</v>
      </c>
      <c r="J15569" s="3">
        <v>787</v>
      </c>
      <c r="K15569" s="3">
        <v>2418</v>
      </c>
      <c r="L15569" s="3">
        <v>1</v>
      </c>
      <c r="M15569" s="3">
        <v>507</v>
      </c>
    </row>
    <row r="15570" spans="1:13" x14ac:dyDescent="0.25">
      <c r="A15570" s="1" t="str">
        <f>HYPERLINK("http://www.rosaceae.org/Prunus/Prunus_persica/p.persica_gdr_reftransV1_0037099","p.persica_gdr_reftransV1_0037099")</f>
        <v>p.persica_gdr_reftransV1_0037099</v>
      </c>
      <c r="B15570" s="3">
        <v>1933</v>
      </c>
      <c r="C15570" s="1" t="str">
        <f>HYPERLINK("http://www.uniprot.org/uniprot/CCR4D_ARATH","CCR4D_ARATH")</f>
        <v>CCR4D_ARATH</v>
      </c>
      <c r="D15570" t="s">
        <v>9970</v>
      </c>
      <c r="E15570" s="3" t="s">
        <v>3</v>
      </c>
      <c r="F15570" s="4">
        <v>1.2900000000000001E-85</v>
      </c>
      <c r="G15570" s="3">
        <v>717</v>
      </c>
      <c r="H15570" s="3">
        <v>69</v>
      </c>
      <c r="I15570" s="3">
        <v>194</v>
      </c>
      <c r="J15570" s="3">
        <v>238</v>
      </c>
      <c r="K15570" s="3">
        <v>819</v>
      </c>
      <c r="L15570" s="3">
        <v>223</v>
      </c>
      <c r="M15570" s="3">
        <v>416</v>
      </c>
    </row>
    <row r="15571" spans="1:13" x14ac:dyDescent="0.25">
      <c r="A15571" s="1" t="str">
        <f>HYPERLINK("http://www.rosaceae.org/Prunus/Prunus_persica/p.persica_gdr_reftransV1_0037199","p.persica_gdr_reftransV1_0037199")</f>
        <v>p.persica_gdr_reftransV1_0037199</v>
      </c>
      <c r="B15571" s="3">
        <v>1695</v>
      </c>
      <c r="C15571" s="1" t="str">
        <f>HYPERLINK("http://www.uniprot.org/uniprot/NIPA1_ARATH","NIPA1_ARATH")</f>
        <v>NIPA1_ARATH</v>
      </c>
      <c r="D15571" t="s">
        <v>9971</v>
      </c>
      <c r="E15571" s="3" t="s">
        <v>3</v>
      </c>
      <c r="F15571" s="4">
        <v>3.68E-95</v>
      </c>
      <c r="G15571" s="3">
        <v>537</v>
      </c>
      <c r="H15571" s="3">
        <v>76</v>
      </c>
      <c r="I15571" s="3">
        <v>185</v>
      </c>
      <c r="J15571" s="3">
        <v>874</v>
      </c>
      <c r="K15571" s="3">
        <v>1428</v>
      </c>
      <c r="L15571" s="3">
        <v>6</v>
      </c>
      <c r="M15571" s="3">
        <v>190</v>
      </c>
    </row>
    <row r="15572" spans="1:13" x14ac:dyDescent="0.25">
      <c r="A15572" s="1" t="str">
        <f>HYPERLINK("http://www.rosaceae.org/Prunus/Prunus_persica/p.persica_gdr_reftransV1_0037349","p.persica_gdr_reftransV1_0037349")</f>
        <v>p.persica_gdr_reftransV1_0037349</v>
      </c>
      <c r="B15572" s="3">
        <v>3224</v>
      </c>
      <c r="C15572" s="1" t="str">
        <f>HYPERLINK("http://www.uniprot.org/uniprot/DGK5_ARATH","DGK5_ARATH")</f>
        <v>DGK5_ARATH</v>
      </c>
      <c r="D15572" t="s">
        <v>9066</v>
      </c>
      <c r="E15572" s="3" t="s">
        <v>3</v>
      </c>
      <c r="F15572" s="4">
        <v>1.4699999999999999E-91</v>
      </c>
      <c r="G15572" s="3">
        <v>789</v>
      </c>
      <c r="H15572" s="3">
        <v>71</v>
      </c>
      <c r="I15572" s="3">
        <v>222</v>
      </c>
      <c r="J15572" s="3">
        <v>533</v>
      </c>
      <c r="K15572" s="3">
        <v>1195</v>
      </c>
      <c r="L15572" s="3">
        <v>1</v>
      </c>
      <c r="M15572" s="3">
        <v>220</v>
      </c>
    </row>
    <row r="15573" spans="1:13" x14ac:dyDescent="0.25">
      <c r="A15573" s="1" t="str">
        <f>HYPERLINK("http://www.rosaceae.org/Prunus/Prunus_persica/p.persica_gdr_reftransV1_0037449","p.persica_gdr_reftransV1_0037449")</f>
        <v>p.persica_gdr_reftransV1_0037449</v>
      </c>
      <c r="B15573" s="3">
        <v>1615</v>
      </c>
      <c r="C15573" s="1" t="str">
        <f>HYPERLINK("http://www.uniprot.org/uniprot/CIPK7_ARATH","CIPK7_ARATH")</f>
        <v>CIPK7_ARATH</v>
      </c>
      <c r="D15573" t="s">
        <v>9972</v>
      </c>
      <c r="E15573" s="3" t="s">
        <v>3</v>
      </c>
      <c r="F15573" s="4">
        <v>7.5699999999999998E-157</v>
      </c>
      <c r="G15573" s="3">
        <v>1187</v>
      </c>
      <c r="H15573" s="3">
        <v>59</v>
      </c>
      <c r="I15573" s="3">
        <v>425</v>
      </c>
      <c r="J15573" s="3">
        <v>268</v>
      </c>
      <c r="K15573" s="3">
        <v>1512</v>
      </c>
      <c r="L15573" s="3">
        <v>21</v>
      </c>
      <c r="M15573" s="3">
        <v>429</v>
      </c>
    </row>
    <row r="15574" spans="1:13" x14ac:dyDescent="0.25">
      <c r="A15574" s="1" t="str">
        <f>HYPERLINK("http://www.rosaceae.org/Prunus/Prunus_persica/p.persica_gdr_reftransV1_0037849","p.persica_gdr_reftransV1_0037849")</f>
        <v>p.persica_gdr_reftransV1_0037849</v>
      </c>
      <c r="B15574" s="3">
        <v>3213</v>
      </c>
      <c r="C15574" s="1" t="str">
        <f>HYPERLINK("http://www.uniprot.org/uniprot/XB31_ARATH","XB31_ARATH")</f>
        <v>XB31_ARATH</v>
      </c>
      <c r="D15574" t="s">
        <v>4977</v>
      </c>
      <c r="E15574" s="3" t="s">
        <v>3</v>
      </c>
      <c r="F15574" s="4">
        <v>2.6499999999999999E-106</v>
      </c>
      <c r="G15574" s="3">
        <v>889</v>
      </c>
      <c r="H15574" s="3">
        <v>70</v>
      </c>
      <c r="I15574" s="3">
        <v>228</v>
      </c>
      <c r="J15574" s="3">
        <v>2457</v>
      </c>
      <c r="K15574" s="3">
        <v>3140</v>
      </c>
      <c r="L15574" s="3">
        <v>1</v>
      </c>
      <c r="M15574" s="3">
        <v>228</v>
      </c>
    </row>
    <row r="15575" spans="1:13" x14ac:dyDescent="0.25">
      <c r="A15575" s="1" t="str">
        <f>HYPERLINK("http://www.rosaceae.org/Prunus/Prunus_persica/p.persica_gdr_reftransV1_0038199","p.persica_gdr_reftransV1_0038199")</f>
        <v>p.persica_gdr_reftransV1_0038199</v>
      </c>
      <c r="B15575" s="3">
        <v>3396</v>
      </c>
      <c r="C15575" s="1" t="str">
        <f>HYPERLINK("http://www.uniprot.org/uniprot/RABC1_ARATH","RABC1_ARATH")</f>
        <v>RABC1_ARATH</v>
      </c>
      <c r="D15575" t="s">
        <v>2773</v>
      </c>
      <c r="E15575" s="3" t="s">
        <v>3</v>
      </c>
      <c r="F15575" s="4">
        <v>1.5400000000000001E-69</v>
      </c>
      <c r="G15575" s="3">
        <v>603</v>
      </c>
      <c r="H15575" s="3">
        <v>83</v>
      </c>
      <c r="I15575" s="3">
        <v>136</v>
      </c>
      <c r="J15575" s="3">
        <v>220</v>
      </c>
      <c r="K15575" s="3">
        <v>627</v>
      </c>
      <c r="L15575" s="3">
        <v>3</v>
      </c>
      <c r="M15575" s="3">
        <v>138</v>
      </c>
    </row>
    <row r="15576" spans="1:13" x14ac:dyDescent="0.25">
      <c r="A15576" s="1" t="str">
        <f>HYPERLINK("http://www.rosaceae.org/Prunus/Prunus_persica/p.persica_gdr_reftransV1_0038249","p.persica_gdr_reftransV1_0038249")</f>
        <v>p.persica_gdr_reftransV1_0038249</v>
      </c>
      <c r="B15576" s="3">
        <v>4085</v>
      </c>
      <c r="C15576" s="1" t="str">
        <f>HYPERLINK("http://www.uniprot.org/uniprot/P2C60_ARATH","P2C60_ARATH")</f>
        <v>P2C60_ARATH</v>
      </c>
      <c r="D15576" t="s">
        <v>5717</v>
      </c>
      <c r="E15576" s="3" t="s">
        <v>3</v>
      </c>
      <c r="F15576" s="4">
        <v>2.9899999999999999E-43</v>
      </c>
      <c r="G15576" s="3">
        <v>424</v>
      </c>
      <c r="H15576" s="3">
        <v>80</v>
      </c>
      <c r="I15576" s="3">
        <v>98</v>
      </c>
      <c r="J15576" s="3">
        <v>72</v>
      </c>
      <c r="K15576" s="3">
        <v>365</v>
      </c>
      <c r="L15576" s="3">
        <v>1</v>
      </c>
      <c r="M15576" s="3">
        <v>98</v>
      </c>
    </row>
    <row r="15577" spans="1:13" x14ac:dyDescent="0.25">
      <c r="A15577" s="1" t="str">
        <f>HYPERLINK("http://www.rosaceae.org/Prunus/Prunus_persica/p.persica_gdr_reftransV1_0038599","p.persica_gdr_reftransV1_0038599")</f>
        <v>p.persica_gdr_reftransV1_0038599</v>
      </c>
      <c r="B15577" s="3">
        <v>561</v>
      </c>
      <c r="C15577" s="1" t="str">
        <f>HYPERLINK("http://www.uniprot.org/uniprot/PP108_ARATH","PP108_ARATH")</f>
        <v>PP108_ARATH</v>
      </c>
      <c r="D15577" t="s">
        <v>1588</v>
      </c>
      <c r="E15577" s="3" t="s">
        <v>3</v>
      </c>
      <c r="F15577" s="4">
        <v>6.6299999999999999E-78</v>
      </c>
      <c r="G15577" s="3">
        <v>645</v>
      </c>
      <c r="H15577" s="3">
        <v>75</v>
      </c>
      <c r="I15577" s="3">
        <v>156</v>
      </c>
      <c r="J15577" s="3">
        <v>2</v>
      </c>
      <c r="K15577" s="3">
        <v>469</v>
      </c>
      <c r="L15577" s="3">
        <v>588</v>
      </c>
      <c r="M15577" s="3">
        <v>743</v>
      </c>
    </row>
    <row r="15578" spans="1:13" x14ac:dyDescent="0.25">
      <c r="A15578" s="1" t="str">
        <f>HYPERLINK("http://www.rosaceae.org/Prunus/Prunus_persica/p.persica_gdr_reftransV1_0038749","p.persica_gdr_reftransV1_0038749")</f>
        <v>p.persica_gdr_reftransV1_0038749</v>
      </c>
      <c r="B15578" s="3">
        <v>3084</v>
      </c>
      <c r="C15578" s="1" t="str">
        <f>HYPERLINK("http://www.uniprot.org/uniprot/XYLT2_RAT","XYLT2_RAT")</f>
        <v>XYLT2_RAT</v>
      </c>
      <c r="D15578" t="s">
        <v>9973</v>
      </c>
      <c r="E15578" s="3" t="s">
        <v>161</v>
      </c>
      <c r="F15578" s="4">
        <v>1.3800000000000001E-17</v>
      </c>
      <c r="G15578" s="3">
        <v>227</v>
      </c>
      <c r="H15578" s="3">
        <v>29</v>
      </c>
      <c r="I15578" s="3">
        <v>325</v>
      </c>
      <c r="J15578" s="3">
        <v>564</v>
      </c>
      <c r="K15578" s="3">
        <v>1478</v>
      </c>
      <c r="L15578" s="3">
        <v>226</v>
      </c>
      <c r="M15578" s="3">
        <v>529</v>
      </c>
    </row>
    <row r="15579" spans="1:13" x14ac:dyDescent="0.25">
      <c r="A15579" s="1" t="str">
        <f>HYPERLINK("http://www.rosaceae.org/Prunus/Prunus_persica/p.persica_gdr_reftransV1_0039549","p.persica_gdr_reftransV1_0039549")</f>
        <v>p.persica_gdr_reftransV1_0039549</v>
      </c>
      <c r="B15579" s="3">
        <v>560</v>
      </c>
      <c r="C15579" s="1" t="str">
        <f>HYPERLINK("http://www.uniprot.org/uniprot/AB7A_ARATH","AB7A_ARATH")</f>
        <v>AB7A_ARATH</v>
      </c>
      <c r="D15579" t="s">
        <v>3242</v>
      </c>
      <c r="E15579" s="3" t="s">
        <v>3</v>
      </c>
      <c r="F15579" s="4">
        <v>2.6599999999999999E-63</v>
      </c>
      <c r="G15579" s="3">
        <v>546</v>
      </c>
      <c r="H15579" s="3">
        <v>77</v>
      </c>
      <c r="I15579" s="3">
        <v>132</v>
      </c>
      <c r="J15579" s="3">
        <v>5</v>
      </c>
      <c r="K15579" s="3">
        <v>400</v>
      </c>
      <c r="L15579" s="3">
        <v>793</v>
      </c>
      <c r="M15579" s="3">
        <v>924</v>
      </c>
    </row>
    <row r="15580" spans="1:13" x14ac:dyDescent="0.25">
      <c r="A15580" s="1" t="str">
        <f>HYPERLINK("http://www.rosaceae.org/Prunus/Prunus_persica/p.persica_gdr_reftransV1_0039699","p.persica_gdr_reftransV1_0039699")</f>
        <v>p.persica_gdr_reftransV1_0039699</v>
      </c>
      <c r="B15580" s="3">
        <v>3725</v>
      </c>
      <c r="C15580" s="1" t="str">
        <f>HYPERLINK("http://www.uniprot.org/uniprot/COMT1_PRUDU","COMT1_PRUDU")</f>
        <v>COMT1_PRUDU</v>
      </c>
      <c r="D15580" t="s">
        <v>1504</v>
      </c>
      <c r="E15580" s="3" t="s">
        <v>418</v>
      </c>
      <c r="F15580" s="4">
        <v>9.4799999999999993E-55</v>
      </c>
      <c r="G15580" s="3">
        <v>344</v>
      </c>
      <c r="H15580" s="3">
        <v>61</v>
      </c>
      <c r="I15580" s="3">
        <v>98</v>
      </c>
      <c r="J15580" s="3">
        <v>2338</v>
      </c>
      <c r="K15580" s="3">
        <v>2631</v>
      </c>
      <c r="L15580" s="3">
        <v>266</v>
      </c>
      <c r="M15580" s="3">
        <v>363</v>
      </c>
    </row>
    <row r="15581" spans="1:13" x14ac:dyDescent="0.25">
      <c r="A15581" s="1" t="str">
        <f>HYPERLINK("http://www.rosaceae.org/Prunus/Prunus_persica/p.persica_gdr_reftransV1_0039999","p.persica_gdr_reftransV1_0039999")</f>
        <v>p.persica_gdr_reftransV1_0039999</v>
      </c>
      <c r="B15581" s="3">
        <v>1465</v>
      </c>
      <c r="C15581" s="1" t="str">
        <f>HYPERLINK("http://www.uniprot.org/uniprot/SCO12_ARATH","SCO12_ARATH")</f>
        <v>SCO12_ARATH</v>
      </c>
      <c r="D15581" t="s">
        <v>9826</v>
      </c>
      <c r="E15581" s="3" t="s">
        <v>3</v>
      </c>
      <c r="F15581" s="4">
        <v>1.0299999999999999E-80</v>
      </c>
      <c r="G15581" s="3">
        <v>462</v>
      </c>
      <c r="H15581" s="3">
        <v>77</v>
      </c>
      <c r="I15581" s="3">
        <v>109</v>
      </c>
      <c r="J15581" s="3">
        <v>1023</v>
      </c>
      <c r="K15581" s="3">
        <v>1349</v>
      </c>
      <c r="L15581" s="3">
        <v>167</v>
      </c>
      <c r="M15581" s="3">
        <v>275</v>
      </c>
    </row>
    <row r="15582" spans="1:13" x14ac:dyDescent="0.25">
      <c r="A15582" s="1" t="str">
        <f>HYPERLINK("http://www.rosaceae.org/Prunus/Prunus_persica/p.persica_gdr_reftransV1_0040499","p.persica_gdr_reftransV1_0040499")</f>
        <v>p.persica_gdr_reftransV1_0040499</v>
      </c>
      <c r="B15582" s="3">
        <v>4563</v>
      </c>
      <c r="C15582" s="1" t="str">
        <f>HYPERLINK("http://www.uniprot.org/uniprot/AB28G_ARATH","AB28G_ARATH")</f>
        <v>AB28G_ARATH</v>
      </c>
      <c r="D15582" t="s">
        <v>5918</v>
      </c>
      <c r="E15582" s="3" t="s">
        <v>3</v>
      </c>
      <c r="F15582" s="4">
        <v>0</v>
      </c>
      <c r="G15582" s="3">
        <v>2939</v>
      </c>
      <c r="H15582" s="3">
        <v>67</v>
      </c>
      <c r="I15582" s="3">
        <v>917</v>
      </c>
      <c r="J15582" s="3">
        <v>1379</v>
      </c>
      <c r="K15582" s="3">
        <v>4114</v>
      </c>
      <c r="L15582" s="3">
        <v>12</v>
      </c>
      <c r="M15582" s="3">
        <v>916</v>
      </c>
    </row>
    <row r="15583" spans="1:13" x14ac:dyDescent="0.25">
      <c r="A15583" s="1" t="str">
        <f>HYPERLINK("http://www.rosaceae.org/Prunus/Prunus_persica/p.persica_gdr_reftransV1_0040699","p.persica_gdr_reftransV1_0040699")</f>
        <v>p.persica_gdr_reftransV1_0040699</v>
      </c>
      <c r="B15583" s="3">
        <v>1303</v>
      </c>
      <c r="C15583" s="1" t="str">
        <f>HYPERLINK("http://www.uniprot.org/uniprot/CTR1_ARATH","CTR1_ARATH")</f>
        <v>CTR1_ARATH</v>
      </c>
      <c r="D15583" t="s">
        <v>3566</v>
      </c>
      <c r="E15583" s="3" t="s">
        <v>3</v>
      </c>
      <c r="F15583" s="4">
        <v>7.7400000000000001E-61</v>
      </c>
      <c r="G15583" s="3">
        <v>551</v>
      </c>
      <c r="H15583" s="3">
        <v>50</v>
      </c>
      <c r="I15583" s="3">
        <v>216</v>
      </c>
      <c r="J15583" s="3">
        <v>1</v>
      </c>
      <c r="K15583" s="3">
        <v>645</v>
      </c>
      <c r="L15583" s="3">
        <v>211</v>
      </c>
      <c r="M15583" s="3">
        <v>421</v>
      </c>
    </row>
    <row r="15584" spans="1:13" x14ac:dyDescent="0.25">
      <c r="A15584" s="1" t="str">
        <f>HYPERLINK("http://www.rosaceae.org/Prunus/Prunus_persica/p.persica_gdr_reftransV1_0040949","p.persica_gdr_reftransV1_0040949")</f>
        <v>p.persica_gdr_reftransV1_0040949</v>
      </c>
      <c r="B15584" s="3">
        <v>2382</v>
      </c>
      <c r="C15584" s="1" t="str">
        <f>HYPERLINK("http://www.uniprot.org/uniprot/GLYC7_ARATH","GLYC7_ARATH")</f>
        <v>GLYC7_ARATH</v>
      </c>
      <c r="D15584" t="s">
        <v>1446</v>
      </c>
      <c r="E15584" s="3" t="s">
        <v>3</v>
      </c>
      <c r="F15584" s="4">
        <v>0</v>
      </c>
      <c r="G15584" s="3">
        <v>2078</v>
      </c>
      <c r="H15584" s="3">
        <v>75</v>
      </c>
      <c r="I15584" s="3">
        <v>542</v>
      </c>
      <c r="J15584" s="3">
        <v>382</v>
      </c>
      <c r="K15584" s="3">
        <v>1992</v>
      </c>
      <c r="L15584" s="3">
        <v>54</v>
      </c>
      <c r="M15584" s="3">
        <v>595</v>
      </c>
    </row>
    <row r="15585" spans="1:13" x14ac:dyDescent="0.25">
      <c r="A15585" s="1" t="str">
        <f>HYPERLINK("http://www.rosaceae.org/Prunus/Prunus_persica/p.persica_gdr_reftransV1_0040999","p.persica_gdr_reftransV1_0040999")</f>
        <v>p.persica_gdr_reftransV1_0040999</v>
      </c>
      <c r="B15585" s="3">
        <v>553</v>
      </c>
      <c r="C15585" s="1" t="str">
        <f>HYPERLINK("http://www.uniprot.org/uniprot/PPR32_ARATH","PPR32_ARATH")</f>
        <v>PPR32_ARATH</v>
      </c>
      <c r="D15585" t="s">
        <v>3693</v>
      </c>
      <c r="E15585" s="3" t="s">
        <v>3</v>
      </c>
      <c r="F15585" s="4">
        <v>3.6000000000000003E-33</v>
      </c>
      <c r="G15585" s="3">
        <v>325</v>
      </c>
      <c r="H15585" s="3">
        <v>36</v>
      </c>
      <c r="I15585" s="3">
        <v>173</v>
      </c>
      <c r="J15585" s="3">
        <v>2</v>
      </c>
      <c r="K15585" s="3">
        <v>520</v>
      </c>
      <c r="L15585" s="3">
        <v>188</v>
      </c>
      <c r="M15585" s="3">
        <v>360</v>
      </c>
    </row>
    <row r="15586" spans="1:13" x14ac:dyDescent="0.25">
      <c r="A15586" s="1" t="str">
        <f>HYPERLINK("http://www.rosaceae.org/Prunus/Prunus_persica/p.persica_gdr_reftransV1_0041299","p.persica_gdr_reftransV1_0041299")</f>
        <v>p.persica_gdr_reftransV1_0041299</v>
      </c>
      <c r="B15586" s="3">
        <v>2787</v>
      </c>
      <c r="C15586" s="1" t="str">
        <f>HYPERLINK("http://www.uniprot.org/uniprot/TKPR1_ARATH","TKPR1_ARATH")</f>
        <v>TKPR1_ARATH</v>
      </c>
      <c r="D15586" t="s">
        <v>221</v>
      </c>
      <c r="E15586" s="3" t="s">
        <v>3</v>
      </c>
      <c r="F15586" s="4">
        <v>7.3299999999999999E-26</v>
      </c>
      <c r="G15586" s="3">
        <v>285</v>
      </c>
      <c r="H15586" s="3">
        <v>27</v>
      </c>
      <c r="I15586" s="3">
        <v>227</v>
      </c>
      <c r="J15586" s="3">
        <v>298</v>
      </c>
      <c r="K15586" s="3">
        <v>954</v>
      </c>
      <c r="L15586" s="3">
        <v>74</v>
      </c>
      <c r="M15586" s="3">
        <v>297</v>
      </c>
    </row>
    <row r="15587" spans="1:13" x14ac:dyDescent="0.25">
      <c r="A15587" s="1" t="str">
        <f>HYPERLINK("http://www.rosaceae.org/Prunus/Prunus_persica/p.persica_gdr_reftransV1_0041449","p.persica_gdr_reftransV1_0041449")</f>
        <v>p.persica_gdr_reftransV1_0041449</v>
      </c>
      <c r="B15587" s="3">
        <v>1934</v>
      </c>
      <c r="C15587" s="1" t="str">
        <f>HYPERLINK("http://www.uniprot.org/uniprot/ERI2_XENLA","ERI2_XENLA")</f>
        <v>ERI2_XENLA</v>
      </c>
      <c r="D15587" t="s">
        <v>1061</v>
      </c>
      <c r="E15587" s="3" t="s">
        <v>475</v>
      </c>
      <c r="F15587" s="4">
        <v>3.6500000000000001E-41</v>
      </c>
      <c r="G15587" s="3">
        <v>411</v>
      </c>
      <c r="H15587" s="3">
        <v>42</v>
      </c>
      <c r="I15587" s="3">
        <v>218</v>
      </c>
      <c r="J15587" s="3">
        <v>861</v>
      </c>
      <c r="K15587" s="3">
        <v>1466</v>
      </c>
      <c r="L15587" s="3">
        <v>27</v>
      </c>
      <c r="M15587" s="3">
        <v>242</v>
      </c>
    </row>
    <row r="15588" spans="1:13" x14ac:dyDescent="0.25">
      <c r="A15588" s="1" t="str">
        <f>HYPERLINK("http://www.rosaceae.org/Prunus/Prunus_persica/p.persica_gdr_reftransV1_0041949","p.persica_gdr_reftransV1_0041949")</f>
        <v>p.persica_gdr_reftransV1_0041949</v>
      </c>
      <c r="B15588" s="3">
        <v>647</v>
      </c>
      <c r="C15588" s="1" t="str">
        <f>HYPERLINK("http://www.uniprot.org/uniprot/PIGC_DICDI","PIGC_DICDI")</f>
        <v>PIGC_DICDI</v>
      </c>
      <c r="D15588" t="s">
        <v>1060</v>
      </c>
      <c r="E15588" s="3" t="s">
        <v>9</v>
      </c>
      <c r="F15588" s="4">
        <v>1.6500000000000001E-18</v>
      </c>
      <c r="G15588" s="3">
        <v>211</v>
      </c>
      <c r="H15588" s="3">
        <v>35</v>
      </c>
      <c r="I15588" s="3">
        <v>184</v>
      </c>
      <c r="J15588" s="3">
        <v>94</v>
      </c>
      <c r="K15588" s="3">
        <v>645</v>
      </c>
      <c r="L15588" s="3">
        <v>63</v>
      </c>
      <c r="M15588" s="3">
        <v>238</v>
      </c>
    </row>
    <row r="15589" spans="1:13" x14ac:dyDescent="0.25">
      <c r="A15589" s="1" t="str">
        <f>HYPERLINK("http://www.rosaceae.org/Prunus/Prunus_persica/p.persica_gdr_reftransV1_0042499","p.persica_gdr_reftransV1_0042499")</f>
        <v>p.persica_gdr_reftransV1_0042499</v>
      </c>
      <c r="B15589" s="3">
        <v>961</v>
      </c>
      <c r="C15589" s="1" t="str">
        <f>HYPERLINK("http://www.uniprot.org/uniprot/CYC6_ARATH","CYC6_ARATH")</f>
        <v>CYC6_ARATH</v>
      </c>
      <c r="D15589" t="s">
        <v>9974</v>
      </c>
      <c r="E15589" s="3" t="s">
        <v>3</v>
      </c>
      <c r="F15589" s="4">
        <v>1.3500000000000001E-62</v>
      </c>
      <c r="G15589" s="3">
        <v>515</v>
      </c>
      <c r="H15589" s="3">
        <v>73</v>
      </c>
      <c r="I15589" s="3">
        <v>141</v>
      </c>
      <c r="J15589" s="3">
        <v>436</v>
      </c>
      <c r="K15589" s="3">
        <v>855</v>
      </c>
      <c r="L15589" s="3">
        <v>30</v>
      </c>
      <c r="M15589" s="3">
        <v>170</v>
      </c>
    </row>
    <row r="15590" spans="1:13" x14ac:dyDescent="0.25">
      <c r="A15590" s="1" t="str">
        <f>HYPERLINK("http://www.rosaceae.org/Prunus/Prunus_persica/p.persica_gdr_reftransV1_0043049","p.persica_gdr_reftransV1_0043049")</f>
        <v>p.persica_gdr_reftransV1_0043049</v>
      </c>
      <c r="B15590" s="3">
        <v>1329</v>
      </c>
      <c r="C15590" s="1" t="str">
        <f>HYPERLINK("http://www.uniprot.org/uniprot/DRPE_CRAPL","DRPE_CRAPL")</f>
        <v>DRPE_CRAPL</v>
      </c>
      <c r="D15590" t="s">
        <v>3835</v>
      </c>
      <c r="E15590" s="3" t="s">
        <v>894</v>
      </c>
      <c r="F15590" s="4">
        <v>4.5999999999999999E-86</v>
      </c>
      <c r="G15590" s="3">
        <v>696</v>
      </c>
      <c r="H15590" s="3">
        <v>56</v>
      </c>
      <c r="I15590" s="3">
        <v>241</v>
      </c>
      <c r="J15590" s="3">
        <v>354</v>
      </c>
      <c r="K15590" s="3">
        <v>1076</v>
      </c>
      <c r="L15590" s="3">
        <v>59</v>
      </c>
      <c r="M15590" s="3">
        <v>299</v>
      </c>
    </row>
    <row r="15591" spans="1:13" x14ac:dyDescent="0.25">
      <c r="A15591" s="1" t="str">
        <f>HYPERLINK("http://www.rosaceae.org/Prunus/Prunus_persica/p.persica_gdr_reftransV1_0043149","p.persica_gdr_reftransV1_0043149")</f>
        <v>p.persica_gdr_reftransV1_0043149</v>
      </c>
      <c r="B15591" s="3">
        <v>312</v>
      </c>
      <c r="C15591" s="1" t="str">
        <f>HYPERLINK("http://www.uniprot.org/uniprot/LBD1_ARATH","LBD1_ARATH")</f>
        <v>LBD1_ARATH</v>
      </c>
      <c r="D15591" t="s">
        <v>4145</v>
      </c>
      <c r="E15591" s="3" t="s">
        <v>3</v>
      </c>
      <c r="F15591" s="4">
        <v>2.6899999999999999E-34</v>
      </c>
      <c r="G15591" s="3">
        <v>306</v>
      </c>
      <c r="H15591" s="3">
        <v>59</v>
      </c>
      <c r="I15591" s="3">
        <v>90</v>
      </c>
      <c r="J15591" s="3">
        <v>39</v>
      </c>
      <c r="K15591" s="3">
        <v>308</v>
      </c>
      <c r="L15591" s="3">
        <v>30</v>
      </c>
      <c r="M15591" s="3">
        <v>119</v>
      </c>
    </row>
    <row r="15592" spans="1:13" x14ac:dyDescent="0.25">
      <c r="A15592" s="1" t="str">
        <f>HYPERLINK("http://www.rosaceae.org/Prunus/Prunus_persica/p.persica_gdr_reftransV1_0043199","p.persica_gdr_reftransV1_0043199")</f>
        <v>p.persica_gdr_reftransV1_0043199</v>
      </c>
      <c r="B15592" s="3">
        <v>1250</v>
      </c>
      <c r="C15592" s="1" t="str">
        <f>HYPERLINK("http://www.uniprot.org/uniprot/Y1280_ARATH","Y1280_ARATH")</f>
        <v>Y1280_ARATH</v>
      </c>
      <c r="D15592" t="s">
        <v>9176</v>
      </c>
      <c r="E15592" s="3" t="s">
        <v>3</v>
      </c>
      <c r="F15592" s="4">
        <v>2.4999999999999999E-127</v>
      </c>
      <c r="G15592" s="3">
        <v>664</v>
      </c>
      <c r="H15592" s="3">
        <v>83</v>
      </c>
      <c r="I15592" s="3">
        <v>145</v>
      </c>
      <c r="J15592" s="3">
        <v>229</v>
      </c>
      <c r="K15592" s="3">
        <v>663</v>
      </c>
      <c r="L15592" s="3">
        <v>211</v>
      </c>
      <c r="M15592" s="3">
        <v>355</v>
      </c>
    </row>
    <row r="15593" spans="1:13" x14ac:dyDescent="0.25">
      <c r="A15593" s="1" t="str">
        <f>HYPERLINK("http://www.rosaceae.org/Prunus/Prunus_persica/p.persica_gdr_reftransV1_0043249","p.persica_gdr_reftransV1_0043249")</f>
        <v>p.persica_gdr_reftransV1_0043249</v>
      </c>
      <c r="B15593" s="3">
        <v>2400</v>
      </c>
      <c r="C15593" s="1" t="str">
        <f>HYPERLINK("http://www.uniprot.org/uniprot/TYDP1_ARATH","TYDP1_ARATH")</f>
        <v>TYDP1_ARATH</v>
      </c>
      <c r="D15593" t="s">
        <v>9975</v>
      </c>
      <c r="E15593" s="3" t="s">
        <v>3</v>
      </c>
      <c r="F15593" s="4">
        <v>0</v>
      </c>
      <c r="G15593" s="3">
        <v>1940</v>
      </c>
      <c r="H15593" s="3">
        <v>72</v>
      </c>
      <c r="I15593" s="3">
        <v>495</v>
      </c>
      <c r="J15593" s="3">
        <v>721</v>
      </c>
      <c r="K15593" s="3">
        <v>2193</v>
      </c>
      <c r="L15593" s="3">
        <v>115</v>
      </c>
      <c r="M15593" s="3">
        <v>605</v>
      </c>
    </row>
    <row r="15594" spans="1:13" x14ac:dyDescent="0.25">
      <c r="A15594" s="1" t="str">
        <f>HYPERLINK("http://www.rosaceae.org/Prunus/Prunus_persica/p.persica_gdr_reftransV1_0043299","p.persica_gdr_reftransV1_0043299")</f>
        <v>p.persica_gdr_reftransV1_0043299</v>
      </c>
      <c r="B15594" s="3">
        <v>1550</v>
      </c>
      <c r="C15594" s="1" t="str">
        <f>HYPERLINK("http://www.uniprot.org/uniprot/PDIA6_MEDSA","PDIA6_MEDSA")</f>
        <v>PDIA6_MEDSA</v>
      </c>
      <c r="D15594" t="s">
        <v>9976</v>
      </c>
      <c r="E15594" s="3" t="s">
        <v>515</v>
      </c>
      <c r="F15594" s="4">
        <v>0</v>
      </c>
      <c r="G15594" s="3">
        <v>1381</v>
      </c>
      <c r="H15594" s="3">
        <v>80</v>
      </c>
      <c r="I15594" s="3">
        <v>331</v>
      </c>
      <c r="J15594" s="3">
        <v>406</v>
      </c>
      <c r="K15594" s="3">
        <v>1398</v>
      </c>
      <c r="L15594" s="3">
        <v>34</v>
      </c>
      <c r="M15594" s="3">
        <v>364</v>
      </c>
    </row>
    <row r="15595" spans="1:13" x14ac:dyDescent="0.25">
      <c r="A15595" s="1" t="str">
        <f>HYPERLINK("http://www.rosaceae.org/Prunus/Prunus_persica/p.persica_gdr_reftransV1_0043399","p.persica_gdr_reftransV1_0043399")</f>
        <v>p.persica_gdr_reftransV1_0043399</v>
      </c>
      <c r="B15595" s="3">
        <v>895</v>
      </c>
      <c r="C15595" s="1" t="str">
        <f>HYPERLINK("http://www.uniprot.org/uniprot/ERF81_ARATH","ERF81_ARATH")</f>
        <v>ERF81_ARATH</v>
      </c>
      <c r="D15595" t="s">
        <v>3596</v>
      </c>
      <c r="E15595" s="3" t="s">
        <v>3</v>
      </c>
      <c r="F15595" s="4">
        <v>4.79E-21</v>
      </c>
      <c r="G15595" s="3">
        <v>229</v>
      </c>
      <c r="H15595" s="3">
        <v>82</v>
      </c>
      <c r="I15595" s="3">
        <v>66</v>
      </c>
      <c r="J15595" s="3">
        <v>179</v>
      </c>
      <c r="K15595" s="3">
        <v>376</v>
      </c>
      <c r="L15595" s="3">
        <v>7</v>
      </c>
      <c r="M15595" s="3">
        <v>72</v>
      </c>
    </row>
    <row r="15596" spans="1:13" x14ac:dyDescent="0.25">
      <c r="A15596" s="1" t="str">
        <f>HYPERLINK("http://www.rosaceae.org/Prunus/Prunus_persica/p.persica_gdr_reftransV1_0043499","p.persica_gdr_reftransV1_0043499")</f>
        <v>p.persica_gdr_reftransV1_0043499</v>
      </c>
      <c r="B15596" s="3">
        <v>4447</v>
      </c>
      <c r="C15596" s="1" t="str">
        <f>HYPERLINK("http://www.uniprot.org/uniprot/TC120_ARATH","TC120_ARATH")</f>
        <v>TC120_ARATH</v>
      </c>
      <c r="D15596" t="s">
        <v>3431</v>
      </c>
      <c r="E15596" s="3" t="s">
        <v>3</v>
      </c>
      <c r="F15596" s="4">
        <v>0</v>
      </c>
      <c r="G15596" s="3">
        <v>3024</v>
      </c>
      <c r="H15596" s="3">
        <v>81</v>
      </c>
      <c r="I15596" s="3">
        <v>756</v>
      </c>
      <c r="J15596" s="3">
        <v>392</v>
      </c>
      <c r="K15596" s="3">
        <v>2653</v>
      </c>
      <c r="L15596" s="3">
        <v>335</v>
      </c>
      <c r="M15596" s="3">
        <v>1089</v>
      </c>
    </row>
    <row r="15597" spans="1:13" x14ac:dyDescent="0.25">
      <c r="A15597" s="1" t="str">
        <f>HYPERLINK("http://www.rosaceae.org/Prunus/Prunus_persica/p.persica_gdr_reftransV1_0043549","p.persica_gdr_reftransV1_0043549")</f>
        <v>p.persica_gdr_reftransV1_0043549</v>
      </c>
      <c r="B15597" s="3">
        <v>792</v>
      </c>
      <c r="C15597" s="1" t="str">
        <f>HYPERLINK("http://www.uniprot.org/uniprot/RL321_ARATH","RL321_ARATH")</f>
        <v>RL321_ARATH</v>
      </c>
      <c r="D15597" t="s">
        <v>871</v>
      </c>
      <c r="E15597" s="3" t="s">
        <v>3</v>
      </c>
      <c r="F15597" s="4">
        <v>5.5000000000000002E-78</v>
      </c>
      <c r="G15597" s="3">
        <v>608</v>
      </c>
      <c r="H15597" s="3">
        <v>84</v>
      </c>
      <c r="I15597" s="3">
        <v>133</v>
      </c>
      <c r="J15597" s="3">
        <v>120</v>
      </c>
      <c r="K15597" s="3">
        <v>518</v>
      </c>
      <c r="L15597" s="3">
        <v>1</v>
      </c>
      <c r="M15597" s="3">
        <v>133</v>
      </c>
    </row>
    <row r="15598" spans="1:13" x14ac:dyDescent="0.25">
      <c r="A15598" s="1" t="str">
        <f>HYPERLINK("http://www.rosaceae.org/Prunus/Prunus_persica/p.persica_gdr_reftransV1_0043599","p.persica_gdr_reftransV1_0043599")</f>
        <v>p.persica_gdr_reftransV1_0043599</v>
      </c>
      <c r="B15598" s="3">
        <v>2124</v>
      </c>
      <c r="C15598" s="1" t="str">
        <f>HYPERLINK("http://www.uniprot.org/uniprot/CYSZ_CUCMA","CYSZ_CUCMA")</f>
        <v>CYSZ_CUCMA</v>
      </c>
      <c r="D15598" t="s">
        <v>2907</v>
      </c>
      <c r="E15598" s="3" t="s">
        <v>1511</v>
      </c>
      <c r="F15598" s="4">
        <v>0</v>
      </c>
      <c r="G15598" s="3">
        <v>2268</v>
      </c>
      <c r="H15598" s="3">
        <v>87</v>
      </c>
      <c r="I15598" s="3">
        <v>505</v>
      </c>
      <c r="J15598" s="3">
        <v>416</v>
      </c>
      <c r="K15598" s="3">
        <v>1930</v>
      </c>
      <c r="L15598" s="3">
        <v>12</v>
      </c>
      <c r="M15598" s="3">
        <v>516</v>
      </c>
    </row>
    <row r="15599" spans="1:13" x14ac:dyDescent="0.25">
      <c r="A15599" s="1" t="str">
        <f>HYPERLINK("http://www.rosaceae.org/Prunus/Prunus_persica/p.persica_gdr_reftransV1_0043649","p.persica_gdr_reftransV1_0043649")</f>
        <v>p.persica_gdr_reftransV1_0043649</v>
      </c>
      <c r="B15599" s="3">
        <v>3086</v>
      </c>
      <c r="C15599" s="1" t="str">
        <f>HYPERLINK("http://www.uniprot.org/uniprot/MSSP3_ARATH","MSSP3_ARATH")</f>
        <v>MSSP3_ARATH</v>
      </c>
      <c r="D15599" t="s">
        <v>9977</v>
      </c>
      <c r="E15599" s="3" t="s">
        <v>3</v>
      </c>
      <c r="F15599" s="4">
        <v>0</v>
      </c>
      <c r="G15599" s="3">
        <v>1146</v>
      </c>
      <c r="H15599" s="3">
        <v>71</v>
      </c>
      <c r="I15599" s="3">
        <v>312</v>
      </c>
      <c r="J15599" s="3">
        <v>601</v>
      </c>
      <c r="K15599" s="3">
        <v>1527</v>
      </c>
      <c r="L15599" s="3">
        <v>1</v>
      </c>
      <c r="M15599" s="3">
        <v>311</v>
      </c>
    </row>
    <row r="15600" spans="1:13" x14ac:dyDescent="0.25">
      <c r="A15600" s="1" t="str">
        <f>HYPERLINK("http://www.rosaceae.org/Prunus/Prunus_persica/p.persica_gdr_reftransV1_0043699","p.persica_gdr_reftransV1_0043699")</f>
        <v>p.persica_gdr_reftransV1_0043699</v>
      </c>
      <c r="B15600" s="3">
        <v>667</v>
      </c>
      <c r="C15600" s="1" t="str">
        <f>HYPERLINK("http://www.uniprot.org/uniprot/APM1_ARATH","APM1_ARATH")</f>
        <v>APM1_ARATH</v>
      </c>
      <c r="D15600" t="s">
        <v>5990</v>
      </c>
      <c r="E15600" s="3" t="s">
        <v>3</v>
      </c>
      <c r="F15600" s="4">
        <v>2.57E-22</v>
      </c>
      <c r="G15600" s="3">
        <v>247</v>
      </c>
      <c r="H15600" s="3">
        <v>59</v>
      </c>
      <c r="I15600" s="3">
        <v>76</v>
      </c>
      <c r="J15600" s="3">
        <v>423</v>
      </c>
      <c r="K15600" s="3">
        <v>650</v>
      </c>
      <c r="L15600" s="3">
        <v>336</v>
      </c>
      <c r="M15600" s="3">
        <v>411</v>
      </c>
    </row>
    <row r="15601" spans="1:13" x14ac:dyDescent="0.25">
      <c r="A15601" s="1" t="str">
        <f>HYPERLINK("http://www.rosaceae.org/Prunus/Prunus_persica/p.persica_gdr_reftransV1_0043799","p.persica_gdr_reftransV1_0043799")</f>
        <v>p.persica_gdr_reftransV1_0043799</v>
      </c>
      <c r="B15601" s="3">
        <v>797</v>
      </c>
      <c r="C15601" s="1" t="str">
        <f>HYPERLINK("http://www.uniprot.org/uniprot/PP182_ARATH","PP182_ARATH")</f>
        <v>PP182_ARATH</v>
      </c>
      <c r="D15601" t="s">
        <v>3451</v>
      </c>
      <c r="E15601" s="3" t="s">
        <v>3</v>
      </c>
      <c r="F15601" s="4">
        <v>2.7599999999999999E-53</v>
      </c>
      <c r="G15601" s="3">
        <v>475</v>
      </c>
      <c r="H15601" s="3">
        <v>38</v>
      </c>
      <c r="I15601" s="3">
        <v>245</v>
      </c>
      <c r="J15601" s="3">
        <v>54</v>
      </c>
      <c r="K15601" s="3">
        <v>785</v>
      </c>
      <c r="L15601" s="3">
        <v>88</v>
      </c>
      <c r="M15601" s="3">
        <v>332</v>
      </c>
    </row>
    <row r="15602" spans="1:13" x14ac:dyDescent="0.25">
      <c r="A15602" s="1" t="str">
        <f>HYPERLINK("http://www.rosaceae.org/Prunus/Prunus_persica/p.persica_gdr_reftransV1_0043849","p.persica_gdr_reftransV1_0043849")</f>
        <v>p.persica_gdr_reftransV1_0043849</v>
      </c>
      <c r="B15602" s="3">
        <v>426</v>
      </c>
      <c r="C15602" s="1" t="str">
        <f>HYPERLINK("http://www.uniprot.org/uniprot/RL44_GOSHI","RL44_GOSHI")</f>
        <v>RL44_GOSHI</v>
      </c>
      <c r="D15602" t="s">
        <v>1825</v>
      </c>
      <c r="E15602" s="3" t="s">
        <v>816</v>
      </c>
      <c r="F15602" s="4">
        <v>9.4800000000000007E-40</v>
      </c>
      <c r="G15602" s="3">
        <v>340</v>
      </c>
      <c r="H15602" s="3">
        <v>95</v>
      </c>
      <c r="I15602" s="3">
        <v>86</v>
      </c>
      <c r="J15602" s="3">
        <v>111</v>
      </c>
      <c r="K15602" s="3">
        <v>368</v>
      </c>
      <c r="L15602" s="3">
        <v>1</v>
      </c>
      <c r="M15602" s="3">
        <v>86</v>
      </c>
    </row>
    <row r="15603" spans="1:13" x14ac:dyDescent="0.25">
      <c r="A15603" s="1" t="str">
        <f>HYPERLINK("http://www.rosaceae.org/Prunus/Prunus_persica/p.persica_gdr_reftransV1_0043949","p.persica_gdr_reftransV1_0043949")</f>
        <v>p.persica_gdr_reftransV1_0043949</v>
      </c>
      <c r="B15603" s="3">
        <v>958</v>
      </c>
      <c r="C15603" s="1" t="str">
        <f>HYPERLINK("http://www.uniprot.org/uniprot/UBC28_ARATH","UBC28_ARATH")</f>
        <v>UBC28_ARATH</v>
      </c>
      <c r="D15603" t="s">
        <v>6748</v>
      </c>
      <c r="E15603" s="3" t="s">
        <v>3</v>
      </c>
      <c r="F15603" s="4">
        <v>1.2400000000000001E-102</v>
      </c>
      <c r="G15603" s="3">
        <v>779</v>
      </c>
      <c r="H15603" s="3">
        <v>98</v>
      </c>
      <c r="I15603" s="3">
        <v>148</v>
      </c>
      <c r="J15603" s="3">
        <v>223</v>
      </c>
      <c r="K15603" s="3">
        <v>666</v>
      </c>
      <c r="L15603" s="3">
        <v>1</v>
      </c>
      <c r="M15603" s="3">
        <v>148</v>
      </c>
    </row>
    <row r="15604" spans="1:13" x14ac:dyDescent="0.25">
      <c r="A15604" s="1" t="str">
        <f>HYPERLINK("http://www.rosaceae.org/Prunus/Prunus_persica/p.persica_gdr_reftransV1_0043999","p.persica_gdr_reftransV1_0043999")</f>
        <v>p.persica_gdr_reftransV1_0043999</v>
      </c>
      <c r="B15604" s="3">
        <v>437</v>
      </c>
      <c r="C15604" s="1" t="str">
        <f>HYPERLINK("http://www.uniprot.org/uniprot/HMCES_XENTR","HMCES_XENTR")</f>
        <v>HMCES_XENTR</v>
      </c>
      <c r="D15604" t="s">
        <v>7162</v>
      </c>
      <c r="E15604" s="3" t="s">
        <v>173</v>
      </c>
      <c r="F15604" s="4">
        <v>1.99E-7</v>
      </c>
      <c r="G15604" s="3">
        <v>124</v>
      </c>
      <c r="H15604" s="3">
        <v>37</v>
      </c>
      <c r="I15604" s="3">
        <v>95</v>
      </c>
      <c r="J15604" s="3">
        <v>101</v>
      </c>
      <c r="K15604" s="3">
        <v>352</v>
      </c>
      <c r="L15604" s="3">
        <v>1</v>
      </c>
      <c r="M15604" s="3">
        <v>92</v>
      </c>
    </row>
    <row r="15605" spans="1:13" x14ac:dyDescent="0.25">
      <c r="A15605" s="1" t="str">
        <f>HYPERLINK("http://www.rosaceae.org/Prunus/Prunus_persica/p.persica_gdr_reftransV1_0044099","p.persica_gdr_reftransV1_0044099")</f>
        <v>p.persica_gdr_reftransV1_0044099</v>
      </c>
      <c r="B15605" s="3">
        <v>3419</v>
      </c>
      <c r="C15605" s="1" t="str">
        <f>HYPERLINK("http://www.uniprot.org/uniprot/APM1_ARATH","APM1_ARATH")</f>
        <v>APM1_ARATH</v>
      </c>
      <c r="D15605" t="s">
        <v>5990</v>
      </c>
      <c r="E15605" s="3" t="s">
        <v>3</v>
      </c>
      <c r="F15605" s="4">
        <v>0</v>
      </c>
      <c r="G15605" s="3">
        <v>1707</v>
      </c>
      <c r="H15605" s="3">
        <v>51</v>
      </c>
      <c r="I15605" s="3">
        <v>632</v>
      </c>
      <c r="J15605" s="3">
        <v>202</v>
      </c>
      <c r="K15605" s="3">
        <v>2073</v>
      </c>
      <c r="L15605" s="3">
        <v>250</v>
      </c>
      <c r="M15605" s="3">
        <v>877</v>
      </c>
    </row>
    <row r="15606" spans="1:13" x14ac:dyDescent="0.25">
      <c r="A15606" s="1" t="str">
        <f>HYPERLINK("http://www.rosaceae.org/Prunus/Prunus_persica/p.persica_gdr_reftransV1_0044249","p.persica_gdr_reftransV1_0044249")</f>
        <v>p.persica_gdr_reftransV1_0044249</v>
      </c>
      <c r="B15606" s="3">
        <v>2690</v>
      </c>
      <c r="C15606" s="1" t="str">
        <f>HYPERLINK("http://www.uniprot.org/uniprot/BRCC3_SALSA","BRCC3_SALSA")</f>
        <v>BRCC3_SALSA</v>
      </c>
      <c r="D15606" t="s">
        <v>627</v>
      </c>
      <c r="E15606" s="3" t="s">
        <v>628</v>
      </c>
      <c r="F15606" s="4">
        <v>2.0400000000000002E-49</v>
      </c>
      <c r="G15606" s="3">
        <v>457</v>
      </c>
      <c r="H15606" s="3">
        <v>54</v>
      </c>
      <c r="I15606" s="3">
        <v>154</v>
      </c>
      <c r="J15606" s="3">
        <v>1232</v>
      </c>
      <c r="K15606" s="3">
        <v>1690</v>
      </c>
      <c r="L15606" s="3">
        <v>1</v>
      </c>
      <c r="M15606" s="3">
        <v>150</v>
      </c>
    </row>
    <row r="15607" spans="1:13" x14ac:dyDescent="0.25">
      <c r="A15607" s="1" t="str">
        <f>HYPERLINK("http://www.rosaceae.org/Prunus/Prunus_persica/p.persica_gdr_reftransV1_0044299","p.persica_gdr_reftransV1_0044299")</f>
        <v>p.persica_gdr_reftransV1_0044299</v>
      </c>
      <c r="B15607" s="3">
        <v>1599</v>
      </c>
      <c r="C15607" s="1" t="str">
        <f>HYPERLINK("http://www.uniprot.org/uniprot/RF1_CUPPJ","RF1_CUPPJ")</f>
        <v>RF1_CUPPJ</v>
      </c>
      <c r="D15607" t="s">
        <v>7466</v>
      </c>
      <c r="E15607" s="3" t="s">
        <v>7467</v>
      </c>
      <c r="F15607" s="4">
        <v>6.6000000000000005E-11</v>
      </c>
      <c r="G15607" s="3">
        <v>164</v>
      </c>
      <c r="H15607" s="3">
        <v>62</v>
      </c>
      <c r="I15607" s="3">
        <v>47</v>
      </c>
      <c r="J15607" s="3">
        <v>903</v>
      </c>
      <c r="K15607" s="3">
        <v>1043</v>
      </c>
      <c r="L15607" s="3">
        <v>220</v>
      </c>
      <c r="M15607" s="3">
        <v>266</v>
      </c>
    </row>
    <row r="15608" spans="1:13" x14ac:dyDescent="0.25">
      <c r="A15608" s="1" t="str">
        <f>HYPERLINK("http://www.rosaceae.org/Prunus/Prunus_persica/p.persica_gdr_reftransV1_0044349","p.persica_gdr_reftransV1_0044349")</f>
        <v>p.persica_gdr_reftransV1_0044349</v>
      </c>
      <c r="B15608" s="3">
        <v>841</v>
      </c>
      <c r="C15608" s="1" t="str">
        <f>HYPERLINK("http://www.uniprot.org/uniprot/BD31A_ORYSJ","BD31A_ORYSJ")</f>
        <v>BD31A_ORYSJ</v>
      </c>
      <c r="D15608" t="s">
        <v>9978</v>
      </c>
      <c r="E15608" s="3" t="s">
        <v>38</v>
      </c>
      <c r="F15608" s="4">
        <v>3.8700000000000002E-94</v>
      </c>
      <c r="G15608" s="3">
        <v>718</v>
      </c>
      <c r="H15608" s="3">
        <v>90</v>
      </c>
      <c r="I15608" s="3">
        <v>145</v>
      </c>
      <c r="J15608" s="3">
        <v>290</v>
      </c>
      <c r="K15608" s="3">
        <v>724</v>
      </c>
      <c r="L15608" s="3">
        <v>1</v>
      </c>
      <c r="M15608" s="3">
        <v>145</v>
      </c>
    </row>
    <row r="15609" spans="1:13" x14ac:dyDescent="0.25">
      <c r="A15609" s="1" t="str">
        <f>HYPERLINK("http://www.rosaceae.org/Prunus/Prunus_persica/p.persica_gdr_reftransV1_0044549","p.persica_gdr_reftransV1_0044549")</f>
        <v>p.persica_gdr_reftransV1_0044549</v>
      </c>
      <c r="B15609" s="3">
        <v>1627</v>
      </c>
      <c r="C15609" s="1" t="str">
        <f>HYPERLINK("http://www.uniprot.org/uniprot/GPMA_PARUW","GPMA_PARUW")</f>
        <v>GPMA_PARUW</v>
      </c>
      <c r="D15609" t="s">
        <v>7170</v>
      </c>
      <c r="E15609" s="3" t="s">
        <v>4254</v>
      </c>
      <c r="F15609" s="4">
        <v>2.7899999999999999E-95</v>
      </c>
      <c r="G15609" s="3">
        <v>758</v>
      </c>
      <c r="H15609" s="3">
        <v>61</v>
      </c>
      <c r="I15609" s="3">
        <v>221</v>
      </c>
      <c r="J15609" s="3">
        <v>489</v>
      </c>
      <c r="K15609" s="3">
        <v>1151</v>
      </c>
      <c r="L15609" s="3">
        <v>4</v>
      </c>
      <c r="M15609" s="3">
        <v>224</v>
      </c>
    </row>
    <row r="15610" spans="1:13" x14ac:dyDescent="0.25">
      <c r="A15610" s="1" t="str">
        <f>HYPERLINK("http://www.rosaceae.org/Prunus/Prunus_persica/p.persica_gdr_reftransV1_0044599","p.persica_gdr_reftransV1_0044599")</f>
        <v>p.persica_gdr_reftransV1_0044599</v>
      </c>
      <c r="B15610" s="3">
        <v>984</v>
      </c>
      <c r="C15610" s="1" t="str">
        <f>HYPERLINK("http://www.uniprot.org/uniprot/FLA9_ARATH","FLA9_ARATH")</f>
        <v>FLA9_ARATH</v>
      </c>
      <c r="D15610" t="s">
        <v>6693</v>
      </c>
      <c r="E15610" s="3" t="s">
        <v>3</v>
      </c>
      <c r="F15610" s="4">
        <v>5.9399999999999998E-58</v>
      </c>
      <c r="G15610" s="3">
        <v>491</v>
      </c>
      <c r="H15610" s="3">
        <v>57</v>
      </c>
      <c r="I15610" s="3">
        <v>209</v>
      </c>
      <c r="J15610" s="3">
        <v>164</v>
      </c>
      <c r="K15610" s="3">
        <v>781</v>
      </c>
      <c r="L15610" s="3">
        <v>39</v>
      </c>
      <c r="M15610" s="3">
        <v>247</v>
      </c>
    </row>
    <row r="15611" spans="1:13" x14ac:dyDescent="0.25">
      <c r="A15611" s="1" t="str">
        <f>HYPERLINK("http://www.rosaceae.org/Prunus/Prunus_persica/p.persica_gdr_reftransV1_0044699","p.persica_gdr_reftransV1_0044699")</f>
        <v>p.persica_gdr_reftransV1_0044699</v>
      </c>
      <c r="B15611" s="3">
        <v>422</v>
      </c>
      <c r="C15611" s="1" t="str">
        <f>HYPERLINK("http://www.uniprot.org/uniprot/AB13C_ARATH","AB13C_ARATH")</f>
        <v>AB13C_ARATH</v>
      </c>
      <c r="D15611" t="s">
        <v>9979</v>
      </c>
      <c r="E15611" s="3" t="s">
        <v>3</v>
      </c>
      <c r="F15611" s="4">
        <v>8.9299999999999995E-44</v>
      </c>
      <c r="G15611" s="3">
        <v>402</v>
      </c>
      <c r="H15611" s="3">
        <v>85</v>
      </c>
      <c r="I15611" s="3">
        <v>110</v>
      </c>
      <c r="J15611" s="3">
        <v>93</v>
      </c>
      <c r="K15611" s="3">
        <v>422</v>
      </c>
      <c r="L15611" s="3">
        <v>964</v>
      </c>
      <c r="M15611" s="3">
        <v>1073</v>
      </c>
    </row>
    <row r="15612" spans="1:13" x14ac:dyDescent="0.25">
      <c r="A15612" s="1" t="str">
        <f>HYPERLINK("http://www.rosaceae.org/Prunus/Prunus_persica/p.persica_gdr_reftransV1_0044799","p.persica_gdr_reftransV1_0044799")</f>
        <v>p.persica_gdr_reftransV1_0044799</v>
      </c>
      <c r="B15612" s="3">
        <v>1751</v>
      </c>
      <c r="C15612" s="1" t="str">
        <f>HYPERLINK("http://www.uniprot.org/uniprot/Y1491_ARATH","Y1491_ARATH")</f>
        <v>Y1491_ARATH</v>
      </c>
      <c r="D15612" t="s">
        <v>310</v>
      </c>
      <c r="E15612" s="3" t="s">
        <v>3</v>
      </c>
      <c r="F15612" s="4">
        <v>1.1000000000000001E-44</v>
      </c>
      <c r="G15612" s="3">
        <v>432</v>
      </c>
      <c r="H15612" s="3">
        <v>37</v>
      </c>
      <c r="I15612" s="3">
        <v>289</v>
      </c>
      <c r="J15612" s="3">
        <v>94</v>
      </c>
      <c r="K15612" s="3">
        <v>945</v>
      </c>
      <c r="L15612" s="3">
        <v>202</v>
      </c>
      <c r="M15612" s="3">
        <v>475</v>
      </c>
    </row>
    <row r="15613" spans="1:13" x14ac:dyDescent="0.25">
      <c r="A15613" s="1" t="str">
        <f>HYPERLINK("http://www.rosaceae.org/Prunus/Prunus_persica/p.persica_gdr_reftransV1_0044899","p.persica_gdr_reftransV1_0044899")</f>
        <v>p.persica_gdr_reftransV1_0044899</v>
      </c>
      <c r="B15613" s="3">
        <v>501</v>
      </c>
      <c r="C15613" s="1" t="str">
        <f>HYPERLINK("http://www.uniprot.org/uniprot/FRS5_ARATH","FRS5_ARATH")</f>
        <v>FRS5_ARATH</v>
      </c>
      <c r="D15613" t="s">
        <v>908</v>
      </c>
      <c r="E15613" s="3" t="s">
        <v>3</v>
      </c>
      <c r="F15613" s="4">
        <v>2.0700000000000001E-10</v>
      </c>
      <c r="G15613" s="3">
        <v>151</v>
      </c>
      <c r="H15613" s="3">
        <v>26</v>
      </c>
      <c r="I15613" s="3">
        <v>170</v>
      </c>
      <c r="J15613" s="3">
        <v>2</v>
      </c>
      <c r="K15613" s="3">
        <v>499</v>
      </c>
      <c r="L15613" s="3">
        <v>81</v>
      </c>
      <c r="M15613" s="3">
        <v>249</v>
      </c>
    </row>
    <row r="15614" spans="1:13" x14ac:dyDescent="0.25">
      <c r="A15614" s="1" t="str">
        <f>HYPERLINK("http://www.rosaceae.org/Prunus/Prunus_persica/p.persica_gdr_reftransV1_0044999","p.persica_gdr_reftransV1_0044999")</f>
        <v>p.persica_gdr_reftransV1_0044999</v>
      </c>
      <c r="B15614" s="3">
        <v>3438</v>
      </c>
      <c r="C15614" s="1" t="str">
        <f>HYPERLINK("http://www.uniprot.org/uniprot/KIFC3_MOUSE","KIFC3_MOUSE")</f>
        <v>KIFC3_MOUSE</v>
      </c>
      <c r="D15614" t="s">
        <v>9980</v>
      </c>
      <c r="E15614" s="3" t="s">
        <v>157</v>
      </c>
      <c r="F15614" s="4">
        <v>2.92E-100</v>
      </c>
      <c r="G15614" s="3">
        <v>879</v>
      </c>
      <c r="H15614" s="3">
        <v>44</v>
      </c>
      <c r="I15614" s="3">
        <v>412</v>
      </c>
      <c r="J15614" s="3">
        <v>1073</v>
      </c>
      <c r="K15614" s="3">
        <v>2284</v>
      </c>
      <c r="L15614" s="3">
        <v>369</v>
      </c>
      <c r="M15614" s="3">
        <v>778</v>
      </c>
    </row>
    <row r="15615" spans="1:13" x14ac:dyDescent="0.25">
      <c r="A15615" s="1" t="str">
        <f>HYPERLINK("http://www.rosaceae.org/Prunus/Prunus_persica/p.persica_gdr_reftransV1_0045049","p.persica_gdr_reftransV1_0045049")</f>
        <v>p.persica_gdr_reftransV1_0045049</v>
      </c>
      <c r="B15615" s="3">
        <v>2288</v>
      </c>
      <c r="C15615" s="1" t="str">
        <f>HYPERLINK("http://www.uniprot.org/uniprot/SCP42_ARATH","SCP42_ARATH")</f>
        <v>SCP42_ARATH</v>
      </c>
      <c r="D15615" t="s">
        <v>9390</v>
      </c>
      <c r="E15615" s="3" t="s">
        <v>3</v>
      </c>
      <c r="F15615" s="4">
        <v>0</v>
      </c>
      <c r="G15615" s="3">
        <v>1937</v>
      </c>
      <c r="H15615" s="3">
        <v>80</v>
      </c>
      <c r="I15615" s="3">
        <v>447</v>
      </c>
      <c r="J15615" s="3">
        <v>631</v>
      </c>
      <c r="K15615" s="3">
        <v>1971</v>
      </c>
      <c r="L15615" s="3">
        <v>27</v>
      </c>
      <c r="M15615" s="3">
        <v>473</v>
      </c>
    </row>
    <row r="15616" spans="1:13" x14ac:dyDescent="0.25">
      <c r="A15616" s="1" t="str">
        <f>HYPERLINK("http://www.rosaceae.org/Prunus/Prunus_persica/p.persica_gdr_reftransV1_0045099","p.persica_gdr_reftransV1_0045099")</f>
        <v>p.persica_gdr_reftransV1_0045099</v>
      </c>
      <c r="B15616" s="3">
        <v>2548</v>
      </c>
      <c r="C15616" s="1" t="str">
        <f>HYPERLINK("http://www.uniprot.org/uniprot/SYTM1_ARATH","SYTM1_ARATH")</f>
        <v>SYTM1_ARATH</v>
      </c>
      <c r="D15616" t="s">
        <v>2342</v>
      </c>
      <c r="E15616" s="3" t="s">
        <v>3</v>
      </c>
      <c r="F15616" s="4">
        <v>0</v>
      </c>
      <c r="G15616" s="3">
        <v>2720</v>
      </c>
      <c r="H15616" s="3">
        <v>75</v>
      </c>
      <c r="I15616" s="3">
        <v>672</v>
      </c>
      <c r="J15616" s="3">
        <v>194</v>
      </c>
      <c r="K15616" s="3">
        <v>2209</v>
      </c>
      <c r="L15616" s="3">
        <v>38</v>
      </c>
      <c r="M15616" s="3">
        <v>708</v>
      </c>
    </row>
    <row r="15617" spans="1:13" x14ac:dyDescent="0.25">
      <c r="A15617" s="1" t="str">
        <f>HYPERLINK("http://www.rosaceae.org/Prunus/Prunus_persica/p.persica_gdr_reftransV1_0045149","p.persica_gdr_reftransV1_0045149")</f>
        <v>p.persica_gdr_reftransV1_0045149</v>
      </c>
      <c r="B15617" s="3">
        <v>537</v>
      </c>
      <c r="C15617" s="1" t="str">
        <f>HYPERLINK("http://www.uniprot.org/uniprot/MTDH_FRAAN","MTDH_FRAAN")</f>
        <v>MTDH_FRAAN</v>
      </c>
      <c r="D15617" t="s">
        <v>54</v>
      </c>
      <c r="E15617" s="3" t="s">
        <v>15</v>
      </c>
      <c r="F15617" s="4">
        <v>1.5300000000000001E-83</v>
      </c>
      <c r="G15617" s="3">
        <v>657</v>
      </c>
      <c r="H15617" s="3">
        <v>84</v>
      </c>
      <c r="I15617" s="3">
        <v>142</v>
      </c>
      <c r="J15617" s="3">
        <v>110</v>
      </c>
      <c r="K15617" s="3">
        <v>535</v>
      </c>
      <c r="L15617" s="3">
        <v>1</v>
      </c>
      <c r="M15617" s="3">
        <v>142</v>
      </c>
    </row>
    <row r="15618" spans="1:13" x14ac:dyDescent="0.25">
      <c r="A15618" s="1" t="str">
        <f>HYPERLINK("http://www.rosaceae.org/Prunus/Prunus_persica/p.persica_gdr_reftransV1_0045249","p.persica_gdr_reftransV1_0045249")</f>
        <v>p.persica_gdr_reftransV1_0045249</v>
      </c>
      <c r="B15618" s="3">
        <v>812</v>
      </c>
      <c r="C15618" s="1" t="str">
        <f>HYPERLINK("http://www.uniprot.org/uniprot/GNK2_GINBI","GNK2_GINBI")</f>
        <v>GNK2_GINBI</v>
      </c>
      <c r="D15618" t="s">
        <v>9981</v>
      </c>
      <c r="E15618" s="3" t="s">
        <v>3127</v>
      </c>
      <c r="F15618" s="4">
        <v>3.2000000000000001E-12</v>
      </c>
      <c r="G15618" s="3">
        <v>159</v>
      </c>
      <c r="H15618" s="3">
        <v>36</v>
      </c>
      <c r="I15618" s="3">
        <v>108</v>
      </c>
      <c r="J15618" s="3">
        <v>154</v>
      </c>
      <c r="K15618" s="3">
        <v>471</v>
      </c>
      <c r="L15618" s="3">
        <v>28</v>
      </c>
      <c r="M15618" s="3">
        <v>134</v>
      </c>
    </row>
    <row r="15619" spans="1:13" x14ac:dyDescent="0.25">
      <c r="A15619" s="1" t="str">
        <f>HYPERLINK("http://www.rosaceae.org/Prunus/Prunus_persica/p.persica_gdr_reftransV1_0045299","p.persica_gdr_reftransV1_0045299")</f>
        <v>p.persica_gdr_reftransV1_0045299</v>
      </c>
      <c r="B15619" s="3">
        <v>1349</v>
      </c>
      <c r="C15619" s="1" t="str">
        <f>HYPERLINK("http://www.uniprot.org/uniprot/PER72_ARATH","PER72_ARATH")</f>
        <v>PER72_ARATH</v>
      </c>
      <c r="D15619" t="s">
        <v>9982</v>
      </c>
      <c r="E15619" s="3" t="s">
        <v>3</v>
      </c>
      <c r="F15619" s="4">
        <v>9.3699999999999996E-169</v>
      </c>
      <c r="G15619" s="3">
        <v>1248</v>
      </c>
      <c r="H15619" s="3">
        <v>76</v>
      </c>
      <c r="I15619" s="3">
        <v>315</v>
      </c>
      <c r="J15619" s="3">
        <v>168</v>
      </c>
      <c r="K15619" s="3">
        <v>1106</v>
      </c>
      <c r="L15619" s="3">
        <v>19</v>
      </c>
      <c r="M15619" s="3">
        <v>333</v>
      </c>
    </row>
    <row r="15620" spans="1:13" x14ac:dyDescent="0.25">
      <c r="A15620" s="1" t="str">
        <f>HYPERLINK("http://www.rosaceae.org/Prunus/Prunus_persica/p.persica_gdr_reftransV1_0045349","p.persica_gdr_reftransV1_0045349")</f>
        <v>p.persica_gdr_reftransV1_0045349</v>
      </c>
      <c r="B15620" s="3">
        <v>399</v>
      </c>
      <c r="C15620" s="1" t="str">
        <f>HYPERLINK("http://www.uniprot.org/uniprot/SMG7_ARATH","SMG7_ARATH")</f>
        <v>SMG7_ARATH</v>
      </c>
      <c r="D15620" t="s">
        <v>8944</v>
      </c>
      <c r="E15620" s="3" t="s">
        <v>3</v>
      </c>
      <c r="F15620" s="4">
        <v>3.9799999999999998E-42</v>
      </c>
      <c r="G15620" s="3">
        <v>387</v>
      </c>
      <c r="H15620" s="3">
        <v>73</v>
      </c>
      <c r="I15620" s="3">
        <v>114</v>
      </c>
      <c r="J15620" s="3">
        <v>2</v>
      </c>
      <c r="K15620" s="3">
        <v>343</v>
      </c>
      <c r="L15620" s="3">
        <v>149</v>
      </c>
      <c r="M15620" s="3">
        <v>262</v>
      </c>
    </row>
    <row r="15621" spans="1:13" x14ac:dyDescent="0.25">
      <c r="A15621" s="1" t="str">
        <f>HYPERLINK("http://www.rosaceae.org/Prunus/Prunus_persica/p.persica_gdr_reftransV1_0045399","p.persica_gdr_reftransV1_0045399")</f>
        <v>p.persica_gdr_reftransV1_0045399</v>
      </c>
      <c r="B15621" s="3">
        <v>1591</v>
      </c>
      <c r="C15621" s="1" t="str">
        <f>HYPERLINK("http://www.uniprot.org/uniprot/STR1_ARATH","STR1_ARATH")</f>
        <v>STR1_ARATH</v>
      </c>
      <c r="D15621" t="s">
        <v>633</v>
      </c>
      <c r="E15621" s="3" t="s">
        <v>3</v>
      </c>
      <c r="F15621" s="4">
        <v>0</v>
      </c>
      <c r="G15621" s="3">
        <v>1477</v>
      </c>
      <c r="H15621" s="3">
        <v>72</v>
      </c>
      <c r="I15621" s="3">
        <v>378</v>
      </c>
      <c r="J15621" s="3">
        <v>318</v>
      </c>
      <c r="K15621" s="3">
        <v>1448</v>
      </c>
      <c r="L15621" s="3">
        <v>1</v>
      </c>
      <c r="M15621" s="3">
        <v>374</v>
      </c>
    </row>
    <row r="15622" spans="1:13" x14ac:dyDescent="0.25">
      <c r="A15622" s="1" t="str">
        <f>HYPERLINK("http://www.rosaceae.org/Prunus/Prunus_persica/p.persica_gdr_reftransV1_0045449","p.persica_gdr_reftransV1_0045449")</f>
        <v>p.persica_gdr_reftransV1_0045449</v>
      </c>
      <c r="B15622" s="3">
        <v>992</v>
      </c>
      <c r="C15622" s="1" t="str">
        <f>HYPERLINK("http://www.uniprot.org/uniprot/Y4449_ARATH","Y4449_ARATH")</f>
        <v>Y4449_ARATH</v>
      </c>
      <c r="D15622" t="s">
        <v>1311</v>
      </c>
      <c r="E15622" s="3" t="s">
        <v>3</v>
      </c>
      <c r="F15622" s="4">
        <v>1.8499999999999999E-35</v>
      </c>
      <c r="G15622" s="3">
        <v>345</v>
      </c>
      <c r="H15622" s="3">
        <v>61</v>
      </c>
      <c r="I15622" s="3">
        <v>100</v>
      </c>
      <c r="J15622" s="3">
        <v>53</v>
      </c>
      <c r="K15622" s="3">
        <v>352</v>
      </c>
      <c r="L15622" s="3">
        <v>5</v>
      </c>
      <c r="M15622" s="3">
        <v>104</v>
      </c>
    </row>
    <row r="15623" spans="1:13" x14ac:dyDescent="0.25">
      <c r="A15623" s="1" t="str">
        <f>HYPERLINK("http://www.rosaceae.org/Prunus/Prunus_persica/p.persica_gdr_reftransV1_0045549","p.persica_gdr_reftransV1_0045549")</f>
        <v>p.persica_gdr_reftransV1_0045549</v>
      </c>
      <c r="B15623" s="3">
        <v>1728</v>
      </c>
      <c r="C15623" s="1" t="str">
        <f>HYPERLINK("http://www.uniprot.org/uniprot/P2C27_ORYSJ","P2C27_ORYSJ")</f>
        <v>P2C27_ORYSJ</v>
      </c>
      <c r="D15623" t="s">
        <v>9983</v>
      </c>
      <c r="E15623" s="3" t="s">
        <v>38</v>
      </c>
      <c r="F15623" s="4">
        <v>1.1299999999999999E-138</v>
      </c>
      <c r="G15623" s="3">
        <v>1063</v>
      </c>
      <c r="H15623" s="3">
        <v>64</v>
      </c>
      <c r="I15623" s="3">
        <v>332</v>
      </c>
      <c r="J15623" s="3">
        <v>437</v>
      </c>
      <c r="K15623" s="3">
        <v>1360</v>
      </c>
      <c r="L15623" s="3">
        <v>21</v>
      </c>
      <c r="M15623" s="3">
        <v>352</v>
      </c>
    </row>
    <row r="15624" spans="1:13" x14ac:dyDescent="0.25">
      <c r="A15624" s="1" t="str">
        <f>HYPERLINK("http://www.rosaceae.org/Prunus/Prunus_persica/p.persica_gdr_reftransV1_0045599","p.persica_gdr_reftransV1_0045599")</f>
        <v>p.persica_gdr_reftransV1_0045599</v>
      </c>
      <c r="B15624" s="3">
        <v>1887</v>
      </c>
      <c r="C15624" s="1" t="str">
        <f>HYPERLINK("http://www.uniprot.org/uniprot/LAX5_MEDTR","LAX5_MEDTR")</f>
        <v>LAX5_MEDTR</v>
      </c>
      <c r="D15624" t="s">
        <v>9984</v>
      </c>
      <c r="E15624" s="3" t="s">
        <v>91</v>
      </c>
      <c r="F15624" s="4">
        <v>0</v>
      </c>
      <c r="G15624" s="3">
        <v>2085</v>
      </c>
      <c r="H15624" s="3">
        <v>89</v>
      </c>
      <c r="I15624" s="3">
        <v>463</v>
      </c>
      <c r="J15624" s="3">
        <v>112</v>
      </c>
      <c r="K15624" s="3">
        <v>1497</v>
      </c>
      <c r="L15624" s="3">
        <v>1</v>
      </c>
      <c r="M15624" s="3">
        <v>463</v>
      </c>
    </row>
    <row r="15625" spans="1:13" x14ac:dyDescent="0.25">
      <c r="A15625" s="1" t="str">
        <f>HYPERLINK("http://www.rosaceae.org/Prunus/Prunus_persica/p.persica_gdr_reftransV1_0045649","p.persica_gdr_reftransV1_0045649")</f>
        <v>p.persica_gdr_reftransV1_0045649</v>
      </c>
      <c r="B15625" s="3">
        <v>2476</v>
      </c>
      <c r="C15625" s="1" t="str">
        <f>HYPERLINK("http://www.uniprot.org/uniprot/D6KL2_ARATH","D6KL2_ARATH")</f>
        <v>D6KL2_ARATH</v>
      </c>
      <c r="D15625" t="s">
        <v>1171</v>
      </c>
      <c r="E15625" s="3" t="s">
        <v>3</v>
      </c>
      <c r="F15625" s="4">
        <v>0</v>
      </c>
      <c r="G15625" s="3">
        <v>2153</v>
      </c>
      <c r="H15625" s="3">
        <v>79</v>
      </c>
      <c r="I15625" s="3">
        <v>577</v>
      </c>
      <c r="J15625" s="3">
        <v>265</v>
      </c>
      <c r="K15625" s="3">
        <v>1995</v>
      </c>
      <c r="L15625" s="3">
        <v>30</v>
      </c>
      <c r="M15625" s="3">
        <v>586</v>
      </c>
    </row>
    <row r="15626" spans="1:13" x14ac:dyDescent="0.25">
      <c r="A15626" s="1" t="str">
        <f>HYPERLINK("http://www.rosaceae.org/Prunus/Prunus_persica/p.persica_gdr_reftransV1_0045699","p.persica_gdr_reftransV1_0045699")</f>
        <v>p.persica_gdr_reftransV1_0045699</v>
      </c>
      <c r="B15626" s="3">
        <v>2920</v>
      </c>
      <c r="C15626" s="1" t="str">
        <f>HYPERLINK("http://www.uniprot.org/uniprot/KIF19_XENLA","KIF19_XENLA")</f>
        <v>KIF19_XENLA</v>
      </c>
      <c r="D15626" t="s">
        <v>3013</v>
      </c>
      <c r="E15626" s="3" t="s">
        <v>475</v>
      </c>
      <c r="F15626" s="4">
        <v>2.5700000000000001E-89</v>
      </c>
      <c r="G15626" s="3">
        <v>801</v>
      </c>
      <c r="H15626" s="3">
        <v>45</v>
      </c>
      <c r="I15626" s="3">
        <v>385</v>
      </c>
      <c r="J15626" s="3">
        <v>1054</v>
      </c>
      <c r="K15626" s="3">
        <v>2193</v>
      </c>
      <c r="L15626" s="3">
        <v>4</v>
      </c>
      <c r="M15626" s="3">
        <v>385</v>
      </c>
    </row>
    <row r="15627" spans="1:13" x14ac:dyDescent="0.25">
      <c r="A15627" s="1" t="str">
        <f>HYPERLINK("http://www.rosaceae.org/Prunus/Prunus_persica/p.persica_gdr_reftransV1_0045899","p.persica_gdr_reftransV1_0045899")</f>
        <v>p.persica_gdr_reftransV1_0045899</v>
      </c>
      <c r="B15627" s="3">
        <v>386</v>
      </c>
      <c r="C15627" s="1" t="str">
        <f>HYPERLINK("http://www.uniprot.org/uniprot/MYBC_MAIZE","MYBC_MAIZE")</f>
        <v>MYBC_MAIZE</v>
      </c>
      <c r="D15627" t="s">
        <v>2070</v>
      </c>
      <c r="E15627" s="3" t="s">
        <v>72</v>
      </c>
      <c r="F15627" s="4">
        <v>2.6299999999999999E-39</v>
      </c>
      <c r="G15627" s="3">
        <v>348</v>
      </c>
      <c r="H15627" s="3">
        <v>64</v>
      </c>
      <c r="I15627" s="3">
        <v>92</v>
      </c>
      <c r="J15627" s="3">
        <v>67</v>
      </c>
      <c r="K15627" s="3">
        <v>342</v>
      </c>
      <c r="L15627" s="3">
        <v>1</v>
      </c>
      <c r="M15627" s="3">
        <v>92</v>
      </c>
    </row>
    <row r="15628" spans="1:13" x14ac:dyDescent="0.25">
      <c r="A15628" s="1" t="str">
        <f>HYPERLINK("http://www.rosaceae.org/Prunus/Prunus_persica/p.persica_gdr_reftransV1_0046099","p.persica_gdr_reftransV1_0046099")</f>
        <v>p.persica_gdr_reftransV1_0046099</v>
      </c>
      <c r="B15628" s="3">
        <v>1501</v>
      </c>
      <c r="C15628" s="1" t="str">
        <f>HYPERLINK("http://www.uniprot.org/uniprot/B3GTE_ARATH","B3GTE_ARATH")</f>
        <v>B3GTE_ARATH</v>
      </c>
      <c r="D15628" t="s">
        <v>2812</v>
      </c>
      <c r="E15628" s="3" t="s">
        <v>3</v>
      </c>
      <c r="F15628" s="4">
        <v>5.8499999999999997E-155</v>
      </c>
      <c r="G15628" s="3">
        <v>1163</v>
      </c>
      <c r="H15628" s="3">
        <v>69</v>
      </c>
      <c r="I15628" s="3">
        <v>355</v>
      </c>
      <c r="J15628" s="3">
        <v>286</v>
      </c>
      <c r="K15628" s="3">
        <v>1338</v>
      </c>
      <c r="L15628" s="3">
        <v>1</v>
      </c>
      <c r="M15628" s="3">
        <v>344</v>
      </c>
    </row>
    <row r="15629" spans="1:13" x14ac:dyDescent="0.25">
      <c r="A15629" s="1" t="str">
        <f>HYPERLINK("http://www.rosaceae.org/Prunus/Prunus_persica/p.persica_gdr_reftransV1_0046199","p.persica_gdr_reftransV1_0046199")</f>
        <v>p.persica_gdr_reftransV1_0046199</v>
      </c>
      <c r="B15629" s="3">
        <v>417</v>
      </c>
      <c r="C15629" s="1" t="str">
        <f>HYPERLINK("http://www.uniprot.org/uniprot/RSSA_SOYBN","RSSA_SOYBN")</f>
        <v>RSSA_SOYBN</v>
      </c>
      <c r="D15629" t="s">
        <v>7248</v>
      </c>
      <c r="E15629" s="3" t="s">
        <v>307</v>
      </c>
      <c r="F15629" s="4">
        <v>1.6400000000000001E-57</v>
      </c>
      <c r="G15629" s="3">
        <v>475</v>
      </c>
      <c r="H15629" s="3">
        <v>93</v>
      </c>
      <c r="I15629" s="3">
        <v>92</v>
      </c>
      <c r="J15629" s="3">
        <v>39</v>
      </c>
      <c r="K15629" s="3">
        <v>314</v>
      </c>
      <c r="L15629" s="3">
        <v>11</v>
      </c>
      <c r="M15629" s="3">
        <v>102</v>
      </c>
    </row>
    <row r="15630" spans="1:13" x14ac:dyDescent="0.25">
      <c r="A15630" s="1" t="str">
        <f>HYPERLINK("http://www.rosaceae.org/Prunus/Prunus_persica/p.persica_gdr_reftransV1_0046249","p.persica_gdr_reftransV1_0046249")</f>
        <v>p.persica_gdr_reftransV1_0046249</v>
      </c>
      <c r="B15630" s="3">
        <v>1251</v>
      </c>
      <c r="C15630" s="1" t="str">
        <f>HYPERLINK("http://www.uniprot.org/uniprot/SQD1_SPIOL","SQD1_SPIOL")</f>
        <v>SQD1_SPIOL</v>
      </c>
      <c r="D15630" t="s">
        <v>556</v>
      </c>
      <c r="E15630" s="3" t="s">
        <v>131</v>
      </c>
      <c r="F15630" s="4">
        <v>0</v>
      </c>
      <c r="G15630" s="3">
        <v>1451</v>
      </c>
      <c r="H15630" s="3">
        <v>75</v>
      </c>
      <c r="I15630" s="3">
        <v>358</v>
      </c>
      <c r="J15630" s="3">
        <v>40</v>
      </c>
      <c r="K15630" s="3">
        <v>1113</v>
      </c>
      <c r="L15630" s="3">
        <v>1</v>
      </c>
      <c r="M15630" s="3">
        <v>358</v>
      </c>
    </row>
    <row r="15631" spans="1:13" x14ac:dyDescent="0.25">
      <c r="A15631" s="1" t="str">
        <f>HYPERLINK("http://www.rosaceae.org/Prunus/Prunus_persica/p.persica_gdr_reftransV1_0046299","p.persica_gdr_reftransV1_0046299")</f>
        <v>p.persica_gdr_reftransV1_0046299</v>
      </c>
      <c r="B15631" s="3">
        <v>954</v>
      </c>
      <c r="C15631" s="1" t="str">
        <f>HYPERLINK("http://www.uniprot.org/uniprot/HSFB4_ARATH","HSFB4_ARATH")</f>
        <v>HSFB4_ARATH</v>
      </c>
      <c r="D15631" t="s">
        <v>1451</v>
      </c>
      <c r="E15631" s="3" t="s">
        <v>3</v>
      </c>
      <c r="F15631" s="4">
        <v>4.8600000000000002E-65</v>
      </c>
      <c r="G15631" s="3">
        <v>546</v>
      </c>
      <c r="H15631" s="3">
        <v>79</v>
      </c>
      <c r="I15631" s="3">
        <v>128</v>
      </c>
      <c r="J15631" s="3">
        <v>520</v>
      </c>
      <c r="K15631" s="3">
        <v>873</v>
      </c>
      <c r="L15631" s="3">
        <v>1</v>
      </c>
      <c r="M15631" s="3">
        <v>128</v>
      </c>
    </row>
    <row r="15632" spans="1:13" x14ac:dyDescent="0.25">
      <c r="A15632" s="1" t="str">
        <f>HYPERLINK("http://www.rosaceae.org/Prunus/Prunus_persica/p.persica_gdr_reftransV1_0046499","p.persica_gdr_reftransV1_0046499")</f>
        <v>p.persica_gdr_reftransV1_0046499</v>
      </c>
      <c r="B15632" s="3">
        <v>749</v>
      </c>
      <c r="C15632" s="1" t="str">
        <f>HYPERLINK("http://www.uniprot.org/uniprot/RL222_ARATH","RL222_ARATH")</f>
        <v>RL222_ARATH</v>
      </c>
      <c r="D15632" t="s">
        <v>9832</v>
      </c>
      <c r="E15632" s="3" t="s">
        <v>3</v>
      </c>
      <c r="F15632" s="4">
        <v>3.97E-47</v>
      </c>
      <c r="G15632" s="3">
        <v>401</v>
      </c>
      <c r="H15632" s="3">
        <v>87</v>
      </c>
      <c r="I15632" s="3">
        <v>115</v>
      </c>
      <c r="J15632" s="3">
        <v>112</v>
      </c>
      <c r="K15632" s="3">
        <v>456</v>
      </c>
      <c r="L15632" s="3">
        <v>1</v>
      </c>
      <c r="M15632" s="3">
        <v>115</v>
      </c>
    </row>
    <row r="15633" spans="1:13" x14ac:dyDescent="0.25">
      <c r="A15633" s="1" t="str">
        <f>HYPERLINK("http://www.rosaceae.org/Prunus/Prunus_persica/p.persica_gdr_reftransV1_0046549","p.persica_gdr_reftransV1_0046549")</f>
        <v>p.persica_gdr_reftransV1_0046549</v>
      </c>
      <c r="B15633" s="3">
        <v>392</v>
      </c>
      <c r="C15633" s="1" t="str">
        <f>HYPERLINK("http://www.uniprot.org/uniprot/SLD1_BOROF","SLD1_BOROF")</f>
        <v>SLD1_BOROF</v>
      </c>
      <c r="D15633" t="s">
        <v>6807</v>
      </c>
      <c r="E15633" s="3" t="s">
        <v>6808</v>
      </c>
      <c r="F15633" s="4">
        <v>3.7599999999999998E-74</v>
      </c>
      <c r="G15633" s="3">
        <v>595</v>
      </c>
      <c r="H15633" s="3">
        <v>79</v>
      </c>
      <c r="I15633" s="3">
        <v>130</v>
      </c>
      <c r="J15633" s="3">
        <v>1</v>
      </c>
      <c r="K15633" s="3">
        <v>390</v>
      </c>
      <c r="L15633" s="3">
        <v>283</v>
      </c>
      <c r="M15633" s="3">
        <v>412</v>
      </c>
    </row>
    <row r="15634" spans="1:13" x14ac:dyDescent="0.25">
      <c r="A15634" s="1" t="str">
        <f>HYPERLINK("http://www.rosaceae.org/Prunus/Prunus_persica/p.persica_gdr_reftransV1_0046749","p.persica_gdr_reftransV1_0046749")</f>
        <v>p.persica_gdr_reftransV1_0046749</v>
      </c>
      <c r="B15634" s="3">
        <v>723</v>
      </c>
      <c r="C15634" s="1" t="str">
        <f>HYPERLINK("http://www.uniprot.org/uniprot/UPTG_PEA","UPTG_PEA")</f>
        <v>UPTG_PEA</v>
      </c>
      <c r="D15634" t="s">
        <v>6725</v>
      </c>
      <c r="E15634" s="3" t="s">
        <v>60</v>
      </c>
      <c r="F15634" s="4">
        <v>1.8700000000000001E-81</v>
      </c>
      <c r="G15634" s="3">
        <v>650</v>
      </c>
      <c r="H15634" s="3">
        <v>88</v>
      </c>
      <c r="I15634" s="3">
        <v>130</v>
      </c>
      <c r="J15634" s="3">
        <v>334</v>
      </c>
      <c r="K15634" s="3">
        <v>723</v>
      </c>
      <c r="L15634" s="3">
        <v>218</v>
      </c>
      <c r="M15634" s="3">
        <v>347</v>
      </c>
    </row>
    <row r="15635" spans="1:13" x14ac:dyDescent="0.25">
      <c r="A15635" s="1" t="str">
        <f>HYPERLINK("http://www.rosaceae.org/Prunus/Prunus_persica/p.persica_gdr_reftransV1_0046799","p.persica_gdr_reftransV1_0046799")</f>
        <v>p.persica_gdr_reftransV1_0046799</v>
      </c>
      <c r="B15635" s="3">
        <v>1436</v>
      </c>
      <c r="C15635" s="1" t="str">
        <f>HYPERLINK("http://www.uniprot.org/uniprot/P4KG7_ARATH","P4KG7_ARATH")</f>
        <v>P4KG7_ARATH</v>
      </c>
      <c r="D15635" t="s">
        <v>8117</v>
      </c>
      <c r="E15635" s="3" t="s">
        <v>3</v>
      </c>
      <c r="F15635" s="4">
        <v>6.3900000000000002E-169</v>
      </c>
      <c r="G15635" s="3">
        <v>1282</v>
      </c>
      <c r="H15635" s="3">
        <v>74</v>
      </c>
      <c r="I15635" s="3">
        <v>331</v>
      </c>
      <c r="J15635" s="3">
        <v>464</v>
      </c>
      <c r="K15635" s="3">
        <v>1435</v>
      </c>
      <c r="L15635" s="3">
        <v>1</v>
      </c>
      <c r="M15635" s="3">
        <v>330</v>
      </c>
    </row>
    <row r="15636" spans="1:13" x14ac:dyDescent="0.25">
      <c r="A15636" s="1" t="str">
        <f>HYPERLINK("http://www.rosaceae.org/Prunus/Prunus_persica/p.persica_gdr_reftransV1_0046849","p.persica_gdr_reftransV1_0046849")</f>
        <v>p.persica_gdr_reftransV1_0046849</v>
      </c>
      <c r="B15636" s="3">
        <v>1180</v>
      </c>
      <c r="C15636" s="1" t="str">
        <f>HYPERLINK("http://www.uniprot.org/uniprot/EIF3I_ARATH","EIF3I_ARATH")</f>
        <v>EIF3I_ARATH</v>
      </c>
      <c r="D15636" t="s">
        <v>9843</v>
      </c>
      <c r="E15636" s="3" t="s">
        <v>3</v>
      </c>
      <c r="F15636" s="4">
        <v>7.12E-122</v>
      </c>
      <c r="G15636" s="3">
        <v>674</v>
      </c>
      <c r="H15636" s="3">
        <v>74</v>
      </c>
      <c r="I15636" s="3">
        <v>167</v>
      </c>
      <c r="J15636" s="3">
        <v>686</v>
      </c>
      <c r="K15636" s="3">
        <v>1180</v>
      </c>
      <c r="L15636" s="3">
        <v>38</v>
      </c>
      <c r="M15636" s="3">
        <v>204</v>
      </c>
    </row>
    <row r="15637" spans="1:13" x14ac:dyDescent="0.25">
      <c r="A15637" s="1" t="str">
        <f>HYPERLINK("http://www.rosaceae.org/Prunus/Prunus_persica/p.persica_gdr_reftransV1_0046899","p.persica_gdr_reftransV1_0046899")</f>
        <v>p.persica_gdr_reftransV1_0046899</v>
      </c>
      <c r="B15637" s="3">
        <v>2246</v>
      </c>
      <c r="C15637" s="1" t="str">
        <f>HYPERLINK("http://www.uniprot.org/uniprot/G6PDC_SOLTU","G6PDC_SOLTU")</f>
        <v>G6PDC_SOLTU</v>
      </c>
      <c r="D15637" t="s">
        <v>2891</v>
      </c>
      <c r="E15637" s="3" t="s">
        <v>11</v>
      </c>
      <c r="F15637" s="4">
        <v>0</v>
      </c>
      <c r="G15637" s="3">
        <v>2404</v>
      </c>
      <c r="H15637" s="3">
        <v>79</v>
      </c>
      <c r="I15637" s="3">
        <v>577</v>
      </c>
      <c r="J15637" s="3">
        <v>393</v>
      </c>
      <c r="K15637" s="3">
        <v>2123</v>
      </c>
      <c r="L15637" s="3">
        <v>24</v>
      </c>
      <c r="M15637" s="3">
        <v>577</v>
      </c>
    </row>
    <row r="15638" spans="1:13" x14ac:dyDescent="0.25">
      <c r="A15638" s="1" t="str">
        <f>HYPERLINK("http://www.rosaceae.org/Prunus/Prunus_persica/p.persica_gdr_reftransV1_0046949","p.persica_gdr_reftransV1_0046949")</f>
        <v>p.persica_gdr_reftransV1_0046949</v>
      </c>
      <c r="B15638" s="3">
        <v>1652</v>
      </c>
      <c r="C15638" s="1" t="str">
        <f>HYPERLINK("http://www.uniprot.org/uniprot/SR542_SOLLC","SR542_SOLLC")</f>
        <v>SR542_SOLLC</v>
      </c>
      <c r="D15638" t="s">
        <v>3623</v>
      </c>
      <c r="E15638" s="3" t="s">
        <v>64</v>
      </c>
      <c r="F15638" s="4">
        <v>0</v>
      </c>
      <c r="G15638" s="3">
        <v>1477</v>
      </c>
      <c r="H15638" s="3">
        <v>94</v>
      </c>
      <c r="I15638" s="3">
        <v>309</v>
      </c>
      <c r="J15638" s="3">
        <v>293</v>
      </c>
      <c r="K15638" s="3">
        <v>1219</v>
      </c>
      <c r="L15638" s="3">
        <v>171</v>
      </c>
      <c r="M15638" s="3">
        <v>479</v>
      </c>
    </row>
    <row r="15639" spans="1:13" x14ac:dyDescent="0.25">
      <c r="A15639" s="1" t="str">
        <f>HYPERLINK("http://www.rosaceae.org/Prunus/Prunus_persica/p.persica_gdr_reftransV1_0047049","p.persica_gdr_reftransV1_0047049")</f>
        <v>p.persica_gdr_reftransV1_0047049</v>
      </c>
      <c r="B15639" s="3">
        <v>765</v>
      </c>
      <c r="C15639" s="1" t="str">
        <f>HYPERLINK("http://www.uniprot.org/uniprot/DNJ10_ARATH","DNJ10_ARATH")</f>
        <v>DNJ10_ARATH</v>
      </c>
      <c r="D15639" t="s">
        <v>1099</v>
      </c>
      <c r="E15639" s="3" t="s">
        <v>3</v>
      </c>
      <c r="F15639" s="4">
        <v>4.4E-85</v>
      </c>
      <c r="G15639" s="3">
        <v>678</v>
      </c>
      <c r="H15639" s="3">
        <v>60</v>
      </c>
      <c r="I15639" s="3">
        <v>217</v>
      </c>
      <c r="J15639" s="3">
        <v>11</v>
      </c>
      <c r="K15639" s="3">
        <v>661</v>
      </c>
      <c r="L15639" s="3">
        <v>1</v>
      </c>
      <c r="M15639" s="3">
        <v>214</v>
      </c>
    </row>
    <row r="15640" spans="1:13" x14ac:dyDescent="0.25">
      <c r="A15640" s="1" t="str">
        <f>HYPERLINK("http://www.rosaceae.org/Prunus/Prunus_persica/p.persica_gdr_reftransV1_0047199","p.persica_gdr_reftransV1_0047199")</f>
        <v>p.persica_gdr_reftransV1_0047199</v>
      </c>
      <c r="B15640" s="3">
        <v>1460</v>
      </c>
      <c r="C15640" s="1" t="str">
        <f>HYPERLINK("http://www.uniprot.org/uniprot/EF2KT_HUMAN","EF2KT_HUMAN")</f>
        <v>EF2KT_HUMAN</v>
      </c>
      <c r="D15640" t="s">
        <v>9985</v>
      </c>
      <c r="E15640" s="3" t="s">
        <v>28</v>
      </c>
      <c r="F15640" s="4">
        <v>8.0700000000000007E-21</v>
      </c>
      <c r="G15640" s="3">
        <v>240</v>
      </c>
      <c r="H15640" s="3">
        <v>28</v>
      </c>
      <c r="I15640" s="3">
        <v>225</v>
      </c>
      <c r="J15640" s="3">
        <v>245</v>
      </c>
      <c r="K15640" s="3">
        <v>907</v>
      </c>
      <c r="L15640" s="3">
        <v>63</v>
      </c>
      <c r="M15640" s="3">
        <v>266</v>
      </c>
    </row>
    <row r="15641" spans="1:13" x14ac:dyDescent="0.25">
      <c r="A15641" s="1" t="str">
        <f>HYPERLINK("http://www.rosaceae.org/Prunus/Prunus_persica/p.persica_gdr_reftransV1_0047249","p.persica_gdr_reftransV1_0047249")</f>
        <v>p.persica_gdr_reftransV1_0047249</v>
      </c>
      <c r="B15641" s="3">
        <v>1821</v>
      </c>
      <c r="C15641" s="1" t="str">
        <f>HYPERLINK("http://www.uniprot.org/uniprot/PCNB_SALTI","PCNB_SALTI")</f>
        <v>PCNB_SALTI</v>
      </c>
      <c r="D15641" t="s">
        <v>9909</v>
      </c>
      <c r="E15641" s="3" t="s">
        <v>9910</v>
      </c>
      <c r="F15641" s="4">
        <v>4.0499999999999998E-28</v>
      </c>
      <c r="G15641" s="3">
        <v>303</v>
      </c>
      <c r="H15641" s="3">
        <v>33</v>
      </c>
      <c r="I15641" s="3">
        <v>270</v>
      </c>
      <c r="J15641" s="3">
        <v>781</v>
      </c>
      <c r="K15641" s="3">
        <v>1563</v>
      </c>
      <c r="L15641" s="3">
        <v>24</v>
      </c>
      <c r="M15641" s="3">
        <v>287</v>
      </c>
    </row>
    <row r="15642" spans="1:13" x14ac:dyDescent="0.25">
      <c r="A15642" s="1" t="str">
        <f>HYPERLINK("http://www.rosaceae.org/Prunus/Prunus_persica/p.persica_gdr_reftransV1_0047349","p.persica_gdr_reftransV1_0047349")</f>
        <v>p.persica_gdr_reftransV1_0047349</v>
      </c>
      <c r="B15642" s="3">
        <v>1528</v>
      </c>
      <c r="C15642" s="1" t="str">
        <f>HYPERLINK("http://www.uniprot.org/uniprot/LONM_ORYSJ","LONM_ORYSJ")</f>
        <v>LONM_ORYSJ</v>
      </c>
      <c r="D15642" t="s">
        <v>9986</v>
      </c>
      <c r="E15642" s="3" t="s">
        <v>38</v>
      </c>
      <c r="F15642" s="4">
        <v>2.1599999999999999E-161</v>
      </c>
      <c r="G15642" s="3">
        <v>1264</v>
      </c>
      <c r="H15642" s="3">
        <v>66</v>
      </c>
      <c r="I15642" s="3">
        <v>389</v>
      </c>
      <c r="J15642" s="3">
        <v>3</v>
      </c>
      <c r="K15642" s="3">
        <v>1148</v>
      </c>
      <c r="L15642" s="3">
        <v>625</v>
      </c>
      <c r="M15642" s="3">
        <v>996</v>
      </c>
    </row>
    <row r="15643" spans="1:13" x14ac:dyDescent="0.25">
      <c r="A15643" s="1" t="str">
        <f>HYPERLINK("http://www.rosaceae.org/Prunus/Prunus_persica/p.persica_gdr_reftransV1_0047399","p.persica_gdr_reftransV1_0047399")</f>
        <v>p.persica_gdr_reftransV1_0047399</v>
      </c>
      <c r="B15643" s="3">
        <v>1559</v>
      </c>
      <c r="C15643" s="1" t="str">
        <f>HYPERLINK("http://www.uniprot.org/uniprot/RGLG2_ARATH","RGLG2_ARATH")</f>
        <v>RGLG2_ARATH</v>
      </c>
      <c r="D15643" t="s">
        <v>3345</v>
      </c>
      <c r="E15643" s="3" t="s">
        <v>3</v>
      </c>
      <c r="F15643" s="4">
        <v>1.7000000000000001E-144</v>
      </c>
      <c r="G15643" s="3">
        <v>1107</v>
      </c>
      <c r="H15643" s="3">
        <v>60</v>
      </c>
      <c r="I15643" s="3">
        <v>350</v>
      </c>
      <c r="J15643" s="3">
        <v>314</v>
      </c>
      <c r="K15643" s="3">
        <v>1297</v>
      </c>
      <c r="L15643" s="3">
        <v>96</v>
      </c>
      <c r="M15643" s="3">
        <v>445</v>
      </c>
    </row>
    <row r="15644" spans="1:13" x14ac:dyDescent="0.25">
      <c r="A15644" s="1" t="str">
        <f>HYPERLINK("http://www.rosaceae.org/Prunus/Prunus_persica/p.persica_gdr_reftransV1_0047499","p.persica_gdr_reftransV1_0047499")</f>
        <v>p.persica_gdr_reftransV1_0047499</v>
      </c>
      <c r="B15644" s="3">
        <v>1475</v>
      </c>
      <c r="C15644" s="1" t="str">
        <f>HYPERLINK("http://www.uniprot.org/uniprot/PUMP5_ARATH","PUMP5_ARATH")</f>
        <v>PUMP5_ARATH</v>
      </c>
      <c r="D15644" t="s">
        <v>1747</v>
      </c>
      <c r="E15644" s="3" t="s">
        <v>3</v>
      </c>
      <c r="F15644" s="4">
        <v>1.8600000000000001E-137</v>
      </c>
      <c r="G15644" s="3">
        <v>1043</v>
      </c>
      <c r="H15644" s="3">
        <v>70</v>
      </c>
      <c r="I15644" s="3">
        <v>328</v>
      </c>
      <c r="J15644" s="3">
        <v>146</v>
      </c>
      <c r="K15644" s="3">
        <v>1129</v>
      </c>
      <c r="L15644" s="3">
        <v>1</v>
      </c>
      <c r="M15644" s="3">
        <v>311</v>
      </c>
    </row>
    <row r="15645" spans="1:13" x14ac:dyDescent="0.25">
      <c r="A15645" s="1" t="str">
        <f>HYPERLINK("http://www.rosaceae.org/Prunus/Prunus_persica/p.persica_gdr_reftransV1_0047549","p.persica_gdr_reftransV1_0047549")</f>
        <v>p.persica_gdr_reftransV1_0047549</v>
      </c>
      <c r="B15645" s="3">
        <v>2067</v>
      </c>
      <c r="C15645" s="1" t="str">
        <f>HYPERLINK("http://www.uniprot.org/uniprot/AGM1_ARATH","AGM1_ARATH")</f>
        <v>AGM1_ARATH</v>
      </c>
      <c r="D15645" t="s">
        <v>9987</v>
      </c>
      <c r="E15645" s="3" t="s">
        <v>3</v>
      </c>
      <c r="F15645" s="4">
        <v>0</v>
      </c>
      <c r="G15645" s="3">
        <v>1898</v>
      </c>
      <c r="H15645" s="3">
        <v>68</v>
      </c>
      <c r="I15645" s="3">
        <v>540</v>
      </c>
      <c r="J15645" s="3">
        <v>237</v>
      </c>
      <c r="K15645" s="3">
        <v>1847</v>
      </c>
      <c r="L15645" s="3">
        <v>20</v>
      </c>
      <c r="M15645" s="3">
        <v>554</v>
      </c>
    </row>
    <row r="15646" spans="1:13" x14ac:dyDescent="0.25">
      <c r="A15646" s="1" t="str">
        <f>HYPERLINK("http://www.rosaceae.org/Prunus/Prunus_persica/p.persica_gdr_reftransV1_0047649","p.persica_gdr_reftransV1_0047649")</f>
        <v>p.persica_gdr_reftransV1_0047649</v>
      </c>
      <c r="B15646" s="3">
        <v>975</v>
      </c>
      <c r="C15646" s="1" t="str">
        <f>HYPERLINK("http://www.uniprot.org/uniprot/EF100_ARATH","EF100_ARATH")</f>
        <v>EF100_ARATH</v>
      </c>
      <c r="D15646" t="s">
        <v>2695</v>
      </c>
      <c r="E15646" s="3" t="s">
        <v>3</v>
      </c>
      <c r="F15646" s="4">
        <v>4.2400000000000003E-34</v>
      </c>
      <c r="G15646" s="3">
        <v>329</v>
      </c>
      <c r="H15646" s="3">
        <v>95</v>
      </c>
      <c r="I15646" s="3">
        <v>80</v>
      </c>
      <c r="J15646" s="3">
        <v>68</v>
      </c>
      <c r="K15646" s="3">
        <v>307</v>
      </c>
      <c r="L15646" s="3">
        <v>139</v>
      </c>
      <c r="M15646" s="3">
        <v>218</v>
      </c>
    </row>
    <row r="15647" spans="1:13" x14ac:dyDescent="0.25">
      <c r="A15647" s="1" t="str">
        <f>HYPERLINK("http://www.rosaceae.org/Prunus/Prunus_persica/p.persica_gdr_reftransV1_0047699","p.persica_gdr_reftransV1_0047699")</f>
        <v>p.persica_gdr_reftransV1_0047699</v>
      </c>
      <c r="B15647" s="3">
        <v>1322</v>
      </c>
      <c r="C15647" s="1" t="str">
        <f>HYPERLINK("http://www.uniprot.org/uniprot/DBR_TOBAC","DBR_TOBAC")</f>
        <v>DBR_TOBAC</v>
      </c>
      <c r="D15647" t="s">
        <v>199</v>
      </c>
      <c r="E15647" s="3" t="s">
        <v>200</v>
      </c>
      <c r="F15647" s="4">
        <v>5.18E-79</v>
      </c>
      <c r="G15647" s="3">
        <v>651</v>
      </c>
      <c r="H15647" s="3">
        <v>41</v>
      </c>
      <c r="I15647" s="3">
        <v>344</v>
      </c>
      <c r="J15647" s="3">
        <v>249</v>
      </c>
      <c r="K15647" s="3">
        <v>1271</v>
      </c>
      <c r="L15647" s="3">
        <v>5</v>
      </c>
      <c r="M15647" s="3">
        <v>340</v>
      </c>
    </row>
    <row r="15648" spans="1:13" x14ac:dyDescent="0.25">
      <c r="A15648" s="1" t="str">
        <f>HYPERLINK("http://www.rosaceae.org/Prunus/Prunus_persica/p.persica_gdr_reftransV1_0047749","p.persica_gdr_reftransV1_0047749")</f>
        <v>p.persica_gdr_reftransV1_0047749</v>
      </c>
      <c r="B15648" s="3">
        <v>1404</v>
      </c>
      <c r="C15648" s="1" t="str">
        <f>HYPERLINK("http://www.uniprot.org/uniprot/GAT24_ARATH","GAT24_ARATH")</f>
        <v>GAT24_ARATH</v>
      </c>
      <c r="D15648" t="s">
        <v>595</v>
      </c>
      <c r="E15648" s="3" t="s">
        <v>3</v>
      </c>
      <c r="F15648" s="4">
        <v>6.2E-114</v>
      </c>
      <c r="G15648" s="3">
        <v>883</v>
      </c>
      <c r="H15648" s="3">
        <v>61</v>
      </c>
      <c r="I15648" s="3">
        <v>297</v>
      </c>
      <c r="J15648" s="3">
        <v>281</v>
      </c>
      <c r="K15648" s="3">
        <v>1150</v>
      </c>
      <c r="L15648" s="3">
        <v>1</v>
      </c>
      <c r="M15648" s="3">
        <v>291</v>
      </c>
    </row>
    <row r="15649" spans="1:13" x14ac:dyDescent="0.25">
      <c r="A15649" s="1" t="str">
        <f>HYPERLINK("http://www.rosaceae.org/Prunus/Prunus_persica/p.persica_gdr_reftransV1_0047799","p.persica_gdr_reftransV1_0047799")</f>
        <v>p.persica_gdr_reftransV1_0047799</v>
      </c>
      <c r="B15649" s="3">
        <v>1068</v>
      </c>
      <c r="C15649" s="1" t="str">
        <f>HYPERLINK("http://www.uniprot.org/uniprot/Gid2_ARATH","Gid2_ARATH")</f>
        <v>Gid2_ARATH</v>
      </c>
      <c r="D15649" t="s">
        <v>9693</v>
      </c>
      <c r="E15649" s="3" t="s">
        <v>3</v>
      </c>
      <c r="F15649" s="4">
        <v>8.7299999999999996E-50</v>
      </c>
      <c r="G15649" s="3">
        <v>430</v>
      </c>
      <c r="H15649" s="3">
        <v>59</v>
      </c>
      <c r="I15649" s="3">
        <v>140</v>
      </c>
      <c r="J15649" s="3">
        <v>392</v>
      </c>
      <c r="K15649" s="3">
        <v>811</v>
      </c>
      <c r="L15649" s="3">
        <v>31</v>
      </c>
      <c r="M15649" s="3">
        <v>145</v>
      </c>
    </row>
    <row r="15650" spans="1:13" x14ac:dyDescent="0.25">
      <c r="A15650" s="1" t="str">
        <f>HYPERLINK("http://www.rosaceae.org/Prunus/Prunus_persica/p.persica_gdr_reftransV1_0047899","p.persica_gdr_reftransV1_0047899")</f>
        <v>p.persica_gdr_reftransV1_0047899</v>
      </c>
      <c r="B15650" s="3">
        <v>1430</v>
      </c>
      <c r="C15650" s="1" t="str">
        <f>HYPERLINK("http://www.uniprot.org/uniprot/DOF53_ARATH","DOF53_ARATH")</f>
        <v>DOF53_ARATH</v>
      </c>
      <c r="D15650" t="s">
        <v>8878</v>
      </c>
      <c r="E15650" s="3" t="s">
        <v>3</v>
      </c>
      <c r="F15650" s="4">
        <v>3.3599999999999999E-31</v>
      </c>
      <c r="G15650" s="3">
        <v>313</v>
      </c>
      <c r="H15650" s="3">
        <v>66</v>
      </c>
      <c r="I15650" s="3">
        <v>90</v>
      </c>
      <c r="J15650" s="3">
        <v>370</v>
      </c>
      <c r="K15650" s="3">
        <v>621</v>
      </c>
      <c r="L15650" s="3">
        <v>55</v>
      </c>
      <c r="M15650" s="3">
        <v>141</v>
      </c>
    </row>
    <row r="15651" spans="1:13" x14ac:dyDescent="0.25">
      <c r="A15651" s="1" t="str">
        <f>HYPERLINK("http://www.rosaceae.org/Prunus/Prunus_persica/p.persica_gdr_reftransV1_0047999","p.persica_gdr_reftransV1_0047999")</f>
        <v>p.persica_gdr_reftransV1_0047999</v>
      </c>
      <c r="B15651" s="3">
        <v>2369</v>
      </c>
      <c r="C15651" s="1" t="str">
        <f>HYPERLINK("http://www.uniprot.org/uniprot/DONS_MOUSE","DONS_MOUSE")</f>
        <v>DONS_MOUSE</v>
      </c>
      <c r="D15651" t="s">
        <v>4522</v>
      </c>
      <c r="E15651" s="3" t="s">
        <v>157</v>
      </c>
      <c r="F15651" s="4">
        <v>1.9099999999999999E-13</v>
      </c>
      <c r="G15651" s="3">
        <v>189</v>
      </c>
      <c r="H15651" s="3">
        <v>24</v>
      </c>
      <c r="I15651" s="3">
        <v>328</v>
      </c>
      <c r="J15651" s="3">
        <v>544</v>
      </c>
      <c r="K15651" s="3">
        <v>1386</v>
      </c>
      <c r="L15651" s="3">
        <v>129</v>
      </c>
      <c r="M15651" s="3">
        <v>440</v>
      </c>
    </row>
    <row r="15652" spans="1:13" x14ac:dyDescent="0.25">
      <c r="A15652" s="1" t="str">
        <f>HYPERLINK("http://www.rosaceae.org/Prunus/Prunus_persica/p.persica_gdr_reftransV1_0048199","p.persica_gdr_reftransV1_0048199")</f>
        <v>p.persica_gdr_reftransV1_0048199</v>
      </c>
      <c r="B15652" s="3">
        <v>2294</v>
      </c>
      <c r="C15652" s="1" t="str">
        <f>HYPERLINK("http://www.uniprot.org/uniprot/AB11B_ARATH","AB11B_ARATH")</f>
        <v>AB11B_ARATH</v>
      </c>
      <c r="D15652" t="s">
        <v>686</v>
      </c>
      <c r="E15652" s="3" t="s">
        <v>3</v>
      </c>
      <c r="F15652" s="4">
        <v>0</v>
      </c>
      <c r="G15652" s="3">
        <v>2517</v>
      </c>
      <c r="H15652" s="3">
        <v>71</v>
      </c>
      <c r="I15652" s="3">
        <v>766</v>
      </c>
      <c r="J15652" s="3">
        <v>1</v>
      </c>
      <c r="K15652" s="3">
        <v>2292</v>
      </c>
      <c r="L15652" s="3">
        <v>473</v>
      </c>
      <c r="M15652" s="3">
        <v>1226</v>
      </c>
    </row>
    <row r="15653" spans="1:13" x14ac:dyDescent="0.25">
      <c r="A15653" s="1" t="str">
        <f>HYPERLINK("http://www.rosaceae.org/Prunus/Prunus_persica/p.persica_gdr_reftransV1_0048299","p.persica_gdr_reftransV1_0048299")</f>
        <v>p.persica_gdr_reftransV1_0048299</v>
      </c>
      <c r="B15653" s="3">
        <v>1754</v>
      </c>
      <c r="C15653" s="1" t="str">
        <f>HYPERLINK("http://www.uniprot.org/uniprot/RETOL_ARATH","RETOL_ARATH")</f>
        <v>RETOL_ARATH</v>
      </c>
      <c r="D15653" t="s">
        <v>4918</v>
      </c>
      <c r="E15653" s="3" t="s">
        <v>3</v>
      </c>
      <c r="F15653" s="4">
        <v>6.8499999999999997E-148</v>
      </c>
      <c r="G15653" s="3">
        <v>1145</v>
      </c>
      <c r="H15653" s="3">
        <v>49</v>
      </c>
      <c r="I15653" s="3">
        <v>507</v>
      </c>
      <c r="J15653" s="3">
        <v>100</v>
      </c>
      <c r="K15653" s="3">
        <v>1608</v>
      </c>
      <c r="L15653" s="3">
        <v>37</v>
      </c>
      <c r="M15653" s="3">
        <v>539</v>
      </c>
    </row>
    <row r="15654" spans="1:13" x14ac:dyDescent="0.25">
      <c r="A15654" s="1" t="str">
        <f>HYPERLINK("http://www.rosaceae.org/Prunus/Prunus_persica/p.persica_gdr_reftransV1_0048349","p.persica_gdr_reftransV1_0048349")</f>
        <v>p.persica_gdr_reftransV1_0048349</v>
      </c>
      <c r="B15654" s="3">
        <v>333</v>
      </c>
      <c r="C15654" s="1" t="str">
        <f>HYPERLINK("http://www.uniprot.org/uniprot/PP159_ARATH","PP159_ARATH")</f>
        <v>PP159_ARATH</v>
      </c>
      <c r="D15654" t="s">
        <v>8798</v>
      </c>
      <c r="E15654" s="3" t="s">
        <v>3</v>
      </c>
      <c r="F15654" s="4">
        <v>2.0900000000000001E-26</v>
      </c>
      <c r="G15654" s="3">
        <v>267</v>
      </c>
      <c r="H15654" s="3">
        <v>53</v>
      </c>
      <c r="I15654" s="3">
        <v>106</v>
      </c>
      <c r="J15654" s="3">
        <v>3</v>
      </c>
      <c r="K15654" s="3">
        <v>320</v>
      </c>
      <c r="L15654" s="3">
        <v>380</v>
      </c>
      <c r="M15654" s="3">
        <v>479</v>
      </c>
    </row>
    <row r="15655" spans="1:13" x14ac:dyDescent="0.25">
      <c r="A15655" s="1" t="str">
        <f>HYPERLINK("http://www.rosaceae.org/Prunus/Prunus_persica/p.persica_gdr_reftransV1_0048399","p.persica_gdr_reftransV1_0048399")</f>
        <v>p.persica_gdr_reftransV1_0048399</v>
      </c>
      <c r="B15655" s="3">
        <v>630</v>
      </c>
      <c r="C15655" s="1" t="str">
        <f>HYPERLINK("http://www.uniprot.org/uniprot/Y4885_ARATH","Y4885_ARATH")</f>
        <v>Y4885_ARATH</v>
      </c>
      <c r="D15655" t="s">
        <v>468</v>
      </c>
      <c r="E15655" s="3" t="s">
        <v>3</v>
      </c>
      <c r="F15655" s="4">
        <v>5.3E-42</v>
      </c>
      <c r="G15655" s="3">
        <v>395</v>
      </c>
      <c r="H15655" s="3">
        <v>43</v>
      </c>
      <c r="I15655" s="3">
        <v>214</v>
      </c>
      <c r="J15655" s="3">
        <v>2</v>
      </c>
      <c r="K15655" s="3">
        <v>628</v>
      </c>
      <c r="L15655" s="3">
        <v>624</v>
      </c>
      <c r="M15655" s="3">
        <v>836</v>
      </c>
    </row>
    <row r="15656" spans="1:13" x14ac:dyDescent="0.25">
      <c r="A15656" s="1" t="str">
        <f>HYPERLINK("http://www.rosaceae.org/Prunus/Prunus_persica/p.persica_gdr_reftransV1_0048449","p.persica_gdr_reftransV1_0048449")</f>
        <v>p.persica_gdr_reftransV1_0048449</v>
      </c>
      <c r="B15656" s="3">
        <v>1147</v>
      </c>
      <c r="C15656" s="1" t="str">
        <f>HYPERLINK("http://www.uniprot.org/uniprot/CB11_SOLLC","CB11_SOLLC")</f>
        <v>CB11_SOLLC</v>
      </c>
      <c r="D15656" t="s">
        <v>9282</v>
      </c>
      <c r="E15656" s="3" t="s">
        <v>64</v>
      </c>
      <c r="F15656" s="4">
        <v>2.89E-147</v>
      </c>
      <c r="G15656" s="3">
        <v>1090</v>
      </c>
      <c r="H15656" s="3">
        <v>85</v>
      </c>
      <c r="I15656" s="3">
        <v>247</v>
      </c>
      <c r="J15656" s="3">
        <v>53</v>
      </c>
      <c r="K15656" s="3">
        <v>793</v>
      </c>
      <c r="L15656" s="3">
        <v>1</v>
      </c>
      <c r="M15656" s="3">
        <v>245</v>
      </c>
    </row>
    <row r="15657" spans="1:13" x14ac:dyDescent="0.25">
      <c r="A15657" s="1" t="str">
        <f>HYPERLINK("http://www.rosaceae.org/Prunus/Prunus_persica/p.persica_gdr_reftransV1_0048499","p.persica_gdr_reftransV1_0048499")</f>
        <v>p.persica_gdr_reftransV1_0048499</v>
      </c>
      <c r="B15657" s="3">
        <v>1843</v>
      </c>
      <c r="C15657" s="1" t="str">
        <f>HYPERLINK("http://www.uniprot.org/uniprot/UCRIA_PEA","UCRIA_PEA")</f>
        <v>UCRIA_PEA</v>
      </c>
      <c r="D15657" t="s">
        <v>6091</v>
      </c>
      <c r="E15657" s="3" t="s">
        <v>60</v>
      </c>
      <c r="F15657" s="4">
        <v>5.41E-118</v>
      </c>
      <c r="G15657" s="3">
        <v>916</v>
      </c>
      <c r="H15657" s="3">
        <v>78</v>
      </c>
      <c r="I15657" s="3">
        <v>230</v>
      </c>
      <c r="J15657" s="3">
        <v>1099</v>
      </c>
      <c r="K15657" s="3">
        <v>1779</v>
      </c>
      <c r="L15657" s="3">
        <v>1</v>
      </c>
      <c r="M15657" s="3">
        <v>230</v>
      </c>
    </row>
    <row r="15658" spans="1:13" x14ac:dyDescent="0.25">
      <c r="A15658" s="1" t="str">
        <f>HYPERLINK("http://www.rosaceae.org/Prunus/Prunus_persica/p.persica_gdr_reftransV1_0048549","p.persica_gdr_reftransV1_0048549")</f>
        <v>p.persica_gdr_reftransV1_0048549</v>
      </c>
      <c r="B15658" s="3">
        <v>2788</v>
      </c>
      <c r="C15658" s="1" t="str">
        <f>HYPERLINK("http://www.uniprot.org/uniprot/PUB50_ARATH","PUB50_ARATH")</f>
        <v>PUB50_ARATH</v>
      </c>
      <c r="D15658" t="s">
        <v>2130</v>
      </c>
      <c r="E15658" s="3" t="s">
        <v>3</v>
      </c>
      <c r="F15658" s="4">
        <v>0</v>
      </c>
      <c r="G15658" s="3">
        <v>2016</v>
      </c>
      <c r="H15658" s="3">
        <v>50</v>
      </c>
      <c r="I15658" s="3">
        <v>810</v>
      </c>
      <c r="J15658" s="3">
        <v>163</v>
      </c>
      <c r="K15658" s="3">
        <v>2577</v>
      </c>
      <c r="L15658" s="3">
        <v>17</v>
      </c>
      <c r="M15658" s="3">
        <v>759</v>
      </c>
    </row>
    <row r="15659" spans="1:13" x14ac:dyDescent="0.25">
      <c r="A15659" s="1" t="str">
        <f>HYPERLINK("http://www.rosaceae.org/Prunus/Prunus_persica/p.persica_gdr_reftransV1_0048599","p.persica_gdr_reftransV1_0048599")</f>
        <v>p.persica_gdr_reftransV1_0048599</v>
      </c>
      <c r="B15659" s="3">
        <v>930</v>
      </c>
      <c r="C15659" s="1" t="str">
        <f>HYPERLINK("http://www.uniprot.org/uniprot/PER40_ARATH","PER40_ARATH")</f>
        <v>PER40_ARATH</v>
      </c>
      <c r="D15659" t="s">
        <v>9988</v>
      </c>
      <c r="E15659" s="3" t="s">
        <v>3</v>
      </c>
      <c r="F15659" s="4">
        <v>6.0500000000000005E-135</v>
      </c>
      <c r="G15659" s="3">
        <v>1011</v>
      </c>
      <c r="H15659" s="3">
        <v>66</v>
      </c>
      <c r="I15659" s="3">
        <v>292</v>
      </c>
      <c r="J15659" s="3">
        <v>54</v>
      </c>
      <c r="K15659" s="3">
        <v>920</v>
      </c>
      <c r="L15659" s="3">
        <v>59</v>
      </c>
      <c r="M15659" s="3">
        <v>348</v>
      </c>
    </row>
    <row r="15660" spans="1:13" x14ac:dyDescent="0.25">
      <c r="A15660" s="1" t="str">
        <f>HYPERLINK("http://www.rosaceae.org/Prunus/Prunus_persica/p.persica_gdr_reftransV1_0048649","p.persica_gdr_reftransV1_0048649")</f>
        <v>p.persica_gdr_reftransV1_0048649</v>
      </c>
      <c r="B15660" s="3">
        <v>866</v>
      </c>
      <c r="C15660" s="1" t="str">
        <f>HYPERLINK("http://www.uniprot.org/uniprot/P2A01_ARATH","P2A01_ARATH")</f>
        <v>P2A01_ARATH</v>
      </c>
      <c r="D15660" t="s">
        <v>9010</v>
      </c>
      <c r="E15660" s="3" t="s">
        <v>3</v>
      </c>
      <c r="F15660" s="4">
        <v>3.0600000000000002E-60</v>
      </c>
      <c r="G15660" s="3">
        <v>503</v>
      </c>
      <c r="H15660" s="3">
        <v>48</v>
      </c>
      <c r="I15660" s="3">
        <v>199</v>
      </c>
      <c r="J15660" s="3">
        <v>94</v>
      </c>
      <c r="K15660" s="3">
        <v>681</v>
      </c>
      <c r="L15660" s="3">
        <v>48</v>
      </c>
      <c r="M15660" s="3">
        <v>245</v>
      </c>
    </row>
    <row r="15661" spans="1:13" x14ac:dyDescent="0.25">
      <c r="A15661" s="1" t="str">
        <f>HYPERLINK("http://www.rosaceae.org/Prunus/Prunus_persica/p.persica_gdr_reftransV1_0048799","p.persica_gdr_reftransV1_0048799")</f>
        <v>p.persica_gdr_reftransV1_0048799</v>
      </c>
      <c r="B15661" s="3">
        <v>2106</v>
      </c>
      <c r="C15661" s="1" t="str">
        <f>HYPERLINK("http://www.uniprot.org/uniprot/TPS1L_ARATH","TPS1L_ARATH")</f>
        <v>TPS1L_ARATH</v>
      </c>
      <c r="D15661" t="s">
        <v>9989</v>
      </c>
      <c r="E15661" s="3" t="s">
        <v>3</v>
      </c>
      <c r="F15661" s="4">
        <v>0</v>
      </c>
      <c r="G15661" s="3">
        <v>1922</v>
      </c>
      <c r="H15661" s="3">
        <v>72</v>
      </c>
      <c r="I15661" s="3">
        <v>502</v>
      </c>
      <c r="J15661" s="3">
        <v>396</v>
      </c>
      <c r="K15661" s="3">
        <v>1901</v>
      </c>
      <c r="L15661" s="3">
        <v>22</v>
      </c>
      <c r="M15661" s="3">
        <v>522</v>
      </c>
    </row>
    <row r="15662" spans="1:13" x14ac:dyDescent="0.25">
      <c r="A15662" s="1" t="str">
        <f>HYPERLINK("http://www.rosaceae.org/Prunus/Prunus_persica/p.persica_gdr_reftransV1_0048849","p.persica_gdr_reftransV1_0048849")</f>
        <v>p.persica_gdr_reftransV1_0048849</v>
      </c>
      <c r="B15662" s="3">
        <v>681</v>
      </c>
      <c r="C15662" s="1" t="str">
        <f>HYPERLINK("http://www.uniprot.org/uniprot/C71A8_MENPI","C71A8_MENPI")</f>
        <v>C71A8_MENPI</v>
      </c>
      <c r="D15662" t="s">
        <v>9990</v>
      </c>
      <c r="E15662" s="3" t="s">
        <v>2526</v>
      </c>
      <c r="F15662" s="4">
        <v>7.6600000000000005E-85</v>
      </c>
      <c r="G15662" s="3">
        <v>682</v>
      </c>
      <c r="H15662" s="3">
        <v>56</v>
      </c>
      <c r="I15662" s="3">
        <v>226</v>
      </c>
      <c r="J15662" s="3">
        <v>3</v>
      </c>
      <c r="K15662" s="3">
        <v>680</v>
      </c>
      <c r="L15662" s="3">
        <v>230</v>
      </c>
      <c r="M15662" s="3">
        <v>442</v>
      </c>
    </row>
    <row r="15663" spans="1:13" x14ac:dyDescent="0.25">
      <c r="A15663" s="1" t="str">
        <f>HYPERLINK("http://www.rosaceae.org/Prunus/Prunus_persica/p.persica_gdr_reftransV1_0048899","p.persica_gdr_reftransV1_0048899")</f>
        <v>p.persica_gdr_reftransV1_0048899</v>
      </c>
      <c r="B15663" s="3">
        <v>469</v>
      </c>
      <c r="C15663" s="1" t="str">
        <f>HYPERLINK("http://www.uniprot.org/uniprot/PP151_ARATH","PP151_ARATH")</f>
        <v>PP151_ARATH</v>
      </c>
      <c r="D15663" t="s">
        <v>1204</v>
      </c>
      <c r="E15663" s="3" t="s">
        <v>3</v>
      </c>
      <c r="F15663" s="4">
        <v>5.13E-33</v>
      </c>
      <c r="G15663" s="3">
        <v>320</v>
      </c>
      <c r="H15663" s="3">
        <v>41</v>
      </c>
      <c r="I15663" s="3">
        <v>153</v>
      </c>
      <c r="J15663" s="3">
        <v>11</v>
      </c>
      <c r="K15663" s="3">
        <v>469</v>
      </c>
      <c r="L15663" s="3">
        <v>112</v>
      </c>
      <c r="M15663" s="3">
        <v>264</v>
      </c>
    </row>
    <row r="15664" spans="1:13" x14ac:dyDescent="0.25">
      <c r="A15664" s="1" t="str">
        <f>HYPERLINK("http://www.rosaceae.org/Prunus/Prunus_persica/p.persica_gdr_reftransV1_0048999","p.persica_gdr_reftransV1_0048999")</f>
        <v>p.persica_gdr_reftransV1_0048999</v>
      </c>
      <c r="B15664" s="3">
        <v>1263</v>
      </c>
      <c r="C15664" s="1" t="str">
        <f>HYPERLINK("http://www.uniprot.org/uniprot/HQGT_RAUSE","HQGT_RAUSE")</f>
        <v>HQGT_RAUSE</v>
      </c>
      <c r="D15664" t="s">
        <v>7142</v>
      </c>
      <c r="E15664" s="3" t="s">
        <v>2816</v>
      </c>
      <c r="F15664" s="4">
        <v>1.6099999999999999E-173</v>
      </c>
      <c r="G15664" s="3">
        <v>1290</v>
      </c>
      <c r="H15664" s="3">
        <v>62</v>
      </c>
      <c r="I15664" s="3">
        <v>414</v>
      </c>
      <c r="J15664" s="3">
        <v>21</v>
      </c>
      <c r="K15664" s="3">
        <v>1262</v>
      </c>
      <c r="L15664" s="3">
        <v>4</v>
      </c>
      <c r="M15664" s="3">
        <v>411</v>
      </c>
    </row>
    <row r="15665" spans="1:13" x14ac:dyDescent="0.25">
      <c r="A15665" s="1" t="str">
        <f>HYPERLINK("http://www.rosaceae.org/Prunus/Prunus_persica/p.persica_gdr_reftransV1_0049149","p.persica_gdr_reftransV1_0049149")</f>
        <v>p.persica_gdr_reftransV1_0049149</v>
      </c>
      <c r="B15665" s="3">
        <v>2020</v>
      </c>
      <c r="C15665" s="1" t="str">
        <f>HYPERLINK("http://www.uniprot.org/uniprot/R13L1_ARATH","R13L1_ARATH")</f>
        <v>R13L1_ARATH</v>
      </c>
      <c r="D15665" t="s">
        <v>100</v>
      </c>
      <c r="E15665" s="3" t="s">
        <v>3</v>
      </c>
      <c r="F15665" s="4">
        <v>3.0100000000000002E-25</v>
      </c>
      <c r="G15665" s="3">
        <v>288</v>
      </c>
      <c r="H15665" s="3">
        <v>28</v>
      </c>
      <c r="I15665" s="3">
        <v>355</v>
      </c>
      <c r="J15665" s="3">
        <v>121</v>
      </c>
      <c r="K15665" s="3">
        <v>1170</v>
      </c>
      <c r="L15665" s="3">
        <v>580</v>
      </c>
      <c r="M15665" s="3">
        <v>898</v>
      </c>
    </row>
    <row r="15666" spans="1:13" x14ac:dyDescent="0.25">
      <c r="A15666" s="1" t="str">
        <f>HYPERLINK("http://www.rosaceae.org/Prunus/Prunus_persica/p.persica_gdr_reftransV1_0049199","p.persica_gdr_reftransV1_0049199")</f>
        <v>p.persica_gdr_reftransV1_0049199</v>
      </c>
      <c r="B15666" s="3">
        <v>2355</v>
      </c>
      <c r="C15666" s="1" t="str">
        <f>HYPERLINK("http://www.uniprot.org/uniprot/UCKC_DICDI","UCKC_DICDI")</f>
        <v>UCKC_DICDI</v>
      </c>
      <c r="D15666" t="s">
        <v>1028</v>
      </c>
      <c r="E15666" s="3" t="s">
        <v>9</v>
      </c>
      <c r="F15666" s="4">
        <v>3.2399999999999998E-131</v>
      </c>
      <c r="G15666" s="3">
        <v>1040</v>
      </c>
      <c r="H15666" s="3">
        <v>50</v>
      </c>
      <c r="I15666" s="3">
        <v>397</v>
      </c>
      <c r="J15666" s="3">
        <v>151</v>
      </c>
      <c r="K15666" s="3">
        <v>1317</v>
      </c>
      <c r="L15666" s="3">
        <v>5</v>
      </c>
      <c r="M15666" s="3">
        <v>400</v>
      </c>
    </row>
    <row r="15667" spans="1:13" x14ac:dyDescent="0.25">
      <c r="A15667" s="1" t="str">
        <f>HYPERLINK("http://www.rosaceae.org/Prunus/Prunus_persica/p.persica_gdr_reftransV1_0000050","p.persica_gdr_reftransV1_0000050")</f>
        <v>p.persica_gdr_reftransV1_0000050</v>
      </c>
      <c r="B15667" s="3">
        <v>1202</v>
      </c>
      <c r="C15667" s="1" t="str">
        <f>HYPERLINK("http://www.uniprot.org/uniprot/CSLC5_ARATH","CSLC5_ARATH")</f>
        <v>CSLC5_ARATH</v>
      </c>
      <c r="D15667" t="s">
        <v>7262</v>
      </c>
      <c r="E15667" s="3" t="s">
        <v>3</v>
      </c>
      <c r="F15667" s="4">
        <v>0</v>
      </c>
      <c r="G15667" s="3">
        <v>1589</v>
      </c>
      <c r="H15667" s="3">
        <v>76</v>
      </c>
      <c r="I15667" s="3">
        <v>377</v>
      </c>
      <c r="J15667" s="3">
        <v>2</v>
      </c>
      <c r="K15667" s="3">
        <v>1129</v>
      </c>
      <c r="L15667" s="3">
        <v>1</v>
      </c>
      <c r="M15667" s="3">
        <v>375</v>
      </c>
    </row>
    <row r="15668" spans="1:13" x14ac:dyDescent="0.25">
      <c r="A15668" s="1" t="str">
        <f>HYPERLINK("http://www.rosaceae.org/Prunus/Prunus_persica/p.persica_gdr_reftransV1_0000100","p.persica_gdr_reftransV1_0000100")</f>
        <v>p.persica_gdr_reftransV1_0000100</v>
      </c>
      <c r="B15668" s="3">
        <v>1410</v>
      </c>
      <c r="C15668" s="1" t="str">
        <f>HYPERLINK("http://www.uniprot.org/uniprot/USPAL_ARATH","USPAL_ARATH")</f>
        <v>USPAL_ARATH</v>
      </c>
      <c r="D15668" t="s">
        <v>430</v>
      </c>
      <c r="E15668" s="3" t="s">
        <v>3</v>
      </c>
      <c r="F15668" s="4">
        <v>7.1799999999999994E-8</v>
      </c>
      <c r="G15668" s="3">
        <v>133</v>
      </c>
      <c r="H15668" s="3">
        <v>38</v>
      </c>
      <c r="I15668" s="3">
        <v>61</v>
      </c>
      <c r="J15668" s="3">
        <v>431</v>
      </c>
      <c r="K15668" s="3">
        <v>613</v>
      </c>
      <c r="L15668" s="3">
        <v>107</v>
      </c>
      <c r="M15668" s="3">
        <v>167</v>
      </c>
    </row>
    <row r="15669" spans="1:13" x14ac:dyDescent="0.25">
      <c r="A15669" s="1" t="str">
        <f>HYPERLINK("http://www.rosaceae.org/Prunus/Prunus_persica/p.persica_gdr_reftransV1_0000150","p.persica_gdr_reftransV1_0000150")</f>
        <v>p.persica_gdr_reftransV1_0000150</v>
      </c>
      <c r="B15669" s="3">
        <v>421</v>
      </c>
      <c r="C15669" s="1" t="str">
        <f>HYPERLINK("http://www.uniprot.org/uniprot/CRK41_ARATH","CRK41_ARATH")</f>
        <v>CRK41_ARATH</v>
      </c>
      <c r="D15669" t="s">
        <v>9991</v>
      </c>
      <c r="E15669" s="3" t="s">
        <v>3</v>
      </c>
      <c r="F15669" s="4">
        <v>1.26E-26</v>
      </c>
      <c r="G15669" s="3">
        <v>271</v>
      </c>
      <c r="H15669" s="3">
        <v>48</v>
      </c>
      <c r="I15669" s="3">
        <v>126</v>
      </c>
      <c r="J15669" s="3">
        <v>64</v>
      </c>
      <c r="K15669" s="3">
        <v>420</v>
      </c>
      <c r="L15669" s="3">
        <v>544</v>
      </c>
      <c r="M15669" s="3">
        <v>665</v>
      </c>
    </row>
    <row r="15670" spans="1:13" x14ac:dyDescent="0.25">
      <c r="A15670" s="1" t="str">
        <f>HYPERLINK("http://www.rosaceae.org/Prunus/Prunus_persica/p.persica_gdr_reftransV1_0000300","p.persica_gdr_reftransV1_0000300")</f>
        <v>p.persica_gdr_reftransV1_0000300</v>
      </c>
      <c r="B15670" s="3">
        <v>1966</v>
      </c>
      <c r="C15670" s="1" t="str">
        <f>HYPERLINK("http://www.uniprot.org/uniprot/AAE5_ARATH","AAE5_ARATH")</f>
        <v>AAE5_ARATH</v>
      </c>
      <c r="D15670" t="s">
        <v>9992</v>
      </c>
      <c r="E15670" s="3" t="s">
        <v>3</v>
      </c>
      <c r="F15670" s="4">
        <v>0</v>
      </c>
      <c r="G15670" s="3">
        <v>2000</v>
      </c>
      <c r="H15670" s="3">
        <v>70</v>
      </c>
      <c r="I15670" s="3">
        <v>531</v>
      </c>
      <c r="J15670" s="3">
        <v>89</v>
      </c>
      <c r="K15670" s="3">
        <v>1660</v>
      </c>
      <c r="L15670" s="3">
        <v>21</v>
      </c>
      <c r="M15670" s="3">
        <v>545</v>
      </c>
    </row>
    <row r="15671" spans="1:13" x14ac:dyDescent="0.25">
      <c r="A15671" s="1" t="str">
        <f>HYPERLINK("http://www.rosaceae.org/Prunus/Prunus_persica/p.persica_gdr_reftransV1_0000350","p.persica_gdr_reftransV1_0000350")</f>
        <v>p.persica_gdr_reftransV1_0000350</v>
      </c>
      <c r="B15671" s="3">
        <v>546</v>
      </c>
      <c r="C15671" s="1" t="str">
        <f>HYPERLINK("http://www.uniprot.org/uniprot/GRF5_ARATH","GRF5_ARATH")</f>
        <v>GRF5_ARATH</v>
      </c>
      <c r="D15671" t="s">
        <v>9197</v>
      </c>
      <c r="E15671" s="3" t="s">
        <v>3</v>
      </c>
      <c r="F15671" s="4">
        <v>4.8600000000000003E-59</v>
      </c>
      <c r="G15671" s="3">
        <v>496</v>
      </c>
      <c r="H15671" s="3">
        <v>70</v>
      </c>
      <c r="I15671" s="3">
        <v>121</v>
      </c>
      <c r="J15671" s="3">
        <v>177</v>
      </c>
      <c r="K15671" s="3">
        <v>536</v>
      </c>
      <c r="L15671" s="3">
        <v>4</v>
      </c>
      <c r="M15671" s="3">
        <v>124</v>
      </c>
    </row>
    <row r="15672" spans="1:13" x14ac:dyDescent="0.25">
      <c r="A15672" s="1" t="str">
        <f>HYPERLINK("http://www.rosaceae.org/Prunus/Prunus_persica/p.persica_gdr_reftransV1_0000400","p.persica_gdr_reftransV1_0000400")</f>
        <v>p.persica_gdr_reftransV1_0000400</v>
      </c>
      <c r="B15672" s="3">
        <v>2294</v>
      </c>
      <c r="C15672" s="1" t="str">
        <f>HYPERLINK("http://www.uniprot.org/uniprot/RNP1_ARATH","RNP1_ARATH")</f>
        <v>RNP1_ARATH</v>
      </c>
      <c r="D15672" t="s">
        <v>2083</v>
      </c>
      <c r="E15672" s="3" t="s">
        <v>3</v>
      </c>
      <c r="F15672" s="4">
        <v>1.0299999999999999E-71</v>
      </c>
      <c r="G15672" s="3">
        <v>628</v>
      </c>
      <c r="H15672" s="3">
        <v>57</v>
      </c>
      <c r="I15672" s="3">
        <v>192</v>
      </c>
      <c r="J15672" s="3">
        <v>269</v>
      </c>
      <c r="K15672" s="3">
        <v>829</v>
      </c>
      <c r="L15672" s="3">
        <v>1</v>
      </c>
      <c r="M15672" s="3">
        <v>192</v>
      </c>
    </row>
    <row r="15673" spans="1:13" x14ac:dyDescent="0.25">
      <c r="A15673" s="1" t="str">
        <f>HYPERLINK("http://www.rosaceae.org/Prunus/Prunus_persica/p.persica_gdr_reftransV1_0000450","p.persica_gdr_reftransV1_0000450")</f>
        <v>p.persica_gdr_reftransV1_0000450</v>
      </c>
      <c r="B15673" s="3">
        <v>3029</v>
      </c>
      <c r="C15673" s="1" t="str">
        <f>HYPERLINK("http://www.uniprot.org/uniprot/RHD32_ARATH","RHD32_ARATH")</f>
        <v>RHD32_ARATH</v>
      </c>
      <c r="D15673" t="s">
        <v>6627</v>
      </c>
      <c r="E15673" s="3" t="s">
        <v>3</v>
      </c>
      <c r="F15673" s="4">
        <v>0</v>
      </c>
      <c r="G15673" s="3">
        <v>3077</v>
      </c>
      <c r="H15673" s="3">
        <v>71</v>
      </c>
      <c r="I15673" s="3">
        <v>831</v>
      </c>
      <c r="J15673" s="3">
        <v>324</v>
      </c>
      <c r="K15673" s="3">
        <v>2807</v>
      </c>
      <c r="L15673" s="3">
        <v>5</v>
      </c>
      <c r="M15673" s="3">
        <v>830</v>
      </c>
    </row>
    <row r="15674" spans="1:13" x14ac:dyDescent="0.25">
      <c r="A15674" s="1" t="str">
        <f>HYPERLINK("http://www.rosaceae.org/Prunus/Prunus_persica/p.persica_gdr_reftransV1_0000500","p.persica_gdr_reftransV1_0000500")</f>
        <v>p.persica_gdr_reftransV1_0000500</v>
      </c>
      <c r="B15674" s="3">
        <v>539</v>
      </c>
      <c r="C15674" s="1" t="str">
        <f>HYPERLINK("http://www.uniprot.org/uniprot/C7A29_PANGI","C7A29_PANGI")</f>
        <v>C7A29_PANGI</v>
      </c>
      <c r="D15674" t="s">
        <v>3855</v>
      </c>
      <c r="E15674" s="3" t="s">
        <v>1477</v>
      </c>
      <c r="F15674" s="4">
        <v>2.5600000000000001E-24</v>
      </c>
      <c r="G15674" s="3">
        <v>256</v>
      </c>
      <c r="H15674" s="3">
        <v>56</v>
      </c>
      <c r="I15674" s="3">
        <v>77</v>
      </c>
      <c r="J15674" s="3">
        <v>271</v>
      </c>
      <c r="K15674" s="3">
        <v>501</v>
      </c>
      <c r="L15674" s="3">
        <v>17</v>
      </c>
      <c r="M15674" s="3">
        <v>93</v>
      </c>
    </row>
    <row r="15675" spans="1:13" x14ac:dyDescent="0.25">
      <c r="A15675" s="1" t="str">
        <f>HYPERLINK("http://www.rosaceae.org/Prunus/Prunus_persica/p.persica_gdr_reftransV1_0000550","p.persica_gdr_reftransV1_0000550")</f>
        <v>p.persica_gdr_reftransV1_0000550</v>
      </c>
      <c r="B15675" s="3">
        <v>557</v>
      </c>
      <c r="C15675" s="1" t="str">
        <f>HYPERLINK("http://www.uniprot.org/uniprot/Y5680_ARATH","Y5680_ARATH")</f>
        <v>Y5680_ARATH</v>
      </c>
      <c r="D15675" t="s">
        <v>9993</v>
      </c>
      <c r="E15675" s="3" t="s">
        <v>3</v>
      </c>
      <c r="F15675" s="4">
        <v>3.21E-13</v>
      </c>
      <c r="G15675" s="3">
        <v>165</v>
      </c>
      <c r="H15675" s="3">
        <v>37</v>
      </c>
      <c r="I15675" s="3">
        <v>114</v>
      </c>
      <c r="J15675" s="3">
        <v>64</v>
      </c>
      <c r="K15675" s="3">
        <v>399</v>
      </c>
      <c r="L15675" s="3">
        <v>43</v>
      </c>
      <c r="M15675" s="3">
        <v>152</v>
      </c>
    </row>
    <row r="15676" spans="1:13" x14ac:dyDescent="0.25">
      <c r="A15676" s="1" t="str">
        <f>HYPERLINK("http://www.rosaceae.org/Prunus/Prunus_persica/p.persica_gdr_reftransV1_0000600","p.persica_gdr_reftransV1_0000600")</f>
        <v>p.persica_gdr_reftransV1_0000600</v>
      </c>
      <c r="B15676" s="3">
        <v>1394</v>
      </c>
      <c r="C15676" s="1" t="str">
        <f>HYPERLINK("http://www.uniprot.org/uniprot/TIF9_ARATH","TIF9_ARATH")</f>
        <v>TIF9_ARATH</v>
      </c>
      <c r="D15676" t="s">
        <v>9994</v>
      </c>
      <c r="E15676" s="3" t="s">
        <v>3</v>
      </c>
      <c r="F15676" s="4">
        <v>2.7200000000000001E-37</v>
      </c>
      <c r="G15676" s="3">
        <v>353</v>
      </c>
      <c r="H15676" s="3">
        <v>45</v>
      </c>
      <c r="I15676" s="3">
        <v>218</v>
      </c>
      <c r="J15676" s="3">
        <v>580</v>
      </c>
      <c r="K15676" s="3">
        <v>1230</v>
      </c>
      <c r="L15676" s="3">
        <v>1</v>
      </c>
      <c r="M15676" s="3">
        <v>192</v>
      </c>
    </row>
    <row r="15677" spans="1:13" x14ac:dyDescent="0.25">
      <c r="A15677" s="1" t="str">
        <f>HYPERLINK("http://www.rosaceae.org/Prunus/Prunus_persica/p.persica_gdr_reftransV1_0000700","p.persica_gdr_reftransV1_0000700")</f>
        <v>p.persica_gdr_reftransV1_0000700</v>
      </c>
      <c r="B15677" s="3">
        <v>1647</v>
      </c>
      <c r="C15677" s="1" t="str">
        <f>HYPERLINK("http://www.uniprot.org/uniprot/Y283_BACHD","Y283_BACHD")</f>
        <v>Y283_BACHD</v>
      </c>
      <c r="D15677" t="s">
        <v>4832</v>
      </c>
      <c r="E15677" s="3" t="s">
        <v>4833</v>
      </c>
      <c r="F15677" s="4">
        <v>1.64E-60</v>
      </c>
      <c r="G15677" s="3">
        <v>526</v>
      </c>
      <c r="H15677" s="3">
        <v>43</v>
      </c>
      <c r="I15677" s="3">
        <v>292</v>
      </c>
      <c r="J15677" s="3">
        <v>101</v>
      </c>
      <c r="K15677" s="3">
        <v>973</v>
      </c>
      <c r="L15677" s="3">
        <v>8</v>
      </c>
      <c r="M15677" s="3">
        <v>265</v>
      </c>
    </row>
    <row r="15678" spans="1:13" x14ac:dyDescent="0.25">
      <c r="A15678" s="1" t="str">
        <f>HYPERLINK("http://www.rosaceae.org/Prunus/Prunus_persica/p.persica_gdr_reftransV1_0000750","p.persica_gdr_reftransV1_0000750")</f>
        <v>p.persica_gdr_reftransV1_0000750</v>
      </c>
      <c r="B15678" s="3">
        <v>744</v>
      </c>
      <c r="C15678" s="1" t="str">
        <f>HYPERLINK("http://www.uniprot.org/uniprot/BCS1B_DICDI","BCS1B_DICDI")</f>
        <v>BCS1B_DICDI</v>
      </c>
      <c r="D15678" t="s">
        <v>2777</v>
      </c>
      <c r="E15678" s="3" t="s">
        <v>9</v>
      </c>
      <c r="F15678" s="4">
        <v>1.6600000000000001E-16</v>
      </c>
      <c r="G15678" s="3">
        <v>201</v>
      </c>
      <c r="H15678" s="3">
        <v>34</v>
      </c>
      <c r="I15678" s="3">
        <v>150</v>
      </c>
      <c r="J15678" s="3">
        <v>17</v>
      </c>
      <c r="K15678" s="3">
        <v>451</v>
      </c>
      <c r="L15678" s="3">
        <v>167</v>
      </c>
      <c r="M15678" s="3">
        <v>306</v>
      </c>
    </row>
    <row r="15679" spans="1:13" x14ac:dyDescent="0.25">
      <c r="A15679" s="1" t="str">
        <f>HYPERLINK("http://www.rosaceae.org/Prunus/Prunus_persica/p.persica_gdr_reftransV1_0000800","p.persica_gdr_reftransV1_0000800")</f>
        <v>p.persica_gdr_reftransV1_0000800</v>
      </c>
      <c r="B15679" s="3">
        <v>688</v>
      </c>
      <c r="C15679" s="1" t="str">
        <f>HYPERLINK("http://www.uniprot.org/uniprot/EMS1_ARATH","EMS1_ARATH")</f>
        <v>EMS1_ARATH</v>
      </c>
      <c r="D15679" t="s">
        <v>4601</v>
      </c>
      <c r="E15679" s="3" t="s">
        <v>3</v>
      </c>
      <c r="F15679" s="4">
        <v>4.9599999999999999E-67</v>
      </c>
      <c r="G15679" s="3">
        <v>582</v>
      </c>
      <c r="H15679" s="3">
        <v>64</v>
      </c>
      <c r="I15679" s="3">
        <v>228</v>
      </c>
      <c r="J15679" s="3">
        <v>3</v>
      </c>
      <c r="K15679" s="3">
        <v>686</v>
      </c>
      <c r="L15679" s="3">
        <v>214</v>
      </c>
      <c r="M15679" s="3">
        <v>441</v>
      </c>
    </row>
    <row r="15680" spans="1:13" x14ac:dyDescent="0.25">
      <c r="A15680" s="1" t="str">
        <f>HYPERLINK("http://www.rosaceae.org/Prunus/Prunus_persica/p.persica_gdr_reftransV1_0000850","p.persica_gdr_reftransV1_0000850")</f>
        <v>p.persica_gdr_reftransV1_0000850</v>
      </c>
      <c r="B15680" s="3">
        <v>815</v>
      </c>
      <c r="C15680" s="1" t="str">
        <f>HYPERLINK("http://www.uniprot.org/uniprot/PGLR_VITVI","PGLR_VITVI")</f>
        <v>PGLR_VITVI</v>
      </c>
      <c r="D15680" t="s">
        <v>2366</v>
      </c>
      <c r="E15680" s="3" t="s">
        <v>362</v>
      </c>
      <c r="F15680" s="4">
        <v>3.5700000000000003E-73</v>
      </c>
      <c r="G15680" s="3">
        <v>607</v>
      </c>
      <c r="H15680" s="3">
        <v>56</v>
      </c>
      <c r="I15680" s="3">
        <v>199</v>
      </c>
      <c r="J15680" s="3">
        <v>193</v>
      </c>
      <c r="K15680" s="3">
        <v>789</v>
      </c>
      <c r="L15680" s="3">
        <v>56</v>
      </c>
      <c r="M15680" s="3">
        <v>254</v>
      </c>
    </row>
    <row r="15681" spans="1:13" x14ac:dyDescent="0.25">
      <c r="A15681" s="1" t="str">
        <f>HYPERLINK("http://www.rosaceae.org/Prunus/Prunus_persica/p.persica_gdr_reftransV1_0000950","p.persica_gdr_reftransV1_0000950")</f>
        <v>p.persica_gdr_reftransV1_0000950</v>
      </c>
      <c r="B15681" s="3">
        <v>992</v>
      </c>
      <c r="C15681" s="1" t="str">
        <f>HYPERLINK("http://www.uniprot.org/uniprot/COAE_ARATH","COAE_ARATH")</f>
        <v>COAE_ARATH</v>
      </c>
      <c r="D15681" t="s">
        <v>7497</v>
      </c>
      <c r="E15681" s="3" t="s">
        <v>3</v>
      </c>
      <c r="F15681" s="4">
        <v>6.0099999999999995E-101</v>
      </c>
      <c r="G15681" s="3">
        <v>777</v>
      </c>
      <c r="H15681" s="3">
        <v>74</v>
      </c>
      <c r="I15681" s="3">
        <v>211</v>
      </c>
      <c r="J15681" s="3">
        <v>205</v>
      </c>
      <c r="K15681" s="3">
        <v>837</v>
      </c>
      <c r="L15681" s="3">
        <v>1</v>
      </c>
      <c r="M15681" s="3">
        <v>211</v>
      </c>
    </row>
    <row r="15682" spans="1:13" x14ac:dyDescent="0.25">
      <c r="A15682" s="1" t="str">
        <f>HYPERLINK("http://www.rosaceae.org/Prunus/Prunus_persica/p.persica_gdr_reftransV1_0001050","p.persica_gdr_reftransV1_0001050")</f>
        <v>p.persica_gdr_reftransV1_0001050</v>
      </c>
      <c r="B15682" s="3">
        <v>916</v>
      </c>
      <c r="C15682" s="1" t="str">
        <f>HYPERLINK("http://www.uniprot.org/uniprot/HAK5_ORYSJ","HAK5_ORYSJ")</f>
        <v>HAK5_ORYSJ</v>
      </c>
      <c r="D15682" t="s">
        <v>853</v>
      </c>
      <c r="E15682" s="3" t="s">
        <v>38</v>
      </c>
      <c r="F15682" s="4">
        <v>2.4099999999999999E-70</v>
      </c>
      <c r="G15682" s="3">
        <v>607</v>
      </c>
      <c r="H15682" s="3">
        <v>50</v>
      </c>
      <c r="I15682" s="3">
        <v>274</v>
      </c>
      <c r="J15682" s="3">
        <v>3</v>
      </c>
      <c r="K15682" s="3">
        <v>824</v>
      </c>
      <c r="L15682" s="3">
        <v>526</v>
      </c>
      <c r="M15682" s="3">
        <v>781</v>
      </c>
    </row>
    <row r="15683" spans="1:13" x14ac:dyDescent="0.25">
      <c r="A15683" s="1" t="str">
        <f>HYPERLINK("http://www.rosaceae.org/Prunus/Prunus_persica/p.persica_gdr_reftransV1_0001200","p.persica_gdr_reftransV1_0001200")</f>
        <v>p.persica_gdr_reftransV1_0001200</v>
      </c>
      <c r="B15683" s="3">
        <v>1691</v>
      </c>
      <c r="C15683" s="1" t="str">
        <f>HYPERLINK("http://www.uniprot.org/uniprot/PP2A_HEVBR","PP2A_HEVBR")</f>
        <v>PP2A_HEVBR</v>
      </c>
      <c r="D15683" t="s">
        <v>9995</v>
      </c>
      <c r="E15683" s="3" t="s">
        <v>24</v>
      </c>
      <c r="F15683" s="4">
        <v>0</v>
      </c>
      <c r="G15683" s="3">
        <v>1603</v>
      </c>
      <c r="H15683" s="3">
        <v>96</v>
      </c>
      <c r="I15683" s="3">
        <v>306</v>
      </c>
      <c r="J15683" s="3">
        <v>401</v>
      </c>
      <c r="K15683" s="3">
        <v>1318</v>
      </c>
      <c r="L15683" s="3">
        <v>1</v>
      </c>
      <c r="M15683" s="3">
        <v>306</v>
      </c>
    </row>
    <row r="15684" spans="1:13" x14ac:dyDescent="0.25">
      <c r="A15684" s="1" t="str">
        <f>HYPERLINK("http://www.rosaceae.org/Prunus/Prunus_persica/p.persica_gdr_reftransV1_0001350","p.persica_gdr_reftransV1_0001350")</f>
        <v>p.persica_gdr_reftransV1_0001350</v>
      </c>
      <c r="B15684" s="3">
        <v>2065</v>
      </c>
      <c r="C15684" s="1" t="str">
        <f>HYPERLINK("http://www.uniprot.org/uniprot/MAX1_ARATH","MAX1_ARATH")</f>
        <v>MAX1_ARATH</v>
      </c>
      <c r="D15684" t="s">
        <v>9430</v>
      </c>
      <c r="E15684" s="3" t="s">
        <v>3</v>
      </c>
      <c r="F15684" s="4">
        <v>0</v>
      </c>
      <c r="G15684" s="3">
        <v>1978</v>
      </c>
      <c r="H15684" s="3">
        <v>72</v>
      </c>
      <c r="I15684" s="3">
        <v>534</v>
      </c>
      <c r="J15684" s="3">
        <v>84</v>
      </c>
      <c r="K15684" s="3">
        <v>1685</v>
      </c>
      <c r="L15684" s="3">
        <v>6</v>
      </c>
      <c r="M15684" s="3">
        <v>521</v>
      </c>
    </row>
    <row r="15685" spans="1:13" x14ac:dyDescent="0.25">
      <c r="A15685" s="1" t="str">
        <f>HYPERLINK("http://www.rosaceae.org/Prunus/Prunus_persica/p.persica_gdr_reftransV1_0001400","p.persica_gdr_reftransV1_0001400")</f>
        <v>p.persica_gdr_reftransV1_0001400</v>
      </c>
      <c r="B15685" s="3">
        <v>1123</v>
      </c>
      <c r="C15685" s="1" t="str">
        <f>HYPERLINK("http://www.uniprot.org/uniprot/RBL3_ARATH","RBL3_ARATH")</f>
        <v>RBL3_ARATH</v>
      </c>
      <c r="D15685" t="s">
        <v>9996</v>
      </c>
      <c r="E15685" s="3" t="s">
        <v>3</v>
      </c>
      <c r="F15685" s="4">
        <v>2.1199999999999998E-93</v>
      </c>
      <c r="G15685" s="3">
        <v>741</v>
      </c>
      <c r="H15685" s="3">
        <v>68</v>
      </c>
      <c r="I15685" s="3">
        <v>337</v>
      </c>
      <c r="J15685" s="3">
        <v>81</v>
      </c>
      <c r="K15685" s="3">
        <v>1061</v>
      </c>
      <c r="L15685" s="3">
        <v>10</v>
      </c>
      <c r="M15685" s="3">
        <v>345</v>
      </c>
    </row>
    <row r="15686" spans="1:13" x14ac:dyDescent="0.25">
      <c r="A15686" s="1" t="str">
        <f>HYPERLINK("http://www.rosaceae.org/Prunus/Prunus_persica/p.persica_gdr_reftransV1_0001450","p.persica_gdr_reftransV1_0001450")</f>
        <v>p.persica_gdr_reftransV1_0001450</v>
      </c>
      <c r="B15686" s="3">
        <v>609</v>
      </c>
      <c r="C15686" s="1" t="str">
        <f>HYPERLINK("http://www.uniprot.org/uniprot/STGL3_ARATH","STGL3_ARATH")</f>
        <v>STGL3_ARATH</v>
      </c>
      <c r="D15686" t="s">
        <v>9616</v>
      </c>
      <c r="E15686" s="3" t="s">
        <v>3</v>
      </c>
      <c r="F15686" s="4">
        <v>6.4800000000000004E-35</v>
      </c>
      <c r="G15686" s="3">
        <v>317</v>
      </c>
      <c r="H15686" s="3">
        <v>40</v>
      </c>
      <c r="I15686" s="3">
        <v>161</v>
      </c>
      <c r="J15686" s="3">
        <v>86</v>
      </c>
      <c r="K15686" s="3">
        <v>568</v>
      </c>
      <c r="L15686" s="3">
        <v>7</v>
      </c>
      <c r="M15686" s="3">
        <v>154</v>
      </c>
    </row>
    <row r="15687" spans="1:13" x14ac:dyDescent="0.25">
      <c r="A15687" s="1" t="str">
        <f>HYPERLINK("http://www.rosaceae.org/Prunus/Prunus_persica/p.persica_gdr_reftransV1_0001550","p.persica_gdr_reftransV1_0001550")</f>
        <v>p.persica_gdr_reftransV1_0001550</v>
      </c>
      <c r="B15687" s="3">
        <v>545</v>
      </c>
      <c r="C15687" s="1" t="str">
        <f>HYPERLINK("http://www.uniprot.org/uniprot/FQRL3_ARATH","FQRL3_ARATH")</f>
        <v>FQRL3_ARATH</v>
      </c>
      <c r="D15687" t="s">
        <v>9997</v>
      </c>
      <c r="E15687" s="3" t="s">
        <v>3</v>
      </c>
      <c r="F15687" s="4">
        <v>2.8500000000000001E-65</v>
      </c>
      <c r="G15687" s="3">
        <v>522</v>
      </c>
      <c r="H15687" s="3">
        <v>79</v>
      </c>
      <c r="I15687" s="3">
        <v>121</v>
      </c>
      <c r="J15687" s="3">
        <v>181</v>
      </c>
      <c r="K15687" s="3">
        <v>543</v>
      </c>
      <c r="L15687" s="3">
        <v>1</v>
      </c>
      <c r="M15687" s="3">
        <v>121</v>
      </c>
    </row>
    <row r="15688" spans="1:13" x14ac:dyDescent="0.25">
      <c r="A15688" s="1" t="str">
        <f>HYPERLINK("http://www.rosaceae.org/Prunus/Prunus_persica/p.persica_gdr_reftransV1_0001600","p.persica_gdr_reftransV1_0001600")</f>
        <v>p.persica_gdr_reftransV1_0001600</v>
      </c>
      <c r="B15688" s="3">
        <v>1584</v>
      </c>
      <c r="C15688" s="1" t="str">
        <f>HYPERLINK("http://www.uniprot.org/uniprot/7SB1_SOYBN","7SB1_SOYBN")</f>
        <v>7SB1_SOYBN</v>
      </c>
      <c r="D15688" t="s">
        <v>5383</v>
      </c>
      <c r="E15688" s="3" t="s">
        <v>307</v>
      </c>
      <c r="F15688" s="4">
        <v>3.1199999999999999E-121</v>
      </c>
      <c r="G15688" s="3">
        <v>949</v>
      </c>
      <c r="H15688" s="3">
        <v>50</v>
      </c>
      <c r="I15688" s="3">
        <v>385</v>
      </c>
      <c r="J15688" s="3">
        <v>189</v>
      </c>
      <c r="K15688" s="3">
        <v>1307</v>
      </c>
      <c r="L15688" s="3">
        <v>22</v>
      </c>
      <c r="M15688" s="3">
        <v>399</v>
      </c>
    </row>
    <row r="15689" spans="1:13" x14ac:dyDescent="0.25">
      <c r="A15689" s="1" t="str">
        <f>HYPERLINK("http://www.rosaceae.org/Prunus/Prunus_persica/p.persica_gdr_reftransV1_0001650","p.persica_gdr_reftransV1_0001650")</f>
        <v>p.persica_gdr_reftransV1_0001650</v>
      </c>
      <c r="B15689" s="3">
        <v>368</v>
      </c>
      <c r="C15689" s="1" t="str">
        <f>HYPERLINK("http://www.uniprot.org/uniprot/MYB44_ARATH","MYB44_ARATH")</f>
        <v>MYB44_ARATH</v>
      </c>
      <c r="D15689" t="s">
        <v>1249</v>
      </c>
      <c r="E15689" s="3" t="s">
        <v>3</v>
      </c>
      <c r="F15689" s="4">
        <v>8.8299999999999994E-20</v>
      </c>
      <c r="G15689" s="3">
        <v>212</v>
      </c>
      <c r="H15689" s="3">
        <v>71</v>
      </c>
      <c r="I15689" s="3">
        <v>49</v>
      </c>
      <c r="J15689" s="3">
        <v>1</v>
      </c>
      <c r="K15689" s="3">
        <v>147</v>
      </c>
      <c r="L15689" s="3">
        <v>4</v>
      </c>
      <c r="M15689" s="3">
        <v>52</v>
      </c>
    </row>
    <row r="15690" spans="1:13" x14ac:dyDescent="0.25">
      <c r="A15690" s="1" t="str">
        <f>HYPERLINK("http://www.rosaceae.org/Prunus/Prunus_persica/p.persica_gdr_reftransV1_0001700","p.persica_gdr_reftransV1_0001700")</f>
        <v>p.persica_gdr_reftransV1_0001700</v>
      </c>
      <c r="B15690" s="3">
        <v>561</v>
      </c>
      <c r="C15690" s="1" t="str">
        <f>HYPERLINK("http://www.uniprot.org/uniprot/LAC17_ARATH","LAC17_ARATH")</f>
        <v>LAC17_ARATH</v>
      </c>
      <c r="D15690" t="s">
        <v>20</v>
      </c>
      <c r="E15690" s="3" t="s">
        <v>3</v>
      </c>
      <c r="F15690" s="4">
        <v>1.8799999999999999E-51</v>
      </c>
      <c r="G15690" s="3">
        <v>453</v>
      </c>
      <c r="H15690" s="3">
        <v>83</v>
      </c>
      <c r="I15690" s="3">
        <v>94</v>
      </c>
      <c r="J15690" s="3">
        <v>278</v>
      </c>
      <c r="K15690" s="3">
        <v>559</v>
      </c>
      <c r="L15690" s="3">
        <v>467</v>
      </c>
      <c r="M15690" s="3">
        <v>560</v>
      </c>
    </row>
    <row r="15691" spans="1:13" x14ac:dyDescent="0.25">
      <c r="A15691" s="1" t="str">
        <f>HYPERLINK("http://www.rosaceae.org/Prunus/Prunus_persica/p.persica_gdr_reftransV1_0001750","p.persica_gdr_reftransV1_0001750")</f>
        <v>p.persica_gdr_reftransV1_0001750</v>
      </c>
      <c r="B15691" s="3">
        <v>3600</v>
      </c>
      <c r="C15691" s="1" t="str">
        <f>HYPERLINK("http://www.uniprot.org/uniprot/idM1_ARATH","idM1_ARATH")</f>
        <v>idM1_ARATH</v>
      </c>
      <c r="D15691" t="s">
        <v>1345</v>
      </c>
      <c r="E15691" s="3" t="s">
        <v>3</v>
      </c>
      <c r="F15691" s="4">
        <v>1.32E-86</v>
      </c>
      <c r="G15691" s="3">
        <v>795</v>
      </c>
      <c r="H15691" s="3">
        <v>39</v>
      </c>
      <c r="I15691" s="3">
        <v>466</v>
      </c>
      <c r="J15691" s="3">
        <v>2123</v>
      </c>
      <c r="K15691" s="3">
        <v>3499</v>
      </c>
      <c r="L15691" s="3">
        <v>587</v>
      </c>
      <c r="M15691" s="3">
        <v>1032</v>
      </c>
    </row>
    <row r="15692" spans="1:13" x14ac:dyDescent="0.25">
      <c r="A15692" s="1" t="str">
        <f>HYPERLINK("http://www.rosaceae.org/Prunus/Prunus_persica/p.persica_gdr_reftransV1_0001850","p.persica_gdr_reftransV1_0001850")</f>
        <v>p.persica_gdr_reftransV1_0001850</v>
      </c>
      <c r="B15692" s="3">
        <v>561</v>
      </c>
      <c r="C15692" s="1" t="str">
        <f>HYPERLINK("http://www.uniprot.org/uniprot/MPCP_YEAST","MPCP_YEAST")</f>
        <v>MPCP_YEAST</v>
      </c>
      <c r="D15692" t="s">
        <v>9998</v>
      </c>
      <c r="E15692" s="3" t="s">
        <v>34</v>
      </c>
      <c r="F15692" s="4">
        <v>1.8999999999999999E-70</v>
      </c>
      <c r="G15692" s="3">
        <v>566</v>
      </c>
      <c r="H15692" s="3">
        <v>65</v>
      </c>
      <c r="I15692" s="3">
        <v>187</v>
      </c>
      <c r="J15692" s="3">
        <v>2</v>
      </c>
      <c r="K15692" s="3">
        <v>559</v>
      </c>
      <c r="L15692" s="3">
        <v>50</v>
      </c>
      <c r="M15692" s="3">
        <v>236</v>
      </c>
    </row>
    <row r="15693" spans="1:13" x14ac:dyDescent="0.25">
      <c r="A15693" s="1" t="str">
        <f>HYPERLINK("http://www.rosaceae.org/Prunus/Prunus_persica/p.persica_gdr_reftransV1_0001950","p.persica_gdr_reftransV1_0001950")</f>
        <v>p.persica_gdr_reftransV1_0001950</v>
      </c>
      <c r="B15693" s="3">
        <v>1289</v>
      </c>
      <c r="C15693" s="1" t="str">
        <f>HYPERLINK("http://www.uniprot.org/uniprot/MD15A_ARATH","MD15A_ARATH")</f>
        <v>MD15A_ARATH</v>
      </c>
      <c r="D15693" t="s">
        <v>3789</v>
      </c>
      <c r="E15693" s="3" t="s">
        <v>3</v>
      </c>
      <c r="F15693" s="4">
        <v>5.7400000000000004E-43</v>
      </c>
      <c r="G15693" s="3">
        <v>423</v>
      </c>
      <c r="H15693" s="3">
        <v>57</v>
      </c>
      <c r="I15693" s="3">
        <v>164</v>
      </c>
      <c r="J15693" s="3">
        <v>548</v>
      </c>
      <c r="K15693" s="3">
        <v>1030</v>
      </c>
      <c r="L15693" s="3">
        <v>1</v>
      </c>
      <c r="M15693" s="3">
        <v>161</v>
      </c>
    </row>
    <row r="15694" spans="1:13" x14ac:dyDescent="0.25">
      <c r="A15694" s="1" t="str">
        <f>HYPERLINK("http://www.rosaceae.org/Prunus/Prunus_persica/p.persica_gdr_reftransV1_0002050","p.persica_gdr_reftransV1_0002050")</f>
        <v>p.persica_gdr_reftransV1_0002050</v>
      </c>
      <c r="B15694" s="3">
        <v>559</v>
      </c>
      <c r="C15694" s="1" t="str">
        <f>HYPERLINK("http://www.uniprot.org/uniprot/CLV1_ARATH","CLV1_ARATH")</f>
        <v>CLV1_ARATH</v>
      </c>
      <c r="D15694" t="s">
        <v>2635</v>
      </c>
      <c r="E15694" s="3" t="s">
        <v>3</v>
      </c>
      <c r="F15694" s="4">
        <v>4.7300000000000004E-75</v>
      </c>
      <c r="G15694" s="3">
        <v>632</v>
      </c>
      <c r="H15694" s="3">
        <v>67</v>
      </c>
      <c r="I15694" s="3">
        <v>169</v>
      </c>
      <c r="J15694" s="3">
        <v>3</v>
      </c>
      <c r="K15694" s="3">
        <v>506</v>
      </c>
      <c r="L15694" s="3">
        <v>660</v>
      </c>
      <c r="M15694" s="3">
        <v>826</v>
      </c>
    </row>
    <row r="15695" spans="1:13" x14ac:dyDescent="0.25">
      <c r="A15695" s="1" t="str">
        <f>HYPERLINK("http://www.rosaceae.org/Prunus/Prunus_persica/p.persica_gdr_reftransV1_0002100","p.persica_gdr_reftransV1_0002100")</f>
        <v>p.persica_gdr_reftransV1_0002100</v>
      </c>
      <c r="B15695" s="3">
        <v>347</v>
      </c>
      <c r="C15695" s="1" t="str">
        <f>HYPERLINK("http://www.uniprot.org/uniprot/Y2913_ARATH","Y2913_ARATH")</f>
        <v>Y2913_ARATH</v>
      </c>
      <c r="D15695" t="s">
        <v>5373</v>
      </c>
      <c r="E15695" s="3" t="s">
        <v>3</v>
      </c>
      <c r="F15695" s="4">
        <v>1.4999999999999999E-46</v>
      </c>
      <c r="G15695" s="3">
        <v>415</v>
      </c>
      <c r="H15695" s="3">
        <v>69</v>
      </c>
      <c r="I15695" s="3">
        <v>118</v>
      </c>
      <c r="J15695" s="3">
        <v>3</v>
      </c>
      <c r="K15695" s="3">
        <v>347</v>
      </c>
      <c r="L15695" s="3">
        <v>499</v>
      </c>
      <c r="M15695" s="3">
        <v>616</v>
      </c>
    </row>
    <row r="15696" spans="1:13" x14ac:dyDescent="0.25">
      <c r="A15696" s="1" t="str">
        <f>HYPERLINK("http://www.rosaceae.org/Prunus/Prunus_persica/p.persica_gdr_reftransV1_0002150","p.persica_gdr_reftransV1_0002150")</f>
        <v>p.persica_gdr_reftransV1_0002150</v>
      </c>
      <c r="B15696" s="3">
        <v>1459</v>
      </c>
      <c r="C15696" s="1" t="str">
        <f>HYPERLINK("http://www.uniprot.org/uniprot/TBL3_ARATH","TBL3_ARATH")</f>
        <v>TBL3_ARATH</v>
      </c>
      <c r="D15696" t="s">
        <v>9999</v>
      </c>
      <c r="E15696" s="3" t="s">
        <v>3</v>
      </c>
      <c r="F15696" s="4">
        <v>0</v>
      </c>
      <c r="G15696" s="3">
        <v>1438</v>
      </c>
      <c r="H15696" s="3">
        <v>62</v>
      </c>
      <c r="I15696" s="3">
        <v>419</v>
      </c>
      <c r="J15696" s="3">
        <v>57</v>
      </c>
      <c r="K15696" s="3">
        <v>1301</v>
      </c>
      <c r="L15696" s="3">
        <v>17</v>
      </c>
      <c r="M15696" s="3">
        <v>434</v>
      </c>
    </row>
    <row r="15697" spans="1:13" x14ac:dyDescent="0.25">
      <c r="A15697" s="1" t="str">
        <f>HYPERLINK("http://www.rosaceae.org/Prunus/Prunus_persica/p.persica_gdr_reftransV1_0002300","p.persica_gdr_reftransV1_0002300")</f>
        <v>p.persica_gdr_reftransV1_0002300</v>
      </c>
      <c r="B15697" s="3">
        <v>3590</v>
      </c>
      <c r="C15697" s="1" t="str">
        <f>HYPERLINK("http://www.uniprot.org/uniprot/2AB2C_ARATH","2AB2C_ARATH")</f>
        <v>2AB2C_ARATH</v>
      </c>
      <c r="D15697" t="s">
        <v>6366</v>
      </c>
      <c r="E15697" s="3" t="s">
        <v>3</v>
      </c>
      <c r="F15697" s="4">
        <v>0</v>
      </c>
      <c r="G15697" s="3">
        <v>2305</v>
      </c>
      <c r="H15697" s="3">
        <v>79</v>
      </c>
      <c r="I15697" s="3">
        <v>536</v>
      </c>
      <c r="J15697" s="3">
        <v>1604</v>
      </c>
      <c r="K15697" s="3">
        <v>3208</v>
      </c>
      <c r="L15697" s="3">
        <v>6</v>
      </c>
      <c r="M15697" s="3">
        <v>536</v>
      </c>
    </row>
    <row r="15698" spans="1:13" x14ac:dyDescent="0.25">
      <c r="A15698" s="1" t="str">
        <f>HYPERLINK("http://www.rosaceae.org/Prunus/Prunus_persica/p.persica_gdr_reftransV1_0002350","p.persica_gdr_reftransV1_0002350")</f>
        <v>p.persica_gdr_reftransV1_0002350</v>
      </c>
      <c r="B15698" s="3">
        <v>1166</v>
      </c>
      <c r="C15698" s="1" t="str">
        <f>HYPERLINK("http://www.uniprot.org/uniprot/PFD3_ARATH","PFD3_ARATH")</f>
        <v>PFD3_ARATH</v>
      </c>
      <c r="D15698" t="s">
        <v>10000</v>
      </c>
      <c r="E15698" s="3" t="s">
        <v>3</v>
      </c>
      <c r="F15698" s="4">
        <v>9.5300000000000004E-105</v>
      </c>
      <c r="G15698" s="3">
        <v>804</v>
      </c>
      <c r="H15698" s="3">
        <v>83</v>
      </c>
      <c r="I15698" s="3">
        <v>175</v>
      </c>
      <c r="J15698" s="3">
        <v>194</v>
      </c>
      <c r="K15698" s="3">
        <v>718</v>
      </c>
      <c r="L15698" s="3">
        <v>13</v>
      </c>
      <c r="M15698" s="3">
        <v>187</v>
      </c>
    </row>
    <row r="15699" spans="1:13" x14ac:dyDescent="0.25">
      <c r="A15699" s="1" t="str">
        <f>HYPERLINK("http://www.rosaceae.org/Prunus/Prunus_persica/p.persica_gdr_reftransV1_0002400","p.persica_gdr_reftransV1_0002400")</f>
        <v>p.persica_gdr_reftransV1_0002400</v>
      </c>
      <c r="B15699" s="3">
        <v>2570</v>
      </c>
      <c r="C15699" s="1" t="str">
        <f>HYPERLINK("http://www.uniprot.org/uniprot/TMVRN_NICGU","TMVRN_NICGU")</f>
        <v>TMVRN_NICGU</v>
      </c>
      <c r="D15699" t="s">
        <v>151</v>
      </c>
      <c r="E15699" s="3" t="s">
        <v>152</v>
      </c>
      <c r="F15699" s="4">
        <v>8.0600000000000005E-46</v>
      </c>
      <c r="G15699" s="3">
        <v>461</v>
      </c>
      <c r="H15699" s="3">
        <v>35</v>
      </c>
      <c r="I15699" s="3">
        <v>459</v>
      </c>
      <c r="J15699" s="3">
        <v>26</v>
      </c>
      <c r="K15699" s="3">
        <v>1312</v>
      </c>
      <c r="L15699" s="3">
        <v>551</v>
      </c>
      <c r="M15699" s="3">
        <v>987</v>
      </c>
    </row>
    <row r="15700" spans="1:13" x14ac:dyDescent="0.25">
      <c r="A15700" s="1" t="str">
        <f>HYPERLINK("http://www.rosaceae.org/Prunus/Prunus_persica/p.persica_gdr_reftransV1_0002500","p.persica_gdr_reftransV1_0002500")</f>
        <v>p.persica_gdr_reftransV1_0002500</v>
      </c>
      <c r="B15700" s="3">
        <v>2597</v>
      </c>
      <c r="C15700" s="1" t="str">
        <f>HYPERLINK("http://www.uniprot.org/uniprot/GPDH1_ORYSJ","GPDH1_ORYSJ")</f>
        <v>GPDH1_ORYSJ</v>
      </c>
      <c r="D15700" t="s">
        <v>10001</v>
      </c>
      <c r="E15700" s="3" t="s">
        <v>38</v>
      </c>
      <c r="F15700" s="4">
        <v>0</v>
      </c>
      <c r="G15700" s="3">
        <v>2061</v>
      </c>
      <c r="H15700" s="3">
        <v>84</v>
      </c>
      <c r="I15700" s="3">
        <v>453</v>
      </c>
      <c r="J15700" s="3">
        <v>216</v>
      </c>
      <c r="K15700" s="3">
        <v>1574</v>
      </c>
      <c r="L15700" s="3">
        <v>4</v>
      </c>
      <c r="M15700" s="3">
        <v>455</v>
      </c>
    </row>
    <row r="15701" spans="1:13" x14ac:dyDescent="0.25">
      <c r="A15701" s="1" t="str">
        <f>HYPERLINK("http://www.rosaceae.org/Prunus/Prunus_persica/p.persica_gdr_reftransV1_0002600","p.persica_gdr_reftransV1_0002600")</f>
        <v>p.persica_gdr_reftransV1_0002600</v>
      </c>
      <c r="B15701" s="3">
        <v>422</v>
      </c>
      <c r="C15701" s="1" t="str">
        <f>HYPERLINK("http://www.uniprot.org/uniprot/RLME_HALLT","RLME_HALLT")</f>
        <v>RLME_HALLT</v>
      </c>
      <c r="D15701" t="s">
        <v>10002</v>
      </c>
      <c r="E15701" s="3" t="s">
        <v>10003</v>
      </c>
      <c r="F15701" s="4">
        <v>2.8499999999999998E-14</v>
      </c>
      <c r="G15701" s="3">
        <v>172</v>
      </c>
      <c r="H15701" s="3">
        <v>36</v>
      </c>
      <c r="I15701" s="3">
        <v>105</v>
      </c>
      <c r="J15701" s="3">
        <v>107</v>
      </c>
      <c r="K15701" s="3">
        <v>421</v>
      </c>
      <c r="L15701" s="3">
        <v>39</v>
      </c>
      <c r="M15701" s="3">
        <v>137</v>
      </c>
    </row>
    <row r="15702" spans="1:13" x14ac:dyDescent="0.25">
      <c r="A15702" s="1" t="str">
        <f>HYPERLINK("http://www.rosaceae.org/Prunus/Prunus_persica/p.persica_gdr_reftransV1_0002650","p.persica_gdr_reftransV1_0002650")</f>
        <v>p.persica_gdr_reftransV1_0002650</v>
      </c>
      <c r="B15702" s="3">
        <v>592</v>
      </c>
      <c r="C15702" s="1" t="str">
        <f>HYPERLINK("http://www.uniprot.org/uniprot/Y5639_ARATH","Y5639_ARATH")</f>
        <v>Y5639_ARATH</v>
      </c>
      <c r="D15702" t="s">
        <v>3394</v>
      </c>
      <c r="E15702" s="3" t="s">
        <v>3</v>
      </c>
      <c r="F15702" s="4">
        <v>2.0700000000000002E-95</v>
      </c>
      <c r="G15702" s="3">
        <v>782</v>
      </c>
      <c r="H15702" s="3">
        <v>80</v>
      </c>
      <c r="I15702" s="3">
        <v>186</v>
      </c>
      <c r="J15702" s="3">
        <v>2</v>
      </c>
      <c r="K15702" s="3">
        <v>550</v>
      </c>
      <c r="L15702" s="3">
        <v>909</v>
      </c>
      <c r="M15702" s="3">
        <v>1094</v>
      </c>
    </row>
    <row r="15703" spans="1:13" x14ac:dyDescent="0.25">
      <c r="A15703" s="1" t="str">
        <f>HYPERLINK("http://www.rosaceae.org/Prunus/Prunus_persica/p.persica_gdr_reftransV1_0002800","p.persica_gdr_reftransV1_0002800")</f>
        <v>p.persica_gdr_reftransV1_0002800</v>
      </c>
      <c r="B15703" s="3">
        <v>383</v>
      </c>
      <c r="C15703" s="1" t="str">
        <f>HYPERLINK("http://www.uniprot.org/uniprot/CNGC1_ARATH","CNGC1_ARATH")</f>
        <v>CNGC1_ARATH</v>
      </c>
      <c r="D15703" t="s">
        <v>241</v>
      </c>
      <c r="E15703" s="3" t="s">
        <v>3</v>
      </c>
      <c r="F15703" s="4">
        <v>2.1299999999999999E-7</v>
      </c>
      <c r="G15703" s="3">
        <v>125</v>
      </c>
      <c r="H15703" s="3">
        <v>44</v>
      </c>
      <c r="I15703" s="3">
        <v>61</v>
      </c>
      <c r="J15703" s="3">
        <v>187</v>
      </c>
      <c r="K15703" s="3">
        <v>369</v>
      </c>
      <c r="L15703" s="3">
        <v>543</v>
      </c>
      <c r="M15703" s="3">
        <v>603</v>
      </c>
    </row>
    <row r="15704" spans="1:13" x14ac:dyDescent="0.25">
      <c r="A15704" s="1" t="str">
        <f>HYPERLINK("http://www.rosaceae.org/Prunus/Prunus_persica/p.persica_gdr_reftransV1_0002850","p.persica_gdr_reftransV1_0002850")</f>
        <v>p.persica_gdr_reftransV1_0002850</v>
      </c>
      <c r="B15704" s="3">
        <v>3385</v>
      </c>
      <c r="C15704" s="1" t="str">
        <f>HYPERLINK("http://www.uniprot.org/uniprot/FTSH1_METI4","FTSH1_METI4")</f>
        <v>FTSH1_METI4</v>
      </c>
      <c r="D15704" t="s">
        <v>10004</v>
      </c>
      <c r="E15704" s="3" t="s">
        <v>10005</v>
      </c>
      <c r="F15704" s="4">
        <v>4.29E-87</v>
      </c>
      <c r="G15704" s="3">
        <v>769</v>
      </c>
      <c r="H15704" s="3">
        <v>42</v>
      </c>
      <c r="I15704" s="3">
        <v>500</v>
      </c>
      <c r="J15704" s="3">
        <v>481</v>
      </c>
      <c r="K15704" s="3">
        <v>1965</v>
      </c>
      <c r="L15704" s="3">
        <v>160</v>
      </c>
      <c r="M15704" s="3">
        <v>625</v>
      </c>
    </row>
    <row r="15705" spans="1:13" x14ac:dyDescent="0.25">
      <c r="A15705" s="1" t="str">
        <f>HYPERLINK("http://www.rosaceae.org/Prunus/Prunus_persica/p.persica_gdr_reftransV1_0002900","p.persica_gdr_reftransV1_0002900")</f>
        <v>p.persica_gdr_reftransV1_0002900</v>
      </c>
      <c r="B15705" s="3">
        <v>3668</v>
      </c>
      <c r="C15705" s="1" t="str">
        <f>HYPERLINK("http://www.uniprot.org/uniprot/TDR_ARATH","TDR_ARATH")</f>
        <v>TDR_ARATH</v>
      </c>
      <c r="D15705" t="s">
        <v>735</v>
      </c>
      <c r="E15705" s="3" t="s">
        <v>3</v>
      </c>
      <c r="F15705" s="4">
        <v>0</v>
      </c>
      <c r="G15705" s="3">
        <v>1581</v>
      </c>
      <c r="H15705" s="3">
        <v>40</v>
      </c>
      <c r="I15705" s="3">
        <v>963</v>
      </c>
      <c r="J15705" s="3">
        <v>626</v>
      </c>
      <c r="K15705" s="3">
        <v>3358</v>
      </c>
      <c r="L15705" s="3">
        <v>52</v>
      </c>
      <c r="M15705" s="3">
        <v>1005</v>
      </c>
    </row>
    <row r="15706" spans="1:13" x14ac:dyDescent="0.25">
      <c r="A15706" s="1" t="str">
        <f>HYPERLINK("http://www.rosaceae.org/Prunus/Prunus_persica/p.persica_gdr_reftransV1_0002950","p.persica_gdr_reftransV1_0002950")</f>
        <v>p.persica_gdr_reftransV1_0002950</v>
      </c>
      <c r="B15706" s="3">
        <v>3538</v>
      </c>
      <c r="C15706" s="1" t="str">
        <f>HYPERLINK("http://www.uniprot.org/uniprot/APK1B_ARATH","APK1B_ARATH")</f>
        <v>APK1B_ARATH</v>
      </c>
      <c r="D15706" t="s">
        <v>9821</v>
      </c>
      <c r="E15706" s="3" t="s">
        <v>3</v>
      </c>
      <c r="F15706" s="4">
        <v>7.2700000000000001E-174</v>
      </c>
      <c r="G15706" s="3">
        <v>1353</v>
      </c>
      <c r="H15706" s="3">
        <v>65</v>
      </c>
      <c r="I15706" s="3">
        <v>412</v>
      </c>
      <c r="J15706" s="3">
        <v>291</v>
      </c>
      <c r="K15706" s="3">
        <v>1478</v>
      </c>
      <c r="L15706" s="3">
        <v>1</v>
      </c>
      <c r="M15706" s="3">
        <v>412</v>
      </c>
    </row>
    <row r="15707" spans="1:13" x14ac:dyDescent="0.25">
      <c r="A15707" s="1" t="str">
        <f>HYPERLINK("http://www.rosaceae.org/Prunus/Prunus_persica/p.persica_gdr_reftransV1_0003000","p.persica_gdr_reftransV1_0003000")</f>
        <v>p.persica_gdr_reftransV1_0003000</v>
      </c>
      <c r="B15707" s="3">
        <v>776</v>
      </c>
      <c r="C15707" s="1" t="str">
        <f>HYPERLINK("http://www.uniprot.org/uniprot/DRE2D_ARATH","DRE2D_ARATH")</f>
        <v>DRE2D_ARATH</v>
      </c>
      <c r="D15707" t="s">
        <v>6032</v>
      </c>
      <c r="E15707" s="3" t="s">
        <v>3</v>
      </c>
      <c r="F15707" s="4">
        <v>1.1599999999999999E-25</v>
      </c>
      <c r="G15707" s="3">
        <v>261</v>
      </c>
      <c r="H15707" s="3">
        <v>86</v>
      </c>
      <c r="I15707" s="3">
        <v>57</v>
      </c>
      <c r="J15707" s="3">
        <v>1</v>
      </c>
      <c r="K15707" s="3">
        <v>171</v>
      </c>
      <c r="L15707" s="3">
        <v>43</v>
      </c>
      <c r="M15707" s="3">
        <v>99</v>
      </c>
    </row>
    <row r="15708" spans="1:13" x14ac:dyDescent="0.25">
      <c r="A15708" s="1" t="str">
        <f>HYPERLINK("http://www.rosaceae.org/Prunus/Prunus_persica/p.persica_gdr_reftransV1_0003100","p.persica_gdr_reftransV1_0003100")</f>
        <v>p.persica_gdr_reftransV1_0003100</v>
      </c>
      <c r="B15708" s="3">
        <v>1957</v>
      </c>
      <c r="C15708" s="1" t="str">
        <f>HYPERLINK("http://www.uniprot.org/uniprot/PLA15_ARATH","PLA15_ARATH")</f>
        <v>PLA15_ARATH</v>
      </c>
      <c r="D15708" t="s">
        <v>8382</v>
      </c>
      <c r="E15708" s="3" t="s">
        <v>3</v>
      </c>
      <c r="F15708" s="4">
        <v>8.1099999999999998E-113</v>
      </c>
      <c r="G15708" s="3">
        <v>911</v>
      </c>
      <c r="H15708" s="3">
        <v>44</v>
      </c>
      <c r="I15708" s="3">
        <v>435</v>
      </c>
      <c r="J15708" s="3">
        <v>395</v>
      </c>
      <c r="K15708" s="3">
        <v>1639</v>
      </c>
      <c r="L15708" s="3">
        <v>57</v>
      </c>
      <c r="M15708" s="3">
        <v>490</v>
      </c>
    </row>
    <row r="15709" spans="1:13" x14ac:dyDescent="0.25">
      <c r="A15709" s="1" t="str">
        <f>HYPERLINK("http://www.rosaceae.org/Prunus/Prunus_persica/p.persica_gdr_reftransV1_0003150","p.persica_gdr_reftransV1_0003150")</f>
        <v>p.persica_gdr_reftransV1_0003150</v>
      </c>
      <c r="B15709" s="3">
        <v>1884</v>
      </c>
      <c r="C15709" s="1" t="str">
        <f>HYPERLINK("http://www.uniprot.org/uniprot/NFYC4_ARATH","NFYC4_ARATH")</f>
        <v>NFYC4_ARATH</v>
      </c>
      <c r="D15709" t="s">
        <v>10006</v>
      </c>
      <c r="E15709" s="3" t="s">
        <v>3</v>
      </c>
      <c r="F15709" s="4">
        <v>4.1500000000000001E-76</v>
      </c>
      <c r="G15709" s="3">
        <v>636</v>
      </c>
      <c r="H15709" s="3">
        <v>82</v>
      </c>
      <c r="I15709" s="3">
        <v>184</v>
      </c>
      <c r="J15709" s="3">
        <v>1026</v>
      </c>
      <c r="K15709" s="3">
        <v>1562</v>
      </c>
      <c r="L15709" s="3">
        <v>46</v>
      </c>
      <c r="M15709" s="3">
        <v>227</v>
      </c>
    </row>
    <row r="15710" spans="1:13" x14ac:dyDescent="0.25">
      <c r="A15710" s="1" t="str">
        <f>HYPERLINK("http://www.rosaceae.org/Prunus/Prunus_persica/p.persica_gdr_reftransV1_0003200","p.persica_gdr_reftransV1_0003200")</f>
        <v>p.persica_gdr_reftransV1_0003200</v>
      </c>
      <c r="B15710" s="3">
        <v>2145</v>
      </c>
      <c r="C15710" s="1" t="str">
        <f>HYPERLINK("http://www.uniprot.org/uniprot/POB1_ARATH","POB1_ARATH")</f>
        <v>POB1_ARATH</v>
      </c>
      <c r="D15710" t="s">
        <v>5934</v>
      </c>
      <c r="E15710" s="3" t="s">
        <v>3</v>
      </c>
      <c r="F15710" s="4">
        <v>0</v>
      </c>
      <c r="G15710" s="3">
        <v>2355</v>
      </c>
      <c r="H15710" s="3">
        <v>83</v>
      </c>
      <c r="I15710" s="3">
        <v>555</v>
      </c>
      <c r="J15710" s="3">
        <v>341</v>
      </c>
      <c r="K15710" s="3">
        <v>1993</v>
      </c>
      <c r="L15710" s="3">
        <v>7</v>
      </c>
      <c r="M15710" s="3">
        <v>556</v>
      </c>
    </row>
    <row r="15711" spans="1:13" x14ac:dyDescent="0.25">
      <c r="A15711" s="1" t="str">
        <f>HYPERLINK("http://www.rosaceae.org/Prunus/Prunus_persica/p.persica_gdr_reftransV1_0003250","p.persica_gdr_reftransV1_0003250")</f>
        <v>p.persica_gdr_reftransV1_0003250</v>
      </c>
      <c r="B15711" s="3">
        <v>2671</v>
      </c>
      <c r="C15711" s="1" t="str">
        <f>HYPERLINK("http://www.uniprot.org/uniprot/MYO12_ARATH","MYO12_ARATH")</f>
        <v>MYO12_ARATH</v>
      </c>
      <c r="D15711" t="s">
        <v>5122</v>
      </c>
      <c r="E15711" s="3" t="s">
        <v>3</v>
      </c>
      <c r="F15711" s="4">
        <v>0</v>
      </c>
      <c r="G15711" s="3">
        <v>3058</v>
      </c>
      <c r="H15711" s="3">
        <v>72</v>
      </c>
      <c r="I15711" s="3">
        <v>891</v>
      </c>
      <c r="J15711" s="3">
        <v>1</v>
      </c>
      <c r="K15711" s="3">
        <v>2670</v>
      </c>
      <c r="L15711" s="3">
        <v>392</v>
      </c>
      <c r="M15711" s="3">
        <v>1282</v>
      </c>
    </row>
    <row r="15712" spans="1:13" x14ac:dyDescent="0.25">
      <c r="A15712" s="1" t="str">
        <f>HYPERLINK("http://www.rosaceae.org/Prunus/Prunus_persica/p.persica_gdr_reftransV1_0003300","p.persica_gdr_reftransV1_0003300")</f>
        <v>p.persica_gdr_reftransV1_0003300</v>
      </c>
      <c r="B15712" s="3">
        <v>1109</v>
      </c>
      <c r="C15712" s="1" t="str">
        <f>HYPERLINK("http://www.uniprot.org/uniprot/RUBR_SYNY3","RUBR_SYNY3")</f>
        <v>RUBR_SYNY3</v>
      </c>
      <c r="D15712" t="s">
        <v>10007</v>
      </c>
      <c r="E15712" s="3" t="s">
        <v>527</v>
      </c>
      <c r="F15712" s="4">
        <v>2.2000000000000001E-14</v>
      </c>
      <c r="G15712" s="3">
        <v>178</v>
      </c>
      <c r="H15712" s="3">
        <v>39</v>
      </c>
      <c r="I15712" s="3">
        <v>89</v>
      </c>
      <c r="J15712" s="3">
        <v>494</v>
      </c>
      <c r="K15712" s="3">
        <v>754</v>
      </c>
      <c r="L15712" s="3">
        <v>7</v>
      </c>
      <c r="M15712" s="3">
        <v>95</v>
      </c>
    </row>
    <row r="15713" spans="1:13" x14ac:dyDescent="0.25">
      <c r="A15713" s="1" t="str">
        <f>HYPERLINK("http://www.rosaceae.org/Prunus/Prunus_persica/p.persica_gdr_reftransV1_0003350","p.persica_gdr_reftransV1_0003350")</f>
        <v>p.persica_gdr_reftransV1_0003350</v>
      </c>
      <c r="B15713" s="3">
        <v>374</v>
      </c>
      <c r="C15713" s="1" t="str">
        <f>HYPERLINK("http://www.uniprot.org/uniprot/PP374_ARATH","PP374_ARATH")</f>
        <v>PP374_ARATH</v>
      </c>
      <c r="D15713" t="s">
        <v>4094</v>
      </c>
      <c r="E15713" s="3" t="s">
        <v>3</v>
      </c>
      <c r="F15713" s="4">
        <v>1.97E-31</v>
      </c>
      <c r="G15713" s="3">
        <v>296</v>
      </c>
      <c r="H15713" s="3">
        <v>63</v>
      </c>
      <c r="I15713" s="3">
        <v>88</v>
      </c>
      <c r="J15713" s="3">
        <v>6</v>
      </c>
      <c r="K15713" s="3">
        <v>269</v>
      </c>
      <c r="L15713" s="3">
        <v>165</v>
      </c>
      <c r="M15713" s="3">
        <v>252</v>
      </c>
    </row>
    <row r="15714" spans="1:13" x14ac:dyDescent="0.25">
      <c r="A15714" s="1" t="str">
        <f>HYPERLINK("http://www.rosaceae.org/Prunus/Prunus_persica/p.persica_gdr_reftransV1_0003600","p.persica_gdr_reftransV1_0003600")</f>
        <v>p.persica_gdr_reftransV1_0003600</v>
      </c>
      <c r="B15714" s="3">
        <v>744</v>
      </c>
      <c r="C15714" s="1" t="str">
        <f>HYPERLINK("http://www.uniprot.org/uniprot/PLYB_ASPOR","PLYB_ASPOR")</f>
        <v>PLYB_ASPOR</v>
      </c>
      <c r="D15714" t="s">
        <v>10008</v>
      </c>
      <c r="E15714" s="3" t="s">
        <v>262</v>
      </c>
      <c r="F15714" s="4">
        <v>3.88E-73</v>
      </c>
      <c r="G15714" s="3">
        <v>592</v>
      </c>
      <c r="H15714" s="3">
        <v>64</v>
      </c>
      <c r="I15714" s="3">
        <v>180</v>
      </c>
      <c r="J15714" s="3">
        <v>5</v>
      </c>
      <c r="K15714" s="3">
        <v>541</v>
      </c>
      <c r="L15714" s="3">
        <v>124</v>
      </c>
      <c r="M15714" s="3">
        <v>303</v>
      </c>
    </row>
    <row r="15715" spans="1:13" x14ac:dyDescent="0.25">
      <c r="A15715" s="1" t="str">
        <f>HYPERLINK("http://www.rosaceae.org/Prunus/Prunus_persica/p.persica_gdr_reftransV1_0003650","p.persica_gdr_reftransV1_0003650")</f>
        <v>p.persica_gdr_reftransV1_0003650</v>
      </c>
      <c r="B15715" s="3">
        <v>1121</v>
      </c>
      <c r="C15715" s="1" t="str">
        <f>HYPERLINK("http://www.uniprot.org/uniprot/SYMC_ARATH","SYMC_ARATH")</f>
        <v>SYMC_ARATH</v>
      </c>
      <c r="D15715" t="s">
        <v>10009</v>
      </c>
      <c r="E15715" s="3" t="s">
        <v>3</v>
      </c>
      <c r="F15715" s="4">
        <v>1.1600000000000001E-84</v>
      </c>
      <c r="G15715" s="3">
        <v>714</v>
      </c>
      <c r="H15715" s="3">
        <v>65</v>
      </c>
      <c r="I15715" s="3">
        <v>229</v>
      </c>
      <c r="J15715" s="3">
        <v>282</v>
      </c>
      <c r="K15715" s="3">
        <v>941</v>
      </c>
      <c r="L15715" s="3">
        <v>574</v>
      </c>
      <c r="M15715" s="3">
        <v>797</v>
      </c>
    </row>
    <row r="15716" spans="1:13" x14ac:dyDescent="0.25">
      <c r="A15716" s="1" t="str">
        <f>HYPERLINK("http://www.rosaceae.org/Prunus/Prunus_persica/p.persica_gdr_reftransV1_0003950","p.persica_gdr_reftransV1_0003950")</f>
        <v>p.persica_gdr_reftransV1_0003950</v>
      </c>
      <c r="B15716" s="3">
        <v>1770</v>
      </c>
      <c r="C15716" s="1" t="str">
        <f>HYPERLINK("http://www.uniprot.org/uniprot/RHF2A_ARATH","RHF2A_ARATH")</f>
        <v>RHF2A_ARATH</v>
      </c>
      <c r="D15716" t="s">
        <v>4119</v>
      </c>
      <c r="E15716" s="3" t="s">
        <v>3</v>
      </c>
      <c r="F15716" s="4">
        <v>4.3399999999999997E-55</v>
      </c>
      <c r="G15716" s="3">
        <v>499</v>
      </c>
      <c r="H15716" s="3">
        <v>41</v>
      </c>
      <c r="I15716" s="3">
        <v>312</v>
      </c>
      <c r="J15716" s="3">
        <v>583</v>
      </c>
      <c r="K15716" s="3">
        <v>1446</v>
      </c>
      <c r="L15716" s="3">
        <v>25</v>
      </c>
      <c r="M15716" s="3">
        <v>321</v>
      </c>
    </row>
    <row r="15717" spans="1:13" x14ac:dyDescent="0.25">
      <c r="A15717" s="1" t="str">
        <f>HYPERLINK("http://www.rosaceae.org/Prunus/Prunus_persica/p.persica_gdr_reftransV1_0004050","p.persica_gdr_reftransV1_0004050")</f>
        <v>p.persica_gdr_reftransV1_0004050</v>
      </c>
      <c r="B15717" s="3">
        <v>3280</v>
      </c>
      <c r="C15717" s="1" t="str">
        <f>HYPERLINK("http://www.uniprot.org/uniprot/LONM_ORYSI","LONM_ORYSI")</f>
        <v>LONM_ORYSI</v>
      </c>
      <c r="D15717" t="s">
        <v>10010</v>
      </c>
      <c r="E15717" s="3" t="s">
        <v>38</v>
      </c>
      <c r="F15717" s="4">
        <v>0</v>
      </c>
      <c r="G15717" s="3">
        <v>3718</v>
      </c>
      <c r="H15717" s="3">
        <v>76</v>
      </c>
      <c r="I15717" s="3">
        <v>985</v>
      </c>
      <c r="J15717" s="3">
        <v>3</v>
      </c>
      <c r="K15717" s="3">
        <v>2927</v>
      </c>
      <c r="L15717" s="3">
        <v>33</v>
      </c>
      <c r="M15717" s="3">
        <v>1000</v>
      </c>
    </row>
    <row r="15718" spans="1:13" x14ac:dyDescent="0.25">
      <c r="A15718" s="1" t="str">
        <f>HYPERLINK("http://www.rosaceae.org/Prunus/Prunus_persica/p.persica_gdr_reftransV1_0004100","p.persica_gdr_reftransV1_0004100")</f>
        <v>p.persica_gdr_reftransV1_0004100</v>
      </c>
      <c r="B15718" s="3">
        <v>340</v>
      </c>
      <c r="C15718" s="1" t="str">
        <f>HYPERLINK("http://www.uniprot.org/uniprot/MYB4_ORYSJ","MYB4_ORYSJ")</f>
        <v>MYB4_ORYSJ</v>
      </c>
      <c r="D15718" t="s">
        <v>2801</v>
      </c>
      <c r="E15718" s="3" t="s">
        <v>38</v>
      </c>
      <c r="F15718" s="4">
        <v>5.6900000000000001E-49</v>
      </c>
      <c r="G15718" s="3">
        <v>410</v>
      </c>
      <c r="H15718" s="3">
        <v>83</v>
      </c>
      <c r="I15718" s="3">
        <v>88</v>
      </c>
      <c r="J15718" s="3">
        <v>6</v>
      </c>
      <c r="K15718" s="3">
        <v>269</v>
      </c>
      <c r="L15718" s="3">
        <v>1</v>
      </c>
      <c r="M15718" s="3">
        <v>88</v>
      </c>
    </row>
    <row r="15719" spans="1:13" x14ac:dyDescent="0.25">
      <c r="A15719" s="1" t="str">
        <f>HYPERLINK("http://www.rosaceae.org/Prunus/Prunus_persica/p.persica_gdr_reftransV1_0004150","p.persica_gdr_reftransV1_0004150")</f>
        <v>p.persica_gdr_reftransV1_0004150</v>
      </c>
      <c r="B15719" s="3">
        <v>584</v>
      </c>
      <c r="C15719" s="1" t="str">
        <f>HYPERLINK("http://www.uniprot.org/uniprot/M820_ARATH","M820_ARATH")</f>
        <v>M820_ARATH</v>
      </c>
      <c r="D15719" t="s">
        <v>10011</v>
      </c>
      <c r="E15719" s="3" t="s">
        <v>3</v>
      </c>
      <c r="F15719" s="4">
        <v>1.03E-20</v>
      </c>
      <c r="G15719" s="3">
        <v>220</v>
      </c>
      <c r="H15719" s="3">
        <v>52</v>
      </c>
      <c r="I15719" s="3">
        <v>75</v>
      </c>
      <c r="J15719" s="3">
        <v>1</v>
      </c>
      <c r="K15719" s="3">
        <v>225</v>
      </c>
      <c r="L15719" s="3">
        <v>27</v>
      </c>
      <c r="M15719" s="3">
        <v>101</v>
      </c>
    </row>
    <row r="15720" spans="1:13" x14ac:dyDescent="0.25">
      <c r="A15720" s="1" t="str">
        <f>HYPERLINK("http://www.rosaceae.org/Prunus/Prunus_persica/p.persica_gdr_reftransV1_0004200","p.persica_gdr_reftransV1_0004200")</f>
        <v>p.persica_gdr_reftransV1_0004200</v>
      </c>
      <c r="B15720" s="3">
        <v>519</v>
      </c>
      <c r="C15720" s="1" t="str">
        <f>HYPERLINK("http://www.uniprot.org/uniprot/MES1_ARATH","MES1_ARATH")</f>
        <v>MES1_ARATH</v>
      </c>
      <c r="D15720" t="s">
        <v>10012</v>
      </c>
      <c r="E15720" s="3" t="s">
        <v>3</v>
      </c>
      <c r="F15720" s="4">
        <v>1.08E-54</v>
      </c>
      <c r="G15720" s="3">
        <v>456</v>
      </c>
      <c r="H15720" s="3">
        <v>64</v>
      </c>
      <c r="I15720" s="3">
        <v>129</v>
      </c>
      <c r="J15720" s="3">
        <v>87</v>
      </c>
      <c r="K15720" s="3">
        <v>470</v>
      </c>
      <c r="L15720" s="3">
        <v>1</v>
      </c>
      <c r="M15720" s="3">
        <v>129</v>
      </c>
    </row>
    <row r="15721" spans="1:13" x14ac:dyDescent="0.25">
      <c r="A15721" s="1" t="str">
        <f>HYPERLINK("http://www.rosaceae.org/Prunus/Prunus_persica/p.persica_gdr_reftransV1_0004300","p.persica_gdr_reftransV1_0004300")</f>
        <v>p.persica_gdr_reftransV1_0004300</v>
      </c>
      <c r="B15721" s="3">
        <v>731</v>
      </c>
      <c r="C15721" s="1" t="str">
        <f>HYPERLINK("http://www.uniprot.org/uniprot/POLX_TOBAC","POLX_TOBAC")</f>
        <v>POLX_TOBAC</v>
      </c>
      <c r="D15721" t="s">
        <v>1253</v>
      </c>
      <c r="E15721" s="3" t="s">
        <v>200</v>
      </c>
      <c r="F15721" s="4">
        <v>4.1099999999999998E-36</v>
      </c>
      <c r="G15721" s="3">
        <v>355</v>
      </c>
      <c r="H15721" s="3">
        <v>46</v>
      </c>
      <c r="I15721" s="3">
        <v>151</v>
      </c>
      <c r="J15721" s="3">
        <v>153</v>
      </c>
      <c r="K15721" s="3">
        <v>605</v>
      </c>
      <c r="L15721" s="3">
        <v>828</v>
      </c>
      <c r="M15721" s="3">
        <v>978</v>
      </c>
    </row>
    <row r="15722" spans="1:13" x14ac:dyDescent="0.25">
      <c r="A15722" s="1" t="str">
        <f>HYPERLINK("http://www.rosaceae.org/Prunus/Prunus_persica/p.persica_gdr_reftransV1_0004350","p.persica_gdr_reftransV1_0004350")</f>
        <v>p.persica_gdr_reftransV1_0004350</v>
      </c>
      <c r="B15722" s="3">
        <v>676</v>
      </c>
      <c r="C15722" s="1" t="str">
        <f>HYPERLINK("http://www.uniprot.org/uniprot/RTM2_ARATH","RTM2_ARATH")</f>
        <v>RTM2_ARATH</v>
      </c>
      <c r="D15722" t="s">
        <v>3929</v>
      </c>
      <c r="E15722" s="3" t="s">
        <v>3</v>
      </c>
      <c r="F15722" s="4">
        <v>3.72E-7</v>
      </c>
      <c r="G15722" s="3">
        <v>127</v>
      </c>
      <c r="H15722" s="3">
        <v>34</v>
      </c>
      <c r="I15722" s="3">
        <v>91</v>
      </c>
      <c r="J15722" s="3">
        <v>122</v>
      </c>
      <c r="K15722" s="3">
        <v>385</v>
      </c>
      <c r="L15722" s="3">
        <v>16</v>
      </c>
      <c r="M15722" s="3">
        <v>104</v>
      </c>
    </row>
    <row r="15723" spans="1:13" x14ac:dyDescent="0.25">
      <c r="A15723" s="1" t="str">
        <f>HYPERLINK("http://www.rosaceae.org/Prunus/Prunus_persica/p.persica_gdr_reftransV1_0004400","p.persica_gdr_reftransV1_0004400")</f>
        <v>p.persica_gdr_reftransV1_0004400</v>
      </c>
      <c r="B15723" s="3">
        <v>4481</v>
      </c>
      <c r="C15723" s="1" t="str">
        <f>HYPERLINK("http://www.uniprot.org/uniprot/LUT5_ARATH","LUT5_ARATH")</f>
        <v>LUT5_ARATH</v>
      </c>
      <c r="D15723" t="s">
        <v>10013</v>
      </c>
      <c r="E15723" s="3" t="s">
        <v>3</v>
      </c>
      <c r="F15723" s="4">
        <v>0</v>
      </c>
      <c r="G15723" s="3">
        <v>2301</v>
      </c>
      <c r="H15723" s="3">
        <v>77</v>
      </c>
      <c r="I15723" s="3">
        <v>599</v>
      </c>
      <c r="J15723" s="3">
        <v>186</v>
      </c>
      <c r="K15723" s="3">
        <v>1970</v>
      </c>
      <c r="L15723" s="3">
        <v>1</v>
      </c>
      <c r="M15723" s="3">
        <v>586</v>
      </c>
    </row>
    <row r="15724" spans="1:13" x14ac:dyDescent="0.25">
      <c r="A15724" s="1" t="str">
        <f>HYPERLINK("http://www.rosaceae.org/Prunus/Prunus_persica/p.persica_gdr_reftransV1_0004450","p.persica_gdr_reftransV1_0004450")</f>
        <v>p.persica_gdr_reftransV1_0004450</v>
      </c>
      <c r="B15724" s="3">
        <v>802</v>
      </c>
      <c r="C15724" s="1" t="str">
        <f>HYPERLINK("http://www.uniprot.org/uniprot/P2A01_ARATH","P2A01_ARATH")</f>
        <v>P2A01_ARATH</v>
      </c>
      <c r="D15724" t="s">
        <v>9010</v>
      </c>
      <c r="E15724" s="3" t="s">
        <v>3</v>
      </c>
      <c r="F15724" s="4">
        <v>3.41E-31</v>
      </c>
      <c r="G15724" s="3">
        <v>303</v>
      </c>
      <c r="H15724" s="3">
        <v>44</v>
      </c>
      <c r="I15724" s="3">
        <v>155</v>
      </c>
      <c r="J15724" s="3">
        <v>321</v>
      </c>
      <c r="K15724" s="3">
        <v>761</v>
      </c>
      <c r="L15724" s="3">
        <v>93</v>
      </c>
      <c r="M15724" s="3">
        <v>245</v>
      </c>
    </row>
    <row r="15725" spans="1:13" x14ac:dyDescent="0.25">
      <c r="A15725" s="1" t="str">
        <f>HYPERLINK("http://www.rosaceae.org/Prunus/Prunus_persica/p.persica_gdr_reftransV1_0004500","p.persica_gdr_reftransV1_0004500")</f>
        <v>p.persica_gdr_reftransV1_0004500</v>
      </c>
      <c r="B15725" s="3">
        <v>1342</v>
      </c>
      <c r="C15725" s="1" t="str">
        <f>HYPERLINK("http://www.uniprot.org/uniprot/PLP2_ARATH","PLP2_ARATH")</f>
        <v>PLP2_ARATH</v>
      </c>
      <c r="D15725" t="s">
        <v>2299</v>
      </c>
      <c r="E15725" s="3" t="s">
        <v>3</v>
      </c>
      <c r="F15725" s="4">
        <v>1.2200000000000001E-152</v>
      </c>
      <c r="G15725" s="3">
        <v>1148</v>
      </c>
      <c r="H15725" s="3">
        <v>66</v>
      </c>
      <c r="I15725" s="3">
        <v>336</v>
      </c>
      <c r="J15725" s="3">
        <v>121</v>
      </c>
      <c r="K15725" s="3">
        <v>1128</v>
      </c>
      <c r="L15725" s="3">
        <v>70</v>
      </c>
      <c r="M15725" s="3">
        <v>404</v>
      </c>
    </row>
    <row r="15726" spans="1:13" x14ac:dyDescent="0.25">
      <c r="A15726" s="1" t="str">
        <f>HYPERLINK("http://www.rosaceae.org/Prunus/Prunus_persica/p.persica_gdr_reftransV1_0004550","p.persica_gdr_reftransV1_0004550")</f>
        <v>p.persica_gdr_reftransV1_0004550</v>
      </c>
      <c r="B15726" s="3">
        <v>2011</v>
      </c>
      <c r="C15726" s="1" t="str">
        <f>HYPERLINK("http://www.uniprot.org/uniprot/GPDL2_ARATH","GPDL2_ARATH")</f>
        <v>GPDL2_ARATH</v>
      </c>
      <c r="D15726" t="s">
        <v>3941</v>
      </c>
      <c r="E15726" s="3" t="s">
        <v>3</v>
      </c>
      <c r="F15726" s="4">
        <v>4.05E-83</v>
      </c>
      <c r="G15726" s="3">
        <v>740</v>
      </c>
      <c r="H15726" s="3">
        <v>50</v>
      </c>
      <c r="I15726" s="3">
        <v>288</v>
      </c>
      <c r="J15726" s="3">
        <v>224</v>
      </c>
      <c r="K15726" s="3">
        <v>1072</v>
      </c>
      <c r="L15726" s="3">
        <v>795</v>
      </c>
      <c r="M15726" s="3">
        <v>1081</v>
      </c>
    </row>
    <row r="15727" spans="1:13" x14ac:dyDescent="0.25">
      <c r="A15727" s="1" t="str">
        <f>HYPERLINK("http://www.rosaceae.org/Prunus/Prunus_persica/p.persica_gdr_reftransV1_0004850","p.persica_gdr_reftransV1_0004850")</f>
        <v>p.persica_gdr_reftransV1_0004850</v>
      </c>
      <c r="B15727" s="3">
        <v>625</v>
      </c>
      <c r="C15727" s="1" t="str">
        <f>HYPERLINK("http://www.uniprot.org/uniprot/PHO1A_ARATH","PHO1A_ARATH")</f>
        <v>PHO1A_ARATH</v>
      </c>
      <c r="D15727" t="s">
        <v>4147</v>
      </c>
      <c r="E15727" s="3" t="s">
        <v>3</v>
      </c>
      <c r="F15727" s="4">
        <v>7.5700000000000003E-55</v>
      </c>
      <c r="G15727" s="3">
        <v>484</v>
      </c>
      <c r="H15727" s="3">
        <v>74</v>
      </c>
      <c r="I15727" s="3">
        <v>116</v>
      </c>
      <c r="J15727" s="3">
        <v>273</v>
      </c>
      <c r="K15727" s="3">
        <v>620</v>
      </c>
      <c r="L15727" s="3">
        <v>653</v>
      </c>
      <c r="M15727" s="3">
        <v>768</v>
      </c>
    </row>
    <row r="15728" spans="1:13" x14ac:dyDescent="0.25">
      <c r="A15728" s="1" t="str">
        <f>HYPERLINK("http://www.rosaceae.org/Prunus/Prunus_persica/p.persica_gdr_reftransV1_0005000","p.persica_gdr_reftransV1_0005000")</f>
        <v>p.persica_gdr_reftransV1_0005000</v>
      </c>
      <c r="B15728" s="3">
        <v>754</v>
      </c>
      <c r="C15728" s="1" t="str">
        <f>HYPERLINK("http://www.uniprot.org/uniprot/HS176_ARATH","HS176_ARATH")</f>
        <v>HS176_ARATH</v>
      </c>
      <c r="D15728" t="s">
        <v>10014</v>
      </c>
      <c r="E15728" s="3" t="s">
        <v>3</v>
      </c>
      <c r="F15728" s="4">
        <v>2.4599999999999999E-52</v>
      </c>
      <c r="G15728" s="3">
        <v>439</v>
      </c>
      <c r="H15728" s="3">
        <v>69</v>
      </c>
      <c r="I15728" s="3">
        <v>154</v>
      </c>
      <c r="J15728" s="3">
        <v>164</v>
      </c>
      <c r="K15728" s="3">
        <v>625</v>
      </c>
      <c r="L15728" s="3">
        <v>8</v>
      </c>
      <c r="M15728" s="3">
        <v>155</v>
      </c>
    </row>
    <row r="15729" spans="1:13" x14ac:dyDescent="0.25">
      <c r="A15729" s="1" t="str">
        <f>HYPERLINK("http://www.rosaceae.org/Prunus/Prunus_persica/p.persica_gdr_reftransV1_0005050","p.persica_gdr_reftransV1_0005050")</f>
        <v>p.persica_gdr_reftransV1_0005050</v>
      </c>
      <c r="B15729" s="3">
        <v>1602</v>
      </c>
      <c r="C15729" s="1" t="str">
        <f>HYPERLINK("http://www.uniprot.org/uniprot/RCA_SOLPN","RCA_SOLPN")</f>
        <v>RCA_SOLPN</v>
      </c>
      <c r="D15729" t="s">
        <v>10015</v>
      </c>
      <c r="E15729" s="3" t="s">
        <v>7511</v>
      </c>
      <c r="F15729" s="4">
        <v>6.4800000000000003E-89</v>
      </c>
      <c r="G15729" s="3">
        <v>535</v>
      </c>
      <c r="H15729" s="3">
        <v>51</v>
      </c>
      <c r="I15729" s="3">
        <v>203</v>
      </c>
      <c r="J15729" s="3">
        <v>228</v>
      </c>
      <c r="K15729" s="3">
        <v>833</v>
      </c>
      <c r="L15729" s="3">
        <v>219</v>
      </c>
      <c r="M15729" s="3">
        <v>417</v>
      </c>
    </row>
    <row r="15730" spans="1:13" x14ac:dyDescent="0.25">
      <c r="A15730" s="1" t="str">
        <f>HYPERLINK("http://www.rosaceae.org/Prunus/Prunus_persica/p.persica_gdr_reftransV1_0005200","p.persica_gdr_reftransV1_0005200")</f>
        <v>p.persica_gdr_reftransV1_0005200</v>
      </c>
      <c r="B15730" s="3">
        <v>696</v>
      </c>
      <c r="C15730" s="1" t="str">
        <f>HYPERLINK("http://www.uniprot.org/uniprot/DYL2_SCHMA","DYL2_SCHMA")</f>
        <v>DYL2_SCHMA</v>
      </c>
      <c r="D15730" t="s">
        <v>4259</v>
      </c>
      <c r="E15730" s="3" t="s">
        <v>4260</v>
      </c>
      <c r="F15730" s="4">
        <v>1.13E-15</v>
      </c>
      <c r="G15730" s="3">
        <v>180</v>
      </c>
      <c r="H15730" s="3">
        <v>44</v>
      </c>
      <c r="I15730" s="3">
        <v>90</v>
      </c>
      <c r="J15730" s="3">
        <v>368</v>
      </c>
      <c r="K15730" s="3">
        <v>637</v>
      </c>
      <c r="L15730" s="3">
        <v>1</v>
      </c>
      <c r="M15730" s="3">
        <v>88</v>
      </c>
    </row>
    <row r="15731" spans="1:13" x14ac:dyDescent="0.25">
      <c r="A15731" s="1" t="str">
        <f>HYPERLINK("http://www.rosaceae.org/Prunus/Prunus_persica/p.persica_gdr_reftransV1_0005250","p.persica_gdr_reftransV1_0005250")</f>
        <v>p.persica_gdr_reftransV1_0005250</v>
      </c>
      <c r="B15731" s="3">
        <v>2123</v>
      </c>
      <c r="C15731" s="1" t="str">
        <f>HYPERLINK("http://www.uniprot.org/uniprot/PSMD3_DAUCA","PSMD3_DAUCA")</f>
        <v>PSMD3_DAUCA</v>
      </c>
      <c r="D15731" t="s">
        <v>4276</v>
      </c>
      <c r="E15731" s="3" t="s">
        <v>32</v>
      </c>
      <c r="F15731" s="4">
        <v>0</v>
      </c>
      <c r="G15731" s="3">
        <v>2041</v>
      </c>
      <c r="H15731" s="3">
        <v>86</v>
      </c>
      <c r="I15731" s="3">
        <v>490</v>
      </c>
      <c r="J15731" s="3">
        <v>180</v>
      </c>
      <c r="K15731" s="3">
        <v>1649</v>
      </c>
      <c r="L15731" s="3">
        <v>1</v>
      </c>
      <c r="M15731" s="3">
        <v>489</v>
      </c>
    </row>
    <row r="15732" spans="1:13" x14ac:dyDescent="0.25">
      <c r="A15732" s="1" t="str">
        <f>HYPERLINK("http://www.rosaceae.org/Prunus/Prunus_persica/p.persica_gdr_reftransV1_0005300","p.persica_gdr_reftransV1_0005300")</f>
        <v>p.persica_gdr_reftransV1_0005300</v>
      </c>
      <c r="B15732" s="3">
        <v>918</v>
      </c>
      <c r="C15732" s="1" t="str">
        <f>HYPERLINK("http://www.uniprot.org/uniprot/TCP8_ARATH","TCP8_ARATH")</f>
        <v>TCP8_ARATH</v>
      </c>
      <c r="D15732" t="s">
        <v>10016</v>
      </c>
      <c r="E15732" s="3" t="s">
        <v>3</v>
      </c>
      <c r="F15732" s="4">
        <v>1.9300000000000001E-27</v>
      </c>
      <c r="G15732" s="3">
        <v>285</v>
      </c>
      <c r="H15732" s="3">
        <v>95</v>
      </c>
      <c r="I15732" s="3">
        <v>55</v>
      </c>
      <c r="J15732" s="3">
        <v>752</v>
      </c>
      <c r="K15732" s="3">
        <v>916</v>
      </c>
      <c r="L15732" s="3">
        <v>57</v>
      </c>
      <c r="M15732" s="3">
        <v>111</v>
      </c>
    </row>
    <row r="15733" spans="1:13" x14ac:dyDescent="0.25">
      <c r="A15733" s="1" t="str">
        <f>HYPERLINK("http://www.rosaceae.org/Prunus/Prunus_persica/p.persica_gdr_reftransV1_0005500","p.persica_gdr_reftransV1_0005500")</f>
        <v>p.persica_gdr_reftransV1_0005500</v>
      </c>
      <c r="B15733" s="3">
        <v>2554</v>
      </c>
      <c r="C15733" s="1" t="str">
        <f>HYPERLINK("http://www.uniprot.org/uniprot/CRK25_ARATH","CRK25_ARATH")</f>
        <v>CRK25_ARATH</v>
      </c>
      <c r="D15733" t="s">
        <v>3305</v>
      </c>
      <c r="E15733" s="3" t="s">
        <v>3</v>
      </c>
      <c r="F15733" s="4">
        <v>5.1399999999999997E-180</v>
      </c>
      <c r="G15733" s="3">
        <v>1084</v>
      </c>
      <c r="H15733" s="3">
        <v>58</v>
      </c>
      <c r="I15733" s="3">
        <v>354</v>
      </c>
      <c r="J15733" s="3">
        <v>196</v>
      </c>
      <c r="K15733" s="3">
        <v>1248</v>
      </c>
      <c r="L15733" s="3">
        <v>363</v>
      </c>
      <c r="M15733" s="3">
        <v>675</v>
      </c>
    </row>
    <row r="15734" spans="1:13" x14ac:dyDescent="0.25">
      <c r="A15734" s="1" t="str">
        <f>HYPERLINK("http://www.rosaceae.org/Prunus/Prunus_persica/p.persica_gdr_reftransV1_0005650","p.persica_gdr_reftransV1_0005650")</f>
        <v>p.persica_gdr_reftransV1_0005650</v>
      </c>
      <c r="B15734" s="3">
        <v>782</v>
      </c>
      <c r="C15734" s="1" t="str">
        <f>HYPERLINK("http://www.uniprot.org/uniprot/OFP6_ARATH","OFP6_ARATH")</f>
        <v>OFP6_ARATH</v>
      </c>
      <c r="D15734" t="s">
        <v>4457</v>
      </c>
      <c r="E15734" s="3" t="s">
        <v>3</v>
      </c>
      <c r="F15734" s="4">
        <v>3.7000000000000002E-28</v>
      </c>
      <c r="G15734" s="3">
        <v>276</v>
      </c>
      <c r="H15734" s="3">
        <v>39</v>
      </c>
      <c r="I15734" s="3">
        <v>188</v>
      </c>
      <c r="J15734" s="3">
        <v>182</v>
      </c>
      <c r="K15734" s="3">
        <v>727</v>
      </c>
      <c r="L15734" s="3">
        <v>5</v>
      </c>
      <c r="M15734" s="3">
        <v>155</v>
      </c>
    </row>
    <row r="15735" spans="1:13" x14ac:dyDescent="0.25">
      <c r="A15735" s="1" t="str">
        <f>HYPERLINK("http://www.rosaceae.org/Prunus/Prunus_persica/p.persica_gdr_reftransV1_0005700","p.persica_gdr_reftransV1_0005700")</f>
        <v>p.persica_gdr_reftransV1_0005700</v>
      </c>
      <c r="B15735" s="3">
        <v>1187</v>
      </c>
      <c r="C15735" s="1" t="str">
        <f>HYPERLINK("http://www.uniprot.org/uniprot/FATB_GOSHI","FATB_GOSHI")</f>
        <v>FATB_GOSHI</v>
      </c>
      <c r="D15735" t="s">
        <v>2105</v>
      </c>
      <c r="E15735" s="3" t="s">
        <v>816</v>
      </c>
      <c r="F15735" s="4">
        <v>8.2199999999999996E-97</v>
      </c>
      <c r="G15735" s="3">
        <v>772</v>
      </c>
      <c r="H15735" s="3">
        <v>48</v>
      </c>
      <c r="I15735" s="3">
        <v>296</v>
      </c>
      <c r="J15735" s="3">
        <v>3</v>
      </c>
      <c r="K15735" s="3">
        <v>887</v>
      </c>
      <c r="L15735" s="3">
        <v>101</v>
      </c>
      <c r="M15735" s="3">
        <v>395</v>
      </c>
    </row>
    <row r="15736" spans="1:13" x14ac:dyDescent="0.25">
      <c r="A15736" s="1" t="str">
        <f>HYPERLINK("http://www.rosaceae.org/Prunus/Prunus_persica/p.persica_gdr_reftransV1_0005800","p.persica_gdr_reftransV1_0005800")</f>
        <v>p.persica_gdr_reftransV1_0005800</v>
      </c>
      <c r="B15736" s="3">
        <v>2056</v>
      </c>
      <c r="C15736" s="1" t="str">
        <f>HYPERLINK("http://www.uniprot.org/uniprot/PSBS_SPIOL","PSBS_SPIOL")</f>
        <v>PSBS_SPIOL</v>
      </c>
      <c r="D15736" t="s">
        <v>10017</v>
      </c>
      <c r="E15736" s="3" t="s">
        <v>131</v>
      </c>
      <c r="F15736" s="4">
        <v>3.6799999999999997E-79</v>
      </c>
      <c r="G15736" s="3">
        <v>663</v>
      </c>
      <c r="H15736" s="3">
        <v>84</v>
      </c>
      <c r="I15736" s="3">
        <v>174</v>
      </c>
      <c r="J15736" s="3">
        <v>301</v>
      </c>
      <c r="K15736" s="3">
        <v>822</v>
      </c>
      <c r="L15736" s="3">
        <v>101</v>
      </c>
      <c r="M15736" s="3">
        <v>274</v>
      </c>
    </row>
    <row r="15737" spans="1:13" x14ac:dyDescent="0.25">
      <c r="A15737" s="1" t="str">
        <f>HYPERLINK("http://www.rosaceae.org/Prunus/Prunus_persica/p.persica_gdr_reftransV1_0005900","p.persica_gdr_reftransV1_0005900")</f>
        <v>p.persica_gdr_reftransV1_0005900</v>
      </c>
      <c r="B15737" s="3">
        <v>691</v>
      </c>
      <c r="C15737" s="1" t="str">
        <f>HYPERLINK("http://www.uniprot.org/uniprot/PHO13_ARATH","PHO13_ARATH")</f>
        <v>PHO13_ARATH</v>
      </c>
      <c r="D15737" t="s">
        <v>8578</v>
      </c>
      <c r="E15737" s="3" t="s">
        <v>3</v>
      </c>
      <c r="F15737" s="4">
        <v>9.1800000000000001E-54</v>
      </c>
      <c r="G15737" s="3">
        <v>479</v>
      </c>
      <c r="H15737" s="3">
        <v>55</v>
      </c>
      <c r="I15737" s="3">
        <v>229</v>
      </c>
      <c r="J15737" s="3">
        <v>44</v>
      </c>
      <c r="K15737" s="3">
        <v>691</v>
      </c>
      <c r="L15737" s="3">
        <v>1</v>
      </c>
      <c r="M15737" s="3">
        <v>225</v>
      </c>
    </row>
    <row r="15738" spans="1:13" x14ac:dyDescent="0.25">
      <c r="A15738" s="1" t="str">
        <f>HYPERLINK("http://www.rosaceae.org/Prunus/Prunus_persica/p.persica_gdr_reftransV1_0006000","p.persica_gdr_reftransV1_0006000")</f>
        <v>p.persica_gdr_reftransV1_0006000</v>
      </c>
      <c r="B15738" s="3">
        <v>1709</v>
      </c>
      <c r="C15738" s="1" t="str">
        <f>HYPERLINK("http://www.uniprot.org/uniprot/NAC94_ARATH","NAC94_ARATH")</f>
        <v>NAC94_ARATH</v>
      </c>
      <c r="D15738" t="s">
        <v>1014</v>
      </c>
      <c r="E15738" s="3" t="s">
        <v>3</v>
      </c>
      <c r="F15738" s="4">
        <v>7.4700000000000001E-56</v>
      </c>
      <c r="G15738" s="3">
        <v>501</v>
      </c>
      <c r="H15738" s="3">
        <v>46</v>
      </c>
      <c r="I15738" s="3">
        <v>221</v>
      </c>
      <c r="J15738" s="3">
        <v>368</v>
      </c>
      <c r="K15738" s="3">
        <v>937</v>
      </c>
      <c r="L15738" s="3">
        <v>19</v>
      </c>
      <c r="M15738" s="3">
        <v>239</v>
      </c>
    </row>
    <row r="15739" spans="1:13" x14ac:dyDescent="0.25">
      <c r="A15739" s="1" t="str">
        <f>HYPERLINK("http://www.rosaceae.org/Prunus/Prunus_persica/p.persica_gdr_reftransV1_0006100","p.persica_gdr_reftransV1_0006100")</f>
        <v>p.persica_gdr_reftransV1_0006100</v>
      </c>
      <c r="B15739" s="3">
        <v>670</v>
      </c>
      <c r="C15739" s="1" t="str">
        <f>HYPERLINK("http://www.uniprot.org/uniprot/CSLE1_ARATH","CSLE1_ARATH")</f>
        <v>CSLE1_ARATH</v>
      </c>
      <c r="D15739" t="s">
        <v>4194</v>
      </c>
      <c r="E15739" s="3" t="s">
        <v>3</v>
      </c>
      <c r="F15739" s="4">
        <v>1.42E-98</v>
      </c>
      <c r="G15739" s="3">
        <v>790</v>
      </c>
      <c r="H15739" s="3">
        <v>65</v>
      </c>
      <c r="I15739" s="3">
        <v>223</v>
      </c>
      <c r="J15739" s="3">
        <v>1</v>
      </c>
      <c r="K15739" s="3">
        <v>669</v>
      </c>
      <c r="L15739" s="3">
        <v>284</v>
      </c>
      <c r="M15739" s="3">
        <v>499</v>
      </c>
    </row>
    <row r="15740" spans="1:13" x14ac:dyDescent="0.25">
      <c r="A15740" s="1" t="str">
        <f>HYPERLINK("http://www.rosaceae.org/Prunus/Prunus_persica/p.persica_gdr_reftransV1_0006150","p.persica_gdr_reftransV1_0006150")</f>
        <v>p.persica_gdr_reftransV1_0006150</v>
      </c>
      <c r="B15740" s="3">
        <v>511</v>
      </c>
      <c r="C15740" s="1" t="str">
        <f>HYPERLINK("http://www.uniprot.org/uniprot/PGLR_PRUPE","PGLR_PRUPE")</f>
        <v>PGLR_PRUPE</v>
      </c>
      <c r="D15740" t="s">
        <v>783</v>
      </c>
      <c r="E15740" s="3" t="s">
        <v>784</v>
      </c>
      <c r="F15740" s="4">
        <v>1.03E-88</v>
      </c>
      <c r="G15740" s="3">
        <v>693</v>
      </c>
      <c r="H15740" s="3">
        <v>84</v>
      </c>
      <c r="I15740" s="3">
        <v>148</v>
      </c>
      <c r="J15740" s="3">
        <v>1</v>
      </c>
      <c r="K15740" s="3">
        <v>444</v>
      </c>
      <c r="L15740" s="3">
        <v>246</v>
      </c>
      <c r="M15740" s="3">
        <v>393</v>
      </c>
    </row>
    <row r="15741" spans="1:13" x14ac:dyDescent="0.25">
      <c r="A15741" s="1" t="str">
        <f>HYPERLINK("http://www.rosaceae.org/Prunus/Prunus_persica/p.persica_gdr_reftransV1_0006200","p.persica_gdr_reftransV1_0006200")</f>
        <v>p.persica_gdr_reftransV1_0006200</v>
      </c>
      <c r="B15741" s="3">
        <v>852</v>
      </c>
      <c r="C15741" s="1" t="str">
        <f>HYPERLINK("http://www.uniprot.org/uniprot/ZFP7_ARATH","ZFP7_ARATH")</f>
        <v>ZFP7_ARATH</v>
      </c>
      <c r="D15741" t="s">
        <v>8780</v>
      </c>
      <c r="E15741" s="3" t="s">
        <v>3</v>
      </c>
      <c r="F15741" s="4">
        <v>1.9200000000000002E-18</v>
      </c>
      <c r="G15741" s="3">
        <v>210</v>
      </c>
      <c r="H15741" s="3">
        <v>44</v>
      </c>
      <c r="I15741" s="3">
        <v>113</v>
      </c>
      <c r="J15741" s="3">
        <v>258</v>
      </c>
      <c r="K15741" s="3">
        <v>587</v>
      </c>
      <c r="L15741" s="3">
        <v>57</v>
      </c>
      <c r="M15741" s="3">
        <v>165</v>
      </c>
    </row>
    <row r="15742" spans="1:13" x14ac:dyDescent="0.25">
      <c r="A15742" s="1" t="str">
        <f>HYPERLINK("http://www.rosaceae.org/Prunus/Prunus_persica/p.persica_gdr_reftransV1_0006250","p.persica_gdr_reftransV1_0006250")</f>
        <v>p.persica_gdr_reftransV1_0006250</v>
      </c>
      <c r="B15742" s="3">
        <v>1092</v>
      </c>
      <c r="C15742" s="1" t="str">
        <f>HYPERLINK("http://www.uniprot.org/uniprot/TBL43_ARATH","TBL43_ARATH")</f>
        <v>TBL43_ARATH</v>
      </c>
      <c r="D15742" t="s">
        <v>3846</v>
      </c>
      <c r="E15742" s="3" t="s">
        <v>3</v>
      </c>
      <c r="F15742" s="4">
        <v>5.3E-135</v>
      </c>
      <c r="G15742" s="3">
        <v>1019</v>
      </c>
      <c r="H15742" s="3">
        <v>57</v>
      </c>
      <c r="I15742" s="3">
        <v>327</v>
      </c>
      <c r="J15742" s="3">
        <v>1</v>
      </c>
      <c r="K15742" s="3">
        <v>972</v>
      </c>
      <c r="L15742" s="3">
        <v>41</v>
      </c>
      <c r="M15742" s="3">
        <v>365</v>
      </c>
    </row>
    <row r="15743" spans="1:13" x14ac:dyDescent="0.25">
      <c r="A15743" s="1" t="str">
        <f>HYPERLINK("http://www.rosaceae.org/Prunus/Prunus_persica/p.persica_gdr_reftransV1_0006300","p.persica_gdr_reftransV1_0006300")</f>
        <v>p.persica_gdr_reftransV1_0006300</v>
      </c>
      <c r="B15743" s="3">
        <v>782</v>
      </c>
      <c r="C15743" s="1" t="str">
        <f>HYPERLINK("http://www.uniprot.org/uniprot/DRP4C_ARATH","DRP4C_ARATH")</f>
        <v>DRP4C_ARATH</v>
      </c>
      <c r="D15743" t="s">
        <v>7090</v>
      </c>
      <c r="E15743" s="3" t="s">
        <v>3</v>
      </c>
      <c r="F15743" s="4">
        <v>1.8299999999999999E-39</v>
      </c>
      <c r="G15743" s="3">
        <v>329</v>
      </c>
      <c r="H15743" s="3">
        <v>43</v>
      </c>
      <c r="I15743" s="3">
        <v>132</v>
      </c>
      <c r="J15743" s="3">
        <v>274</v>
      </c>
      <c r="K15743" s="3">
        <v>669</v>
      </c>
      <c r="L15743" s="3">
        <v>430</v>
      </c>
      <c r="M15743" s="3">
        <v>561</v>
      </c>
    </row>
    <row r="15744" spans="1:13" x14ac:dyDescent="0.25">
      <c r="A15744" s="1" t="str">
        <f>HYPERLINK("http://www.rosaceae.org/Prunus/Prunus_persica/p.persica_gdr_reftransV1_0006500","p.persica_gdr_reftransV1_0006500")</f>
        <v>p.persica_gdr_reftransV1_0006500</v>
      </c>
      <c r="B15744" s="3">
        <v>1177</v>
      </c>
      <c r="C15744" s="1" t="str">
        <f>HYPERLINK("http://www.uniprot.org/uniprot/HBL_TRETO","HBL_TRETO")</f>
        <v>HBL_TRETO</v>
      </c>
      <c r="D15744" t="s">
        <v>10018</v>
      </c>
      <c r="E15744" s="3" t="s">
        <v>10019</v>
      </c>
      <c r="F15744" s="4">
        <v>2.7800000000000002E-88</v>
      </c>
      <c r="G15744" s="3">
        <v>692</v>
      </c>
      <c r="H15744" s="3">
        <v>86</v>
      </c>
      <c r="I15744" s="3">
        <v>153</v>
      </c>
      <c r="J15744" s="3">
        <v>465</v>
      </c>
      <c r="K15744" s="3">
        <v>923</v>
      </c>
      <c r="L15744" s="3">
        <v>8</v>
      </c>
      <c r="M15744" s="3">
        <v>159</v>
      </c>
    </row>
    <row r="15745" spans="1:13" x14ac:dyDescent="0.25">
      <c r="A15745" s="1" t="str">
        <f>HYPERLINK("http://www.rosaceae.org/Prunus/Prunus_persica/p.persica_gdr_reftransV1_0006600","p.persica_gdr_reftransV1_0006600")</f>
        <v>p.persica_gdr_reftransV1_0006600</v>
      </c>
      <c r="B15745" s="3">
        <v>2279</v>
      </c>
      <c r="C15745" s="1" t="str">
        <f>HYPERLINK("http://www.uniprot.org/uniprot/HIBC3_ARATH","HIBC3_ARATH")</f>
        <v>HIBC3_ARATH</v>
      </c>
      <c r="D15745" t="s">
        <v>10020</v>
      </c>
      <c r="E15745" s="3" t="s">
        <v>3</v>
      </c>
      <c r="F15745" s="4">
        <v>7.8099999999999996E-91</v>
      </c>
      <c r="G15745" s="3">
        <v>757</v>
      </c>
      <c r="H15745" s="3">
        <v>59</v>
      </c>
      <c r="I15745" s="3">
        <v>242</v>
      </c>
      <c r="J15745" s="3">
        <v>39</v>
      </c>
      <c r="K15745" s="3">
        <v>758</v>
      </c>
      <c r="L15745" s="3">
        <v>6</v>
      </c>
      <c r="M15745" s="3">
        <v>241</v>
      </c>
    </row>
    <row r="15746" spans="1:13" x14ac:dyDescent="0.25">
      <c r="A15746" s="1" t="str">
        <f>HYPERLINK("http://www.rosaceae.org/Prunus/Prunus_persica/p.persica_gdr_reftransV1_0006650","p.persica_gdr_reftransV1_0006650")</f>
        <v>p.persica_gdr_reftransV1_0006650</v>
      </c>
      <c r="B15746" s="3">
        <v>1562</v>
      </c>
      <c r="C15746" s="1" t="str">
        <f>HYPERLINK("http://www.uniprot.org/uniprot/QRT3_ARATH","QRT3_ARATH")</f>
        <v>QRT3_ARATH</v>
      </c>
      <c r="D15746" t="s">
        <v>2285</v>
      </c>
      <c r="E15746" s="3" t="s">
        <v>3</v>
      </c>
      <c r="F15746" s="4">
        <v>0</v>
      </c>
      <c r="G15746" s="3">
        <v>1363</v>
      </c>
      <c r="H15746" s="3">
        <v>64</v>
      </c>
      <c r="I15746" s="3">
        <v>409</v>
      </c>
      <c r="J15746" s="3">
        <v>126</v>
      </c>
      <c r="K15746" s="3">
        <v>1337</v>
      </c>
      <c r="L15746" s="3">
        <v>72</v>
      </c>
      <c r="M15746" s="3">
        <v>479</v>
      </c>
    </row>
    <row r="15747" spans="1:13" x14ac:dyDescent="0.25">
      <c r="A15747" s="1" t="str">
        <f>HYPERLINK("http://www.rosaceae.org/Prunus/Prunus_persica/p.persica_gdr_reftransV1_0006800","p.persica_gdr_reftransV1_0006800")</f>
        <v>p.persica_gdr_reftransV1_0006800</v>
      </c>
      <c r="B15747" s="3">
        <v>1012</v>
      </c>
      <c r="C15747" s="1" t="str">
        <f>HYPERLINK("http://www.uniprot.org/uniprot/BH090_ARATH","BH090_ARATH")</f>
        <v>BH090_ARATH</v>
      </c>
      <c r="D15747" t="s">
        <v>10021</v>
      </c>
      <c r="E15747" s="3" t="s">
        <v>3</v>
      </c>
      <c r="F15747" s="4">
        <v>6.7999999999999996E-17</v>
      </c>
      <c r="G15747" s="3">
        <v>208</v>
      </c>
      <c r="H15747" s="3">
        <v>37</v>
      </c>
      <c r="I15747" s="3">
        <v>187</v>
      </c>
      <c r="J15747" s="3">
        <v>184</v>
      </c>
      <c r="K15747" s="3">
        <v>741</v>
      </c>
      <c r="L15747" s="3">
        <v>261</v>
      </c>
      <c r="M15747" s="3">
        <v>436</v>
      </c>
    </row>
    <row r="15748" spans="1:13" x14ac:dyDescent="0.25">
      <c r="A15748" s="1" t="str">
        <f>HYPERLINK("http://www.rosaceae.org/Prunus/Prunus_persica/p.persica_gdr_reftransV1_0006950","p.persica_gdr_reftransV1_0006950")</f>
        <v>p.persica_gdr_reftransV1_0006950</v>
      </c>
      <c r="B15748" s="3">
        <v>483</v>
      </c>
      <c r="C15748" s="1" t="str">
        <f>HYPERLINK("http://www.uniprot.org/uniprot/DCE_PETHY","DCE_PETHY")</f>
        <v>DCE_PETHY</v>
      </c>
      <c r="D15748" t="s">
        <v>10022</v>
      </c>
      <c r="E15748" s="3" t="s">
        <v>509</v>
      </c>
      <c r="F15748" s="4">
        <v>1.6200000000000001E-55</v>
      </c>
      <c r="G15748" s="3">
        <v>476</v>
      </c>
      <c r="H15748" s="3">
        <v>80</v>
      </c>
      <c r="I15748" s="3">
        <v>105</v>
      </c>
      <c r="J15748" s="3">
        <v>168</v>
      </c>
      <c r="K15748" s="3">
        <v>482</v>
      </c>
      <c r="L15748" s="3">
        <v>1</v>
      </c>
      <c r="M15748" s="3">
        <v>105</v>
      </c>
    </row>
    <row r="15749" spans="1:13" x14ac:dyDescent="0.25">
      <c r="A15749" s="1" t="str">
        <f>HYPERLINK("http://www.rosaceae.org/Prunus/Prunus_persica/p.persica_gdr_reftransV1_0007100","p.persica_gdr_reftransV1_0007100")</f>
        <v>p.persica_gdr_reftransV1_0007100</v>
      </c>
      <c r="B15749" s="3">
        <v>1969</v>
      </c>
      <c r="C15749" s="1" t="str">
        <f>HYPERLINK("http://www.uniprot.org/uniprot/Y4729_ARATH","Y4729_ARATH")</f>
        <v>Y4729_ARATH</v>
      </c>
      <c r="D15749" t="s">
        <v>334</v>
      </c>
      <c r="E15749" s="3" t="s">
        <v>3</v>
      </c>
      <c r="F15749" s="4">
        <v>5.3499999999999999E-170</v>
      </c>
      <c r="G15749" s="3">
        <v>1319</v>
      </c>
      <c r="H15749" s="3">
        <v>45</v>
      </c>
      <c r="I15749" s="3">
        <v>592</v>
      </c>
      <c r="J15749" s="3">
        <v>228</v>
      </c>
      <c r="K15749" s="3">
        <v>1964</v>
      </c>
      <c r="L15749" s="3">
        <v>3</v>
      </c>
      <c r="M15749" s="3">
        <v>553</v>
      </c>
    </row>
    <row r="15750" spans="1:13" x14ac:dyDescent="0.25">
      <c r="A15750" s="1" t="str">
        <f>HYPERLINK("http://www.rosaceae.org/Prunus/Prunus_persica/p.persica_gdr_reftransV1_0007150","p.persica_gdr_reftransV1_0007150")</f>
        <v>p.persica_gdr_reftransV1_0007150</v>
      </c>
      <c r="B15750" s="3">
        <v>958</v>
      </c>
      <c r="C15750" s="1" t="str">
        <f>HYPERLINK("http://www.uniprot.org/uniprot/UAF30_SCHPO","UAF30_SCHPO")</f>
        <v>UAF30_SCHPO</v>
      </c>
      <c r="D15750" t="s">
        <v>2138</v>
      </c>
      <c r="E15750" s="3" t="s">
        <v>464</v>
      </c>
      <c r="F15750" s="4">
        <v>8.6100000000000005E-11</v>
      </c>
      <c r="G15750" s="3">
        <v>155</v>
      </c>
      <c r="H15750" s="3">
        <v>43</v>
      </c>
      <c r="I15750" s="3">
        <v>67</v>
      </c>
      <c r="J15750" s="3">
        <v>432</v>
      </c>
      <c r="K15750" s="3">
        <v>632</v>
      </c>
      <c r="L15750" s="3">
        <v>112</v>
      </c>
      <c r="M15750" s="3">
        <v>173</v>
      </c>
    </row>
    <row r="15751" spans="1:13" x14ac:dyDescent="0.25">
      <c r="A15751" s="1" t="str">
        <f>HYPERLINK("http://www.rosaceae.org/Prunus/Prunus_persica/p.persica_gdr_reftransV1_0007200","p.persica_gdr_reftransV1_0007200")</f>
        <v>p.persica_gdr_reftransV1_0007200</v>
      </c>
      <c r="B15751" s="3">
        <v>1024</v>
      </c>
      <c r="C15751" s="1" t="str">
        <f>HYPERLINK("http://www.uniprot.org/uniprot/TIM9_ORYSJ","TIM9_ORYSJ")</f>
        <v>TIM9_ORYSJ</v>
      </c>
      <c r="D15751" t="s">
        <v>10023</v>
      </c>
      <c r="E15751" s="3" t="s">
        <v>38</v>
      </c>
      <c r="F15751" s="4">
        <v>7.2199999999999999E-49</v>
      </c>
      <c r="G15751" s="3">
        <v>417</v>
      </c>
      <c r="H15751" s="3">
        <v>85</v>
      </c>
      <c r="I15751" s="3">
        <v>94</v>
      </c>
      <c r="J15751" s="3">
        <v>685</v>
      </c>
      <c r="K15751" s="3">
        <v>966</v>
      </c>
      <c r="L15751" s="3">
        <v>1</v>
      </c>
      <c r="M15751" s="3">
        <v>93</v>
      </c>
    </row>
    <row r="15752" spans="1:13" x14ac:dyDescent="0.25">
      <c r="A15752" s="1" t="str">
        <f>HYPERLINK("http://www.rosaceae.org/Prunus/Prunus_persica/p.persica_gdr_reftransV1_0007450","p.persica_gdr_reftransV1_0007450")</f>
        <v>p.persica_gdr_reftransV1_0007450</v>
      </c>
      <c r="B15752" s="3">
        <v>1626</v>
      </c>
      <c r="C15752" s="1" t="str">
        <f>HYPERLINK("http://www.uniprot.org/uniprot/RING3_ARATH","RING3_ARATH")</f>
        <v>RING3_ARATH</v>
      </c>
      <c r="D15752" t="s">
        <v>4543</v>
      </c>
      <c r="E15752" s="3" t="s">
        <v>3</v>
      </c>
      <c r="F15752" s="4">
        <v>1.27E-19</v>
      </c>
      <c r="G15752" s="3">
        <v>228</v>
      </c>
      <c r="H15752" s="3">
        <v>72</v>
      </c>
      <c r="I15752" s="3">
        <v>53</v>
      </c>
      <c r="J15752" s="3">
        <v>683</v>
      </c>
      <c r="K15752" s="3">
        <v>841</v>
      </c>
      <c r="L15752" s="3">
        <v>176</v>
      </c>
      <c r="M15752" s="3">
        <v>228</v>
      </c>
    </row>
    <row r="15753" spans="1:13" x14ac:dyDescent="0.25">
      <c r="A15753" s="1" t="str">
        <f>HYPERLINK("http://www.rosaceae.org/Prunus/Prunus_persica/p.persica_gdr_reftransV1_0007500","p.persica_gdr_reftransV1_0007500")</f>
        <v>p.persica_gdr_reftransV1_0007500</v>
      </c>
      <c r="B15753" s="3">
        <v>1662</v>
      </c>
      <c r="C15753" s="1" t="str">
        <f>HYPERLINK("http://www.uniprot.org/uniprot/MPCP1_ARATH","MPCP1_ARATH")</f>
        <v>MPCP1_ARATH</v>
      </c>
      <c r="D15753" t="s">
        <v>372</v>
      </c>
      <c r="E15753" s="3" t="s">
        <v>3</v>
      </c>
      <c r="F15753" s="4">
        <v>1.83E-170</v>
      </c>
      <c r="G15753" s="3">
        <v>1267</v>
      </c>
      <c r="H15753" s="3">
        <v>74</v>
      </c>
      <c r="I15753" s="3">
        <v>308</v>
      </c>
      <c r="J15753" s="3">
        <v>537</v>
      </c>
      <c r="K15753" s="3">
        <v>1457</v>
      </c>
      <c r="L15753" s="3">
        <v>1</v>
      </c>
      <c r="M15753" s="3">
        <v>308</v>
      </c>
    </row>
    <row r="15754" spans="1:13" x14ac:dyDescent="0.25">
      <c r="A15754" s="1" t="str">
        <f>HYPERLINK("http://www.rosaceae.org/Prunus/Prunus_persica/p.persica_gdr_reftransV1_0007600","p.persica_gdr_reftransV1_0007600")</f>
        <v>p.persica_gdr_reftransV1_0007600</v>
      </c>
      <c r="B15754" s="3">
        <v>2123</v>
      </c>
      <c r="C15754" s="1" t="str">
        <f>HYPERLINK("http://www.uniprot.org/uniprot/XB34_ARATH","XB34_ARATH")</f>
        <v>XB34_ARATH</v>
      </c>
      <c r="D15754" t="s">
        <v>8505</v>
      </c>
      <c r="E15754" s="3" t="s">
        <v>3</v>
      </c>
      <c r="F15754" s="4">
        <v>2.28E-7</v>
      </c>
      <c r="G15754" s="3">
        <v>137</v>
      </c>
      <c r="H15754" s="3">
        <v>39</v>
      </c>
      <c r="I15754" s="3">
        <v>59</v>
      </c>
      <c r="J15754" s="3">
        <v>370</v>
      </c>
      <c r="K15754" s="3">
        <v>546</v>
      </c>
      <c r="L15754" s="3">
        <v>318</v>
      </c>
      <c r="M15754" s="3">
        <v>376</v>
      </c>
    </row>
    <row r="15755" spans="1:13" x14ac:dyDescent="0.25">
      <c r="A15755" s="1" t="str">
        <f>HYPERLINK("http://www.rosaceae.org/Prunus/Prunus_persica/p.persica_gdr_reftransV1_0007700","p.persica_gdr_reftransV1_0007700")</f>
        <v>p.persica_gdr_reftransV1_0007700</v>
      </c>
      <c r="B15755" s="3">
        <v>1687</v>
      </c>
      <c r="C15755" s="1" t="str">
        <f>HYPERLINK("http://www.uniprot.org/uniprot/TBCC_ARATH","TBCC_ARATH")</f>
        <v>TBCC_ARATH</v>
      </c>
      <c r="D15755" t="s">
        <v>10024</v>
      </c>
      <c r="E15755" s="3" t="s">
        <v>3</v>
      </c>
      <c r="F15755" s="4">
        <v>5.9699999999999995E-119</v>
      </c>
      <c r="G15755" s="3">
        <v>929</v>
      </c>
      <c r="H15755" s="3">
        <v>59</v>
      </c>
      <c r="I15755" s="3">
        <v>353</v>
      </c>
      <c r="J15755" s="3">
        <v>114</v>
      </c>
      <c r="K15755" s="3">
        <v>1163</v>
      </c>
      <c r="L15755" s="3">
        <v>1</v>
      </c>
      <c r="M15755" s="3">
        <v>343</v>
      </c>
    </row>
    <row r="15756" spans="1:13" x14ac:dyDescent="0.25">
      <c r="A15756" s="1" t="str">
        <f>HYPERLINK("http://www.rosaceae.org/Prunus/Prunus_persica/p.persica_gdr_reftransV1_0007750","p.persica_gdr_reftransV1_0007750")</f>
        <v>p.persica_gdr_reftransV1_0007750</v>
      </c>
      <c r="B15756" s="3">
        <v>2232</v>
      </c>
      <c r="C15756" s="1" t="str">
        <f>HYPERLINK("http://www.uniprot.org/uniprot/SDN3_ARATH","SDN3_ARATH")</f>
        <v>SDN3_ARATH</v>
      </c>
      <c r="D15756" t="s">
        <v>10025</v>
      </c>
      <c r="E15756" s="3" t="s">
        <v>3</v>
      </c>
      <c r="F15756" s="4">
        <v>8.1200000000000006E-157</v>
      </c>
      <c r="G15756" s="3">
        <v>1238</v>
      </c>
      <c r="H15756" s="3">
        <v>52</v>
      </c>
      <c r="I15756" s="3">
        <v>450</v>
      </c>
      <c r="J15756" s="3">
        <v>293</v>
      </c>
      <c r="K15756" s="3">
        <v>1609</v>
      </c>
      <c r="L15756" s="3">
        <v>1</v>
      </c>
      <c r="M15756" s="3">
        <v>447</v>
      </c>
    </row>
    <row r="15757" spans="1:13" x14ac:dyDescent="0.25">
      <c r="A15757" s="1" t="str">
        <f>HYPERLINK("http://www.rosaceae.org/Prunus/Prunus_persica/p.persica_gdr_reftransV1_0007850","p.persica_gdr_reftransV1_0007850")</f>
        <v>p.persica_gdr_reftransV1_0007850</v>
      </c>
      <c r="B15757" s="3">
        <v>465</v>
      </c>
      <c r="C15757" s="1" t="str">
        <f>HYPERLINK("http://www.uniprot.org/uniprot/PP201_ARATH","PP201_ARATH")</f>
        <v>PP201_ARATH</v>
      </c>
      <c r="D15757" t="s">
        <v>10026</v>
      </c>
      <c r="E15757" s="3" t="s">
        <v>3</v>
      </c>
      <c r="F15757" s="4">
        <v>3.0200000000000001E-30</v>
      </c>
      <c r="G15757" s="3">
        <v>297</v>
      </c>
      <c r="H15757" s="3">
        <v>45</v>
      </c>
      <c r="I15757" s="3">
        <v>123</v>
      </c>
      <c r="J15757" s="3">
        <v>97</v>
      </c>
      <c r="K15757" s="3">
        <v>465</v>
      </c>
      <c r="L15757" s="3">
        <v>1</v>
      </c>
      <c r="M15757" s="3">
        <v>113</v>
      </c>
    </row>
    <row r="15758" spans="1:13" x14ac:dyDescent="0.25">
      <c r="A15758" s="1" t="str">
        <f>HYPERLINK("http://www.rosaceae.org/Prunus/Prunus_persica/p.persica_gdr_reftransV1_0007900","p.persica_gdr_reftransV1_0007900")</f>
        <v>p.persica_gdr_reftransV1_0007900</v>
      </c>
      <c r="B15758" s="3">
        <v>716</v>
      </c>
      <c r="C15758" s="1" t="str">
        <f>HYPERLINK("http://www.uniprot.org/uniprot/RL341_ARATH","RL341_ARATH")</f>
        <v>RL341_ARATH</v>
      </c>
      <c r="D15758" t="s">
        <v>4191</v>
      </c>
      <c r="E15758" s="3" t="s">
        <v>3</v>
      </c>
      <c r="F15758" s="4">
        <v>2.7299999999999999E-59</v>
      </c>
      <c r="G15758" s="3">
        <v>481</v>
      </c>
      <c r="H15758" s="3">
        <v>95</v>
      </c>
      <c r="I15758" s="3">
        <v>96</v>
      </c>
      <c r="J15758" s="3">
        <v>52</v>
      </c>
      <c r="K15758" s="3">
        <v>339</v>
      </c>
      <c r="L15758" s="3">
        <v>1</v>
      </c>
      <c r="M15758" s="3">
        <v>96</v>
      </c>
    </row>
    <row r="15759" spans="1:13" x14ac:dyDescent="0.25">
      <c r="A15759" s="1" t="str">
        <f>HYPERLINK("http://www.rosaceae.org/Prunus/Prunus_persica/p.persica_gdr_reftransV1_0007950","p.persica_gdr_reftransV1_0007950")</f>
        <v>p.persica_gdr_reftransV1_0007950</v>
      </c>
      <c r="B15759" s="3">
        <v>1180</v>
      </c>
      <c r="C15759" s="1" t="str">
        <f>HYPERLINK("http://www.uniprot.org/uniprot/CHIX_PEA","CHIX_PEA")</f>
        <v>CHIX_PEA</v>
      </c>
      <c r="D15759" t="s">
        <v>10027</v>
      </c>
      <c r="E15759" s="3" t="s">
        <v>60</v>
      </c>
      <c r="F15759" s="4">
        <v>7.4500000000000003E-155</v>
      </c>
      <c r="G15759" s="3">
        <v>1149</v>
      </c>
      <c r="H15759" s="3">
        <v>73</v>
      </c>
      <c r="I15759" s="3">
        <v>321</v>
      </c>
      <c r="J15759" s="3">
        <v>194</v>
      </c>
      <c r="K15759" s="3">
        <v>1153</v>
      </c>
      <c r="L15759" s="3">
        <v>1</v>
      </c>
      <c r="M15759" s="3">
        <v>320</v>
      </c>
    </row>
    <row r="15760" spans="1:13" x14ac:dyDescent="0.25">
      <c r="A15760" s="1" t="str">
        <f>HYPERLINK("http://www.rosaceae.org/Prunus/Prunus_persica/p.persica_gdr_reftransV1_0008100","p.persica_gdr_reftransV1_0008100")</f>
        <v>p.persica_gdr_reftransV1_0008100</v>
      </c>
      <c r="B15760" s="3">
        <v>2975</v>
      </c>
      <c r="C15760" s="1" t="str">
        <f>HYPERLINK("http://www.uniprot.org/uniprot/KSB_CUCMA","KSB_CUCMA")</f>
        <v>KSB_CUCMA</v>
      </c>
      <c r="D15760" t="s">
        <v>10028</v>
      </c>
      <c r="E15760" s="3" t="s">
        <v>1511</v>
      </c>
      <c r="F15760" s="4">
        <v>0</v>
      </c>
      <c r="G15760" s="3">
        <v>2328</v>
      </c>
      <c r="H15760" s="3">
        <v>58</v>
      </c>
      <c r="I15760" s="3">
        <v>766</v>
      </c>
      <c r="J15760" s="3">
        <v>323</v>
      </c>
      <c r="K15760" s="3">
        <v>2620</v>
      </c>
      <c r="L15760" s="3">
        <v>26</v>
      </c>
      <c r="M15760" s="3">
        <v>789</v>
      </c>
    </row>
    <row r="15761" spans="1:13" x14ac:dyDescent="0.25">
      <c r="A15761" s="1" t="str">
        <f>HYPERLINK("http://www.rosaceae.org/Prunus/Prunus_persica/p.persica_gdr_reftransV1_0008150","p.persica_gdr_reftransV1_0008150")</f>
        <v>p.persica_gdr_reftransV1_0008150</v>
      </c>
      <c r="B15761" s="3">
        <v>2382</v>
      </c>
      <c r="C15761" s="1" t="str">
        <f>HYPERLINK("http://www.uniprot.org/uniprot/GPDL2_ARATH","GPDL2_ARATH")</f>
        <v>GPDL2_ARATH</v>
      </c>
      <c r="D15761" t="s">
        <v>3941</v>
      </c>
      <c r="E15761" s="3" t="s">
        <v>3</v>
      </c>
      <c r="F15761" s="4">
        <v>2.8200000000000001E-98</v>
      </c>
      <c r="G15761" s="3">
        <v>860</v>
      </c>
      <c r="H15761" s="3">
        <v>52</v>
      </c>
      <c r="I15761" s="3">
        <v>312</v>
      </c>
      <c r="J15761" s="3">
        <v>378</v>
      </c>
      <c r="K15761" s="3">
        <v>1289</v>
      </c>
      <c r="L15761" s="3">
        <v>784</v>
      </c>
      <c r="M15761" s="3">
        <v>1092</v>
      </c>
    </row>
    <row r="15762" spans="1:13" x14ac:dyDescent="0.25">
      <c r="A15762" s="1" t="str">
        <f>HYPERLINK("http://www.rosaceae.org/Prunus/Prunus_persica/p.persica_gdr_reftransV1_0008300","p.persica_gdr_reftransV1_0008300")</f>
        <v>p.persica_gdr_reftransV1_0008300</v>
      </c>
      <c r="B15762" s="3">
        <v>1297</v>
      </c>
      <c r="C15762" s="1" t="str">
        <f>HYPERLINK("http://www.uniprot.org/uniprot/SODF2_ARATH","SODF2_ARATH")</f>
        <v>SODF2_ARATH</v>
      </c>
      <c r="D15762" t="s">
        <v>10029</v>
      </c>
      <c r="E15762" s="3" t="s">
        <v>3</v>
      </c>
      <c r="F15762" s="4">
        <v>3.38E-108</v>
      </c>
      <c r="G15762" s="3">
        <v>842</v>
      </c>
      <c r="H15762" s="3">
        <v>65</v>
      </c>
      <c r="I15762" s="3">
        <v>285</v>
      </c>
      <c r="J15762" s="3">
        <v>177</v>
      </c>
      <c r="K15762" s="3">
        <v>1025</v>
      </c>
      <c r="L15762" s="3">
        <v>24</v>
      </c>
      <c r="M15762" s="3">
        <v>305</v>
      </c>
    </row>
    <row r="15763" spans="1:13" x14ac:dyDescent="0.25">
      <c r="A15763" s="1" t="str">
        <f>HYPERLINK("http://www.rosaceae.org/Prunus/Prunus_persica/p.persica_gdr_reftransV1_0008350","p.persica_gdr_reftransV1_0008350")</f>
        <v>p.persica_gdr_reftransV1_0008350</v>
      </c>
      <c r="B15763" s="3">
        <v>1143</v>
      </c>
      <c r="C15763" s="1" t="str">
        <f>HYPERLINK("http://www.uniprot.org/uniprot/HS26M_ARATH","HS26M_ARATH")</f>
        <v>HS26M_ARATH</v>
      </c>
      <c r="D15763" t="s">
        <v>10030</v>
      </c>
      <c r="E15763" s="3" t="s">
        <v>3</v>
      </c>
      <c r="F15763" s="4">
        <v>3.6700000000000001E-53</v>
      </c>
      <c r="G15763" s="3">
        <v>461</v>
      </c>
      <c r="H15763" s="3">
        <v>49</v>
      </c>
      <c r="I15763" s="3">
        <v>249</v>
      </c>
      <c r="J15763" s="3">
        <v>236</v>
      </c>
      <c r="K15763" s="3">
        <v>937</v>
      </c>
      <c r="L15763" s="3">
        <v>1</v>
      </c>
      <c r="M15763" s="3">
        <v>232</v>
      </c>
    </row>
    <row r="15764" spans="1:13" x14ac:dyDescent="0.25">
      <c r="A15764" s="1" t="str">
        <f>HYPERLINK("http://www.rosaceae.org/Prunus/Prunus_persica/p.persica_gdr_reftransV1_0008450","p.persica_gdr_reftransV1_0008450")</f>
        <v>p.persica_gdr_reftransV1_0008450</v>
      </c>
      <c r="B15764" s="3">
        <v>1196</v>
      </c>
      <c r="C15764" s="1" t="str">
        <f>HYPERLINK("http://www.uniprot.org/uniprot/RAA5B_ARATH","RAA5B_ARATH")</f>
        <v>RAA5B_ARATH</v>
      </c>
      <c r="D15764" t="s">
        <v>10031</v>
      </c>
      <c r="E15764" s="3" t="s">
        <v>3</v>
      </c>
      <c r="F15764" s="4">
        <v>5.01E-115</v>
      </c>
      <c r="G15764" s="3">
        <v>875</v>
      </c>
      <c r="H15764" s="3">
        <v>80</v>
      </c>
      <c r="I15764" s="3">
        <v>209</v>
      </c>
      <c r="J15764" s="3">
        <v>109</v>
      </c>
      <c r="K15764" s="3">
        <v>735</v>
      </c>
      <c r="L15764" s="3">
        <v>8</v>
      </c>
      <c r="M15764" s="3">
        <v>216</v>
      </c>
    </row>
    <row r="15765" spans="1:13" x14ac:dyDescent="0.25">
      <c r="A15765" s="1" t="str">
        <f>HYPERLINK("http://www.rosaceae.org/Prunus/Prunus_persica/p.persica_gdr_reftransV1_0008550","p.persica_gdr_reftransV1_0008550")</f>
        <v>p.persica_gdr_reftransV1_0008550</v>
      </c>
      <c r="B15765" s="3">
        <v>2882</v>
      </c>
      <c r="C15765" s="1" t="str">
        <f>HYPERLINK("http://www.uniprot.org/uniprot/MCS1A_XENLA","MCS1A_XENLA")</f>
        <v>MCS1A_XENLA</v>
      </c>
      <c r="D15765" t="s">
        <v>10032</v>
      </c>
      <c r="E15765" s="3" t="s">
        <v>475</v>
      </c>
      <c r="F15765" s="4">
        <v>8.8599999999999999E-58</v>
      </c>
      <c r="G15765" s="3">
        <v>511</v>
      </c>
      <c r="H15765" s="3">
        <v>59</v>
      </c>
      <c r="I15765" s="3">
        <v>179</v>
      </c>
      <c r="J15765" s="3">
        <v>2145</v>
      </c>
      <c r="K15765" s="3">
        <v>2678</v>
      </c>
      <c r="L15765" s="3">
        <v>1</v>
      </c>
      <c r="M15765" s="3">
        <v>178</v>
      </c>
    </row>
    <row r="15766" spans="1:13" x14ac:dyDescent="0.25">
      <c r="A15766" s="1" t="str">
        <f>HYPERLINK("http://www.rosaceae.org/Prunus/Prunus_persica/p.persica_gdr_reftransV1_0008650","p.persica_gdr_reftransV1_0008650")</f>
        <v>p.persica_gdr_reftransV1_0008650</v>
      </c>
      <c r="B15766" s="3">
        <v>1912</v>
      </c>
      <c r="C15766" s="1" t="str">
        <f>HYPERLINK("http://www.uniprot.org/uniprot/GCSH2_ARATH","GCSH2_ARATH")</f>
        <v>GCSH2_ARATH</v>
      </c>
      <c r="D15766" t="s">
        <v>1046</v>
      </c>
      <c r="E15766" s="3" t="s">
        <v>3</v>
      </c>
      <c r="F15766" s="4">
        <v>1.9700000000000001E-53</v>
      </c>
      <c r="G15766" s="3">
        <v>470</v>
      </c>
      <c r="H15766" s="3">
        <v>60</v>
      </c>
      <c r="I15766" s="3">
        <v>154</v>
      </c>
      <c r="J15766" s="3">
        <v>120</v>
      </c>
      <c r="K15766" s="3">
        <v>578</v>
      </c>
      <c r="L15766" s="3">
        <v>1</v>
      </c>
      <c r="M15766" s="3">
        <v>152</v>
      </c>
    </row>
    <row r="15767" spans="1:13" x14ac:dyDescent="0.25">
      <c r="A15767" s="1" t="str">
        <f>HYPERLINK("http://www.rosaceae.org/Prunus/Prunus_persica/p.persica_gdr_reftransV1_0008900","p.persica_gdr_reftransV1_0008900")</f>
        <v>p.persica_gdr_reftransV1_0008900</v>
      </c>
      <c r="B15767" s="3">
        <v>4371</v>
      </c>
      <c r="C15767" s="1" t="str">
        <f>HYPERLINK("http://www.uniprot.org/uniprot/Y1342_ARATH","Y1342_ARATH")</f>
        <v>Y1342_ARATH</v>
      </c>
      <c r="D15767" t="s">
        <v>2362</v>
      </c>
      <c r="E15767" s="3" t="s">
        <v>3</v>
      </c>
      <c r="F15767" s="4">
        <v>0</v>
      </c>
      <c r="G15767" s="3">
        <v>1080</v>
      </c>
      <c r="H15767" s="3">
        <v>48</v>
      </c>
      <c r="I15767" s="3">
        <v>485</v>
      </c>
      <c r="J15767" s="3">
        <v>416</v>
      </c>
      <c r="K15767" s="3">
        <v>1831</v>
      </c>
      <c r="L15767" s="3">
        <v>8</v>
      </c>
      <c r="M15767" s="3">
        <v>421</v>
      </c>
    </row>
    <row r="15768" spans="1:13" x14ac:dyDescent="0.25">
      <c r="A15768" s="1" t="str">
        <f>HYPERLINK("http://www.rosaceae.org/Prunus/Prunus_persica/p.persica_gdr_reftransV1_0009100","p.persica_gdr_reftransV1_0009100")</f>
        <v>p.persica_gdr_reftransV1_0009100</v>
      </c>
      <c r="B15768" s="3">
        <v>1528</v>
      </c>
      <c r="C15768" s="1" t="str">
        <f>HYPERLINK("http://www.uniprot.org/uniprot/AB19I_ARATH","AB19I_ARATH")</f>
        <v>AB19I_ARATH</v>
      </c>
      <c r="D15768" t="s">
        <v>7853</v>
      </c>
      <c r="E15768" s="3" t="s">
        <v>3</v>
      </c>
      <c r="F15768" s="4">
        <v>4.3200000000000004E-140</v>
      </c>
      <c r="G15768" s="3">
        <v>1060</v>
      </c>
      <c r="H15768" s="3">
        <v>78</v>
      </c>
      <c r="I15768" s="3">
        <v>286</v>
      </c>
      <c r="J15768" s="3">
        <v>94</v>
      </c>
      <c r="K15768" s="3">
        <v>942</v>
      </c>
      <c r="L15768" s="3">
        <v>7</v>
      </c>
      <c r="M15768" s="3">
        <v>290</v>
      </c>
    </row>
    <row r="15769" spans="1:13" x14ac:dyDescent="0.25">
      <c r="A15769" s="1" t="str">
        <f>HYPERLINK("http://www.rosaceae.org/Prunus/Prunus_persica/p.persica_gdr_reftransV1_0009150","p.persica_gdr_reftransV1_0009150")</f>
        <v>p.persica_gdr_reftransV1_0009150</v>
      </c>
      <c r="B15769" s="3">
        <v>2515</v>
      </c>
      <c r="C15769" s="1" t="str">
        <f>HYPERLINK("http://www.uniprot.org/uniprot/PP362_ARATH","PP362_ARATH")</f>
        <v>PP362_ARATH</v>
      </c>
      <c r="D15769" t="s">
        <v>10033</v>
      </c>
      <c r="E15769" s="3" t="s">
        <v>3</v>
      </c>
      <c r="F15769" s="4">
        <v>0</v>
      </c>
      <c r="G15769" s="3">
        <v>2813</v>
      </c>
      <c r="H15769" s="3">
        <v>75</v>
      </c>
      <c r="I15769" s="3">
        <v>677</v>
      </c>
      <c r="J15769" s="3">
        <v>5</v>
      </c>
      <c r="K15769" s="3">
        <v>2035</v>
      </c>
      <c r="L15769" s="3">
        <v>142</v>
      </c>
      <c r="M15769" s="3">
        <v>818</v>
      </c>
    </row>
    <row r="15770" spans="1:13" x14ac:dyDescent="0.25">
      <c r="A15770" s="1" t="str">
        <f>HYPERLINK("http://www.rosaceae.org/Prunus/Prunus_persica/p.persica_gdr_reftransV1_0009200","p.persica_gdr_reftransV1_0009200")</f>
        <v>p.persica_gdr_reftransV1_0009200</v>
      </c>
      <c r="B15770" s="3">
        <v>1812</v>
      </c>
      <c r="C15770" s="1" t="str">
        <f>HYPERLINK("http://www.uniprot.org/uniprot/PP332_ARATH","PP332_ARATH")</f>
        <v>PP332_ARATH</v>
      </c>
      <c r="D15770" t="s">
        <v>10034</v>
      </c>
      <c r="E15770" s="3" t="s">
        <v>3</v>
      </c>
      <c r="F15770" s="4">
        <v>3.2199999999999998E-82</v>
      </c>
      <c r="G15770" s="3">
        <v>682</v>
      </c>
      <c r="H15770" s="3">
        <v>69</v>
      </c>
      <c r="I15770" s="3">
        <v>185</v>
      </c>
      <c r="J15770" s="3">
        <v>140</v>
      </c>
      <c r="K15770" s="3">
        <v>685</v>
      </c>
      <c r="L15770" s="3">
        <v>1</v>
      </c>
      <c r="M15770" s="3">
        <v>185</v>
      </c>
    </row>
    <row r="15771" spans="1:13" x14ac:dyDescent="0.25">
      <c r="A15771" s="1" t="str">
        <f>HYPERLINK("http://www.rosaceae.org/Prunus/Prunus_persica/p.persica_gdr_reftransV1_0009300","p.persica_gdr_reftransV1_0009300")</f>
        <v>p.persica_gdr_reftransV1_0009300</v>
      </c>
      <c r="B15771" s="3">
        <v>2006</v>
      </c>
      <c r="C15771" s="1" t="str">
        <f>HYPERLINK("http://www.uniprot.org/uniprot/RH38_ARATH","RH38_ARATH")</f>
        <v>RH38_ARATH</v>
      </c>
      <c r="D15771" t="s">
        <v>10035</v>
      </c>
      <c r="E15771" s="3" t="s">
        <v>3</v>
      </c>
      <c r="F15771" s="4">
        <v>0</v>
      </c>
      <c r="G15771" s="3">
        <v>1564</v>
      </c>
      <c r="H15771" s="3">
        <v>67</v>
      </c>
      <c r="I15771" s="3">
        <v>441</v>
      </c>
      <c r="J15771" s="3">
        <v>297</v>
      </c>
      <c r="K15771" s="3">
        <v>1604</v>
      </c>
      <c r="L15771" s="3">
        <v>53</v>
      </c>
      <c r="M15771" s="3">
        <v>485</v>
      </c>
    </row>
    <row r="15772" spans="1:13" x14ac:dyDescent="0.25">
      <c r="A15772" s="1" t="str">
        <f>HYPERLINK("http://www.rosaceae.org/Prunus/Prunus_persica/p.persica_gdr_reftransV1_0009350","p.persica_gdr_reftransV1_0009350")</f>
        <v>p.persica_gdr_reftransV1_0009350</v>
      </c>
      <c r="B15772" s="3">
        <v>614</v>
      </c>
      <c r="C15772" s="1" t="str">
        <f>HYPERLINK("http://www.uniprot.org/uniprot/PTP1_ARATH","PTP1_ARATH")</f>
        <v>PTP1_ARATH</v>
      </c>
      <c r="D15772" t="s">
        <v>8301</v>
      </c>
      <c r="E15772" s="3" t="s">
        <v>3</v>
      </c>
      <c r="F15772" s="4">
        <v>9.6399999999999996E-54</v>
      </c>
      <c r="G15772" s="3">
        <v>458</v>
      </c>
      <c r="H15772" s="3">
        <v>71</v>
      </c>
      <c r="I15772" s="3">
        <v>116</v>
      </c>
      <c r="J15772" s="3">
        <v>267</v>
      </c>
      <c r="K15772" s="3">
        <v>614</v>
      </c>
      <c r="L15772" s="3">
        <v>221</v>
      </c>
      <c r="M15772" s="3">
        <v>332</v>
      </c>
    </row>
    <row r="15773" spans="1:13" x14ac:dyDescent="0.25">
      <c r="A15773" s="1" t="str">
        <f>HYPERLINK("http://www.rosaceae.org/Prunus/Prunus_persica/p.persica_gdr_reftransV1_0009400","p.persica_gdr_reftransV1_0009400")</f>
        <v>p.persica_gdr_reftransV1_0009400</v>
      </c>
      <c r="B15773" s="3">
        <v>1092</v>
      </c>
      <c r="C15773" s="1" t="str">
        <f>HYPERLINK("http://www.uniprot.org/uniprot/Y5248_ARATH","Y5248_ARATH")</f>
        <v>Y5248_ARATH</v>
      </c>
      <c r="D15773" t="s">
        <v>1472</v>
      </c>
      <c r="E15773" s="3" t="s">
        <v>3</v>
      </c>
      <c r="F15773" s="4">
        <v>4.3600000000000003E-26</v>
      </c>
      <c r="G15773" s="3">
        <v>285</v>
      </c>
      <c r="H15773" s="3">
        <v>30</v>
      </c>
      <c r="I15773" s="3">
        <v>373</v>
      </c>
      <c r="J15773" s="3">
        <v>43</v>
      </c>
      <c r="K15773" s="3">
        <v>1050</v>
      </c>
      <c r="L15773" s="3">
        <v>2</v>
      </c>
      <c r="M15773" s="3">
        <v>366</v>
      </c>
    </row>
    <row r="15774" spans="1:13" x14ac:dyDescent="0.25">
      <c r="A15774" s="1" t="str">
        <f>HYPERLINK("http://www.rosaceae.org/Prunus/Prunus_persica/p.persica_gdr_reftransV1_0009500","p.persica_gdr_reftransV1_0009500")</f>
        <v>p.persica_gdr_reftransV1_0009500</v>
      </c>
      <c r="B15774" s="3">
        <v>4373</v>
      </c>
      <c r="C15774" s="1" t="str">
        <f>HYPERLINK("http://www.uniprot.org/uniprot/RAD50_ARATH","RAD50_ARATH")</f>
        <v>RAD50_ARATH</v>
      </c>
      <c r="D15774" t="s">
        <v>8009</v>
      </c>
      <c r="E15774" s="3" t="s">
        <v>3</v>
      </c>
      <c r="F15774" s="4">
        <v>0</v>
      </c>
      <c r="G15774" s="3">
        <v>4778</v>
      </c>
      <c r="H15774" s="3">
        <v>72</v>
      </c>
      <c r="I15774" s="3">
        <v>1316</v>
      </c>
      <c r="J15774" s="3">
        <v>153</v>
      </c>
      <c r="K15774" s="3">
        <v>4100</v>
      </c>
      <c r="L15774" s="3">
        <v>1</v>
      </c>
      <c r="M15774" s="3">
        <v>1316</v>
      </c>
    </row>
    <row r="15775" spans="1:13" x14ac:dyDescent="0.25">
      <c r="A15775" s="1" t="str">
        <f>HYPERLINK("http://www.rosaceae.org/Prunus/Prunus_persica/p.persica_gdr_reftransV1_0009600","p.persica_gdr_reftransV1_0009600")</f>
        <v>p.persica_gdr_reftransV1_0009600</v>
      </c>
      <c r="B15775" s="3">
        <v>1386</v>
      </c>
      <c r="C15775" s="1" t="str">
        <f>HYPERLINK("http://www.uniprot.org/uniprot/EMC6_MOUSE","EMC6_MOUSE")</f>
        <v>EMC6_MOUSE</v>
      </c>
      <c r="D15775" t="s">
        <v>10036</v>
      </c>
      <c r="E15775" s="3" t="s">
        <v>157</v>
      </c>
      <c r="F15775" s="4">
        <v>6.6199999999999997E-8</v>
      </c>
      <c r="G15775" s="3">
        <v>132</v>
      </c>
      <c r="H15775" s="3">
        <v>40</v>
      </c>
      <c r="I15775" s="3">
        <v>90</v>
      </c>
      <c r="J15775" s="3">
        <v>161</v>
      </c>
      <c r="K15775" s="3">
        <v>430</v>
      </c>
      <c r="L15775" s="3">
        <v>12</v>
      </c>
      <c r="M15775" s="3">
        <v>101</v>
      </c>
    </row>
    <row r="15776" spans="1:13" x14ac:dyDescent="0.25">
      <c r="A15776" s="1" t="str">
        <f>HYPERLINK("http://www.rosaceae.org/Prunus/Prunus_persica/p.persica_gdr_reftransV1_0009650","p.persica_gdr_reftransV1_0009650")</f>
        <v>p.persica_gdr_reftransV1_0009650</v>
      </c>
      <c r="B15776" s="3">
        <v>1566</v>
      </c>
      <c r="C15776" s="1" t="str">
        <f>HYPERLINK("http://www.uniprot.org/uniprot/GPN1_DICDI","GPN1_DICDI")</f>
        <v>GPN1_DICDI</v>
      </c>
      <c r="D15776" t="s">
        <v>5360</v>
      </c>
      <c r="E15776" s="3" t="s">
        <v>9</v>
      </c>
      <c r="F15776" s="4">
        <v>7.16E-104</v>
      </c>
      <c r="G15776" s="3">
        <v>829</v>
      </c>
      <c r="H15776" s="3">
        <v>63</v>
      </c>
      <c r="I15776" s="3">
        <v>245</v>
      </c>
      <c r="J15776" s="3">
        <v>629</v>
      </c>
      <c r="K15776" s="3">
        <v>1363</v>
      </c>
      <c r="L15776" s="3">
        <v>44</v>
      </c>
      <c r="M15776" s="3">
        <v>288</v>
      </c>
    </row>
    <row r="15777" spans="1:13" x14ac:dyDescent="0.25">
      <c r="A15777" s="1" t="str">
        <f>HYPERLINK("http://www.rosaceae.org/Prunus/Prunus_persica/p.persica_gdr_reftransV1_0009750","p.persica_gdr_reftransV1_0009750")</f>
        <v>p.persica_gdr_reftransV1_0009750</v>
      </c>
      <c r="B15777" s="3">
        <v>723</v>
      </c>
      <c r="C15777" s="1" t="str">
        <f>HYPERLINK("http://www.uniprot.org/uniprot/Y3351_ARATH","Y3351_ARATH")</f>
        <v>Y3351_ARATH</v>
      </c>
      <c r="D15777" t="s">
        <v>9050</v>
      </c>
      <c r="E15777" s="3" t="s">
        <v>3</v>
      </c>
      <c r="F15777" s="4">
        <v>1.8399999999999999E-30</v>
      </c>
      <c r="G15777" s="3">
        <v>305</v>
      </c>
      <c r="H15777" s="3">
        <v>44</v>
      </c>
      <c r="I15777" s="3">
        <v>171</v>
      </c>
      <c r="J15777" s="3">
        <v>2</v>
      </c>
      <c r="K15777" s="3">
        <v>508</v>
      </c>
      <c r="L15777" s="3">
        <v>341</v>
      </c>
      <c r="M15777" s="3">
        <v>495</v>
      </c>
    </row>
    <row r="15778" spans="1:13" x14ac:dyDescent="0.25">
      <c r="A15778" s="1" t="str">
        <f>HYPERLINK("http://www.rosaceae.org/Prunus/Prunus_persica/p.persica_gdr_reftransV1_0009850","p.persica_gdr_reftransV1_0009850")</f>
        <v>p.persica_gdr_reftransV1_0009850</v>
      </c>
      <c r="B15778" s="3">
        <v>1751</v>
      </c>
      <c r="C15778" s="1" t="str">
        <f>HYPERLINK("http://www.uniprot.org/uniprot/KCR1_ARATH","KCR1_ARATH")</f>
        <v>KCR1_ARATH</v>
      </c>
      <c r="D15778" t="s">
        <v>9738</v>
      </c>
      <c r="E15778" s="3" t="s">
        <v>3</v>
      </c>
      <c r="F15778" s="4">
        <v>3.7500000000000001E-165</v>
      </c>
      <c r="G15778" s="3">
        <v>1236</v>
      </c>
      <c r="H15778" s="3">
        <v>67</v>
      </c>
      <c r="I15778" s="3">
        <v>316</v>
      </c>
      <c r="J15778" s="3">
        <v>364</v>
      </c>
      <c r="K15778" s="3">
        <v>1311</v>
      </c>
      <c r="L15778" s="3">
        <v>3</v>
      </c>
      <c r="M15778" s="3">
        <v>318</v>
      </c>
    </row>
    <row r="15779" spans="1:13" x14ac:dyDescent="0.25">
      <c r="A15779" s="1" t="str">
        <f>HYPERLINK("http://www.rosaceae.org/Prunus/Prunus_persica/p.persica_gdr_reftransV1_0010000","p.persica_gdr_reftransV1_0010000")</f>
        <v>p.persica_gdr_reftransV1_0010000</v>
      </c>
      <c r="B15779" s="3">
        <v>780</v>
      </c>
      <c r="C15779" s="1" t="str">
        <f>HYPERLINK("http://www.uniprot.org/uniprot/POLX_TOBAC","POLX_TOBAC")</f>
        <v>POLX_TOBAC</v>
      </c>
      <c r="D15779" t="s">
        <v>1253</v>
      </c>
      <c r="E15779" s="3" t="s">
        <v>200</v>
      </c>
      <c r="F15779" s="4">
        <v>1.7699999999999999E-55</v>
      </c>
      <c r="G15779" s="3">
        <v>502</v>
      </c>
      <c r="H15779" s="3">
        <v>41</v>
      </c>
      <c r="I15779" s="3">
        <v>259</v>
      </c>
      <c r="J15779" s="3">
        <v>3</v>
      </c>
      <c r="K15779" s="3">
        <v>770</v>
      </c>
      <c r="L15779" s="3">
        <v>373</v>
      </c>
      <c r="M15779" s="3">
        <v>625</v>
      </c>
    </row>
    <row r="15780" spans="1:13" x14ac:dyDescent="0.25">
      <c r="A15780" s="1" t="str">
        <f>HYPERLINK("http://www.rosaceae.org/Prunus/Prunus_persica/p.persica_gdr_reftransV1_0010150","p.persica_gdr_reftransV1_0010150")</f>
        <v>p.persica_gdr_reftransV1_0010150</v>
      </c>
      <c r="B15780" s="3">
        <v>628</v>
      </c>
      <c r="C15780" s="1" t="str">
        <f>HYPERLINK("http://www.uniprot.org/uniprot/PP390_ARATH","PP390_ARATH")</f>
        <v>PP390_ARATH</v>
      </c>
      <c r="D15780" t="s">
        <v>2648</v>
      </c>
      <c r="E15780" s="3" t="s">
        <v>3</v>
      </c>
      <c r="F15780" s="4">
        <v>6.2700000000000003E-43</v>
      </c>
      <c r="G15780" s="3">
        <v>400</v>
      </c>
      <c r="H15780" s="3">
        <v>38</v>
      </c>
      <c r="I15780" s="3">
        <v>210</v>
      </c>
      <c r="J15780" s="3">
        <v>1</v>
      </c>
      <c r="K15780" s="3">
        <v>627</v>
      </c>
      <c r="L15780" s="3">
        <v>184</v>
      </c>
      <c r="M15780" s="3">
        <v>393</v>
      </c>
    </row>
    <row r="15781" spans="1:13" x14ac:dyDescent="0.25">
      <c r="A15781" s="1" t="str">
        <f>HYPERLINK("http://www.rosaceae.org/Prunus/Prunus_persica/p.persica_gdr_reftransV1_0010200","p.persica_gdr_reftransV1_0010200")</f>
        <v>p.persica_gdr_reftransV1_0010200</v>
      </c>
      <c r="B15781" s="3">
        <v>1712</v>
      </c>
      <c r="C15781" s="1" t="str">
        <f>HYPERLINK("http://www.uniprot.org/uniprot/Y2215_ARATH","Y2215_ARATH")</f>
        <v>Y2215_ARATH</v>
      </c>
      <c r="D15781" t="s">
        <v>7256</v>
      </c>
      <c r="E15781" s="3" t="s">
        <v>3</v>
      </c>
      <c r="F15781" s="4">
        <v>1.1499999999999999E-170</v>
      </c>
      <c r="G15781" s="3">
        <v>1282</v>
      </c>
      <c r="H15781" s="3">
        <v>59</v>
      </c>
      <c r="I15781" s="3">
        <v>456</v>
      </c>
      <c r="J15781" s="3">
        <v>358</v>
      </c>
      <c r="K15781" s="3">
        <v>1710</v>
      </c>
      <c r="L15781" s="3">
        <v>16</v>
      </c>
      <c r="M15781" s="3">
        <v>432</v>
      </c>
    </row>
    <row r="15782" spans="1:13" x14ac:dyDescent="0.25">
      <c r="A15782" s="1" t="str">
        <f>HYPERLINK("http://www.rosaceae.org/Prunus/Prunus_persica/p.persica_gdr_reftransV1_0010250","p.persica_gdr_reftransV1_0010250")</f>
        <v>p.persica_gdr_reftransV1_0010250</v>
      </c>
      <c r="B15782" s="3">
        <v>2795</v>
      </c>
      <c r="C15782" s="1" t="str">
        <f>HYPERLINK("http://www.uniprot.org/uniprot/ROGF1_ARATH","ROGF1_ARATH")</f>
        <v>ROGF1_ARATH</v>
      </c>
      <c r="D15782" t="s">
        <v>3583</v>
      </c>
      <c r="E15782" s="3" t="s">
        <v>3</v>
      </c>
      <c r="F15782" s="4">
        <v>0</v>
      </c>
      <c r="G15782" s="3">
        <v>1592</v>
      </c>
      <c r="H15782" s="3">
        <v>67</v>
      </c>
      <c r="I15782" s="3">
        <v>456</v>
      </c>
      <c r="J15782" s="3">
        <v>1148</v>
      </c>
      <c r="K15782" s="3">
        <v>2506</v>
      </c>
      <c r="L15782" s="3">
        <v>64</v>
      </c>
      <c r="M15782" s="3">
        <v>503</v>
      </c>
    </row>
    <row r="15783" spans="1:13" x14ac:dyDescent="0.25">
      <c r="A15783" s="1" t="str">
        <f>HYPERLINK("http://www.rosaceae.org/Prunus/Prunus_persica/p.persica_gdr_reftransV1_0010300","p.persica_gdr_reftransV1_0010300")</f>
        <v>p.persica_gdr_reftransV1_0010300</v>
      </c>
      <c r="B15783" s="3">
        <v>1042</v>
      </c>
      <c r="C15783" s="1" t="str">
        <f>HYPERLINK("http://www.uniprot.org/uniprot/CAAT2_ARATH","CAAT2_ARATH")</f>
        <v>CAAT2_ARATH</v>
      </c>
      <c r="D15783" t="s">
        <v>408</v>
      </c>
      <c r="E15783" s="3" t="s">
        <v>3</v>
      </c>
      <c r="F15783" s="4">
        <v>1.1400000000000001E-45</v>
      </c>
      <c r="G15783" s="3">
        <v>428</v>
      </c>
      <c r="H15783" s="3">
        <v>74</v>
      </c>
      <c r="I15783" s="3">
        <v>142</v>
      </c>
      <c r="J15783" s="3">
        <v>619</v>
      </c>
      <c r="K15783" s="3">
        <v>1041</v>
      </c>
      <c r="L15783" s="3">
        <v>1</v>
      </c>
      <c r="M15783" s="3">
        <v>136</v>
      </c>
    </row>
    <row r="15784" spans="1:13" x14ac:dyDescent="0.25">
      <c r="A15784" s="1" t="str">
        <f>HYPERLINK("http://www.rosaceae.org/Prunus/Prunus_persica/p.persica_gdr_reftransV1_0010600","p.persica_gdr_reftransV1_0010600")</f>
        <v>p.persica_gdr_reftransV1_0010600</v>
      </c>
      <c r="B15784" s="3">
        <v>3067</v>
      </c>
      <c r="C15784" s="1" t="str">
        <f>HYPERLINK("http://www.uniprot.org/uniprot/PP333_ARATH","PP333_ARATH")</f>
        <v>PP333_ARATH</v>
      </c>
      <c r="D15784" t="s">
        <v>2209</v>
      </c>
      <c r="E15784" s="3" t="s">
        <v>3</v>
      </c>
      <c r="F15784" s="4">
        <v>3.5900000000000001E-156</v>
      </c>
      <c r="G15784" s="3">
        <v>1263</v>
      </c>
      <c r="H15784" s="3">
        <v>34</v>
      </c>
      <c r="I15784" s="3">
        <v>727</v>
      </c>
      <c r="J15784" s="3">
        <v>84</v>
      </c>
      <c r="K15784" s="3">
        <v>2261</v>
      </c>
      <c r="L15784" s="3">
        <v>109</v>
      </c>
      <c r="M15784" s="3">
        <v>828</v>
      </c>
    </row>
    <row r="15785" spans="1:13" x14ac:dyDescent="0.25">
      <c r="A15785" s="1" t="str">
        <f>HYPERLINK("http://www.rosaceae.org/Prunus/Prunus_persica/p.persica_gdr_reftransV1_0010750","p.persica_gdr_reftransV1_0010750")</f>
        <v>p.persica_gdr_reftransV1_0010750</v>
      </c>
      <c r="B15785" s="3">
        <v>2484</v>
      </c>
      <c r="C15785" s="1" t="str">
        <f>HYPERLINK("http://www.uniprot.org/uniprot/SPG21_RAT","SPG21_RAT")</f>
        <v>SPG21_RAT</v>
      </c>
      <c r="D15785" t="s">
        <v>10037</v>
      </c>
      <c r="E15785" s="3" t="s">
        <v>161</v>
      </c>
      <c r="F15785" s="4">
        <v>4.5900000000000003E-49</v>
      </c>
      <c r="G15785" s="3">
        <v>452</v>
      </c>
      <c r="H15785" s="3">
        <v>44</v>
      </c>
      <c r="I15785" s="3">
        <v>221</v>
      </c>
      <c r="J15785" s="3">
        <v>1666</v>
      </c>
      <c r="K15785" s="3">
        <v>2307</v>
      </c>
      <c r="L15785" s="3">
        <v>9</v>
      </c>
      <c r="M15785" s="3">
        <v>227</v>
      </c>
    </row>
    <row r="15786" spans="1:13" x14ac:dyDescent="0.25">
      <c r="A15786" s="1" t="str">
        <f>HYPERLINK("http://www.rosaceae.org/Prunus/Prunus_persica/p.persica_gdr_reftransV1_0010900","p.persica_gdr_reftransV1_0010900")</f>
        <v>p.persica_gdr_reftransV1_0010900</v>
      </c>
      <c r="B15786" s="3">
        <v>4454</v>
      </c>
      <c r="C15786" s="1" t="str">
        <f>HYPERLINK("http://www.uniprot.org/uniprot/CTR1_ARATH","CTR1_ARATH")</f>
        <v>CTR1_ARATH</v>
      </c>
      <c r="D15786" t="s">
        <v>3566</v>
      </c>
      <c r="E15786" s="3" t="s">
        <v>3</v>
      </c>
      <c r="F15786" s="4">
        <v>1.23E-45</v>
      </c>
      <c r="G15786" s="3">
        <v>461</v>
      </c>
      <c r="H15786" s="3">
        <v>40</v>
      </c>
      <c r="I15786" s="3">
        <v>280</v>
      </c>
      <c r="J15786" s="3">
        <v>296</v>
      </c>
      <c r="K15786" s="3">
        <v>1120</v>
      </c>
      <c r="L15786" s="3">
        <v>550</v>
      </c>
      <c r="M15786" s="3">
        <v>815</v>
      </c>
    </row>
    <row r="15787" spans="1:13" x14ac:dyDescent="0.25">
      <c r="A15787" s="1" t="str">
        <f>HYPERLINK("http://www.rosaceae.org/Prunus/Prunus_persica/p.persica_gdr_reftransV1_0011000","p.persica_gdr_reftransV1_0011000")</f>
        <v>p.persica_gdr_reftransV1_0011000</v>
      </c>
      <c r="B15787" s="3">
        <v>1675</v>
      </c>
      <c r="C15787" s="1" t="str">
        <f>HYPERLINK("http://www.uniprot.org/uniprot/PEX2_ARATH","PEX2_ARATH")</f>
        <v>PEX2_ARATH</v>
      </c>
      <c r="D15787" t="s">
        <v>10038</v>
      </c>
      <c r="E15787" s="3" t="s">
        <v>3</v>
      </c>
      <c r="F15787" s="4">
        <v>4.2899999999999996E-161</v>
      </c>
      <c r="G15787" s="3">
        <v>1208</v>
      </c>
      <c r="H15787" s="3">
        <v>79</v>
      </c>
      <c r="I15787" s="3">
        <v>322</v>
      </c>
      <c r="J15787" s="3">
        <v>438</v>
      </c>
      <c r="K15787" s="3">
        <v>1397</v>
      </c>
      <c r="L15787" s="3">
        <v>6</v>
      </c>
      <c r="M15787" s="3">
        <v>327</v>
      </c>
    </row>
    <row r="15788" spans="1:13" x14ac:dyDescent="0.25">
      <c r="A15788" s="1" t="str">
        <f>HYPERLINK("http://www.rosaceae.org/Prunus/Prunus_persica/p.persica_gdr_reftransV1_0011100","p.persica_gdr_reftransV1_0011100")</f>
        <v>p.persica_gdr_reftransV1_0011100</v>
      </c>
      <c r="B15788" s="3">
        <v>1532</v>
      </c>
      <c r="C15788" s="1" t="str">
        <f>HYPERLINK("http://www.uniprot.org/uniprot/ALY3_ARATH","ALY3_ARATH")</f>
        <v>ALY3_ARATH</v>
      </c>
      <c r="D15788" t="s">
        <v>4549</v>
      </c>
      <c r="E15788" s="3" t="s">
        <v>3</v>
      </c>
      <c r="F15788" s="4">
        <v>1.36E-117</v>
      </c>
      <c r="G15788" s="3">
        <v>973</v>
      </c>
      <c r="H15788" s="3">
        <v>50</v>
      </c>
      <c r="I15788" s="3">
        <v>438</v>
      </c>
      <c r="J15788" s="3">
        <v>1</v>
      </c>
      <c r="K15788" s="3">
        <v>1302</v>
      </c>
      <c r="L15788" s="3">
        <v>713</v>
      </c>
      <c r="M15788" s="3">
        <v>1132</v>
      </c>
    </row>
    <row r="15789" spans="1:13" x14ac:dyDescent="0.25">
      <c r="A15789" s="1" t="str">
        <f>HYPERLINK("http://www.rosaceae.org/Prunus/Prunus_persica/p.persica_gdr_reftransV1_0011150","p.persica_gdr_reftransV1_0011150")</f>
        <v>p.persica_gdr_reftransV1_0011150</v>
      </c>
      <c r="B15789" s="3">
        <v>2532</v>
      </c>
      <c r="C15789" s="1" t="str">
        <f>HYPERLINK("http://www.uniprot.org/uniprot/ADCS_ARATH","ADCS_ARATH")</f>
        <v>ADCS_ARATH</v>
      </c>
      <c r="D15789" t="s">
        <v>10039</v>
      </c>
      <c r="E15789" s="3" t="s">
        <v>3</v>
      </c>
      <c r="F15789" s="4">
        <v>3.1E-171</v>
      </c>
      <c r="G15789" s="3">
        <v>1356</v>
      </c>
      <c r="H15789" s="3">
        <v>73</v>
      </c>
      <c r="I15789" s="3">
        <v>364</v>
      </c>
      <c r="J15789" s="3">
        <v>215</v>
      </c>
      <c r="K15789" s="3">
        <v>1306</v>
      </c>
      <c r="L15789" s="3">
        <v>549</v>
      </c>
      <c r="M15789" s="3">
        <v>912</v>
      </c>
    </row>
    <row r="15790" spans="1:13" x14ac:dyDescent="0.25">
      <c r="A15790" s="1" t="str">
        <f>HYPERLINK("http://www.rosaceae.org/Prunus/Prunus_persica/p.persica_gdr_reftransV1_0011400","p.persica_gdr_reftransV1_0011400")</f>
        <v>p.persica_gdr_reftransV1_0011400</v>
      </c>
      <c r="B15790" s="3">
        <v>1439</v>
      </c>
      <c r="C15790" s="1" t="str">
        <f>HYPERLINK("http://www.uniprot.org/uniprot/RACD_PYRHO","RACD_PYRHO")</f>
        <v>RACD_PYRHO</v>
      </c>
      <c r="D15790" t="s">
        <v>10040</v>
      </c>
      <c r="E15790" s="3" t="s">
        <v>1733</v>
      </c>
      <c r="F15790" s="4">
        <v>1.07E-9</v>
      </c>
      <c r="G15790" s="3">
        <v>149</v>
      </c>
      <c r="H15790" s="3">
        <v>26</v>
      </c>
      <c r="I15790" s="3">
        <v>247</v>
      </c>
      <c r="J15790" s="3">
        <v>176</v>
      </c>
      <c r="K15790" s="3">
        <v>910</v>
      </c>
      <c r="L15790" s="3">
        <v>2</v>
      </c>
      <c r="M15790" s="3">
        <v>223</v>
      </c>
    </row>
    <row r="15791" spans="1:13" x14ac:dyDescent="0.25">
      <c r="A15791" s="1" t="str">
        <f>HYPERLINK("http://www.rosaceae.org/Prunus/Prunus_persica/p.persica_gdr_reftransV1_0011450","p.persica_gdr_reftransV1_0011450")</f>
        <v>p.persica_gdr_reftransV1_0011450</v>
      </c>
      <c r="B15791" s="3">
        <v>2648</v>
      </c>
      <c r="C15791" s="1" t="str">
        <f>HYPERLINK("http://www.uniprot.org/uniprot/SERA2_ARATH","SERA2_ARATH")</f>
        <v>SERA2_ARATH</v>
      </c>
      <c r="D15791" t="s">
        <v>10041</v>
      </c>
      <c r="E15791" s="3" t="s">
        <v>3</v>
      </c>
      <c r="F15791" s="4">
        <v>0</v>
      </c>
      <c r="G15791" s="3">
        <v>2101</v>
      </c>
      <c r="H15791" s="3">
        <v>81</v>
      </c>
      <c r="I15791" s="3">
        <v>561</v>
      </c>
      <c r="J15791" s="3">
        <v>432</v>
      </c>
      <c r="K15791" s="3">
        <v>2111</v>
      </c>
      <c r="L15791" s="3">
        <v>60</v>
      </c>
      <c r="M15791" s="3">
        <v>618</v>
      </c>
    </row>
    <row r="15792" spans="1:13" x14ac:dyDescent="0.25">
      <c r="A15792" s="1" t="str">
        <f>HYPERLINK("http://www.rosaceae.org/Prunus/Prunus_persica/p.persica_gdr_reftransV1_0011500","p.persica_gdr_reftransV1_0011500")</f>
        <v>p.persica_gdr_reftransV1_0011500</v>
      </c>
      <c r="B15792" s="3">
        <v>3906</v>
      </c>
      <c r="C15792" s="1" t="str">
        <f>HYPERLINK("http://www.uniprot.org/uniprot/SRFR1_ARATH","SRFR1_ARATH")</f>
        <v>SRFR1_ARATH</v>
      </c>
      <c r="D15792" t="s">
        <v>10042</v>
      </c>
      <c r="E15792" s="3" t="s">
        <v>3</v>
      </c>
      <c r="F15792" s="4">
        <v>0</v>
      </c>
      <c r="G15792" s="3">
        <v>1905</v>
      </c>
      <c r="H15792" s="3">
        <v>51</v>
      </c>
      <c r="I15792" s="3">
        <v>793</v>
      </c>
      <c r="J15792" s="3">
        <v>295</v>
      </c>
      <c r="K15792" s="3">
        <v>2655</v>
      </c>
      <c r="L15792" s="3">
        <v>303</v>
      </c>
      <c r="M15792" s="3">
        <v>1052</v>
      </c>
    </row>
    <row r="15793" spans="1:13" x14ac:dyDescent="0.25">
      <c r="A15793" s="1" t="str">
        <f>HYPERLINK("http://www.rosaceae.org/Prunus/Prunus_persica/p.persica_gdr_reftransV1_0011650","p.persica_gdr_reftransV1_0011650")</f>
        <v>p.persica_gdr_reftransV1_0011650</v>
      </c>
      <c r="B15793" s="3">
        <v>2371</v>
      </c>
      <c r="C15793" s="1" t="str">
        <f>HYPERLINK("http://www.uniprot.org/uniprot/RN185_MOUSE","RN185_MOUSE")</f>
        <v>RN185_MOUSE</v>
      </c>
      <c r="D15793" t="s">
        <v>10043</v>
      </c>
      <c r="E15793" s="3" t="s">
        <v>157</v>
      </c>
      <c r="F15793" s="4">
        <v>1.5200000000000001E-23</v>
      </c>
      <c r="G15793" s="3">
        <v>259</v>
      </c>
      <c r="H15793" s="3">
        <v>44</v>
      </c>
      <c r="I15793" s="3">
        <v>106</v>
      </c>
      <c r="J15793" s="3">
        <v>1070</v>
      </c>
      <c r="K15793" s="3">
        <v>1378</v>
      </c>
      <c r="L15793" s="3">
        <v>12</v>
      </c>
      <c r="M15793" s="3">
        <v>116</v>
      </c>
    </row>
    <row r="15794" spans="1:13" x14ac:dyDescent="0.25">
      <c r="A15794" s="1" t="str">
        <f>HYPERLINK("http://www.rosaceae.org/Prunus/Prunus_persica/p.persica_gdr_reftransV1_0011800","p.persica_gdr_reftransV1_0011800")</f>
        <v>p.persica_gdr_reftransV1_0011800</v>
      </c>
      <c r="B15794" s="3">
        <v>780</v>
      </c>
      <c r="C15794" s="1" t="str">
        <f>HYPERLINK("http://www.uniprot.org/uniprot/FRL1T_ARATH","FRL1T_ARATH")</f>
        <v>FRL1T_ARATH</v>
      </c>
      <c r="D15794" t="s">
        <v>10044</v>
      </c>
      <c r="E15794" s="3" t="s">
        <v>3</v>
      </c>
      <c r="F15794" s="4">
        <v>1.66E-15</v>
      </c>
      <c r="G15794" s="3">
        <v>189</v>
      </c>
      <c r="H15794" s="3">
        <v>34</v>
      </c>
      <c r="I15794" s="3">
        <v>155</v>
      </c>
      <c r="J15794" s="3">
        <v>2</v>
      </c>
      <c r="K15794" s="3">
        <v>460</v>
      </c>
      <c r="L15794" s="3">
        <v>127</v>
      </c>
      <c r="M15794" s="3">
        <v>270</v>
      </c>
    </row>
    <row r="15795" spans="1:13" x14ac:dyDescent="0.25">
      <c r="A15795" s="1" t="str">
        <f>HYPERLINK("http://www.rosaceae.org/Prunus/Prunus_persica/p.persica_gdr_reftransV1_0011850","p.persica_gdr_reftransV1_0011850")</f>
        <v>p.persica_gdr_reftransV1_0011850</v>
      </c>
      <c r="B15795" s="3">
        <v>1817</v>
      </c>
      <c r="C15795" s="1" t="str">
        <f>HYPERLINK("http://www.uniprot.org/uniprot/PSB4_ARATH","PSB4_ARATH")</f>
        <v>PSB4_ARATH</v>
      </c>
      <c r="D15795" t="s">
        <v>10045</v>
      </c>
      <c r="E15795" s="3" t="s">
        <v>3</v>
      </c>
      <c r="F15795" s="4">
        <v>3.5700000000000001E-144</v>
      </c>
      <c r="G15795" s="3">
        <v>1091</v>
      </c>
      <c r="H15795" s="3">
        <v>86</v>
      </c>
      <c r="I15795" s="3">
        <v>228</v>
      </c>
      <c r="J15795" s="3">
        <v>361</v>
      </c>
      <c r="K15795" s="3">
        <v>1044</v>
      </c>
      <c r="L15795" s="3">
        <v>19</v>
      </c>
      <c r="M15795" s="3">
        <v>246</v>
      </c>
    </row>
    <row r="15796" spans="1:13" x14ac:dyDescent="0.25">
      <c r="A15796" s="1" t="str">
        <f>HYPERLINK("http://www.rosaceae.org/Prunus/Prunus_persica/p.persica_gdr_reftransV1_0011900","p.persica_gdr_reftransV1_0011900")</f>
        <v>p.persica_gdr_reftransV1_0011900</v>
      </c>
      <c r="B15796" s="3">
        <v>1069</v>
      </c>
      <c r="C15796" s="1" t="str">
        <f>HYPERLINK("http://www.uniprot.org/uniprot/C3H5_ARATH","C3H5_ARATH")</f>
        <v>C3H5_ARATH</v>
      </c>
      <c r="D15796" t="s">
        <v>6950</v>
      </c>
      <c r="E15796" s="3" t="s">
        <v>3</v>
      </c>
      <c r="F15796" s="4">
        <v>2.6500000000000002E-52</v>
      </c>
      <c r="G15796" s="3">
        <v>480</v>
      </c>
      <c r="H15796" s="3">
        <v>67</v>
      </c>
      <c r="I15796" s="3">
        <v>151</v>
      </c>
      <c r="J15796" s="3">
        <v>132</v>
      </c>
      <c r="K15796" s="3">
        <v>557</v>
      </c>
      <c r="L15796" s="3">
        <v>145</v>
      </c>
      <c r="M15796" s="3">
        <v>294</v>
      </c>
    </row>
    <row r="15797" spans="1:13" x14ac:dyDescent="0.25">
      <c r="A15797" s="1" t="str">
        <f>HYPERLINK("http://www.rosaceae.org/Prunus/Prunus_persica/p.persica_gdr_reftransV1_0012050","p.persica_gdr_reftransV1_0012050")</f>
        <v>p.persica_gdr_reftransV1_0012050</v>
      </c>
      <c r="B15797" s="3">
        <v>820</v>
      </c>
      <c r="C15797" s="1" t="str">
        <f>HYPERLINK("http://www.uniprot.org/uniprot/LGUL_SCHPO","LGUL_SCHPO")</f>
        <v>LGUL_SCHPO</v>
      </c>
      <c r="D15797" t="s">
        <v>10046</v>
      </c>
      <c r="E15797" s="3" t="s">
        <v>464</v>
      </c>
      <c r="F15797" s="4">
        <v>7.9500000000000001E-9</v>
      </c>
      <c r="G15797" s="3">
        <v>142</v>
      </c>
      <c r="H15797" s="3">
        <v>31</v>
      </c>
      <c r="I15797" s="3">
        <v>144</v>
      </c>
      <c r="J15797" s="3">
        <v>349</v>
      </c>
      <c r="K15797" s="3">
        <v>738</v>
      </c>
      <c r="L15797" s="3">
        <v>12</v>
      </c>
      <c r="M15797" s="3">
        <v>153</v>
      </c>
    </row>
    <row r="15798" spans="1:13" x14ac:dyDescent="0.25">
      <c r="A15798" s="1" t="str">
        <f>HYPERLINK("http://www.rosaceae.org/Prunus/Prunus_persica/p.persica_gdr_reftransV1_0012300","p.persica_gdr_reftransV1_0012300")</f>
        <v>p.persica_gdr_reftransV1_0012300</v>
      </c>
      <c r="B15798" s="3">
        <v>1756</v>
      </c>
      <c r="C15798" s="1" t="str">
        <f>HYPERLINK("http://www.uniprot.org/uniprot/ARAD1_ARATH","ARAD1_ARATH")</f>
        <v>ARAD1_ARATH</v>
      </c>
      <c r="D15798" t="s">
        <v>123</v>
      </c>
      <c r="E15798" s="3" t="s">
        <v>3</v>
      </c>
      <c r="F15798" s="4">
        <v>5.2599999999999999E-55</v>
      </c>
      <c r="G15798" s="3">
        <v>503</v>
      </c>
      <c r="H15798" s="3">
        <v>40</v>
      </c>
      <c r="I15798" s="3">
        <v>272</v>
      </c>
      <c r="J15798" s="3">
        <v>819</v>
      </c>
      <c r="K15798" s="3">
        <v>1622</v>
      </c>
      <c r="L15798" s="3">
        <v>193</v>
      </c>
      <c r="M15798" s="3">
        <v>435</v>
      </c>
    </row>
    <row r="15799" spans="1:13" x14ac:dyDescent="0.25">
      <c r="A15799" s="1" t="str">
        <f>HYPERLINK("http://www.rosaceae.org/Prunus/Prunus_persica/p.persica_gdr_reftransV1_0012400","p.persica_gdr_reftransV1_0012400")</f>
        <v>p.persica_gdr_reftransV1_0012400</v>
      </c>
      <c r="B15799" s="3">
        <v>1907</v>
      </c>
      <c r="C15799" s="1" t="str">
        <f>HYPERLINK("http://www.uniprot.org/uniprot/ESP1_ARATH","ESP1_ARATH")</f>
        <v>ESP1_ARATH</v>
      </c>
      <c r="D15799" t="s">
        <v>3366</v>
      </c>
      <c r="E15799" s="3" t="s">
        <v>3</v>
      </c>
      <c r="F15799" s="4">
        <v>2.8999999999999999E-159</v>
      </c>
      <c r="G15799" s="3">
        <v>1314</v>
      </c>
      <c r="H15799" s="3">
        <v>57</v>
      </c>
      <c r="I15799" s="3">
        <v>501</v>
      </c>
      <c r="J15799" s="3">
        <v>8</v>
      </c>
      <c r="K15799" s="3">
        <v>1489</v>
      </c>
      <c r="L15799" s="3">
        <v>1672</v>
      </c>
      <c r="M15799" s="3">
        <v>2168</v>
      </c>
    </row>
    <row r="15800" spans="1:13" x14ac:dyDescent="0.25">
      <c r="A15800" s="1" t="str">
        <f>HYPERLINK("http://www.rosaceae.org/Prunus/Prunus_persica/p.persica_gdr_reftransV1_0012500","p.persica_gdr_reftransV1_0012500")</f>
        <v>p.persica_gdr_reftransV1_0012500</v>
      </c>
      <c r="B15800" s="3">
        <v>2631</v>
      </c>
      <c r="C15800" s="1" t="str">
        <f>HYPERLINK("http://www.uniprot.org/uniprot/GL3_ARATH","GL3_ARATH")</f>
        <v>GL3_ARATH</v>
      </c>
      <c r="D15800" t="s">
        <v>10047</v>
      </c>
      <c r="E15800" s="3" t="s">
        <v>3</v>
      </c>
      <c r="F15800" s="4">
        <v>0</v>
      </c>
      <c r="G15800" s="3">
        <v>1609</v>
      </c>
      <c r="H15800" s="3">
        <v>53</v>
      </c>
      <c r="I15800" s="3">
        <v>665</v>
      </c>
      <c r="J15800" s="3">
        <v>255</v>
      </c>
      <c r="K15800" s="3">
        <v>2177</v>
      </c>
      <c r="L15800" s="3">
        <v>1</v>
      </c>
      <c r="M15800" s="3">
        <v>637</v>
      </c>
    </row>
    <row r="15801" spans="1:13" x14ac:dyDescent="0.25">
      <c r="A15801" s="1" t="str">
        <f>HYPERLINK("http://www.rosaceae.org/Prunus/Prunus_persica/p.persica_gdr_reftransV1_0012750","p.persica_gdr_reftransV1_0012750")</f>
        <v>p.persica_gdr_reftransV1_0012750</v>
      </c>
      <c r="B15801" s="3">
        <v>2602</v>
      </c>
      <c r="C15801" s="1" t="str">
        <f>HYPERLINK("http://www.uniprot.org/uniprot/MPRO1_ARATH","MPRO1_ARATH")</f>
        <v>MPRO1_ARATH</v>
      </c>
      <c r="D15801" t="s">
        <v>10048</v>
      </c>
      <c r="E15801" s="3" t="s">
        <v>3</v>
      </c>
      <c r="F15801" s="4">
        <v>0</v>
      </c>
      <c r="G15801" s="3">
        <v>2299</v>
      </c>
      <c r="H15801" s="3">
        <v>62</v>
      </c>
      <c r="I15801" s="3">
        <v>710</v>
      </c>
      <c r="J15801" s="3">
        <v>385</v>
      </c>
      <c r="K15801" s="3">
        <v>2505</v>
      </c>
      <c r="L15801" s="3">
        <v>1</v>
      </c>
      <c r="M15801" s="3">
        <v>710</v>
      </c>
    </row>
    <row r="15802" spans="1:13" x14ac:dyDescent="0.25">
      <c r="A15802" s="1" t="str">
        <f>HYPERLINK("http://www.rosaceae.org/Prunus/Prunus_persica/p.persica_gdr_reftransV1_0013000","p.persica_gdr_reftransV1_0013000")</f>
        <v>p.persica_gdr_reftransV1_0013000</v>
      </c>
      <c r="B15802" s="3">
        <v>4420</v>
      </c>
      <c r="C15802" s="1" t="str">
        <f>HYPERLINK("http://www.uniprot.org/uniprot/AT18F_ARATH","AT18F_ARATH")</f>
        <v>AT18F_ARATH</v>
      </c>
      <c r="D15802" t="s">
        <v>10049</v>
      </c>
      <c r="E15802" s="3" t="s">
        <v>3</v>
      </c>
      <c r="F15802" s="4">
        <v>2.4300000000000002E-171</v>
      </c>
      <c r="G15802" s="3">
        <v>1389</v>
      </c>
      <c r="H15802" s="3">
        <v>47</v>
      </c>
      <c r="I15802" s="3">
        <v>784</v>
      </c>
      <c r="J15802" s="3">
        <v>1268</v>
      </c>
      <c r="K15802" s="3">
        <v>3565</v>
      </c>
      <c r="L15802" s="3">
        <v>15</v>
      </c>
      <c r="M15802" s="3">
        <v>706</v>
      </c>
    </row>
    <row r="15803" spans="1:13" x14ac:dyDescent="0.25">
      <c r="A15803" s="1" t="str">
        <f>HYPERLINK("http://www.rosaceae.org/Prunus/Prunus_persica/p.persica_gdr_reftransV1_0013050","p.persica_gdr_reftransV1_0013050")</f>
        <v>p.persica_gdr_reftransV1_0013050</v>
      </c>
      <c r="B15803" s="3">
        <v>1982</v>
      </c>
      <c r="C15803" s="1" t="str">
        <f>HYPERLINK("http://www.uniprot.org/uniprot/R13L4_ARATH","R13L4_ARATH")</f>
        <v>R13L4_ARATH</v>
      </c>
      <c r="D15803" t="s">
        <v>10050</v>
      </c>
      <c r="E15803" s="3" t="s">
        <v>3</v>
      </c>
      <c r="F15803" s="4">
        <v>2.1600000000000001E-20</v>
      </c>
      <c r="G15803" s="3">
        <v>247</v>
      </c>
      <c r="H15803" s="3">
        <v>27</v>
      </c>
      <c r="I15803" s="3">
        <v>365</v>
      </c>
      <c r="J15803" s="3">
        <v>27</v>
      </c>
      <c r="K15803" s="3">
        <v>1118</v>
      </c>
      <c r="L15803" s="3">
        <v>400</v>
      </c>
      <c r="M15803" s="3">
        <v>718</v>
      </c>
    </row>
    <row r="15804" spans="1:13" x14ac:dyDescent="0.25">
      <c r="A15804" s="1" t="str">
        <f>HYPERLINK("http://www.rosaceae.org/Prunus/Prunus_persica/p.persica_gdr_reftransV1_0013100","p.persica_gdr_reftransV1_0013100")</f>
        <v>p.persica_gdr_reftransV1_0013100</v>
      </c>
      <c r="B15804" s="3">
        <v>5038</v>
      </c>
      <c r="C15804" s="1" t="str">
        <f>HYPERLINK("http://www.uniprot.org/uniprot/UBE11_WHEAT","UBE11_WHEAT")</f>
        <v>UBE11_WHEAT</v>
      </c>
      <c r="D15804" t="s">
        <v>10051</v>
      </c>
      <c r="E15804" s="3" t="s">
        <v>710</v>
      </c>
      <c r="F15804" s="4">
        <v>0</v>
      </c>
      <c r="G15804" s="3">
        <v>2923</v>
      </c>
      <c r="H15804" s="3">
        <v>81</v>
      </c>
      <c r="I15804" s="3">
        <v>652</v>
      </c>
      <c r="J15804" s="3">
        <v>2</v>
      </c>
      <c r="K15804" s="3">
        <v>1957</v>
      </c>
      <c r="L15804" s="3">
        <v>38</v>
      </c>
      <c r="M15804" s="3">
        <v>689</v>
      </c>
    </row>
    <row r="15805" spans="1:13" x14ac:dyDescent="0.25">
      <c r="A15805" s="1" t="str">
        <f>HYPERLINK("http://www.rosaceae.org/Prunus/Prunus_persica/p.persica_gdr_reftransV1_0013200","p.persica_gdr_reftransV1_0013200")</f>
        <v>p.persica_gdr_reftransV1_0013200</v>
      </c>
      <c r="B15805" s="3">
        <v>1138</v>
      </c>
      <c r="C15805" s="1" t="str">
        <f>HYPERLINK("http://www.uniprot.org/uniprot/ERV1_ARATH","ERV1_ARATH")</f>
        <v>ERV1_ARATH</v>
      </c>
      <c r="D15805" t="s">
        <v>10052</v>
      </c>
      <c r="E15805" s="3" t="s">
        <v>3</v>
      </c>
      <c r="F15805" s="4">
        <v>5.49E-55</v>
      </c>
      <c r="G15805" s="3">
        <v>470</v>
      </c>
      <c r="H15805" s="3">
        <v>61</v>
      </c>
      <c r="I15805" s="3">
        <v>163</v>
      </c>
      <c r="J15805" s="3">
        <v>609</v>
      </c>
      <c r="K15805" s="3">
        <v>1088</v>
      </c>
      <c r="L15805" s="3">
        <v>1</v>
      </c>
      <c r="M15805" s="3">
        <v>156</v>
      </c>
    </row>
    <row r="15806" spans="1:13" x14ac:dyDescent="0.25">
      <c r="A15806" s="1" t="str">
        <f>HYPERLINK("http://www.rosaceae.org/Prunus/Prunus_persica/p.persica_gdr_reftransV1_0013450","p.persica_gdr_reftransV1_0013450")</f>
        <v>p.persica_gdr_reftransV1_0013450</v>
      </c>
      <c r="B15806" s="3">
        <v>1626</v>
      </c>
      <c r="C15806" s="1" t="str">
        <f>HYPERLINK("http://www.uniprot.org/uniprot/PI5K9_ARATH","PI5K9_ARATH")</f>
        <v>PI5K9_ARATH</v>
      </c>
      <c r="D15806" t="s">
        <v>9365</v>
      </c>
      <c r="E15806" s="3" t="s">
        <v>3</v>
      </c>
      <c r="F15806" s="4">
        <v>0</v>
      </c>
      <c r="G15806" s="3">
        <v>1527</v>
      </c>
      <c r="H15806" s="3">
        <v>81</v>
      </c>
      <c r="I15806" s="3">
        <v>365</v>
      </c>
      <c r="J15806" s="3">
        <v>4</v>
      </c>
      <c r="K15806" s="3">
        <v>1086</v>
      </c>
      <c r="L15806" s="3">
        <v>450</v>
      </c>
      <c r="M15806" s="3">
        <v>812</v>
      </c>
    </row>
    <row r="15807" spans="1:13" x14ac:dyDescent="0.25">
      <c r="A15807" s="1" t="str">
        <f>HYPERLINK("http://www.rosaceae.org/Prunus/Prunus_persica/p.persica_gdr_reftransV1_0013500","p.persica_gdr_reftransV1_0013500")</f>
        <v>p.persica_gdr_reftransV1_0013500</v>
      </c>
      <c r="B15807" s="3">
        <v>723</v>
      </c>
      <c r="C15807" s="1" t="str">
        <f>HYPERLINK("http://www.uniprot.org/uniprot/NAC29_ARATH","NAC29_ARATH")</f>
        <v>NAC29_ARATH</v>
      </c>
      <c r="D15807" t="s">
        <v>2534</v>
      </c>
      <c r="E15807" s="3" t="s">
        <v>3</v>
      </c>
      <c r="F15807" s="4">
        <v>3.6500000000000001E-22</v>
      </c>
      <c r="G15807" s="3">
        <v>238</v>
      </c>
      <c r="H15807" s="3">
        <v>37</v>
      </c>
      <c r="I15807" s="3">
        <v>174</v>
      </c>
      <c r="J15807" s="3">
        <v>204</v>
      </c>
      <c r="K15807" s="3">
        <v>722</v>
      </c>
      <c r="L15807" s="3">
        <v>96</v>
      </c>
      <c r="M15807" s="3">
        <v>258</v>
      </c>
    </row>
    <row r="15808" spans="1:13" x14ac:dyDescent="0.25">
      <c r="A15808" s="1" t="str">
        <f>HYPERLINK("http://www.rosaceae.org/Prunus/Prunus_persica/p.persica_gdr_reftransV1_0013600","p.persica_gdr_reftransV1_0013600")</f>
        <v>p.persica_gdr_reftransV1_0013600</v>
      </c>
      <c r="B15808" s="3">
        <v>1328</v>
      </c>
      <c r="C15808" s="1" t="str">
        <f>HYPERLINK("http://www.uniprot.org/uniprot/KNOS1_ORYSJ","KNOS1_ORYSJ")</f>
        <v>KNOS1_ORYSJ</v>
      </c>
      <c r="D15808" t="s">
        <v>10053</v>
      </c>
      <c r="E15808" s="3" t="s">
        <v>38</v>
      </c>
      <c r="F15808" s="4">
        <v>7.24E-86</v>
      </c>
      <c r="G15808" s="3">
        <v>693</v>
      </c>
      <c r="H15808" s="3">
        <v>62</v>
      </c>
      <c r="I15808" s="3">
        <v>261</v>
      </c>
      <c r="J15808" s="3">
        <v>245</v>
      </c>
      <c r="K15808" s="3">
        <v>1015</v>
      </c>
      <c r="L15808" s="3">
        <v>39</v>
      </c>
      <c r="M15808" s="3">
        <v>298</v>
      </c>
    </row>
    <row r="15809" spans="1:13" x14ac:dyDescent="0.25">
      <c r="A15809" s="1" t="str">
        <f>HYPERLINK("http://www.rosaceae.org/Prunus/Prunus_persica/p.persica_gdr_reftransV1_0013700","p.persica_gdr_reftransV1_0013700")</f>
        <v>p.persica_gdr_reftransV1_0013700</v>
      </c>
      <c r="B15809" s="3">
        <v>2653</v>
      </c>
      <c r="C15809" s="1" t="str">
        <f>HYPERLINK("http://www.uniprot.org/uniprot/PP2A5_ARATH","PP2A5_ARATH")</f>
        <v>PP2A5_ARATH</v>
      </c>
      <c r="D15809" t="s">
        <v>10054</v>
      </c>
      <c r="E15809" s="3" t="s">
        <v>3</v>
      </c>
      <c r="F15809" s="4">
        <v>3.1999999999999998E-123</v>
      </c>
      <c r="G15809" s="3">
        <v>979</v>
      </c>
      <c r="H15809" s="3">
        <v>96</v>
      </c>
      <c r="I15809" s="3">
        <v>183</v>
      </c>
      <c r="J15809" s="3">
        <v>302</v>
      </c>
      <c r="K15809" s="3">
        <v>850</v>
      </c>
      <c r="L15809" s="3">
        <v>125</v>
      </c>
      <c r="M15809" s="3">
        <v>307</v>
      </c>
    </row>
    <row r="15810" spans="1:13" x14ac:dyDescent="0.25">
      <c r="A15810" s="1" t="str">
        <f>HYPERLINK("http://www.rosaceae.org/Prunus/Prunus_persica/p.persica_gdr_reftransV1_0013950","p.persica_gdr_reftransV1_0013950")</f>
        <v>p.persica_gdr_reftransV1_0013950</v>
      </c>
      <c r="B15810" s="3">
        <v>1218</v>
      </c>
      <c r="C15810" s="1" t="str">
        <f>HYPERLINK("http://www.uniprot.org/uniprot/TR164_ORYSJ","TR164_ORYSJ")</f>
        <v>TR164_ORYSJ</v>
      </c>
      <c r="D15810" t="s">
        <v>10055</v>
      </c>
      <c r="E15810" s="3" t="s">
        <v>38</v>
      </c>
      <c r="F15810" s="4">
        <v>4.0400000000000001E-92</v>
      </c>
      <c r="G15810" s="3">
        <v>728</v>
      </c>
      <c r="H15810" s="3">
        <v>69</v>
      </c>
      <c r="I15810" s="3">
        <v>218</v>
      </c>
      <c r="J15810" s="3">
        <v>348</v>
      </c>
      <c r="K15810" s="3">
        <v>998</v>
      </c>
      <c r="L15810" s="3">
        <v>47</v>
      </c>
      <c r="M15810" s="3">
        <v>262</v>
      </c>
    </row>
    <row r="15811" spans="1:13" x14ac:dyDescent="0.25">
      <c r="A15811" s="1" t="str">
        <f>HYPERLINK("http://www.rosaceae.org/Prunus/Prunus_persica/p.persica_gdr_reftransV1_0014200","p.persica_gdr_reftransV1_0014200")</f>
        <v>p.persica_gdr_reftransV1_0014200</v>
      </c>
      <c r="B15811" s="3">
        <v>2125</v>
      </c>
      <c r="C15811" s="1" t="str">
        <f>HYPERLINK("http://www.uniprot.org/uniprot/DXR_ARATH","DXR_ARATH")</f>
        <v>DXR_ARATH</v>
      </c>
      <c r="D15811" t="s">
        <v>10056</v>
      </c>
      <c r="E15811" s="3" t="s">
        <v>3</v>
      </c>
      <c r="F15811" s="4">
        <v>0</v>
      </c>
      <c r="G15811" s="3">
        <v>2058</v>
      </c>
      <c r="H15811" s="3">
        <v>85</v>
      </c>
      <c r="I15811" s="3">
        <v>476</v>
      </c>
      <c r="J15811" s="3">
        <v>337</v>
      </c>
      <c r="K15811" s="3">
        <v>1755</v>
      </c>
      <c r="L15811" s="3">
        <v>2</v>
      </c>
      <c r="M15811" s="3">
        <v>477</v>
      </c>
    </row>
    <row r="15812" spans="1:13" x14ac:dyDescent="0.25">
      <c r="A15812" s="1" t="str">
        <f>HYPERLINK("http://www.rosaceae.org/Prunus/Prunus_persica/p.persica_gdr_reftransV1_0014250","p.persica_gdr_reftransV1_0014250")</f>
        <v>p.persica_gdr_reftransV1_0014250</v>
      </c>
      <c r="B15812" s="3">
        <v>3138</v>
      </c>
      <c r="C15812" s="1" t="str">
        <f>HYPERLINK("http://www.uniprot.org/uniprot/XPB1_ARATH","XPB1_ARATH")</f>
        <v>XPB1_ARATH</v>
      </c>
      <c r="D15812" t="s">
        <v>10057</v>
      </c>
      <c r="E15812" s="3" t="s">
        <v>3</v>
      </c>
      <c r="F15812" s="4">
        <v>0</v>
      </c>
      <c r="G15812" s="3">
        <v>3289</v>
      </c>
      <c r="H15812" s="3">
        <v>86</v>
      </c>
      <c r="I15812" s="3">
        <v>768</v>
      </c>
      <c r="J15812" s="3">
        <v>738</v>
      </c>
      <c r="K15812" s="3">
        <v>3032</v>
      </c>
      <c r="L15812" s="3">
        <v>1</v>
      </c>
      <c r="M15812" s="3">
        <v>766</v>
      </c>
    </row>
    <row r="15813" spans="1:13" x14ac:dyDescent="0.25">
      <c r="A15813" s="1" t="str">
        <f>HYPERLINK("http://www.rosaceae.org/Prunus/Prunus_persica/p.persica_gdr_reftransV1_0014300","p.persica_gdr_reftransV1_0014300")</f>
        <v>p.persica_gdr_reftransV1_0014300</v>
      </c>
      <c r="B15813" s="3">
        <v>1695</v>
      </c>
      <c r="C15813" s="1" t="str">
        <f>HYPERLINK("http://www.uniprot.org/uniprot/RHN1_NICPL","RHN1_NICPL")</f>
        <v>RHN1_NICPL</v>
      </c>
      <c r="D15813" t="s">
        <v>8441</v>
      </c>
      <c r="E15813" s="3" t="s">
        <v>1450</v>
      </c>
      <c r="F15813" s="4">
        <v>6.3299999999999999E-63</v>
      </c>
      <c r="G15813" s="3">
        <v>538</v>
      </c>
      <c r="H15813" s="3">
        <v>72</v>
      </c>
      <c r="I15813" s="3">
        <v>141</v>
      </c>
      <c r="J15813" s="3">
        <v>1072</v>
      </c>
      <c r="K15813" s="3">
        <v>1494</v>
      </c>
      <c r="L15813" s="3">
        <v>1</v>
      </c>
      <c r="M15813" s="3">
        <v>141</v>
      </c>
    </row>
    <row r="15814" spans="1:13" x14ac:dyDescent="0.25">
      <c r="A15814" s="1" t="str">
        <f>HYPERLINK("http://www.rosaceae.org/Prunus/Prunus_persica/p.persica_gdr_reftransV1_0014400","p.persica_gdr_reftransV1_0014400")</f>
        <v>p.persica_gdr_reftransV1_0014400</v>
      </c>
      <c r="B15814" s="3">
        <v>833</v>
      </c>
      <c r="C15814" s="1" t="str">
        <f>HYPERLINK("http://www.uniprot.org/uniprot/DA1_ARATH","DA1_ARATH")</f>
        <v>DA1_ARATH</v>
      </c>
      <c r="D15814" t="s">
        <v>5007</v>
      </c>
      <c r="E15814" s="3" t="s">
        <v>3</v>
      </c>
      <c r="F15814" s="4">
        <v>1.34E-14</v>
      </c>
      <c r="G15814" s="3">
        <v>188</v>
      </c>
      <c r="H15814" s="3">
        <v>41</v>
      </c>
      <c r="I15814" s="3">
        <v>128</v>
      </c>
      <c r="J15814" s="3">
        <v>5</v>
      </c>
      <c r="K15814" s="3">
        <v>307</v>
      </c>
      <c r="L15814" s="3">
        <v>1</v>
      </c>
      <c r="M15814" s="3">
        <v>128</v>
      </c>
    </row>
    <row r="15815" spans="1:13" x14ac:dyDescent="0.25">
      <c r="A15815" s="1" t="str">
        <f>HYPERLINK("http://www.rosaceae.org/Prunus/Prunus_persica/p.persica_gdr_reftransV1_0014500","p.persica_gdr_reftransV1_0014500")</f>
        <v>p.persica_gdr_reftransV1_0014500</v>
      </c>
      <c r="B15815" s="3">
        <v>974</v>
      </c>
      <c r="C15815" s="1" t="str">
        <f>HYPERLINK("http://www.uniprot.org/uniprot/ATL4_ARATH","ATL4_ARATH")</f>
        <v>ATL4_ARATH</v>
      </c>
      <c r="D15815" t="s">
        <v>7037</v>
      </c>
      <c r="E15815" s="3" t="s">
        <v>3</v>
      </c>
      <c r="F15815" s="4">
        <v>2.32E-45</v>
      </c>
      <c r="G15815" s="3">
        <v>412</v>
      </c>
      <c r="H15815" s="3">
        <v>56</v>
      </c>
      <c r="I15815" s="3">
        <v>219</v>
      </c>
      <c r="J15815" s="3">
        <v>2</v>
      </c>
      <c r="K15815" s="3">
        <v>637</v>
      </c>
      <c r="L15815" s="3">
        <v>122</v>
      </c>
      <c r="M15815" s="3">
        <v>334</v>
      </c>
    </row>
    <row r="15816" spans="1:13" x14ac:dyDescent="0.25">
      <c r="A15816" s="1" t="str">
        <f>HYPERLINK("http://www.rosaceae.org/Prunus/Prunus_persica/p.persica_gdr_reftransV1_0014550","p.persica_gdr_reftransV1_0014550")</f>
        <v>p.persica_gdr_reftransV1_0014550</v>
      </c>
      <c r="B15816" s="3">
        <v>1512</v>
      </c>
      <c r="C15816" s="1" t="str">
        <f>HYPERLINK("http://www.uniprot.org/uniprot/KCY_PRUAR","KCY_PRUAR")</f>
        <v>KCY_PRUAR</v>
      </c>
      <c r="D15816" t="s">
        <v>10058</v>
      </c>
      <c r="E15816" s="3" t="s">
        <v>62</v>
      </c>
      <c r="F15816" s="4">
        <v>1.5099999999999999E-163</v>
      </c>
      <c r="G15816" s="3">
        <v>1208</v>
      </c>
      <c r="H15816" s="3">
        <v>99</v>
      </c>
      <c r="I15816" s="3">
        <v>229</v>
      </c>
      <c r="J15816" s="3">
        <v>266</v>
      </c>
      <c r="K15816" s="3">
        <v>952</v>
      </c>
      <c r="L15816" s="3">
        <v>1</v>
      </c>
      <c r="M15816" s="3">
        <v>229</v>
      </c>
    </row>
    <row r="15817" spans="1:13" x14ac:dyDescent="0.25">
      <c r="A15817" s="1" t="str">
        <f>HYPERLINK("http://www.rosaceae.org/Prunus/Prunus_persica/p.persica_gdr_reftransV1_0014750","p.persica_gdr_reftransV1_0014750")</f>
        <v>p.persica_gdr_reftransV1_0014750</v>
      </c>
      <c r="B15817" s="3">
        <v>892</v>
      </c>
      <c r="C15817" s="1" t="str">
        <f>HYPERLINK("http://www.uniprot.org/uniprot/RIC4_ARATH","RIC4_ARATH")</f>
        <v>RIC4_ARATH</v>
      </c>
      <c r="D15817" t="s">
        <v>10059</v>
      </c>
      <c r="E15817" s="3" t="s">
        <v>3</v>
      </c>
      <c r="F15817" s="4">
        <v>1.89E-23</v>
      </c>
      <c r="G15817" s="3">
        <v>244</v>
      </c>
      <c r="H15817" s="3">
        <v>45</v>
      </c>
      <c r="I15817" s="3">
        <v>155</v>
      </c>
      <c r="J15817" s="3">
        <v>43</v>
      </c>
      <c r="K15817" s="3">
        <v>507</v>
      </c>
      <c r="L15817" s="3">
        <v>1</v>
      </c>
      <c r="M15817" s="3">
        <v>139</v>
      </c>
    </row>
    <row r="15818" spans="1:13" x14ac:dyDescent="0.25">
      <c r="A15818" s="1" t="str">
        <f>HYPERLINK("http://www.rosaceae.org/Prunus/Prunus_persica/p.persica_gdr_reftransV1_0014800","p.persica_gdr_reftransV1_0014800")</f>
        <v>p.persica_gdr_reftransV1_0014800</v>
      </c>
      <c r="B15818" s="3">
        <v>1002</v>
      </c>
      <c r="C15818" s="1" t="str">
        <f>HYPERLINK("http://www.uniprot.org/uniprot/OSB1_ARATH","OSB1_ARATH")</f>
        <v>OSB1_ARATH</v>
      </c>
      <c r="D15818" t="s">
        <v>10060</v>
      </c>
      <c r="E15818" s="3" t="s">
        <v>3</v>
      </c>
      <c r="F15818" s="4">
        <v>1.9600000000000001E-48</v>
      </c>
      <c r="G15818" s="3">
        <v>428</v>
      </c>
      <c r="H15818" s="3">
        <v>48</v>
      </c>
      <c r="I15818" s="3">
        <v>194</v>
      </c>
      <c r="J15818" s="3">
        <v>427</v>
      </c>
      <c r="K15818" s="3">
        <v>993</v>
      </c>
      <c r="L15818" s="3">
        <v>53</v>
      </c>
      <c r="M15818" s="3">
        <v>243</v>
      </c>
    </row>
    <row r="15819" spans="1:13" x14ac:dyDescent="0.25">
      <c r="A15819" s="1" t="str">
        <f>HYPERLINK("http://www.rosaceae.org/Prunus/Prunus_persica/p.persica_gdr_reftransV1_0015350","p.persica_gdr_reftransV1_0015350")</f>
        <v>p.persica_gdr_reftransV1_0015350</v>
      </c>
      <c r="B15819" s="3">
        <v>1833</v>
      </c>
      <c r="C15819" s="1" t="str">
        <f>HYPERLINK("http://www.uniprot.org/uniprot/BUB33_ARATH","BUB33_ARATH")</f>
        <v>BUB33_ARATH</v>
      </c>
      <c r="D15819" t="s">
        <v>10061</v>
      </c>
      <c r="E15819" s="3" t="s">
        <v>3</v>
      </c>
      <c r="F15819" s="4">
        <v>2.7700000000000001E-67</v>
      </c>
      <c r="G15819" s="3">
        <v>580</v>
      </c>
      <c r="H15819" s="3">
        <v>51</v>
      </c>
      <c r="I15819" s="3">
        <v>208</v>
      </c>
      <c r="J15819" s="3">
        <v>518</v>
      </c>
      <c r="K15819" s="3">
        <v>1141</v>
      </c>
      <c r="L15819" s="3">
        <v>107</v>
      </c>
      <c r="M15819" s="3">
        <v>314</v>
      </c>
    </row>
    <row r="15820" spans="1:13" x14ac:dyDescent="0.25">
      <c r="A15820" s="1" t="str">
        <f>HYPERLINK("http://www.rosaceae.org/Prunus/Prunus_persica/p.persica_gdr_reftransV1_0015500","p.persica_gdr_reftransV1_0015500")</f>
        <v>p.persica_gdr_reftransV1_0015500</v>
      </c>
      <c r="B15820" s="3">
        <v>1750</v>
      </c>
      <c r="C15820" s="1" t="str">
        <f>HYPERLINK("http://www.uniprot.org/uniprot/PP449_ARATH","PP449_ARATH")</f>
        <v>PP449_ARATH</v>
      </c>
      <c r="D15820" t="s">
        <v>1725</v>
      </c>
      <c r="E15820" s="3" t="s">
        <v>3</v>
      </c>
      <c r="F15820" s="4">
        <v>5.6499999999999998E-121</v>
      </c>
      <c r="G15820" s="3">
        <v>969</v>
      </c>
      <c r="H15820" s="3">
        <v>39</v>
      </c>
      <c r="I15820" s="3">
        <v>516</v>
      </c>
      <c r="J15820" s="3">
        <v>81</v>
      </c>
      <c r="K15820" s="3">
        <v>1622</v>
      </c>
      <c r="L15820" s="3">
        <v>21</v>
      </c>
      <c r="M15820" s="3">
        <v>532</v>
      </c>
    </row>
    <row r="15821" spans="1:13" x14ac:dyDescent="0.25">
      <c r="A15821" s="1" t="str">
        <f>HYPERLINK("http://www.rosaceae.org/Prunus/Prunus_persica/p.persica_gdr_reftransV1_0015600","p.persica_gdr_reftransV1_0015600")</f>
        <v>p.persica_gdr_reftransV1_0015600</v>
      </c>
      <c r="B15821" s="3">
        <v>1922</v>
      </c>
      <c r="C15821" s="1" t="str">
        <f>HYPERLINK("http://www.uniprot.org/uniprot/CIPK1_ARATH","CIPK1_ARATH")</f>
        <v>CIPK1_ARATH</v>
      </c>
      <c r="D15821" t="s">
        <v>10062</v>
      </c>
      <c r="E15821" s="3" t="s">
        <v>3</v>
      </c>
      <c r="F15821" s="4">
        <v>0</v>
      </c>
      <c r="G15821" s="3">
        <v>1577</v>
      </c>
      <c r="H15821" s="3">
        <v>71</v>
      </c>
      <c r="I15821" s="3">
        <v>438</v>
      </c>
      <c r="J15821" s="3">
        <v>340</v>
      </c>
      <c r="K15821" s="3">
        <v>1650</v>
      </c>
      <c r="L15821" s="3">
        <v>11</v>
      </c>
      <c r="M15821" s="3">
        <v>439</v>
      </c>
    </row>
    <row r="15822" spans="1:13" x14ac:dyDescent="0.25">
      <c r="A15822" s="1" t="str">
        <f>HYPERLINK("http://www.rosaceae.org/Prunus/Prunus_persica/p.persica_gdr_reftransV1_0015850","p.persica_gdr_reftransV1_0015850")</f>
        <v>p.persica_gdr_reftransV1_0015850</v>
      </c>
      <c r="B15822" s="3">
        <v>3629</v>
      </c>
      <c r="C15822" s="1" t="str">
        <f>HYPERLINK("http://www.uniprot.org/uniprot/AB36G_ORYSJ","AB36G_ORYSJ")</f>
        <v>AB36G_ORYSJ</v>
      </c>
      <c r="D15822" t="s">
        <v>10063</v>
      </c>
      <c r="E15822" s="3" t="s">
        <v>38</v>
      </c>
      <c r="F15822" s="4">
        <v>0</v>
      </c>
      <c r="G15822" s="3">
        <v>2284</v>
      </c>
      <c r="H15822" s="3">
        <v>75</v>
      </c>
      <c r="I15822" s="3">
        <v>585</v>
      </c>
      <c r="J15822" s="3">
        <v>55</v>
      </c>
      <c r="K15822" s="3">
        <v>1809</v>
      </c>
      <c r="L15822" s="3">
        <v>873</v>
      </c>
      <c r="M15822" s="3">
        <v>1457</v>
      </c>
    </row>
    <row r="15823" spans="1:13" x14ac:dyDescent="0.25">
      <c r="A15823" s="1" t="str">
        <f>HYPERLINK("http://www.rosaceae.org/Prunus/Prunus_persica/p.persica_gdr_reftransV1_0016250","p.persica_gdr_reftransV1_0016250")</f>
        <v>p.persica_gdr_reftransV1_0016250</v>
      </c>
      <c r="B15823" s="3">
        <v>3413</v>
      </c>
      <c r="C15823" s="1" t="str">
        <f>HYPERLINK("http://www.uniprot.org/uniprot/PULA1_ARATH","PULA1_ARATH")</f>
        <v>PULA1_ARATH</v>
      </c>
      <c r="D15823" t="s">
        <v>10064</v>
      </c>
      <c r="E15823" s="3" t="s">
        <v>3</v>
      </c>
      <c r="F15823" s="4">
        <v>0</v>
      </c>
      <c r="G15823" s="3">
        <v>3501</v>
      </c>
      <c r="H15823" s="3">
        <v>73</v>
      </c>
      <c r="I15823" s="3">
        <v>879</v>
      </c>
      <c r="J15823" s="3">
        <v>429</v>
      </c>
      <c r="K15823" s="3">
        <v>3065</v>
      </c>
      <c r="L15823" s="3">
        <v>85</v>
      </c>
      <c r="M15823" s="3">
        <v>963</v>
      </c>
    </row>
    <row r="15824" spans="1:13" x14ac:dyDescent="0.25">
      <c r="A15824" s="1" t="str">
        <f>HYPERLINK("http://www.rosaceae.org/Prunus/Prunus_persica/p.persica_gdr_reftransV1_0016350","p.persica_gdr_reftransV1_0016350")</f>
        <v>p.persica_gdr_reftransV1_0016350</v>
      </c>
      <c r="B15824" s="3">
        <v>3929</v>
      </c>
      <c r="C15824" s="1" t="str">
        <f>HYPERLINK("http://www.uniprot.org/uniprot/AP3BA_ARATH","AP3BA_ARATH")</f>
        <v>AP3BA_ARATH</v>
      </c>
      <c r="D15824" t="s">
        <v>10065</v>
      </c>
      <c r="E15824" s="3" t="s">
        <v>3</v>
      </c>
      <c r="F15824" s="4">
        <v>0</v>
      </c>
      <c r="G15824" s="3">
        <v>1464</v>
      </c>
      <c r="H15824" s="3">
        <v>50</v>
      </c>
      <c r="I15824" s="3">
        <v>642</v>
      </c>
      <c r="J15824" s="3">
        <v>1749</v>
      </c>
      <c r="K15824" s="3">
        <v>3674</v>
      </c>
      <c r="L15824" s="3">
        <v>364</v>
      </c>
      <c r="M15824" s="3">
        <v>983</v>
      </c>
    </row>
    <row r="15825" spans="1:13" x14ac:dyDescent="0.25">
      <c r="A15825" s="1" t="str">
        <f>HYPERLINK("http://www.rosaceae.org/Prunus/Prunus_persica/p.persica_gdr_reftransV1_0016400","p.persica_gdr_reftransV1_0016400")</f>
        <v>p.persica_gdr_reftransV1_0016400</v>
      </c>
      <c r="B15825" s="3">
        <v>1818</v>
      </c>
      <c r="C15825" s="1" t="str">
        <f>HYPERLINK("http://www.uniprot.org/uniprot/RNG1A_ARATH","RNG1A_ARATH")</f>
        <v>RNG1A_ARATH</v>
      </c>
      <c r="D15825" t="s">
        <v>1656</v>
      </c>
      <c r="E15825" s="3" t="s">
        <v>3</v>
      </c>
      <c r="F15825" s="4">
        <v>4.0700000000000002E-100</v>
      </c>
      <c r="G15825" s="3">
        <v>822</v>
      </c>
      <c r="H15825" s="3">
        <v>49</v>
      </c>
      <c r="I15825" s="3">
        <v>427</v>
      </c>
      <c r="J15825" s="3">
        <v>305</v>
      </c>
      <c r="K15825" s="3">
        <v>1504</v>
      </c>
      <c r="L15825" s="3">
        <v>109</v>
      </c>
      <c r="M15825" s="3">
        <v>519</v>
      </c>
    </row>
    <row r="15826" spans="1:13" x14ac:dyDescent="0.25">
      <c r="A15826" s="1" t="str">
        <f>HYPERLINK("http://www.rosaceae.org/Prunus/Prunus_persica/p.persica_gdr_reftransV1_0016500","p.persica_gdr_reftransV1_0016500")</f>
        <v>p.persica_gdr_reftransV1_0016500</v>
      </c>
      <c r="B15826" s="3">
        <v>580</v>
      </c>
      <c r="C15826" s="1" t="str">
        <f>HYPERLINK("http://www.uniprot.org/uniprot/EDR1_ARATH","EDR1_ARATH")</f>
        <v>EDR1_ARATH</v>
      </c>
      <c r="D15826" t="s">
        <v>1864</v>
      </c>
      <c r="E15826" s="3" t="s">
        <v>3</v>
      </c>
      <c r="F15826" s="4">
        <v>3.6299999999999999E-28</v>
      </c>
      <c r="G15826" s="3">
        <v>290</v>
      </c>
      <c r="H15826" s="3">
        <v>43</v>
      </c>
      <c r="I15826" s="3">
        <v>191</v>
      </c>
      <c r="J15826" s="3">
        <v>3</v>
      </c>
      <c r="K15826" s="3">
        <v>563</v>
      </c>
      <c r="L15826" s="3">
        <v>667</v>
      </c>
      <c r="M15826" s="3">
        <v>845</v>
      </c>
    </row>
    <row r="15827" spans="1:13" x14ac:dyDescent="0.25">
      <c r="A15827" s="1" t="str">
        <f>HYPERLINK("http://www.rosaceae.org/Prunus/Prunus_persica/p.persica_gdr_reftransV1_0016650","p.persica_gdr_reftransV1_0016650")</f>
        <v>p.persica_gdr_reftransV1_0016650</v>
      </c>
      <c r="B15827" s="3">
        <v>2884</v>
      </c>
      <c r="C15827" s="1" t="str">
        <f>HYPERLINK("http://www.uniprot.org/uniprot/CFTSY_ARATH","CFTSY_ARATH")</f>
        <v>CFTSY_ARATH</v>
      </c>
      <c r="D15827" t="s">
        <v>10066</v>
      </c>
      <c r="E15827" s="3" t="s">
        <v>3</v>
      </c>
      <c r="F15827" s="4">
        <v>0</v>
      </c>
      <c r="G15827" s="3">
        <v>1441</v>
      </c>
      <c r="H15827" s="3">
        <v>86</v>
      </c>
      <c r="I15827" s="3">
        <v>334</v>
      </c>
      <c r="J15827" s="3">
        <v>207</v>
      </c>
      <c r="K15827" s="3">
        <v>1208</v>
      </c>
      <c r="L15827" s="3">
        <v>33</v>
      </c>
      <c r="M15827" s="3">
        <v>366</v>
      </c>
    </row>
    <row r="15828" spans="1:13" x14ac:dyDescent="0.25">
      <c r="A15828" s="1" t="str">
        <f>HYPERLINK("http://www.rosaceae.org/Prunus/Prunus_persica/p.persica_gdr_reftransV1_0016800","p.persica_gdr_reftransV1_0016800")</f>
        <v>p.persica_gdr_reftransV1_0016800</v>
      </c>
      <c r="B15828" s="3">
        <v>2033</v>
      </c>
      <c r="C15828" s="1" t="str">
        <f>HYPERLINK("http://www.uniprot.org/uniprot/CLT3_ARATH","CLT3_ARATH")</f>
        <v>CLT3_ARATH</v>
      </c>
      <c r="D15828" t="s">
        <v>10067</v>
      </c>
      <c r="E15828" s="3" t="s">
        <v>3</v>
      </c>
      <c r="F15828" s="4">
        <v>4.6399999999999998E-76</v>
      </c>
      <c r="G15828" s="3">
        <v>657</v>
      </c>
      <c r="H15828" s="3">
        <v>57</v>
      </c>
      <c r="I15828" s="3">
        <v>240</v>
      </c>
      <c r="J15828" s="3">
        <v>397</v>
      </c>
      <c r="K15828" s="3">
        <v>1104</v>
      </c>
      <c r="L15828" s="3">
        <v>255</v>
      </c>
      <c r="M15828" s="3">
        <v>450</v>
      </c>
    </row>
    <row r="15829" spans="1:13" x14ac:dyDescent="0.25">
      <c r="A15829" s="1" t="str">
        <f>HYPERLINK("http://www.rosaceae.org/Prunus/Prunus_persica/p.persica_gdr_reftransV1_0017250","p.persica_gdr_reftransV1_0017250")</f>
        <v>p.persica_gdr_reftransV1_0017250</v>
      </c>
      <c r="B15829" s="3">
        <v>1943</v>
      </c>
      <c r="C15829" s="1" t="str">
        <f>HYPERLINK("http://www.uniprot.org/uniprot/ORC2_ARATH","ORC2_ARATH")</f>
        <v>ORC2_ARATH</v>
      </c>
      <c r="D15829" t="s">
        <v>10068</v>
      </c>
      <c r="E15829" s="3" t="s">
        <v>3</v>
      </c>
      <c r="F15829" s="4">
        <v>4.1200000000000002E-144</v>
      </c>
      <c r="G15829" s="3">
        <v>1106</v>
      </c>
      <c r="H15829" s="3">
        <v>72</v>
      </c>
      <c r="I15829" s="3">
        <v>285</v>
      </c>
      <c r="J15829" s="3">
        <v>842</v>
      </c>
      <c r="K15829" s="3">
        <v>1690</v>
      </c>
      <c r="L15829" s="3">
        <v>79</v>
      </c>
      <c r="M15829" s="3">
        <v>363</v>
      </c>
    </row>
    <row r="15830" spans="1:13" x14ac:dyDescent="0.25">
      <c r="A15830" s="1" t="str">
        <f>HYPERLINK("http://www.rosaceae.org/Prunus/Prunus_persica/p.persica_gdr_reftransV1_0017400","p.persica_gdr_reftransV1_0017400")</f>
        <v>p.persica_gdr_reftransV1_0017400</v>
      </c>
      <c r="B15830" s="3">
        <v>1319</v>
      </c>
      <c r="C15830" s="1" t="str">
        <f>HYPERLINK("http://www.uniprot.org/uniprot/RL52_ARATH","RL52_ARATH")</f>
        <v>RL52_ARATH</v>
      </c>
      <c r="D15830" t="s">
        <v>10069</v>
      </c>
      <c r="E15830" s="3" t="s">
        <v>3</v>
      </c>
      <c r="F15830" s="4">
        <v>3.6600000000000002E-160</v>
      </c>
      <c r="G15830" s="3">
        <v>1186</v>
      </c>
      <c r="H15830" s="3">
        <v>84</v>
      </c>
      <c r="I15830" s="3">
        <v>292</v>
      </c>
      <c r="J15830" s="3">
        <v>48</v>
      </c>
      <c r="K15830" s="3">
        <v>923</v>
      </c>
      <c r="L15830" s="3">
        <v>1</v>
      </c>
      <c r="M15830" s="3">
        <v>292</v>
      </c>
    </row>
    <row r="15831" spans="1:13" x14ac:dyDescent="0.25">
      <c r="A15831" s="1" t="str">
        <f>HYPERLINK("http://www.rosaceae.org/Prunus/Prunus_persica/p.persica_gdr_reftransV1_0017450","p.persica_gdr_reftransV1_0017450")</f>
        <v>p.persica_gdr_reftransV1_0017450</v>
      </c>
      <c r="B15831" s="3">
        <v>3119</v>
      </c>
      <c r="C15831" s="1" t="str">
        <f>HYPERLINK("http://www.uniprot.org/uniprot/ISPD_ARATH","ISPD_ARATH")</f>
        <v>ISPD_ARATH</v>
      </c>
      <c r="D15831" t="s">
        <v>10070</v>
      </c>
      <c r="E15831" s="3" t="s">
        <v>3</v>
      </c>
      <c r="F15831" s="4">
        <v>4.4799999999999998E-114</v>
      </c>
      <c r="G15831" s="3">
        <v>926</v>
      </c>
      <c r="H15831" s="3">
        <v>79</v>
      </c>
      <c r="I15831" s="3">
        <v>217</v>
      </c>
      <c r="J15831" s="3">
        <v>2103</v>
      </c>
      <c r="K15831" s="3">
        <v>2753</v>
      </c>
      <c r="L15831" s="3">
        <v>82</v>
      </c>
      <c r="M15831" s="3">
        <v>298</v>
      </c>
    </row>
    <row r="15832" spans="1:13" x14ac:dyDescent="0.25">
      <c r="A15832" s="1" t="str">
        <f>HYPERLINK("http://www.rosaceae.org/Prunus/Prunus_persica/p.persica_gdr_reftransV1_0017600","p.persica_gdr_reftransV1_0017600")</f>
        <v>p.persica_gdr_reftransV1_0017600</v>
      </c>
      <c r="B15832" s="3">
        <v>1310</v>
      </c>
      <c r="C15832" s="1" t="str">
        <f>HYPERLINK("http://www.uniprot.org/uniprot/PDV1_ARATH","PDV1_ARATH")</f>
        <v>PDV1_ARATH</v>
      </c>
      <c r="D15832" t="s">
        <v>10071</v>
      </c>
      <c r="E15832" s="3" t="s">
        <v>3</v>
      </c>
      <c r="F15832" s="4">
        <v>1.61E-86</v>
      </c>
      <c r="G15832" s="3">
        <v>694</v>
      </c>
      <c r="H15832" s="3">
        <v>54</v>
      </c>
      <c r="I15832" s="3">
        <v>265</v>
      </c>
      <c r="J15832" s="3">
        <v>457</v>
      </c>
      <c r="K15832" s="3">
        <v>1236</v>
      </c>
      <c r="L15832" s="3">
        <v>11</v>
      </c>
      <c r="M15832" s="3">
        <v>272</v>
      </c>
    </row>
    <row r="15833" spans="1:13" x14ac:dyDescent="0.25">
      <c r="A15833" s="1" t="str">
        <f>HYPERLINK("http://www.rosaceae.org/Prunus/Prunus_persica/p.persica_gdr_reftransV1_0017700","p.persica_gdr_reftransV1_0017700")</f>
        <v>p.persica_gdr_reftransV1_0017700</v>
      </c>
      <c r="B15833" s="3">
        <v>3109</v>
      </c>
      <c r="C15833" s="1" t="str">
        <f>HYPERLINK("http://www.uniprot.org/uniprot/PPR41_ARATH","PPR41_ARATH")</f>
        <v>PPR41_ARATH</v>
      </c>
      <c r="D15833" t="s">
        <v>10072</v>
      </c>
      <c r="E15833" s="3" t="s">
        <v>3</v>
      </c>
      <c r="F15833" s="4">
        <v>0</v>
      </c>
      <c r="G15833" s="3">
        <v>2093</v>
      </c>
      <c r="H15833" s="3">
        <v>50</v>
      </c>
      <c r="I15833" s="3">
        <v>842</v>
      </c>
      <c r="J15833" s="3">
        <v>82</v>
      </c>
      <c r="K15833" s="3">
        <v>2556</v>
      </c>
      <c r="L15833" s="3">
        <v>2</v>
      </c>
      <c r="M15833" s="3">
        <v>824</v>
      </c>
    </row>
    <row r="15834" spans="1:13" x14ac:dyDescent="0.25">
      <c r="A15834" s="1" t="str">
        <f>HYPERLINK("http://www.rosaceae.org/Prunus/Prunus_persica/p.persica_gdr_reftransV1_0017800","p.persica_gdr_reftransV1_0017800")</f>
        <v>p.persica_gdr_reftransV1_0017800</v>
      </c>
      <c r="B15834" s="3">
        <v>2665</v>
      </c>
      <c r="C15834" s="1" t="str">
        <f>HYPERLINK("http://www.uniprot.org/uniprot/AB5F_ARATH","AB5F_ARATH")</f>
        <v>AB5F_ARATH</v>
      </c>
      <c r="D15834" t="s">
        <v>10073</v>
      </c>
      <c r="E15834" s="3" t="s">
        <v>3</v>
      </c>
      <c r="F15834" s="4">
        <v>0</v>
      </c>
      <c r="G15834" s="3">
        <v>2334</v>
      </c>
      <c r="H15834" s="3">
        <v>77</v>
      </c>
      <c r="I15834" s="3">
        <v>660</v>
      </c>
      <c r="J15834" s="3">
        <v>432</v>
      </c>
      <c r="K15834" s="3">
        <v>2408</v>
      </c>
      <c r="L15834" s="3">
        <v>1</v>
      </c>
      <c r="M15834" s="3">
        <v>634</v>
      </c>
    </row>
    <row r="15835" spans="1:13" x14ac:dyDescent="0.25">
      <c r="A15835" s="1" t="str">
        <f>HYPERLINK("http://www.rosaceae.org/Prunus/Prunus_persica/p.persica_gdr_reftransV1_0018200","p.persica_gdr_reftransV1_0018200")</f>
        <v>p.persica_gdr_reftransV1_0018200</v>
      </c>
      <c r="B15835" s="3">
        <v>5040</v>
      </c>
      <c r="C15835" s="1" t="str">
        <f>HYPERLINK("http://www.uniprot.org/uniprot/CHR20_ARATH","CHR20_ARATH")</f>
        <v>CHR20_ARATH</v>
      </c>
      <c r="D15835" t="s">
        <v>10074</v>
      </c>
      <c r="E15835" s="3" t="s">
        <v>3</v>
      </c>
      <c r="F15835" s="4">
        <v>0</v>
      </c>
      <c r="G15835" s="3">
        <v>3889</v>
      </c>
      <c r="H15835" s="3">
        <v>62</v>
      </c>
      <c r="I15835" s="3">
        <v>1510</v>
      </c>
      <c r="J15835" s="3">
        <v>293</v>
      </c>
      <c r="K15835" s="3">
        <v>4771</v>
      </c>
      <c r="L15835" s="3">
        <v>58</v>
      </c>
      <c r="M15835" s="3">
        <v>1467</v>
      </c>
    </row>
    <row r="15836" spans="1:13" x14ac:dyDescent="0.25">
      <c r="A15836" s="1" t="str">
        <f>HYPERLINK("http://www.rosaceae.org/Prunus/Prunus_persica/p.persica_gdr_reftransV1_0018300","p.persica_gdr_reftransV1_0018300")</f>
        <v>p.persica_gdr_reftransV1_0018300</v>
      </c>
      <c r="B15836" s="3">
        <v>1340</v>
      </c>
      <c r="C15836" s="1" t="str">
        <f>HYPERLINK("http://www.uniprot.org/uniprot/TF2B_ORYSJ","TF2B_ORYSJ")</f>
        <v>TF2B_ORYSJ</v>
      </c>
      <c r="D15836" t="s">
        <v>2732</v>
      </c>
      <c r="E15836" s="3" t="s">
        <v>38</v>
      </c>
      <c r="F15836" s="4">
        <v>5.49E-58</v>
      </c>
      <c r="G15836" s="3">
        <v>506</v>
      </c>
      <c r="H15836" s="3">
        <v>46</v>
      </c>
      <c r="I15836" s="3">
        <v>250</v>
      </c>
      <c r="J15836" s="3">
        <v>1</v>
      </c>
      <c r="K15836" s="3">
        <v>648</v>
      </c>
      <c r="L15836" s="3">
        <v>23</v>
      </c>
      <c r="M15836" s="3">
        <v>272</v>
      </c>
    </row>
    <row r="15837" spans="1:13" x14ac:dyDescent="0.25">
      <c r="A15837" s="1" t="str">
        <f>HYPERLINK("http://www.rosaceae.org/Prunus/Prunus_persica/p.persica_gdr_reftransV1_0018500","p.persica_gdr_reftransV1_0018500")</f>
        <v>p.persica_gdr_reftransV1_0018500</v>
      </c>
      <c r="B15837" s="3">
        <v>5348</v>
      </c>
      <c r="C15837" s="1" t="str">
        <f>HYPERLINK("http://www.uniprot.org/uniprot/LORF2_HUMAN","LORF2_HUMAN")</f>
        <v>LORF2_HUMAN</v>
      </c>
      <c r="D15837" t="s">
        <v>8038</v>
      </c>
      <c r="E15837" s="3" t="s">
        <v>28</v>
      </c>
      <c r="F15837" s="4">
        <v>1.97E-34</v>
      </c>
      <c r="G15837" s="3">
        <v>374</v>
      </c>
      <c r="H15837" s="3">
        <v>25</v>
      </c>
      <c r="I15837" s="3">
        <v>524</v>
      </c>
      <c r="J15837" s="3">
        <v>2031</v>
      </c>
      <c r="K15837" s="3">
        <v>3563</v>
      </c>
      <c r="L15837" s="3">
        <v>383</v>
      </c>
      <c r="M15837" s="3">
        <v>888</v>
      </c>
    </row>
    <row r="15838" spans="1:13" x14ac:dyDescent="0.25">
      <c r="A15838" s="1" t="str">
        <f>HYPERLINK("http://www.rosaceae.org/Prunus/Prunus_persica/p.persica_gdr_reftransV1_0018600","p.persica_gdr_reftransV1_0018600")</f>
        <v>p.persica_gdr_reftransV1_0018600</v>
      </c>
      <c r="B15838" s="3">
        <v>2344</v>
      </c>
      <c r="C15838" s="1" t="str">
        <f>HYPERLINK("http://www.uniprot.org/uniprot/TCPA_ARATH","TCPA_ARATH")</f>
        <v>TCPA_ARATH</v>
      </c>
      <c r="D15838" t="s">
        <v>10075</v>
      </c>
      <c r="E15838" s="3" t="s">
        <v>3</v>
      </c>
      <c r="F15838" s="4">
        <v>0</v>
      </c>
      <c r="G15838" s="3">
        <v>2482</v>
      </c>
      <c r="H15838" s="3">
        <v>84</v>
      </c>
      <c r="I15838" s="3">
        <v>573</v>
      </c>
      <c r="J15838" s="3">
        <v>160</v>
      </c>
      <c r="K15838" s="3">
        <v>1878</v>
      </c>
      <c r="L15838" s="3">
        <v>8</v>
      </c>
      <c r="M15838" s="3">
        <v>545</v>
      </c>
    </row>
    <row r="15839" spans="1:13" x14ac:dyDescent="0.25">
      <c r="A15839" s="1" t="str">
        <f>HYPERLINK("http://www.rosaceae.org/Prunus/Prunus_persica/p.persica_gdr_reftransV1_0019050","p.persica_gdr_reftransV1_0019050")</f>
        <v>p.persica_gdr_reftransV1_0019050</v>
      </c>
      <c r="B15839" s="3">
        <v>3544</v>
      </c>
      <c r="C15839" s="1" t="str">
        <f>HYPERLINK("http://www.uniprot.org/uniprot/ARK3_ARATH","ARK3_ARATH")</f>
        <v>ARK3_ARATH</v>
      </c>
      <c r="D15839" t="s">
        <v>10076</v>
      </c>
      <c r="E15839" s="3" t="s">
        <v>3</v>
      </c>
      <c r="F15839" s="4">
        <v>0</v>
      </c>
      <c r="G15839" s="3">
        <v>3501</v>
      </c>
      <c r="H15839" s="3">
        <v>77</v>
      </c>
      <c r="I15839" s="3">
        <v>920</v>
      </c>
      <c r="J15839" s="3">
        <v>413</v>
      </c>
      <c r="K15839" s="3">
        <v>3163</v>
      </c>
      <c r="L15839" s="3">
        <v>5</v>
      </c>
      <c r="M15839" s="3">
        <v>917</v>
      </c>
    </row>
    <row r="15840" spans="1:13" x14ac:dyDescent="0.25">
      <c r="A15840" s="1" t="str">
        <f>HYPERLINK("http://www.rosaceae.org/Prunus/Prunus_persica/p.persica_gdr_reftransV1_0019200","p.persica_gdr_reftransV1_0019200")</f>
        <v>p.persica_gdr_reftransV1_0019200</v>
      </c>
      <c r="B15840" s="3">
        <v>1248</v>
      </c>
      <c r="C15840" s="1" t="str">
        <f>HYPERLINK("http://www.uniprot.org/uniprot/FAEA_ASPTN","FAEA_ASPTN")</f>
        <v>FAEA_ASPTN</v>
      </c>
      <c r="D15840" t="s">
        <v>1114</v>
      </c>
      <c r="E15840" s="3" t="s">
        <v>1115</v>
      </c>
      <c r="F15840" s="4">
        <v>8.1399999999999998E-10</v>
      </c>
      <c r="G15840" s="3">
        <v>152</v>
      </c>
      <c r="H15840" s="3">
        <v>26</v>
      </c>
      <c r="I15840" s="3">
        <v>250</v>
      </c>
      <c r="J15840" s="3">
        <v>448</v>
      </c>
      <c r="K15840" s="3">
        <v>1125</v>
      </c>
      <c r="L15840" s="3">
        <v>32</v>
      </c>
      <c r="M15840" s="3">
        <v>221</v>
      </c>
    </row>
    <row r="15841" spans="1:13" x14ac:dyDescent="0.25">
      <c r="A15841" s="1" t="str">
        <f>HYPERLINK("http://www.rosaceae.org/Prunus/Prunus_persica/p.persica_gdr_reftransV1_0019650","p.persica_gdr_reftransV1_0019650")</f>
        <v>p.persica_gdr_reftransV1_0019650</v>
      </c>
      <c r="B15841" s="3">
        <v>3730</v>
      </c>
      <c r="C15841" s="1" t="str">
        <f>HYPERLINK("http://www.uniprot.org/uniprot/PUB43_ARATH","PUB43_ARATH")</f>
        <v>PUB43_ARATH</v>
      </c>
      <c r="D15841" t="s">
        <v>613</v>
      </c>
      <c r="E15841" s="3" t="s">
        <v>3</v>
      </c>
      <c r="F15841" s="4">
        <v>1.2E-36</v>
      </c>
      <c r="G15841" s="3">
        <v>387</v>
      </c>
      <c r="H15841" s="3">
        <v>27</v>
      </c>
      <c r="I15841" s="3">
        <v>809</v>
      </c>
      <c r="J15841" s="3">
        <v>324</v>
      </c>
      <c r="K15841" s="3">
        <v>2615</v>
      </c>
      <c r="L15841" s="3">
        <v>27</v>
      </c>
      <c r="M15841" s="3">
        <v>807</v>
      </c>
    </row>
    <row r="15842" spans="1:13" x14ac:dyDescent="0.25">
      <c r="A15842" s="1" t="str">
        <f>HYPERLINK("http://www.rosaceae.org/Prunus/Prunus_persica/p.persica_gdr_reftransV1_0019750","p.persica_gdr_reftransV1_0019750")</f>
        <v>p.persica_gdr_reftransV1_0019750</v>
      </c>
      <c r="B15842" s="3">
        <v>1693</v>
      </c>
      <c r="C15842" s="1" t="str">
        <f>HYPERLINK("http://www.uniprot.org/uniprot/BASS6_ARATH","BASS6_ARATH")</f>
        <v>BASS6_ARATH</v>
      </c>
      <c r="D15842" t="s">
        <v>10077</v>
      </c>
      <c r="E15842" s="3" t="s">
        <v>3</v>
      </c>
      <c r="F15842" s="4">
        <v>5.5400000000000002E-153</v>
      </c>
      <c r="G15842" s="3">
        <v>1162</v>
      </c>
      <c r="H15842" s="3">
        <v>71</v>
      </c>
      <c r="I15842" s="3">
        <v>312</v>
      </c>
      <c r="J15842" s="3">
        <v>252</v>
      </c>
      <c r="K15842" s="3">
        <v>1187</v>
      </c>
      <c r="L15842" s="3">
        <v>119</v>
      </c>
      <c r="M15842" s="3">
        <v>406</v>
      </c>
    </row>
    <row r="15843" spans="1:13" x14ac:dyDescent="0.25">
      <c r="A15843" s="1" t="str">
        <f>HYPERLINK("http://www.rosaceae.org/Prunus/Prunus_persica/p.persica_gdr_reftransV1_0020300","p.persica_gdr_reftransV1_0020300")</f>
        <v>p.persica_gdr_reftransV1_0020300</v>
      </c>
      <c r="B15843" s="3">
        <v>2835</v>
      </c>
      <c r="C15843" s="1" t="str">
        <f>HYPERLINK("http://www.uniprot.org/uniprot/LBD1_ARATH","LBD1_ARATH")</f>
        <v>LBD1_ARATH</v>
      </c>
      <c r="D15843" t="s">
        <v>4145</v>
      </c>
      <c r="E15843" s="3" t="s">
        <v>3</v>
      </c>
      <c r="F15843" s="4">
        <v>1.2599999999999999E-60</v>
      </c>
      <c r="G15843" s="3">
        <v>532</v>
      </c>
      <c r="H15843" s="3">
        <v>68</v>
      </c>
      <c r="I15843" s="3">
        <v>173</v>
      </c>
      <c r="J15843" s="3">
        <v>1912</v>
      </c>
      <c r="K15843" s="3">
        <v>2421</v>
      </c>
      <c r="L15843" s="3">
        <v>29</v>
      </c>
      <c r="M15843" s="3">
        <v>189</v>
      </c>
    </row>
    <row r="15844" spans="1:13" x14ac:dyDescent="0.25">
      <c r="A15844" s="1" t="str">
        <f>HYPERLINK("http://www.rosaceae.org/Prunus/Prunus_persica/p.persica_gdr_reftransV1_0020400","p.persica_gdr_reftransV1_0020400")</f>
        <v>p.persica_gdr_reftransV1_0020400</v>
      </c>
      <c r="B15844" s="3">
        <v>2340</v>
      </c>
      <c r="C15844" s="1" t="str">
        <f>HYPERLINK("http://www.uniprot.org/uniprot/DCK_HUMAN","DCK_HUMAN")</f>
        <v>DCK_HUMAN</v>
      </c>
      <c r="D15844" t="s">
        <v>10078</v>
      </c>
      <c r="E15844" s="3" t="s">
        <v>28</v>
      </c>
      <c r="F15844" s="4">
        <v>3.7200000000000001E-36</v>
      </c>
      <c r="G15844" s="3">
        <v>358</v>
      </c>
      <c r="H15844" s="3">
        <v>40</v>
      </c>
      <c r="I15844" s="3">
        <v>196</v>
      </c>
      <c r="J15844" s="3">
        <v>1095</v>
      </c>
      <c r="K15844" s="3">
        <v>1625</v>
      </c>
      <c r="L15844" s="3">
        <v>26</v>
      </c>
      <c r="M15844" s="3">
        <v>217</v>
      </c>
    </row>
    <row r="15845" spans="1:13" x14ac:dyDescent="0.25">
      <c r="A15845" s="1" t="str">
        <f>HYPERLINK("http://www.rosaceae.org/Prunus/Prunus_persica/p.persica_gdr_reftransV1_0020500","p.persica_gdr_reftransV1_0020500")</f>
        <v>p.persica_gdr_reftransV1_0020500</v>
      </c>
      <c r="B15845" s="3">
        <v>1617</v>
      </c>
      <c r="C15845" s="1" t="str">
        <f>HYPERLINK("http://www.uniprot.org/uniprot/SODCP_PEA","SODCP_PEA")</f>
        <v>SODCP_PEA</v>
      </c>
      <c r="D15845" t="s">
        <v>10079</v>
      </c>
      <c r="E15845" s="3" t="s">
        <v>60</v>
      </c>
      <c r="F15845" s="4">
        <v>2.2100000000000001E-76</v>
      </c>
      <c r="G15845" s="3">
        <v>628</v>
      </c>
      <c r="H15845" s="3">
        <v>95</v>
      </c>
      <c r="I15845" s="3">
        <v>128</v>
      </c>
      <c r="J15845" s="3">
        <v>962</v>
      </c>
      <c r="K15845" s="3">
        <v>1345</v>
      </c>
      <c r="L15845" s="3">
        <v>75</v>
      </c>
      <c r="M15845" s="3">
        <v>202</v>
      </c>
    </row>
    <row r="15846" spans="1:13" x14ac:dyDescent="0.25">
      <c r="A15846" s="1" t="str">
        <f>HYPERLINK("http://www.rosaceae.org/Prunus/Prunus_persica/p.persica_gdr_reftransV1_0020600","p.persica_gdr_reftransV1_0020600")</f>
        <v>p.persica_gdr_reftransV1_0020600</v>
      </c>
      <c r="B15846" s="3">
        <v>2850</v>
      </c>
      <c r="C15846" s="1" t="str">
        <f>HYPERLINK("http://www.uniprot.org/uniprot/P2C15_ARATH","P2C15_ARATH")</f>
        <v>P2C15_ARATH</v>
      </c>
      <c r="D15846" t="s">
        <v>8911</v>
      </c>
      <c r="E15846" s="3" t="s">
        <v>3</v>
      </c>
      <c r="F15846" s="4">
        <v>0</v>
      </c>
      <c r="G15846" s="3">
        <v>1460</v>
      </c>
      <c r="H15846" s="3">
        <v>80</v>
      </c>
      <c r="I15846" s="3">
        <v>364</v>
      </c>
      <c r="J15846" s="3">
        <v>1098</v>
      </c>
      <c r="K15846" s="3">
        <v>2168</v>
      </c>
      <c r="L15846" s="3">
        <v>1</v>
      </c>
      <c r="M15846" s="3">
        <v>363</v>
      </c>
    </row>
    <row r="15847" spans="1:13" x14ac:dyDescent="0.25">
      <c r="A15847" s="1" t="str">
        <f>HYPERLINK("http://www.rosaceae.org/Prunus/Prunus_persica/p.persica_gdr_reftransV1_0020850","p.persica_gdr_reftransV1_0020850")</f>
        <v>p.persica_gdr_reftransV1_0020850</v>
      </c>
      <c r="B15847" s="3">
        <v>2195</v>
      </c>
      <c r="C15847" s="1" t="str">
        <f>HYPERLINK("http://www.uniprot.org/uniprot/U496I_ARATH","U496I_ARATH")</f>
        <v>U496I_ARATH</v>
      </c>
      <c r="D15847" t="s">
        <v>10080</v>
      </c>
      <c r="E15847" s="3" t="s">
        <v>3</v>
      </c>
      <c r="F15847" s="4">
        <v>3.5299999999999997E-126</v>
      </c>
      <c r="G15847" s="3">
        <v>996</v>
      </c>
      <c r="H15847" s="3">
        <v>60</v>
      </c>
      <c r="I15847" s="3">
        <v>369</v>
      </c>
      <c r="J15847" s="3">
        <v>1043</v>
      </c>
      <c r="K15847" s="3">
        <v>2140</v>
      </c>
      <c r="L15847" s="3">
        <v>22</v>
      </c>
      <c r="M15847" s="3">
        <v>389</v>
      </c>
    </row>
    <row r="15848" spans="1:13" x14ac:dyDescent="0.25">
      <c r="A15848" s="1" t="str">
        <f>HYPERLINK("http://www.rosaceae.org/Prunus/Prunus_persica/p.persica_gdr_reftransV1_0021100","p.persica_gdr_reftransV1_0021100")</f>
        <v>p.persica_gdr_reftransV1_0021100</v>
      </c>
      <c r="B15848" s="3">
        <v>2451</v>
      </c>
      <c r="C15848" s="1" t="str">
        <f>HYPERLINK("http://www.uniprot.org/uniprot/FBW2_ARATH","FBW2_ARATH")</f>
        <v>FBW2_ARATH</v>
      </c>
      <c r="D15848" t="s">
        <v>7441</v>
      </c>
      <c r="E15848" s="3" t="s">
        <v>3</v>
      </c>
      <c r="F15848" s="4">
        <v>2.0000000000000001E-61</v>
      </c>
      <c r="G15848" s="3">
        <v>548</v>
      </c>
      <c r="H15848" s="3">
        <v>60</v>
      </c>
      <c r="I15848" s="3">
        <v>182</v>
      </c>
      <c r="J15848" s="3">
        <v>1612</v>
      </c>
      <c r="K15848" s="3">
        <v>2136</v>
      </c>
      <c r="L15848" s="3">
        <v>105</v>
      </c>
      <c r="M15848" s="3">
        <v>286</v>
      </c>
    </row>
    <row r="15849" spans="1:13" x14ac:dyDescent="0.25">
      <c r="A15849" s="1" t="str">
        <f>HYPERLINK("http://www.rosaceae.org/Prunus/Prunus_persica/p.persica_gdr_reftransV1_0021250","p.persica_gdr_reftransV1_0021250")</f>
        <v>p.persica_gdr_reftransV1_0021250</v>
      </c>
      <c r="B15849" s="3">
        <v>1143</v>
      </c>
      <c r="C15849" s="1" t="str">
        <f>HYPERLINK("http://www.uniprot.org/uniprot/BAHC1_HUMAN","BAHC1_HUMAN")</f>
        <v>BAHC1_HUMAN</v>
      </c>
      <c r="D15849" t="s">
        <v>3379</v>
      </c>
      <c r="E15849" s="3" t="s">
        <v>28</v>
      </c>
      <c r="F15849" s="4">
        <v>3.4200000000000001E-10</v>
      </c>
      <c r="G15849" s="3">
        <v>159</v>
      </c>
      <c r="H15849" s="3">
        <v>33</v>
      </c>
      <c r="I15849" s="3">
        <v>132</v>
      </c>
      <c r="J15849" s="3">
        <v>471</v>
      </c>
      <c r="K15849" s="3">
        <v>848</v>
      </c>
      <c r="L15849" s="3">
        <v>2478</v>
      </c>
      <c r="M15849" s="3">
        <v>2608</v>
      </c>
    </row>
    <row r="15850" spans="1:13" x14ac:dyDescent="0.25">
      <c r="A15850" s="1" t="str">
        <f>HYPERLINK("http://www.rosaceae.org/Prunus/Prunus_persica/p.persica_gdr_reftransV1_0021450","p.persica_gdr_reftransV1_0021450")</f>
        <v>p.persica_gdr_reftransV1_0021450</v>
      </c>
      <c r="B15850" s="3">
        <v>2923</v>
      </c>
      <c r="C15850" s="1" t="str">
        <f>HYPERLINK("http://www.uniprot.org/uniprot/JAC1_ARATH","JAC1_ARATH")</f>
        <v>JAC1_ARATH</v>
      </c>
      <c r="D15850" t="s">
        <v>10081</v>
      </c>
      <c r="E15850" s="3" t="s">
        <v>3</v>
      </c>
      <c r="F15850" s="4">
        <v>9.3000000000000004E-51</v>
      </c>
      <c r="G15850" s="3">
        <v>493</v>
      </c>
      <c r="H15850" s="3">
        <v>44</v>
      </c>
      <c r="I15850" s="3">
        <v>257</v>
      </c>
      <c r="J15850" s="3">
        <v>386</v>
      </c>
      <c r="K15850" s="3">
        <v>1132</v>
      </c>
      <c r="L15850" s="3">
        <v>405</v>
      </c>
      <c r="M15850" s="3">
        <v>651</v>
      </c>
    </row>
    <row r="15851" spans="1:13" x14ac:dyDescent="0.25">
      <c r="A15851" s="1" t="str">
        <f>HYPERLINK("http://www.rosaceae.org/Prunus/Prunus_persica/p.persica_gdr_reftransV1_0021550","p.persica_gdr_reftransV1_0021550")</f>
        <v>p.persica_gdr_reftransV1_0021550</v>
      </c>
      <c r="B15851" s="3">
        <v>3108</v>
      </c>
      <c r="C15851" s="1" t="str">
        <f>HYPERLINK("http://www.uniprot.org/uniprot/Y283_BACHD","Y283_BACHD")</f>
        <v>Y283_BACHD</v>
      </c>
      <c r="D15851" t="s">
        <v>4832</v>
      </c>
      <c r="E15851" s="3" t="s">
        <v>4833</v>
      </c>
      <c r="F15851" s="4">
        <v>3.5299999999999999E-32</v>
      </c>
      <c r="G15851" s="3">
        <v>331</v>
      </c>
      <c r="H15851" s="3">
        <v>39</v>
      </c>
      <c r="I15851" s="3">
        <v>228</v>
      </c>
      <c r="J15851" s="3">
        <v>1636</v>
      </c>
      <c r="K15851" s="3">
        <v>2307</v>
      </c>
      <c r="L15851" s="3">
        <v>68</v>
      </c>
      <c r="M15851" s="3">
        <v>265</v>
      </c>
    </row>
    <row r="15852" spans="1:13" x14ac:dyDescent="0.25">
      <c r="A15852" s="1" t="str">
        <f>HYPERLINK("http://www.rosaceae.org/Prunus/Prunus_persica/p.persica_gdr_reftransV1_0021850","p.persica_gdr_reftransV1_0021850")</f>
        <v>p.persica_gdr_reftransV1_0021850</v>
      </c>
      <c r="B15852" s="3">
        <v>851</v>
      </c>
      <c r="C15852" s="1" t="str">
        <f>HYPERLINK("http://www.uniprot.org/uniprot/ODO2B_ARATH","ODO2B_ARATH")</f>
        <v>ODO2B_ARATH</v>
      </c>
      <c r="D15852" t="s">
        <v>203</v>
      </c>
      <c r="E15852" s="3" t="s">
        <v>3</v>
      </c>
      <c r="F15852" s="4">
        <v>1.6199999999999999E-83</v>
      </c>
      <c r="G15852" s="3">
        <v>676</v>
      </c>
      <c r="H15852" s="3">
        <v>88</v>
      </c>
      <c r="I15852" s="3">
        <v>161</v>
      </c>
      <c r="J15852" s="3">
        <v>3</v>
      </c>
      <c r="K15852" s="3">
        <v>485</v>
      </c>
      <c r="L15852" s="3">
        <v>304</v>
      </c>
      <c r="M15852" s="3">
        <v>464</v>
      </c>
    </row>
    <row r="15853" spans="1:13" x14ac:dyDescent="0.25">
      <c r="A15853" s="1" t="str">
        <f>HYPERLINK("http://www.rosaceae.org/Prunus/Prunus_persica/p.persica_gdr_reftransV1_0022150","p.persica_gdr_reftransV1_0022150")</f>
        <v>p.persica_gdr_reftransV1_0022150</v>
      </c>
      <c r="B15853" s="3">
        <v>2264</v>
      </c>
      <c r="C15853" s="1" t="str">
        <f>HYPERLINK("http://www.uniprot.org/uniprot/PTR12_ARATH","PTR12_ARATH")</f>
        <v>PTR12_ARATH</v>
      </c>
      <c r="D15853" t="s">
        <v>10082</v>
      </c>
      <c r="E15853" s="3" t="s">
        <v>3</v>
      </c>
      <c r="F15853" s="4">
        <v>5.0100000000000001E-124</v>
      </c>
      <c r="G15853" s="3">
        <v>1000</v>
      </c>
      <c r="H15853" s="3">
        <v>43</v>
      </c>
      <c r="I15853" s="3">
        <v>555</v>
      </c>
      <c r="J15853" s="3">
        <v>90</v>
      </c>
      <c r="K15853" s="3">
        <v>1703</v>
      </c>
      <c r="L15853" s="3">
        <v>16</v>
      </c>
      <c r="M15853" s="3">
        <v>560</v>
      </c>
    </row>
    <row r="15854" spans="1:13" x14ac:dyDescent="0.25">
      <c r="A15854" s="1" t="str">
        <f>HYPERLINK("http://www.rosaceae.org/Prunus/Prunus_persica/p.persica_gdr_reftransV1_0022300","p.persica_gdr_reftransV1_0022300")</f>
        <v>p.persica_gdr_reftransV1_0022300</v>
      </c>
      <c r="B15854" s="3">
        <v>2106</v>
      </c>
      <c r="C15854" s="1" t="str">
        <f>HYPERLINK("http://www.uniprot.org/uniprot/U082_ARATH","U082_ARATH")</f>
        <v>U082_ARATH</v>
      </c>
      <c r="D15854" t="s">
        <v>10083</v>
      </c>
      <c r="E15854" s="3" t="s">
        <v>3</v>
      </c>
      <c r="F15854" s="4">
        <v>2.5499999999999999E-96</v>
      </c>
      <c r="G15854" s="3">
        <v>787</v>
      </c>
      <c r="H15854" s="3">
        <v>83</v>
      </c>
      <c r="I15854" s="3">
        <v>177</v>
      </c>
      <c r="J15854" s="3">
        <v>1156</v>
      </c>
      <c r="K15854" s="3">
        <v>1686</v>
      </c>
      <c r="L15854" s="3">
        <v>74</v>
      </c>
      <c r="M15854" s="3">
        <v>250</v>
      </c>
    </row>
    <row r="15855" spans="1:13" x14ac:dyDescent="0.25">
      <c r="A15855" s="1" t="str">
        <f>HYPERLINK("http://www.rosaceae.org/Prunus/Prunus_persica/p.persica_gdr_reftransV1_0022350","p.persica_gdr_reftransV1_0022350")</f>
        <v>p.persica_gdr_reftransV1_0022350</v>
      </c>
      <c r="B15855" s="3">
        <v>2066</v>
      </c>
      <c r="C15855" s="1" t="str">
        <f>HYPERLINK("http://www.uniprot.org/uniprot/CP21A_ARATH","CP21A_ARATH")</f>
        <v>CP21A_ARATH</v>
      </c>
      <c r="D15855" t="s">
        <v>10084</v>
      </c>
      <c r="E15855" s="3" t="s">
        <v>3</v>
      </c>
      <c r="F15855" s="4">
        <v>1.02E-64</v>
      </c>
      <c r="G15855" s="3">
        <v>559</v>
      </c>
      <c r="H15855" s="3">
        <v>79</v>
      </c>
      <c r="I15855" s="3">
        <v>127</v>
      </c>
      <c r="J15855" s="3">
        <v>1427</v>
      </c>
      <c r="K15855" s="3">
        <v>1807</v>
      </c>
      <c r="L15855" s="3">
        <v>45</v>
      </c>
      <c r="M15855" s="3">
        <v>171</v>
      </c>
    </row>
    <row r="15856" spans="1:13" x14ac:dyDescent="0.25">
      <c r="A15856" s="1" t="str">
        <f>HYPERLINK("http://www.rosaceae.org/Prunus/Prunus_persica/p.persica_gdr_reftransV1_0022500","p.persica_gdr_reftransV1_0022500")</f>
        <v>p.persica_gdr_reftransV1_0022500</v>
      </c>
      <c r="B15856" s="3">
        <v>4502</v>
      </c>
      <c r="C15856" s="1" t="str">
        <f>HYPERLINK("http://www.uniprot.org/uniprot/IOJAC_ARATH","IOJAC_ARATH")</f>
        <v>IOJAC_ARATH</v>
      </c>
      <c r="D15856" t="s">
        <v>10085</v>
      </c>
      <c r="E15856" s="3" t="s">
        <v>3</v>
      </c>
      <c r="F15856" s="4">
        <v>3.57E-78</v>
      </c>
      <c r="G15856" s="3">
        <v>674</v>
      </c>
      <c r="H15856" s="3">
        <v>63</v>
      </c>
      <c r="I15856" s="3">
        <v>239</v>
      </c>
      <c r="J15856" s="3">
        <v>216</v>
      </c>
      <c r="K15856" s="3">
        <v>920</v>
      </c>
      <c r="L15856" s="3">
        <v>1</v>
      </c>
      <c r="M15856" s="3">
        <v>233</v>
      </c>
    </row>
    <row r="15857" spans="1:13" x14ac:dyDescent="0.25">
      <c r="A15857" s="1" t="str">
        <f>HYPERLINK("http://www.rosaceae.org/Prunus/Prunus_persica/p.persica_gdr_reftransV1_0022650","p.persica_gdr_reftransV1_0022650")</f>
        <v>p.persica_gdr_reftransV1_0022650</v>
      </c>
      <c r="B15857" s="3">
        <v>1924</v>
      </c>
      <c r="C15857" s="1" t="str">
        <f>HYPERLINK("http://www.uniprot.org/uniprot/PPR86_ARATH","PPR86_ARATH")</f>
        <v>PPR86_ARATH</v>
      </c>
      <c r="D15857" t="s">
        <v>10086</v>
      </c>
      <c r="E15857" s="3" t="s">
        <v>3</v>
      </c>
      <c r="F15857" s="4">
        <v>0</v>
      </c>
      <c r="G15857" s="3">
        <v>1761</v>
      </c>
      <c r="H15857" s="3">
        <v>68</v>
      </c>
      <c r="I15857" s="3">
        <v>482</v>
      </c>
      <c r="J15857" s="3">
        <v>425</v>
      </c>
      <c r="K15857" s="3">
        <v>1867</v>
      </c>
      <c r="L15857" s="3">
        <v>1</v>
      </c>
      <c r="M15857" s="3">
        <v>482</v>
      </c>
    </row>
    <row r="15858" spans="1:13" x14ac:dyDescent="0.25">
      <c r="A15858" s="1" t="str">
        <f>HYPERLINK("http://www.rosaceae.org/Prunus/Prunus_persica/p.persica_gdr_reftransV1_0023150","p.persica_gdr_reftransV1_0023150")</f>
        <v>p.persica_gdr_reftransV1_0023150</v>
      </c>
      <c r="B15858" s="3">
        <v>3775</v>
      </c>
      <c r="C15858" s="1" t="str">
        <f>HYPERLINK("http://www.uniprot.org/uniprot/PPR76_ARATH","PPR76_ARATH")</f>
        <v>PPR76_ARATH</v>
      </c>
      <c r="D15858" t="s">
        <v>3894</v>
      </c>
      <c r="E15858" s="3" t="s">
        <v>3</v>
      </c>
      <c r="F15858" s="4">
        <v>0</v>
      </c>
      <c r="G15858" s="3">
        <v>2152</v>
      </c>
      <c r="H15858" s="3">
        <v>68</v>
      </c>
      <c r="I15858" s="3">
        <v>589</v>
      </c>
      <c r="J15858" s="3">
        <v>68</v>
      </c>
      <c r="K15858" s="3">
        <v>1834</v>
      </c>
      <c r="L15858" s="3">
        <v>104</v>
      </c>
      <c r="M15858" s="3">
        <v>650</v>
      </c>
    </row>
    <row r="15859" spans="1:13" x14ac:dyDescent="0.25">
      <c r="A15859" s="1" t="str">
        <f>HYPERLINK("http://www.rosaceae.org/Prunus/Prunus_persica/p.persica_gdr_reftransV1_0023200","p.persica_gdr_reftransV1_0023200")</f>
        <v>p.persica_gdr_reftransV1_0023200</v>
      </c>
      <c r="B15859" s="3">
        <v>1178</v>
      </c>
      <c r="C15859" s="1" t="str">
        <f>HYPERLINK("http://www.uniprot.org/uniprot/TKPR1_ARATH","TKPR1_ARATH")</f>
        <v>TKPR1_ARATH</v>
      </c>
      <c r="D15859" t="s">
        <v>221</v>
      </c>
      <c r="E15859" s="3" t="s">
        <v>3</v>
      </c>
      <c r="F15859" s="4">
        <v>4.44E-44</v>
      </c>
      <c r="G15859" s="3">
        <v>407</v>
      </c>
      <c r="H15859" s="3">
        <v>41</v>
      </c>
      <c r="I15859" s="3">
        <v>321</v>
      </c>
      <c r="J15859" s="3">
        <v>55</v>
      </c>
      <c r="K15859" s="3">
        <v>1008</v>
      </c>
      <c r="L15859" s="3">
        <v>1</v>
      </c>
      <c r="M15859" s="3">
        <v>319</v>
      </c>
    </row>
    <row r="15860" spans="1:13" x14ac:dyDescent="0.25">
      <c r="A15860" s="1" t="str">
        <f>HYPERLINK("http://www.rosaceae.org/Prunus/Prunus_persica/p.persica_gdr_reftransV1_0023500","p.persica_gdr_reftransV1_0023500")</f>
        <v>p.persica_gdr_reftransV1_0023500</v>
      </c>
      <c r="B15860" s="3">
        <v>3600</v>
      </c>
      <c r="C15860" s="1" t="str">
        <f>HYPERLINK("http://www.uniprot.org/uniprot/CMTA4_ARATH","CMTA4_ARATH")</f>
        <v>CMTA4_ARATH</v>
      </c>
      <c r="D15860" t="s">
        <v>10087</v>
      </c>
      <c r="E15860" s="3" t="s">
        <v>3</v>
      </c>
      <c r="F15860" s="4">
        <v>0</v>
      </c>
      <c r="G15860" s="3">
        <v>2128</v>
      </c>
      <c r="H15860" s="3">
        <v>51</v>
      </c>
      <c r="I15860" s="3">
        <v>1066</v>
      </c>
      <c r="J15860" s="3">
        <v>347</v>
      </c>
      <c r="K15860" s="3">
        <v>3409</v>
      </c>
      <c r="L15860" s="3">
        <v>36</v>
      </c>
      <c r="M15860" s="3">
        <v>1016</v>
      </c>
    </row>
    <row r="15861" spans="1:13" x14ac:dyDescent="0.25">
      <c r="A15861" s="1" t="str">
        <f>HYPERLINK("http://www.rosaceae.org/Prunus/Prunus_persica/p.persica_gdr_reftransV1_0023600","p.persica_gdr_reftransV1_0023600")</f>
        <v>p.persica_gdr_reftransV1_0023600</v>
      </c>
      <c r="B15861" s="3">
        <v>1017</v>
      </c>
      <c r="C15861" s="1" t="str">
        <f>HYPERLINK("http://www.uniprot.org/uniprot/LRE_ARATH","LRE_ARATH")</f>
        <v>LRE_ARATH</v>
      </c>
      <c r="D15861" t="s">
        <v>4406</v>
      </c>
      <c r="E15861" s="3" t="s">
        <v>3</v>
      </c>
      <c r="F15861" s="4">
        <v>5.9499999999999999E-45</v>
      </c>
      <c r="G15861" s="3">
        <v>397</v>
      </c>
      <c r="H15861" s="3">
        <v>53</v>
      </c>
      <c r="I15861" s="3">
        <v>141</v>
      </c>
      <c r="J15861" s="3">
        <v>305</v>
      </c>
      <c r="K15861" s="3">
        <v>724</v>
      </c>
      <c r="L15861" s="3">
        <v>25</v>
      </c>
      <c r="M15861" s="3">
        <v>164</v>
      </c>
    </row>
    <row r="15862" spans="1:13" x14ac:dyDescent="0.25">
      <c r="A15862" s="1" t="str">
        <f>HYPERLINK("http://www.rosaceae.org/Prunus/Prunus_persica/p.persica_gdr_reftransV1_0023800","p.persica_gdr_reftransV1_0023800")</f>
        <v>p.persica_gdr_reftransV1_0023800</v>
      </c>
      <c r="B15862" s="3">
        <v>3811</v>
      </c>
      <c r="C15862" s="1" t="str">
        <f>HYPERLINK("http://www.uniprot.org/uniprot/URH1_ARATH","URH1_ARATH")</f>
        <v>URH1_ARATH</v>
      </c>
      <c r="D15862" t="s">
        <v>10088</v>
      </c>
      <c r="E15862" s="3" t="s">
        <v>3</v>
      </c>
      <c r="F15862" s="4">
        <v>1.79E-71</v>
      </c>
      <c r="G15862" s="3">
        <v>632</v>
      </c>
      <c r="H15862" s="3">
        <v>61</v>
      </c>
      <c r="I15862" s="3">
        <v>196</v>
      </c>
      <c r="J15862" s="3">
        <v>439</v>
      </c>
      <c r="K15862" s="3">
        <v>1026</v>
      </c>
      <c r="L15862" s="3">
        <v>177</v>
      </c>
      <c r="M15862" s="3">
        <v>335</v>
      </c>
    </row>
    <row r="15863" spans="1:13" x14ac:dyDescent="0.25">
      <c r="A15863" s="1" t="str">
        <f>HYPERLINK("http://www.rosaceae.org/Prunus/Prunus_persica/p.persica_gdr_reftransV1_0024100","p.persica_gdr_reftransV1_0024100")</f>
        <v>p.persica_gdr_reftransV1_0024100</v>
      </c>
      <c r="B15863" s="3">
        <v>2337</v>
      </c>
      <c r="C15863" s="1" t="str">
        <f>HYPERLINK("http://www.uniprot.org/uniprot/MRG1_ARATH","MRG1_ARATH")</f>
        <v>MRG1_ARATH</v>
      </c>
      <c r="D15863" t="s">
        <v>10089</v>
      </c>
      <c r="E15863" s="3" t="s">
        <v>3</v>
      </c>
      <c r="F15863" s="4">
        <v>6.2600000000000003E-98</v>
      </c>
      <c r="G15863" s="3">
        <v>751</v>
      </c>
      <c r="H15863" s="3">
        <v>71</v>
      </c>
      <c r="I15863" s="3">
        <v>199</v>
      </c>
      <c r="J15863" s="3">
        <v>365</v>
      </c>
      <c r="K15863" s="3">
        <v>961</v>
      </c>
      <c r="L15863" s="3">
        <v>64</v>
      </c>
      <c r="M15863" s="3">
        <v>261</v>
      </c>
    </row>
    <row r="15864" spans="1:13" x14ac:dyDescent="0.25">
      <c r="A15864" s="1" t="str">
        <f>HYPERLINK("http://www.rosaceae.org/Prunus/Prunus_persica/p.persica_gdr_reftransV1_0024300","p.persica_gdr_reftransV1_0024300")</f>
        <v>p.persica_gdr_reftransV1_0024300</v>
      </c>
      <c r="B15864" s="3">
        <v>5779</v>
      </c>
      <c r="C15864" s="1" t="str">
        <f>HYPERLINK("http://www.uniprot.org/uniprot/DNLI1_ARATH","DNLI1_ARATH")</f>
        <v>DNLI1_ARATH</v>
      </c>
      <c r="D15864" t="s">
        <v>1337</v>
      </c>
      <c r="E15864" s="3" t="s">
        <v>3</v>
      </c>
      <c r="F15864" s="4">
        <v>1.24E-78</v>
      </c>
      <c r="G15864" s="3">
        <v>505</v>
      </c>
      <c r="H15864" s="3">
        <v>37</v>
      </c>
      <c r="I15864" s="3">
        <v>277</v>
      </c>
      <c r="J15864" s="3">
        <v>2323</v>
      </c>
      <c r="K15864" s="3">
        <v>3153</v>
      </c>
      <c r="L15864" s="3">
        <v>150</v>
      </c>
      <c r="M15864" s="3">
        <v>422</v>
      </c>
    </row>
    <row r="15865" spans="1:13" x14ac:dyDescent="0.25">
      <c r="A15865" s="1" t="str">
        <f>HYPERLINK("http://www.rosaceae.org/Prunus/Prunus_persica/p.persica_gdr_reftransV1_0024750","p.persica_gdr_reftransV1_0024750")</f>
        <v>p.persica_gdr_reftransV1_0024750</v>
      </c>
      <c r="B15865" s="3">
        <v>2258</v>
      </c>
      <c r="C15865" s="1" t="str">
        <f>HYPERLINK("http://www.uniprot.org/uniprot/TLP3_ARATH","TLP3_ARATH")</f>
        <v>TLP3_ARATH</v>
      </c>
      <c r="D15865" t="s">
        <v>4173</v>
      </c>
      <c r="E15865" s="3" t="s">
        <v>3</v>
      </c>
      <c r="F15865" s="4">
        <v>0</v>
      </c>
      <c r="G15865" s="3">
        <v>1689</v>
      </c>
      <c r="H15865" s="3">
        <v>80</v>
      </c>
      <c r="I15865" s="3">
        <v>408</v>
      </c>
      <c r="J15865" s="3">
        <v>460</v>
      </c>
      <c r="K15865" s="3">
        <v>1662</v>
      </c>
      <c r="L15865" s="3">
        <v>1</v>
      </c>
      <c r="M15865" s="3">
        <v>406</v>
      </c>
    </row>
    <row r="15866" spans="1:13" x14ac:dyDescent="0.25">
      <c r="A15866" s="1" t="str">
        <f>HYPERLINK("http://www.rosaceae.org/Prunus/Prunus_persica/p.persica_gdr_reftransV1_0024800","p.persica_gdr_reftransV1_0024800")</f>
        <v>p.persica_gdr_reftransV1_0024800</v>
      </c>
      <c r="B15866" s="3">
        <v>3073</v>
      </c>
      <c r="C15866" s="1" t="str">
        <f>HYPERLINK("http://www.uniprot.org/uniprot/PUB3_ARATH","PUB3_ARATH")</f>
        <v>PUB3_ARATH</v>
      </c>
      <c r="D15866" t="s">
        <v>3249</v>
      </c>
      <c r="E15866" s="3" t="s">
        <v>3</v>
      </c>
      <c r="F15866" s="4">
        <v>0</v>
      </c>
      <c r="G15866" s="3">
        <v>1760</v>
      </c>
      <c r="H15866" s="3">
        <v>56</v>
      </c>
      <c r="I15866" s="3">
        <v>801</v>
      </c>
      <c r="J15866" s="3">
        <v>539</v>
      </c>
      <c r="K15866" s="3">
        <v>2869</v>
      </c>
      <c r="L15866" s="3">
        <v>1</v>
      </c>
      <c r="M15866" s="3">
        <v>759</v>
      </c>
    </row>
    <row r="15867" spans="1:13" x14ac:dyDescent="0.25">
      <c r="A15867" s="1" t="str">
        <f>HYPERLINK("http://www.rosaceae.org/Prunus/Prunus_persica/p.persica_gdr_reftransV1_0025100","p.persica_gdr_reftransV1_0025100")</f>
        <v>p.persica_gdr_reftransV1_0025100</v>
      </c>
      <c r="B15867" s="3">
        <v>659</v>
      </c>
      <c r="C15867" s="1" t="str">
        <f>HYPERLINK("http://www.uniprot.org/uniprot/PPR21_ARATH","PPR21_ARATH")</f>
        <v>PPR21_ARATH</v>
      </c>
      <c r="D15867" t="s">
        <v>3398</v>
      </c>
      <c r="E15867" s="3" t="s">
        <v>3</v>
      </c>
      <c r="F15867" s="4">
        <v>2.0599999999999999E-62</v>
      </c>
      <c r="G15867" s="3">
        <v>540</v>
      </c>
      <c r="H15867" s="3">
        <v>60</v>
      </c>
      <c r="I15867" s="3">
        <v>182</v>
      </c>
      <c r="J15867" s="3">
        <v>2</v>
      </c>
      <c r="K15867" s="3">
        <v>541</v>
      </c>
      <c r="L15867" s="3">
        <v>17</v>
      </c>
      <c r="M15867" s="3">
        <v>198</v>
      </c>
    </row>
    <row r="15868" spans="1:13" x14ac:dyDescent="0.25">
      <c r="A15868" s="1" t="str">
        <f>HYPERLINK("http://www.rosaceae.org/Prunus/Prunus_persica/p.persica_gdr_reftransV1_0025150","p.persica_gdr_reftransV1_0025150")</f>
        <v>p.persica_gdr_reftransV1_0025150</v>
      </c>
      <c r="B15868" s="3">
        <v>3295</v>
      </c>
      <c r="C15868" s="1" t="str">
        <f>HYPERLINK("http://www.uniprot.org/uniprot/PINI_ARATH","PINI_ARATH")</f>
        <v>PINI_ARATH</v>
      </c>
      <c r="D15868" t="s">
        <v>1445</v>
      </c>
      <c r="E15868" s="3" t="s">
        <v>3</v>
      </c>
      <c r="F15868" s="4">
        <v>0</v>
      </c>
      <c r="G15868" s="3">
        <v>1883</v>
      </c>
      <c r="H15868" s="3">
        <v>70</v>
      </c>
      <c r="I15868" s="3">
        <v>548</v>
      </c>
      <c r="J15868" s="3">
        <v>1586</v>
      </c>
      <c r="K15868" s="3">
        <v>3151</v>
      </c>
      <c r="L15868" s="3">
        <v>1</v>
      </c>
      <c r="M15868" s="3">
        <v>525</v>
      </c>
    </row>
    <row r="15869" spans="1:13" x14ac:dyDescent="0.25">
      <c r="A15869" s="1" t="str">
        <f>HYPERLINK("http://www.rosaceae.org/Prunus/Prunus_persica/p.persica_gdr_reftransV1_0025200","p.persica_gdr_reftransV1_0025200")</f>
        <v>p.persica_gdr_reftransV1_0025200</v>
      </c>
      <c r="B15869" s="3">
        <v>3633</v>
      </c>
      <c r="C15869" s="1" t="str">
        <f>HYPERLINK("http://www.uniprot.org/uniprot/XPO2_ARATH","XPO2_ARATH")</f>
        <v>XPO2_ARATH</v>
      </c>
      <c r="D15869" t="s">
        <v>10090</v>
      </c>
      <c r="E15869" s="3" t="s">
        <v>3</v>
      </c>
      <c r="F15869" s="4">
        <v>0</v>
      </c>
      <c r="G15869" s="3">
        <v>3783</v>
      </c>
      <c r="H15869" s="3">
        <v>72</v>
      </c>
      <c r="I15869" s="3">
        <v>972</v>
      </c>
      <c r="J15869" s="3">
        <v>492</v>
      </c>
      <c r="K15869" s="3">
        <v>3404</v>
      </c>
      <c r="L15869" s="3">
        <v>1</v>
      </c>
      <c r="M15869" s="3">
        <v>971</v>
      </c>
    </row>
    <row r="15870" spans="1:13" x14ac:dyDescent="0.25">
      <c r="A15870" s="1" t="str">
        <f>HYPERLINK("http://www.rosaceae.org/Prunus/Prunus_persica/p.persica_gdr_reftransV1_0025300","p.persica_gdr_reftransV1_0025300")</f>
        <v>p.persica_gdr_reftransV1_0025300</v>
      </c>
      <c r="B15870" s="3">
        <v>609</v>
      </c>
      <c r="C15870" s="1" t="str">
        <f>HYPERLINK("http://www.uniprot.org/uniprot/CDT1A_ARATH","CDT1A_ARATH")</f>
        <v>CDT1A_ARATH</v>
      </c>
      <c r="D15870" t="s">
        <v>522</v>
      </c>
      <c r="E15870" s="3" t="s">
        <v>3</v>
      </c>
      <c r="F15870" s="4">
        <v>1.4399999999999999E-27</v>
      </c>
      <c r="G15870" s="3">
        <v>282</v>
      </c>
      <c r="H15870" s="3">
        <v>52</v>
      </c>
      <c r="I15870" s="3">
        <v>131</v>
      </c>
      <c r="J15870" s="3">
        <v>4</v>
      </c>
      <c r="K15870" s="3">
        <v>375</v>
      </c>
      <c r="L15870" s="3">
        <v>430</v>
      </c>
      <c r="M15870" s="3">
        <v>560</v>
      </c>
    </row>
    <row r="15871" spans="1:13" x14ac:dyDescent="0.25">
      <c r="A15871" s="1" t="str">
        <f>HYPERLINK("http://www.rosaceae.org/Prunus/Prunus_persica/p.persica_gdr_reftransV1_0025350","p.persica_gdr_reftransV1_0025350")</f>
        <v>p.persica_gdr_reftransV1_0025350</v>
      </c>
      <c r="B15871" s="3">
        <v>4931</v>
      </c>
      <c r="C15871" s="1" t="str">
        <f>HYPERLINK("http://www.uniprot.org/uniprot/GSO1_ARATH","GSO1_ARATH")</f>
        <v>GSO1_ARATH</v>
      </c>
      <c r="D15871" t="s">
        <v>848</v>
      </c>
      <c r="E15871" s="3" t="s">
        <v>3</v>
      </c>
      <c r="F15871" s="4">
        <v>0</v>
      </c>
      <c r="G15871" s="3">
        <v>1784</v>
      </c>
      <c r="H15871" s="3">
        <v>48</v>
      </c>
      <c r="I15871" s="3">
        <v>897</v>
      </c>
      <c r="J15871" s="3">
        <v>1926</v>
      </c>
      <c r="K15871" s="3">
        <v>4589</v>
      </c>
      <c r="L15871" s="3">
        <v>26</v>
      </c>
      <c r="M15871" s="3">
        <v>915</v>
      </c>
    </row>
    <row r="15872" spans="1:13" x14ac:dyDescent="0.25">
      <c r="A15872" s="1" t="str">
        <f>HYPERLINK("http://www.rosaceae.org/Prunus/Prunus_persica/p.persica_gdr_reftransV1_0025600","p.persica_gdr_reftransV1_0025600")</f>
        <v>p.persica_gdr_reftransV1_0025600</v>
      </c>
      <c r="B15872" s="3">
        <v>1840</v>
      </c>
      <c r="C15872" s="1" t="str">
        <f>HYPERLINK("http://www.uniprot.org/uniprot/SUVR3_ARATH","SUVR3_ARATH")</f>
        <v>SUVR3_ARATH</v>
      </c>
      <c r="D15872" t="s">
        <v>10091</v>
      </c>
      <c r="E15872" s="3" t="s">
        <v>3</v>
      </c>
      <c r="F15872" s="4">
        <v>1.53E-96</v>
      </c>
      <c r="G15872" s="3">
        <v>782</v>
      </c>
      <c r="H15872" s="3">
        <v>52</v>
      </c>
      <c r="I15872" s="3">
        <v>335</v>
      </c>
      <c r="J15872" s="3">
        <v>72</v>
      </c>
      <c r="K15872" s="3">
        <v>1049</v>
      </c>
      <c r="L15872" s="3">
        <v>28</v>
      </c>
      <c r="M15872" s="3">
        <v>338</v>
      </c>
    </row>
    <row r="15873" spans="1:13" x14ac:dyDescent="0.25">
      <c r="A15873" s="1" t="str">
        <f>HYPERLINK("http://www.rosaceae.org/Prunus/Prunus_persica/p.persica_gdr_reftransV1_0025650","p.persica_gdr_reftransV1_0025650")</f>
        <v>p.persica_gdr_reftransV1_0025650</v>
      </c>
      <c r="B15873" s="3">
        <v>1680</v>
      </c>
      <c r="C15873" s="1" t="str">
        <f>HYPERLINK("http://www.uniprot.org/uniprot/BIOF_PETMO","BIOF_PETMO")</f>
        <v>BIOF_PETMO</v>
      </c>
      <c r="D15873" t="s">
        <v>10092</v>
      </c>
      <c r="E15873" s="3" t="s">
        <v>10093</v>
      </c>
      <c r="F15873" s="4">
        <v>2.4700000000000002E-47</v>
      </c>
      <c r="G15873" s="3">
        <v>443</v>
      </c>
      <c r="H15873" s="3">
        <v>40</v>
      </c>
      <c r="I15873" s="3">
        <v>237</v>
      </c>
      <c r="J15873" s="3">
        <v>627</v>
      </c>
      <c r="K15873" s="3">
        <v>1328</v>
      </c>
      <c r="L15873" s="3">
        <v>39</v>
      </c>
      <c r="M15873" s="3">
        <v>257</v>
      </c>
    </row>
    <row r="15874" spans="1:13" x14ac:dyDescent="0.25">
      <c r="A15874" s="1" t="str">
        <f>HYPERLINK("http://www.rosaceae.org/Prunus/Prunus_persica/p.persica_gdr_reftransV1_0025700","p.persica_gdr_reftransV1_0025700")</f>
        <v>p.persica_gdr_reftransV1_0025700</v>
      </c>
      <c r="B15874" s="3">
        <v>1536</v>
      </c>
      <c r="C15874" s="1" t="str">
        <f>HYPERLINK("http://www.uniprot.org/uniprot/PP356_ARATH","PP356_ARATH")</f>
        <v>PP356_ARATH</v>
      </c>
      <c r="D15874" t="s">
        <v>10094</v>
      </c>
      <c r="E15874" s="3" t="s">
        <v>3</v>
      </c>
      <c r="F15874" s="4">
        <v>1.21E-101</v>
      </c>
      <c r="G15874" s="3">
        <v>805</v>
      </c>
      <c r="H15874" s="3">
        <v>59</v>
      </c>
      <c r="I15874" s="3">
        <v>295</v>
      </c>
      <c r="J15874" s="3">
        <v>355</v>
      </c>
      <c r="K15874" s="3">
        <v>1218</v>
      </c>
      <c r="L15874" s="3">
        <v>21</v>
      </c>
      <c r="M15874" s="3">
        <v>302</v>
      </c>
    </row>
    <row r="15875" spans="1:13" x14ac:dyDescent="0.25">
      <c r="A15875" s="1" t="str">
        <f>HYPERLINK("http://www.rosaceae.org/Prunus/Prunus_persica/p.persica_gdr_reftransV1_0025800","p.persica_gdr_reftransV1_0025800")</f>
        <v>p.persica_gdr_reftransV1_0025800</v>
      </c>
      <c r="B15875" s="3">
        <v>1912</v>
      </c>
      <c r="C15875" s="1" t="str">
        <f>HYPERLINK("http://www.uniprot.org/uniprot/VTI13_ARATH","VTI13_ARATH")</f>
        <v>VTI13_ARATH</v>
      </c>
      <c r="D15875" t="s">
        <v>181</v>
      </c>
      <c r="E15875" s="3" t="s">
        <v>3</v>
      </c>
      <c r="F15875" s="4">
        <v>7.0400000000000002E-87</v>
      </c>
      <c r="G15875" s="3">
        <v>708</v>
      </c>
      <c r="H15875" s="3">
        <v>73</v>
      </c>
      <c r="I15875" s="3">
        <v>189</v>
      </c>
      <c r="J15875" s="3">
        <v>1088</v>
      </c>
      <c r="K15875" s="3">
        <v>1654</v>
      </c>
      <c r="L15875" s="3">
        <v>31</v>
      </c>
      <c r="M15875" s="3">
        <v>219</v>
      </c>
    </row>
    <row r="15876" spans="1:13" x14ac:dyDescent="0.25">
      <c r="A15876" s="1" t="str">
        <f>HYPERLINK("http://www.rosaceae.org/Prunus/Prunus_persica/p.persica_gdr_reftransV1_0025900","p.persica_gdr_reftransV1_0025900")</f>
        <v>p.persica_gdr_reftransV1_0025900</v>
      </c>
      <c r="B15876" s="3">
        <v>3186</v>
      </c>
      <c r="C15876" s="1" t="str">
        <f>HYPERLINK("http://www.uniprot.org/uniprot/GBP4_HUMAN","GBP4_HUMAN")</f>
        <v>GBP4_HUMAN</v>
      </c>
      <c r="D15876" t="s">
        <v>10095</v>
      </c>
      <c r="E15876" s="3" t="s">
        <v>28</v>
      </c>
      <c r="F15876" s="4">
        <v>1.6700000000000001E-19</v>
      </c>
      <c r="G15876" s="3">
        <v>242</v>
      </c>
      <c r="H15876" s="3">
        <v>38</v>
      </c>
      <c r="I15876" s="3">
        <v>146</v>
      </c>
      <c r="J15876" s="3">
        <v>362</v>
      </c>
      <c r="K15876" s="3">
        <v>796</v>
      </c>
      <c r="L15876" s="3">
        <v>25</v>
      </c>
      <c r="M15876" s="3">
        <v>165</v>
      </c>
    </row>
    <row r="15877" spans="1:13" x14ac:dyDescent="0.25">
      <c r="A15877" s="1" t="str">
        <f>HYPERLINK("http://www.rosaceae.org/Prunus/Prunus_persica/p.persica_gdr_reftransV1_0026000","p.persica_gdr_reftransV1_0026000")</f>
        <v>p.persica_gdr_reftransV1_0026000</v>
      </c>
      <c r="B15877" s="3">
        <v>1454</v>
      </c>
      <c r="C15877" s="1" t="str">
        <f>HYPERLINK("http://www.uniprot.org/uniprot/GLO2C_ARATH","GLO2C_ARATH")</f>
        <v>GLO2C_ARATH</v>
      </c>
      <c r="D15877" t="s">
        <v>4354</v>
      </c>
      <c r="E15877" s="3" t="s">
        <v>3</v>
      </c>
      <c r="F15877" s="4">
        <v>2.9200000000000001E-98</v>
      </c>
      <c r="G15877" s="3">
        <v>776</v>
      </c>
      <c r="H15877" s="3">
        <v>78</v>
      </c>
      <c r="I15877" s="3">
        <v>175</v>
      </c>
      <c r="J15877" s="3">
        <v>875</v>
      </c>
      <c r="K15877" s="3">
        <v>1399</v>
      </c>
      <c r="L15877" s="3">
        <v>1</v>
      </c>
      <c r="M15877" s="3">
        <v>175</v>
      </c>
    </row>
    <row r="15878" spans="1:13" x14ac:dyDescent="0.25">
      <c r="A15878" s="1" t="str">
        <f>HYPERLINK("http://www.rosaceae.org/Prunus/Prunus_persica/p.persica_gdr_reftransV1_0026050","p.persica_gdr_reftransV1_0026050")</f>
        <v>p.persica_gdr_reftransV1_0026050</v>
      </c>
      <c r="B15878" s="3">
        <v>3782</v>
      </c>
      <c r="C15878" s="1" t="str">
        <f>HYPERLINK("http://www.uniprot.org/uniprot/ATL70_ARATH","ATL70_ARATH")</f>
        <v>ATL70_ARATH</v>
      </c>
      <c r="D15878" t="s">
        <v>8239</v>
      </c>
      <c r="E15878" s="3" t="s">
        <v>3</v>
      </c>
      <c r="F15878" s="4">
        <v>4.7999999999999997E-30</v>
      </c>
      <c r="G15878" s="3">
        <v>313</v>
      </c>
      <c r="H15878" s="3">
        <v>62</v>
      </c>
      <c r="I15878" s="3">
        <v>128</v>
      </c>
      <c r="J15878" s="3">
        <v>3033</v>
      </c>
      <c r="K15878" s="3">
        <v>3410</v>
      </c>
      <c r="L15878" s="3">
        <v>85</v>
      </c>
      <c r="M15878" s="3">
        <v>209</v>
      </c>
    </row>
    <row r="15879" spans="1:13" x14ac:dyDescent="0.25">
      <c r="A15879" s="1" t="str">
        <f>HYPERLINK("http://www.rosaceae.org/Prunus/Prunus_persica/p.persica_gdr_reftransV1_0026600","p.persica_gdr_reftransV1_0026600")</f>
        <v>p.persica_gdr_reftransV1_0026600</v>
      </c>
      <c r="B15879" s="3">
        <v>1178</v>
      </c>
      <c r="C15879" s="1" t="str">
        <f>HYPERLINK("http://www.uniprot.org/uniprot/DER22_ARATH","DER22_ARATH")</f>
        <v>DER22_ARATH</v>
      </c>
      <c r="D15879" t="s">
        <v>10096</v>
      </c>
      <c r="E15879" s="3" t="s">
        <v>3</v>
      </c>
      <c r="F15879" s="4">
        <v>2.6399999999999999E-150</v>
      </c>
      <c r="G15879" s="3">
        <v>1111</v>
      </c>
      <c r="H15879" s="3">
        <v>89</v>
      </c>
      <c r="I15879" s="3">
        <v>244</v>
      </c>
      <c r="J15879" s="3">
        <v>283</v>
      </c>
      <c r="K15879" s="3">
        <v>1014</v>
      </c>
      <c r="L15879" s="3">
        <v>1</v>
      </c>
      <c r="M15879" s="3">
        <v>244</v>
      </c>
    </row>
    <row r="15880" spans="1:13" x14ac:dyDescent="0.25">
      <c r="A15880" s="1" t="str">
        <f>HYPERLINK("http://www.rosaceae.org/Prunus/Prunus_persica/p.persica_gdr_reftransV1_0026750","p.persica_gdr_reftransV1_0026750")</f>
        <v>p.persica_gdr_reftransV1_0026750</v>
      </c>
      <c r="B15880" s="3">
        <v>2319</v>
      </c>
      <c r="C15880" s="1" t="str">
        <f>HYPERLINK("http://www.uniprot.org/uniprot/DRL40_ARATH","DRL40_ARATH")</f>
        <v>DRL40_ARATH</v>
      </c>
      <c r="D15880" t="s">
        <v>1560</v>
      </c>
      <c r="E15880" s="3" t="s">
        <v>3</v>
      </c>
      <c r="F15880" s="4">
        <v>0</v>
      </c>
      <c r="G15880" s="3">
        <v>1434</v>
      </c>
      <c r="H15880" s="3">
        <v>45</v>
      </c>
      <c r="I15880" s="3">
        <v>717</v>
      </c>
      <c r="J15880" s="3">
        <v>2</v>
      </c>
      <c r="K15880" s="3">
        <v>2146</v>
      </c>
      <c r="L15880" s="3">
        <v>182</v>
      </c>
      <c r="M15880" s="3">
        <v>873</v>
      </c>
    </row>
    <row r="15881" spans="1:13" x14ac:dyDescent="0.25">
      <c r="A15881" s="1" t="str">
        <f>HYPERLINK("http://www.rosaceae.org/Prunus/Prunus_persica/p.persica_gdr_reftransV1_0026800","p.persica_gdr_reftransV1_0026800")</f>
        <v>p.persica_gdr_reftransV1_0026800</v>
      </c>
      <c r="B15881" s="3">
        <v>1903</v>
      </c>
      <c r="C15881" s="1" t="str">
        <f>HYPERLINK("http://www.uniprot.org/uniprot/Y5986_ARATH","Y5986_ARATH")</f>
        <v>Y5986_ARATH</v>
      </c>
      <c r="D15881" t="s">
        <v>4689</v>
      </c>
      <c r="E15881" s="3" t="s">
        <v>3</v>
      </c>
      <c r="F15881" s="4">
        <v>1.8000000000000001E-42</v>
      </c>
      <c r="G15881" s="3">
        <v>409</v>
      </c>
      <c r="H15881" s="3">
        <v>49</v>
      </c>
      <c r="I15881" s="3">
        <v>166</v>
      </c>
      <c r="J15881" s="3">
        <v>860</v>
      </c>
      <c r="K15881" s="3">
        <v>1303</v>
      </c>
      <c r="L15881" s="3">
        <v>224</v>
      </c>
      <c r="M15881" s="3">
        <v>389</v>
      </c>
    </row>
    <row r="15882" spans="1:13" x14ac:dyDescent="0.25">
      <c r="A15882" s="1" t="str">
        <f>HYPERLINK("http://www.rosaceae.org/Prunus/Prunus_persica/p.persica_gdr_reftransV1_0027450","p.persica_gdr_reftransV1_0027450")</f>
        <v>p.persica_gdr_reftransV1_0027450</v>
      </c>
      <c r="B15882" s="3">
        <v>1335</v>
      </c>
      <c r="C15882" s="1" t="str">
        <f>HYPERLINK("http://www.uniprot.org/uniprot/IF5A4_SOLLC","IF5A4_SOLLC")</f>
        <v>IF5A4_SOLLC</v>
      </c>
      <c r="D15882" t="s">
        <v>10097</v>
      </c>
      <c r="E15882" s="3" t="s">
        <v>64</v>
      </c>
      <c r="F15882" s="4">
        <v>1.4E-83</v>
      </c>
      <c r="G15882" s="3">
        <v>665</v>
      </c>
      <c r="H15882" s="3">
        <v>88</v>
      </c>
      <c r="I15882" s="3">
        <v>145</v>
      </c>
      <c r="J15882" s="3">
        <v>208</v>
      </c>
      <c r="K15882" s="3">
        <v>621</v>
      </c>
      <c r="L15882" s="3">
        <v>1</v>
      </c>
      <c r="M15882" s="3">
        <v>145</v>
      </c>
    </row>
    <row r="15883" spans="1:13" x14ac:dyDescent="0.25">
      <c r="A15883" s="1" t="str">
        <f>HYPERLINK("http://www.rosaceae.org/Prunus/Prunus_persica/p.persica_gdr_reftransV1_0027500","p.persica_gdr_reftransV1_0027500")</f>
        <v>p.persica_gdr_reftransV1_0027500</v>
      </c>
      <c r="B15883" s="3">
        <v>3439</v>
      </c>
      <c r="C15883" s="1" t="str">
        <f>HYPERLINK("http://www.uniprot.org/uniprot/AKT2_ARATH","AKT2_ARATH")</f>
        <v>AKT2_ARATH</v>
      </c>
      <c r="D15883" t="s">
        <v>10098</v>
      </c>
      <c r="E15883" s="3" t="s">
        <v>3</v>
      </c>
      <c r="F15883" s="4">
        <v>0</v>
      </c>
      <c r="G15883" s="3">
        <v>2810</v>
      </c>
      <c r="H15883" s="3">
        <v>69</v>
      </c>
      <c r="I15883" s="3">
        <v>800</v>
      </c>
      <c r="J15883" s="3">
        <v>605</v>
      </c>
      <c r="K15883" s="3">
        <v>2974</v>
      </c>
      <c r="L15883" s="3">
        <v>38</v>
      </c>
      <c r="M15883" s="3">
        <v>795</v>
      </c>
    </row>
    <row r="15884" spans="1:13" x14ac:dyDescent="0.25">
      <c r="A15884" s="1" t="str">
        <f>HYPERLINK("http://www.rosaceae.org/Prunus/Prunus_persica/p.persica_gdr_reftransV1_0027850","p.persica_gdr_reftransV1_0027850")</f>
        <v>p.persica_gdr_reftransV1_0027850</v>
      </c>
      <c r="B15884" s="3">
        <v>6176</v>
      </c>
      <c r="C15884" s="1" t="str">
        <f>HYPERLINK("http://www.uniprot.org/uniprot/MON2_DROME","MON2_DROME")</f>
        <v>MON2_DROME</v>
      </c>
      <c r="D15884" t="s">
        <v>10099</v>
      </c>
      <c r="E15884" s="3" t="s">
        <v>5</v>
      </c>
      <c r="F15884" s="4">
        <v>4.8300000000000001E-97</v>
      </c>
      <c r="G15884" s="3">
        <v>903</v>
      </c>
      <c r="H15884" s="3">
        <v>27</v>
      </c>
      <c r="I15884" s="3">
        <v>1232</v>
      </c>
      <c r="J15884" s="3">
        <v>175</v>
      </c>
      <c r="K15884" s="3">
        <v>3585</v>
      </c>
      <c r="L15884" s="3">
        <v>17</v>
      </c>
      <c r="M15884" s="3">
        <v>1145</v>
      </c>
    </row>
    <row r="15885" spans="1:13" x14ac:dyDescent="0.25">
      <c r="A15885" s="1" t="str">
        <f>HYPERLINK("http://www.rosaceae.org/Prunus/Prunus_persica/p.persica_gdr_reftransV1_0028000","p.persica_gdr_reftransV1_0028000")</f>
        <v>p.persica_gdr_reftransV1_0028000</v>
      </c>
      <c r="B15885" s="3">
        <v>1191</v>
      </c>
      <c r="C15885" s="1" t="str">
        <f>HYPERLINK("http://www.uniprot.org/uniprot/RAP27_ARATH","RAP27_ARATH")</f>
        <v>RAP27_ARATH</v>
      </c>
      <c r="D15885" t="s">
        <v>7807</v>
      </c>
      <c r="E15885" s="3" t="s">
        <v>3</v>
      </c>
      <c r="F15885" s="4">
        <v>1.79E-7</v>
      </c>
      <c r="G15885" s="3">
        <v>135</v>
      </c>
      <c r="H15885" s="3">
        <v>52</v>
      </c>
      <c r="I15885" s="3">
        <v>65</v>
      </c>
      <c r="J15885" s="3">
        <v>3</v>
      </c>
      <c r="K15885" s="3">
        <v>197</v>
      </c>
      <c r="L15885" s="3">
        <v>269</v>
      </c>
      <c r="M15885" s="3">
        <v>328</v>
      </c>
    </row>
    <row r="15886" spans="1:13" x14ac:dyDescent="0.25">
      <c r="A15886" s="1" t="str">
        <f>HYPERLINK("http://www.rosaceae.org/Prunus/Prunus_persica/p.persica_gdr_reftransV1_0028250","p.persica_gdr_reftransV1_0028250")</f>
        <v>p.persica_gdr_reftransV1_0028250</v>
      </c>
      <c r="B15886" s="3">
        <v>1324</v>
      </c>
      <c r="C15886" s="1" t="str">
        <f>HYPERLINK("http://www.uniprot.org/uniprot/ANP1_ARATH","ANP1_ARATH")</f>
        <v>ANP1_ARATH</v>
      </c>
      <c r="D15886" t="s">
        <v>7007</v>
      </c>
      <c r="E15886" s="3" t="s">
        <v>3</v>
      </c>
      <c r="F15886" s="4">
        <v>6.4200000000000001E-55</v>
      </c>
      <c r="G15886" s="3">
        <v>504</v>
      </c>
      <c r="H15886" s="3">
        <v>41</v>
      </c>
      <c r="I15886" s="3">
        <v>273</v>
      </c>
      <c r="J15886" s="3">
        <v>498</v>
      </c>
      <c r="K15886" s="3">
        <v>1271</v>
      </c>
      <c r="L15886" s="3">
        <v>66</v>
      </c>
      <c r="M15886" s="3">
        <v>332</v>
      </c>
    </row>
    <row r="15887" spans="1:13" x14ac:dyDescent="0.25">
      <c r="A15887" s="1" t="str">
        <f>HYPERLINK("http://www.rosaceae.org/Prunus/Prunus_persica/p.persica_gdr_reftransV1_0028300","p.persica_gdr_reftransV1_0028300")</f>
        <v>p.persica_gdr_reftransV1_0028300</v>
      </c>
      <c r="B15887" s="3">
        <v>2141</v>
      </c>
      <c r="C15887" s="1" t="str">
        <f>HYPERLINK("http://www.uniprot.org/uniprot/P2C08_ORYSJ","P2C08_ORYSJ")</f>
        <v>P2C08_ORYSJ</v>
      </c>
      <c r="D15887" t="s">
        <v>10100</v>
      </c>
      <c r="E15887" s="3" t="s">
        <v>38</v>
      </c>
      <c r="F15887" s="4">
        <v>2.2900000000000002E-43</v>
      </c>
      <c r="G15887" s="3">
        <v>418</v>
      </c>
      <c r="H15887" s="3">
        <v>63</v>
      </c>
      <c r="I15887" s="3">
        <v>135</v>
      </c>
      <c r="J15887" s="3">
        <v>238</v>
      </c>
      <c r="K15887" s="3">
        <v>642</v>
      </c>
      <c r="L15887" s="3">
        <v>259</v>
      </c>
      <c r="M15887" s="3">
        <v>390</v>
      </c>
    </row>
    <row r="15888" spans="1:13" x14ac:dyDescent="0.25">
      <c r="A15888" s="1" t="str">
        <f>HYPERLINK("http://www.rosaceae.org/Prunus/Prunus_persica/p.persica_gdr_reftransV1_0028850","p.persica_gdr_reftransV1_0028850")</f>
        <v>p.persica_gdr_reftransV1_0028850</v>
      </c>
      <c r="B15888" s="3">
        <v>1564</v>
      </c>
      <c r="C15888" s="1" t="str">
        <f>HYPERLINK("http://www.uniprot.org/uniprot/CA1P_WHEAT","CA1P_WHEAT")</f>
        <v>CA1P_WHEAT</v>
      </c>
      <c r="D15888" t="s">
        <v>5124</v>
      </c>
      <c r="E15888" s="3" t="s">
        <v>710</v>
      </c>
      <c r="F15888" s="4">
        <v>1.07E-23</v>
      </c>
      <c r="G15888" s="3">
        <v>185</v>
      </c>
      <c r="H15888" s="3">
        <v>35</v>
      </c>
      <c r="I15888" s="3">
        <v>127</v>
      </c>
      <c r="J15888" s="3">
        <v>858</v>
      </c>
      <c r="K15888" s="3">
        <v>1238</v>
      </c>
      <c r="L15888" s="3">
        <v>48</v>
      </c>
      <c r="M15888" s="3">
        <v>146</v>
      </c>
    </row>
    <row r="15889" spans="1:13" x14ac:dyDescent="0.25">
      <c r="A15889" s="1" t="str">
        <f>HYPERLINK("http://www.rosaceae.org/Prunus/Prunus_persica/p.persica_gdr_reftransV1_0029000","p.persica_gdr_reftransV1_0029000")</f>
        <v>p.persica_gdr_reftransV1_0029000</v>
      </c>
      <c r="B15889" s="3">
        <v>3352</v>
      </c>
      <c r="C15889" s="1" t="str">
        <f>HYPERLINK("http://www.uniprot.org/uniprot/PAPS1_ARATH","PAPS1_ARATH")</f>
        <v>PAPS1_ARATH</v>
      </c>
      <c r="D15889" t="s">
        <v>7283</v>
      </c>
      <c r="E15889" s="3" t="s">
        <v>3</v>
      </c>
      <c r="F15889" s="4">
        <v>0</v>
      </c>
      <c r="G15889" s="3">
        <v>2223</v>
      </c>
      <c r="H15889" s="3">
        <v>83</v>
      </c>
      <c r="I15889" s="3">
        <v>502</v>
      </c>
      <c r="J15889" s="3">
        <v>1262</v>
      </c>
      <c r="K15889" s="3">
        <v>2767</v>
      </c>
      <c r="L15889" s="3">
        <v>3</v>
      </c>
      <c r="M15889" s="3">
        <v>503</v>
      </c>
    </row>
    <row r="15890" spans="1:13" x14ac:dyDescent="0.25">
      <c r="A15890" s="1" t="str">
        <f>HYPERLINK("http://www.rosaceae.org/Prunus/Prunus_persica/p.persica_gdr_reftransV1_0029150","p.persica_gdr_reftransV1_0029150")</f>
        <v>p.persica_gdr_reftransV1_0029150</v>
      </c>
      <c r="B15890" s="3">
        <v>2871</v>
      </c>
      <c r="C15890" s="1" t="str">
        <f>HYPERLINK("http://www.uniprot.org/uniprot/ALMT9_ARATH","ALMT9_ARATH")</f>
        <v>ALMT9_ARATH</v>
      </c>
      <c r="D15890" t="s">
        <v>4605</v>
      </c>
      <c r="E15890" s="3" t="s">
        <v>3</v>
      </c>
      <c r="F15890" s="4">
        <v>0</v>
      </c>
      <c r="G15890" s="3">
        <v>1725</v>
      </c>
      <c r="H15890" s="3">
        <v>59</v>
      </c>
      <c r="I15890" s="3">
        <v>632</v>
      </c>
      <c r="J15890" s="3">
        <v>805</v>
      </c>
      <c r="K15890" s="3">
        <v>2637</v>
      </c>
      <c r="L15890" s="3">
        <v>1</v>
      </c>
      <c r="M15890" s="3">
        <v>568</v>
      </c>
    </row>
    <row r="15891" spans="1:13" x14ac:dyDescent="0.25">
      <c r="A15891" s="1" t="str">
        <f>HYPERLINK("http://www.rosaceae.org/Prunus/Prunus_persica/p.persica_gdr_reftransV1_0029550","p.persica_gdr_reftransV1_0029550")</f>
        <v>p.persica_gdr_reftransV1_0029550</v>
      </c>
      <c r="B15891" s="3">
        <v>1725</v>
      </c>
      <c r="C15891" s="1" t="str">
        <f>HYPERLINK("http://www.uniprot.org/uniprot/MY1R1_SOLTU","MY1R1_SOLTU")</f>
        <v>MY1R1_SOLTU</v>
      </c>
      <c r="D15891" t="s">
        <v>2616</v>
      </c>
      <c r="E15891" s="3" t="s">
        <v>11</v>
      </c>
      <c r="F15891" s="4">
        <v>4.9700000000000001E-27</v>
      </c>
      <c r="G15891" s="3">
        <v>288</v>
      </c>
      <c r="H15891" s="3">
        <v>52</v>
      </c>
      <c r="I15891" s="3">
        <v>148</v>
      </c>
      <c r="J15891" s="3">
        <v>1033</v>
      </c>
      <c r="K15891" s="3">
        <v>1473</v>
      </c>
      <c r="L15891" s="3">
        <v>24</v>
      </c>
      <c r="M15891" s="3">
        <v>166</v>
      </c>
    </row>
    <row r="15892" spans="1:13" x14ac:dyDescent="0.25">
      <c r="A15892" s="1" t="str">
        <f>HYPERLINK("http://www.rosaceae.org/Prunus/Prunus_persica/p.persica_gdr_reftransV1_0029650","p.persica_gdr_reftransV1_0029650")</f>
        <v>p.persica_gdr_reftransV1_0029650</v>
      </c>
      <c r="B15892" s="3">
        <v>1482</v>
      </c>
      <c r="C15892" s="1" t="str">
        <f>HYPERLINK("http://www.uniprot.org/uniprot/JMT_BRARP","JMT_BRARP")</f>
        <v>JMT_BRARP</v>
      </c>
      <c r="D15892" t="s">
        <v>3966</v>
      </c>
      <c r="E15892" s="3" t="s">
        <v>3967</v>
      </c>
      <c r="F15892" s="4">
        <v>2.25E-118</v>
      </c>
      <c r="G15892" s="3">
        <v>924</v>
      </c>
      <c r="H15892" s="3">
        <v>54</v>
      </c>
      <c r="I15892" s="3">
        <v>393</v>
      </c>
      <c r="J15892" s="3">
        <v>266</v>
      </c>
      <c r="K15892" s="3">
        <v>1387</v>
      </c>
      <c r="L15892" s="3">
        <v>1</v>
      </c>
      <c r="M15892" s="3">
        <v>389</v>
      </c>
    </row>
    <row r="15893" spans="1:13" x14ac:dyDescent="0.25">
      <c r="A15893" s="1" t="str">
        <f>HYPERLINK("http://www.rosaceae.org/Prunus/Prunus_persica/p.persica_gdr_reftransV1_0029900","p.persica_gdr_reftransV1_0029900")</f>
        <v>p.persica_gdr_reftransV1_0029900</v>
      </c>
      <c r="B15893" s="3">
        <v>2985</v>
      </c>
      <c r="C15893" s="1" t="str">
        <f>HYPERLINK("http://www.uniprot.org/uniprot/TMN11_ARATH","TMN11_ARATH")</f>
        <v>TMN11_ARATH</v>
      </c>
      <c r="D15893" t="s">
        <v>10101</v>
      </c>
      <c r="E15893" s="3" t="s">
        <v>3</v>
      </c>
      <c r="F15893" s="4">
        <v>0</v>
      </c>
      <c r="G15893" s="3">
        <v>3038</v>
      </c>
      <c r="H15893" s="3">
        <v>88</v>
      </c>
      <c r="I15893" s="3">
        <v>658</v>
      </c>
      <c r="J15893" s="3">
        <v>455</v>
      </c>
      <c r="K15893" s="3">
        <v>2425</v>
      </c>
      <c r="L15893" s="3">
        <v>1</v>
      </c>
      <c r="M15893" s="3">
        <v>658</v>
      </c>
    </row>
    <row r="15894" spans="1:13" x14ac:dyDescent="0.25">
      <c r="A15894" s="1" t="str">
        <f>HYPERLINK("http://www.rosaceae.org/Prunus/Prunus_persica/p.persica_gdr_reftransV1_0030000","p.persica_gdr_reftransV1_0030000")</f>
        <v>p.persica_gdr_reftransV1_0030000</v>
      </c>
      <c r="B15894" s="3">
        <v>3439</v>
      </c>
      <c r="C15894" s="1" t="str">
        <f>HYPERLINK("http://www.uniprot.org/uniprot/BLH2_ARATH","BLH2_ARATH")</f>
        <v>BLH2_ARATH</v>
      </c>
      <c r="D15894" t="s">
        <v>10102</v>
      </c>
      <c r="E15894" s="3" t="s">
        <v>3</v>
      </c>
      <c r="F15894" s="4">
        <v>4.3700000000000002E-137</v>
      </c>
      <c r="G15894" s="3">
        <v>1131</v>
      </c>
      <c r="H15894" s="3">
        <v>82</v>
      </c>
      <c r="I15894" s="3">
        <v>261</v>
      </c>
      <c r="J15894" s="3">
        <v>1084</v>
      </c>
      <c r="K15894" s="3">
        <v>1860</v>
      </c>
      <c r="L15894" s="3">
        <v>313</v>
      </c>
      <c r="M15894" s="3">
        <v>567</v>
      </c>
    </row>
    <row r="15895" spans="1:13" x14ac:dyDescent="0.25">
      <c r="A15895" s="1" t="str">
        <f>HYPERLINK("http://www.rosaceae.org/Prunus/Prunus_persica/p.persica_gdr_reftransV1_0030050","p.persica_gdr_reftransV1_0030050")</f>
        <v>p.persica_gdr_reftransV1_0030050</v>
      </c>
      <c r="B15895" s="3">
        <v>1581</v>
      </c>
      <c r="C15895" s="1" t="str">
        <f>HYPERLINK("http://www.uniprot.org/uniprot/BUD13_HUMAN","BUD13_HUMAN")</f>
        <v>BUD13_HUMAN</v>
      </c>
      <c r="D15895" t="s">
        <v>10103</v>
      </c>
      <c r="E15895" s="3" t="s">
        <v>28</v>
      </c>
      <c r="F15895" s="4">
        <v>1.72E-30</v>
      </c>
      <c r="G15895" s="3">
        <v>323</v>
      </c>
      <c r="H15895" s="3">
        <v>37</v>
      </c>
      <c r="I15895" s="3">
        <v>302</v>
      </c>
      <c r="J15895" s="3">
        <v>326</v>
      </c>
      <c r="K15895" s="3">
        <v>1201</v>
      </c>
      <c r="L15895" s="3">
        <v>350</v>
      </c>
      <c r="M15895" s="3">
        <v>619</v>
      </c>
    </row>
    <row r="15896" spans="1:13" x14ac:dyDescent="0.25">
      <c r="A15896" s="1" t="str">
        <f>HYPERLINK("http://www.rosaceae.org/Prunus/Prunus_persica/p.persica_gdr_reftransV1_0030100","p.persica_gdr_reftransV1_0030100")</f>
        <v>p.persica_gdr_reftransV1_0030100</v>
      </c>
      <c r="B15896" s="3">
        <v>919</v>
      </c>
      <c r="C15896" s="1" t="str">
        <f>HYPERLINK("http://www.uniprot.org/uniprot/PP327_ARATH","PP327_ARATH")</f>
        <v>PP327_ARATH</v>
      </c>
      <c r="D15896" t="s">
        <v>6129</v>
      </c>
      <c r="E15896" s="3" t="s">
        <v>3</v>
      </c>
      <c r="F15896" s="4">
        <v>3.8199999999999998E-60</v>
      </c>
      <c r="G15896" s="3">
        <v>530</v>
      </c>
      <c r="H15896" s="3">
        <v>65</v>
      </c>
      <c r="I15896" s="3">
        <v>153</v>
      </c>
      <c r="J15896" s="3">
        <v>463</v>
      </c>
      <c r="K15896" s="3">
        <v>918</v>
      </c>
      <c r="L15896" s="3">
        <v>56</v>
      </c>
      <c r="M15896" s="3">
        <v>208</v>
      </c>
    </row>
    <row r="15897" spans="1:13" x14ac:dyDescent="0.25">
      <c r="A15897" s="1" t="str">
        <f>HYPERLINK("http://www.rosaceae.org/Prunus/Prunus_persica/p.persica_gdr_reftransV1_0030450","p.persica_gdr_reftransV1_0030450")</f>
        <v>p.persica_gdr_reftransV1_0030450</v>
      </c>
      <c r="B15897" s="3">
        <v>2066</v>
      </c>
      <c r="C15897" s="1" t="str">
        <f>HYPERLINK("http://www.uniprot.org/uniprot/TERT_ARATH","TERT_ARATH")</f>
        <v>TERT_ARATH</v>
      </c>
      <c r="D15897" t="s">
        <v>2802</v>
      </c>
      <c r="E15897" s="3" t="s">
        <v>3</v>
      </c>
      <c r="F15897" s="4">
        <v>4.4899999999999997E-43</v>
      </c>
      <c r="G15897" s="3">
        <v>433</v>
      </c>
      <c r="H15897" s="3">
        <v>51</v>
      </c>
      <c r="I15897" s="3">
        <v>174</v>
      </c>
      <c r="J15897" s="3">
        <v>1532</v>
      </c>
      <c r="K15897" s="3">
        <v>2053</v>
      </c>
      <c r="L15897" s="3">
        <v>784</v>
      </c>
      <c r="M15897" s="3">
        <v>944</v>
      </c>
    </row>
    <row r="15898" spans="1:13" x14ac:dyDescent="0.25">
      <c r="A15898" s="1" t="str">
        <f>HYPERLINK("http://www.rosaceae.org/Prunus/Prunus_persica/p.persica_gdr_reftransV1_0030600","p.persica_gdr_reftransV1_0030600")</f>
        <v>p.persica_gdr_reftransV1_0030600</v>
      </c>
      <c r="B15898" s="3">
        <v>2249</v>
      </c>
      <c r="C15898" s="1" t="str">
        <f>HYPERLINK("http://www.uniprot.org/uniprot/HPT1_ARATH","HPT1_ARATH")</f>
        <v>HPT1_ARATH</v>
      </c>
      <c r="D15898" t="s">
        <v>10104</v>
      </c>
      <c r="E15898" s="3" t="s">
        <v>3</v>
      </c>
      <c r="F15898" s="4">
        <v>1.0900000000000001E-169</v>
      </c>
      <c r="G15898" s="3">
        <v>1289</v>
      </c>
      <c r="H15898" s="3">
        <v>66</v>
      </c>
      <c r="I15898" s="3">
        <v>390</v>
      </c>
      <c r="J15898" s="3">
        <v>955</v>
      </c>
      <c r="K15898" s="3">
        <v>2118</v>
      </c>
      <c r="L15898" s="3">
        <v>13</v>
      </c>
      <c r="M15898" s="3">
        <v>386</v>
      </c>
    </row>
    <row r="15899" spans="1:13" x14ac:dyDescent="0.25">
      <c r="A15899" s="1" t="str">
        <f>HYPERLINK("http://www.rosaceae.org/Prunus/Prunus_persica/p.persica_gdr_reftransV1_0030700","p.persica_gdr_reftransV1_0030700")</f>
        <v>p.persica_gdr_reftransV1_0030700</v>
      </c>
      <c r="B15899" s="3">
        <v>1774</v>
      </c>
      <c r="C15899" s="1" t="str">
        <f>HYPERLINK("http://www.uniprot.org/uniprot/TOM1_TOBAC","TOM1_TOBAC")</f>
        <v>TOM1_TOBAC</v>
      </c>
      <c r="D15899" t="s">
        <v>4961</v>
      </c>
      <c r="E15899" s="3" t="s">
        <v>200</v>
      </c>
      <c r="F15899" s="4">
        <v>2.5899999999999999E-157</v>
      </c>
      <c r="G15899" s="3">
        <v>1181</v>
      </c>
      <c r="H15899" s="3">
        <v>74</v>
      </c>
      <c r="I15899" s="3">
        <v>324</v>
      </c>
      <c r="J15899" s="3">
        <v>353</v>
      </c>
      <c r="K15899" s="3">
        <v>1324</v>
      </c>
      <c r="L15899" s="3">
        <v>1</v>
      </c>
      <c r="M15899" s="3">
        <v>287</v>
      </c>
    </row>
    <row r="15900" spans="1:13" x14ac:dyDescent="0.25">
      <c r="A15900" s="1" t="str">
        <f>HYPERLINK("http://www.rosaceae.org/Prunus/Prunus_persica/p.persica_gdr_reftransV1_0030750","p.persica_gdr_reftransV1_0030750")</f>
        <v>p.persica_gdr_reftransV1_0030750</v>
      </c>
      <c r="B15900" s="3">
        <v>1348</v>
      </c>
      <c r="C15900" s="1" t="str">
        <f>HYPERLINK("http://www.uniprot.org/uniprot/PUP9_ARATH","PUP9_ARATH")</f>
        <v>PUP9_ARATH</v>
      </c>
      <c r="D15900" t="s">
        <v>1496</v>
      </c>
      <c r="E15900" s="3" t="s">
        <v>3</v>
      </c>
      <c r="F15900" s="4">
        <v>2.1900000000000001E-124</v>
      </c>
      <c r="G15900" s="3">
        <v>959</v>
      </c>
      <c r="H15900" s="3">
        <v>53</v>
      </c>
      <c r="I15900" s="3">
        <v>363</v>
      </c>
      <c r="J15900" s="3">
        <v>182</v>
      </c>
      <c r="K15900" s="3">
        <v>1261</v>
      </c>
      <c r="L15900" s="3">
        <v>4</v>
      </c>
      <c r="M15900" s="3">
        <v>366</v>
      </c>
    </row>
    <row r="15901" spans="1:13" x14ac:dyDescent="0.25">
      <c r="A15901" s="1" t="str">
        <f>HYPERLINK("http://www.rosaceae.org/Prunus/Prunus_persica/p.persica_gdr_reftransV1_0031000","p.persica_gdr_reftransV1_0031000")</f>
        <v>p.persica_gdr_reftransV1_0031000</v>
      </c>
      <c r="B15901" s="3">
        <v>2803</v>
      </c>
      <c r="C15901" s="1" t="str">
        <f>HYPERLINK("http://www.uniprot.org/uniprot/FOLT1_ARATH","FOLT1_ARATH")</f>
        <v>FOLT1_ARATH</v>
      </c>
      <c r="D15901" t="s">
        <v>10105</v>
      </c>
      <c r="E15901" s="3" t="s">
        <v>3</v>
      </c>
      <c r="F15901" s="4">
        <v>1.68E-147</v>
      </c>
      <c r="G15901" s="3">
        <v>1147</v>
      </c>
      <c r="H15901" s="3">
        <v>81</v>
      </c>
      <c r="I15901" s="3">
        <v>302</v>
      </c>
      <c r="J15901" s="3">
        <v>155</v>
      </c>
      <c r="K15901" s="3">
        <v>1057</v>
      </c>
      <c r="L15901" s="3">
        <v>2</v>
      </c>
      <c r="M15901" s="3">
        <v>301</v>
      </c>
    </row>
    <row r="15902" spans="1:13" x14ac:dyDescent="0.25">
      <c r="A15902" s="1" t="str">
        <f>HYPERLINK("http://www.rosaceae.org/Prunus/Prunus_persica/p.persica_gdr_reftransV1_0031200","p.persica_gdr_reftransV1_0031200")</f>
        <v>p.persica_gdr_reftransV1_0031200</v>
      </c>
      <c r="B15902" s="3">
        <v>3342</v>
      </c>
      <c r="C15902" s="1" t="str">
        <f>HYPERLINK("http://www.uniprot.org/uniprot/FRAY2_DICDI","FRAY2_DICDI")</f>
        <v>FRAY2_DICDI</v>
      </c>
      <c r="D15902" t="s">
        <v>2965</v>
      </c>
      <c r="E15902" s="3" t="s">
        <v>9</v>
      </c>
      <c r="F15902" s="4">
        <v>1.6400000000000001E-108</v>
      </c>
      <c r="G15902" s="3">
        <v>949</v>
      </c>
      <c r="H15902" s="3">
        <v>54</v>
      </c>
      <c r="I15902" s="3">
        <v>327</v>
      </c>
      <c r="J15902" s="3">
        <v>989</v>
      </c>
      <c r="K15902" s="3">
        <v>1963</v>
      </c>
      <c r="L15902" s="3">
        <v>62</v>
      </c>
      <c r="M15902" s="3">
        <v>385</v>
      </c>
    </row>
    <row r="15903" spans="1:13" x14ac:dyDescent="0.25">
      <c r="A15903" s="1" t="str">
        <f>HYPERLINK("http://www.rosaceae.org/Prunus/Prunus_persica/p.persica_gdr_reftransV1_0031400","p.persica_gdr_reftransV1_0031400")</f>
        <v>p.persica_gdr_reftransV1_0031400</v>
      </c>
      <c r="B15903" s="3">
        <v>3225</v>
      </c>
      <c r="C15903" s="1" t="str">
        <f>HYPERLINK("http://www.uniprot.org/uniprot/PTRB_MORLA","PTRB_MORLA")</f>
        <v>PTRB_MORLA</v>
      </c>
      <c r="D15903" t="s">
        <v>8476</v>
      </c>
      <c r="E15903" s="3" t="s">
        <v>8477</v>
      </c>
      <c r="F15903" s="4">
        <v>1.7400000000000001E-38</v>
      </c>
      <c r="G15903" s="3">
        <v>398</v>
      </c>
      <c r="H15903" s="3">
        <v>25</v>
      </c>
      <c r="I15903" s="3">
        <v>624</v>
      </c>
      <c r="J15903" s="3">
        <v>205</v>
      </c>
      <c r="K15903" s="3">
        <v>2064</v>
      </c>
      <c r="L15903" s="3">
        <v>15</v>
      </c>
      <c r="M15903" s="3">
        <v>558</v>
      </c>
    </row>
    <row r="15904" spans="1:13" x14ac:dyDescent="0.25">
      <c r="A15904" s="1" t="str">
        <f>HYPERLINK("http://www.rosaceae.org/Prunus/Prunus_persica/p.persica_gdr_reftransV1_0031450","p.persica_gdr_reftransV1_0031450")</f>
        <v>p.persica_gdr_reftransV1_0031450</v>
      </c>
      <c r="B15904" s="3">
        <v>5474</v>
      </c>
      <c r="C15904" s="1" t="str">
        <f>HYPERLINK("http://www.uniprot.org/uniprot/PUB4_ARATH","PUB4_ARATH")</f>
        <v>PUB4_ARATH</v>
      </c>
      <c r="D15904" t="s">
        <v>1286</v>
      </c>
      <c r="E15904" s="3" t="s">
        <v>3</v>
      </c>
      <c r="F15904" s="4">
        <v>0</v>
      </c>
      <c r="G15904" s="3">
        <v>2260</v>
      </c>
      <c r="H15904" s="3">
        <v>58</v>
      </c>
      <c r="I15904" s="3">
        <v>826</v>
      </c>
      <c r="J15904" s="3">
        <v>50</v>
      </c>
      <c r="K15904" s="3">
        <v>2515</v>
      </c>
      <c r="L15904" s="3">
        <v>1</v>
      </c>
      <c r="M15904" s="3">
        <v>815</v>
      </c>
    </row>
    <row r="15905" spans="1:13" x14ac:dyDescent="0.25">
      <c r="A15905" s="1" t="str">
        <f>HYPERLINK("http://www.rosaceae.org/Prunus/Prunus_persica/p.persica_gdr_reftransV1_0031500","p.persica_gdr_reftransV1_0031500")</f>
        <v>p.persica_gdr_reftransV1_0031500</v>
      </c>
      <c r="B15905" s="3">
        <v>2476</v>
      </c>
      <c r="C15905" s="1" t="str">
        <f>HYPERLINK("http://www.uniprot.org/uniprot/MTHR2_ARATH","MTHR2_ARATH")</f>
        <v>MTHR2_ARATH</v>
      </c>
      <c r="D15905" t="s">
        <v>10106</v>
      </c>
      <c r="E15905" s="3" t="s">
        <v>3</v>
      </c>
      <c r="F15905" s="4">
        <v>0</v>
      </c>
      <c r="G15905" s="3">
        <v>2737</v>
      </c>
      <c r="H15905" s="3">
        <v>82</v>
      </c>
      <c r="I15905" s="3">
        <v>595</v>
      </c>
      <c r="J15905" s="3">
        <v>302</v>
      </c>
      <c r="K15905" s="3">
        <v>2086</v>
      </c>
      <c r="L15905" s="3">
        <v>1</v>
      </c>
      <c r="M15905" s="3">
        <v>594</v>
      </c>
    </row>
    <row r="15906" spans="1:13" x14ac:dyDescent="0.25">
      <c r="A15906" s="1" t="str">
        <f>HYPERLINK("http://www.rosaceae.org/Prunus/Prunus_persica/p.persica_gdr_reftransV1_0031700","p.persica_gdr_reftransV1_0031700")</f>
        <v>p.persica_gdr_reftransV1_0031700</v>
      </c>
      <c r="B15906" s="3">
        <v>2764</v>
      </c>
      <c r="C15906" s="1" t="str">
        <f>HYPERLINK("http://www.uniprot.org/uniprot/ASND1_MOUSE","ASND1_MOUSE")</f>
        <v>ASND1_MOUSE</v>
      </c>
      <c r="D15906" t="s">
        <v>10107</v>
      </c>
      <c r="E15906" s="3" t="s">
        <v>157</v>
      </c>
      <c r="F15906" s="4">
        <v>1.75E-43</v>
      </c>
      <c r="G15906" s="3">
        <v>435</v>
      </c>
      <c r="H15906" s="3">
        <v>47</v>
      </c>
      <c r="I15906" s="3">
        <v>203</v>
      </c>
      <c r="J15906" s="3">
        <v>1826</v>
      </c>
      <c r="K15906" s="3">
        <v>2425</v>
      </c>
      <c r="L15906" s="3">
        <v>421</v>
      </c>
      <c r="M15906" s="3">
        <v>615</v>
      </c>
    </row>
    <row r="15907" spans="1:13" x14ac:dyDescent="0.25">
      <c r="A15907" s="1" t="str">
        <f>HYPERLINK("http://www.rosaceae.org/Prunus/Prunus_persica/p.persica_gdr_reftransV1_0031900","p.persica_gdr_reftransV1_0031900")</f>
        <v>p.persica_gdr_reftransV1_0031900</v>
      </c>
      <c r="B15907" s="3">
        <v>4150</v>
      </c>
      <c r="C15907" s="1" t="str">
        <f>HYPERLINK("http://www.uniprot.org/uniprot/PSL5_ARATH","PSL5_ARATH")</f>
        <v>PSL5_ARATH</v>
      </c>
      <c r="D15907" t="s">
        <v>10108</v>
      </c>
      <c r="E15907" s="3" t="s">
        <v>3</v>
      </c>
      <c r="F15907" s="4">
        <v>0</v>
      </c>
      <c r="G15907" s="3">
        <v>2825</v>
      </c>
      <c r="H15907" s="3">
        <v>79</v>
      </c>
      <c r="I15907" s="3">
        <v>644</v>
      </c>
      <c r="J15907" s="3">
        <v>262</v>
      </c>
      <c r="K15907" s="3">
        <v>2187</v>
      </c>
      <c r="L15907" s="3">
        <v>21</v>
      </c>
      <c r="M15907" s="3">
        <v>660</v>
      </c>
    </row>
    <row r="15908" spans="1:13" x14ac:dyDescent="0.25">
      <c r="A15908" s="1" t="str">
        <f>HYPERLINK("http://www.rosaceae.org/Prunus/Prunus_persica/p.persica_gdr_reftransV1_0032350","p.persica_gdr_reftransV1_0032350")</f>
        <v>p.persica_gdr_reftransV1_0032350</v>
      </c>
      <c r="B15908" s="3">
        <v>2818</v>
      </c>
      <c r="C15908" s="1" t="str">
        <f>HYPERLINK("http://www.uniprot.org/uniprot/Y3739_ARATH","Y3739_ARATH")</f>
        <v>Y3739_ARATH</v>
      </c>
      <c r="D15908" t="s">
        <v>831</v>
      </c>
      <c r="E15908" s="3" t="s">
        <v>3</v>
      </c>
      <c r="F15908" s="4">
        <v>7.0499999999999996E-160</v>
      </c>
      <c r="G15908" s="3">
        <v>1258</v>
      </c>
      <c r="H15908" s="3">
        <v>61</v>
      </c>
      <c r="I15908" s="3">
        <v>405</v>
      </c>
      <c r="J15908" s="3">
        <v>288</v>
      </c>
      <c r="K15908" s="3">
        <v>1496</v>
      </c>
      <c r="L15908" s="3">
        <v>177</v>
      </c>
      <c r="M15908" s="3">
        <v>578</v>
      </c>
    </row>
    <row r="15909" spans="1:13" x14ac:dyDescent="0.25">
      <c r="A15909" s="1" t="str">
        <f>HYPERLINK("http://www.rosaceae.org/Prunus/Prunus_persica/p.persica_gdr_reftransV1_0032450","p.persica_gdr_reftransV1_0032450")</f>
        <v>p.persica_gdr_reftransV1_0032450</v>
      </c>
      <c r="B15909" s="3">
        <v>1927</v>
      </c>
      <c r="C15909" s="1" t="str">
        <f>HYPERLINK("http://www.uniprot.org/uniprot/NAC72_ARATH","NAC72_ARATH")</f>
        <v>NAC72_ARATH</v>
      </c>
      <c r="D15909" t="s">
        <v>6784</v>
      </c>
      <c r="E15909" s="3" t="s">
        <v>3</v>
      </c>
      <c r="F15909" s="4">
        <v>5.7300000000000003E-18</v>
      </c>
      <c r="G15909" s="3">
        <v>219</v>
      </c>
      <c r="H15909" s="3">
        <v>31</v>
      </c>
      <c r="I15909" s="3">
        <v>198</v>
      </c>
      <c r="J15909" s="3">
        <v>1304</v>
      </c>
      <c r="K15909" s="3">
        <v>1843</v>
      </c>
      <c r="L15909" s="3">
        <v>1</v>
      </c>
      <c r="M15909" s="3">
        <v>180</v>
      </c>
    </row>
    <row r="15910" spans="1:13" x14ac:dyDescent="0.25">
      <c r="A15910" s="1" t="str">
        <f>HYPERLINK("http://www.rosaceae.org/Prunus/Prunus_persica/p.persica_gdr_reftransV1_0032500","p.persica_gdr_reftransV1_0032500")</f>
        <v>p.persica_gdr_reftransV1_0032500</v>
      </c>
      <c r="B15910" s="3">
        <v>3114</v>
      </c>
      <c r="C15910" s="1" t="str">
        <f>HYPERLINK("http://www.uniprot.org/uniprot/NCBP1_ARATH","NCBP1_ARATH")</f>
        <v>NCBP1_ARATH</v>
      </c>
      <c r="D15910" t="s">
        <v>10109</v>
      </c>
      <c r="E15910" s="3" t="s">
        <v>3</v>
      </c>
      <c r="F15910" s="4">
        <v>0</v>
      </c>
      <c r="G15910" s="3">
        <v>3008</v>
      </c>
      <c r="H15910" s="3">
        <v>70</v>
      </c>
      <c r="I15910" s="3">
        <v>863</v>
      </c>
      <c r="J15910" s="3">
        <v>218</v>
      </c>
      <c r="K15910" s="3">
        <v>2803</v>
      </c>
      <c r="L15910" s="3">
        <v>1</v>
      </c>
      <c r="M15910" s="3">
        <v>847</v>
      </c>
    </row>
    <row r="15911" spans="1:13" x14ac:dyDescent="0.25">
      <c r="A15911" s="1" t="str">
        <f>HYPERLINK("http://www.rosaceae.org/Prunus/Prunus_persica/p.persica_gdr_reftransV1_0032600","p.persica_gdr_reftransV1_0032600")</f>
        <v>p.persica_gdr_reftransV1_0032600</v>
      </c>
      <c r="B15911" s="3">
        <v>739</v>
      </c>
      <c r="C15911" s="1" t="str">
        <f>HYPERLINK("http://www.uniprot.org/uniprot/ERO1_ARATH","ERO1_ARATH")</f>
        <v>ERO1_ARATH</v>
      </c>
      <c r="D15911" t="s">
        <v>4782</v>
      </c>
      <c r="E15911" s="3" t="s">
        <v>3</v>
      </c>
      <c r="F15911" s="4">
        <v>4.6600000000000005E-72</v>
      </c>
      <c r="G15911" s="3">
        <v>596</v>
      </c>
      <c r="H15911" s="3">
        <v>69</v>
      </c>
      <c r="I15911" s="3">
        <v>174</v>
      </c>
      <c r="J15911" s="3">
        <v>220</v>
      </c>
      <c r="K15911" s="3">
        <v>738</v>
      </c>
      <c r="L15911" s="3">
        <v>41</v>
      </c>
      <c r="M15911" s="3">
        <v>214</v>
      </c>
    </row>
    <row r="15912" spans="1:13" x14ac:dyDescent="0.25">
      <c r="A15912" s="1" t="str">
        <f>HYPERLINK("http://www.rosaceae.org/Prunus/Prunus_persica/p.persica_gdr_reftransV1_0032850","p.persica_gdr_reftransV1_0032850")</f>
        <v>p.persica_gdr_reftransV1_0032850</v>
      </c>
      <c r="B15912" s="3">
        <v>841</v>
      </c>
      <c r="C15912" s="1" t="str">
        <f>HYPERLINK("http://www.uniprot.org/uniprot/YLS9_ARATH","YLS9_ARATH")</f>
        <v>YLS9_ARATH</v>
      </c>
      <c r="D15912" t="s">
        <v>607</v>
      </c>
      <c r="E15912" s="3" t="s">
        <v>3</v>
      </c>
      <c r="F15912" s="4">
        <v>1.3400000000000001E-7</v>
      </c>
      <c r="G15912" s="3">
        <v>130</v>
      </c>
      <c r="H15912" s="3">
        <v>32</v>
      </c>
      <c r="I15912" s="3">
        <v>97</v>
      </c>
      <c r="J15912" s="3">
        <v>555</v>
      </c>
      <c r="K15912" s="3">
        <v>839</v>
      </c>
      <c r="L15912" s="3">
        <v>39</v>
      </c>
      <c r="M15912" s="3">
        <v>131</v>
      </c>
    </row>
    <row r="15913" spans="1:13" x14ac:dyDescent="0.25">
      <c r="A15913" s="1" t="str">
        <f>HYPERLINK("http://www.rosaceae.org/Prunus/Prunus_persica/p.persica_gdr_reftransV1_0032950","p.persica_gdr_reftransV1_0032950")</f>
        <v>p.persica_gdr_reftransV1_0032950</v>
      </c>
      <c r="B15913" s="3">
        <v>2657</v>
      </c>
      <c r="C15913" s="1" t="str">
        <f>HYPERLINK("http://www.uniprot.org/uniprot/KPK2_ARATH","KPK2_ARATH")</f>
        <v>KPK2_ARATH</v>
      </c>
      <c r="D15913" t="s">
        <v>10110</v>
      </c>
      <c r="E15913" s="3" t="s">
        <v>3</v>
      </c>
      <c r="F15913" s="4">
        <v>3.87E-129</v>
      </c>
      <c r="G15913" s="3">
        <v>962</v>
      </c>
      <c r="H15913" s="3">
        <v>66</v>
      </c>
      <c r="I15913" s="3">
        <v>295</v>
      </c>
      <c r="J15913" s="3">
        <v>356</v>
      </c>
      <c r="K15913" s="3">
        <v>1237</v>
      </c>
      <c r="L15913" s="3">
        <v>1</v>
      </c>
      <c r="M15913" s="3">
        <v>275</v>
      </c>
    </row>
    <row r="15914" spans="1:13" x14ac:dyDescent="0.25">
      <c r="A15914" s="1" t="str">
        <f>HYPERLINK("http://www.rosaceae.org/Prunus/Prunus_persica/p.persica_gdr_reftransV1_0033100","p.persica_gdr_reftransV1_0033100")</f>
        <v>p.persica_gdr_reftransV1_0033100</v>
      </c>
      <c r="B15914" s="3">
        <v>1519</v>
      </c>
      <c r="C15914" s="1" t="str">
        <f>HYPERLINK("http://www.uniprot.org/uniprot/VATE_CITLI","VATE_CITLI")</f>
        <v>VATE_CITLI</v>
      </c>
      <c r="D15914" t="s">
        <v>9516</v>
      </c>
      <c r="E15914" s="3" t="s">
        <v>1784</v>
      </c>
      <c r="F15914" s="4">
        <v>3.8899999999999999E-82</v>
      </c>
      <c r="G15914" s="3">
        <v>667</v>
      </c>
      <c r="H15914" s="3">
        <v>78</v>
      </c>
      <c r="I15914" s="3">
        <v>161</v>
      </c>
      <c r="J15914" s="3">
        <v>330</v>
      </c>
      <c r="K15914" s="3">
        <v>812</v>
      </c>
      <c r="L15914" s="3">
        <v>69</v>
      </c>
      <c r="M15914" s="3">
        <v>229</v>
      </c>
    </row>
    <row r="15915" spans="1:13" x14ac:dyDescent="0.25">
      <c r="A15915" s="1" t="str">
        <f>HYPERLINK("http://www.rosaceae.org/Prunus/Prunus_persica/p.persica_gdr_reftransV1_0033250","p.persica_gdr_reftransV1_0033250")</f>
        <v>p.persica_gdr_reftransV1_0033250</v>
      </c>
      <c r="B15915" s="3">
        <v>3877</v>
      </c>
      <c r="C15915" s="1" t="str">
        <f>HYPERLINK("http://www.uniprot.org/uniprot/AB3C_ARATH","AB3C_ARATH")</f>
        <v>AB3C_ARATH</v>
      </c>
      <c r="D15915" t="s">
        <v>6222</v>
      </c>
      <c r="E15915" s="3" t="s">
        <v>3</v>
      </c>
      <c r="F15915" s="4">
        <v>0</v>
      </c>
      <c r="G15915" s="3">
        <v>2338</v>
      </c>
      <c r="H15915" s="3">
        <v>55</v>
      </c>
      <c r="I15915" s="3">
        <v>942</v>
      </c>
      <c r="J15915" s="3">
        <v>4</v>
      </c>
      <c r="K15915" s="3">
        <v>2766</v>
      </c>
      <c r="L15915" s="3">
        <v>578</v>
      </c>
      <c r="M15915" s="3">
        <v>1512</v>
      </c>
    </row>
    <row r="15916" spans="1:13" x14ac:dyDescent="0.25">
      <c r="A15916" s="1" t="str">
        <f>HYPERLINK("http://www.rosaceae.org/Prunus/Prunus_persica/p.persica_gdr_reftransV1_0033400","p.persica_gdr_reftransV1_0033400")</f>
        <v>p.persica_gdr_reftransV1_0033400</v>
      </c>
      <c r="B15916" s="3">
        <v>2790</v>
      </c>
      <c r="C15916" s="1" t="str">
        <f>HYPERLINK("http://www.uniprot.org/uniprot/ADO3_ARATH","ADO3_ARATH")</f>
        <v>ADO3_ARATH</v>
      </c>
      <c r="D15916" t="s">
        <v>10111</v>
      </c>
      <c r="E15916" s="3" t="s">
        <v>3</v>
      </c>
      <c r="F15916" s="4">
        <v>0</v>
      </c>
      <c r="G15916" s="3">
        <v>2258</v>
      </c>
      <c r="H15916" s="3">
        <v>85</v>
      </c>
      <c r="I15916" s="3">
        <v>535</v>
      </c>
      <c r="J15916" s="3">
        <v>933</v>
      </c>
      <c r="K15916" s="3">
        <v>2534</v>
      </c>
      <c r="L15916" s="3">
        <v>92</v>
      </c>
      <c r="M15916" s="3">
        <v>619</v>
      </c>
    </row>
    <row r="15917" spans="1:13" x14ac:dyDescent="0.25">
      <c r="A15917" s="1" t="str">
        <f>HYPERLINK("http://www.rosaceae.org/Prunus/Prunus_persica/p.persica_gdr_reftransV1_0033500","p.persica_gdr_reftransV1_0033500")</f>
        <v>p.persica_gdr_reftransV1_0033500</v>
      </c>
      <c r="B15917" s="3">
        <v>1635</v>
      </c>
      <c r="C15917" s="1" t="str">
        <f>HYPERLINK("http://www.uniprot.org/uniprot/NRPD4_ARATH","NRPD4_ARATH")</f>
        <v>NRPD4_ARATH</v>
      </c>
      <c r="D15917" t="s">
        <v>7649</v>
      </c>
      <c r="E15917" s="3" t="s">
        <v>3</v>
      </c>
      <c r="F15917" s="4">
        <v>4.3999999999999997E-30</v>
      </c>
      <c r="G15917" s="3">
        <v>303</v>
      </c>
      <c r="H15917" s="3">
        <v>40</v>
      </c>
      <c r="I15917" s="3">
        <v>171</v>
      </c>
      <c r="J15917" s="3">
        <v>451</v>
      </c>
      <c r="K15917" s="3">
        <v>963</v>
      </c>
      <c r="L15917" s="3">
        <v>83</v>
      </c>
      <c r="M15917" s="3">
        <v>204</v>
      </c>
    </row>
    <row r="15918" spans="1:13" x14ac:dyDescent="0.25">
      <c r="A15918" s="1" t="str">
        <f>HYPERLINK("http://www.rosaceae.org/Prunus/Prunus_persica/p.persica_gdr_reftransV1_0033550","p.persica_gdr_reftransV1_0033550")</f>
        <v>p.persica_gdr_reftransV1_0033550</v>
      </c>
      <c r="B15918" s="3">
        <v>1093</v>
      </c>
      <c r="C15918" s="1" t="str">
        <f>HYPERLINK("http://www.uniprot.org/uniprot/PP270_ARATH","PP270_ARATH")</f>
        <v>PP270_ARATH</v>
      </c>
      <c r="D15918" t="s">
        <v>1281</v>
      </c>
      <c r="E15918" s="3" t="s">
        <v>3</v>
      </c>
      <c r="F15918" s="4">
        <v>8.7600000000000003E-105</v>
      </c>
      <c r="G15918" s="3">
        <v>842</v>
      </c>
      <c r="H15918" s="3">
        <v>50</v>
      </c>
      <c r="I15918" s="3">
        <v>317</v>
      </c>
      <c r="J15918" s="3">
        <v>141</v>
      </c>
      <c r="K15918" s="3">
        <v>1085</v>
      </c>
      <c r="L15918" s="3">
        <v>347</v>
      </c>
      <c r="M15918" s="3">
        <v>652</v>
      </c>
    </row>
    <row r="15919" spans="1:13" x14ac:dyDescent="0.25">
      <c r="A15919" s="1" t="str">
        <f>HYPERLINK("http://www.rosaceae.org/Prunus/Prunus_persica/p.persica_gdr_reftransV1_0033650","p.persica_gdr_reftransV1_0033650")</f>
        <v>p.persica_gdr_reftransV1_0033650</v>
      </c>
      <c r="B15919" s="3">
        <v>3169</v>
      </c>
      <c r="C15919" s="1" t="str">
        <f>HYPERLINK("http://www.uniprot.org/uniprot/Y4869_ORYSJ","Y4869_ORYSJ")</f>
        <v>Y4869_ORYSJ</v>
      </c>
      <c r="D15919" t="s">
        <v>5093</v>
      </c>
      <c r="E15919" s="3" t="s">
        <v>38</v>
      </c>
      <c r="F15919" s="4">
        <v>5.1400000000000001E-25</v>
      </c>
      <c r="G15919" s="3">
        <v>273</v>
      </c>
      <c r="H15919" s="3">
        <v>40</v>
      </c>
      <c r="I15919" s="3">
        <v>127</v>
      </c>
      <c r="J15919" s="3">
        <v>314</v>
      </c>
      <c r="K15919" s="3">
        <v>682</v>
      </c>
      <c r="L15919" s="3">
        <v>86</v>
      </c>
      <c r="M15919" s="3">
        <v>212</v>
      </c>
    </row>
    <row r="15920" spans="1:13" x14ac:dyDescent="0.25">
      <c r="A15920" s="1" t="str">
        <f>HYPERLINK("http://www.rosaceae.org/Prunus/Prunus_persica/p.persica_gdr_reftransV1_0033900","p.persica_gdr_reftransV1_0033900")</f>
        <v>p.persica_gdr_reftransV1_0033900</v>
      </c>
      <c r="B15920" s="3">
        <v>4142</v>
      </c>
      <c r="C15920" s="1" t="str">
        <f>HYPERLINK("http://www.uniprot.org/uniprot/PPR31_ARATH","PPR31_ARATH")</f>
        <v>PPR31_ARATH</v>
      </c>
      <c r="D15920" t="s">
        <v>10112</v>
      </c>
      <c r="E15920" s="3" t="s">
        <v>3</v>
      </c>
      <c r="F15920" s="4">
        <v>1.9500000000000001E-177</v>
      </c>
      <c r="G15920" s="3">
        <v>1416</v>
      </c>
      <c r="H15920" s="3">
        <v>65</v>
      </c>
      <c r="I15920" s="3">
        <v>437</v>
      </c>
      <c r="J15920" s="3">
        <v>2570</v>
      </c>
      <c r="K15920" s="3">
        <v>3874</v>
      </c>
      <c r="L15920" s="3">
        <v>51</v>
      </c>
      <c r="M15920" s="3">
        <v>486</v>
      </c>
    </row>
    <row r="15921" spans="1:13" x14ac:dyDescent="0.25">
      <c r="A15921" s="1" t="str">
        <f>HYPERLINK("http://www.rosaceae.org/Prunus/Prunus_persica/p.persica_gdr_reftransV1_0033950","p.persica_gdr_reftransV1_0033950")</f>
        <v>p.persica_gdr_reftransV1_0033950</v>
      </c>
      <c r="B15921" s="3">
        <v>595</v>
      </c>
      <c r="C15921" s="1" t="str">
        <f>HYPERLINK("http://www.uniprot.org/uniprot/TMVRN_NICGU","TMVRN_NICGU")</f>
        <v>TMVRN_NICGU</v>
      </c>
      <c r="D15921" t="s">
        <v>151</v>
      </c>
      <c r="E15921" s="3" t="s">
        <v>152</v>
      </c>
      <c r="F15921" s="4">
        <v>2.9000000000000002E-29</v>
      </c>
      <c r="G15921" s="3">
        <v>250</v>
      </c>
      <c r="H15921" s="3">
        <v>44</v>
      </c>
      <c r="I15921" s="3">
        <v>142</v>
      </c>
      <c r="J15921" s="3">
        <v>6</v>
      </c>
      <c r="K15921" s="3">
        <v>431</v>
      </c>
      <c r="L15921" s="3">
        <v>313</v>
      </c>
      <c r="M15921" s="3">
        <v>450</v>
      </c>
    </row>
    <row r="15922" spans="1:13" x14ac:dyDescent="0.25">
      <c r="A15922" s="1" t="str">
        <f>HYPERLINK("http://www.rosaceae.org/Prunus/Prunus_persica/p.persica_gdr_reftransV1_0034000","p.persica_gdr_reftransV1_0034000")</f>
        <v>p.persica_gdr_reftransV1_0034000</v>
      </c>
      <c r="B15922" s="3">
        <v>1238</v>
      </c>
      <c r="C15922" s="1" t="str">
        <f>HYPERLINK("http://www.uniprot.org/uniprot/RT10_PEA","RT10_PEA")</f>
        <v>RT10_PEA</v>
      </c>
      <c r="D15922" t="s">
        <v>6862</v>
      </c>
      <c r="E15922" s="3" t="s">
        <v>60</v>
      </c>
      <c r="F15922" s="4">
        <v>3.7800000000000001E-48</v>
      </c>
      <c r="G15922" s="3">
        <v>419</v>
      </c>
      <c r="H15922" s="3">
        <v>76</v>
      </c>
      <c r="I15922" s="3">
        <v>110</v>
      </c>
      <c r="J15922" s="3">
        <v>353</v>
      </c>
      <c r="K15922" s="3">
        <v>673</v>
      </c>
      <c r="L15922" s="3">
        <v>1</v>
      </c>
      <c r="M15922" s="3">
        <v>110</v>
      </c>
    </row>
    <row r="15923" spans="1:13" x14ac:dyDescent="0.25">
      <c r="A15923" s="1" t="str">
        <f>HYPERLINK("http://www.rosaceae.org/Prunus/Prunus_persica/p.persica_gdr_reftransV1_0034050","p.persica_gdr_reftransV1_0034050")</f>
        <v>p.persica_gdr_reftransV1_0034050</v>
      </c>
      <c r="B15923" s="3">
        <v>1144</v>
      </c>
      <c r="C15923" s="1" t="str">
        <f>HYPERLINK("http://www.uniprot.org/uniprot/5NT3_DANRE","5NT3_DANRE")</f>
        <v>5NT3_DANRE</v>
      </c>
      <c r="D15923" t="s">
        <v>10113</v>
      </c>
      <c r="E15923" s="3" t="s">
        <v>704</v>
      </c>
      <c r="F15923" s="4">
        <v>4.5200000000000001E-46</v>
      </c>
      <c r="G15923" s="3">
        <v>417</v>
      </c>
      <c r="H15923" s="3">
        <v>39</v>
      </c>
      <c r="I15923" s="3">
        <v>260</v>
      </c>
      <c r="J15923" s="3">
        <v>377</v>
      </c>
      <c r="K15923" s="3">
        <v>1144</v>
      </c>
      <c r="L15923" s="3">
        <v>32</v>
      </c>
      <c r="M15923" s="3">
        <v>275</v>
      </c>
    </row>
    <row r="15924" spans="1:13" x14ac:dyDescent="0.25">
      <c r="A15924" s="1" t="str">
        <f>HYPERLINK("http://www.rosaceae.org/Prunus/Prunus_persica/p.persica_gdr_reftransV1_0034150","p.persica_gdr_reftransV1_0034150")</f>
        <v>p.persica_gdr_reftransV1_0034150</v>
      </c>
      <c r="B15924" s="3">
        <v>3082</v>
      </c>
      <c r="C15924" s="1" t="str">
        <f>HYPERLINK("http://www.uniprot.org/uniprot/PFKA3_ARATH","PFKA3_ARATH")</f>
        <v>PFKA3_ARATH</v>
      </c>
      <c r="D15924" t="s">
        <v>1362</v>
      </c>
      <c r="E15924" s="3" t="s">
        <v>3</v>
      </c>
      <c r="F15924" s="4">
        <v>0</v>
      </c>
      <c r="G15924" s="3">
        <v>1575</v>
      </c>
      <c r="H15924" s="3">
        <v>80</v>
      </c>
      <c r="I15924" s="3">
        <v>374</v>
      </c>
      <c r="J15924" s="3">
        <v>193</v>
      </c>
      <c r="K15924" s="3">
        <v>1311</v>
      </c>
      <c r="L15924" s="3">
        <v>1</v>
      </c>
      <c r="M15924" s="3">
        <v>356</v>
      </c>
    </row>
    <row r="15925" spans="1:13" x14ac:dyDescent="0.25">
      <c r="A15925" s="1" t="str">
        <f>HYPERLINK("http://www.rosaceae.org/Prunus/Prunus_persica/p.persica_gdr_reftransV1_0034300","p.persica_gdr_reftransV1_0034300")</f>
        <v>p.persica_gdr_reftransV1_0034300</v>
      </c>
      <c r="B15925" s="3">
        <v>3323</v>
      </c>
      <c r="C15925" s="1" t="str">
        <f>HYPERLINK("http://www.uniprot.org/uniprot/HEMH_CUCSA","HEMH_CUCSA")</f>
        <v>HEMH_CUCSA</v>
      </c>
      <c r="D15925" t="s">
        <v>10114</v>
      </c>
      <c r="E15925" s="3" t="s">
        <v>1149</v>
      </c>
      <c r="F15925" s="4">
        <v>5.2099999999999998E-131</v>
      </c>
      <c r="G15925" s="3">
        <v>1067</v>
      </c>
      <c r="H15925" s="3">
        <v>75</v>
      </c>
      <c r="I15925" s="3">
        <v>283</v>
      </c>
      <c r="J15925" s="3">
        <v>1230</v>
      </c>
      <c r="K15925" s="3">
        <v>2078</v>
      </c>
      <c r="L15925" s="3">
        <v>222</v>
      </c>
      <c r="M15925" s="3">
        <v>501</v>
      </c>
    </row>
    <row r="15926" spans="1:13" x14ac:dyDescent="0.25">
      <c r="A15926" s="1" t="str">
        <f>HYPERLINK("http://www.rosaceae.org/Prunus/Prunus_persica/p.persica_gdr_reftransV1_0035150","p.persica_gdr_reftransV1_0035150")</f>
        <v>p.persica_gdr_reftransV1_0035150</v>
      </c>
      <c r="B15926" s="3">
        <v>1413</v>
      </c>
      <c r="C15926" s="1" t="str">
        <f>HYPERLINK("http://www.uniprot.org/uniprot/IN21B_ORYSJ","IN21B_ORYSJ")</f>
        <v>IN21B_ORYSJ</v>
      </c>
      <c r="D15926" t="s">
        <v>10115</v>
      </c>
      <c r="E15926" s="3" t="s">
        <v>38</v>
      </c>
      <c r="F15926" s="4">
        <v>2.7799999999999998E-83</v>
      </c>
      <c r="G15926" s="3">
        <v>556</v>
      </c>
      <c r="H15926" s="3">
        <v>71</v>
      </c>
      <c r="I15926" s="3">
        <v>135</v>
      </c>
      <c r="J15926" s="3">
        <v>594</v>
      </c>
      <c r="K15926" s="3">
        <v>998</v>
      </c>
      <c r="L15926" s="3">
        <v>13</v>
      </c>
      <c r="M15926" s="3">
        <v>147</v>
      </c>
    </row>
    <row r="15927" spans="1:13" x14ac:dyDescent="0.25">
      <c r="A15927" s="1" t="str">
        <f>HYPERLINK("http://www.rosaceae.org/Prunus/Prunus_persica/p.persica_gdr_reftransV1_0035300","p.persica_gdr_reftransV1_0035300")</f>
        <v>p.persica_gdr_reftransV1_0035300</v>
      </c>
      <c r="B15927" s="3">
        <v>5937</v>
      </c>
      <c r="C15927" s="1" t="str">
        <f>HYPERLINK("http://www.uniprot.org/uniprot/BAZ2B_CHICK","BAZ2B_CHICK")</f>
        <v>BAZ2B_CHICK</v>
      </c>
      <c r="D15927" t="s">
        <v>2441</v>
      </c>
      <c r="E15927" s="3" t="s">
        <v>1278</v>
      </c>
      <c r="F15927" s="4">
        <v>5.4199999999999996E-7</v>
      </c>
      <c r="G15927" s="3">
        <v>141</v>
      </c>
      <c r="H15927" s="3">
        <v>25</v>
      </c>
      <c r="I15927" s="3">
        <v>258</v>
      </c>
      <c r="J15927" s="3">
        <v>4005</v>
      </c>
      <c r="K15927" s="3">
        <v>4691</v>
      </c>
      <c r="L15927" s="3">
        <v>1700</v>
      </c>
      <c r="M15927" s="3">
        <v>1942</v>
      </c>
    </row>
    <row r="15928" spans="1:13" x14ac:dyDescent="0.25">
      <c r="A15928" s="1" t="str">
        <f>HYPERLINK("http://www.rosaceae.org/Prunus/Prunus_persica/p.persica_gdr_reftransV1_0035500","p.persica_gdr_reftransV1_0035500")</f>
        <v>p.persica_gdr_reftransV1_0035500</v>
      </c>
      <c r="B15928" s="3">
        <v>2146</v>
      </c>
      <c r="C15928" s="1" t="str">
        <f>HYPERLINK("http://www.uniprot.org/uniprot/SDAF2_ARATH","SDAF2_ARATH")</f>
        <v>SDAF2_ARATH</v>
      </c>
      <c r="D15928" t="s">
        <v>10116</v>
      </c>
      <c r="E15928" s="3" t="s">
        <v>3</v>
      </c>
      <c r="F15928" s="4">
        <v>2.4E-27</v>
      </c>
      <c r="G15928" s="3">
        <v>286</v>
      </c>
      <c r="H15928" s="3">
        <v>60</v>
      </c>
      <c r="I15928" s="3">
        <v>91</v>
      </c>
      <c r="J15928" s="3">
        <v>362</v>
      </c>
      <c r="K15928" s="3">
        <v>634</v>
      </c>
      <c r="L15928" s="3">
        <v>105</v>
      </c>
      <c r="M15928" s="3">
        <v>188</v>
      </c>
    </row>
    <row r="15929" spans="1:13" x14ac:dyDescent="0.25">
      <c r="A15929" s="1" t="str">
        <f>HYPERLINK("http://www.rosaceae.org/Prunus/Prunus_persica/p.persica_gdr_reftransV1_0035800","p.persica_gdr_reftransV1_0035800")</f>
        <v>p.persica_gdr_reftransV1_0035800</v>
      </c>
      <c r="B15929" s="3">
        <v>1694</v>
      </c>
      <c r="C15929" s="1" t="str">
        <f>HYPERLINK("http://www.uniprot.org/uniprot/LAG13_ARATH","LAG13_ARATH")</f>
        <v>LAG13_ARATH</v>
      </c>
      <c r="D15929" t="s">
        <v>5952</v>
      </c>
      <c r="E15929" s="3" t="s">
        <v>3</v>
      </c>
      <c r="F15929" s="4">
        <v>1.5999999999999999E-33</v>
      </c>
      <c r="G15929" s="3">
        <v>335</v>
      </c>
      <c r="H15929" s="3">
        <v>60</v>
      </c>
      <c r="I15929" s="3">
        <v>114</v>
      </c>
      <c r="J15929" s="3">
        <v>725</v>
      </c>
      <c r="K15929" s="3">
        <v>1066</v>
      </c>
      <c r="L15929" s="3">
        <v>103</v>
      </c>
      <c r="M15929" s="3">
        <v>214</v>
      </c>
    </row>
    <row r="15930" spans="1:13" x14ac:dyDescent="0.25">
      <c r="A15930" s="1" t="str">
        <f>HYPERLINK("http://www.rosaceae.org/Prunus/Prunus_persica/p.persica_gdr_reftransV1_0035850","p.persica_gdr_reftransV1_0035850")</f>
        <v>p.persica_gdr_reftransV1_0035850</v>
      </c>
      <c r="B15930" s="3">
        <v>2100</v>
      </c>
      <c r="C15930" s="1" t="str">
        <f>HYPERLINK("http://www.uniprot.org/uniprot/CNG13_ARATH","CNG13_ARATH")</f>
        <v>CNG13_ARATH</v>
      </c>
      <c r="D15930" t="s">
        <v>5896</v>
      </c>
      <c r="E15930" s="3" t="s">
        <v>3</v>
      </c>
      <c r="F15930" s="4">
        <v>1.8E-157</v>
      </c>
      <c r="G15930" s="3">
        <v>682</v>
      </c>
      <c r="H15930" s="3">
        <v>51</v>
      </c>
      <c r="I15930" s="3">
        <v>270</v>
      </c>
      <c r="J15930" s="3">
        <v>924</v>
      </c>
      <c r="K15930" s="3">
        <v>1718</v>
      </c>
      <c r="L15930" s="3">
        <v>1</v>
      </c>
      <c r="M15930" s="3">
        <v>256</v>
      </c>
    </row>
    <row r="15931" spans="1:13" x14ac:dyDescent="0.25">
      <c r="A15931" s="1" t="str">
        <f>HYPERLINK("http://www.rosaceae.org/Prunus/Prunus_persica/p.persica_gdr_reftransV1_0035950","p.persica_gdr_reftransV1_0035950")</f>
        <v>p.persica_gdr_reftransV1_0035950</v>
      </c>
      <c r="B15931" s="3">
        <v>3137</v>
      </c>
      <c r="C15931" s="1" t="str">
        <f>HYPERLINK("http://www.uniprot.org/uniprot/ORP2A_ARATH","ORP2A_ARATH")</f>
        <v>ORP2A_ARATH</v>
      </c>
      <c r="D15931" t="s">
        <v>10117</v>
      </c>
      <c r="E15931" s="3" t="s">
        <v>3</v>
      </c>
      <c r="F15931" s="4">
        <v>0</v>
      </c>
      <c r="G15931" s="3">
        <v>2752</v>
      </c>
      <c r="H15931" s="3">
        <v>67</v>
      </c>
      <c r="I15931" s="3">
        <v>808</v>
      </c>
      <c r="J15931" s="3">
        <v>208</v>
      </c>
      <c r="K15931" s="3">
        <v>2607</v>
      </c>
      <c r="L15931" s="3">
        <v>1</v>
      </c>
      <c r="M15931" s="3">
        <v>720</v>
      </c>
    </row>
    <row r="15932" spans="1:13" x14ac:dyDescent="0.25">
      <c r="A15932" s="1" t="str">
        <f>HYPERLINK("http://www.rosaceae.org/Prunus/Prunus_persica/p.persica_gdr_reftransV1_0036050","p.persica_gdr_reftransV1_0036050")</f>
        <v>p.persica_gdr_reftransV1_0036050</v>
      </c>
      <c r="B15932" s="3">
        <v>891</v>
      </c>
      <c r="C15932" s="1" t="str">
        <f>HYPERLINK("http://www.uniprot.org/uniprot/ATL52_ARATH","ATL52_ARATH")</f>
        <v>ATL52_ARATH</v>
      </c>
      <c r="D15932" t="s">
        <v>7310</v>
      </c>
      <c r="E15932" s="3" t="s">
        <v>3</v>
      </c>
      <c r="F15932" s="4">
        <v>2.6100000000000001E-30</v>
      </c>
      <c r="G15932" s="3">
        <v>305</v>
      </c>
      <c r="H15932" s="3">
        <v>38</v>
      </c>
      <c r="I15932" s="3">
        <v>240</v>
      </c>
      <c r="J15932" s="3">
        <v>2</v>
      </c>
      <c r="K15932" s="3">
        <v>610</v>
      </c>
      <c r="L15932" s="3">
        <v>136</v>
      </c>
      <c r="M15932" s="3">
        <v>362</v>
      </c>
    </row>
    <row r="15933" spans="1:13" x14ac:dyDescent="0.25">
      <c r="A15933" s="1" t="str">
        <f>HYPERLINK("http://www.rosaceae.org/Prunus/Prunus_persica/p.persica_gdr_reftransV1_0036150","p.persica_gdr_reftransV1_0036150")</f>
        <v>p.persica_gdr_reftransV1_0036150</v>
      </c>
      <c r="B15933" s="3">
        <v>1242</v>
      </c>
      <c r="C15933" s="1" t="str">
        <f>HYPERLINK("http://www.uniprot.org/uniprot/PBP1_ARATH","PBP1_ARATH")</f>
        <v>PBP1_ARATH</v>
      </c>
      <c r="D15933" t="s">
        <v>1929</v>
      </c>
      <c r="E15933" s="3" t="s">
        <v>3</v>
      </c>
      <c r="F15933" s="4">
        <v>1.11E-32</v>
      </c>
      <c r="G15933" s="3">
        <v>312</v>
      </c>
      <c r="H15933" s="3">
        <v>58</v>
      </c>
      <c r="I15933" s="3">
        <v>101</v>
      </c>
      <c r="J15933" s="3">
        <v>690</v>
      </c>
      <c r="K15933" s="3">
        <v>989</v>
      </c>
      <c r="L15933" s="3">
        <v>18</v>
      </c>
      <c r="M15933" s="3">
        <v>118</v>
      </c>
    </row>
    <row r="15934" spans="1:13" x14ac:dyDescent="0.25">
      <c r="A15934" s="1" t="str">
        <f>HYPERLINK("http://www.rosaceae.org/Prunus/Prunus_persica/p.persica_gdr_reftransV1_0037250","p.persica_gdr_reftransV1_0037250")</f>
        <v>p.persica_gdr_reftransV1_0037250</v>
      </c>
      <c r="B15934" s="3">
        <v>3480</v>
      </c>
      <c r="C15934" s="1" t="str">
        <f>HYPERLINK("http://www.uniprot.org/uniprot/MCM2_ORYSI","MCM2_ORYSI")</f>
        <v>MCM2_ORYSI</v>
      </c>
      <c r="D15934" t="s">
        <v>10118</v>
      </c>
      <c r="E15934" s="3" t="s">
        <v>38</v>
      </c>
      <c r="F15934" s="4">
        <v>0</v>
      </c>
      <c r="G15934" s="3">
        <v>3608</v>
      </c>
      <c r="H15934" s="3">
        <v>72</v>
      </c>
      <c r="I15934" s="3">
        <v>1044</v>
      </c>
      <c r="J15934" s="3">
        <v>70</v>
      </c>
      <c r="K15934" s="3">
        <v>3120</v>
      </c>
      <c r="L15934" s="3">
        <v>1</v>
      </c>
      <c r="M15934" s="3">
        <v>959</v>
      </c>
    </row>
    <row r="15935" spans="1:13" x14ac:dyDescent="0.25">
      <c r="A15935" s="1" t="str">
        <f>HYPERLINK("http://www.rosaceae.org/Prunus/Prunus_persica/p.persica_gdr_reftransV1_0037300","p.persica_gdr_reftransV1_0037300")</f>
        <v>p.persica_gdr_reftransV1_0037300</v>
      </c>
      <c r="B15935" s="3">
        <v>1333</v>
      </c>
      <c r="C15935" s="1" t="str">
        <f>HYPERLINK("http://www.uniprot.org/uniprot/ODO1_PETHY","ODO1_PETHY")</f>
        <v>ODO1_PETHY</v>
      </c>
      <c r="D15935" t="s">
        <v>9531</v>
      </c>
      <c r="E15935" s="3" t="s">
        <v>509</v>
      </c>
      <c r="F15935" s="4">
        <v>3.4399999999999999E-78</v>
      </c>
      <c r="G15935" s="3">
        <v>641</v>
      </c>
      <c r="H15935" s="3">
        <v>86</v>
      </c>
      <c r="I15935" s="3">
        <v>134</v>
      </c>
      <c r="J15935" s="3">
        <v>198</v>
      </c>
      <c r="K15935" s="3">
        <v>599</v>
      </c>
      <c r="L15935" s="3">
        <v>1</v>
      </c>
      <c r="M15935" s="3">
        <v>134</v>
      </c>
    </row>
    <row r="15936" spans="1:13" x14ac:dyDescent="0.25">
      <c r="A15936" s="1" t="str">
        <f>HYPERLINK("http://www.rosaceae.org/Prunus/Prunus_persica/p.persica_gdr_reftransV1_0037550","p.persica_gdr_reftransV1_0037550")</f>
        <v>p.persica_gdr_reftransV1_0037550</v>
      </c>
      <c r="B15936" s="3">
        <v>1259</v>
      </c>
      <c r="C15936" s="1" t="str">
        <f>HYPERLINK("http://www.uniprot.org/uniprot/FK171_ARATH","FK171_ARATH")</f>
        <v>FK171_ARATH</v>
      </c>
      <c r="D15936" t="s">
        <v>10119</v>
      </c>
      <c r="E15936" s="3" t="s">
        <v>3</v>
      </c>
      <c r="F15936" s="4">
        <v>1.2299999999999999E-84</v>
      </c>
      <c r="G15936" s="3">
        <v>676</v>
      </c>
      <c r="H15936" s="3">
        <v>76</v>
      </c>
      <c r="I15936" s="3">
        <v>170</v>
      </c>
      <c r="J15936" s="3">
        <v>503</v>
      </c>
      <c r="K15936" s="3">
        <v>1012</v>
      </c>
      <c r="L15936" s="3">
        <v>76</v>
      </c>
      <c r="M15936" s="3">
        <v>226</v>
      </c>
    </row>
    <row r="15937" spans="1:13" x14ac:dyDescent="0.25">
      <c r="A15937" s="1" t="str">
        <f>HYPERLINK("http://www.rosaceae.org/Prunus/Prunus_persica/p.persica_gdr_reftransV1_0037600","p.persica_gdr_reftransV1_0037600")</f>
        <v>p.persica_gdr_reftransV1_0037600</v>
      </c>
      <c r="B15937" s="3">
        <v>2078</v>
      </c>
      <c r="C15937" s="1" t="str">
        <f>HYPERLINK("http://www.uniprot.org/uniprot/ALG3_ARATH","ALG3_ARATH")</f>
        <v>ALG3_ARATH</v>
      </c>
      <c r="D15937" t="s">
        <v>10120</v>
      </c>
      <c r="E15937" s="3" t="s">
        <v>3</v>
      </c>
      <c r="F15937" s="4">
        <v>1.0099999999999999E-136</v>
      </c>
      <c r="G15937" s="3">
        <v>654</v>
      </c>
      <c r="H15937" s="3">
        <v>82</v>
      </c>
      <c r="I15937" s="3">
        <v>164</v>
      </c>
      <c r="J15937" s="3">
        <v>369</v>
      </c>
      <c r="K15937" s="3">
        <v>860</v>
      </c>
      <c r="L15937" s="3">
        <v>67</v>
      </c>
      <c r="M15937" s="3">
        <v>230</v>
      </c>
    </row>
    <row r="15938" spans="1:13" x14ac:dyDescent="0.25">
      <c r="A15938" s="1" t="str">
        <f>HYPERLINK("http://www.rosaceae.org/Prunus/Prunus_persica/p.persica_gdr_reftransV1_0037800","p.persica_gdr_reftransV1_0037800")</f>
        <v>p.persica_gdr_reftransV1_0037800</v>
      </c>
      <c r="B15938" s="3">
        <v>2722</v>
      </c>
      <c r="C15938" s="1" t="str">
        <f>HYPERLINK("http://www.uniprot.org/uniprot/TOM3_ARATH","TOM3_ARATH")</f>
        <v>TOM3_ARATH</v>
      </c>
      <c r="D15938" t="s">
        <v>10121</v>
      </c>
      <c r="E15938" s="3" t="s">
        <v>3</v>
      </c>
      <c r="F15938" s="4">
        <v>6.1199999999999996E-84</v>
      </c>
      <c r="G15938" s="3">
        <v>710</v>
      </c>
      <c r="H15938" s="3">
        <v>72</v>
      </c>
      <c r="I15938" s="3">
        <v>209</v>
      </c>
      <c r="J15938" s="3">
        <v>412</v>
      </c>
      <c r="K15938" s="3">
        <v>1038</v>
      </c>
      <c r="L15938" s="3">
        <v>28</v>
      </c>
      <c r="M15938" s="3">
        <v>208</v>
      </c>
    </row>
    <row r="15939" spans="1:13" x14ac:dyDescent="0.25">
      <c r="A15939" s="1" t="str">
        <f>HYPERLINK("http://www.rosaceae.org/Prunus/Prunus_persica/p.persica_gdr_reftransV1_0038000","p.persica_gdr_reftransV1_0038000")</f>
        <v>p.persica_gdr_reftransV1_0038000</v>
      </c>
      <c r="B15939" s="3">
        <v>1206</v>
      </c>
      <c r="C15939" s="1" t="str">
        <f>HYPERLINK("http://www.uniprot.org/uniprot/MD20A_ARATH","MD20A_ARATH")</f>
        <v>MD20A_ARATH</v>
      </c>
      <c r="D15939" t="s">
        <v>10122</v>
      </c>
      <c r="E15939" s="3" t="s">
        <v>3</v>
      </c>
      <c r="F15939" s="4">
        <v>8.7300000000000004E-123</v>
      </c>
      <c r="G15939" s="3">
        <v>927</v>
      </c>
      <c r="H15939" s="3">
        <v>75</v>
      </c>
      <c r="I15939" s="3">
        <v>219</v>
      </c>
      <c r="J15939" s="3">
        <v>345</v>
      </c>
      <c r="K15939" s="3">
        <v>1001</v>
      </c>
      <c r="L15939" s="3">
        <v>1</v>
      </c>
      <c r="M15939" s="3">
        <v>219</v>
      </c>
    </row>
    <row r="15940" spans="1:13" x14ac:dyDescent="0.25">
      <c r="A15940" s="1" t="str">
        <f>HYPERLINK("http://www.rosaceae.org/Prunus/Prunus_persica/p.persica_gdr_reftransV1_0038150","p.persica_gdr_reftransV1_0038150")</f>
        <v>p.persica_gdr_reftransV1_0038150</v>
      </c>
      <c r="B15940" s="3">
        <v>1339</v>
      </c>
      <c r="C15940" s="1" t="str">
        <f>HYPERLINK("http://www.uniprot.org/uniprot/Y3972_ARATH","Y3972_ARATH")</f>
        <v>Y3972_ARATH</v>
      </c>
      <c r="D15940" t="s">
        <v>9053</v>
      </c>
      <c r="E15940" s="3" t="s">
        <v>3</v>
      </c>
      <c r="F15940" s="4">
        <v>2.83E-89</v>
      </c>
      <c r="G15940" s="3">
        <v>713</v>
      </c>
      <c r="H15940" s="3">
        <v>60</v>
      </c>
      <c r="I15940" s="3">
        <v>267</v>
      </c>
      <c r="J15940" s="3">
        <v>209</v>
      </c>
      <c r="K15940" s="3">
        <v>1009</v>
      </c>
      <c r="L15940" s="3">
        <v>1</v>
      </c>
      <c r="M15940" s="3">
        <v>261</v>
      </c>
    </row>
    <row r="15941" spans="1:13" x14ac:dyDescent="0.25">
      <c r="A15941" s="1" t="str">
        <f>HYPERLINK("http://www.rosaceae.org/Prunus/Prunus_persica/p.persica_gdr_reftransV1_0038400","p.persica_gdr_reftransV1_0038400")</f>
        <v>p.persica_gdr_reftransV1_0038400</v>
      </c>
      <c r="B15941" s="3">
        <v>1269</v>
      </c>
      <c r="C15941" s="1" t="str">
        <f>HYPERLINK("http://www.uniprot.org/uniprot/PITH1_DICDI","PITH1_DICDI")</f>
        <v>PITH1_DICDI</v>
      </c>
      <c r="D15941" t="s">
        <v>7850</v>
      </c>
      <c r="E15941" s="3" t="s">
        <v>9</v>
      </c>
      <c r="F15941" s="4">
        <v>4.3500000000000002E-23</v>
      </c>
      <c r="G15941" s="3">
        <v>248</v>
      </c>
      <c r="H15941" s="3">
        <v>44</v>
      </c>
      <c r="I15941" s="3">
        <v>105</v>
      </c>
      <c r="J15941" s="3">
        <v>633</v>
      </c>
      <c r="K15941" s="3">
        <v>947</v>
      </c>
      <c r="L15941" s="3">
        <v>93</v>
      </c>
      <c r="M15941" s="3">
        <v>196</v>
      </c>
    </row>
    <row r="15942" spans="1:13" x14ac:dyDescent="0.25">
      <c r="A15942" s="1" t="str">
        <f>HYPERLINK("http://www.rosaceae.org/Prunus/Prunus_persica/p.persica_gdr_reftransV1_0038500","p.persica_gdr_reftransV1_0038500")</f>
        <v>p.persica_gdr_reftransV1_0038500</v>
      </c>
      <c r="B15942" s="3">
        <v>870</v>
      </c>
      <c r="C15942" s="1" t="str">
        <f>HYPERLINK("http://www.uniprot.org/uniprot/EF1G_PRUAV","EF1G_PRUAV")</f>
        <v>EF1G_PRUAV</v>
      </c>
      <c r="D15942" t="s">
        <v>4380</v>
      </c>
      <c r="E15942" s="3" t="s">
        <v>1404</v>
      </c>
      <c r="F15942" s="4">
        <v>2.2599999999999999E-69</v>
      </c>
      <c r="G15942" s="3">
        <v>578</v>
      </c>
      <c r="H15942" s="3">
        <v>90</v>
      </c>
      <c r="I15942" s="3">
        <v>115</v>
      </c>
      <c r="J15942" s="3">
        <v>525</v>
      </c>
      <c r="K15942" s="3">
        <v>869</v>
      </c>
      <c r="L15942" s="3">
        <v>304</v>
      </c>
      <c r="M15942" s="3">
        <v>418</v>
      </c>
    </row>
    <row r="15943" spans="1:13" x14ac:dyDescent="0.25">
      <c r="A15943" s="1" t="str">
        <f>HYPERLINK("http://www.rosaceae.org/Prunus/Prunus_persica/p.persica_gdr_reftransV1_0039000","p.persica_gdr_reftransV1_0039000")</f>
        <v>p.persica_gdr_reftransV1_0039000</v>
      </c>
      <c r="B15943" s="3">
        <v>3251</v>
      </c>
      <c r="C15943" s="1" t="str">
        <f>HYPERLINK("http://www.uniprot.org/uniprot/PTR19_ARATH","PTR19_ARATH")</f>
        <v>PTR19_ARATH</v>
      </c>
      <c r="D15943" t="s">
        <v>9374</v>
      </c>
      <c r="E15943" s="3" t="s">
        <v>3</v>
      </c>
      <c r="F15943" s="4">
        <v>0</v>
      </c>
      <c r="G15943" s="3">
        <v>1696</v>
      </c>
      <c r="H15943" s="3">
        <v>71</v>
      </c>
      <c r="I15943" s="3">
        <v>482</v>
      </c>
      <c r="J15943" s="3">
        <v>451</v>
      </c>
      <c r="K15943" s="3">
        <v>1887</v>
      </c>
      <c r="L15943" s="3">
        <v>105</v>
      </c>
      <c r="M15943" s="3">
        <v>579</v>
      </c>
    </row>
    <row r="15944" spans="1:13" x14ac:dyDescent="0.25">
      <c r="A15944" s="1" t="str">
        <f>HYPERLINK("http://www.rosaceae.org/Prunus/Prunus_persica/p.persica_gdr_reftransV1_0039600","p.persica_gdr_reftransV1_0039600")</f>
        <v>p.persica_gdr_reftransV1_0039600</v>
      </c>
      <c r="B15944" s="3">
        <v>1513</v>
      </c>
      <c r="C15944" s="1" t="str">
        <f>HYPERLINK("http://www.uniprot.org/uniprot/NTH1_ARATH","NTH1_ARATH")</f>
        <v>NTH1_ARATH</v>
      </c>
      <c r="D15944" t="s">
        <v>10123</v>
      </c>
      <c r="E15944" s="3" t="s">
        <v>3</v>
      </c>
      <c r="F15944" s="4">
        <v>4.9699999999999997E-106</v>
      </c>
      <c r="G15944" s="3">
        <v>703</v>
      </c>
      <c r="H15944" s="3">
        <v>76</v>
      </c>
      <c r="I15944" s="3">
        <v>165</v>
      </c>
      <c r="J15944" s="3">
        <v>644</v>
      </c>
      <c r="K15944" s="3">
        <v>1138</v>
      </c>
      <c r="L15944" s="3">
        <v>193</v>
      </c>
      <c r="M15944" s="3">
        <v>357</v>
      </c>
    </row>
    <row r="15945" spans="1:13" x14ac:dyDescent="0.25">
      <c r="A15945" s="1" t="str">
        <f>HYPERLINK("http://www.rosaceae.org/Prunus/Prunus_persica/p.persica_gdr_reftransV1_0040100","p.persica_gdr_reftransV1_0040100")</f>
        <v>p.persica_gdr_reftransV1_0040100</v>
      </c>
      <c r="B15945" s="3">
        <v>1350</v>
      </c>
      <c r="C15945" s="1" t="str">
        <f>HYPERLINK("http://www.uniprot.org/uniprot/E13B_WHEAT","E13B_WHEAT")</f>
        <v>E13B_WHEAT</v>
      </c>
      <c r="D15945" t="s">
        <v>1559</v>
      </c>
      <c r="E15945" s="3" t="s">
        <v>710</v>
      </c>
      <c r="F15945" s="4">
        <v>1.8E-111</v>
      </c>
      <c r="G15945" s="3">
        <v>880</v>
      </c>
      <c r="H15945" s="3">
        <v>56</v>
      </c>
      <c r="I15945" s="3">
        <v>290</v>
      </c>
      <c r="J15945" s="3">
        <v>2</v>
      </c>
      <c r="K15945" s="3">
        <v>859</v>
      </c>
      <c r="L15945" s="3">
        <v>26</v>
      </c>
      <c r="M15945" s="3">
        <v>315</v>
      </c>
    </row>
    <row r="15946" spans="1:13" x14ac:dyDescent="0.25">
      <c r="A15946" s="1" t="str">
        <f>HYPERLINK("http://www.rosaceae.org/Prunus/Prunus_persica/p.persica_gdr_reftransV1_0040400","p.persica_gdr_reftransV1_0040400")</f>
        <v>p.persica_gdr_reftransV1_0040400</v>
      </c>
      <c r="B15946" s="3">
        <v>1929</v>
      </c>
      <c r="C15946" s="1" t="str">
        <f>HYPERLINK("http://www.uniprot.org/uniprot/ADCK1_MOUSE","ADCK1_MOUSE")</f>
        <v>ADCK1_MOUSE</v>
      </c>
      <c r="D15946" t="s">
        <v>10124</v>
      </c>
      <c r="E15946" s="3" t="s">
        <v>157</v>
      </c>
      <c r="F15946" s="4">
        <v>2.55E-78</v>
      </c>
      <c r="G15946" s="3">
        <v>625</v>
      </c>
      <c r="H15946" s="3">
        <v>39</v>
      </c>
      <c r="I15946" s="3">
        <v>321</v>
      </c>
      <c r="J15946" s="3">
        <v>550</v>
      </c>
      <c r="K15946" s="3">
        <v>1503</v>
      </c>
      <c r="L15946" s="3">
        <v>127</v>
      </c>
      <c r="M15946" s="3">
        <v>446</v>
      </c>
    </row>
    <row r="15947" spans="1:13" x14ac:dyDescent="0.25">
      <c r="A15947" s="1" t="str">
        <f>HYPERLINK("http://www.rosaceae.org/Prunus/Prunus_persica/p.persica_gdr_reftransV1_0040600","p.persica_gdr_reftransV1_0040600")</f>
        <v>p.persica_gdr_reftransV1_0040600</v>
      </c>
      <c r="B15947" s="3">
        <v>2325</v>
      </c>
      <c r="C15947" s="1" t="str">
        <f>HYPERLINK("http://www.uniprot.org/uniprot/CHMP5_DICDI","CHMP5_DICDI")</f>
        <v>CHMP5_DICDI</v>
      </c>
      <c r="D15947" t="s">
        <v>10125</v>
      </c>
      <c r="E15947" s="3" t="s">
        <v>9</v>
      </c>
      <c r="F15947" s="4">
        <v>3.2799999999999999E-24</v>
      </c>
      <c r="G15947" s="3">
        <v>265</v>
      </c>
      <c r="H15947" s="3">
        <v>45</v>
      </c>
      <c r="I15947" s="3">
        <v>114</v>
      </c>
      <c r="J15947" s="3">
        <v>633</v>
      </c>
      <c r="K15947" s="3">
        <v>974</v>
      </c>
      <c r="L15947" s="3">
        <v>74</v>
      </c>
      <c r="M15947" s="3">
        <v>184</v>
      </c>
    </row>
    <row r="15948" spans="1:13" x14ac:dyDescent="0.25">
      <c r="A15948" s="1" t="str">
        <f>HYPERLINK("http://www.rosaceae.org/Prunus/Prunus_persica/p.persica_gdr_reftransV1_0040650","p.persica_gdr_reftransV1_0040650")</f>
        <v>p.persica_gdr_reftransV1_0040650</v>
      </c>
      <c r="B15948" s="3">
        <v>2128</v>
      </c>
      <c r="C15948" s="1" t="str">
        <f>HYPERLINK("http://www.uniprot.org/uniprot/ILR1_ARATH","ILR1_ARATH")</f>
        <v>ILR1_ARATH</v>
      </c>
      <c r="D15948" t="s">
        <v>397</v>
      </c>
      <c r="E15948" s="3" t="s">
        <v>3</v>
      </c>
      <c r="F15948" s="4">
        <v>2.7299999999999998E-100</v>
      </c>
      <c r="G15948" s="3">
        <v>824</v>
      </c>
      <c r="H15948" s="3">
        <v>64</v>
      </c>
      <c r="I15948" s="3">
        <v>229</v>
      </c>
      <c r="J15948" s="3">
        <v>442</v>
      </c>
      <c r="K15948" s="3">
        <v>1128</v>
      </c>
      <c r="L15948" s="3">
        <v>43</v>
      </c>
      <c r="M15948" s="3">
        <v>271</v>
      </c>
    </row>
    <row r="15949" spans="1:13" x14ac:dyDescent="0.25">
      <c r="A15949" s="1" t="str">
        <f>HYPERLINK("http://www.rosaceae.org/Prunus/Prunus_persica/p.persica_gdr_reftransV1_0040750","p.persica_gdr_reftransV1_0040750")</f>
        <v>p.persica_gdr_reftransV1_0040750</v>
      </c>
      <c r="B15949" s="3">
        <v>2737</v>
      </c>
      <c r="C15949" s="1" t="str">
        <f>HYPERLINK("http://www.uniprot.org/uniprot/Y1480_ARATH","Y1480_ARATH")</f>
        <v>Y1480_ARATH</v>
      </c>
      <c r="D15949" t="s">
        <v>3866</v>
      </c>
      <c r="E15949" s="3" t="s">
        <v>3</v>
      </c>
      <c r="F15949" s="4">
        <v>2.01E-169</v>
      </c>
      <c r="G15949" s="3">
        <v>1301</v>
      </c>
      <c r="H15949" s="3">
        <v>62</v>
      </c>
      <c r="I15949" s="3">
        <v>403</v>
      </c>
      <c r="J15949" s="3">
        <v>148</v>
      </c>
      <c r="K15949" s="3">
        <v>1347</v>
      </c>
      <c r="L15949" s="3">
        <v>11</v>
      </c>
      <c r="M15949" s="3">
        <v>391</v>
      </c>
    </row>
    <row r="15950" spans="1:13" x14ac:dyDescent="0.25">
      <c r="A15950" s="1" t="str">
        <f>HYPERLINK("http://www.rosaceae.org/Prunus/Prunus_persica/p.persica_gdr_reftransV1_0041350","p.persica_gdr_reftransV1_0041350")</f>
        <v>p.persica_gdr_reftransV1_0041350</v>
      </c>
      <c r="B15950" s="3">
        <v>1279</v>
      </c>
      <c r="C15950" s="1" t="str">
        <f>HYPERLINK("http://www.uniprot.org/uniprot/PER47_ARATH","PER47_ARATH")</f>
        <v>PER47_ARATH</v>
      </c>
      <c r="D15950" t="s">
        <v>10126</v>
      </c>
      <c r="E15950" s="3" t="s">
        <v>3</v>
      </c>
      <c r="F15950" s="4">
        <v>7.0399999999999997E-154</v>
      </c>
      <c r="G15950" s="3">
        <v>1146</v>
      </c>
      <c r="H15950" s="3">
        <v>75</v>
      </c>
      <c r="I15950" s="3">
        <v>310</v>
      </c>
      <c r="J15950" s="3">
        <v>278</v>
      </c>
      <c r="K15950" s="3">
        <v>1207</v>
      </c>
      <c r="L15950" s="3">
        <v>17</v>
      </c>
      <c r="M15950" s="3">
        <v>325</v>
      </c>
    </row>
    <row r="15951" spans="1:13" x14ac:dyDescent="0.25">
      <c r="A15951" s="1" t="str">
        <f>HYPERLINK("http://www.rosaceae.org/Prunus/Prunus_persica/p.persica_gdr_reftransV1_0041450","p.persica_gdr_reftransV1_0041450")</f>
        <v>p.persica_gdr_reftransV1_0041450</v>
      </c>
      <c r="B15951" s="3">
        <v>3822</v>
      </c>
      <c r="C15951" s="1" t="str">
        <f>HYPERLINK("http://www.uniprot.org/uniprot/Y4919_ARATH","Y4919_ARATH")</f>
        <v>Y4919_ARATH</v>
      </c>
      <c r="D15951" t="s">
        <v>2744</v>
      </c>
      <c r="E15951" s="3" t="s">
        <v>3</v>
      </c>
      <c r="F15951" s="4">
        <v>6.3599999999999998E-114</v>
      </c>
      <c r="G15951" s="3">
        <v>964</v>
      </c>
      <c r="H15951" s="3">
        <v>69</v>
      </c>
      <c r="I15951" s="3">
        <v>275</v>
      </c>
      <c r="J15951" s="3">
        <v>2923</v>
      </c>
      <c r="K15951" s="3">
        <v>3723</v>
      </c>
      <c r="L15951" s="3">
        <v>10</v>
      </c>
      <c r="M15951" s="3">
        <v>278</v>
      </c>
    </row>
    <row r="15952" spans="1:13" x14ac:dyDescent="0.25">
      <c r="A15952" s="1" t="str">
        <f>HYPERLINK("http://www.rosaceae.org/Prunus/Prunus_persica/p.persica_gdr_reftransV1_0041500","p.persica_gdr_reftransV1_0041500")</f>
        <v>p.persica_gdr_reftransV1_0041500</v>
      </c>
      <c r="B15952" s="3">
        <v>3625</v>
      </c>
      <c r="C15952" s="1" t="str">
        <f>HYPERLINK("http://www.uniprot.org/uniprot/VILI2_ARATH","VILI2_ARATH")</f>
        <v>VILI2_ARATH</v>
      </c>
      <c r="D15952" t="s">
        <v>8177</v>
      </c>
      <c r="E15952" s="3" t="s">
        <v>3</v>
      </c>
      <c r="F15952" s="4">
        <v>0</v>
      </c>
      <c r="G15952" s="3">
        <v>3365</v>
      </c>
      <c r="H15952" s="3">
        <v>76</v>
      </c>
      <c r="I15952" s="3">
        <v>862</v>
      </c>
      <c r="J15952" s="3">
        <v>722</v>
      </c>
      <c r="K15952" s="3">
        <v>3301</v>
      </c>
      <c r="L15952" s="3">
        <v>2</v>
      </c>
      <c r="M15952" s="3">
        <v>861</v>
      </c>
    </row>
    <row r="15953" spans="1:13" x14ac:dyDescent="0.25">
      <c r="A15953" s="1" t="str">
        <f>HYPERLINK("http://www.rosaceae.org/Prunus/Prunus_persica/p.persica_gdr_reftransV1_0041550","p.persica_gdr_reftransV1_0041550")</f>
        <v>p.persica_gdr_reftransV1_0041550</v>
      </c>
      <c r="B15953" s="3">
        <v>1254</v>
      </c>
      <c r="C15953" s="1" t="str">
        <f>HYPERLINK("http://www.uniprot.org/uniprot/RCCR_ARATH","RCCR_ARATH")</f>
        <v>RCCR_ARATH</v>
      </c>
      <c r="D15953" t="s">
        <v>10127</v>
      </c>
      <c r="E15953" s="3" t="s">
        <v>3</v>
      </c>
      <c r="F15953" s="4">
        <v>3.7199999999999999E-100</v>
      </c>
      <c r="G15953" s="3">
        <v>788</v>
      </c>
      <c r="H15953" s="3">
        <v>55</v>
      </c>
      <c r="I15953" s="3">
        <v>287</v>
      </c>
      <c r="J15953" s="3">
        <v>138</v>
      </c>
      <c r="K15953" s="3">
        <v>989</v>
      </c>
      <c r="L15953" s="3">
        <v>35</v>
      </c>
      <c r="M15953" s="3">
        <v>318</v>
      </c>
    </row>
    <row r="15954" spans="1:13" x14ac:dyDescent="0.25">
      <c r="A15954" s="1" t="str">
        <f>HYPERLINK("http://www.rosaceae.org/Prunus/Prunus_persica/p.persica_gdr_reftransV1_0041650","p.persica_gdr_reftransV1_0041650")</f>
        <v>p.persica_gdr_reftransV1_0041650</v>
      </c>
      <c r="B15954" s="3">
        <v>1157</v>
      </c>
      <c r="C15954" s="1" t="str">
        <f>HYPERLINK("http://www.uniprot.org/uniprot/UBTD1_DANRE","UBTD1_DANRE")</f>
        <v>UBTD1_DANRE</v>
      </c>
      <c r="D15954" t="s">
        <v>10128</v>
      </c>
      <c r="E15954" s="3" t="s">
        <v>704</v>
      </c>
      <c r="F15954" s="4">
        <v>8.6000000000000005E-19</v>
      </c>
      <c r="G15954" s="3">
        <v>217</v>
      </c>
      <c r="H15954" s="3">
        <v>50</v>
      </c>
      <c r="I15954" s="3">
        <v>117</v>
      </c>
      <c r="J15954" s="3">
        <v>316</v>
      </c>
      <c r="K15954" s="3">
        <v>651</v>
      </c>
      <c r="L15954" s="3">
        <v>14</v>
      </c>
      <c r="M15954" s="3">
        <v>130</v>
      </c>
    </row>
    <row r="15955" spans="1:13" x14ac:dyDescent="0.25">
      <c r="A15955" s="1" t="str">
        <f>HYPERLINK("http://www.rosaceae.org/Prunus/Prunus_persica/p.persica_gdr_reftransV1_0042250","p.persica_gdr_reftransV1_0042250")</f>
        <v>p.persica_gdr_reftransV1_0042250</v>
      </c>
      <c r="B15955" s="3">
        <v>1151</v>
      </c>
      <c r="C15955" s="1" t="str">
        <f>HYPERLINK("http://www.uniprot.org/uniprot/Y2179_DICDI","Y2179_DICDI")</f>
        <v>Y2179_DICDI</v>
      </c>
      <c r="D15955" t="s">
        <v>3702</v>
      </c>
      <c r="E15955" s="3" t="s">
        <v>9</v>
      </c>
      <c r="F15955" s="4">
        <v>3.9699999999999999E-16</v>
      </c>
      <c r="G15955" s="3">
        <v>193</v>
      </c>
      <c r="H15955" s="3">
        <v>33</v>
      </c>
      <c r="I15955" s="3">
        <v>129</v>
      </c>
      <c r="J15955" s="3">
        <v>604</v>
      </c>
      <c r="K15955" s="3">
        <v>978</v>
      </c>
      <c r="L15955" s="3">
        <v>12</v>
      </c>
      <c r="M15955" s="3">
        <v>140</v>
      </c>
    </row>
    <row r="15956" spans="1:13" x14ac:dyDescent="0.25">
      <c r="A15956" s="1" t="str">
        <f>HYPERLINK("http://www.rosaceae.org/Prunus/Prunus_persica/p.persica_gdr_reftransV1_0042350","p.persica_gdr_reftransV1_0042350")</f>
        <v>p.persica_gdr_reftransV1_0042350</v>
      </c>
      <c r="B15956" s="3">
        <v>2499</v>
      </c>
      <c r="C15956" s="1" t="str">
        <f>HYPERLINK("http://www.uniprot.org/uniprot/ESD4_ARATH","ESD4_ARATH")</f>
        <v>ESD4_ARATH</v>
      </c>
      <c r="D15956" t="s">
        <v>7849</v>
      </c>
      <c r="E15956" s="3" t="s">
        <v>3</v>
      </c>
      <c r="F15956" s="4">
        <v>1.0299999999999999E-165</v>
      </c>
      <c r="G15956" s="3">
        <v>1279</v>
      </c>
      <c r="H15956" s="3">
        <v>52</v>
      </c>
      <c r="I15956" s="3">
        <v>524</v>
      </c>
      <c r="J15956" s="3">
        <v>525</v>
      </c>
      <c r="K15956" s="3">
        <v>2069</v>
      </c>
      <c r="L15956" s="3">
        <v>1</v>
      </c>
      <c r="M15956" s="3">
        <v>489</v>
      </c>
    </row>
    <row r="15957" spans="1:13" x14ac:dyDescent="0.25">
      <c r="A15957" s="1" t="str">
        <f>HYPERLINK("http://www.rosaceae.org/Prunus/Prunus_persica/p.persica_gdr_reftransV1_0042450","p.persica_gdr_reftransV1_0042450")</f>
        <v>p.persica_gdr_reftransV1_0042450</v>
      </c>
      <c r="B15957" s="3">
        <v>2324</v>
      </c>
      <c r="C15957" s="1" t="str">
        <f>HYPERLINK("http://www.uniprot.org/uniprot/RCC2_HUMAN","RCC2_HUMAN")</f>
        <v>RCC2_HUMAN</v>
      </c>
      <c r="D15957" t="s">
        <v>10129</v>
      </c>
      <c r="E15957" s="3" t="s">
        <v>28</v>
      </c>
      <c r="F15957" s="4">
        <v>1.8500000000000002E-80</v>
      </c>
      <c r="G15957" s="3">
        <v>698</v>
      </c>
      <c r="H15957" s="3">
        <v>38</v>
      </c>
      <c r="I15957" s="3">
        <v>422</v>
      </c>
      <c r="J15957" s="3">
        <v>469</v>
      </c>
      <c r="K15957" s="3">
        <v>1653</v>
      </c>
      <c r="L15957" s="3">
        <v>106</v>
      </c>
      <c r="M15957" s="3">
        <v>518</v>
      </c>
    </row>
    <row r="15958" spans="1:13" x14ac:dyDescent="0.25">
      <c r="A15958" s="1" t="str">
        <f>HYPERLINK("http://www.rosaceae.org/Prunus/Prunus_persica/p.persica_gdr_reftransV1_0042650","p.persica_gdr_reftransV1_0042650")</f>
        <v>p.persica_gdr_reftransV1_0042650</v>
      </c>
      <c r="B15958" s="3">
        <v>3570</v>
      </c>
      <c r="C15958" s="1" t="str">
        <f>HYPERLINK("http://www.uniprot.org/uniprot/POLX_TOBAC","POLX_TOBAC")</f>
        <v>POLX_TOBAC</v>
      </c>
      <c r="D15958" t="s">
        <v>1253</v>
      </c>
      <c r="E15958" s="3" t="s">
        <v>200</v>
      </c>
      <c r="F15958" s="4">
        <v>1.1599999999999999E-52</v>
      </c>
      <c r="G15958" s="3">
        <v>524</v>
      </c>
      <c r="H15958" s="3">
        <v>33</v>
      </c>
      <c r="I15958" s="3">
        <v>427</v>
      </c>
      <c r="J15958" s="3">
        <v>999</v>
      </c>
      <c r="K15958" s="3">
        <v>2273</v>
      </c>
      <c r="L15958" s="3">
        <v>294</v>
      </c>
      <c r="M15958" s="3">
        <v>706</v>
      </c>
    </row>
    <row r="15959" spans="1:13" x14ac:dyDescent="0.25">
      <c r="A15959" s="1" t="str">
        <f>HYPERLINK("http://www.rosaceae.org/Prunus/Prunus_persica/p.persica_gdr_reftransV1_0043050","p.persica_gdr_reftransV1_0043050")</f>
        <v>p.persica_gdr_reftransV1_0043050</v>
      </c>
      <c r="B15959" s="3">
        <v>854</v>
      </c>
      <c r="C15959" s="1" t="str">
        <f>HYPERLINK("http://www.uniprot.org/uniprot/ALYS_ENTFA","ALYS_ENTFA")</f>
        <v>ALYS_ENTFA</v>
      </c>
      <c r="D15959" t="s">
        <v>5919</v>
      </c>
      <c r="E15959" s="3" t="s">
        <v>96</v>
      </c>
      <c r="F15959" s="4">
        <v>1.55E-8</v>
      </c>
      <c r="G15959" s="3">
        <v>141</v>
      </c>
      <c r="H15959" s="3">
        <v>50</v>
      </c>
      <c r="I15959" s="3">
        <v>54</v>
      </c>
      <c r="J15959" s="3">
        <v>425</v>
      </c>
      <c r="K15959" s="3">
        <v>586</v>
      </c>
      <c r="L15959" s="3">
        <v>683</v>
      </c>
      <c r="M15959" s="3">
        <v>736</v>
      </c>
    </row>
    <row r="15960" spans="1:13" x14ac:dyDescent="0.25">
      <c r="A15960" s="1" t="str">
        <f>HYPERLINK("http://www.rosaceae.org/Prunus/Prunus_persica/p.persica_gdr_reftransV1_0043100","p.persica_gdr_reftransV1_0043100")</f>
        <v>p.persica_gdr_reftransV1_0043100</v>
      </c>
      <c r="B15960" s="3">
        <v>1139</v>
      </c>
      <c r="C15960" s="1" t="str">
        <f>HYPERLINK("http://www.uniprot.org/uniprot/YCF23_PYRYE","YCF23_PYRYE")</f>
        <v>YCF23_PYRYE</v>
      </c>
      <c r="D15960" t="s">
        <v>10130</v>
      </c>
      <c r="E15960" s="3" t="s">
        <v>9888</v>
      </c>
      <c r="F15960" s="4">
        <v>2.0099999999999999E-43</v>
      </c>
      <c r="G15960" s="3">
        <v>398</v>
      </c>
      <c r="H15960" s="3">
        <v>38</v>
      </c>
      <c r="I15960" s="3">
        <v>231</v>
      </c>
      <c r="J15960" s="3">
        <v>213</v>
      </c>
      <c r="K15960" s="3">
        <v>902</v>
      </c>
      <c r="L15960" s="3">
        <v>6</v>
      </c>
      <c r="M15960" s="3">
        <v>235</v>
      </c>
    </row>
    <row r="15961" spans="1:13" x14ac:dyDescent="0.25">
      <c r="A15961" s="1" t="str">
        <f>HYPERLINK("http://www.rosaceae.org/Prunus/Prunus_persica/p.persica_gdr_reftransV1_0043150","p.persica_gdr_reftransV1_0043150")</f>
        <v>p.persica_gdr_reftransV1_0043150</v>
      </c>
      <c r="B15961" s="3">
        <v>3467</v>
      </c>
      <c r="C15961" s="1" t="str">
        <f>HYPERLINK("http://www.uniprot.org/uniprot/FB348_ARATH","FB348_ARATH")</f>
        <v>FB348_ARATH</v>
      </c>
      <c r="D15961" t="s">
        <v>6947</v>
      </c>
      <c r="E15961" s="3" t="s">
        <v>3</v>
      </c>
      <c r="F15961" s="4">
        <v>7.7300000000000002E-20</v>
      </c>
      <c r="G15961" s="3">
        <v>246</v>
      </c>
      <c r="H15961" s="3">
        <v>32</v>
      </c>
      <c r="I15961" s="3">
        <v>358</v>
      </c>
      <c r="J15961" s="3">
        <v>1299</v>
      </c>
      <c r="K15961" s="3">
        <v>2336</v>
      </c>
      <c r="L15961" s="3">
        <v>147</v>
      </c>
      <c r="M15961" s="3">
        <v>452</v>
      </c>
    </row>
    <row r="15962" spans="1:13" x14ac:dyDescent="0.25">
      <c r="A15962" s="1" t="str">
        <f>HYPERLINK("http://www.rosaceae.org/Prunus/Prunus_persica/p.persica_gdr_reftransV1_0043250","p.persica_gdr_reftransV1_0043250")</f>
        <v>p.persica_gdr_reftransV1_0043250</v>
      </c>
      <c r="B15962" s="3">
        <v>4385</v>
      </c>
      <c r="C15962" s="1" t="str">
        <f>HYPERLINK("http://www.uniprot.org/uniprot/CLH2_ORYSJ","CLH2_ORYSJ")</f>
        <v>CLH2_ORYSJ</v>
      </c>
      <c r="D15962" t="s">
        <v>10131</v>
      </c>
      <c r="E15962" s="3" t="s">
        <v>38</v>
      </c>
      <c r="F15962" s="4">
        <v>0</v>
      </c>
      <c r="G15962" s="3">
        <v>6232</v>
      </c>
      <c r="H15962" s="3">
        <v>94</v>
      </c>
      <c r="I15962" s="3">
        <v>1284</v>
      </c>
      <c r="J15962" s="3">
        <v>25</v>
      </c>
      <c r="K15962" s="3">
        <v>3876</v>
      </c>
      <c r="L15962" s="3">
        <v>374</v>
      </c>
      <c r="M15962" s="3">
        <v>1657</v>
      </c>
    </row>
    <row r="15963" spans="1:13" x14ac:dyDescent="0.25">
      <c r="A15963" s="1" t="str">
        <f>HYPERLINK("http://www.rosaceae.org/Prunus/Prunus_persica/p.persica_gdr_reftransV1_0043300","p.persica_gdr_reftransV1_0043300")</f>
        <v>p.persica_gdr_reftransV1_0043300</v>
      </c>
      <c r="B15963" s="3">
        <v>870</v>
      </c>
      <c r="C15963" s="1" t="str">
        <f>HYPERLINK("http://www.uniprot.org/uniprot/RK18_ARATH","RK18_ARATH")</f>
        <v>RK18_ARATH</v>
      </c>
      <c r="D15963" t="s">
        <v>10132</v>
      </c>
      <c r="E15963" s="3" t="s">
        <v>3</v>
      </c>
      <c r="F15963" s="4">
        <v>1.1E-73</v>
      </c>
      <c r="G15963" s="3">
        <v>586</v>
      </c>
      <c r="H15963" s="3">
        <v>86</v>
      </c>
      <c r="I15963" s="3">
        <v>127</v>
      </c>
      <c r="J15963" s="3">
        <v>234</v>
      </c>
      <c r="K15963" s="3">
        <v>614</v>
      </c>
      <c r="L15963" s="3">
        <v>44</v>
      </c>
      <c r="M15963" s="3">
        <v>170</v>
      </c>
    </row>
    <row r="15964" spans="1:13" x14ac:dyDescent="0.25">
      <c r="A15964" s="1" t="str">
        <f>HYPERLINK("http://www.rosaceae.org/Prunus/Prunus_persica/p.persica_gdr_reftransV1_0043350","p.persica_gdr_reftransV1_0043350")</f>
        <v>p.persica_gdr_reftransV1_0043350</v>
      </c>
      <c r="B15964" s="3">
        <v>393</v>
      </c>
      <c r="C15964" s="1" t="str">
        <f>HYPERLINK("http://www.uniprot.org/uniprot/PIN6_ARATH","PIN6_ARATH")</f>
        <v>PIN6_ARATH</v>
      </c>
      <c r="D15964" t="s">
        <v>9811</v>
      </c>
      <c r="E15964" s="3" t="s">
        <v>3</v>
      </c>
      <c r="F15964" s="4">
        <v>5.1299999999999999E-69</v>
      </c>
      <c r="G15964" s="3">
        <v>569</v>
      </c>
      <c r="H15964" s="3">
        <v>87</v>
      </c>
      <c r="I15964" s="3">
        <v>130</v>
      </c>
      <c r="J15964" s="3">
        <v>2</v>
      </c>
      <c r="K15964" s="3">
        <v>391</v>
      </c>
      <c r="L15964" s="3">
        <v>32</v>
      </c>
      <c r="M15964" s="3">
        <v>161</v>
      </c>
    </row>
    <row r="15965" spans="1:13" x14ac:dyDescent="0.25">
      <c r="A15965" s="1" t="str">
        <f>HYPERLINK("http://www.rosaceae.org/Prunus/Prunus_persica/p.persica_gdr_reftransV1_0043600","p.persica_gdr_reftransV1_0043600")</f>
        <v>p.persica_gdr_reftransV1_0043600</v>
      </c>
      <c r="B15965" s="3">
        <v>2590</v>
      </c>
      <c r="C15965" s="1" t="str">
        <f>HYPERLINK("http://www.uniprot.org/uniprot/AIM1_ARATH","AIM1_ARATH")</f>
        <v>AIM1_ARATH</v>
      </c>
      <c r="D15965" t="s">
        <v>5060</v>
      </c>
      <c r="E15965" s="3" t="s">
        <v>3</v>
      </c>
      <c r="F15965" s="4">
        <v>0</v>
      </c>
      <c r="G15965" s="3">
        <v>2698</v>
      </c>
      <c r="H15965" s="3">
        <v>77</v>
      </c>
      <c r="I15965" s="3">
        <v>708</v>
      </c>
      <c r="J15965" s="3">
        <v>268</v>
      </c>
      <c r="K15965" s="3">
        <v>2391</v>
      </c>
      <c r="L15965" s="3">
        <v>4</v>
      </c>
      <c r="M15965" s="3">
        <v>711</v>
      </c>
    </row>
    <row r="15966" spans="1:13" x14ac:dyDescent="0.25">
      <c r="A15966" s="1" t="str">
        <f>HYPERLINK("http://www.rosaceae.org/Prunus/Prunus_persica/p.persica_gdr_reftransV1_0043650","p.persica_gdr_reftransV1_0043650")</f>
        <v>p.persica_gdr_reftransV1_0043650</v>
      </c>
      <c r="B15966" s="3">
        <v>1238</v>
      </c>
      <c r="C15966" s="1" t="str">
        <f>HYPERLINK("http://www.uniprot.org/uniprot/HIBC6_ARATH","HIBC6_ARATH")</f>
        <v>HIBC6_ARATH</v>
      </c>
      <c r="D15966" t="s">
        <v>9156</v>
      </c>
      <c r="E15966" s="3" t="s">
        <v>3</v>
      </c>
      <c r="F15966" s="4">
        <v>2.7000000000000001E-156</v>
      </c>
      <c r="G15966" s="3">
        <v>1170</v>
      </c>
      <c r="H15966" s="3">
        <v>70</v>
      </c>
      <c r="I15966" s="3">
        <v>329</v>
      </c>
      <c r="J15966" s="3">
        <v>22</v>
      </c>
      <c r="K15966" s="3">
        <v>993</v>
      </c>
      <c r="L15966" s="3">
        <v>93</v>
      </c>
      <c r="M15966" s="3">
        <v>421</v>
      </c>
    </row>
    <row r="15967" spans="1:13" x14ac:dyDescent="0.25">
      <c r="A15967" s="1" t="str">
        <f>HYPERLINK("http://www.rosaceae.org/Prunus/Prunus_persica/p.persica_gdr_reftransV1_0043750","p.persica_gdr_reftransV1_0043750")</f>
        <v>p.persica_gdr_reftransV1_0043750</v>
      </c>
      <c r="B15967" s="3">
        <v>1737</v>
      </c>
      <c r="C15967" s="1" t="str">
        <f>HYPERLINK("http://www.uniprot.org/uniprot/COMT1_PRUDU","COMT1_PRUDU")</f>
        <v>COMT1_PRUDU</v>
      </c>
      <c r="D15967" t="s">
        <v>1504</v>
      </c>
      <c r="E15967" s="3" t="s">
        <v>418</v>
      </c>
      <c r="F15967" s="4">
        <v>2.1199999999999999E-139</v>
      </c>
      <c r="G15967" s="3">
        <v>1069</v>
      </c>
      <c r="H15967" s="3">
        <v>55</v>
      </c>
      <c r="I15967" s="3">
        <v>349</v>
      </c>
      <c r="J15967" s="3">
        <v>156</v>
      </c>
      <c r="K15967" s="3">
        <v>1202</v>
      </c>
      <c r="L15967" s="3">
        <v>22</v>
      </c>
      <c r="M15967" s="3">
        <v>363</v>
      </c>
    </row>
    <row r="15968" spans="1:13" x14ac:dyDescent="0.25">
      <c r="A15968" s="1" t="str">
        <f>HYPERLINK("http://www.rosaceae.org/Prunus/Prunus_persica/p.persica_gdr_reftransV1_0043800","p.persica_gdr_reftransV1_0043800")</f>
        <v>p.persica_gdr_reftransV1_0043800</v>
      </c>
      <c r="B15968" s="3">
        <v>1412</v>
      </c>
      <c r="C15968" s="1" t="str">
        <f>HYPERLINK("http://www.uniprot.org/uniprot/TPP7_ORYSJ","TPP7_ORYSJ")</f>
        <v>TPP7_ORYSJ</v>
      </c>
      <c r="D15968" t="s">
        <v>10133</v>
      </c>
      <c r="E15968" s="3" t="s">
        <v>38</v>
      </c>
      <c r="F15968" s="4">
        <v>3.21E-111</v>
      </c>
      <c r="G15968" s="3">
        <v>872</v>
      </c>
      <c r="H15968" s="3">
        <v>58</v>
      </c>
      <c r="I15968" s="3">
        <v>283</v>
      </c>
      <c r="J15968" s="3">
        <v>214</v>
      </c>
      <c r="K15968" s="3">
        <v>1059</v>
      </c>
      <c r="L15968" s="3">
        <v>85</v>
      </c>
      <c r="M15968" s="3">
        <v>358</v>
      </c>
    </row>
    <row r="15969" spans="1:13" x14ac:dyDescent="0.25">
      <c r="A15969" s="1" t="str">
        <f>HYPERLINK("http://www.rosaceae.org/Prunus/Prunus_persica/p.persica_gdr_reftransV1_0043900","p.persica_gdr_reftransV1_0043900")</f>
        <v>p.persica_gdr_reftransV1_0043900</v>
      </c>
      <c r="B15969" s="3">
        <v>3457</v>
      </c>
      <c r="C15969" s="1" t="str">
        <f>HYPERLINK("http://www.uniprot.org/uniprot/AB1D_ARATH","AB1D_ARATH")</f>
        <v>AB1D_ARATH</v>
      </c>
      <c r="D15969" t="s">
        <v>6468</v>
      </c>
      <c r="E15969" s="3" t="s">
        <v>3</v>
      </c>
      <c r="F15969" s="4">
        <v>0</v>
      </c>
      <c r="G15969" s="3">
        <v>4020</v>
      </c>
      <c r="H15969" s="3">
        <v>79</v>
      </c>
      <c r="I15969" s="3">
        <v>1000</v>
      </c>
      <c r="J15969" s="3">
        <v>1</v>
      </c>
      <c r="K15969" s="3">
        <v>2988</v>
      </c>
      <c r="L15969" s="3">
        <v>347</v>
      </c>
      <c r="M15969" s="3">
        <v>1334</v>
      </c>
    </row>
    <row r="15970" spans="1:13" x14ac:dyDescent="0.25">
      <c r="A15970" s="1" t="str">
        <f>HYPERLINK("http://www.rosaceae.org/Prunus/Prunus_persica/p.persica_gdr_reftransV1_0043950","p.persica_gdr_reftransV1_0043950")</f>
        <v>p.persica_gdr_reftransV1_0043950</v>
      </c>
      <c r="B15970" s="3">
        <v>2257</v>
      </c>
      <c r="C15970" s="1" t="str">
        <f>HYPERLINK("http://www.uniprot.org/uniprot/PP163_ARATH","PP163_ARATH")</f>
        <v>PP163_ARATH</v>
      </c>
      <c r="D15970" t="s">
        <v>6293</v>
      </c>
      <c r="E15970" s="3" t="s">
        <v>3</v>
      </c>
      <c r="F15970" s="4">
        <v>0</v>
      </c>
      <c r="G15970" s="3">
        <v>2343</v>
      </c>
      <c r="H15970" s="3">
        <v>75</v>
      </c>
      <c r="I15970" s="3">
        <v>562</v>
      </c>
      <c r="J15970" s="3">
        <v>572</v>
      </c>
      <c r="K15970" s="3">
        <v>2257</v>
      </c>
      <c r="L15970" s="3">
        <v>260</v>
      </c>
      <c r="M15970" s="3">
        <v>821</v>
      </c>
    </row>
    <row r="15971" spans="1:13" x14ac:dyDescent="0.25">
      <c r="A15971" s="1" t="str">
        <f>HYPERLINK("http://www.rosaceae.org/Prunus/Prunus_persica/p.persica_gdr_reftransV1_0044000","p.persica_gdr_reftransV1_0044000")</f>
        <v>p.persica_gdr_reftransV1_0044000</v>
      </c>
      <c r="B15971" s="3">
        <v>763</v>
      </c>
      <c r="C15971" s="1" t="str">
        <f>HYPERLINK("http://www.uniprot.org/uniprot/21KD_DAUCA","21KD_DAUCA")</f>
        <v>21KD_DAUCA</v>
      </c>
      <c r="D15971" t="s">
        <v>1280</v>
      </c>
      <c r="E15971" s="3" t="s">
        <v>32</v>
      </c>
      <c r="F15971" s="4">
        <v>7.7799999999999996E-51</v>
      </c>
      <c r="G15971" s="3">
        <v>425</v>
      </c>
      <c r="H15971" s="3">
        <v>62</v>
      </c>
      <c r="I15971" s="3">
        <v>123</v>
      </c>
      <c r="J15971" s="3">
        <v>244</v>
      </c>
      <c r="K15971" s="3">
        <v>612</v>
      </c>
      <c r="L15971" s="3">
        <v>67</v>
      </c>
      <c r="M15971" s="3">
        <v>189</v>
      </c>
    </row>
    <row r="15972" spans="1:13" x14ac:dyDescent="0.25">
      <c r="A15972" s="1" t="str">
        <f>HYPERLINK("http://www.rosaceae.org/Prunus/Prunus_persica/p.persica_gdr_reftransV1_0044150","p.persica_gdr_reftransV1_0044150")</f>
        <v>p.persica_gdr_reftransV1_0044150</v>
      </c>
      <c r="B15972" s="3">
        <v>1505</v>
      </c>
      <c r="C15972" s="1" t="str">
        <f>HYPERLINK("http://www.uniprot.org/uniprot/TMVRN_NICGU","TMVRN_NICGU")</f>
        <v>TMVRN_NICGU</v>
      </c>
      <c r="D15972" t="s">
        <v>151</v>
      </c>
      <c r="E15972" s="3" t="s">
        <v>152</v>
      </c>
      <c r="F15972" s="4">
        <v>4.2399999999999997E-24</v>
      </c>
      <c r="G15972" s="3">
        <v>274</v>
      </c>
      <c r="H15972" s="3">
        <v>31</v>
      </c>
      <c r="I15972" s="3">
        <v>390</v>
      </c>
      <c r="J15972" s="3">
        <v>416</v>
      </c>
      <c r="K15972" s="3">
        <v>1501</v>
      </c>
      <c r="L15972" s="3">
        <v>660</v>
      </c>
      <c r="M15972" s="3">
        <v>1013</v>
      </c>
    </row>
    <row r="15973" spans="1:13" x14ac:dyDescent="0.25">
      <c r="A15973" s="1" t="str">
        <f>HYPERLINK("http://www.rosaceae.org/Prunus/Prunus_persica/p.persica_gdr_reftransV1_0044250","p.persica_gdr_reftransV1_0044250")</f>
        <v>p.persica_gdr_reftransV1_0044250</v>
      </c>
      <c r="B15973" s="3">
        <v>3364</v>
      </c>
      <c r="C15973" s="1" t="str">
        <f>HYPERLINK("http://www.uniprot.org/uniprot/TSO1_ARATH","TSO1_ARATH")</f>
        <v>TSO1_ARATH</v>
      </c>
      <c r="D15973" t="s">
        <v>9031</v>
      </c>
      <c r="E15973" s="3" t="s">
        <v>3</v>
      </c>
      <c r="F15973" s="4">
        <v>2.5099999999999998E-49</v>
      </c>
      <c r="G15973" s="3">
        <v>486</v>
      </c>
      <c r="H15973" s="3">
        <v>46</v>
      </c>
      <c r="I15973" s="3">
        <v>241</v>
      </c>
      <c r="J15973" s="3">
        <v>1689</v>
      </c>
      <c r="K15973" s="3">
        <v>2387</v>
      </c>
      <c r="L15973" s="3">
        <v>402</v>
      </c>
      <c r="M15973" s="3">
        <v>629</v>
      </c>
    </row>
    <row r="15974" spans="1:13" x14ac:dyDescent="0.25">
      <c r="A15974" s="1" t="str">
        <f>HYPERLINK("http://www.rosaceae.org/Prunus/Prunus_persica/p.persica_gdr_reftransV1_0044350","p.persica_gdr_reftransV1_0044350")</f>
        <v>p.persica_gdr_reftransV1_0044350</v>
      </c>
      <c r="B15974" s="3">
        <v>1233</v>
      </c>
      <c r="C15974" s="1" t="str">
        <f>HYPERLINK("http://www.uniprot.org/uniprot/YLS9_ARATH","YLS9_ARATH")</f>
        <v>YLS9_ARATH</v>
      </c>
      <c r="D15974" t="s">
        <v>607</v>
      </c>
      <c r="E15974" s="3" t="s">
        <v>3</v>
      </c>
      <c r="F15974" s="4">
        <v>6.5700000000000003E-13</v>
      </c>
      <c r="G15974" s="3">
        <v>174</v>
      </c>
      <c r="H15974" s="3">
        <v>30</v>
      </c>
      <c r="I15974" s="3">
        <v>193</v>
      </c>
      <c r="J15974" s="3">
        <v>265</v>
      </c>
      <c r="K15974" s="3">
        <v>837</v>
      </c>
      <c r="L15974" s="3">
        <v>16</v>
      </c>
      <c r="M15974" s="3">
        <v>199</v>
      </c>
    </row>
    <row r="15975" spans="1:13" x14ac:dyDescent="0.25">
      <c r="A15975" s="1" t="str">
        <f>HYPERLINK("http://www.rosaceae.org/Prunus/Prunus_persica/p.persica_gdr_reftransV1_0044500","p.persica_gdr_reftransV1_0044500")</f>
        <v>p.persica_gdr_reftransV1_0044500</v>
      </c>
      <c r="B15975" s="3">
        <v>2215</v>
      </c>
      <c r="C15975" s="1" t="str">
        <f>HYPERLINK("http://www.uniprot.org/uniprot/RABEK_BOVIN","RABEK_BOVIN")</f>
        <v>RABEK_BOVIN</v>
      </c>
      <c r="D15975" t="s">
        <v>10134</v>
      </c>
      <c r="E15975" s="3" t="s">
        <v>184</v>
      </c>
      <c r="F15975" s="4">
        <v>3.1E-41</v>
      </c>
      <c r="G15975" s="3">
        <v>401</v>
      </c>
      <c r="H15975" s="3">
        <v>33</v>
      </c>
      <c r="I15975" s="3">
        <v>354</v>
      </c>
      <c r="J15975" s="3">
        <v>1123</v>
      </c>
      <c r="K15975" s="3">
        <v>2106</v>
      </c>
      <c r="L15975" s="3">
        <v>9</v>
      </c>
      <c r="M15975" s="3">
        <v>354</v>
      </c>
    </row>
    <row r="15976" spans="1:13" x14ac:dyDescent="0.25">
      <c r="A15976" s="1" t="str">
        <f>HYPERLINK("http://www.rosaceae.org/Prunus/Prunus_persica/p.persica_gdr_reftransV1_0044600","p.persica_gdr_reftransV1_0044600")</f>
        <v>p.persica_gdr_reftransV1_0044600</v>
      </c>
      <c r="B15976" s="3">
        <v>834</v>
      </c>
      <c r="C15976" s="1" t="str">
        <f>HYPERLINK("http://www.uniprot.org/uniprot/PPF1_PEA","PPF1_PEA")</f>
        <v>PPF1_PEA</v>
      </c>
      <c r="D15976" t="s">
        <v>2003</v>
      </c>
      <c r="E15976" s="3" t="s">
        <v>60</v>
      </c>
      <c r="F15976" s="4">
        <v>1.67E-65</v>
      </c>
      <c r="G15976" s="3">
        <v>552</v>
      </c>
      <c r="H15976" s="3">
        <v>74</v>
      </c>
      <c r="I15976" s="3">
        <v>183</v>
      </c>
      <c r="J15976" s="3">
        <v>3</v>
      </c>
      <c r="K15976" s="3">
        <v>551</v>
      </c>
      <c r="L15976" s="3">
        <v>242</v>
      </c>
      <c r="M15976" s="3">
        <v>424</v>
      </c>
    </row>
    <row r="15977" spans="1:13" x14ac:dyDescent="0.25">
      <c r="A15977" s="1" t="str">
        <f>HYPERLINK("http://www.rosaceae.org/Prunus/Prunus_persica/p.persica_gdr_reftransV1_0044650","p.persica_gdr_reftransV1_0044650")</f>
        <v>p.persica_gdr_reftransV1_0044650</v>
      </c>
      <c r="B15977" s="3">
        <v>1943</v>
      </c>
      <c r="C15977" s="1" t="str">
        <f>HYPERLINK("http://www.uniprot.org/uniprot/GMGT1_CYATE","GMGT1_CYATE")</f>
        <v>GMGT1_CYATE</v>
      </c>
      <c r="D15977" t="s">
        <v>3355</v>
      </c>
      <c r="E15977" s="3" t="s">
        <v>322</v>
      </c>
      <c r="F15977" s="4">
        <v>0</v>
      </c>
      <c r="G15977" s="3">
        <v>1422</v>
      </c>
      <c r="H15977" s="3">
        <v>69</v>
      </c>
      <c r="I15977" s="3">
        <v>374</v>
      </c>
      <c r="J15977" s="3">
        <v>390</v>
      </c>
      <c r="K15977" s="3">
        <v>1508</v>
      </c>
      <c r="L15977" s="3">
        <v>71</v>
      </c>
      <c r="M15977" s="3">
        <v>434</v>
      </c>
    </row>
    <row r="15978" spans="1:13" x14ac:dyDescent="0.25">
      <c r="A15978" s="1" t="str">
        <f>HYPERLINK("http://www.rosaceae.org/Prunus/Prunus_persica/p.persica_gdr_reftransV1_0044700","p.persica_gdr_reftransV1_0044700")</f>
        <v>p.persica_gdr_reftransV1_0044700</v>
      </c>
      <c r="B15978" s="3">
        <v>1470</v>
      </c>
      <c r="C15978" s="1" t="str">
        <f>HYPERLINK("http://www.uniprot.org/uniprot/HAT3_ARATH","HAT3_ARATH")</f>
        <v>HAT3_ARATH</v>
      </c>
      <c r="D15978" t="s">
        <v>10135</v>
      </c>
      <c r="E15978" s="3" t="s">
        <v>3</v>
      </c>
      <c r="F15978" s="4">
        <v>6.5699999999999996E-85</v>
      </c>
      <c r="G15978" s="3">
        <v>692</v>
      </c>
      <c r="H15978" s="3">
        <v>57</v>
      </c>
      <c r="I15978" s="3">
        <v>310</v>
      </c>
      <c r="J15978" s="3">
        <v>281</v>
      </c>
      <c r="K15978" s="3">
        <v>1108</v>
      </c>
      <c r="L15978" s="3">
        <v>19</v>
      </c>
      <c r="M15978" s="3">
        <v>314</v>
      </c>
    </row>
    <row r="15979" spans="1:13" x14ac:dyDescent="0.25">
      <c r="A15979" s="1" t="str">
        <f>HYPERLINK("http://www.rosaceae.org/Prunus/Prunus_persica/p.persica_gdr_reftransV1_0044750","p.persica_gdr_reftransV1_0044750")</f>
        <v>p.persica_gdr_reftransV1_0044750</v>
      </c>
      <c r="B15979" s="3">
        <v>491</v>
      </c>
      <c r="C15979" s="1" t="str">
        <f>HYPERLINK("http://www.uniprot.org/uniprot/CRK42_ARATH","CRK42_ARATH")</f>
        <v>CRK42_ARATH</v>
      </c>
      <c r="D15979" t="s">
        <v>875</v>
      </c>
      <c r="E15979" s="3" t="s">
        <v>3</v>
      </c>
      <c r="F15979" s="4">
        <v>5.3600000000000002E-32</v>
      </c>
      <c r="G15979" s="3">
        <v>312</v>
      </c>
      <c r="H15979" s="3">
        <v>50</v>
      </c>
      <c r="I15979" s="3">
        <v>123</v>
      </c>
      <c r="J15979" s="3">
        <v>58</v>
      </c>
      <c r="K15979" s="3">
        <v>423</v>
      </c>
      <c r="L15979" s="3">
        <v>31</v>
      </c>
      <c r="M15979" s="3">
        <v>153</v>
      </c>
    </row>
    <row r="15980" spans="1:13" x14ac:dyDescent="0.25">
      <c r="A15980" s="1" t="str">
        <f>HYPERLINK("http://www.rosaceae.org/Prunus/Prunus_persica/p.persica_gdr_reftransV1_0044850","p.persica_gdr_reftransV1_0044850")</f>
        <v>p.persica_gdr_reftransV1_0044850</v>
      </c>
      <c r="B15980" s="3">
        <v>390</v>
      </c>
      <c r="C15980" s="1" t="str">
        <f>HYPERLINK("http://www.uniprot.org/uniprot/P2C51_ARATH","P2C51_ARATH")</f>
        <v>P2C51_ARATH</v>
      </c>
      <c r="D15980" t="s">
        <v>10136</v>
      </c>
      <c r="E15980" s="3" t="s">
        <v>3</v>
      </c>
      <c r="F15980" s="4">
        <v>2.13E-43</v>
      </c>
      <c r="G15980" s="3">
        <v>388</v>
      </c>
      <c r="H15980" s="3">
        <v>71</v>
      </c>
      <c r="I15980" s="3">
        <v>105</v>
      </c>
      <c r="J15980" s="3">
        <v>80</v>
      </c>
      <c r="K15980" s="3">
        <v>388</v>
      </c>
      <c r="L15980" s="3">
        <v>30</v>
      </c>
      <c r="M15980" s="3">
        <v>134</v>
      </c>
    </row>
    <row r="15981" spans="1:13" x14ac:dyDescent="0.25">
      <c r="A15981" s="1" t="str">
        <f>HYPERLINK("http://www.rosaceae.org/Prunus/Prunus_persica/p.persica_gdr_reftransV1_0044900","p.persica_gdr_reftransV1_0044900")</f>
        <v>p.persica_gdr_reftransV1_0044900</v>
      </c>
      <c r="B15981" s="3">
        <v>1055</v>
      </c>
      <c r="C15981" s="1" t="str">
        <f>HYPERLINK("http://www.uniprot.org/uniprot/CDC2C_ANTMA","CDC2C_ANTMA")</f>
        <v>CDC2C_ANTMA</v>
      </c>
      <c r="D15981" t="s">
        <v>9301</v>
      </c>
      <c r="E15981" s="3" t="s">
        <v>1408</v>
      </c>
      <c r="F15981" s="4">
        <v>5.9500000000000002E-145</v>
      </c>
      <c r="G15981" s="3">
        <v>1077</v>
      </c>
      <c r="H15981" s="3">
        <v>88</v>
      </c>
      <c r="I15981" s="3">
        <v>231</v>
      </c>
      <c r="J15981" s="3">
        <v>239</v>
      </c>
      <c r="K15981" s="3">
        <v>928</v>
      </c>
      <c r="L15981" s="3">
        <v>1</v>
      </c>
      <c r="M15981" s="3">
        <v>231</v>
      </c>
    </row>
    <row r="15982" spans="1:13" x14ac:dyDescent="0.25">
      <c r="A15982" s="1" t="str">
        <f>HYPERLINK("http://www.rosaceae.org/Prunus/Prunus_persica/p.persica_gdr_reftransV1_0045000","p.persica_gdr_reftransV1_0045000")</f>
        <v>p.persica_gdr_reftransV1_0045000</v>
      </c>
      <c r="B15982" s="3">
        <v>1211</v>
      </c>
      <c r="C15982" s="1" t="str">
        <f>HYPERLINK("http://www.uniprot.org/uniprot/VPS2C_ARATH","VPS2C_ARATH")</f>
        <v>VPS2C_ARATH</v>
      </c>
      <c r="D15982" t="s">
        <v>10137</v>
      </c>
      <c r="E15982" s="3" t="s">
        <v>3</v>
      </c>
      <c r="F15982" s="4">
        <v>1.16E-94</v>
      </c>
      <c r="G15982" s="3">
        <v>740</v>
      </c>
      <c r="H15982" s="3">
        <v>81</v>
      </c>
      <c r="I15982" s="3">
        <v>210</v>
      </c>
      <c r="J15982" s="3">
        <v>104</v>
      </c>
      <c r="K15982" s="3">
        <v>733</v>
      </c>
      <c r="L15982" s="3">
        <v>1</v>
      </c>
      <c r="M15982" s="3">
        <v>210</v>
      </c>
    </row>
    <row r="15983" spans="1:13" x14ac:dyDescent="0.25">
      <c r="A15983" s="1" t="str">
        <f>HYPERLINK("http://www.rosaceae.org/Prunus/Prunus_persica/p.persica_gdr_reftransV1_0045200","p.persica_gdr_reftransV1_0045200")</f>
        <v>p.persica_gdr_reftransV1_0045200</v>
      </c>
      <c r="B15983" s="3">
        <v>811</v>
      </c>
      <c r="C15983" s="1" t="str">
        <f>HYPERLINK("http://www.uniprot.org/uniprot/C86A8_ARATH","C86A8_ARATH")</f>
        <v>C86A8_ARATH</v>
      </c>
      <c r="D15983" t="s">
        <v>6272</v>
      </c>
      <c r="E15983" s="3" t="s">
        <v>3</v>
      </c>
      <c r="F15983" s="4">
        <v>3.78E-92</v>
      </c>
      <c r="G15983" s="3">
        <v>738</v>
      </c>
      <c r="H15983" s="3">
        <v>87</v>
      </c>
      <c r="I15983" s="3">
        <v>150</v>
      </c>
      <c r="J15983" s="3">
        <v>361</v>
      </c>
      <c r="K15983" s="3">
        <v>810</v>
      </c>
      <c r="L15983" s="3">
        <v>1</v>
      </c>
      <c r="M15983" s="3">
        <v>150</v>
      </c>
    </row>
    <row r="15984" spans="1:13" x14ac:dyDescent="0.25">
      <c r="A15984" s="1" t="str">
        <f>HYPERLINK("http://www.rosaceae.org/Prunus/Prunus_persica/p.persica_gdr_reftransV1_0045250","p.persica_gdr_reftransV1_0045250")</f>
        <v>p.persica_gdr_reftransV1_0045250</v>
      </c>
      <c r="B15984" s="3">
        <v>2180</v>
      </c>
      <c r="C15984" s="1" t="str">
        <f>HYPERLINK("http://www.uniprot.org/uniprot/PEAM1_ARATH","PEAM1_ARATH")</f>
        <v>PEAM1_ARATH</v>
      </c>
      <c r="D15984" t="s">
        <v>10138</v>
      </c>
      <c r="E15984" s="3" t="s">
        <v>3</v>
      </c>
      <c r="F15984" s="4">
        <v>0</v>
      </c>
      <c r="G15984" s="3">
        <v>2131</v>
      </c>
      <c r="H15984" s="3">
        <v>84</v>
      </c>
      <c r="I15984" s="3">
        <v>459</v>
      </c>
      <c r="J15984" s="3">
        <v>232</v>
      </c>
      <c r="K15984" s="3">
        <v>1608</v>
      </c>
      <c r="L15984" s="3">
        <v>1</v>
      </c>
      <c r="M15984" s="3">
        <v>459</v>
      </c>
    </row>
    <row r="15985" spans="1:13" x14ac:dyDescent="0.25">
      <c r="A15985" s="1" t="str">
        <f>HYPERLINK("http://www.rosaceae.org/Prunus/Prunus_persica/p.persica_gdr_reftransV1_0045350","p.persica_gdr_reftransV1_0045350")</f>
        <v>p.persica_gdr_reftransV1_0045350</v>
      </c>
      <c r="B15985" s="3">
        <v>904</v>
      </c>
      <c r="C15985" s="1" t="str">
        <f>HYPERLINK("http://www.uniprot.org/uniprot/ACO13_PONAB","ACO13_PONAB")</f>
        <v>ACO13_PONAB</v>
      </c>
      <c r="D15985" t="s">
        <v>666</v>
      </c>
      <c r="E15985" s="3" t="s">
        <v>176</v>
      </c>
      <c r="F15985" s="4">
        <v>4.2799999999999999E-23</v>
      </c>
      <c r="G15985" s="3">
        <v>240</v>
      </c>
      <c r="H15985" s="3">
        <v>45</v>
      </c>
      <c r="I15985" s="3">
        <v>104</v>
      </c>
      <c r="J15985" s="3">
        <v>287</v>
      </c>
      <c r="K15985" s="3">
        <v>598</v>
      </c>
      <c r="L15985" s="3">
        <v>35</v>
      </c>
      <c r="M15985" s="3">
        <v>138</v>
      </c>
    </row>
    <row r="15986" spans="1:13" x14ac:dyDescent="0.25">
      <c r="A15986" s="1" t="str">
        <f>HYPERLINK("http://www.rosaceae.org/Prunus/Prunus_persica/p.persica_gdr_reftransV1_0045450","p.persica_gdr_reftransV1_0045450")</f>
        <v>p.persica_gdr_reftransV1_0045450</v>
      </c>
      <c r="B15986" s="3">
        <v>1459</v>
      </c>
      <c r="C15986" s="1" t="str">
        <f>HYPERLINK("http://www.uniprot.org/uniprot/RNH2A_ARATH","RNH2A_ARATH")</f>
        <v>RNH2A_ARATH</v>
      </c>
      <c r="D15986" t="s">
        <v>10139</v>
      </c>
      <c r="E15986" s="3" t="s">
        <v>3</v>
      </c>
      <c r="F15986" s="4">
        <v>2.5399999999999999E-107</v>
      </c>
      <c r="G15986" s="3">
        <v>840</v>
      </c>
      <c r="H15986" s="3">
        <v>69</v>
      </c>
      <c r="I15986" s="3">
        <v>222</v>
      </c>
      <c r="J15986" s="3">
        <v>190</v>
      </c>
      <c r="K15986" s="3">
        <v>855</v>
      </c>
      <c r="L15986" s="3">
        <v>1</v>
      </c>
      <c r="M15986" s="3">
        <v>215</v>
      </c>
    </row>
    <row r="15987" spans="1:13" x14ac:dyDescent="0.25">
      <c r="A15987" s="1" t="str">
        <f>HYPERLINK("http://www.rosaceae.org/Prunus/Prunus_persica/p.persica_gdr_reftransV1_0045600","p.persica_gdr_reftransV1_0045600")</f>
        <v>p.persica_gdr_reftransV1_0045600</v>
      </c>
      <c r="B15987" s="3">
        <v>576</v>
      </c>
      <c r="C15987" s="1" t="str">
        <f>HYPERLINK("http://www.uniprot.org/uniprot/EXPA1_ARATH","EXPA1_ARATH")</f>
        <v>EXPA1_ARATH</v>
      </c>
      <c r="D15987" t="s">
        <v>568</v>
      </c>
      <c r="E15987" s="3" t="s">
        <v>3</v>
      </c>
      <c r="F15987" s="4">
        <v>1.99E-60</v>
      </c>
      <c r="G15987" s="3">
        <v>495</v>
      </c>
      <c r="H15987" s="3">
        <v>82</v>
      </c>
      <c r="I15987" s="3">
        <v>149</v>
      </c>
      <c r="J15987" s="3">
        <v>103</v>
      </c>
      <c r="K15987" s="3">
        <v>549</v>
      </c>
      <c r="L15987" s="3">
        <v>1</v>
      </c>
      <c r="M15987" s="3">
        <v>149</v>
      </c>
    </row>
    <row r="15988" spans="1:13" x14ac:dyDescent="0.25">
      <c r="A15988" s="1" t="str">
        <f>HYPERLINK("http://www.rosaceae.org/Prunus/Prunus_persica/p.persica_gdr_reftransV1_0045850","p.persica_gdr_reftransV1_0045850")</f>
        <v>p.persica_gdr_reftransV1_0045850</v>
      </c>
      <c r="B15988" s="3">
        <v>842</v>
      </c>
      <c r="C15988" s="1" t="str">
        <f>HYPERLINK("http://www.uniprot.org/uniprot/SUI11_ARATH","SUI11_ARATH")</f>
        <v>SUI11_ARATH</v>
      </c>
      <c r="D15988" t="s">
        <v>8086</v>
      </c>
      <c r="E15988" s="3" t="s">
        <v>3</v>
      </c>
      <c r="F15988" s="4">
        <v>3.5900000000000001E-70</v>
      </c>
      <c r="G15988" s="3">
        <v>556</v>
      </c>
      <c r="H15988" s="3">
        <v>91</v>
      </c>
      <c r="I15988" s="3">
        <v>113</v>
      </c>
      <c r="J15988" s="3">
        <v>232</v>
      </c>
      <c r="K15988" s="3">
        <v>570</v>
      </c>
      <c r="L15988" s="3">
        <v>1</v>
      </c>
      <c r="M15988" s="3">
        <v>113</v>
      </c>
    </row>
    <row r="15989" spans="1:13" x14ac:dyDescent="0.25">
      <c r="A15989" s="1" t="str">
        <f>HYPERLINK("http://www.rosaceae.org/Prunus/Prunus_persica/p.persica_gdr_reftransV1_0045900","p.persica_gdr_reftransV1_0045900")</f>
        <v>p.persica_gdr_reftransV1_0045900</v>
      </c>
      <c r="B15989" s="3">
        <v>1351</v>
      </c>
      <c r="C15989" s="1" t="str">
        <f>HYPERLINK("http://www.uniprot.org/uniprot/SVP_ARATH","SVP_ARATH")</f>
        <v>SVP_ARATH</v>
      </c>
      <c r="D15989" t="s">
        <v>2796</v>
      </c>
      <c r="E15989" s="3" t="s">
        <v>3</v>
      </c>
      <c r="F15989" s="4">
        <v>6.3900000000000003E-80</v>
      </c>
      <c r="G15989" s="3">
        <v>648</v>
      </c>
      <c r="H15989" s="3">
        <v>68</v>
      </c>
      <c r="I15989" s="3">
        <v>241</v>
      </c>
      <c r="J15989" s="3">
        <v>452</v>
      </c>
      <c r="K15989" s="3">
        <v>1135</v>
      </c>
      <c r="L15989" s="3">
        <v>1</v>
      </c>
      <c r="M15989" s="3">
        <v>240</v>
      </c>
    </row>
    <row r="15990" spans="1:13" x14ac:dyDescent="0.25">
      <c r="A15990" s="1" t="str">
        <f>HYPERLINK("http://www.rosaceae.org/Prunus/Prunus_persica/p.persica_gdr_reftransV1_0045950","p.persica_gdr_reftransV1_0045950")</f>
        <v>p.persica_gdr_reftransV1_0045950</v>
      </c>
      <c r="B15990" s="3">
        <v>1105</v>
      </c>
      <c r="C15990" s="1" t="str">
        <f>HYPERLINK("http://www.uniprot.org/uniprot/APT3_ARATH","APT3_ARATH")</f>
        <v>APT3_ARATH</v>
      </c>
      <c r="D15990" t="s">
        <v>7796</v>
      </c>
      <c r="E15990" s="3" t="s">
        <v>3</v>
      </c>
      <c r="F15990" s="4">
        <v>2.4000000000000002E-84</v>
      </c>
      <c r="G15990" s="3">
        <v>665</v>
      </c>
      <c r="H15990" s="3">
        <v>75</v>
      </c>
      <c r="I15990" s="3">
        <v>178</v>
      </c>
      <c r="J15990" s="3">
        <v>466</v>
      </c>
      <c r="K15990" s="3">
        <v>927</v>
      </c>
      <c r="L15990" s="3">
        <v>6</v>
      </c>
      <c r="M15990" s="3">
        <v>183</v>
      </c>
    </row>
    <row r="15991" spans="1:13" x14ac:dyDescent="0.25">
      <c r="A15991" s="1" t="str">
        <f>HYPERLINK("http://www.rosaceae.org/Prunus/Prunus_persica/p.persica_gdr_reftransV1_0046000","p.persica_gdr_reftransV1_0046000")</f>
        <v>p.persica_gdr_reftransV1_0046000</v>
      </c>
      <c r="B15991" s="3">
        <v>844</v>
      </c>
      <c r="C15991" s="1" t="str">
        <f>HYPERLINK("http://www.uniprot.org/uniprot/R15A1_ARATH","R15A1_ARATH")</f>
        <v>R15A1_ARATH</v>
      </c>
      <c r="D15991" t="s">
        <v>6867</v>
      </c>
      <c r="E15991" s="3" t="s">
        <v>3</v>
      </c>
      <c r="F15991" s="4">
        <v>1.3E-87</v>
      </c>
      <c r="G15991" s="3">
        <v>674</v>
      </c>
      <c r="H15991" s="3">
        <v>98</v>
      </c>
      <c r="I15991" s="3">
        <v>130</v>
      </c>
      <c r="J15991" s="3">
        <v>138</v>
      </c>
      <c r="K15991" s="3">
        <v>527</v>
      </c>
      <c r="L15991" s="3">
        <v>1</v>
      </c>
      <c r="M15991" s="3">
        <v>130</v>
      </c>
    </row>
    <row r="15992" spans="1:13" x14ac:dyDescent="0.25">
      <c r="A15992" s="1" t="str">
        <f>HYPERLINK("http://www.rosaceae.org/Prunus/Prunus_persica/p.persica_gdr_reftransV1_0046050","p.persica_gdr_reftransV1_0046050")</f>
        <v>p.persica_gdr_reftransV1_0046050</v>
      </c>
      <c r="B15992" s="3">
        <v>1349</v>
      </c>
      <c r="C15992" s="1" t="str">
        <f>HYPERLINK("http://www.uniprot.org/uniprot/WRKY2_ARATH","WRKY2_ARATH")</f>
        <v>WRKY2_ARATH</v>
      </c>
      <c r="D15992" t="s">
        <v>2227</v>
      </c>
      <c r="E15992" s="3" t="s">
        <v>3</v>
      </c>
      <c r="F15992" s="4">
        <v>8.6500000000000003E-147</v>
      </c>
      <c r="G15992" s="3">
        <v>1135</v>
      </c>
      <c r="H15992" s="3">
        <v>61</v>
      </c>
      <c r="I15992" s="3">
        <v>445</v>
      </c>
      <c r="J15992" s="3">
        <v>73</v>
      </c>
      <c r="K15992" s="3">
        <v>1347</v>
      </c>
      <c r="L15992" s="3">
        <v>271</v>
      </c>
      <c r="M15992" s="3">
        <v>685</v>
      </c>
    </row>
    <row r="15993" spans="1:13" x14ac:dyDescent="0.25">
      <c r="A15993" s="1" t="str">
        <f>HYPERLINK("http://www.rosaceae.org/Prunus/Prunus_persica/p.persica_gdr_reftransV1_0046100","p.persica_gdr_reftransV1_0046100")</f>
        <v>p.persica_gdr_reftransV1_0046100</v>
      </c>
      <c r="B15993" s="3">
        <v>933</v>
      </c>
      <c r="C15993" s="1" t="str">
        <f>HYPERLINK("http://www.uniprot.org/uniprot/MED25_ARATH","MED25_ARATH")</f>
        <v>MED25_ARATH</v>
      </c>
      <c r="D15993" t="s">
        <v>3525</v>
      </c>
      <c r="E15993" s="3" t="s">
        <v>3</v>
      </c>
      <c r="F15993" s="4">
        <v>2.3700000000000001E-89</v>
      </c>
      <c r="G15993" s="3">
        <v>742</v>
      </c>
      <c r="H15993" s="3">
        <v>67</v>
      </c>
      <c r="I15993" s="3">
        <v>282</v>
      </c>
      <c r="J15993" s="3">
        <v>19</v>
      </c>
      <c r="K15993" s="3">
        <v>831</v>
      </c>
      <c r="L15993" s="3">
        <v>411</v>
      </c>
      <c r="M15993" s="3">
        <v>678</v>
      </c>
    </row>
    <row r="15994" spans="1:13" x14ac:dyDescent="0.25">
      <c r="A15994" s="1" t="str">
        <f>HYPERLINK("http://www.rosaceae.org/Prunus/Prunus_persica/p.persica_gdr_reftransV1_0046250","p.persica_gdr_reftransV1_0046250")</f>
        <v>p.persica_gdr_reftransV1_0046250</v>
      </c>
      <c r="B15994" s="3">
        <v>323</v>
      </c>
      <c r="C15994" s="1" t="str">
        <f>HYPERLINK("http://www.uniprot.org/uniprot/MED31_ARATH","MED31_ARATH")</f>
        <v>MED31_ARATH</v>
      </c>
      <c r="D15994" t="s">
        <v>10140</v>
      </c>
      <c r="E15994" s="3" t="s">
        <v>3</v>
      </c>
      <c r="F15994" s="4">
        <v>8.6299999999999995E-36</v>
      </c>
      <c r="G15994" s="3">
        <v>317</v>
      </c>
      <c r="H15994" s="3">
        <v>89</v>
      </c>
      <c r="I15994" s="3">
        <v>64</v>
      </c>
      <c r="J15994" s="3">
        <v>130</v>
      </c>
      <c r="K15994" s="3">
        <v>321</v>
      </c>
      <c r="L15994" s="3">
        <v>68</v>
      </c>
      <c r="M15994" s="3">
        <v>131</v>
      </c>
    </row>
    <row r="15995" spans="1:13" x14ac:dyDescent="0.25">
      <c r="A15995" s="1" t="str">
        <f>HYPERLINK("http://www.rosaceae.org/Prunus/Prunus_persica/p.persica_gdr_reftransV1_0046400","p.persica_gdr_reftransV1_0046400")</f>
        <v>p.persica_gdr_reftransV1_0046400</v>
      </c>
      <c r="B15995" s="3">
        <v>2082</v>
      </c>
      <c r="C15995" s="1" t="str">
        <f>HYPERLINK("http://www.uniprot.org/uniprot/AB5G_ARATH","AB5G_ARATH")</f>
        <v>AB5G_ARATH</v>
      </c>
      <c r="D15995" t="s">
        <v>10141</v>
      </c>
      <c r="E15995" s="3" t="s">
        <v>3</v>
      </c>
      <c r="F15995" s="4">
        <v>0</v>
      </c>
      <c r="G15995" s="3">
        <v>2170</v>
      </c>
      <c r="H15995" s="3">
        <v>68</v>
      </c>
      <c r="I15995" s="3">
        <v>679</v>
      </c>
      <c r="J15995" s="3">
        <v>12</v>
      </c>
      <c r="K15995" s="3">
        <v>2027</v>
      </c>
      <c r="L15995" s="3">
        <v>1</v>
      </c>
      <c r="M15995" s="3">
        <v>645</v>
      </c>
    </row>
    <row r="15996" spans="1:13" x14ac:dyDescent="0.25">
      <c r="A15996" s="1" t="str">
        <f>HYPERLINK("http://www.rosaceae.org/Prunus/Prunus_persica/p.persica_gdr_reftransV1_0046500","p.persica_gdr_reftransV1_0046500")</f>
        <v>p.persica_gdr_reftransV1_0046500</v>
      </c>
      <c r="B15996" s="3">
        <v>996</v>
      </c>
      <c r="C15996" s="1" t="str">
        <f>HYPERLINK("http://www.uniprot.org/uniprot/USPAL_ARATH","USPAL_ARATH")</f>
        <v>USPAL_ARATH</v>
      </c>
      <c r="D15996" t="s">
        <v>430</v>
      </c>
      <c r="E15996" s="3" t="s">
        <v>3</v>
      </c>
      <c r="F15996" s="4">
        <v>1.4900000000000002E-11</v>
      </c>
      <c r="G15996" s="3">
        <v>159</v>
      </c>
      <c r="H15996" s="3">
        <v>28</v>
      </c>
      <c r="I15996" s="3">
        <v>136</v>
      </c>
      <c r="J15996" s="3">
        <v>265</v>
      </c>
      <c r="K15996" s="3">
        <v>669</v>
      </c>
      <c r="L15996" s="3">
        <v>30</v>
      </c>
      <c r="M15996" s="3">
        <v>163</v>
      </c>
    </row>
    <row r="15997" spans="1:13" x14ac:dyDescent="0.25">
      <c r="A15997" s="1" t="str">
        <f>HYPERLINK("http://www.rosaceae.org/Prunus/Prunus_persica/p.persica_gdr_reftransV1_0046650","p.persica_gdr_reftransV1_0046650")</f>
        <v>p.persica_gdr_reftransV1_0046650</v>
      </c>
      <c r="B15997" s="3">
        <v>1422</v>
      </c>
      <c r="C15997" s="1" t="str">
        <f>HYPERLINK("http://www.uniprot.org/uniprot/GDL62_ARATH","GDL62_ARATH")</f>
        <v>GDL62_ARATH</v>
      </c>
      <c r="D15997" t="s">
        <v>9338</v>
      </c>
      <c r="E15997" s="3" t="s">
        <v>3</v>
      </c>
      <c r="F15997" s="4">
        <v>7.8399999999999992E-40</v>
      </c>
      <c r="G15997" s="3">
        <v>383</v>
      </c>
      <c r="H15997" s="3">
        <v>29</v>
      </c>
      <c r="I15997" s="3">
        <v>366</v>
      </c>
      <c r="J15997" s="3">
        <v>173</v>
      </c>
      <c r="K15997" s="3">
        <v>1192</v>
      </c>
      <c r="L15997" s="3">
        <v>9</v>
      </c>
      <c r="M15997" s="3">
        <v>350</v>
      </c>
    </row>
    <row r="15998" spans="1:13" x14ac:dyDescent="0.25">
      <c r="A15998" s="1" t="str">
        <f>HYPERLINK("http://www.rosaceae.org/Prunus/Prunus_persica/p.persica_gdr_reftransV1_0046700","p.persica_gdr_reftransV1_0046700")</f>
        <v>p.persica_gdr_reftransV1_0046700</v>
      </c>
      <c r="B15998" s="3">
        <v>1530</v>
      </c>
      <c r="C15998" s="1" t="str">
        <f>HYPERLINK("http://www.uniprot.org/uniprot/EXO5_ARATH","EXO5_ARATH")</f>
        <v>EXO5_ARATH</v>
      </c>
      <c r="D15998" t="s">
        <v>6542</v>
      </c>
      <c r="E15998" s="3" t="s">
        <v>3</v>
      </c>
      <c r="F15998" s="4">
        <v>3.3500000000000002E-118</v>
      </c>
      <c r="G15998" s="3">
        <v>926</v>
      </c>
      <c r="H15998" s="3">
        <v>55</v>
      </c>
      <c r="I15998" s="3">
        <v>342</v>
      </c>
      <c r="J15998" s="3">
        <v>297</v>
      </c>
      <c r="K15998" s="3">
        <v>1313</v>
      </c>
      <c r="L15998" s="3">
        <v>68</v>
      </c>
      <c r="M15998" s="3">
        <v>392</v>
      </c>
    </row>
    <row r="15999" spans="1:13" x14ac:dyDescent="0.25">
      <c r="A15999" s="1" t="str">
        <f>HYPERLINK("http://www.rosaceae.org/Prunus/Prunus_persica/p.persica_gdr_reftransV1_0046750","p.persica_gdr_reftransV1_0046750")</f>
        <v>p.persica_gdr_reftransV1_0046750</v>
      </c>
      <c r="B15999" s="3">
        <v>764</v>
      </c>
      <c r="C15999" s="1" t="str">
        <f>HYPERLINK("http://www.uniprot.org/uniprot/CYB5A_ARATH","CYB5A_ARATH")</f>
        <v>CYB5A_ARATH</v>
      </c>
      <c r="D15999" t="s">
        <v>10142</v>
      </c>
      <c r="E15999" s="3" t="s">
        <v>3</v>
      </c>
      <c r="F15999" s="4">
        <v>6.9400000000000001E-43</v>
      </c>
      <c r="G15999" s="3">
        <v>374</v>
      </c>
      <c r="H15999" s="3">
        <v>59</v>
      </c>
      <c r="I15999" s="3">
        <v>135</v>
      </c>
      <c r="J15999" s="3">
        <v>145</v>
      </c>
      <c r="K15999" s="3">
        <v>534</v>
      </c>
      <c r="L15999" s="3">
        <v>1</v>
      </c>
      <c r="M15999" s="3">
        <v>134</v>
      </c>
    </row>
    <row r="16000" spans="1:13" x14ac:dyDescent="0.25">
      <c r="A16000" s="1" t="str">
        <f>HYPERLINK("http://www.rosaceae.org/Prunus/Prunus_persica/p.persica_gdr_reftransV1_0046800","p.persica_gdr_reftransV1_0046800")</f>
        <v>p.persica_gdr_reftransV1_0046800</v>
      </c>
      <c r="B16000" s="3">
        <v>414</v>
      </c>
      <c r="C16000" s="1" t="str">
        <f>HYPERLINK("http://www.uniprot.org/uniprot/Y5639_ARATH","Y5639_ARATH")</f>
        <v>Y5639_ARATH</v>
      </c>
      <c r="D16000" t="s">
        <v>3394</v>
      </c>
      <c r="E16000" s="3" t="s">
        <v>3</v>
      </c>
      <c r="F16000" s="4">
        <v>1.06E-75</v>
      </c>
      <c r="G16000" s="3">
        <v>632</v>
      </c>
      <c r="H16000" s="3">
        <v>83</v>
      </c>
      <c r="I16000" s="3">
        <v>140</v>
      </c>
      <c r="J16000" s="3">
        <v>3</v>
      </c>
      <c r="K16000" s="3">
        <v>413</v>
      </c>
      <c r="L16000" s="3">
        <v>819</v>
      </c>
      <c r="M16000" s="3">
        <v>958</v>
      </c>
    </row>
    <row r="16001" spans="1:13" x14ac:dyDescent="0.25">
      <c r="A16001" s="1" t="str">
        <f>HYPERLINK("http://www.rosaceae.org/Prunus/Prunus_persica/p.persica_gdr_reftransV1_0046850","p.persica_gdr_reftransV1_0046850")</f>
        <v>p.persica_gdr_reftransV1_0046850</v>
      </c>
      <c r="B16001" s="3">
        <v>1318</v>
      </c>
      <c r="C16001" s="1" t="str">
        <f>HYPERLINK("http://www.uniprot.org/uniprot/DAPAT_ARATH","DAPAT_ARATH")</f>
        <v>DAPAT_ARATH</v>
      </c>
      <c r="D16001" t="s">
        <v>3250</v>
      </c>
      <c r="E16001" s="3" t="s">
        <v>3</v>
      </c>
      <c r="F16001" s="4">
        <v>0</v>
      </c>
      <c r="G16001" s="3">
        <v>1648</v>
      </c>
      <c r="H16001" s="3">
        <v>79</v>
      </c>
      <c r="I16001" s="3">
        <v>379</v>
      </c>
      <c r="J16001" s="3">
        <v>184</v>
      </c>
      <c r="K16001" s="3">
        <v>1317</v>
      </c>
      <c r="L16001" s="3">
        <v>24</v>
      </c>
      <c r="M16001" s="3">
        <v>401</v>
      </c>
    </row>
    <row r="16002" spans="1:13" x14ac:dyDescent="0.25">
      <c r="A16002" s="1" t="str">
        <f>HYPERLINK("http://www.rosaceae.org/Prunus/Prunus_persica/p.persica_gdr_reftransV1_0046900","p.persica_gdr_reftransV1_0046900")</f>
        <v>p.persica_gdr_reftransV1_0046900</v>
      </c>
      <c r="B16002" s="3">
        <v>580</v>
      </c>
      <c r="C16002" s="1" t="str">
        <f>HYPERLINK("http://www.uniprot.org/uniprot/NDUS2_ARATH","NDUS2_ARATH")</f>
        <v>NDUS2_ARATH</v>
      </c>
      <c r="D16002" t="s">
        <v>5066</v>
      </c>
      <c r="E16002" s="3" t="s">
        <v>3</v>
      </c>
      <c r="F16002" s="4">
        <v>6.1699999999999997E-139</v>
      </c>
      <c r="G16002" s="3">
        <v>1028</v>
      </c>
      <c r="H16002" s="3">
        <v>98</v>
      </c>
      <c r="I16002" s="3">
        <v>192</v>
      </c>
      <c r="J16002" s="3">
        <v>3</v>
      </c>
      <c r="K16002" s="3">
        <v>578</v>
      </c>
      <c r="L16002" s="3">
        <v>126</v>
      </c>
      <c r="M16002" s="3">
        <v>317</v>
      </c>
    </row>
    <row r="16003" spans="1:13" x14ac:dyDescent="0.25">
      <c r="A16003" s="1" t="str">
        <f>HYPERLINK("http://www.rosaceae.org/Prunus/Prunus_persica/p.persica_gdr_reftransV1_0047000","p.persica_gdr_reftransV1_0047000")</f>
        <v>p.persica_gdr_reftransV1_0047000</v>
      </c>
      <c r="B16003" s="3">
        <v>457</v>
      </c>
      <c r="C16003" s="1" t="str">
        <f>HYPERLINK("http://www.uniprot.org/uniprot/HYES_PIG","HYES_PIG")</f>
        <v>HYES_PIG</v>
      </c>
      <c r="D16003" t="s">
        <v>4174</v>
      </c>
      <c r="E16003" s="3" t="s">
        <v>1126</v>
      </c>
      <c r="F16003" s="4">
        <v>1.09E-10</v>
      </c>
      <c r="G16003" s="3">
        <v>151</v>
      </c>
      <c r="H16003" s="3">
        <v>32</v>
      </c>
      <c r="I16003" s="3">
        <v>105</v>
      </c>
      <c r="J16003" s="3">
        <v>1</v>
      </c>
      <c r="K16003" s="3">
        <v>306</v>
      </c>
      <c r="L16003" s="3">
        <v>293</v>
      </c>
      <c r="M16003" s="3">
        <v>397</v>
      </c>
    </row>
    <row r="16004" spans="1:13" x14ac:dyDescent="0.25">
      <c r="A16004" s="1" t="str">
        <f>HYPERLINK("http://www.rosaceae.org/Prunus/Prunus_persica/p.persica_gdr_reftransV1_0047050","p.persica_gdr_reftransV1_0047050")</f>
        <v>p.persica_gdr_reftransV1_0047050</v>
      </c>
      <c r="B16004" s="3">
        <v>1433</v>
      </c>
      <c r="C16004" s="1" t="str">
        <f>HYPERLINK("http://www.uniprot.org/uniprot/S6PD_MALDO","S6PD_MALDO")</f>
        <v>S6PD_MALDO</v>
      </c>
      <c r="D16004" t="s">
        <v>3468</v>
      </c>
      <c r="E16004" s="3" t="s">
        <v>540</v>
      </c>
      <c r="F16004" s="4">
        <v>3.2099999999999999E-154</v>
      </c>
      <c r="G16004" s="3">
        <v>1152</v>
      </c>
      <c r="H16004" s="3">
        <v>69</v>
      </c>
      <c r="I16004" s="3">
        <v>307</v>
      </c>
      <c r="J16004" s="3">
        <v>154</v>
      </c>
      <c r="K16004" s="3">
        <v>1074</v>
      </c>
      <c r="L16004" s="3">
        <v>4</v>
      </c>
      <c r="M16004" s="3">
        <v>310</v>
      </c>
    </row>
    <row r="16005" spans="1:13" x14ac:dyDescent="0.25">
      <c r="A16005" s="1" t="str">
        <f>HYPERLINK("http://www.rosaceae.org/Prunus/Prunus_persica/p.persica_gdr_reftransV1_0047100","p.persica_gdr_reftransV1_0047100")</f>
        <v>p.persica_gdr_reftransV1_0047100</v>
      </c>
      <c r="B16005" s="3">
        <v>667</v>
      </c>
      <c r="C16005" s="1" t="str">
        <f>HYPERLINK("http://www.uniprot.org/uniprot/U76F1_ARATH","U76F1_ARATH")</f>
        <v>U76F1_ARATH</v>
      </c>
      <c r="D16005" t="s">
        <v>6611</v>
      </c>
      <c r="E16005" s="3" t="s">
        <v>3</v>
      </c>
      <c r="F16005" s="4">
        <v>1.43E-81</v>
      </c>
      <c r="G16005" s="3">
        <v>656</v>
      </c>
      <c r="H16005" s="3">
        <v>59</v>
      </c>
      <c r="I16005" s="3">
        <v>210</v>
      </c>
      <c r="J16005" s="3">
        <v>41</v>
      </c>
      <c r="K16005" s="3">
        <v>658</v>
      </c>
      <c r="L16005" s="3">
        <v>252</v>
      </c>
      <c r="M16005" s="3">
        <v>460</v>
      </c>
    </row>
    <row r="16006" spans="1:13" x14ac:dyDescent="0.25">
      <c r="A16006" s="1" t="str">
        <f>HYPERLINK("http://www.rosaceae.org/Prunus/Prunus_persica/p.persica_gdr_reftransV1_0047200","p.persica_gdr_reftransV1_0047200")</f>
        <v>p.persica_gdr_reftransV1_0047200</v>
      </c>
      <c r="B16006" s="3">
        <v>1101</v>
      </c>
      <c r="C16006" s="1" t="str">
        <f>HYPERLINK("http://www.uniprot.org/uniprot/EPHX4_HUMAN","EPHX4_HUMAN")</f>
        <v>EPHX4_HUMAN</v>
      </c>
      <c r="D16006" t="s">
        <v>10143</v>
      </c>
      <c r="E16006" s="3" t="s">
        <v>28</v>
      </c>
      <c r="F16006" s="4">
        <v>3.9199999999999999E-10</v>
      </c>
      <c r="G16006" s="3">
        <v>155</v>
      </c>
      <c r="H16006" s="3">
        <v>21</v>
      </c>
      <c r="I16006" s="3">
        <v>281</v>
      </c>
      <c r="J16006" s="3">
        <v>134</v>
      </c>
      <c r="K16006" s="3">
        <v>859</v>
      </c>
      <c r="L16006" s="3">
        <v>90</v>
      </c>
      <c r="M16006" s="3">
        <v>348</v>
      </c>
    </row>
    <row r="16007" spans="1:13" x14ac:dyDescent="0.25">
      <c r="A16007" s="1" t="str">
        <f>HYPERLINK("http://www.rosaceae.org/Prunus/Prunus_persica/p.persica_gdr_reftransV1_0047300","p.persica_gdr_reftransV1_0047300")</f>
        <v>p.persica_gdr_reftransV1_0047300</v>
      </c>
      <c r="B16007" s="3">
        <v>897</v>
      </c>
      <c r="C16007" s="1" t="str">
        <f>HYPERLINK("http://www.uniprot.org/uniprot/RS263_ARATH","RS263_ARATH")</f>
        <v>RS263_ARATH</v>
      </c>
      <c r="D16007" t="s">
        <v>3876</v>
      </c>
      <c r="E16007" s="3" t="s">
        <v>3</v>
      </c>
      <c r="F16007" s="4">
        <v>9.9199999999999995E-35</v>
      </c>
      <c r="G16007" s="3">
        <v>321</v>
      </c>
      <c r="H16007" s="3">
        <v>90</v>
      </c>
      <c r="I16007" s="3">
        <v>82</v>
      </c>
      <c r="J16007" s="3">
        <v>564</v>
      </c>
      <c r="K16007" s="3">
        <v>809</v>
      </c>
      <c r="L16007" s="3">
        <v>1</v>
      </c>
      <c r="M16007" s="3">
        <v>82</v>
      </c>
    </row>
    <row r="16008" spans="1:13" x14ac:dyDescent="0.25">
      <c r="A16008" s="1" t="str">
        <f>HYPERLINK("http://www.rosaceae.org/Prunus/Prunus_persica/p.persica_gdr_reftransV1_0047500","p.persica_gdr_reftransV1_0047500")</f>
        <v>p.persica_gdr_reftransV1_0047500</v>
      </c>
      <c r="B16008" s="3">
        <v>1767</v>
      </c>
      <c r="C16008" s="1" t="str">
        <f>HYPERLINK("http://www.uniprot.org/uniprot/GPI3_SCHPO","GPI3_SCHPO")</f>
        <v>GPI3_SCHPO</v>
      </c>
      <c r="D16008" t="s">
        <v>10144</v>
      </c>
      <c r="E16008" s="3" t="s">
        <v>464</v>
      </c>
      <c r="F16008" s="4">
        <v>1.2399999999999999E-158</v>
      </c>
      <c r="G16008" s="3">
        <v>1207</v>
      </c>
      <c r="H16008" s="3">
        <v>54</v>
      </c>
      <c r="I16008" s="3">
        <v>439</v>
      </c>
      <c r="J16008" s="3">
        <v>104</v>
      </c>
      <c r="K16008" s="3">
        <v>1414</v>
      </c>
      <c r="L16008" s="3">
        <v>1</v>
      </c>
      <c r="M16008" s="3">
        <v>436</v>
      </c>
    </row>
    <row r="16009" spans="1:13" x14ac:dyDescent="0.25">
      <c r="A16009" s="1" t="str">
        <f>HYPERLINK("http://www.rosaceae.org/Prunus/Prunus_persica/p.persica_gdr_reftransV1_0047600","p.persica_gdr_reftransV1_0047600")</f>
        <v>p.persica_gdr_reftransV1_0047600</v>
      </c>
      <c r="B16009" s="3">
        <v>1945</v>
      </c>
      <c r="C16009" s="1" t="str">
        <f>HYPERLINK("http://www.uniprot.org/uniprot/MRS22_ARATH","MRS22_ARATH")</f>
        <v>MRS22_ARATH</v>
      </c>
      <c r="D16009" t="s">
        <v>10145</v>
      </c>
      <c r="E16009" s="3" t="s">
        <v>3</v>
      </c>
      <c r="F16009" s="4">
        <v>4.3600000000000003E-148</v>
      </c>
      <c r="G16009" s="3">
        <v>1109</v>
      </c>
      <c r="H16009" s="3">
        <v>83</v>
      </c>
      <c r="I16009" s="3">
        <v>302</v>
      </c>
      <c r="J16009" s="3">
        <v>434</v>
      </c>
      <c r="K16009" s="3">
        <v>1336</v>
      </c>
      <c r="L16009" s="3">
        <v>93</v>
      </c>
      <c r="M16009" s="3">
        <v>394</v>
      </c>
    </row>
    <row r="16010" spans="1:13" x14ac:dyDescent="0.25">
      <c r="A16010" s="1" t="str">
        <f>HYPERLINK("http://www.rosaceae.org/Prunus/Prunus_persica/p.persica_gdr_reftransV1_0047750","p.persica_gdr_reftransV1_0047750")</f>
        <v>p.persica_gdr_reftransV1_0047750</v>
      </c>
      <c r="B16010" s="3">
        <v>1716</v>
      </c>
      <c r="C16010" s="1" t="str">
        <f>HYPERLINK("http://www.uniprot.org/uniprot/YL728_MIMIV","YL728_MIMIV")</f>
        <v>YL728_MIMIV</v>
      </c>
      <c r="D16010" t="s">
        <v>2032</v>
      </c>
      <c r="E16010" s="3" t="s">
        <v>2033</v>
      </c>
      <c r="F16010" s="4">
        <v>9.1000000000000001E-58</v>
      </c>
      <c r="G16010" s="3">
        <v>530</v>
      </c>
      <c r="H16010" s="3">
        <v>33</v>
      </c>
      <c r="I16010" s="3">
        <v>405</v>
      </c>
      <c r="J16010" s="3">
        <v>122</v>
      </c>
      <c r="K16010" s="3">
        <v>1279</v>
      </c>
      <c r="L16010" s="3">
        <v>134</v>
      </c>
      <c r="M16010" s="3">
        <v>512</v>
      </c>
    </row>
    <row r="16011" spans="1:13" x14ac:dyDescent="0.25">
      <c r="A16011" s="1" t="str">
        <f>HYPERLINK("http://www.rosaceae.org/Prunus/Prunus_persica/p.persica_gdr_reftransV1_0047800","p.persica_gdr_reftransV1_0047800")</f>
        <v>p.persica_gdr_reftransV1_0047800</v>
      </c>
      <c r="B16011" s="3">
        <v>2040</v>
      </c>
      <c r="C16011" s="1" t="str">
        <f>HYPERLINK("http://www.uniprot.org/uniprot/TCPE_ARATH","TCPE_ARATH")</f>
        <v>TCPE_ARATH</v>
      </c>
      <c r="D16011" t="s">
        <v>10146</v>
      </c>
      <c r="E16011" s="3" t="s">
        <v>3</v>
      </c>
      <c r="F16011" s="4">
        <v>0</v>
      </c>
      <c r="G16011" s="3">
        <v>2533</v>
      </c>
      <c r="H16011" s="3">
        <v>90</v>
      </c>
      <c r="I16011" s="3">
        <v>535</v>
      </c>
      <c r="J16011" s="3">
        <v>160</v>
      </c>
      <c r="K16011" s="3">
        <v>1764</v>
      </c>
      <c r="L16011" s="3">
        <v>1</v>
      </c>
      <c r="M16011" s="3">
        <v>535</v>
      </c>
    </row>
    <row r="16012" spans="1:13" x14ac:dyDescent="0.25">
      <c r="A16012" s="1" t="str">
        <f>HYPERLINK("http://www.rosaceae.org/Prunus/Prunus_persica/p.persica_gdr_reftransV1_0048100","p.persica_gdr_reftransV1_0048100")</f>
        <v>p.persica_gdr_reftransV1_0048100</v>
      </c>
      <c r="B16012" s="3">
        <v>1182</v>
      </c>
      <c r="C16012" s="1" t="str">
        <f>HYPERLINK("http://www.uniprot.org/uniprot/Y5161_ARATH","Y5161_ARATH")</f>
        <v>Y5161_ARATH</v>
      </c>
      <c r="D16012" t="s">
        <v>2905</v>
      </c>
      <c r="E16012" s="3" t="s">
        <v>3</v>
      </c>
      <c r="F16012" s="4">
        <v>5.1599999999999998E-12</v>
      </c>
      <c r="G16012" s="3">
        <v>164</v>
      </c>
      <c r="H16012" s="3">
        <v>29</v>
      </c>
      <c r="I16012" s="3">
        <v>98</v>
      </c>
      <c r="J16012" s="3">
        <v>840</v>
      </c>
      <c r="K16012" s="3">
        <v>1133</v>
      </c>
      <c r="L16012" s="3">
        <v>56</v>
      </c>
      <c r="M16012" s="3">
        <v>152</v>
      </c>
    </row>
    <row r="16013" spans="1:13" x14ac:dyDescent="0.25">
      <c r="A16013" s="1" t="str">
        <f>HYPERLINK("http://www.rosaceae.org/Prunus/Prunus_persica/p.persica_gdr_reftransV1_0048350","p.persica_gdr_reftransV1_0048350")</f>
        <v>p.persica_gdr_reftransV1_0048350</v>
      </c>
      <c r="B16013" s="3">
        <v>2199</v>
      </c>
      <c r="C16013" s="1" t="str">
        <f>HYPERLINK("http://www.uniprot.org/uniprot/G3BP_SCHPO","G3BP_SCHPO")</f>
        <v>G3BP_SCHPO</v>
      </c>
      <c r="D16013" t="s">
        <v>2656</v>
      </c>
      <c r="E16013" s="3" t="s">
        <v>464</v>
      </c>
      <c r="F16013" s="4">
        <v>1.28E-17</v>
      </c>
      <c r="G16013" s="3">
        <v>221</v>
      </c>
      <c r="H16013" s="3">
        <v>40</v>
      </c>
      <c r="I16013" s="3">
        <v>121</v>
      </c>
      <c r="J16013" s="3">
        <v>1621</v>
      </c>
      <c r="K16013" s="3">
        <v>1974</v>
      </c>
      <c r="L16013" s="3">
        <v>16</v>
      </c>
      <c r="M16013" s="3">
        <v>135</v>
      </c>
    </row>
    <row r="16014" spans="1:13" x14ac:dyDescent="0.25">
      <c r="A16014" s="1" t="str">
        <f>HYPERLINK("http://www.rosaceae.org/Prunus/Prunus_persica/p.persica_gdr_reftransV1_0048450","p.persica_gdr_reftransV1_0048450")</f>
        <v>p.persica_gdr_reftransV1_0048450</v>
      </c>
      <c r="B16014" s="3">
        <v>2342</v>
      </c>
      <c r="C16014" s="1" t="str">
        <f>HYPERLINK("http://www.uniprot.org/uniprot/IMPA1_ARATH","IMPA1_ARATH")</f>
        <v>IMPA1_ARATH</v>
      </c>
      <c r="D16014" t="s">
        <v>8049</v>
      </c>
      <c r="E16014" s="3" t="s">
        <v>3</v>
      </c>
      <c r="F16014" s="4">
        <v>0</v>
      </c>
      <c r="G16014" s="3">
        <v>2332</v>
      </c>
      <c r="H16014" s="3">
        <v>83</v>
      </c>
      <c r="I16014" s="3">
        <v>532</v>
      </c>
      <c r="J16014" s="3">
        <v>611</v>
      </c>
      <c r="K16014" s="3">
        <v>2197</v>
      </c>
      <c r="L16014" s="3">
        <v>1</v>
      </c>
      <c r="M16014" s="3">
        <v>532</v>
      </c>
    </row>
    <row r="16015" spans="1:13" x14ac:dyDescent="0.25">
      <c r="A16015" s="1" t="str">
        <f>HYPERLINK("http://www.rosaceae.org/Prunus/Prunus_persica/p.persica_gdr_reftransV1_0048600","p.persica_gdr_reftransV1_0048600")</f>
        <v>p.persica_gdr_reftransV1_0048600</v>
      </c>
      <c r="B16015" s="3">
        <v>1406</v>
      </c>
      <c r="C16015" s="1" t="str">
        <f>HYPERLINK("http://www.uniprot.org/uniprot/STR11_ARATH","STR11_ARATH")</f>
        <v>STR11_ARATH</v>
      </c>
      <c r="D16015" t="s">
        <v>10147</v>
      </c>
      <c r="E16015" s="3" t="s">
        <v>3</v>
      </c>
      <c r="F16015" s="4">
        <v>5.28E-101</v>
      </c>
      <c r="G16015" s="3">
        <v>796</v>
      </c>
      <c r="H16015" s="3">
        <v>64</v>
      </c>
      <c r="I16015" s="3">
        <v>248</v>
      </c>
      <c r="J16015" s="3">
        <v>594</v>
      </c>
      <c r="K16015" s="3">
        <v>1328</v>
      </c>
      <c r="L16015" s="3">
        <v>1</v>
      </c>
      <c r="M16015" s="3">
        <v>241</v>
      </c>
    </row>
    <row r="16016" spans="1:13" x14ac:dyDescent="0.25">
      <c r="A16016" s="1" t="str">
        <f>HYPERLINK("http://www.rosaceae.org/Prunus/Prunus_persica/p.persica_gdr_reftransV1_0048650","p.persica_gdr_reftransV1_0048650")</f>
        <v>p.persica_gdr_reftransV1_0048650</v>
      </c>
      <c r="B16016" s="3">
        <v>1211</v>
      </c>
      <c r="C16016" s="1" t="str">
        <f>HYPERLINK("http://www.uniprot.org/uniprot/CSN6A_ARATH","CSN6A_ARATH")</f>
        <v>CSN6A_ARATH</v>
      </c>
      <c r="D16016" t="s">
        <v>10148</v>
      </c>
      <c r="E16016" s="3" t="s">
        <v>3</v>
      </c>
      <c r="F16016" s="4">
        <v>5.3300000000000001E-163</v>
      </c>
      <c r="G16016" s="3">
        <v>1203</v>
      </c>
      <c r="H16016" s="3">
        <v>77</v>
      </c>
      <c r="I16016" s="3">
        <v>323</v>
      </c>
      <c r="J16016" s="3">
        <v>190</v>
      </c>
      <c r="K16016" s="3">
        <v>1158</v>
      </c>
      <c r="L16016" s="3">
        <v>1</v>
      </c>
      <c r="M16016" s="3">
        <v>307</v>
      </c>
    </row>
    <row r="16017" spans="1:13" x14ac:dyDescent="0.25">
      <c r="A16017" s="1" t="str">
        <f>HYPERLINK("http://www.rosaceae.org/Prunus/Prunus_persica/p.persica_gdr_reftransV1_0048800","p.persica_gdr_reftransV1_0048800")</f>
        <v>p.persica_gdr_reftransV1_0048800</v>
      </c>
      <c r="B16017" s="3">
        <v>406</v>
      </c>
      <c r="C16017" s="1" t="str">
        <f>HYPERLINK("http://www.uniprot.org/uniprot/CRRS1_ARATH","CRRS1_ARATH")</f>
        <v>CRRS1_ARATH</v>
      </c>
      <c r="D16017" t="s">
        <v>10149</v>
      </c>
      <c r="E16017" s="3" t="s">
        <v>3</v>
      </c>
      <c r="F16017" s="4">
        <v>9.5899999999999993E-12</v>
      </c>
      <c r="G16017" s="3">
        <v>156</v>
      </c>
      <c r="H16017" s="3">
        <v>36</v>
      </c>
      <c r="I16017" s="3">
        <v>80</v>
      </c>
      <c r="J16017" s="3">
        <v>163</v>
      </c>
      <c r="K16017" s="3">
        <v>402</v>
      </c>
      <c r="L16017" s="3">
        <v>39</v>
      </c>
      <c r="M16017" s="3">
        <v>118</v>
      </c>
    </row>
    <row r="16018" spans="1:13" x14ac:dyDescent="0.25">
      <c r="A16018" s="1" t="str">
        <f>HYPERLINK("http://www.rosaceae.org/Prunus/Prunus_persica/p.persica_gdr_reftransV1_0048850","p.persica_gdr_reftransV1_0048850")</f>
        <v>p.persica_gdr_reftransV1_0048850</v>
      </c>
      <c r="B16018" s="3">
        <v>1011</v>
      </c>
      <c r="C16018" s="1" t="str">
        <f>HYPERLINK("http://www.uniprot.org/uniprot/MSH3_ARATH","MSH3_ARATH")</f>
        <v>MSH3_ARATH</v>
      </c>
      <c r="D16018" t="s">
        <v>6227</v>
      </c>
      <c r="E16018" s="3" t="s">
        <v>3</v>
      </c>
      <c r="F16018" s="4">
        <v>2.8199999999999999E-123</v>
      </c>
      <c r="G16018" s="3">
        <v>991</v>
      </c>
      <c r="H16018" s="3">
        <v>61</v>
      </c>
      <c r="I16018" s="3">
        <v>340</v>
      </c>
      <c r="J16018" s="3">
        <v>3</v>
      </c>
      <c r="K16018" s="3">
        <v>1010</v>
      </c>
      <c r="L16018" s="3">
        <v>193</v>
      </c>
      <c r="M16018" s="3">
        <v>532</v>
      </c>
    </row>
    <row r="16019" spans="1:13" x14ac:dyDescent="0.25">
      <c r="A16019" s="1" t="str">
        <f>HYPERLINK("http://www.rosaceae.org/Prunus/Prunus_persica/p.persica_gdr_reftransV1_0048950","p.persica_gdr_reftransV1_0048950")</f>
        <v>p.persica_gdr_reftransV1_0048950</v>
      </c>
      <c r="B16019" s="3">
        <v>535</v>
      </c>
      <c r="C16019" s="1" t="str">
        <f>HYPERLINK("http://www.uniprot.org/uniprot/PPR24_ARATH","PPR24_ARATH")</f>
        <v>PPR24_ARATH</v>
      </c>
      <c r="D16019" t="s">
        <v>7196</v>
      </c>
      <c r="E16019" s="3" t="s">
        <v>3</v>
      </c>
      <c r="F16019" s="4">
        <v>9.6399999999999999E-33</v>
      </c>
      <c r="G16019" s="3">
        <v>316</v>
      </c>
      <c r="H16019" s="3">
        <v>46</v>
      </c>
      <c r="I16019" s="3">
        <v>177</v>
      </c>
      <c r="J16019" s="3">
        <v>4</v>
      </c>
      <c r="K16019" s="3">
        <v>483</v>
      </c>
      <c r="L16019" s="3">
        <v>37</v>
      </c>
      <c r="M16019" s="3">
        <v>208</v>
      </c>
    </row>
    <row r="16020" spans="1:13" x14ac:dyDescent="0.25">
      <c r="A16020" s="1" t="str">
        <f>HYPERLINK("http://www.rosaceae.org/Prunus/Prunus_persica/p.persica_gdr_reftransV1_0049050","p.persica_gdr_reftransV1_0049050")</f>
        <v>p.persica_gdr_reftransV1_0049050</v>
      </c>
      <c r="B16020" s="3">
        <v>3378</v>
      </c>
      <c r="C16020" s="1" t="str">
        <f>HYPERLINK("http://www.uniprot.org/uniprot/PRP39_SCHPO","PRP39_SCHPO")</f>
        <v>PRP39_SCHPO</v>
      </c>
      <c r="D16020" t="s">
        <v>8401</v>
      </c>
      <c r="E16020" s="3" t="s">
        <v>464</v>
      </c>
      <c r="F16020" s="4">
        <v>2.95E-46</v>
      </c>
      <c r="G16020" s="3">
        <v>459</v>
      </c>
      <c r="H16020" s="3">
        <v>34</v>
      </c>
      <c r="I16020" s="3">
        <v>290</v>
      </c>
      <c r="J16020" s="3">
        <v>1799</v>
      </c>
      <c r="K16020" s="3">
        <v>2611</v>
      </c>
      <c r="L16020" s="3">
        <v>27</v>
      </c>
      <c r="M16020" s="3">
        <v>300</v>
      </c>
    </row>
    <row r="16021" spans="1:13" x14ac:dyDescent="0.25">
      <c r="A16021" s="1" t="str">
        <f>HYPERLINK("http://www.rosaceae.org/Prunus/Prunus_persica/p.persica_gdr_reftransV1_0049100","p.persica_gdr_reftransV1_0049100")</f>
        <v>p.persica_gdr_reftransV1_0049100</v>
      </c>
      <c r="B16021" s="3">
        <v>635</v>
      </c>
      <c r="C16021" s="1" t="str">
        <f>HYPERLINK("http://www.uniprot.org/uniprot/PSD1A_ARATH","PSD1A_ARATH")</f>
        <v>PSD1A_ARATH</v>
      </c>
      <c r="D16021" t="s">
        <v>7338</v>
      </c>
      <c r="E16021" s="3" t="s">
        <v>3</v>
      </c>
      <c r="F16021" s="4">
        <v>2.1399999999999999E-70</v>
      </c>
      <c r="G16021" s="3">
        <v>601</v>
      </c>
      <c r="H16021" s="3">
        <v>88</v>
      </c>
      <c r="I16021" s="3">
        <v>137</v>
      </c>
      <c r="J16021" s="3">
        <v>49</v>
      </c>
      <c r="K16021" s="3">
        <v>456</v>
      </c>
      <c r="L16021" s="3">
        <v>1</v>
      </c>
      <c r="M16021" s="3">
        <v>136</v>
      </c>
    </row>
    <row r="16022" spans="1:13" x14ac:dyDescent="0.25">
      <c r="A16022" s="1" t="str">
        <f>HYPERLINK("http://www.rosaceae.org/Prunus/Prunus_persica/p.persica_gdr_reftransV1_0049150","p.persica_gdr_reftransV1_0049150")</f>
        <v>p.persica_gdr_reftransV1_0049150</v>
      </c>
      <c r="B16022" s="3">
        <v>816</v>
      </c>
      <c r="C16022" s="1" t="str">
        <f>HYPERLINK("http://www.uniprot.org/uniprot/CENPE_HUMAN","CENPE_HUMAN")</f>
        <v>CENPE_HUMAN</v>
      </c>
      <c r="D16022" t="s">
        <v>10150</v>
      </c>
      <c r="E16022" s="3" t="s">
        <v>28</v>
      </c>
      <c r="F16022" s="4">
        <v>2E-45</v>
      </c>
      <c r="G16022" s="3">
        <v>430</v>
      </c>
      <c r="H16022" s="3">
        <v>49</v>
      </c>
      <c r="I16022" s="3">
        <v>227</v>
      </c>
      <c r="J16022" s="3">
        <v>1</v>
      </c>
      <c r="K16022" s="3">
        <v>675</v>
      </c>
      <c r="L16022" s="3">
        <v>228</v>
      </c>
      <c r="M16022" s="3">
        <v>430</v>
      </c>
    </row>
    <row r="16023" spans="1:13" x14ac:dyDescent="0.25">
      <c r="A16023" s="1" t="str">
        <f>HYPERLINK("http://www.rosaceae.org/Prunus/Prunus_persica/p.persica_gdr_reftransV1_0049200","p.persica_gdr_reftransV1_0049200")</f>
        <v>p.persica_gdr_reftransV1_0049200</v>
      </c>
      <c r="B16023" s="3">
        <v>1091</v>
      </c>
      <c r="C16023" s="1" t="str">
        <f>HYPERLINK("http://www.uniprot.org/uniprot/MYB39_ARATH","MYB39_ARATH")</f>
        <v>MYB39_ARATH</v>
      </c>
      <c r="D16023" t="s">
        <v>5930</v>
      </c>
      <c r="E16023" s="3" t="s">
        <v>3</v>
      </c>
      <c r="F16023" s="4">
        <v>8.3099999999999996E-24</v>
      </c>
      <c r="G16023" s="3">
        <v>259</v>
      </c>
      <c r="H16023" s="3">
        <v>79</v>
      </c>
      <c r="I16023" s="3">
        <v>56</v>
      </c>
      <c r="J16023" s="3">
        <v>922</v>
      </c>
      <c r="K16023" s="3">
        <v>1089</v>
      </c>
      <c r="L16023" s="3">
        <v>75</v>
      </c>
      <c r="M16023" s="3">
        <v>130</v>
      </c>
    </row>
    <row r="16024" spans="1:13" x14ac:dyDescent="0.25">
      <c r="A16024" s="1" t="str">
        <f>HYPERLINK("http://www.rosaceae.org/Prunus/Prunus_persica/p.persica_gdr_reftransV1_0000005","p.persica_gdr_reftransV1_0000005")</f>
        <v>p.persica_gdr_reftransV1_0000005</v>
      </c>
      <c r="B16024" s="3">
        <v>4057</v>
      </c>
      <c r="C16024" s="1" t="str">
        <f>HYPERLINK("http://www.uniprot.org/uniprot/FPP7_ARATH","FPP7_ARATH")</f>
        <v>FPP7_ARATH</v>
      </c>
      <c r="D16024" t="s">
        <v>5278</v>
      </c>
      <c r="E16024" s="3" t="s">
        <v>3</v>
      </c>
      <c r="F16024" s="4">
        <v>0</v>
      </c>
      <c r="G16024" s="3">
        <v>1469</v>
      </c>
      <c r="H16024" s="3">
        <v>46</v>
      </c>
      <c r="I16024" s="3">
        <v>769</v>
      </c>
      <c r="J16024" s="3">
        <v>1388</v>
      </c>
      <c r="K16024" s="3">
        <v>3688</v>
      </c>
      <c r="L16024" s="3">
        <v>1</v>
      </c>
      <c r="M16024" s="3">
        <v>676</v>
      </c>
    </row>
    <row r="16025" spans="1:13" x14ac:dyDescent="0.25">
      <c r="A16025" s="1" t="str">
        <f>HYPERLINK("http://www.rosaceae.org/Prunus/Prunus_persica/p.persica_gdr_reftransV1_0000055","p.persica_gdr_reftransV1_0000055")</f>
        <v>p.persica_gdr_reftransV1_0000055</v>
      </c>
      <c r="B16025" s="3">
        <v>807</v>
      </c>
      <c r="C16025" s="1" t="str">
        <f>HYPERLINK("http://www.uniprot.org/uniprot/WDR5A_ARATH","WDR5A_ARATH")</f>
        <v>WDR5A_ARATH</v>
      </c>
      <c r="D16025" t="s">
        <v>10151</v>
      </c>
      <c r="E16025" s="3" t="s">
        <v>3</v>
      </c>
      <c r="F16025" s="4">
        <v>1.27E-115</v>
      </c>
      <c r="G16025" s="3">
        <v>876</v>
      </c>
      <c r="H16025" s="3">
        <v>75</v>
      </c>
      <c r="I16025" s="3">
        <v>222</v>
      </c>
      <c r="J16025" s="3">
        <v>2</v>
      </c>
      <c r="K16025" s="3">
        <v>667</v>
      </c>
      <c r="L16025" s="3">
        <v>10</v>
      </c>
      <c r="M16025" s="3">
        <v>226</v>
      </c>
    </row>
    <row r="16026" spans="1:13" x14ac:dyDescent="0.25">
      <c r="A16026" s="1" t="str">
        <f>HYPERLINK("http://www.rosaceae.org/Prunus/Prunus_persica/p.persica_gdr_reftransV1_0000155","p.persica_gdr_reftransV1_0000155")</f>
        <v>p.persica_gdr_reftransV1_0000155</v>
      </c>
      <c r="B16026" s="3">
        <v>2728</v>
      </c>
      <c r="C16026" s="1" t="str">
        <f>HYPERLINK("http://www.uniprot.org/uniprot/SMC4_ARATH","SMC4_ARATH")</f>
        <v>SMC4_ARATH</v>
      </c>
      <c r="D16026" t="s">
        <v>2571</v>
      </c>
      <c r="E16026" s="3" t="s">
        <v>3</v>
      </c>
      <c r="F16026" s="4">
        <v>0</v>
      </c>
      <c r="G16026" s="3">
        <v>3119</v>
      </c>
      <c r="H16026" s="3">
        <v>73</v>
      </c>
      <c r="I16026" s="3">
        <v>846</v>
      </c>
      <c r="J16026" s="3">
        <v>188</v>
      </c>
      <c r="K16026" s="3">
        <v>2722</v>
      </c>
      <c r="L16026" s="3">
        <v>3</v>
      </c>
      <c r="M16026" s="3">
        <v>845</v>
      </c>
    </row>
    <row r="16027" spans="1:13" x14ac:dyDescent="0.25">
      <c r="A16027" s="1" t="str">
        <f>HYPERLINK("http://www.rosaceae.org/Prunus/Prunus_persica/p.persica_gdr_reftransV1_0000205","p.persica_gdr_reftransV1_0000205")</f>
        <v>p.persica_gdr_reftransV1_0000205</v>
      </c>
      <c r="B16027" s="3">
        <v>2279</v>
      </c>
      <c r="C16027" s="1" t="str">
        <f>HYPERLINK("http://www.uniprot.org/uniprot/YLPM1_RAT","YLPM1_RAT")</f>
        <v>YLPM1_RAT</v>
      </c>
      <c r="D16027" t="s">
        <v>10152</v>
      </c>
      <c r="E16027" s="3" t="s">
        <v>161</v>
      </c>
      <c r="F16027" s="4">
        <v>1.7E-49</v>
      </c>
      <c r="G16027" s="3">
        <v>489</v>
      </c>
      <c r="H16027" s="3">
        <v>48</v>
      </c>
      <c r="I16027" s="3">
        <v>231</v>
      </c>
      <c r="J16027" s="3">
        <v>710</v>
      </c>
      <c r="K16027" s="3">
        <v>1402</v>
      </c>
      <c r="L16027" s="3">
        <v>1036</v>
      </c>
      <c r="M16027" s="3">
        <v>1249</v>
      </c>
    </row>
    <row r="16028" spans="1:13" x14ac:dyDescent="0.25">
      <c r="A16028" s="1" t="str">
        <f>HYPERLINK("http://www.rosaceae.org/Prunus/Prunus_persica/p.persica_gdr_reftransV1_0000305","p.persica_gdr_reftransV1_0000305")</f>
        <v>p.persica_gdr_reftransV1_0000305</v>
      </c>
      <c r="B16028" s="3">
        <v>2658</v>
      </c>
      <c r="C16028" s="1" t="str">
        <f>HYPERLINK("http://www.uniprot.org/uniprot/WRN_HUMAN","WRN_HUMAN")</f>
        <v>WRN_HUMAN</v>
      </c>
      <c r="D16028" t="s">
        <v>10153</v>
      </c>
      <c r="E16028" s="3" t="s">
        <v>28</v>
      </c>
      <c r="F16028" s="4">
        <v>1.35E-103</v>
      </c>
      <c r="G16028" s="3">
        <v>914</v>
      </c>
      <c r="H16028" s="3">
        <v>33</v>
      </c>
      <c r="I16028" s="3">
        <v>741</v>
      </c>
      <c r="J16028" s="3">
        <v>672</v>
      </c>
      <c r="K16028" s="3">
        <v>2657</v>
      </c>
      <c r="L16028" s="3">
        <v>588</v>
      </c>
      <c r="M16028" s="3">
        <v>1312</v>
      </c>
    </row>
    <row r="16029" spans="1:13" x14ac:dyDescent="0.25">
      <c r="A16029" s="1" t="str">
        <f>HYPERLINK("http://www.rosaceae.org/Prunus/Prunus_persica/p.persica_gdr_reftransV1_0000355","p.persica_gdr_reftransV1_0000355")</f>
        <v>p.persica_gdr_reftransV1_0000355</v>
      </c>
      <c r="B16029" s="3">
        <v>1174</v>
      </c>
      <c r="C16029" s="1" t="str">
        <f>HYPERLINK("http://www.uniprot.org/uniprot/MYSB_ACACA","MYSB_ACACA")</f>
        <v>MYSB_ACACA</v>
      </c>
      <c r="D16029" t="s">
        <v>10154</v>
      </c>
      <c r="E16029" s="3" t="s">
        <v>10155</v>
      </c>
      <c r="F16029" s="4">
        <v>6.7000000000000004E-7</v>
      </c>
      <c r="G16029" s="3">
        <v>132</v>
      </c>
      <c r="H16029" s="3">
        <v>43</v>
      </c>
      <c r="I16029" s="3">
        <v>54</v>
      </c>
      <c r="J16029" s="3">
        <v>815</v>
      </c>
      <c r="K16029" s="3">
        <v>976</v>
      </c>
      <c r="L16029" s="3">
        <v>1092</v>
      </c>
      <c r="M16029" s="3">
        <v>1145</v>
      </c>
    </row>
    <row r="16030" spans="1:13" x14ac:dyDescent="0.25">
      <c r="A16030" s="1" t="str">
        <f>HYPERLINK("http://www.rosaceae.org/Prunus/Prunus_persica/p.persica_gdr_reftransV1_0000405","p.persica_gdr_reftransV1_0000405")</f>
        <v>p.persica_gdr_reftransV1_0000405</v>
      </c>
      <c r="B16030" s="3">
        <v>1914</v>
      </c>
      <c r="C16030" s="1" t="str">
        <f>HYPERLINK("http://www.uniprot.org/uniprot/COL14_ARATH","COL14_ARATH")</f>
        <v>COL14_ARATH</v>
      </c>
      <c r="D16030" t="s">
        <v>9917</v>
      </c>
      <c r="E16030" s="3" t="s">
        <v>3</v>
      </c>
      <c r="F16030" s="4">
        <v>2.41E-93</v>
      </c>
      <c r="G16030" s="3">
        <v>768</v>
      </c>
      <c r="H16030" s="3">
        <v>44</v>
      </c>
      <c r="I16030" s="3">
        <v>482</v>
      </c>
      <c r="J16030" s="3">
        <v>322</v>
      </c>
      <c r="K16030" s="3">
        <v>1755</v>
      </c>
      <c r="L16030" s="3">
        <v>10</v>
      </c>
      <c r="M16030" s="3">
        <v>401</v>
      </c>
    </row>
    <row r="16031" spans="1:13" x14ac:dyDescent="0.25">
      <c r="A16031" s="1" t="str">
        <f>HYPERLINK("http://www.rosaceae.org/Prunus/Prunus_persica/p.persica_gdr_reftransV1_0000455","p.persica_gdr_reftransV1_0000455")</f>
        <v>p.persica_gdr_reftransV1_0000455</v>
      </c>
      <c r="B16031" s="3">
        <v>1264</v>
      </c>
      <c r="C16031" s="1" t="str">
        <f>HYPERLINK("http://www.uniprot.org/uniprot/RS33_ARATH","RS33_ARATH")</f>
        <v>RS33_ARATH</v>
      </c>
      <c r="D16031" t="s">
        <v>2140</v>
      </c>
      <c r="E16031" s="3" t="s">
        <v>3</v>
      </c>
      <c r="F16031" s="4">
        <v>5.1799999999999995E-144</v>
      </c>
      <c r="G16031" s="3">
        <v>1073</v>
      </c>
      <c r="H16031" s="3">
        <v>90</v>
      </c>
      <c r="I16031" s="3">
        <v>222</v>
      </c>
      <c r="J16031" s="3">
        <v>502</v>
      </c>
      <c r="K16031" s="3">
        <v>1167</v>
      </c>
      <c r="L16031" s="3">
        <v>1</v>
      </c>
      <c r="M16031" s="3">
        <v>222</v>
      </c>
    </row>
    <row r="16032" spans="1:13" x14ac:dyDescent="0.25">
      <c r="A16032" s="1" t="str">
        <f>HYPERLINK("http://www.rosaceae.org/Prunus/Prunus_persica/p.persica_gdr_reftransV1_0000555","p.persica_gdr_reftransV1_0000555")</f>
        <v>p.persica_gdr_reftransV1_0000555</v>
      </c>
      <c r="B16032" s="3">
        <v>1892</v>
      </c>
      <c r="C16032" s="1" t="str">
        <f>HYPERLINK("http://www.uniprot.org/uniprot/AFS1_MALDO","AFS1_MALDO")</f>
        <v>AFS1_MALDO</v>
      </c>
      <c r="D16032" t="s">
        <v>8352</v>
      </c>
      <c r="E16032" s="3" t="s">
        <v>540</v>
      </c>
      <c r="F16032" s="4">
        <v>0</v>
      </c>
      <c r="G16032" s="3">
        <v>1848</v>
      </c>
      <c r="H16032" s="3">
        <v>67</v>
      </c>
      <c r="I16032" s="3">
        <v>561</v>
      </c>
      <c r="J16032" s="3">
        <v>45</v>
      </c>
      <c r="K16032" s="3">
        <v>1718</v>
      </c>
      <c r="L16032" s="3">
        <v>18</v>
      </c>
      <c r="M16032" s="3">
        <v>575</v>
      </c>
    </row>
    <row r="16033" spans="1:13" x14ac:dyDescent="0.25">
      <c r="A16033" s="1" t="str">
        <f>HYPERLINK("http://www.rosaceae.org/Prunus/Prunus_persica/p.persica_gdr_reftransV1_0000605","p.persica_gdr_reftransV1_0000605")</f>
        <v>p.persica_gdr_reftransV1_0000605</v>
      </c>
      <c r="B16033" s="3">
        <v>629</v>
      </c>
      <c r="C16033" s="1" t="str">
        <f>HYPERLINK("http://www.uniprot.org/uniprot/TCTP_SOLTU","TCTP_SOLTU")</f>
        <v>TCTP_SOLTU</v>
      </c>
      <c r="D16033" t="s">
        <v>10156</v>
      </c>
      <c r="E16033" s="3" t="s">
        <v>11</v>
      </c>
      <c r="F16033" s="4">
        <v>2.0500000000000002E-34</v>
      </c>
      <c r="G16033" s="3">
        <v>315</v>
      </c>
      <c r="H16033" s="3">
        <v>63</v>
      </c>
      <c r="I16033" s="3">
        <v>104</v>
      </c>
      <c r="J16033" s="3">
        <v>76</v>
      </c>
      <c r="K16033" s="3">
        <v>387</v>
      </c>
      <c r="L16033" s="3">
        <v>1</v>
      </c>
      <c r="M16033" s="3">
        <v>104</v>
      </c>
    </row>
    <row r="16034" spans="1:13" x14ac:dyDescent="0.25">
      <c r="A16034" s="1" t="str">
        <f>HYPERLINK("http://www.rosaceae.org/Prunus/Prunus_persica/p.persica_gdr_reftransV1_0000655","p.persica_gdr_reftransV1_0000655")</f>
        <v>p.persica_gdr_reftransV1_0000655</v>
      </c>
      <c r="B16034" s="3">
        <v>2758</v>
      </c>
      <c r="C16034" s="1" t="str">
        <f>HYPERLINK("http://www.uniprot.org/uniprot/FUBP3_HUMAN","FUBP3_HUMAN")</f>
        <v>FUBP3_HUMAN</v>
      </c>
      <c r="D16034" t="s">
        <v>3270</v>
      </c>
      <c r="E16034" s="3" t="s">
        <v>28</v>
      </c>
      <c r="F16034" s="4">
        <v>8.2700000000000001E-19</v>
      </c>
      <c r="G16034" s="3">
        <v>235</v>
      </c>
      <c r="H16034" s="3">
        <v>34</v>
      </c>
      <c r="I16034" s="3">
        <v>171</v>
      </c>
      <c r="J16034" s="3">
        <v>715</v>
      </c>
      <c r="K16034" s="3">
        <v>1224</v>
      </c>
      <c r="L16034" s="3">
        <v>78</v>
      </c>
      <c r="M16034" s="3">
        <v>234</v>
      </c>
    </row>
    <row r="16035" spans="1:13" x14ac:dyDescent="0.25">
      <c r="A16035" s="1" t="str">
        <f>HYPERLINK("http://www.rosaceae.org/Prunus/Prunus_persica/p.persica_gdr_reftransV1_0000705","p.persica_gdr_reftransV1_0000705")</f>
        <v>p.persica_gdr_reftransV1_0000705</v>
      </c>
      <c r="B16035" s="3">
        <v>1618</v>
      </c>
      <c r="C16035" s="1" t="str">
        <f>HYPERLINK("http://www.uniprot.org/uniprot/C7A29_PANGI","C7A29_PANGI")</f>
        <v>C7A29_PANGI</v>
      </c>
      <c r="D16035" t="s">
        <v>3855</v>
      </c>
      <c r="E16035" s="3" t="s">
        <v>1477</v>
      </c>
      <c r="F16035" s="4">
        <v>8.6899999999999997E-133</v>
      </c>
      <c r="G16035" s="3">
        <v>967</v>
      </c>
      <c r="H16035" s="3">
        <v>54</v>
      </c>
      <c r="I16035" s="3">
        <v>336</v>
      </c>
      <c r="J16035" s="3">
        <v>64</v>
      </c>
      <c r="K16035" s="3">
        <v>1047</v>
      </c>
      <c r="L16035" s="3">
        <v>182</v>
      </c>
      <c r="M16035" s="3">
        <v>517</v>
      </c>
    </row>
    <row r="16036" spans="1:13" x14ac:dyDescent="0.25">
      <c r="A16036" s="1" t="str">
        <f>HYPERLINK("http://www.rosaceae.org/Prunus/Prunus_persica/p.persica_gdr_reftransV1_0000855","p.persica_gdr_reftransV1_0000855")</f>
        <v>p.persica_gdr_reftransV1_0000855</v>
      </c>
      <c r="B16036" s="3">
        <v>443</v>
      </c>
      <c r="C16036" s="1" t="str">
        <f>HYPERLINK("http://www.uniprot.org/uniprot/DRB3_ARATH","DRB3_ARATH")</f>
        <v>DRB3_ARATH</v>
      </c>
      <c r="D16036" t="s">
        <v>1675</v>
      </c>
      <c r="E16036" s="3" t="s">
        <v>3</v>
      </c>
      <c r="F16036" s="4">
        <v>4.1299999999999997E-79</v>
      </c>
      <c r="G16036" s="3">
        <v>624</v>
      </c>
      <c r="H16036" s="3">
        <v>85</v>
      </c>
      <c r="I16036" s="3">
        <v>132</v>
      </c>
      <c r="J16036" s="3">
        <v>47</v>
      </c>
      <c r="K16036" s="3">
        <v>442</v>
      </c>
      <c r="L16036" s="3">
        <v>24</v>
      </c>
      <c r="M16036" s="3">
        <v>155</v>
      </c>
    </row>
    <row r="16037" spans="1:13" x14ac:dyDescent="0.25">
      <c r="A16037" s="1" t="str">
        <f>HYPERLINK("http://www.rosaceae.org/Prunus/Prunus_persica/p.persica_gdr_reftransV1_0000905","p.persica_gdr_reftransV1_0000905")</f>
        <v>p.persica_gdr_reftransV1_0000905</v>
      </c>
      <c r="B16037" s="3">
        <v>1627</v>
      </c>
      <c r="C16037" s="1" t="str">
        <f>HYPERLINK("http://www.uniprot.org/uniprot/TMVRN_NICGU","TMVRN_NICGU")</f>
        <v>TMVRN_NICGU</v>
      </c>
      <c r="D16037" t="s">
        <v>151</v>
      </c>
      <c r="E16037" s="3" t="s">
        <v>152</v>
      </c>
      <c r="F16037" s="4">
        <v>4.8899999999999998E-125</v>
      </c>
      <c r="G16037" s="3">
        <v>1028</v>
      </c>
      <c r="H16037" s="3">
        <v>44</v>
      </c>
      <c r="I16037" s="3">
        <v>524</v>
      </c>
      <c r="J16037" s="3">
        <v>16</v>
      </c>
      <c r="K16037" s="3">
        <v>1533</v>
      </c>
      <c r="L16037" s="3">
        <v>10</v>
      </c>
      <c r="M16037" s="3">
        <v>527</v>
      </c>
    </row>
    <row r="16038" spans="1:13" x14ac:dyDescent="0.25">
      <c r="A16038" s="1" t="str">
        <f>HYPERLINK("http://www.rosaceae.org/Prunus/Prunus_persica/p.persica_gdr_reftransV1_0000955","p.persica_gdr_reftransV1_0000955")</f>
        <v>p.persica_gdr_reftransV1_0000955</v>
      </c>
      <c r="B16038" s="3">
        <v>1845</v>
      </c>
      <c r="C16038" s="1" t="str">
        <f>HYPERLINK("http://www.uniprot.org/uniprot/CSLG2_ARATH","CSLG2_ARATH")</f>
        <v>CSLG2_ARATH</v>
      </c>
      <c r="D16038" t="s">
        <v>10157</v>
      </c>
      <c r="E16038" s="3" t="s">
        <v>3</v>
      </c>
      <c r="F16038" s="4">
        <v>7.9499999999999994E-117</v>
      </c>
      <c r="G16038" s="3">
        <v>952</v>
      </c>
      <c r="H16038" s="3">
        <v>35</v>
      </c>
      <c r="I16038" s="3">
        <v>604</v>
      </c>
      <c r="J16038" s="3">
        <v>101</v>
      </c>
      <c r="K16038" s="3">
        <v>1843</v>
      </c>
      <c r="L16038" s="3">
        <v>148</v>
      </c>
      <c r="M16038" s="3">
        <v>713</v>
      </c>
    </row>
    <row r="16039" spans="1:13" x14ac:dyDescent="0.25">
      <c r="A16039" s="1" t="str">
        <f>HYPERLINK("http://www.rosaceae.org/Prunus/Prunus_persica/p.persica_gdr_reftransV1_0001005","p.persica_gdr_reftransV1_0001005")</f>
        <v>p.persica_gdr_reftransV1_0001005</v>
      </c>
      <c r="B16039" s="3">
        <v>368</v>
      </c>
      <c r="C16039" s="1" t="str">
        <f>HYPERLINK("http://www.uniprot.org/uniprot/C76C1_ARATH","C76C1_ARATH")</f>
        <v>C76C1_ARATH</v>
      </c>
      <c r="D16039" t="s">
        <v>10158</v>
      </c>
      <c r="E16039" s="3" t="s">
        <v>3</v>
      </c>
      <c r="F16039" s="4">
        <v>8.9900000000000004E-8</v>
      </c>
      <c r="G16039" s="3">
        <v>127</v>
      </c>
      <c r="H16039" s="3">
        <v>48</v>
      </c>
      <c r="I16039" s="3">
        <v>50</v>
      </c>
      <c r="J16039" s="3">
        <v>217</v>
      </c>
      <c r="K16039" s="3">
        <v>366</v>
      </c>
      <c r="L16039" s="3">
        <v>59</v>
      </c>
      <c r="M16039" s="3">
        <v>108</v>
      </c>
    </row>
    <row r="16040" spans="1:13" x14ac:dyDescent="0.25">
      <c r="A16040" s="1" t="str">
        <f>HYPERLINK("http://www.rosaceae.org/Prunus/Prunus_persica/p.persica_gdr_reftransV1_0001105","p.persica_gdr_reftransV1_0001105")</f>
        <v>p.persica_gdr_reftransV1_0001105</v>
      </c>
      <c r="B16040" s="3">
        <v>3050</v>
      </c>
      <c r="C16040" s="1" t="str">
        <f>HYPERLINK("http://www.uniprot.org/uniprot/CTF18_XENLA","CTF18_XENLA")</f>
        <v>CTF18_XENLA</v>
      </c>
      <c r="D16040" t="s">
        <v>7991</v>
      </c>
      <c r="E16040" s="3" t="s">
        <v>475</v>
      </c>
      <c r="F16040" s="4">
        <v>7.7600000000000005E-66</v>
      </c>
      <c r="G16040" s="3">
        <v>622</v>
      </c>
      <c r="H16040" s="3">
        <v>38</v>
      </c>
      <c r="I16040" s="3">
        <v>425</v>
      </c>
      <c r="J16040" s="3">
        <v>534</v>
      </c>
      <c r="K16040" s="3">
        <v>1736</v>
      </c>
      <c r="L16040" s="3">
        <v>301</v>
      </c>
      <c r="M16040" s="3">
        <v>685</v>
      </c>
    </row>
    <row r="16041" spans="1:13" x14ac:dyDescent="0.25">
      <c r="A16041" s="1" t="str">
        <f>HYPERLINK("http://www.rosaceae.org/Prunus/Prunus_persica/p.persica_gdr_reftransV1_0001255","p.persica_gdr_reftransV1_0001255")</f>
        <v>p.persica_gdr_reftransV1_0001255</v>
      </c>
      <c r="B16041" s="3">
        <v>1244</v>
      </c>
      <c r="C16041" s="1" t="str">
        <f>HYPERLINK("http://www.uniprot.org/uniprot/MORF1_ARATH","MORF1_ARATH")</f>
        <v>MORF1_ARATH</v>
      </c>
      <c r="D16041" t="s">
        <v>10159</v>
      </c>
      <c r="E16041" s="3" t="s">
        <v>3</v>
      </c>
      <c r="F16041" s="4">
        <v>5.1299999999999998E-60</v>
      </c>
      <c r="G16041" s="3">
        <v>525</v>
      </c>
      <c r="H16041" s="3">
        <v>57</v>
      </c>
      <c r="I16041" s="3">
        <v>188</v>
      </c>
      <c r="J16041" s="3">
        <v>348</v>
      </c>
      <c r="K16041" s="3">
        <v>893</v>
      </c>
      <c r="L16041" s="3">
        <v>71</v>
      </c>
      <c r="M16041" s="3">
        <v>248</v>
      </c>
    </row>
    <row r="16042" spans="1:13" x14ac:dyDescent="0.25">
      <c r="A16042" s="1" t="str">
        <f>HYPERLINK("http://www.rosaceae.org/Prunus/Prunus_persica/p.persica_gdr_reftransV1_0001305","p.persica_gdr_reftransV1_0001305")</f>
        <v>p.persica_gdr_reftransV1_0001305</v>
      </c>
      <c r="B16042" s="3">
        <v>909</v>
      </c>
      <c r="C16042" s="1" t="str">
        <f>HYPERLINK("http://www.uniprot.org/uniprot/Y3720_ARATH","Y3720_ARATH")</f>
        <v>Y3720_ARATH</v>
      </c>
      <c r="D16042" t="s">
        <v>104</v>
      </c>
      <c r="E16042" s="3" t="s">
        <v>3</v>
      </c>
      <c r="F16042" s="4">
        <v>3.3700000000000002E-19</v>
      </c>
      <c r="G16042" s="3">
        <v>224</v>
      </c>
      <c r="H16042" s="3">
        <v>31</v>
      </c>
      <c r="I16042" s="3">
        <v>186</v>
      </c>
      <c r="J16042" s="3">
        <v>139</v>
      </c>
      <c r="K16042" s="3">
        <v>627</v>
      </c>
      <c r="L16042" s="3">
        <v>45</v>
      </c>
      <c r="M16042" s="3">
        <v>219</v>
      </c>
    </row>
    <row r="16043" spans="1:13" x14ac:dyDescent="0.25">
      <c r="A16043" s="1" t="str">
        <f>HYPERLINK("http://www.rosaceae.org/Prunus/Prunus_persica/p.persica_gdr_reftransV1_0001405","p.persica_gdr_reftransV1_0001405")</f>
        <v>p.persica_gdr_reftransV1_0001405</v>
      </c>
      <c r="B16043" s="3">
        <v>1545</v>
      </c>
      <c r="C16043" s="1" t="str">
        <f>HYPERLINK("http://www.uniprot.org/uniprot/COX15_ARATH","COX15_ARATH")</f>
        <v>COX15_ARATH</v>
      </c>
      <c r="D16043" t="s">
        <v>159</v>
      </c>
      <c r="E16043" s="3" t="s">
        <v>3</v>
      </c>
      <c r="F16043" s="4">
        <v>0</v>
      </c>
      <c r="G16043" s="3">
        <v>1640</v>
      </c>
      <c r="H16043" s="3">
        <v>81</v>
      </c>
      <c r="I16043" s="3">
        <v>369</v>
      </c>
      <c r="J16043" s="3">
        <v>211</v>
      </c>
      <c r="K16043" s="3">
        <v>1317</v>
      </c>
      <c r="L16043" s="3">
        <v>55</v>
      </c>
      <c r="M16043" s="3">
        <v>423</v>
      </c>
    </row>
    <row r="16044" spans="1:13" x14ac:dyDescent="0.25">
      <c r="A16044" s="1" t="str">
        <f>HYPERLINK("http://www.rosaceae.org/Prunus/Prunus_persica/p.persica_gdr_reftransV1_0001455","p.persica_gdr_reftransV1_0001455")</f>
        <v>p.persica_gdr_reftransV1_0001455</v>
      </c>
      <c r="B16044" s="3">
        <v>2114</v>
      </c>
      <c r="C16044" s="1" t="str">
        <f>HYPERLINK("http://www.uniprot.org/uniprot/PEK10_ARATH","PEK10_ARATH")</f>
        <v>PEK10_ARATH</v>
      </c>
      <c r="D16044" t="s">
        <v>9678</v>
      </c>
      <c r="E16044" s="3" t="s">
        <v>3</v>
      </c>
      <c r="F16044" s="4">
        <v>1.27E-70</v>
      </c>
      <c r="G16044" s="3">
        <v>639</v>
      </c>
      <c r="H16044" s="3">
        <v>66</v>
      </c>
      <c r="I16044" s="3">
        <v>187</v>
      </c>
      <c r="J16044" s="3">
        <v>1</v>
      </c>
      <c r="K16044" s="3">
        <v>549</v>
      </c>
      <c r="L16044" s="3">
        <v>351</v>
      </c>
      <c r="M16044" s="3">
        <v>537</v>
      </c>
    </row>
    <row r="16045" spans="1:13" x14ac:dyDescent="0.25">
      <c r="A16045" s="1" t="str">
        <f>HYPERLINK("http://www.rosaceae.org/Prunus/Prunus_persica/p.persica_gdr_reftransV1_0001555","p.persica_gdr_reftransV1_0001555")</f>
        <v>p.persica_gdr_reftransV1_0001555</v>
      </c>
      <c r="B16045" s="3">
        <v>1158</v>
      </c>
      <c r="C16045" s="1" t="str">
        <f>HYPERLINK("http://www.uniprot.org/uniprot/RS4_SOLTU","RS4_SOLTU")</f>
        <v>RS4_SOLTU</v>
      </c>
      <c r="D16045" t="s">
        <v>9518</v>
      </c>
      <c r="E16045" s="3" t="s">
        <v>11</v>
      </c>
      <c r="F16045" s="4">
        <v>1.7400000000000001E-161</v>
      </c>
      <c r="G16045" s="3">
        <v>1186</v>
      </c>
      <c r="H16045" s="3">
        <v>92</v>
      </c>
      <c r="I16045" s="3">
        <v>255</v>
      </c>
      <c r="J16045" s="3">
        <v>290</v>
      </c>
      <c r="K16045" s="3">
        <v>1054</v>
      </c>
      <c r="L16045" s="3">
        <v>1</v>
      </c>
      <c r="M16045" s="3">
        <v>255</v>
      </c>
    </row>
    <row r="16046" spans="1:13" x14ac:dyDescent="0.25">
      <c r="A16046" s="1" t="str">
        <f>HYPERLINK("http://www.rosaceae.org/Prunus/Prunus_persica/p.persica_gdr_reftransV1_0001605","p.persica_gdr_reftransV1_0001605")</f>
        <v>p.persica_gdr_reftransV1_0001605</v>
      </c>
      <c r="B16046" s="3">
        <v>896</v>
      </c>
      <c r="C16046" s="1" t="str">
        <f>HYPERLINK("http://www.uniprot.org/uniprot/DFC_ARATH","DFC_ARATH")</f>
        <v>DFC_ARATH</v>
      </c>
      <c r="D16046" t="s">
        <v>2725</v>
      </c>
      <c r="E16046" s="3" t="s">
        <v>3</v>
      </c>
      <c r="F16046" s="4">
        <v>1.49E-34</v>
      </c>
      <c r="G16046" s="3">
        <v>323</v>
      </c>
      <c r="H16046" s="3">
        <v>47</v>
      </c>
      <c r="I16046" s="3">
        <v>154</v>
      </c>
      <c r="J16046" s="3">
        <v>237</v>
      </c>
      <c r="K16046" s="3">
        <v>698</v>
      </c>
      <c r="L16046" s="3">
        <v>4</v>
      </c>
      <c r="M16046" s="3">
        <v>154</v>
      </c>
    </row>
    <row r="16047" spans="1:13" x14ac:dyDescent="0.25">
      <c r="A16047" s="1" t="str">
        <f>HYPERLINK("http://www.rosaceae.org/Prunus/Prunus_persica/p.persica_gdr_reftransV1_0001705","p.persica_gdr_reftransV1_0001705")</f>
        <v>p.persica_gdr_reftransV1_0001705</v>
      </c>
      <c r="B16047" s="3">
        <v>3627</v>
      </c>
      <c r="C16047" s="1" t="str">
        <f>HYPERLINK("http://www.uniprot.org/uniprot/AB9B_ARATH","AB9B_ARATH")</f>
        <v>AB9B_ARATH</v>
      </c>
      <c r="D16047" t="s">
        <v>8706</v>
      </c>
      <c r="E16047" s="3" t="s">
        <v>3</v>
      </c>
      <c r="F16047" s="4">
        <v>0</v>
      </c>
      <c r="G16047" s="3">
        <v>4065</v>
      </c>
      <c r="H16047" s="3">
        <v>72</v>
      </c>
      <c r="I16047" s="3">
        <v>1154</v>
      </c>
      <c r="J16047" s="3">
        <v>162</v>
      </c>
      <c r="K16047" s="3">
        <v>3623</v>
      </c>
      <c r="L16047" s="3">
        <v>109</v>
      </c>
      <c r="M16047" s="3">
        <v>1236</v>
      </c>
    </row>
    <row r="16048" spans="1:13" x14ac:dyDescent="0.25">
      <c r="A16048" s="1" t="str">
        <f>HYPERLINK("http://www.rosaceae.org/Prunus/Prunus_persica/p.persica_gdr_reftransV1_0001755","p.persica_gdr_reftransV1_0001755")</f>
        <v>p.persica_gdr_reftransV1_0001755</v>
      </c>
      <c r="B16048" s="3">
        <v>486</v>
      </c>
      <c r="C16048" s="1" t="str">
        <f>HYPERLINK("http://www.uniprot.org/uniprot/PHYLO_ARATH","PHYLO_ARATH")</f>
        <v>PHYLO_ARATH</v>
      </c>
      <c r="D16048" t="s">
        <v>6655</v>
      </c>
      <c r="E16048" s="3" t="s">
        <v>3</v>
      </c>
      <c r="F16048" s="4">
        <v>7.9700000000000002E-49</v>
      </c>
      <c r="G16048" s="3">
        <v>443</v>
      </c>
      <c r="H16048" s="3">
        <v>58</v>
      </c>
      <c r="I16048" s="3">
        <v>162</v>
      </c>
      <c r="J16048" s="3">
        <v>3</v>
      </c>
      <c r="K16048" s="3">
        <v>485</v>
      </c>
      <c r="L16048" s="3">
        <v>77</v>
      </c>
      <c r="M16048" s="3">
        <v>237</v>
      </c>
    </row>
    <row r="16049" spans="1:13" x14ac:dyDescent="0.25">
      <c r="A16049" s="1" t="str">
        <f>HYPERLINK("http://www.rosaceae.org/Prunus/Prunus_persica/p.persica_gdr_reftransV1_0001805","p.persica_gdr_reftransV1_0001805")</f>
        <v>p.persica_gdr_reftransV1_0001805</v>
      </c>
      <c r="B16049" s="3">
        <v>1199</v>
      </c>
      <c r="C16049" s="1" t="str">
        <f>HYPERLINK("http://www.uniprot.org/uniprot/EXL3_ARATH","EXL3_ARATH")</f>
        <v>EXL3_ARATH</v>
      </c>
      <c r="D16049" t="s">
        <v>30</v>
      </c>
      <c r="E16049" s="3" t="s">
        <v>3</v>
      </c>
      <c r="F16049" s="4">
        <v>3.55E-155</v>
      </c>
      <c r="G16049" s="3">
        <v>1156</v>
      </c>
      <c r="H16049" s="3">
        <v>62</v>
      </c>
      <c r="I16049" s="3">
        <v>352</v>
      </c>
      <c r="J16049" s="3">
        <v>21</v>
      </c>
      <c r="K16049" s="3">
        <v>1073</v>
      </c>
      <c r="L16049" s="3">
        <v>18</v>
      </c>
      <c r="M16049" s="3">
        <v>364</v>
      </c>
    </row>
    <row r="16050" spans="1:13" x14ac:dyDescent="0.25">
      <c r="A16050" s="1" t="str">
        <f>HYPERLINK("http://www.rosaceae.org/Prunus/Prunus_persica/p.persica_gdr_reftransV1_0001955","p.persica_gdr_reftransV1_0001955")</f>
        <v>p.persica_gdr_reftransV1_0001955</v>
      </c>
      <c r="B16050" s="3">
        <v>752</v>
      </c>
      <c r="C16050" s="1" t="str">
        <f>HYPERLINK("http://www.uniprot.org/uniprot/Y1571_ARATH","Y1571_ARATH")</f>
        <v>Y1571_ARATH</v>
      </c>
      <c r="D16050" t="s">
        <v>2449</v>
      </c>
      <c r="E16050" s="3" t="s">
        <v>3</v>
      </c>
      <c r="F16050" s="4">
        <v>2.45E-56</v>
      </c>
      <c r="G16050" s="3">
        <v>506</v>
      </c>
      <c r="H16050" s="3">
        <v>56</v>
      </c>
      <c r="I16050" s="3">
        <v>176</v>
      </c>
      <c r="J16050" s="3">
        <v>223</v>
      </c>
      <c r="K16050" s="3">
        <v>750</v>
      </c>
      <c r="L16050" s="3">
        <v>955</v>
      </c>
      <c r="M16050" s="3">
        <v>1120</v>
      </c>
    </row>
    <row r="16051" spans="1:13" x14ac:dyDescent="0.25">
      <c r="A16051" s="1" t="str">
        <f>HYPERLINK("http://www.rosaceae.org/Prunus/Prunus_persica/p.persica_gdr_reftransV1_0002005","p.persica_gdr_reftransV1_0002005")</f>
        <v>p.persica_gdr_reftransV1_0002005</v>
      </c>
      <c r="B16051" s="3">
        <v>1381</v>
      </c>
      <c r="C16051" s="1" t="str">
        <f>HYPERLINK("http://www.uniprot.org/uniprot/Y1736_ARATH","Y1736_ARATH")</f>
        <v>Y1736_ARATH</v>
      </c>
      <c r="D16051" t="s">
        <v>10160</v>
      </c>
      <c r="E16051" s="3" t="s">
        <v>3</v>
      </c>
      <c r="F16051" s="4">
        <v>2.0000000000000001E-68</v>
      </c>
      <c r="G16051" s="3">
        <v>572</v>
      </c>
      <c r="H16051" s="3">
        <v>61</v>
      </c>
      <c r="I16051" s="3">
        <v>195</v>
      </c>
      <c r="J16051" s="3">
        <v>652</v>
      </c>
      <c r="K16051" s="3">
        <v>1236</v>
      </c>
      <c r="L16051" s="3">
        <v>8</v>
      </c>
      <c r="M16051" s="3">
        <v>202</v>
      </c>
    </row>
    <row r="16052" spans="1:13" x14ac:dyDescent="0.25">
      <c r="A16052" s="1" t="str">
        <f>HYPERLINK("http://www.rosaceae.org/Prunus/Prunus_persica/p.persica_gdr_reftransV1_0002055","p.persica_gdr_reftransV1_0002055")</f>
        <v>p.persica_gdr_reftransV1_0002055</v>
      </c>
      <c r="B16052" s="3">
        <v>370</v>
      </c>
      <c r="C16052" s="1" t="str">
        <f>HYPERLINK("http://www.uniprot.org/uniprot/TMVRN_NICGU","TMVRN_NICGU")</f>
        <v>TMVRN_NICGU</v>
      </c>
      <c r="D16052" t="s">
        <v>151</v>
      </c>
      <c r="E16052" s="3" t="s">
        <v>152</v>
      </c>
      <c r="F16052" s="4">
        <v>1.16E-24</v>
      </c>
      <c r="G16052" s="3">
        <v>257</v>
      </c>
      <c r="H16052" s="3">
        <v>56</v>
      </c>
      <c r="I16052" s="3">
        <v>84</v>
      </c>
      <c r="J16052" s="3">
        <v>3</v>
      </c>
      <c r="K16052" s="3">
        <v>254</v>
      </c>
      <c r="L16052" s="3">
        <v>9</v>
      </c>
      <c r="M16052" s="3">
        <v>92</v>
      </c>
    </row>
    <row r="16053" spans="1:13" x14ac:dyDescent="0.25">
      <c r="A16053" s="1" t="str">
        <f>HYPERLINK("http://www.rosaceae.org/Prunus/Prunus_persica/p.persica_gdr_reftransV1_0002155","p.persica_gdr_reftransV1_0002155")</f>
        <v>p.persica_gdr_reftransV1_0002155</v>
      </c>
      <c r="B16053" s="3">
        <v>2824</v>
      </c>
      <c r="C16053" s="1" t="str">
        <f>HYPERLINK("http://www.uniprot.org/uniprot/METE_CATRO","METE_CATRO")</f>
        <v>METE_CATRO</v>
      </c>
      <c r="D16053" t="s">
        <v>5889</v>
      </c>
      <c r="E16053" s="3" t="s">
        <v>457</v>
      </c>
      <c r="F16053" s="4">
        <v>0</v>
      </c>
      <c r="G16053" s="3">
        <v>3670</v>
      </c>
      <c r="H16053" s="3">
        <v>90</v>
      </c>
      <c r="I16053" s="3">
        <v>765</v>
      </c>
      <c r="J16053" s="3">
        <v>197</v>
      </c>
      <c r="K16053" s="3">
        <v>2491</v>
      </c>
      <c r="L16053" s="3">
        <v>1</v>
      </c>
      <c r="M16053" s="3">
        <v>765</v>
      </c>
    </row>
    <row r="16054" spans="1:13" x14ac:dyDescent="0.25">
      <c r="A16054" s="1" t="str">
        <f>HYPERLINK("http://www.rosaceae.org/Prunus/Prunus_persica/p.persica_gdr_reftransV1_0002205","p.persica_gdr_reftransV1_0002205")</f>
        <v>p.persica_gdr_reftransV1_0002205</v>
      </c>
      <c r="B16054" s="3">
        <v>1554</v>
      </c>
      <c r="C16054" s="1" t="str">
        <f>HYPERLINK("http://www.uniprot.org/uniprot/QPCT_ARATH","QPCT_ARATH")</f>
        <v>QPCT_ARATH</v>
      </c>
      <c r="D16054" t="s">
        <v>10161</v>
      </c>
      <c r="E16054" s="3" t="s">
        <v>3</v>
      </c>
      <c r="F16054" s="4">
        <v>2.94E-84</v>
      </c>
      <c r="G16054" s="3">
        <v>690</v>
      </c>
      <c r="H16054" s="3">
        <v>75</v>
      </c>
      <c r="I16054" s="3">
        <v>169</v>
      </c>
      <c r="J16054" s="3">
        <v>402</v>
      </c>
      <c r="K16054" s="3">
        <v>908</v>
      </c>
      <c r="L16054" s="3">
        <v>70</v>
      </c>
      <c r="M16054" s="3">
        <v>238</v>
      </c>
    </row>
    <row r="16055" spans="1:13" x14ac:dyDescent="0.25">
      <c r="A16055" s="1" t="str">
        <f>HYPERLINK("http://www.rosaceae.org/Prunus/Prunus_persica/p.persica_gdr_reftransV1_0002255","p.persica_gdr_reftransV1_0002255")</f>
        <v>p.persica_gdr_reftransV1_0002255</v>
      </c>
      <c r="B16055" s="3">
        <v>4415</v>
      </c>
      <c r="C16055" s="1" t="str">
        <f>HYPERLINK("http://www.uniprot.org/uniprot/CRWN1_ARATH","CRWN1_ARATH")</f>
        <v>CRWN1_ARATH</v>
      </c>
      <c r="D16055" t="s">
        <v>2530</v>
      </c>
      <c r="E16055" s="3" t="s">
        <v>3</v>
      </c>
      <c r="F16055" s="4">
        <v>0</v>
      </c>
      <c r="G16055" s="3">
        <v>2108</v>
      </c>
      <c r="H16055" s="3">
        <v>48</v>
      </c>
      <c r="I16055" s="3">
        <v>1229</v>
      </c>
      <c r="J16055" s="3">
        <v>423</v>
      </c>
      <c r="K16055" s="3">
        <v>4037</v>
      </c>
      <c r="L16055" s="3">
        <v>1</v>
      </c>
      <c r="M16055" s="3">
        <v>1132</v>
      </c>
    </row>
    <row r="16056" spans="1:13" x14ac:dyDescent="0.25">
      <c r="A16056" s="1" t="str">
        <f>HYPERLINK("http://www.rosaceae.org/Prunus/Prunus_persica/p.persica_gdr_reftransV1_0002405","p.persica_gdr_reftransV1_0002405")</f>
        <v>p.persica_gdr_reftransV1_0002405</v>
      </c>
      <c r="B16056" s="3">
        <v>709</v>
      </c>
      <c r="C16056" s="1" t="str">
        <f>HYPERLINK("http://www.uniprot.org/uniprot/AB20G_ARATH","AB20G_ARATH")</f>
        <v>AB20G_ARATH</v>
      </c>
      <c r="D16056" t="s">
        <v>6286</v>
      </c>
      <c r="E16056" s="3" t="s">
        <v>3</v>
      </c>
      <c r="F16056" s="4">
        <v>2.46E-98</v>
      </c>
      <c r="G16056" s="3">
        <v>790</v>
      </c>
      <c r="H16056" s="3">
        <v>83</v>
      </c>
      <c r="I16056" s="3">
        <v>217</v>
      </c>
      <c r="J16056" s="3">
        <v>21</v>
      </c>
      <c r="K16056" s="3">
        <v>671</v>
      </c>
      <c r="L16056" s="3">
        <v>523</v>
      </c>
      <c r="M16056" s="3">
        <v>739</v>
      </c>
    </row>
    <row r="16057" spans="1:13" x14ac:dyDescent="0.25">
      <c r="A16057" s="1" t="str">
        <f>HYPERLINK("http://www.rosaceae.org/Prunus/Prunus_persica/p.persica_gdr_reftransV1_0002455","p.persica_gdr_reftransV1_0002455")</f>
        <v>p.persica_gdr_reftransV1_0002455</v>
      </c>
      <c r="B16057" s="3">
        <v>1519</v>
      </c>
      <c r="C16057" s="1" t="str">
        <f>HYPERLINK("http://www.uniprot.org/uniprot/RL18_THERP","RL18_THERP")</f>
        <v>RL18_THERP</v>
      </c>
      <c r="D16057" t="s">
        <v>10162</v>
      </c>
      <c r="E16057" s="3" t="s">
        <v>10163</v>
      </c>
      <c r="F16057" s="4">
        <v>4.2199999999999999E-7</v>
      </c>
      <c r="G16057" s="3">
        <v>126</v>
      </c>
      <c r="H16057" s="3">
        <v>51</v>
      </c>
      <c r="I16057" s="3">
        <v>45</v>
      </c>
      <c r="J16057" s="3">
        <v>855</v>
      </c>
      <c r="K16057" s="3">
        <v>989</v>
      </c>
      <c r="L16057" s="3">
        <v>25</v>
      </c>
      <c r="M16057" s="3">
        <v>69</v>
      </c>
    </row>
    <row r="16058" spans="1:13" x14ac:dyDescent="0.25">
      <c r="A16058" s="1" t="str">
        <f>HYPERLINK("http://www.rosaceae.org/Prunus/Prunus_persica/p.persica_gdr_reftransV1_0002505","p.persica_gdr_reftransV1_0002505")</f>
        <v>p.persica_gdr_reftransV1_0002505</v>
      </c>
      <c r="B16058" s="3">
        <v>1845</v>
      </c>
      <c r="C16058" s="1" t="str">
        <f>HYPERLINK("http://www.uniprot.org/uniprot/FAD3C_RICCO","FAD3C_RICCO")</f>
        <v>FAD3C_RICCO</v>
      </c>
      <c r="D16058" t="s">
        <v>9675</v>
      </c>
      <c r="E16058" s="3" t="s">
        <v>421</v>
      </c>
      <c r="F16058" s="4">
        <v>0</v>
      </c>
      <c r="G16058" s="3">
        <v>1803</v>
      </c>
      <c r="H16058" s="3">
        <v>78</v>
      </c>
      <c r="I16058" s="3">
        <v>453</v>
      </c>
      <c r="J16058" s="3">
        <v>239</v>
      </c>
      <c r="K16058" s="3">
        <v>1573</v>
      </c>
      <c r="L16058" s="3">
        <v>1</v>
      </c>
      <c r="M16058" s="3">
        <v>453</v>
      </c>
    </row>
    <row r="16059" spans="1:13" x14ac:dyDescent="0.25">
      <c r="A16059" s="1" t="str">
        <f>HYPERLINK("http://www.rosaceae.org/Prunus/Prunus_persica/p.persica_gdr_reftransV1_0002555","p.persica_gdr_reftransV1_0002555")</f>
        <v>p.persica_gdr_reftransV1_0002555</v>
      </c>
      <c r="B16059" s="3">
        <v>2077</v>
      </c>
      <c r="C16059" s="1" t="str">
        <f>HYPERLINK("http://www.uniprot.org/uniprot/LCAT4_ARATH","LCAT4_ARATH")</f>
        <v>LCAT4_ARATH</v>
      </c>
      <c r="D16059" t="s">
        <v>10164</v>
      </c>
      <c r="E16059" s="3" t="s">
        <v>3</v>
      </c>
      <c r="F16059" s="4">
        <v>0</v>
      </c>
      <c r="G16059" s="3">
        <v>1997</v>
      </c>
      <c r="H16059" s="3">
        <v>69</v>
      </c>
      <c r="I16059" s="3">
        <v>542</v>
      </c>
      <c r="J16059" s="3">
        <v>148</v>
      </c>
      <c r="K16059" s="3">
        <v>1743</v>
      </c>
      <c r="L16059" s="3">
        <v>1</v>
      </c>
      <c r="M16059" s="3">
        <v>535</v>
      </c>
    </row>
    <row r="16060" spans="1:13" x14ac:dyDescent="0.25">
      <c r="A16060" s="1" t="str">
        <f>HYPERLINK("http://www.rosaceae.org/Prunus/Prunus_persica/p.persica_gdr_reftransV1_0002605","p.persica_gdr_reftransV1_0002605")</f>
        <v>p.persica_gdr_reftransV1_0002605</v>
      </c>
      <c r="B16060" s="3">
        <v>3565</v>
      </c>
      <c r="C16060" s="1" t="str">
        <f>HYPERLINK("http://www.uniprot.org/uniprot/PMA4_NICPL","PMA4_NICPL")</f>
        <v>PMA4_NICPL</v>
      </c>
      <c r="D16060" t="s">
        <v>8938</v>
      </c>
      <c r="E16060" s="3" t="s">
        <v>1450</v>
      </c>
      <c r="F16060" s="4">
        <v>0</v>
      </c>
      <c r="G16060" s="3">
        <v>4211</v>
      </c>
      <c r="H16060" s="3">
        <v>89</v>
      </c>
      <c r="I16060" s="3">
        <v>950</v>
      </c>
      <c r="J16060" s="3">
        <v>283</v>
      </c>
      <c r="K16060" s="3">
        <v>3132</v>
      </c>
      <c r="L16060" s="3">
        <v>3</v>
      </c>
      <c r="M16060" s="3">
        <v>952</v>
      </c>
    </row>
    <row r="16061" spans="1:13" x14ac:dyDescent="0.25">
      <c r="A16061" s="1" t="str">
        <f>HYPERLINK("http://www.rosaceae.org/Prunus/Prunus_persica/p.persica_gdr_reftransV1_0002755","p.persica_gdr_reftransV1_0002755")</f>
        <v>p.persica_gdr_reftransV1_0002755</v>
      </c>
      <c r="B16061" s="3">
        <v>2480</v>
      </c>
      <c r="C16061" s="1" t="str">
        <f>HYPERLINK("http://www.uniprot.org/uniprot/ZADH2_MOUSE","ZADH2_MOUSE")</f>
        <v>ZADH2_MOUSE</v>
      </c>
      <c r="D16061" t="s">
        <v>4846</v>
      </c>
      <c r="E16061" s="3" t="s">
        <v>157</v>
      </c>
      <c r="F16061" s="4">
        <v>5.4800000000000002E-88</v>
      </c>
      <c r="G16061" s="3">
        <v>742</v>
      </c>
      <c r="H16061" s="3">
        <v>47</v>
      </c>
      <c r="I16061" s="3">
        <v>348</v>
      </c>
      <c r="J16061" s="3">
        <v>399</v>
      </c>
      <c r="K16061" s="3">
        <v>1418</v>
      </c>
      <c r="L16061" s="3">
        <v>29</v>
      </c>
      <c r="M16061" s="3">
        <v>367</v>
      </c>
    </row>
    <row r="16062" spans="1:13" x14ac:dyDescent="0.25">
      <c r="A16062" s="1" t="str">
        <f>HYPERLINK("http://www.rosaceae.org/Prunus/Prunus_persica/p.persica_gdr_reftransV1_0002805","p.persica_gdr_reftransV1_0002805")</f>
        <v>p.persica_gdr_reftransV1_0002805</v>
      </c>
      <c r="B16062" s="3">
        <v>523</v>
      </c>
      <c r="C16062" s="1" t="str">
        <f>HYPERLINK("http://www.uniprot.org/uniprot/UFOG7_FRAAN","UFOG7_FRAAN")</f>
        <v>UFOG7_FRAAN</v>
      </c>
      <c r="D16062" t="s">
        <v>2824</v>
      </c>
      <c r="E16062" s="3" t="s">
        <v>15</v>
      </c>
      <c r="F16062" s="4">
        <v>3.5099999999999999E-61</v>
      </c>
      <c r="G16062" s="3">
        <v>515</v>
      </c>
      <c r="H16062" s="3">
        <v>58</v>
      </c>
      <c r="I16062" s="3">
        <v>176</v>
      </c>
      <c r="J16062" s="3">
        <v>7</v>
      </c>
      <c r="K16062" s="3">
        <v>522</v>
      </c>
      <c r="L16062" s="3">
        <v>106</v>
      </c>
      <c r="M16062" s="3">
        <v>280</v>
      </c>
    </row>
    <row r="16063" spans="1:13" x14ac:dyDescent="0.25">
      <c r="A16063" s="1" t="str">
        <f>HYPERLINK("http://www.rosaceae.org/Prunus/Prunus_persica/p.persica_gdr_reftransV1_0002855","p.persica_gdr_reftransV1_0002855")</f>
        <v>p.persica_gdr_reftransV1_0002855</v>
      </c>
      <c r="B16063" s="3">
        <v>3022</v>
      </c>
      <c r="C16063" s="1" t="str">
        <f>HYPERLINK("http://www.uniprot.org/uniprot/CALS8_ARATH","CALS8_ARATH")</f>
        <v>CALS8_ARATH</v>
      </c>
      <c r="D16063" t="s">
        <v>2236</v>
      </c>
      <c r="E16063" s="3" t="s">
        <v>3</v>
      </c>
      <c r="F16063" s="4">
        <v>0</v>
      </c>
      <c r="G16063" s="3">
        <v>3994</v>
      </c>
      <c r="H16063" s="3">
        <v>78</v>
      </c>
      <c r="I16063" s="3">
        <v>940</v>
      </c>
      <c r="J16063" s="3">
        <v>9</v>
      </c>
      <c r="K16063" s="3">
        <v>2828</v>
      </c>
      <c r="L16063" s="3">
        <v>1039</v>
      </c>
      <c r="M16063" s="3">
        <v>1976</v>
      </c>
    </row>
    <row r="16064" spans="1:13" x14ac:dyDescent="0.25">
      <c r="A16064" s="1" t="str">
        <f>HYPERLINK("http://www.rosaceae.org/Prunus/Prunus_persica/p.persica_gdr_reftransV1_0002905","p.persica_gdr_reftransV1_0002905")</f>
        <v>p.persica_gdr_reftransV1_0002905</v>
      </c>
      <c r="B16064" s="3">
        <v>3305</v>
      </c>
      <c r="C16064" s="1" t="str">
        <f>HYPERLINK("http://www.uniprot.org/uniprot/MSL6_ARATH","MSL6_ARATH")</f>
        <v>MSL6_ARATH</v>
      </c>
      <c r="D16064" t="s">
        <v>9131</v>
      </c>
      <c r="E16064" s="3" t="s">
        <v>3</v>
      </c>
      <c r="F16064" s="4">
        <v>0</v>
      </c>
      <c r="G16064" s="3">
        <v>2232</v>
      </c>
      <c r="H16064" s="3">
        <v>55</v>
      </c>
      <c r="I16064" s="3">
        <v>935</v>
      </c>
      <c r="J16064" s="3">
        <v>212</v>
      </c>
      <c r="K16064" s="3">
        <v>2905</v>
      </c>
      <c r="L16064" s="3">
        <v>3</v>
      </c>
      <c r="M16064" s="3">
        <v>853</v>
      </c>
    </row>
    <row r="16065" spans="1:13" x14ac:dyDescent="0.25">
      <c r="A16065" s="1" t="str">
        <f>HYPERLINK("http://www.rosaceae.org/Prunus/Prunus_persica/p.persica_gdr_reftransV1_0003055","p.persica_gdr_reftransV1_0003055")</f>
        <v>p.persica_gdr_reftransV1_0003055</v>
      </c>
      <c r="B16065" s="3">
        <v>368</v>
      </c>
      <c r="C16065" s="1" t="str">
        <f>HYPERLINK("http://www.uniprot.org/uniprot/UGT2_GARJA","UGT2_GARJA")</f>
        <v>UGT2_GARJA</v>
      </c>
      <c r="D16065" t="s">
        <v>927</v>
      </c>
      <c r="E16065" s="3" t="s">
        <v>624</v>
      </c>
      <c r="F16065" s="4">
        <v>4.8099999999999996E-38</v>
      </c>
      <c r="G16065" s="3">
        <v>348</v>
      </c>
      <c r="H16065" s="3">
        <v>50</v>
      </c>
      <c r="I16065" s="3">
        <v>123</v>
      </c>
      <c r="J16065" s="3">
        <v>4</v>
      </c>
      <c r="K16065" s="3">
        <v>366</v>
      </c>
      <c r="L16065" s="3">
        <v>101</v>
      </c>
      <c r="M16065" s="3">
        <v>222</v>
      </c>
    </row>
    <row r="16066" spans="1:13" x14ac:dyDescent="0.25">
      <c r="A16066" s="1" t="str">
        <f>HYPERLINK("http://www.rosaceae.org/Prunus/Prunus_persica/p.persica_gdr_reftransV1_0003105","p.persica_gdr_reftransV1_0003105")</f>
        <v>p.persica_gdr_reftransV1_0003105</v>
      </c>
      <c r="B16066" s="3">
        <v>2517</v>
      </c>
      <c r="C16066" s="1" t="str">
        <f>HYPERLINK("http://www.uniprot.org/uniprot/TMN1_ARATH","TMN1_ARATH")</f>
        <v>TMN1_ARATH</v>
      </c>
      <c r="D16066" t="s">
        <v>10165</v>
      </c>
      <c r="E16066" s="3" t="s">
        <v>3</v>
      </c>
      <c r="F16066" s="4">
        <v>0</v>
      </c>
      <c r="G16066" s="3">
        <v>2433</v>
      </c>
      <c r="H16066" s="3">
        <v>91</v>
      </c>
      <c r="I16066" s="3">
        <v>570</v>
      </c>
      <c r="J16066" s="3">
        <v>568</v>
      </c>
      <c r="K16066" s="3">
        <v>2277</v>
      </c>
      <c r="L16066" s="3">
        <v>20</v>
      </c>
      <c r="M16066" s="3">
        <v>589</v>
      </c>
    </row>
    <row r="16067" spans="1:13" x14ac:dyDescent="0.25">
      <c r="A16067" s="1" t="str">
        <f>HYPERLINK("http://www.rosaceae.org/Prunus/Prunus_persica/p.persica_gdr_reftransV1_0003155","p.persica_gdr_reftransV1_0003155")</f>
        <v>p.persica_gdr_reftransV1_0003155</v>
      </c>
      <c r="B16067" s="3">
        <v>2052</v>
      </c>
      <c r="C16067" s="1" t="str">
        <f>HYPERLINK("http://www.uniprot.org/uniprot/RSGA_ANAVT","RSGA_ANAVT")</f>
        <v>RSGA_ANAVT</v>
      </c>
      <c r="D16067" t="s">
        <v>10166</v>
      </c>
      <c r="E16067" s="3" t="s">
        <v>2980</v>
      </c>
      <c r="F16067" s="4">
        <v>4.3700000000000004E-81</v>
      </c>
      <c r="G16067" s="3">
        <v>685</v>
      </c>
      <c r="H16067" s="3">
        <v>40</v>
      </c>
      <c r="I16067" s="3">
        <v>386</v>
      </c>
      <c r="J16067" s="3">
        <v>503</v>
      </c>
      <c r="K16067" s="3">
        <v>1609</v>
      </c>
      <c r="L16067" s="3">
        <v>4</v>
      </c>
      <c r="M16067" s="3">
        <v>361</v>
      </c>
    </row>
    <row r="16068" spans="1:13" x14ac:dyDescent="0.25">
      <c r="A16068" s="1" t="str">
        <f>HYPERLINK("http://www.rosaceae.org/Prunus/Prunus_persica/p.persica_gdr_reftransV1_0003205","p.persica_gdr_reftransV1_0003205")</f>
        <v>p.persica_gdr_reftransV1_0003205</v>
      </c>
      <c r="B16068" s="3">
        <v>1321</v>
      </c>
      <c r="C16068" s="1" t="str">
        <f>HYPERLINK("http://www.uniprot.org/uniprot/TPS9_RICCO","TPS9_RICCO")</f>
        <v>TPS9_RICCO</v>
      </c>
      <c r="D16068" t="s">
        <v>10167</v>
      </c>
      <c r="E16068" s="3" t="s">
        <v>421</v>
      </c>
      <c r="F16068" s="4">
        <v>5.4E-135</v>
      </c>
      <c r="G16068" s="3">
        <v>1046</v>
      </c>
      <c r="H16068" s="3">
        <v>57</v>
      </c>
      <c r="I16068" s="3">
        <v>371</v>
      </c>
      <c r="J16068" s="3">
        <v>210</v>
      </c>
      <c r="K16068" s="3">
        <v>1319</v>
      </c>
      <c r="L16068" s="3">
        <v>51</v>
      </c>
      <c r="M16068" s="3">
        <v>406</v>
      </c>
    </row>
    <row r="16069" spans="1:13" x14ac:dyDescent="0.25">
      <c r="A16069" s="1" t="str">
        <f>HYPERLINK("http://www.rosaceae.org/Prunus/Prunus_persica/p.persica_gdr_reftransV1_0003255","p.persica_gdr_reftransV1_0003255")</f>
        <v>p.persica_gdr_reftransV1_0003255</v>
      </c>
      <c r="B16069" s="3">
        <v>1384</v>
      </c>
      <c r="C16069" s="1" t="str">
        <f>HYPERLINK("http://www.uniprot.org/uniprot/WAKLA_ARATH","WAKLA_ARATH")</f>
        <v>WAKLA_ARATH</v>
      </c>
      <c r="D16069" t="s">
        <v>3025</v>
      </c>
      <c r="E16069" s="3" t="s">
        <v>3</v>
      </c>
      <c r="F16069" s="4">
        <v>5.8500000000000003E-166</v>
      </c>
      <c r="G16069" s="3">
        <v>1268</v>
      </c>
      <c r="H16069" s="3">
        <v>59</v>
      </c>
      <c r="I16069" s="3">
        <v>413</v>
      </c>
      <c r="J16069" s="3">
        <v>142</v>
      </c>
      <c r="K16069" s="3">
        <v>1365</v>
      </c>
      <c r="L16069" s="3">
        <v>297</v>
      </c>
      <c r="M16069" s="3">
        <v>705</v>
      </c>
    </row>
    <row r="16070" spans="1:13" x14ac:dyDescent="0.25">
      <c r="A16070" s="1" t="str">
        <f>HYPERLINK("http://www.rosaceae.org/Prunus/Prunus_persica/p.persica_gdr_reftransV1_0003305","p.persica_gdr_reftransV1_0003305")</f>
        <v>p.persica_gdr_reftransV1_0003305</v>
      </c>
      <c r="B16070" s="3">
        <v>1436</v>
      </c>
      <c r="C16070" s="1" t="str">
        <f>HYPERLINK("http://www.uniprot.org/uniprot/VINSY_RAUSE","VINSY_RAUSE")</f>
        <v>VINSY_RAUSE</v>
      </c>
      <c r="D16070" t="s">
        <v>2815</v>
      </c>
      <c r="E16070" s="3" t="s">
        <v>2816</v>
      </c>
      <c r="F16070" s="4">
        <v>2.9899999999999998E-75</v>
      </c>
      <c r="G16070" s="3">
        <v>635</v>
      </c>
      <c r="H16070" s="3">
        <v>36</v>
      </c>
      <c r="I16070" s="3">
        <v>438</v>
      </c>
      <c r="J16070" s="3">
        <v>77</v>
      </c>
      <c r="K16070" s="3">
        <v>1369</v>
      </c>
      <c r="L16070" s="3">
        <v>1</v>
      </c>
      <c r="M16070" s="3">
        <v>415</v>
      </c>
    </row>
    <row r="16071" spans="1:13" x14ac:dyDescent="0.25">
      <c r="A16071" s="1" t="str">
        <f>HYPERLINK("http://www.rosaceae.org/Prunus/Prunus_persica/p.persica_gdr_reftransV1_0003355","p.persica_gdr_reftransV1_0003355")</f>
        <v>p.persica_gdr_reftransV1_0003355</v>
      </c>
      <c r="B16071" s="3">
        <v>1587</v>
      </c>
      <c r="C16071" s="1" t="str">
        <f>HYPERLINK("http://www.uniprot.org/uniprot/PEL1_ARATH","PEL1_ARATH")</f>
        <v>PEL1_ARATH</v>
      </c>
      <c r="D16071" t="s">
        <v>4055</v>
      </c>
      <c r="E16071" s="3" t="s">
        <v>3</v>
      </c>
      <c r="F16071" s="4">
        <v>0</v>
      </c>
      <c r="G16071" s="3">
        <v>1645</v>
      </c>
      <c r="H16071" s="3">
        <v>81</v>
      </c>
      <c r="I16071" s="3">
        <v>379</v>
      </c>
      <c r="J16071" s="3">
        <v>329</v>
      </c>
      <c r="K16071" s="3">
        <v>1465</v>
      </c>
      <c r="L16071" s="3">
        <v>1</v>
      </c>
      <c r="M16071" s="3">
        <v>378</v>
      </c>
    </row>
    <row r="16072" spans="1:13" x14ac:dyDescent="0.25">
      <c r="A16072" s="1" t="str">
        <f>HYPERLINK("http://www.rosaceae.org/Prunus/Prunus_persica/p.persica_gdr_reftransV1_0003405","p.persica_gdr_reftransV1_0003405")</f>
        <v>p.persica_gdr_reftransV1_0003405</v>
      </c>
      <c r="B16072" s="3">
        <v>1684</v>
      </c>
      <c r="C16072" s="1" t="str">
        <f>HYPERLINK("http://www.uniprot.org/uniprot/DRG3_ARATH","DRG3_ARATH")</f>
        <v>DRG3_ARATH</v>
      </c>
      <c r="D16072" t="s">
        <v>10168</v>
      </c>
      <c r="E16072" s="3" t="s">
        <v>3</v>
      </c>
      <c r="F16072" s="4">
        <v>0</v>
      </c>
      <c r="G16072" s="3">
        <v>1619</v>
      </c>
      <c r="H16072" s="3">
        <v>91</v>
      </c>
      <c r="I16072" s="3">
        <v>366</v>
      </c>
      <c r="J16072" s="3">
        <v>408</v>
      </c>
      <c r="K16072" s="3">
        <v>1502</v>
      </c>
      <c r="L16072" s="3">
        <v>4</v>
      </c>
      <c r="M16072" s="3">
        <v>369</v>
      </c>
    </row>
    <row r="16073" spans="1:13" x14ac:dyDescent="0.25">
      <c r="A16073" s="1" t="str">
        <f>HYPERLINK("http://www.rosaceae.org/Prunus/Prunus_persica/p.persica_gdr_reftransV1_0003455","p.persica_gdr_reftransV1_0003455")</f>
        <v>p.persica_gdr_reftransV1_0003455</v>
      </c>
      <c r="B16073" s="3">
        <v>3248</v>
      </c>
      <c r="C16073" s="1" t="str">
        <f>HYPERLINK("http://www.uniprot.org/uniprot/R13L4_ARATH","R13L4_ARATH")</f>
        <v>R13L4_ARATH</v>
      </c>
      <c r="D16073" t="s">
        <v>10050</v>
      </c>
      <c r="E16073" s="3" t="s">
        <v>3</v>
      </c>
      <c r="F16073" s="4">
        <v>8.5600000000000008E-127</v>
      </c>
      <c r="G16073" s="3">
        <v>1065</v>
      </c>
      <c r="H16073" s="3">
        <v>35</v>
      </c>
      <c r="I16073" s="3">
        <v>848</v>
      </c>
      <c r="J16073" s="3">
        <v>277</v>
      </c>
      <c r="K16073" s="3">
        <v>2742</v>
      </c>
      <c r="L16073" s="3">
        <v>1</v>
      </c>
      <c r="M16073" s="3">
        <v>832</v>
      </c>
    </row>
    <row r="16074" spans="1:13" x14ac:dyDescent="0.25">
      <c r="A16074" s="1" t="str">
        <f>HYPERLINK("http://www.rosaceae.org/Prunus/Prunus_persica/p.persica_gdr_reftransV1_0003505","p.persica_gdr_reftransV1_0003505")</f>
        <v>p.persica_gdr_reftransV1_0003505</v>
      </c>
      <c r="B16074" s="3">
        <v>1535</v>
      </c>
      <c r="C16074" s="1" t="str">
        <f>HYPERLINK("http://www.uniprot.org/uniprot/WTR32_ARATH","WTR32_ARATH")</f>
        <v>WTR32_ARATH</v>
      </c>
      <c r="D16074" t="s">
        <v>3084</v>
      </c>
      <c r="E16074" s="3" t="s">
        <v>3</v>
      </c>
      <c r="F16074" s="4">
        <v>6.2100000000000004E-159</v>
      </c>
      <c r="G16074" s="3">
        <v>1193</v>
      </c>
      <c r="H16074" s="3">
        <v>63</v>
      </c>
      <c r="I16074" s="3">
        <v>353</v>
      </c>
      <c r="J16074" s="3">
        <v>137</v>
      </c>
      <c r="K16074" s="3">
        <v>1183</v>
      </c>
      <c r="L16074" s="3">
        <v>8</v>
      </c>
      <c r="M16074" s="3">
        <v>356</v>
      </c>
    </row>
    <row r="16075" spans="1:13" x14ac:dyDescent="0.25">
      <c r="A16075" s="1" t="str">
        <f>HYPERLINK("http://www.rosaceae.org/Prunus/Prunus_persica/p.persica_gdr_reftransV1_0003705","p.persica_gdr_reftransV1_0003705")</f>
        <v>p.persica_gdr_reftransV1_0003705</v>
      </c>
      <c r="B16075" s="3">
        <v>2878</v>
      </c>
      <c r="C16075" s="1" t="str">
        <f>HYPERLINK("http://www.uniprot.org/uniprot/idD1_ARATH","idD1_ARATH")</f>
        <v>idD1_ARATH</v>
      </c>
      <c r="D16075" t="s">
        <v>312</v>
      </c>
      <c r="E16075" s="3" t="s">
        <v>3</v>
      </c>
      <c r="F16075" s="4">
        <v>2.62E-101</v>
      </c>
      <c r="G16075" s="3">
        <v>852</v>
      </c>
      <c r="H16075" s="3">
        <v>89</v>
      </c>
      <c r="I16075" s="3">
        <v>199</v>
      </c>
      <c r="J16075" s="3">
        <v>1771</v>
      </c>
      <c r="K16075" s="3">
        <v>2367</v>
      </c>
      <c r="L16075" s="3">
        <v>1</v>
      </c>
      <c r="M16075" s="3">
        <v>199</v>
      </c>
    </row>
    <row r="16076" spans="1:13" x14ac:dyDescent="0.25">
      <c r="A16076" s="1" t="str">
        <f>HYPERLINK("http://www.rosaceae.org/Prunus/Prunus_persica/p.persica_gdr_reftransV1_0003805","p.persica_gdr_reftransV1_0003805")</f>
        <v>p.persica_gdr_reftransV1_0003805</v>
      </c>
      <c r="B16076" s="3">
        <v>2238</v>
      </c>
      <c r="C16076" s="1" t="str">
        <f>HYPERLINK("http://www.uniprot.org/uniprot/ANR44_CHICK","ANR44_CHICK")</f>
        <v>ANR44_CHICK</v>
      </c>
      <c r="D16076" t="s">
        <v>10169</v>
      </c>
      <c r="E16076" s="3" t="s">
        <v>1278</v>
      </c>
      <c r="F16076" s="4">
        <v>4.5799999999999999E-19</v>
      </c>
      <c r="G16076" s="3">
        <v>238</v>
      </c>
      <c r="H16076" s="3">
        <v>27</v>
      </c>
      <c r="I16076" s="3">
        <v>324</v>
      </c>
      <c r="J16076" s="3">
        <v>969</v>
      </c>
      <c r="K16076" s="3">
        <v>1802</v>
      </c>
      <c r="L16076" s="3">
        <v>638</v>
      </c>
      <c r="M16076" s="3">
        <v>946</v>
      </c>
    </row>
    <row r="16077" spans="1:13" x14ac:dyDescent="0.25">
      <c r="A16077" s="1" t="str">
        <f>HYPERLINK("http://www.rosaceae.org/Prunus/Prunus_persica/p.persica_gdr_reftransV1_0003905","p.persica_gdr_reftransV1_0003905")</f>
        <v>p.persica_gdr_reftransV1_0003905</v>
      </c>
      <c r="B16077" s="3">
        <v>3348</v>
      </c>
      <c r="C16077" s="1" t="str">
        <f>HYPERLINK("http://www.uniprot.org/uniprot/RLP12_ARATH","RLP12_ARATH")</f>
        <v>RLP12_ARATH</v>
      </c>
      <c r="D16077" t="s">
        <v>1219</v>
      </c>
      <c r="E16077" s="3" t="s">
        <v>3</v>
      </c>
      <c r="F16077" s="4">
        <v>3.37E-72</v>
      </c>
      <c r="G16077" s="3">
        <v>669</v>
      </c>
      <c r="H16077" s="3">
        <v>33</v>
      </c>
      <c r="I16077" s="3">
        <v>727</v>
      </c>
      <c r="J16077" s="3">
        <v>357</v>
      </c>
      <c r="K16077" s="3">
        <v>2432</v>
      </c>
      <c r="L16077" s="3">
        <v>144</v>
      </c>
      <c r="M16077" s="3">
        <v>838</v>
      </c>
    </row>
    <row r="16078" spans="1:13" x14ac:dyDescent="0.25">
      <c r="A16078" s="1" t="str">
        <f>HYPERLINK("http://www.rosaceae.org/Prunus/Prunus_persica/p.persica_gdr_reftransV1_0003955","p.persica_gdr_reftransV1_0003955")</f>
        <v>p.persica_gdr_reftransV1_0003955</v>
      </c>
      <c r="B16078" s="3">
        <v>6496</v>
      </c>
      <c r="C16078" s="1" t="str">
        <f>HYPERLINK("http://www.uniprot.org/uniprot/TSS_ARATH","TSS_ARATH")</f>
        <v>TSS_ARATH</v>
      </c>
      <c r="D16078" t="s">
        <v>2404</v>
      </c>
      <c r="E16078" s="3" t="s">
        <v>3</v>
      </c>
      <c r="F16078" s="4">
        <v>0</v>
      </c>
      <c r="G16078" s="3">
        <v>5161</v>
      </c>
      <c r="H16078" s="3">
        <v>63</v>
      </c>
      <c r="I16078" s="3">
        <v>1889</v>
      </c>
      <c r="J16078" s="3">
        <v>444</v>
      </c>
      <c r="K16078" s="3">
        <v>5999</v>
      </c>
      <c r="L16078" s="3">
        <v>1</v>
      </c>
      <c r="M16078" s="3">
        <v>1817</v>
      </c>
    </row>
    <row r="16079" spans="1:13" x14ac:dyDescent="0.25">
      <c r="A16079" s="1" t="str">
        <f>HYPERLINK("http://www.rosaceae.org/Prunus/Prunus_persica/p.persica_gdr_reftransV1_0004005","p.persica_gdr_reftransV1_0004005")</f>
        <v>p.persica_gdr_reftransV1_0004005</v>
      </c>
      <c r="B16079" s="3">
        <v>324</v>
      </c>
      <c r="C16079" s="1" t="str">
        <f>HYPERLINK("http://www.uniprot.org/uniprot/CLV1_ARATH","CLV1_ARATH")</f>
        <v>CLV1_ARATH</v>
      </c>
      <c r="D16079" t="s">
        <v>2635</v>
      </c>
      <c r="E16079" s="3" t="s">
        <v>3</v>
      </c>
      <c r="F16079" s="4">
        <v>8.0100000000000001E-34</v>
      </c>
      <c r="G16079" s="3">
        <v>323</v>
      </c>
      <c r="H16079" s="3">
        <v>59</v>
      </c>
      <c r="I16079" s="3">
        <v>110</v>
      </c>
      <c r="J16079" s="3">
        <v>1</v>
      </c>
      <c r="K16079" s="3">
        <v>324</v>
      </c>
      <c r="L16079" s="3">
        <v>836</v>
      </c>
      <c r="M16079" s="3">
        <v>941</v>
      </c>
    </row>
    <row r="16080" spans="1:13" x14ac:dyDescent="0.25">
      <c r="A16080" s="1" t="str">
        <f>HYPERLINK("http://www.rosaceae.org/Prunus/Prunus_persica/p.persica_gdr_reftransV1_0004055","p.persica_gdr_reftransV1_0004055")</f>
        <v>p.persica_gdr_reftransV1_0004055</v>
      </c>
      <c r="B16080" s="3">
        <v>4552</v>
      </c>
      <c r="C16080" s="1" t="str">
        <f>HYPERLINK("http://www.uniprot.org/uniprot/FB304_ARATH","FB304_ARATH")</f>
        <v>FB304_ARATH</v>
      </c>
      <c r="D16080" t="s">
        <v>9931</v>
      </c>
      <c r="E16080" s="3" t="s">
        <v>3</v>
      </c>
      <c r="F16080" s="4">
        <v>0</v>
      </c>
      <c r="G16080" s="3">
        <v>3379</v>
      </c>
      <c r="H16080" s="3">
        <v>57</v>
      </c>
      <c r="I16080" s="3">
        <v>1206</v>
      </c>
      <c r="J16080" s="3">
        <v>289</v>
      </c>
      <c r="K16080" s="3">
        <v>3768</v>
      </c>
      <c r="L16080" s="3">
        <v>4</v>
      </c>
      <c r="M16080" s="3">
        <v>1168</v>
      </c>
    </row>
    <row r="16081" spans="1:13" x14ac:dyDescent="0.25">
      <c r="A16081" s="1" t="str">
        <f>HYPERLINK("http://www.rosaceae.org/Prunus/Prunus_persica/p.persica_gdr_reftransV1_0004255","p.persica_gdr_reftransV1_0004255")</f>
        <v>p.persica_gdr_reftransV1_0004255</v>
      </c>
      <c r="B16081" s="3">
        <v>1799</v>
      </c>
      <c r="C16081" s="1" t="str">
        <f>HYPERLINK("http://www.uniprot.org/uniprot/IST1L_DICDI","IST1L_DICDI")</f>
        <v>IST1L_DICDI</v>
      </c>
      <c r="D16081" t="s">
        <v>670</v>
      </c>
      <c r="E16081" s="3" t="s">
        <v>9</v>
      </c>
      <c r="F16081" s="4">
        <v>4.63E-10</v>
      </c>
      <c r="G16081" s="3">
        <v>158</v>
      </c>
      <c r="H16081" s="3">
        <v>31</v>
      </c>
      <c r="I16081" s="3">
        <v>138</v>
      </c>
      <c r="J16081" s="3">
        <v>358</v>
      </c>
      <c r="K16081" s="3">
        <v>759</v>
      </c>
      <c r="L16081" s="3">
        <v>39</v>
      </c>
      <c r="M16081" s="3">
        <v>170</v>
      </c>
    </row>
    <row r="16082" spans="1:13" x14ac:dyDescent="0.25">
      <c r="A16082" s="1" t="str">
        <f>HYPERLINK("http://www.rosaceae.org/Prunus/Prunus_persica/p.persica_gdr_reftransV1_0004405","p.persica_gdr_reftransV1_0004405")</f>
        <v>p.persica_gdr_reftransV1_0004405</v>
      </c>
      <c r="B16082" s="3">
        <v>1888</v>
      </c>
      <c r="C16082" s="1" t="str">
        <f>HYPERLINK("http://www.uniprot.org/uniprot/METK_GOSHI","METK_GOSHI")</f>
        <v>METK_GOSHI</v>
      </c>
      <c r="D16082" t="s">
        <v>10170</v>
      </c>
      <c r="E16082" s="3" t="s">
        <v>816</v>
      </c>
      <c r="F16082" s="4">
        <v>0</v>
      </c>
      <c r="G16082" s="3">
        <v>1953</v>
      </c>
      <c r="H16082" s="3">
        <v>96</v>
      </c>
      <c r="I16082" s="3">
        <v>393</v>
      </c>
      <c r="J16082" s="3">
        <v>557</v>
      </c>
      <c r="K16082" s="3">
        <v>1735</v>
      </c>
      <c r="L16082" s="3">
        <v>1</v>
      </c>
      <c r="M16082" s="3">
        <v>393</v>
      </c>
    </row>
    <row r="16083" spans="1:13" x14ac:dyDescent="0.25">
      <c r="A16083" s="1" t="str">
        <f>HYPERLINK("http://www.rosaceae.org/Prunus/Prunus_persica/p.persica_gdr_reftransV1_0004555","p.persica_gdr_reftransV1_0004555")</f>
        <v>p.persica_gdr_reftransV1_0004555</v>
      </c>
      <c r="B16083" s="3">
        <v>1003</v>
      </c>
      <c r="C16083" s="1" t="str">
        <f>HYPERLINK("http://www.uniprot.org/uniprot/CBSX3_ARATH","CBSX3_ARATH")</f>
        <v>CBSX3_ARATH</v>
      </c>
      <c r="D16083" t="s">
        <v>902</v>
      </c>
      <c r="E16083" s="3" t="s">
        <v>3</v>
      </c>
      <c r="F16083" s="4">
        <v>5.52E-121</v>
      </c>
      <c r="G16083" s="3">
        <v>907</v>
      </c>
      <c r="H16083" s="3">
        <v>82</v>
      </c>
      <c r="I16083" s="3">
        <v>206</v>
      </c>
      <c r="J16083" s="3">
        <v>85</v>
      </c>
      <c r="K16083" s="3">
        <v>699</v>
      </c>
      <c r="L16083" s="3">
        <v>1</v>
      </c>
      <c r="M16083" s="3">
        <v>206</v>
      </c>
    </row>
    <row r="16084" spans="1:13" x14ac:dyDescent="0.25">
      <c r="A16084" s="1" t="str">
        <f>HYPERLINK("http://www.rosaceae.org/Prunus/Prunus_persica/p.persica_gdr_reftransV1_0004655","p.persica_gdr_reftransV1_0004655")</f>
        <v>p.persica_gdr_reftransV1_0004655</v>
      </c>
      <c r="B16084" s="3">
        <v>485</v>
      </c>
      <c r="C16084" s="1" t="str">
        <f>HYPERLINK("http://www.uniprot.org/uniprot/VIT1_ARATH","VIT1_ARATH")</f>
        <v>VIT1_ARATH</v>
      </c>
      <c r="D16084" t="s">
        <v>637</v>
      </c>
      <c r="E16084" s="3" t="s">
        <v>3</v>
      </c>
      <c r="F16084" s="4">
        <v>2.9700000000000002E-60</v>
      </c>
      <c r="G16084" s="3">
        <v>491</v>
      </c>
      <c r="H16084" s="3">
        <v>73</v>
      </c>
      <c r="I16084" s="3">
        <v>119</v>
      </c>
      <c r="J16084" s="3">
        <v>69</v>
      </c>
      <c r="K16084" s="3">
        <v>425</v>
      </c>
      <c r="L16084" s="3">
        <v>112</v>
      </c>
      <c r="M16084" s="3">
        <v>230</v>
      </c>
    </row>
    <row r="16085" spans="1:13" x14ac:dyDescent="0.25">
      <c r="A16085" s="1" t="str">
        <f>HYPERLINK("http://www.rosaceae.org/Prunus/Prunus_persica/p.persica_gdr_reftransV1_0004755","p.persica_gdr_reftransV1_0004755")</f>
        <v>p.persica_gdr_reftransV1_0004755</v>
      </c>
      <c r="B16085" s="3">
        <v>574</v>
      </c>
      <c r="C16085" s="1" t="str">
        <f>HYPERLINK("http://www.uniprot.org/uniprot/ACCH1_ARATH","ACCH1_ARATH")</f>
        <v>ACCH1_ARATH</v>
      </c>
      <c r="D16085" t="s">
        <v>1325</v>
      </c>
      <c r="E16085" s="3" t="s">
        <v>3</v>
      </c>
      <c r="F16085" s="4">
        <v>1.8E-73</v>
      </c>
      <c r="G16085" s="3">
        <v>592</v>
      </c>
      <c r="H16085" s="3">
        <v>57</v>
      </c>
      <c r="I16085" s="3">
        <v>191</v>
      </c>
      <c r="J16085" s="3">
        <v>1</v>
      </c>
      <c r="K16085" s="3">
        <v>573</v>
      </c>
      <c r="L16085" s="3">
        <v>101</v>
      </c>
      <c r="M16085" s="3">
        <v>291</v>
      </c>
    </row>
    <row r="16086" spans="1:13" x14ac:dyDescent="0.25">
      <c r="A16086" s="1" t="str">
        <f>HYPERLINK("http://www.rosaceae.org/Prunus/Prunus_persica/p.persica_gdr_reftransV1_0004855","p.persica_gdr_reftransV1_0004855")</f>
        <v>p.persica_gdr_reftransV1_0004855</v>
      </c>
      <c r="B16086" s="3">
        <v>1182</v>
      </c>
      <c r="C16086" s="1" t="str">
        <f>HYPERLINK("http://www.uniprot.org/uniprot/BH147_ARATH","BH147_ARATH")</f>
        <v>BH147_ARATH</v>
      </c>
      <c r="D16086" t="s">
        <v>6569</v>
      </c>
      <c r="E16086" s="3" t="s">
        <v>3</v>
      </c>
      <c r="F16086" s="4">
        <v>5.7499999999999998E-46</v>
      </c>
      <c r="G16086" s="3">
        <v>413</v>
      </c>
      <c r="H16086" s="3">
        <v>59</v>
      </c>
      <c r="I16086" s="3">
        <v>163</v>
      </c>
      <c r="J16086" s="3">
        <v>269</v>
      </c>
      <c r="K16086" s="3">
        <v>748</v>
      </c>
      <c r="L16086" s="3">
        <v>49</v>
      </c>
      <c r="M16086" s="3">
        <v>204</v>
      </c>
    </row>
    <row r="16087" spans="1:13" x14ac:dyDescent="0.25">
      <c r="A16087" s="1" t="str">
        <f>HYPERLINK("http://www.rosaceae.org/Prunus/Prunus_persica/p.persica_gdr_reftransV1_0004955","p.persica_gdr_reftransV1_0004955")</f>
        <v>p.persica_gdr_reftransV1_0004955</v>
      </c>
      <c r="B16087" s="3">
        <v>647</v>
      </c>
      <c r="C16087" s="1" t="str">
        <f>HYPERLINK("http://www.uniprot.org/uniprot/ABAH4_ARATH","ABAH4_ARATH")</f>
        <v>ABAH4_ARATH</v>
      </c>
      <c r="D16087" t="s">
        <v>259</v>
      </c>
      <c r="E16087" s="3" t="s">
        <v>3</v>
      </c>
      <c r="F16087" s="4">
        <v>6.3500000000000001E-84</v>
      </c>
      <c r="G16087" s="3">
        <v>672</v>
      </c>
      <c r="H16087" s="3">
        <v>67</v>
      </c>
      <c r="I16087" s="3">
        <v>215</v>
      </c>
      <c r="J16087" s="3">
        <v>1</v>
      </c>
      <c r="K16087" s="3">
        <v>645</v>
      </c>
      <c r="L16087" s="3">
        <v>88</v>
      </c>
      <c r="M16087" s="3">
        <v>302</v>
      </c>
    </row>
    <row r="16088" spans="1:13" x14ac:dyDescent="0.25">
      <c r="A16088" s="1" t="str">
        <f>HYPERLINK("http://www.rosaceae.org/Prunus/Prunus_persica/p.persica_gdr_reftransV1_0005055","p.persica_gdr_reftransV1_0005055")</f>
        <v>p.persica_gdr_reftransV1_0005055</v>
      </c>
      <c r="B16088" s="3">
        <v>1372</v>
      </c>
      <c r="C16088" s="1" t="str">
        <f>HYPERLINK("http://www.uniprot.org/uniprot/NBP35_ARATH","NBP35_ARATH")</f>
        <v>NBP35_ARATH</v>
      </c>
      <c r="D16088" t="s">
        <v>5196</v>
      </c>
      <c r="E16088" s="3" t="s">
        <v>3</v>
      </c>
      <c r="F16088" s="4">
        <v>0</v>
      </c>
      <c r="G16088" s="3">
        <v>1505</v>
      </c>
      <c r="H16088" s="3">
        <v>82</v>
      </c>
      <c r="I16088" s="3">
        <v>343</v>
      </c>
      <c r="J16088" s="3">
        <v>143</v>
      </c>
      <c r="K16088" s="3">
        <v>1168</v>
      </c>
      <c r="L16088" s="3">
        <v>1</v>
      </c>
      <c r="M16088" s="3">
        <v>343</v>
      </c>
    </row>
    <row r="16089" spans="1:13" x14ac:dyDescent="0.25">
      <c r="A16089" s="1" t="str">
        <f>HYPERLINK("http://www.rosaceae.org/Prunus/Prunus_persica/p.persica_gdr_reftransV1_0005705","p.persica_gdr_reftransV1_0005705")</f>
        <v>p.persica_gdr_reftransV1_0005705</v>
      </c>
      <c r="B16089" s="3">
        <v>635</v>
      </c>
      <c r="C16089" s="1" t="str">
        <f>HYPERLINK("http://www.uniprot.org/uniprot/ARR3_ARATH","ARR3_ARATH")</f>
        <v>ARR3_ARATH</v>
      </c>
      <c r="D16089" t="s">
        <v>3273</v>
      </c>
      <c r="E16089" s="3" t="s">
        <v>3</v>
      </c>
      <c r="F16089" s="4">
        <v>8.2100000000000004E-32</v>
      </c>
      <c r="G16089" s="3">
        <v>302</v>
      </c>
      <c r="H16089" s="3">
        <v>73</v>
      </c>
      <c r="I16089" s="3">
        <v>79</v>
      </c>
      <c r="J16089" s="3">
        <v>397</v>
      </c>
      <c r="K16089" s="3">
        <v>633</v>
      </c>
      <c r="L16089" s="3">
        <v>98</v>
      </c>
      <c r="M16089" s="3">
        <v>175</v>
      </c>
    </row>
    <row r="16090" spans="1:13" x14ac:dyDescent="0.25">
      <c r="A16090" s="1" t="str">
        <f>HYPERLINK("http://www.rosaceae.org/Prunus/Prunus_persica/p.persica_gdr_reftransV1_0005855","p.persica_gdr_reftransV1_0005855")</f>
        <v>p.persica_gdr_reftransV1_0005855</v>
      </c>
      <c r="B16090" s="3">
        <v>964</v>
      </c>
      <c r="C16090" s="1" t="str">
        <f>HYPERLINK("http://www.uniprot.org/uniprot/PP344_ARATH","PP344_ARATH")</f>
        <v>PP344_ARATH</v>
      </c>
      <c r="D16090" t="s">
        <v>2078</v>
      </c>
      <c r="E16090" s="3" t="s">
        <v>3</v>
      </c>
      <c r="F16090" s="4">
        <v>4.8099999999999999E-87</v>
      </c>
      <c r="G16090" s="3">
        <v>737</v>
      </c>
      <c r="H16090" s="3">
        <v>66</v>
      </c>
      <c r="I16090" s="3">
        <v>193</v>
      </c>
      <c r="J16090" s="3">
        <v>385</v>
      </c>
      <c r="K16090" s="3">
        <v>960</v>
      </c>
      <c r="L16090" s="3">
        <v>919</v>
      </c>
      <c r="M16090" s="3">
        <v>1111</v>
      </c>
    </row>
    <row r="16091" spans="1:13" x14ac:dyDescent="0.25">
      <c r="A16091" s="1" t="str">
        <f>HYPERLINK("http://www.rosaceae.org/Prunus/Prunus_persica/p.persica_gdr_reftransV1_0005905","p.persica_gdr_reftransV1_0005905")</f>
        <v>p.persica_gdr_reftransV1_0005905</v>
      </c>
      <c r="B16091" s="3">
        <v>1059</v>
      </c>
      <c r="C16091" s="1" t="str">
        <f>HYPERLINK("http://www.uniprot.org/uniprot/ADS3_ARATH","ADS3_ARATH")</f>
        <v>ADS3_ARATH</v>
      </c>
      <c r="D16091" t="s">
        <v>2103</v>
      </c>
      <c r="E16091" s="3" t="s">
        <v>3</v>
      </c>
      <c r="F16091" s="4">
        <v>8.6099999999999997E-115</v>
      </c>
      <c r="G16091" s="3">
        <v>884</v>
      </c>
      <c r="H16091" s="3">
        <v>61</v>
      </c>
      <c r="I16091" s="3">
        <v>273</v>
      </c>
      <c r="J16091" s="3">
        <v>199</v>
      </c>
      <c r="K16091" s="3">
        <v>1014</v>
      </c>
      <c r="L16091" s="3">
        <v>96</v>
      </c>
      <c r="M16091" s="3">
        <v>367</v>
      </c>
    </row>
    <row r="16092" spans="1:13" x14ac:dyDescent="0.25">
      <c r="A16092" s="1" t="str">
        <f>HYPERLINK("http://www.rosaceae.org/Prunus/Prunus_persica/p.persica_gdr_reftransV1_0006155","p.persica_gdr_reftransV1_0006155")</f>
        <v>p.persica_gdr_reftransV1_0006155</v>
      </c>
      <c r="B16092" s="3">
        <v>1019</v>
      </c>
      <c r="C16092" s="1" t="str">
        <f>HYPERLINK("http://www.uniprot.org/uniprot/PNSB4_ARATH","PNSB4_ARATH")</f>
        <v>PNSB4_ARATH</v>
      </c>
      <c r="D16092" t="s">
        <v>10171</v>
      </c>
      <c r="E16092" s="3" t="s">
        <v>3</v>
      </c>
      <c r="F16092" s="4">
        <v>1.05E-43</v>
      </c>
      <c r="G16092" s="3">
        <v>389</v>
      </c>
      <c r="H16092" s="3">
        <v>73</v>
      </c>
      <c r="I16092" s="3">
        <v>120</v>
      </c>
      <c r="J16092" s="3">
        <v>378</v>
      </c>
      <c r="K16092" s="3">
        <v>734</v>
      </c>
      <c r="L16092" s="3">
        <v>45</v>
      </c>
      <c r="M16092" s="3">
        <v>164</v>
      </c>
    </row>
    <row r="16093" spans="1:13" x14ac:dyDescent="0.25">
      <c r="A16093" s="1" t="str">
        <f>HYPERLINK("http://www.rosaceae.org/Prunus/Prunus_persica/p.persica_gdr_reftransV1_0006255","p.persica_gdr_reftransV1_0006255")</f>
        <v>p.persica_gdr_reftransV1_0006255</v>
      </c>
      <c r="B16093" s="3">
        <v>2014</v>
      </c>
      <c r="C16093" s="1" t="str">
        <f>HYPERLINK("http://www.uniprot.org/uniprot/KCS10_ARATH","KCS10_ARATH")</f>
        <v>KCS10_ARATH</v>
      </c>
      <c r="D16093" t="s">
        <v>10172</v>
      </c>
      <c r="E16093" s="3" t="s">
        <v>3</v>
      </c>
      <c r="F16093" s="4">
        <v>0</v>
      </c>
      <c r="G16093" s="3">
        <v>2243</v>
      </c>
      <c r="H16093" s="3">
        <v>78</v>
      </c>
      <c r="I16093" s="3">
        <v>552</v>
      </c>
      <c r="J16093" s="3">
        <v>23</v>
      </c>
      <c r="K16093" s="3">
        <v>1624</v>
      </c>
      <c r="L16093" s="3">
        <v>4</v>
      </c>
      <c r="M16093" s="3">
        <v>550</v>
      </c>
    </row>
    <row r="16094" spans="1:13" x14ac:dyDescent="0.25">
      <c r="A16094" s="1" t="str">
        <f>HYPERLINK("http://www.rosaceae.org/Prunus/Prunus_persica/p.persica_gdr_reftransV1_0006305","p.persica_gdr_reftransV1_0006305")</f>
        <v>p.persica_gdr_reftransV1_0006305</v>
      </c>
      <c r="B16094" s="3">
        <v>962</v>
      </c>
      <c r="C16094" s="1" t="str">
        <f>HYPERLINK("http://www.uniprot.org/uniprot/EXPB2_ARATH","EXPB2_ARATH")</f>
        <v>EXPB2_ARATH</v>
      </c>
      <c r="D16094" t="s">
        <v>10173</v>
      </c>
      <c r="E16094" s="3" t="s">
        <v>3</v>
      </c>
      <c r="F16094" s="4">
        <v>4.3799999999999998E-104</v>
      </c>
      <c r="G16094" s="3">
        <v>800</v>
      </c>
      <c r="H16094" s="3">
        <v>66</v>
      </c>
      <c r="I16094" s="3">
        <v>250</v>
      </c>
      <c r="J16094" s="3">
        <v>94</v>
      </c>
      <c r="K16094" s="3">
        <v>837</v>
      </c>
      <c r="L16094" s="3">
        <v>25</v>
      </c>
      <c r="M16094" s="3">
        <v>273</v>
      </c>
    </row>
    <row r="16095" spans="1:13" x14ac:dyDescent="0.25">
      <c r="A16095" s="1" t="str">
        <f>HYPERLINK("http://www.rosaceae.org/Prunus/Prunus_persica/p.persica_gdr_reftransV1_0006555","p.persica_gdr_reftransV1_0006555")</f>
        <v>p.persica_gdr_reftransV1_0006555</v>
      </c>
      <c r="B16095" s="3">
        <v>465</v>
      </c>
      <c r="C16095" s="1" t="str">
        <f>HYPERLINK("http://www.uniprot.org/uniprot/LRAT_HUMAN","LRAT_HUMAN")</f>
        <v>LRAT_HUMAN</v>
      </c>
      <c r="D16095" t="s">
        <v>10174</v>
      </c>
      <c r="E16095" s="3" t="s">
        <v>28</v>
      </c>
      <c r="F16095" s="4">
        <v>9.2999999999999999E-7</v>
      </c>
      <c r="G16095" s="3">
        <v>118</v>
      </c>
      <c r="H16095" s="3">
        <v>47</v>
      </c>
      <c r="I16095" s="3">
        <v>51</v>
      </c>
      <c r="J16095" s="3">
        <v>111</v>
      </c>
      <c r="K16095" s="3">
        <v>263</v>
      </c>
      <c r="L16095" s="3">
        <v>138</v>
      </c>
      <c r="M16095" s="3">
        <v>180</v>
      </c>
    </row>
    <row r="16096" spans="1:13" x14ac:dyDescent="0.25">
      <c r="A16096" s="1" t="str">
        <f>HYPERLINK("http://www.rosaceae.org/Prunus/Prunus_persica/p.persica_gdr_reftransV1_0006855","p.persica_gdr_reftransV1_0006855")</f>
        <v>p.persica_gdr_reftransV1_0006855</v>
      </c>
      <c r="B16096" s="3">
        <v>652</v>
      </c>
      <c r="C16096" s="1" t="str">
        <f>HYPERLINK("http://www.uniprot.org/uniprot/EGC_CITJA","EGC_CITJA")</f>
        <v>EGC_CITJA</v>
      </c>
      <c r="D16096" t="s">
        <v>4570</v>
      </c>
      <c r="E16096" s="3" t="s">
        <v>4571</v>
      </c>
      <c r="F16096" s="4">
        <v>2.23E-61</v>
      </c>
      <c r="G16096" s="3">
        <v>493</v>
      </c>
      <c r="H16096" s="3">
        <v>72</v>
      </c>
      <c r="I16096" s="3">
        <v>130</v>
      </c>
      <c r="J16096" s="3">
        <v>72</v>
      </c>
      <c r="K16096" s="3">
        <v>458</v>
      </c>
      <c r="L16096" s="3">
        <v>1</v>
      </c>
      <c r="M16096" s="3">
        <v>130</v>
      </c>
    </row>
    <row r="16097" spans="1:13" x14ac:dyDescent="0.25">
      <c r="A16097" s="1" t="str">
        <f>HYPERLINK("http://www.rosaceae.org/Prunus/Prunus_persica/p.persica_gdr_reftransV1_0006905","p.persica_gdr_reftransV1_0006905")</f>
        <v>p.persica_gdr_reftransV1_0006905</v>
      </c>
      <c r="B16097" s="3">
        <v>1084</v>
      </c>
      <c r="C16097" s="1" t="str">
        <f>HYPERLINK("http://www.uniprot.org/uniprot/PER10_ARATH","PER10_ARATH")</f>
        <v>PER10_ARATH</v>
      </c>
      <c r="D16097" t="s">
        <v>2186</v>
      </c>
      <c r="E16097" s="3" t="s">
        <v>3</v>
      </c>
      <c r="F16097" s="4">
        <v>3.7399999999999999E-121</v>
      </c>
      <c r="G16097" s="3">
        <v>925</v>
      </c>
      <c r="H16097" s="3">
        <v>65</v>
      </c>
      <c r="I16097" s="3">
        <v>270</v>
      </c>
      <c r="J16097" s="3">
        <v>280</v>
      </c>
      <c r="K16097" s="3">
        <v>1083</v>
      </c>
      <c r="L16097" s="3">
        <v>77</v>
      </c>
      <c r="M16097" s="3">
        <v>346</v>
      </c>
    </row>
    <row r="16098" spans="1:13" x14ac:dyDescent="0.25">
      <c r="A16098" s="1" t="str">
        <f>HYPERLINK("http://www.rosaceae.org/Prunus/Prunus_persica/p.persica_gdr_reftransV1_0006955","p.persica_gdr_reftransV1_0006955")</f>
        <v>p.persica_gdr_reftransV1_0006955</v>
      </c>
      <c r="B16098" s="3">
        <v>552</v>
      </c>
      <c r="C16098" s="1" t="str">
        <f>HYPERLINK("http://www.uniprot.org/uniprot/MYB21_ARATH","MYB21_ARATH")</f>
        <v>MYB21_ARATH</v>
      </c>
      <c r="D16098" t="s">
        <v>10175</v>
      </c>
      <c r="E16098" s="3" t="s">
        <v>3</v>
      </c>
      <c r="F16098" s="4">
        <v>3.1700000000000001E-46</v>
      </c>
      <c r="G16098" s="3">
        <v>369</v>
      </c>
      <c r="H16098" s="3">
        <v>73</v>
      </c>
      <c r="I16098" s="3">
        <v>86</v>
      </c>
      <c r="J16098" s="3">
        <v>171</v>
      </c>
      <c r="K16098" s="3">
        <v>428</v>
      </c>
      <c r="L16098" s="3">
        <v>17</v>
      </c>
      <c r="M16098" s="3">
        <v>102</v>
      </c>
    </row>
    <row r="16099" spans="1:13" x14ac:dyDescent="0.25">
      <c r="A16099" s="1" t="str">
        <f>HYPERLINK("http://www.rosaceae.org/Prunus/Prunus_persica/p.persica_gdr_reftransV1_0007155","p.persica_gdr_reftransV1_0007155")</f>
        <v>p.persica_gdr_reftransV1_0007155</v>
      </c>
      <c r="B16099" s="3">
        <v>1379</v>
      </c>
      <c r="C16099" s="1" t="str">
        <f>HYPERLINK("http://www.uniprot.org/uniprot/PP313_ARATH","PP313_ARATH")</f>
        <v>PP313_ARATH</v>
      </c>
      <c r="D16099" t="s">
        <v>2211</v>
      </c>
      <c r="E16099" s="3" t="s">
        <v>3</v>
      </c>
      <c r="F16099" s="4">
        <v>0</v>
      </c>
      <c r="G16099" s="3">
        <v>1495</v>
      </c>
      <c r="H16099" s="3">
        <v>64</v>
      </c>
      <c r="I16099" s="3">
        <v>445</v>
      </c>
      <c r="J16099" s="3">
        <v>1</v>
      </c>
      <c r="K16099" s="3">
        <v>1311</v>
      </c>
      <c r="L16099" s="3">
        <v>173</v>
      </c>
      <c r="M16099" s="3">
        <v>616</v>
      </c>
    </row>
    <row r="16100" spans="1:13" x14ac:dyDescent="0.25">
      <c r="A16100" s="1" t="str">
        <f>HYPERLINK("http://www.rosaceae.org/Prunus/Prunus_persica/p.persica_gdr_reftransV1_0007255","p.persica_gdr_reftransV1_0007255")</f>
        <v>p.persica_gdr_reftransV1_0007255</v>
      </c>
      <c r="B16100" s="3">
        <v>1031</v>
      </c>
      <c r="C16100" s="1" t="str">
        <f>HYPERLINK("http://www.uniprot.org/uniprot/ZWIP2_ARATH","ZWIP2_ARATH")</f>
        <v>ZWIP2_ARATH</v>
      </c>
      <c r="D16100" t="s">
        <v>2510</v>
      </c>
      <c r="E16100" s="3" t="s">
        <v>3</v>
      </c>
      <c r="F16100" s="4">
        <v>2.9699999999999998E-134</v>
      </c>
      <c r="G16100" s="3">
        <v>1013</v>
      </c>
      <c r="H16100" s="3">
        <v>80</v>
      </c>
      <c r="I16100" s="3">
        <v>262</v>
      </c>
      <c r="J16100" s="3">
        <v>39</v>
      </c>
      <c r="K16100" s="3">
        <v>755</v>
      </c>
      <c r="L16100" s="3">
        <v>122</v>
      </c>
      <c r="M16100" s="3">
        <v>381</v>
      </c>
    </row>
    <row r="16101" spans="1:13" x14ac:dyDescent="0.25">
      <c r="A16101" s="1" t="str">
        <f>HYPERLINK("http://www.rosaceae.org/Prunus/Prunus_persica/p.persica_gdr_reftransV1_0007305","p.persica_gdr_reftransV1_0007305")</f>
        <v>p.persica_gdr_reftransV1_0007305</v>
      </c>
      <c r="B16101" s="3">
        <v>1585</v>
      </c>
      <c r="C16101" s="1" t="str">
        <f>HYPERLINK("http://www.uniprot.org/uniprot/PP252_ARATH","PP252_ARATH")</f>
        <v>PP252_ARATH</v>
      </c>
      <c r="D16101" t="s">
        <v>7780</v>
      </c>
      <c r="E16101" s="3" t="s">
        <v>3</v>
      </c>
      <c r="F16101" s="4">
        <v>3.3099999999999998E-102</v>
      </c>
      <c r="G16101" s="3">
        <v>838</v>
      </c>
      <c r="H16101" s="3">
        <v>41</v>
      </c>
      <c r="I16101" s="3">
        <v>393</v>
      </c>
      <c r="J16101" s="3">
        <v>405</v>
      </c>
      <c r="K16101" s="3">
        <v>1583</v>
      </c>
      <c r="L16101" s="3">
        <v>115</v>
      </c>
      <c r="M16101" s="3">
        <v>504</v>
      </c>
    </row>
    <row r="16102" spans="1:13" x14ac:dyDescent="0.25">
      <c r="A16102" s="1" t="str">
        <f>HYPERLINK("http://www.rosaceae.org/Prunus/Prunus_persica/p.persica_gdr_reftransV1_0007555","p.persica_gdr_reftransV1_0007555")</f>
        <v>p.persica_gdr_reftransV1_0007555</v>
      </c>
      <c r="B16102" s="3">
        <v>718</v>
      </c>
      <c r="C16102" s="1" t="str">
        <f>HYPERLINK("http://www.uniprot.org/uniprot/EF110_ARATH","EF110_ARATH")</f>
        <v>EF110_ARATH</v>
      </c>
      <c r="D16102" t="s">
        <v>10176</v>
      </c>
      <c r="E16102" s="3" t="s">
        <v>3</v>
      </c>
      <c r="F16102" s="4">
        <v>8.3500000000000002E-25</v>
      </c>
      <c r="G16102" s="3">
        <v>255</v>
      </c>
      <c r="H16102" s="3">
        <v>57</v>
      </c>
      <c r="I16102" s="3">
        <v>123</v>
      </c>
      <c r="J16102" s="3">
        <v>10</v>
      </c>
      <c r="K16102" s="3">
        <v>369</v>
      </c>
      <c r="L16102" s="3">
        <v>74</v>
      </c>
      <c r="M16102" s="3">
        <v>194</v>
      </c>
    </row>
    <row r="16103" spans="1:13" x14ac:dyDescent="0.25">
      <c r="A16103" s="1" t="str">
        <f>HYPERLINK("http://www.rosaceae.org/Prunus/Prunus_persica/p.persica_gdr_reftransV1_0007605","p.persica_gdr_reftransV1_0007605")</f>
        <v>p.persica_gdr_reftransV1_0007605</v>
      </c>
      <c r="B16103" s="3">
        <v>1043</v>
      </c>
      <c r="C16103" s="1" t="str">
        <f>HYPERLINK("http://www.uniprot.org/uniprot/CFI3_ARATH","CFI3_ARATH")</f>
        <v>CFI3_ARATH</v>
      </c>
      <c r="D16103" t="s">
        <v>10177</v>
      </c>
      <c r="E16103" s="3" t="s">
        <v>3</v>
      </c>
      <c r="F16103" s="4">
        <v>7.6999999999999997E-92</v>
      </c>
      <c r="G16103" s="3">
        <v>716</v>
      </c>
      <c r="H16103" s="3">
        <v>71</v>
      </c>
      <c r="I16103" s="3">
        <v>209</v>
      </c>
      <c r="J16103" s="3">
        <v>208</v>
      </c>
      <c r="K16103" s="3">
        <v>831</v>
      </c>
      <c r="L16103" s="3">
        <v>1</v>
      </c>
      <c r="M16103" s="3">
        <v>209</v>
      </c>
    </row>
    <row r="16104" spans="1:13" x14ac:dyDescent="0.25">
      <c r="A16104" s="1" t="str">
        <f>HYPERLINK("http://www.rosaceae.org/Prunus/Prunus_persica/p.persica_gdr_reftransV1_0007655","p.persica_gdr_reftransV1_0007655")</f>
        <v>p.persica_gdr_reftransV1_0007655</v>
      </c>
      <c r="B16104" s="3">
        <v>1907</v>
      </c>
      <c r="C16104" s="1" t="str">
        <f>HYPERLINK("http://www.uniprot.org/uniprot/RNHX1_ARATH","RNHX1_ARATH")</f>
        <v>RNHX1_ARATH</v>
      </c>
      <c r="D16104" t="s">
        <v>124</v>
      </c>
      <c r="E16104" s="3" t="s">
        <v>3</v>
      </c>
      <c r="F16104" s="4">
        <v>4.7400000000000003E-44</v>
      </c>
      <c r="G16104" s="3">
        <v>431</v>
      </c>
      <c r="H16104" s="3">
        <v>26</v>
      </c>
      <c r="I16104" s="3">
        <v>614</v>
      </c>
      <c r="J16104" s="3">
        <v>2</v>
      </c>
      <c r="K16104" s="3">
        <v>1756</v>
      </c>
      <c r="L16104" s="3">
        <v>1</v>
      </c>
      <c r="M16104" s="3">
        <v>577</v>
      </c>
    </row>
    <row r="16105" spans="1:13" x14ac:dyDescent="0.25">
      <c r="A16105" s="1" t="str">
        <f>HYPERLINK("http://www.rosaceae.org/Prunus/Prunus_persica/p.persica_gdr_reftransV1_0007705","p.persica_gdr_reftransV1_0007705")</f>
        <v>p.persica_gdr_reftransV1_0007705</v>
      </c>
      <c r="B16105" s="3">
        <v>1624</v>
      </c>
      <c r="C16105" s="1" t="str">
        <f>HYPERLINK("http://www.uniprot.org/uniprot/PFD2_ARATH","PFD2_ARATH")</f>
        <v>PFD2_ARATH</v>
      </c>
      <c r="D16105" t="s">
        <v>10178</v>
      </c>
      <c r="E16105" s="3" t="s">
        <v>3</v>
      </c>
      <c r="F16105" s="4">
        <v>1.2999999999999999E-57</v>
      </c>
      <c r="G16105" s="3">
        <v>495</v>
      </c>
      <c r="H16105" s="3">
        <v>66</v>
      </c>
      <c r="I16105" s="3">
        <v>149</v>
      </c>
      <c r="J16105" s="3">
        <v>989</v>
      </c>
      <c r="K16105" s="3">
        <v>1435</v>
      </c>
      <c r="L16105" s="3">
        <v>1</v>
      </c>
      <c r="M16105" s="3">
        <v>148</v>
      </c>
    </row>
    <row r="16106" spans="1:13" x14ac:dyDescent="0.25">
      <c r="A16106" s="1" t="str">
        <f>HYPERLINK("http://www.rosaceae.org/Prunus/Prunus_persica/p.persica_gdr_reftransV1_0007755","p.persica_gdr_reftransV1_0007755")</f>
        <v>p.persica_gdr_reftransV1_0007755</v>
      </c>
      <c r="B16106" s="3">
        <v>1627</v>
      </c>
      <c r="C16106" s="1" t="str">
        <f>HYPERLINK("http://www.uniprot.org/uniprot/GCA1_ARATH","GCA1_ARATH")</f>
        <v>GCA1_ARATH</v>
      </c>
      <c r="D16106" t="s">
        <v>6250</v>
      </c>
      <c r="E16106" s="3" t="s">
        <v>3</v>
      </c>
      <c r="F16106" s="4">
        <v>6.2699999999999998E-166</v>
      </c>
      <c r="G16106" s="3">
        <v>1232</v>
      </c>
      <c r="H16106" s="3">
        <v>84</v>
      </c>
      <c r="I16106" s="3">
        <v>269</v>
      </c>
      <c r="J16106" s="3">
        <v>564</v>
      </c>
      <c r="K16106" s="3">
        <v>1370</v>
      </c>
      <c r="L16106" s="3">
        <v>1</v>
      </c>
      <c r="M16106" s="3">
        <v>269</v>
      </c>
    </row>
    <row r="16107" spans="1:13" x14ac:dyDescent="0.25">
      <c r="A16107" s="1" t="str">
        <f>HYPERLINK("http://www.rosaceae.org/Prunus/Prunus_persica/p.persica_gdr_reftransV1_0007855","p.persica_gdr_reftransV1_0007855")</f>
        <v>p.persica_gdr_reftransV1_0007855</v>
      </c>
      <c r="B16107" s="3">
        <v>1723</v>
      </c>
      <c r="C16107" s="1" t="str">
        <f>HYPERLINK("http://www.uniprot.org/uniprot/DCP1_ARATH","DCP1_ARATH")</f>
        <v>DCP1_ARATH</v>
      </c>
      <c r="D16107" t="s">
        <v>2540</v>
      </c>
      <c r="E16107" s="3" t="s">
        <v>3</v>
      </c>
      <c r="F16107" s="4">
        <v>6.1599999999999998E-99</v>
      </c>
      <c r="G16107" s="3">
        <v>798</v>
      </c>
      <c r="H16107" s="3">
        <v>77</v>
      </c>
      <c r="I16107" s="3">
        <v>211</v>
      </c>
      <c r="J16107" s="3">
        <v>968</v>
      </c>
      <c r="K16107" s="3">
        <v>1585</v>
      </c>
      <c r="L16107" s="3">
        <v>1</v>
      </c>
      <c r="M16107" s="3">
        <v>208</v>
      </c>
    </row>
    <row r="16108" spans="1:13" x14ac:dyDescent="0.25">
      <c r="A16108" s="1" t="str">
        <f>HYPERLINK("http://www.rosaceae.org/Prunus/Prunus_persica/p.persica_gdr_reftransV1_0007905","p.persica_gdr_reftransV1_0007905")</f>
        <v>p.persica_gdr_reftransV1_0007905</v>
      </c>
      <c r="B16108" s="3">
        <v>2789</v>
      </c>
      <c r="C16108" s="1" t="str">
        <f>HYPERLINK("http://www.uniprot.org/uniprot/PPR28_ARATH","PPR28_ARATH")</f>
        <v>PPR28_ARATH</v>
      </c>
      <c r="D16108" t="s">
        <v>10179</v>
      </c>
      <c r="E16108" s="3" t="s">
        <v>3</v>
      </c>
      <c r="F16108" s="4">
        <v>0</v>
      </c>
      <c r="G16108" s="3">
        <v>2211</v>
      </c>
      <c r="H16108" s="3">
        <v>71</v>
      </c>
      <c r="I16108" s="3">
        <v>623</v>
      </c>
      <c r="J16108" s="3">
        <v>334</v>
      </c>
      <c r="K16108" s="3">
        <v>2172</v>
      </c>
      <c r="L16108" s="3">
        <v>1</v>
      </c>
      <c r="M16108" s="3">
        <v>598</v>
      </c>
    </row>
    <row r="16109" spans="1:13" x14ac:dyDescent="0.25">
      <c r="A16109" s="1" t="str">
        <f>HYPERLINK("http://www.rosaceae.org/Prunus/Prunus_persica/p.persica_gdr_reftransV1_0008005","p.persica_gdr_reftransV1_0008005")</f>
        <v>p.persica_gdr_reftransV1_0008005</v>
      </c>
      <c r="B16109" s="3">
        <v>2217</v>
      </c>
      <c r="C16109" s="1" t="str">
        <f>HYPERLINK("http://www.uniprot.org/uniprot/AAE2_ARATH","AAE2_ARATH")</f>
        <v>AAE2_ARATH</v>
      </c>
      <c r="D16109" t="s">
        <v>2764</v>
      </c>
      <c r="E16109" s="3" t="s">
        <v>3</v>
      </c>
      <c r="F16109" s="4">
        <v>0</v>
      </c>
      <c r="G16109" s="3">
        <v>2185</v>
      </c>
      <c r="H16109" s="3">
        <v>71</v>
      </c>
      <c r="I16109" s="3">
        <v>566</v>
      </c>
      <c r="J16109" s="3">
        <v>205</v>
      </c>
      <c r="K16109" s="3">
        <v>1881</v>
      </c>
      <c r="L16109" s="3">
        <v>38</v>
      </c>
      <c r="M16109" s="3">
        <v>603</v>
      </c>
    </row>
    <row r="16110" spans="1:13" x14ac:dyDescent="0.25">
      <c r="A16110" s="1" t="str">
        <f>HYPERLINK("http://www.rosaceae.org/Prunus/Prunus_persica/p.persica_gdr_reftransV1_0008105","p.persica_gdr_reftransV1_0008105")</f>
        <v>p.persica_gdr_reftransV1_0008105</v>
      </c>
      <c r="B16110" s="3">
        <v>5389</v>
      </c>
      <c r="C16110" s="1" t="str">
        <f>HYPERLINK("http://www.uniprot.org/uniprot/AQR_HUMAN","AQR_HUMAN")</f>
        <v>AQR_HUMAN</v>
      </c>
      <c r="D16110" t="s">
        <v>10180</v>
      </c>
      <c r="E16110" s="3" t="s">
        <v>28</v>
      </c>
      <c r="F16110" s="4">
        <v>0</v>
      </c>
      <c r="G16110" s="3">
        <v>3460</v>
      </c>
      <c r="H16110" s="3">
        <v>51</v>
      </c>
      <c r="I16110" s="3">
        <v>1421</v>
      </c>
      <c r="J16110" s="3">
        <v>319</v>
      </c>
      <c r="K16110" s="3">
        <v>4518</v>
      </c>
      <c r="L16110" s="3">
        <v>14</v>
      </c>
      <c r="M16110" s="3">
        <v>1371</v>
      </c>
    </row>
    <row r="16111" spans="1:13" x14ac:dyDescent="0.25">
      <c r="A16111" s="1" t="str">
        <f>HYPERLINK("http://www.rosaceae.org/Prunus/Prunus_persica/p.persica_gdr_reftransV1_0008155","p.persica_gdr_reftransV1_0008155")</f>
        <v>p.persica_gdr_reftransV1_0008155</v>
      </c>
      <c r="B16111" s="3">
        <v>1491</v>
      </c>
      <c r="C16111" s="1" t="str">
        <f>HYPERLINK("http://www.uniprot.org/uniprot/TMVRN_NICGU","TMVRN_NICGU")</f>
        <v>TMVRN_NICGU</v>
      </c>
      <c r="D16111" t="s">
        <v>151</v>
      </c>
      <c r="E16111" s="3" t="s">
        <v>152</v>
      </c>
      <c r="F16111" s="4">
        <v>6.5299999999999998E-111</v>
      </c>
      <c r="G16111" s="3">
        <v>925</v>
      </c>
      <c r="H16111" s="3">
        <v>42</v>
      </c>
      <c r="I16111" s="3">
        <v>504</v>
      </c>
      <c r="J16111" s="3">
        <v>3</v>
      </c>
      <c r="K16111" s="3">
        <v>1490</v>
      </c>
      <c r="L16111" s="3">
        <v>38</v>
      </c>
      <c r="M16111" s="3">
        <v>527</v>
      </c>
    </row>
    <row r="16112" spans="1:13" x14ac:dyDescent="0.25">
      <c r="A16112" s="1" t="str">
        <f>HYPERLINK("http://www.rosaceae.org/Prunus/Prunus_persica/p.persica_gdr_reftransV1_0008205","p.persica_gdr_reftransV1_0008205")</f>
        <v>p.persica_gdr_reftransV1_0008205</v>
      </c>
      <c r="B16112" s="3">
        <v>2498</v>
      </c>
      <c r="C16112" s="1" t="str">
        <f>HYPERLINK("http://www.uniprot.org/uniprot/RPD1_ARATH","RPD1_ARATH")</f>
        <v>RPD1_ARATH</v>
      </c>
      <c r="D16112" t="s">
        <v>1883</v>
      </c>
      <c r="E16112" s="3" t="s">
        <v>3</v>
      </c>
      <c r="F16112" s="4">
        <v>1.7E-24</v>
      </c>
      <c r="G16112" s="3">
        <v>276</v>
      </c>
      <c r="H16112" s="3">
        <v>29</v>
      </c>
      <c r="I16112" s="3">
        <v>343</v>
      </c>
      <c r="J16112" s="3">
        <v>882</v>
      </c>
      <c r="K16112" s="3">
        <v>1862</v>
      </c>
      <c r="L16112" s="3">
        <v>74</v>
      </c>
      <c r="M16112" s="3">
        <v>409</v>
      </c>
    </row>
    <row r="16113" spans="1:13" x14ac:dyDescent="0.25">
      <c r="A16113" s="1" t="str">
        <f>HYPERLINK("http://www.rosaceae.org/Prunus/Prunus_persica/p.persica_gdr_reftransV1_0008255","p.persica_gdr_reftransV1_0008255")</f>
        <v>p.persica_gdr_reftransV1_0008255</v>
      </c>
      <c r="B16113" s="3">
        <v>2526</v>
      </c>
      <c r="C16113" s="1" t="str">
        <f>HYPERLINK("http://www.uniprot.org/uniprot/RNF14_MOUSE","RNF14_MOUSE")</f>
        <v>RNF14_MOUSE</v>
      </c>
      <c r="D16113" t="s">
        <v>10181</v>
      </c>
      <c r="E16113" s="3" t="s">
        <v>157</v>
      </c>
      <c r="F16113" s="4">
        <v>1.26E-57</v>
      </c>
      <c r="G16113" s="3">
        <v>533</v>
      </c>
      <c r="H16113" s="3">
        <v>32</v>
      </c>
      <c r="I16113" s="3">
        <v>462</v>
      </c>
      <c r="J16113" s="3">
        <v>698</v>
      </c>
      <c r="K16113" s="3">
        <v>1933</v>
      </c>
      <c r="L16113" s="3">
        <v>5</v>
      </c>
      <c r="M16113" s="3">
        <v>450</v>
      </c>
    </row>
    <row r="16114" spans="1:13" x14ac:dyDescent="0.25">
      <c r="A16114" s="1" t="str">
        <f>HYPERLINK("http://www.rosaceae.org/Prunus/Prunus_persica/p.persica_gdr_reftransV1_0008355","p.persica_gdr_reftransV1_0008355")</f>
        <v>p.persica_gdr_reftransV1_0008355</v>
      </c>
      <c r="B16114" s="3">
        <v>1068</v>
      </c>
      <c r="C16114" s="1" t="str">
        <f>HYPERLINK("http://www.uniprot.org/uniprot/MYO11_ARATH","MYO11_ARATH")</f>
        <v>MYO11_ARATH</v>
      </c>
      <c r="D16114" t="s">
        <v>5657</v>
      </c>
      <c r="E16114" s="3" t="s">
        <v>3</v>
      </c>
      <c r="F16114" s="4">
        <v>6.4099999999999997E-157</v>
      </c>
      <c r="G16114" s="3">
        <v>969</v>
      </c>
      <c r="H16114" s="3">
        <v>73</v>
      </c>
      <c r="I16114" s="3">
        <v>248</v>
      </c>
      <c r="J16114" s="3">
        <v>1</v>
      </c>
      <c r="K16114" s="3">
        <v>744</v>
      </c>
      <c r="L16114" s="3">
        <v>467</v>
      </c>
      <c r="M16114" s="3">
        <v>714</v>
      </c>
    </row>
    <row r="16115" spans="1:13" x14ac:dyDescent="0.25">
      <c r="A16115" s="1" t="str">
        <f>HYPERLINK("http://www.rosaceae.org/Prunus/Prunus_persica/p.persica_gdr_reftransV1_0008505","p.persica_gdr_reftransV1_0008505")</f>
        <v>p.persica_gdr_reftransV1_0008505</v>
      </c>
      <c r="B16115" s="3">
        <v>4375</v>
      </c>
      <c r="C16115" s="1" t="str">
        <f>HYPERLINK("http://www.uniprot.org/uniprot/PAP14_ARATH","PAP14_ARATH")</f>
        <v>PAP14_ARATH</v>
      </c>
      <c r="D16115" t="s">
        <v>10182</v>
      </c>
      <c r="E16115" s="3" t="s">
        <v>3</v>
      </c>
      <c r="F16115" s="4">
        <v>0</v>
      </c>
      <c r="G16115" s="3">
        <v>2219</v>
      </c>
      <c r="H16115" s="3">
        <v>67</v>
      </c>
      <c r="I16115" s="3">
        <v>672</v>
      </c>
      <c r="J16115" s="3">
        <v>2177</v>
      </c>
      <c r="K16115" s="3">
        <v>4171</v>
      </c>
      <c r="L16115" s="3">
        <v>1</v>
      </c>
      <c r="M16115" s="3">
        <v>666</v>
      </c>
    </row>
    <row r="16116" spans="1:13" x14ac:dyDescent="0.25">
      <c r="A16116" s="1" t="str">
        <f>HYPERLINK("http://www.rosaceae.org/Prunus/Prunus_persica/p.persica_gdr_reftransV1_0008605","p.persica_gdr_reftransV1_0008605")</f>
        <v>p.persica_gdr_reftransV1_0008605</v>
      </c>
      <c r="B16116" s="3">
        <v>1058</v>
      </c>
      <c r="C16116" s="1" t="str">
        <f>HYPERLINK("http://www.uniprot.org/uniprot/YP20_BACLI","YP20_BACLI")</f>
        <v>YP20_BACLI</v>
      </c>
      <c r="D16116" t="s">
        <v>8073</v>
      </c>
      <c r="E16116" s="3" t="s">
        <v>2842</v>
      </c>
      <c r="F16116" s="4">
        <v>3.8399999999999999E-20</v>
      </c>
      <c r="G16116" s="3">
        <v>223</v>
      </c>
      <c r="H16116" s="3">
        <v>37</v>
      </c>
      <c r="I16116" s="3">
        <v>169</v>
      </c>
      <c r="J16116" s="3">
        <v>298</v>
      </c>
      <c r="K16116" s="3">
        <v>777</v>
      </c>
      <c r="L16116" s="3">
        <v>9</v>
      </c>
      <c r="M16116" s="3">
        <v>172</v>
      </c>
    </row>
    <row r="16117" spans="1:13" x14ac:dyDescent="0.25">
      <c r="A16117" s="1" t="str">
        <f>HYPERLINK("http://www.rosaceae.org/Prunus/Prunus_persica/p.persica_gdr_reftransV1_0008755","p.persica_gdr_reftransV1_0008755")</f>
        <v>p.persica_gdr_reftransV1_0008755</v>
      </c>
      <c r="B16117" s="3">
        <v>1010</v>
      </c>
      <c r="C16117" s="1" t="str">
        <f>HYPERLINK("http://www.uniprot.org/uniprot/NDUS4_ARATH","NDUS4_ARATH")</f>
        <v>NDUS4_ARATH</v>
      </c>
      <c r="D16117" t="s">
        <v>6071</v>
      </c>
      <c r="E16117" s="3" t="s">
        <v>3</v>
      </c>
      <c r="F16117" s="4">
        <v>4.9599999999999997E-71</v>
      </c>
      <c r="G16117" s="3">
        <v>571</v>
      </c>
      <c r="H16117" s="3">
        <v>70</v>
      </c>
      <c r="I16117" s="3">
        <v>157</v>
      </c>
      <c r="J16117" s="3">
        <v>338</v>
      </c>
      <c r="K16117" s="3">
        <v>802</v>
      </c>
      <c r="L16117" s="3">
        <v>1</v>
      </c>
      <c r="M16117" s="3">
        <v>153</v>
      </c>
    </row>
    <row r="16118" spans="1:13" x14ac:dyDescent="0.25">
      <c r="A16118" s="1" t="str">
        <f>HYPERLINK("http://www.rosaceae.org/Prunus/Prunus_persica/p.persica_gdr_reftransV1_0008855","p.persica_gdr_reftransV1_0008855")</f>
        <v>p.persica_gdr_reftransV1_0008855</v>
      </c>
      <c r="B16118" s="3">
        <v>1821</v>
      </c>
      <c r="C16118" s="1" t="str">
        <f>HYPERLINK("http://www.uniprot.org/uniprot/UBE11_ARATH","UBE11_ARATH")</f>
        <v>UBE11_ARATH</v>
      </c>
      <c r="D16118" t="s">
        <v>1779</v>
      </c>
      <c r="E16118" s="3" t="s">
        <v>3</v>
      </c>
      <c r="F16118" s="4">
        <v>7.1400000000000003E-173</v>
      </c>
      <c r="G16118" s="3">
        <v>1357</v>
      </c>
      <c r="H16118" s="3">
        <v>82</v>
      </c>
      <c r="I16118" s="3">
        <v>309</v>
      </c>
      <c r="J16118" s="3">
        <v>895</v>
      </c>
      <c r="K16118" s="3">
        <v>1821</v>
      </c>
      <c r="L16118" s="3">
        <v>63</v>
      </c>
      <c r="M16118" s="3">
        <v>371</v>
      </c>
    </row>
    <row r="16119" spans="1:13" x14ac:dyDescent="0.25">
      <c r="A16119" s="1" t="str">
        <f>HYPERLINK("http://www.rosaceae.org/Prunus/Prunus_persica/p.persica_gdr_reftransV1_0008955","p.persica_gdr_reftransV1_0008955")</f>
        <v>p.persica_gdr_reftransV1_0008955</v>
      </c>
      <c r="B16119" s="3">
        <v>2046</v>
      </c>
      <c r="C16119" s="1" t="str">
        <f>HYPERLINK("http://www.uniprot.org/uniprot/VP26A_ARATH","VP26A_ARATH")</f>
        <v>VP26A_ARATH</v>
      </c>
      <c r="D16119" t="s">
        <v>10183</v>
      </c>
      <c r="E16119" s="3" t="s">
        <v>3</v>
      </c>
      <c r="F16119" s="4">
        <v>5.0400000000000002E-92</v>
      </c>
      <c r="G16119" s="3">
        <v>753</v>
      </c>
      <c r="H16119" s="3">
        <v>92</v>
      </c>
      <c r="I16119" s="3">
        <v>155</v>
      </c>
      <c r="J16119" s="3">
        <v>719</v>
      </c>
      <c r="K16119" s="3">
        <v>1183</v>
      </c>
      <c r="L16119" s="3">
        <v>89</v>
      </c>
      <c r="M16119" s="3">
        <v>243</v>
      </c>
    </row>
    <row r="16120" spans="1:13" x14ac:dyDescent="0.25">
      <c r="A16120" s="1" t="str">
        <f>HYPERLINK("http://www.rosaceae.org/Prunus/Prunus_persica/p.persica_gdr_reftransV1_0009055","p.persica_gdr_reftransV1_0009055")</f>
        <v>p.persica_gdr_reftransV1_0009055</v>
      </c>
      <c r="B16120" s="3">
        <v>871</v>
      </c>
      <c r="C16120" s="1" t="str">
        <f>HYPERLINK("http://www.uniprot.org/uniprot/FAX4_ARATH","FAX4_ARATH")</f>
        <v>FAX4_ARATH</v>
      </c>
      <c r="D16120" t="s">
        <v>10184</v>
      </c>
      <c r="E16120" s="3" t="s">
        <v>3</v>
      </c>
      <c r="F16120" s="4">
        <v>2.45E-19</v>
      </c>
      <c r="G16120" s="3">
        <v>215</v>
      </c>
      <c r="H16120" s="3">
        <v>56</v>
      </c>
      <c r="I16120" s="3">
        <v>87</v>
      </c>
      <c r="J16120" s="3">
        <v>443</v>
      </c>
      <c r="K16120" s="3">
        <v>703</v>
      </c>
      <c r="L16120" s="3">
        <v>78</v>
      </c>
      <c r="M16120" s="3">
        <v>164</v>
      </c>
    </row>
    <row r="16121" spans="1:13" x14ac:dyDescent="0.25">
      <c r="A16121" s="1" t="str">
        <f>HYPERLINK("http://www.rosaceae.org/Prunus/Prunus_persica/p.persica_gdr_reftransV1_0009105","p.persica_gdr_reftransV1_0009105")</f>
        <v>p.persica_gdr_reftransV1_0009105</v>
      </c>
      <c r="B16121" s="3">
        <v>1864</v>
      </c>
      <c r="C16121" s="1" t="str">
        <f>HYPERLINK("http://www.uniprot.org/uniprot/PLA14_ARATH","PLA14_ARATH")</f>
        <v>PLA14_ARATH</v>
      </c>
      <c r="D16121" t="s">
        <v>10185</v>
      </c>
      <c r="E16121" s="3" t="s">
        <v>3</v>
      </c>
      <c r="F16121" s="4">
        <v>0</v>
      </c>
      <c r="G16121" s="3">
        <v>1470</v>
      </c>
      <c r="H16121" s="3">
        <v>61</v>
      </c>
      <c r="I16121" s="3">
        <v>500</v>
      </c>
      <c r="J16121" s="3">
        <v>135</v>
      </c>
      <c r="K16121" s="3">
        <v>1616</v>
      </c>
      <c r="L16121" s="3">
        <v>34</v>
      </c>
      <c r="M16121" s="3">
        <v>516</v>
      </c>
    </row>
    <row r="16122" spans="1:13" x14ac:dyDescent="0.25">
      <c r="A16122" s="1" t="str">
        <f>HYPERLINK("http://www.rosaceae.org/Prunus/Prunus_persica/p.persica_gdr_reftransV1_0009255","p.persica_gdr_reftransV1_0009255")</f>
        <v>p.persica_gdr_reftransV1_0009255</v>
      </c>
      <c r="B16122" s="3">
        <v>2488</v>
      </c>
      <c r="C16122" s="1" t="str">
        <f>HYPERLINK("http://www.uniprot.org/uniprot/GT643_ARATH","GT643_ARATH")</f>
        <v>GT643_ARATH</v>
      </c>
      <c r="D16122" t="s">
        <v>10186</v>
      </c>
      <c r="E16122" s="3" t="s">
        <v>3</v>
      </c>
      <c r="F16122" s="4">
        <v>6.5100000000000003E-113</v>
      </c>
      <c r="G16122" s="3">
        <v>908</v>
      </c>
      <c r="H16122" s="3">
        <v>69</v>
      </c>
      <c r="I16122" s="3">
        <v>316</v>
      </c>
      <c r="J16122" s="3">
        <v>791</v>
      </c>
      <c r="K16122" s="3">
        <v>1732</v>
      </c>
      <c r="L16122" s="3">
        <v>23</v>
      </c>
      <c r="M16122" s="3">
        <v>328</v>
      </c>
    </row>
    <row r="16123" spans="1:13" x14ac:dyDescent="0.25">
      <c r="A16123" s="1" t="str">
        <f>HYPERLINK("http://www.rosaceae.org/Prunus/Prunus_persica/p.persica_gdr_reftransV1_0009305","p.persica_gdr_reftransV1_0009305")</f>
        <v>p.persica_gdr_reftransV1_0009305</v>
      </c>
      <c r="B16123" s="3">
        <v>996</v>
      </c>
      <c r="C16123" s="1" t="str">
        <f>HYPERLINK("http://www.uniprot.org/uniprot/GIS2_YEAST","GIS2_YEAST")</f>
        <v>GIS2_YEAST</v>
      </c>
      <c r="D16123" t="s">
        <v>4228</v>
      </c>
      <c r="E16123" s="3" t="s">
        <v>34</v>
      </c>
      <c r="F16123" s="4">
        <v>1.46E-20</v>
      </c>
      <c r="G16123" s="3">
        <v>223</v>
      </c>
      <c r="H16123" s="3">
        <v>35</v>
      </c>
      <c r="I16123" s="3">
        <v>151</v>
      </c>
      <c r="J16123" s="3">
        <v>560</v>
      </c>
      <c r="K16123" s="3">
        <v>973</v>
      </c>
      <c r="L16123" s="3">
        <v>6</v>
      </c>
      <c r="M16123" s="3">
        <v>153</v>
      </c>
    </row>
    <row r="16124" spans="1:13" x14ac:dyDescent="0.25">
      <c r="A16124" s="1" t="str">
        <f>HYPERLINK("http://www.rosaceae.org/Prunus/Prunus_persica/p.persica_gdr_reftransV1_0009355","p.persica_gdr_reftransV1_0009355")</f>
        <v>p.persica_gdr_reftransV1_0009355</v>
      </c>
      <c r="B16124" s="3">
        <v>485</v>
      </c>
      <c r="C16124" s="1" t="str">
        <f>HYPERLINK("http://www.uniprot.org/uniprot/CDT1B_ARATH","CDT1B_ARATH")</f>
        <v>CDT1B_ARATH</v>
      </c>
      <c r="D16124" t="s">
        <v>10187</v>
      </c>
      <c r="E16124" s="3" t="s">
        <v>3</v>
      </c>
      <c r="F16124" s="4">
        <v>2.36E-8</v>
      </c>
      <c r="G16124" s="3">
        <v>133</v>
      </c>
      <c r="H16124" s="3">
        <v>59</v>
      </c>
      <c r="I16124" s="3">
        <v>37</v>
      </c>
      <c r="J16124" s="3">
        <v>374</v>
      </c>
      <c r="K16124" s="3">
        <v>484</v>
      </c>
      <c r="L16124" s="3">
        <v>45</v>
      </c>
      <c r="M16124" s="3">
        <v>81</v>
      </c>
    </row>
    <row r="16125" spans="1:13" x14ac:dyDescent="0.25">
      <c r="A16125" s="1" t="str">
        <f>HYPERLINK("http://www.rosaceae.org/Prunus/Prunus_persica/p.persica_gdr_reftransV1_0009405","p.persica_gdr_reftransV1_0009405")</f>
        <v>p.persica_gdr_reftransV1_0009405</v>
      </c>
      <c r="B16125" s="3">
        <v>1107</v>
      </c>
      <c r="C16125" s="1" t="str">
        <f>HYPERLINK("http://www.uniprot.org/uniprot/TMVRN_NICGU","TMVRN_NICGU")</f>
        <v>TMVRN_NICGU</v>
      </c>
      <c r="D16125" t="s">
        <v>151</v>
      </c>
      <c r="E16125" s="3" t="s">
        <v>152</v>
      </c>
      <c r="F16125" s="4">
        <v>1.03E-45</v>
      </c>
      <c r="G16125" s="3">
        <v>438</v>
      </c>
      <c r="H16125" s="3">
        <v>32</v>
      </c>
      <c r="I16125" s="3">
        <v>419</v>
      </c>
      <c r="J16125" s="3">
        <v>1</v>
      </c>
      <c r="K16125" s="3">
        <v>1107</v>
      </c>
      <c r="L16125" s="3">
        <v>486</v>
      </c>
      <c r="M16125" s="3">
        <v>888</v>
      </c>
    </row>
    <row r="16126" spans="1:13" x14ac:dyDescent="0.25">
      <c r="A16126" s="1" t="str">
        <f>HYPERLINK("http://www.rosaceae.org/Prunus/Prunus_persica/p.persica_gdr_reftransV1_0009455","p.persica_gdr_reftransV1_0009455")</f>
        <v>p.persica_gdr_reftransV1_0009455</v>
      </c>
      <c r="B16126" s="3">
        <v>1359</v>
      </c>
      <c r="C16126" s="1" t="str">
        <f>HYPERLINK("http://www.uniprot.org/uniprot/GUX6_ARATH","GUX6_ARATH")</f>
        <v>GUX6_ARATH</v>
      </c>
      <c r="D16126" t="s">
        <v>9075</v>
      </c>
      <c r="E16126" s="3" t="s">
        <v>3</v>
      </c>
      <c r="F16126" s="4">
        <v>2.4599999999999999E-179</v>
      </c>
      <c r="G16126" s="3">
        <v>1338</v>
      </c>
      <c r="H16126" s="3">
        <v>72</v>
      </c>
      <c r="I16126" s="3">
        <v>388</v>
      </c>
      <c r="J16126" s="3">
        <v>106</v>
      </c>
      <c r="K16126" s="3">
        <v>1251</v>
      </c>
      <c r="L16126" s="3">
        <v>1</v>
      </c>
      <c r="M16126" s="3">
        <v>377</v>
      </c>
    </row>
    <row r="16127" spans="1:13" x14ac:dyDescent="0.25">
      <c r="A16127" s="1" t="str">
        <f>HYPERLINK("http://www.rosaceae.org/Prunus/Prunus_persica/p.persica_gdr_reftransV1_0009555","p.persica_gdr_reftransV1_0009555")</f>
        <v>p.persica_gdr_reftransV1_0009555</v>
      </c>
      <c r="B16127" s="3">
        <v>1436</v>
      </c>
      <c r="C16127" s="1" t="str">
        <f>HYPERLINK("http://www.uniprot.org/uniprot/WTR38_ARATH","WTR38_ARATH")</f>
        <v>WTR38_ARATH</v>
      </c>
      <c r="D16127" t="s">
        <v>7063</v>
      </c>
      <c r="E16127" s="3" t="s">
        <v>3</v>
      </c>
      <c r="F16127" s="4">
        <v>0</v>
      </c>
      <c r="G16127" s="3">
        <v>1408</v>
      </c>
      <c r="H16127" s="3">
        <v>69</v>
      </c>
      <c r="I16127" s="3">
        <v>396</v>
      </c>
      <c r="J16127" s="3">
        <v>77</v>
      </c>
      <c r="K16127" s="3">
        <v>1234</v>
      </c>
      <c r="L16127" s="3">
        <v>3</v>
      </c>
      <c r="M16127" s="3">
        <v>396</v>
      </c>
    </row>
    <row r="16128" spans="1:13" x14ac:dyDescent="0.25">
      <c r="A16128" s="1" t="str">
        <f>HYPERLINK("http://www.rosaceae.org/Prunus/Prunus_persica/p.persica_gdr_reftransV1_0009805","p.persica_gdr_reftransV1_0009805")</f>
        <v>p.persica_gdr_reftransV1_0009805</v>
      </c>
      <c r="B16128" s="3">
        <v>1729</v>
      </c>
      <c r="C16128" s="1" t="str">
        <f>HYPERLINK("http://www.uniprot.org/uniprot/OGG1_ARATH","OGG1_ARATH")</f>
        <v>OGG1_ARATH</v>
      </c>
      <c r="D16128" t="s">
        <v>10188</v>
      </c>
      <c r="E16128" s="3" t="s">
        <v>3</v>
      </c>
      <c r="F16128" s="4">
        <v>5.5499999999999999E-163</v>
      </c>
      <c r="G16128" s="3">
        <v>1225</v>
      </c>
      <c r="H16128" s="3">
        <v>77</v>
      </c>
      <c r="I16128" s="3">
        <v>302</v>
      </c>
      <c r="J16128" s="3">
        <v>596</v>
      </c>
      <c r="K16128" s="3">
        <v>1498</v>
      </c>
      <c r="L16128" s="3">
        <v>39</v>
      </c>
      <c r="M16128" s="3">
        <v>339</v>
      </c>
    </row>
    <row r="16129" spans="1:13" x14ac:dyDescent="0.25">
      <c r="A16129" s="1" t="str">
        <f>HYPERLINK("http://www.rosaceae.org/Prunus/Prunus_persica/p.persica_gdr_reftransV1_0009855","p.persica_gdr_reftransV1_0009855")</f>
        <v>p.persica_gdr_reftransV1_0009855</v>
      </c>
      <c r="B16129" s="3">
        <v>1828</v>
      </c>
      <c r="C16129" s="1" t="str">
        <f>HYPERLINK("http://www.uniprot.org/uniprot/LEC2_ARATH","LEC2_ARATH")</f>
        <v>LEC2_ARATH</v>
      </c>
      <c r="D16129" t="s">
        <v>10189</v>
      </c>
      <c r="E16129" s="3" t="s">
        <v>3</v>
      </c>
      <c r="F16129" s="4">
        <v>1.41E-43</v>
      </c>
      <c r="G16129" s="3">
        <v>415</v>
      </c>
      <c r="H16129" s="3">
        <v>66</v>
      </c>
      <c r="I16129" s="3">
        <v>117</v>
      </c>
      <c r="J16129" s="3">
        <v>783</v>
      </c>
      <c r="K16129" s="3">
        <v>1133</v>
      </c>
      <c r="L16129" s="3">
        <v>157</v>
      </c>
      <c r="M16129" s="3">
        <v>273</v>
      </c>
    </row>
    <row r="16130" spans="1:13" x14ac:dyDescent="0.25">
      <c r="A16130" s="1" t="str">
        <f>HYPERLINK("http://www.rosaceae.org/Prunus/Prunus_persica/p.persica_gdr_reftransV1_0009905","p.persica_gdr_reftransV1_0009905")</f>
        <v>p.persica_gdr_reftransV1_0009905</v>
      </c>
      <c r="B16130" s="3">
        <v>3136</v>
      </c>
      <c r="C16130" s="1" t="str">
        <f>HYPERLINK("http://www.uniprot.org/uniprot/KC1E_CHICK","KC1E_CHICK")</f>
        <v>KC1E_CHICK</v>
      </c>
      <c r="D16130" t="s">
        <v>10190</v>
      </c>
      <c r="E16130" s="3" t="s">
        <v>1278</v>
      </c>
      <c r="F16130" s="4">
        <v>3.18E-134</v>
      </c>
      <c r="G16130" s="3">
        <v>911</v>
      </c>
      <c r="H16130" s="3">
        <v>76</v>
      </c>
      <c r="I16130" s="3">
        <v>213</v>
      </c>
      <c r="J16130" s="3">
        <v>762</v>
      </c>
      <c r="K16130" s="3">
        <v>1400</v>
      </c>
      <c r="L16130" s="3">
        <v>1</v>
      </c>
      <c r="M16130" s="3">
        <v>213</v>
      </c>
    </row>
    <row r="16131" spans="1:13" x14ac:dyDescent="0.25">
      <c r="A16131" s="1" t="str">
        <f>HYPERLINK("http://www.rosaceae.org/Prunus/Prunus_persica/p.persica_gdr_reftransV1_0009955","p.persica_gdr_reftransV1_0009955")</f>
        <v>p.persica_gdr_reftransV1_0009955</v>
      </c>
      <c r="B16131" s="3">
        <v>4161</v>
      </c>
      <c r="C16131" s="1" t="str">
        <f>HYPERLINK("http://www.uniprot.org/uniprot/KIF11_DICDI","KIF11_DICDI")</f>
        <v>KIF11_DICDI</v>
      </c>
      <c r="D16131" t="s">
        <v>4802</v>
      </c>
      <c r="E16131" s="3" t="s">
        <v>9</v>
      </c>
      <c r="F16131" s="4">
        <v>1.99E-106</v>
      </c>
      <c r="G16131" s="3">
        <v>921</v>
      </c>
      <c r="H16131" s="3">
        <v>51</v>
      </c>
      <c r="I16131" s="3">
        <v>381</v>
      </c>
      <c r="J16131" s="3">
        <v>967</v>
      </c>
      <c r="K16131" s="3">
        <v>2073</v>
      </c>
      <c r="L16131" s="3">
        <v>114</v>
      </c>
      <c r="M16131" s="3">
        <v>491</v>
      </c>
    </row>
    <row r="16132" spans="1:13" x14ac:dyDescent="0.25">
      <c r="A16132" s="1" t="str">
        <f>HYPERLINK("http://www.rosaceae.org/Prunus/Prunus_persica/p.persica_gdr_reftransV1_0010205","p.persica_gdr_reftransV1_0010205")</f>
        <v>p.persica_gdr_reftransV1_0010205</v>
      </c>
      <c r="B16132" s="3">
        <v>857</v>
      </c>
      <c r="C16132" s="1" t="str">
        <f>HYPERLINK("http://www.uniprot.org/uniprot/PP247_ARATH","PP247_ARATH")</f>
        <v>PP247_ARATH</v>
      </c>
      <c r="D16132" t="s">
        <v>2483</v>
      </c>
      <c r="E16132" s="3" t="s">
        <v>3</v>
      </c>
      <c r="F16132" s="4">
        <v>6.4699999999999997E-29</v>
      </c>
      <c r="G16132" s="3">
        <v>277</v>
      </c>
      <c r="H16132" s="3">
        <v>46</v>
      </c>
      <c r="I16132" s="3">
        <v>112</v>
      </c>
      <c r="J16132" s="3">
        <v>1</v>
      </c>
      <c r="K16132" s="3">
        <v>336</v>
      </c>
      <c r="L16132" s="3">
        <v>80</v>
      </c>
      <c r="M16132" s="3">
        <v>190</v>
      </c>
    </row>
    <row r="16133" spans="1:13" x14ac:dyDescent="0.25">
      <c r="A16133" s="1" t="str">
        <f>HYPERLINK("http://www.rosaceae.org/Prunus/Prunus_persica/p.persica_gdr_reftransV1_0010255","p.persica_gdr_reftransV1_0010255")</f>
        <v>p.persica_gdr_reftransV1_0010255</v>
      </c>
      <c r="B16133" s="3">
        <v>1725</v>
      </c>
      <c r="C16133" s="1" t="str">
        <f>HYPERLINK("http://www.uniprot.org/uniprot/SYWM_ARATH","SYWM_ARATH")</f>
        <v>SYWM_ARATH</v>
      </c>
      <c r="D16133" t="s">
        <v>10191</v>
      </c>
      <c r="E16133" s="3" t="s">
        <v>3</v>
      </c>
      <c r="F16133" s="4">
        <v>0</v>
      </c>
      <c r="G16133" s="3">
        <v>1463</v>
      </c>
      <c r="H16133" s="3">
        <v>70</v>
      </c>
      <c r="I16133" s="3">
        <v>409</v>
      </c>
      <c r="J16133" s="3">
        <v>174</v>
      </c>
      <c r="K16133" s="3">
        <v>1400</v>
      </c>
      <c r="L16133" s="3">
        <v>7</v>
      </c>
      <c r="M16133" s="3">
        <v>405</v>
      </c>
    </row>
    <row r="16134" spans="1:13" x14ac:dyDescent="0.25">
      <c r="A16134" s="1" t="str">
        <f>HYPERLINK("http://www.rosaceae.org/Prunus/Prunus_persica/p.persica_gdr_reftransV1_0010405","p.persica_gdr_reftransV1_0010405")</f>
        <v>p.persica_gdr_reftransV1_0010405</v>
      </c>
      <c r="B16134" s="3">
        <v>1673</v>
      </c>
      <c r="C16134" s="1" t="str">
        <f>HYPERLINK("http://www.uniprot.org/uniprot/GAOX2_ARATH","GAOX2_ARATH")</f>
        <v>GAOX2_ARATH</v>
      </c>
      <c r="D16134" t="s">
        <v>10192</v>
      </c>
      <c r="E16134" s="3" t="s">
        <v>3</v>
      </c>
      <c r="F16134" s="4">
        <v>6.0800000000000002E-177</v>
      </c>
      <c r="G16134" s="3">
        <v>1317</v>
      </c>
      <c r="H16134" s="3">
        <v>64</v>
      </c>
      <c r="I16134" s="3">
        <v>382</v>
      </c>
      <c r="J16134" s="3">
        <v>392</v>
      </c>
      <c r="K16134" s="3">
        <v>1537</v>
      </c>
      <c r="L16134" s="3">
        <v>1</v>
      </c>
      <c r="M16134" s="3">
        <v>371</v>
      </c>
    </row>
    <row r="16135" spans="1:13" x14ac:dyDescent="0.25">
      <c r="A16135" s="1" t="str">
        <f>HYPERLINK("http://www.rosaceae.org/Prunus/Prunus_persica/p.persica_gdr_reftransV1_0010505","p.persica_gdr_reftransV1_0010505")</f>
        <v>p.persica_gdr_reftransV1_0010505</v>
      </c>
      <c r="B16135" s="3">
        <v>853</v>
      </c>
      <c r="C16135" s="1" t="str">
        <f>HYPERLINK("http://www.uniprot.org/uniprot/SDH6_ARATH","SDH6_ARATH")</f>
        <v>SDH6_ARATH</v>
      </c>
      <c r="D16135" t="s">
        <v>10193</v>
      </c>
      <c r="E16135" s="3" t="s">
        <v>3</v>
      </c>
      <c r="F16135" s="4">
        <v>4.0599999999999997E-67</v>
      </c>
      <c r="G16135" s="3">
        <v>539</v>
      </c>
      <c r="H16135" s="3">
        <v>69</v>
      </c>
      <c r="I16135" s="3">
        <v>145</v>
      </c>
      <c r="J16135" s="3">
        <v>92</v>
      </c>
      <c r="K16135" s="3">
        <v>526</v>
      </c>
      <c r="L16135" s="3">
        <v>1</v>
      </c>
      <c r="M16135" s="3">
        <v>142</v>
      </c>
    </row>
    <row r="16136" spans="1:13" x14ac:dyDescent="0.25">
      <c r="A16136" s="1" t="str">
        <f>HYPERLINK("http://www.rosaceae.org/Prunus/Prunus_persica/p.persica_gdr_reftransV1_0010555","p.persica_gdr_reftransV1_0010555")</f>
        <v>p.persica_gdr_reftransV1_0010555</v>
      </c>
      <c r="B16136" s="3">
        <v>1465</v>
      </c>
      <c r="C16136" s="1" t="str">
        <f>HYPERLINK("http://www.uniprot.org/uniprot/VAP42_ARATH","VAP42_ARATH")</f>
        <v>VAP42_ARATH</v>
      </c>
      <c r="D16136" t="s">
        <v>7617</v>
      </c>
      <c r="E16136" s="3" t="s">
        <v>3</v>
      </c>
      <c r="F16136" s="4">
        <v>2.16E-75</v>
      </c>
      <c r="G16136" s="3">
        <v>626</v>
      </c>
      <c r="H16136" s="3">
        <v>81</v>
      </c>
      <c r="I16136" s="3">
        <v>203</v>
      </c>
      <c r="J16136" s="3">
        <v>320</v>
      </c>
      <c r="K16136" s="3">
        <v>928</v>
      </c>
      <c r="L16136" s="3">
        <v>93</v>
      </c>
      <c r="M16136" s="3">
        <v>295</v>
      </c>
    </row>
    <row r="16137" spans="1:13" x14ac:dyDescent="0.25">
      <c r="A16137" s="1" t="str">
        <f>HYPERLINK("http://www.rosaceae.org/Prunus/Prunus_persica/p.persica_gdr_reftransV1_0010605","p.persica_gdr_reftransV1_0010605")</f>
        <v>p.persica_gdr_reftransV1_0010605</v>
      </c>
      <c r="B16137" s="3">
        <v>638</v>
      </c>
      <c r="C16137" s="1" t="str">
        <f>HYPERLINK("http://www.uniprot.org/uniprot/PP151_ARATH","PP151_ARATH")</f>
        <v>PP151_ARATH</v>
      </c>
      <c r="D16137" t="s">
        <v>1204</v>
      </c>
      <c r="E16137" s="3" t="s">
        <v>3</v>
      </c>
      <c r="F16137" s="4">
        <v>5.9600000000000001E-30</v>
      </c>
      <c r="G16137" s="3">
        <v>303</v>
      </c>
      <c r="H16137" s="3">
        <v>42</v>
      </c>
      <c r="I16137" s="3">
        <v>124</v>
      </c>
      <c r="J16137" s="3">
        <v>2</v>
      </c>
      <c r="K16137" s="3">
        <v>373</v>
      </c>
      <c r="L16137" s="3">
        <v>540</v>
      </c>
      <c r="M16137" s="3">
        <v>660</v>
      </c>
    </row>
    <row r="16138" spans="1:13" x14ac:dyDescent="0.25">
      <c r="A16138" s="1" t="str">
        <f>HYPERLINK("http://www.rosaceae.org/Prunus/Prunus_persica/p.persica_gdr_reftransV1_0010705","p.persica_gdr_reftransV1_0010705")</f>
        <v>p.persica_gdr_reftransV1_0010705</v>
      </c>
      <c r="B16138" s="3">
        <v>685</v>
      </c>
      <c r="C16138" s="1" t="str">
        <f>HYPERLINK("http://www.uniprot.org/uniprot/Y4648_ARATH","Y4648_ARATH")</f>
        <v>Y4648_ARATH</v>
      </c>
      <c r="D16138" t="s">
        <v>6785</v>
      </c>
      <c r="E16138" s="3" t="s">
        <v>3</v>
      </c>
      <c r="F16138" s="4">
        <v>2.06E-19</v>
      </c>
      <c r="G16138" s="3">
        <v>215</v>
      </c>
      <c r="H16138" s="3">
        <v>43</v>
      </c>
      <c r="I16138" s="3">
        <v>115</v>
      </c>
      <c r="J16138" s="3">
        <v>342</v>
      </c>
      <c r="K16138" s="3">
        <v>683</v>
      </c>
      <c r="L16138" s="3">
        <v>93</v>
      </c>
      <c r="M16138" s="3">
        <v>207</v>
      </c>
    </row>
    <row r="16139" spans="1:13" x14ac:dyDescent="0.25">
      <c r="A16139" s="1" t="str">
        <f>HYPERLINK("http://www.rosaceae.org/Prunus/Prunus_persica/p.persica_gdr_reftransV1_0010755","p.persica_gdr_reftransV1_0010755")</f>
        <v>p.persica_gdr_reftransV1_0010755</v>
      </c>
      <c r="B16139" s="3">
        <v>1692</v>
      </c>
      <c r="C16139" s="1" t="str">
        <f>HYPERLINK("http://www.uniprot.org/uniprot/B3GTC_ARATH","B3GTC_ARATH")</f>
        <v>B3GTC_ARATH</v>
      </c>
      <c r="D16139" t="s">
        <v>10194</v>
      </c>
      <c r="E16139" s="3" t="s">
        <v>3</v>
      </c>
      <c r="F16139" s="4">
        <v>6.5400000000000004E-176</v>
      </c>
      <c r="G16139" s="3">
        <v>1310</v>
      </c>
      <c r="H16139" s="3">
        <v>76</v>
      </c>
      <c r="I16139" s="3">
        <v>332</v>
      </c>
      <c r="J16139" s="3">
        <v>307</v>
      </c>
      <c r="K16139" s="3">
        <v>1293</v>
      </c>
      <c r="L16139" s="3">
        <v>43</v>
      </c>
      <c r="M16139" s="3">
        <v>368</v>
      </c>
    </row>
    <row r="16140" spans="1:13" x14ac:dyDescent="0.25">
      <c r="A16140" s="1" t="str">
        <f>HYPERLINK("http://www.rosaceae.org/Prunus/Prunus_persica/p.persica_gdr_reftransV1_0010905","p.persica_gdr_reftransV1_0010905")</f>
        <v>p.persica_gdr_reftransV1_0010905</v>
      </c>
      <c r="B16140" s="3">
        <v>4613</v>
      </c>
      <c r="C16140" s="1" t="str">
        <f>HYPERLINK("http://www.uniprot.org/uniprot/AL2B4_ARATH","AL2B4_ARATH")</f>
        <v>AL2B4_ARATH</v>
      </c>
      <c r="D16140" t="s">
        <v>3777</v>
      </c>
      <c r="E16140" s="3" t="s">
        <v>3</v>
      </c>
      <c r="F16140" s="4">
        <v>0</v>
      </c>
      <c r="G16140" s="3">
        <v>2258</v>
      </c>
      <c r="H16140" s="3">
        <v>81</v>
      </c>
      <c r="I16140" s="3">
        <v>508</v>
      </c>
      <c r="J16140" s="3">
        <v>417</v>
      </c>
      <c r="K16140" s="3">
        <v>1937</v>
      </c>
      <c r="L16140" s="3">
        <v>31</v>
      </c>
      <c r="M16140" s="3">
        <v>538</v>
      </c>
    </row>
    <row r="16141" spans="1:13" x14ac:dyDescent="0.25">
      <c r="A16141" s="1" t="str">
        <f>HYPERLINK("http://www.rosaceae.org/Prunus/Prunus_persica/p.persica_gdr_reftransV1_0011205","p.persica_gdr_reftransV1_0011205")</f>
        <v>p.persica_gdr_reftransV1_0011205</v>
      </c>
      <c r="B16141" s="3">
        <v>533</v>
      </c>
      <c r="C16141" s="1" t="str">
        <f>HYPERLINK("http://www.uniprot.org/uniprot/PP165_ARATH","PP165_ARATH")</f>
        <v>PP165_ARATH</v>
      </c>
      <c r="D16141" t="s">
        <v>10195</v>
      </c>
      <c r="E16141" s="3" t="s">
        <v>3</v>
      </c>
      <c r="F16141" s="4">
        <v>4.8599999999999998E-48</v>
      </c>
      <c r="G16141" s="3">
        <v>427</v>
      </c>
      <c r="H16141" s="3">
        <v>70</v>
      </c>
      <c r="I16141" s="3">
        <v>111</v>
      </c>
      <c r="J16141" s="3">
        <v>6</v>
      </c>
      <c r="K16141" s="3">
        <v>338</v>
      </c>
      <c r="L16141" s="3">
        <v>404</v>
      </c>
      <c r="M16141" s="3">
        <v>514</v>
      </c>
    </row>
    <row r="16142" spans="1:13" x14ac:dyDescent="0.25">
      <c r="A16142" s="1" t="str">
        <f>HYPERLINK("http://www.rosaceae.org/Prunus/Prunus_persica/p.persica_gdr_reftransV1_0011305","p.persica_gdr_reftransV1_0011305")</f>
        <v>p.persica_gdr_reftransV1_0011305</v>
      </c>
      <c r="B16142" s="3">
        <v>383</v>
      </c>
      <c r="C16142" s="1" t="str">
        <f>HYPERLINK("http://www.uniprot.org/uniprot/Y2899_ARATH","Y2899_ARATH")</f>
        <v>Y2899_ARATH</v>
      </c>
      <c r="D16142" t="s">
        <v>10196</v>
      </c>
      <c r="E16142" s="3" t="s">
        <v>3</v>
      </c>
      <c r="F16142" s="4">
        <v>3.5499999999999998E-17</v>
      </c>
      <c r="G16142" s="3">
        <v>200</v>
      </c>
      <c r="H16142" s="3">
        <v>41</v>
      </c>
      <c r="I16142" s="3">
        <v>100</v>
      </c>
      <c r="J16142" s="3">
        <v>84</v>
      </c>
      <c r="K16142" s="3">
        <v>383</v>
      </c>
      <c r="L16142" s="3">
        <v>763</v>
      </c>
      <c r="M16142" s="3">
        <v>855</v>
      </c>
    </row>
    <row r="16143" spans="1:13" x14ac:dyDescent="0.25">
      <c r="A16143" s="1" t="str">
        <f>HYPERLINK("http://www.rosaceae.org/Prunus/Prunus_persica/p.persica_gdr_reftransV1_0011555","p.persica_gdr_reftransV1_0011555")</f>
        <v>p.persica_gdr_reftransV1_0011555</v>
      </c>
      <c r="B16143" s="3">
        <v>2754</v>
      </c>
      <c r="C16143" s="1" t="str">
        <f>HYPERLINK("http://www.uniprot.org/uniprot/G3PP2_ARATH","G3PP2_ARATH")</f>
        <v>G3PP2_ARATH</v>
      </c>
      <c r="D16143" t="s">
        <v>10197</v>
      </c>
      <c r="E16143" s="3" t="s">
        <v>3</v>
      </c>
      <c r="F16143" s="4">
        <v>0</v>
      </c>
      <c r="G16143" s="3">
        <v>1617</v>
      </c>
      <c r="H16143" s="3">
        <v>87</v>
      </c>
      <c r="I16143" s="3">
        <v>356</v>
      </c>
      <c r="J16143" s="3">
        <v>1325</v>
      </c>
      <c r="K16143" s="3">
        <v>2392</v>
      </c>
      <c r="L16143" s="3">
        <v>58</v>
      </c>
      <c r="M16143" s="3">
        <v>413</v>
      </c>
    </row>
    <row r="16144" spans="1:13" x14ac:dyDescent="0.25">
      <c r="A16144" s="1" t="str">
        <f>HYPERLINK("http://www.rosaceae.org/Prunus/Prunus_persica/p.persica_gdr_reftransV1_0011605","p.persica_gdr_reftransV1_0011605")</f>
        <v>p.persica_gdr_reftransV1_0011605</v>
      </c>
      <c r="B16144" s="3">
        <v>1616</v>
      </c>
      <c r="C16144" s="1" t="str">
        <f>HYPERLINK("http://www.uniprot.org/uniprot/THI4_CITSI","THI4_CITSI")</f>
        <v>THI4_CITSI</v>
      </c>
      <c r="D16144" t="s">
        <v>8389</v>
      </c>
      <c r="E16144" s="3" t="s">
        <v>1276</v>
      </c>
      <c r="F16144" s="4">
        <v>0</v>
      </c>
      <c r="G16144" s="3">
        <v>1417</v>
      </c>
      <c r="H16144" s="3">
        <v>86</v>
      </c>
      <c r="I16144" s="3">
        <v>328</v>
      </c>
      <c r="J16144" s="3">
        <v>524</v>
      </c>
      <c r="K16144" s="3">
        <v>1495</v>
      </c>
      <c r="L16144" s="3">
        <v>20</v>
      </c>
      <c r="M16144" s="3">
        <v>341</v>
      </c>
    </row>
    <row r="16145" spans="1:13" x14ac:dyDescent="0.25">
      <c r="A16145" s="1" t="str">
        <f>HYPERLINK("http://www.rosaceae.org/Prunus/Prunus_persica/p.persica_gdr_reftransV1_0011655","p.persica_gdr_reftransV1_0011655")</f>
        <v>p.persica_gdr_reftransV1_0011655</v>
      </c>
      <c r="B16145" s="3">
        <v>4742</v>
      </c>
      <c r="C16145" s="1" t="str">
        <f>HYPERLINK("http://www.uniprot.org/uniprot/ADH_MALDO","ADH_MALDO")</f>
        <v>ADH_MALDO</v>
      </c>
      <c r="D16145" t="s">
        <v>1503</v>
      </c>
      <c r="E16145" s="3" t="s">
        <v>540</v>
      </c>
      <c r="F16145" s="4">
        <v>5.7500000000000001E-133</v>
      </c>
      <c r="G16145" s="3">
        <v>1089</v>
      </c>
      <c r="H16145" s="3">
        <v>86</v>
      </c>
      <c r="I16145" s="3">
        <v>259</v>
      </c>
      <c r="J16145" s="3">
        <v>2584</v>
      </c>
      <c r="K16145" s="3">
        <v>3360</v>
      </c>
      <c r="L16145" s="3">
        <v>3</v>
      </c>
      <c r="M16145" s="3">
        <v>261</v>
      </c>
    </row>
    <row r="16146" spans="1:13" x14ac:dyDescent="0.25">
      <c r="A16146" s="1" t="str">
        <f>HYPERLINK("http://www.rosaceae.org/Prunus/Prunus_persica/p.persica_gdr_reftransV1_0011705","p.persica_gdr_reftransV1_0011705")</f>
        <v>p.persica_gdr_reftransV1_0011705</v>
      </c>
      <c r="B16146" s="3">
        <v>3746</v>
      </c>
      <c r="C16146" s="1" t="str">
        <f>HYPERLINK("http://www.uniprot.org/uniprot/MMT1_ARATH","MMT1_ARATH")</f>
        <v>MMT1_ARATH</v>
      </c>
      <c r="D16146" t="s">
        <v>10198</v>
      </c>
      <c r="E16146" s="3" t="s">
        <v>3</v>
      </c>
      <c r="F16146" s="4">
        <v>0</v>
      </c>
      <c r="G16146" s="3">
        <v>4249</v>
      </c>
      <c r="H16146" s="3">
        <v>73</v>
      </c>
      <c r="I16146" s="3">
        <v>1088</v>
      </c>
      <c r="J16146" s="3">
        <v>250</v>
      </c>
      <c r="K16146" s="3">
        <v>3513</v>
      </c>
      <c r="L16146" s="3">
        <v>4</v>
      </c>
      <c r="M16146" s="3">
        <v>1071</v>
      </c>
    </row>
    <row r="16147" spans="1:13" x14ac:dyDescent="0.25">
      <c r="A16147" s="1" t="str">
        <f>HYPERLINK("http://www.rosaceae.org/Prunus/Prunus_persica/p.persica_gdr_reftransV1_0011855","p.persica_gdr_reftransV1_0011855")</f>
        <v>p.persica_gdr_reftransV1_0011855</v>
      </c>
      <c r="B16147" s="3">
        <v>2619</v>
      </c>
      <c r="C16147" s="1" t="str">
        <f>HYPERLINK("http://www.uniprot.org/uniprot/CTL2_MOUSE","CTL2_MOUSE")</f>
        <v>CTL2_MOUSE</v>
      </c>
      <c r="D16147" t="s">
        <v>10199</v>
      </c>
      <c r="E16147" s="3" t="s">
        <v>157</v>
      </c>
      <c r="F16147" s="4">
        <v>4.0799999999999999E-63</v>
      </c>
      <c r="G16147" s="3">
        <v>588</v>
      </c>
      <c r="H16147" s="3">
        <v>27</v>
      </c>
      <c r="I16147" s="3">
        <v>688</v>
      </c>
      <c r="J16147" s="3">
        <v>414</v>
      </c>
      <c r="K16147" s="3">
        <v>2360</v>
      </c>
      <c r="L16147" s="3">
        <v>27</v>
      </c>
      <c r="M16147" s="3">
        <v>683</v>
      </c>
    </row>
    <row r="16148" spans="1:13" x14ac:dyDescent="0.25">
      <c r="A16148" s="1" t="str">
        <f>HYPERLINK("http://www.rosaceae.org/Prunus/Prunus_persica/p.persica_gdr_reftransV1_0011905","p.persica_gdr_reftransV1_0011905")</f>
        <v>p.persica_gdr_reftransV1_0011905</v>
      </c>
      <c r="B16148" s="3">
        <v>2491</v>
      </c>
      <c r="C16148" s="1" t="str">
        <f>HYPERLINK("http://www.uniprot.org/uniprot/PP291_ARATH","PP291_ARATH")</f>
        <v>PP291_ARATH</v>
      </c>
      <c r="D16148" t="s">
        <v>10200</v>
      </c>
      <c r="E16148" s="3" t="s">
        <v>3</v>
      </c>
      <c r="F16148" s="4">
        <v>0</v>
      </c>
      <c r="G16148" s="3">
        <v>1416</v>
      </c>
      <c r="H16148" s="3">
        <v>62</v>
      </c>
      <c r="I16148" s="3">
        <v>452</v>
      </c>
      <c r="J16148" s="3">
        <v>839</v>
      </c>
      <c r="K16148" s="3">
        <v>2188</v>
      </c>
      <c r="L16148" s="3">
        <v>42</v>
      </c>
      <c r="M16148" s="3">
        <v>492</v>
      </c>
    </row>
    <row r="16149" spans="1:13" x14ac:dyDescent="0.25">
      <c r="A16149" s="1" t="str">
        <f>HYPERLINK("http://www.rosaceae.org/Prunus/Prunus_persica/p.persica_gdr_reftransV1_0012005","p.persica_gdr_reftransV1_0012005")</f>
        <v>p.persica_gdr_reftransV1_0012005</v>
      </c>
      <c r="B16149" s="3">
        <v>653</v>
      </c>
      <c r="C16149" s="1" t="str">
        <f>HYPERLINK("http://www.uniprot.org/uniprot/RNHX1_ARATH","RNHX1_ARATH")</f>
        <v>RNHX1_ARATH</v>
      </c>
      <c r="D16149" t="s">
        <v>124</v>
      </c>
      <c r="E16149" s="3" t="s">
        <v>3</v>
      </c>
      <c r="F16149" s="4">
        <v>2.1E-18</v>
      </c>
      <c r="G16149" s="3">
        <v>192</v>
      </c>
      <c r="H16149" s="3">
        <v>35</v>
      </c>
      <c r="I16149" s="3">
        <v>138</v>
      </c>
      <c r="J16149" s="3">
        <v>199</v>
      </c>
      <c r="K16149" s="3">
        <v>591</v>
      </c>
      <c r="L16149" s="3">
        <v>386</v>
      </c>
      <c r="M16149" s="3">
        <v>517</v>
      </c>
    </row>
    <row r="16150" spans="1:13" x14ac:dyDescent="0.25">
      <c r="A16150" s="1" t="str">
        <f>HYPERLINK("http://www.rosaceae.org/Prunus/Prunus_persica/p.persica_gdr_reftransV1_0012055","p.persica_gdr_reftransV1_0012055")</f>
        <v>p.persica_gdr_reftransV1_0012055</v>
      </c>
      <c r="B16150" s="3">
        <v>591</v>
      </c>
      <c r="C16150" s="1" t="str">
        <f>HYPERLINK("http://www.uniprot.org/uniprot/FAMA_ARATH","FAMA_ARATH")</f>
        <v>FAMA_ARATH</v>
      </c>
      <c r="D16150" t="s">
        <v>4686</v>
      </c>
      <c r="E16150" s="3" t="s">
        <v>3</v>
      </c>
      <c r="F16150" s="4">
        <v>3.0199999999999998E-13</v>
      </c>
      <c r="G16150" s="3">
        <v>173</v>
      </c>
      <c r="H16150" s="3">
        <v>86</v>
      </c>
      <c r="I16150" s="3">
        <v>36</v>
      </c>
      <c r="J16150" s="3">
        <v>484</v>
      </c>
      <c r="K16150" s="3">
        <v>591</v>
      </c>
      <c r="L16150" s="3">
        <v>190</v>
      </c>
      <c r="M16150" s="3">
        <v>225</v>
      </c>
    </row>
    <row r="16151" spans="1:13" x14ac:dyDescent="0.25">
      <c r="A16151" s="1" t="str">
        <f>HYPERLINK("http://www.rosaceae.org/Prunus/Prunus_persica/p.persica_gdr_reftransV1_0012105","p.persica_gdr_reftransV1_0012105")</f>
        <v>p.persica_gdr_reftransV1_0012105</v>
      </c>
      <c r="B16151" s="3">
        <v>1536</v>
      </c>
      <c r="C16151" s="1" t="str">
        <f>HYPERLINK("http://www.uniprot.org/uniprot/CI114_HUMAN","CI114_HUMAN")</f>
        <v>CI114_HUMAN</v>
      </c>
      <c r="D16151" t="s">
        <v>10201</v>
      </c>
      <c r="E16151" s="3" t="s">
        <v>28</v>
      </c>
      <c r="F16151" s="4">
        <v>1.05E-90</v>
      </c>
      <c r="G16151" s="3">
        <v>738</v>
      </c>
      <c r="H16151" s="3">
        <v>50</v>
      </c>
      <c r="I16151" s="3">
        <v>303</v>
      </c>
      <c r="J16151" s="3">
        <v>209</v>
      </c>
      <c r="K16151" s="3">
        <v>1105</v>
      </c>
      <c r="L16151" s="3">
        <v>74</v>
      </c>
      <c r="M16151" s="3">
        <v>374</v>
      </c>
    </row>
    <row r="16152" spans="1:13" x14ac:dyDescent="0.25">
      <c r="A16152" s="1" t="str">
        <f>HYPERLINK("http://www.rosaceae.org/Prunus/Prunus_persica/p.persica_gdr_reftransV1_0012455","p.persica_gdr_reftransV1_0012455")</f>
        <v>p.persica_gdr_reftransV1_0012455</v>
      </c>
      <c r="B16152" s="3">
        <v>1331</v>
      </c>
      <c r="C16152" s="1" t="str">
        <f>HYPERLINK("http://www.uniprot.org/uniprot/PIN5_ARATH","PIN5_ARATH")</f>
        <v>PIN5_ARATH</v>
      </c>
      <c r="D16152" t="s">
        <v>10202</v>
      </c>
      <c r="E16152" s="3" t="s">
        <v>3</v>
      </c>
      <c r="F16152" s="4">
        <v>3.6600000000000001E-141</v>
      </c>
      <c r="G16152" s="3">
        <v>1068</v>
      </c>
      <c r="H16152" s="3">
        <v>59</v>
      </c>
      <c r="I16152" s="3">
        <v>371</v>
      </c>
      <c r="J16152" s="3">
        <v>187</v>
      </c>
      <c r="K16152" s="3">
        <v>1257</v>
      </c>
      <c r="L16152" s="3">
        <v>1</v>
      </c>
      <c r="M16152" s="3">
        <v>367</v>
      </c>
    </row>
    <row r="16153" spans="1:13" x14ac:dyDescent="0.25">
      <c r="A16153" s="1" t="str">
        <f>HYPERLINK("http://www.rosaceae.org/Prunus/Prunus_persica/p.persica_gdr_reftransV1_0012505","p.persica_gdr_reftransV1_0012505")</f>
        <v>p.persica_gdr_reftransV1_0012505</v>
      </c>
      <c r="B16153" s="3">
        <v>545</v>
      </c>
      <c r="C16153" s="1" t="str">
        <f>HYPERLINK("http://www.uniprot.org/uniprot/PP391_ARATH","PP391_ARATH")</f>
        <v>PP391_ARATH</v>
      </c>
      <c r="D16153" t="s">
        <v>5159</v>
      </c>
      <c r="E16153" s="3" t="s">
        <v>3</v>
      </c>
      <c r="F16153" s="4">
        <v>5.3899999999999999E-65</v>
      </c>
      <c r="G16153" s="3">
        <v>540</v>
      </c>
      <c r="H16153" s="3">
        <v>62</v>
      </c>
      <c r="I16153" s="3">
        <v>170</v>
      </c>
      <c r="J16153" s="3">
        <v>34</v>
      </c>
      <c r="K16153" s="3">
        <v>543</v>
      </c>
      <c r="L16153" s="3">
        <v>42</v>
      </c>
      <c r="M16153" s="3">
        <v>209</v>
      </c>
    </row>
    <row r="16154" spans="1:13" x14ac:dyDescent="0.25">
      <c r="A16154" s="1" t="str">
        <f>HYPERLINK("http://www.rosaceae.org/Prunus/Prunus_persica/p.persica_gdr_reftransV1_0012705","p.persica_gdr_reftransV1_0012705")</f>
        <v>p.persica_gdr_reftransV1_0012705</v>
      </c>
      <c r="B16154" s="3">
        <v>1272</v>
      </c>
      <c r="C16154" s="1" t="str">
        <f>HYPERLINK("http://www.uniprot.org/uniprot/HAT4_ARATH","HAT4_ARATH")</f>
        <v>HAT4_ARATH</v>
      </c>
      <c r="D16154" t="s">
        <v>8531</v>
      </c>
      <c r="E16154" s="3" t="s">
        <v>3</v>
      </c>
      <c r="F16154" s="4">
        <v>7.8200000000000001E-92</v>
      </c>
      <c r="G16154" s="3">
        <v>730</v>
      </c>
      <c r="H16154" s="3">
        <v>68</v>
      </c>
      <c r="I16154" s="3">
        <v>265</v>
      </c>
      <c r="J16154" s="3">
        <v>136</v>
      </c>
      <c r="K16154" s="3">
        <v>921</v>
      </c>
      <c r="L16154" s="3">
        <v>40</v>
      </c>
      <c r="M16154" s="3">
        <v>284</v>
      </c>
    </row>
    <row r="16155" spans="1:13" x14ac:dyDescent="0.25">
      <c r="A16155" s="1" t="str">
        <f>HYPERLINK("http://www.rosaceae.org/Prunus/Prunus_persica/p.persica_gdr_reftransV1_0012755","p.persica_gdr_reftransV1_0012755")</f>
        <v>p.persica_gdr_reftransV1_0012755</v>
      </c>
      <c r="B16155" s="3">
        <v>4922</v>
      </c>
      <c r="C16155" s="1" t="str">
        <f>HYPERLINK("http://www.uniprot.org/uniprot/EDS1L_ARATH","EDS1L_ARATH")</f>
        <v>EDS1L_ARATH</v>
      </c>
      <c r="D16155" t="s">
        <v>517</v>
      </c>
      <c r="E16155" s="3" t="s">
        <v>3</v>
      </c>
      <c r="F16155" s="4">
        <v>6.1400000000000001E-123</v>
      </c>
      <c r="G16155" s="3">
        <v>1042</v>
      </c>
      <c r="H16155" s="3">
        <v>42</v>
      </c>
      <c r="I16155" s="3">
        <v>573</v>
      </c>
      <c r="J16155" s="3">
        <v>416</v>
      </c>
      <c r="K16155" s="3">
        <v>2029</v>
      </c>
      <c r="L16155" s="3">
        <v>60</v>
      </c>
      <c r="M16155" s="3">
        <v>608</v>
      </c>
    </row>
    <row r="16156" spans="1:13" x14ac:dyDescent="0.25">
      <c r="A16156" s="1" t="str">
        <f>HYPERLINK("http://www.rosaceae.org/Prunus/Prunus_persica/p.persica_gdr_reftransV1_0012805","p.persica_gdr_reftransV1_0012805")</f>
        <v>p.persica_gdr_reftransV1_0012805</v>
      </c>
      <c r="B16156" s="3">
        <v>2828</v>
      </c>
      <c r="C16156" s="1" t="str">
        <f>HYPERLINK("http://www.uniprot.org/uniprot/EIN3_ARATH","EIN3_ARATH")</f>
        <v>EIN3_ARATH</v>
      </c>
      <c r="D16156" t="s">
        <v>5348</v>
      </c>
      <c r="E16156" s="3" t="s">
        <v>3</v>
      </c>
      <c r="F16156" s="4">
        <v>0</v>
      </c>
      <c r="G16156" s="3">
        <v>1540</v>
      </c>
      <c r="H16156" s="3">
        <v>64</v>
      </c>
      <c r="I16156" s="3">
        <v>509</v>
      </c>
      <c r="J16156" s="3">
        <v>1037</v>
      </c>
      <c r="K16156" s="3">
        <v>2545</v>
      </c>
      <c r="L16156" s="3">
        <v>2</v>
      </c>
      <c r="M16156" s="3">
        <v>495</v>
      </c>
    </row>
    <row r="16157" spans="1:13" x14ac:dyDescent="0.25">
      <c r="A16157" s="1" t="str">
        <f>HYPERLINK("http://www.rosaceae.org/Prunus/Prunus_persica/p.persica_gdr_reftransV1_0012905","p.persica_gdr_reftransV1_0012905")</f>
        <v>p.persica_gdr_reftransV1_0012905</v>
      </c>
      <c r="B16157" s="3">
        <v>2719</v>
      </c>
      <c r="C16157" s="1" t="str">
        <f>HYPERLINK("http://www.uniprot.org/uniprot/TATC_PEA","TATC_PEA")</f>
        <v>TATC_PEA</v>
      </c>
      <c r="D16157" t="s">
        <v>10203</v>
      </c>
      <c r="E16157" s="3" t="s">
        <v>60</v>
      </c>
      <c r="F16157" s="4">
        <v>4.48E-147</v>
      </c>
      <c r="G16157" s="3">
        <v>1147</v>
      </c>
      <c r="H16157" s="3">
        <v>74</v>
      </c>
      <c r="I16157" s="3">
        <v>345</v>
      </c>
      <c r="J16157" s="3">
        <v>193</v>
      </c>
      <c r="K16157" s="3">
        <v>1191</v>
      </c>
      <c r="L16157" s="3">
        <v>11</v>
      </c>
      <c r="M16157" s="3">
        <v>353</v>
      </c>
    </row>
    <row r="16158" spans="1:13" x14ac:dyDescent="0.25">
      <c r="A16158" s="1" t="str">
        <f>HYPERLINK("http://www.rosaceae.org/Prunus/Prunus_persica/p.persica_gdr_reftransV1_0013055","p.persica_gdr_reftransV1_0013055")</f>
        <v>p.persica_gdr_reftransV1_0013055</v>
      </c>
      <c r="B16158" s="3">
        <v>596</v>
      </c>
      <c r="C16158" s="1" t="str">
        <f>HYPERLINK("http://www.uniprot.org/uniprot/ADS3_ARATH","ADS3_ARATH")</f>
        <v>ADS3_ARATH</v>
      </c>
      <c r="D16158" t="s">
        <v>2103</v>
      </c>
      <c r="E16158" s="3" t="s">
        <v>3</v>
      </c>
      <c r="F16158" s="4">
        <v>2.8400000000000002E-29</v>
      </c>
      <c r="G16158" s="3">
        <v>290</v>
      </c>
      <c r="H16158" s="3">
        <v>68</v>
      </c>
      <c r="I16158" s="3">
        <v>93</v>
      </c>
      <c r="J16158" s="3">
        <v>3</v>
      </c>
      <c r="K16158" s="3">
        <v>278</v>
      </c>
      <c r="L16158" s="3">
        <v>73</v>
      </c>
      <c r="M16158" s="3">
        <v>165</v>
      </c>
    </row>
    <row r="16159" spans="1:13" x14ac:dyDescent="0.25">
      <c r="A16159" s="1" t="str">
        <f>HYPERLINK("http://www.rosaceae.org/Prunus/Prunus_persica/p.persica_gdr_reftransV1_0013305","p.persica_gdr_reftransV1_0013305")</f>
        <v>p.persica_gdr_reftransV1_0013305</v>
      </c>
      <c r="B16159" s="3">
        <v>5907</v>
      </c>
      <c r="C16159" s="1" t="str">
        <f>HYPERLINK("http://www.uniprot.org/uniprot/GT645_ARATH","GT645_ARATH")</f>
        <v>GT645_ARATH</v>
      </c>
      <c r="D16159" t="s">
        <v>8013</v>
      </c>
      <c r="E16159" s="3" t="s">
        <v>3</v>
      </c>
      <c r="F16159" s="4">
        <v>0</v>
      </c>
      <c r="G16159" s="3">
        <v>1918</v>
      </c>
      <c r="H16159" s="3">
        <v>65</v>
      </c>
      <c r="I16159" s="3">
        <v>564</v>
      </c>
      <c r="J16159" s="3">
        <v>3975</v>
      </c>
      <c r="K16159" s="3">
        <v>5657</v>
      </c>
      <c r="L16159" s="3">
        <v>203</v>
      </c>
      <c r="M16159" s="3">
        <v>765</v>
      </c>
    </row>
    <row r="16160" spans="1:13" x14ac:dyDescent="0.25">
      <c r="A16160" s="1" t="str">
        <f>HYPERLINK("http://www.rosaceae.org/Prunus/Prunus_persica/p.persica_gdr_reftransV1_0013405","p.persica_gdr_reftransV1_0013405")</f>
        <v>p.persica_gdr_reftransV1_0013405</v>
      </c>
      <c r="B16160" s="3">
        <v>3148</v>
      </c>
      <c r="C16160" s="1" t="str">
        <f>HYPERLINK("http://www.uniprot.org/uniprot/RFA1C_ARATH","RFA1C_ARATH")</f>
        <v>RFA1C_ARATH</v>
      </c>
      <c r="D16160" t="s">
        <v>10204</v>
      </c>
      <c r="E16160" s="3" t="s">
        <v>3</v>
      </c>
      <c r="F16160" s="4">
        <v>0</v>
      </c>
      <c r="G16160" s="3">
        <v>1439</v>
      </c>
      <c r="H16160" s="3">
        <v>50</v>
      </c>
      <c r="I16160" s="3">
        <v>628</v>
      </c>
      <c r="J16160" s="3">
        <v>115</v>
      </c>
      <c r="K16160" s="3">
        <v>1848</v>
      </c>
      <c r="L16160" s="3">
        <v>1</v>
      </c>
      <c r="M16160" s="3">
        <v>614</v>
      </c>
    </row>
    <row r="16161" spans="1:13" x14ac:dyDescent="0.25">
      <c r="A16161" s="1" t="str">
        <f>HYPERLINK("http://www.rosaceae.org/Prunus/Prunus_persica/p.persica_gdr_reftransV1_0013505","p.persica_gdr_reftransV1_0013505")</f>
        <v>p.persica_gdr_reftransV1_0013505</v>
      </c>
      <c r="B16161" s="3">
        <v>417</v>
      </c>
      <c r="C16161" s="1" t="str">
        <f>HYPERLINK("http://www.uniprot.org/uniprot/CUL1_ARATH","CUL1_ARATH")</f>
        <v>CUL1_ARATH</v>
      </c>
      <c r="D16161" t="s">
        <v>2309</v>
      </c>
      <c r="E16161" s="3" t="s">
        <v>3</v>
      </c>
      <c r="F16161" s="4">
        <v>1.7099999999999999E-57</v>
      </c>
      <c r="G16161" s="3">
        <v>495</v>
      </c>
      <c r="H16161" s="3">
        <v>66</v>
      </c>
      <c r="I16161" s="3">
        <v>138</v>
      </c>
      <c r="J16161" s="3">
        <v>3</v>
      </c>
      <c r="K16161" s="3">
        <v>416</v>
      </c>
      <c r="L16161" s="3">
        <v>58</v>
      </c>
      <c r="M16161" s="3">
        <v>193</v>
      </c>
    </row>
    <row r="16162" spans="1:13" x14ac:dyDescent="0.25">
      <c r="A16162" s="1" t="str">
        <f>HYPERLINK("http://www.rosaceae.org/Prunus/Prunus_persica/p.persica_gdr_reftransV1_0013655","p.persica_gdr_reftransV1_0013655")</f>
        <v>p.persica_gdr_reftransV1_0013655</v>
      </c>
      <c r="B16162" s="3">
        <v>1991</v>
      </c>
      <c r="C16162" s="1" t="str">
        <f>HYPERLINK("http://www.uniprot.org/uniprot/AFC2_ARATH","AFC2_ARATH")</f>
        <v>AFC2_ARATH</v>
      </c>
      <c r="D16162" t="s">
        <v>2742</v>
      </c>
      <c r="E16162" s="3" t="s">
        <v>3</v>
      </c>
      <c r="F16162" s="4">
        <v>1.3899999999999999E-92</v>
      </c>
      <c r="G16162" s="3">
        <v>767</v>
      </c>
      <c r="H16162" s="3">
        <v>67</v>
      </c>
      <c r="I16162" s="3">
        <v>216</v>
      </c>
      <c r="J16162" s="3">
        <v>352</v>
      </c>
      <c r="K16162" s="3">
        <v>999</v>
      </c>
      <c r="L16162" s="3">
        <v>243</v>
      </c>
      <c r="M16162" s="3">
        <v>425</v>
      </c>
    </row>
    <row r="16163" spans="1:13" x14ac:dyDescent="0.25">
      <c r="A16163" s="1" t="str">
        <f>HYPERLINK("http://www.rosaceae.org/Prunus/Prunus_persica/p.persica_gdr_reftransV1_0013705","p.persica_gdr_reftransV1_0013705")</f>
        <v>p.persica_gdr_reftransV1_0013705</v>
      </c>
      <c r="B16163" s="3">
        <v>850</v>
      </c>
      <c r="C16163" s="1" t="str">
        <f>HYPERLINK("http://www.uniprot.org/uniprot/STEP1_ARATH","STEP1_ARATH")</f>
        <v>STEP1_ARATH</v>
      </c>
      <c r="D16163" t="s">
        <v>10205</v>
      </c>
      <c r="E16163" s="3" t="s">
        <v>3</v>
      </c>
      <c r="F16163" s="4">
        <v>3.4899999999999998E-19</v>
      </c>
      <c r="G16163" s="3">
        <v>212</v>
      </c>
      <c r="H16163" s="3">
        <v>63</v>
      </c>
      <c r="I16163" s="3">
        <v>105</v>
      </c>
      <c r="J16163" s="3">
        <v>307</v>
      </c>
      <c r="K16163" s="3">
        <v>618</v>
      </c>
      <c r="L16163" s="3">
        <v>42</v>
      </c>
      <c r="M16163" s="3">
        <v>146</v>
      </c>
    </row>
    <row r="16164" spans="1:13" x14ac:dyDescent="0.25">
      <c r="A16164" s="1" t="str">
        <f>HYPERLINK("http://www.rosaceae.org/Prunus/Prunus_persica/p.persica_gdr_reftransV1_0013855","p.persica_gdr_reftransV1_0013855")</f>
        <v>p.persica_gdr_reftransV1_0013855</v>
      </c>
      <c r="B16164" s="3">
        <v>529</v>
      </c>
      <c r="C16164" s="1" t="str">
        <f>HYPERLINK("http://www.uniprot.org/uniprot/CHX4_ARATH","CHX4_ARATH")</f>
        <v>CHX4_ARATH</v>
      </c>
      <c r="D16164" t="s">
        <v>10206</v>
      </c>
      <c r="E16164" s="3" t="s">
        <v>3</v>
      </c>
      <c r="F16164" s="4">
        <v>1.68E-24</v>
      </c>
      <c r="G16164" s="3">
        <v>260</v>
      </c>
      <c r="H16164" s="3">
        <v>46</v>
      </c>
      <c r="I16164" s="3">
        <v>102</v>
      </c>
      <c r="J16164" s="3">
        <v>1</v>
      </c>
      <c r="K16164" s="3">
        <v>306</v>
      </c>
      <c r="L16164" s="3">
        <v>714</v>
      </c>
      <c r="M16164" s="3">
        <v>814</v>
      </c>
    </row>
    <row r="16165" spans="1:13" x14ac:dyDescent="0.25">
      <c r="A16165" s="1" t="str">
        <f>HYPERLINK("http://www.rosaceae.org/Prunus/Prunus_persica/p.persica_gdr_reftransV1_0014005","p.persica_gdr_reftransV1_0014005")</f>
        <v>p.persica_gdr_reftransV1_0014005</v>
      </c>
      <c r="B16165" s="3">
        <v>1872</v>
      </c>
      <c r="C16165" s="1" t="str">
        <f>HYPERLINK("http://www.uniprot.org/uniprot/PPA18_ARATH","PPA18_ARATH")</f>
        <v>PPA18_ARATH</v>
      </c>
      <c r="D16165" t="s">
        <v>10207</v>
      </c>
      <c r="E16165" s="3" t="s">
        <v>3</v>
      </c>
      <c r="F16165" s="4">
        <v>1.6499999999999999E-148</v>
      </c>
      <c r="G16165" s="3">
        <v>1141</v>
      </c>
      <c r="H16165" s="3">
        <v>78</v>
      </c>
      <c r="I16165" s="3">
        <v>265</v>
      </c>
      <c r="J16165" s="3">
        <v>1024</v>
      </c>
      <c r="K16165" s="3">
        <v>1818</v>
      </c>
      <c r="L16165" s="3">
        <v>9</v>
      </c>
      <c r="M16165" s="3">
        <v>273</v>
      </c>
    </row>
    <row r="16166" spans="1:13" x14ac:dyDescent="0.25">
      <c r="A16166" s="1" t="str">
        <f>HYPERLINK("http://www.rosaceae.org/Prunus/Prunus_persica/p.persica_gdr_reftransV1_0014355","p.persica_gdr_reftransV1_0014355")</f>
        <v>p.persica_gdr_reftransV1_0014355</v>
      </c>
      <c r="B16166" s="3">
        <v>2676</v>
      </c>
      <c r="C16166" s="1" t="str">
        <f>HYPERLINK("http://www.uniprot.org/uniprot/EIL3_ARATH","EIL3_ARATH")</f>
        <v>EIL3_ARATH</v>
      </c>
      <c r="D16166" t="s">
        <v>10208</v>
      </c>
      <c r="E16166" s="3" t="s">
        <v>3</v>
      </c>
      <c r="F16166" s="4">
        <v>4.6900000000000004E-162</v>
      </c>
      <c r="G16166" s="3">
        <v>1267</v>
      </c>
      <c r="H16166" s="3">
        <v>54</v>
      </c>
      <c r="I16166" s="3">
        <v>601</v>
      </c>
      <c r="J16166" s="3">
        <v>574</v>
      </c>
      <c r="K16166" s="3">
        <v>2313</v>
      </c>
      <c r="L16166" s="3">
        <v>1</v>
      </c>
      <c r="M16166" s="3">
        <v>566</v>
      </c>
    </row>
    <row r="16167" spans="1:13" x14ac:dyDescent="0.25">
      <c r="A16167" s="1" t="str">
        <f>HYPERLINK("http://www.rosaceae.org/Prunus/Prunus_persica/p.persica_gdr_reftransV1_0014455","p.persica_gdr_reftransV1_0014455")</f>
        <v>p.persica_gdr_reftransV1_0014455</v>
      </c>
      <c r="B16167" s="3">
        <v>915</v>
      </c>
      <c r="C16167" s="1" t="str">
        <f>HYPERLINK("http://www.uniprot.org/uniprot/PR1G2_ARATH","PR1G2_ARATH")</f>
        <v>PR1G2_ARATH</v>
      </c>
      <c r="D16167" t="s">
        <v>10209</v>
      </c>
      <c r="E16167" s="3" t="s">
        <v>3</v>
      </c>
      <c r="F16167" s="4">
        <v>6.6500000000000003E-29</v>
      </c>
      <c r="G16167" s="3">
        <v>286</v>
      </c>
      <c r="H16167" s="3">
        <v>44</v>
      </c>
      <c r="I16167" s="3">
        <v>186</v>
      </c>
      <c r="J16167" s="3">
        <v>60</v>
      </c>
      <c r="K16167" s="3">
        <v>608</v>
      </c>
      <c r="L16167" s="3">
        <v>1</v>
      </c>
      <c r="M16167" s="3">
        <v>182</v>
      </c>
    </row>
    <row r="16168" spans="1:13" x14ac:dyDescent="0.25">
      <c r="A16168" s="1" t="str">
        <f>HYPERLINK("http://www.rosaceae.org/Prunus/Prunus_persica/p.persica_gdr_reftransV1_0014605","p.persica_gdr_reftransV1_0014605")</f>
        <v>p.persica_gdr_reftransV1_0014605</v>
      </c>
      <c r="B16168" s="3">
        <v>1900</v>
      </c>
      <c r="C16168" s="1" t="str">
        <f>HYPERLINK("http://www.uniprot.org/uniprot/P2C27_ORYSJ","P2C27_ORYSJ")</f>
        <v>P2C27_ORYSJ</v>
      </c>
      <c r="D16168" t="s">
        <v>9983</v>
      </c>
      <c r="E16168" s="3" t="s">
        <v>38</v>
      </c>
      <c r="F16168" s="4">
        <v>7.7599999999999996E-123</v>
      </c>
      <c r="G16168" s="3">
        <v>750</v>
      </c>
      <c r="H16168" s="3">
        <v>74</v>
      </c>
      <c r="I16168" s="3">
        <v>212</v>
      </c>
      <c r="J16168" s="3">
        <v>469</v>
      </c>
      <c r="K16168" s="3">
        <v>1101</v>
      </c>
      <c r="L16168" s="3">
        <v>141</v>
      </c>
      <c r="M16168" s="3">
        <v>352</v>
      </c>
    </row>
    <row r="16169" spans="1:13" x14ac:dyDescent="0.25">
      <c r="A16169" s="1" t="str">
        <f>HYPERLINK("http://www.rosaceae.org/Prunus/Prunus_persica/p.persica_gdr_reftransV1_0014655","p.persica_gdr_reftransV1_0014655")</f>
        <v>p.persica_gdr_reftransV1_0014655</v>
      </c>
      <c r="B16169" s="3">
        <v>2805</v>
      </c>
      <c r="C16169" s="1" t="str">
        <f>HYPERLINK("http://www.uniprot.org/uniprot/FTSH_THET1","FTSH_THET1")</f>
        <v>FTSH_THET1</v>
      </c>
      <c r="D16169" t="s">
        <v>10210</v>
      </c>
      <c r="E16169" s="3" t="s">
        <v>10211</v>
      </c>
      <c r="F16169" s="4">
        <v>1.18E-89</v>
      </c>
      <c r="G16169" s="3">
        <v>781</v>
      </c>
      <c r="H16169" s="3">
        <v>64</v>
      </c>
      <c r="I16169" s="3">
        <v>247</v>
      </c>
      <c r="J16169" s="3">
        <v>691</v>
      </c>
      <c r="K16169" s="3">
        <v>1416</v>
      </c>
      <c r="L16169" s="3">
        <v>179</v>
      </c>
      <c r="M16169" s="3">
        <v>423</v>
      </c>
    </row>
    <row r="16170" spans="1:13" x14ac:dyDescent="0.25">
      <c r="A16170" s="1" t="str">
        <f>HYPERLINK("http://www.rosaceae.org/Prunus/Prunus_persica/p.persica_gdr_reftransV1_0014755","p.persica_gdr_reftransV1_0014755")</f>
        <v>p.persica_gdr_reftransV1_0014755</v>
      </c>
      <c r="B16170" s="3">
        <v>1217</v>
      </c>
      <c r="C16170" s="1" t="str">
        <f>HYPERLINK("http://www.uniprot.org/uniprot/PSAF_ARATH","PSAF_ARATH")</f>
        <v>PSAF_ARATH</v>
      </c>
      <c r="D16170" t="s">
        <v>10212</v>
      </c>
      <c r="E16170" s="3" t="s">
        <v>3</v>
      </c>
      <c r="F16170" s="4">
        <v>9.3200000000000008E-106</v>
      </c>
      <c r="G16170" s="3">
        <v>815</v>
      </c>
      <c r="H16170" s="3">
        <v>73</v>
      </c>
      <c r="I16170" s="3">
        <v>231</v>
      </c>
      <c r="J16170" s="3">
        <v>257</v>
      </c>
      <c r="K16170" s="3">
        <v>943</v>
      </c>
      <c r="L16170" s="3">
        <v>1</v>
      </c>
      <c r="M16170" s="3">
        <v>221</v>
      </c>
    </row>
    <row r="16171" spans="1:13" x14ac:dyDescent="0.25">
      <c r="A16171" s="1" t="str">
        <f>HYPERLINK("http://www.rosaceae.org/Prunus/Prunus_persica/p.persica_gdr_reftransV1_0014905","p.persica_gdr_reftransV1_0014905")</f>
        <v>p.persica_gdr_reftransV1_0014905</v>
      </c>
      <c r="B16171" s="3">
        <v>998</v>
      </c>
      <c r="C16171" s="1" t="str">
        <f>HYPERLINK("http://www.uniprot.org/uniprot/PSAL_ARATH","PSAL_ARATH")</f>
        <v>PSAL_ARATH</v>
      </c>
      <c r="D16171" t="s">
        <v>10213</v>
      </c>
      <c r="E16171" s="3" t="s">
        <v>3</v>
      </c>
      <c r="F16171" s="4">
        <v>2.16E-89</v>
      </c>
      <c r="G16171" s="3">
        <v>699</v>
      </c>
      <c r="H16171" s="3">
        <v>82</v>
      </c>
      <c r="I16171" s="3">
        <v>217</v>
      </c>
      <c r="J16171" s="3">
        <v>187</v>
      </c>
      <c r="K16171" s="3">
        <v>837</v>
      </c>
      <c r="L16171" s="3">
        <v>3</v>
      </c>
      <c r="M16171" s="3">
        <v>219</v>
      </c>
    </row>
    <row r="16172" spans="1:13" x14ac:dyDescent="0.25">
      <c r="A16172" s="1" t="str">
        <f>HYPERLINK("http://www.rosaceae.org/Prunus/Prunus_persica/p.persica_gdr_reftransV1_0014955","p.persica_gdr_reftransV1_0014955")</f>
        <v>p.persica_gdr_reftransV1_0014955</v>
      </c>
      <c r="B16172" s="3">
        <v>1159</v>
      </c>
      <c r="C16172" s="1" t="str">
        <f>HYPERLINK("http://www.uniprot.org/uniprot/POP5_ARATH","POP5_ARATH")</f>
        <v>POP5_ARATH</v>
      </c>
      <c r="D16172" t="s">
        <v>10214</v>
      </c>
      <c r="E16172" s="3" t="s">
        <v>3</v>
      </c>
      <c r="F16172" s="4">
        <v>1.1100000000000001E-55</v>
      </c>
      <c r="G16172" s="3">
        <v>472</v>
      </c>
      <c r="H16172" s="3">
        <v>57</v>
      </c>
      <c r="I16172" s="3">
        <v>155</v>
      </c>
      <c r="J16172" s="3">
        <v>157</v>
      </c>
      <c r="K16172" s="3">
        <v>618</v>
      </c>
      <c r="L16172" s="3">
        <v>1</v>
      </c>
      <c r="M16172" s="3">
        <v>151</v>
      </c>
    </row>
    <row r="16173" spans="1:13" x14ac:dyDescent="0.25">
      <c r="A16173" s="1" t="str">
        <f>HYPERLINK("http://www.rosaceae.org/Prunus/Prunus_persica/p.persica_gdr_reftransV1_0015205","p.persica_gdr_reftransV1_0015205")</f>
        <v>p.persica_gdr_reftransV1_0015205</v>
      </c>
      <c r="B16173" s="3">
        <v>1160</v>
      </c>
      <c r="C16173" s="1" t="str">
        <f>HYPERLINK("http://www.uniprot.org/uniprot/BCS1_YEAST","BCS1_YEAST")</f>
        <v>BCS1_YEAST</v>
      </c>
      <c r="D16173" t="s">
        <v>10215</v>
      </c>
      <c r="E16173" s="3" t="s">
        <v>34</v>
      </c>
      <c r="F16173" s="4">
        <v>2.3700000000000001E-10</v>
      </c>
      <c r="G16173" s="3">
        <v>158</v>
      </c>
      <c r="H16173" s="3">
        <v>31</v>
      </c>
      <c r="I16173" s="3">
        <v>137</v>
      </c>
      <c r="J16173" s="3">
        <v>706</v>
      </c>
      <c r="K16173" s="3">
        <v>1110</v>
      </c>
      <c r="L16173" s="3">
        <v>169</v>
      </c>
      <c r="M16173" s="3">
        <v>294</v>
      </c>
    </row>
    <row r="16174" spans="1:13" x14ac:dyDescent="0.25">
      <c r="A16174" s="1" t="str">
        <f>HYPERLINK("http://www.rosaceae.org/Prunus/Prunus_persica/p.persica_gdr_reftransV1_0015305","p.persica_gdr_reftransV1_0015305")</f>
        <v>p.persica_gdr_reftransV1_0015305</v>
      </c>
      <c r="B16174" s="3">
        <v>1743</v>
      </c>
      <c r="C16174" s="1" t="str">
        <f>HYPERLINK("http://www.uniprot.org/uniprot/FBK69_ARATH","FBK69_ARATH")</f>
        <v>FBK69_ARATH</v>
      </c>
      <c r="D16174" t="s">
        <v>621</v>
      </c>
      <c r="E16174" s="3" t="s">
        <v>3</v>
      </c>
      <c r="F16174" s="4">
        <v>1.45E-127</v>
      </c>
      <c r="G16174" s="3">
        <v>992</v>
      </c>
      <c r="H16174" s="3">
        <v>59</v>
      </c>
      <c r="I16174" s="3">
        <v>378</v>
      </c>
      <c r="J16174" s="3">
        <v>76</v>
      </c>
      <c r="K16174" s="3">
        <v>1203</v>
      </c>
      <c r="L16174" s="3">
        <v>4</v>
      </c>
      <c r="M16174" s="3">
        <v>373</v>
      </c>
    </row>
    <row r="16175" spans="1:13" x14ac:dyDescent="0.25">
      <c r="A16175" s="1" t="str">
        <f>HYPERLINK("http://www.rosaceae.org/Prunus/Prunus_persica/p.persica_gdr_reftransV1_0015505","p.persica_gdr_reftransV1_0015505")</f>
        <v>p.persica_gdr_reftransV1_0015505</v>
      </c>
      <c r="B16175" s="3">
        <v>1729</v>
      </c>
      <c r="C16175" s="1" t="str">
        <f>HYPERLINK("http://www.uniprot.org/uniprot/CRR12_ARATH","CRR12_ARATH")</f>
        <v>CRR12_ARATH</v>
      </c>
      <c r="D16175" t="s">
        <v>10216</v>
      </c>
      <c r="E16175" s="3" t="s">
        <v>3</v>
      </c>
      <c r="F16175" s="4">
        <v>1.9800000000000001E-94</v>
      </c>
      <c r="G16175" s="3">
        <v>761</v>
      </c>
      <c r="H16175" s="3">
        <v>62</v>
      </c>
      <c r="I16175" s="3">
        <v>233</v>
      </c>
      <c r="J16175" s="3">
        <v>304</v>
      </c>
      <c r="K16175" s="3">
        <v>993</v>
      </c>
      <c r="L16175" s="3">
        <v>7</v>
      </c>
      <c r="M16175" s="3">
        <v>237</v>
      </c>
    </row>
    <row r="16176" spans="1:13" x14ac:dyDescent="0.25">
      <c r="A16176" s="1" t="str">
        <f>HYPERLINK("http://www.rosaceae.org/Prunus/Prunus_persica/p.persica_gdr_reftransV1_0015555","p.persica_gdr_reftransV1_0015555")</f>
        <v>p.persica_gdr_reftransV1_0015555</v>
      </c>
      <c r="B16176" s="3">
        <v>2202</v>
      </c>
      <c r="C16176" s="1" t="str">
        <f>HYPERLINK("http://www.uniprot.org/uniprot/LBD4_ARATH","LBD4_ARATH")</f>
        <v>LBD4_ARATH</v>
      </c>
      <c r="D16176" t="s">
        <v>2883</v>
      </c>
      <c r="E16176" s="3" t="s">
        <v>3</v>
      </c>
      <c r="F16176" s="4">
        <v>3.3500000000000001E-28</v>
      </c>
      <c r="G16176" s="3">
        <v>291</v>
      </c>
      <c r="H16176" s="3">
        <v>76</v>
      </c>
      <c r="I16176" s="3">
        <v>117</v>
      </c>
      <c r="J16176" s="3">
        <v>1081</v>
      </c>
      <c r="K16176" s="3">
        <v>1428</v>
      </c>
      <c r="L16176" s="3">
        <v>58</v>
      </c>
      <c r="M16176" s="3">
        <v>172</v>
      </c>
    </row>
    <row r="16177" spans="1:13" x14ac:dyDescent="0.25">
      <c r="A16177" s="1" t="str">
        <f>HYPERLINK("http://www.rosaceae.org/Prunus/Prunus_persica/p.persica_gdr_reftransV1_0015605","p.persica_gdr_reftransV1_0015605")</f>
        <v>p.persica_gdr_reftransV1_0015605</v>
      </c>
      <c r="B16177" s="3">
        <v>2855</v>
      </c>
      <c r="C16177" s="1" t="str">
        <f>HYPERLINK("http://www.uniprot.org/uniprot/FB293_ARATH","FB293_ARATH")</f>
        <v>FB293_ARATH</v>
      </c>
      <c r="D16177" t="s">
        <v>10217</v>
      </c>
      <c r="E16177" s="3" t="s">
        <v>3</v>
      </c>
      <c r="F16177" s="4">
        <v>1.19E-29</v>
      </c>
      <c r="G16177" s="3">
        <v>312</v>
      </c>
      <c r="H16177" s="3">
        <v>48</v>
      </c>
      <c r="I16177" s="3">
        <v>141</v>
      </c>
      <c r="J16177" s="3">
        <v>1403</v>
      </c>
      <c r="K16177" s="3">
        <v>1825</v>
      </c>
      <c r="L16177" s="3">
        <v>59</v>
      </c>
      <c r="M16177" s="3">
        <v>184</v>
      </c>
    </row>
    <row r="16178" spans="1:13" x14ac:dyDescent="0.25">
      <c r="A16178" s="1" t="str">
        <f>HYPERLINK("http://www.rosaceae.org/Prunus/Prunus_persica/p.persica_gdr_reftransV1_0015755","p.persica_gdr_reftransV1_0015755")</f>
        <v>p.persica_gdr_reftransV1_0015755</v>
      </c>
      <c r="B16178" s="3">
        <v>2460</v>
      </c>
      <c r="C16178" s="1" t="str">
        <f>HYPERLINK("http://www.uniprot.org/uniprot/NPHP3_HUMAN","NPHP3_HUMAN")</f>
        <v>NPHP3_HUMAN</v>
      </c>
      <c r="D16178" t="s">
        <v>3910</v>
      </c>
      <c r="E16178" s="3" t="s">
        <v>28</v>
      </c>
      <c r="F16178" s="4">
        <v>4.04E-10</v>
      </c>
      <c r="G16178" s="3">
        <v>164</v>
      </c>
      <c r="H16178" s="3">
        <v>31</v>
      </c>
      <c r="I16178" s="3">
        <v>170</v>
      </c>
      <c r="J16178" s="3">
        <v>1339</v>
      </c>
      <c r="K16178" s="3">
        <v>1848</v>
      </c>
      <c r="L16178" s="3">
        <v>1130</v>
      </c>
      <c r="M16178" s="3">
        <v>1295</v>
      </c>
    </row>
    <row r="16179" spans="1:13" x14ac:dyDescent="0.25">
      <c r="A16179" s="1" t="str">
        <f>HYPERLINK("http://www.rosaceae.org/Prunus/Prunus_persica/p.persica_gdr_reftransV1_0015905","p.persica_gdr_reftransV1_0015905")</f>
        <v>p.persica_gdr_reftransV1_0015905</v>
      </c>
      <c r="B16179" s="3">
        <v>1689</v>
      </c>
      <c r="C16179" s="1" t="str">
        <f>HYPERLINK("http://www.uniprot.org/uniprot/RCL1_ARATH","RCL1_ARATH")</f>
        <v>RCL1_ARATH</v>
      </c>
      <c r="D16179" t="s">
        <v>3497</v>
      </c>
      <c r="E16179" s="3" t="s">
        <v>3</v>
      </c>
      <c r="F16179" s="4">
        <v>7.6299999999999998E-53</v>
      </c>
      <c r="G16179" s="3">
        <v>482</v>
      </c>
      <c r="H16179" s="3">
        <v>61</v>
      </c>
      <c r="I16179" s="3">
        <v>178</v>
      </c>
      <c r="J16179" s="3">
        <v>602</v>
      </c>
      <c r="K16179" s="3">
        <v>1135</v>
      </c>
      <c r="L16179" s="3">
        <v>201</v>
      </c>
      <c r="M16179" s="3">
        <v>375</v>
      </c>
    </row>
    <row r="16180" spans="1:13" x14ac:dyDescent="0.25">
      <c r="A16180" s="1" t="str">
        <f>HYPERLINK("http://www.rosaceae.org/Prunus/Prunus_persica/p.persica_gdr_reftransV1_0015955","p.persica_gdr_reftransV1_0015955")</f>
        <v>p.persica_gdr_reftransV1_0015955</v>
      </c>
      <c r="B16180" s="3">
        <v>1900</v>
      </c>
      <c r="C16180" s="1" t="str">
        <f>HYPERLINK("http://www.uniprot.org/uniprot/GNA1_ARATH","GNA1_ARATH")</f>
        <v>GNA1_ARATH</v>
      </c>
      <c r="D16180" t="s">
        <v>3316</v>
      </c>
      <c r="E16180" s="3" t="s">
        <v>3</v>
      </c>
      <c r="F16180" s="4">
        <v>7.2200000000000001E-58</v>
      </c>
      <c r="G16180" s="3">
        <v>501</v>
      </c>
      <c r="H16180" s="3">
        <v>64</v>
      </c>
      <c r="I16180" s="3">
        <v>146</v>
      </c>
      <c r="J16180" s="3">
        <v>1106</v>
      </c>
      <c r="K16180" s="3">
        <v>1543</v>
      </c>
      <c r="L16180" s="3">
        <v>3</v>
      </c>
      <c r="M16180" s="3">
        <v>148</v>
      </c>
    </row>
    <row r="16181" spans="1:13" x14ac:dyDescent="0.25">
      <c r="A16181" s="1" t="str">
        <f>HYPERLINK("http://www.rosaceae.org/Prunus/Prunus_persica/p.persica_gdr_reftransV1_0016305","p.persica_gdr_reftransV1_0016305")</f>
        <v>p.persica_gdr_reftransV1_0016305</v>
      </c>
      <c r="B16181" s="3">
        <v>6980</v>
      </c>
      <c r="C16181" s="1" t="str">
        <f>HYPERLINK("http://www.uniprot.org/uniprot/ARMC8_DANRE","ARMC8_DANRE")</f>
        <v>ARMC8_DANRE</v>
      </c>
      <c r="D16181" t="s">
        <v>10218</v>
      </c>
      <c r="E16181" s="3" t="s">
        <v>704</v>
      </c>
      <c r="F16181" s="4">
        <v>1.69E-24</v>
      </c>
      <c r="G16181" s="3">
        <v>288</v>
      </c>
      <c r="H16181" s="3">
        <v>28</v>
      </c>
      <c r="I16181" s="3">
        <v>314</v>
      </c>
      <c r="J16181" s="3">
        <v>4707</v>
      </c>
      <c r="K16181" s="3">
        <v>5645</v>
      </c>
      <c r="L16181" s="3">
        <v>366</v>
      </c>
      <c r="M16181" s="3">
        <v>671</v>
      </c>
    </row>
    <row r="16182" spans="1:13" x14ac:dyDescent="0.25">
      <c r="A16182" s="1" t="str">
        <f>HYPERLINK("http://www.rosaceae.org/Prunus/Prunus_persica/p.persica_gdr_reftransV1_0016355","p.persica_gdr_reftransV1_0016355")</f>
        <v>p.persica_gdr_reftransV1_0016355</v>
      </c>
      <c r="B16182" s="3">
        <v>2700</v>
      </c>
      <c r="C16182" s="1" t="str">
        <f>HYPERLINK("http://www.uniprot.org/uniprot/SYS1_DICDI","SYS1_DICDI")</f>
        <v>SYS1_DICDI</v>
      </c>
      <c r="D16182" t="s">
        <v>10219</v>
      </c>
      <c r="E16182" s="3" t="s">
        <v>9</v>
      </c>
      <c r="F16182" s="4">
        <v>5.0100000000000001E-29</v>
      </c>
      <c r="G16182" s="3">
        <v>304</v>
      </c>
      <c r="H16182" s="3">
        <v>40</v>
      </c>
      <c r="I16182" s="3">
        <v>150</v>
      </c>
      <c r="J16182" s="3">
        <v>1557</v>
      </c>
      <c r="K16182" s="3">
        <v>2006</v>
      </c>
      <c r="L16182" s="3">
        <v>1</v>
      </c>
      <c r="M16182" s="3">
        <v>150</v>
      </c>
    </row>
    <row r="16183" spans="1:13" x14ac:dyDescent="0.25">
      <c r="A16183" s="1" t="str">
        <f>HYPERLINK("http://www.rosaceae.org/Prunus/Prunus_persica/p.persica_gdr_reftransV1_0016405","p.persica_gdr_reftransV1_0016405")</f>
        <v>p.persica_gdr_reftransV1_0016405</v>
      </c>
      <c r="B16183" s="3">
        <v>996</v>
      </c>
      <c r="C16183" s="1" t="str">
        <f>HYPERLINK("http://www.uniprot.org/uniprot/CASTO_LOTJA","CASTO_LOTJA")</f>
        <v>CASTO_LOTJA</v>
      </c>
      <c r="D16183" t="s">
        <v>10220</v>
      </c>
      <c r="E16183" s="3" t="s">
        <v>880</v>
      </c>
      <c r="F16183" s="4">
        <v>1.54E-147</v>
      </c>
      <c r="G16183" s="3">
        <v>1141</v>
      </c>
      <c r="H16183" s="3">
        <v>86</v>
      </c>
      <c r="I16183" s="3">
        <v>256</v>
      </c>
      <c r="J16183" s="3">
        <v>137</v>
      </c>
      <c r="K16183" s="3">
        <v>895</v>
      </c>
      <c r="L16183" s="3">
        <v>598</v>
      </c>
      <c r="M16183" s="3">
        <v>853</v>
      </c>
    </row>
    <row r="16184" spans="1:13" x14ac:dyDescent="0.25">
      <c r="A16184" s="1" t="str">
        <f>HYPERLINK("http://www.rosaceae.org/Prunus/Prunus_persica/p.persica_gdr_reftransV1_0016505","p.persica_gdr_reftransV1_0016505")</f>
        <v>p.persica_gdr_reftransV1_0016505</v>
      </c>
      <c r="B16184" s="3">
        <v>2510</v>
      </c>
      <c r="C16184" s="1" t="str">
        <f>HYPERLINK("http://www.uniprot.org/uniprot/GPA1_PEA","GPA1_PEA")</f>
        <v>GPA1_PEA</v>
      </c>
      <c r="D16184" t="s">
        <v>7481</v>
      </c>
      <c r="E16184" s="3" t="s">
        <v>60</v>
      </c>
      <c r="F16184" s="4">
        <v>2.6399999999999999E-114</v>
      </c>
      <c r="G16184" s="3">
        <v>923</v>
      </c>
      <c r="H16184" s="3">
        <v>68</v>
      </c>
      <c r="I16184" s="3">
        <v>275</v>
      </c>
      <c r="J16184" s="3">
        <v>875</v>
      </c>
      <c r="K16184" s="3">
        <v>1684</v>
      </c>
      <c r="L16184" s="3">
        <v>71</v>
      </c>
      <c r="M16184" s="3">
        <v>300</v>
      </c>
    </row>
    <row r="16185" spans="1:13" x14ac:dyDescent="0.25">
      <c r="A16185" s="1" t="str">
        <f>HYPERLINK("http://www.rosaceae.org/Prunus/Prunus_persica/p.persica_gdr_reftransV1_0016555","p.persica_gdr_reftransV1_0016555")</f>
        <v>p.persica_gdr_reftransV1_0016555</v>
      </c>
      <c r="B16185" s="3">
        <v>3239</v>
      </c>
      <c r="C16185" s="1" t="str">
        <f>HYPERLINK("http://www.uniprot.org/uniprot/ETR1_PRUPE","ETR1_PRUPE")</f>
        <v>ETR1_PRUPE</v>
      </c>
      <c r="D16185" t="s">
        <v>10221</v>
      </c>
      <c r="E16185" s="3" t="s">
        <v>784</v>
      </c>
      <c r="F16185" s="4">
        <v>0</v>
      </c>
      <c r="G16185" s="3">
        <v>3194</v>
      </c>
      <c r="H16185" s="3">
        <v>100</v>
      </c>
      <c r="I16185" s="3">
        <v>626</v>
      </c>
      <c r="J16185" s="3">
        <v>481</v>
      </c>
      <c r="K16185" s="3">
        <v>2358</v>
      </c>
      <c r="L16185" s="3">
        <v>1</v>
      </c>
      <c r="M16185" s="3">
        <v>626</v>
      </c>
    </row>
    <row r="16186" spans="1:13" x14ac:dyDescent="0.25">
      <c r="A16186" s="1" t="str">
        <f>HYPERLINK("http://www.rosaceae.org/Prunus/Prunus_persica/p.persica_gdr_reftransV1_0016705","p.persica_gdr_reftransV1_0016705")</f>
        <v>p.persica_gdr_reftransV1_0016705</v>
      </c>
      <c r="B16186" s="3">
        <v>1679</v>
      </c>
      <c r="C16186" s="1" t="str">
        <f>HYPERLINK("http://www.uniprot.org/uniprot/OML2_ORYSJ","OML2_ORYSJ")</f>
        <v>OML2_ORYSJ</v>
      </c>
      <c r="D16186" t="s">
        <v>4348</v>
      </c>
      <c r="E16186" s="3" t="s">
        <v>38</v>
      </c>
      <c r="F16186" s="4">
        <v>0</v>
      </c>
      <c r="G16186" s="3">
        <v>1398</v>
      </c>
      <c r="H16186" s="3">
        <v>56</v>
      </c>
      <c r="I16186" s="3">
        <v>529</v>
      </c>
      <c r="J16186" s="3">
        <v>118</v>
      </c>
      <c r="K16186" s="3">
        <v>1677</v>
      </c>
      <c r="L16186" s="3">
        <v>222</v>
      </c>
      <c r="M16186" s="3">
        <v>726</v>
      </c>
    </row>
    <row r="16187" spans="1:13" x14ac:dyDescent="0.25">
      <c r="A16187" s="1" t="str">
        <f>HYPERLINK("http://www.rosaceae.org/Prunus/Prunus_persica/p.persica_gdr_reftransV1_0016755","p.persica_gdr_reftransV1_0016755")</f>
        <v>p.persica_gdr_reftransV1_0016755</v>
      </c>
      <c r="B16187" s="3">
        <v>1955</v>
      </c>
      <c r="C16187" s="1" t="str">
        <f>HYPERLINK("http://www.uniprot.org/uniprot/PME51_ARATH","PME51_ARATH")</f>
        <v>PME51_ARATH</v>
      </c>
      <c r="D16187" t="s">
        <v>7448</v>
      </c>
      <c r="E16187" s="3" t="s">
        <v>3</v>
      </c>
      <c r="F16187" s="4">
        <v>0</v>
      </c>
      <c r="G16187" s="3">
        <v>1597</v>
      </c>
      <c r="H16187" s="3">
        <v>69</v>
      </c>
      <c r="I16187" s="3">
        <v>446</v>
      </c>
      <c r="J16187" s="3">
        <v>2</v>
      </c>
      <c r="K16187" s="3">
        <v>1318</v>
      </c>
      <c r="L16187" s="3">
        <v>44</v>
      </c>
      <c r="M16187" s="3">
        <v>485</v>
      </c>
    </row>
    <row r="16188" spans="1:13" x14ac:dyDescent="0.25">
      <c r="A16188" s="1" t="str">
        <f>HYPERLINK("http://www.rosaceae.org/Prunus/Prunus_persica/p.persica_gdr_reftransV1_0016905","p.persica_gdr_reftransV1_0016905")</f>
        <v>p.persica_gdr_reftransV1_0016905</v>
      </c>
      <c r="B16188" s="3">
        <v>758</v>
      </c>
      <c r="C16188" s="1" t="str">
        <f>HYPERLINK("http://www.uniprot.org/uniprot/MED9_ARATH","MED9_ARATH")</f>
        <v>MED9_ARATH</v>
      </c>
      <c r="D16188" t="s">
        <v>10222</v>
      </c>
      <c r="E16188" s="3" t="s">
        <v>3</v>
      </c>
      <c r="F16188" s="4">
        <v>6.2499999999999996E-41</v>
      </c>
      <c r="G16188" s="3">
        <v>369</v>
      </c>
      <c r="H16188" s="3">
        <v>69</v>
      </c>
      <c r="I16188" s="3">
        <v>95</v>
      </c>
      <c r="J16188" s="3">
        <v>385</v>
      </c>
      <c r="K16188" s="3">
        <v>669</v>
      </c>
      <c r="L16188" s="3">
        <v>149</v>
      </c>
      <c r="M16188" s="3">
        <v>243</v>
      </c>
    </row>
    <row r="16189" spans="1:13" x14ac:dyDescent="0.25">
      <c r="A16189" s="1" t="str">
        <f>HYPERLINK("http://www.rosaceae.org/Prunus/Prunus_persica/p.persica_gdr_reftransV1_0017105","p.persica_gdr_reftransV1_0017105")</f>
        <v>p.persica_gdr_reftransV1_0017105</v>
      </c>
      <c r="B16189" s="3">
        <v>1625</v>
      </c>
      <c r="C16189" s="1" t="str">
        <f>HYPERLINK("http://www.uniprot.org/uniprot/Y1295_ARATH","Y1295_ARATH")</f>
        <v>Y1295_ARATH</v>
      </c>
      <c r="D16189" t="s">
        <v>9628</v>
      </c>
      <c r="E16189" s="3" t="s">
        <v>3</v>
      </c>
      <c r="F16189" s="4">
        <v>3.1200000000000001E-155</v>
      </c>
      <c r="G16189" s="3">
        <v>1174</v>
      </c>
      <c r="H16189" s="3">
        <v>62</v>
      </c>
      <c r="I16189" s="3">
        <v>352</v>
      </c>
      <c r="J16189" s="3">
        <v>200</v>
      </c>
      <c r="K16189" s="3">
        <v>1255</v>
      </c>
      <c r="L16189" s="3">
        <v>31</v>
      </c>
      <c r="M16189" s="3">
        <v>374</v>
      </c>
    </row>
    <row r="16190" spans="1:13" x14ac:dyDescent="0.25">
      <c r="A16190" s="1" t="str">
        <f>HYPERLINK("http://www.rosaceae.org/Prunus/Prunus_persica/p.persica_gdr_reftransV1_0017355","p.persica_gdr_reftransV1_0017355")</f>
        <v>p.persica_gdr_reftransV1_0017355</v>
      </c>
      <c r="B16190" s="3">
        <v>2269</v>
      </c>
      <c r="C16190" s="1" t="str">
        <f>HYPERLINK("http://www.uniprot.org/uniprot/IMPA4_ARATH","IMPA4_ARATH")</f>
        <v>IMPA4_ARATH</v>
      </c>
      <c r="D16190" t="s">
        <v>429</v>
      </c>
      <c r="E16190" s="3" t="s">
        <v>3</v>
      </c>
      <c r="F16190" s="4">
        <v>0</v>
      </c>
      <c r="G16190" s="3">
        <v>1877</v>
      </c>
      <c r="H16190" s="3">
        <v>87</v>
      </c>
      <c r="I16190" s="3">
        <v>400</v>
      </c>
      <c r="J16190" s="3">
        <v>588</v>
      </c>
      <c r="K16190" s="3">
        <v>1781</v>
      </c>
      <c r="L16190" s="3">
        <v>103</v>
      </c>
      <c r="M16190" s="3">
        <v>502</v>
      </c>
    </row>
    <row r="16191" spans="1:13" x14ac:dyDescent="0.25">
      <c r="A16191" s="1" t="str">
        <f>HYPERLINK("http://www.rosaceae.org/Prunus/Prunus_persica/p.persica_gdr_reftransV1_0017605","p.persica_gdr_reftransV1_0017605")</f>
        <v>p.persica_gdr_reftransV1_0017605</v>
      </c>
      <c r="B16191" s="3">
        <v>2782</v>
      </c>
      <c r="C16191" s="1" t="str">
        <f>HYPERLINK("http://www.uniprot.org/uniprot/SEC23_USTMA","SEC23_USTMA")</f>
        <v>SEC23_USTMA</v>
      </c>
      <c r="D16191" t="s">
        <v>832</v>
      </c>
      <c r="E16191" s="3" t="s">
        <v>833</v>
      </c>
      <c r="F16191" s="4">
        <v>0</v>
      </c>
      <c r="G16191" s="3">
        <v>1725</v>
      </c>
      <c r="H16191" s="3">
        <v>42</v>
      </c>
      <c r="I16191" s="3">
        <v>806</v>
      </c>
      <c r="J16191" s="3">
        <v>182</v>
      </c>
      <c r="K16191" s="3">
        <v>2521</v>
      </c>
      <c r="L16191" s="3">
        <v>1</v>
      </c>
      <c r="M16191" s="3">
        <v>768</v>
      </c>
    </row>
    <row r="16192" spans="1:13" x14ac:dyDescent="0.25">
      <c r="A16192" s="1" t="str">
        <f>HYPERLINK("http://www.rosaceae.org/Prunus/Prunus_persica/p.persica_gdr_reftransV1_0017705","p.persica_gdr_reftransV1_0017705")</f>
        <v>p.persica_gdr_reftransV1_0017705</v>
      </c>
      <c r="B16192" s="3">
        <v>1630</v>
      </c>
      <c r="C16192" s="1" t="str">
        <f>HYPERLINK("http://www.uniprot.org/uniprot/EM506_ARATH","EM506_ARATH")</f>
        <v>EM506_ARATH</v>
      </c>
      <c r="D16192" t="s">
        <v>10223</v>
      </c>
      <c r="E16192" s="3" t="s">
        <v>3</v>
      </c>
      <c r="F16192" s="4">
        <v>2.23E-79</v>
      </c>
      <c r="G16192" s="3">
        <v>659</v>
      </c>
      <c r="H16192" s="3">
        <v>69</v>
      </c>
      <c r="I16192" s="3">
        <v>200</v>
      </c>
      <c r="J16192" s="3">
        <v>470</v>
      </c>
      <c r="K16192" s="3">
        <v>1069</v>
      </c>
      <c r="L16192" s="3">
        <v>112</v>
      </c>
      <c r="M16192" s="3">
        <v>311</v>
      </c>
    </row>
    <row r="16193" spans="1:13" x14ac:dyDescent="0.25">
      <c r="A16193" s="1" t="str">
        <f>HYPERLINK("http://www.rosaceae.org/Prunus/Prunus_persica/p.persica_gdr_reftransV1_0017905","p.persica_gdr_reftransV1_0017905")</f>
        <v>p.persica_gdr_reftransV1_0017905</v>
      </c>
      <c r="B16193" s="3">
        <v>1008</v>
      </c>
      <c r="C16193" s="1" t="str">
        <f>HYPERLINK("http://www.uniprot.org/uniprot/Y4141_ARATH","Y4141_ARATH")</f>
        <v>Y4141_ARATH</v>
      </c>
      <c r="D16193" t="s">
        <v>3026</v>
      </c>
      <c r="E16193" s="3" t="s">
        <v>3</v>
      </c>
      <c r="F16193" s="4">
        <v>2.1800000000000002E-92</v>
      </c>
      <c r="G16193" s="3">
        <v>718</v>
      </c>
      <c r="H16193" s="3">
        <v>70</v>
      </c>
      <c r="I16193" s="3">
        <v>175</v>
      </c>
      <c r="J16193" s="3">
        <v>144</v>
      </c>
      <c r="K16193" s="3">
        <v>668</v>
      </c>
      <c r="L16193" s="3">
        <v>24</v>
      </c>
      <c r="M16193" s="3">
        <v>198</v>
      </c>
    </row>
    <row r="16194" spans="1:13" x14ac:dyDescent="0.25">
      <c r="A16194" s="1" t="str">
        <f>HYPERLINK("http://www.rosaceae.org/Prunus/Prunus_persica/p.persica_gdr_reftransV1_0018055","p.persica_gdr_reftransV1_0018055")</f>
        <v>p.persica_gdr_reftransV1_0018055</v>
      </c>
      <c r="B16194" s="3">
        <v>1258</v>
      </c>
      <c r="C16194" s="1" t="str">
        <f>HYPERLINK("http://www.uniprot.org/uniprot/YIPL6_ARATH","YIPL6_ARATH")</f>
        <v>YIPL6_ARATH</v>
      </c>
      <c r="D16194" t="s">
        <v>2693</v>
      </c>
      <c r="E16194" s="3" t="s">
        <v>3</v>
      </c>
      <c r="F16194" s="4">
        <v>5.7800000000000005E-38</v>
      </c>
      <c r="G16194" s="3">
        <v>348</v>
      </c>
      <c r="H16194" s="3">
        <v>87</v>
      </c>
      <c r="I16194" s="3">
        <v>75</v>
      </c>
      <c r="J16194" s="3">
        <v>253</v>
      </c>
      <c r="K16194" s="3">
        <v>477</v>
      </c>
      <c r="L16194" s="3">
        <v>32</v>
      </c>
      <c r="M16194" s="3">
        <v>106</v>
      </c>
    </row>
    <row r="16195" spans="1:13" x14ac:dyDescent="0.25">
      <c r="A16195" s="1" t="str">
        <f>HYPERLINK("http://www.rosaceae.org/Prunus/Prunus_persica/p.persica_gdr_reftransV1_0018455","p.persica_gdr_reftransV1_0018455")</f>
        <v>p.persica_gdr_reftransV1_0018455</v>
      </c>
      <c r="B16195" s="3">
        <v>864</v>
      </c>
      <c r="C16195" s="1" t="str">
        <f>HYPERLINK("http://www.uniprot.org/uniprot/UGT6_CATRO","UGT6_CATRO")</f>
        <v>UGT6_CATRO</v>
      </c>
      <c r="D16195" t="s">
        <v>3893</v>
      </c>
      <c r="E16195" s="3" t="s">
        <v>457</v>
      </c>
      <c r="F16195" s="4">
        <v>2.8100000000000002E-139</v>
      </c>
      <c r="G16195" s="3">
        <v>1050</v>
      </c>
      <c r="H16195" s="3">
        <v>69</v>
      </c>
      <c r="I16195" s="3">
        <v>289</v>
      </c>
      <c r="J16195" s="3">
        <v>3</v>
      </c>
      <c r="K16195" s="3">
        <v>863</v>
      </c>
      <c r="L16195" s="3">
        <v>32</v>
      </c>
      <c r="M16195" s="3">
        <v>318</v>
      </c>
    </row>
    <row r="16196" spans="1:13" x14ac:dyDescent="0.25">
      <c r="A16196" s="1" t="str">
        <f>HYPERLINK("http://www.rosaceae.org/Prunus/Prunus_persica/p.persica_gdr_reftransV1_0018555","p.persica_gdr_reftransV1_0018555")</f>
        <v>p.persica_gdr_reftransV1_0018555</v>
      </c>
      <c r="B16196" s="3">
        <v>2066</v>
      </c>
      <c r="C16196" s="1" t="str">
        <f>HYPERLINK("http://www.uniprot.org/uniprot/GLYT3_ARATH","GLYT3_ARATH")</f>
        <v>GLYT3_ARATH</v>
      </c>
      <c r="D16196" t="s">
        <v>2169</v>
      </c>
      <c r="E16196" s="3" t="s">
        <v>3</v>
      </c>
      <c r="F16196" s="4">
        <v>6.4200000000000004E-90</v>
      </c>
      <c r="G16196" s="3">
        <v>758</v>
      </c>
      <c r="H16196" s="3">
        <v>64</v>
      </c>
      <c r="I16196" s="3">
        <v>213</v>
      </c>
      <c r="J16196" s="3">
        <v>1243</v>
      </c>
      <c r="K16196" s="3">
        <v>1878</v>
      </c>
      <c r="L16196" s="3">
        <v>306</v>
      </c>
      <c r="M16196" s="3">
        <v>518</v>
      </c>
    </row>
    <row r="16197" spans="1:13" x14ac:dyDescent="0.25">
      <c r="A16197" s="1" t="str">
        <f>HYPERLINK("http://www.rosaceae.org/Prunus/Prunus_persica/p.persica_gdr_reftransV1_0018755","p.persica_gdr_reftransV1_0018755")</f>
        <v>p.persica_gdr_reftransV1_0018755</v>
      </c>
      <c r="B16197" s="3">
        <v>4398</v>
      </c>
      <c r="C16197" s="1" t="str">
        <f>HYPERLINK("http://www.uniprot.org/uniprot/RADL1_ARATH","RADL1_ARATH")</f>
        <v>RADL1_ARATH</v>
      </c>
      <c r="D16197" t="s">
        <v>10224</v>
      </c>
      <c r="E16197" s="3" t="s">
        <v>3</v>
      </c>
      <c r="F16197" s="4">
        <v>2.0099999999999998E-24</v>
      </c>
      <c r="G16197" s="3">
        <v>262</v>
      </c>
      <c r="H16197" s="3">
        <v>60</v>
      </c>
      <c r="I16197" s="3">
        <v>80</v>
      </c>
      <c r="J16197" s="3">
        <v>513</v>
      </c>
      <c r="K16197" s="3">
        <v>743</v>
      </c>
      <c r="L16197" s="3">
        <v>14</v>
      </c>
      <c r="M16197" s="3">
        <v>93</v>
      </c>
    </row>
    <row r="16198" spans="1:13" x14ac:dyDescent="0.25">
      <c r="A16198" s="1" t="str">
        <f>HYPERLINK("http://www.rosaceae.org/Prunus/Prunus_persica/p.persica_gdr_reftransV1_0018855","p.persica_gdr_reftransV1_0018855")</f>
        <v>p.persica_gdr_reftransV1_0018855</v>
      </c>
      <c r="B16198" s="3">
        <v>831</v>
      </c>
      <c r="C16198" s="1" t="str">
        <f>HYPERLINK("http://www.uniprot.org/uniprot/WAKLO_ARATH","WAKLO_ARATH")</f>
        <v>WAKLO_ARATH</v>
      </c>
      <c r="D16198" t="s">
        <v>146</v>
      </c>
      <c r="E16198" s="3" t="s">
        <v>3</v>
      </c>
      <c r="F16198" s="4">
        <v>2.1699999999999999E-26</v>
      </c>
      <c r="G16198" s="3">
        <v>281</v>
      </c>
      <c r="H16198" s="3">
        <v>36</v>
      </c>
      <c r="I16198" s="3">
        <v>221</v>
      </c>
      <c r="J16198" s="3">
        <v>173</v>
      </c>
      <c r="K16198" s="3">
        <v>817</v>
      </c>
      <c r="L16198" s="3">
        <v>47</v>
      </c>
      <c r="M16198" s="3">
        <v>258</v>
      </c>
    </row>
    <row r="16199" spans="1:13" x14ac:dyDescent="0.25">
      <c r="A16199" s="1" t="str">
        <f>HYPERLINK("http://www.rosaceae.org/Prunus/Prunus_persica/p.persica_gdr_reftransV1_0018955","p.persica_gdr_reftransV1_0018955")</f>
        <v>p.persica_gdr_reftransV1_0018955</v>
      </c>
      <c r="B16199" s="3">
        <v>725</v>
      </c>
      <c r="C16199" s="1" t="str">
        <f>HYPERLINK("http://www.uniprot.org/uniprot/IRE_ARATH","IRE_ARATH")</f>
        <v>IRE_ARATH</v>
      </c>
      <c r="D16199" t="s">
        <v>5267</v>
      </c>
      <c r="E16199" s="3" t="s">
        <v>3</v>
      </c>
      <c r="F16199" s="4">
        <v>2.04E-122</v>
      </c>
      <c r="G16199" s="3">
        <v>979</v>
      </c>
      <c r="H16199" s="3">
        <v>83</v>
      </c>
      <c r="I16199" s="3">
        <v>222</v>
      </c>
      <c r="J16199" s="3">
        <v>60</v>
      </c>
      <c r="K16199" s="3">
        <v>725</v>
      </c>
      <c r="L16199" s="3">
        <v>647</v>
      </c>
      <c r="M16199" s="3">
        <v>868</v>
      </c>
    </row>
    <row r="16200" spans="1:13" x14ac:dyDescent="0.25">
      <c r="A16200" s="1" t="str">
        <f>HYPERLINK("http://www.rosaceae.org/Prunus/Prunus_persica/p.persica_gdr_reftransV1_0019005","p.persica_gdr_reftransV1_0019005")</f>
        <v>p.persica_gdr_reftransV1_0019005</v>
      </c>
      <c r="B16200" s="3">
        <v>2047</v>
      </c>
      <c r="C16200" s="1" t="str">
        <f>HYPERLINK("http://www.uniprot.org/uniprot/GH39_ARATH","GH39_ARATH")</f>
        <v>GH39_ARATH</v>
      </c>
      <c r="D16200" t="s">
        <v>10225</v>
      </c>
      <c r="E16200" s="3" t="s">
        <v>3</v>
      </c>
      <c r="F16200" s="4">
        <v>0</v>
      </c>
      <c r="G16200" s="3">
        <v>2139</v>
      </c>
      <c r="H16200" s="3">
        <v>71</v>
      </c>
      <c r="I16200" s="3">
        <v>600</v>
      </c>
      <c r="J16200" s="3">
        <v>195</v>
      </c>
      <c r="K16200" s="3">
        <v>1991</v>
      </c>
      <c r="L16200" s="3">
        <v>1</v>
      </c>
      <c r="M16200" s="3">
        <v>585</v>
      </c>
    </row>
    <row r="16201" spans="1:13" x14ac:dyDescent="0.25">
      <c r="A16201" s="1" t="str">
        <f>HYPERLINK("http://www.rosaceae.org/Prunus/Prunus_persica/p.persica_gdr_reftransV1_0019255","p.persica_gdr_reftransV1_0019255")</f>
        <v>p.persica_gdr_reftransV1_0019255</v>
      </c>
      <c r="B16201" s="3">
        <v>3609</v>
      </c>
      <c r="C16201" s="1" t="str">
        <f>HYPERLINK("http://www.uniprot.org/uniprot/ARFB_ARATH","ARFB_ARATH")</f>
        <v>ARFB_ARATH</v>
      </c>
      <c r="D16201" t="s">
        <v>10226</v>
      </c>
      <c r="E16201" s="3" t="s">
        <v>3</v>
      </c>
      <c r="F16201" s="4">
        <v>0</v>
      </c>
      <c r="G16201" s="3">
        <v>2751</v>
      </c>
      <c r="H16201" s="3">
        <v>67</v>
      </c>
      <c r="I16201" s="3">
        <v>863</v>
      </c>
      <c r="J16201" s="3">
        <v>613</v>
      </c>
      <c r="K16201" s="3">
        <v>3129</v>
      </c>
      <c r="L16201" s="3">
        <v>1</v>
      </c>
      <c r="M16201" s="3">
        <v>851</v>
      </c>
    </row>
    <row r="16202" spans="1:13" x14ac:dyDescent="0.25">
      <c r="A16202" s="1" t="str">
        <f>HYPERLINK("http://www.rosaceae.org/Prunus/Prunus_persica/p.persica_gdr_reftransV1_0019355","p.persica_gdr_reftransV1_0019355")</f>
        <v>p.persica_gdr_reftransV1_0019355</v>
      </c>
      <c r="B16202" s="3">
        <v>1592</v>
      </c>
      <c r="C16202" s="1" t="str">
        <f>HYPERLINK("http://www.uniprot.org/uniprot/MUB4_ARATH","MUB4_ARATH")</f>
        <v>MUB4_ARATH</v>
      </c>
      <c r="D16202" t="s">
        <v>10227</v>
      </c>
      <c r="E16202" s="3" t="s">
        <v>3</v>
      </c>
      <c r="F16202" s="4">
        <v>2.16E-49</v>
      </c>
      <c r="G16202" s="3">
        <v>434</v>
      </c>
      <c r="H16202" s="3">
        <v>80</v>
      </c>
      <c r="I16202" s="3">
        <v>99</v>
      </c>
      <c r="J16202" s="3">
        <v>894</v>
      </c>
      <c r="K16202" s="3">
        <v>1190</v>
      </c>
      <c r="L16202" s="3">
        <v>1</v>
      </c>
      <c r="M16202" s="3">
        <v>99</v>
      </c>
    </row>
    <row r="16203" spans="1:13" x14ac:dyDescent="0.25">
      <c r="A16203" s="1" t="str">
        <f>HYPERLINK("http://www.rosaceae.org/Prunus/Prunus_persica/p.persica_gdr_reftransV1_0019405","p.persica_gdr_reftransV1_0019405")</f>
        <v>p.persica_gdr_reftransV1_0019405</v>
      </c>
      <c r="B16203" s="3">
        <v>5244</v>
      </c>
      <c r="C16203" s="1" t="str">
        <f>HYPERLINK("http://www.uniprot.org/uniprot/MED23_ARATH","MED23_ARATH")</f>
        <v>MED23_ARATH</v>
      </c>
      <c r="D16203" t="s">
        <v>10228</v>
      </c>
      <c r="E16203" s="3" t="s">
        <v>3</v>
      </c>
      <c r="F16203" s="4">
        <v>0</v>
      </c>
      <c r="G16203" s="3">
        <v>6151</v>
      </c>
      <c r="H16203" s="3">
        <v>75</v>
      </c>
      <c r="I16203" s="3">
        <v>1632</v>
      </c>
      <c r="J16203" s="3">
        <v>337</v>
      </c>
      <c r="K16203" s="3">
        <v>5127</v>
      </c>
      <c r="L16203" s="3">
        <v>1</v>
      </c>
      <c r="M16203" s="3">
        <v>1605</v>
      </c>
    </row>
    <row r="16204" spans="1:13" x14ac:dyDescent="0.25">
      <c r="A16204" s="1" t="str">
        <f>HYPERLINK("http://www.rosaceae.org/Prunus/Prunus_persica/p.persica_gdr_reftransV1_0019655","p.persica_gdr_reftransV1_0019655")</f>
        <v>p.persica_gdr_reftransV1_0019655</v>
      </c>
      <c r="B16204" s="3">
        <v>1663</v>
      </c>
      <c r="C16204" s="1" t="str">
        <f>HYPERLINK("http://www.uniprot.org/uniprot/LRKS4_ARATH","LRKS4_ARATH")</f>
        <v>LRKS4_ARATH</v>
      </c>
      <c r="D16204" t="s">
        <v>1959</v>
      </c>
      <c r="E16204" s="3" t="s">
        <v>3</v>
      </c>
      <c r="F16204" s="4">
        <v>3.9199999999999998E-32</v>
      </c>
      <c r="G16204" s="3">
        <v>338</v>
      </c>
      <c r="H16204" s="3">
        <v>31</v>
      </c>
      <c r="I16204" s="3">
        <v>454</v>
      </c>
      <c r="J16204" s="3">
        <v>358</v>
      </c>
      <c r="K16204" s="3">
        <v>1662</v>
      </c>
      <c r="L16204" s="3">
        <v>19</v>
      </c>
      <c r="M16204" s="3">
        <v>449</v>
      </c>
    </row>
    <row r="16205" spans="1:13" x14ac:dyDescent="0.25">
      <c r="A16205" s="1" t="str">
        <f>HYPERLINK("http://www.rosaceae.org/Prunus/Prunus_persica/p.persica_gdr_reftransV1_0019755","p.persica_gdr_reftransV1_0019755")</f>
        <v>p.persica_gdr_reftransV1_0019755</v>
      </c>
      <c r="B16205" s="3">
        <v>730</v>
      </c>
      <c r="C16205" s="1" t="str">
        <f>HYPERLINK("http://www.uniprot.org/uniprot/ORTH2_ARATH","ORTH2_ARATH")</f>
        <v>ORTH2_ARATH</v>
      </c>
      <c r="D16205" t="s">
        <v>2491</v>
      </c>
      <c r="E16205" s="3" t="s">
        <v>3</v>
      </c>
      <c r="F16205" s="4">
        <v>2.9100000000000002E-30</v>
      </c>
      <c r="G16205" s="3">
        <v>307</v>
      </c>
      <c r="H16205" s="3">
        <v>65</v>
      </c>
      <c r="I16205" s="3">
        <v>84</v>
      </c>
      <c r="J16205" s="3">
        <v>1</v>
      </c>
      <c r="K16205" s="3">
        <v>252</v>
      </c>
      <c r="L16205" s="3">
        <v>469</v>
      </c>
      <c r="M16205" s="3">
        <v>552</v>
      </c>
    </row>
    <row r="16206" spans="1:13" x14ac:dyDescent="0.25">
      <c r="A16206" s="1" t="str">
        <f>HYPERLINK("http://www.rosaceae.org/Prunus/Prunus_persica/p.persica_gdr_reftransV1_0019855","p.persica_gdr_reftransV1_0019855")</f>
        <v>p.persica_gdr_reftransV1_0019855</v>
      </c>
      <c r="B16206" s="3">
        <v>2541</v>
      </c>
      <c r="C16206" s="1" t="str">
        <f>HYPERLINK("http://www.uniprot.org/uniprot/PPR21_ARATH","PPR21_ARATH")</f>
        <v>PPR21_ARATH</v>
      </c>
      <c r="D16206" t="s">
        <v>3398</v>
      </c>
      <c r="E16206" s="3" t="s">
        <v>3</v>
      </c>
      <c r="F16206" s="4">
        <v>6.8799999999999998E-145</v>
      </c>
      <c r="G16206" s="3">
        <v>1163</v>
      </c>
      <c r="H16206" s="3">
        <v>40</v>
      </c>
      <c r="I16206" s="3">
        <v>623</v>
      </c>
      <c r="J16206" s="3">
        <v>552</v>
      </c>
      <c r="K16206" s="3">
        <v>2288</v>
      </c>
      <c r="L16206" s="3">
        <v>32</v>
      </c>
      <c r="M16206" s="3">
        <v>653</v>
      </c>
    </row>
    <row r="16207" spans="1:13" x14ac:dyDescent="0.25">
      <c r="A16207" s="1" t="str">
        <f>HYPERLINK("http://www.rosaceae.org/Prunus/Prunus_persica/p.persica_gdr_reftransV1_0020105","p.persica_gdr_reftransV1_0020105")</f>
        <v>p.persica_gdr_reftransV1_0020105</v>
      </c>
      <c r="B16207" s="3">
        <v>5626</v>
      </c>
      <c r="C16207" s="1" t="str">
        <f>HYPERLINK("http://www.uniprot.org/uniprot/YAMB_SCHPO","YAMB_SCHPO")</f>
        <v>YAMB_SCHPO</v>
      </c>
      <c r="D16207" t="s">
        <v>10229</v>
      </c>
      <c r="E16207" s="3" t="s">
        <v>464</v>
      </c>
      <c r="F16207" s="4">
        <v>1.2800000000000001E-84</v>
      </c>
      <c r="G16207" s="3">
        <v>804</v>
      </c>
      <c r="H16207" s="3">
        <v>28</v>
      </c>
      <c r="I16207" s="3">
        <v>901</v>
      </c>
      <c r="J16207" s="3">
        <v>368</v>
      </c>
      <c r="K16207" s="3">
        <v>2986</v>
      </c>
      <c r="L16207" s="3">
        <v>2847</v>
      </c>
      <c r="M16207" s="3">
        <v>3655</v>
      </c>
    </row>
    <row r="16208" spans="1:13" x14ac:dyDescent="0.25">
      <c r="A16208" s="1" t="str">
        <f>HYPERLINK("http://www.rosaceae.org/Prunus/Prunus_persica/p.persica_gdr_reftransV1_0020205","p.persica_gdr_reftransV1_0020205")</f>
        <v>p.persica_gdr_reftransV1_0020205</v>
      </c>
      <c r="B16208" s="3">
        <v>3087</v>
      </c>
      <c r="C16208" s="1" t="str">
        <f>HYPERLINK("http://www.uniprot.org/uniprot/CRSP_ARATH","CRSP_ARATH")</f>
        <v>CRSP_ARATH</v>
      </c>
      <c r="D16208" t="s">
        <v>1526</v>
      </c>
      <c r="E16208" s="3" t="s">
        <v>3</v>
      </c>
      <c r="F16208" s="4">
        <v>6.1200000000000002E-115</v>
      </c>
      <c r="G16208" s="3">
        <v>799</v>
      </c>
      <c r="H16208" s="3">
        <v>43</v>
      </c>
      <c r="I16208" s="3">
        <v>414</v>
      </c>
      <c r="J16208" s="3">
        <v>956</v>
      </c>
      <c r="K16208" s="3">
        <v>2149</v>
      </c>
      <c r="L16208" s="3">
        <v>183</v>
      </c>
      <c r="M16208" s="3">
        <v>581</v>
      </c>
    </row>
    <row r="16209" spans="1:13" x14ac:dyDescent="0.25">
      <c r="A16209" s="1" t="str">
        <f>HYPERLINK("http://www.rosaceae.org/Prunus/Prunus_persica/p.persica_gdr_reftransV1_0020305","p.persica_gdr_reftransV1_0020305")</f>
        <v>p.persica_gdr_reftransV1_0020305</v>
      </c>
      <c r="B16209" s="3">
        <v>981</v>
      </c>
      <c r="C16209" s="1" t="str">
        <f>HYPERLINK("http://www.uniprot.org/uniprot/ZDHC3_ARATH","ZDHC3_ARATH")</f>
        <v>ZDHC3_ARATH</v>
      </c>
      <c r="D16209" t="s">
        <v>10230</v>
      </c>
      <c r="E16209" s="3" t="s">
        <v>3</v>
      </c>
      <c r="F16209" s="4">
        <v>2.38E-67</v>
      </c>
      <c r="G16209" s="3">
        <v>578</v>
      </c>
      <c r="H16209" s="3">
        <v>66</v>
      </c>
      <c r="I16209" s="3">
        <v>168</v>
      </c>
      <c r="J16209" s="3">
        <v>477</v>
      </c>
      <c r="K16209" s="3">
        <v>980</v>
      </c>
      <c r="L16209" s="3">
        <v>1</v>
      </c>
      <c r="M16209" s="3">
        <v>166</v>
      </c>
    </row>
    <row r="16210" spans="1:13" x14ac:dyDescent="0.25">
      <c r="A16210" s="1" t="str">
        <f>HYPERLINK("http://www.rosaceae.org/Prunus/Prunus_persica/p.persica_gdr_reftransV1_0020505","p.persica_gdr_reftransV1_0020505")</f>
        <v>p.persica_gdr_reftransV1_0020505</v>
      </c>
      <c r="B16210" s="3">
        <v>637</v>
      </c>
      <c r="C16210" s="1" t="str">
        <f>HYPERLINK("http://www.uniprot.org/uniprot/LEUNG_ARATH","LEUNG_ARATH")</f>
        <v>LEUNG_ARATH</v>
      </c>
      <c r="D16210" t="s">
        <v>7071</v>
      </c>
      <c r="E16210" s="3" t="s">
        <v>3</v>
      </c>
      <c r="F16210" s="4">
        <v>1.9800000000000001E-52</v>
      </c>
      <c r="G16210" s="3">
        <v>470</v>
      </c>
      <c r="H16210" s="3">
        <v>98</v>
      </c>
      <c r="I16210" s="3">
        <v>88</v>
      </c>
      <c r="J16210" s="3">
        <v>83</v>
      </c>
      <c r="K16210" s="3">
        <v>346</v>
      </c>
      <c r="L16210" s="3">
        <v>1</v>
      </c>
      <c r="M16210" s="3">
        <v>88</v>
      </c>
    </row>
    <row r="16211" spans="1:13" x14ac:dyDescent="0.25">
      <c r="A16211" s="1" t="str">
        <f>HYPERLINK("http://www.rosaceae.org/Prunus/Prunus_persica/p.persica_gdr_reftransV1_0020605","p.persica_gdr_reftransV1_0020605")</f>
        <v>p.persica_gdr_reftransV1_0020605</v>
      </c>
      <c r="B16211" s="3">
        <v>4573</v>
      </c>
      <c r="C16211" s="1" t="str">
        <f>HYPERLINK("http://www.uniprot.org/uniprot/DES1L_ARATH","DES1L_ARATH")</f>
        <v>DES1L_ARATH</v>
      </c>
      <c r="D16211" t="s">
        <v>10231</v>
      </c>
      <c r="E16211" s="3" t="s">
        <v>3</v>
      </c>
      <c r="F16211" s="4">
        <v>0</v>
      </c>
      <c r="G16211" s="3">
        <v>1472</v>
      </c>
      <c r="H16211" s="3">
        <v>87</v>
      </c>
      <c r="I16211" s="3">
        <v>314</v>
      </c>
      <c r="J16211" s="3">
        <v>3357</v>
      </c>
      <c r="K16211" s="3">
        <v>4298</v>
      </c>
      <c r="L16211" s="3">
        <v>19</v>
      </c>
      <c r="M16211" s="3">
        <v>332</v>
      </c>
    </row>
    <row r="16212" spans="1:13" x14ac:dyDescent="0.25">
      <c r="A16212" s="1" t="str">
        <f>HYPERLINK("http://www.rosaceae.org/Prunus/Prunus_persica/p.persica_gdr_reftransV1_0020955","p.persica_gdr_reftransV1_0020955")</f>
        <v>p.persica_gdr_reftransV1_0020955</v>
      </c>
      <c r="B16212" s="3">
        <v>2663</v>
      </c>
      <c r="C16212" s="1" t="str">
        <f>HYPERLINK("http://www.uniprot.org/uniprot/ARGE_ARATH","ARGE_ARATH")</f>
        <v>ARGE_ARATH</v>
      </c>
      <c r="D16212" t="s">
        <v>10232</v>
      </c>
      <c r="E16212" s="3" t="s">
        <v>3</v>
      </c>
      <c r="F16212" s="4">
        <v>0</v>
      </c>
      <c r="G16212" s="3">
        <v>1819</v>
      </c>
      <c r="H16212" s="3">
        <v>83</v>
      </c>
      <c r="I16212" s="3">
        <v>406</v>
      </c>
      <c r="J16212" s="3">
        <v>1314</v>
      </c>
      <c r="K16212" s="3">
        <v>2528</v>
      </c>
      <c r="L16212" s="3">
        <v>1</v>
      </c>
      <c r="M16212" s="3">
        <v>406</v>
      </c>
    </row>
    <row r="16213" spans="1:13" x14ac:dyDescent="0.25">
      <c r="A16213" s="1" t="str">
        <f>HYPERLINK("http://www.rosaceae.org/Prunus/Prunus_persica/p.persica_gdr_reftransV1_0021105","p.persica_gdr_reftransV1_0021105")</f>
        <v>p.persica_gdr_reftransV1_0021105</v>
      </c>
      <c r="B16213" s="3">
        <v>2685</v>
      </c>
      <c r="C16213" s="1" t="str">
        <f>HYPERLINK("http://www.uniprot.org/uniprot/BXL1_ARATH","BXL1_ARATH")</f>
        <v>BXL1_ARATH</v>
      </c>
      <c r="D16213" t="s">
        <v>10233</v>
      </c>
      <c r="E16213" s="3" t="s">
        <v>3</v>
      </c>
      <c r="F16213" s="4">
        <v>0</v>
      </c>
      <c r="G16213" s="3">
        <v>2946</v>
      </c>
      <c r="H16213" s="3">
        <v>74</v>
      </c>
      <c r="I16213" s="3">
        <v>748</v>
      </c>
      <c r="J16213" s="3">
        <v>159</v>
      </c>
      <c r="K16213" s="3">
        <v>2384</v>
      </c>
      <c r="L16213" s="3">
        <v>32</v>
      </c>
      <c r="M16213" s="3">
        <v>774</v>
      </c>
    </row>
    <row r="16214" spans="1:13" x14ac:dyDescent="0.25">
      <c r="A16214" s="1" t="str">
        <f>HYPERLINK("http://www.rosaceae.org/Prunus/Prunus_persica/p.persica_gdr_reftransV1_0021255","p.persica_gdr_reftransV1_0021255")</f>
        <v>p.persica_gdr_reftransV1_0021255</v>
      </c>
      <c r="B16214" s="3">
        <v>1866</v>
      </c>
      <c r="C16214" s="1" t="str">
        <f>HYPERLINK("http://www.uniprot.org/uniprot/STAD6_ARATH","STAD6_ARATH")</f>
        <v>STAD6_ARATH</v>
      </c>
      <c r="D16214" t="s">
        <v>4177</v>
      </c>
      <c r="E16214" s="3" t="s">
        <v>3</v>
      </c>
      <c r="F16214" s="4">
        <v>3.1800000000000002E-103</v>
      </c>
      <c r="G16214" s="3">
        <v>833</v>
      </c>
      <c r="H16214" s="3">
        <v>82</v>
      </c>
      <c r="I16214" s="3">
        <v>187</v>
      </c>
      <c r="J16214" s="3">
        <v>1065</v>
      </c>
      <c r="K16214" s="3">
        <v>1622</v>
      </c>
      <c r="L16214" s="3">
        <v>203</v>
      </c>
      <c r="M16214" s="3">
        <v>389</v>
      </c>
    </row>
    <row r="16215" spans="1:13" x14ac:dyDescent="0.25">
      <c r="A16215" s="1" t="str">
        <f>HYPERLINK("http://www.rosaceae.org/Prunus/Prunus_persica/p.persica_gdr_reftransV1_0021455","p.persica_gdr_reftransV1_0021455")</f>
        <v>p.persica_gdr_reftransV1_0021455</v>
      </c>
      <c r="B16215" s="3">
        <v>2973</v>
      </c>
      <c r="C16215" s="1" t="str">
        <f>HYPERLINK("http://www.uniprot.org/uniprot/PTR49_ARATH","PTR49_ARATH")</f>
        <v>PTR49_ARATH</v>
      </c>
      <c r="D16215" t="s">
        <v>2148</v>
      </c>
      <c r="E16215" s="3" t="s">
        <v>3</v>
      </c>
      <c r="F16215" s="4">
        <v>0</v>
      </c>
      <c r="G16215" s="3">
        <v>2477</v>
      </c>
      <c r="H16215" s="3">
        <v>80</v>
      </c>
      <c r="I16215" s="3">
        <v>615</v>
      </c>
      <c r="J16215" s="3">
        <v>293</v>
      </c>
      <c r="K16215" s="3">
        <v>2137</v>
      </c>
      <c r="L16215" s="3">
        <v>1</v>
      </c>
      <c r="M16215" s="3">
        <v>611</v>
      </c>
    </row>
    <row r="16216" spans="1:13" x14ac:dyDescent="0.25">
      <c r="A16216" s="1" t="str">
        <f>HYPERLINK("http://www.rosaceae.org/Prunus/Prunus_persica/p.persica_gdr_reftransV1_0021505","p.persica_gdr_reftransV1_0021505")</f>
        <v>p.persica_gdr_reftransV1_0021505</v>
      </c>
      <c r="B16216" s="3">
        <v>1322</v>
      </c>
      <c r="C16216" s="1" t="str">
        <f>HYPERLINK("http://www.uniprot.org/uniprot/VDAC2_ARATH","VDAC2_ARATH")</f>
        <v>VDAC2_ARATH</v>
      </c>
      <c r="D16216" t="s">
        <v>5535</v>
      </c>
      <c r="E16216" s="3" t="s">
        <v>3</v>
      </c>
      <c r="F16216" s="4">
        <v>1.5699999999999999E-18</v>
      </c>
      <c r="G16216" s="3">
        <v>219</v>
      </c>
      <c r="H16216" s="3">
        <v>42</v>
      </c>
      <c r="I16216" s="3">
        <v>134</v>
      </c>
      <c r="J16216" s="3">
        <v>132</v>
      </c>
      <c r="K16216" s="3">
        <v>533</v>
      </c>
      <c r="L16216" s="3">
        <v>7</v>
      </c>
      <c r="M16216" s="3">
        <v>106</v>
      </c>
    </row>
    <row r="16217" spans="1:13" x14ac:dyDescent="0.25">
      <c r="A16217" s="1" t="str">
        <f>HYPERLINK("http://www.rosaceae.org/Prunus/Prunus_persica/p.persica_gdr_reftransV1_0021555","p.persica_gdr_reftransV1_0021555")</f>
        <v>p.persica_gdr_reftransV1_0021555</v>
      </c>
      <c r="B16217" s="3">
        <v>1525</v>
      </c>
      <c r="C16217" s="1" t="str">
        <f>HYPERLINK("http://www.uniprot.org/uniprot/RBOHC_SOLTU","RBOHC_SOLTU")</f>
        <v>RBOHC_SOLTU</v>
      </c>
      <c r="D16217" t="s">
        <v>2265</v>
      </c>
      <c r="E16217" s="3" t="s">
        <v>11</v>
      </c>
      <c r="F16217" s="4">
        <v>0</v>
      </c>
      <c r="G16217" s="3">
        <v>1892</v>
      </c>
      <c r="H16217" s="3">
        <v>71</v>
      </c>
      <c r="I16217" s="3">
        <v>509</v>
      </c>
      <c r="J16217" s="3">
        <v>1</v>
      </c>
      <c r="K16217" s="3">
        <v>1524</v>
      </c>
      <c r="L16217" s="3">
        <v>162</v>
      </c>
      <c r="M16217" s="3">
        <v>662</v>
      </c>
    </row>
    <row r="16218" spans="1:13" x14ac:dyDescent="0.25">
      <c r="A16218" s="1" t="str">
        <f>HYPERLINK("http://www.rosaceae.org/Prunus/Prunus_persica/p.persica_gdr_reftransV1_0021755","p.persica_gdr_reftransV1_0021755")</f>
        <v>p.persica_gdr_reftransV1_0021755</v>
      </c>
      <c r="B16218" s="3">
        <v>3590</v>
      </c>
      <c r="C16218" s="1" t="str">
        <f>HYPERLINK("http://www.uniprot.org/uniprot/ECA3_ARATH","ECA3_ARATH")</f>
        <v>ECA3_ARATH</v>
      </c>
      <c r="D16218" t="s">
        <v>10234</v>
      </c>
      <c r="E16218" s="3" t="s">
        <v>3</v>
      </c>
      <c r="F16218" s="4">
        <v>0</v>
      </c>
      <c r="G16218" s="3">
        <v>4397</v>
      </c>
      <c r="H16218" s="3">
        <v>85</v>
      </c>
      <c r="I16218" s="3">
        <v>996</v>
      </c>
      <c r="J16218" s="3">
        <v>485</v>
      </c>
      <c r="K16218" s="3">
        <v>3472</v>
      </c>
      <c r="L16218" s="3">
        <v>1</v>
      </c>
      <c r="M16218" s="3">
        <v>993</v>
      </c>
    </row>
    <row r="16219" spans="1:13" x14ac:dyDescent="0.25">
      <c r="A16219" s="1" t="str">
        <f>HYPERLINK("http://www.rosaceae.org/Prunus/Prunus_persica/p.persica_gdr_reftransV1_0021805","p.persica_gdr_reftransV1_0021805")</f>
        <v>p.persica_gdr_reftransV1_0021805</v>
      </c>
      <c r="B16219" s="3">
        <v>2550</v>
      </c>
      <c r="C16219" s="1" t="str">
        <f>HYPERLINK("http://www.uniprot.org/uniprot/ALFL5_ARATH","ALFL5_ARATH")</f>
        <v>ALFL5_ARATH</v>
      </c>
      <c r="D16219" t="s">
        <v>10235</v>
      </c>
      <c r="E16219" s="3" t="s">
        <v>3</v>
      </c>
      <c r="F16219" s="4">
        <v>8.6200000000000003E-43</v>
      </c>
      <c r="G16219" s="3">
        <v>408</v>
      </c>
      <c r="H16219" s="3">
        <v>78</v>
      </c>
      <c r="I16219" s="3">
        <v>122</v>
      </c>
      <c r="J16219" s="3">
        <v>1245</v>
      </c>
      <c r="K16219" s="3">
        <v>1610</v>
      </c>
      <c r="L16219" s="3">
        <v>45</v>
      </c>
      <c r="M16219" s="3">
        <v>165</v>
      </c>
    </row>
    <row r="16220" spans="1:13" x14ac:dyDescent="0.25">
      <c r="A16220" s="1" t="str">
        <f>HYPERLINK("http://www.rosaceae.org/Prunus/Prunus_persica/p.persica_gdr_reftransV1_0022005","p.persica_gdr_reftransV1_0022005")</f>
        <v>p.persica_gdr_reftransV1_0022005</v>
      </c>
      <c r="B16220" s="3">
        <v>481</v>
      </c>
      <c r="C16220" s="1" t="str">
        <f>HYPERLINK("http://www.uniprot.org/uniprot/Y9957_DICDI","Y9957_DICDI")</f>
        <v>Y9957_DICDI</v>
      </c>
      <c r="D16220" t="s">
        <v>10236</v>
      </c>
      <c r="E16220" s="3" t="s">
        <v>9</v>
      </c>
      <c r="F16220" s="4">
        <v>4.43E-23</v>
      </c>
      <c r="G16220" s="3">
        <v>249</v>
      </c>
      <c r="H16220" s="3">
        <v>45</v>
      </c>
      <c r="I16220" s="3">
        <v>99</v>
      </c>
      <c r="J16220" s="3">
        <v>185</v>
      </c>
      <c r="K16220" s="3">
        <v>481</v>
      </c>
      <c r="L16220" s="3">
        <v>1212</v>
      </c>
      <c r="M16220" s="3">
        <v>1308</v>
      </c>
    </row>
    <row r="16221" spans="1:13" x14ac:dyDescent="0.25">
      <c r="A16221" s="1" t="str">
        <f>HYPERLINK("http://www.rosaceae.org/Prunus/Prunus_persica/p.persica_gdr_reftransV1_0022305","p.persica_gdr_reftransV1_0022305")</f>
        <v>p.persica_gdr_reftransV1_0022305</v>
      </c>
      <c r="B16221" s="3">
        <v>992</v>
      </c>
      <c r="C16221" s="1" t="str">
        <f>HYPERLINK("http://www.uniprot.org/uniprot/RK31_ARATH","RK31_ARATH")</f>
        <v>RK31_ARATH</v>
      </c>
      <c r="D16221" t="s">
        <v>10237</v>
      </c>
      <c r="E16221" s="3" t="s">
        <v>3</v>
      </c>
      <c r="F16221" s="4">
        <v>5.6599999999999999E-48</v>
      </c>
      <c r="G16221" s="3">
        <v>415</v>
      </c>
      <c r="H16221" s="3">
        <v>80</v>
      </c>
      <c r="I16221" s="3">
        <v>87</v>
      </c>
      <c r="J16221" s="3">
        <v>183</v>
      </c>
      <c r="K16221" s="3">
        <v>443</v>
      </c>
      <c r="L16221" s="3">
        <v>47</v>
      </c>
      <c r="M16221" s="3">
        <v>133</v>
      </c>
    </row>
    <row r="16222" spans="1:13" x14ac:dyDescent="0.25">
      <c r="A16222" s="1" t="str">
        <f>HYPERLINK("http://www.rosaceae.org/Prunus/Prunus_persica/p.persica_gdr_reftransV1_0022505","p.persica_gdr_reftransV1_0022505")</f>
        <v>p.persica_gdr_reftransV1_0022505</v>
      </c>
      <c r="B16222" s="3">
        <v>2021</v>
      </c>
      <c r="C16222" s="1" t="str">
        <f>HYPERLINK("http://www.uniprot.org/uniprot/YMB8_YEAST","YMB8_YEAST")</f>
        <v>YMB8_YEAST</v>
      </c>
      <c r="D16222" t="s">
        <v>7520</v>
      </c>
      <c r="E16222" s="3" t="s">
        <v>34</v>
      </c>
      <c r="F16222" s="4">
        <v>4.58E-31</v>
      </c>
      <c r="G16222" s="3">
        <v>325</v>
      </c>
      <c r="H16222" s="3">
        <v>29</v>
      </c>
      <c r="I16222" s="3">
        <v>381</v>
      </c>
      <c r="J16222" s="3">
        <v>698</v>
      </c>
      <c r="K16222" s="3">
        <v>1816</v>
      </c>
      <c r="L16222" s="3">
        <v>12</v>
      </c>
      <c r="M16222" s="3">
        <v>358</v>
      </c>
    </row>
    <row r="16223" spans="1:13" x14ac:dyDescent="0.25">
      <c r="A16223" s="1" t="str">
        <f>HYPERLINK("http://www.rosaceae.org/Prunus/Prunus_persica/p.persica_gdr_reftransV1_0022605","p.persica_gdr_reftransV1_0022605")</f>
        <v>p.persica_gdr_reftransV1_0022605</v>
      </c>
      <c r="B16223" s="3">
        <v>1786</v>
      </c>
      <c r="C16223" s="1" t="str">
        <f>HYPERLINK("http://www.uniprot.org/uniprot/HFB2B_ORYSJ","HFB2B_ORYSJ")</f>
        <v>HFB2B_ORYSJ</v>
      </c>
      <c r="D16223" t="s">
        <v>7250</v>
      </c>
      <c r="E16223" s="3" t="s">
        <v>38</v>
      </c>
      <c r="F16223" s="4">
        <v>6.1199999999999999E-21</v>
      </c>
      <c r="G16223" s="3">
        <v>245</v>
      </c>
      <c r="H16223" s="3">
        <v>61</v>
      </c>
      <c r="I16223" s="3">
        <v>76</v>
      </c>
      <c r="J16223" s="3">
        <v>1471</v>
      </c>
      <c r="K16223" s="3">
        <v>1698</v>
      </c>
      <c r="L16223" s="3">
        <v>39</v>
      </c>
      <c r="M16223" s="3">
        <v>107</v>
      </c>
    </row>
    <row r="16224" spans="1:13" x14ac:dyDescent="0.25">
      <c r="A16224" s="1" t="str">
        <f>HYPERLINK("http://www.rosaceae.org/Prunus/Prunus_persica/p.persica_gdr_reftransV1_0022705","p.persica_gdr_reftransV1_0022705")</f>
        <v>p.persica_gdr_reftransV1_0022705</v>
      </c>
      <c r="B16224" s="3">
        <v>2037</v>
      </c>
      <c r="C16224" s="1" t="str">
        <f>HYPERLINK("http://www.uniprot.org/uniprot/TRXH_POPJC","TRXH_POPJC")</f>
        <v>TRXH_POPJC</v>
      </c>
      <c r="D16224" t="s">
        <v>10238</v>
      </c>
      <c r="E16224" s="3" t="s">
        <v>4361</v>
      </c>
      <c r="F16224" s="4">
        <v>2.66E-17</v>
      </c>
      <c r="G16224" s="3">
        <v>207</v>
      </c>
      <c r="H16224" s="3">
        <v>77</v>
      </c>
      <c r="I16224" s="3">
        <v>48</v>
      </c>
      <c r="J16224" s="3">
        <v>1447</v>
      </c>
      <c r="K16224" s="3">
        <v>1590</v>
      </c>
      <c r="L16224" s="3">
        <v>88</v>
      </c>
      <c r="M16224" s="3">
        <v>135</v>
      </c>
    </row>
    <row r="16225" spans="1:13" x14ac:dyDescent="0.25">
      <c r="A16225" s="1" t="str">
        <f>HYPERLINK("http://www.rosaceae.org/Prunus/Prunus_persica/p.persica_gdr_reftransV1_0022755","p.persica_gdr_reftransV1_0022755")</f>
        <v>p.persica_gdr_reftransV1_0022755</v>
      </c>
      <c r="B16225" s="3">
        <v>3065</v>
      </c>
      <c r="C16225" s="1" t="str">
        <f>HYPERLINK("http://www.uniprot.org/uniprot/Y5713_ARATH","Y5713_ARATH")</f>
        <v>Y5713_ARATH</v>
      </c>
      <c r="D16225" t="s">
        <v>5380</v>
      </c>
      <c r="E16225" s="3" t="s">
        <v>3</v>
      </c>
      <c r="F16225" s="4">
        <v>4.8800000000000001E-163</v>
      </c>
      <c r="G16225" s="3">
        <v>1270</v>
      </c>
      <c r="H16225" s="3">
        <v>81</v>
      </c>
      <c r="I16225" s="3">
        <v>284</v>
      </c>
      <c r="J16225" s="3">
        <v>602</v>
      </c>
      <c r="K16225" s="3">
        <v>1450</v>
      </c>
      <c r="L16225" s="3">
        <v>77</v>
      </c>
      <c r="M16225" s="3">
        <v>360</v>
      </c>
    </row>
    <row r="16226" spans="1:13" x14ac:dyDescent="0.25">
      <c r="A16226" s="1" t="str">
        <f>HYPERLINK("http://www.rosaceae.org/Prunus/Prunus_persica/p.persica_gdr_reftransV1_0022855","p.persica_gdr_reftransV1_0022855")</f>
        <v>p.persica_gdr_reftransV1_0022855</v>
      </c>
      <c r="B16226" s="3">
        <v>3449</v>
      </c>
      <c r="C16226" s="1" t="str">
        <f>HYPERLINK("http://www.uniprot.org/uniprot/COG3_MOUSE","COG3_MOUSE")</f>
        <v>COG3_MOUSE</v>
      </c>
      <c r="D16226" t="s">
        <v>10239</v>
      </c>
      <c r="E16226" s="3" t="s">
        <v>157</v>
      </c>
      <c r="F16226" s="4">
        <v>2.2399999999999999E-55</v>
      </c>
      <c r="G16226" s="3">
        <v>538</v>
      </c>
      <c r="H16226" s="3">
        <v>33</v>
      </c>
      <c r="I16226" s="3">
        <v>368</v>
      </c>
      <c r="J16226" s="3">
        <v>200</v>
      </c>
      <c r="K16226" s="3">
        <v>1255</v>
      </c>
      <c r="L16226" s="3">
        <v>26</v>
      </c>
      <c r="M16226" s="3">
        <v>388</v>
      </c>
    </row>
    <row r="16227" spans="1:13" x14ac:dyDescent="0.25">
      <c r="A16227" s="1" t="str">
        <f>HYPERLINK("http://www.rosaceae.org/Prunus/Prunus_persica/p.persica_gdr_reftransV1_0023105","p.persica_gdr_reftransV1_0023105")</f>
        <v>p.persica_gdr_reftransV1_0023105</v>
      </c>
      <c r="B16227" s="3">
        <v>3162</v>
      </c>
      <c r="C16227" s="1" t="str">
        <f>HYPERLINK("http://www.uniprot.org/uniprot/DCAF8_MOUSE","DCAF8_MOUSE")</f>
        <v>DCAF8_MOUSE</v>
      </c>
      <c r="D16227" t="s">
        <v>10240</v>
      </c>
      <c r="E16227" s="3" t="s">
        <v>157</v>
      </c>
      <c r="F16227" s="4">
        <v>2.2400000000000001E-82</v>
      </c>
      <c r="G16227" s="3">
        <v>729</v>
      </c>
      <c r="H16227" s="3">
        <v>40</v>
      </c>
      <c r="I16227" s="3">
        <v>416</v>
      </c>
      <c r="J16227" s="3">
        <v>511</v>
      </c>
      <c r="K16227" s="3">
        <v>1743</v>
      </c>
      <c r="L16227" s="3">
        <v>143</v>
      </c>
      <c r="M16227" s="3">
        <v>509</v>
      </c>
    </row>
    <row r="16228" spans="1:13" x14ac:dyDescent="0.25">
      <c r="A16228" s="1" t="str">
        <f>HYPERLINK("http://www.rosaceae.org/Prunus/Prunus_persica/p.persica_gdr_reftransV1_0023205","p.persica_gdr_reftransV1_0023205")</f>
        <v>p.persica_gdr_reftransV1_0023205</v>
      </c>
      <c r="B16228" s="3">
        <v>684</v>
      </c>
      <c r="C16228" s="1" t="str">
        <f>HYPERLINK("http://www.uniprot.org/uniprot/Y8948_DICDI","Y8948_DICDI")</f>
        <v>Y8948_DICDI</v>
      </c>
      <c r="D16228" t="s">
        <v>2706</v>
      </c>
      <c r="E16228" s="3" t="s">
        <v>9</v>
      </c>
      <c r="F16228" s="4">
        <v>3.0900000000000001E-15</v>
      </c>
      <c r="G16228" s="3">
        <v>185</v>
      </c>
      <c r="H16228" s="3">
        <v>31</v>
      </c>
      <c r="I16228" s="3">
        <v>200</v>
      </c>
      <c r="J16228" s="3">
        <v>48</v>
      </c>
      <c r="K16228" s="3">
        <v>632</v>
      </c>
      <c r="L16228" s="3">
        <v>58</v>
      </c>
      <c r="M16228" s="3">
        <v>239</v>
      </c>
    </row>
    <row r="16229" spans="1:13" x14ac:dyDescent="0.25">
      <c r="A16229" s="1" t="str">
        <f>HYPERLINK("http://www.rosaceae.org/Prunus/Prunus_persica/p.persica_gdr_reftransV1_0023305","p.persica_gdr_reftransV1_0023305")</f>
        <v>p.persica_gdr_reftransV1_0023305</v>
      </c>
      <c r="B16229" s="3">
        <v>4221</v>
      </c>
      <c r="C16229" s="1" t="str">
        <f>HYPERLINK("http://www.uniprot.org/uniprot/EFR3_CAEEL","EFR3_CAEEL")</f>
        <v>EFR3_CAEEL</v>
      </c>
      <c r="D16229" t="s">
        <v>10241</v>
      </c>
      <c r="E16229" s="3" t="s">
        <v>281</v>
      </c>
      <c r="F16229" s="4">
        <v>1.21E-14</v>
      </c>
      <c r="G16229" s="3">
        <v>204</v>
      </c>
      <c r="H16229" s="3">
        <v>24</v>
      </c>
      <c r="I16229" s="3">
        <v>509</v>
      </c>
      <c r="J16229" s="3">
        <v>2472</v>
      </c>
      <c r="K16229" s="3">
        <v>3944</v>
      </c>
      <c r="L16229" s="3">
        <v>9</v>
      </c>
      <c r="M16229" s="3">
        <v>480</v>
      </c>
    </row>
    <row r="16230" spans="1:13" x14ac:dyDescent="0.25">
      <c r="A16230" s="1" t="str">
        <f>HYPERLINK("http://www.rosaceae.org/Prunus/Prunus_persica/p.persica_gdr_reftransV1_0023405","p.persica_gdr_reftransV1_0023405")</f>
        <v>p.persica_gdr_reftransV1_0023405</v>
      </c>
      <c r="B16230" s="3">
        <v>2866</v>
      </c>
      <c r="C16230" s="1" t="str">
        <f>HYPERLINK("http://www.uniprot.org/uniprot/ANXD2_ARATH","ANXD2_ARATH")</f>
        <v>ANXD2_ARATH</v>
      </c>
      <c r="D16230" t="s">
        <v>8723</v>
      </c>
      <c r="E16230" s="3" t="s">
        <v>3</v>
      </c>
      <c r="F16230" s="4">
        <v>1.0800000000000001E-70</v>
      </c>
      <c r="G16230" s="3">
        <v>618</v>
      </c>
      <c r="H16230" s="3">
        <v>70</v>
      </c>
      <c r="I16230" s="3">
        <v>163</v>
      </c>
      <c r="J16230" s="3">
        <v>268</v>
      </c>
      <c r="K16230" s="3">
        <v>753</v>
      </c>
      <c r="L16230" s="3">
        <v>155</v>
      </c>
      <c r="M16230" s="3">
        <v>317</v>
      </c>
    </row>
    <row r="16231" spans="1:13" x14ac:dyDescent="0.25">
      <c r="A16231" s="1" t="str">
        <f>HYPERLINK("http://www.rosaceae.org/Prunus/Prunus_persica/p.persica_gdr_reftransV1_0023705","p.persica_gdr_reftransV1_0023705")</f>
        <v>p.persica_gdr_reftransV1_0023705</v>
      </c>
      <c r="B16231" s="3">
        <v>4151</v>
      </c>
      <c r="C16231" s="1" t="str">
        <f>HYPERLINK("http://www.uniprot.org/uniprot/XXT2_ARATH","XXT2_ARATH")</f>
        <v>XXT2_ARATH</v>
      </c>
      <c r="D16231" t="s">
        <v>6279</v>
      </c>
      <c r="E16231" s="3" t="s">
        <v>3</v>
      </c>
      <c r="F16231" s="4">
        <v>0</v>
      </c>
      <c r="G16231" s="3">
        <v>1949</v>
      </c>
      <c r="H16231" s="3">
        <v>81</v>
      </c>
      <c r="I16231" s="3">
        <v>458</v>
      </c>
      <c r="J16231" s="3">
        <v>2497</v>
      </c>
      <c r="K16231" s="3">
        <v>3858</v>
      </c>
      <c r="L16231" s="3">
        <v>1</v>
      </c>
      <c r="M16231" s="3">
        <v>455</v>
      </c>
    </row>
    <row r="16232" spans="1:13" x14ac:dyDescent="0.25">
      <c r="A16232" s="1" t="str">
        <f>HYPERLINK("http://www.rosaceae.org/Prunus/Prunus_persica/p.persica_gdr_reftransV1_0023955","p.persica_gdr_reftransV1_0023955")</f>
        <v>p.persica_gdr_reftransV1_0023955</v>
      </c>
      <c r="B16232" s="3">
        <v>2670</v>
      </c>
      <c r="C16232" s="1" t="str">
        <f>HYPERLINK("http://www.uniprot.org/uniprot/FRS7_ARATH","FRS7_ARATH")</f>
        <v>FRS7_ARATH</v>
      </c>
      <c r="D16232" t="s">
        <v>5129</v>
      </c>
      <c r="E16232" s="3" t="s">
        <v>3</v>
      </c>
      <c r="F16232" s="4">
        <v>0</v>
      </c>
      <c r="G16232" s="3">
        <v>2620</v>
      </c>
      <c r="H16232" s="3">
        <v>65</v>
      </c>
      <c r="I16232" s="3">
        <v>770</v>
      </c>
      <c r="J16232" s="3">
        <v>262</v>
      </c>
      <c r="K16232" s="3">
        <v>2535</v>
      </c>
      <c r="L16232" s="3">
        <v>1</v>
      </c>
      <c r="M16232" s="3">
        <v>764</v>
      </c>
    </row>
    <row r="16233" spans="1:13" x14ac:dyDescent="0.25">
      <c r="A16233" s="1" t="str">
        <f>HYPERLINK("http://www.rosaceae.org/Prunus/Prunus_persica/p.persica_gdr_reftransV1_0024005","p.persica_gdr_reftransV1_0024005")</f>
        <v>p.persica_gdr_reftransV1_0024005</v>
      </c>
      <c r="B16233" s="3">
        <v>1100</v>
      </c>
      <c r="C16233" s="1" t="str">
        <f>HYPERLINK("http://www.uniprot.org/uniprot/PRA1D_ARATH","PRA1D_ARATH")</f>
        <v>PRA1D_ARATH</v>
      </c>
      <c r="D16233" t="s">
        <v>10242</v>
      </c>
      <c r="E16233" s="3" t="s">
        <v>3</v>
      </c>
      <c r="F16233" s="4">
        <v>1.09E-33</v>
      </c>
      <c r="G16233" s="3">
        <v>322</v>
      </c>
      <c r="H16233" s="3">
        <v>44</v>
      </c>
      <c r="I16233" s="3">
        <v>180</v>
      </c>
      <c r="J16233" s="3">
        <v>457</v>
      </c>
      <c r="K16233" s="3">
        <v>984</v>
      </c>
      <c r="L16233" s="3">
        <v>1</v>
      </c>
      <c r="M16233" s="3">
        <v>180</v>
      </c>
    </row>
    <row r="16234" spans="1:13" x14ac:dyDescent="0.25">
      <c r="A16234" s="1" t="str">
        <f>HYPERLINK("http://www.rosaceae.org/Prunus/Prunus_persica/p.persica_gdr_reftransV1_0024105","p.persica_gdr_reftransV1_0024105")</f>
        <v>p.persica_gdr_reftransV1_0024105</v>
      </c>
      <c r="B16234" s="3">
        <v>3946</v>
      </c>
      <c r="C16234" s="1" t="str">
        <f>HYPERLINK("http://www.uniprot.org/uniprot/GLR37_ARATH","GLR37_ARATH")</f>
        <v>GLR37_ARATH</v>
      </c>
      <c r="D16234" t="s">
        <v>10243</v>
      </c>
      <c r="E16234" s="3" t="s">
        <v>3</v>
      </c>
      <c r="F16234" s="4">
        <v>0</v>
      </c>
      <c r="G16234" s="3">
        <v>1855</v>
      </c>
      <c r="H16234" s="3">
        <v>57</v>
      </c>
      <c r="I16234" s="3">
        <v>631</v>
      </c>
      <c r="J16234" s="3">
        <v>1680</v>
      </c>
      <c r="K16234" s="3">
        <v>3566</v>
      </c>
      <c r="L16234" s="3">
        <v>8</v>
      </c>
      <c r="M16234" s="3">
        <v>628</v>
      </c>
    </row>
    <row r="16235" spans="1:13" x14ac:dyDescent="0.25">
      <c r="A16235" s="1" t="str">
        <f>HYPERLINK("http://www.rosaceae.org/Prunus/Prunus_persica/p.persica_gdr_reftransV1_0024155","p.persica_gdr_reftransV1_0024155")</f>
        <v>p.persica_gdr_reftransV1_0024155</v>
      </c>
      <c r="B16235" s="3">
        <v>4333</v>
      </c>
      <c r="C16235" s="1" t="str">
        <f>HYPERLINK("http://www.uniprot.org/uniprot/TONS_ARATH","TONS_ARATH")</f>
        <v>TONS_ARATH</v>
      </c>
      <c r="D16235" t="s">
        <v>6954</v>
      </c>
      <c r="E16235" s="3" t="s">
        <v>3</v>
      </c>
      <c r="F16235" s="4">
        <v>0</v>
      </c>
      <c r="G16235" s="3">
        <v>2074</v>
      </c>
      <c r="H16235" s="3">
        <v>46</v>
      </c>
      <c r="I16235" s="3">
        <v>1044</v>
      </c>
      <c r="J16235" s="3">
        <v>282</v>
      </c>
      <c r="K16235" s="3">
        <v>3281</v>
      </c>
      <c r="L16235" s="3">
        <v>315</v>
      </c>
      <c r="M16235" s="3">
        <v>1311</v>
      </c>
    </row>
    <row r="16236" spans="1:13" x14ac:dyDescent="0.25">
      <c r="A16236" s="1" t="str">
        <f>HYPERLINK("http://www.rosaceae.org/Prunus/Prunus_persica/p.persica_gdr_reftransV1_0024405","p.persica_gdr_reftransV1_0024405")</f>
        <v>p.persica_gdr_reftransV1_0024405</v>
      </c>
      <c r="B16236" s="3">
        <v>1888</v>
      </c>
      <c r="C16236" s="1" t="str">
        <f>HYPERLINK("http://www.uniprot.org/uniprot/LIP1_ARATH","LIP1_ARATH")</f>
        <v>LIP1_ARATH</v>
      </c>
      <c r="D16236" t="s">
        <v>10244</v>
      </c>
      <c r="E16236" s="3" t="s">
        <v>3</v>
      </c>
      <c r="F16236" s="4">
        <v>0</v>
      </c>
      <c r="G16236" s="3">
        <v>1367</v>
      </c>
      <c r="H16236" s="3">
        <v>64</v>
      </c>
      <c r="I16236" s="3">
        <v>387</v>
      </c>
      <c r="J16236" s="3">
        <v>261</v>
      </c>
      <c r="K16236" s="3">
        <v>1421</v>
      </c>
      <c r="L16236" s="3">
        <v>28</v>
      </c>
      <c r="M16236" s="3">
        <v>386</v>
      </c>
    </row>
    <row r="16237" spans="1:13" x14ac:dyDescent="0.25">
      <c r="A16237" s="1" t="str">
        <f>HYPERLINK("http://www.rosaceae.org/Prunus/Prunus_persica/p.persica_gdr_reftransV1_0024505","p.persica_gdr_reftransV1_0024505")</f>
        <v>p.persica_gdr_reftransV1_0024505</v>
      </c>
      <c r="B16237" s="3">
        <v>3826</v>
      </c>
      <c r="C16237" s="1" t="str">
        <f>HYPERLINK("http://www.uniprot.org/uniprot/FUBP1_MOUSE","FUBP1_MOUSE")</f>
        <v>FUBP1_MOUSE</v>
      </c>
      <c r="D16237" t="s">
        <v>3974</v>
      </c>
      <c r="E16237" s="3" t="s">
        <v>157</v>
      </c>
      <c r="F16237" s="4">
        <v>1.36E-14</v>
      </c>
      <c r="G16237" s="3">
        <v>202</v>
      </c>
      <c r="H16237" s="3">
        <v>36</v>
      </c>
      <c r="I16237" s="3">
        <v>157</v>
      </c>
      <c r="J16237" s="3">
        <v>2296</v>
      </c>
      <c r="K16237" s="3">
        <v>2763</v>
      </c>
      <c r="L16237" s="3">
        <v>108</v>
      </c>
      <c r="M16237" s="3">
        <v>251</v>
      </c>
    </row>
    <row r="16238" spans="1:13" x14ac:dyDescent="0.25">
      <c r="A16238" s="1" t="str">
        <f>HYPERLINK("http://www.rosaceae.org/Prunus/Prunus_persica/p.persica_gdr_reftransV1_0025055","p.persica_gdr_reftransV1_0025055")</f>
        <v>p.persica_gdr_reftransV1_0025055</v>
      </c>
      <c r="B16238" s="3">
        <v>408</v>
      </c>
      <c r="C16238" s="1" t="str">
        <f>HYPERLINK("http://www.uniprot.org/uniprot/PP224_ARATH","PP224_ARATH")</f>
        <v>PP224_ARATH</v>
      </c>
      <c r="D16238" t="s">
        <v>3342</v>
      </c>
      <c r="E16238" s="3" t="s">
        <v>3</v>
      </c>
      <c r="F16238" s="4">
        <v>9.9299999999999999E-53</v>
      </c>
      <c r="G16238" s="3">
        <v>460</v>
      </c>
      <c r="H16238" s="3">
        <v>64</v>
      </c>
      <c r="I16238" s="3">
        <v>138</v>
      </c>
      <c r="J16238" s="3">
        <v>1</v>
      </c>
      <c r="K16238" s="3">
        <v>408</v>
      </c>
      <c r="L16238" s="3">
        <v>63</v>
      </c>
      <c r="M16238" s="3">
        <v>200</v>
      </c>
    </row>
    <row r="16239" spans="1:13" x14ac:dyDescent="0.25">
      <c r="A16239" s="1" t="str">
        <f>HYPERLINK("http://www.rosaceae.org/Prunus/Prunus_persica/p.persica_gdr_reftransV1_0025105","p.persica_gdr_reftransV1_0025105")</f>
        <v>p.persica_gdr_reftransV1_0025105</v>
      </c>
      <c r="B16239" s="3">
        <v>2307</v>
      </c>
      <c r="C16239" s="1" t="str">
        <f>HYPERLINK("http://www.uniprot.org/uniprot/B561J_ARATH","B561J_ARATH")</f>
        <v>B561J_ARATH</v>
      </c>
      <c r="D16239" t="s">
        <v>4355</v>
      </c>
      <c r="E16239" s="3" t="s">
        <v>3</v>
      </c>
      <c r="F16239" s="4">
        <v>1.9400000000000001E-66</v>
      </c>
      <c r="G16239" s="3">
        <v>380</v>
      </c>
      <c r="H16239" s="3">
        <v>74</v>
      </c>
      <c r="I16239" s="3">
        <v>87</v>
      </c>
      <c r="J16239" s="3">
        <v>865</v>
      </c>
      <c r="K16239" s="3">
        <v>1125</v>
      </c>
      <c r="L16239" s="3">
        <v>210</v>
      </c>
      <c r="M16239" s="3">
        <v>296</v>
      </c>
    </row>
    <row r="16240" spans="1:13" x14ac:dyDescent="0.25">
      <c r="A16240" s="1" t="str">
        <f>HYPERLINK("http://www.rosaceae.org/Prunus/Prunus_persica/p.persica_gdr_reftransV1_0025855","p.persica_gdr_reftransV1_0025855")</f>
        <v>p.persica_gdr_reftransV1_0025855</v>
      </c>
      <c r="B16240" s="3">
        <v>1423</v>
      </c>
      <c r="C16240" s="1" t="str">
        <f>HYPERLINK("http://www.uniprot.org/uniprot/SAT3_ARATH","SAT3_ARATH")</f>
        <v>SAT3_ARATH</v>
      </c>
      <c r="D16240" t="s">
        <v>2437</v>
      </c>
      <c r="E16240" s="3" t="s">
        <v>3</v>
      </c>
      <c r="F16240" s="4">
        <v>2.7899999999999999E-123</v>
      </c>
      <c r="G16240" s="3">
        <v>954</v>
      </c>
      <c r="H16240" s="3">
        <v>60</v>
      </c>
      <c r="I16240" s="3">
        <v>322</v>
      </c>
      <c r="J16240" s="3">
        <v>97</v>
      </c>
      <c r="K16240" s="3">
        <v>1050</v>
      </c>
      <c r="L16240" s="3">
        <v>56</v>
      </c>
      <c r="M16240" s="3">
        <v>364</v>
      </c>
    </row>
    <row r="16241" spans="1:13" x14ac:dyDescent="0.25">
      <c r="A16241" s="1" t="str">
        <f>HYPERLINK("http://www.rosaceae.org/Prunus/Prunus_persica/p.persica_gdr_reftransV1_0026005","p.persica_gdr_reftransV1_0026005")</f>
        <v>p.persica_gdr_reftransV1_0026005</v>
      </c>
      <c r="B16241" s="3">
        <v>1761</v>
      </c>
      <c r="C16241" s="1" t="str">
        <f>HYPERLINK("http://www.uniprot.org/uniprot/ARR9_ARATH","ARR9_ARATH")</f>
        <v>ARR9_ARATH</v>
      </c>
      <c r="D16241" t="s">
        <v>4935</v>
      </c>
      <c r="E16241" s="3" t="s">
        <v>3</v>
      </c>
      <c r="F16241" s="4">
        <v>1.71E-32</v>
      </c>
      <c r="G16241" s="3">
        <v>324</v>
      </c>
      <c r="H16241" s="3">
        <v>63</v>
      </c>
      <c r="I16241" s="3">
        <v>112</v>
      </c>
      <c r="J16241" s="3">
        <v>387</v>
      </c>
      <c r="K16241" s="3">
        <v>716</v>
      </c>
      <c r="L16241" s="3">
        <v>4</v>
      </c>
      <c r="M16241" s="3">
        <v>115</v>
      </c>
    </row>
    <row r="16242" spans="1:13" x14ac:dyDescent="0.25">
      <c r="A16242" s="1" t="str">
        <f>HYPERLINK("http://www.rosaceae.org/Prunus/Prunus_persica/p.persica_gdr_reftransV1_0026155","p.persica_gdr_reftransV1_0026155")</f>
        <v>p.persica_gdr_reftransV1_0026155</v>
      </c>
      <c r="B16242" s="3">
        <v>1447</v>
      </c>
      <c r="C16242" s="1" t="str">
        <f>HYPERLINK("http://www.uniprot.org/uniprot/PP441_ARATH","PP441_ARATH")</f>
        <v>PP441_ARATH</v>
      </c>
      <c r="D16242" t="s">
        <v>721</v>
      </c>
      <c r="E16242" s="3" t="s">
        <v>3</v>
      </c>
      <c r="F16242" s="4">
        <v>4.55E-128</v>
      </c>
      <c r="G16242" s="3">
        <v>997</v>
      </c>
      <c r="H16242" s="3">
        <v>58</v>
      </c>
      <c r="I16242" s="3">
        <v>328</v>
      </c>
      <c r="J16242" s="3">
        <v>12</v>
      </c>
      <c r="K16242" s="3">
        <v>983</v>
      </c>
      <c r="L16242" s="3">
        <v>168</v>
      </c>
      <c r="M16242" s="3">
        <v>495</v>
      </c>
    </row>
    <row r="16243" spans="1:13" x14ac:dyDescent="0.25">
      <c r="A16243" s="1" t="str">
        <f>HYPERLINK("http://www.rosaceae.org/Prunus/Prunus_persica/p.persica_gdr_reftransV1_0026505","p.persica_gdr_reftransV1_0026505")</f>
        <v>p.persica_gdr_reftransV1_0026505</v>
      </c>
      <c r="B16243" s="3">
        <v>782</v>
      </c>
      <c r="C16243" s="1" t="str">
        <f>HYPERLINK("http://www.uniprot.org/uniprot/ERF03_ARATH","ERF03_ARATH")</f>
        <v>ERF03_ARATH</v>
      </c>
      <c r="D16243" t="s">
        <v>3819</v>
      </c>
      <c r="E16243" s="3" t="s">
        <v>3</v>
      </c>
      <c r="F16243" s="4">
        <v>1.2699999999999999E-16</v>
      </c>
      <c r="G16243" s="3">
        <v>194</v>
      </c>
      <c r="H16243" s="3">
        <v>48</v>
      </c>
      <c r="I16243" s="3">
        <v>188</v>
      </c>
      <c r="J16243" s="3">
        <v>219</v>
      </c>
      <c r="K16243" s="3">
        <v>782</v>
      </c>
      <c r="L16243" s="3">
        <v>25</v>
      </c>
      <c r="M16243" s="3">
        <v>178</v>
      </c>
    </row>
    <row r="16244" spans="1:13" x14ac:dyDescent="0.25">
      <c r="A16244" s="1" t="str">
        <f>HYPERLINK("http://www.rosaceae.org/Prunus/Prunus_persica/p.persica_gdr_reftransV1_0026805","p.persica_gdr_reftransV1_0026805")</f>
        <v>p.persica_gdr_reftransV1_0026805</v>
      </c>
      <c r="B16244" s="3">
        <v>3086</v>
      </c>
      <c r="C16244" s="1" t="str">
        <f>HYPERLINK("http://www.uniprot.org/uniprot/CDPK2_ARATH","CDPK2_ARATH")</f>
        <v>CDPK2_ARATH</v>
      </c>
      <c r="D16244" t="s">
        <v>10245</v>
      </c>
      <c r="E16244" s="3" t="s">
        <v>3</v>
      </c>
      <c r="F16244" s="4">
        <v>0</v>
      </c>
      <c r="G16244" s="3">
        <v>2159</v>
      </c>
      <c r="H16244" s="3">
        <v>68</v>
      </c>
      <c r="I16244" s="3">
        <v>614</v>
      </c>
      <c r="J16244" s="3">
        <v>619</v>
      </c>
      <c r="K16244" s="3">
        <v>2409</v>
      </c>
      <c r="L16244" s="3">
        <v>1</v>
      </c>
      <c r="M16244" s="3">
        <v>608</v>
      </c>
    </row>
    <row r="16245" spans="1:13" x14ac:dyDescent="0.25">
      <c r="A16245" s="1" t="str">
        <f>HYPERLINK("http://www.rosaceae.org/Prunus/Prunus_persica/p.persica_gdr_reftransV1_0027155","p.persica_gdr_reftransV1_0027155")</f>
        <v>p.persica_gdr_reftransV1_0027155</v>
      </c>
      <c r="B16245" s="3">
        <v>3938</v>
      </c>
      <c r="C16245" s="1" t="str">
        <f>HYPERLINK("http://www.uniprot.org/uniprot/Y4230_ARATH","Y4230_ARATH")</f>
        <v>Y4230_ARATH</v>
      </c>
      <c r="D16245" t="s">
        <v>3999</v>
      </c>
      <c r="E16245" s="3" t="s">
        <v>3</v>
      </c>
      <c r="F16245" s="4">
        <v>5.0199999999999999E-135</v>
      </c>
      <c r="G16245" s="3">
        <v>881</v>
      </c>
      <c r="H16245" s="3">
        <v>34</v>
      </c>
      <c r="I16245" s="3">
        <v>759</v>
      </c>
      <c r="J16245" s="3">
        <v>816</v>
      </c>
      <c r="K16245" s="3">
        <v>2978</v>
      </c>
      <c r="L16245" s="3">
        <v>42</v>
      </c>
      <c r="M16245" s="3">
        <v>697</v>
      </c>
    </row>
    <row r="16246" spans="1:13" x14ac:dyDescent="0.25">
      <c r="A16246" s="1" t="str">
        <f>HYPERLINK("http://www.rosaceae.org/Prunus/Prunus_persica/p.persica_gdr_reftransV1_0027855","p.persica_gdr_reftransV1_0027855")</f>
        <v>p.persica_gdr_reftransV1_0027855</v>
      </c>
      <c r="B16246" s="3">
        <v>1600</v>
      </c>
      <c r="C16246" s="1" t="str">
        <f>HYPERLINK("http://www.uniprot.org/uniprot/MEG5_MAIZE","MEG5_MAIZE")</f>
        <v>MEG5_MAIZE</v>
      </c>
      <c r="D16246" t="s">
        <v>10246</v>
      </c>
      <c r="E16246" s="3" t="s">
        <v>72</v>
      </c>
      <c r="F16246" s="4">
        <v>3.4599999999999999E-10</v>
      </c>
      <c r="G16246" s="3">
        <v>152</v>
      </c>
      <c r="H16246" s="3">
        <v>54</v>
      </c>
      <c r="I16246" s="3">
        <v>52</v>
      </c>
      <c r="J16246" s="3">
        <v>709</v>
      </c>
      <c r="K16246" s="3">
        <v>864</v>
      </c>
      <c r="L16246" s="3">
        <v>57</v>
      </c>
      <c r="M16246" s="3">
        <v>108</v>
      </c>
    </row>
    <row r="16247" spans="1:13" x14ac:dyDescent="0.25">
      <c r="A16247" s="1" t="str">
        <f>HYPERLINK("http://www.rosaceae.org/Prunus/Prunus_persica/p.persica_gdr_reftransV1_0028305","p.persica_gdr_reftransV1_0028305")</f>
        <v>p.persica_gdr_reftransV1_0028305</v>
      </c>
      <c r="B16247" s="3">
        <v>4009</v>
      </c>
      <c r="C16247" s="1" t="str">
        <f>HYPERLINK("http://www.uniprot.org/uniprot/Y4757_DICDI","Y4757_DICDI")</f>
        <v>Y4757_DICDI</v>
      </c>
      <c r="D16247" t="s">
        <v>6481</v>
      </c>
      <c r="E16247" s="3" t="s">
        <v>9</v>
      </c>
      <c r="F16247" s="4">
        <v>2.6799999999999998E-9</v>
      </c>
      <c r="G16247" s="3">
        <v>158</v>
      </c>
      <c r="H16247" s="3">
        <v>37</v>
      </c>
      <c r="I16247" s="3">
        <v>109</v>
      </c>
      <c r="J16247" s="3">
        <v>1504</v>
      </c>
      <c r="K16247" s="3">
        <v>1803</v>
      </c>
      <c r="L16247" s="3">
        <v>608</v>
      </c>
      <c r="M16247" s="3">
        <v>716</v>
      </c>
    </row>
    <row r="16248" spans="1:13" x14ac:dyDescent="0.25">
      <c r="A16248" s="1" t="str">
        <f>HYPERLINK("http://www.rosaceae.org/Prunus/Prunus_persica/p.persica_gdr_reftransV1_0028405","p.persica_gdr_reftransV1_0028405")</f>
        <v>p.persica_gdr_reftransV1_0028405</v>
      </c>
      <c r="B16248" s="3">
        <v>2065</v>
      </c>
      <c r="C16248" s="1" t="str">
        <f>HYPERLINK("http://www.uniprot.org/uniprot/P2C70_ARATH","P2C70_ARATH")</f>
        <v>P2C70_ARATH</v>
      </c>
      <c r="D16248" t="s">
        <v>10247</v>
      </c>
      <c r="E16248" s="3" t="s">
        <v>3</v>
      </c>
      <c r="F16248" s="4">
        <v>1.75E-147</v>
      </c>
      <c r="G16248" s="3">
        <v>1105</v>
      </c>
      <c r="H16248" s="3">
        <v>67</v>
      </c>
      <c r="I16248" s="3">
        <v>304</v>
      </c>
      <c r="J16248" s="3">
        <v>641</v>
      </c>
      <c r="K16248" s="3">
        <v>1549</v>
      </c>
      <c r="L16248" s="3">
        <v>182</v>
      </c>
      <c r="M16248" s="3">
        <v>482</v>
      </c>
    </row>
    <row r="16249" spans="1:13" x14ac:dyDescent="0.25">
      <c r="A16249" s="1" t="str">
        <f>HYPERLINK("http://www.rosaceae.org/Prunus/Prunus_persica/p.persica_gdr_reftransV1_0028455","p.persica_gdr_reftransV1_0028455")</f>
        <v>p.persica_gdr_reftransV1_0028455</v>
      </c>
      <c r="B16249" s="3">
        <v>1067</v>
      </c>
      <c r="C16249" s="1" t="str">
        <f>HYPERLINK("http://www.uniprot.org/uniprot/PGPS1_ARATH","PGPS1_ARATH")</f>
        <v>PGPS1_ARATH</v>
      </c>
      <c r="D16249" t="s">
        <v>4001</v>
      </c>
      <c r="E16249" s="3" t="s">
        <v>3</v>
      </c>
      <c r="F16249" s="4">
        <v>8.5199999999999995E-8</v>
      </c>
      <c r="G16249" s="3">
        <v>135</v>
      </c>
      <c r="H16249" s="3">
        <v>87</v>
      </c>
      <c r="I16249" s="3">
        <v>45</v>
      </c>
      <c r="J16249" s="3">
        <v>933</v>
      </c>
      <c r="K16249" s="3">
        <v>1067</v>
      </c>
      <c r="L16249" s="3">
        <v>108</v>
      </c>
      <c r="M16249" s="3">
        <v>152</v>
      </c>
    </row>
    <row r="16250" spans="1:13" x14ac:dyDescent="0.25">
      <c r="A16250" s="1" t="str">
        <f>HYPERLINK("http://www.rosaceae.org/Prunus/Prunus_persica/p.persica_gdr_reftransV1_0028505","p.persica_gdr_reftransV1_0028505")</f>
        <v>p.persica_gdr_reftransV1_0028505</v>
      </c>
      <c r="B16250" s="3">
        <v>1851</v>
      </c>
      <c r="C16250" s="1" t="str">
        <f>HYPERLINK("http://www.uniprot.org/uniprot/CAP2_ARATH","CAP2_ARATH")</f>
        <v>CAP2_ARATH</v>
      </c>
      <c r="D16250" t="s">
        <v>5631</v>
      </c>
      <c r="E16250" s="3" t="s">
        <v>3</v>
      </c>
      <c r="F16250" s="4">
        <v>7.0100000000000003E-180</v>
      </c>
      <c r="G16250" s="3">
        <v>1369</v>
      </c>
      <c r="H16250" s="3">
        <v>68</v>
      </c>
      <c r="I16250" s="3">
        <v>476</v>
      </c>
      <c r="J16250" s="3">
        <v>63</v>
      </c>
      <c r="K16250" s="3">
        <v>1466</v>
      </c>
      <c r="L16250" s="3">
        <v>181</v>
      </c>
      <c r="M16250" s="3">
        <v>645</v>
      </c>
    </row>
    <row r="16251" spans="1:13" x14ac:dyDescent="0.25">
      <c r="A16251" s="1" t="str">
        <f>HYPERLINK("http://www.rosaceae.org/Prunus/Prunus_persica/p.persica_gdr_reftransV1_0028555","p.persica_gdr_reftransV1_0028555")</f>
        <v>p.persica_gdr_reftransV1_0028555</v>
      </c>
      <c r="B16251" s="3">
        <v>2266</v>
      </c>
      <c r="C16251" s="1" t="str">
        <f>HYPERLINK("http://www.uniprot.org/uniprot/FK163_ARATH","FK163_ARATH")</f>
        <v>FK163_ARATH</v>
      </c>
      <c r="D16251" t="s">
        <v>10248</v>
      </c>
      <c r="E16251" s="3" t="s">
        <v>3</v>
      </c>
      <c r="F16251" s="4">
        <v>4.4500000000000001E-38</v>
      </c>
      <c r="G16251" s="3">
        <v>368</v>
      </c>
      <c r="H16251" s="3">
        <v>62</v>
      </c>
      <c r="I16251" s="3">
        <v>128</v>
      </c>
      <c r="J16251" s="3">
        <v>162</v>
      </c>
      <c r="K16251" s="3">
        <v>500</v>
      </c>
      <c r="L16251" s="3">
        <v>15</v>
      </c>
      <c r="M16251" s="3">
        <v>142</v>
      </c>
    </row>
    <row r="16252" spans="1:13" x14ac:dyDescent="0.25">
      <c r="A16252" s="1" t="str">
        <f>HYPERLINK("http://www.rosaceae.org/Prunus/Prunus_persica/p.persica_gdr_reftransV1_0028755","p.persica_gdr_reftransV1_0028755")</f>
        <v>p.persica_gdr_reftransV1_0028755</v>
      </c>
      <c r="B16252" s="3">
        <v>1024</v>
      </c>
      <c r="C16252" s="1" t="str">
        <f>HYPERLINK("http://www.uniprot.org/uniprot/S23IP_MOUSE","S23IP_MOUSE")</f>
        <v>S23IP_MOUSE</v>
      </c>
      <c r="D16252" t="s">
        <v>10249</v>
      </c>
      <c r="E16252" s="3" t="s">
        <v>157</v>
      </c>
      <c r="F16252" s="4">
        <v>8.7899999999999997E-7</v>
      </c>
      <c r="G16252" s="3">
        <v>130</v>
      </c>
      <c r="H16252" s="3">
        <v>49</v>
      </c>
      <c r="I16252" s="3">
        <v>53</v>
      </c>
      <c r="J16252" s="3">
        <v>730</v>
      </c>
      <c r="K16252" s="3">
        <v>888</v>
      </c>
      <c r="L16252" s="3">
        <v>640</v>
      </c>
      <c r="M16252" s="3">
        <v>692</v>
      </c>
    </row>
    <row r="16253" spans="1:13" x14ac:dyDescent="0.25">
      <c r="A16253" s="1" t="str">
        <f>HYPERLINK("http://www.rosaceae.org/Prunus/Prunus_persica/p.persica_gdr_reftransV1_0029205","p.persica_gdr_reftransV1_0029205")</f>
        <v>p.persica_gdr_reftransV1_0029205</v>
      </c>
      <c r="B16253" s="3">
        <v>807</v>
      </c>
      <c r="C16253" s="1" t="str">
        <f>HYPERLINK("http://www.uniprot.org/uniprot/NRPB4_ARATH","NRPB4_ARATH")</f>
        <v>NRPB4_ARATH</v>
      </c>
      <c r="D16253" t="s">
        <v>10250</v>
      </c>
      <c r="E16253" s="3" t="s">
        <v>3</v>
      </c>
      <c r="F16253" s="4">
        <v>4.1799999999999999E-61</v>
      </c>
      <c r="G16253" s="3">
        <v>497</v>
      </c>
      <c r="H16253" s="3">
        <v>66</v>
      </c>
      <c r="I16253" s="3">
        <v>134</v>
      </c>
      <c r="J16253" s="3">
        <v>90</v>
      </c>
      <c r="K16253" s="3">
        <v>491</v>
      </c>
      <c r="L16253" s="3">
        <v>5</v>
      </c>
      <c r="M16253" s="3">
        <v>138</v>
      </c>
    </row>
    <row r="16254" spans="1:13" x14ac:dyDescent="0.25">
      <c r="A16254" s="1" t="str">
        <f>HYPERLINK("http://www.rosaceae.org/Prunus/Prunus_persica/p.persica_gdr_reftransV1_0029655","p.persica_gdr_reftransV1_0029655")</f>
        <v>p.persica_gdr_reftransV1_0029655</v>
      </c>
      <c r="B16254" s="3">
        <v>2115</v>
      </c>
      <c r="C16254" s="1" t="str">
        <f>HYPERLINK("http://www.uniprot.org/uniprot/TIPRL_DICDI","TIPRL_DICDI")</f>
        <v>TIPRL_DICDI</v>
      </c>
      <c r="D16254" t="s">
        <v>10251</v>
      </c>
      <c r="E16254" s="3" t="s">
        <v>9</v>
      </c>
      <c r="F16254" s="4">
        <v>4.82E-23</v>
      </c>
      <c r="G16254" s="3">
        <v>259</v>
      </c>
      <c r="H16254" s="3">
        <v>37</v>
      </c>
      <c r="I16254" s="3">
        <v>181</v>
      </c>
      <c r="J16254" s="3">
        <v>1383</v>
      </c>
      <c r="K16254" s="3">
        <v>1910</v>
      </c>
      <c r="L16254" s="3">
        <v>13</v>
      </c>
      <c r="M16254" s="3">
        <v>183</v>
      </c>
    </row>
    <row r="16255" spans="1:13" x14ac:dyDescent="0.25">
      <c r="A16255" s="1" t="str">
        <f>HYPERLINK("http://www.rosaceae.org/Prunus/Prunus_persica/p.persica_gdr_reftransV1_0030055","p.persica_gdr_reftransV1_0030055")</f>
        <v>p.persica_gdr_reftransV1_0030055</v>
      </c>
      <c r="B16255" s="3">
        <v>2362</v>
      </c>
      <c r="C16255" s="1" t="str">
        <f>HYPERLINK("http://www.uniprot.org/uniprot/BPA1_ARATH","BPA1_ARATH")</f>
        <v>BPA1_ARATH</v>
      </c>
      <c r="D16255" t="s">
        <v>4085</v>
      </c>
      <c r="E16255" s="3" t="s">
        <v>3</v>
      </c>
      <c r="F16255" s="4">
        <v>3.4000000000000002E-68</v>
      </c>
      <c r="G16255" s="3">
        <v>590</v>
      </c>
      <c r="H16255" s="3">
        <v>67</v>
      </c>
      <c r="I16255" s="3">
        <v>178</v>
      </c>
      <c r="J16255" s="3">
        <v>431</v>
      </c>
      <c r="K16255" s="3">
        <v>964</v>
      </c>
      <c r="L16255" s="3">
        <v>57</v>
      </c>
      <c r="M16255" s="3">
        <v>229</v>
      </c>
    </row>
    <row r="16256" spans="1:13" x14ac:dyDescent="0.25">
      <c r="A16256" s="1" t="str">
        <f>HYPERLINK("http://www.rosaceae.org/Prunus/Prunus_persica/p.persica_gdr_reftransV1_0030255","p.persica_gdr_reftransV1_0030255")</f>
        <v>p.persica_gdr_reftransV1_0030255</v>
      </c>
      <c r="B16256" s="3">
        <v>1540</v>
      </c>
      <c r="C16256" s="1" t="str">
        <f>HYPERLINK("http://www.uniprot.org/uniprot/ZDH20_ARATH","ZDH20_ARATH")</f>
        <v>ZDH20_ARATH</v>
      </c>
      <c r="D16256" t="s">
        <v>6273</v>
      </c>
      <c r="E16256" s="3" t="s">
        <v>3</v>
      </c>
      <c r="F16256" s="4">
        <v>5.7799999999999995E-94</v>
      </c>
      <c r="G16256" s="3">
        <v>749</v>
      </c>
      <c r="H16256" s="3">
        <v>64</v>
      </c>
      <c r="I16256" s="3">
        <v>258</v>
      </c>
      <c r="J16256" s="3">
        <v>546</v>
      </c>
      <c r="K16256" s="3">
        <v>1319</v>
      </c>
      <c r="L16256" s="3">
        <v>1</v>
      </c>
      <c r="M16256" s="3">
        <v>254</v>
      </c>
    </row>
    <row r="16257" spans="1:13" x14ac:dyDescent="0.25">
      <c r="A16257" s="1" t="str">
        <f>HYPERLINK("http://www.rosaceae.org/Prunus/Prunus_persica/p.persica_gdr_reftransV1_0030355","p.persica_gdr_reftransV1_0030355")</f>
        <v>p.persica_gdr_reftransV1_0030355</v>
      </c>
      <c r="B16257" s="3">
        <v>2087</v>
      </c>
      <c r="C16257" s="1" t="str">
        <f>HYPERLINK("http://www.uniprot.org/uniprot/AT18D_ARATH","AT18D_ARATH")</f>
        <v>AT18D_ARATH</v>
      </c>
      <c r="D16257" t="s">
        <v>10252</v>
      </c>
      <c r="E16257" s="3" t="s">
        <v>3</v>
      </c>
      <c r="F16257" s="4">
        <v>0</v>
      </c>
      <c r="G16257" s="3">
        <v>1373</v>
      </c>
      <c r="H16257" s="3">
        <v>74</v>
      </c>
      <c r="I16257" s="3">
        <v>371</v>
      </c>
      <c r="J16257" s="3">
        <v>348</v>
      </c>
      <c r="K16257" s="3">
        <v>1457</v>
      </c>
      <c r="L16257" s="3">
        <v>10</v>
      </c>
      <c r="M16257" s="3">
        <v>369</v>
      </c>
    </row>
    <row r="16258" spans="1:13" x14ac:dyDescent="0.25">
      <c r="A16258" s="1" t="str">
        <f>HYPERLINK("http://www.rosaceae.org/Prunus/Prunus_persica/p.persica_gdr_reftransV1_0030755","p.persica_gdr_reftransV1_0030755")</f>
        <v>p.persica_gdr_reftransV1_0030755</v>
      </c>
      <c r="B16258" s="3">
        <v>1179</v>
      </c>
      <c r="C16258" s="1" t="str">
        <f>HYPERLINK("http://www.uniprot.org/uniprot/PME12_ARATH","PME12_ARATH")</f>
        <v>PME12_ARATH</v>
      </c>
      <c r="D16258" t="s">
        <v>2219</v>
      </c>
      <c r="E16258" s="3" t="s">
        <v>3</v>
      </c>
      <c r="F16258" s="4">
        <v>4.9599999999999999E-7</v>
      </c>
      <c r="G16258" s="3">
        <v>132</v>
      </c>
      <c r="H16258" s="3">
        <v>28</v>
      </c>
      <c r="I16258" s="3">
        <v>136</v>
      </c>
      <c r="J16258" s="3">
        <v>249</v>
      </c>
      <c r="K16258" s="3">
        <v>641</v>
      </c>
      <c r="L16258" s="3">
        <v>29</v>
      </c>
      <c r="M16258" s="3">
        <v>164</v>
      </c>
    </row>
    <row r="16259" spans="1:13" x14ac:dyDescent="0.25">
      <c r="A16259" s="1" t="str">
        <f>HYPERLINK("http://www.rosaceae.org/Prunus/Prunus_persica/p.persica_gdr_reftransV1_0031005","p.persica_gdr_reftransV1_0031005")</f>
        <v>p.persica_gdr_reftransV1_0031005</v>
      </c>
      <c r="B16259" s="3">
        <v>781</v>
      </c>
      <c r="C16259" s="1" t="str">
        <f>HYPERLINK("http://www.uniprot.org/uniprot/PDI22_ARATH","PDI22_ARATH")</f>
        <v>PDI22_ARATH</v>
      </c>
      <c r="D16259" t="s">
        <v>10253</v>
      </c>
      <c r="E16259" s="3" t="s">
        <v>3</v>
      </c>
      <c r="F16259" s="4">
        <v>3.0000000000000002E-115</v>
      </c>
      <c r="G16259" s="3">
        <v>884</v>
      </c>
      <c r="H16259" s="3">
        <v>74</v>
      </c>
      <c r="I16259" s="3">
        <v>229</v>
      </c>
      <c r="J16259" s="3">
        <v>89</v>
      </c>
      <c r="K16259" s="3">
        <v>742</v>
      </c>
      <c r="L16259" s="3">
        <v>8</v>
      </c>
      <c r="M16259" s="3">
        <v>235</v>
      </c>
    </row>
    <row r="16260" spans="1:13" x14ac:dyDescent="0.25">
      <c r="A16260" s="1" t="str">
        <f>HYPERLINK("http://www.rosaceae.org/Prunus/Prunus_persica/p.persica_gdr_reftransV1_0031055","p.persica_gdr_reftransV1_0031055")</f>
        <v>p.persica_gdr_reftransV1_0031055</v>
      </c>
      <c r="B16260" s="3">
        <v>4191</v>
      </c>
      <c r="C16260" s="1" t="str">
        <f>HYPERLINK("http://www.uniprot.org/uniprot/MEG5_MAIZE","MEG5_MAIZE")</f>
        <v>MEG5_MAIZE</v>
      </c>
      <c r="D16260" t="s">
        <v>10246</v>
      </c>
      <c r="E16260" s="3" t="s">
        <v>72</v>
      </c>
      <c r="F16260" s="4">
        <v>2.0400000000000001E-37</v>
      </c>
      <c r="G16260" s="3">
        <v>364</v>
      </c>
      <c r="H16260" s="3">
        <v>65</v>
      </c>
      <c r="I16260" s="3">
        <v>113</v>
      </c>
      <c r="J16260" s="3">
        <v>538</v>
      </c>
      <c r="K16260" s="3">
        <v>876</v>
      </c>
      <c r="L16260" s="3">
        <v>1</v>
      </c>
      <c r="M16260" s="3">
        <v>106</v>
      </c>
    </row>
    <row r="16261" spans="1:13" x14ac:dyDescent="0.25">
      <c r="A16261" s="1" t="str">
        <f>HYPERLINK("http://www.rosaceae.org/Prunus/Prunus_persica/p.persica_gdr_reftransV1_0031155","p.persica_gdr_reftransV1_0031155")</f>
        <v>p.persica_gdr_reftransV1_0031155</v>
      </c>
      <c r="B16261" s="3">
        <v>1038</v>
      </c>
      <c r="C16261" s="1" t="str">
        <f>HYPERLINK("http://www.uniprot.org/uniprot/PPR62_ARATH","PPR62_ARATH")</f>
        <v>PPR62_ARATH</v>
      </c>
      <c r="D16261" t="s">
        <v>10254</v>
      </c>
      <c r="E16261" s="3" t="s">
        <v>3</v>
      </c>
      <c r="F16261" s="4">
        <v>5.1099999999999998E-68</v>
      </c>
      <c r="G16261" s="3">
        <v>581</v>
      </c>
      <c r="H16261" s="3">
        <v>68</v>
      </c>
      <c r="I16261" s="3">
        <v>152</v>
      </c>
      <c r="J16261" s="3">
        <v>582</v>
      </c>
      <c r="K16261" s="3">
        <v>1037</v>
      </c>
      <c r="L16261" s="3">
        <v>369</v>
      </c>
      <c r="M16261" s="3">
        <v>520</v>
      </c>
    </row>
    <row r="16262" spans="1:13" x14ac:dyDescent="0.25">
      <c r="A16262" s="1" t="str">
        <f>HYPERLINK("http://www.rosaceae.org/Prunus/Prunus_persica/p.persica_gdr_reftransV1_0031405","p.persica_gdr_reftransV1_0031405")</f>
        <v>p.persica_gdr_reftransV1_0031405</v>
      </c>
      <c r="B16262" s="3">
        <v>1270</v>
      </c>
      <c r="C16262" s="1" t="str">
        <f>HYPERLINK("http://www.uniprot.org/uniprot/PP107_ARATH","PP107_ARATH")</f>
        <v>PP107_ARATH</v>
      </c>
      <c r="D16262" t="s">
        <v>10255</v>
      </c>
      <c r="E16262" s="3" t="s">
        <v>3</v>
      </c>
      <c r="F16262" s="4">
        <v>7.9E-117</v>
      </c>
      <c r="G16262" s="3">
        <v>920</v>
      </c>
      <c r="H16262" s="3">
        <v>52</v>
      </c>
      <c r="I16262" s="3">
        <v>347</v>
      </c>
      <c r="J16262" s="3">
        <v>10</v>
      </c>
      <c r="K16262" s="3">
        <v>1050</v>
      </c>
      <c r="L16262" s="3">
        <v>194</v>
      </c>
      <c r="M16262" s="3">
        <v>540</v>
      </c>
    </row>
    <row r="16263" spans="1:13" x14ac:dyDescent="0.25">
      <c r="A16263" s="1" t="str">
        <f>HYPERLINK("http://www.rosaceae.org/Prunus/Prunus_persica/p.persica_gdr_reftransV1_0031455","p.persica_gdr_reftransV1_0031455")</f>
        <v>p.persica_gdr_reftransV1_0031455</v>
      </c>
      <c r="B16263" s="3">
        <v>5013</v>
      </c>
      <c r="C16263" s="1" t="str">
        <f>HYPERLINK("http://www.uniprot.org/uniprot/GPDL4_ARATH","GPDL4_ARATH")</f>
        <v>GPDL4_ARATH</v>
      </c>
      <c r="D16263" t="s">
        <v>10256</v>
      </c>
      <c r="E16263" s="3" t="s">
        <v>3</v>
      </c>
      <c r="F16263" s="4">
        <v>7.2899999999999998E-159</v>
      </c>
      <c r="G16263" s="3">
        <v>1313</v>
      </c>
      <c r="H16263" s="3">
        <v>60</v>
      </c>
      <c r="I16263" s="3">
        <v>425</v>
      </c>
      <c r="J16263" s="3">
        <v>2686</v>
      </c>
      <c r="K16263" s="3">
        <v>3954</v>
      </c>
      <c r="L16263" s="3">
        <v>33</v>
      </c>
      <c r="M16263" s="3">
        <v>456</v>
      </c>
    </row>
    <row r="16264" spans="1:13" x14ac:dyDescent="0.25">
      <c r="A16264" s="1" t="str">
        <f>HYPERLINK("http://www.rosaceae.org/Prunus/Prunus_persica/p.persica_gdr_reftransV1_0031705","p.persica_gdr_reftransV1_0031705")</f>
        <v>p.persica_gdr_reftransV1_0031705</v>
      </c>
      <c r="B16264" s="3">
        <v>492</v>
      </c>
      <c r="C16264" s="1" t="str">
        <f>HYPERLINK("http://www.uniprot.org/uniprot/UGT6_CATRO","UGT6_CATRO")</f>
        <v>UGT6_CATRO</v>
      </c>
      <c r="D16264" t="s">
        <v>3893</v>
      </c>
      <c r="E16264" s="3" t="s">
        <v>457</v>
      </c>
      <c r="F16264" s="4">
        <v>9.8900000000000003E-75</v>
      </c>
      <c r="G16264" s="3">
        <v>606</v>
      </c>
      <c r="H16264" s="3">
        <v>67</v>
      </c>
      <c r="I16264" s="3">
        <v>162</v>
      </c>
      <c r="J16264" s="3">
        <v>1</v>
      </c>
      <c r="K16264" s="3">
        <v>486</v>
      </c>
      <c r="L16264" s="3">
        <v>176</v>
      </c>
      <c r="M16264" s="3">
        <v>336</v>
      </c>
    </row>
    <row r="16265" spans="1:13" x14ac:dyDescent="0.25">
      <c r="A16265" s="1" t="str">
        <f>HYPERLINK("http://www.rosaceae.org/Prunus/Prunus_persica/p.persica_gdr_reftransV1_0031755","p.persica_gdr_reftransV1_0031755")</f>
        <v>p.persica_gdr_reftransV1_0031755</v>
      </c>
      <c r="B16265" s="3">
        <v>4736</v>
      </c>
      <c r="C16265" s="1" t="str">
        <f>HYPERLINK("http://www.uniprot.org/uniprot/CCAR1_HUMAN","CCAR1_HUMAN")</f>
        <v>CCAR1_HUMAN</v>
      </c>
      <c r="D16265" t="s">
        <v>10257</v>
      </c>
      <c r="E16265" s="3" t="s">
        <v>28</v>
      </c>
      <c r="F16265" s="4">
        <v>9.2300000000000004E-21</v>
      </c>
      <c r="G16265" s="3">
        <v>257</v>
      </c>
      <c r="H16265" s="3">
        <v>31</v>
      </c>
      <c r="I16265" s="3">
        <v>230</v>
      </c>
      <c r="J16265" s="3">
        <v>2377</v>
      </c>
      <c r="K16265" s="3">
        <v>3033</v>
      </c>
      <c r="L16265" s="3">
        <v>377</v>
      </c>
      <c r="M16265" s="3">
        <v>600</v>
      </c>
    </row>
    <row r="16266" spans="1:13" x14ac:dyDescent="0.25">
      <c r="A16266" s="1" t="str">
        <f>HYPERLINK("http://www.rosaceae.org/Prunus/Prunus_persica/p.persica_gdr_reftransV1_0032005","p.persica_gdr_reftransV1_0032005")</f>
        <v>p.persica_gdr_reftransV1_0032005</v>
      </c>
      <c r="B16266" s="3">
        <v>3844</v>
      </c>
      <c r="C16266" s="1" t="str">
        <f>HYPERLINK("http://www.uniprot.org/uniprot/CLPB_PSEAE","CLPB_PSEAE")</f>
        <v>CLPB_PSEAE</v>
      </c>
      <c r="D16266" t="s">
        <v>10258</v>
      </c>
      <c r="E16266" s="3" t="s">
        <v>2933</v>
      </c>
      <c r="F16266" s="4">
        <v>9.0999999999999996E-13</v>
      </c>
      <c r="G16266" s="3">
        <v>188</v>
      </c>
      <c r="H16266" s="3">
        <v>33</v>
      </c>
      <c r="I16266" s="3">
        <v>166</v>
      </c>
      <c r="J16266" s="3">
        <v>2362</v>
      </c>
      <c r="K16266" s="3">
        <v>2850</v>
      </c>
      <c r="L16266" s="3">
        <v>566</v>
      </c>
      <c r="M16266" s="3">
        <v>718</v>
      </c>
    </row>
    <row r="16267" spans="1:13" x14ac:dyDescent="0.25">
      <c r="A16267" s="1" t="str">
        <f>HYPERLINK("http://www.rosaceae.org/Prunus/Prunus_persica/p.persica_gdr_reftransV1_0032355","p.persica_gdr_reftransV1_0032355")</f>
        <v>p.persica_gdr_reftransV1_0032355</v>
      </c>
      <c r="B16267" s="3">
        <v>2735</v>
      </c>
      <c r="C16267" s="1" t="str">
        <f>HYPERLINK("http://www.uniprot.org/uniprot/PPR52_ARATH","PPR52_ARATH")</f>
        <v>PPR52_ARATH</v>
      </c>
      <c r="D16267" t="s">
        <v>818</v>
      </c>
      <c r="E16267" s="3" t="s">
        <v>3</v>
      </c>
      <c r="F16267" s="4">
        <v>0</v>
      </c>
      <c r="G16267" s="3">
        <v>1957</v>
      </c>
      <c r="H16267" s="3">
        <v>56</v>
      </c>
      <c r="I16267" s="3">
        <v>657</v>
      </c>
      <c r="J16267" s="3">
        <v>41</v>
      </c>
      <c r="K16267" s="3">
        <v>2002</v>
      </c>
      <c r="L16267" s="3">
        <v>238</v>
      </c>
      <c r="M16267" s="3">
        <v>894</v>
      </c>
    </row>
    <row r="16268" spans="1:13" x14ac:dyDescent="0.25">
      <c r="A16268" s="1" t="str">
        <f>HYPERLINK("http://www.rosaceae.org/Prunus/Prunus_persica/p.persica_gdr_reftransV1_0032455","p.persica_gdr_reftransV1_0032455")</f>
        <v>p.persica_gdr_reftransV1_0032455</v>
      </c>
      <c r="B16268" s="3">
        <v>3504</v>
      </c>
      <c r="C16268" s="1" t="str">
        <f>HYPERLINK("http://www.uniprot.org/uniprot/PHRF1_MOUSE","PHRF1_MOUSE")</f>
        <v>PHRF1_MOUSE</v>
      </c>
      <c r="D16268" t="s">
        <v>4703</v>
      </c>
      <c r="E16268" s="3" t="s">
        <v>157</v>
      </c>
      <c r="F16268" s="4">
        <v>2.2600000000000001E-8</v>
      </c>
      <c r="G16268" s="3">
        <v>151</v>
      </c>
      <c r="H16268" s="3">
        <v>35</v>
      </c>
      <c r="I16268" s="3">
        <v>69</v>
      </c>
      <c r="J16268" s="3">
        <v>1651</v>
      </c>
      <c r="K16268" s="3">
        <v>1857</v>
      </c>
      <c r="L16268" s="3">
        <v>172</v>
      </c>
      <c r="M16268" s="3">
        <v>232</v>
      </c>
    </row>
    <row r="16269" spans="1:13" x14ac:dyDescent="0.25">
      <c r="A16269" s="1" t="str">
        <f>HYPERLINK("http://www.rosaceae.org/Prunus/Prunus_persica/p.persica_gdr_reftransV1_0032655","p.persica_gdr_reftransV1_0032655")</f>
        <v>p.persica_gdr_reftransV1_0032655</v>
      </c>
      <c r="B16269" s="3">
        <v>1574</v>
      </c>
      <c r="C16269" s="1" t="str">
        <f>HYPERLINK("http://www.uniprot.org/uniprot/NUD25_ARATH","NUD25_ARATH")</f>
        <v>NUD25_ARATH</v>
      </c>
      <c r="D16269" t="s">
        <v>10259</v>
      </c>
      <c r="E16269" s="3" t="s">
        <v>3</v>
      </c>
      <c r="F16269" s="4">
        <v>8.7400000000000005E-58</v>
      </c>
      <c r="G16269" s="3">
        <v>497</v>
      </c>
      <c r="H16269" s="3">
        <v>85</v>
      </c>
      <c r="I16269" s="3">
        <v>105</v>
      </c>
      <c r="J16269" s="3">
        <v>233</v>
      </c>
      <c r="K16269" s="3">
        <v>547</v>
      </c>
      <c r="L16269" s="3">
        <v>1</v>
      </c>
      <c r="M16269" s="3">
        <v>105</v>
      </c>
    </row>
    <row r="16270" spans="1:13" x14ac:dyDescent="0.25">
      <c r="A16270" s="1" t="str">
        <f>HYPERLINK("http://www.rosaceae.org/Prunus/Prunus_persica/p.persica_gdr_reftransV1_0032705","p.persica_gdr_reftransV1_0032705")</f>
        <v>p.persica_gdr_reftransV1_0032705</v>
      </c>
      <c r="B16270" s="3">
        <v>3548</v>
      </c>
      <c r="C16270" s="1" t="str">
        <f>HYPERLINK("http://www.uniprot.org/uniprot/HIS1B_ARATH","HIS1B_ARATH")</f>
        <v>HIS1B_ARATH</v>
      </c>
      <c r="D16270" t="s">
        <v>8019</v>
      </c>
      <c r="E16270" s="3" t="s">
        <v>3</v>
      </c>
      <c r="F16270" s="4">
        <v>7.5000000000000005E-86</v>
      </c>
      <c r="G16270" s="3">
        <v>742</v>
      </c>
      <c r="H16270" s="3">
        <v>82</v>
      </c>
      <c r="I16270" s="3">
        <v>170</v>
      </c>
      <c r="J16270" s="3">
        <v>253</v>
      </c>
      <c r="K16270" s="3">
        <v>762</v>
      </c>
      <c r="L16270" s="3">
        <v>244</v>
      </c>
      <c r="M16270" s="3">
        <v>413</v>
      </c>
    </row>
    <row r="16271" spans="1:13" x14ac:dyDescent="0.25">
      <c r="A16271" s="1" t="str">
        <f>HYPERLINK("http://www.rosaceae.org/Prunus/Prunus_persica/p.persica_gdr_reftransV1_0033255","p.persica_gdr_reftransV1_0033255")</f>
        <v>p.persica_gdr_reftransV1_0033255</v>
      </c>
      <c r="B16271" s="3">
        <v>1836</v>
      </c>
      <c r="C16271" s="1" t="str">
        <f>HYPERLINK("http://www.uniprot.org/uniprot/GSA_BRANA","GSA_BRANA")</f>
        <v>GSA_BRANA</v>
      </c>
      <c r="D16271" t="s">
        <v>10260</v>
      </c>
      <c r="E16271" s="3" t="s">
        <v>776</v>
      </c>
      <c r="F16271" s="4">
        <v>0</v>
      </c>
      <c r="G16271" s="3">
        <v>1964</v>
      </c>
      <c r="H16271" s="3">
        <v>85</v>
      </c>
      <c r="I16271" s="3">
        <v>442</v>
      </c>
      <c r="J16271" s="3">
        <v>349</v>
      </c>
      <c r="K16271" s="3">
        <v>1671</v>
      </c>
      <c r="L16271" s="3">
        <v>32</v>
      </c>
      <c r="M16271" s="3">
        <v>473</v>
      </c>
    </row>
    <row r="16272" spans="1:13" x14ac:dyDescent="0.25">
      <c r="A16272" s="1" t="str">
        <f>HYPERLINK("http://www.rosaceae.org/Prunus/Prunus_persica/p.persica_gdr_reftransV1_0033405","p.persica_gdr_reftransV1_0033405")</f>
        <v>p.persica_gdr_reftransV1_0033405</v>
      </c>
      <c r="B16272" s="3">
        <v>1929</v>
      </c>
      <c r="C16272" s="1" t="str">
        <f>HYPERLINK("http://www.uniprot.org/uniprot/OXA1_ARATH","OXA1_ARATH")</f>
        <v>OXA1_ARATH</v>
      </c>
      <c r="D16272" t="s">
        <v>10261</v>
      </c>
      <c r="E16272" s="3" t="s">
        <v>3</v>
      </c>
      <c r="F16272" s="4">
        <v>1.4600000000000001E-133</v>
      </c>
      <c r="G16272" s="3">
        <v>1042</v>
      </c>
      <c r="H16272" s="3">
        <v>50</v>
      </c>
      <c r="I16272" s="3">
        <v>430</v>
      </c>
      <c r="J16272" s="3">
        <v>244</v>
      </c>
      <c r="K16272" s="3">
        <v>1524</v>
      </c>
      <c r="L16272" s="3">
        <v>1</v>
      </c>
      <c r="M16272" s="3">
        <v>418</v>
      </c>
    </row>
    <row r="16273" spans="1:13" x14ac:dyDescent="0.25">
      <c r="A16273" s="1" t="str">
        <f>HYPERLINK("http://www.rosaceae.org/Prunus/Prunus_persica/p.persica_gdr_reftransV1_0033555","p.persica_gdr_reftransV1_0033555")</f>
        <v>p.persica_gdr_reftransV1_0033555</v>
      </c>
      <c r="B16273" s="3">
        <v>2303</v>
      </c>
      <c r="C16273" s="1" t="str">
        <f>HYPERLINK("http://www.uniprot.org/uniprot/ARP3_ARATH","ARP3_ARATH")</f>
        <v>ARP3_ARATH</v>
      </c>
      <c r="D16273" t="s">
        <v>10262</v>
      </c>
      <c r="E16273" s="3" t="s">
        <v>3</v>
      </c>
      <c r="F16273" s="4">
        <v>0</v>
      </c>
      <c r="G16273" s="3">
        <v>2000</v>
      </c>
      <c r="H16273" s="3">
        <v>87</v>
      </c>
      <c r="I16273" s="3">
        <v>427</v>
      </c>
      <c r="J16273" s="3">
        <v>432</v>
      </c>
      <c r="K16273" s="3">
        <v>1712</v>
      </c>
      <c r="L16273" s="3">
        <v>1</v>
      </c>
      <c r="M16273" s="3">
        <v>427</v>
      </c>
    </row>
    <row r="16274" spans="1:13" x14ac:dyDescent="0.25">
      <c r="A16274" s="1" t="str">
        <f>HYPERLINK("http://www.rosaceae.org/Prunus/Prunus_persica/p.persica_gdr_reftransV1_0033805","p.persica_gdr_reftransV1_0033805")</f>
        <v>p.persica_gdr_reftransV1_0033805</v>
      </c>
      <c r="B16274" s="3">
        <v>2648</v>
      </c>
      <c r="C16274" s="1" t="str">
        <f>HYPERLINK("http://www.uniprot.org/uniprot/PDPK1_ARATH","PDPK1_ARATH")</f>
        <v>PDPK1_ARATH</v>
      </c>
      <c r="D16274" t="s">
        <v>10263</v>
      </c>
      <c r="E16274" s="3" t="s">
        <v>3</v>
      </c>
      <c r="F16274" s="4">
        <v>0</v>
      </c>
      <c r="G16274" s="3">
        <v>1689</v>
      </c>
      <c r="H16274" s="3">
        <v>82</v>
      </c>
      <c r="I16274" s="3">
        <v>401</v>
      </c>
      <c r="J16274" s="3">
        <v>988</v>
      </c>
      <c r="K16274" s="3">
        <v>2172</v>
      </c>
      <c r="L16274" s="3">
        <v>1</v>
      </c>
      <c r="M16274" s="3">
        <v>401</v>
      </c>
    </row>
    <row r="16275" spans="1:13" x14ac:dyDescent="0.25">
      <c r="A16275" s="1" t="str">
        <f>HYPERLINK("http://www.rosaceae.org/Prunus/Prunus_persica/p.persica_gdr_reftransV1_0034005","p.persica_gdr_reftransV1_0034005")</f>
        <v>p.persica_gdr_reftransV1_0034005</v>
      </c>
      <c r="B16275" s="3">
        <v>1255</v>
      </c>
      <c r="C16275" s="1" t="str">
        <f>HYPERLINK("http://www.uniprot.org/uniprot/FOLB1_ARATH","FOLB1_ARATH")</f>
        <v>FOLB1_ARATH</v>
      </c>
      <c r="D16275" t="s">
        <v>10264</v>
      </c>
      <c r="E16275" s="3" t="s">
        <v>3</v>
      </c>
      <c r="F16275" s="4">
        <v>2.7300000000000002E-47</v>
      </c>
      <c r="G16275" s="3">
        <v>416</v>
      </c>
      <c r="H16275" s="3">
        <v>60</v>
      </c>
      <c r="I16275" s="3">
        <v>126</v>
      </c>
      <c r="J16275" s="3">
        <v>347</v>
      </c>
      <c r="K16275" s="3">
        <v>721</v>
      </c>
      <c r="L16275" s="3">
        <v>21</v>
      </c>
      <c r="M16275" s="3">
        <v>146</v>
      </c>
    </row>
    <row r="16276" spans="1:13" x14ac:dyDescent="0.25">
      <c r="A16276" s="1" t="str">
        <f>HYPERLINK("http://www.rosaceae.org/Prunus/Prunus_persica/p.persica_gdr_reftransV1_0034055","p.persica_gdr_reftransV1_0034055")</f>
        <v>p.persica_gdr_reftransV1_0034055</v>
      </c>
      <c r="B16276" s="3">
        <v>5876</v>
      </c>
      <c r="C16276" s="1" t="str">
        <f>HYPERLINK("http://www.uniprot.org/uniprot/EIN2_ARATH","EIN2_ARATH")</f>
        <v>EIN2_ARATH</v>
      </c>
      <c r="D16276" t="s">
        <v>10265</v>
      </c>
      <c r="E16276" s="3" t="s">
        <v>3</v>
      </c>
      <c r="F16276" s="4">
        <v>0</v>
      </c>
      <c r="G16276" s="3">
        <v>2574</v>
      </c>
      <c r="H16276" s="3">
        <v>49</v>
      </c>
      <c r="I16276" s="3">
        <v>1222</v>
      </c>
      <c r="J16276" s="3">
        <v>1226</v>
      </c>
      <c r="K16276" s="3">
        <v>4813</v>
      </c>
      <c r="L16276" s="3">
        <v>12</v>
      </c>
      <c r="M16276" s="3">
        <v>1199</v>
      </c>
    </row>
    <row r="16277" spans="1:13" x14ac:dyDescent="0.25">
      <c r="A16277" s="1" t="str">
        <f>HYPERLINK("http://www.rosaceae.org/Prunus/Prunus_persica/p.persica_gdr_reftransV1_0034655","p.persica_gdr_reftransV1_0034655")</f>
        <v>p.persica_gdr_reftransV1_0034655</v>
      </c>
      <c r="B16277" s="3">
        <v>1143</v>
      </c>
      <c r="C16277" s="1" t="str">
        <f>HYPERLINK("http://www.uniprot.org/uniprot/Y3028_ARATH","Y3028_ARATH")</f>
        <v>Y3028_ARATH</v>
      </c>
      <c r="D16277" t="s">
        <v>919</v>
      </c>
      <c r="E16277" s="3" t="s">
        <v>3</v>
      </c>
      <c r="F16277" s="4">
        <v>1.5600000000000001E-74</v>
      </c>
      <c r="G16277" s="3">
        <v>623</v>
      </c>
      <c r="H16277" s="3">
        <v>41</v>
      </c>
      <c r="I16277" s="3">
        <v>320</v>
      </c>
      <c r="J16277" s="3">
        <v>181</v>
      </c>
      <c r="K16277" s="3">
        <v>1131</v>
      </c>
      <c r="L16277" s="3">
        <v>128</v>
      </c>
      <c r="M16277" s="3">
        <v>440</v>
      </c>
    </row>
    <row r="16278" spans="1:13" x14ac:dyDescent="0.25">
      <c r="A16278" s="1" t="str">
        <f>HYPERLINK("http://www.rosaceae.org/Prunus/Prunus_persica/p.persica_gdr_reftransV1_0034855","p.persica_gdr_reftransV1_0034855")</f>
        <v>p.persica_gdr_reftransV1_0034855</v>
      </c>
      <c r="B16278" s="3">
        <v>5253</v>
      </c>
      <c r="C16278" s="1" t="str">
        <f>HYPERLINK("http://www.uniprot.org/uniprot/PP126_ARATH","PP126_ARATH")</f>
        <v>PP126_ARATH</v>
      </c>
      <c r="D16278" t="s">
        <v>5826</v>
      </c>
      <c r="E16278" s="3" t="s">
        <v>3</v>
      </c>
      <c r="F16278" s="4">
        <v>3.9699999999999998E-82</v>
      </c>
      <c r="G16278" s="3">
        <v>751</v>
      </c>
      <c r="H16278" s="3">
        <v>48</v>
      </c>
      <c r="I16278" s="3">
        <v>325</v>
      </c>
      <c r="J16278" s="3">
        <v>3366</v>
      </c>
      <c r="K16278" s="3">
        <v>4340</v>
      </c>
      <c r="L16278" s="3">
        <v>61</v>
      </c>
      <c r="M16278" s="3">
        <v>359</v>
      </c>
    </row>
    <row r="16279" spans="1:13" x14ac:dyDescent="0.25">
      <c r="A16279" s="1" t="str">
        <f>HYPERLINK("http://www.rosaceae.org/Prunus/Prunus_persica/p.persica_gdr_reftransV1_0035005","p.persica_gdr_reftransV1_0035005")</f>
        <v>p.persica_gdr_reftransV1_0035005</v>
      </c>
      <c r="B16279" s="3">
        <v>396</v>
      </c>
      <c r="C16279" s="1" t="str">
        <f>HYPERLINK("http://www.uniprot.org/uniprot/R13L1_ARATH","R13L1_ARATH")</f>
        <v>R13L1_ARATH</v>
      </c>
      <c r="D16279" t="s">
        <v>100</v>
      </c>
      <c r="E16279" s="3" t="s">
        <v>3</v>
      </c>
      <c r="F16279" s="4">
        <v>4.4799999999999999E-39</v>
      </c>
      <c r="G16279" s="3">
        <v>365</v>
      </c>
      <c r="H16279" s="3">
        <v>51</v>
      </c>
      <c r="I16279" s="3">
        <v>133</v>
      </c>
      <c r="J16279" s="3">
        <v>2</v>
      </c>
      <c r="K16279" s="3">
        <v>394</v>
      </c>
      <c r="L16279" s="3">
        <v>194</v>
      </c>
      <c r="M16279" s="3">
        <v>326</v>
      </c>
    </row>
    <row r="16280" spans="1:13" x14ac:dyDescent="0.25">
      <c r="A16280" s="1" t="str">
        <f>HYPERLINK("http://www.rosaceae.org/Prunus/Prunus_persica/p.persica_gdr_reftransV1_0035505","p.persica_gdr_reftransV1_0035505")</f>
        <v>p.persica_gdr_reftransV1_0035505</v>
      </c>
      <c r="B16280" s="3">
        <v>3216</v>
      </c>
      <c r="C16280" s="1" t="str">
        <f>HYPERLINK("http://www.uniprot.org/uniprot/RSGA_ANAVT","RSGA_ANAVT")</f>
        <v>RSGA_ANAVT</v>
      </c>
      <c r="D16280" t="s">
        <v>10166</v>
      </c>
      <c r="E16280" s="3" t="s">
        <v>2980</v>
      </c>
      <c r="F16280" s="4">
        <v>3.2299999999999999E-44</v>
      </c>
      <c r="G16280" s="3">
        <v>430</v>
      </c>
      <c r="H16280" s="3">
        <v>43</v>
      </c>
      <c r="I16280" s="3">
        <v>229</v>
      </c>
      <c r="J16280" s="3">
        <v>1469</v>
      </c>
      <c r="K16280" s="3">
        <v>2155</v>
      </c>
      <c r="L16280" s="3">
        <v>160</v>
      </c>
      <c r="M16280" s="3">
        <v>360</v>
      </c>
    </row>
    <row r="16281" spans="1:13" x14ac:dyDescent="0.25">
      <c r="A16281" s="1" t="str">
        <f>HYPERLINK("http://www.rosaceae.org/Prunus/Prunus_persica/p.persica_gdr_reftransV1_0035705","p.persica_gdr_reftransV1_0035705")</f>
        <v>p.persica_gdr_reftransV1_0035705</v>
      </c>
      <c r="B16281" s="3">
        <v>1863</v>
      </c>
      <c r="C16281" s="1" t="str">
        <f>HYPERLINK("http://www.uniprot.org/uniprot/CND2_ARATH","CND2_ARATH")</f>
        <v>CND2_ARATH</v>
      </c>
      <c r="D16281" t="s">
        <v>4184</v>
      </c>
      <c r="E16281" s="3" t="s">
        <v>3</v>
      </c>
      <c r="F16281" s="4">
        <v>9.3099999999999999E-92</v>
      </c>
      <c r="G16281" s="3">
        <v>777</v>
      </c>
      <c r="H16281" s="3">
        <v>46</v>
      </c>
      <c r="I16281" s="3">
        <v>373</v>
      </c>
      <c r="J16281" s="3">
        <v>1</v>
      </c>
      <c r="K16281" s="3">
        <v>1050</v>
      </c>
      <c r="L16281" s="3">
        <v>243</v>
      </c>
      <c r="M16281" s="3">
        <v>601</v>
      </c>
    </row>
    <row r="16282" spans="1:13" x14ac:dyDescent="0.25">
      <c r="A16282" s="1" t="str">
        <f>HYPERLINK("http://www.rosaceae.org/Prunus/Prunus_persica/p.persica_gdr_reftransV1_0035855","p.persica_gdr_reftransV1_0035855")</f>
        <v>p.persica_gdr_reftransV1_0035855</v>
      </c>
      <c r="B16282" s="3">
        <v>3056</v>
      </c>
      <c r="C16282" s="1" t="str">
        <f>HYPERLINK("http://www.uniprot.org/uniprot/VCL1_ARATH","VCL1_ARATH")</f>
        <v>VCL1_ARATH</v>
      </c>
      <c r="D16282" t="s">
        <v>10266</v>
      </c>
      <c r="E16282" s="3" t="s">
        <v>3</v>
      </c>
      <c r="F16282" s="4">
        <v>0</v>
      </c>
      <c r="G16282" s="3">
        <v>1673</v>
      </c>
      <c r="H16282" s="3">
        <v>78</v>
      </c>
      <c r="I16282" s="3">
        <v>449</v>
      </c>
      <c r="J16282" s="3">
        <v>150</v>
      </c>
      <c r="K16282" s="3">
        <v>1493</v>
      </c>
      <c r="L16282" s="3">
        <v>416</v>
      </c>
      <c r="M16282" s="3">
        <v>858</v>
      </c>
    </row>
    <row r="16283" spans="1:13" x14ac:dyDescent="0.25">
      <c r="A16283" s="1" t="str">
        <f>HYPERLINK("http://www.rosaceae.org/Prunus/Prunus_persica/p.persica_gdr_reftransV1_0035905","p.persica_gdr_reftransV1_0035905")</f>
        <v>p.persica_gdr_reftransV1_0035905</v>
      </c>
      <c r="B16283" s="3">
        <v>3000</v>
      </c>
      <c r="C16283" s="1" t="str">
        <f>HYPERLINK("http://www.uniprot.org/uniprot/P2C27_ARATH","P2C27_ARATH")</f>
        <v>P2C27_ARATH</v>
      </c>
      <c r="D16283" t="s">
        <v>10267</v>
      </c>
      <c r="E16283" s="3" t="s">
        <v>3</v>
      </c>
      <c r="F16283" s="4">
        <v>1.7300000000000001E-87</v>
      </c>
      <c r="G16283" s="3">
        <v>746</v>
      </c>
      <c r="H16283" s="3">
        <v>84</v>
      </c>
      <c r="I16283" s="3">
        <v>184</v>
      </c>
      <c r="J16283" s="3">
        <v>2186</v>
      </c>
      <c r="K16283" s="3">
        <v>2734</v>
      </c>
      <c r="L16283" s="3">
        <v>194</v>
      </c>
      <c r="M16283" s="3">
        <v>377</v>
      </c>
    </row>
    <row r="16284" spans="1:13" x14ac:dyDescent="0.25">
      <c r="A16284" s="1" t="str">
        <f>HYPERLINK("http://www.rosaceae.org/Prunus/Prunus_persica/p.persica_gdr_reftransV1_0036005","p.persica_gdr_reftransV1_0036005")</f>
        <v>p.persica_gdr_reftransV1_0036005</v>
      </c>
      <c r="B16284" s="3">
        <v>2589</v>
      </c>
      <c r="C16284" s="1" t="str">
        <f>HYPERLINK("http://www.uniprot.org/uniprot/GLPT1_ARATH","GLPT1_ARATH")</f>
        <v>GLPT1_ARATH</v>
      </c>
      <c r="D16284" t="s">
        <v>10268</v>
      </c>
      <c r="E16284" s="3" t="s">
        <v>3</v>
      </c>
      <c r="F16284" s="4">
        <v>1.4599999999999999E-147</v>
      </c>
      <c r="G16284" s="3">
        <v>1163</v>
      </c>
      <c r="H16284" s="3">
        <v>70</v>
      </c>
      <c r="I16284" s="3">
        <v>335</v>
      </c>
      <c r="J16284" s="3">
        <v>1370</v>
      </c>
      <c r="K16284" s="3">
        <v>2359</v>
      </c>
      <c r="L16284" s="3">
        <v>7</v>
      </c>
      <c r="M16284" s="3">
        <v>331</v>
      </c>
    </row>
    <row r="16285" spans="1:13" x14ac:dyDescent="0.25">
      <c r="A16285" s="1" t="str">
        <f>HYPERLINK("http://www.rosaceae.org/Prunus/Prunus_persica/p.persica_gdr_reftransV1_0036155","p.persica_gdr_reftransV1_0036155")</f>
        <v>p.persica_gdr_reftransV1_0036155</v>
      </c>
      <c r="B16285" s="3">
        <v>1018</v>
      </c>
      <c r="C16285" s="1" t="str">
        <f>HYPERLINK("http://www.uniprot.org/uniprot/CRR15_ARATH","CRR15_ARATH")</f>
        <v>CRR15_ARATH</v>
      </c>
      <c r="D16285" t="s">
        <v>10269</v>
      </c>
      <c r="E16285" s="3" t="s">
        <v>3</v>
      </c>
      <c r="F16285" s="4">
        <v>1.01E-109</v>
      </c>
      <c r="G16285" s="3">
        <v>840</v>
      </c>
      <c r="H16285" s="3">
        <v>63</v>
      </c>
      <c r="I16285" s="3">
        <v>254</v>
      </c>
      <c r="J16285" s="3">
        <v>215</v>
      </c>
      <c r="K16285" s="3">
        <v>967</v>
      </c>
      <c r="L16285" s="3">
        <v>25</v>
      </c>
      <c r="M16285" s="3">
        <v>278</v>
      </c>
    </row>
    <row r="16286" spans="1:13" x14ac:dyDescent="0.25">
      <c r="A16286" s="1" t="str">
        <f>HYPERLINK("http://www.rosaceae.org/Prunus/Prunus_persica/p.persica_gdr_reftransV1_0036605","p.persica_gdr_reftransV1_0036605")</f>
        <v>p.persica_gdr_reftransV1_0036605</v>
      </c>
      <c r="B16286" s="3">
        <v>1766</v>
      </c>
      <c r="C16286" s="1" t="str">
        <f>HYPERLINK("http://www.uniprot.org/uniprot/C3H49_ARATH","C3H49_ARATH")</f>
        <v>C3H49_ARATH</v>
      </c>
      <c r="D16286" t="s">
        <v>5608</v>
      </c>
      <c r="E16286" s="3" t="s">
        <v>3</v>
      </c>
      <c r="F16286" s="4">
        <v>1.46E-112</v>
      </c>
      <c r="G16286" s="3">
        <v>890</v>
      </c>
      <c r="H16286" s="3">
        <v>54</v>
      </c>
      <c r="I16286" s="3">
        <v>397</v>
      </c>
      <c r="J16286" s="3">
        <v>526</v>
      </c>
      <c r="K16286" s="3">
        <v>1692</v>
      </c>
      <c r="L16286" s="3">
        <v>1</v>
      </c>
      <c r="M16286" s="3">
        <v>355</v>
      </c>
    </row>
    <row r="16287" spans="1:13" x14ac:dyDescent="0.25">
      <c r="A16287" s="1" t="str">
        <f>HYPERLINK("http://www.rosaceae.org/Prunus/Prunus_persica/p.persica_gdr_reftransV1_0037355","p.persica_gdr_reftransV1_0037355")</f>
        <v>p.persica_gdr_reftransV1_0037355</v>
      </c>
      <c r="B16287" s="3">
        <v>1848</v>
      </c>
      <c r="C16287" s="1" t="str">
        <f>HYPERLINK("http://www.uniprot.org/uniprot/AAAS_ARATH","AAAS_ARATH")</f>
        <v>AAAS_ARATH</v>
      </c>
      <c r="D16287" t="s">
        <v>10270</v>
      </c>
      <c r="E16287" s="3" t="s">
        <v>3</v>
      </c>
      <c r="F16287" s="4">
        <v>0</v>
      </c>
      <c r="G16287" s="3">
        <v>1704</v>
      </c>
      <c r="H16287" s="3">
        <v>73</v>
      </c>
      <c r="I16287" s="3">
        <v>448</v>
      </c>
      <c r="J16287" s="3">
        <v>339</v>
      </c>
      <c r="K16287" s="3">
        <v>1676</v>
      </c>
      <c r="L16287" s="3">
        <v>1</v>
      </c>
      <c r="M16287" s="3">
        <v>447</v>
      </c>
    </row>
    <row r="16288" spans="1:13" x14ac:dyDescent="0.25">
      <c r="A16288" s="1" t="str">
        <f>HYPERLINK("http://www.rosaceae.org/Prunus/Prunus_persica/p.persica_gdr_reftransV1_0037455","p.persica_gdr_reftransV1_0037455")</f>
        <v>p.persica_gdr_reftransV1_0037455</v>
      </c>
      <c r="B16288" s="3">
        <v>2233</v>
      </c>
      <c r="C16288" s="1" t="str">
        <f>HYPERLINK("http://www.uniprot.org/uniprot/TBC13_HUMAN","TBC13_HUMAN")</f>
        <v>TBC13_HUMAN</v>
      </c>
      <c r="D16288" t="s">
        <v>6448</v>
      </c>
      <c r="E16288" s="3" t="s">
        <v>28</v>
      </c>
      <c r="F16288" s="4">
        <v>6.7099999999999999E-41</v>
      </c>
      <c r="G16288" s="3">
        <v>401</v>
      </c>
      <c r="H16288" s="3">
        <v>34</v>
      </c>
      <c r="I16288" s="3">
        <v>265</v>
      </c>
      <c r="J16288" s="3">
        <v>1104</v>
      </c>
      <c r="K16288" s="3">
        <v>1718</v>
      </c>
      <c r="L16288" s="3">
        <v>80</v>
      </c>
      <c r="M16288" s="3">
        <v>343</v>
      </c>
    </row>
    <row r="16289" spans="1:13" x14ac:dyDescent="0.25">
      <c r="A16289" s="1" t="str">
        <f>HYPERLINK("http://www.rosaceae.org/Prunus/Prunus_persica/p.persica_gdr_reftransV1_0037805","p.persica_gdr_reftransV1_0037805")</f>
        <v>p.persica_gdr_reftransV1_0037805</v>
      </c>
      <c r="B16289" s="3">
        <v>4163</v>
      </c>
      <c r="C16289" s="1" t="str">
        <f>HYPERLINK("http://www.uniprot.org/uniprot/PIGO_HUMAN","PIGO_HUMAN")</f>
        <v>PIGO_HUMAN</v>
      </c>
      <c r="D16289" t="s">
        <v>10271</v>
      </c>
      <c r="E16289" s="3" t="s">
        <v>28</v>
      </c>
      <c r="F16289" s="4">
        <v>3.5899999999999999E-68</v>
      </c>
      <c r="G16289" s="3">
        <v>650</v>
      </c>
      <c r="H16289" s="3">
        <v>44</v>
      </c>
      <c r="I16289" s="3">
        <v>339</v>
      </c>
      <c r="J16289" s="3">
        <v>245</v>
      </c>
      <c r="K16289" s="3">
        <v>1246</v>
      </c>
      <c r="L16289" s="3">
        <v>8</v>
      </c>
      <c r="M16289" s="3">
        <v>302</v>
      </c>
    </row>
    <row r="16290" spans="1:13" x14ac:dyDescent="0.25">
      <c r="A16290" s="1" t="str">
        <f>HYPERLINK("http://www.rosaceae.org/Prunus/Prunus_persica/p.persica_gdr_reftransV1_0038405","p.persica_gdr_reftransV1_0038405")</f>
        <v>p.persica_gdr_reftransV1_0038405</v>
      </c>
      <c r="B16290" s="3">
        <v>1253</v>
      </c>
      <c r="C16290" s="1" t="str">
        <f>HYPERLINK("http://www.uniprot.org/uniprot/VP221_ARATH","VP221_ARATH")</f>
        <v>VP221_ARATH</v>
      </c>
      <c r="D16290" t="s">
        <v>10272</v>
      </c>
      <c r="E16290" s="3" t="s">
        <v>3</v>
      </c>
      <c r="F16290" s="4">
        <v>1.5399999999999999E-116</v>
      </c>
      <c r="G16290" s="3">
        <v>878</v>
      </c>
      <c r="H16290" s="3">
        <v>83</v>
      </c>
      <c r="I16290" s="3">
        <v>190</v>
      </c>
      <c r="J16290" s="3">
        <v>606</v>
      </c>
      <c r="K16290" s="3">
        <v>1175</v>
      </c>
      <c r="L16290" s="3">
        <v>5</v>
      </c>
      <c r="M16290" s="3">
        <v>194</v>
      </c>
    </row>
    <row r="16291" spans="1:13" x14ac:dyDescent="0.25">
      <c r="A16291" s="1" t="str">
        <f>HYPERLINK("http://www.rosaceae.org/Prunus/Prunus_persica/p.persica_gdr_reftransV1_0038505","p.persica_gdr_reftransV1_0038505")</f>
        <v>p.persica_gdr_reftransV1_0038505</v>
      </c>
      <c r="B16291" s="3">
        <v>3773</v>
      </c>
      <c r="C16291" s="1" t="str">
        <f>HYPERLINK("http://www.uniprot.org/uniprot/SEC5A_ARATH","SEC5A_ARATH")</f>
        <v>SEC5A_ARATH</v>
      </c>
      <c r="D16291" t="s">
        <v>10273</v>
      </c>
      <c r="E16291" s="3" t="s">
        <v>3</v>
      </c>
      <c r="F16291" s="4">
        <v>0</v>
      </c>
      <c r="G16291" s="3">
        <v>3627</v>
      </c>
      <c r="H16291" s="3">
        <v>66</v>
      </c>
      <c r="I16291" s="3">
        <v>1105</v>
      </c>
      <c r="J16291" s="3">
        <v>258</v>
      </c>
      <c r="K16291" s="3">
        <v>3542</v>
      </c>
      <c r="L16291" s="3">
        <v>15</v>
      </c>
      <c r="M16291" s="3">
        <v>1090</v>
      </c>
    </row>
    <row r="16292" spans="1:13" x14ac:dyDescent="0.25">
      <c r="A16292" s="1" t="str">
        <f>HYPERLINK("http://www.rosaceae.org/Prunus/Prunus_persica/p.persica_gdr_reftransV1_0038555","p.persica_gdr_reftransV1_0038555")</f>
        <v>p.persica_gdr_reftransV1_0038555</v>
      </c>
      <c r="B16292" s="3">
        <v>3714</v>
      </c>
      <c r="C16292" s="1" t="str">
        <f>HYPERLINK("http://www.uniprot.org/uniprot/RPP29_BOVIN","RPP29_BOVIN")</f>
        <v>RPP29_BOVIN</v>
      </c>
      <c r="D16292" t="s">
        <v>10274</v>
      </c>
      <c r="E16292" s="3" t="s">
        <v>184</v>
      </c>
      <c r="F16292" s="4">
        <v>1.9200000000000002E-18</v>
      </c>
      <c r="G16292" s="3">
        <v>224</v>
      </c>
      <c r="H16292" s="3">
        <v>44</v>
      </c>
      <c r="I16292" s="3">
        <v>121</v>
      </c>
      <c r="J16292" s="3">
        <v>1180</v>
      </c>
      <c r="K16292" s="3">
        <v>1530</v>
      </c>
      <c r="L16292" s="3">
        <v>84</v>
      </c>
      <c r="M16292" s="3">
        <v>199</v>
      </c>
    </row>
    <row r="16293" spans="1:13" x14ac:dyDescent="0.25">
      <c r="A16293" s="1" t="str">
        <f>HYPERLINK("http://www.rosaceae.org/Prunus/Prunus_persica/p.persica_gdr_reftransV1_0039005","p.persica_gdr_reftransV1_0039005")</f>
        <v>p.persica_gdr_reftransV1_0039005</v>
      </c>
      <c r="B16293" s="3">
        <v>2293</v>
      </c>
      <c r="C16293" s="1" t="str">
        <f>HYPERLINK("http://www.uniprot.org/uniprot/RPR1B_MOUSE","RPR1B_MOUSE")</f>
        <v>RPR1B_MOUSE</v>
      </c>
      <c r="D16293" t="s">
        <v>6804</v>
      </c>
      <c r="E16293" s="3" t="s">
        <v>157</v>
      </c>
      <c r="F16293" s="4">
        <v>8.5699999999999996E-25</v>
      </c>
      <c r="G16293" s="3">
        <v>275</v>
      </c>
      <c r="H16293" s="3">
        <v>44</v>
      </c>
      <c r="I16293" s="3">
        <v>125</v>
      </c>
      <c r="J16293" s="3">
        <v>1556</v>
      </c>
      <c r="K16293" s="3">
        <v>1930</v>
      </c>
      <c r="L16293" s="3">
        <v>2</v>
      </c>
      <c r="M16293" s="3">
        <v>124</v>
      </c>
    </row>
    <row r="16294" spans="1:13" x14ac:dyDescent="0.25">
      <c r="A16294" s="1" t="str">
        <f>HYPERLINK("http://www.rosaceae.org/Prunus/Prunus_persica/p.persica_gdr_reftransV1_0039205","p.persica_gdr_reftransV1_0039205")</f>
        <v>p.persica_gdr_reftransV1_0039205</v>
      </c>
      <c r="B16294" s="3">
        <v>2067</v>
      </c>
      <c r="C16294" s="1" t="str">
        <f>HYPERLINK("http://www.uniprot.org/uniprot/RBM18_PONAB","RBM18_PONAB")</f>
        <v>RBM18_PONAB</v>
      </c>
      <c r="D16294" t="s">
        <v>10275</v>
      </c>
      <c r="E16294" s="3" t="s">
        <v>176</v>
      </c>
      <c r="F16294" s="4">
        <v>2.5899999999999998E-7</v>
      </c>
      <c r="G16294" s="3">
        <v>131</v>
      </c>
      <c r="H16294" s="3">
        <v>39</v>
      </c>
      <c r="I16294" s="3">
        <v>69</v>
      </c>
      <c r="J16294" s="3">
        <v>1443</v>
      </c>
      <c r="K16294" s="3">
        <v>1649</v>
      </c>
      <c r="L16294" s="3">
        <v>34</v>
      </c>
      <c r="M16294" s="3">
        <v>102</v>
      </c>
    </row>
    <row r="16295" spans="1:13" x14ac:dyDescent="0.25">
      <c r="A16295" s="1" t="str">
        <f>HYPERLINK("http://www.rosaceae.org/Prunus/Prunus_persica/p.persica_gdr_reftransV1_0039305","p.persica_gdr_reftransV1_0039305")</f>
        <v>p.persica_gdr_reftransV1_0039305</v>
      </c>
      <c r="B16295" s="3">
        <v>1985</v>
      </c>
      <c r="C16295" s="1" t="str">
        <f>HYPERLINK("http://www.uniprot.org/uniprot/STP5_ARATH","STP5_ARATH")</f>
        <v>STP5_ARATH</v>
      </c>
      <c r="D16295" t="s">
        <v>10276</v>
      </c>
      <c r="E16295" s="3" t="s">
        <v>3</v>
      </c>
      <c r="F16295" s="4">
        <v>0</v>
      </c>
      <c r="G16295" s="3">
        <v>1673</v>
      </c>
      <c r="H16295" s="3">
        <v>66</v>
      </c>
      <c r="I16295" s="3">
        <v>489</v>
      </c>
      <c r="J16295" s="3">
        <v>273</v>
      </c>
      <c r="K16295" s="3">
        <v>1727</v>
      </c>
      <c r="L16295" s="3">
        <v>16</v>
      </c>
      <c r="M16295" s="3">
        <v>502</v>
      </c>
    </row>
    <row r="16296" spans="1:13" x14ac:dyDescent="0.25">
      <c r="A16296" s="1" t="str">
        <f>HYPERLINK("http://www.rosaceae.org/Prunus/Prunus_persica/p.persica_gdr_reftransV1_0039555","p.persica_gdr_reftransV1_0039555")</f>
        <v>p.persica_gdr_reftransV1_0039555</v>
      </c>
      <c r="B16296" s="3">
        <v>1324</v>
      </c>
      <c r="C16296" s="1" t="str">
        <f>HYPERLINK("http://www.uniprot.org/uniprot/VDAC4_ARATH","VDAC4_ARATH")</f>
        <v>VDAC4_ARATH</v>
      </c>
      <c r="D16296" t="s">
        <v>10277</v>
      </c>
      <c r="E16296" s="3" t="s">
        <v>3</v>
      </c>
      <c r="F16296" s="4">
        <v>3.2E-131</v>
      </c>
      <c r="G16296" s="3">
        <v>993</v>
      </c>
      <c r="H16296" s="3">
        <v>68</v>
      </c>
      <c r="I16296" s="3">
        <v>276</v>
      </c>
      <c r="J16296" s="3">
        <v>158</v>
      </c>
      <c r="K16296" s="3">
        <v>985</v>
      </c>
      <c r="L16296" s="3">
        <v>1</v>
      </c>
      <c r="M16296" s="3">
        <v>274</v>
      </c>
    </row>
    <row r="16297" spans="1:13" x14ac:dyDescent="0.25">
      <c r="A16297" s="1" t="str">
        <f>HYPERLINK("http://www.rosaceae.org/Prunus/Prunus_persica/p.persica_gdr_reftransV1_0039755","p.persica_gdr_reftransV1_0039755")</f>
        <v>p.persica_gdr_reftransV1_0039755</v>
      </c>
      <c r="B16297" s="3">
        <v>6004</v>
      </c>
      <c r="C16297" s="1" t="str">
        <f>HYPERLINK("http://www.uniprot.org/uniprot/UPL3_ARATH","UPL3_ARATH")</f>
        <v>UPL3_ARATH</v>
      </c>
      <c r="D16297" t="s">
        <v>10278</v>
      </c>
      <c r="E16297" s="3" t="s">
        <v>3</v>
      </c>
      <c r="F16297" s="4">
        <v>0</v>
      </c>
      <c r="G16297" s="3">
        <v>6132</v>
      </c>
      <c r="H16297" s="3">
        <v>76</v>
      </c>
      <c r="I16297" s="3">
        <v>1756</v>
      </c>
      <c r="J16297" s="3">
        <v>102</v>
      </c>
      <c r="K16297" s="3">
        <v>5354</v>
      </c>
      <c r="L16297" s="3">
        <v>151</v>
      </c>
      <c r="M16297" s="3">
        <v>1888</v>
      </c>
    </row>
    <row r="16298" spans="1:13" x14ac:dyDescent="0.25">
      <c r="A16298" s="1" t="str">
        <f>HYPERLINK("http://www.rosaceae.org/Prunus/Prunus_persica/p.persica_gdr_reftransV1_0040405","p.persica_gdr_reftransV1_0040405")</f>
        <v>p.persica_gdr_reftransV1_0040405</v>
      </c>
      <c r="B16298" s="3">
        <v>921</v>
      </c>
      <c r="C16298" s="1" t="str">
        <f>HYPERLINK("http://www.uniprot.org/uniprot/CML41_ARATH","CML41_ARATH")</f>
        <v>CML41_ARATH</v>
      </c>
      <c r="D16298" t="s">
        <v>10279</v>
      </c>
      <c r="E16298" s="3" t="s">
        <v>3</v>
      </c>
      <c r="F16298" s="4">
        <v>3.96E-47</v>
      </c>
      <c r="G16298" s="3">
        <v>413</v>
      </c>
      <c r="H16298" s="3">
        <v>46</v>
      </c>
      <c r="I16298" s="3">
        <v>211</v>
      </c>
      <c r="J16298" s="3">
        <v>189</v>
      </c>
      <c r="K16298" s="3">
        <v>761</v>
      </c>
      <c r="L16298" s="3">
        <v>1</v>
      </c>
      <c r="M16298" s="3">
        <v>204</v>
      </c>
    </row>
    <row r="16299" spans="1:13" x14ac:dyDescent="0.25">
      <c r="A16299" s="1" t="str">
        <f>HYPERLINK("http://www.rosaceae.org/Prunus/Prunus_persica/p.persica_gdr_reftransV1_0040555","p.persica_gdr_reftransV1_0040555")</f>
        <v>p.persica_gdr_reftransV1_0040555</v>
      </c>
      <c r="B16299" s="3">
        <v>2383</v>
      </c>
      <c r="C16299" s="1" t="str">
        <f>HYPERLINK("http://www.uniprot.org/uniprot/WSD1_ARATH","WSD1_ARATH")</f>
        <v>WSD1_ARATH</v>
      </c>
      <c r="D16299" t="s">
        <v>84</v>
      </c>
      <c r="E16299" s="3" t="s">
        <v>3</v>
      </c>
      <c r="F16299" s="4">
        <v>1.75E-48</v>
      </c>
      <c r="G16299" s="3">
        <v>457</v>
      </c>
      <c r="H16299" s="3">
        <v>47</v>
      </c>
      <c r="I16299" s="3">
        <v>189</v>
      </c>
      <c r="J16299" s="3">
        <v>1524</v>
      </c>
      <c r="K16299" s="3">
        <v>2087</v>
      </c>
      <c r="L16299" s="3">
        <v>72</v>
      </c>
      <c r="M16299" s="3">
        <v>257</v>
      </c>
    </row>
    <row r="16300" spans="1:13" x14ac:dyDescent="0.25">
      <c r="A16300" s="1" t="str">
        <f>HYPERLINK("http://www.rosaceae.org/Prunus/Prunus_persica/p.persica_gdr_reftransV1_0040755","p.persica_gdr_reftransV1_0040755")</f>
        <v>p.persica_gdr_reftransV1_0040755</v>
      </c>
      <c r="B16300" s="3">
        <v>2055</v>
      </c>
      <c r="C16300" s="1" t="str">
        <f>HYPERLINK("http://www.uniprot.org/uniprot/CDPK4_SOLTU","CDPK4_SOLTU")</f>
        <v>CDPK4_SOLTU</v>
      </c>
      <c r="D16300" t="s">
        <v>2413</v>
      </c>
      <c r="E16300" s="3" t="s">
        <v>11</v>
      </c>
      <c r="F16300" s="4">
        <v>2.6000000000000001E-129</v>
      </c>
      <c r="G16300" s="3">
        <v>1029</v>
      </c>
      <c r="H16300" s="3">
        <v>92</v>
      </c>
      <c r="I16300" s="3">
        <v>212</v>
      </c>
      <c r="J16300" s="3">
        <v>822</v>
      </c>
      <c r="K16300" s="3">
        <v>1457</v>
      </c>
      <c r="L16300" s="3">
        <v>349</v>
      </c>
      <c r="M16300" s="3">
        <v>556</v>
      </c>
    </row>
    <row r="16301" spans="1:13" x14ac:dyDescent="0.25">
      <c r="A16301" s="1" t="str">
        <f>HYPERLINK("http://www.rosaceae.org/Prunus/Prunus_persica/p.persica_gdr_reftransV1_0040805","p.persica_gdr_reftransV1_0040805")</f>
        <v>p.persica_gdr_reftransV1_0040805</v>
      </c>
      <c r="B16301" s="3">
        <v>2199</v>
      </c>
      <c r="C16301" s="1" t="str">
        <f>HYPERLINK("http://www.uniprot.org/uniprot/ALG6_ARATH","ALG6_ARATH")</f>
        <v>ALG6_ARATH</v>
      </c>
      <c r="D16301" t="s">
        <v>10280</v>
      </c>
      <c r="E16301" s="3" t="s">
        <v>3</v>
      </c>
      <c r="F16301" s="4">
        <v>0</v>
      </c>
      <c r="G16301" s="3">
        <v>1575</v>
      </c>
      <c r="H16301" s="3">
        <v>61</v>
      </c>
      <c r="I16301" s="3">
        <v>558</v>
      </c>
      <c r="J16301" s="3">
        <v>255</v>
      </c>
      <c r="K16301" s="3">
        <v>1892</v>
      </c>
      <c r="L16301" s="3">
        <v>3</v>
      </c>
      <c r="M16301" s="3">
        <v>531</v>
      </c>
    </row>
    <row r="16302" spans="1:13" x14ac:dyDescent="0.25">
      <c r="A16302" s="1" t="str">
        <f>HYPERLINK("http://www.rosaceae.org/Prunus/Prunus_persica/p.persica_gdr_reftransV1_0041005","p.persica_gdr_reftransV1_0041005")</f>
        <v>p.persica_gdr_reftransV1_0041005</v>
      </c>
      <c r="B16302" s="3">
        <v>2258</v>
      </c>
      <c r="C16302" s="1" t="str">
        <f>HYPERLINK("http://www.uniprot.org/uniprot/Y2349_ARATH","Y2349_ARATH")</f>
        <v>Y2349_ARATH</v>
      </c>
      <c r="D16302" t="s">
        <v>3494</v>
      </c>
      <c r="E16302" s="3" t="s">
        <v>3</v>
      </c>
      <c r="F16302" s="4">
        <v>7.4199999999999997E-118</v>
      </c>
      <c r="G16302" s="3">
        <v>962</v>
      </c>
      <c r="H16302" s="3">
        <v>49</v>
      </c>
      <c r="I16302" s="3">
        <v>556</v>
      </c>
      <c r="J16302" s="3">
        <v>639</v>
      </c>
      <c r="K16302" s="3">
        <v>2258</v>
      </c>
      <c r="L16302" s="3">
        <v>93</v>
      </c>
      <c r="M16302" s="3">
        <v>599</v>
      </c>
    </row>
    <row r="16303" spans="1:13" x14ac:dyDescent="0.25">
      <c r="A16303" s="1" t="str">
        <f>HYPERLINK("http://www.rosaceae.org/Prunus/Prunus_persica/p.persica_gdr_reftransV1_0041155","p.persica_gdr_reftransV1_0041155")</f>
        <v>p.persica_gdr_reftransV1_0041155</v>
      </c>
      <c r="B16303" s="3">
        <v>1626</v>
      </c>
      <c r="C16303" s="1" t="str">
        <f>HYPERLINK("http://www.uniprot.org/uniprot/PP336_ARATH","PP336_ARATH")</f>
        <v>PP336_ARATH</v>
      </c>
      <c r="D16303" t="s">
        <v>10281</v>
      </c>
      <c r="E16303" s="3" t="s">
        <v>3</v>
      </c>
      <c r="F16303" s="4">
        <v>3.79E-178</v>
      </c>
      <c r="G16303" s="3">
        <v>1343</v>
      </c>
      <c r="H16303" s="3">
        <v>58</v>
      </c>
      <c r="I16303" s="3">
        <v>424</v>
      </c>
      <c r="J16303" s="3">
        <v>354</v>
      </c>
      <c r="K16303" s="3">
        <v>1625</v>
      </c>
      <c r="L16303" s="3">
        <v>151</v>
      </c>
      <c r="M16303" s="3">
        <v>574</v>
      </c>
    </row>
    <row r="16304" spans="1:13" x14ac:dyDescent="0.25">
      <c r="A16304" s="1" t="str">
        <f>HYPERLINK("http://www.rosaceae.org/Prunus/Prunus_persica/p.persica_gdr_reftransV1_0041205","p.persica_gdr_reftransV1_0041205")</f>
        <v>p.persica_gdr_reftransV1_0041205</v>
      </c>
      <c r="B16304" s="3">
        <v>2007</v>
      </c>
      <c r="C16304" s="1" t="str">
        <f>HYPERLINK("http://www.uniprot.org/uniprot/ULK3_CHICK","ULK3_CHICK")</f>
        <v>ULK3_CHICK</v>
      </c>
      <c r="D16304" t="s">
        <v>10282</v>
      </c>
      <c r="E16304" s="3" t="s">
        <v>1278</v>
      </c>
      <c r="F16304" s="4">
        <v>7.8000000000000004E-52</v>
      </c>
      <c r="G16304" s="3">
        <v>485</v>
      </c>
      <c r="H16304" s="3">
        <v>43</v>
      </c>
      <c r="I16304" s="3">
        <v>251</v>
      </c>
      <c r="J16304" s="3">
        <v>260</v>
      </c>
      <c r="K16304" s="3">
        <v>1000</v>
      </c>
      <c r="L16304" s="3">
        <v>11</v>
      </c>
      <c r="M16304" s="3">
        <v>255</v>
      </c>
    </row>
    <row r="16305" spans="1:13" x14ac:dyDescent="0.25">
      <c r="A16305" s="1" t="str">
        <f>HYPERLINK("http://www.rosaceae.org/Prunus/Prunus_persica/p.persica_gdr_reftransV1_0041405","p.persica_gdr_reftransV1_0041405")</f>
        <v>p.persica_gdr_reftransV1_0041405</v>
      </c>
      <c r="B16305" s="3">
        <v>1420</v>
      </c>
      <c r="C16305" s="1" t="str">
        <f>HYPERLINK("http://www.uniprot.org/uniprot/NAC22_ARATH","NAC22_ARATH")</f>
        <v>NAC22_ARATH</v>
      </c>
      <c r="D16305" t="s">
        <v>10283</v>
      </c>
      <c r="E16305" s="3" t="s">
        <v>3</v>
      </c>
      <c r="F16305" s="4">
        <v>1.4600000000000001E-107</v>
      </c>
      <c r="G16305" s="3">
        <v>843</v>
      </c>
      <c r="H16305" s="3">
        <v>55</v>
      </c>
      <c r="I16305" s="3">
        <v>340</v>
      </c>
      <c r="J16305" s="3">
        <v>375</v>
      </c>
      <c r="K16305" s="3">
        <v>1343</v>
      </c>
      <c r="L16305" s="3">
        <v>8</v>
      </c>
      <c r="M16305" s="3">
        <v>323</v>
      </c>
    </row>
    <row r="16306" spans="1:13" x14ac:dyDescent="0.25">
      <c r="A16306" s="1" t="str">
        <f>HYPERLINK("http://www.rosaceae.org/Prunus/Prunus_persica/p.persica_gdr_reftransV1_0041805","p.persica_gdr_reftransV1_0041805")</f>
        <v>p.persica_gdr_reftransV1_0041805</v>
      </c>
      <c r="B16306" s="3">
        <v>4064</v>
      </c>
      <c r="C16306" s="1" t="str">
        <f>HYPERLINK("http://www.uniprot.org/uniprot/MYOB3_ARATH","MYOB3_ARATH")</f>
        <v>MYOB3_ARATH</v>
      </c>
      <c r="D16306" t="s">
        <v>1900</v>
      </c>
      <c r="E16306" s="3" t="s">
        <v>3</v>
      </c>
      <c r="F16306" s="4">
        <v>1.2E-15</v>
      </c>
      <c r="G16306" s="3">
        <v>139</v>
      </c>
      <c r="H16306" s="3">
        <v>66</v>
      </c>
      <c r="I16306" s="3">
        <v>47</v>
      </c>
      <c r="J16306" s="3">
        <v>2693</v>
      </c>
      <c r="K16306" s="3">
        <v>2830</v>
      </c>
      <c r="L16306" s="3">
        <v>368</v>
      </c>
      <c r="M16306" s="3">
        <v>414</v>
      </c>
    </row>
    <row r="16307" spans="1:13" x14ac:dyDescent="0.25">
      <c r="A16307" s="1" t="str">
        <f>HYPERLINK("http://www.rosaceae.org/Prunus/Prunus_persica/p.persica_gdr_reftransV1_0042305","p.persica_gdr_reftransV1_0042305")</f>
        <v>p.persica_gdr_reftransV1_0042305</v>
      </c>
      <c r="B16307" s="3">
        <v>2375</v>
      </c>
      <c r="C16307" s="1" t="str">
        <f>HYPERLINK("http://www.uniprot.org/uniprot/VP371_ARATH","VP371_ARATH")</f>
        <v>VP371_ARATH</v>
      </c>
      <c r="D16307" t="s">
        <v>10284</v>
      </c>
      <c r="E16307" s="3" t="s">
        <v>3</v>
      </c>
      <c r="F16307" s="4">
        <v>1.5200000000000001E-46</v>
      </c>
      <c r="G16307" s="3">
        <v>429</v>
      </c>
      <c r="H16307" s="3">
        <v>74</v>
      </c>
      <c r="I16307" s="3">
        <v>107</v>
      </c>
      <c r="J16307" s="3">
        <v>851</v>
      </c>
      <c r="K16307" s="3">
        <v>1171</v>
      </c>
      <c r="L16307" s="3">
        <v>111</v>
      </c>
      <c r="M16307" s="3">
        <v>217</v>
      </c>
    </row>
    <row r="16308" spans="1:13" x14ac:dyDescent="0.25">
      <c r="A16308" s="1" t="str">
        <f>HYPERLINK("http://www.rosaceae.org/Prunus/Prunus_persica/p.persica_gdr_reftransV1_0042855","p.persica_gdr_reftransV1_0042855")</f>
        <v>p.persica_gdr_reftransV1_0042855</v>
      </c>
      <c r="B16308" s="3">
        <v>1892</v>
      </c>
      <c r="C16308" s="1" t="str">
        <f>HYPERLINK("http://www.uniprot.org/uniprot/ICDHP_ARATH","ICDHP_ARATH")</f>
        <v>ICDHP_ARATH</v>
      </c>
      <c r="D16308" t="s">
        <v>10285</v>
      </c>
      <c r="E16308" s="3" t="s">
        <v>3</v>
      </c>
      <c r="F16308" s="4">
        <v>0</v>
      </c>
      <c r="G16308" s="3">
        <v>1964</v>
      </c>
      <c r="H16308" s="3">
        <v>83</v>
      </c>
      <c r="I16308" s="3">
        <v>436</v>
      </c>
      <c r="J16308" s="3">
        <v>292</v>
      </c>
      <c r="K16308" s="3">
        <v>1596</v>
      </c>
      <c r="L16308" s="3">
        <v>50</v>
      </c>
      <c r="M16308" s="3">
        <v>485</v>
      </c>
    </row>
    <row r="16309" spans="1:13" x14ac:dyDescent="0.25">
      <c r="A16309" s="1" t="str">
        <f>HYPERLINK("http://www.rosaceae.org/Prunus/Prunus_persica/p.persica_gdr_reftransV1_0043005","p.persica_gdr_reftransV1_0043005")</f>
        <v>p.persica_gdr_reftransV1_0043005</v>
      </c>
      <c r="B16309" s="3">
        <v>1497</v>
      </c>
      <c r="C16309" s="1" t="str">
        <f>HYPERLINK("http://www.uniprot.org/uniprot/CETN1_MOUSE","CETN1_MOUSE")</f>
        <v>CETN1_MOUSE</v>
      </c>
      <c r="D16309" t="s">
        <v>10286</v>
      </c>
      <c r="E16309" s="3" t="s">
        <v>157</v>
      </c>
      <c r="F16309" s="4">
        <v>8.0500000000000002E-7</v>
      </c>
      <c r="G16309" s="3">
        <v>125</v>
      </c>
      <c r="H16309" s="3">
        <v>33</v>
      </c>
      <c r="I16309" s="3">
        <v>90</v>
      </c>
      <c r="J16309" s="3">
        <v>811</v>
      </c>
      <c r="K16309" s="3">
        <v>1080</v>
      </c>
      <c r="L16309" s="3">
        <v>84</v>
      </c>
      <c r="M16309" s="3">
        <v>171</v>
      </c>
    </row>
    <row r="16310" spans="1:13" x14ac:dyDescent="0.25">
      <c r="A16310" s="1" t="str">
        <f>HYPERLINK("http://www.rosaceae.org/Prunus/Prunus_persica/p.persica_gdr_reftransV1_0043205","p.persica_gdr_reftransV1_0043205")</f>
        <v>p.persica_gdr_reftransV1_0043205</v>
      </c>
      <c r="B16310" s="3">
        <v>1425</v>
      </c>
      <c r="C16310" s="1" t="str">
        <f>HYPERLINK("http://www.uniprot.org/uniprot/GBF4_ARATH","GBF4_ARATH")</f>
        <v>GBF4_ARATH</v>
      </c>
      <c r="D16310" t="s">
        <v>1680</v>
      </c>
      <c r="E16310" s="3" t="s">
        <v>3</v>
      </c>
      <c r="F16310" s="4">
        <v>5.0900000000000001E-29</v>
      </c>
      <c r="G16310" s="3">
        <v>297</v>
      </c>
      <c r="H16310" s="3">
        <v>43</v>
      </c>
      <c r="I16310" s="3">
        <v>209</v>
      </c>
      <c r="J16310" s="3">
        <v>329</v>
      </c>
      <c r="K16310" s="3">
        <v>937</v>
      </c>
      <c r="L16310" s="3">
        <v>85</v>
      </c>
      <c r="M16310" s="3">
        <v>270</v>
      </c>
    </row>
    <row r="16311" spans="1:13" x14ac:dyDescent="0.25">
      <c r="A16311" s="1" t="str">
        <f>HYPERLINK("http://www.rosaceae.org/Prunus/Prunus_persica/p.persica_gdr_reftransV1_0043255","p.persica_gdr_reftransV1_0043255")</f>
        <v>p.persica_gdr_reftransV1_0043255</v>
      </c>
      <c r="B16311" s="3">
        <v>850</v>
      </c>
      <c r="C16311" s="1" t="str">
        <f>HYPERLINK("http://www.uniprot.org/uniprot/TBL43_ARATH","TBL43_ARATH")</f>
        <v>TBL43_ARATH</v>
      </c>
      <c r="D16311" t="s">
        <v>3846</v>
      </c>
      <c r="E16311" s="3" t="s">
        <v>3</v>
      </c>
      <c r="F16311" s="4">
        <v>2.98E-102</v>
      </c>
      <c r="G16311" s="3">
        <v>793</v>
      </c>
      <c r="H16311" s="3">
        <v>55</v>
      </c>
      <c r="I16311" s="3">
        <v>266</v>
      </c>
      <c r="J16311" s="3">
        <v>57</v>
      </c>
      <c r="K16311" s="3">
        <v>845</v>
      </c>
      <c r="L16311" s="3">
        <v>102</v>
      </c>
      <c r="M16311" s="3">
        <v>365</v>
      </c>
    </row>
    <row r="16312" spans="1:13" x14ac:dyDescent="0.25">
      <c r="A16312" s="1" t="str">
        <f>HYPERLINK("http://www.rosaceae.org/Prunus/Prunus_persica/p.persica_gdr_reftransV1_0043305","p.persica_gdr_reftransV1_0043305")</f>
        <v>p.persica_gdr_reftransV1_0043305</v>
      </c>
      <c r="B16312" s="3">
        <v>1328</v>
      </c>
      <c r="C16312" s="1" t="str">
        <f>HYPERLINK("http://www.uniprot.org/uniprot/MYB12_ARATH","MYB12_ARATH")</f>
        <v>MYB12_ARATH</v>
      </c>
      <c r="D16312" t="s">
        <v>8164</v>
      </c>
      <c r="E16312" s="3" t="s">
        <v>3</v>
      </c>
      <c r="F16312" s="4">
        <v>6.4800000000000001E-66</v>
      </c>
      <c r="G16312" s="3">
        <v>564</v>
      </c>
      <c r="H16312" s="3">
        <v>84</v>
      </c>
      <c r="I16312" s="3">
        <v>118</v>
      </c>
      <c r="J16312" s="3">
        <v>2</v>
      </c>
      <c r="K16312" s="3">
        <v>355</v>
      </c>
      <c r="L16312" s="3">
        <v>2</v>
      </c>
      <c r="M16312" s="3">
        <v>119</v>
      </c>
    </row>
    <row r="16313" spans="1:13" x14ac:dyDescent="0.25">
      <c r="A16313" s="1" t="str">
        <f>HYPERLINK("http://www.rosaceae.org/Prunus/Prunus_persica/p.persica_gdr_reftransV1_0043355","p.persica_gdr_reftransV1_0043355")</f>
        <v>p.persica_gdr_reftransV1_0043355</v>
      </c>
      <c r="B16313" s="3">
        <v>1309</v>
      </c>
      <c r="C16313" s="1" t="str">
        <f>HYPERLINK("http://www.uniprot.org/uniprot/EXP16_ORYSJ","EXP16_ORYSJ")</f>
        <v>EXP16_ORYSJ</v>
      </c>
      <c r="D16313" t="s">
        <v>10287</v>
      </c>
      <c r="E16313" s="3" t="s">
        <v>38</v>
      </c>
      <c r="F16313" s="4">
        <v>5.1900000000000003E-115</v>
      </c>
      <c r="G16313" s="3">
        <v>883</v>
      </c>
      <c r="H16313" s="3">
        <v>68</v>
      </c>
      <c r="I16313" s="3">
        <v>229</v>
      </c>
      <c r="J16313" s="3">
        <v>361</v>
      </c>
      <c r="K16313" s="3">
        <v>1041</v>
      </c>
      <c r="L16313" s="3">
        <v>30</v>
      </c>
      <c r="M16313" s="3">
        <v>258</v>
      </c>
    </row>
    <row r="16314" spans="1:13" x14ac:dyDescent="0.25">
      <c r="A16314" s="1" t="str">
        <f>HYPERLINK("http://www.rosaceae.org/Prunus/Prunus_persica/p.persica_gdr_reftransV1_0043455","p.persica_gdr_reftransV1_0043455")</f>
        <v>p.persica_gdr_reftransV1_0043455</v>
      </c>
      <c r="B16314" s="3">
        <v>3276</v>
      </c>
      <c r="C16314" s="1" t="str">
        <f>HYPERLINK("http://www.uniprot.org/uniprot/VP13C_HUMAN","VP13C_HUMAN")</f>
        <v>VP13C_HUMAN</v>
      </c>
      <c r="D16314" t="s">
        <v>10288</v>
      </c>
      <c r="E16314" s="3" t="s">
        <v>28</v>
      </c>
      <c r="F16314" s="4">
        <v>3.6500000000000002E-20</v>
      </c>
      <c r="G16314" s="3">
        <v>251</v>
      </c>
      <c r="H16314" s="3">
        <v>28</v>
      </c>
      <c r="I16314" s="3">
        <v>229</v>
      </c>
      <c r="J16314" s="3">
        <v>1354</v>
      </c>
      <c r="K16314" s="3">
        <v>2034</v>
      </c>
      <c r="L16314" s="3">
        <v>3476</v>
      </c>
      <c r="M16314" s="3">
        <v>3677</v>
      </c>
    </row>
    <row r="16315" spans="1:13" x14ac:dyDescent="0.25">
      <c r="A16315" s="1" t="str">
        <f>HYPERLINK("http://www.rosaceae.org/Prunus/Prunus_persica/p.persica_gdr_reftransV1_0043555","p.persica_gdr_reftransV1_0043555")</f>
        <v>p.persica_gdr_reftransV1_0043555</v>
      </c>
      <c r="B16315" s="3">
        <v>895</v>
      </c>
      <c r="C16315" s="1" t="str">
        <f>HYPERLINK("http://www.uniprot.org/uniprot/SNL4_ARATH","SNL4_ARATH")</f>
        <v>SNL4_ARATH</v>
      </c>
      <c r="D16315" t="s">
        <v>7213</v>
      </c>
      <c r="E16315" s="3" t="s">
        <v>3</v>
      </c>
      <c r="F16315" s="4">
        <v>7.54E-77</v>
      </c>
      <c r="G16315" s="3">
        <v>663</v>
      </c>
      <c r="H16315" s="3">
        <v>50</v>
      </c>
      <c r="I16315" s="3">
        <v>317</v>
      </c>
      <c r="J16315" s="3">
        <v>3</v>
      </c>
      <c r="K16315" s="3">
        <v>893</v>
      </c>
      <c r="L16315" s="3">
        <v>77</v>
      </c>
      <c r="M16315" s="3">
        <v>381</v>
      </c>
    </row>
    <row r="16316" spans="1:13" x14ac:dyDescent="0.25">
      <c r="A16316" s="1" t="str">
        <f>HYPERLINK("http://www.rosaceae.org/Prunus/Prunus_persica/p.persica_gdr_reftransV1_0043605","p.persica_gdr_reftransV1_0043605")</f>
        <v>p.persica_gdr_reftransV1_0043605</v>
      </c>
      <c r="B16316" s="3">
        <v>1557</v>
      </c>
      <c r="C16316" s="1" t="str">
        <f>HYPERLINK("http://www.uniprot.org/uniprot/RH33_ARATH","RH33_ARATH")</f>
        <v>RH33_ARATH</v>
      </c>
      <c r="D16316" t="s">
        <v>10289</v>
      </c>
      <c r="E16316" s="3" t="s">
        <v>3</v>
      </c>
      <c r="F16316" s="4">
        <v>2.6699999999999999E-14</v>
      </c>
      <c r="G16316" s="3">
        <v>195</v>
      </c>
      <c r="H16316" s="3">
        <v>37</v>
      </c>
      <c r="I16316" s="3">
        <v>163</v>
      </c>
      <c r="J16316" s="3">
        <v>154</v>
      </c>
      <c r="K16316" s="3">
        <v>585</v>
      </c>
      <c r="L16316" s="3">
        <v>19</v>
      </c>
      <c r="M16316" s="3">
        <v>175</v>
      </c>
    </row>
    <row r="16317" spans="1:13" x14ac:dyDescent="0.25">
      <c r="A16317" s="1" t="str">
        <f>HYPERLINK("http://www.rosaceae.org/Prunus/Prunus_persica/p.persica_gdr_reftransV1_0043705","p.persica_gdr_reftransV1_0043705")</f>
        <v>p.persica_gdr_reftransV1_0043705</v>
      </c>
      <c r="B16317" s="3">
        <v>354</v>
      </c>
      <c r="C16317" s="1" t="str">
        <f>HYPERLINK("http://www.uniprot.org/uniprot/PPR45_ARATH","PPR45_ARATH")</f>
        <v>PPR45_ARATH</v>
      </c>
      <c r="D16317" t="s">
        <v>6117</v>
      </c>
      <c r="E16317" s="3" t="s">
        <v>3</v>
      </c>
      <c r="F16317" s="4">
        <v>1.8500000000000001E-63</v>
      </c>
      <c r="G16317" s="3">
        <v>538</v>
      </c>
      <c r="H16317" s="3">
        <v>83</v>
      </c>
      <c r="I16317" s="3">
        <v>116</v>
      </c>
      <c r="J16317" s="3">
        <v>1</v>
      </c>
      <c r="K16317" s="3">
        <v>345</v>
      </c>
      <c r="L16317" s="3">
        <v>161</v>
      </c>
      <c r="M16317" s="3">
        <v>276</v>
      </c>
    </row>
    <row r="16318" spans="1:13" x14ac:dyDescent="0.25">
      <c r="A16318" s="1" t="str">
        <f>HYPERLINK("http://www.rosaceae.org/Prunus/Prunus_persica/p.persica_gdr_reftransV1_0043755","p.persica_gdr_reftransV1_0043755")</f>
        <v>p.persica_gdr_reftransV1_0043755</v>
      </c>
      <c r="B16318" s="3">
        <v>1010</v>
      </c>
      <c r="C16318" s="1" t="str">
        <f>HYPERLINK("http://www.uniprot.org/uniprot/SAMC1_ARATH","SAMC1_ARATH")</f>
        <v>SAMC1_ARATH</v>
      </c>
      <c r="D16318" t="s">
        <v>4251</v>
      </c>
      <c r="E16318" s="3" t="s">
        <v>3</v>
      </c>
      <c r="F16318" s="4">
        <v>4.7100000000000003E-35</v>
      </c>
      <c r="G16318" s="3">
        <v>340</v>
      </c>
      <c r="H16318" s="3">
        <v>35</v>
      </c>
      <c r="I16318" s="3">
        <v>232</v>
      </c>
      <c r="J16318" s="3">
        <v>244</v>
      </c>
      <c r="K16318" s="3">
        <v>936</v>
      </c>
      <c r="L16318" s="3">
        <v>93</v>
      </c>
      <c r="M16318" s="3">
        <v>318</v>
      </c>
    </row>
    <row r="16319" spans="1:13" x14ac:dyDescent="0.25">
      <c r="A16319" s="1" t="str">
        <f>HYPERLINK("http://www.rosaceae.org/Prunus/Prunus_persica/p.persica_gdr_reftransV1_0043955","p.persica_gdr_reftransV1_0043955")</f>
        <v>p.persica_gdr_reftransV1_0043955</v>
      </c>
      <c r="B16319" s="3">
        <v>472</v>
      </c>
      <c r="C16319" s="1" t="str">
        <f>HYPERLINK("http://www.uniprot.org/uniprot/PER45_ARATH","PER45_ARATH")</f>
        <v>PER45_ARATH</v>
      </c>
      <c r="D16319" t="s">
        <v>7999</v>
      </c>
      <c r="E16319" s="3" t="s">
        <v>3</v>
      </c>
      <c r="F16319" s="4">
        <v>3.4400000000000001E-65</v>
      </c>
      <c r="G16319" s="3">
        <v>529</v>
      </c>
      <c r="H16319" s="3">
        <v>68</v>
      </c>
      <c r="I16319" s="3">
        <v>141</v>
      </c>
      <c r="J16319" s="3">
        <v>49</v>
      </c>
      <c r="K16319" s="3">
        <v>471</v>
      </c>
      <c r="L16319" s="3">
        <v>144</v>
      </c>
      <c r="M16319" s="3">
        <v>284</v>
      </c>
    </row>
    <row r="16320" spans="1:13" x14ac:dyDescent="0.25">
      <c r="A16320" s="1" t="str">
        <f>HYPERLINK("http://www.rosaceae.org/Prunus/Prunus_persica/p.persica_gdr_reftransV1_0044105","p.persica_gdr_reftransV1_0044105")</f>
        <v>p.persica_gdr_reftransV1_0044105</v>
      </c>
      <c r="B16320" s="3">
        <v>1167</v>
      </c>
      <c r="C16320" s="1" t="str">
        <f>HYPERLINK("http://www.uniprot.org/uniprot/NUD16_ARATH","NUD16_ARATH")</f>
        <v>NUD16_ARATH</v>
      </c>
      <c r="D16320" t="s">
        <v>7607</v>
      </c>
      <c r="E16320" s="3" t="s">
        <v>3</v>
      </c>
      <c r="F16320" s="4">
        <v>7.1799999999999996E-78</v>
      </c>
      <c r="G16320" s="3">
        <v>624</v>
      </c>
      <c r="H16320" s="3">
        <v>75</v>
      </c>
      <c r="I16320" s="3">
        <v>173</v>
      </c>
      <c r="J16320" s="3">
        <v>309</v>
      </c>
      <c r="K16320" s="3">
        <v>827</v>
      </c>
      <c r="L16320" s="3">
        <v>1</v>
      </c>
      <c r="M16320" s="3">
        <v>173</v>
      </c>
    </row>
    <row r="16321" spans="1:13" x14ac:dyDescent="0.25">
      <c r="A16321" s="1" t="str">
        <f>HYPERLINK("http://www.rosaceae.org/Prunus/Prunus_persica/p.persica_gdr_reftransV1_0044155","p.persica_gdr_reftransV1_0044155")</f>
        <v>p.persica_gdr_reftransV1_0044155</v>
      </c>
      <c r="B16321" s="3">
        <v>2775</v>
      </c>
      <c r="C16321" s="1" t="str">
        <f>HYPERLINK("http://www.uniprot.org/uniprot/CAS2_BETPL","CAS2_BETPL")</f>
        <v>CAS2_BETPL</v>
      </c>
      <c r="D16321" t="s">
        <v>10290</v>
      </c>
      <c r="E16321" s="3" t="s">
        <v>2061</v>
      </c>
      <c r="F16321" s="4">
        <v>0</v>
      </c>
      <c r="G16321" s="3">
        <v>3589</v>
      </c>
      <c r="H16321" s="3">
        <v>86</v>
      </c>
      <c r="I16321" s="3">
        <v>756</v>
      </c>
      <c r="J16321" s="3">
        <v>197</v>
      </c>
      <c r="K16321" s="3">
        <v>2464</v>
      </c>
      <c r="L16321" s="3">
        <v>1</v>
      </c>
      <c r="M16321" s="3">
        <v>756</v>
      </c>
    </row>
    <row r="16322" spans="1:13" x14ac:dyDescent="0.25">
      <c r="A16322" s="1" t="str">
        <f>HYPERLINK("http://www.rosaceae.org/Prunus/Prunus_persica/p.persica_gdr_reftransV1_0044205","p.persica_gdr_reftransV1_0044205")</f>
        <v>p.persica_gdr_reftransV1_0044205</v>
      </c>
      <c r="B16322" s="3">
        <v>903</v>
      </c>
      <c r="C16322" s="1" t="str">
        <f>HYPERLINK("http://www.uniprot.org/uniprot/WOX1_ARATH","WOX1_ARATH")</f>
        <v>WOX1_ARATH</v>
      </c>
      <c r="D16322" t="s">
        <v>10291</v>
      </c>
      <c r="E16322" s="3" t="s">
        <v>3</v>
      </c>
      <c r="F16322" s="4">
        <v>1.68E-55</v>
      </c>
      <c r="G16322" s="3">
        <v>480</v>
      </c>
      <c r="H16322" s="3">
        <v>46</v>
      </c>
      <c r="I16322" s="3">
        <v>271</v>
      </c>
      <c r="J16322" s="3">
        <v>79</v>
      </c>
      <c r="K16322" s="3">
        <v>852</v>
      </c>
      <c r="L16322" s="3">
        <v>1</v>
      </c>
      <c r="M16322" s="3">
        <v>229</v>
      </c>
    </row>
    <row r="16323" spans="1:13" x14ac:dyDescent="0.25">
      <c r="A16323" s="1" t="str">
        <f>HYPERLINK("http://www.rosaceae.org/Prunus/Prunus_persica/p.persica_gdr_reftransV1_0044255","p.persica_gdr_reftransV1_0044255")</f>
        <v>p.persica_gdr_reftransV1_0044255</v>
      </c>
      <c r="B16323" s="3">
        <v>410</v>
      </c>
      <c r="C16323" s="1" t="str">
        <f>HYPERLINK("http://www.uniprot.org/uniprot/EAR1_ORYSI","EAR1_ORYSI")</f>
        <v>EAR1_ORYSI</v>
      </c>
      <c r="D16323" t="s">
        <v>10292</v>
      </c>
      <c r="E16323" s="3" t="s">
        <v>38</v>
      </c>
      <c r="F16323" s="4">
        <v>6.3199999999999997E-33</v>
      </c>
      <c r="G16323" s="3">
        <v>317</v>
      </c>
      <c r="H16323" s="3">
        <v>81</v>
      </c>
      <c r="I16323" s="3">
        <v>69</v>
      </c>
      <c r="J16323" s="3">
        <v>202</v>
      </c>
      <c r="K16323" s="3">
        <v>408</v>
      </c>
      <c r="L16323" s="3">
        <v>532</v>
      </c>
      <c r="M16323" s="3">
        <v>600</v>
      </c>
    </row>
    <row r="16324" spans="1:13" x14ac:dyDescent="0.25">
      <c r="A16324" s="1" t="str">
        <f>HYPERLINK("http://www.rosaceae.org/Prunus/Prunus_persica/p.persica_gdr_reftransV1_0044305","p.persica_gdr_reftransV1_0044305")</f>
        <v>p.persica_gdr_reftransV1_0044305</v>
      </c>
      <c r="B16324" s="3">
        <v>469</v>
      </c>
      <c r="C16324" s="1" t="str">
        <f>HYPERLINK("http://www.uniprot.org/uniprot/GDIR_ARATH","GDIR_ARATH")</f>
        <v>GDIR_ARATH</v>
      </c>
      <c r="D16324" t="s">
        <v>838</v>
      </c>
      <c r="E16324" s="3" t="s">
        <v>3</v>
      </c>
      <c r="F16324" s="4">
        <v>2.17E-7</v>
      </c>
      <c r="G16324" s="3">
        <v>123</v>
      </c>
      <c r="H16324" s="3">
        <v>85</v>
      </c>
      <c r="I16324" s="3">
        <v>26</v>
      </c>
      <c r="J16324" s="3">
        <v>3</v>
      </c>
      <c r="K16324" s="3">
        <v>80</v>
      </c>
      <c r="L16324" s="3">
        <v>65</v>
      </c>
      <c r="M16324" s="3">
        <v>90</v>
      </c>
    </row>
    <row r="16325" spans="1:13" x14ac:dyDescent="0.25">
      <c r="A16325" s="1" t="str">
        <f>HYPERLINK("http://www.rosaceae.org/Prunus/Prunus_persica/p.persica_gdr_reftransV1_0044355","p.persica_gdr_reftransV1_0044355")</f>
        <v>p.persica_gdr_reftransV1_0044355</v>
      </c>
      <c r="B16325" s="3">
        <v>1920</v>
      </c>
      <c r="C16325" s="1" t="str">
        <f>HYPERLINK("http://www.uniprot.org/uniprot/MED34_ARATH","MED34_ARATH")</f>
        <v>MED34_ARATH</v>
      </c>
      <c r="D16325" t="s">
        <v>9161</v>
      </c>
      <c r="E16325" s="3" t="s">
        <v>3</v>
      </c>
      <c r="F16325" s="4">
        <v>0</v>
      </c>
      <c r="G16325" s="3">
        <v>1256</v>
      </c>
      <c r="H16325" s="3">
        <v>84</v>
      </c>
      <c r="I16325" s="3">
        <v>268</v>
      </c>
      <c r="J16325" s="3">
        <v>1</v>
      </c>
      <c r="K16325" s="3">
        <v>804</v>
      </c>
      <c r="L16325" s="3">
        <v>117</v>
      </c>
      <c r="M16325" s="3">
        <v>384</v>
      </c>
    </row>
    <row r="16326" spans="1:13" x14ac:dyDescent="0.25">
      <c r="A16326" s="1" t="str">
        <f>HYPERLINK("http://www.rosaceae.org/Prunus/Prunus_persica/p.persica_gdr_reftransV1_0044405","p.persica_gdr_reftransV1_0044405")</f>
        <v>p.persica_gdr_reftransV1_0044405</v>
      </c>
      <c r="B16326" s="3">
        <v>798</v>
      </c>
      <c r="C16326" s="1" t="str">
        <f>HYPERLINK("http://www.uniprot.org/uniprot/DAD1_MALDO","DAD1_MALDO")</f>
        <v>DAD1_MALDO</v>
      </c>
      <c r="D16326" t="s">
        <v>6134</v>
      </c>
      <c r="E16326" s="3" t="s">
        <v>540</v>
      </c>
      <c r="F16326" s="4">
        <v>7.8499999999999997E-72</v>
      </c>
      <c r="G16326" s="3">
        <v>567</v>
      </c>
      <c r="H16326" s="3">
        <v>91</v>
      </c>
      <c r="I16326" s="3">
        <v>119</v>
      </c>
      <c r="J16326" s="3">
        <v>73</v>
      </c>
      <c r="K16326" s="3">
        <v>429</v>
      </c>
      <c r="L16326" s="3">
        <v>1</v>
      </c>
      <c r="M16326" s="3">
        <v>119</v>
      </c>
    </row>
    <row r="16327" spans="1:13" x14ac:dyDescent="0.25">
      <c r="A16327" s="1" t="str">
        <f>HYPERLINK("http://www.rosaceae.org/Prunus/Prunus_persica/p.persica_gdr_reftransV1_0044505","p.persica_gdr_reftransV1_0044505")</f>
        <v>p.persica_gdr_reftransV1_0044505</v>
      </c>
      <c r="B16327" s="3">
        <v>990</v>
      </c>
      <c r="C16327" s="1" t="str">
        <f>HYPERLINK("http://www.uniprot.org/uniprot/KAN2_ARATH","KAN2_ARATH")</f>
        <v>KAN2_ARATH</v>
      </c>
      <c r="D16327" t="s">
        <v>6519</v>
      </c>
      <c r="E16327" s="3" t="s">
        <v>3</v>
      </c>
      <c r="F16327" s="4">
        <v>9.7599999999999998E-17</v>
      </c>
      <c r="G16327" s="3">
        <v>205</v>
      </c>
      <c r="H16327" s="3">
        <v>74</v>
      </c>
      <c r="I16327" s="3">
        <v>54</v>
      </c>
      <c r="J16327" s="3">
        <v>520</v>
      </c>
      <c r="K16327" s="3">
        <v>681</v>
      </c>
      <c r="L16327" s="3">
        <v>203</v>
      </c>
      <c r="M16327" s="3">
        <v>251</v>
      </c>
    </row>
    <row r="16328" spans="1:13" x14ac:dyDescent="0.25">
      <c r="A16328" s="1" t="str">
        <f>HYPERLINK("http://www.rosaceae.org/Prunus/Prunus_persica/p.persica_gdr_reftransV1_0044655","p.persica_gdr_reftransV1_0044655")</f>
        <v>p.persica_gdr_reftransV1_0044655</v>
      </c>
      <c r="B16328" s="3">
        <v>1021</v>
      </c>
      <c r="C16328" s="1" t="str">
        <f>HYPERLINK("http://www.uniprot.org/uniprot/LPXD2_ARATH","LPXD2_ARATH")</f>
        <v>LPXD2_ARATH</v>
      </c>
      <c r="D16328" t="s">
        <v>10293</v>
      </c>
      <c r="E16328" s="3" t="s">
        <v>3</v>
      </c>
      <c r="F16328" s="4">
        <v>1.7500000000000001E-122</v>
      </c>
      <c r="G16328" s="3">
        <v>927</v>
      </c>
      <c r="H16328" s="3">
        <v>73</v>
      </c>
      <c r="I16328" s="3">
        <v>230</v>
      </c>
      <c r="J16328" s="3">
        <v>214</v>
      </c>
      <c r="K16328" s="3">
        <v>903</v>
      </c>
      <c r="L16328" s="3">
        <v>73</v>
      </c>
      <c r="M16328" s="3">
        <v>302</v>
      </c>
    </row>
    <row r="16329" spans="1:13" x14ac:dyDescent="0.25">
      <c r="A16329" s="1" t="str">
        <f>HYPERLINK("http://www.rosaceae.org/Prunus/Prunus_persica/p.persica_gdr_reftransV1_0044755","p.persica_gdr_reftransV1_0044755")</f>
        <v>p.persica_gdr_reftransV1_0044755</v>
      </c>
      <c r="B16329" s="3">
        <v>1583</v>
      </c>
      <c r="C16329" s="1" t="str">
        <f>HYPERLINK("http://www.uniprot.org/uniprot/OPT7_ARATH","OPT7_ARATH")</f>
        <v>OPT7_ARATH</v>
      </c>
      <c r="D16329" t="s">
        <v>7321</v>
      </c>
      <c r="E16329" s="3" t="s">
        <v>3</v>
      </c>
      <c r="F16329" s="4">
        <v>0</v>
      </c>
      <c r="G16329" s="3">
        <v>1457</v>
      </c>
      <c r="H16329" s="3">
        <v>82</v>
      </c>
      <c r="I16329" s="3">
        <v>332</v>
      </c>
      <c r="J16329" s="3">
        <v>228</v>
      </c>
      <c r="K16329" s="3">
        <v>1223</v>
      </c>
      <c r="L16329" s="3">
        <v>55</v>
      </c>
      <c r="M16329" s="3">
        <v>386</v>
      </c>
    </row>
    <row r="16330" spans="1:13" x14ac:dyDescent="0.25">
      <c r="A16330" s="1" t="str">
        <f>HYPERLINK("http://www.rosaceae.org/Prunus/Prunus_persica/p.persica_gdr_reftransV1_0044805","p.persica_gdr_reftransV1_0044805")</f>
        <v>p.persica_gdr_reftransV1_0044805</v>
      </c>
      <c r="B16330" s="3">
        <v>374</v>
      </c>
      <c r="C16330" s="1" t="str">
        <f>HYPERLINK("http://www.uniprot.org/uniprot/PP410_ARATH","PP410_ARATH")</f>
        <v>PP410_ARATH</v>
      </c>
      <c r="D16330" t="s">
        <v>6617</v>
      </c>
      <c r="E16330" s="3" t="s">
        <v>3</v>
      </c>
      <c r="F16330" s="4">
        <v>1.13E-21</v>
      </c>
      <c r="G16330" s="3">
        <v>232</v>
      </c>
      <c r="H16330" s="3">
        <v>50</v>
      </c>
      <c r="I16330" s="3">
        <v>107</v>
      </c>
      <c r="J16330" s="3">
        <v>3</v>
      </c>
      <c r="K16330" s="3">
        <v>323</v>
      </c>
      <c r="L16330" s="3">
        <v>173</v>
      </c>
      <c r="M16330" s="3">
        <v>279</v>
      </c>
    </row>
    <row r="16331" spans="1:13" x14ac:dyDescent="0.25">
      <c r="A16331" s="1" t="str">
        <f>HYPERLINK("http://www.rosaceae.org/Prunus/Prunus_persica/p.persica_gdr_reftransV1_0044905","p.persica_gdr_reftransV1_0044905")</f>
        <v>p.persica_gdr_reftransV1_0044905</v>
      </c>
      <c r="B16331" s="3">
        <v>2699</v>
      </c>
      <c r="C16331" s="1" t="str">
        <f>HYPERLINK("http://www.uniprot.org/uniprot/CKI2_SCHPO","CKI2_SCHPO")</f>
        <v>CKI2_SCHPO</v>
      </c>
      <c r="D16331" t="s">
        <v>7958</v>
      </c>
      <c r="E16331" s="3" t="s">
        <v>464</v>
      </c>
      <c r="F16331" s="4">
        <v>1.7100000000000001E-50</v>
      </c>
      <c r="G16331" s="3">
        <v>478</v>
      </c>
      <c r="H16331" s="3">
        <v>34</v>
      </c>
      <c r="I16331" s="3">
        <v>323</v>
      </c>
      <c r="J16331" s="3">
        <v>844</v>
      </c>
      <c r="K16331" s="3">
        <v>1755</v>
      </c>
      <c r="L16331" s="3">
        <v>38</v>
      </c>
      <c r="M16331" s="3">
        <v>356</v>
      </c>
    </row>
    <row r="16332" spans="1:13" x14ac:dyDescent="0.25">
      <c r="A16332" s="1" t="str">
        <f>HYPERLINK("http://www.rosaceae.org/Prunus/Prunus_persica/p.persica_gdr_reftransV1_0044955","p.persica_gdr_reftransV1_0044955")</f>
        <v>p.persica_gdr_reftransV1_0044955</v>
      </c>
      <c r="B16332" s="3">
        <v>652</v>
      </c>
      <c r="C16332" s="1" t="str">
        <f>HYPERLINK("http://www.uniprot.org/uniprot/TRPA1_MOUSE","TRPA1_MOUSE")</f>
        <v>TRPA1_MOUSE</v>
      </c>
      <c r="D16332" t="s">
        <v>574</v>
      </c>
      <c r="E16332" s="3" t="s">
        <v>157</v>
      </c>
      <c r="F16332" s="4">
        <v>3.12E-9</v>
      </c>
      <c r="G16332" s="3">
        <v>144</v>
      </c>
      <c r="H16332" s="3">
        <v>44</v>
      </c>
      <c r="I16332" s="3">
        <v>77</v>
      </c>
      <c r="J16332" s="3">
        <v>369</v>
      </c>
      <c r="K16332" s="3">
        <v>599</v>
      </c>
      <c r="L16332" s="3">
        <v>484</v>
      </c>
      <c r="M16332" s="3">
        <v>557</v>
      </c>
    </row>
    <row r="16333" spans="1:13" x14ac:dyDescent="0.25">
      <c r="A16333" s="1" t="str">
        <f>HYPERLINK("http://www.rosaceae.org/Prunus/Prunus_persica/p.persica_gdr_reftransV1_0045055","p.persica_gdr_reftransV1_0045055")</f>
        <v>p.persica_gdr_reftransV1_0045055</v>
      </c>
      <c r="B16333" s="3">
        <v>1716</v>
      </c>
      <c r="C16333" s="1" t="str">
        <f>HYPERLINK("http://www.uniprot.org/uniprot/PERK3_ARATH","PERK3_ARATH")</f>
        <v>PERK3_ARATH</v>
      </c>
      <c r="D16333" t="s">
        <v>7491</v>
      </c>
      <c r="E16333" s="3" t="s">
        <v>3</v>
      </c>
      <c r="F16333" s="4">
        <v>3.4799999999999999E-47</v>
      </c>
      <c r="G16333" s="3">
        <v>450</v>
      </c>
      <c r="H16333" s="3">
        <v>42</v>
      </c>
      <c r="I16333" s="3">
        <v>231</v>
      </c>
      <c r="J16333" s="3">
        <v>513</v>
      </c>
      <c r="K16333" s="3">
        <v>1193</v>
      </c>
      <c r="L16333" s="3">
        <v>171</v>
      </c>
      <c r="M16333" s="3">
        <v>398</v>
      </c>
    </row>
    <row r="16334" spans="1:13" x14ac:dyDescent="0.25">
      <c r="A16334" s="1" t="str">
        <f>HYPERLINK("http://www.rosaceae.org/Prunus/Prunus_persica/p.persica_gdr_reftransV1_0045105","p.persica_gdr_reftransV1_0045105")</f>
        <v>p.persica_gdr_reftransV1_0045105</v>
      </c>
      <c r="B16334" s="3">
        <v>3316</v>
      </c>
      <c r="C16334" s="1" t="str">
        <f>HYPERLINK("http://www.uniprot.org/uniprot/NU98A_ARATH","NU98A_ARATH")</f>
        <v>NU98A_ARATH</v>
      </c>
      <c r="D16334" t="s">
        <v>2674</v>
      </c>
      <c r="E16334" s="3" t="s">
        <v>3</v>
      </c>
      <c r="F16334" s="4">
        <v>1.43E-177</v>
      </c>
      <c r="G16334" s="3">
        <v>1430</v>
      </c>
      <c r="H16334" s="3">
        <v>68</v>
      </c>
      <c r="I16334" s="3">
        <v>415</v>
      </c>
      <c r="J16334" s="3">
        <v>1761</v>
      </c>
      <c r="K16334" s="3">
        <v>2957</v>
      </c>
      <c r="L16334" s="3">
        <v>626</v>
      </c>
      <c r="M16334" s="3">
        <v>1039</v>
      </c>
    </row>
    <row r="16335" spans="1:13" x14ac:dyDescent="0.25">
      <c r="A16335" s="1" t="str">
        <f>HYPERLINK("http://www.rosaceae.org/Prunus/Prunus_persica/p.persica_gdr_reftransV1_0045155","p.persica_gdr_reftransV1_0045155")</f>
        <v>p.persica_gdr_reftransV1_0045155</v>
      </c>
      <c r="B16335" s="3">
        <v>1171</v>
      </c>
      <c r="C16335" s="1" t="str">
        <f>HYPERLINK("http://www.uniprot.org/uniprot/MRT4_BOVIN","MRT4_BOVIN")</f>
        <v>MRT4_BOVIN</v>
      </c>
      <c r="D16335" t="s">
        <v>10294</v>
      </c>
      <c r="E16335" s="3" t="s">
        <v>184</v>
      </c>
      <c r="F16335" s="4">
        <v>6.4399999999999996E-64</v>
      </c>
      <c r="G16335" s="3">
        <v>536</v>
      </c>
      <c r="H16335" s="3">
        <v>49</v>
      </c>
      <c r="I16335" s="3">
        <v>215</v>
      </c>
      <c r="J16335" s="3">
        <v>408</v>
      </c>
      <c r="K16335" s="3">
        <v>1046</v>
      </c>
      <c r="L16335" s="3">
        <v>6</v>
      </c>
      <c r="M16335" s="3">
        <v>219</v>
      </c>
    </row>
    <row r="16336" spans="1:13" x14ac:dyDescent="0.25">
      <c r="A16336" s="1" t="str">
        <f>HYPERLINK("http://www.rosaceae.org/Prunus/Prunus_persica/p.persica_gdr_reftransV1_0045205","p.persica_gdr_reftransV1_0045205")</f>
        <v>p.persica_gdr_reftransV1_0045205</v>
      </c>
      <c r="B16336" s="3">
        <v>2135</v>
      </c>
      <c r="C16336" s="1" t="str">
        <f>HYPERLINK("http://www.uniprot.org/uniprot/PME3_CITSI","PME3_CITSI")</f>
        <v>PME3_CITSI</v>
      </c>
      <c r="D16336" t="s">
        <v>10295</v>
      </c>
      <c r="E16336" s="3" t="s">
        <v>1276</v>
      </c>
      <c r="F16336" s="4">
        <v>0</v>
      </c>
      <c r="G16336" s="3">
        <v>2174</v>
      </c>
      <c r="H16336" s="3">
        <v>75</v>
      </c>
      <c r="I16336" s="3">
        <v>590</v>
      </c>
      <c r="J16336" s="3">
        <v>173</v>
      </c>
      <c r="K16336" s="3">
        <v>1933</v>
      </c>
      <c r="L16336" s="3">
        <v>1</v>
      </c>
      <c r="M16336" s="3">
        <v>584</v>
      </c>
    </row>
    <row r="16337" spans="1:13" x14ac:dyDescent="0.25">
      <c r="A16337" s="1" t="str">
        <f>HYPERLINK("http://www.rosaceae.org/Prunus/Prunus_persica/p.persica_gdr_reftransV1_0045305","p.persica_gdr_reftransV1_0045305")</f>
        <v>p.persica_gdr_reftransV1_0045305</v>
      </c>
      <c r="B16337" s="3">
        <v>2042</v>
      </c>
      <c r="C16337" s="1" t="str">
        <f>HYPERLINK("http://www.uniprot.org/uniprot/SR54C_ARATH","SR54C_ARATH")</f>
        <v>SR54C_ARATH</v>
      </c>
      <c r="D16337" t="s">
        <v>616</v>
      </c>
      <c r="E16337" s="3" t="s">
        <v>3</v>
      </c>
      <c r="F16337" s="4">
        <v>0</v>
      </c>
      <c r="G16337" s="3">
        <v>2350</v>
      </c>
      <c r="H16337" s="3">
        <v>81</v>
      </c>
      <c r="I16337" s="3">
        <v>575</v>
      </c>
      <c r="J16337" s="3">
        <v>71</v>
      </c>
      <c r="K16337" s="3">
        <v>1792</v>
      </c>
      <c r="L16337" s="3">
        <v>1</v>
      </c>
      <c r="M16337" s="3">
        <v>564</v>
      </c>
    </row>
    <row r="16338" spans="1:13" x14ac:dyDescent="0.25">
      <c r="A16338" s="1" t="str">
        <f>HYPERLINK("http://www.rosaceae.org/Prunus/Prunus_persica/p.persica_gdr_reftransV1_0045355","p.persica_gdr_reftransV1_0045355")</f>
        <v>p.persica_gdr_reftransV1_0045355</v>
      </c>
      <c r="B16338" s="3">
        <v>1423</v>
      </c>
      <c r="C16338" s="1" t="str">
        <f>HYPERLINK("http://www.uniprot.org/uniprot/SR45A_ARATH","SR45A_ARATH")</f>
        <v>SR45A_ARATH</v>
      </c>
      <c r="D16338" t="s">
        <v>6013</v>
      </c>
      <c r="E16338" s="3" t="s">
        <v>3</v>
      </c>
      <c r="F16338" s="4">
        <v>1.02E-25</v>
      </c>
      <c r="G16338" s="3">
        <v>278</v>
      </c>
      <c r="H16338" s="3">
        <v>63</v>
      </c>
      <c r="I16338" s="3">
        <v>82</v>
      </c>
      <c r="J16338" s="3">
        <v>905</v>
      </c>
      <c r="K16338" s="3">
        <v>1150</v>
      </c>
      <c r="L16338" s="3">
        <v>70</v>
      </c>
      <c r="M16338" s="3">
        <v>151</v>
      </c>
    </row>
    <row r="16339" spans="1:13" x14ac:dyDescent="0.25">
      <c r="A16339" s="1" t="str">
        <f>HYPERLINK("http://www.rosaceae.org/Prunus/Prunus_persica/p.persica_gdr_reftransV1_0045405","p.persica_gdr_reftransV1_0045405")</f>
        <v>p.persica_gdr_reftransV1_0045405</v>
      </c>
      <c r="B16339" s="3">
        <v>1280</v>
      </c>
      <c r="C16339" s="1" t="str">
        <f>HYPERLINK("http://www.uniprot.org/uniprot/RPC4_BOVIN","RPC4_BOVIN")</f>
        <v>RPC4_BOVIN</v>
      </c>
      <c r="D16339" t="s">
        <v>10296</v>
      </c>
      <c r="E16339" s="3" t="s">
        <v>184</v>
      </c>
      <c r="F16339" s="4">
        <v>3.77E-9</v>
      </c>
      <c r="G16339" s="3">
        <v>149</v>
      </c>
      <c r="H16339" s="3">
        <v>29</v>
      </c>
      <c r="I16339" s="3">
        <v>150</v>
      </c>
      <c r="J16339" s="3">
        <v>258</v>
      </c>
      <c r="K16339" s="3">
        <v>668</v>
      </c>
      <c r="L16339" s="3">
        <v>248</v>
      </c>
      <c r="M16339" s="3">
        <v>394</v>
      </c>
    </row>
    <row r="16340" spans="1:13" x14ac:dyDescent="0.25">
      <c r="A16340" s="1" t="str">
        <f>HYPERLINK("http://www.rosaceae.org/Prunus/Prunus_persica/p.persica_gdr_reftransV1_0045755","p.persica_gdr_reftransV1_0045755")</f>
        <v>p.persica_gdr_reftransV1_0045755</v>
      </c>
      <c r="B16340" s="3">
        <v>1134</v>
      </c>
      <c r="C16340" s="1" t="str">
        <f>HYPERLINK("http://www.uniprot.org/uniprot/ZHD1_ORYSJ","ZHD1_ORYSJ")</f>
        <v>ZHD1_ORYSJ</v>
      </c>
      <c r="D16340" t="s">
        <v>1651</v>
      </c>
      <c r="E16340" s="3" t="s">
        <v>38</v>
      </c>
      <c r="F16340" s="4">
        <v>6.4099999999999997E-66</v>
      </c>
      <c r="G16340" s="3">
        <v>552</v>
      </c>
      <c r="H16340" s="3">
        <v>59</v>
      </c>
      <c r="I16340" s="3">
        <v>225</v>
      </c>
      <c r="J16340" s="3">
        <v>3</v>
      </c>
      <c r="K16340" s="3">
        <v>617</v>
      </c>
      <c r="L16340" s="3">
        <v>62</v>
      </c>
      <c r="M16340" s="3">
        <v>277</v>
      </c>
    </row>
    <row r="16341" spans="1:13" x14ac:dyDescent="0.25">
      <c r="A16341" s="1" t="str">
        <f>HYPERLINK("http://www.rosaceae.org/Prunus/Prunus_persica/p.persica_gdr_reftransV1_0045855","p.persica_gdr_reftransV1_0045855")</f>
        <v>p.persica_gdr_reftransV1_0045855</v>
      </c>
      <c r="B16341" s="3">
        <v>2160</v>
      </c>
      <c r="C16341" s="1" t="str">
        <f>HYPERLINK("http://www.uniprot.org/uniprot/DIT21_ARATH","DIT21_ARATH")</f>
        <v>DIT21_ARATH</v>
      </c>
      <c r="D16341" t="s">
        <v>10297</v>
      </c>
      <c r="E16341" s="3" t="s">
        <v>3</v>
      </c>
      <c r="F16341" s="4">
        <v>0</v>
      </c>
      <c r="G16341" s="3">
        <v>1869</v>
      </c>
      <c r="H16341" s="3">
        <v>84</v>
      </c>
      <c r="I16341" s="3">
        <v>465</v>
      </c>
      <c r="J16341" s="3">
        <v>307</v>
      </c>
      <c r="K16341" s="3">
        <v>1701</v>
      </c>
      <c r="L16341" s="3">
        <v>99</v>
      </c>
      <c r="M16341" s="3">
        <v>563</v>
      </c>
    </row>
    <row r="16342" spans="1:13" x14ac:dyDescent="0.25">
      <c r="A16342" s="1" t="str">
        <f>HYPERLINK("http://www.rosaceae.org/Prunus/Prunus_persica/p.persica_gdr_reftransV1_0045905","p.persica_gdr_reftransV1_0045905")</f>
        <v>p.persica_gdr_reftransV1_0045905</v>
      </c>
      <c r="B16342" s="3">
        <v>2184</v>
      </c>
      <c r="C16342" s="1" t="str">
        <f>HYPERLINK("http://www.uniprot.org/uniprot/MAOM_SOLTU","MAOM_SOLTU")</f>
        <v>MAOM_SOLTU</v>
      </c>
      <c r="D16342" t="s">
        <v>3446</v>
      </c>
      <c r="E16342" s="3" t="s">
        <v>11</v>
      </c>
      <c r="F16342" s="4">
        <v>0</v>
      </c>
      <c r="G16342" s="3">
        <v>2571</v>
      </c>
      <c r="H16342" s="3">
        <v>85</v>
      </c>
      <c r="I16342" s="3">
        <v>628</v>
      </c>
      <c r="J16342" s="3">
        <v>218</v>
      </c>
      <c r="K16342" s="3">
        <v>2101</v>
      </c>
      <c r="L16342" s="3">
        <v>1</v>
      </c>
      <c r="M16342" s="3">
        <v>626</v>
      </c>
    </row>
    <row r="16343" spans="1:13" x14ac:dyDescent="0.25">
      <c r="A16343" s="1" t="str">
        <f>HYPERLINK("http://www.rosaceae.org/Prunus/Prunus_persica/p.persica_gdr_reftransV1_0046055","p.persica_gdr_reftransV1_0046055")</f>
        <v>p.persica_gdr_reftransV1_0046055</v>
      </c>
      <c r="B16343" s="3">
        <v>1595</v>
      </c>
      <c r="C16343" s="1" t="str">
        <f>HYPERLINK("http://www.uniprot.org/uniprot/JASON_ARATH","JASON_ARATH")</f>
        <v>JASON_ARATH</v>
      </c>
      <c r="D16343" t="s">
        <v>5948</v>
      </c>
      <c r="E16343" s="3" t="s">
        <v>3</v>
      </c>
      <c r="F16343" s="4">
        <v>2.5699999999999999E-7</v>
      </c>
      <c r="G16343" s="3">
        <v>136</v>
      </c>
      <c r="H16343" s="3">
        <v>44</v>
      </c>
      <c r="I16343" s="3">
        <v>62</v>
      </c>
      <c r="J16343" s="3">
        <v>185</v>
      </c>
      <c r="K16343" s="3">
        <v>370</v>
      </c>
      <c r="L16343" s="3">
        <v>384</v>
      </c>
      <c r="M16343" s="3">
        <v>444</v>
      </c>
    </row>
    <row r="16344" spans="1:13" x14ac:dyDescent="0.25">
      <c r="A16344" s="1" t="str">
        <f>HYPERLINK("http://www.rosaceae.org/Prunus/Prunus_persica/p.persica_gdr_reftransV1_0046105","p.persica_gdr_reftransV1_0046105")</f>
        <v>p.persica_gdr_reftransV1_0046105</v>
      </c>
      <c r="B16344" s="3">
        <v>2108</v>
      </c>
      <c r="C16344" s="1" t="str">
        <f>HYPERLINK("http://www.uniprot.org/uniprot/CATA2_GOSHI","CATA2_GOSHI")</f>
        <v>CATA2_GOSHI</v>
      </c>
      <c r="D16344" t="s">
        <v>10298</v>
      </c>
      <c r="E16344" s="3" t="s">
        <v>816</v>
      </c>
      <c r="F16344" s="4">
        <v>0</v>
      </c>
      <c r="G16344" s="3">
        <v>2430</v>
      </c>
      <c r="H16344" s="3">
        <v>89</v>
      </c>
      <c r="I16344" s="3">
        <v>492</v>
      </c>
      <c r="J16344" s="3">
        <v>318</v>
      </c>
      <c r="K16344" s="3">
        <v>1793</v>
      </c>
      <c r="L16344" s="3">
        <v>1</v>
      </c>
      <c r="M16344" s="3">
        <v>492</v>
      </c>
    </row>
    <row r="16345" spans="1:13" x14ac:dyDescent="0.25">
      <c r="A16345" s="1" t="str">
        <f>HYPERLINK("http://www.rosaceae.org/Prunus/Prunus_persica/p.persica_gdr_reftransV1_0046155","p.persica_gdr_reftransV1_0046155")</f>
        <v>p.persica_gdr_reftransV1_0046155</v>
      </c>
      <c r="B16345" s="3">
        <v>1797</v>
      </c>
      <c r="C16345" s="1" t="str">
        <f>HYPERLINK("http://www.uniprot.org/uniprot/ZHD5_ARATH","ZHD5_ARATH")</f>
        <v>ZHD5_ARATH</v>
      </c>
      <c r="D16345" t="s">
        <v>7852</v>
      </c>
      <c r="E16345" s="3" t="s">
        <v>3</v>
      </c>
      <c r="F16345" s="4">
        <v>6.5399999999999998E-62</v>
      </c>
      <c r="G16345" s="3">
        <v>542</v>
      </c>
      <c r="H16345" s="3">
        <v>54</v>
      </c>
      <c r="I16345" s="3">
        <v>239</v>
      </c>
      <c r="J16345" s="3">
        <v>461</v>
      </c>
      <c r="K16345" s="3">
        <v>1111</v>
      </c>
      <c r="L16345" s="3">
        <v>74</v>
      </c>
      <c r="M16345" s="3">
        <v>308</v>
      </c>
    </row>
    <row r="16346" spans="1:13" x14ac:dyDescent="0.25">
      <c r="A16346" s="1" t="str">
        <f>HYPERLINK("http://www.rosaceae.org/Prunus/Prunus_persica/p.persica_gdr_reftransV1_0046205","p.persica_gdr_reftransV1_0046205")</f>
        <v>p.persica_gdr_reftransV1_0046205</v>
      </c>
      <c r="B16346" s="3">
        <v>636</v>
      </c>
      <c r="C16346" s="1" t="str">
        <f>HYPERLINK("http://www.uniprot.org/uniprot/PP190_ARATH","PP190_ARATH")</f>
        <v>PP190_ARATH</v>
      </c>
      <c r="D16346" t="s">
        <v>1585</v>
      </c>
      <c r="E16346" s="3" t="s">
        <v>3</v>
      </c>
      <c r="F16346" s="4">
        <v>5.9100000000000003E-51</v>
      </c>
      <c r="G16346" s="3">
        <v>456</v>
      </c>
      <c r="H16346" s="3">
        <v>53</v>
      </c>
      <c r="I16346" s="3">
        <v>186</v>
      </c>
      <c r="J16346" s="3">
        <v>43</v>
      </c>
      <c r="K16346" s="3">
        <v>537</v>
      </c>
      <c r="L16346" s="3">
        <v>1</v>
      </c>
      <c r="M16346" s="3">
        <v>180</v>
      </c>
    </row>
    <row r="16347" spans="1:13" x14ac:dyDescent="0.25">
      <c r="A16347" s="1" t="str">
        <f>HYPERLINK("http://www.rosaceae.org/Prunus/Prunus_persica/p.persica_gdr_reftransV1_0046305","p.persica_gdr_reftransV1_0046305")</f>
        <v>p.persica_gdr_reftransV1_0046305</v>
      </c>
      <c r="B16347" s="3">
        <v>1394</v>
      </c>
      <c r="C16347" s="1" t="str">
        <f>HYPERLINK("http://www.uniprot.org/uniprot/RBM39_PONAB","RBM39_PONAB")</f>
        <v>RBM39_PONAB</v>
      </c>
      <c r="D16347" t="s">
        <v>947</v>
      </c>
      <c r="E16347" s="3" t="s">
        <v>176</v>
      </c>
      <c r="F16347" s="4">
        <v>3.79E-53</v>
      </c>
      <c r="G16347" s="3">
        <v>487</v>
      </c>
      <c r="H16347" s="3">
        <v>40</v>
      </c>
      <c r="I16347" s="3">
        <v>338</v>
      </c>
      <c r="J16347" s="3">
        <v>220</v>
      </c>
      <c r="K16347" s="3">
        <v>1188</v>
      </c>
      <c r="L16347" s="3">
        <v>198</v>
      </c>
      <c r="M16347" s="3">
        <v>509</v>
      </c>
    </row>
    <row r="16348" spans="1:13" x14ac:dyDescent="0.25">
      <c r="A16348" s="1" t="str">
        <f>HYPERLINK("http://www.rosaceae.org/Prunus/Prunus_persica/p.persica_gdr_reftransV1_0046355","p.persica_gdr_reftransV1_0046355")</f>
        <v>p.persica_gdr_reftransV1_0046355</v>
      </c>
      <c r="B16348" s="3">
        <v>839</v>
      </c>
      <c r="C16348" s="1" t="str">
        <f>HYPERLINK("http://www.uniprot.org/uniprot/ERF23_ARATH","ERF23_ARATH")</f>
        <v>ERF23_ARATH</v>
      </c>
      <c r="D16348" t="s">
        <v>10299</v>
      </c>
      <c r="E16348" s="3" t="s">
        <v>3</v>
      </c>
      <c r="F16348" s="4">
        <v>3.5300000000000001E-49</v>
      </c>
      <c r="G16348" s="3">
        <v>423</v>
      </c>
      <c r="H16348" s="3">
        <v>60</v>
      </c>
      <c r="I16348" s="3">
        <v>169</v>
      </c>
      <c r="J16348" s="3">
        <v>128</v>
      </c>
      <c r="K16348" s="3">
        <v>625</v>
      </c>
      <c r="L16348" s="3">
        <v>38</v>
      </c>
      <c r="M16348" s="3">
        <v>189</v>
      </c>
    </row>
    <row r="16349" spans="1:13" x14ac:dyDescent="0.25">
      <c r="A16349" s="1" t="str">
        <f>HYPERLINK("http://www.rosaceae.org/Prunus/Prunus_persica/p.persica_gdr_reftransV1_0046405","p.persica_gdr_reftransV1_0046405")</f>
        <v>p.persica_gdr_reftransV1_0046405</v>
      </c>
      <c r="B16349" s="3">
        <v>1710</v>
      </c>
      <c r="C16349" s="1" t="str">
        <f>HYPERLINK("http://www.uniprot.org/uniprot/AI5L5_ARATH","AI5L5_ARATH")</f>
        <v>AI5L5_ARATH</v>
      </c>
      <c r="D16349" t="s">
        <v>6294</v>
      </c>
      <c r="E16349" s="3" t="s">
        <v>3</v>
      </c>
      <c r="F16349" s="4">
        <v>6.9500000000000003E-87</v>
      </c>
      <c r="G16349" s="3">
        <v>721</v>
      </c>
      <c r="H16349" s="3">
        <v>58</v>
      </c>
      <c r="I16349" s="3">
        <v>436</v>
      </c>
      <c r="J16349" s="3">
        <v>297</v>
      </c>
      <c r="K16349" s="3">
        <v>1526</v>
      </c>
      <c r="L16349" s="3">
        <v>7</v>
      </c>
      <c r="M16349" s="3">
        <v>416</v>
      </c>
    </row>
    <row r="16350" spans="1:13" x14ac:dyDescent="0.25">
      <c r="A16350" s="1" t="str">
        <f>HYPERLINK("http://www.rosaceae.org/Prunus/Prunus_persica/p.persica_gdr_reftransV1_0046555","p.persica_gdr_reftransV1_0046555")</f>
        <v>p.persica_gdr_reftransV1_0046555</v>
      </c>
      <c r="B16350" s="3">
        <v>1276</v>
      </c>
      <c r="C16350" s="1" t="str">
        <f>HYPERLINK("http://www.uniprot.org/uniprot/E134_MAIZE","E134_MAIZE")</f>
        <v>E134_MAIZE</v>
      </c>
      <c r="D16350" t="s">
        <v>849</v>
      </c>
      <c r="E16350" s="3" t="s">
        <v>72</v>
      </c>
      <c r="F16350" s="4">
        <v>7.0600000000000004E-44</v>
      </c>
      <c r="G16350" s="3">
        <v>406</v>
      </c>
      <c r="H16350" s="3">
        <v>44</v>
      </c>
      <c r="I16350" s="3">
        <v>201</v>
      </c>
      <c r="J16350" s="3">
        <v>202</v>
      </c>
      <c r="K16350" s="3">
        <v>771</v>
      </c>
      <c r="L16350" s="3">
        <v>28</v>
      </c>
      <c r="M16350" s="3">
        <v>219</v>
      </c>
    </row>
    <row r="16351" spans="1:13" x14ac:dyDescent="0.25">
      <c r="A16351" s="1" t="str">
        <f>HYPERLINK("http://www.rosaceae.org/Prunus/Prunus_persica/p.persica_gdr_reftransV1_0046705","p.persica_gdr_reftransV1_0046705")</f>
        <v>p.persica_gdr_reftransV1_0046705</v>
      </c>
      <c r="B16351" s="3">
        <v>1218</v>
      </c>
      <c r="C16351" s="1" t="str">
        <f>HYPERLINK("http://www.uniprot.org/uniprot/ALG8_ARATH","ALG8_ARATH")</f>
        <v>ALG8_ARATH</v>
      </c>
      <c r="D16351" t="s">
        <v>5266</v>
      </c>
      <c r="E16351" s="3" t="s">
        <v>3</v>
      </c>
      <c r="F16351" s="4">
        <v>1.8300000000000001E-159</v>
      </c>
      <c r="G16351" s="3">
        <v>1199</v>
      </c>
      <c r="H16351" s="3">
        <v>73</v>
      </c>
      <c r="I16351" s="3">
        <v>340</v>
      </c>
      <c r="J16351" s="3">
        <v>67</v>
      </c>
      <c r="K16351" s="3">
        <v>1080</v>
      </c>
      <c r="L16351" s="3">
        <v>172</v>
      </c>
      <c r="M16351" s="3">
        <v>505</v>
      </c>
    </row>
    <row r="16352" spans="1:13" x14ac:dyDescent="0.25">
      <c r="A16352" s="1" t="str">
        <f>HYPERLINK("http://www.rosaceae.org/Prunus/Prunus_persica/p.persica_gdr_reftransV1_0046755","p.persica_gdr_reftransV1_0046755")</f>
        <v>p.persica_gdr_reftransV1_0046755</v>
      </c>
      <c r="B16352" s="3">
        <v>313</v>
      </c>
      <c r="C16352" s="1" t="str">
        <f>HYPERLINK("http://www.uniprot.org/uniprot/PP134_ARATH","PP134_ARATH")</f>
        <v>PP134_ARATH</v>
      </c>
      <c r="D16352" t="s">
        <v>10300</v>
      </c>
      <c r="E16352" s="3" t="s">
        <v>3</v>
      </c>
      <c r="F16352" s="4">
        <v>1.82E-48</v>
      </c>
      <c r="G16352" s="3">
        <v>415</v>
      </c>
      <c r="H16352" s="3">
        <v>83</v>
      </c>
      <c r="I16352" s="3">
        <v>96</v>
      </c>
      <c r="J16352" s="3">
        <v>2</v>
      </c>
      <c r="K16352" s="3">
        <v>289</v>
      </c>
      <c r="L16352" s="3">
        <v>28</v>
      </c>
      <c r="M16352" s="3">
        <v>123</v>
      </c>
    </row>
    <row r="16353" spans="1:13" x14ac:dyDescent="0.25">
      <c r="A16353" s="1" t="str">
        <f>HYPERLINK("http://www.rosaceae.org/Prunus/Prunus_persica/p.persica_gdr_reftransV1_0046805","p.persica_gdr_reftransV1_0046805")</f>
        <v>p.persica_gdr_reftransV1_0046805</v>
      </c>
      <c r="B16353" s="3">
        <v>1813</v>
      </c>
      <c r="C16353" s="1" t="str">
        <f>HYPERLINK("http://www.uniprot.org/uniprot/GACP3_ARATH","GACP3_ARATH")</f>
        <v>GACP3_ARATH</v>
      </c>
      <c r="D16353" t="s">
        <v>1347</v>
      </c>
      <c r="E16353" s="3" t="s">
        <v>3</v>
      </c>
      <c r="F16353" s="4">
        <v>0</v>
      </c>
      <c r="G16353" s="3">
        <v>1644</v>
      </c>
      <c r="H16353" s="3">
        <v>78</v>
      </c>
      <c r="I16353" s="3">
        <v>389</v>
      </c>
      <c r="J16353" s="3">
        <v>20</v>
      </c>
      <c r="K16353" s="3">
        <v>1186</v>
      </c>
      <c r="L16353" s="3">
        <v>456</v>
      </c>
      <c r="M16353" s="3">
        <v>834</v>
      </c>
    </row>
    <row r="16354" spans="1:13" x14ac:dyDescent="0.25">
      <c r="A16354" s="1" t="str">
        <f>HYPERLINK("http://www.rosaceae.org/Prunus/Prunus_persica/p.persica_gdr_reftransV1_0046855","p.persica_gdr_reftransV1_0046855")</f>
        <v>p.persica_gdr_reftransV1_0046855</v>
      </c>
      <c r="B16354" s="3">
        <v>1165</v>
      </c>
      <c r="C16354" s="1" t="str">
        <f>HYPERLINK("http://www.uniprot.org/uniprot/CBDAS_CANSA","CBDAS_CANSA")</f>
        <v>CBDAS_CANSA</v>
      </c>
      <c r="D16354" t="s">
        <v>9246</v>
      </c>
      <c r="E16354" s="3" t="s">
        <v>3291</v>
      </c>
      <c r="F16354" s="4">
        <v>2.13E-87</v>
      </c>
      <c r="G16354" s="3">
        <v>719</v>
      </c>
      <c r="H16354" s="3">
        <v>44</v>
      </c>
      <c r="I16354" s="3">
        <v>347</v>
      </c>
      <c r="J16354" s="3">
        <v>161</v>
      </c>
      <c r="K16354" s="3">
        <v>1165</v>
      </c>
      <c r="L16354" s="3">
        <v>200</v>
      </c>
      <c r="M16354" s="3">
        <v>542</v>
      </c>
    </row>
    <row r="16355" spans="1:13" x14ac:dyDescent="0.25">
      <c r="A16355" s="1" t="str">
        <f>HYPERLINK("http://www.rosaceae.org/Prunus/Prunus_persica/p.persica_gdr_reftransV1_0046905","p.persica_gdr_reftransV1_0046905")</f>
        <v>p.persica_gdr_reftransV1_0046905</v>
      </c>
      <c r="B16355" s="3">
        <v>973</v>
      </c>
      <c r="C16355" s="1" t="str">
        <f>HYPERLINK("http://www.uniprot.org/uniprot/HA22C_ARATH","HA22C_ARATH")</f>
        <v>HA22C_ARATH</v>
      </c>
      <c r="D16355" t="s">
        <v>10301</v>
      </c>
      <c r="E16355" s="3" t="s">
        <v>3</v>
      </c>
      <c r="F16355" s="4">
        <v>3.05E-76</v>
      </c>
      <c r="G16355" s="3">
        <v>607</v>
      </c>
      <c r="H16355" s="3">
        <v>65</v>
      </c>
      <c r="I16355" s="3">
        <v>183</v>
      </c>
      <c r="J16355" s="3">
        <v>240</v>
      </c>
      <c r="K16355" s="3">
        <v>767</v>
      </c>
      <c r="L16355" s="3">
        <v>3</v>
      </c>
      <c r="M16355" s="3">
        <v>184</v>
      </c>
    </row>
    <row r="16356" spans="1:13" x14ac:dyDescent="0.25">
      <c r="A16356" s="1" t="str">
        <f>HYPERLINK("http://www.rosaceae.org/Prunus/Prunus_persica/p.persica_gdr_reftransV1_0046955","p.persica_gdr_reftransV1_0046955")</f>
        <v>p.persica_gdr_reftransV1_0046955</v>
      </c>
      <c r="B16356" s="3">
        <v>1186</v>
      </c>
      <c r="C16356" s="1" t="str">
        <f>HYPERLINK("http://www.uniprot.org/uniprot/HPR3_ARATH","HPR3_ARATH")</f>
        <v>HPR3_ARATH</v>
      </c>
      <c r="D16356" t="s">
        <v>8238</v>
      </c>
      <c r="E16356" s="3" t="s">
        <v>3</v>
      </c>
      <c r="F16356" s="4">
        <v>3.91E-107</v>
      </c>
      <c r="G16356" s="3">
        <v>833</v>
      </c>
      <c r="H16356" s="3">
        <v>56</v>
      </c>
      <c r="I16356" s="3">
        <v>299</v>
      </c>
      <c r="J16356" s="3">
        <v>165</v>
      </c>
      <c r="K16356" s="3">
        <v>1055</v>
      </c>
      <c r="L16356" s="3">
        <v>25</v>
      </c>
      <c r="M16356" s="3">
        <v>323</v>
      </c>
    </row>
    <row r="16357" spans="1:13" x14ac:dyDescent="0.25">
      <c r="A16357" s="1" t="str">
        <f>HYPERLINK("http://www.rosaceae.org/Prunus/Prunus_persica/p.persica_gdr_reftransV1_0047105","p.persica_gdr_reftransV1_0047105")</f>
        <v>p.persica_gdr_reftransV1_0047105</v>
      </c>
      <c r="B16357" s="3">
        <v>1011</v>
      </c>
      <c r="C16357" s="1" t="str">
        <f>HYPERLINK("http://www.uniprot.org/uniprot/RAH1B_ARATH","RAH1B_ARATH")</f>
        <v>RAH1B_ARATH</v>
      </c>
      <c r="D16357" t="s">
        <v>7391</v>
      </c>
      <c r="E16357" s="3" t="s">
        <v>3</v>
      </c>
      <c r="F16357" s="4">
        <v>7.4699999999999994E-129</v>
      </c>
      <c r="G16357" s="3">
        <v>960</v>
      </c>
      <c r="H16357" s="3">
        <v>94</v>
      </c>
      <c r="I16357" s="3">
        <v>192</v>
      </c>
      <c r="J16357" s="3">
        <v>344</v>
      </c>
      <c r="K16357" s="3">
        <v>919</v>
      </c>
      <c r="L16357" s="3">
        <v>1</v>
      </c>
      <c r="M16357" s="3">
        <v>192</v>
      </c>
    </row>
    <row r="16358" spans="1:13" x14ac:dyDescent="0.25">
      <c r="A16358" s="1" t="str">
        <f>HYPERLINK("http://www.rosaceae.org/Prunus/Prunus_persica/p.persica_gdr_reftransV1_0047155","p.persica_gdr_reftransV1_0047155")</f>
        <v>p.persica_gdr_reftransV1_0047155</v>
      </c>
      <c r="B16358" s="3">
        <v>414</v>
      </c>
      <c r="C16358" s="1" t="str">
        <f>HYPERLINK("http://www.uniprot.org/uniprot/AUL1_ARATH","AUL1_ARATH")</f>
        <v>AUL1_ARATH</v>
      </c>
      <c r="D16358" t="s">
        <v>8024</v>
      </c>
      <c r="E16358" s="3" t="s">
        <v>3</v>
      </c>
      <c r="F16358" s="4">
        <v>9.0699999999999997E-60</v>
      </c>
      <c r="G16358" s="3">
        <v>520</v>
      </c>
      <c r="H16358" s="3">
        <v>79</v>
      </c>
      <c r="I16358" s="3">
        <v>117</v>
      </c>
      <c r="J16358" s="3">
        <v>63</v>
      </c>
      <c r="K16358" s="3">
        <v>413</v>
      </c>
      <c r="L16358" s="3">
        <v>1334</v>
      </c>
      <c r="M16358" s="3">
        <v>1450</v>
      </c>
    </row>
    <row r="16359" spans="1:13" x14ac:dyDescent="0.25">
      <c r="A16359" s="1" t="str">
        <f>HYPERLINK("http://www.rosaceae.org/Prunus/Prunus_persica/p.persica_gdr_reftransV1_0047305","p.persica_gdr_reftransV1_0047305")</f>
        <v>p.persica_gdr_reftransV1_0047305</v>
      </c>
      <c r="B16359" s="3">
        <v>925</v>
      </c>
      <c r="C16359" s="1" t="str">
        <f>HYPERLINK("http://www.uniprot.org/uniprot/P2B10_ARATH","P2B10_ARATH")</f>
        <v>P2B10_ARATH</v>
      </c>
      <c r="D16359" t="s">
        <v>10302</v>
      </c>
      <c r="E16359" s="3" t="s">
        <v>3</v>
      </c>
      <c r="F16359" s="4">
        <v>1.9600000000000001E-36</v>
      </c>
      <c r="G16359" s="3">
        <v>344</v>
      </c>
      <c r="H16359" s="3">
        <v>39</v>
      </c>
      <c r="I16359" s="3">
        <v>186</v>
      </c>
      <c r="J16359" s="3">
        <v>150</v>
      </c>
      <c r="K16359" s="3">
        <v>668</v>
      </c>
      <c r="L16359" s="3">
        <v>94</v>
      </c>
      <c r="M16359" s="3">
        <v>268</v>
      </c>
    </row>
    <row r="16360" spans="1:13" x14ac:dyDescent="0.25">
      <c r="A16360" s="1" t="str">
        <f>HYPERLINK("http://www.rosaceae.org/Prunus/Prunus_persica/p.persica_gdr_reftransV1_0047405","p.persica_gdr_reftransV1_0047405")</f>
        <v>p.persica_gdr_reftransV1_0047405</v>
      </c>
      <c r="B16360" s="3">
        <v>1077</v>
      </c>
      <c r="C16360" s="1" t="str">
        <f>HYPERLINK("http://www.uniprot.org/uniprot/TGS1_MOUSE","TGS1_MOUSE")</f>
        <v>TGS1_MOUSE</v>
      </c>
      <c r="D16360" t="s">
        <v>1368</v>
      </c>
      <c r="E16360" s="3" t="s">
        <v>157</v>
      </c>
      <c r="F16360" s="4">
        <v>4.9700000000000005E-66</v>
      </c>
      <c r="G16360" s="3">
        <v>583</v>
      </c>
      <c r="H16360" s="3">
        <v>54</v>
      </c>
      <c r="I16360" s="3">
        <v>206</v>
      </c>
      <c r="J16360" s="3">
        <v>238</v>
      </c>
      <c r="K16360" s="3">
        <v>837</v>
      </c>
      <c r="L16360" s="3">
        <v>634</v>
      </c>
      <c r="M16360" s="3">
        <v>834</v>
      </c>
    </row>
    <row r="16361" spans="1:13" x14ac:dyDescent="0.25">
      <c r="A16361" s="1" t="str">
        <f>HYPERLINK("http://www.rosaceae.org/Prunus/Prunus_persica/p.persica_gdr_reftransV1_0047455","p.persica_gdr_reftransV1_0047455")</f>
        <v>p.persica_gdr_reftransV1_0047455</v>
      </c>
      <c r="B16361" s="3">
        <v>315</v>
      </c>
      <c r="C16361" s="1" t="str">
        <f>HYPERLINK("http://www.uniprot.org/uniprot/PP180_ARATH","PP180_ARATH")</f>
        <v>PP180_ARATH</v>
      </c>
      <c r="D16361" t="s">
        <v>2739</v>
      </c>
      <c r="E16361" s="3" t="s">
        <v>3</v>
      </c>
      <c r="F16361" s="4">
        <v>4.9200000000000004E-9</v>
      </c>
      <c r="G16361" s="3">
        <v>136</v>
      </c>
      <c r="H16361" s="3">
        <v>42</v>
      </c>
      <c r="I16361" s="3">
        <v>105</v>
      </c>
      <c r="J16361" s="3">
        <v>7</v>
      </c>
      <c r="K16361" s="3">
        <v>315</v>
      </c>
      <c r="L16361" s="3">
        <v>24</v>
      </c>
      <c r="M16361" s="3">
        <v>126</v>
      </c>
    </row>
    <row r="16362" spans="1:13" x14ac:dyDescent="0.25">
      <c r="A16362" s="1" t="str">
        <f>HYPERLINK("http://www.rosaceae.org/Prunus/Prunus_persica/p.persica_gdr_reftransV1_0047505","p.persica_gdr_reftransV1_0047505")</f>
        <v>p.persica_gdr_reftransV1_0047505</v>
      </c>
      <c r="B16362" s="3">
        <v>1511</v>
      </c>
      <c r="C16362" s="1" t="str">
        <f>HYPERLINK("http://www.uniprot.org/uniprot/MT799_ARATH","MT799_ARATH")</f>
        <v>MT799_ARATH</v>
      </c>
      <c r="D16362" t="s">
        <v>7664</v>
      </c>
      <c r="E16362" s="3" t="s">
        <v>3</v>
      </c>
      <c r="F16362" s="4">
        <v>3.19E-73</v>
      </c>
      <c r="G16362" s="3">
        <v>618</v>
      </c>
      <c r="H16362" s="3">
        <v>40</v>
      </c>
      <c r="I16362" s="3">
        <v>365</v>
      </c>
      <c r="J16362" s="3">
        <v>295</v>
      </c>
      <c r="K16362" s="3">
        <v>1347</v>
      </c>
      <c r="L16362" s="3">
        <v>6</v>
      </c>
      <c r="M16362" s="3">
        <v>362</v>
      </c>
    </row>
    <row r="16363" spans="1:13" x14ac:dyDescent="0.25">
      <c r="A16363" s="1" t="str">
        <f>HYPERLINK("http://www.rosaceae.org/Prunus/Prunus_persica/p.persica_gdr_reftransV1_0047555","p.persica_gdr_reftransV1_0047555")</f>
        <v>p.persica_gdr_reftransV1_0047555</v>
      </c>
      <c r="B16363" s="3">
        <v>1102</v>
      </c>
      <c r="C16363" s="1" t="str">
        <f>HYPERLINK("http://www.uniprot.org/uniprot/CML16_ARATH","CML16_ARATH")</f>
        <v>CML16_ARATH</v>
      </c>
      <c r="D16363" t="s">
        <v>1713</v>
      </c>
      <c r="E16363" s="3" t="s">
        <v>3</v>
      </c>
      <c r="F16363" s="4">
        <v>2.11E-83</v>
      </c>
      <c r="G16363" s="3">
        <v>657</v>
      </c>
      <c r="H16363" s="3">
        <v>78</v>
      </c>
      <c r="I16363" s="3">
        <v>158</v>
      </c>
      <c r="J16363" s="3">
        <v>206</v>
      </c>
      <c r="K16363" s="3">
        <v>679</v>
      </c>
      <c r="L16363" s="3">
        <v>1</v>
      </c>
      <c r="M16363" s="3">
        <v>158</v>
      </c>
    </row>
    <row r="16364" spans="1:13" x14ac:dyDescent="0.25">
      <c r="A16364" s="1" t="str">
        <f>HYPERLINK("http://www.rosaceae.org/Prunus/Prunus_persica/p.persica_gdr_reftransV1_0047605","p.persica_gdr_reftransV1_0047605")</f>
        <v>p.persica_gdr_reftransV1_0047605</v>
      </c>
      <c r="B16364" s="3">
        <v>417</v>
      </c>
      <c r="C16364" s="1" t="str">
        <f>HYPERLINK("http://www.uniprot.org/uniprot/PP364_ARATH","PP364_ARATH")</f>
        <v>PP364_ARATH</v>
      </c>
      <c r="D16364" t="s">
        <v>6911</v>
      </c>
      <c r="E16364" s="3" t="s">
        <v>3</v>
      </c>
      <c r="F16364" s="4">
        <v>1.7399999999999999E-55</v>
      </c>
      <c r="G16364" s="3">
        <v>478</v>
      </c>
      <c r="H16364" s="3">
        <v>63</v>
      </c>
      <c r="I16364" s="3">
        <v>137</v>
      </c>
      <c r="J16364" s="3">
        <v>5</v>
      </c>
      <c r="K16364" s="3">
        <v>415</v>
      </c>
      <c r="L16364" s="3">
        <v>293</v>
      </c>
      <c r="M16364" s="3">
        <v>429</v>
      </c>
    </row>
    <row r="16365" spans="1:13" x14ac:dyDescent="0.25">
      <c r="A16365" s="1" t="str">
        <f>HYPERLINK("http://www.rosaceae.org/Prunus/Prunus_persica/p.persica_gdr_reftransV1_0047655","p.persica_gdr_reftransV1_0047655")</f>
        <v>p.persica_gdr_reftransV1_0047655</v>
      </c>
      <c r="B16365" s="3">
        <v>424</v>
      </c>
      <c r="C16365" s="1" t="str">
        <f>HYPERLINK("http://www.uniprot.org/uniprot/HSP12_SOYBN","HSP12_SOYBN")</f>
        <v>HSP12_SOYBN</v>
      </c>
      <c r="D16365" t="s">
        <v>10303</v>
      </c>
      <c r="E16365" s="3" t="s">
        <v>307</v>
      </c>
      <c r="F16365" s="4">
        <v>7.3500000000000002E-36</v>
      </c>
      <c r="G16365" s="3">
        <v>311</v>
      </c>
      <c r="H16365" s="3">
        <v>83</v>
      </c>
      <c r="I16365" s="3">
        <v>72</v>
      </c>
      <c r="J16365" s="3">
        <v>1</v>
      </c>
      <c r="K16365" s="3">
        <v>216</v>
      </c>
      <c r="L16365" s="3">
        <v>3</v>
      </c>
      <c r="M16365" s="3">
        <v>74</v>
      </c>
    </row>
    <row r="16366" spans="1:13" x14ac:dyDescent="0.25">
      <c r="A16366" s="1" t="str">
        <f>HYPERLINK("http://www.rosaceae.org/Prunus/Prunus_persica/p.persica_gdr_reftransV1_0047705","p.persica_gdr_reftransV1_0047705")</f>
        <v>p.persica_gdr_reftransV1_0047705</v>
      </c>
      <c r="B16366" s="3">
        <v>1955</v>
      </c>
      <c r="C16366" s="1" t="str">
        <f>HYPERLINK("http://www.uniprot.org/uniprot/GLYT3_ARATH","GLYT3_ARATH")</f>
        <v>GLYT3_ARATH</v>
      </c>
      <c r="D16366" t="s">
        <v>2169</v>
      </c>
      <c r="E16366" s="3" t="s">
        <v>3</v>
      </c>
      <c r="F16366" s="4">
        <v>0</v>
      </c>
      <c r="G16366" s="3">
        <v>1428</v>
      </c>
      <c r="H16366" s="3">
        <v>74</v>
      </c>
      <c r="I16366" s="3">
        <v>348</v>
      </c>
      <c r="J16366" s="3">
        <v>203</v>
      </c>
      <c r="K16366" s="3">
        <v>1246</v>
      </c>
      <c r="L16366" s="3">
        <v>170</v>
      </c>
      <c r="M16366" s="3">
        <v>517</v>
      </c>
    </row>
    <row r="16367" spans="1:13" x14ac:dyDescent="0.25">
      <c r="A16367" s="1" t="str">
        <f>HYPERLINK("http://www.rosaceae.org/Prunus/Prunus_persica/p.persica_gdr_reftransV1_0047755","p.persica_gdr_reftransV1_0047755")</f>
        <v>p.persica_gdr_reftransV1_0047755</v>
      </c>
      <c r="B16367" s="3">
        <v>625</v>
      </c>
      <c r="C16367" s="1" t="str">
        <f>HYPERLINK("http://www.uniprot.org/uniprot/NLTL2_ARATH","NLTL2_ARATH")</f>
        <v>NLTL2_ARATH</v>
      </c>
      <c r="D16367" t="s">
        <v>8145</v>
      </c>
      <c r="E16367" s="3" t="s">
        <v>3</v>
      </c>
      <c r="F16367" s="4">
        <v>3.37E-16</v>
      </c>
      <c r="G16367" s="3">
        <v>188</v>
      </c>
      <c r="H16367" s="3">
        <v>31</v>
      </c>
      <c r="I16367" s="3">
        <v>169</v>
      </c>
      <c r="J16367" s="3">
        <v>78</v>
      </c>
      <c r="K16367" s="3">
        <v>548</v>
      </c>
      <c r="L16367" s="3">
        <v>1</v>
      </c>
      <c r="M16367" s="3">
        <v>163</v>
      </c>
    </row>
    <row r="16368" spans="1:13" x14ac:dyDescent="0.25">
      <c r="A16368" s="1" t="str">
        <f>HYPERLINK("http://www.rosaceae.org/Prunus/Prunus_persica/p.persica_gdr_reftransV1_0047855","p.persica_gdr_reftransV1_0047855")</f>
        <v>p.persica_gdr_reftransV1_0047855</v>
      </c>
      <c r="B16368" s="3">
        <v>3808</v>
      </c>
      <c r="C16368" s="1" t="str">
        <f>HYPERLINK("http://www.uniprot.org/uniprot/Y5977_ARATH","Y5977_ARATH")</f>
        <v>Y5977_ARATH</v>
      </c>
      <c r="D16368" t="s">
        <v>1721</v>
      </c>
      <c r="E16368" s="3" t="s">
        <v>3</v>
      </c>
      <c r="F16368" s="4">
        <v>0</v>
      </c>
      <c r="G16368" s="3">
        <v>2170</v>
      </c>
      <c r="H16368" s="3">
        <v>53</v>
      </c>
      <c r="I16368" s="3">
        <v>902</v>
      </c>
      <c r="J16368" s="3">
        <v>381</v>
      </c>
      <c r="K16368" s="3">
        <v>3056</v>
      </c>
      <c r="L16368" s="3">
        <v>20</v>
      </c>
      <c r="M16368" s="3">
        <v>916</v>
      </c>
    </row>
    <row r="16369" spans="1:13" x14ac:dyDescent="0.25">
      <c r="A16369" s="1" t="str">
        <f>HYPERLINK("http://www.rosaceae.org/Prunus/Prunus_persica/p.persica_gdr_reftransV1_0047905","p.persica_gdr_reftransV1_0047905")</f>
        <v>p.persica_gdr_reftransV1_0047905</v>
      </c>
      <c r="B16369" s="3">
        <v>1262</v>
      </c>
      <c r="C16369" s="1" t="str">
        <f>HYPERLINK("http://www.uniprot.org/uniprot/BXL5_ARATH","BXL5_ARATH")</f>
        <v>BXL5_ARATH</v>
      </c>
      <c r="D16369" t="s">
        <v>4747</v>
      </c>
      <c r="E16369" s="3" t="s">
        <v>3</v>
      </c>
      <c r="F16369" s="4">
        <v>0</v>
      </c>
      <c r="G16369" s="3">
        <v>1641</v>
      </c>
      <c r="H16369" s="3">
        <v>79</v>
      </c>
      <c r="I16369" s="3">
        <v>385</v>
      </c>
      <c r="J16369" s="3">
        <v>106</v>
      </c>
      <c r="K16369" s="3">
        <v>1260</v>
      </c>
      <c r="L16369" s="3">
        <v>25</v>
      </c>
      <c r="M16369" s="3">
        <v>407</v>
      </c>
    </row>
    <row r="16370" spans="1:13" x14ac:dyDescent="0.25">
      <c r="A16370" s="1" t="str">
        <f>HYPERLINK("http://www.rosaceae.org/Prunus/Prunus_persica/p.persica_gdr_reftransV1_0047955","p.persica_gdr_reftransV1_0047955")</f>
        <v>p.persica_gdr_reftransV1_0047955</v>
      </c>
      <c r="B16370" s="3">
        <v>1074</v>
      </c>
      <c r="C16370" s="1" t="str">
        <f>HYPERLINK("http://www.uniprot.org/uniprot/CYT1_ACTDE","CYT1_ACTDE")</f>
        <v>CYT1_ACTDE</v>
      </c>
      <c r="D16370" t="s">
        <v>10304</v>
      </c>
      <c r="E16370" s="3" t="s">
        <v>2188</v>
      </c>
      <c r="F16370" s="4">
        <v>1.46E-22</v>
      </c>
      <c r="G16370" s="3">
        <v>236</v>
      </c>
      <c r="H16370" s="3">
        <v>47</v>
      </c>
      <c r="I16370" s="3">
        <v>107</v>
      </c>
      <c r="J16370" s="3">
        <v>416</v>
      </c>
      <c r="K16370" s="3">
        <v>736</v>
      </c>
      <c r="L16370" s="3">
        <v>23</v>
      </c>
      <c r="M16370" s="3">
        <v>116</v>
      </c>
    </row>
    <row r="16371" spans="1:13" x14ac:dyDescent="0.25">
      <c r="A16371" s="1" t="str">
        <f>HYPERLINK("http://www.rosaceae.org/Prunus/Prunus_persica/p.persica_gdr_reftransV1_0048005","p.persica_gdr_reftransV1_0048005")</f>
        <v>p.persica_gdr_reftransV1_0048005</v>
      </c>
      <c r="B16371" s="3">
        <v>1446</v>
      </c>
      <c r="C16371" s="1" t="str">
        <f>HYPERLINK("http://www.uniprot.org/uniprot/Y5487_ARATH","Y5487_ARATH")</f>
        <v>Y5487_ARATH</v>
      </c>
      <c r="D16371" t="s">
        <v>292</v>
      </c>
      <c r="E16371" s="3" t="s">
        <v>3</v>
      </c>
      <c r="F16371" s="4">
        <v>5.4499999999999999E-169</v>
      </c>
      <c r="G16371" s="3">
        <v>1304</v>
      </c>
      <c r="H16371" s="3">
        <v>58</v>
      </c>
      <c r="I16371" s="3">
        <v>485</v>
      </c>
      <c r="J16371" s="3">
        <v>2</v>
      </c>
      <c r="K16371" s="3">
        <v>1444</v>
      </c>
      <c r="L16371" s="3">
        <v>137</v>
      </c>
      <c r="M16371" s="3">
        <v>614</v>
      </c>
    </row>
    <row r="16372" spans="1:13" x14ac:dyDescent="0.25">
      <c r="A16372" s="1" t="str">
        <f>HYPERLINK("http://www.rosaceae.org/Prunus/Prunus_persica/p.persica_gdr_reftransV1_0048105","p.persica_gdr_reftransV1_0048105")</f>
        <v>p.persica_gdr_reftransV1_0048105</v>
      </c>
      <c r="B16372" s="3">
        <v>672</v>
      </c>
      <c r="C16372" s="1" t="str">
        <f>HYPERLINK("http://www.uniprot.org/uniprot/DA1_ARATH","DA1_ARATH")</f>
        <v>DA1_ARATH</v>
      </c>
      <c r="D16372" t="s">
        <v>5007</v>
      </c>
      <c r="E16372" s="3" t="s">
        <v>3</v>
      </c>
      <c r="F16372" s="4">
        <v>7.4699999999999998E-17</v>
      </c>
      <c r="G16372" s="3">
        <v>203</v>
      </c>
      <c r="H16372" s="3">
        <v>39</v>
      </c>
      <c r="I16372" s="3">
        <v>156</v>
      </c>
      <c r="J16372" s="3">
        <v>283</v>
      </c>
      <c r="K16372" s="3">
        <v>669</v>
      </c>
      <c r="L16372" s="3">
        <v>1</v>
      </c>
      <c r="M16372" s="3">
        <v>152</v>
      </c>
    </row>
    <row r="16373" spans="1:13" x14ac:dyDescent="0.25">
      <c r="A16373" s="1" t="str">
        <f>HYPERLINK("http://www.rosaceae.org/Prunus/Prunus_persica/p.persica_gdr_reftransV1_0048205","p.persica_gdr_reftransV1_0048205")</f>
        <v>p.persica_gdr_reftransV1_0048205</v>
      </c>
      <c r="B16373" s="3">
        <v>2134</v>
      </c>
      <c r="C16373" s="1" t="str">
        <f>HYPERLINK("http://www.uniprot.org/uniprot/HDA5_ARATH","HDA5_ARATH")</f>
        <v>HDA5_ARATH</v>
      </c>
      <c r="D16373" t="s">
        <v>4714</v>
      </c>
      <c r="E16373" s="3" t="s">
        <v>3</v>
      </c>
      <c r="F16373" s="4">
        <v>0</v>
      </c>
      <c r="G16373" s="3">
        <v>1915</v>
      </c>
      <c r="H16373" s="3">
        <v>64</v>
      </c>
      <c r="I16373" s="3">
        <v>557</v>
      </c>
      <c r="J16373" s="3">
        <v>163</v>
      </c>
      <c r="K16373" s="3">
        <v>1818</v>
      </c>
      <c r="L16373" s="3">
        <v>122</v>
      </c>
      <c r="M16373" s="3">
        <v>660</v>
      </c>
    </row>
    <row r="16374" spans="1:13" x14ac:dyDescent="0.25">
      <c r="A16374" s="1" t="str">
        <f>HYPERLINK("http://www.rosaceae.org/Prunus/Prunus_persica/p.persica_gdr_reftransV1_0048305","p.persica_gdr_reftransV1_0048305")</f>
        <v>p.persica_gdr_reftransV1_0048305</v>
      </c>
      <c r="B16374" s="3">
        <v>777</v>
      </c>
      <c r="C16374" s="1" t="str">
        <f>HYPERLINK("http://www.uniprot.org/uniprot/YI31B_YEAST","YI31B_YEAST")</f>
        <v>YI31B_YEAST</v>
      </c>
      <c r="D16374" t="s">
        <v>1210</v>
      </c>
      <c r="E16374" s="3" t="s">
        <v>34</v>
      </c>
      <c r="F16374" s="4">
        <v>5.0400000000000002E-42</v>
      </c>
      <c r="G16374" s="3">
        <v>402</v>
      </c>
      <c r="H16374" s="3">
        <v>53</v>
      </c>
      <c r="I16374" s="3">
        <v>156</v>
      </c>
      <c r="J16374" s="3">
        <v>266</v>
      </c>
      <c r="K16374" s="3">
        <v>733</v>
      </c>
      <c r="L16374" s="3">
        <v>667</v>
      </c>
      <c r="M16374" s="3">
        <v>820</v>
      </c>
    </row>
    <row r="16375" spans="1:13" x14ac:dyDescent="0.25">
      <c r="A16375" s="1" t="str">
        <f>HYPERLINK("http://www.rosaceae.org/Prunus/Prunus_persica/p.persica_gdr_reftransV1_0048405","p.persica_gdr_reftransV1_0048405")</f>
        <v>p.persica_gdr_reftransV1_0048405</v>
      </c>
      <c r="B16375" s="3">
        <v>2123</v>
      </c>
      <c r="C16375" s="1" t="str">
        <f>HYPERLINK("http://www.uniprot.org/uniprot/S47A2_MOUSE","S47A2_MOUSE")</f>
        <v>S47A2_MOUSE</v>
      </c>
      <c r="D16375" t="s">
        <v>10305</v>
      </c>
      <c r="E16375" s="3" t="s">
        <v>157</v>
      </c>
      <c r="F16375" s="4">
        <v>5.4600000000000002E-58</v>
      </c>
      <c r="G16375" s="3">
        <v>538</v>
      </c>
      <c r="H16375" s="3">
        <v>34</v>
      </c>
      <c r="I16375" s="3">
        <v>444</v>
      </c>
      <c r="J16375" s="3">
        <v>469</v>
      </c>
      <c r="K16375" s="3">
        <v>1800</v>
      </c>
      <c r="L16375" s="3">
        <v>42</v>
      </c>
      <c r="M16375" s="3">
        <v>483</v>
      </c>
    </row>
    <row r="16376" spans="1:13" x14ac:dyDescent="0.25">
      <c r="A16376" s="1" t="str">
        <f>HYPERLINK("http://www.rosaceae.org/Prunus/Prunus_persica/p.persica_gdr_reftransV1_0048455","p.persica_gdr_reftransV1_0048455")</f>
        <v>p.persica_gdr_reftransV1_0048455</v>
      </c>
      <c r="B16376" s="3">
        <v>886</v>
      </c>
      <c r="C16376" s="1" t="str">
        <f>HYPERLINK("http://www.uniprot.org/uniprot/GSTXC_TOBAC","GSTXC_TOBAC")</f>
        <v>GSTXC_TOBAC</v>
      </c>
      <c r="D16376" t="s">
        <v>9456</v>
      </c>
      <c r="E16376" s="3" t="s">
        <v>200</v>
      </c>
      <c r="F16376" s="4">
        <v>4.3299999999999999E-122</v>
      </c>
      <c r="G16376" s="3">
        <v>912</v>
      </c>
      <c r="H16376" s="3">
        <v>76</v>
      </c>
      <c r="I16376" s="3">
        <v>218</v>
      </c>
      <c r="J16376" s="3">
        <v>161</v>
      </c>
      <c r="K16376" s="3">
        <v>811</v>
      </c>
      <c r="L16376" s="3">
        <v>4</v>
      </c>
      <c r="M16376" s="3">
        <v>221</v>
      </c>
    </row>
    <row r="16377" spans="1:13" x14ac:dyDescent="0.25">
      <c r="A16377" s="1" t="str">
        <f>HYPERLINK("http://www.rosaceae.org/Prunus/Prunus_persica/p.persica_gdr_reftransV1_0048555","p.persica_gdr_reftransV1_0048555")</f>
        <v>p.persica_gdr_reftransV1_0048555</v>
      </c>
      <c r="B16377" s="3">
        <v>1855</v>
      </c>
      <c r="C16377" s="1" t="str">
        <f>HYPERLINK("http://www.uniprot.org/uniprot/GCL2_ARATH","GCL2_ARATH")</f>
        <v>GCL2_ARATH</v>
      </c>
      <c r="D16377" t="s">
        <v>10306</v>
      </c>
      <c r="E16377" s="3" t="s">
        <v>3</v>
      </c>
      <c r="F16377" s="4">
        <v>0</v>
      </c>
      <c r="G16377" s="3">
        <v>1534</v>
      </c>
      <c r="H16377" s="3">
        <v>69</v>
      </c>
      <c r="I16377" s="3">
        <v>412</v>
      </c>
      <c r="J16377" s="3">
        <v>299</v>
      </c>
      <c r="K16377" s="3">
        <v>1534</v>
      </c>
      <c r="L16377" s="3">
        <v>1</v>
      </c>
      <c r="M16377" s="3">
        <v>404</v>
      </c>
    </row>
    <row r="16378" spans="1:13" x14ac:dyDescent="0.25">
      <c r="A16378" s="1" t="str">
        <f>HYPERLINK("http://www.rosaceae.org/Prunus/Prunus_persica/p.persica_gdr_reftransV1_0048605","p.persica_gdr_reftransV1_0048605")</f>
        <v>p.persica_gdr_reftransV1_0048605</v>
      </c>
      <c r="B16378" s="3">
        <v>1231</v>
      </c>
      <c r="C16378" s="1" t="str">
        <f>HYPERLINK("http://www.uniprot.org/uniprot/PUR7_ARATH","PUR7_ARATH")</f>
        <v>PUR7_ARATH</v>
      </c>
      <c r="D16378" t="s">
        <v>7700</v>
      </c>
      <c r="E16378" s="3" t="s">
        <v>3</v>
      </c>
      <c r="F16378" s="4">
        <v>4.24E-178</v>
      </c>
      <c r="G16378" s="3">
        <v>1313</v>
      </c>
      <c r="H16378" s="3">
        <v>70</v>
      </c>
      <c r="I16378" s="3">
        <v>362</v>
      </c>
      <c r="J16378" s="3">
        <v>149</v>
      </c>
      <c r="K16378" s="3">
        <v>1198</v>
      </c>
      <c r="L16378" s="3">
        <v>1</v>
      </c>
      <c r="M16378" s="3">
        <v>357</v>
      </c>
    </row>
    <row r="16379" spans="1:13" x14ac:dyDescent="0.25">
      <c r="A16379" s="1" t="str">
        <f>HYPERLINK("http://www.rosaceae.org/Prunus/Prunus_persica/p.persica_gdr_reftransV1_0048655","p.persica_gdr_reftransV1_0048655")</f>
        <v>p.persica_gdr_reftransV1_0048655</v>
      </c>
      <c r="B16379" s="3">
        <v>553</v>
      </c>
      <c r="C16379" s="1" t="str">
        <f>HYPERLINK("http://www.uniprot.org/uniprot/NLTP2_GOSHI","NLTP2_GOSHI")</f>
        <v>NLTP2_GOSHI</v>
      </c>
      <c r="D16379" t="s">
        <v>10307</v>
      </c>
      <c r="E16379" s="3" t="s">
        <v>816</v>
      </c>
      <c r="F16379" s="4">
        <v>5.9699999999999996E-25</v>
      </c>
      <c r="G16379" s="3">
        <v>245</v>
      </c>
      <c r="H16379" s="3">
        <v>50</v>
      </c>
      <c r="I16379" s="3">
        <v>120</v>
      </c>
      <c r="J16379" s="3">
        <v>128</v>
      </c>
      <c r="K16379" s="3">
        <v>481</v>
      </c>
      <c r="L16379" s="3">
        <v>1</v>
      </c>
      <c r="M16379" s="3">
        <v>120</v>
      </c>
    </row>
    <row r="16380" spans="1:13" x14ac:dyDescent="0.25">
      <c r="A16380" s="1" t="str">
        <f>HYPERLINK("http://www.rosaceae.org/Prunus/Prunus_persica/p.persica_gdr_reftransV1_0048705","p.persica_gdr_reftransV1_0048705")</f>
        <v>p.persica_gdr_reftransV1_0048705</v>
      </c>
      <c r="B16380" s="3">
        <v>573</v>
      </c>
      <c r="C16380" s="1" t="str">
        <f>HYPERLINK("http://www.uniprot.org/uniprot/C7A12_PANGI","C7A12_PANGI")</f>
        <v>C7A12_PANGI</v>
      </c>
      <c r="D16380" t="s">
        <v>5987</v>
      </c>
      <c r="E16380" s="3" t="s">
        <v>1477</v>
      </c>
      <c r="F16380" s="4">
        <v>1.1699999999999999E-61</v>
      </c>
      <c r="G16380" s="3">
        <v>521</v>
      </c>
      <c r="H16380" s="3">
        <v>50</v>
      </c>
      <c r="I16380" s="3">
        <v>190</v>
      </c>
      <c r="J16380" s="3">
        <v>1</v>
      </c>
      <c r="K16380" s="3">
        <v>570</v>
      </c>
      <c r="L16380" s="3">
        <v>88</v>
      </c>
      <c r="M16380" s="3">
        <v>272</v>
      </c>
    </row>
    <row r="16381" spans="1:13" x14ac:dyDescent="0.25">
      <c r="A16381" s="1" t="str">
        <f>HYPERLINK("http://www.rosaceae.org/Prunus/Prunus_persica/p.persica_gdr_reftransV1_0048855","p.persica_gdr_reftransV1_0048855")</f>
        <v>p.persica_gdr_reftransV1_0048855</v>
      </c>
      <c r="B16381" s="3">
        <v>2210</v>
      </c>
      <c r="C16381" s="1" t="str">
        <f>HYPERLINK("http://www.uniprot.org/uniprot/KPYC_SOYBN","KPYC_SOYBN")</f>
        <v>KPYC_SOYBN</v>
      </c>
      <c r="D16381" t="s">
        <v>6879</v>
      </c>
      <c r="E16381" s="3" t="s">
        <v>307</v>
      </c>
      <c r="F16381" s="4">
        <v>1.8000000000000001E-125</v>
      </c>
      <c r="G16381" s="3">
        <v>1003</v>
      </c>
      <c r="H16381" s="3">
        <v>44</v>
      </c>
      <c r="I16381" s="3">
        <v>495</v>
      </c>
      <c r="J16381" s="3">
        <v>370</v>
      </c>
      <c r="K16381" s="3">
        <v>1848</v>
      </c>
      <c r="L16381" s="3">
        <v>23</v>
      </c>
      <c r="M16381" s="3">
        <v>507</v>
      </c>
    </row>
    <row r="16382" spans="1:13" x14ac:dyDescent="0.25">
      <c r="A16382" s="1" t="str">
        <f>HYPERLINK("http://www.rosaceae.org/Prunus/Prunus_persica/p.persica_gdr_reftransV1_0049005","p.persica_gdr_reftransV1_0049005")</f>
        <v>p.persica_gdr_reftransV1_0049005</v>
      </c>
      <c r="B16382" s="3">
        <v>627</v>
      </c>
      <c r="C16382" s="1" t="str">
        <f>HYPERLINK("http://www.uniprot.org/uniprot/GPPL3_ARATH","GPPL3_ARATH")</f>
        <v>GPPL3_ARATH</v>
      </c>
      <c r="D16382" t="s">
        <v>10308</v>
      </c>
      <c r="E16382" s="3" t="s">
        <v>3</v>
      </c>
      <c r="F16382" s="4">
        <v>5.2399999999999998E-46</v>
      </c>
      <c r="G16382" s="3">
        <v>400</v>
      </c>
      <c r="H16382" s="3">
        <v>79</v>
      </c>
      <c r="I16382" s="3">
        <v>94</v>
      </c>
      <c r="J16382" s="3">
        <v>21</v>
      </c>
      <c r="K16382" s="3">
        <v>302</v>
      </c>
      <c r="L16382" s="3">
        <v>21</v>
      </c>
      <c r="M16382" s="3">
        <v>112</v>
      </c>
    </row>
    <row r="16383" spans="1:13" x14ac:dyDescent="0.25">
      <c r="A16383" s="1" t="str">
        <f>HYPERLINK("http://www.rosaceae.org/Prunus/Prunus_persica/p.persica_gdr_reftransV1_0049055","p.persica_gdr_reftransV1_0049055")</f>
        <v>p.persica_gdr_reftransV1_0049055</v>
      </c>
      <c r="B16383" s="3">
        <v>2297</v>
      </c>
      <c r="C16383" s="1" t="str">
        <f>HYPERLINK("http://www.uniprot.org/uniprot/SNF12_ARATH","SNF12_ARATH")</f>
        <v>SNF12_ARATH</v>
      </c>
      <c r="D16383" t="s">
        <v>2602</v>
      </c>
      <c r="E16383" s="3" t="s">
        <v>3</v>
      </c>
      <c r="F16383" s="4">
        <v>0</v>
      </c>
      <c r="G16383" s="3">
        <v>1918</v>
      </c>
      <c r="H16383" s="3">
        <v>82</v>
      </c>
      <c r="I16383" s="3">
        <v>446</v>
      </c>
      <c r="J16383" s="3">
        <v>716</v>
      </c>
      <c r="K16383" s="3">
        <v>2050</v>
      </c>
      <c r="L16383" s="3">
        <v>88</v>
      </c>
      <c r="M16383" s="3">
        <v>533</v>
      </c>
    </row>
    <row r="16384" spans="1:13" x14ac:dyDescent="0.25">
      <c r="A16384" s="1" t="str">
        <f>HYPERLINK("http://www.rosaceae.org/Prunus/Prunus_persica/p.persica_gdr_reftransV1_0000006","p.persica_gdr_reftransV1_0000006")</f>
        <v>p.persica_gdr_reftransV1_0000006</v>
      </c>
      <c r="B16384" s="3">
        <v>1176</v>
      </c>
      <c r="C16384" s="1" t="str">
        <f>HYPERLINK("http://www.uniprot.org/uniprot/TSJT1_TOBAC","TSJT1_TOBAC")</f>
        <v>TSJT1_TOBAC</v>
      </c>
      <c r="D16384" t="s">
        <v>1570</v>
      </c>
      <c r="E16384" s="3" t="s">
        <v>200</v>
      </c>
      <c r="F16384" s="4">
        <v>1.07E-23</v>
      </c>
      <c r="G16384" s="3">
        <v>248</v>
      </c>
      <c r="H16384" s="3">
        <v>39</v>
      </c>
      <c r="I16384" s="3">
        <v>155</v>
      </c>
      <c r="J16384" s="3">
        <v>177</v>
      </c>
      <c r="K16384" s="3">
        <v>629</v>
      </c>
      <c r="L16384" s="3">
        <v>1</v>
      </c>
      <c r="M16384" s="3">
        <v>148</v>
      </c>
    </row>
    <row r="16385" spans="1:13" x14ac:dyDescent="0.25">
      <c r="A16385" s="1" t="str">
        <f>HYPERLINK("http://www.rosaceae.org/Prunus/Prunus_persica/p.persica_gdr_reftransV1_0000056","p.persica_gdr_reftransV1_0000056")</f>
        <v>p.persica_gdr_reftransV1_0000056</v>
      </c>
      <c r="B16385" s="3">
        <v>540</v>
      </c>
      <c r="C16385" s="1" t="str">
        <f>HYPERLINK("http://www.uniprot.org/uniprot/PP377_ARATH","PP377_ARATH")</f>
        <v>PP377_ARATH</v>
      </c>
      <c r="D16385" t="s">
        <v>1225</v>
      </c>
      <c r="E16385" s="3" t="s">
        <v>3</v>
      </c>
      <c r="F16385" s="4">
        <v>2.6999999999999999E-81</v>
      </c>
      <c r="G16385" s="3">
        <v>671</v>
      </c>
      <c r="H16385" s="3">
        <v>65</v>
      </c>
      <c r="I16385" s="3">
        <v>179</v>
      </c>
      <c r="J16385" s="3">
        <v>2</v>
      </c>
      <c r="K16385" s="3">
        <v>538</v>
      </c>
      <c r="L16385" s="3">
        <v>545</v>
      </c>
      <c r="M16385" s="3">
        <v>723</v>
      </c>
    </row>
    <row r="16386" spans="1:13" x14ac:dyDescent="0.25">
      <c r="A16386" s="1" t="str">
        <f>HYPERLINK("http://www.rosaceae.org/Prunus/Prunus_persica/p.persica_gdr_reftransV1_0000106","p.persica_gdr_reftransV1_0000106")</f>
        <v>p.persica_gdr_reftransV1_0000106</v>
      </c>
      <c r="B16386" s="3">
        <v>472</v>
      </c>
      <c r="C16386" s="1" t="str">
        <f>HYPERLINK("http://www.uniprot.org/uniprot/XTH2_SOYBN","XTH2_SOYBN")</f>
        <v>XTH2_SOYBN</v>
      </c>
      <c r="D16386" t="s">
        <v>4437</v>
      </c>
      <c r="E16386" s="3" t="s">
        <v>307</v>
      </c>
      <c r="F16386" s="4">
        <v>4.3799999999999997E-43</v>
      </c>
      <c r="G16386" s="3">
        <v>378</v>
      </c>
      <c r="H16386" s="3">
        <v>75</v>
      </c>
      <c r="I16386" s="3">
        <v>108</v>
      </c>
      <c r="J16386" s="3">
        <v>2</v>
      </c>
      <c r="K16386" s="3">
        <v>325</v>
      </c>
      <c r="L16386" s="3">
        <v>14</v>
      </c>
      <c r="M16386" s="3">
        <v>120</v>
      </c>
    </row>
    <row r="16387" spans="1:13" x14ac:dyDescent="0.25">
      <c r="A16387" s="1" t="str">
        <f>HYPERLINK("http://www.rosaceae.org/Prunus/Prunus_persica/p.persica_gdr_reftransV1_0000156","p.persica_gdr_reftransV1_0000156")</f>
        <v>p.persica_gdr_reftransV1_0000156</v>
      </c>
      <c r="B16387" s="3">
        <v>393</v>
      </c>
      <c r="C16387" s="1" t="str">
        <f>HYPERLINK("http://www.uniprot.org/uniprot/SEL10_CAEEL","SEL10_CAEEL")</f>
        <v>SEL10_CAEEL</v>
      </c>
      <c r="D16387" t="s">
        <v>10309</v>
      </c>
      <c r="E16387" s="3" t="s">
        <v>281</v>
      </c>
      <c r="F16387" s="4">
        <v>2.3500000000000002E-10</v>
      </c>
      <c r="G16387" s="3">
        <v>148</v>
      </c>
      <c r="H16387" s="3">
        <v>35</v>
      </c>
      <c r="I16387" s="3">
        <v>130</v>
      </c>
      <c r="J16387" s="3">
        <v>4</v>
      </c>
      <c r="K16387" s="3">
        <v>393</v>
      </c>
      <c r="L16387" s="3">
        <v>311</v>
      </c>
      <c r="M16387" s="3">
        <v>424</v>
      </c>
    </row>
    <row r="16388" spans="1:13" x14ac:dyDescent="0.25">
      <c r="A16388" s="1" t="str">
        <f>HYPERLINK("http://www.rosaceae.org/Prunus/Prunus_persica/p.persica_gdr_reftransV1_0000256","p.persica_gdr_reftransV1_0000256")</f>
        <v>p.persica_gdr_reftransV1_0000256</v>
      </c>
      <c r="B16388" s="3">
        <v>668</v>
      </c>
      <c r="C16388" s="1" t="str">
        <f>HYPERLINK("http://www.uniprot.org/uniprot/LOX31_SOLTU","LOX31_SOLTU")</f>
        <v>LOX31_SOLTU</v>
      </c>
      <c r="D16388" t="s">
        <v>3831</v>
      </c>
      <c r="E16388" s="3" t="s">
        <v>11</v>
      </c>
      <c r="F16388" s="4">
        <v>9.3499999999999998E-10</v>
      </c>
      <c r="G16388" s="3">
        <v>148</v>
      </c>
      <c r="H16388" s="3">
        <v>48</v>
      </c>
      <c r="I16388" s="3">
        <v>75</v>
      </c>
      <c r="J16388" s="3">
        <v>134</v>
      </c>
      <c r="K16388" s="3">
        <v>313</v>
      </c>
      <c r="L16388" s="3">
        <v>226</v>
      </c>
      <c r="M16388" s="3">
        <v>300</v>
      </c>
    </row>
    <row r="16389" spans="1:13" x14ac:dyDescent="0.25">
      <c r="A16389" s="1" t="str">
        <f>HYPERLINK("http://www.rosaceae.org/Prunus/Prunus_persica/p.persica_gdr_reftransV1_0000356","p.persica_gdr_reftransV1_0000356")</f>
        <v>p.persica_gdr_reftransV1_0000356</v>
      </c>
      <c r="B16389" s="3">
        <v>1614</v>
      </c>
      <c r="C16389" s="1" t="str">
        <f>HYPERLINK("http://www.uniprot.org/uniprot/PUB23_ARATH","PUB23_ARATH")</f>
        <v>PUB23_ARATH</v>
      </c>
      <c r="D16389" t="s">
        <v>10310</v>
      </c>
      <c r="E16389" s="3" t="s">
        <v>3</v>
      </c>
      <c r="F16389" s="4">
        <v>3.1199999999999999E-170</v>
      </c>
      <c r="G16389" s="3">
        <v>1274</v>
      </c>
      <c r="H16389" s="3">
        <v>57</v>
      </c>
      <c r="I16389" s="3">
        <v>408</v>
      </c>
      <c r="J16389" s="3">
        <v>222</v>
      </c>
      <c r="K16389" s="3">
        <v>1433</v>
      </c>
      <c r="L16389" s="3">
        <v>6</v>
      </c>
      <c r="M16389" s="3">
        <v>410</v>
      </c>
    </row>
    <row r="16390" spans="1:13" x14ac:dyDescent="0.25">
      <c r="A16390" s="1" t="str">
        <f>HYPERLINK("http://www.rosaceae.org/Prunus/Prunus_persica/p.persica_gdr_reftransV1_0000456","p.persica_gdr_reftransV1_0000456")</f>
        <v>p.persica_gdr_reftransV1_0000456</v>
      </c>
      <c r="B16390" s="3">
        <v>401</v>
      </c>
      <c r="C16390" s="1" t="str">
        <f>HYPERLINK("http://www.uniprot.org/uniprot/BT1_ARATH","BT1_ARATH")</f>
        <v>BT1_ARATH</v>
      </c>
      <c r="D16390" t="s">
        <v>10311</v>
      </c>
      <c r="E16390" s="3" t="s">
        <v>3</v>
      </c>
      <c r="F16390" s="4">
        <v>2.3600000000000001E-17</v>
      </c>
      <c r="G16390" s="3">
        <v>197</v>
      </c>
      <c r="H16390" s="3">
        <v>64</v>
      </c>
      <c r="I16390" s="3">
        <v>69</v>
      </c>
      <c r="J16390" s="3">
        <v>46</v>
      </c>
      <c r="K16390" s="3">
        <v>246</v>
      </c>
      <c r="L16390" s="3">
        <v>21</v>
      </c>
      <c r="M16390" s="3">
        <v>89</v>
      </c>
    </row>
    <row r="16391" spans="1:13" x14ac:dyDescent="0.25">
      <c r="A16391" s="1" t="str">
        <f>HYPERLINK("http://www.rosaceae.org/Prunus/Prunus_persica/p.persica_gdr_reftransV1_0000506","p.persica_gdr_reftransV1_0000506")</f>
        <v>p.persica_gdr_reftransV1_0000506</v>
      </c>
      <c r="B16391" s="3">
        <v>2116</v>
      </c>
      <c r="C16391" s="1" t="str">
        <f>HYPERLINK("http://www.uniprot.org/uniprot/MCCB_ARATH","MCCB_ARATH")</f>
        <v>MCCB_ARATH</v>
      </c>
      <c r="D16391" t="s">
        <v>10312</v>
      </c>
      <c r="E16391" s="3" t="s">
        <v>3</v>
      </c>
      <c r="F16391" s="4">
        <v>0</v>
      </c>
      <c r="G16391" s="3">
        <v>2301</v>
      </c>
      <c r="H16391" s="3">
        <v>81</v>
      </c>
      <c r="I16391" s="3">
        <v>546</v>
      </c>
      <c r="J16391" s="3">
        <v>131</v>
      </c>
      <c r="K16391" s="3">
        <v>1765</v>
      </c>
      <c r="L16391" s="3">
        <v>42</v>
      </c>
      <c r="M16391" s="3">
        <v>587</v>
      </c>
    </row>
    <row r="16392" spans="1:13" x14ac:dyDescent="0.25">
      <c r="A16392" s="1" t="str">
        <f>HYPERLINK("http://www.rosaceae.org/Prunus/Prunus_persica/p.persica_gdr_reftransV1_0000556","p.persica_gdr_reftransV1_0000556")</f>
        <v>p.persica_gdr_reftransV1_0000556</v>
      </c>
      <c r="B16392" s="3">
        <v>360</v>
      </c>
      <c r="C16392" s="1" t="str">
        <f>HYPERLINK("http://www.uniprot.org/uniprot/PDR2_NICPL","PDR2_NICPL")</f>
        <v>PDR2_NICPL</v>
      </c>
      <c r="D16392" t="s">
        <v>2532</v>
      </c>
      <c r="E16392" s="3" t="s">
        <v>1450</v>
      </c>
      <c r="F16392" s="4">
        <v>1.4200000000000001E-51</v>
      </c>
      <c r="G16392" s="3">
        <v>457</v>
      </c>
      <c r="H16392" s="3">
        <v>85</v>
      </c>
      <c r="I16392" s="3">
        <v>108</v>
      </c>
      <c r="J16392" s="3">
        <v>3</v>
      </c>
      <c r="K16392" s="3">
        <v>326</v>
      </c>
      <c r="L16392" s="3">
        <v>1265</v>
      </c>
      <c r="M16392" s="3">
        <v>1372</v>
      </c>
    </row>
    <row r="16393" spans="1:13" x14ac:dyDescent="0.25">
      <c r="A16393" s="1" t="str">
        <f>HYPERLINK("http://www.rosaceae.org/Prunus/Prunus_persica/p.persica_gdr_reftransV1_0000606","p.persica_gdr_reftransV1_0000606")</f>
        <v>p.persica_gdr_reftransV1_0000606</v>
      </c>
      <c r="B16393" s="3">
        <v>1286</v>
      </c>
      <c r="C16393" s="1" t="str">
        <f>HYPERLINK("http://www.uniprot.org/uniprot/PLC_LISMO","PLC_LISMO")</f>
        <v>PLC_LISMO</v>
      </c>
      <c r="D16393" t="s">
        <v>8633</v>
      </c>
      <c r="E16393" s="3" t="s">
        <v>8634</v>
      </c>
      <c r="F16393" s="4">
        <v>7.0200000000000004E-12</v>
      </c>
      <c r="G16393" s="3">
        <v>169</v>
      </c>
      <c r="H16393" s="3">
        <v>33</v>
      </c>
      <c r="I16393" s="3">
        <v>107</v>
      </c>
      <c r="J16393" s="3">
        <v>643</v>
      </c>
      <c r="K16393" s="3">
        <v>957</v>
      </c>
      <c r="L16393" s="3">
        <v>53</v>
      </c>
      <c r="M16393" s="3">
        <v>159</v>
      </c>
    </row>
    <row r="16394" spans="1:13" x14ac:dyDescent="0.25">
      <c r="A16394" s="1" t="str">
        <f>HYPERLINK("http://www.rosaceae.org/Prunus/Prunus_persica/p.persica_gdr_reftransV1_0000656","p.persica_gdr_reftransV1_0000656")</f>
        <v>p.persica_gdr_reftransV1_0000656</v>
      </c>
      <c r="B16394" s="3">
        <v>372</v>
      </c>
      <c r="C16394" s="1" t="str">
        <f>HYPERLINK("http://www.uniprot.org/uniprot/MYO12_ARATH","MYO12_ARATH")</f>
        <v>MYO12_ARATH</v>
      </c>
      <c r="D16394" t="s">
        <v>5122</v>
      </c>
      <c r="E16394" s="3" t="s">
        <v>3</v>
      </c>
      <c r="F16394" s="4">
        <v>2.22E-69</v>
      </c>
      <c r="G16394" s="3">
        <v>590</v>
      </c>
      <c r="H16394" s="3">
        <v>85</v>
      </c>
      <c r="I16394" s="3">
        <v>121</v>
      </c>
      <c r="J16394" s="3">
        <v>3</v>
      </c>
      <c r="K16394" s="3">
        <v>365</v>
      </c>
      <c r="L16394" s="3">
        <v>228</v>
      </c>
      <c r="M16394" s="3">
        <v>348</v>
      </c>
    </row>
    <row r="16395" spans="1:13" x14ac:dyDescent="0.25">
      <c r="A16395" s="1" t="str">
        <f>HYPERLINK("http://www.rosaceae.org/Prunus/Prunus_persica/p.persica_gdr_reftransV1_0000706","p.persica_gdr_reftransV1_0000706")</f>
        <v>p.persica_gdr_reftransV1_0000706</v>
      </c>
      <c r="B16395" s="3">
        <v>501</v>
      </c>
      <c r="C16395" s="1" t="str">
        <f>HYPERLINK("http://www.uniprot.org/uniprot/PER16_ARATH","PER16_ARATH")</f>
        <v>PER16_ARATH</v>
      </c>
      <c r="D16395" t="s">
        <v>10313</v>
      </c>
      <c r="E16395" s="3" t="s">
        <v>3</v>
      </c>
      <c r="F16395" s="4">
        <v>2.24E-65</v>
      </c>
      <c r="G16395" s="3">
        <v>531</v>
      </c>
      <c r="H16395" s="3">
        <v>65</v>
      </c>
      <c r="I16395" s="3">
        <v>161</v>
      </c>
      <c r="J16395" s="3">
        <v>19</v>
      </c>
      <c r="K16395" s="3">
        <v>501</v>
      </c>
      <c r="L16395" s="3">
        <v>163</v>
      </c>
      <c r="M16395" s="3">
        <v>323</v>
      </c>
    </row>
    <row r="16396" spans="1:13" x14ac:dyDescent="0.25">
      <c r="A16396" s="1" t="str">
        <f>HYPERLINK("http://www.rosaceae.org/Prunus/Prunus_persica/p.persica_gdr_reftransV1_0000756","p.persica_gdr_reftransV1_0000756")</f>
        <v>p.persica_gdr_reftransV1_0000756</v>
      </c>
      <c r="B16396" s="3">
        <v>967</v>
      </c>
      <c r="C16396" s="1" t="str">
        <f>HYPERLINK("http://www.uniprot.org/uniprot/IF5A2_NICPL","IF5A2_NICPL")</f>
        <v>IF5A2_NICPL</v>
      </c>
      <c r="D16396" t="s">
        <v>10314</v>
      </c>
      <c r="E16396" s="3" t="s">
        <v>1450</v>
      </c>
      <c r="F16396" s="4">
        <v>2.31E-108</v>
      </c>
      <c r="G16396" s="3">
        <v>818</v>
      </c>
      <c r="H16396" s="3">
        <v>97</v>
      </c>
      <c r="I16396" s="3">
        <v>159</v>
      </c>
      <c r="J16396" s="3">
        <v>400</v>
      </c>
      <c r="K16396" s="3">
        <v>876</v>
      </c>
      <c r="L16396" s="3">
        <v>1</v>
      </c>
      <c r="M16396" s="3">
        <v>159</v>
      </c>
    </row>
    <row r="16397" spans="1:13" x14ac:dyDescent="0.25">
      <c r="A16397" s="1" t="str">
        <f>HYPERLINK("http://www.rosaceae.org/Prunus/Prunus_persica/p.persica_gdr_reftransV1_0000806","p.persica_gdr_reftransV1_0000806")</f>
        <v>p.persica_gdr_reftransV1_0000806</v>
      </c>
      <c r="B16397" s="3">
        <v>1793</v>
      </c>
      <c r="C16397" s="1" t="str">
        <f>HYPERLINK("http://www.uniprot.org/uniprot/Y5483_ARATH","Y5483_ARATH")</f>
        <v>Y5483_ARATH</v>
      </c>
      <c r="D16397" t="s">
        <v>4521</v>
      </c>
      <c r="E16397" s="3" t="s">
        <v>3</v>
      </c>
      <c r="F16397" s="4">
        <v>9.5400000000000001E-76</v>
      </c>
      <c r="G16397" s="3">
        <v>640</v>
      </c>
      <c r="H16397" s="3">
        <v>71</v>
      </c>
      <c r="I16397" s="3">
        <v>234</v>
      </c>
      <c r="J16397" s="3">
        <v>804</v>
      </c>
      <c r="K16397" s="3">
        <v>1490</v>
      </c>
      <c r="L16397" s="3">
        <v>109</v>
      </c>
      <c r="M16397" s="3">
        <v>342</v>
      </c>
    </row>
    <row r="16398" spans="1:13" x14ac:dyDescent="0.25">
      <c r="A16398" s="1" t="str">
        <f>HYPERLINK("http://www.rosaceae.org/Prunus/Prunus_persica/p.persica_gdr_reftransV1_0000856","p.persica_gdr_reftransV1_0000856")</f>
        <v>p.persica_gdr_reftransV1_0000856</v>
      </c>
      <c r="B16398" s="3">
        <v>891</v>
      </c>
      <c r="C16398" s="1" t="str">
        <f>HYPERLINK("http://www.uniprot.org/uniprot/AAE16_ARATH","AAE16_ARATH")</f>
        <v>AAE16_ARATH</v>
      </c>
      <c r="D16398" t="s">
        <v>1487</v>
      </c>
      <c r="E16398" s="3" t="s">
        <v>3</v>
      </c>
      <c r="F16398" s="4">
        <v>4.4299999999999997E-73</v>
      </c>
      <c r="G16398" s="3">
        <v>622</v>
      </c>
      <c r="H16398" s="3">
        <v>67</v>
      </c>
      <c r="I16398" s="3">
        <v>183</v>
      </c>
      <c r="J16398" s="3">
        <v>3</v>
      </c>
      <c r="K16398" s="3">
        <v>551</v>
      </c>
      <c r="L16398" s="3">
        <v>15</v>
      </c>
      <c r="M16398" s="3">
        <v>190</v>
      </c>
    </row>
    <row r="16399" spans="1:13" x14ac:dyDescent="0.25">
      <c r="A16399" s="1" t="str">
        <f>HYPERLINK("http://www.rosaceae.org/Prunus/Prunus_persica/p.persica_gdr_reftransV1_0000906","p.persica_gdr_reftransV1_0000906")</f>
        <v>p.persica_gdr_reftransV1_0000906</v>
      </c>
      <c r="B16399" s="3">
        <v>2312</v>
      </c>
      <c r="C16399" s="1" t="str">
        <f>HYPERLINK("http://www.uniprot.org/uniprot/YCF2_CARPA","YCF2_CARPA")</f>
        <v>YCF2_CARPA</v>
      </c>
      <c r="D16399" t="s">
        <v>10315</v>
      </c>
      <c r="E16399" s="3" t="s">
        <v>2630</v>
      </c>
      <c r="F16399" s="4">
        <v>0</v>
      </c>
      <c r="G16399" s="3">
        <v>3334</v>
      </c>
      <c r="H16399" s="3">
        <v>92</v>
      </c>
      <c r="I16399" s="3">
        <v>739</v>
      </c>
      <c r="J16399" s="3">
        <v>101</v>
      </c>
      <c r="K16399" s="3">
        <v>2302</v>
      </c>
      <c r="L16399" s="3">
        <v>312</v>
      </c>
      <c r="M16399" s="3">
        <v>1047</v>
      </c>
    </row>
    <row r="16400" spans="1:13" x14ac:dyDescent="0.25">
      <c r="A16400" s="1" t="str">
        <f>HYPERLINK("http://www.rosaceae.org/Prunus/Prunus_persica/p.persica_gdr_reftransV1_0000956","p.persica_gdr_reftransV1_0000956")</f>
        <v>p.persica_gdr_reftransV1_0000956</v>
      </c>
      <c r="B16400" s="3">
        <v>662</v>
      </c>
      <c r="C16400" s="1" t="str">
        <f>HYPERLINK("http://www.uniprot.org/uniprot/PMAT2_ARATH","PMAT2_ARATH")</f>
        <v>PMAT2_ARATH</v>
      </c>
      <c r="D16400" t="s">
        <v>7847</v>
      </c>
      <c r="E16400" s="3" t="s">
        <v>3</v>
      </c>
      <c r="F16400" s="4">
        <v>1.9700000000000001E-45</v>
      </c>
      <c r="G16400" s="3">
        <v>410</v>
      </c>
      <c r="H16400" s="3">
        <v>46</v>
      </c>
      <c r="I16400" s="3">
        <v>188</v>
      </c>
      <c r="J16400" s="3">
        <v>21</v>
      </c>
      <c r="K16400" s="3">
        <v>575</v>
      </c>
      <c r="L16400" s="3">
        <v>2</v>
      </c>
      <c r="M16400" s="3">
        <v>186</v>
      </c>
    </row>
    <row r="16401" spans="1:13" x14ac:dyDescent="0.25">
      <c r="A16401" s="1" t="str">
        <f>HYPERLINK("http://www.rosaceae.org/Prunus/Prunus_persica/p.persica_gdr_reftransV1_0001006","p.persica_gdr_reftransV1_0001006")</f>
        <v>p.persica_gdr_reftransV1_0001006</v>
      </c>
      <c r="B16401" s="3">
        <v>1234</v>
      </c>
      <c r="C16401" s="1" t="str">
        <f>HYPERLINK("http://www.uniprot.org/uniprot/CTNS_ARATH","CTNS_ARATH")</f>
        <v>CTNS_ARATH</v>
      </c>
      <c r="D16401" t="s">
        <v>10316</v>
      </c>
      <c r="E16401" s="3" t="s">
        <v>3</v>
      </c>
      <c r="F16401" s="4">
        <v>1.0799999999999999E-133</v>
      </c>
      <c r="G16401" s="3">
        <v>1005</v>
      </c>
      <c r="H16401" s="3">
        <v>74</v>
      </c>
      <c r="I16401" s="3">
        <v>271</v>
      </c>
      <c r="J16401" s="3">
        <v>277</v>
      </c>
      <c r="K16401" s="3">
        <v>1089</v>
      </c>
      <c r="L16401" s="3">
        <v>1</v>
      </c>
      <c r="M16401" s="3">
        <v>270</v>
      </c>
    </row>
    <row r="16402" spans="1:13" x14ac:dyDescent="0.25">
      <c r="A16402" s="1" t="str">
        <f>HYPERLINK("http://www.rosaceae.org/Prunus/Prunus_persica/p.persica_gdr_reftransV1_0001056","p.persica_gdr_reftransV1_0001056")</f>
        <v>p.persica_gdr_reftransV1_0001056</v>
      </c>
      <c r="B16402" s="3">
        <v>1933</v>
      </c>
      <c r="C16402" s="1" t="str">
        <f>HYPERLINK("http://www.uniprot.org/uniprot/RGP5_ARATH","RGP5_ARATH")</f>
        <v>RGP5_ARATH</v>
      </c>
      <c r="D16402" t="s">
        <v>5269</v>
      </c>
      <c r="E16402" s="3" t="s">
        <v>3</v>
      </c>
      <c r="F16402" s="4">
        <v>0</v>
      </c>
      <c r="G16402" s="3">
        <v>1411</v>
      </c>
      <c r="H16402" s="3">
        <v>71</v>
      </c>
      <c r="I16402" s="3">
        <v>348</v>
      </c>
      <c r="J16402" s="3">
        <v>689</v>
      </c>
      <c r="K16402" s="3">
        <v>1732</v>
      </c>
      <c r="L16402" s="3">
        <v>1</v>
      </c>
      <c r="M16402" s="3">
        <v>348</v>
      </c>
    </row>
    <row r="16403" spans="1:13" x14ac:dyDescent="0.25">
      <c r="A16403" s="1" t="str">
        <f>HYPERLINK("http://www.rosaceae.org/Prunus/Prunus_persica/p.persica_gdr_reftransV1_0001106","p.persica_gdr_reftransV1_0001106")</f>
        <v>p.persica_gdr_reftransV1_0001106</v>
      </c>
      <c r="B16403" s="3">
        <v>2067</v>
      </c>
      <c r="C16403" s="1" t="str">
        <f>HYPERLINK("http://www.uniprot.org/uniprot/PRP31_MOUSE","PRP31_MOUSE")</f>
        <v>PRP31_MOUSE</v>
      </c>
      <c r="D16403" t="s">
        <v>6403</v>
      </c>
      <c r="E16403" s="3" t="s">
        <v>157</v>
      </c>
      <c r="F16403" s="4">
        <v>5.23E-102</v>
      </c>
      <c r="G16403" s="3">
        <v>839</v>
      </c>
      <c r="H16403" s="3">
        <v>48</v>
      </c>
      <c r="I16403" s="3">
        <v>449</v>
      </c>
      <c r="J16403" s="3">
        <v>430</v>
      </c>
      <c r="K16403" s="3">
        <v>1740</v>
      </c>
      <c r="L16403" s="3">
        <v>43</v>
      </c>
      <c r="M16403" s="3">
        <v>490</v>
      </c>
    </row>
    <row r="16404" spans="1:13" x14ac:dyDescent="0.25">
      <c r="A16404" s="1" t="str">
        <f>HYPERLINK("http://www.rosaceae.org/Prunus/Prunus_persica/p.persica_gdr_reftransV1_0001156","p.persica_gdr_reftransV1_0001156")</f>
        <v>p.persica_gdr_reftransV1_0001156</v>
      </c>
      <c r="B16404" s="3">
        <v>3570</v>
      </c>
      <c r="C16404" s="1" t="str">
        <f>HYPERLINK("http://www.uniprot.org/uniprot/CAPPC_FLATR","CAPPC_FLATR")</f>
        <v>CAPPC_FLATR</v>
      </c>
      <c r="D16404" t="s">
        <v>8826</v>
      </c>
      <c r="E16404" s="3" t="s">
        <v>8827</v>
      </c>
      <c r="F16404" s="4">
        <v>0</v>
      </c>
      <c r="G16404" s="3">
        <v>4620</v>
      </c>
      <c r="H16404" s="3">
        <v>89</v>
      </c>
      <c r="I16404" s="3">
        <v>967</v>
      </c>
      <c r="J16404" s="3">
        <v>495</v>
      </c>
      <c r="K16404" s="3">
        <v>3392</v>
      </c>
      <c r="L16404" s="3">
        <v>1</v>
      </c>
      <c r="M16404" s="3">
        <v>967</v>
      </c>
    </row>
    <row r="16405" spans="1:13" x14ac:dyDescent="0.25">
      <c r="A16405" s="1" t="str">
        <f>HYPERLINK("http://www.rosaceae.org/Prunus/Prunus_persica/p.persica_gdr_reftransV1_0001206","p.persica_gdr_reftransV1_0001206")</f>
        <v>p.persica_gdr_reftransV1_0001206</v>
      </c>
      <c r="B16405" s="3">
        <v>7042</v>
      </c>
      <c r="C16405" s="1" t="str">
        <f>HYPERLINK("http://www.uniprot.org/uniprot/MBD9_ARATH","MBD9_ARATH")</f>
        <v>MBD9_ARATH</v>
      </c>
      <c r="D16405" t="s">
        <v>1745</v>
      </c>
      <c r="E16405" s="3" t="s">
        <v>3</v>
      </c>
      <c r="F16405" s="4">
        <v>0</v>
      </c>
      <c r="G16405" s="3">
        <v>4594</v>
      </c>
      <c r="H16405" s="3">
        <v>47</v>
      </c>
      <c r="I16405" s="3">
        <v>2200</v>
      </c>
      <c r="J16405" s="3">
        <v>1</v>
      </c>
      <c r="K16405" s="3">
        <v>6435</v>
      </c>
      <c r="L16405" s="3">
        <v>99</v>
      </c>
      <c r="M16405" s="3">
        <v>2175</v>
      </c>
    </row>
    <row r="16406" spans="1:13" x14ac:dyDescent="0.25">
      <c r="A16406" s="1" t="str">
        <f>HYPERLINK("http://www.rosaceae.org/Prunus/Prunus_persica/p.persica_gdr_reftransV1_0001256","p.persica_gdr_reftransV1_0001256")</f>
        <v>p.persica_gdr_reftransV1_0001256</v>
      </c>
      <c r="B16406" s="3">
        <v>448</v>
      </c>
      <c r="C16406" s="1" t="str">
        <f>HYPERLINK("http://www.uniprot.org/uniprot/PTR40_ARATH","PTR40_ARATH")</f>
        <v>PTR40_ARATH</v>
      </c>
      <c r="D16406" t="s">
        <v>6078</v>
      </c>
      <c r="E16406" s="3" t="s">
        <v>3</v>
      </c>
      <c r="F16406" s="4">
        <v>6.4700000000000002E-18</v>
      </c>
      <c r="G16406" s="3">
        <v>206</v>
      </c>
      <c r="H16406" s="3">
        <v>55</v>
      </c>
      <c r="I16406" s="3">
        <v>67</v>
      </c>
      <c r="J16406" s="3">
        <v>97</v>
      </c>
      <c r="K16406" s="3">
        <v>297</v>
      </c>
      <c r="L16406" s="3">
        <v>18</v>
      </c>
      <c r="M16406" s="3">
        <v>84</v>
      </c>
    </row>
    <row r="16407" spans="1:13" x14ac:dyDescent="0.25">
      <c r="A16407" s="1" t="str">
        <f>HYPERLINK("http://www.rosaceae.org/Prunus/Prunus_persica/p.persica_gdr_reftransV1_0001306","p.persica_gdr_reftransV1_0001306")</f>
        <v>p.persica_gdr_reftransV1_0001306</v>
      </c>
      <c r="B16407" s="3">
        <v>487</v>
      </c>
      <c r="C16407" s="1" t="str">
        <f>HYPERLINK("http://www.uniprot.org/uniprot/DEF1_HUMAN","DEF1_HUMAN")</f>
        <v>DEF1_HUMAN</v>
      </c>
      <c r="D16407" t="s">
        <v>10317</v>
      </c>
      <c r="E16407" s="3" t="s">
        <v>28</v>
      </c>
      <c r="F16407" s="4">
        <v>5.2400000000000002E-49</v>
      </c>
      <c r="G16407" s="3">
        <v>403</v>
      </c>
      <c r="H16407" s="3">
        <v>100</v>
      </c>
      <c r="I16407" s="3">
        <v>94</v>
      </c>
      <c r="J16407" s="3">
        <v>82</v>
      </c>
      <c r="K16407" s="3">
        <v>363</v>
      </c>
      <c r="L16407" s="3">
        <v>1</v>
      </c>
      <c r="M16407" s="3">
        <v>94</v>
      </c>
    </row>
    <row r="16408" spans="1:13" x14ac:dyDescent="0.25">
      <c r="A16408" s="1" t="str">
        <f>HYPERLINK("http://www.rosaceae.org/Prunus/Prunus_persica/p.persica_gdr_reftransV1_0001456","p.persica_gdr_reftransV1_0001456")</f>
        <v>p.persica_gdr_reftransV1_0001456</v>
      </c>
      <c r="B16408" s="3">
        <v>901</v>
      </c>
      <c r="C16408" s="1" t="str">
        <f>HYPERLINK("http://www.uniprot.org/uniprot/TCLOT_ARATH","TCLOT_ARATH")</f>
        <v>TCLOT_ARATH</v>
      </c>
      <c r="D16408" t="s">
        <v>7616</v>
      </c>
      <c r="E16408" s="3" t="s">
        <v>3</v>
      </c>
      <c r="F16408" s="4">
        <v>1.1799999999999999E-50</v>
      </c>
      <c r="G16408" s="3">
        <v>430</v>
      </c>
      <c r="H16408" s="3">
        <v>65</v>
      </c>
      <c r="I16408" s="3">
        <v>120</v>
      </c>
      <c r="J16408" s="3">
        <v>361</v>
      </c>
      <c r="K16408" s="3">
        <v>717</v>
      </c>
      <c r="L16408" s="3">
        <v>1</v>
      </c>
      <c r="M16408" s="3">
        <v>120</v>
      </c>
    </row>
    <row r="16409" spans="1:13" x14ac:dyDescent="0.25">
      <c r="A16409" s="1" t="str">
        <f>HYPERLINK("http://www.rosaceae.org/Prunus/Prunus_persica/p.persica_gdr_reftransV1_0001506","p.persica_gdr_reftransV1_0001506")</f>
        <v>p.persica_gdr_reftransV1_0001506</v>
      </c>
      <c r="B16409" s="3">
        <v>898</v>
      </c>
      <c r="C16409" s="1" t="str">
        <f>HYPERLINK("http://www.uniprot.org/uniprot/SEP15_BOVIN","SEP15_BOVIN")</f>
        <v>SEP15_BOVIN</v>
      </c>
      <c r="D16409" t="s">
        <v>10318</v>
      </c>
      <c r="E16409" s="3" t="s">
        <v>184</v>
      </c>
      <c r="F16409" s="4">
        <v>2.14E-19</v>
      </c>
      <c r="G16409" s="3">
        <v>215</v>
      </c>
      <c r="H16409" s="3">
        <v>36</v>
      </c>
      <c r="I16409" s="3">
        <v>132</v>
      </c>
      <c r="J16409" s="3">
        <v>168</v>
      </c>
      <c r="K16409" s="3">
        <v>560</v>
      </c>
      <c r="L16409" s="3">
        <v>32</v>
      </c>
      <c r="M16409" s="3">
        <v>161</v>
      </c>
    </row>
    <row r="16410" spans="1:13" x14ac:dyDescent="0.25">
      <c r="A16410" s="1" t="str">
        <f>HYPERLINK("http://www.rosaceae.org/Prunus/Prunus_persica/p.persica_gdr_reftransV1_0001556","p.persica_gdr_reftransV1_0001556")</f>
        <v>p.persica_gdr_reftransV1_0001556</v>
      </c>
      <c r="B16410" s="3">
        <v>426</v>
      </c>
      <c r="C16410" s="1" t="str">
        <f>HYPERLINK("http://www.uniprot.org/uniprot/TEB_ARATH","TEB_ARATH")</f>
        <v>TEB_ARATH</v>
      </c>
      <c r="D16410" t="s">
        <v>3616</v>
      </c>
      <c r="E16410" s="3" t="s">
        <v>3</v>
      </c>
      <c r="F16410" s="4">
        <v>4.7900000000000004E-12</v>
      </c>
      <c r="G16410" s="3">
        <v>163</v>
      </c>
      <c r="H16410" s="3">
        <v>49</v>
      </c>
      <c r="I16410" s="3">
        <v>84</v>
      </c>
      <c r="J16410" s="3">
        <v>161</v>
      </c>
      <c r="K16410" s="3">
        <v>412</v>
      </c>
      <c r="L16410" s="3">
        <v>7</v>
      </c>
      <c r="M16410" s="3">
        <v>85</v>
      </c>
    </row>
    <row r="16411" spans="1:13" x14ac:dyDescent="0.25">
      <c r="A16411" s="1" t="str">
        <f>HYPERLINK("http://www.rosaceae.org/Prunus/Prunus_persica/p.persica_gdr_reftransV1_0001656","p.persica_gdr_reftransV1_0001656")</f>
        <v>p.persica_gdr_reftransV1_0001656</v>
      </c>
      <c r="B16411" s="3">
        <v>3199</v>
      </c>
      <c r="C16411" s="1" t="str">
        <f>HYPERLINK("http://www.uniprot.org/uniprot/DRP3A_ARATH","DRP3A_ARATH")</f>
        <v>DRP3A_ARATH</v>
      </c>
      <c r="D16411" t="s">
        <v>4859</v>
      </c>
      <c r="E16411" s="3" t="s">
        <v>3</v>
      </c>
      <c r="F16411" s="4">
        <v>0</v>
      </c>
      <c r="G16411" s="3">
        <v>1847</v>
      </c>
      <c r="H16411" s="3">
        <v>75</v>
      </c>
      <c r="I16411" s="3">
        <v>475</v>
      </c>
      <c r="J16411" s="3">
        <v>1148</v>
      </c>
      <c r="K16411" s="3">
        <v>2572</v>
      </c>
      <c r="L16411" s="3">
        <v>300</v>
      </c>
      <c r="M16411" s="3">
        <v>768</v>
      </c>
    </row>
    <row r="16412" spans="1:13" x14ac:dyDescent="0.25">
      <c r="A16412" s="1" t="str">
        <f>HYPERLINK("http://www.rosaceae.org/Prunus/Prunus_persica/p.persica_gdr_reftransV1_0001706","p.persica_gdr_reftransV1_0001706")</f>
        <v>p.persica_gdr_reftransV1_0001706</v>
      </c>
      <c r="B16412" s="3">
        <v>410</v>
      </c>
      <c r="C16412" s="1" t="str">
        <f>HYPERLINK("http://www.uniprot.org/uniprot/CNG18_ARATH","CNG18_ARATH")</f>
        <v>CNG18_ARATH</v>
      </c>
      <c r="D16412" t="s">
        <v>4271</v>
      </c>
      <c r="E16412" s="3" t="s">
        <v>3</v>
      </c>
      <c r="F16412" s="4">
        <v>2.8500000000000002E-7</v>
      </c>
      <c r="G16412" s="3">
        <v>124</v>
      </c>
      <c r="H16412" s="3">
        <v>50</v>
      </c>
      <c r="I16412" s="3">
        <v>54</v>
      </c>
      <c r="J16412" s="3">
        <v>202</v>
      </c>
      <c r="K16412" s="3">
        <v>363</v>
      </c>
      <c r="L16412" s="3">
        <v>515</v>
      </c>
      <c r="M16412" s="3">
        <v>567</v>
      </c>
    </row>
    <row r="16413" spans="1:13" x14ac:dyDescent="0.25">
      <c r="A16413" s="1" t="str">
        <f>HYPERLINK("http://www.rosaceae.org/Prunus/Prunus_persica/p.persica_gdr_reftransV1_0001806","p.persica_gdr_reftransV1_0001806")</f>
        <v>p.persica_gdr_reftransV1_0001806</v>
      </c>
      <c r="B16413" s="3">
        <v>364</v>
      </c>
      <c r="C16413" s="1" t="str">
        <f>HYPERLINK("http://www.uniprot.org/uniprot/AIR9_ARATH","AIR9_ARATH")</f>
        <v>AIR9_ARATH</v>
      </c>
      <c r="D16413" t="s">
        <v>9562</v>
      </c>
      <c r="E16413" s="3" t="s">
        <v>3</v>
      </c>
      <c r="F16413" s="4">
        <v>1.18E-28</v>
      </c>
      <c r="G16413" s="3">
        <v>287</v>
      </c>
      <c r="H16413" s="3">
        <v>42</v>
      </c>
      <c r="I16413" s="3">
        <v>158</v>
      </c>
      <c r="J16413" s="3">
        <v>8</v>
      </c>
      <c r="K16413" s="3">
        <v>364</v>
      </c>
      <c r="L16413" s="3">
        <v>861</v>
      </c>
      <c r="M16413" s="3">
        <v>1018</v>
      </c>
    </row>
    <row r="16414" spans="1:13" x14ac:dyDescent="0.25">
      <c r="A16414" s="1" t="str">
        <f>HYPERLINK("http://www.rosaceae.org/Prunus/Prunus_persica/p.persica_gdr_reftransV1_0002006","p.persica_gdr_reftransV1_0002006")</f>
        <v>p.persica_gdr_reftransV1_0002006</v>
      </c>
      <c r="B16414" s="3">
        <v>1333</v>
      </c>
      <c r="C16414" s="1" t="str">
        <f>HYPERLINK("http://www.uniprot.org/uniprot/TBL29_ARATH","TBL29_ARATH")</f>
        <v>TBL29_ARATH</v>
      </c>
      <c r="D16414" t="s">
        <v>2761</v>
      </c>
      <c r="E16414" s="3" t="s">
        <v>3</v>
      </c>
      <c r="F16414" s="4">
        <v>0</v>
      </c>
      <c r="G16414" s="3">
        <v>1587</v>
      </c>
      <c r="H16414" s="3">
        <v>83</v>
      </c>
      <c r="I16414" s="3">
        <v>349</v>
      </c>
      <c r="J16414" s="3">
        <v>226</v>
      </c>
      <c r="K16414" s="3">
        <v>1272</v>
      </c>
      <c r="L16414" s="3">
        <v>139</v>
      </c>
      <c r="M16414" s="3">
        <v>487</v>
      </c>
    </row>
    <row r="16415" spans="1:13" x14ac:dyDescent="0.25">
      <c r="A16415" s="1" t="str">
        <f>HYPERLINK("http://www.rosaceae.org/Prunus/Prunus_persica/p.persica_gdr_reftransV1_0002106","p.persica_gdr_reftransV1_0002106")</f>
        <v>p.persica_gdr_reftransV1_0002106</v>
      </c>
      <c r="B16415" s="3">
        <v>2450</v>
      </c>
      <c r="C16415" s="1" t="str">
        <f>HYPERLINK("http://www.uniprot.org/uniprot/KEA5_ARATH","KEA5_ARATH")</f>
        <v>KEA5_ARATH</v>
      </c>
      <c r="D16415" t="s">
        <v>6719</v>
      </c>
      <c r="E16415" s="3" t="s">
        <v>3</v>
      </c>
      <c r="F16415" s="4">
        <v>0</v>
      </c>
      <c r="G16415" s="3">
        <v>1957</v>
      </c>
      <c r="H16415" s="3">
        <v>82</v>
      </c>
      <c r="I16415" s="3">
        <v>548</v>
      </c>
      <c r="J16415" s="3">
        <v>329</v>
      </c>
      <c r="K16415" s="3">
        <v>1957</v>
      </c>
      <c r="L16415" s="3">
        <v>21</v>
      </c>
      <c r="M16415" s="3">
        <v>566</v>
      </c>
    </row>
    <row r="16416" spans="1:13" x14ac:dyDescent="0.25">
      <c r="A16416" s="1" t="str">
        <f>HYPERLINK("http://www.rosaceae.org/Prunus/Prunus_persica/p.persica_gdr_reftransV1_0002156","p.persica_gdr_reftransV1_0002156")</f>
        <v>p.persica_gdr_reftransV1_0002156</v>
      </c>
      <c r="B16416" s="3">
        <v>499</v>
      </c>
      <c r="C16416" s="1" t="str">
        <f>HYPERLINK("http://www.uniprot.org/uniprot/PTR8_ARATH","PTR8_ARATH")</f>
        <v>PTR8_ARATH</v>
      </c>
      <c r="D16416" t="s">
        <v>7461</v>
      </c>
      <c r="E16416" s="3" t="s">
        <v>3</v>
      </c>
      <c r="F16416" s="4">
        <v>1.08E-59</v>
      </c>
      <c r="G16416" s="3">
        <v>509</v>
      </c>
      <c r="H16416" s="3">
        <v>66</v>
      </c>
      <c r="I16416" s="3">
        <v>166</v>
      </c>
      <c r="J16416" s="3">
        <v>2</v>
      </c>
      <c r="K16416" s="3">
        <v>499</v>
      </c>
      <c r="L16416" s="3">
        <v>102</v>
      </c>
      <c r="M16416" s="3">
        <v>267</v>
      </c>
    </row>
    <row r="16417" spans="1:13" x14ac:dyDescent="0.25">
      <c r="A16417" s="1" t="str">
        <f>HYPERLINK("http://www.rosaceae.org/Prunus/Prunus_persica/p.persica_gdr_reftransV1_0002356","p.persica_gdr_reftransV1_0002356")</f>
        <v>p.persica_gdr_reftransV1_0002356</v>
      </c>
      <c r="B16417" s="3">
        <v>1343</v>
      </c>
      <c r="C16417" s="1" t="str">
        <f>HYPERLINK("http://www.uniprot.org/uniprot/CSE_ARATH","CSE_ARATH")</f>
        <v>CSE_ARATH</v>
      </c>
      <c r="D16417" t="s">
        <v>584</v>
      </c>
      <c r="E16417" s="3" t="s">
        <v>3</v>
      </c>
      <c r="F16417" s="4">
        <v>1.0400000000000001E-49</v>
      </c>
      <c r="G16417" s="3">
        <v>450</v>
      </c>
      <c r="H16417" s="3">
        <v>34</v>
      </c>
      <c r="I16417" s="3">
        <v>290</v>
      </c>
      <c r="J16417" s="3">
        <v>185</v>
      </c>
      <c r="K16417" s="3">
        <v>1051</v>
      </c>
      <c r="L16417" s="3">
        <v>35</v>
      </c>
      <c r="M16417" s="3">
        <v>323</v>
      </c>
    </row>
    <row r="16418" spans="1:13" x14ac:dyDescent="0.25">
      <c r="A16418" s="1" t="str">
        <f>HYPERLINK("http://www.rosaceae.org/Prunus/Prunus_persica/p.persica_gdr_reftransV1_0002406","p.persica_gdr_reftransV1_0002406")</f>
        <v>p.persica_gdr_reftransV1_0002406</v>
      </c>
      <c r="B16418" s="3">
        <v>901</v>
      </c>
      <c r="C16418" s="1" t="str">
        <f>HYPERLINK("http://www.uniprot.org/uniprot/Y5880_ARATH","Y5880_ARATH")</f>
        <v>Y5880_ARATH</v>
      </c>
      <c r="D16418" t="s">
        <v>3008</v>
      </c>
      <c r="E16418" s="3" t="s">
        <v>3</v>
      </c>
      <c r="F16418" s="4">
        <v>5.2100000000000001E-150</v>
      </c>
      <c r="G16418" s="3">
        <v>1134</v>
      </c>
      <c r="H16418" s="3">
        <v>75</v>
      </c>
      <c r="I16418" s="3">
        <v>302</v>
      </c>
      <c r="J16418" s="3">
        <v>5</v>
      </c>
      <c r="K16418" s="3">
        <v>901</v>
      </c>
      <c r="L16418" s="3">
        <v>113</v>
      </c>
      <c r="M16418" s="3">
        <v>395</v>
      </c>
    </row>
    <row r="16419" spans="1:13" x14ac:dyDescent="0.25">
      <c r="A16419" s="1" t="str">
        <f>HYPERLINK("http://www.rosaceae.org/Prunus/Prunus_persica/p.persica_gdr_reftransV1_0002456","p.persica_gdr_reftransV1_0002456")</f>
        <v>p.persica_gdr_reftransV1_0002456</v>
      </c>
      <c r="B16419" s="3">
        <v>1702</v>
      </c>
      <c r="C16419" s="1" t="str">
        <f>HYPERLINK("http://www.uniprot.org/uniprot/SAPKA_ORYSJ","SAPKA_ORYSJ")</f>
        <v>SAPKA_ORYSJ</v>
      </c>
      <c r="D16419" t="s">
        <v>10319</v>
      </c>
      <c r="E16419" s="3" t="s">
        <v>38</v>
      </c>
      <c r="F16419" s="4">
        <v>0</v>
      </c>
      <c r="G16419" s="3">
        <v>1349</v>
      </c>
      <c r="H16419" s="3">
        <v>78</v>
      </c>
      <c r="I16419" s="3">
        <v>327</v>
      </c>
      <c r="J16419" s="3">
        <v>475</v>
      </c>
      <c r="K16419" s="3">
        <v>1362</v>
      </c>
      <c r="L16419" s="3">
        <v>1</v>
      </c>
      <c r="M16419" s="3">
        <v>327</v>
      </c>
    </row>
    <row r="16420" spans="1:13" x14ac:dyDescent="0.25">
      <c r="A16420" s="1" t="str">
        <f>HYPERLINK("http://www.rosaceae.org/Prunus/Prunus_persica/p.persica_gdr_reftransV1_0002506","p.persica_gdr_reftransV1_0002506")</f>
        <v>p.persica_gdr_reftransV1_0002506</v>
      </c>
      <c r="B16420" s="3">
        <v>672</v>
      </c>
      <c r="C16420" s="1" t="str">
        <f>HYPERLINK("http://www.uniprot.org/uniprot/MSH3_ARATH","MSH3_ARATH")</f>
        <v>MSH3_ARATH</v>
      </c>
      <c r="D16420" t="s">
        <v>6227</v>
      </c>
      <c r="E16420" s="3" t="s">
        <v>3</v>
      </c>
      <c r="F16420" s="4">
        <v>2.5199999999999998E-59</v>
      </c>
      <c r="G16420" s="3">
        <v>524</v>
      </c>
      <c r="H16420" s="3">
        <v>63</v>
      </c>
      <c r="I16420" s="3">
        <v>218</v>
      </c>
      <c r="J16420" s="3">
        <v>1</v>
      </c>
      <c r="K16420" s="3">
        <v>654</v>
      </c>
      <c r="L16420" s="3">
        <v>1</v>
      </c>
      <c r="M16420" s="3">
        <v>197</v>
      </c>
    </row>
    <row r="16421" spans="1:13" x14ac:dyDescent="0.25">
      <c r="A16421" s="1" t="str">
        <f>HYPERLINK("http://www.rosaceae.org/Prunus/Prunus_persica/p.persica_gdr_reftransV1_0002556","p.persica_gdr_reftransV1_0002556")</f>
        <v>p.persica_gdr_reftransV1_0002556</v>
      </c>
      <c r="B16421" s="3">
        <v>1908</v>
      </c>
      <c r="C16421" s="1" t="str">
        <f>HYPERLINK("http://www.uniprot.org/uniprot/OBE2_ARATH","OBE2_ARATH")</f>
        <v>OBE2_ARATH</v>
      </c>
      <c r="D16421" t="s">
        <v>10320</v>
      </c>
      <c r="E16421" s="3" t="s">
        <v>3</v>
      </c>
      <c r="F16421" s="4">
        <v>1.5900000000000001E-7</v>
      </c>
      <c r="G16421" s="3">
        <v>139</v>
      </c>
      <c r="H16421" s="3">
        <v>29</v>
      </c>
      <c r="I16421" s="3">
        <v>143</v>
      </c>
      <c r="J16421" s="3">
        <v>184</v>
      </c>
      <c r="K16421" s="3">
        <v>585</v>
      </c>
      <c r="L16421" s="3">
        <v>214</v>
      </c>
      <c r="M16421" s="3">
        <v>348</v>
      </c>
    </row>
    <row r="16422" spans="1:13" x14ac:dyDescent="0.25">
      <c r="A16422" s="1" t="str">
        <f>HYPERLINK("http://www.rosaceae.org/Prunus/Prunus_persica/p.persica_gdr_reftransV1_0002656","p.persica_gdr_reftransV1_0002656")</f>
        <v>p.persica_gdr_reftransV1_0002656</v>
      </c>
      <c r="B16422" s="3">
        <v>1577</v>
      </c>
      <c r="C16422" s="1" t="str">
        <f>HYPERLINK("http://www.uniprot.org/uniprot/AB15B_ARATH","AB15B_ARATH")</f>
        <v>AB15B_ARATH</v>
      </c>
      <c r="D16422" t="s">
        <v>446</v>
      </c>
      <c r="E16422" s="3" t="s">
        <v>3</v>
      </c>
      <c r="F16422" s="4">
        <v>0</v>
      </c>
      <c r="G16422" s="3">
        <v>1846</v>
      </c>
      <c r="H16422" s="3">
        <v>83</v>
      </c>
      <c r="I16422" s="3">
        <v>420</v>
      </c>
      <c r="J16422" s="3">
        <v>2</v>
      </c>
      <c r="K16422" s="3">
        <v>1258</v>
      </c>
      <c r="L16422" s="3">
        <v>819</v>
      </c>
      <c r="M16422" s="3">
        <v>1238</v>
      </c>
    </row>
    <row r="16423" spans="1:13" x14ac:dyDescent="0.25">
      <c r="A16423" s="1" t="str">
        <f>HYPERLINK("http://www.rosaceae.org/Prunus/Prunus_persica/p.persica_gdr_reftransV1_0002706","p.persica_gdr_reftransV1_0002706")</f>
        <v>p.persica_gdr_reftransV1_0002706</v>
      </c>
      <c r="B16423" s="3">
        <v>323</v>
      </c>
      <c r="C16423" s="1" t="str">
        <f>HYPERLINK("http://www.uniprot.org/uniprot/RPT3_ARATH","RPT3_ARATH")</f>
        <v>RPT3_ARATH</v>
      </c>
      <c r="D16423" t="s">
        <v>8769</v>
      </c>
      <c r="E16423" s="3" t="s">
        <v>3</v>
      </c>
      <c r="F16423" s="4">
        <v>1.74E-20</v>
      </c>
      <c r="G16423" s="3">
        <v>223</v>
      </c>
      <c r="H16423" s="3">
        <v>64</v>
      </c>
      <c r="I16423" s="3">
        <v>64</v>
      </c>
      <c r="J16423" s="3">
        <v>17</v>
      </c>
      <c r="K16423" s="3">
        <v>208</v>
      </c>
      <c r="L16423" s="3">
        <v>505</v>
      </c>
      <c r="M16423" s="3">
        <v>568</v>
      </c>
    </row>
    <row r="16424" spans="1:13" x14ac:dyDescent="0.25">
      <c r="A16424" s="1" t="str">
        <f>HYPERLINK("http://www.rosaceae.org/Prunus/Prunus_persica/p.persica_gdr_reftransV1_0003006","p.persica_gdr_reftransV1_0003006")</f>
        <v>p.persica_gdr_reftransV1_0003006</v>
      </c>
      <c r="B16424" s="3">
        <v>2015</v>
      </c>
      <c r="C16424" s="1" t="str">
        <f>HYPERLINK("http://www.uniprot.org/uniprot/C7A29_PANGI","C7A29_PANGI")</f>
        <v>C7A29_PANGI</v>
      </c>
      <c r="D16424" t="s">
        <v>3855</v>
      </c>
      <c r="E16424" s="3" t="s">
        <v>1477</v>
      </c>
      <c r="F16424" s="4">
        <v>0</v>
      </c>
      <c r="G16424" s="3">
        <v>1182</v>
      </c>
      <c r="H16424" s="3">
        <v>58</v>
      </c>
      <c r="I16424" s="3">
        <v>387</v>
      </c>
      <c r="J16424" s="3">
        <v>692</v>
      </c>
      <c r="K16424" s="3">
        <v>1849</v>
      </c>
      <c r="L16424" s="3">
        <v>1</v>
      </c>
      <c r="M16424" s="3">
        <v>382</v>
      </c>
    </row>
    <row r="16425" spans="1:13" x14ac:dyDescent="0.25">
      <c r="A16425" s="1" t="str">
        <f>HYPERLINK("http://www.rosaceae.org/Prunus/Prunus_persica/p.persica_gdr_reftransV1_0003056","p.persica_gdr_reftransV1_0003056")</f>
        <v>p.persica_gdr_reftransV1_0003056</v>
      </c>
      <c r="B16425" s="3">
        <v>402</v>
      </c>
      <c r="C16425" s="1" t="str">
        <f>HYPERLINK("http://www.uniprot.org/uniprot/C86A1_ARATH","C86A1_ARATH")</f>
        <v>C86A1_ARATH</v>
      </c>
      <c r="D16425" t="s">
        <v>9381</v>
      </c>
      <c r="E16425" s="3" t="s">
        <v>3</v>
      </c>
      <c r="F16425" s="4">
        <v>2.2400000000000001E-78</v>
      </c>
      <c r="G16425" s="3">
        <v>629</v>
      </c>
      <c r="H16425" s="3">
        <v>86</v>
      </c>
      <c r="I16425" s="3">
        <v>133</v>
      </c>
      <c r="J16425" s="3">
        <v>2</v>
      </c>
      <c r="K16425" s="3">
        <v>400</v>
      </c>
      <c r="L16425" s="3">
        <v>343</v>
      </c>
      <c r="M16425" s="3">
        <v>475</v>
      </c>
    </row>
    <row r="16426" spans="1:13" x14ac:dyDescent="0.25">
      <c r="A16426" s="1" t="str">
        <f>HYPERLINK("http://www.rosaceae.org/Prunus/Prunus_persica/p.persica_gdr_reftransV1_0003156","p.persica_gdr_reftransV1_0003156")</f>
        <v>p.persica_gdr_reftransV1_0003156</v>
      </c>
      <c r="B16426" s="3">
        <v>483</v>
      </c>
      <c r="C16426" s="1" t="str">
        <f>HYPERLINK("http://www.uniprot.org/uniprot/MTP10_ARATH","MTP10_ARATH")</f>
        <v>MTP10_ARATH</v>
      </c>
      <c r="D16426" t="s">
        <v>3873</v>
      </c>
      <c r="E16426" s="3" t="s">
        <v>3</v>
      </c>
      <c r="F16426" s="4">
        <v>5.2599999999999996E-60</v>
      </c>
      <c r="G16426" s="3">
        <v>502</v>
      </c>
      <c r="H16426" s="3">
        <v>62</v>
      </c>
      <c r="I16426" s="3">
        <v>163</v>
      </c>
      <c r="J16426" s="3">
        <v>3</v>
      </c>
      <c r="K16426" s="3">
        <v>482</v>
      </c>
      <c r="L16426" s="3">
        <v>58</v>
      </c>
      <c r="M16426" s="3">
        <v>220</v>
      </c>
    </row>
    <row r="16427" spans="1:13" x14ac:dyDescent="0.25">
      <c r="A16427" s="1" t="str">
        <f>HYPERLINK("http://www.rosaceae.org/Prunus/Prunus_persica/p.persica_gdr_reftransV1_0003256","p.persica_gdr_reftransV1_0003256")</f>
        <v>p.persica_gdr_reftransV1_0003256</v>
      </c>
      <c r="B16427" s="3">
        <v>397</v>
      </c>
      <c r="C16427" s="1" t="str">
        <f>HYPERLINK("http://www.uniprot.org/uniprot/C71A1_PERAE","C71A1_PERAE")</f>
        <v>C71A1_PERAE</v>
      </c>
      <c r="D16427" t="s">
        <v>102</v>
      </c>
      <c r="E16427" s="3" t="s">
        <v>103</v>
      </c>
      <c r="F16427" s="4">
        <v>3.1900000000000001E-44</v>
      </c>
      <c r="G16427" s="3">
        <v>394</v>
      </c>
      <c r="H16427" s="3">
        <v>60</v>
      </c>
      <c r="I16427" s="3">
        <v>128</v>
      </c>
      <c r="J16427" s="3">
        <v>3</v>
      </c>
      <c r="K16427" s="3">
        <v>386</v>
      </c>
      <c r="L16427" s="3">
        <v>292</v>
      </c>
      <c r="M16427" s="3">
        <v>419</v>
      </c>
    </row>
    <row r="16428" spans="1:13" x14ac:dyDescent="0.25">
      <c r="A16428" s="1" t="str">
        <f>HYPERLINK("http://www.rosaceae.org/Prunus/Prunus_persica/p.persica_gdr_reftransV1_0003306","p.persica_gdr_reftransV1_0003306")</f>
        <v>p.persica_gdr_reftransV1_0003306</v>
      </c>
      <c r="B16428" s="3">
        <v>2766</v>
      </c>
      <c r="C16428" s="1" t="str">
        <f>HYPERLINK("http://www.uniprot.org/uniprot/ARFI_ARATH","ARFI_ARATH")</f>
        <v>ARFI_ARATH</v>
      </c>
      <c r="D16428" t="s">
        <v>3768</v>
      </c>
      <c r="E16428" s="3" t="s">
        <v>3</v>
      </c>
      <c r="F16428" s="4">
        <v>0</v>
      </c>
      <c r="G16428" s="3">
        <v>1904</v>
      </c>
      <c r="H16428" s="3">
        <v>60</v>
      </c>
      <c r="I16428" s="3">
        <v>660</v>
      </c>
      <c r="J16428" s="3">
        <v>273</v>
      </c>
      <c r="K16428" s="3">
        <v>2243</v>
      </c>
      <c r="L16428" s="3">
        <v>1</v>
      </c>
      <c r="M16428" s="3">
        <v>624</v>
      </c>
    </row>
    <row r="16429" spans="1:13" x14ac:dyDescent="0.25">
      <c r="A16429" s="1" t="str">
        <f>HYPERLINK("http://www.rosaceae.org/Prunus/Prunus_persica/p.persica_gdr_reftransV1_0003406","p.persica_gdr_reftransV1_0003406")</f>
        <v>p.persica_gdr_reftransV1_0003406</v>
      </c>
      <c r="B16429" s="3">
        <v>813</v>
      </c>
      <c r="C16429" s="1" t="str">
        <f>HYPERLINK("http://www.uniprot.org/uniprot/WRK57_ARATH","WRK57_ARATH")</f>
        <v>WRK57_ARATH</v>
      </c>
      <c r="D16429" t="s">
        <v>10321</v>
      </c>
      <c r="E16429" s="3" t="s">
        <v>3</v>
      </c>
      <c r="F16429" s="4">
        <v>6.3600000000000004E-12</v>
      </c>
      <c r="G16429" s="3">
        <v>164</v>
      </c>
      <c r="H16429" s="3">
        <v>51</v>
      </c>
      <c r="I16429" s="3">
        <v>75</v>
      </c>
      <c r="J16429" s="3">
        <v>268</v>
      </c>
      <c r="K16429" s="3">
        <v>492</v>
      </c>
      <c r="L16429" s="3">
        <v>116</v>
      </c>
      <c r="M16429" s="3">
        <v>187</v>
      </c>
    </row>
    <row r="16430" spans="1:13" x14ac:dyDescent="0.25">
      <c r="A16430" s="1" t="str">
        <f>HYPERLINK("http://www.rosaceae.org/Prunus/Prunus_persica/p.persica_gdr_reftransV1_0003456","p.persica_gdr_reftransV1_0003456")</f>
        <v>p.persica_gdr_reftransV1_0003456</v>
      </c>
      <c r="B16430" s="3">
        <v>386</v>
      </c>
      <c r="C16430" s="1" t="str">
        <f>HYPERLINK("http://www.uniprot.org/uniprot/ATPA_NEUCR","ATPA_NEUCR")</f>
        <v>ATPA_NEUCR</v>
      </c>
      <c r="D16430" t="s">
        <v>10322</v>
      </c>
      <c r="E16430" s="3" t="s">
        <v>435</v>
      </c>
      <c r="F16430" s="4">
        <v>1.1499999999999999E-80</v>
      </c>
      <c r="G16430" s="3">
        <v>646</v>
      </c>
      <c r="H16430" s="3">
        <v>92</v>
      </c>
      <c r="I16430" s="3">
        <v>128</v>
      </c>
      <c r="J16430" s="3">
        <v>2</v>
      </c>
      <c r="K16430" s="3">
        <v>385</v>
      </c>
      <c r="L16430" s="3">
        <v>281</v>
      </c>
      <c r="M16430" s="3">
        <v>408</v>
      </c>
    </row>
    <row r="16431" spans="1:13" x14ac:dyDescent="0.25">
      <c r="A16431" s="1" t="str">
        <f>HYPERLINK("http://www.rosaceae.org/Prunus/Prunus_persica/p.persica_gdr_reftransV1_0003506","p.persica_gdr_reftransV1_0003506")</f>
        <v>p.persica_gdr_reftransV1_0003506</v>
      </c>
      <c r="B16431" s="3">
        <v>935</v>
      </c>
      <c r="C16431" s="1" t="str">
        <f>HYPERLINK("http://www.uniprot.org/uniprot/RL192_ARATH","RL192_ARATH")</f>
        <v>RL192_ARATH</v>
      </c>
      <c r="D16431" t="s">
        <v>10323</v>
      </c>
      <c r="E16431" s="3" t="s">
        <v>3</v>
      </c>
      <c r="F16431" s="4">
        <v>3.1100000000000001E-83</v>
      </c>
      <c r="G16431" s="3">
        <v>655</v>
      </c>
      <c r="H16431" s="3">
        <v>88</v>
      </c>
      <c r="I16431" s="3">
        <v>199</v>
      </c>
      <c r="J16431" s="3">
        <v>287</v>
      </c>
      <c r="K16431" s="3">
        <v>877</v>
      </c>
      <c r="L16431" s="3">
        <v>1</v>
      </c>
      <c r="M16431" s="3">
        <v>199</v>
      </c>
    </row>
    <row r="16432" spans="1:13" x14ac:dyDescent="0.25">
      <c r="A16432" s="1" t="str">
        <f>HYPERLINK("http://www.rosaceae.org/Prunus/Prunus_persica/p.persica_gdr_reftransV1_0003706","p.persica_gdr_reftransV1_0003706")</f>
        <v>p.persica_gdr_reftransV1_0003706</v>
      </c>
      <c r="B16432" s="3">
        <v>3175</v>
      </c>
      <c r="C16432" s="1" t="str">
        <f>HYPERLINK("http://www.uniprot.org/uniprot/PUM2_ARATH","PUM2_ARATH")</f>
        <v>PUM2_ARATH</v>
      </c>
      <c r="D16432" t="s">
        <v>2258</v>
      </c>
      <c r="E16432" s="3" t="s">
        <v>3</v>
      </c>
      <c r="F16432" s="4">
        <v>0</v>
      </c>
      <c r="G16432" s="3">
        <v>2347</v>
      </c>
      <c r="H16432" s="3">
        <v>56</v>
      </c>
      <c r="I16432" s="3">
        <v>904</v>
      </c>
      <c r="J16432" s="3">
        <v>399</v>
      </c>
      <c r="K16432" s="3">
        <v>3074</v>
      </c>
      <c r="L16432" s="3">
        <v>153</v>
      </c>
      <c r="M16432" s="3">
        <v>963</v>
      </c>
    </row>
    <row r="16433" spans="1:13" x14ac:dyDescent="0.25">
      <c r="A16433" s="1" t="str">
        <f>HYPERLINK("http://www.rosaceae.org/Prunus/Prunus_persica/p.persica_gdr_reftransV1_0003856","p.persica_gdr_reftransV1_0003856")</f>
        <v>p.persica_gdr_reftransV1_0003856</v>
      </c>
      <c r="B16433" s="3">
        <v>2936</v>
      </c>
      <c r="C16433" s="1" t="str">
        <f>HYPERLINK("http://www.uniprot.org/uniprot/MCCA_SOYBN","MCCA_SOYBN")</f>
        <v>MCCA_SOYBN</v>
      </c>
      <c r="D16433" t="s">
        <v>8848</v>
      </c>
      <c r="E16433" s="3" t="s">
        <v>307</v>
      </c>
      <c r="F16433" s="4">
        <v>0</v>
      </c>
      <c r="G16433" s="3">
        <v>1208</v>
      </c>
      <c r="H16433" s="3">
        <v>82</v>
      </c>
      <c r="I16433" s="3">
        <v>280</v>
      </c>
      <c r="J16433" s="3">
        <v>2046</v>
      </c>
      <c r="K16433" s="3">
        <v>2876</v>
      </c>
      <c r="L16433" s="3">
        <v>1</v>
      </c>
      <c r="M16433" s="3">
        <v>275</v>
      </c>
    </row>
    <row r="16434" spans="1:13" x14ac:dyDescent="0.25">
      <c r="A16434" s="1" t="str">
        <f>HYPERLINK("http://www.rosaceae.org/Prunus/Prunus_persica/p.persica_gdr_reftransV1_0003956","p.persica_gdr_reftransV1_0003956")</f>
        <v>p.persica_gdr_reftransV1_0003956</v>
      </c>
      <c r="B16434" s="3">
        <v>3907</v>
      </c>
      <c r="C16434" s="1" t="str">
        <f>HYPERLINK("http://www.uniprot.org/uniprot/IPO5_HUMAN","IPO5_HUMAN")</f>
        <v>IPO5_HUMAN</v>
      </c>
      <c r="D16434" t="s">
        <v>2574</v>
      </c>
      <c r="E16434" s="3" t="s">
        <v>28</v>
      </c>
      <c r="F16434" s="4">
        <v>0</v>
      </c>
      <c r="G16434" s="3">
        <v>1604</v>
      </c>
      <c r="H16434" s="3">
        <v>36</v>
      </c>
      <c r="I16434" s="3">
        <v>1083</v>
      </c>
      <c r="J16434" s="3">
        <v>618</v>
      </c>
      <c r="K16434" s="3">
        <v>3818</v>
      </c>
      <c r="L16434" s="3">
        <v>10</v>
      </c>
      <c r="M16434" s="3">
        <v>1071</v>
      </c>
    </row>
    <row r="16435" spans="1:13" x14ac:dyDescent="0.25">
      <c r="A16435" s="1" t="str">
        <f>HYPERLINK("http://www.rosaceae.org/Prunus/Prunus_persica/p.persica_gdr_reftransV1_0004006","p.persica_gdr_reftransV1_0004006")</f>
        <v>p.persica_gdr_reftransV1_0004006</v>
      </c>
      <c r="B16435" s="3">
        <v>1526</v>
      </c>
      <c r="C16435" s="1" t="str">
        <f>HYPERLINK("http://www.uniprot.org/uniprot/MYB48_ARATH","MYB48_ARATH")</f>
        <v>MYB48_ARATH</v>
      </c>
      <c r="D16435" t="s">
        <v>10324</v>
      </c>
      <c r="E16435" s="3" t="s">
        <v>3</v>
      </c>
      <c r="F16435" s="4">
        <v>5.8999999999999996E-35</v>
      </c>
      <c r="G16435" s="3">
        <v>242</v>
      </c>
      <c r="H16435" s="3">
        <v>92</v>
      </c>
      <c r="I16435" s="3">
        <v>49</v>
      </c>
      <c r="J16435" s="3">
        <v>337</v>
      </c>
      <c r="K16435" s="3">
        <v>483</v>
      </c>
      <c r="L16435" s="3">
        <v>38</v>
      </c>
      <c r="M16435" s="3">
        <v>86</v>
      </c>
    </row>
    <row r="16436" spans="1:13" x14ac:dyDescent="0.25">
      <c r="A16436" s="1" t="str">
        <f>HYPERLINK("http://www.rosaceae.org/Prunus/Prunus_persica/p.persica_gdr_reftransV1_0004056","p.persica_gdr_reftransV1_0004056")</f>
        <v>p.persica_gdr_reftransV1_0004056</v>
      </c>
      <c r="B16436" s="3">
        <v>1321</v>
      </c>
      <c r="C16436" s="1" t="str">
        <f>HYPERLINK("http://www.uniprot.org/uniprot/FOLD1_ARATH","FOLD1_ARATH")</f>
        <v>FOLD1_ARATH</v>
      </c>
      <c r="D16436" t="s">
        <v>3364</v>
      </c>
      <c r="E16436" s="3" t="s">
        <v>3</v>
      </c>
      <c r="F16436" s="4">
        <v>9.9999999999999996E-165</v>
      </c>
      <c r="G16436" s="3">
        <v>1222</v>
      </c>
      <c r="H16436" s="3">
        <v>65</v>
      </c>
      <c r="I16436" s="3">
        <v>364</v>
      </c>
      <c r="J16436" s="3">
        <v>63</v>
      </c>
      <c r="K16436" s="3">
        <v>1154</v>
      </c>
      <c r="L16436" s="3">
        <v>3</v>
      </c>
      <c r="M16436" s="3">
        <v>351</v>
      </c>
    </row>
    <row r="16437" spans="1:13" x14ac:dyDescent="0.25">
      <c r="A16437" s="1" t="str">
        <f>HYPERLINK("http://www.rosaceae.org/Prunus/Prunus_persica/p.persica_gdr_reftransV1_0004456","p.persica_gdr_reftransV1_0004456")</f>
        <v>p.persica_gdr_reftransV1_0004456</v>
      </c>
      <c r="B16437" s="3">
        <v>2278</v>
      </c>
      <c r="C16437" s="1" t="str">
        <f>HYPERLINK("http://www.uniprot.org/uniprot/PFKA4_ARATH","PFKA4_ARATH")</f>
        <v>PFKA4_ARATH</v>
      </c>
      <c r="D16437" t="s">
        <v>6386</v>
      </c>
      <c r="E16437" s="3" t="s">
        <v>3</v>
      </c>
      <c r="F16437" s="4">
        <v>0</v>
      </c>
      <c r="G16437" s="3">
        <v>1218</v>
      </c>
      <c r="H16437" s="3">
        <v>81</v>
      </c>
      <c r="I16437" s="3">
        <v>280</v>
      </c>
      <c r="J16437" s="3">
        <v>473</v>
      </c>
      <c r="K16437" s="3">
        <v>1309</v>
      </c>
      <c r="L16437" s="3">
        <v>252</v>
      </c>
      <c r="M16437" s="3">
        <v>530</v>
      </c>
    </row>
    <row r="16438" spans="1:13" x14ac:dyDescent="0.25">
      <c r="A16438" s="1" t="str">
        <f>HYPERLINK("http://www.rosaceae.org/Prunus/Prunus_persica/p.persica_gdr_reftransV1_0004506","p.persica_gdr_reftransV1_0004506")</f>
        <v>p.persica_gdr_reftransV1_0004506</v>
      </c>
      <c r="B16438" s="3">
        <v>2748</v>
      </c>
      <c r="C16438" s="1" t="str">
        <f>HYPERLINK("http://www.uniprot.org/uniprot/IMK2_ARATH","IMK2_ARATH")</f>
        <v>IMK2_ARATH</v>
      </c>
      <c r="D16438" t="s">
        <v>6892</v>
      </c>
      <c r="E16438" s="3" t="s">
        <v>3</v>
      </c>
      <c r="F16438" s="4">
        <v>0</v>
      </c>
      <c r="G16438" s="3">
        <v>2406</v>
      </c>
      <c r="H16438" s="3">
        <v>67</v>
      </c>
      <c r="I16438" s="3">
        <v>780</v>
      </c>
      <c r="J16438" s="3">
        <v>196</v>
      </c>
      <c r="K16438" s="3">
        <v>2508</v>
      </c>
      <c r="L16438" s="3">
        <v>45</v>
      </c>
      <c r="M16438" s="3">
        <v>809</v>
      </c>
    </row>
    <row r="16439" spans="1:13" x14ac:dyDescent="0.25">
      <c r="A16439" s="1" t="str">
        <f>HYPERLINK("http://www.rosaceae.org/Prunus/Prunus_persica/p.persica_gdr_reftransV1_0004556","p.persica_gdr_reftransV1_0004556")</f>
        <v>p.persica_gdr_reftransV1_0004556</v>
      </c>
      <c r="B16439" s="3">
        <v>2068</v>
      </c>
      <c r="C16439" s="1" t="str">
        <f>HYPERLINK("http://www.uniprot.org/uniprot/EDE1_ARATH","EDE1_ARATH")</f>
        <v>EDE1_ARATH</v>
      </c>
      <c r="D16439" t="s">
        <v>10325</v>
      </c>
      <c r="E16439" s="3" t="s">
        <v>3</v>
      </c>
      <c r="F16439" s="4">
        <v>9.41E-62</v>
      </c>
      <c r="G16439" s="3">
        <v>558</v>
      </c>
      <c r="H16439" s="3">
        <v>44</v>
      </c>
      <c r="I16439" s="3">
        <v>280</v>
      </c>
      <c r="J16439" s="3">
        <v>127</v>
      </c>
      <c r="K16439" s="3">
        <v>966</v>
      </c>
      <c r="L16439" s="3">
        <v>203</v>
      </c>
      <c r="M16439" s="3">
        <v>465</v>
      </c>
    </row>
    <row r="16440" spans="1:13" x14ac:dyDescent="0.25">
      <c r="A16440" s="1" t="str">
        <f>HYPERLINK("http://www.rosaceae.org/Prunus/Prunus_persica/p.persica_gdr_reftransV1_0004656","p.persica_gdr_reftransV1_0004656")</f>
        <v>p.persica_gdr_reftransV1_0004656</v>
      </c>
      <c r="B16440" s="3">
        <v>1979</v>
      </c>
      <c r="C16440" s="1" t="str">
        <f>HYPERLINK("http://www.uniprot.org/uniprot/COR2_PAPSO","COR2_PAPSO")</f>
        <v>COR2_PAPSO</v>
      </c>
      <c r="D16440" t="s">
        <v>10326</v>
      </c>
      <c r="E16440" s="3" t="s">
        <v>2250</v>
      </c>
      <c r="F16440" s="4">
        <v>3.2299999999999998E-100</v>
      </c>
      <c r="G16440" s="3">
        <v>545</v>
      </c>
      <c r="H16440" s="3">
        <v>57</v>
      </c>
      <c r="I16440" s="3">
        <v>192</v>
      </c>
      <c r="J16440" s="3">
        <v>116</v>
      </c>
      <c r="K16440" s="3">
        <v>679</v>
      </c>
      <c r="L16440" s="3">
        <v>6</v>
      </c>
      <c r="M16440" s="3">
        <v>188</v>
      </c>
    </row>
    <row r="16441" spans="1:13" x14ac:dyDescent="0.25">
      <c r="A16441" s="1" t="str">
        <f>HYPERLINK("http://www.rosaceae.org/Prunus/Prunus_persica/p.persica_gdr_reftransV1_0004756","p.persica_gdr_reftransV1_0004756")</f>
        <v>p.persica_gdr_reftransV1_0004756</v>
      </c>
      <c r="B16441" s="3">
        <v>1560</v>
      </c>
      <c r="C16441" s="1" t="str">
        <f>HYPERLINK("http://www.uniprot.org/uniprot/GAT28_ARATH","GAT28_ARATH")</f>
        <v>GAT28_ARATH</v>
      </c>
      <c r="D16441" t="s">
        <v>3560</v>
      </c>
      <c r="E16441" s="3" t="s">
        <v>3</v>
      </c>
      <c r="F16441" s="4">
        <v>4.2199999999999996E-62</v>
      </c>
      <c r="G16441" s="3">
        <v>538</v>
      </c>
      <c r="H16441" s="3">
        <v>52</v>
      </c>
      <c r="I16441" s="3">
        <v>245</v>
      </c>
      <c r="J16441" s="3">
        <v>372</v>
      </c>
      <c r="K16441" s="3">
        <v>1076</v>
      </c>
      <c r="L16441" s="3">
        <v>59</v>
      </c>
      <c r="M16441" s="3">
        <v>301</v>
      </c>
    </row>
    <row r="16442" spans="1:13" x14ac:dyDescent="0.25">
      <c r="A16442" s="1" t="str">
        <f>HYPERLINK("http://www.rosaceae.org/Prunus/Prunus_persica/p.persica_gdr_reftransV1_0004806","p.persica_gdr_reftransV1_0004806")</f>
        <v>p.persica_gdr_reftransV1_0004806</v>
      </c>
      <c r="B16442" s="3">
        <v>2927</v>
      </c>
      <c r="C16442" s="1" t="str">
        <f>HYPERLINK("http://www.uniprot.org/uniprot/HOX32_ORYSJ","HOX32_ORYSJ")</f>
        <v>HOX32_ORYSJ</v>
      </c>
      <c r="D16442" t="s">
        <v>10327</v>
      </c>
      <c r="E16442" s="3" t="s">
        <v>38</v>
      </c>
      <c r="F16442" s="4">
        <v>0</v>
      </c>
      <c r="G16442" s="3">
        <v>3421</v>
      </c>
      <c r="H16442" s="3">
        <v>78</v>
      </c>
      <c r="I16442" s="3">
        <v>851</v>
      </c>
      <c r="J16442" s="3">
        <v>281</v>
      </c>
      <c r="K16442" s="3">
        <v>2794</v>
      </c>
      <c r="L16442" s="3">
        <v>11</v>
      </c>
      <c r="M16442" s="3">
        <v>859</v>
      </c>
    </row>
    <row r="16443" spans="1:13" x14ac:dyDescent="0.25">
      <c r="A16443" s="1" t="str">
        <f>HYPERLINK("http://www.rosaceae.org/Prunus/Prunus_persica/p.persica_gdr_reftransV1_0004906","p.persica_gdr_reftransV1_0004906")</f>
        <v>p.persica_gdr_reftransV1_0004906</v>
      </c>
      <c r="B16443" s="3">
        <v>371</v>
      </c>
      <c r="C16443" s="1" t="str">
        <f>HYPERLINK("http://www.uniprot.org/uniprot/LPXK_ARATH","LPXK_ARATH")</f>
        <v>LPXK_ARATH</v>
      </c>
      <c r="D16443" t="s">
        <v>4962</v>
      </c>
      <c r="E16443" s="3" t="s">
        <v>3</v>
      </c>
      <c r="F16443" s="4">
        <v>1.5999999999999999E-22</v>
      </c>
      <c r="G16443" s="3">
        <v>234</v>
      </c>
      <c r="H16443" s="3">
        <v>59</v>
      </c>
      <c r="I16443" s="3">
        <v>112</v>
      </c>
      <c r="J16443" s="3">
        <v>2</v>
      </c>
      <c r="K16443" s="3">
        <v>337</v>
      </c>
      <c r="L16443" s="3">
        <v>77</v>
      </c>
      <c r="M16443" s="3">
        <v>184</v>
      </c>
    </row>
    <row r="16444" spans="1:13" x14ac:dyDescent="0.25">
      <c r="A16444" s="1" t="str">
        <f>HYPERLINK("http://www.rosaceae.org/Prunus/Prunus_persica/p.persica_gdr_reftransV1_0004956","p.persica_gdr_reftransV1_0004956")</f>
        <v>p.persica_gdr_reftransV1_0004956</v>
      </c>
      <c r="B16444" s="3">
        <v>1834</v>
      </c>
      <c r="C16444" s="1" t="str">
        <f>HYPERLINK("http://www.uniprot.org/uniprot/PUB9_ARATH","PUB9_ARATH")</f>
        <v>PUB9_ARATH</v>
      </c>
      <c r="D16444" t="s">
        <v>2235</v>
      </c>
      <c r="E16444" s="3" t="s">
        <v>3</v>
      </c>
      <c r="F16444" s="4">
        <v>0</v>
      </c>
      <c r="G16444" s="3">
        <v>1457</v>
      </c>
      <c r="H16444" s="3">
        <v>64</v>
      </c>
      <c r="I16444" s="3">
        <v>463</v>
      </c>
      <c r="J16444" s="3">
        <v>167</v>
      </c>
      <c r="K16444" s="3">
        <v>1534</v>
      </c>
      <c r="L16444" s="3">
        <v>1</v>
      </c>
      <c r="M16444" s="3">
        <v>460</v>
      </c>
    </row>
    <row r="16445" spans="1:13" x14ac:dyDescent="0.25">
      <c r="A16445" s="1" t="str">
        <f>HYPERLINK("http://www.rosaceae.org/Prunus/Prunus_persica/p.persica_gdr_reftransV1_0005156","p.persica_gdr_reftransV1_0005156")</f>
        <v>p.persica_gdr_reftransV1_0005156</v>
      </c>
      <c r="B16445" s="3">
        <v>664</v>
      </c>
      <c r="C16445" s="1" t="str">
        <f>HYPERLINK("http://www.uniprot.org/uniprot/UBC32_ARATH","UBC32_ARATH")</f>
        <v>UBC32_ARATH</v>
      </c>
      <c r="D16445" t="s">
        <v>3698</v>
      </c>
      <c r="E16445" s="3" t="s">
        <v>3</v>
      </c>
      <c r="F16445" s="4">
        <v>1.0000000000000001E-15</v>
      </c>
      <c r="G16445" s="3">
        <v>190</v>
      </c>
      <c r="H16445" s="3">
        <v>52</v>
      </c>
      <c r="I16445" s="3">
        <v>71</v>
      </c>
      <c r="J16445" s="3">
        <v>451</v>
      </c>
      <c r="K16445" s="3">
        <v>663</v>
      </c>
      <c r="L16445" s="3">
        <v>3</v>
      </c>
      <c r="M16445" s="3">
        <v>67</v>
      </c>
    </row>
    <row r="16446" spans="1:13" x14ac:dyDescent="0.25">
      <c r="A16446" s="1" t="str">
        <f>HYPERLINK("http://www.rosaceae.org/Prunus/Prunus_persica/p.persica_gdr_reftransV1_0005206","p.persica_gdr_reftransV1_0005206")</f>
        <v>p.persica_gdr_reftransV1_0005206</v>
      </c>
      <c r="B16446" s="3">
        <v>2341</v>
      </c>
      <c r="C16446" s="1" t="str">
        <f>HYPERLINK("http://www.uniprot.org/uniprot/KPRO_MAIZE","KPRO_MAIZE")</f>
        <v>KPRO_MAIZE</v>
      </c>
      <c r="D16446" t="s">
        <v>4928</v>
      </c>
      <c r="E16446" s="3" t="s">
        <v>72</v>
      </c>
      <c r="F16446" s="4">
        <v>0</v>
      </c>
      <c r="G16446" s="3">
        <v>1408</v>
      </c>
      <c r="H16446" s="3">
        <v>43</v>
      </c>
      <c r="I16446" s="3">
        <v>784</v>
      </c>
      <c r="J16446" s="3">
        <v>2</v>
      </c>
      <c r="K16446" s="3">
        <v>2251</v>
      </c>
      <c r="L16446" s="3">
        <v>53</v>
      </c>
      <c r="M16446" s="3">
        <v>817</v>
      </c>
    </row>
    <row r="16447" spans="1:13" x14ac:dyDescent="0.25">
      <c r="A16447" s="1" t="str">
        <f>HYPERLINK("http://www.rosaceae.org/Prunus/Prunus_persica/p.persica_gdr_reftransV1_0005356","p.persica_gdr_reftransV1_0005356")</f>
        <v>p.persica_gdr_reftransV1_0005356</v>
      </c>
      <c r="B16447" s="3">
        <v>534</v>
      </c>
      <c r="C16447" s="1" t="str">
        <f>HYPERLINK("http://www.uniprot.org/uniprot/TBL34_ARATH","TBL34_ARATH")</f>
        <v>TBL34_ARATH</v>
      </c>
      <c r="D16447" t="s">
        <v>6215</v>
      </c>
      <c r="E16447" s="3" t="s">
        <v>3</v>
      </c>
      <c r="F16447" s="4">
        <v>1.1300000000000001E-83</v>
      </c>
      <c r="G16447" s="3">
        <v>662</v>
      </c>
      <c r="H16447" s="3">
        <v>72</v>
      </c>
      <c r="I16447" s="3">
        <v>169</v>
      </c>
      <c r="J16447" s="3">
        <v>16</v>
      </c>
      <c r="K16447" s="3">
        <v>522</v>
      </c>
      <c r="L16447" s="3">
        <v>239</v>
      </c>
      <c r="M16447" s="3">
        <v>407</v>
      </c>
    </row>
    <row r="16448" spans="1:13" x14ac:dyDescent="0.25">
      <c r="A16448" s="1" t="str">
        <f>HYPERLINK("http://www.rosaceae.org/Prunus/Prunus_persica/p.persica_gdr_reftransV1_0005406","p.persica_gdr_reftransV1_0005406")</f>
        <v>p.persica_gdr_reftransV1_0005406</v>
      </c>
      <c r="B16448" s="3">
        <v>701</v>
      </c>
      <c r="C16448" s="1" t="str">
        <f>HYPERLINK("http://www.uniprot.org/uniprot/BH079_ARATH","BH079_ARATH")</f>
        <v>BH079_ARATH</v>
      </c>
      <c r="D16448" t="s">
        <v>1155</v>
      </c>
      <c r="E16448" s="3" t="s">
        <v>3</v>
      </c>
      <c r="F16448" s="4">
        <v>2.8599999999999998E-40</v>
      </c>
      <c r="G16448" s="3">
        <v>366</v>
      </c>
      <c r="H16448" s="3">
        <v>63</v>
      </c>
      <c r="I16448" s="3">
        <v>114</v>
      </c>
      <c r="J16448" s="3">
        <v>98</v>
      </c>
      <c r="K16448" s="3">
        <v>439</v>
      </c>
      <c r="L16448" s="3">
        <v>169</v>
      </c>
      <c r="M16448" s="3">
        <v>281</v>
      </c>
    </row>
    <row r="16449" spans="1:13" x14ac:dyDescent="0.25">
      <c r="A16449" s="1" t="str">
        <f>HYPERLINK("http://www.rosaceae.org/Prunus/Prunus_persica/p.persica_gdr_reftransV1_0005506","p.persica_gdr_reftransV1_0005506")</f>
        <v>p.persica_gdr_reftransV1_0005506</v>
      </c>
      <c r="B16449" s="3">
        <v>2557</v>
      </c>
      <c r="C16449" s="1" t="str">
        <f>HYPERLINK("http://www.uniprot.org/uniprot/TRP6_ARATH","TRP6_ARATH")</f>
        <v>TRP6_ARATH</v>
      </c>
      <c r="D16449" t="s">
        <v>10328</v>
      </c>
      <c r="E16449" s="3" t="s">
        <v>3</v>
      </c>
      <c r="F16449" s="4">
        <v>7.9299999999999995E-10</v>
      </c>
      <c r="G16449" s="3">
        <v>158</v>
      </c>
      <c r="H16449" s="3">
        <v>30</v>
      </c>
      <c r="I16449" s="3">
        <v>155</v>
      </c>
      <c r="J16449" s="3">
        <v>1714</v>
      </c>
      <c r="K16449" s="3">
        <v>2166</v>
      </c>
      <c r="L16449" s="3">
        <v>242</v>
      </c>
      <c r="M16449" s="3">
        <v>388</v>
      </c>
    </row>
    <row r="16450" spans="1:13" x14ac:dyDescent="0.25">
      <c r="A16450" s="1" t="str">
        <f>HYPERLINK("http://www.rosaceae.org/Prunus/Prunus_persica/p.persica_gdr_reftransV1_0005556","p.persica_gdr_reftransV1_0005556")</f>
        <v>p.persica_gdr_reftransV1_0005556</v>
      </c>
      <c r="B16450" s="3">
        <v>443</v>
      </c>
      <c r="C16450" s="1" t="str">
        <f>HYPERLINK("http://www.uniprot.org/uniprot/SBT4E_ARATH","SBT4E_ARATH")</f>
        <v>SBT4E_ARATH</v>
      </c>
      <c r="D16450" t="s">
        <v>4212</v>
      </c>
      <c r="E16450" s="3" t="s">
        <v>3</v>
      </c>
      <c r="F16450" s="4">
        <v>2.9499999999999999E-47</v>
      </c>
      <c r="G16450" s="3">
        <v>422</v>
      </c>
      <c r="H16450" s="3">
        <v>61</v>
      </c>
      <c r="I16450" s="3">
        <v>147</v>
      </c>
      <c r="J16450" s="3">
        <v>2</v>
      </c>
      <c r="K16450" s="3">
        <v>442</v>
      </c>
      <c r="L16450" s="3">
        <v>186</v>
      </c>
      <c r="M16450" s="3">
        <v>332</v>
      </c>
    </row>
    <row r="16451" spans="1:13" x14ac:dyDescent="0.25">
      <c r="A16451" s="1" t="str">
        <f>HYPERLINK("http://www.rosaceae.org/Prunus/Prunus_persica/p.persica_gdr_reftransV1_0005656","p.persica_gdr_reftransV1_0005656")</f>
        <v>p.persica_gdr_reftransV1_0005656</v>
      </c>
      <c r="B16451" s="3">
        <v>439</v>
      </c>
      <c r="C16451" s="1" t="str">
        <f>HYPERLINK("http://www.uniprot.org/uniprot/ARR22_ARATH","ARR22_ARATH")</f>
        <v>ARR22_ARATH</v>
      </c>
      <c r="D16451" t="s">
        <v>9502</v>
      </c>
      <c r="E16451" s="3" t="s">
        <v>3</v>
      </c>
      <c r="F16451" s="4">
        <v>1.8899999999999999E-10</v>
      </c>
      <c r="G16451" s="3">
        <v>142</v>
      </c>
      <c r="H16451" s="3">
        <v>42</v>
      </c>
      <c r="I16451" s="3">
        <v>96</v>
      </c>
      <c r="J16451" s="3">
        <v>155</v>
      </c>
      <c r="K16451" s="3">
        <v>439</v>
      </c>
      <c r="L16451" s="3">
        <v>22</v>
      </c>
      <c r="M16451" s="3">
        <v>117</v>
      </c>
    </row>
    <row r="16452" spans="1:13" x14ac:dyDescent="0.25">
      <c r="A16452" s="1" t="str">
        <f>HYPERLINK("http://www.rosaceae.org/Prunus/Prunus_persica/p.persica_gdr_reftransV1_0006056","p.persica_gdr_reftransV1_0006056")</f>
        <v>p.persica_gdr_reftransV1_0006056</v>
      </c>
      <c r="B16452" s="3">
        <v>2236</v>
      </c>
      <c r="C16452" s="1" t="str">
        <f>HYPERLINK("http://www.uniprot.org/uniprot/RBL9_ARATH","RBL9_ARATH")</f>
        <v>RBL9_ARATH</v>
      </c>
      <c r="D16452" t="s">
        <v>10329</v>
      </c>
      <c r="E16452" s="3" t="s">
        <v>3</v>
      </c>
      <c r="F16452" s="4">
        <v>3.1100000000000001E-43</v>
      </c>
      <c r="G16452" s="3">
        <v>420</v>
      </c>
      <c r="H16452" s="3">
        <v>48</v>
      </c>
      <c r="I16452" s="3">
        <v>193</v>
      </c>
      <c r="J16452" s="3">
        <v>1324</v>
      </c>
      <c r="K16452" s="3">
        <v>1890</v>
      </c>
      <c r="L16452" s="3">
        <v>241</v>
      </c>
      <c r="M16452" s="3">
        <v>398</v>
      </c>
    </row>
    <row r="16453" spans="1:13" x14ac:dyDescent="0.25">
      <c r="A16453" s="1" t="str">
        <f>HYPERLINK("http://www.rosaceae.org/Prunus/Prunus_persica/p.persica_gdr_reftransV1_0006156","p.persica_gdr_reftransV1_0006156")</f>
        <v>p.persica_gdr_reftransV1_0006156</v>
      </c>
      <c r="B16453" s="3">
        <v>635</v>
      </c>
      <c r="C16453" s="1" t="str">
        <f>HYPERLINK("http://www.uniprot.org/uniprot/TAR1_YEAST","TAR1_YEAST")</f>
        <v>TAR1_YEAST</v>
      </c>
      <c r="D16453" t="s">
        <v>7650</v>
      </c>
      <c r="E16453" s="3" t="s">
        <v>34</v>
      </c>
      <c r="F16453" s="4">
        <v>2.0900000000000001E-17</v>
      </c>
      <c r="G16453" s="3">
        <v>195</v>
      </c>
      <c r="H16453" s="3">
        <v>75</v>
      </c>
      <c r="I16453" s="3">
        <v>55</v>
      </c>
      <c r="J16453" s="3">
        <v>274</v>
      </c>
      <c r="K16453" s="3">
        <v>438</v>
      </c>
      <c r="L16453" s="3">
        <v>17</v>
      </c>
      <c r="M16453" s="3">
        <v>71</v>
      </c>
    </row>
    <row r="16454" spans="1:13" x14ac:dyDescent="0.25">
      <c r="A16454" s="1" t="str">
        <f>HYPERLINK("http://www.rosaceae.org/Prunus/Prunus_persica/p.persica_gdr_reftransV1_0006206","p.persica_gdr_reftransV1_0006206")</f>
        <v>p.persica_gdr_reftransV1_0006206</v>
      </c>
      <c r="B16454" s="3">
        <v>587</v>
      </c>
      <c r="C16454" s="1" t="str">
        <f>HYPERLINK("http://www.uniprot.org/uniprot/HIR2_ARATH","HIR2_ARATH")</f>
        <v>HIR2_ARATH</v>
      </c>
      <c r="D16454" t="s">
        <v>5055</v>
      </c>
      <c r="E16454" s="3" t="s">
        <v>3</v>
      </c>
      <c r="F16454" s="4">
        <v>7.5199999999999997E-61</v>
      </c>
      <c r="G16454" s="3">
        <v>501</v>
      </c>
      <c r="H16454" s="3">
        <v>86</v>
      </c>
      <c r="I16454" s="3">
        <v>128</v>
      </c>
      <c r="J16454" s="3">
        <v>204</v>
      </c>
      <c r="K16454" s="3">
        <v>587</v>
      </c>
      <c r="L16454" s="3">
        <v>159</v>
      </c>
      <c r="M16454" s="3">
        <v>286</v>
      </c>
    </row>
    <row r="16455" spans="1:13" x14ac:dyDescent="0.25">
      <c r="A16455" s="1" t="str">
        <f>HYPERLINK("http://www.rosaceae.org/Prunus/Prunus_persica/p.persica_gdr_reftransV1_0006306","p.persica_gdr_reftransV1_0006306")</f>
        <v>p.persica_gdr_reftransV1_0006306</v>
      </c>
      <c r="B16455" s="3">
        <v>847</v>
      </c>
      <c r="C16455" s="1" t="str">
        <f>HYPERLINK("http://www.uniprot.org/uniprot/EF1A_PODAS","EF1A_PODAS")</f>
        <v>EF1A_PODAS</v>
      </c>
      <c r="D16455" t="s">
        <v>10330</v>
      </c>
      <c r="E16455" s="3" t="s">
        <v>3657</v>
      </c>
      <c r="F16455" s="4">
        <v>5.0699999999999998E-128</v>
      </c>
      <c r="G16455" s="3">
        <v>973</v>
      </c>
      <c r="H16455" s="3">
        <v>93</v>
      </c>
      <c r="I16455" s="3">
        <v>196</v>
      </c>
      <c r="J16455" s="3">
        <v>259</v>
      </c>
      <c r="K16455" s="3">
        <v>846</v>
      </c>
      <c r="L16455" s="3">
        <v>247</v>
      </c>
      <c r="M16455" s="3">
        <v>442</v>
      </c>
    </row>
    <row r="16456" spans="1:13" x14ac:dyDescent="0.25">
      <c r="A16456" s="1" t="str">
        <f>HYPERLINK("http://www.rosaceae.org/Prunus/Prunus_persica/p.persica_gdr_reftransV1_0006456","p.persica_gdr_reftransV1_0006456")</f>
        <v>p.persica_gdr_reftransV1_0006456</v>
      </c>
      <c r="B16456" s="3">
        <v>617</v>
      </c>
      <c r="C16456" s="1" t="str">
        <f>HYPERLINK("http://www.uniprot.org/uniprot/CRK24_ARATH","CRK24_ARATH")</f>
        <v>CRK24_ARATH</v>
      </c>
      <c r="D16456" t="s">
        <v>10331</v>
      </c>
      <c r="E16456" s="3" t="s">
        <v>3</v>
      </c>
      <c r="F16456" s="4">
        <v>2.39E-11</v>
      </c>
      <c r="G16456" s="3">
        <v>159</v>
      </c>
      <c r="H16456" s="3">
        <v>36</v>
      </c>
      <c r="I16456" s="3">
        <v>107</v>
      </c>
      <c r="J16456" s="3">
        <v>6</v>
      </c>
      <c r="K16456" s="3">
        <v>320</v>
      </c>
      <c r="L16456" s="3">
        <v>481</v>
      </c>
      <c r="M16456" s="3">
        <v>580</v>
      </c>
    </row>
    <row r="16457" spans="1:13" x14ac:dyDescent="0.25">
      <c r="A16457" s="1" t="str">
        <f>HYPERLINK("http://www.rosaceae.org/Prunus/Prunus_persica/p.persica_gdr_reftransV1_0006806","p.persica_gdr_reftransV1_0006806")</f>
        <v>p.persica_gdr_reftransV1_0006806</v>
      </c>
      <c r="B16457" s="3">
        <v>1172</v>
      </c>
      <c r="C16457" s="1" t="str">
        <f>HYPERLINK("http://www.uniprot.org/uniprot/WAK4_ARATH","WAK4_ARATH")</f>
        <v>WAK4_ARATH</v>
      </c>
      <c r="D16457" t="s">
        <v>10332</v>
      </c>
      <c r="E16457" s="3" t="s">
        <v>3</v>
      </c>
      <c r="F16457" s="4">
        <v>1.4600000000000001E-139</v>
      </c>
      <c r="G16457" s="3">
        <v>1085</v>
      </c>
      <c r="H16457" s="3">
        <v>56</v>
      </c>
      <c r="I16457" s="3">
        <v>377</v>
      </c>
      <c r="J16457" s="3">
        <v>45</v>
      </c>
      <c r="K16457" s="3">
        <v>1172</v>
      </c>
      <c r="L16457" s="3">
        <v>368</v>
      </c>
      <c r="M16457" s="3">
        <v>738</v>
      </c>
    </row>
    <row r="16458" spans="1:13" x14ac:dyDescent="0.25">
      <c r="A16458" s="1" t="str">
        <f>HYPERLINK("http://www.rosaceae.org/Prunus/Prunus_persica/p.persica_gdr_reftransV1_0006906","p.persica_gdr_reftransV1_0006906")</f>
        <v>p.persica_gdr_reftransV1_0006906</v>
      </c>
      <c r="B16458" s="3">
        <v>449</v>
      </c>
      <c r="C16458" s="1" t="str">
        <f>HYPERLINK("http://www.uniprot.org/uniprot/CSLE1_ARATH","CSLE1_ARATH")</f>
        <v>CSLE1_ARATH</v>
      </c>
      <c r="D16458" t="s">
        <v>4194</v>
      </c>
      <c r="E16458" s="3" t="s">
        <v>3</v>
      </c>
      <c r="F16458" s="4">
        <v>1.26E-41</v>
      </c>
      <c r="G16458" s="3">
        <v>382</v>
      </c>
      <c r="H16458" s="3">
        <v>55</v>
      </c>
      <c r="I16458" s="3">
        <v>148</v>
      </c>
      <c r="J16458" s="3">
        <v>3</v>
      </c>
      <c r="K16458" s="3">
        <v>446</v>
      </c>
      <c r="L16458" s="3">
        <v>555</v>
      </c>
      <c r="M16458" s="3">
        <v>700</v>
      </c>
    </row>
    <row r="16459" spans="1:13" x14ac:dyDescent="0.25">
      <c r="A16459" s="1" t="str">
        <f>HYPERLINK("http://www.rosaceae.org/Prunus/Prunus_persica/p.persica_gdr_reftransV1_0007056","p.persica_gdr_reftransV1_0007056")</f>
        <v>p.persica_gdr_reftransV1_0007056</v>
      </c>
      <c r="B16459" s="3">
        <v>1827</v>
      </c>
      <c r="C16459" s="1" t="str">
        <f>HYPERLINK("http://www.uniprot.org/uniprot/TGA21_TOBAC","TGA21_TOBAC")</f>
        <v>TGA21_TOBAC</v>
      </c>
      <c r="D16459" t="s">
        <v>7942</v>
      </c>
      <c r="E16459" s="3" t="s">
        <v>200</v>
      </c>
      <c r="F16459" s="4">
        <v>2.8600000000000003E-116</v>
      </c>
      <c r="G16459" s="3">
        <v>926</v>
      </c>
      <c r="H16459" s="3">
        <v>62</v>
      </c>
      <c r="I16459" s="3">
        <v>297</v>
      </c>
      <c r="J16459" s="3">
        <v>691</v>
      </c>
      <c r="K16459" s="3">
        <v>1551</v>
      </c>
      <c r="L16459" s="3">
        <v>160</v>
      </c>
      <c r="M16459" s="3">
        <v>456</v>
      </c>
    </row>
    <row r="16460" spans="1:13" x14ac:dyDescent="0.25">
      <c r="A16460" s="1" t="str">
        <f>HYPERLINK("http://www.rosaceae.org/Prunus/Prunus_persica/p.persica_gdr_reftransV1_0007206","p.persica_gdr_reftransV1_0007206")</f>
        <v>p.persica_gdr_reftransV1_0007206</v>
      </c>
      <c r="B16460" s="3">
        <v>2024</v>
      </c>
      <c r="C16460" s="1" t="str">
        <f>HYPERLINK("http://www.uniprot.org/uniprot/FRD3_ARATH","FRD3_ARATH")</f>
        <v>FRD3_ARATH</v>
      </c>
      <c r="D16460" t="s">
        <v>10333</v>
      </c>
      <c r="E16460" s="3" t="s">
        <v>3</v>
      </c>
      <c r="F16460" s="4">
        <v>0</v>
      </c>
      <c r="G16460" s="3">
        <v>1398</v>
      </c>
      <c r="H16460" s="3">
        <v>65</v>
      </c>
      <c r="I16460" s="3">
        <v>413</v>
      </c>
      <c r="J16460" s="3">
        <v>502</v>
      </c>
      <c r="K16460" s="3">
        <v>1737</v>
      </c>
      <c r="L16460" s="3">
        <v>111</v>
      </c>
      <c r="M16460" s="3">
        <v>520</v>
      </c>
    </row>
    <row r="16461" spans="1:13" x14ac:dyDescent="0.25">
      <c r="A16461" s="1" t="str">
        <f>HYPERLINK("http://www.rosaceae.org/Prunus/Prunus_persica/p.persica_gdr_reftransV1_0007406","p.persica_gdr_reftransV1_0007406")</f>
        <v>p.persica_gdr_reftransV1_0007406</v>
      </c>
      <c r="B16461" s="3">
        <v>2100</v>
      </c>
      <c r="C16461" s="1" t="str">
        <f>HYPERLINK("http://www.uniprot.org/uniprot/SPS2_ARATH","SPS2_ARATH")</f>
        <v>SPS2_ARATH</v>
      </c>
      <c r="D16461" t="s">
        <v>10334</v>
      </c>
      <c r="E16461" s="3" t="s">
        <v>3</v>
      </c>
      <c r="F16461" s="4">
        <v>0</v>
      </c>
      <c r="G16461" s="3">
        <v>1478</v>
      </c>
      <c r="H16461" s="3">
        <v>73</v>
      </c>
      <c r="I16461" s="3">
        <v>397</v>
      </c>
      <c r="J16461" s="3">
        <v>417</v>
      </c>
      <c r="K16461" s="3">
        <v>1595</v>
      </c>
      <c r="L16461" s="3">
        <v>33</v>
      </c>
      <c r="M16461" s="3">
        <v>417</v>
      </c>
    </row>
    <row r="16462" spans="1:13" x14ac:dyDescent="0.25">
      <c r="A16462" s="1" t="str">
        <f>HYPERLINK("http://www.rosaceae.org/Prunus/Prunus_persica/p.persica_gdr_reftransV1_0007506","p.persica_gdr_reftransV1_0007506")</f>
        <v>p.persica_gdr_reftransV1_0007506</v>
      </c>
      <c r="B16462" s="3">
        <v>2052</v>
      </c>
      <c r="C16462" s="1" t="str">
        <f>HYPERLINK("http://www.uniprot.org/uniprot/DOF14_ARATH","DOF14_ARATH")</f>
        <v>DOF14_ARATH</v>
      </c>
      <c r="D16462" t="s">
        <v>2769</v>
      </c>
      <c r="E16462" s="3" t="s">
        <v>3</v>
      </c>
      <c r="F16462" s="4">
        <v>5.3700000000000003E-31</v>
      </c>
      <c r="G16462" s="3">
        <v>321</v>
      </c>
      <c r="H16462" s="3">
        <v>96</v>
      </c>
      <c r="I16462" s="3">
        <v>57</v>
      </c>
      <c r="J16462" s="3">
        <v>1526</v>
      </c>
      <c r="K16462" s="3">
        <v>1696</v>
      </c>
      <c r="L16462" s="3">
        <v>28</v>
      </c>
      <c r="M16462" s="3">
        <v>84</v>
      </c>
    </row>
    <row r="16463" spans="1:13" x14ac:dyDescent="0.25">
      <c r="A16463" s="1" t="str">
        <f>HYPERLINK("http://www.rosaceae.org/Prunus/Prunus_persica/p.persica_gdr_reftransV1_0007806","p.persica_gdr_reftransV1_0007806")</f>
        <v>p.persica_gdr_reftransV1_0007806</v>
      </c>
      <c r="B16463" s="3">
        <v>2520</v>
      </c>
      <c r="C16463" s="1" t="str">
        <f>HYPERLINK("http://www.uniprot.org/uniprot/PP445_ARATH","PP445_ARATH")</f>
        <v>PP445_ARATH</v>
      </c>
      <c r="D16463" t="s">
        <v>6643</v>
      </c>
      <c r="E16463" s="3" t="s">
        <v>3</v>
      </c>
      <c r="F16463" s="4">
        <v>0</v>
      </c>
      <c r="G16463" s="3">
        <v>2102</v>
      </c>
      <c r="H16463" s="3">
        <v>55</v>
      </c>
      <c r="I16463" s="3">
        <v>712</v>
      </c>
      <c r="J16463" s="3">
        <v>386</v>
      </c>
      <c r="K16463" s="3">
        <v>2518</v>
      </c>
      <c r="L16463" s="3">
        <v>211</v>
      </c>
      <c r="M16463" s="3">
        <v>910</v>
      </c>
    </row>
    <row r="16464" spans="1:13" x14ac:dyDescent="0.25">
      <c r="A16464" s="1" t="str">
        <f>HYPERLINK("http://www.rosaceae.org/Prunus/Prunus_persica/p.persica_gdr_reftransV1_0007956","p.persica_gdr_reftransV1_0007956")</f>
        <v>p.persica_gdr_reftransV1_0007956</v>
      </c>
      <c r="B16464" s="3">
        <v>1675</v>
      </c>
      <c r="C16464" s="1" t="str">
        <f>HYPERLINK("http://www.uniprot.org/uniprot/OCS1_MAIZE","OCS1_MAIZE")</f>
        <v>OCS1_MAIZE</v>
      </c>
      <c r="D16464" t="s">
        <v>2396</v>
      </c>
      <c r="E16464" s="3" t="s">
        <v>72</v>
      </c>
      <c r="F16464" s="4">
        <v>1.15E-26</v>
      </c>
      <c r="G16464" s="3">
        <v>275</v>
      </c>
      <c r="H16464" s="3">
        <v>47</v>
      </c>
      <c r="I16464" s="3">
        <v>118</v>
      </c>
      <c r="J16464" s="3">
        <v>1037</v>
      </c>
      <c r="K16464" s="3">
        <v>1381</v>
      </c>
      <c r="L16464" s="3">
        <v>25</v>
      </c>
      <c r="M16464" s="3">
        <v>142</v>
      </c>
    </row>
    <row r="16465" spans="1:13" x14ac:dyDescent="0.25">
      <c r="A16465" s="1" t="str">
        <f>HYPERLINK("http://www.rosaceae.org/Prunus/Prunus_persica/p.persica_gdr_reftransV1_0008006","p.persica_gdr_reftransV1_0008006")</f>
        <v>p.persica_gdr_reftransV1_0008006</v>
      </c>
      <c r="B16465" s="3">
        <v>1468</v>
      </c>
      <c r="C16465" s="1" t="str">
        <f>HYPERLINK("http://www.uniprot.org/uniprot/DOF17_ARATH","DOF17_ARATH")</f>
        <v>DOF17_ARATH</v>
      </c>
      <c r="D16465" t="s">
        <v>1912</v>
      </c>
      <c r="E16465" s="3" t="s">
        <v>3</v>
      </c>
      <c r="F16465" s="4">
        <v>2.7200000000000001E-22</v>
      </c>
      <c r="G16465" s="3">
        <v>244</v>
      </c>
      <c r="H16465" s="3">
        <v>80</v>
      </c>
      <c r="I16465" s="3">
        <v>49</v>
      </c>
      <c r="J16465" s="3">
        <v>1320</v>
      </c>
      <c r="K16465" s="3">
        <v>1466</v>
      </c>
      <c r="L16465" s="3">
        <v>33</v>
      </c>
      <c r="M16465" s="3">
        <v>81</v>
      </c>
    </row>
    <row r="16466" spans="1:13" x14ac:dyDescent="0.25">
      <c r="A16466" s="1" t="str">
        <f>HYPERLINK("http://www.rosaceae.org/Prunus/Prunus_persica/p.persica_gdr_reftransV1_0008106","p.persica_gdr_reftransV1_0008106")</f>
        <v>p.persica_gdr_reftransV1_0008106</v>
      </c>
      <c r="B16466" s="3">
        <v>2200</v>
      </c>
      <c r="C16466" s="1" t="str">
        <f>HYPERLINK("http://www.uniprot.org/uniprot/PP265_ARATH","PP265_ARATH")</f>
        <v>PP265_ARATH</v>
      </c>
      <c r="D16466" t="s">
        <v>10335</v>
      </c>
      <c r="E16466" s="3" t="s">
        <v>3</v>
      </c>
      <c r="F16466" s="4">
        <v>0</v>
      </c>
      <c r="G16466" s="3">
        <v>2498</v>
      </c>
      <c r="H16466" s="3">
        <v>73</v>
      </c>
      <c r="I16466" s="3">
        <v>611</v>
      </c>
      <c r="J16466" s="3">
        <v>95</v>
      </c>
      <c r="K16466" s="3">
        <v>1927</v>
      </c>
      <c r="L16466" s="3">
        <v>47</v>
      </c>
      <c r="M16466" s="3">
        <v>657</v>
      </c>
    </row>
    <row r="16467" spans="1:13" x14ac:dyDescent="0.25">
      <c r="A16467" s="1" t="str">
        <f>HYPERLINK("http://www.rosaceae.org/Prunus/Prunus_persica/p.persica_gdr_reftransV1_0008206","p.persica_gdr_reftransV1_0008206")</f>
        <v>p.persica_gdr_reftransV1_0008206</v>
      </c>
      <c r="B16467" s="3">
        <v>590</v>
      </c>
      <c r="C16467" s="1" t="str">
        <f>HYPERLINK("http://www.uniprot.org/uniprot/RS92_ARATH","RS92_ARATH")</f>
        <v>RS92_ARATH</v>
      </c>
      <c r="D16467" t="s">
        <v>5321</v>
      </c>
      <c r="E16467" s="3" t="s">
        <v>3</v>
      </c>
      <c r="F16467" s="4">
        <v>3.6999999999999997E-89</v>
      </c>
      <c r="G16467" s="3">
        <v>681</v>
      </c>
      <c r="H16467" s="3">
        <v>95</v>
      </c>
      <c r="I16467" s="3">
        <v>137</v>
      </c>
      <c r="J16467" s="3">
        <v>81</v>
      </c>
      <c r="K16467" s="3">
        <v>491</v>
      </c>
      <c r="L16467" s="3">
        <v>1</v>
      </c>
      <c r="M16467" s="3">
        <v>137</v>
      </c>
    </row>
    <row r="16468" spans="1:13" x14ac:dyDescent="0.25">
      <c r="A16468" s="1" t="str">
        <f>HYPERLINK("http://www.rosaceae.org/Prunus/Prunus_persica/p.persica_gdr_reftransV1_0008256","p.persica_gdr_reftransV1_0008256")</f>
        <v>p.persica_gdr_reftransV1_0008256</v>
      </c>
      <c r="B16468" s="3">
        <v>846</v>
      </c>
      <c r="C16468" s="1" t="str">
        <f>HYPERLINK("http://www.uniprot.org/uniprot/ZAT12_ARATH","ZAT12_ARATH")</f>
        <v>ZAT12_ARATH</v>
      </c>
      <c r="D16468" t="s">
        <v>3875</v>
      </c>
      <c r="E16468" s="3" t="s">
        <v>3</v>
      </c>
      <c r="F16468" s="4">
        <v>2.02E-30</v>
      </c>
      <c r="G16468" s="3">
        <v>293</v>
      </c>
      <c r="H16468" s="3">
        <v>41</v>
      </c>
      <c r="I16468" s="3">
        <v>186</v>
      </c>
      <c r="J16468" s="3">
        <v>191</v>
      </c>
      <c r="K16468" s="3">
        <v>748</v>
      </c>
      <c r="L16468" s="3">
        <v>3</v>
      </c>
      <c r="M16468" s="3">
        <v>161</v>
      </c>
    </row>
    <row r="16469" spans="1:13" x14ac:dyDescent="0.25">
      <c r="A16469" s="1" t="str">
        <f>HYPERLINK("http://www.rosaceae.org/Prunus/Prunus_persica/p.persica_gdr_reftransV1_0008306","p.persica_gdr_reftransV1_0008306")</f>
        <v>p.persica_gdr_reftransV1_0008306</v>
      </c>
      <c r="B16469" s="3">
        <v>2399</v>
      </c>
      <c r="C16469" s="1" t="str">
        <f>HYPERLINK("http://www.uniprot.org/uniprot/YCF45_PORPU","YCF45_PORPU")</f>
        <v>YCF45_PORPU</v>
      </c>
      <c r="D16469" t="s">
        <v>693</v>
      </c>
      <c r="E16469" s="3" t="s">
        <v>694</v>
      </c>
      <c r="F16469" s="4">
        <v>6.3499999999999995E-141</v>
      </c>
      <c r="G16469" s="3">
        <v>1117</v>
      </c>
      <c r="H16469" s="3">
        <v>43</v>
      </c>
      <c r="I16469" s="3">
        <v>575</v>
      </c>
      <c r="J16469" s="3">
        <v>297</v>
      </c>
      <c r="K16469" s="3">
        <v>1952</v>
      </c>
      <c r="L16469" s="3">
        <v>15</v>
      </c>
      <c r="M16469" s="3">
        <v>565</v>
      </c>
    </row>
    <row r="16470" spans="1:13" x14ac:dyDescent="0.25">
      <c r="A16470" s="1" t="str">
        <f>HYPERLINK("http://www.rosaceae.org/Prunus/Prunus_persica/p.persica_gdr_reftransV1_0008456","p.persica_gdr_reftransV1_0008456")</f>
        <v>p.persica_gdr_reftransV1_0008456</v>
      </c>
      <c r="B16470" s="3">
        <v>1277</v>
      </c>
      <c r="C16470" s="1" t="str">
        <f>HYPERLINK("http://www.uniprot.org/uniprot/EXOS4_HUMAN","EXOS4_HUMAN")</f>
        <v>EXOS4_HUMAN</v>
      </c>
      <c r="D16470" t="s">
        <v>10336</v>
      </c>
      <c r="E16470" s="3" t="s">
        <v>28</v>
      </c>
      <c r="F16470" s="4">
        <v>1.85E-57</v>
      </c>
      <c r="G16470" s="3">
        <v>318</v>
      </c>
      <c r="H16470" s="3">
        <v>48</v>
      </c>
      <c r="I16470" s="3">
        <v>119</v>
      </c>
      <c r="J16470" s="3">
        <v>342</v>
      </c>
      <c r="K16470" s="3">
        <v>698</v>
      </c>
      <c r="L16470" s="3">
        <v>120</v>
      </c>
      <c r="M16470" s="3">
        <v>238</v>
      </c>
    </row>
    <row r="16471" spans="1:13" x14ac:dyDescent="0.25">
      <c r="A16471" s="1" t="str">
        <f>HYPERLINK("http://www.rosaceae.org/Prunus/Prunus_persica/p.persica_gdr_reftransV1_0008556","p.persica_gdr_reftransV1_0008556")</f>
        <v>p.persica_gdr_reftransV1_0008556</v>
      </c>
      <c r="B16471" s="3">
        <v>2656</v>
      </c>
      <c r="C16471" s="1" t="str">
        <f>HYPERLINK("http://www.uniprot.org/uniprot/MRM1_DICDI","MRM1_DICDI")</f>
        <v>MRM1_DICDI</v>
      </c>
      <c r="D16471" t="s">
        <v>10337</v>
      </c>
      <c r="E16471" s="3" t="s">
        <v>9</v>
      </c>
      <c r="F16471" s="4">
        <v>4.81E-35</v>
      </c>
      <c r="G16471" s="3">
        <v>364</v>
      </c>
      <c r="H16471" s="3">
        <v>34</v>
      </c>
      <c r="I16471" s="3">
        <v>254</v>
      </c>
      <c r="J16471" s="3">
        <v>591</v>
      </c>
      <c r="K16471" s="3">
        <v>1268</v>
      </c>
      <c r="L16471" s="3">
        <v>299</v>
      </c>
      <c r="M16471" s="3">
        <v>523</v>
      </c>
    </row>
    <row r="16472" spans="1:13" x14ac:dyDescent="0.25">
      <c r="A16472" s="1" t="str">
        <f>HYPERLINK("http://www.rosaceae.org/Prunus/Prunus_persica/p.persica_gdr_reftransV1_0008606","p.persica_gdr_reftransV1_0008606")</f>
        <v>p.persica_gdr_reftransV1_0008606</v>
      </c>
      <c r="B16472" s="3">
        <v>917</v>
      </c>
      <c r="C16472" s="1" t="str">
        <f>HYPERLINK("http://www.uniprot.org/uniprot/Y5848_ARATH","Y5848_ARATH")</f>
        <v>Y5848_ARATH</v>
      </c>
      <c r="D16472" t="s">
        <v>10338</v>
      </c>
      <c r="E16472" s="3" t="s">
        <v>3</v>
      </c>
      <c r="F16472" s="4">
        <v>9.2200000000000007E-15</v>
      </c>
      <c r="G16472" s="3">
        <v>181</v>
      </c>
      <c r="H16472" s="3">
        <v>39</v>
      </c>
      <c r="I16472" s="3">
        <v>165</v>
      </c>
      <c r="J16472" s="3">
        <v>156</v>
      </c>
      <c r="K16472" s="3">
        <v>605</v>
      </c>
      <c r="L16472" s="3">
        <v>1</v>
      </c>
      <c r="M16472" s="3">
        <v>152</v>
      </c>
    </row>
    <row r="16473" spans="1:13" x14ac:dyDescent="0.25">
      <c r="A16473" s="1" t="str">
        <f>HYPERLINK("http://www.rosaceae.org/Prunus/Prunus_persica/p.persica_gdr_reftransV1_0008656","p.persica_gdr_reftransV1_0008656")</f>
        <v>p.persica_gdr_reftransV1_0008656</v>
      </c>
      <c r="B16473" s="3">
        <v>672</v>
      </c>
      <c r="C16473" s="1" t="str">
        <f>HYPERLINK("http://www.uniprot.org/uniprot/TOP2_ARATH","TOP2_ARATH")</f>
        <v>TOP2_ARATH</v>
      </c>
      <c r="D16473" t="s">
        <v>7041</v>
      </c>
      <c r="E16473" s="3" t="s">
        <v>3</v>
      </c>
      <c r="F16473" s="4">
        <v>8.2000000000000005E-101</v>
      </c>
      <c r="G16473" s="3">
        <v>831</v>
      </c>
      <c r="H16473" s="3">
        <v>81</v>
      </c>
      <c r="I16473" s="3">
        <v>191</v>
      </c>
      <c r="J16473" s="3">
        <v>64</v>
      </c>
      <c r="K16473" s="3">
        <v>624</v>
      </c>
      <c r="L16473" s="3">
        <v>4</v>
      </c>
      <c r="M16473" s="3">
        <v>194</v>
      </c>
    </row>
    <row r="16474" spans="1:13" x14ac:dyDescent="0.25">
      <c r="A16474" s="1" t="str">
        <f>HYPERLINK("http://www.rosaceae.org/Prunus/Prunus_persica/p.persica_gdr_reftransV1_0008756","p.persica_gdr_reftransV1_0008756")</f>
        <v>p.persica_gdr_reftransV1_0008756</v>
      </c>
      <c r="B16474" s="3">
        <v>538</v>
      </c>
      <c r="C16474" s="1" t="str">
        <f>HYPERLINK("http://www.uniprot.org/uniprot/RDR1_ARATH","RDR1_ARATH")</f>
        <v>RDR1_ARATH</v>
      </c>
      <c r="D16474" t="s">
        <v>610</v>
      </c>
      <c r="E16474" s="3" t="s">
        <v>3</v>
      </c>
      <c r="F16474" s="4">
        <v>1.67E-68</v>
      </c>
      <c r="G16474" s="3">
        <v>586</v>
      </c>
      <c r="H16474" s="3">
        <v>65</v>
      </c>
      <c r="I16474" s="3">
        <v>180</v>
      </c>
      <c r="J16474" s="3">
        <v>3</v>
      </c>
      <c r="K16474" s="3">
        <v>536</v>
      </c>
      <c r="L16474" s="3">
        <v>717</v>
      </c>
      <c r="M16474" s="3">
        <v>878</v>
      </c>
    </row>
    <row r="16475" spans="1:13" x14ac:dyDescent="0.25">
      <c r="A16475" s="1" t="str">
        <f>HYPERLINK("http://www.rosaceae.org/Prunus/Prunus_persica/p.persica_gdr_reftransV1_0008806","p.persica_gdr_reftransV1_0008806")</f>
        <v>p.persica_gdr_reftransV1_0008806</v>
      </c>
      <c r="B16475" s="3">
        <v>2026</v>
      </c>
      <c r="C16475" s="1" t="str">
        <f>HYPERLINK("http://www.uniprot.org/uniprot/EGY1_ARATH","EGY1_ARATH")</f>
        <v>EGY1_ARATH</v>
      </c>
      <c r="D16475" t="s">
        <v>10339</v>
      </c>
      <c r="E16475" s="3" t="s">
        <v>3</v>
      </c>
      <c r="F16475" s="4">
        <v>0</v>
      </c>
      <c r="G16475" s="3">
        <v>1780</v>
      </c>
      <c r="H16475" s="3">
        <v>82</v>
      </c>
      <c r="I16475" s="3">
        <v>461</v>
      </c>
      <c r="J16475" s="3">
        <v>128</v>
      </c>
      <c r="K16475" s="3">
        <v>1510</v>
      </c>
      <c r="L16475" s="3">
        <v>114</v>
      </c>
      <c r="M16475" s="3">
        <v>548</v>
      </c>
    </row>
    <row r="16476" spans="1:13" x14ac:dyDescent="0.25">
      <c r="A16476" s="1" t="str">
        <f>HYPERLINK("http://www.rosaceae.org/Prunus/Prunus_persica/p.persica_gdr_reftransV1_0008906","p.persica_gdr_reftransV1_0008906")</f>
        <v>p.persica_gdr_reftransV1_0008906</v>
      </c>
      <c r="B16476" s="3">
        <v>1302</v>
      </c>
      <c r="C16476" s="1" t="str">
        <f>HYPERLINK("http://www.uniprot.org/uniprot/ARid5_ARATH","ARid5_ARATH")</f>
        <v>ARid5_ARATH</v>
      </c>
      <c r="D16476" t="s">
        <v>2644</v>
      </c>
      <c r="E16476" s="3" t="s">
        <v>3</v>
      </c>
      <c r="F16476" s="4">
        <v>1.1300000000000001E-52</v>
      </c>
      <c r="G16476" s="3">
        <v>477</v>
      </c>
      <c r="H16476" s="3">
        <v>83</v>
      </c>
      <c r="I16476" s="3">
        <v>105</v>
      </c>
      <c r="J16476" s="3">
        <v>781</v>
      </c>
      <c r="K16476" s="3">
        <v>1095</v>
      </c>
      <c r="L16476" s="3">
        <v>330</v>
      </c>
      <c r="M16476" s="3">
        <v>434</v>
      </c>
    </row>
    <row r="16477" spans="1:13" x14ac:dyDescent="0.25">
      <c r="A16477" s="1" t="str">
        <f>HYPERLINK("http://www.rosaceae.org/Prunus/Prunus_persica/p.persica_gdr_reftransV1_0009106","p.persica_gdr_reftransV1_0009106")</f>
        <v>p.persica_gdr_reftransV1_0009106</v>
      </c>
      <c r="B16477" s="3">
        <v>2867</v>
      </c>
      <c r="C16477" s="1" t="str">
        <f>HYPERLINK("http://www.uniprot.org/uniprot/SPB1_SCHPO","SPB1_SCHPO")</f>
        <v>SPB1_SCHPO</v>
      </c>
      <c r="D16477" t="s">
        <v>10340</v>
      </c>
      <c r="E16477" s="3" t="s">
        <v>464</v>
      </c>
      <c r="F16477" s="4">
        <v>8.7399999999999996E-109</v>
      </c>
      <c r="G16477" s="3">
        <v>928</v>
      </c>
      <c r="H16477" s="3">
        <v>35</v>
      </c>
      <c r="I16477" s="3">
        <v>797</v>
      </c>
      <c r="J16477" s="3">
        <v>524</v>
      </c>
      <c r="K16477" s="3">
        <v>2833</v>
      </c>
      <c r="L16477" s="3">
        <v>1</v>
      </c>
      <c r="M16477" s="3">
        <v>753</v>
      </c>
    </row>
    <row r="16478" spans="1:13" x14ac:dyDescent="0.25">
      <c r="A16478" s="1" t="str">
        <f>HYPERLINK("http://www.rosaceae.org/Prunus/Prunus_persica/p.persica_gdr_reftransV1_0009156","p.persica_gdr_reftransV1_0009156")</f>
        <v>p.persica_gdr_reftransV1_0009156</v>
      </c>
      <c r="B16478" s="3">
        <v>1063</v>
      </c>
      <c r="C16478" s="1" t="str">
        <f>HYPERLINK("http://www.uniprot.org/uniprot/COXM1_SCHPO","COXM1_SCHPO")</f>
        <v>COXM1_SCHPO</v>
      </c>
      <c r="D16478" t="s">
        <v>10341</v>
      </c>
      <c r="E16478" s="3" t="s">
        <v>464</v>
      </c>
      <c r="F16478" s="4">
        <v>1.9299999999999999E-7</v>
      </c>
      <c r="G16478" s="3">
        <v>126</v>
      </c>
      <c r="H16478" s="3">
        <v>34</v>
      </c>
      <c r="I16478" s="3">
        <v>74</v>
      </c>
      <c r="J16478" s="3">
        <v>593</v>
      </c>
      <c r="K16478" s="3">
        <v>814</v>
      </c>
      <c r="L16478" s="3">
        <v>1</v>
      </c>
      <c r="M16478" s="3">
        <v>72</v>
      </c>
    </row>
    <row r="16479" spans="1:13" x14ac:dyDescent="0.25">
      <c r="A16479" s="1" t="str">
        <f>HYPERLINK("http://www.rosaceae.org/Prunus/Prunus_persica/p.persica_gdr_reftransV1_0009356","p.persica_gdr_reftransV1_0009356")</f>
        <v>p.persica_gdr_reftransV1_0009356</v>
      </c>
      <c r="B16479" s="3">
        <v>3648</v>
      </c>
      <c r="C16479" s="1" t="str">
        <f>HYPERLINK("http://www.uniprot.org/uniprot/APAF_DANRE","APAF_DANRE")</f>
        <v>APAF_DANRE</v>
      </c>
      <c r="D16479" t="s">
        <v>10342</v>
      </c>
      <c r="E16479" s="3" t="s">
        <v>704</v>
      </c>
      <c r="F16479" s="4">
        <v>1.0999999999999999E-8</v>
      </c>
      <c r="G16479" s="3">
        <v>153</v>
      </c>
      <c r="H16479" s="3">
        <v>24</v>
      </c>
      <c r="I16479" s="3">
        <v>328</v>
      </c>
      <c r="J16479" s="3">
        <v>1875</v>
      </c>
      <c r="K16479" s="3">
        <v>2837</v>
      </c>
      <c r="L16479" s="3">
        <v>150</v>
      </c>
      <c r="M16479" s="3">
        <v>455</v>
      </c>
    </row>
    <row r="16480" spans="1:13" x14ac:dyDescent="0.25">
      <c r="A16480" s="1" t="str">
        <f>HYPERLINK("http://www.rosaceae.org/Prunus/Prunus_persica/p.persica_gdr_reftransV1_0009406","p.persica_gdr_reftransV1_0009406")</f>
        <v>p.persica_gdr_reftransV1_0009406</v>
      </c>
      <c r="B16480" s="3">
        <v>1349</v>
      </c>
      <c r="C16480" s="1" t="str">
        <f>HYPERLINK("http://www.uniprot.org/uniprot/TERT_ARATH","TERT_ARATH")</f>
        <v>TERT_ARATH</v>
      </c>
      <c r="D16480" t="s">
        <v>2802</v>
      </c>
      <c r="E16480" s="3" t="s">
        <v>3</v>
      </c>
      <c r="F16480" s="4">
        <v>2.1500000000000001E-67</v>
      </c>
      <c r="G16480" s="3">
        <v>605</v>
      </c>
      <c r="H16480" s="3">
        <v>38</v>
      </c>
      <c r="I16480" s="3">
        <v>417</v>
      </c>
      <c r="J16480" s="3">
        <v>51</v>
      </c>
      <c r="K16480" s="3">
        <v>1298</v>
      </c>
      <c r="L16480" s="3">
        <v>394</v>
      </c>
      <c r="M16480" s="3">
        <v>749</v>
      </c>
    </row>
    <row r="16481" spans="1:13" x14ac:dyDescent="0.25">
      <c r="A16481" s="1" t="str">
        <f>HYPERLINK("http://www.rosaceae.org/Prunus/Prunus_persica/p.persica_gdr_reftransV1_0009456","p.persica_gdr_reftransV1_0009456")</f>
        <v>p.persica_gdr_reftransV1_0009456</v>
      </c>
      <c r="B16481" s="3">
        <v>1461</v>
      </c>
      <c r="C16481" s="1" t="str">
        <f>HYPERLINK("http://www.uniprot.org/uniprot/FLS_EUSER","FLS_EUSER")</f>
        <v>FLS_EUSER</v>
      </c>
      <c r="D16481" t="s">
        <v>10343</v>
      </c>
      <c r="E16481" s="3" t="s">
        <v>10344</v>
      </c>
      <c r="F16481" s="4">
        <v>2.9000000000000003E-57</v>
      </c>
      <c r="G16481" s="3">
        <v>505</v>
      </c>
      <c r="H16481" s="3">
        <v>37</v>
      </c>
      <c r="I16481" s="3">
        <v>331</v>
      </c>
      <c r="J16481" s="3">
        <v>315</v>
      </c>
      <c r="K16481" s="3">
        <v>1295</v>
      </c>
      <c r="L16481" s="3">
        <v>19</v>
      </c>
      <c r="M16481" s="3">
        <v>331</v>
      </c>
    </row>
    <row r="16482" spans="1:13" x14ac:dyDescent="0.25">
      <c r="A16482" s="1" t="str">
        <f>HYPERLINK("http://www.rosaceae.org/Prunus/Prunus_persica/p.persica_gdr_reftransV1_0009506","p.persica_gdr_reftransV1_0009506")</f>
        <v>p.persica_gdr_reftransV1_0009506</v>
      </c>
      <c r="B16482" s="3">
        <v>1207</v>
      </c>
      <c r="C16482" s="1" t="str">
        <f>HYPERLINK("http://www.uniprot.org/uniprot/CUT1D_ARATH","CUT1D_ARATH")</f>
        <v>CUT1D_ARATH</v>
      </c>
      <c r="D16482" t="s">
        <v>10345</v>
      </c>
      <c r="E16482" s="3" t="s">
        <v>3</v>
      </c>
      <c r="F16482" s="4">
        <v>6.3999999999999998E-46</v>
      </c>
      <c r="G16482" s="3">
        <v>410</v>
      </c>
      <c r="H16482" s="3">
        <v>46</v>
      </c>
      <c r="I16482" s="3">
        <v>214</v>
      </c>
      <c r="J16482" s="3">
        <v>133</v>
      </c>
      <c r="K16482" s="3">
        <v>759</v>
      </c>
      <c r="L16482" s="3">
        <v>1</v>
      </c>
      <c r="M16482" s="3">
        <v>193</v>
      </c>
    </row>
    <row r="16483" spans="1:13" x14ac:dyDescent="0.25">
      <c r="A16483" s="1" t="str">
        <f>HYPERLINK("http://www.rosaceae.org/Prunus/Prunus_persica/p.persica_gdr_reftransV1_0009556","p.persica_gdr_reftransV1_0009556")</f>
        <v>p.persica_gdr_reftransV1_0009556</v>
      </c>
      <c r="B16483" s="3">
        <v>883</v>
      </c>
      <c r="C16483" s="1" t="str">
        <f>HYPERLINK("http://www.uniprot.org/uniprot/ERLL3_ARATH","ERLL3_ARATH")</f>
        <v>ERLL3_ARATH</v>
      </c>
      <c r="D16483" t="s">
        <v>2780</v>
      </c>
      <c r="E16483" s="3" t="s">
        <v>3</v>
      </c>
      <c r="F16483" s="4">
        <v>9.0300000000000001E-20</v>
      </c>
      <c r="G16483" s="3">
        <v>218</v>
      </c>
      <c r="H16483" s="3">
        <v>70</v>
      </c>
      <c r="I16483" s="3">
        <v>81</v>
      </c>
      <c r="J16483" s="3">
        <v>406</v>
      </c>
      <c r="K16483" s="3">
        <v>648</v>
      </c>
      <c r="L16483" s="3">
        <v>97</v>
      </c>
      <c r="M16483" s="3">
        <v>177</v>
      </c>
    </row>
    <row r="16484" spans="1:13" x14ac:dyDescent="0.25">
      <c r="A16484" s="1" t="str">
        <f>HYPERLINK("http://www.rosaceae.org/Prunus/Prunus_persica/p.persica_gdr_reftransV1_0009706","p.persica_gdr_reftransV1_0009706")</f>
        <v>p.persica_gdr_reftransV1_0009706</v>
      </c>
      <c r="B16484" s="3">
        <v>2136</v>
      </c>
      <c r="C16484" s="1" t="str">
        <f>HYPERLINK("http://www.uniprot.org/uniprot/P2C68_ARATH","P2C68_ARATH")</f>
        <v>P2C68_ARATH</v>
      </c>
      <c r="D16484" t="s">
        <v>10346</v>
      </c>
      <c r="E16484" s="3" t="s">
        <v>3</v>
      </c>
      <c r="F16484" s="4">
        <v>0</v>
      </c>
      <c r="G16484" s="3">
        <v>1469</v>
      </c>
      <c r="H16484" s="3">
        <v>72</v>
      </c>
      <c r="I16484" s="3">
        <v>391</v>
      </c>
      <c r="J16484" s="3">
        <v>668</v>
      </c>
      <c r="K16484" s="3">
        <v>1804</v>
      </c>
      <c r="L16484" s="3">
        <v>1</v>
      </c>
      <c r="M16484" s="3">
        <v>391</v>
      </c>
    </row>
    <row r="16485" spans="1:13" x14ac:dyDescent="0.25">
      <c r="A16485" s="1" t="str">
        <f>HYPERLINK("http://www.rosaceae.org/Prunus/Prunus_persica/p.persica_gdr_reftransV1_0009806","p.persica_gdr_reftransV1_0009806")</f>
        <v>p.persica_gdr_reftransV1_0009806</v>
      </c>
      <c r="B16485" s="3">
        <v>1468</v>
      </c>
      <c r="C16485" s="1" t="str">
        <f>HYPERLINK("http://www.uniprot.org/uniprot/POT6_ARATH","POT6_ARATH")</f>
        <v>POT6_ARATH</v>
      </c>
      <c r="D16485" t="s">
        <v>3487</v>
      </c>
      <c r="E16485" s="3" t="s">
        <v>3</v>
      </c>
      <c r="F16485" s="4">
        <v>7.99E-178</v>
      </c>
      <c r="G16485" s="3">
        <v>1354</v>
      </c>
      <c r="H16485" s="3">
        <v>82</v>
      </c>
      <c r="I16485" s="3">
        <v>311</v>
      </c>
      <c r="J16485" s="3">
        <v>541</v>
      </c>
      <c r="K16485" s="3">
        <v>1467</v>
      </c>
      <c r="L16485" s="3">
        <v>1</v>
      </c>
      <c r="M16485" s="3">
        <v>310</v>
      </c>
    </row>
    <row r="16486" spans="1:13" x14ac:dyDescent="0.25">
      <c r="A16486" s="1" t="str">
        <f>HYPERLINK("http://www.rosaceae.org/Prunus/Prunus_persica/p.persica_gdr_reftransV1_0009856","p.persica_gdr_reftransV1_0009856")</f>
        <v>p.persica_gdr_reftransV1_0009856</v>
      </c>
      <c r="B16486" s="3">
        <v>1298</v>
      </c>
      <c r="C16486" s="1" t="str">
        <f>HYPERLINK("http://www.uniprot.org/uniprot/ALS3_ARATH","ALS3_ARATH")</f>
        <v>ALS3_ARATH</v>
      </c>
      <c r="D16486" t="s">
        <v>10347</v>
      </c>
      <c r="E16486" s="3" t="s">
        <v>3</v>
      </c>
      <c r="F16486" s="4">
        <v>3.89E-146</v>
      </c>
      <c r="G16486" s="3">
        <v>1090</v>
      </c>
      <c r="H16486" s="3">
        <v>81</v>
      </c>
      <c r="I16486" s="3">
        <v>263</v>
      </c>
      <c r="J16486" s="3">
        <v>278</v>
      </c>
      <c r="K16486" s="3">
        <v>1066</v>
      </c>
      <c r="L16486" s="3">
        <v>11</v>
      </c>
      <c r="M16486" s="3">
        <v>273</v>
      </c>
    </row>
    <row r="16487" spans="1:13" x14ac:dyDescent="0.25">
      <c r="A16487" s="1" t="str">
        <f>HYPERLINK("http://www.rosaceae.org/Prunus/Prunus_persica/p.persica_gdr_reftransV1_0009956","p.persica_gdr_reftransV1_0009956")</f>
        <v>p.persica_gdr_reftransV1_0009956</v>
      </c>
      <c r="B16487" s="3">
        <v>1565</v>
      </c>
      <c r="C16487" s="1" t="str">
        <f>HYPERLINK("http://www.uniprot.org/uniprot/TGA7_ARATH","TGA7_ARATH")</f>
        <v>TGA7_ARATH</v>
      </c>
      <c r="D16487" t="s">
        <v>10348</v>
      </c>
      <c r="E16487" s="3" t="s">
        <v>3</v>
      </c>
      <c r="F16487" s="4">
        <v>9.5999999999999995E-140</v>
      </c>
      <c r="G16487" s="3">
        <v>1066</v>
      </c>
      <c r="H16487" s="3">
        <v>59</v>
      </c>
      <c r="I16487" s="3">
        <v>385</v>
      </c>
      <c r="J16487" s="3">
        <v>372</v>
      </c>
      <c r="K16487" s="3">
        <v>1481</v>
      </c>
      <c r="L16487" s="3">
        <v>4</v>
      </c>
      <c r="M16487" s="3">
        <v>368</v>
      </c>
    </row>
    <row r="16488" spans="1:13" x14ac:dyDescent="0.25">
      <c r="A16488" s="1" t="str">
        <f>HYPERLINK("http://www.rosaceae.org/Prunus/Prunus_persica/p.persica_gdr_reftransV1_0010006","p.persica_gdr_reftransV1_0010006")</f>
        <v>p.persica_gdr_reftransV1_0010006</v>
      </c>
      <c r="B16488" s="3">
        <v>2547</v>
      </c>
      <c r="C16488" s="1" t="str">
        <f>HYPERLINK("http://www.uniprot.org/uniprot/TT12_ARATH","TT12_ARATH")</f>
        <v>TT12_ARATH</v>
      </c>
      <c r="D16488" t="s">
        <v>353</v>
      </c>
      <c r="E16488" s="3" t="s">
        <v>3</v>
      </c>
      <c r="F16488" s="4">
        <v>9.8099999999999995E-125</v>
      </c>
      <c r="G16488" s="3">
        <v>1006</v>
      </c>
      <c r="H16488" s="3">
        <v>52</v>
      </c>
      <c r="I16488" s="3">
        <v>472</v>
      </c>
      <c r="J16488" s="3">
        <v>429</v>
      </c>
      <c r="K16488" s="3">
        <v>1838</v>
      </c>
      <c r="L16488" s="3">
        <v>24</v>
      </c>
      <c r="M16488" s="3">
        <v>494</v>
      </c>
    </row>
    <row r="16489" spans="1:13" x14ac:dyDescent="0.25">
      <c r="A16489" s="1" t="str">
        <f>HYPERLINK("http://www.rosaceae.org/Prunus/Prunus_persica/p.persica_gdr_reftransV1_0010356","p.persica_gdr_reftransV1_0010356")</f>
        <v>p.persica_gdr_reftransV1_0010356</v>
      </c>
      <c r="B16489" s="3">
        <v>1895</v>
      </c>
      <c r="C16489" s="1" t="str">
        <f>HYPERLINK("http://www.uniprot.org/uniprot/PPA3_ARATH","PPA3_ARATH")</f>
        <v>PPA3_ARATH</v>
      </c>
      <c r="D16489" t="s">
        <v>1997</v>
      </c>
      <c r="E16489" s="3" t="s">
        <v>3</v>
      </c>
      <c r="F16489" s="4">
        <v>5.9899999999999999E-149</v>
      </c>
      <c r="G16489" s="3">
        <v>1137</v>
      </c>
      <c r="H16489" s="3">
        <v>64</v>
      </c>
      <c r="I16489" s="3">
        <v>347</v>
      </c>
      <c r="J16489" s="3">
        <v>351</v>
      </c>
      <c r="K16489" s="3">
        <v>1388</v>
      </c>
      <c r="L16489" s="3">
        <v>19</v>
      </c>
      <c r="M16489" s="3">
        <v>357</v>
      </c>
    </row>
    <row r="16490" spans="1:13" x14ac:dyDescent="0.25">
      <c r="A16490" s="1" t="str">
        <f>HYPERLINK("http://www.rosaceae.org/Prunus/Prunus_persica/p.persica_gdr_reftransV1_0010556","p.persica_gdr_reftransV1_0010556")</f>
        <v>p.persica_gdr_reftransV1_0010556</v>
      </c>
      <c r="B16490" s="3">
        <v>785</v>
      </c>
      <c r="C16490" s="1" t="str">
        <f>HYPERLINK("http://www.uniprot.org/uniprot/YPTM2_MAIZE","YPTM2_MAIZE")</f>
        <v>YPTM2_MAIZE</v>
      </c>
      <c r="D16490" t="s">
        <v>1105</v>
      </c>
      <c r="E16490" s="3" t="s">
        <v>72</v>
      </c>
      <c r="F16490" s="4">
        <v>1.04E-115</v>
      </c>
      <c r="G16490" s="3">
        <v>864</v>
      </c>
      <c r="H16490" s="3">
        <v>83</v>
      </c>
      <c r="I16490" s="3">
        <v>202</v>
      </c>
      <c r="J16490" s="3">
        <v>1</v>
      </c>
      <c r="K16490" s="3">
        <v>606</v>
      </c>
      <c r="L16490" s="3">
        <v>1</v>
      </c>
      <c r="M16490" s="3">
        <v>176</v>
      </c>
    </row>
    <row r="16491" spans="1:13" x14ac:dyDescent="0.25">
      <c r="A16491" s="1" t="str">
        <f>HYPERLINK("http://www.rosaceae.org/Prunus/Prunus_persica/p.persica_gdr_reftransV1_0010706","p.persica_gdr_reftransV1_0010706")</f>
        <v>p.persica_gdr_reftransV1_0010706</v>
      </c>
      <c r="B16491" s="3">
        <v>1212</v>
      </c>
      <c r="C16491" s="1" t="str">
        <f>HYPERLINK("http://www.uniprot.org/uniprot/TRP4_ARATH","TRP4_ARATH")</f>
        <v>TRP4_ARATH</v>
      </c>
      <c r="D16491" t="s">
        <v>8302</v>
      </c>
      <c r="E16491" s="3" t="s">
        <v>3</v>
      </c>
      <c r="F16491" s="4">
        <v>3.9799999999999997E-20</v>
      </c>
      <c r="G16491" s="3">
        <v>238</v>
      </c>
      <c r="H16491" s="3">
        <v>37</v>
      </c>
      <c r="I16491" s="3">
        <v>289</v>
      </c>
      <c r="J16491" s="3">
        <v>39</v>
      </c>
      <c r="K16491" s="3">
        <v>896</v>
      </c>
      <c r="L16491" s="3">
        <v>1</v>
      </c>
      <c r="M16491" s="3">
        <v>248</v>
      </c>
    </row>
    <row r="16492" spans="1:13" x14ac:dyDescent="0.25">
      <c r="A16492" s="1" t="str">
        <f>HYPERLINK("http://www.rosaceae.org/Prunus/Prunus_persica/p.persica_gdr_reftransV1_0010856","p.persica_gdr_reftransV1_0010856")</f>
        <v>p.persica_gdr_reftransV1_0010856</v>
      </c>
      <c r="B16492" s="3">
        <v>3339</v>
      </c>
      <c r="C16492" s="1" t="str">
        <f>HYPERLINK("http://www.uniprot.org/uniprot/RS40_ARATH","RS40_ARATH")</f>
        <v>RS40_ARATH</v>
      </c>
      <c r="D16492" t="s">
        <v>5563</v>
      </c>
      <c r="E16492" s="3" t="s">
        <v>3</v>
      </c>
      <c r="F16492" s="4">
        <v>1.3000000000000001E-77</v>
      </c>
      <c r="G16492" s="3">
        <v>674</v>
      </c>
      <c r="H16492" s="3">
        <v>51</v>
      </c>
      <c r="I16492" s="3">
        <v>384</v>
      </c>
      <c r="J16492" s="3">
        <v>1874</v>
      </c>
      <c r="K16492" s="3">
        <v>2980</v>
      </c>
      <c r="L16492" s="3">
        <v>35</v>
      </c>
      <c r="M16492" s="3">
        <v>350</v>
      </c>
    </row>
    <row r="16493" spans="1:13" x14ac:dyDescent="0.25">
      <c r="A16493" s="1" t="str">
        <f>HYPERLINK("http://www.rosaceae.org/Prunus/Prunus_persica/p.persica_gdr_reftransV1_0010906","p.persica_gdr_reftransV1_0010906")</f>
        <v>p.persica_gdr_reftransV1_0010906</v>
      </c>
      <c r="B16493" s="3">
        <v>705</v>
      </c>
      <c r="C16493" s="1" t="str">
        <f>HYPERLINK("http://www.uniprot.org/uniprot/Y2913_ARATH","Y2913_ARATH")</f>
        <v>Y2913_ARATH</v>
      </c>
      <c r="D16493" t="s">
        <v>5373</v>
      </c>
      <c r="E16493" s="3" t="s">
        <v>3</v>
      </c>
      <c r="F16493" s="4">
        <v>1.92E-15</v>
      </c>
      <c r="G16493" s="3">
        <v>194</v>
      </c>
      <c r="H16493" s="3">
        <v>39</v>
      </c>
      <c r="I16493" s="3">
        <v>107</v>
      </c>
      <c r="J16493" s="3">
        <v>17</v>
      </c>
      <c r="K16493" s="3">
        <v>331</v>
      </c>
      <c r="L16493" s="3">
        <v>672</v>
      </c>
      <c r="M16493" s="3">
        <v>778</v>
      </c>
    </row>
    <row r="16494" spans="1:13" x14ac:dyDescent="0.25">
      <c r="A16494" s="1" t="str">
        <f>HYPERLINK("http://www.rosaceae.org/Prunus/Prunus_persica/p.persica_gdr_reftransV1_0011156","p.persica_gdr_reftransV1_0011156")</f>
        <v>p.persica_gdr_reftransV1_0011156</v>
      </c>
      <c r="B16494" s="3">
        <v>1565</v>
      </c>
      <c r="C16494" s="1" t="str">
        <f>HYPERLINK("http://www.uniprot.org/uniprot/S2544_PONAB","S2544_PONAB")</f>
        <v>S2544_PONAB</v>
      </c>
      <c r="D16494" t="s">
        <v>10349</v>
      </c>
      <c r="E16494" s="3" t="s">
        <v>176</v>
      </c>
      <c r="F16494" s="4">
        <v>1.33E-36</v>
      </c>
      <c r="G16494" s="3">
        <v>358</v>
      </c>
      <c r="H16494" s="3">
        <v>30</v>
      </c>
      <c r="I16494" s="3">
        <v>321</v>
      </c>
      <c r="J16494" s="3">
        <v>290</v>
      </c>
      <c r="K16494" s="3">
        <v>1207</v>
      </c>
      <c r="L16494" s="3">
        <v>10</v>
      </c>
      <c r="M16494" s="3">
        <v>307</v>
      </c>
    </row>
    <row r="16495" spans="1:13" x14ac:dyDescent="0.25">
      <c r="A16495" s="1" t="str">
        <f>HYPERLINK("http://www.rosaceae.org/Prunus/Prunus_persica/p.persica_gdr_reftransV1_0011506","p.persica_gdr_reftransV1_0011506")</f>
        <v>p.persica_gdr_reftransV1_0011506</v>
      </c>
      <c r="B16495" s="3">
        <v>1348</v>
      </c>
      <c r="C16495" s="1" t="str">
        <f>HYPERLINK("http://www.uniprot.org/uniprot/XTH8_ARATH","XTH8_ARATH")</f>
        <v>XTH8_ARATH</v>
      </c>
      <c r="D16495" t="s">
        <v>10350</v>
      </c>
      <c r="E16495" s="3" t="s">
        <v>3</v>
      </c>
      <c r="F16495" s="4">
        <v>2.6300000000000001E-172</v>
      </c>
      <c r="G16495" s="3">
        <v>1268</v>
      </c>
      <c r="H16495" s="3">
        <v>84</v>
      </c>
      <c r="I16495" s="3">
        <v>267</v>
      </c>
      <c r="J16495" s="3">
        <v>362</v>
      </c>
      <c r="K16495" s="3">
        <v>1156</v>
      </c>
      <c r="L16495" s="3">
        <v>38</v>
      </c>
      <c r="M16495" s="3">
        <v>304</v>
      </c>
    </row>
    <row r="16496" spans="1:13" x14ac:dyDescent="0.25">
      <c r="A16496" s="1" t="str">
        <f>HYPERLINK("http://www.rosaceae.org/Prunus/Prunus_persica/p.persica_gdr_reftransV1_0011556","p.persica_gdr_reftransV1_0011556")</f>
        <v>p.persica_gdr_reftransV1_0011556</v>
      </c>
      <c r="B16496" s="3">
        <v>901</v>
      </c>
      <c r="C16496" s="1" t="str">
        <f>HYPERLINK("http://www.uniprot.org/uniprot/Y1465_ARATH","Y1465_ARATH")</f>
        <v>Y1465_ARATH</v>
      </c>
      <c r="D16496" t="s">
        <v>1913</v>
      </c>
      <c r="E16496" s="3" t="s">
        <v>3</v>
      </c>
      <c r="F16496" s="4">
        <v>1.9599999999999998E-9</v>
      </c>
      <c r="G16496" s="3">
        <v>144</v>
      </c>
      <c r="H16496" s="3">
        <v>25</v>
      </c>
      <c r="I16496" s="3">
        <v>222</v>
      </c>
      <c r="J16496" s="3">
        <v>170</v>
      </c>
      <c r="K16496" s="3">
        <v>805</v>
      </c>
      <c r="L16496" s="3">
        <v>21</v>
      </c>
      <c r="M16496" s="3">
        <v>214</v>
      </c>
    </row>
    <row r="16497" spans="1:13" x14ac:dyDescent="0.25">
      <c r="A16497" s="1" t="str">
        <f>HYPERLINK("http://www.rosaceae.org/Prunus/Prunus_persica/p.persica_gdr_reftransV1_0011706","p.persica_gdr_reftransV1_0011706")</f>
        <v>p.persica_gdr_reftransV1_0011706</v>
      </c>
      <c r="B16497" s="3">
        <v>2188</v>
      </c>
      <c r="C16497" s="1" t="str">
        <f>HYPERLINK("http://www.uniprot.org/uniprot/ICE1_ARATH","ICE1_ARATH")</f>
        <v>ICE1_ARATH</v>
      </c>
      <c r="D16497" t="s">
        <v>9389</v>
      </c>
      <c r="E16497" s="3" t="s">
        <v>3</v>
      </c>
      <c r="F16497" s="4">
        <v>2.8900000000000001E-126</v>
      </c>
      <c r="G16497" s="3">
        <v>1006</v>
      </c>
      <c r="H16497" s="3">
        <v>48</v>
      </c>
      <c r="I16497" s="3">
        <v>504</v>
      </c>
      <c r="J16497" s="3">
        <v>446</v>
      </c>
      <c r="K16497" s="3">
        <v>1900</v>
      </c>
      <c r="L16497" s="3">
        <v>37</v>
      </c>
      <c r="M16497" s="3">
        <v>494</v>
      </c>
    </row>
    <row r="16498" spans="1:13" x14ac:dyDescent="0.25">
      <c r="A16498" s="1" t="str">
        <f>HYPERLINK("http://www.rosaceae.org/Prunus/Prunus_persica/p.persica_gdr_reftransV1_0011756","p.persica_gdr_reftransV1_0011756")</f>
        <v>p.persica_gdr_reftransV1_0011756</v>
      </c>
      <c r="B16498" s="3">
        <v>1234</v>
      </c>
      <c r="C16498" s="1" t="str">
        <f>HYPERLINK("http://www.uniprot.org/uniprot/BURP3_ORYSJ","BURP3_ORYSJ")</f>
        <v>BURP3_ORYSJ</v>
      </c>
      <c r="D16498" t="s">
        <v>1863</v>
      </c>
      <c r="E16498" s="3" t="s">
        <v>38</v>
      </c>
      <c r="F16498" s="4">
        <v>1.64E-44</v>
      </c>
      <c r="G16498" s="3">
        <v>418</v>
      </c>
      <c r="H16498" s="3">
        <v>42</v>
      </c>
      <c r="I16498" s="3">
        <v>226</v>
      </c>
      <c r="J16498" s="3">
        <v>468</v>
      </c>
      <c r="K16498" s="3">
        <v>1136</v>
      </c>
      <c r="L16498" s="3">
        <v>209</v>
      </c>
      <c r="M16498" s="3">
        <v>429</v>
      </c>
    </row>
    <row r="16499" spans="1:13" x14ac:dyDescent="0.25">
      <c r="A16499" s="1" t="str">
        <f>HYPERLINK("http://www.rosaceae.org/Prunus/Prunus_persica/p.persica_gdr_reftransV1_0011856","p.persica_gdr_reftransV1_0011856")</f>
        <v>p.persica_gdr_reftransV1_0011856</v>
      </c>
      <c r="B16499" s="3">
        <v>1230</v>
      </c>
      <c r="C16499" s="1" t="str">
        <f>HYPERLINK("http://www.uniprot.org/uniprot/PP366_ARATH","PP366_ARATH")</f>
        <v>PP366_ARATH</v>
      </c>
      <c r="D16499" t="s">
        <v>6257</v>
      </c>
      <c r="E16499" s="3" t="s">
        <v>3</v>
      </c>
      <c r="F16499" s="4">
        <v>6.7200000000000002E-170</v>
      </c>
      <c r="G16499" s="3">
        <v>1312</v>
      </c>
      <c r="H16499" s="3">
        <v>59</v>
      </c>
      <c r="I16499" s="3">
        <v>396</v>
      </c>
      <c r="J16499" s="3">
        <v>5</v>
      </c>
      <c r="K16499" s="3">
        <v>1192</v>
      </c>
      <c r="L16499" s="3">
        <v>632</v>
      </c>
      <c r="M16499" s="3">
        <v>1027</v>
      </c>
    </row>
    <row r="16500" spans="1:13" x14ac:dyDescent="0.25">
      <c r="A16500" s="1" t="str">
        <f>HYPERLINK("http://www.rosaceae.org/Prunus/Prunus_persica/p.persica_gdr_reftransV1_0011906","p.persica_gdr_reftransV1_0011906")</f>
        <v>p.persica_gdr_reftransV1_0011906</v>
      </c>
      <c r="B16500" s="3">
        <v>3506</v>
      </c>
      <c r="C16500" s="1" t="str">
        <f>HYPERLINK("http://www.uniprot.org/uniprot/AGO2_ARATH","AGO2_ARATH")</f>
        <v>AGO2_ARATH</v>
      </c>
      <c r="D16500" t="s">
        <v>10351</v>
      </c>
      <c r="E16500" s="3" t="s">
        <v>3</v>
      </c>
      <c r="F16500" s="4">
        <v>0</v>
      </c>
      <c r="G16500" s="3">
        <v>2344</v>
      </c>
      <c r="H16500" s="3">
        <v>54</v>
      </c>
      <c r="I16500" s="3">
        <v>876</v>
      </c>
      <c r="J16500" s="3">
        <v>416</v>
      </c>
      <c r="K16500" s="3">
        <v>3025</v>
      </c>
      <c r="L16500" s="3">
        <v>149</v>
      </c>
      <c r="M16500" s="3">
        <v>1014</v>
      </c>
    </row>
    <row r="16501" spans="1:13" x14ac:dyDescent="0.25">
      <c r="A16501" s="1" t="str">
        <f>HYPERLINK("http://www.rosaceae.org/Prunus/Prunus_persica/p.persica_gdr_reftransV1_0012006","p.persica_gdr_reftransV1_0012006")</f>
        <v>p.persica_gdr_reftransV1_0012006</v>
      </c>
      <c r="B16501" s="3">
        <v>4935</v>
      </c>
      <c r="C16501" s="1" t="str">
        <f>HYPERLINK("http://www.uniprot.org/uniprot/C3H38_ARATH","C3H38_ARATH")</f>
        <v>C3H38_ARATH</v>
      </c>
      <c r="D16501" t="s">
        <v>1891</v>
      </c>
      <c r="E16501" s="3" t="s">
        <v>3</v>
      </c>
      <c r="F16501" s="4">
        <v>1.24E-22</v>
      </c>
      <c r="G16501" s="3">
        <v>271</v>
      </c>
      <c r="H16501" s="3">
        <v>42</v>
      </c>
      <c r="I16501" s="3">
        <v>140</v>
      </c>
      <c r="J16501" s="3">
        <v>4086</v>
      </c>
      <c r="K16501" s="3">
        <v>4499</v>
      </c>
      <c r="L16501" s="3">
        <v>537</v>
      </c>
      <c r="M16501" s="3">
        <v>676</v>
      </c>
    </row>
    <row r="16502" spans="1:13" x14ac:dyDescent="0.25">
      <c r="A16502" s="1" t="str">
        <f>HYPERLINK("http://www.rosaceae.org/Prunus/Prunus_persica/p.persica_gdr_reftransV1_0012156","p.persica_gdr_reftransV1_0012156")</f>
        <v>p.persica_gdr_reftransV1_0012156</v>
      </c>
      <c r="B16502" s="3">
        <v>1614</v>
      </c>
      <c r="C16502" s="1" t="str">
        <f>HYPERLINK("http://www.uniprot.org/uniprot/Y1686_ARATH","Y1686_ARATH")</f>
        <v>Y1686_ARATH</v>
      </c>
      <c r="D16502" t="s">
        <v>6423</v>
      </c>
      <c r="E16502" s="3" t="s">
        <v>3</v>
      </c>
      <c r="F16502" s="4">
        <v>4.2899999999999997E-31</v>
      </c>
      <c r="G16502" s="3">
        <v>324</v>
      </c>
      <c r="H16502" s="3">
        <v>36</v>
      </c>
      <c r="I16502" s="3">
        <v>275</v>
      </c>
      <c r="J16502" s="3">
        <v>323</v>
      </c>
      <c r="K16502" s="3">
        <v>1129</v>
      </c>
      <c r="L16502" s="3">
        <v>121</v>
      </c>
      <c r="M16502" s="3">
        <v>393</v>
      </c>
    </row>
    <row r="16503" spans="1:13" x14ac:dyDescent="0.25">
      <c r="A16503" s="1" t="str">
        <f>HYPERLINK("http://www.rosaceae.org/Prunus/Prunus_persica/p.persica_gdr_reftransV1_0012206","p.persica_gdr_reftransV1_0012206")</f>
        <v>p.persica_gdr_reftransV1_0012206</v>
      </c>
      <c r="B16503" s="3">
        <v>1204</v>
      </c>
      <c r="C16503" s="1" t="str">
        <f>HYPERLINK("http://www.uniprot.org/uniprot/WLIM1_ARATH","WLIM1_ARATH")</f>
        <v>WLIM1_ARATH</v>
      </c>
      <c r="D16503" t="s">
        <v>8695</v>
      </c>
      <c r="E16503" s="3" t="s">
        <v>3</v>
      </c>
      <c r="F16503" s="4">
        <v>2.69E-101</v>
      </c>
      <c r="G16503" s="3">
        <v>782</v>
      </c>
      <c r="H16503" s="3">
        <v>78</v>
      </c>
      <c r="I16503" s="3">
        <v>189</v>
      </c>
      <c r="J16503" s="3">
        <v>315</v>
      </c>
      <c r="K16503" s="3">
        <v>878</v>
      </c>
      <c r="L16503" s="3">
        <v>2</v>
      </c>
      <c r="M16503" s="3">
        <v>190</v>
      </c>
    </row>
    <row r="16504" spans="1:13" x14ac:dyDescent="0.25">
      <c r="A16504" s="1" t="str">
        <f>HYPERLINK("http://www.rosaceae.org/Prunus/Prunus_persica/p.persica_gdr_reftransV1_0012256","p.persica_gdr_reftransV1_0012256")</f>
        <v>p.persica_gdr_reftransV1_0012256</v>
      </c>
      <c r="B16504" s="3">
        <v>4384</v>
      </c>
      <c r="C16504" s="1" t="str">
        <f>HYPERLINK("http://www.uniprot.org/uniprot/KEG_ARATH","KEG_ARATH")</f>
        <v>KEG_ARATH</v>
      </c>
      <c r="D16504" t="s">
        <v>2459</v>
      </c>
      <c r="E16504" s="3" t="s">
        <v>3</v>
      </c>
      <c r="F16504" s="4">
        <v>1.7700000000000001E-31</v>
      </c>
      <c r="G16504" s="3">
        <v>349</v>
      </c>
      <c r="H16504" s="3">
        <v>30</v>
      </c>
      <c r="I16504" s="3">
        <v>306</v>
      </c>
      <c r="J16504" s="3">
        <v>1161</v>
      </c>
      <c r="K16504" s="3">
        <v>2000</v>
      </c>
      <c r="L16504" s="3">
        <v>136</v>
      </c>
      <c r="M16504" s="3">
        <v>440</v>
      </c>
    </row>
    <row r="16505" spans="1:13" x14ac:dyDescent="0.25">
      <c r="A16505" s="1" t="str">
        <f>HYPERLINK("http://www.rosaceae.org/Prunus/Prunus_persica/p.persica_gdr_reftransV1_0012306","p.persica_gdr_reftransV1_0012306")</f>
        <v>p.persica_gdr_reftransV1_0012306</v>
      </c>
      <c r="B16505" s="3">
        <v>2477</v>
      </c>
      <c r="C16505" s="1" t="str">
        <f>HYPERLINK("http://www.uniprot.org/uniprot/Y1154_ARATH","Y1154_ARATH")</f>
        <v>Y1154_ARATH</v>
      </c>
      <c r="D16505" t="s">
        <v>2604</v>
      </c>
      <c r="E16505" s="3" t="s">
        <v>3</v>
      </c>
      <c r="F16505" s="4">
        <v>5.1900000000000001E-153</v>
      </c>
      <c r="G16505" s="3">
        <v>762</v>
      </c>
      <c r="H16505" s="3">
        <v>54</v>
      </c>
      <c r="I16505" s="3">
        <v>295</v>
      </c>
      <c r="J16505" s="3">
        <v>166</v>
      </c>
      <c r="K16505" s="3">
        <v>1017</v>
      </c>
      <c r="L16505" s="3">
        <v>1</v>
      </c>
      <c r="M16505" s="3">
        <v>264</v>
      </c>
    </row>
    <row r="16506" spans="1:13" x14ac:dyDescent="0.25">
      <c r="A16506" s="1" t="str">
        <f>HYPERLINK("http://www.rosaceae.org/Prunus/Prunus_persica/p.persica_gdr_reftransV1_0012556","p.persica_gdr_reftransV1_0012556")</f>
        <v>p.persica_gdr_reftransV1_0012556</v>
      </c>
      <c r="B16506" s="3">
        <v>3496</v>
      </c>
      <c r="C16506" s="1" t="str">
        <f>HYPERLINK("http://www.uniprot.org/uniprot/CNO10_BOVIN","CNO10_BOVIN")</f>
        <v>CNO10_BOVIN</v>
      </c>
      <c r="D16506" t="s">
        <v>10352</v>
      </c>
      <c r="E16506" s="3" t="s">
        <v>184</v>
      </c>
      <c r="F16506" s="4">
        <v>1.6199999999999998E-45</v>
      </c>
      <c r="G16506" s="3">
        <v>457</v>
      </c>
      <c r="H16506" s="3">
        <v>31</v>
      </c>
      <c r="I16506" s="3">
        <v>566</v>
      </c>
      <c r="J16506" s="3">
        <v>598</v>
      </c>
      <c r="K16506" s="3">
        <v>2196</v>
      </c>
      <c r="L16506" s="3">
        <v>215</v>
      </c>
      <c r="M16506" s="3">
        <v>717</v>
      </c>
    </row>
    <row r="16507" spans="1:13" x14ac:dyDescent="0.25">
      <c r="A16507" s="1" t="str">
        <f>HYPERLINK("http://www.rosaceae.org/Prunus/Prunus_persica/p.persica_gdr_reftransV1_0012656","p.persica_gdr_reftransV1_0012656")</f>
        <v>p.persica_gdr_reftransV1_0012656</v>
      </c>
      <c r="B16507" s="3">
        <v>2209</v>
      </c>
      <c r="C16507" s="1" t="str">
        <f>HYPERLINK("http://www.uniprot.org/uniprot/ACOT8_MOUSE","ACOT8_MOUSE")</f>
        <v>ACOT8_MOUSE</v>
      </c>
      <c r="D16507" t="s">
        <v>10353</v>
      </c>
      <c r="E16507" s="3" t="s">
        <v>157</v>
      </c>
      <c r="F16507" s="4">
        <v>2.5199999999999999E-32</v>
      </c>
      <c r="G16507" s="3">
        <v>332</v>
      </c>
      <c r="H16507" s="3">
        <v>41</v>
      </c>
      <c r="I16507" s="3">
        <v>177</v>
      </c>
      <c r="J16507" s="3">
        <v>403</v>
      </c>
      <c r="K16507" s="3">
        <v>921</v>
      </c>
      <c r="L16507" s="3">
        <v>137</v>
      </c>
      <c r="M16507" s="3">
        <v>310</v>
      </c>
    </row>
    <row r="16508" spans="1:13" x14ac:dyDescent="0.25">
      <c r="A16508" s="1" t="str">
        <f>HYPERLINK("http://www.rosaceae.org/Prunus/Prunus_persica/p.persica_gdr_reftransV1_0012706","p.persica_gdr_reftransV1_0012706")</f>
        <v>p.persica_gdr_reftransV1_0012706</v>
      </c>
      <c r="B16508" s="3">
        <v>928</v>
      </c>
      <c r="C16508" s="1" t="str">
        <f>HYPERLINK("http://www.uniprot.org/uniprot/RP25L_MOUSE","RP25L_MOUSE")</f>
        <v>RP25L_MOUSE</v>
      </c>
      <c r="D16508" t="s">
        <v>3045</v>
      </c>
      <c r="E16508" s="3" t="s">
        <v>157</v>
      </c>
      <c r="F16508" s="4">
        <v>2.0100000000000001E-16</v>
      </c>
      <c r="G16508" s="3">
        <v>193</v>
      </c>
      <c r="H16508" s="3">
        <v>31</v>
      </c>
      <c r="I16508" s="3">
        <v>136</v>
      </c>
      <c r="J16508" s="3">
        <v>204</v>
      </c>
      <c r="K16508" s="3">
        <v>584</v>
      </c>
      <c r="L16508" s="3">
        <v>1</v>
      </c>
      <c r="M16508" s="3">
        <v>136</v>
      </c>
    </row>
    <row r="16509" spans="1:13" x14ac:dyDescent="0.25">
      <c r="A16509" s="1" t="str">
        <f>HYPERLINK("http://www.rosaceae.org/Prunus/Prunus_persica/p.persica_gdr_reftransV1_0012956","p.persica_gdr_reftransV1_0012956")</f>
        <v>p.persica_gdr_reftransV1_0012956</v>
      </c>
      <c r="B16509" s="3">
        <v>1788</v>
      </c>
      <c r="C16509" s="1" t="str">
        <f>HYPERLINK("http://www.uniprot.org/uniprot/MOS2_ARATH","MOS2_ARATH")</f>
        <v>MOS2_ARATH</v>
      </c>
      <c r="D16509" t="s">
        <v>6148</v>
      </c>
      <c r="E16509" s="3" t="s">
        <v>3</v>
      </c>
      <c r="F16509" s="4">
        <v>3.3600000000000001E-111</v>
      </c>
      <c r="G16509" s="3">
        <v>891</v>
      </c>
      <c r="H16509" s="3">
        <v>50</v>
      </c>
      <c r="I16509" s="3">
        <v>459</v>
      </c>
      <c r="J16509" s="3">
        <v>325</v>
      </c>
      <c r="K16509" s="3">
        <v>1572</v>
      </c>
      <c r="L16509" s="3">
        <v>15</v>
      </c>
      <c r="M16509" s="3">
        <v>462</v>
      </c>
    </row>
    <row r="16510" spans="1:13" x14ac:dyDescent="0.25">
      <c r="A16510" s="1" t="str">
        <f>HYPERLINK("http://www.rosaceae.org/Prunus/Prunus_persica/p.persica_gdr_reftransV1_0013006","p.persica_gdr_reftransV1_0013006")</f>
        <v>p.persica_gdr_reftransV1_0013006</v>
      </c>
      <c r="B16510" s="3">
        <v>1074</v>
      </c>
      <c r="C16510" s="1" t="str">
        <f>HYPERLINK("http://www.uniprot.org/uniprot/HIP26_ARATH","HIP26_ARATH")</f>
        <v>HIP26_ARATH</v>
      </c>
      <c r="D16510" t="s">
        <v>413</v>
      </c>
      <c r="E16510" s="3" t="s">
        <v>3</v>
      </c>
      <c r="F16510" s="4">
        <v>1.62E-40</v>
      </c>
      <c r="G16510" s="3">
        <v>367</v>
      </c>
      <c r="H16510" s="3">
        <v>49</v>
      </c>
      <c r="I16510" s="3">
        <v>152</v>
      </c>
      <c r="J16510" s="3">
        <v>384</v>
      </c>
      <c r="K16510" s="3">
        <v>827</v>
      </c>
      <c r="L16510" s="3">
        <v>2</v>
      </c>
      <c r="M16510" s="3">
        <v>153</v>
      </c>
    </row>
    <row r="16511" spans="1:13" x14ac:dyDescent="0.25">
      <c r="A16511" s="1" t="str">
        <f>HYPERLINK("http://www.rosaceae.org/Prunus/Prunus_persica/p.persica_gdr_reftransV1_0013206","p.persica_gdr_reftransV1_0013206")</f>
        <v>p.persica_gdr_reftransV1_0013206</v>
      </c>
      <c r="B16511" s="3">
        <v>3417</v>
      </c>
      <c r="C16511" s="1" t="str">
        <f>HYPERLINK("http://www.uniprot.org/uniprot/VINSY_RAUSE","VINSY_RAUSE")</f>
        <v>VINSY_RAUSE</v>
      </c>
      <c r="D16511" t="s">
        <v>2815</v>
      </c>
      <c r="E16511" s="3" t="s">
        <v>2816</v>
      </c>
      <c r="F16511" s="4">
        <v>5.21E-56</v>
      </c>
      <c r="G16511" s="3">
        <v>523</v>
      </c>
      <c r="H16511" s="3">
        <v>34</v>
      </c>
      <c r="I16511" s="3">
        <v>426</v>
      </c>
      <c r="J16511" s="3">
        <v>228</v>
      </c>
      <c r="K16511" s="3">
        <v>1472</v>
      </c>
      <c r="L16511" s="3">
        <v>1</v>
      </c>
      <c r="M16511" s="3">
        <v>405</v>
      </c>
    </row>
    <row r="16512" spans="1:13" x14ac:dyDescent="0.25">
      <c r="A16512" s="1" t="str">
        <f>HYPERLINK("http://www.rosaceae.org/Prunus/Prunus_persica/p.persica_gdr_reftransV1_0013256","p.persica_gdr_reftransV1_0013256")</f>
        <v>p.persica_gdr_reftransV1_0013256</v>
      </c>
      <c r="B16512" s="3">
        <v>4778</v>
      </c>
      <c r="C16512" s="1" t="str">
        <f>HYPERLINK("http://www.uniprot.org/uniprot/HGS_RAT","HGS_RAT")</f>
        <v>HGS_RAT</v>
      </c>
      <c r="D16512" t="s">
        <v>10354</v>
      </c>
      <c r="E16512" s="3" t="s">
        <v>161</v>
      </c>
      <c r="F16512" s="4">
        <v>2.1E-10</v>
      </c>
      <c r="G16512" s="3">
        <v>169</v>
      </c>
      <c r="H16512" s="3">
        <v>32</v>
      </c>
      <c r="I16512" s="3">
        <v>104</v>
      </c>
      <c r="J16512" s="3">
        <v>483</v>
      </c>
      <c r="K16512" s="3">
        <v>794</v>
      </c>
      <c r="L16512" s="3">
        <v>11</v>
      </c>
      <c r="M16512" s="3">
        <v>114</v>
      </c>
    </row>
    <row r="16513" spans="1:13" x14ac:dyDescent="0.25">
      <c r="A16513" s="1" t="str">
        <f>HYPERLINK("http://www.rosaceae.org/Prunus/Prunus_persica/p.persica_gdr_reftransV1_0013406","p.persica_gdr_reftransV1_0013406")</f>
        <v>p.persica_gdr_reftransV1_0013406</v>
      </c>
      <c r="B16513" s="3">
        <v>3513</v>
      </c>
      <c r="C16513" s="1" t="str">
        <f>HYPERLINK("http://www.uniprot.org/uniprot/EIF3A_ARATH","EIF3A_ARATH")</f>
        <v>EIF3A_ARATH</v>
      </c>
      <c r="D16513" t="s">
        <v>10355</v>
      </c>
      <c r="E16513" s="3" t="s">
        <v>3</v>
      </c>
      <c r="F16513" s="4">
        <v>0</v>
      </c>
      <c r="G16513" s="3">
        <v>2821</v>
      </c>
      <c r="H16513" s="3">
        <v>79</v>
      </c>
      <c r="I16513" s="3">
        <v>798</v>
      </c>
      <c r="J16513" s="3">
        <v>960</v>
      </c>
      <c r="K16513" s="3">
        <v>3347</v>
      </c>
      <c r="L16513" s="3">
        <v>1</v>
      </c>
      <c r="M16513" s="3">
        <v>798</v>
      </c>
    </row>
    <row r="16514" spans="1:13" x14ac:dyDescent="0.25">
      <c r="A16514" s="1" t="str">
        <f>HYPERLINK("http://www.rosaceae.org/Prunus/Prunus_persica/p.persica_gdr_reftransV1_0013506","p.persica_gdr_reftransV1_0013506")</f>
        <v>p.persica_gdr_reftransV1_0013506</v>
      </c>
      <c r="B16514" s="3">
        <v>740</v>
      </c>
      <c r="C16514" s="1" t="str">
        <f>HYPERLINK("http://www.uniprot.org/uniprot/LBD21_ARATH","LBD21_ARATH")</f>
        <v>LBD21_ARATH</v>
      </c>
      <c r="D16514" t="s">
        <v>9035</v>
      </c>
      <c r="E16514" s="3" t="s">
        <v>3</v>
      </c>
      <c r="F16514" s="4">
        <v>3.4300000000000003E-58</v>
      </c>
      <c r="G16514" s="3">
        <v>478</v>
      </c>
      <c r="H16514" s="3">
        <v>80</v>
      </c>
      <c r="I16514" s="3">
        <v>111</v>
      </c>
      <c r="J16514" s="3">
        <v>62</v>
      </c>
      <c r="K16514" s="3">
        <v>394</v>
      </c>
      <c r="L16514" s="3">
        <v>1</v>
      </c>
      <c r="M16514" s="3">
        <v>110</v>
      </c>
    </row>
    <row r="16515" spans="1:13" x14ac:dyDescent="0.25">
      <c r="A16515" s="1" t="str">
        <f>HYPERLINK("http://www.rosaceae.org/Prunus/Prunus_persica/p.persica_gdr_reftransV1_0013856","p.persica_gdr_reftransV1_0013856")</f>
        <v>p.persica_gdr_reftransV1_0013856</v>
      </c>
      <c r="B16515" s="3">
        <v>554</v>
      </c>
      <c r="C16515" s="1" t="str">
        <f>HYPERLINK("http://www.uniprot.org/uniprot/CCL11_ORYSJ","CCL11_ORYSJ")</f>
        <v>CCL11_ORYSJ</v>
      </c>
      <c r="D16515" t="s">
        <v>10356</v>
      </c>
      <c r="E16515" s="3" t="s">
        <v>38</v>
      </c>
      <c r="F16515" s="4">
        <v>1.16E-71</v>
      </c>
      <c r="G16515" s="3">
        <v>583</v>
      </c>
      <c r="H16515" s="3">
        <v>79</v>
      </c>
      <c r="I16515" s="3">
        <v>132</v>
      </c>
      <c r="J16515" s="3">
        <v>93</v>
      </c>
      <c r="K16515" s="3">
        <v>488</v>
      </c>
      <c r="L16515" s="3">
        <v>1</v>
      </c>
      <c r="M16515" s="3">
        <v>132</v>
      </c>
    </row>
    <row r="16516" spans="1:13" x14ac:dyDescent="0.25">
      <c r="A16516" s="1" t="str">
        <f>HYPERLINK("http://www.rosaceae.org/Prunus/Prunus_persica/p.persica_gdr_reftransV1_0013906","p.persica_gdr_reftransV1_0013906")</f>
        <v>p.persica_gdr_reftransV1_0013906</v>
      </c>
      <c r="B16516" s="3">
        <v>1704</v>
      </c>
      <c r="C16516" s="1" t="str">
        <f>HYPERLINK("http://www.uniprot.org/uniprot/P4H10_ARATH","P4H10_ARATH")</f>
        <v>P4H10_ARATH</v>
      </c>
      <c r="D16516" t="s">
        <v>917</v>
      </c>
      <c r="E16516" s="3" t="s">
        <v>3</v>
      </c>
      <c r="F16516" s="4">
        <v>1.36E-120</v>
      </c>
      <c r="G16516" s="3">
        <v>935</v>
      </c>
      <c r="H16516" s="3">
        <v>87</v>
      </c>
      <c r="I16516" s="3">
        <v>195</v>
      </c>
      <c r="J16516" s="3">
        <v>784</v>
      </c>
      <c r="K16516" s="3">
        <v>1368</v>
      </c>
      <c r="L16516" s="3">
        <v>95</v>
      </c>
      <c r="M16516" s="3">
        <v>289</v>
      </c>
    </row>
    <row r="16517" spans="1:13" x14ac:dyDescent="0.25">
      <c r="A16517" s="1" t="str">
        <f>HYPERLINK("http://www.rosaceae.org/Prunus/Prunus_persica/p.persica_gdr_reftransV1_0013956","p.persica_gdr_reftransV1_0013956")</f>
        <v>p.persica_gdr_reftransV1_0013956</v>
      </c>
      <c r="B16517" s="3">
        <v>1058</v>
      </c>
      <c r="C16517" s="1" t="str">
        <f>HYPERLINK("http://www.uniprot.org/uniprot/KEA6_ARATH","KEA6_ARATH")</f>
        <v>KEA6_ARATH</v>
      </c>
      <c r="D16517" t="s">
        <v>5521</v>
      </c>
      <c r="E16517" s="3" t="s">
        <v>3</v>
      </c>
      <c r="F16517" s="4">
        <v>5.0299999999999995E-50</v>
      </c>
      <c r="G16517" s="3">
        <v>336</v>
      </c>
      <c r="H16517" s="3">
        <v>79</v>
      </c>
      <c r="I16517" s="3">
        <v>82</v>
      </c>
      <c r="J16517" s="3">
        <v>255</v>
      </c>
      <c r="K16517" s="3">
        <v>500</v>
      </c>
      <c r="L16517" s="3">
        <v>326</v>
      </c>
      <c r="M16517" s="3">
        <v>407</v>
      </c>
    </row>
    <row r="16518" spans="1:13" x14ac:dyDescent="0.25">
      <c r="A16518" s="1" t="str">
        <f>HYPERLINK("http://www.rosaceae.org/Prunus/Prunus_persica/p.persica_gdr_reftransV1_0014006","p.persica_gdr_reftransV1_0014006")</f>
        <v>p.persica_gdr_reftransV1_0014006</v>
      </c>
      <c r="B16518" s="3">
        <v>2335</v>
      </c>
      <c r="C16518" s="1" t="str">
        <f>HYPERLINK("http://www.uniprot.org/uniprot/JMJ25_ARATH","JMJ25_ARATH")</f>
        <v>JMJ25_ARATH</v>
      </c>
      <c r="D16518" t="s">
        <v>1512</v>
      </c>
      <c r="E16518" s="3" t="s">
        <v>3</v>
      </c>
      <c r="F16518" s="4">
        <v>3.5699999999999997E-119</v>
      </c>
      <c r="G16518" s="3">
        <v>1002</v>
      </c>
      <c r="H16518" s="3">
        <v>40</v>
      </c>
      <c r="I16518" s="3">
        <v>609</v>
      </c>
      <c r="J16518" s="3">
        <v>69</v>
      </c>
      <c r="K16518" s="3">
        <v>1694</v>
      </c>
      <c r="L16518" s="3">
        <v>155</v>
      </c>
      <c r="M16518" s="3">
        <v>742</v>
      </c>
    </row>
    <row r="16519" spans="1:13" x14ac:dyDescent="0.25">
      <c r="A16519" s="1" t="str">
        <f>HYPERLINK("http://www.rosaceae.org/Prunus/Prunus_persica/p.persica_gdr_reftransV1_0014306","p.persica_gdr_reftransV1_0014306")</f>
        <v>p.persica_gdr_reftransV1_0014306</v>
      </c>
      <c r="B16519" s="3">
        <v>2571</v>
      </c>
      <c r="C16519" s="1" t="str">
        <f>HYPERLINK("http://www.uniprot.org/uniprot/CAP10_ARATH","CAP10_ARATH")</f>
        <v>CAP10_ARATH</v>
      </c>
      <c r="D16519" t="s">
        <v>10357</v>
      </c>
      <c r="E16519" s="3" t="s">
        <v>3</v>
      </c>
      <c r="F16519" s="4">
        <v>0</v>
      </c>
      <c r="G16519" s="3">
        <v>1510</v>
      </c>
      <c r="H16519" s="3">
        <v>73</v>
      </c>
      <c r="I16519" s="3">
        <v>416</v>
      </c>
      <c r="J16519" s="3">
        <v>1114</v>
      </c>
      <c r="K16519" s="3">
        <v>2358</v>
      </c>
      <c r="L16519" s="3">
        <v>11</v>
      </c>
      <c r="M16519" s="3">
        <v>425</v>
      </c>
    </row>
    <row r="16520" spans="1:13" x14ac:dyDescent="0.25">
      <c r="A16520" s="1" t="str">
        <f>HYPERLINK("http://www.rosaceae.org/Prunus/Prunus_persica/p.persica_gdr_reftransV1_0014356","p.persica_gdr_reftransV1_0014356")</f>
        <v>p.persica_gdr_reftransV1_0014356</v>
      </c>
      <c r="B16520" s="3">
        <v>404</v>
      </c>
      <c r="C16520" s="1" t="str">
        <f>HYPERLINK("http://www.uniprot.org/uniprot/PDR2_NICPL","PDR2_NICPL")</f>
        <v>PDR2_NICPL</v>
      </c>
      <c r="D16520" t="s">
        <v>2532</v>
      </c>
      <c r="E16520" s="3" t="s">
        <v>1450</v>
      </c>
      <c r="F16520" s="4">
        <v>2.8800000000000001E-69</v>
      </c>
      <c r="G16520" s="3">
        <v>590</v>
      </c>
      <c r="H16520" s="3">
        <v>86</v>
      </c>
      <c r="I16520" s="3">
        <v>133</v>
      </c>
      <c r="J16520" s="3">
        <v>2</v>
      </c>
      <c r="K16520" s="3">
        <v>400</v>
      </c>
      <c r="L16520" s="3">
        <v>1261</v>
      </c>
      <c r="M16520" s="3">
        <v>1393</v>
      </c>
    </row>
    <row r="16521" spans="1:13" x14ac:dyDescent="0.25">
      <c r="A16521" s="1" t="str">
        <f>HYPERLINK("http://www.rosaceae.org/Prunus/Prunus_persica/p.persica_gdr_reftransV1_0014456","p.persica_gdr_reftransV1_0014456")</f>
        <v>p.persica_gdr_reftransV1_0014456</v>
      </c>
      <c r="B16521" s="3">
        <v>1315</v>
      </c>
      <c r="C16521" s="1" t="str">
        <f>HYPERLINK("http://www.uniprot.org/uniprot/RABC1_ARATH","RABC1_ARATH")</f>
        <v>RABC1_ARATH</v>
      </c>
      <c r="D16521" t="s">
        <v>2773</v>
      </c>
      <c r="E16521" s="3" t="s">
        <v>3</v>
      </c>
      <c r="F16521" s="4">
        <v>3.3E-92</v>
      </c>
      <c r="G16521" s="3">
        <v>727</v>
      </c>
      <c r="H16521" s="3">
        <v>86</v>
      </c>
      <c r="I16521" s="3">
        <v>175</v>
      </c>
      <c r="J16521" s="3">
        <v>161</v>
      </c>
      <c r="K16521" s="3">
        <v>685</v>
      </c>
      <c r="L16521" s="3">
        <v>1</v>
      </c>
      <c r="M16521" s="3">
        <v>175</v>
      </c>
    </row>
    <row r="16522" spans="1:13" x14ac:dyDescent="0.25">
      <c r="A16522" s="1" t="str">
        <f>HYPERLINK("http://www.rosaceae.org/Prunus/Prunus_persica/p.persica_gdr_reftransV1_0014506","p.persica_gdr_reftransV1_0014506")</f>
        <v>p.persica_gdr_reftransV1_0014506</v>
      </c>
      <c r="B16522" s="3">
        <v>840</v>
      </c>
      <c r="C16522" s="1" t="str">
        <f>HYPERLINK("http://www.uniprot.org/uniprot/VA726_ARATH","VA726_ARATH")</f>
        <v>VA726_ARATH</v>
      </c>
      <c r="D16522" t="s">
        <v>8772</v>
      </c>
      <c r="E16522" s="3" t="s">
        <v>3</v>
      </c>
      <c r="F16522" s="4">
        <v>2.8599999999999998E-122</v>
      </c>
      <c r="G16522" s="3">
        <v>911</v>
      </c>
      <c r="H16522" s="3">
        <v>77</v>
      </c>
      <c r="I16522" s="3">
        <v>224</v>
      </c>
      <c r="J16522" s="3">
        <v>167</v>
      </c>
      <c r="K16522" s="3">
        <v>838</v>
      </c>
      <c r="L16522" s="3">
        <v>1</v>
      </c>
      <c r="M16522" s="3">
        <v>199</v>
      </c>
    </row>
    <row r="16523" spans="1:13" x14ac:dyDescent="0.25">
      <c r="A16523" s="1" t="str">
        <f>HYPERLINK("http://www.rosaceae.org/Prunus/Prunus_persica/p.persica_gdr_reftransV1_0014606","p.persica_gdr_reftransV1_0014606")</f>
        <v>p.persica_gdr_reftransV1_0014606</v>
      </c>
      <c r="B16523" s="3">
        <v>2220</v>
      </c>
      <c r="C16523" s="1" t="str">
        <f>HYPERLINK("http://www.uniprot.org/uniprot/MYB44_ARATH","MYB44_ARATH")</f>
        <v>MYB44_ARATH</v>
      </c>
      <c r="D16523" t="s">
        <v>1249</v>
      </c>
      <c r="E16523" s="3" t="s">
        <v>3</v>
      </c>
      <c r="F16523" s="4">
        <v>3.2999999999999998E-34</v>
      </c>
      <c r="G16523" s="3">
        <v>346</v>
      </c>
      <c r="H16523" s="3">
        <v>58</v>
      </c>
      <c r="I16523" s="3">
        <v>101</v>
      </c>
      <c r="J16523" s="3">
        <v>1056</v>
      </c>
      <c r="K16523" s="3">
        <v>1358</v>
      </c>
      <c r="L16523" s="3">
        <v>6</v>
      </c>
      <c r="M16523" s="3">
        <v>106</v>
      </c>
    </row>
    <row r="16524" spans="1:13" x14ac:dyDescent="0.25">
      <c r="A16524" s="1" t="str">
        <f>HYPERLINK("http://www.rosaceae.org/Prunus/Prunus_persica/p.persica_gdr_reftransV1_0014756","p.persica_gdr_reftransV1_0014756")</f>
        <v>p.persica_gdr_reftransV1_0014756</v>
      </c>
      <c r="B16524" s="3">
        <v>531</v>
      </c>
      <c r="C16524" s="1" t="str">
        <f>HYPERLINK("http://www.uniprot.org/uniprot/LORF2_MOUSE","LORF2_MOUSE")</f>
        <v>LORF2_MOUSE</v>
      </c>
      <c r="D16524" t="s">
        <v>360</v>
      </c>
      <c r="E16524" s="3" t="s">
        <v>157</v>
      </c>
      <c r="F16524" s="4">
        <v>8.1300000000000003E-12</v>
      </c>
      <c r="G16524" s="3">
        <v>135</v>
      </c>
      <c r="H16524" s="3">
        <v>32</v>
      </c>
      <c r="I16524" s="3">
        <v>90</v>
      </c>
      <c r="J16524" s="3">
        <v>174</v>
      </c>
      <c r="K16524" s="3">
        <v>443</v>
      </c>
      <c r="L16524" s="3">
        <v>603</v>
      </c>
      <c r="M16524" s="3">
        <v>692</v>
      </c>
    </row>
    <row r="16525" spans="1:13" x14ac:dyDescent="0.25">
      <c r="A16525" s="1" t="str">
        <f>HYPERLINK("http://www.rosaceae.org/Prunus/Prunus_persica/p.persica_gdr_reftransV1_0014806","p.persica_gdr_reftransV1_0014806")</f>
        <v>p.persica_gdr_reftransV1_0014806</v>
      </c>
      <c r="B16525" s="3">
        <v>5019</v>
      </c>
      <c r="C16525" s="1" t="str">
        <f>HYPERLINK("http://www.uniprot.org/uniprot/CDKG2_ORYSJ","CDKG2_ORYSJ")</f>
        <v>CDKG2_ORYSJ</v>
      </c>
      <c r="D16525" t="s">
        <v>1829</v>
      </c>
      <c r="E16525" s="3" t="s">
        <v>38</v>
      </c>
      <c r="F16525" s="4">
        <v>0</v>
      </c>
      <c r="G16525" s="3">
        <v>1812</v>
      </c>
      <c r="H16525" s="3">
        <v>60</v>
      </c>
      <c r="I16525" s="3">
        <v>671</v>
      </c>
      <c r="J16525" s="3">
        <v>2310</v>
      </c>
      <c r="K16525" s="3">
        <v>4256</v>
      </c>
      <c r="L16525" s="3">
        <v>82</v>
      </c>
      <c r="M16525" s="3">
        <v>700</v>
      </c>
    </row>
    <row r="16526" spans="1:13" x14ac:dyDescent="0.25">
      <c r="A16526" s="1" t="str">
        <f>HYPERLINK("http://www.rosaceae.org/Prunus/Prunus_persica/p.persica_gdr_reftransV1_0014956","p.persica_gdr_reftransV1_0014956")</f>
        <v>p.persica_gdr_reftransV1_0014956</v>
      </c>
      <c r="B16526" s="3">
        <v>2845</v>
      </c>
      <c r="C16526" s="1" t="str">
        <f>HYPERLINK("http://www.uniprot.org/uniprot/CIPKO_ARATH","CIPKO_ARATH")</f>
        <v>CIPKO_ARATH</v>
      </c>
      <c r="D16526" t="s">
        <v>10358</v>
      </c>
      <c r="E16526" s="3" t="s">
        <v>3</v>
      </c>
      <c r="F16526" s="4">
        <v>0</v>
      </c>
      <c r="G16526" s="3">
        <v>1876</v>
      </c>
      <c r="H16526" s="3">
        <v>77</v>
      </c>
      <c r="I16526" s="3">
        <v>445</v>
      </c>
      <c r="J16526" s="3">
        <v>944</v>
      </c>
      <c r="K16526" s="3">
        <v>2278</v>
      </c>
      <c r="L16526" s="3">
        <v>1</v>
      </c>
      <c r="M16526" s="3">
        <v>445</v>
      </c>
    </row>
    <row r="16527" spans="1:13" x14ac:dyDescent="0.25">
      <c r="A16527" s="1" t="str">
        <f>HYPERLINK("http://www.rosaceae.org/Prunus/Prunus_persica/p.persica_gdr_reftransV1_0015206","p.persica_gdr_reftransV1_0015206")</f>
        <v>p.persica_gdr_reftransV1_0015206</v>
      </c>
      <c r="B16527" s="3">
        <v>1728</v>
      </c>
      <c r="C16527" s="1" t="str">
        <f>HYPERLINK("http://www.uniprot.org/uniprot/CYSK2_SCHPO","CYSK2_SCHPO")</f>
        <v>CYSK2_SCHPO</v>
      </c>
      <c r="D16527" t="s">
        <v>10359</v>
      </c>
      <c r="E16527" s="3" t="s">
        <v>464</v>
      </c>
      <c r="F16527" s="4">
        <v>1.9099999999999999E-97</v>
      </c>
      <c r="G16527" s="3">
        <v>791</v>
      </c>
      <c r="H16527" s="3">
        <v>47</v>
      </c>
      <c r="I16527" s="3">
        <v>385</v>
      </c>
      <c r="J16527" s="3">
        <v>270</v>
      </c>
      <c r="K16527" s="3">
        <v>1409</v>
      </c>
      <c r="L16527" s="3">
        <v>44</v>
      </c>
      <c r="M16527" s="3">
        <v>393</v>
      </c>
    </row>
    <row r="16528" spans="1:13" x14ac:dyDescent="0.25">
      <c r="A16528" s="1" t="str">
        <f>HYPERLINK("http://www.rosaceae.org/Prunus/Prunus_persica/p.persica_gdr_reftransV1_0015356","p.persica_gdr_reftransV1_0015356")</f>
        <v>p.persica_gdr_reftransV1_0015356</v>
      </c>
      <c r="B16528" s="3">
        <v>5933</v>
      </c>
      <c r="C16528" s="1" t="str">
        <f>HYPERLINK("http://www.uniprot.org/uniprot/NIPLB_DANRE","NIPLB_DANRE")</f>
        <v>NIPLB_DANRE</v>
      </c>
      <c r="D16528" t="s">
        <v>10360</v>
      </c>
      <c r="E16528" s="3" t="s">
        <v>704</v>
      </c>
      <c r="F16528" s="4">
        <v>4.9700000000000002E-111</v>
      </c>
      <c r="G16528" s="3">
        <v>1026</v>
      </c>
      <c r="H16528" s="3">
        <v>27</v>
      </c>
      <c r="I16528" s="3">
        <v>1387</v>
      </c>
      <c r="J16528" s="3">
        <v>1020</v>
      </c>
      <c r="K16528" s="3">
        <v>5030</v>
      </c>
      <c r="L16528" s="3">
        <v>1263</v>
      </c>
      <c r="M16528" s="3">
        <v>2500</v>
      </c>
    </row>
    <row r="16529" spans="1:13" x14ac:dyDescent="0.25">
      <c r="A16529" s="1" t="str">
        <f>HYPERLINK("http://www.rosaceae.org/Prunus/Prunus_persica/p.persica_gdr_reftransV1_0015456","p.persica_gdr_reftransV1_0015456")</f>
        <v>p.persica_gdr_reftransV1_0015456</v>
      </c>
      <c r="B16529" s="3">
        <v>2269</v>
      </c>
      <c r="C16529" s="1" t="str">
        <f>HYPERLINK("http://www.uniprot.org/uniprot/TKPR1_ARATH","TKPR1_ARATH")</f>
        <v>TKPR1_ARATH</v>
      </c>
      <c r="D16529" t="s">
        <v>221</v>
      </c>
      <c r="E16529" s="3" t="s">
        <v>3</v>
      </c>
      <c r="F16529" s="4">
        <v>2.6400000000000001E-42</v>
      </c>
      <c r="G16529" s="3">
        <v>407</v>
      </c>
      <c r="H16529" s="3">
        <v>40</v>
      </c>
      <c r="I16529" s="3">
        <v>229</v>
      </c>
      <c r="J16529" s="3">
        <v>245</v>
      </c>
      <c r="K16529" s="3">
        <v>925</v>
      </c>
      <c r="L16529" s="3">
        <v>96</v>
      </c>
      <c r="M16529" s="3">
        <v>321</v>
      </c>
    </row>
    <row r="16530" spans="1:13" x14ac:dyDescent="0.25">
      <c r="A16530" s="1" t="str">
        <f>HYPERLINK("http://www.rosaceae.org/Prunus/Prunus_persica/p.persica_gdr_reftransV1_0015656","p.persica_gdr_reftransV1_0015656")</f>
        <v>p.persica_gdr_reftransV1_0015656</v>
      </c>
      <c r="B16530" s="3">
        <v>5316</v>
      </c>
      <c r="C16530" s="1" t="str">
        <f>HYPERLINK("http://www.uniprot.org/uniprot/AB13C_ARATH","AB13C_ARATH")</f>
        <v>AB13C_ARATH</v>
      </c>
      <c r="D16530" t="s">
        <v>9979</v>
      </c>
      <c r="E16530" s="3" t="s">
        <v>3</v>
      </c>
      <c r="F16530" s="4">
        <v>0</v>
      </c>
      <c r="G16530" s="3">
        <v>2850</v>
      </c>
      <c r="H16530" s="3">
        <v>59</v>
      </c>
      <c r="I16530" s="3">
        <v>1001</v>
      </c>
      <c r="J16530" s="3">
        <v>2230</v>
      </c>
      <c r="K16530" s="3">
        <v>5199</v>
      </c>
      <c r="L16530" s="3">
        <v>18</v>
      </c>
      <c r="M16530" s="3">
        <v>957</v>
      </c>
    </row>
    <row r="16531" spans="1:13" x14ac:dyDescent="0.25">
      <c r="A16531" s="1" t="str">
        <f>HYPERLINK("http://www.rosaceae.org/Prunus/Prunus_persica/p.persica_gdr_reftransV1_0015806","p.persica_gdr_reftransV1_0015806")</f>
        <v>p.persica_gdr_reftransV1_0015806</v>
      </c>
      <c r="B16531" s="3">
        <v>2529</v>
      </c>
      <c r="C16531" s="1" t="str">
        <f>HYPERLINK("http://www.uniprot.org/uniprot/OEP61_ARATH","OEP61_ARATH")</f>
        <v>OEP61_ARATH</v>
      </c>
      <c r="D16531" t="s">
        <v>10361</v>
      </c>
      <c r="E16531" s="3" t="s">
        <v>3</v>
      </c>
      <c r="F16531" s="4">
        <v>0</v>
      </c>
      <c r="G16531" s="3">
        <v>1723</v>
      </c>
      <c r="H16531" s="3">
        <v>62</v>
      </c>
      <c r="I16531" s="3">
        <v>588</v>
      </c>
      <c r="J16531" s="3">
        <v>291</v>
      </c>
      <c r="K16531" s="3">
        <v>2054</v>
      </c>
      <c r="L16531" s="3">
        <v>1</v>
      </c>
      <c r="M16531" s="3">
        <v>553</v>
      </c>
    </row>
    <row r="16532" spans="1:13" x14ac:dyDescent="0.25">
      <c r="A16532" s="1" t="str">
        <f>HYPERLINK("http://www.rosaceae.org/Prunus/Prunus_persica/p.persica_gdr_reftransV1_0015856","p.persica_gdr_reftransV1_0015856")</f>
        <v>p.persica_gdr_reftransV1_0015856</v>
      </c>
      <c r="B16532" s="3">
        <v>1467</v>
      </c>
      <c r="C16532" s="1" t="str">
        <f>HYPERLINK("http://www.uniprot.org/uniprot/POLX_TOBAC","POLX_TOBAC")</f>
        <v>POLX_TOBAC</v>
      </c>
      <c r="D16532" t="s">
        <v>1253</v>
      </c>
      <c r="E16532" s="3" t="s">
        <v>200</v>
      </c>
      <c r="F16532" s="4">
        <v>7.0699999999999994E-51</v>
      </c>
      <c r="G16532" s="3">
        <v>262</v>
      </c>
      <c r="H16532" s="3">
        <v>43</v>
      </c>
      <c r="I16532" s="3">
        <v>119</v>
      </c>
      <c r="J16532" s="3">
        <v>536</v>
      </c>
      <c r="K16532" s="3">
        <v>892</v>
      </c>
      <c r="L16532" s="3">
        <v>588</v>
      </c>
      <c r="M16532" s="3">
        <v>706</v>
      </c>
    </row>
    <row r="16533" spans="1:13" x14ac:dyDescent="0.25">
      <c r="A16533" s="1" t="str">
        <f>HYPERLINK("http://www.rosaceae.org/Prunus/Prunus_persica/p.persica_gdr_reftransV1_0016006","p.persica_gdr_reftransV1_0016006")</f>
        <v>p.persica_gdr_reftransV1_0016006</v>
      </c>
      <c r="B16533" s="3">
        <v>3953</v>
      </c>
      <c r="C16533" s="1" t="str">
        <f>HYPERLINK("http://www.uniprot.org/uniprot/TPS9_ARATH","TPS9_ARATH")</f>
        <v>TPS9_ARATH</v>
      </c>
      <c r="D16533" t="s">
        <v>2026</v>
      </c>
      <c r="E16533" s="3" t="s">
        <v>3</v>
      </c>
      <c r="F16533" s="4">
        <v>0</v>
      </c>
      <c r="G16533" s="3">
        <v>3406</v>
      </c>
      <c r="H16533" s="3">
        <v>72</v>
      </c>
      <c r="I16533" s="3">
        <v>870</v>
      </c>
      <c r="J16533" s="3">
        <v>945</v>
      </c>
      <c r="K16533" s="3">
        <v>3530</v>
      </c>
      <c r="L16533" s="3">
        <v>1</v>
      </c>
      <c r="M16533" s="3">
        <v>867</v>
      </c>
    </row>
    <row r="16534" spans="1:13" x14ac:dyDescent="0.25">
      <c r="A16534" s="1" t="str">
        <f>HYPERLINK("http://www.rosaceae.org/Prunus/Prunus_persica/p.persica_gdr_reftransV1_0016056","p.persica_gdr_reftransV1_0016056")</f>
        <v>p.persica_gdr_reftransV1_0016056</v>
      </c>
      <c r="B16534" s="3">
        <v>658</v>
      </c>
      <c r="C16534" s="1" t="str">
        <f>HYPERLINK("http://www.uniprot.org/uniprot/GSTX6_SOYBN","GSTX6_SOYBN")</f>
        <v>GSTX6_SOYBN</v>
      </c>
      <c r="D16534" t="s">
        <v>2987</v>
      </c>
      <c r="E16534" s="3" t="s">
        <v>307</v>
      </c>
      <c r="F16534" s="4">
        <v>1.47E-46</v>
      </c>
      <c r="G16534" s="3">
        <v>403</v>
      </c>
      <c r="H16534" s="3">
        <v>47</v>
      </c>
      <c r="I16534" s="3">
        <v>174</v>
      </c>
      <c r="J16534" s="3">
        <v>141</v>
      </c>
      <c r="K16534" s="3">
        <v>656</v>
      </c>
      <c r="L16534" s="3">
        <v>53</v>
      </c>
      <c r="M16534" s="3">
        <v>225</v>
      </c>
    </row>
    <row r="16535" spans="1:13" x14ac:dyDescent="0.25">
      <c r="A16535" s="1" t="str">
        <f>HYPERLINK("http://www.rosaceae.org/Prunus/Prunus_persica/p.persica_gdr_reftransV1_0016106","p.persica_gdr_reftransV1_0016106")</f>
        <v>p.persica_gdr_reftransV1_0016106</v>
      </c>
      <c r="B16535" s="3">
        <v>1965</v>
      </c>
      <c r="C16535" s="1" t="str">
        <f>HYPERLINK("http://www.uniprot.org/uniprot/LHTL8_ARATH","LHTL8_ARATH")</f>
        <v>LHTL8_ARATH</v>
      </c>
      <c r="D16535" t="s">
        <v>1580</v>
      </c>
      <c r="E16535" s="3" t="s">
        <v>3</v>
      </c>
      <c r="F16535" s="4">
        <v>0</v>
      </c>
      <c r="G16535" s="3">
        <v>2381</v>
      </c>
      <c r="H16535" s="3">
        <v>90</v>
      </c>
      <c r="I16535" s="3">
        <v>522</v>
      </c>
      <c r="J16535" s="3">
        <v>137</v>
      </c>
      <c r="K16535" s="3">
        <v>1702</v>
      </c>
      <c r="L16535" s="3">
        <v>1</v>
      </c>
      <c r="M16535" s="3">
        <v>519</v>
      </c>
    </row>
    <row r="16536" spans="1:13" x14ac:dyDescent="0.25">
      <c r="A16536" s="1" t="str">
        <f>HYPERLINK("http://www.rosaceae.org/Prunus/Prunus_persica/p.persica_gdr_reftransV1_0016256","p.persica_gdr_reftransV1_0016256")</f>
        <v>p.persica_gdr_reftransV1_0016256</v>
      </c>
      <c r="B16536" s="3">
        <v>3876</v>
      </c>
      <c r="C16536" s="1" t="str">
        <f>HYPERLINK("http://www.uniprot.org/uniprot/PXN_ARATH","PXN_ARATH")</f>
        <v>PXN_ARATH</v>
      </c>
      <c r="D16536" t="s">
        <v>6391</v>
      </c>
      <c r="E16536" s="3" t="s">
        <v>3</v>
      </c>
      <c r="F16536" s="4">
        <v>1.67E-53</v>
      </c>
      <c r="G16536" s="3">
        <v>499</v>
      </c>
      <c r="H16536" s="3">
        <v>55</v>
      </c>
      <c r="I16536" s="3">
        <v>177</v>
      </c>
      <c r="J16536" s="3">
        <v>3234</v>
      </c>
      <c r="K16536" s="3">
        <v>3764</v>
      </c>
      <c r="L16536" s="3">
        <v>19</v>
      </c>
      <c r="M16536" s="3">
        <v>177</v>
      </c>
    </row>
    <row r="16537" spans="1:13" x14ac:dyDescent="0.25">
      <c r="A16537" s="1" t="str">
        <f>HYPERLINK("http://www.rosaceae.org/Prunus/Prunus_persica/p.persica_gdr_reftransV1_0016456","p.persica_gdr_reftransV1_0016456")</f>
        <v>p.persica_gdr_reftransV1_0016456</v>
      </c>
      <c r="B16537" s="3">
        <v>1780</v>
      </c>
      <c r="C16537" s="1" t="str">
        <f>HYPERLINK("http://www.uniprot.org/uniprot/DCN1M_DICDI","DCN1M_DICDI")</f>
        <v>DCN1M_DICDI</v>
      </c>
      <c r="D16537" t="s">
        <v>9703</v>
      </c>
      <c r="E16537" s="3" t="s">
        <v>9</v>
      </c>
      <c r="F16537" s="4">
        <v>4.3600000000000004E-22</v>
      </c>
      <c r="G16537" s="3">
        <v>249</v>
      </c>
      <c r="H16537" s="3">
        <v>37</v>
      </c>
      <c r="I16537" s="3">
        <v>147</v>
      </c>
      <c r="J16537" s="3">
        <v>1093</v>
      </c>
      <c r="K16537" s="3">
        <v>1530</v>
      </c>
      <c r="L16537" s="3">
        <v>94</v>
      </c>
      <c r="M16537" s="3">
        <v>237</v>
      </c>
    </row>
    <row r="16538" spans="1:13" x14ac:dyDescent="0.25">
      <c r="A16538" s="1" t="str">
        <f>HYPERLINK("http://www.rosaceae.org/Prunus/Prunus_persica/p.persica_gdr_reftransV1_0016756","p.persica_gdr_reftransV1_0016756")</f>
        <v>p.persica_gdr_reftransV1_0016756</v>
      </c>
      <c r="B16538" s="3">
        <v>3432</v>
      </c>
      <c r="C16538" s="1" t="str">
        <f>HYPERLINK("http://www.uniprot.org/uniprot/CLPB4_ARATH","CLPB4_ARATH")</f>
        <v>CLPB4_ARATH</v>
      </c>
      <c r="D16538" t="s">
        <v>9034</v>
      </c>
      <c r="E16538" s="3" t="s">
        <v>3</v>
      </c>
      <c r="F16538" s="4">
        <v>0</v>
      </c>
      <c r="G16538" s="3">
        <v>3850</v>
      </c>
      <c r="H16538" s="3">
        <v>80</v>
      </c>
      <c r="I16538" s="3">
        <v>914</v>
      </c>
      <c r="J16538" s="3">
        <v>412</v>
      </c>
      <c r="K16538" s="3">
        <v>3153</v>
      </c>
      <c r="L16538" s="3">
        <v>59</v>
      </c>
      <c r="M16538" s="3">
        <v>964</v>
      </c>
    </row>
    <row r="16539" spans="1:13" x14ac:dyDescent="0.25">
      <c r="A16539" s="1" t="str">
        <f>HYPERLINK("http://www.rosaceae.org/Prunus/Prunus_persica/p.persica_gdr_reftransV1_0017056","p.persica_gdr_reftransV1_0017056")</f>
        <v>p.persica_gdr_reftransV1_0017056</v>
      </c>
      <c r="B16539" s="3">
        <v>1132</v>
      </c>
      <c r="C16539" s="1" t="str">
        <f>HYPERLINK("http://www.uniprot.org/uniprot/VQ4_ARATH","VQ4_ARATH")</f>
        <v>VQ4_ARATH</v>
      </c>
      <c r="D16539" t="s">
        <v>6526</v>
      </c>
      <c r="E16539" s="3" t="s">
        <v>3</v>
      </c>
      <c r="F16539" s="4">
        <v>6.1500000000000003E-61</v>
      </c>
      <c r="G16539" s="3">
        <v>515</v>
      </c>
      <c r="H16539" s="3">
        <v>68</v>
      </c>
      <c r="I16539" s="3">
        <v>198</v>
      </c>
      <c r="J16539" s="3">
        <v>210</v>
      </c>
      <c r="K16539" s="3">
        <v>770</v>
      </c>
      <c r="L16539" s="3">
        <v>48</v>
      </c>
      <c r="M16539" s="3">
        <v>238</v>
      </c>
    </row>
    <row r="16540" spans="1:13" x14ac:dyDescent="0.25">
      <c r="A16540" s="1" t="str">
        <f>HYPERLINK("http://www.rosaceae.org/Prunus/Prunus_persica/p.persica_gdr_reftransV1_0017256","p.persica_gdr_reftransV1_0017256")</f>
        <v>p.persica_gdr_reftransV1_0017256</v>
      </c>
      <c r="B16540" s="3">
        <v>3387</v>
      </c>
      <c r="C16540" s="1" t="str">
        <f>HYPERLINK("http://www.uniprot.org/uniprot/RAD9A_HUMAN","RAD9A_HUMAN")</f>
        <v>RAD9A_HUMAN</v>
      </c>
      <c r="D16540" t="s">
        <v>10362</v>
      </c>
      <c r="E16540" s="3" t="s">
        <v>28</v>
      </c>
      <c r="F16540" s="4">
        <v>1.38E-12</v>
      </c>
      <c r="G16540" s="3">
        <v>182</v>
      </c>
      <c r="H16540" s="3">
        <v>29</v>
      </c>
      <c r="I16540" s="3">
        <v>233</v>
      </c>
      <c r="J16540" s="3">
        <v>2382</v>
      </c>
      <c r="K16540" s="3">
        <v>3053</v>
      </c>
      <c r="L16540" s="3">
        <v>31</v>
      </c>
      <c r="M16540" s="3">
        <v>244</v>
      </c>
    </row>
    <row r="16541" spans="1:13" x14ac:dyDescent="0.25">
      <c r="A16541" s="1" t="str">
        <f>HYPERLINK("http://www.rosaceae.org/Prunus/Prunus_persica/p.persica_gdr_reftransV1_0017406","p.persica_gdr_reftransV1_0017406")</f>
        <v>p.persica_gdr_reftransV1_0017406</v>
      </c>
      <c r="B16541" s="3">
        <v>4439</v>
      </c>
      <c r="C16541" s="1" t="str">
        <f>HYPERLINK("http://www.uniprot.org/uniprot/FRS5_ARATH","FRS5_ARATH")</f>
        <v>FRS5_ARATH</v>
      </c>
      <c r="D16541" t="s">
        <v>908</v>
      </c>
      <c r="E16541" s="3" t="s">
        <v>3</v>
      </c>
      <c r="F16541" s="4">
        <v>3.37E-103</v>
      </c>
      <c r="G16541" s="3">
        <v>907</v>
      </c>
      <c r="H16541" s="3">
        <v>35</v>
      </c>
      <c r="I16541" s="3">
        <v>612</v>
      </c>
      <c r="J16541" s="3">
        <v>1591</v>
      </c>
      <c r="K16541" s="3">
        <v>3402</v>
      </c>
      <c r="L16541" s="3">
        <v>73</v>
      </c>
      <c r="M16541" s="3">
        <v>681</v>
      </c>
    </row>
    <row r="16542" spans="1:13" x14ac:dyDescent="0.25">
      <c r="A16542" s="1" t="str">
        <f>HYPERLINK("http://www.rosaceae.org/Prunus/Prunus_persica/p.persica_gdr_reftransV1_0017506","p.persica_gdr_reftransV1_0017506")</f>
        <v>p.persica_gdr_reftransV1_0017506</v>
      </c>
      <c r="B16542" s="3">
        <v>2908</v>
      </c>
      <c r="C16542" s="1" t="str">
        <f>HYPERLINK("http://www.uniprot.org/uniprot/PIRL4_ARATH","PIRL4_ARATH")</f>
        <v>PIRL4_ARATH</v>
      </c>
      <c r="D16542" t="s">
        <v>10363</v>
      </c>
      <c r="E16542" s="3" t="s">
        <v>3</v>
      </c>
      <c r="F16542" s="4">
        <v>6.2200000000000001E-170</v>
      </c>
      <c r="G16542" s="3">
        <v>1324</v>
      </c>
      <c r="H16542" s="3">
        <v>70</v>
      </c>
      <c r="I16542" s="3">
        <v>393</v>
      </c>
      <c r="J16542" s="3">
        <v>792</v>
      </c>
      <c r="K16542" s="3">
        <v>1970</v>
      </c>
      <c r="L16542" s="3">
        <v>168</v>
      </c>
      <c r="M16542" s="3">
        <v>549</v>
      </c>
    </row>
    <row r="16543" spans="1:13" x14ac:dyDescent="0.25">
      <c r="A16543" s="1" t="str">
        <f>HYPERLINK("http://www.rosaceae.org/Prunus/Prunus_persica/p.persica_gdr_reftransV1_0017556","p.persica_gdr_reftransV1_0017556")</f>
        <v>p.persica_gdr_reftransV1_0017556</v>
      </c>
      <c r="B16543" s="3">
        <v>2252</v>
      </c>
      <c r="C16543" s="1" t="str">
        <f>HYPERLINK("http://www.uniprot.org/uniprot/NIK2_ARATH","NIK2_ARATH")</f>
        <v>NIK2_ARATH</v>
      </c>
      <c r="D16543" t="s">
        <v>10364</v>
      </c>
      <c r="E16543" s="3" t="s">
        <v>3</v>
      </c>
      <c r="F16543" s="4">
        <v>2.6099999999999999E-60</v>
      </c>
      <c r="G16543" s="3">
        <v>560</v>
      </c>
      <c r="H16543" s="3">
        <v>29</v>
      </c>
      <c r="I16543" s="3">
        <v>568</v>
      </c>
      <c r="J16543" s="3">
        <v>115</v>
      </c>
      <c r="K16543" s="3">
        <v>1779</v>
      </c>
      <c r="L16543" s="3">
        <v>92</v>
      </c>
      <c r="M16543" s="3">
        <v>583</v>
      </c>
    </row>
    <row r="16544" spans="1:13" x14ac:dyDescent="0.25">
      <c r="A16544" s="1" t="str">
        <f>HYPERLINK("http://www.rosaceae.org/Prunus/Prunus_persica/p.persica_gdr_reftransV1_0017756","p.persica_gdr_reftransV1_0017756")</f>
        <v>p.persica_gdr_reftransV1_0017756</v>
      </c>
      <c r="B16544" s="3">
        <v>426</v>
      </c>
      <c r="C16544" s="1" t="str">
        <f>HYPERLINK("http://www.uniprot.org/uniprot/HDG11_ARATH","HDG11_ARATH")</f>
        <v>HDG11_ARATH</v>
      </c>
      <c r="D16544" t="s">
        <v>3000</v>
      </c>
      <c r="E16544" s="3" t="s">
        <v>3</v>
      </c>
      <c r="F16544" s="4">
        <v>8.7199999999999997E-21</v>
      </c>
      <c r="G16544" s="3">
        <v>228</v>
      </c>
      <c r="H16544" s="3">
        <v>46</v>
      </c>
      <c r="I16544" s="3">
        <v>99</v>
      </c>
      <c r="J16544" s="3">
        <v>9</v>
      </c>
      <c r="K16544" s="3">
        <v>302</v>
      </c>
      <c r="L16544" s="3">
        <v>226</v>
      </c>
      <c r="M16544" s="3">
        <v>323</v>
      </c>
    </row>
    <row r="16545" spans="1:13" x14ac:dyDescent="0.25">
      <c r="A16545" s="1" t="str">
        <f>HYPERLINK("http://www.rosaceae.org/Prunus/Prunus_persica/p.persica_gdr_reftransV1_0017806","p.persica_gdr_reftransV1_0017806")</f>
        <v>p.persica_gdr_reftransV1_0017806</v>
      </c>
      <c r="B16545" s="3">
        <v>2597</v>
      </c>
      <c r="C16545" s="1" t="str">
        <f>HYPERLINK("http://www.uniprot.org/uniprot/RNH2A_ARATH","RNH2A_ARATH")</f>
        <v>RNH2A_ARATH</v>
      </c>
      <c r="D16545" t="s">
        <v>10139</v>
      </c>
      <c r="E16545" s="3" t="s">
        <v>3</v>
      </c>
      <c r="F16545" s="4">
        <v>1.83E-85</v>
      </c>
      <c r="G16545" s="3">
        <v>718</v>
      </c>
      <c r="H16545" s="3">
        <v>73</v>
      </c>
      <c r="I16545" s="3">
        <v>183</v>
      </c>
      <c r="J16545" s="3">
        <v>1860</v>
      </c>
      <c r="K16545" s="3">
        <v>2408</v>
      </c>
      <c r="L16545" s="3">
        <v>1</v>
      </c>
      <c r="M16545" s="3">
        <v>179</v>
      </c>
    </row>
    <row r="16546" spans="1:13" x14ac:dyDescent="0.25">
      <c r="A16546" s="1" t="str">
        <f>HYPERLINK("http://www.rosaceae.org/Prunus/Prunus_persica/p.persica_gdr_reftransV1_0017956","p.persica_gdr_reftransV1_0017956")</f>
        <v>p.persica_gdr_reftransV1_0017956</v>
      </c>
      <c r="B16546" s="3">
        <v>1772</v>
      </c>
      <c r="C16546" s="1" t="str">
        <f>HYPERLINK("http://www.uniprot.org/uniprot/SDHB2_ARATH","SDHB2_ARATH")</f>
        <v>SDHB2_ARATH</v>
      </c>
      <c r="D16546" t="s">
        <v>4405</v>
      </c>
      <c r="E16546" s="3" t="s">
        <v>3</v>
      </c>
      <c r="F16546" s="4">
        <v>2.1399999999999998E-112</v>
      </c>
      <c r="G16546" s="3">
        <v>881</v>
      </c>
      <c r="H16546" s="3">
        <v>80</v>
      </c>
      <c r="I16546" s="3">
        <v>205</v>
      </c>
      <c r="J16546" s="3">
        <v>123</v>
      </c>
      <c r="K16546" s="3">
        <v>737</v>
      </c>
      <c r="L16546" s="3">
        <v>22</v>
      </c>
      <c r="M16546" s="3">
        <v>224</v>
      </c>
    </row>
    <row r="16547" spans="1:13" x14ac:dyDescent="0.25">
      <c r="A16547" s="1" t="str">
        <f>HYPERLINK("http://www.rosaceae.org/Prunus/Prunus_persica/p.persica_gdr_reftransV1_0018456","p.persica_gdr_reftransV1_0018456")</f>
        <v>p.persica_gdr_reftransV1_0018456</v>
      </c>
      <c r="B16547" s="3">
        <v>3937</v>
      </c>
      <c r="C16547" s="1" t="str">
        <f>HYPERLINK("http://www.uniprot.org/uniprot/HAC12_ARATH","HAC12_ARATH")</f>
        <v>HAC12_ARATH</v>
      </c>
      <c r="D16547" t="s">
        <v>10365</v>
      </c>
      <c r="E16547" s="3" t="s">
        <v>3</v>
      </c>
      <c r="F16547" s="4">
        <v>0</v>
      </c>
      <c r="G16547" s="3">
        <v>2169</v>
      </c>
      <c r="H16547" s="3">
        <v>54</v>
      </c>
      <c r="I16547" s="3">
        <v>813</v>
      </c>
      <c r="J16547" s="3">
        <v>613</v>
      </c>
      <c r="K16547" s="3">
        <v>3021</v>
      </c>
      <c r="L16547" s="3">
        <v>905</v>
      </c>
      <c r="M16547" s="3">
        <v>1703</v>
      </c>
    </row>
    <row r="16548" spans="1:13" x14ac:dyDescent="0.25">
      <c r="A16548" s="1" t="str">
        <f>HYPERLINK("http://www.rosaceae.org/Prunus/Prunus_persica/p.persica_gdr_reftransV1_0018506","p.persica_gdr_reftransV1_0018506")</f>
        <v>p.persica_gdr_reftransV1_0018506</v>
      </c>
      <c r="B16548" s="3">
        <v>2480</v>
      </c>
      <c r="C16548" s="1" t="str">
        <f>HYPERLINK("http://www.uniprot.org/uniprot/SLPI_SCHPO","SLPI_SCHPO")</f>
        <v>SLPI_SCHPO</v>
      </c>
      <c r="D16548" t="s">
        <v>9326</v>
      </c>
      <c r="E16548" s="3" t="s">
        <v>464</v>
      </c>
      <c r="F16548" s="4">
        <v>2.4799999999999999E-35</v>
      </c>
      <c r="G16548" s="3">
        <v>370</v>
      </c>
      <c r="H16548" s="3">
        <v>47</v>
      </c>
      <c r="I16548" s="3">
        <v>149</v>
      </c>
      <c r="J16548" s="3">
        <v>1179</v>
      </c>
      <c r="K16548" s="3">
        <v>1616</v>
      </c>
      <c r="L16548" s="3">
        <v>193</v>
      </c>
      <c r="M16548" s="3">
        <v>341</v>
      </c>
    </row>
    <row r="16549" spans="1:13" x14ac:dyDescent="0.25">
      <c r="A16549" s="1" t="str">
        <f>HYPERLINK("http://www.rosaceae.org/Prunus/Prunus_persica/p.persica_gdr_reftransV1_0018706","p.persica_gdr_reftransV1_0018706")</f>
        <v>p.persica_gdr_reftransV1_0018706</v>
      </c>
      <c r="B16549" s="3">
        <v>2719</v>
      </c>
      <c r="C16549" s="1" t="str">
        <f>HYPERLINK("http://www.uniprot.org/uniprot/ASPG3_ARATH","ASPG3_ARATH")</f>
        <v>ASPG3_ARATH</v>
      </c>
      <c r="D16549" t="s">
        <v>10366</v>
      </c>
      <c r="E16549" s="3" t="s">
        <v>3</v>
      </c>
      <c r="F16549" s="4">
        <v>9.0600000000000005E-100</v>
      </c>
      <c r="G16549" s="3">
        <v>826</v>
      </c>
      <c r="H16549" s="3">
        <v>61</v>
      </c>
      <c r="I16549" s="3">
        <v>274</v>
      </c>
      <c r="J16549" s="3">
        <v>188</v>
      </c>
      <c r="K16549" s="3">
        <v>994</v>
      </c>
      <c r="L16549" s="3">
        <v>22</v>
      </c>
      <c r="M16549" s="3">
        <v>252</v>
      </c>
    </row>
    <row r="16550" spans="1:13" x14ac:dyDescent="0.25">
      <c r="A16550" s="1" t="str">
        <f>HYPERLINK("http://www.rosaceae.org/Prunus/Prunus_persica/p.persica_gdr_reftransV1_0018856","p.persica_gdr_reftransV1_0018856")</f>
        <v>p.persica_gdr_reftransV1_0018856</v>
      </c>
      <c r="B16550" s="3">
        <v>2889</v>
      </c>
      <c r="C16550" s="1" t="str">
        <f>HYPERLINK("http://www.uniprot.org/uniprot/RPB5A_ARATH","RPB5A_ARATH")</f>
        <v>RPB5A_ARATH</v>
      </c>
      <c r="D16550" t="s">
        <v>6661</v>
      </c>
      <c r="E16550" s="3" t="s">
        <v>3</v>
      </c>
      <c r="F16550" s="4">
        <v>6.2500000000000001E-102</v>
      </c>
      <c r="G16550" s="3">
        <v>828</v>
      </c>
      <c r="H16550" s="3">
        <v>80</v>
      </c>
      <c r="I16550" s="3">
        <v>202</v>
      </c>
      <c r="J16550" s="3">
        <v>1539</v>
      </c>
      <c r="K16550" s="3">
        <v>2144</v>
      </c>
      <c r="L16550" s="3">
        <v>4</v>
      </c>
      <c r="M16550" s="3">
        <v>205</v>
      </c>
    </row>
    <row r="16551" spans="1:13" x14ac:dyDescent="0.25">
      <c r="A16551" s="1" t="str">
        <f>HYPERLINK("http://www.rosaceae.org/Prunus/Prunus_persica/p.persica_gdr_reftransV1_0018956","p.persica_gdr_reftransV1_0018956")</f>
        <v>p.persica_gdr_reftransV1_0018956</v>
      </c>
      <c r="B16551" s="3">
        <v>1422</v>
      </c>
      <c r="C16551" s="1" t="str">
        <f>HYPERLINK("http://www.uniprot.org/uniprot/NAC10_ARATH","NAC10_ARATH")</f>
        <v>NAC10_ARATH</v>
      </c>
      <c r="D16551" t="s">
        <v>10367</v>
      </c>
      <c r="E16551" s="3" t="s">
        <v>3</v>
      </c>
      <c r="F16551" s="4">
        <v>7.1399999999999997E-65</v>
      </c>
      <c r="G16551" s="3">
        <v>555</v>
      </c>
      <c r="H16551" s="3">
        <v>59</v>
      </c>
      <c r="I16551" s="3">
        <v>207</v>
      </c>
      <c r="J16551" s="3">
        <v>558</v>
      </c>
      <c r="K16551" s="3">
        <v>1163</v>
      </c>
      <c r="L16551" s="3">
        <v>132</v>
      </c>
      <c r="M16551" s="3">
        <v>307</v>
      </c>
    </row>
    <row r="16552" spans="1:13" x14ac:dyDescent="0.25">
      <c r="A16552" s="1" t="str">
        <f>HYPERLINK("http://www.rosaceae.org/Prunus/Prunus_persica/p.persica_gdr_reftransV1_0019206","p.persica_gdr_reftransV1_0019206")</f>
        <v>p.persica_gdr_reftransV1_0019206</v>
      </c>
      <c r="B16552" s="3">
        <v>1671</v>
      </c>
      <c r="C16552" s="1" t="str">
        <f>HYPERLINK("http://www.uniprot.org/uniprot/FB135_ARATH","FB135_ARATH")</f>
        <v>FB135_ARATH</v>
      </c>
      <c r="D16552" t="s">
        <v>6152</v>
      </c>
      <c r="E16552" s="3" t="s">
        <v>3</v>
      </c>
      <c r="F16552" s="4">
        <v>3.5999999999999998E-23</v>
      </c>
      <c r="G16552" s="3">
        <v>262</v>
      </c>
      <c r="H16552" s="3">
        <v>29</v>
      </c>
      <c r="I16552" s="3">
        <v>319</v>
      </c>
      <c r="J16552" s="3">
        <v>15</v>
      </c>
      <c r="K16552" s="3">
        <v>878</v>
      </c>
      <c r="L16552" s="3">
        <v>28</v>
      </c>
      <c r="M16552" s="3">
        <v>324</v>
      </c>
    </row>
    <row r="16553" spans="1:13" x14ac:dyDescent="0.25">
      <c r="A16553" s="1" t="str">
        <f>HYPERLINK("http://www.rosaceae.org/Prunus/Prunus_persica/p.persica_gdr_reftransV1_0019456","p.persica_gdr_reftransV1_0019456")</f>
        <v>p.persica_gdr_reftransV1_0019456</v>
      </c>
      <c r="B16553" s="3">
        <v>1598</v>
      </c>
      <c r="C16553" s="1" t="str">
        <f>HYPERLINK("http://www.uniprot.org/uniprot/PUP9_ARATH","PUP9_ARATH")</f>
        <v>PUP9_ARATH</v>
      </c>
      <c r="D16553" t="s">
        <v>1496</v>
      </c>
      <c r="E16553" s="3" t="s">
        <v>3</v>
      </c>
      <c r="F16553" s="4">
        <v>1.2299999999999999E-111</v>
      </c>
      <c r="G16553" s="3">
        <v>882</v>
      </c>
      <c r="H16553" s="3">
        <v>56</v>
      </c>
      <c r="I16553" s="3">
        <v>376</v>
      </c>
      <c r="J16553" s="3">
        <v>250</v>
      </c>
      <c r="K16553" s="3">
        <v>1362</v>
      </c>
      <c r="L16553" s="3">
        <v>6</v>
      </c>
      <c r="M16553" s="3">
        <v>370</v>
      </c>
    </row>
    <row r="16554" spans="1:13" x14ac:dyDescent="0.25">
      <c r="A16554" s="1" t="str">
        <f>HYPERLINK("http://www.rosaceae.org/Prunus/Prunus_persica/p.persica_gdr_reftransV1_0019506","p.persica_gdr_reftransV1_0019506")</f>
        <v>p.persica_gdr_reftransV1_0019506</v>
      </c>
      <c r="B16554" s="3">
        <v>1619</v>
      </c>
      <c r="C16554" s="1" t="str">
        <f>HYPERLINK("http://www.uniprot.org/uniprot/ALKH_BACSU","ALKH_BACSU")</f>
        <v>ALKH_BACSU</v>
      </c>
      <c r="D16554" t="s">
        <v>10368</v>
      </c>
      <c r="E16554" s="3" t="s">
        <v>1630</v>
      </c>
      <c r="F16554" s="4">
        <v>7.5800000000000003E-19</v>
      </c>
      <c r="G16554" s="3">
        <v>220</v>
      </c>
      <c r="H16554" s="3">
        <v>29</v>
      </c>
      <c r="I16554" s="3">
        <v>171</v>
      </c>
      <c r="J16554" s="3">
        <v>175</v>
      </c>
      <c r="K16554" s="3">
        <v>687</v>
      </c>
      <c r="L16554" s="3">
        <v>8</v>
      </c>
      <c r="M16554" s="3">
        <v>176</v>
      </c>
    </row>
    <row r="16555" spans="1:13" x14ac:dyDescent="0.25">
      <c r="A16555" s="1" t="str">
        <f>HYPERLINK("http://www.rosaceae.org/Prunus/Prunus_persica/p.persica_gdr_reftransV1_0019606","p.persica_gdr_reftransV1_0019606")</f>
        <v>p.persica_gdr_reftransV1_0019606</v>
      </c>
      <c r="B16555" s="3">
        <v>1195</v>
      </c>
      <c r="C16555" s="1" t="str">
        <f>HYPERLINK("http://www.uniprot.org/uniprot/TPRL3_ERYCB","TPRL3_ERYCB")</f>
        <v>TPRL3_ERYCB</v>
      </c>
      <c r="D16555" t="s">
        <v>9376</v>
      </c>
      <c r="E16555" s="3" t="s">
        <v>9377</v>
      </c>
      <c r="F16555" s="4">
        <v>8.9999999999999999E-98</v>
      </c>
      <c r="G16555" s="3">
        <v>702</v>
      </c>
      <c r="H16555" s="3">
        <v>83</v>
      </c>
      <c r="I16555" s="3">
        <v>174</v>
      </c>
      <c r="J16555" s="3">
        <v>72</v>
      </c>
      <c r="K16555" s="3">
        <v>593</v>
      </c>
      <c r="L16555" s="3">
        <v>2</v>
      </c>
      <c r="M16555" s="3">
        <v>175</v>
      </c>
    </row>
    <row r="16556" spans="1:13" x14ac:dyDescent="0.25">
      <c r="A16556" s="1" t="str">
        <f>HYPERLINK("http://www.rosaceae.org/Prunus/Prunus_persica/p.persica_gdr_reftransV1_0019806","p.persica_gdr_reftransV1_0019806")</f>
        <v>p.persica_gdr_reftransV1_0019806</v>
      </c>
      <c r="B16556" s="3">
        <v>3236</v>
      </c>
      <c r="C16556" s="1" t="str">
        <f>HYPERLINK("http://www.uniprot.org/uniprot/PHSH_SOLTU","PHSH_SOLTU")</f>
        <v>PHSH_SOLTU</v>
      </c>
      <c r="D16556" t="s">
        <v>10369</v>
      </c>
      <c r="E16556" s="3" t="s">
        <v>11</v>
      </c>
      <c r="F16556" s="4">
        <v>0</v>
      </c>
      <c r="G16556" s="3">
        <v>3690</v>
      </c>
      <c r="H16556" s="3">
        <v>84</v>
      </c>
      <c r="I16556" s="3">
        <v>823</v>
      </c>
      <c r="J16556" s="3">
        <v>398</v>
      </c>
      <c r="K16556" s="3">
        <v>2863</v>
      </c>
      <c r="L16556" s="3">
        <v>16</v>
      </c>
      <c r="M16556" s="3">
        <v>838</v>
      </c>
    </row>
    <row r="16557" spans="1:13" x14ac:dyDescent="0.25">
      <c r="A16557" s="1" t="str">
        <f>HYPERLINK("http://www.rosaceae.org/Prunus/Prunus_persica/p.persica_gdr_reftransV1_0019956","p.persica_gdr_reftransV1_0019956")</f>
        <v>p.persica_gdr_reftransV1_0019956</v>
      </c>
      <c r="B16557" s="3">
        <v>3329</v>
      </c>
      <c r="C16557" s="1" t="str">
        <f>HYPERLINK("http://www.uniprot.org/uniprot/UBP2_ARATH","UBP2_ARATH")</f>
        <v>UBP2_ARATH</v>
      </c>
      <c r="D16557" t="s">
        <v>10370</v>
      </c>
      <c r="E16557" s="3" t="s">
        <v>3</v>
      </c>
      <c r="F16557" s="4">
        <v>2.0300000000000001E-124</v>
      </c>
      <c r="G16557" s="3">
        <v>1057</v>
      </c>
      <c r="H16557" s="3">
        <v>57</v>
      </c>
      <c r="I16557" s="3">
        <v>417</v>
      </c>
      <c r="J16557" s="3">
        <v>264</v>
      </c>
      <c r="K16557" s="3">
        <v>1505</v>
      </c>
      <c r="L16557" s="3">
        <v>1</v>
      </c>
      <c r="M16557" s="3">
        <v>410</v>
      </c>
    </row>
    <row r="16558" spans="1:13" x14ac:dyDescent="0.25">
      <c r="A16558" s="1" t="str">
        <f>HYPERLINK("http://www.rosaceae.org/Prunus/Prunus_persica/p.persica_gdr_reftransV1_0020306","p.persica_gdr_reftransV1_0020306")</f>
        <v>p.persica_gdr_reftransV1_0020306</v>
      </c>
      <c r="B16558" s="3">
        <v>1649</v>
      </c>
      <c r="C16558" s="1" t="str">
        <f>HYPERLINK("http://www.uniprot.org/uniprot/SRPRB_DICDI","SRPRB_DICDI")</f>
        <v>SRPRB_DICDI</v>
      </c>
      <c r="D16558" t="s">
        <v>9245</v>
      </c>
      <c r="E16558" s="3" t="s">
        <v>9</v>
      </c>
      <c r="F16558" s="4">
        <v>1.62E-26</v>
      </c>
      <c r="G16558" s="3">
        <v>283</v>
      </c>
      <c r="H16558" s="3">
        <v>35</v>
      </c>
      <c r="I16558" s="3">
        <v>196</v>
      </c>
      <c r="J16558" s="3">
        <v>557</v>
      </c>
      <c r="K16558" s="3">
        <v>1117</v>
      </c>
      <c r="L16558" s="3">
        <v>98</v>
      </c>
      <c r="M16558" s="3">
        <v>286</v>
      </c>
    </row>
    <row r="16559" spans="1:13" x14ac:dyDescent="0.25">
      <c r="A16559" s="1" t="str">
        <f>HYPERLINK("http://www.rosaceae.org/Prunus/Prunus_persica/p.persica_gdr_reftransV1_0020406","p.persica_gdr_reftransV1_0020406")</f>
        <v>p.persica_gdr_reftransV1_0020406</v>
      </c>
      <c r="B16559" s="3">
        <v>1189</v>
      </c>
      <c r="C16559" s="1" t="str">
        <f>HYPERLINK("http://www.uniprot.org/uniprot/CDI8_ARATH","CDI8_ARATH")</f>
        <v>CDI8_ARATH</v>
      </c>
      <c r="D16559" t="s">
        <v>10371</v>
      </c>
      <c r="E16559" s="3" t="s">
        <v>3</v>
      </c>
      <c r="F16559" s="4">
        <v>5.92E-21</v>
      </c>
      <c r="G16559" s="3">
        <v>230</v>
      </c>
      <c r="H16559" s="3">
        <v>83</v>
      </c>
      <c r="I16559" s="3">
        <v>81</v>
      </c>
      <c r="J16559" s="3">
        <v>255</v>
      </c>
      <c r="K16559" s="3">
        <v>497</v>
      </c>
      <c r="L16559" s="3">
        <v>3</v>
      </c>
      <c r="M16559" s="3">
        <v>83</v>
      </c>
    </row>
    <row r="16560" spans="1:13" x14ac:dyDescent="0.25">
      <c r="A16560" s="1" t="str">
        <f>HYPERLINK("http://www.rosaceae.org/Prunus/Prunus_persica/p.persica_gdr_reftransV1_0020506","p.persica_gdr_reftransV1_0020506")</f>
        <v>p.persica_gdr_reftransV1_0020506</v>
      </c>
      <c r="B16560" s="3">
        <v>1494</v>
      </c>
      <c r="C16560" s="1" t="str">
        <f>HYPERLINK("http://www.uniprot.org/uniprot/BPOC_MYCTU","BPOC_MYCTU")</f>
        <v>BPOC_MYCTU</v>
      </c>
      <c r="D16560" t="s">
        <v>5394</v>
      </c>
      <c r="E16560" s="3" t="s">
        <v>1596</v>
      </c>
      <c r="F16560" s="4">
        <v>2.3999999999999999E-14</v>
      </c>
      <c r="G16560" s="3">
        <v>187</v>
      </c>
      <c r="H16560" s="3">
        <v>30</v>
      </c>
      <c r="I16560" s="3">
        <v>250</v>
      </c>
      <c r="J16560" s="3">
        <v>341</v>
      </c>
      <c r="K16560" s="3">
        <v>1072</v>
      </c>
      <c r="L16560" s="3">
        <v>35</v>
      </c>
      <c r="M16560" s="3">
        <v>262</v>
      </c>
    </row>
    <row r="16561" spans="1:13" x14ac:dyDescent="0.25">
      <c r="A16561" s="1" t="str">
        <f>HYPERLINK("http://www.rosaceae.org/Prunus/Prunus_persica/p.persica_gdr_reftransV1_0020906","p.persica_gdr_reftransV1_0020906")</f>
        <v>p.persica_gdr_reftransV1_0020906</v>
      </c>
      <c r="B16561" s="3">
        <v>1613</v>
      </c>
      <c r="C16561" s="1" t="str">
        <f>HYPERLINK("http://www.uniprot.org/uniprot/HEMK2_HUMAN","HEMK2_HUMAN")</f>
        <v>HEMK2_HUMAN</v>
      </c>
      <c r="D16561" t="s">
        <v>10372</v>
      </c>
      <c r="E16561" s="3" t="s">
        <v>28</v>
      </c>
      <c r="F16561" s="4">
        <v>6.2500000000000005E-45</v>
      </c>
      <c r="G16561" s="3">
        <v>412</v>
      </c>
      <c r="H16561" s="3">
        <v>45</v>
      </c>
      <c r="I16561" s="3">
        <v>195</v>
      </c>
      <c r="J16561" s="3">
        <v>533</v>
      </c>
      <c r="K16561" s="3">
        <v>1117</v>
      </c>
      <c r="L16561" s="3">
        <v>21</v>
      </c>
      <c r="M16561" s="3">
        <v>213</v>
      </c>
    </row>
    <row r="16562" spans="1:13" x14ac:dyDescent="0.25">
      <c r="A16562" s="1" t="str">
        <f>HYPERLINK("http://www.rosaceae.org/Prunus/Prunus_persica/p.persica_gdr_reftransV1_0021106","p.persica_gdr_reftransV1_0021106")</f>
        <v>p.persica_gdr_reftransV1_0021106</v>
      </c>
      <c r="B16562" s="3">
        <v>2234</v>
      </c>
      <c r="C16562" s="1" t="str">
        <f>HYPERLINK("http://www.uniprot.org/uniprot/FKB53_ARATH","FKB53_ARATH")</f>
        <v>FKB53_ARATH</v>
      </c>
      <c r="D16562" t="s">
        <v>1981</v>
      </c>
      <c r="E16562" s="3" t="s">
        <v>3</v>
      </c>
      <c r="F16562" s="4">
        <v>1.9799999999999999E-43</v>
      </c>
      <c r="G16562" s="3">
        <v>424</v>
      </c>
      <c r="H16562" s="3">
        <v>60</v>
      </c>
      <c r="I16562" s="3">
        <v>121</v>
      </c>
      <c r="J16562" s="3">
        <v>1497</v>
      </c>
      <c r="K16562" s="3">
        <v>1859</v>
      </c>
      <c r="L16562" s="3">
        <v>357</v>
      </c>
      <c r="M16562" s="3">
        <v>477</v>
      </c>
    </row>
    <row r="16563" spans="1:13" x14ac:dyDescent="0.25">
      <c r="A16563" s="1" t="str">
        <f>HYPERLINK("http://www.rosaceae.org/Prunus/Prunus_persica/p.persica_gdr_reftransV1_0021156","p.persica_gdr_reftransV1_0021156")</f>
        <v>p.persica_gdr_reftransV1_0021156</v>
      </c>
      <c r="B16563" s="3">
        <v>1695</v>
      </c>
      <c r="C16563" s="1" t="str">
        <f>HYPERLINK("http://www.uniprot.org/uniprot/EXO_ARATH","EXO_ARATH")</f>
        <v>EXO_ARATH</v>
      </c>
      <c r="D16563" t="s">
        <v>8356</v>
      </c>
      <c r="E16563" s="3" t="s">
        <v>3</v>
      </c>
      <c r="F16563" s="4">
        <v>1.34E-143</v>
      </c>
      <c r="G16563" s="3">
        <v>1090</v>
      </c>
      <c r="H16563" s="3">
        <v>74</v>
      </c>
      <c r="I16563" s="3">
        <v>306</v>
      </c>
      <c r="J16563" s="3">
        <v>230</v>
      </c>
      <c r="K16563" s="3">
        <v>1135</v>
      </c>
      <c r="L16563" s="3">
        <v>16</v>
      </c>
      <c r="M16563" s="3">
        <v>314</v>
      </c>
    </row>
    <row r="16564" spans="1:13" x14ac:dyDescent="0.25">
      <c r="A16564" s="1" t="str">
        <f>HYPERLINK("http://www.rosaceae.org/Prunus/Prunus_persica/p.persica_gdr_reftransV1_0021206","p.persica_gdr_reftransV1_0021206")</f>
        <v>p.persica_gdr_reftransV1_0021206</v>
      </c>
      <c r="B16564" s="3">
        <v>5271</v>
      </c>
      <c r="C16564" s="1" t="str">
        <f>HYPERLINK("http://www.uniprot.org/uniprot/DML_EUBBA","DML_EUBBA")</f>
        <v>DML_EUBBA</v>
      </c>
      <c r="D16564" t="s">
        <v>2386</v>
      </c>
      <c r="E16564" s="3" t="s">
        <v>2387</v>
      </c>
      <c r="F16564" s="4">
        <v>1.0900000000000001E-22</v>
      </c>
      <c r="G16564" s="3">
        <v>262</v>
      </c>
      <c r="H16564" s="3">
        <v>45</v>
      </c>
      <c r="I16564" s="3">
        <v>114</v>
      </c>
      <c r="J16564" s="3">
        <v>4583</v>
      </c>
      <c r="K16564" s="3">
        <v>4924</v>
      </c>
      <c r="L16564" s="3">
        <v>2</v>
      </c>
      <c r="M16564" s="3">
        <v>115</v>
      </c>
    </row>
    <row r="16565" spans="1:13" x14ac:dyDescent="0.25">
      <c r="A16565" s="1" t="str">
        <f>HYPERLINK("http://www.rosaceae.org/Prunus/Prunus_persica/p.persica_gdr_reftransV1_0021456","p.persica_gdr_reftransV1_0021456")</f>
        <v>p.persica_gdr_reftransV1_0021456</v>
      </c>
      <c r="B16565" s="3">
        <v>1490</v>
      </c>
      <c r="C16565" s="1" t="str">
        <f>HYPERLINK("http://www.uniprot.org/uniprot/PER63_ARATH","PER63_ARATH")</f>
        <v>PER63_ARATH</v>
      </c>
      <c r="D16565" t="s">
        <v>10373</v>
      </c>
      <c r="E16565" s="3" t="s">
        <v>3</v>
      </c>
      <c r="F16565" s="4">
        <v>1.5499999999999999E-154</v>
      </c>
      <c r="G16565" s="3">
        <v>1158</v>
      </c>
      <c r="H16565" s="3">
        <v>68</v>
      </c>
      <c r="I16565" s="3">
        <v>307</v>
      </c>
      <c r="J16565" s="3">
        <v>362</v>
      </c>
      <c r="K16565" s="3">
        <v>1282</v>
      </c>
      <c r="L16565" s="3">
        <v>27</v>
      </c>
      <c r="M16565" s="3">
        <v>328</v>
      </c>
    </row>
    <row r="16566" spans="1:13" x14ac:dyDescent="0.25">
      <c r="A16566" s="1" t="str">
        <f>HYPERLINK("http://www.rosaceae.org/Prunus/Prunus_persica/p.persica_gdr_reftransV1_0021556","p.persica_gdr_reftransV1_0021556")</f>
        <v>p.persica_gdr_reftransV1_0021556</v>
      </c>
      <c r="B16566" s="3">
        <v>3210</v>
      </c>
      <c r="C16566" s="1" t="str">
        <f>HYPERLINK("http://www.uniprot.org/uniprot/TBL3_HUMAN","TBL3_HUMAN")</f>
        <v>TBL3_HUMAN</v>
      </c>
      <c r="D16566" t="s">
        <v>10374</v>
      </c>
      <c r="E16566" s="3" t="s">
        <v>28</v>
      </c>
      <c r="F16566" s="4">
        <v>0</v>
      </c>
      <c r="G16566" s="3">
        <v>1441</v>
      </c>
      <c r="H16566" s="3">
        <v>37</v>
      </c>
      <c r="I16566" s="3">
        <v>815</v>
      </c>
      <c r="J16566" s="3">
        <v>193</v>
      </c>
      <c r="K16566" s="3">
        <v>2601</v>
      </c>
      <c r="L16566" s="3">
        <v>11</v>
      </c>
      <c r="M16566" s="3">
        <v>793</v>
      </c>
    </row>
    <row r="16567" spans="1:13" x14ac:dyDescent="0.25">
      <c r="A16567" s="1" t="str">
        <f>HYPERLINK("http://www.rosaceae.org/Prunus/Prunus_persica/p.persica_gdr_reftransV1_0021606","p.persica_gdr_reftransV1_0021606")</f>
        <v>p.persica_gdr_reftransV1_0021606</v>
      </c>
      <c r="B16567" s="3">
        <v>3708</v>
      </c>
      <c r="C16567" s="1" t="str">
        <f>HYPERLINK("http://www.uniprot.org/uniprot/PMTS_ARATH","PMTS_ARATH")</f>
        <v>PMTS_ARATH</v>
      </c>
      <c r="D16567" t="s">
        <v>10375</v>
      </c>
      <c r="E16567" s="3" t="s">
        <v>3</v>
      </c>
      <c r="F16567" s="4">
        <v>0</v>
      </c>
      <c r="G16567" s="3">
        <v>1870</v>
      </c>
      <c r="H16567" s="3">
        <v>68</v>
      </c>
      <c r="I16567" s="3">
        <v>493</v>
      </c>
      <c r="J16567" s="3">
        <v>885</v>
      </c>
      <c r="K16567" s="3">
        <v>2360</v>
      </c>
      <c r="L16567" s="3">
        <v>204</v>
      </c>
      <c r="M16567" s="3">
        <v>659</v>
      </c>
    </row>
    <row r="16568" spans="1:13" x14ac:dyDescent="0.25">
      <c r="A16568" s="1" t="str">
        <f>HYPERLINK("http://www.rosaceae.org/Prunus/Prunus_persica/p.persica_gdr_reftransV1_0021756","p.persica_gdr_reftransV1_0021756")</f>
        <v>p.persica_gdr_reftransV1_0021756</v>
      </c>
      <c r="B16568" s="3">
        <v>2372</v>
      </c>
      <c r="C16568" s="1" t="str">
        <f>HYPERLINK("http://www.uniprot.org/uniprot/DIT1_ARATH","DIT1_ARATH")</f>
        <v>DIT1_ARATH</v>
      </c>
      <c r="D16568" t="s">
        <v>10376</v>
      </c>
      <c r="E16568" s="3" t="s">
        <v>3</v>
      </c>
      <c r="F16568" s="4">
        <v>0</v>
      </c>
      <c r="G16568" s="3">
        <v>1930</v>
      </c>
      <c r="H16568" s="3">
        <v>91</v>
      </c>
      <c r="I16568" s="3">
        <v>475</v>
      </c>
      <c r="J16568" s="3">
        <v>488</v>
      </c>
      <c r="K16568" s="3">
        <v>1912</v>
      </c>
      <c r="L16568" s="3">
        <v>83</v>
      </c>
      <c r="M16568" s="3">
        <v>557</v>
      </c>
    </row>
    <row r="16569" spans="1:13" x14ac:dyDescent="0.25">
      <c r="A16569" s="1" t="str">
        <f>HYPERLINK("http://www.rosaceae.org/Prunus/Prunus_persica/p.persica_gdr_reftransV1_0021856","p.persica_gdr_reftransV1_0021856")</f>
        <v>p.persica_gdr_reftransV1_0021856</v>
      </c>
      <c r="B16569" s="3">
        <v>3470</v>
      </c>
      <c r="C16569" s="1" t="str">
        <f>HYPERLINK("http://www.uniprot.org/uniprot/PDCD4_HUMAN","PDCD4_HUMAN")</f>
        <v>PDCD4_HUMAN</v>
      </c>
      <c r="D16569" t="s">
        <v>10377</v>
      </c>
      <c r="E16569" s="3" t="s">
        <v>28</v>
      </c>
      <c r="F16569" s="4">
        <v>2.1000000000000001E-28</v>
      </c>
      <c r="G16569" s="3">
        <v>311</v>
      </c>
      <c r="H16569" s="3">
        <v>33</v>
      </c>
      <c r="I16569" s="3">
        <v>308</v>
      </c>
      <c r="J16569" s="3">
        <v>1281</v>
      </c>
      <c r="K16569" s="3">
        <v>2183</v>
      </c>
      <c r="L16569" s="3">
        <v>136</v>
      </c>
      <c r="M16569" s="3">
        <v>437</v>
      </c>
    </row>
    <row r="16570" spans="1:13" x14ac:dyDescent="0.25">
      <c r="A16570" s="1" t="str">
        <f>HYPERLINK("http://www.rosaceae.org/Prunus/Prunus_persica/p.persica_gdr_reftransV1_0022006","p.persica_gdr_reftransV1_0022006")</f>
        <v>p.persica_gdr_reftransV1_0022006</v>
      </c>
      <c r="B16570" s="3">
        <v>2768</v>
      </c>
      <c r="C16570" s="1" t="str">
        <f>HYPERLINK("http://www.uniprot.org/uniprot/SCL3_ARATH","SCL3_ARATH")</f>
        <v>SCL3_ARATH</v>
      </c>
      <c r="D16570" t="s">
        <v>2361</v>
      </c>
      <c r="E16570" s="3" t="s">
        <v>3</v>
      </c>
      <c r="F16570" s="4">
        <v>0</v>
      </c>
      <c r="G16570" s="3">
        <v>1664</v>
      </c>
      <c r="H16570" s="3">
        <v>70</v>
      </c>
      <c r="I16570" s="3">
        <v>482</v>
      </c>
      <c r="J16570" s="3">
        <v>920</v>
      </c>
      <c r="K16570" s="3">
        <v>2341</v>
      </c>
      <c r="L16570" s="3">
        <v>1</v>
      </c>
      <c r="M16570" s="3">
        <v>482</v>
      </c>
    </row>
    <row r="16571" spans="1:13" x14ac:dyDescent="0.25">
      <c r="A16571" s="1" t="str">
        <f>HYPERLINK("http://www.rosaceae.org/Prunus/Prunus_persica/p.persica_gdr_reftransV1_0022156","p.persica_gdr_reftransV1_0022156")</f>
        <v>p.persica_gdr_reftransV1_0022156</v>
      </c>
      <c r="B16571" s="3">
        <v>2107</v>
      </c>
      <c r="C16571" s="1" t="str">
        <f>HYPERLINK("http://www.uniprot.org/uniprot/MYOD_DICDI","MYOD_DICDI")</f>
        <v>MYOD_DICDI</v>
      </c>
      <c r="D16571" t="s">
        <v>10378</v>
      </c>
      <c r="E16571" s="3" t="s">
        <v>9</v>
      </c>
      <c r="F16571" s="4">
        <v>5.0199999999999997E-16</v>
      </c>
      <c r="G16571" s="3">
        <v>212</v>
      </c>
      <c r="H16571" s="3">
        <v>33</v>
      </c>
      <c r="I16571" s="3">
        <v>141</v>
      </c>
      <c r="J16571" s="3">
        <v>1390</v>
      </c>
      <c r="K16571" s="3">
        <v>1773</v>
      </c>
      <c r="L16571" s="3">
        <v>725</v>
      </c>
      <c r="M16571" s="3">
        <v>865</v>
      </c>
    </row>
    <row r="16572" spans="1:13" x14ac:dyDescent="0.25">
      <c r="A16572" s="1" t="str">
        <f>HYPERLINK("http://www.rosaceae.org/Prunus/Prunus_persica/p.persica_gdr_reftransV1_0022306","p.persica_gdr_reftransV1_0022306")</f>
        <v>p.persica_gdr_reftransV1_0022306</v>
      </c>
      <c r="B16572" s="3">
        <v>2154</v>
      </c>
      <c r="C16572" s="1" t="str">
        <f>HYPERLINK("http://www.uniprot.org/uniprot/Y5262_ARATH","Y5262_ARATH")</f>
        <v>Y5262_ARATH</v>
      </c>
      <c r="D16572" t="s">
        <v>399</v>
      </c>
      <c r="E16572" s="3" t="s">
        <v>3</v>
      </c>
      <c r="F16572" s="4">
        <v>0</v>
      </c>
      <c r="G16572" s="3">
        <v>1460</v>
      </c>
      <c r="H16572" s="3">
        <v>62</v>
      </c>
      <c r="I16572" s="3">
        <v>504</v>
      </c>
      <c r="J16572" s="3">
        <v>373</v>
      </c>
      <c r="K16572" s="3">
        <v>1866</v>
      </c>
      <c r="L16572" s="3">
        <v>5</v>
      </c>
      <c r="M16572" s="3">
        <v>497</v>
      </c>
    </row>
    <row r="16573" spans="1:13" x14ac:dyDescent="0.25">
      <c r="A16573" s="1" t="str">
        <f>HYPERLINK("http://www.rosaceae.org/Prunus/Prunus_persica/p.persica_gdr_reftransV1_0022606","p.persica_gdr_reftransV1_0022606")</f>
        <v>p.persica_gdr_reftransV1_0022606</v>
      </c>
      <c r="B16573" s="3">
        <v>517</v>
      </c>
      <c r="C16573" s="1" t="str">
        <f>HYPERLINK("http://www.uniprot.org/uniprot/XB33_ORYSJ","XB33_ORYSJ")</f>
        <v>XB33_ORYSJ</v>
      </c>
      <c r="D16573" t="s">
        <v>10379</v>
      </c>
      <c r="E16573" s="3" t="s">
        <v>38</v>
      </c>
      <c r="F16573" s="4">
        <v>1.2700000000000001E-7</v>
      </c>
      <c r="G16573" s="3">
        <v>128</v>
      </c>
      <c r="H16573" s="3">
        <v>38</v>
      </c>
      <c r="I16573" s="3">
        <v>100</v>
      </c>
      <c r="J16573" s="3">
        <v>24</v>
      </c>
      <c r="K16573" s="3">
        <v>290</v>
      </c>
      <c r="L16573" s="3">
        <v>186</v>
      </c>
      <c r="M16573" s="3">
        <v>285</v>
      </c>
    </row>
    <row r="16574" spans="1:13" x14ac:dyDescent="0.25">
      <c r="A16574" s="1" t="str">
        <f>HYPERLINK("http://www.rosaceae.org/Prunus/Prunus_persica/p.persica_gdr_reftransV1_0022806","p.persica_gdr_reftransV1_0022806")</f>
        <v>p.persica_gdr_reftransV1_0022806</v>
      </c>
      <c r="B16574" s="3">
        <v>1957</v>
      </c>
      <c r="C16574" s="1" t="str">
        <f>HYPERLINK("http://www.uniprot.org/uniprot/HARB1_BOVIN","HARB1_BOVIN")</f>
        <v>HARB1_BOVIN</v>
      </c>
      <c r="D16574" t="s">
        <v>8000</v>
      </c>
      <c r="E16574" s="3" t="s">
        <v>184</v>
      </c>
      <c r="F16574" s="4">
        <v>2.1899999999999999E-20</v>
      </c>
      <c r="G16574" s="3">
        <v>240</v>
      </c>
      <c r="H16574" s="3">
        <v>28</v>
      </c>
      <c r="I16574" s="3">
        <v>263</v>
      </c>
      <c r="J16574" s="3">
        <v>725</v>
      </c>
      <c r="K16574" s="3">
        <v>1492</v>
      </c>
      <c r="L16574" s="3">
        <v>51</v>
      </c>
      <c r="M16574" s="3">
        <v>301</v>
      </c>
    </row>
    <row r="16575" spans="1:13" x14ac:dyDescent="0.25">
      <c r="A16575" s="1" t="str">
        <f>HYPERLINK("http://www.rosaceae.org/Prunus/Prunus_persica/p.persica_gdr_reftransV1_0022856","p.persica_gdr_reftransV1_0022856")</f>
        <v>p.persica_gdr_reftransV1_0022856</v>
      </c>
      <c r="B16575" s="3">
        <v>2486</v>
      </c>
      <c r="C16575" s="1" t="str">
        <f>HYPERLINK("http://www.uniprot.org/uniprot/FBL3_ARATH","FBL3_ARATH")</f>
        <v>FBL3_ARATH</v>
      </c>
      <c r="D16575" t="s">
        <v>1292</v>
      </c>
      <c r="E16575" s="3" t="s">
        <v>3</v>
      </c>
      <c r="F16575" s="4">
        <v>0</v>
      </c>
      <c r="G16575" s="3">
        <v>1779</v>
      </c>
      <c r="H16575" s="3">
        <v>64</v>
      </c>
      <c r="I16575" s="3">
        <v>647</v>
      </c>
      <c r="J16575" s="3">
        <v>283</v>
      </c>
      <c r="K16575" s="3">
        <v>2220</v>
      </c>
      <c r="L16575" s="3">
        <v>18</v>
      </c>
      <c r="M16575" s="3">
        <v>663</v>
      </c>
    </row>
    <row r="16576" spans="1:13" x14ac:dyDescent="0.25">
      <c r="A16576" s="1" t="str">
        <f>HYPERLINK("http://www.rosaceae.org/Prunus/Prunus_persica/p.persica_gdr_reftransV1_0022956","p.persica_gdr_reftransV1_0022956")</f>
        <v>p.persica_gdr_reftransV1_0022956</v>
      </c>
      <c r="B16576" s="3">
        <v>2396</v>
      </c>
      <c r="C16576" s="1" t="str">
        <f>HYPERLINK("http://www.uniprot.org/uniprot/ACMAT_VITLA","ACMAT_VITLA")</f>
        <v>ACMAT_VITLA</v>
      </c>
      <c r="D16576" t="s">
        <v>10380</v>
      </c>
      <c r="E16576" s="3" t="s">
        <v>10381</v>
      </c>
      <c r="F16576" s="4">
        <v>4.2599999999999999E-111</v>
      </c>
      <c r="G16576" s="3">
        <v>905</v>
      </c>
      <c r="H16576" s="3">
        <v>56</v>
      </c>
      <c r="I16576" s="3">
        <v>295</v>
      </c>
      <c r="J16576" s="3">
        <v>922</v>
      </c>
      <c r="K16576" s="3">
        <v>1803</v>
      </c>
      <c r="L16576" s="3">
        <v>146</v>
      </c>
      <c r="M16576" s="3">
        <v>438</v>
      </c>
    </row>
    <row r="16577" spans="1:13" x14ac:dyDescent="0.25">
      <c r="A16577" s="1" t="str">
        <f>HYPERLINK("http://www.rosaceae.org/Prunus/Prunus_persica/p.persica_gdr_reftransV1_0023206","p.persica_gdr_reftransV1_0023206")</f>
        <v>p.persica_gdr_reftransV1_0023206</v>
      </c>
      <c r="B16577" s="3">
        <v>4386</v>
      </c>
      <c r="C16577" s="1" t="str">
        <f>HYPERLINK("http://www.uniprot.org/uniprot/DYRK2_DICDI","DYRK2_DICDI")</f>
        <v>DYRK2_DICDI</v>
      </c>
      <c r="D16577" t="s">
        <v>2919</v>
      </c>
      <c r="E16577" s="3" t="s">
        <v>9</v>
      </c>
      <c r="F16577" s="4">
        <v>9.5900000000000007E-62</v>
      </c>
      <c r="G16577" s="3">
        <v>595</v>
      </c>
      <c r="H16577" s="3">
        <v>38</v>
      </c>
      <c r="I16577" s="3">
        <v>323</v>
      </c>
      <c r="J16577" s="3">
        <v>663</v>
      </c>
      <c r="K16577" s="3">
        <v>1628</v>
      </c>
      <c r="L16577" s="3">
        <v>585</v>
      </c>
      <c r="M16577" s="3">
        <v>902</v>
      </c>
    </row>
    <row r="16578" spans="1:13" x14ac:dyDescent="0.25">
      <c r="A16578" s="1" t="str">
        <f>HYPERLINK("http://www.rosaceae.org/Prunus/Prunus_persica/p.persica_gdr_reftransV1_0023256","p.persica_gdr_reftransV1_0023256")</f>
        <v>p.persica_gdr_reftransV1_0023256</v>
      </c>
      <c r="B16578" s="3">
        <v>3744</v>
      </c>
      <c r="C16578" s="1" t="str">
        <f>HYPERLINK("http://www.uniprot.org/uniprot/GCP6_HUMAN","GCP6_HUMAN")</f>
        <v>GCP6_HUMAN</v>
      </c>
      <c r="D16578" t="s">
        <v>5850</v>
      </c>
      <c r="E16578" s="3" t="s">
        <v>28</v>
      </c>
      <c r="F16578" s="4">
        <v>4.7799999999999998E-23</v>
      </c>
      <c r="G16578" s="3">
        <v>276</v>
      </c>
      <c r="H16578" s="3">
        <v>25</v>
      </c>
      <c r="I16578" s="3">
        <v>378</v>
      </c>
      <c r="J16578" s="3">
        <v>2151</v>
      </c>
      <c r="K16578" s="3">
        <v>3266</v>
      </c>
      <c r="L16578" s="3">
        <v>1463</v>
      </c>
      <c r="M16578" s="3">
        <v>1819</v>
      </c>
    </row>
    <row r="16579" spans="1:13" x14ac:dyDescent="0.25">
      <c r="A16579" s="1" t="str">
        <f>HYPERLINK("http://www.rosaceae.org/Prunus/Prunus_persica/p.persica_gdr_reftransV1_0023456","p.persica_gdr_reftransV1_0023456")</f>
        <v>p.persica_gdr_reftransV1_0023456</v>
      </c>
      <c r="B16579" s="3">
        <v>1753</v>
      </c>
      <c r="C16579" s="1" t="str">
        <f>HYPERLINK("http://www.uniprot.org/uniprot/CSE_ARATH","CSE_ARATH")</f>
        <v>CSE_ARATH</v>
      </c>
      <c r="D16579" t="s">
        <v>584</v>
      </c>
      <c r="E16579" s="3" t="s">
        <v>3</v>
      </c>
      <c r="F16579" s="4">
        <v>4.9500000000000001E-48</v>
      </c>
      <c r="G16579" s="3">
        <v>445</v>
      </c>
      <c r="H16579" s="3">
        <v>35</v>
      </c>
      <c r="I16579" s="3">
        <v>287</v>
      </c>
      <c r="J16579" s="3">
        <v>648</v>
      </c>
      <c r="K16579" s="3">
        <v>1487</v>
      </c>
      <c r="L16579" s="3">
        <v>38</v>
      </c>
      <c r="M16579" s="3">
        <v>323</v>
      </c>
    </row>
    <row r="16580" spans="1:13" x14ac:dyDescent="0.25">
      <c r="A16580" s="1" t="str">
        <f>HYPERLINK("http://www.rosaceae.org/Prunus/Prunus_persica/p.persica_gdr_reftransV1_0023606","p.persica_gdr_reftransV1_0023606")</f>
        <v>p.persica_gdr_reftransV1_0023606</v>
      </c>
      <c r="B16580" s="3">
        <v>2189</v>
      </c>
      <c r="C16580" s="1" t="str">
        <f>HYPERLINK("http://www.uniprot.org/uniprot/RFWD3_MOUSE","RFWD3_MOUSE")</f>
        <v>RFWD3_MOUSE</v>
      </c>
      <c r="D16580" t="s">
        <v>1093</v>
      </c>
      <c r="E16580" s="3" t="s">
        <v>157</v>
      </c>
      <c r="F16580" s="4">
        <v>4.0400000000000002E-15</v>
      </c>
      <c r="G16580" s="3">
        <v>204</v>
      </c>
      <c r="H16580" s="3">
        <v>35</v>
      </c>
      <c r="I16580" s="3">
        <v>141</v>
      </c>
      <c r="J16580" s="3">
        <v>179</v>
      </c>
      <c r="K16580" s="3">
        <v>595</v>
      </c>
      <c r="L16580" s="3">
        <v>256</v>
      </c>
      <c r="M16580" s="3">
        <v>386</v>
      </c>
    </row>
    <row r="16581" spans="1:13" x14ac:dyDescent="0.25">
      <c r="A16581" s="1" t="str">
        <f>HYPERLINK("http://www.rosaceae.org/Prunus/Prunus_persica/p.persica_gdr_reftransV1_0023656","p.persica_gdr_reftransV1_0023656")</f>
        <v>p.persica_gdr_reftransV1_0023656</v>
      </c>
      <c r="B16581" s="3">
        <v>3764</v>
      </c>
      <c r="C16581" s="1" t="str">
        <f>HYPERLINK("http://www.uniprot.org/uniprot/DSK1_SCHPO","DSK1_SCHPO")</f>
        <v>DSK1_SCHPO</v>
      </c>
      <c r="D16581" t="s">
        <v>10382</v>
      </c>
      <c r="E16581" s="3" t="s">
        <v>464</v>
      </c>
      <c r="F16581" s="4">
        <v>1.7E-86</v>
      </c>
      <c r="G16581" s="3">
        <v>759</v>
      </c>
      <c r="H16581" s="3">
        <v>43</v>
      </c>
      <c r="I16581" s="3">
        <v>406</v>
      </c>
      <c r="J16581" s="3">
        <v>1271</v>
      </c>
      <c r="K16581" s="3">
        <v>2389</v>
      </c>
      <c r="L16581" s="3">
        <v>54</v>
      </c>
      <c r="M16581" s="3">
        <v>426</v>
      </c>
    </row>
    <row r="16582" spans="1:13" x14ac:dyDescent="0.25">
      <c r="A16582" s="1" t="str">
        <f>HYPERLINK("http://www.rosaceae.org/Prunus/Prunus_persica/p.persica_gdr_reftransV1_0023756","p.persica_gdr_reftransV1_0023756")</f>
        <v>p.persica_gdr_reftransV1_0023756</v>
      </c>
      <c r="B16582" s="3">
        <v>2826</v>
      </c>
      <c r="C16582" s="1" t="str">
        <f>HYPERLINK("http://www.uniprot.org/uniprot/UVR8_ARATH","UVR8_ARATH")</f>
        <v>UVR8_ARATH</v>
      </c>
      <c r="D16582" t="s">
        <v>2154</v>
      </c>
      <c r="E16582" s="3" t="s">
        <v>3</v>
      </c>
      <c r="F16582" s="4">
        <v>0</v>
      </c>
      <c r="G16582" s="3">
        <v>1564</v>
      </c>
      <c r="H16582" s="3">
        <v>82</v>
      </c>
      <c r="I16582" s="3">
        <v>348</v>
      </c>
      <c r="J16582" s="3">
        <v>868</v>
      </c>
      <c r="K16582" s="3">
        <v>1911</v>
      </c>
      <c r="L16582" s="3">
        <v>95</v>
      </c>
      <c r="M16582" s="3">
        <v>440</v>
      </c>
    </row>
    <row r="16583" spans="1:13" x14ac:dyDescent="0.25">
      <c r="A16583" s="1" t="str">
        <f>HYPERLINK("http://www.rosaceae.org/Prunus/Prunus_persica/p.persica_gdr_reftransV1_0023856","p.persica_gdr_reftransV1_0023856")</f>
        <v>p.persica_gdr_reftransV1_0023856</v>
      </c>
      <c r="B16583" s="3">
        <v>1207</v>
      </c>
      <c r="C16583" s="1" t="str">
        <f>HYPERLINK("http://www.uniprot.org/uniprot/TRL4_ARATH","TRL4_ARATH")</f>
        <v>TRL4_ARATH</v>
      </c>
      <c r="D16583" t="s">
        <v>10383</v>
      </c>
      <c r="E16583" s="3" t="s">
        <v>3</v>
      </c>
      <c r="F16583" s="4">
        <v>1.9399999999999999E-47</v>
      </c>
      <c r="G16583" s="3">
        <v>422</v>
      </c>
      <c r="H16583" s="3">
        <v>61</v>
      </c>
      <c r="I16583" s="3">
        <v>137</v>
      </c>
      <c r="J16583" s="3">
        <v>428</v>
      </c>
      <c r="K16583" s="3">
        <v>838</v>
      </c>
      <c r="L16583" s="3">
        <v>43</v>
      </c>
      <c r="M16583" s="3">
        <v>176</v>
      </c>
    </row>
    <row r="16584" spans="1:13" x14ac:dyDescent="0.25">
      <c r="A16584" s="1" t="str">
        <f>HYPERLINK("http://www.rosaceae.org/Prunus/Prunus_persica/p.persica_gdr_reftransV1_0024056","p.persica_gdr_reftransV1_0024056")</f>
        <v>p.persica_gdr_reftransV1_0024056</v>
      </c>
      <c r="B16584" s="3">
        <v>2872</v>
      </c>
      <c r="C16584" s="1" t="str">
        <f>HYPERLINK("http://www.uniprot.org/uniprot/RH5_ORYSJ","RH5_ORYSJ")</f>
        <v>RH5_ORYSJ</v>
      </c>
      <c r="D16584" t="s">
        <v>445</v>
      </c>
      <c r="E16584" s="3" t="s">
        <v>38</v>
      </c>
      <c r="F16584" s="4">
        <v>1.3499999999999999E-174</v>
      </c>
      <c r="G16584" s="3">
        <v>1351</v>
      </c>
      <c r="H16584" s="3">
        <v>72</v>
      </c>
      <c r="I16584" s="3">
        <v>349</v>
      </c>
      <c r="J16584" s="3">
        <v>147</v>
      </c>
      <c r="K16584" s="3">
        <v>1181</v>
      </c>
      <c r="L16584" s="3">
        <v>50</v>
      </c>
      <c r="M16584" s="3">
        <v>398</v>
      </c>
    </row>
    <row r="16585" spans="1:13" x14ac:dyDescent="0.25">
      <c r="A16585" s="1" t="str">
        <f>HYPERLINK("http://www.rosaceae.org/Prunus/Prunus_persica/p.persica_gdr_reftransV1_0024106","p.persica_gdr_reftransV1_0024106")</f>
        <v>p.persica_gdr_reftransV1_0024106</v>
      </c>
      <c r="B16585" s="3">
        <v>519</v>
      </c>
      <c r="C16585" s="1" t="str">
        <f>HYPERLINK("http://www.uniprot.org/uniprot/RCH1_ARATH","RCH1_ARATH")</f>
        <v>RCH1_ARATH</v>
      </c>
      <c r="D16585" t="s">
        <v>4916</v>
      </c>
      <c r="E16585" s="3" t="s">
        <v>3</v>
      </c>
      <c r="F16585" s="4">
        <v>1.2900000000000001E-15</v>
      </c>
      <c r="G16585" s="3">
        <v>193</v>
      </c>
      <c r="H16585" s="3">
        <v>48</v>
      </c>
      <c r="I16585" s="3">
        <v>85</v>
      </c>
      <c r="J16585" s="3">
        <v>2</v>
      </c>
      <c r="K16585" s="3">
        <v>250</v>
      </c>
      <c r="L16585" s="3">
        <v>63</v>
      </c>
      <c r="M16585" s="3">
        <v>147</v>
      </c>
    </row>
    <row r="16586" spans="1:13" x14ac:dyDescent="0.25">
      <c r="A16586" s="1" t="str">
        <f>HYPERLINK("http://www.rosaceae.org/Prunus/Prunus_persica/p.persica_gdr_reftransV1_0024156","p.persica_gdr_reftransV1_0024156")</f>
        <v>p.persica_gdr_reftransV1_0024156</v>
      </c>
      <c r="B16586" s="3">
        <v>1445</v>
      </c>
      <c r="C16586" s="1" t="str">
        <f>HYPERLINK("http://www.uniprot.org/uniprot/CDSP_ARATH","CDSP_ARATH")</f>
        <v>CDSP_ARATH</v>
      </c>
      <c r="D16586" t="s">
        <v>10384</v>
      </c>
      <c r="E16586" s="3" t="s">
        <v>3</v>
      </c>
      <c r="F16586" s="4">
        <v>1.42E-140</v>
      </c>
      <c r="G16586" s="3">
        <v>1061</v>
      </c>
      <c r="H16586" s="3">
        <v>70</v>
      </c>
      <c r="I16586" s="3">
        <v>303</v>
      </c>
      <c r="J16586" s="3">
        <v>316</v>
      </c>
      <c r="K16586" s="3">
        <v>1215</v>
      </c>
      <c r="L16586" s="3">
        <v>1</v>
      </c>
      <c r="M16586" s="3">
        <v>302</v>
      </c>
    </row>
    <row r="16587" spans="1:13" x14ac:dyDescent="0.25">
      <c r="A16587" s="1" t="str">
        <f>HYPERLINK("http://www.rosaceae.org/Prunus/Prunus_persica/p.persica_gdr_reftransV1_0024356","p.persica_gdr_reftransV1_0024356")</f>
        <v>p.persica_gdr_reftransV1_0024356</v>
      </c>
      <c r="B16587" s="3">
        <v>1956</v>
      </c>
      <c r="C16587" s="1" t="str">
        <f>HYPERLINK("http://www.uniprot.org/uniprot/FLXL2_ARATH","FLXL2_ARATH")</f>
        <v>FLXL2_ARATH</v>
      </c>
      <c r="D16587" t="s">
        <v>3668</v>
      </c>
      <c r="E16587" s="3" t="s">
        <v>3</v>
      </c>
      <c r="F16587" s="4">
        <v>3.0899999999999999E-102</v>
      </c>
      <c r="G16587" s="3">
        <v>826</v>
      </c>
      <c r="H16587" s="3">
        <v>67</v>
      </c>
      <c r="I16587" s="3">
        <v>244</v>
      </c>
      <c r="J16587" s="3">
        <v>927</v>
      </c>
      <c r="K16587" s="3">
        <v>1619</v>
      </c>
      <c r="L16587" s="3">
        <v>1</v>
      </c>
      <c r="M16587" s="3">
        <v>244</v>
      </c>
    </row>
    <row r="16588" spans="1:13" x14ac:dyDescent="0.25">
      <c r="A16588" s="1" t="str">
        <f>HYPERLINK("http://www.rosaceae.org/Prunus/Prunus_persica/p.persica_gdr_reftransV1_0024456","p.persica_gdr_reftransV1_0024456")</f>
        <v>p.persica_gdr_reftransV1_0024456</v>
      </c>
      <c r="B16588" s="3">
        <v>2465</v>
      </c>
      <c r="C16588" s="1" t="str">
        <f>HYPERLINK("http://www.uniprot.org/uniprot/VPS45_ARATH","VPS45_ARATH")</f>
        <v>VPS45_ARATH</v>
      </c>
      <c r="D16588" t="s">
        <v>10385</v>
      </c>
      <c r="E16588" s="3" t="s">
        <v>3</v>
      </c>
      <c r="F16588" s="4">
        <v>0</v>
      </c>
      <c r="G16588" s="3">
        <v>2584</v>
      </c>
      <c r="H16588" s="3">
        <v>86</v>
      </c>
      <c r="I16588" s="3">
        <v>566</v>
      </c>
      <c r="J16588" s="3">
        <v>486</v>
      </c>
      <c r="K16588" s="3">
        <v>2180</v>
      </c>
      <c r="L16588" s="3">
        <v>1</v>
      </c>
      <c r="M16588" s="3">
        <v>566</v>
      </c>
    </row>
    <row r="16589" spans="1:13" x14ac:dyDescent="0.25">
      <c r="A16589" s="1" t="str">
        <f>HYPERLINK("http://www.rosaceae.org/Prunus/Prunus_persica/p.persica_gdr_reftransV1_0024656","p.persica_gdr_reftransV1_0024656")</f>
        <v>p.persica_gdr_reftransV1_0024656</v>
      </c>
      <c r="B16589" s="3">
        <v>3588</v>
      </c>
      <c r="C16589" s="1" t="str">
        <f>HYPERLINK("http://www.uniprot.org/uniprot/FH3_ARATH","FH3_ARATH")</f>
        <v>FH3_ARATH</v>
      </c>
      <c r="D16589" t="s">
        <v>10386</v>
      </c>
      <c r="E16589" s="3" t="s">
        <v>3</v>
      </c>
      <c r="F16589" s="4">
        <v>1.1699999999999999E-177</v>
      </c>
      <c r="G16589" s="3">
        <v>1416</v>
      </c>
      <c r="H16589" s="3">
        <v>65</v>
      </c>
      <c r="I16589" s="3">
        <v>471</v>
      </c>
      <c r="J16589" s="3">
        <v>337</v>
      </c>
      <c r="K16589" s="3">
        <v>1737</v>
      </c>
      <c r="L16589" s="3">
        <v>308</v>
      </c>
      <c r="M16589" s="3">
        <v>770</v>
      </c>
    </row>
    <row r="16590" spans="1:13" x14ac:dyDescent="0.25">
      <c r="A16590" s="1" t="str">
        <f>HYPERLINK("http://www.rosaceae.org/Prunus/Prunus_persica/p.persica_gdr_reftransV1_0024856","p.persica_gdr_reftransV1_0024856")</f>
        <v>p.persica_gdr_reftransV1_0024856</v>
      </c>
      <c r="B16590" s="3">
        <v>1332</v>
      </c>
      <c r="C16590" s="1" t="str">
        <f>HYPERLINK("http://www.uniprot.org/uniprot/RGAP1_ARATH","RGAP1_ARATH")</f>
        <v>RGAP1_ARATH</v>
      </c>
      <c r="D16590" t="s">
        <v>6244</v>
      </c>
      <c r="E16590" s="3" t="s">
        <v>3</v>
      </c>
      <c r="F16590" s="4">
        <v>1.1799999999999999E-132</v>
      </c>
      <c r="G16590" s="3">
        <v>1021</v>
      </c>
      <c r="H16590" s="3">
        <v>73</v>
      </c>
      <c r="I16590" s="3">
        <v>274</v>
      </c>
      <c r="J16590" s="3">
        <v>513</v>
      </c>
      <c r="K16590" s="3">
        <v>1331</v>
      </c>
      <c r="L16590" s="3">
        <v>141</v>
      </c>
      <c r="M16590" s="3">
        <v>399</v>
      </c>
    </row>
    <row r="16591" spans="1:13" x14ac:dyDescent="0.25">
      <c r="A16591" s="1" t="str">
        <f>HYPERLINK("http://www.rosaceae.org/Prunus/Prunus_persica/p.persica_gdr_reftransV1_0025006","p.persica_gdr_reftransV1_0025006")</f>
        <v>p.persica_gdr_reftransV1_0025006</v>
      </c>
      <c r="B16591" s="3">
        <v>1145</v>
      </c>
      <c r="C16591" s="1" t="str">
        <f>HYPERLINK("http://www.uniprot.org/uniprot/LIMYB_ARATH","LIMYB_ARATH")</f>
        <v>LIMYB_ARATH</v>
      </c>
      <c r="D16591" t="s">
        <v>1896</v>
      </c>
      <c r="E16591" s="3" t="s">
        <v>3</v>
      </c>
      <c r="F16591" s="4">
        <v>8.7900000000000005E-20</v>
      </c>
      <c r="G16591" s="3">
        <v>232</v>
      </c>
      <c r="H16591" s="3">
        <v>27</v>
      </c>
      <c r="I16591" s="3">
        <v>297</v>
      </c>
      <c r="J16591" s="3">
        <v>140</v>
      </c>
      <c r="K16591" s="3">
        <v>1018</v>
      </c>
      <c r="L16591" s="3">
        <v>167</v>
      </c>
      <c r="M16591" s="3">
        <v>439</v>
      </c>
    </row>
    <row r="16592" spans="1:13" x14ac:dyDescent="0.25">
      <c r="A16592" s="1" t="str">
        <f>HYPERLINK("http://www.rosaceae.org/Prunus/Prunus_persica/p.persica_gdr_reftransV1_0025106","p.persica_gdr_reftransV1_0025106")</f>
        <v>p.persica_gdr_reftransV1_0025106</v>
      </c>
      <c r="B16592" s="3">
        <v>3653</v>
      </c>
      <c r="C16592" s="1" t="str">
        <f>HYPERLINK("http://www.uniprot.org/uniprot/SIPL4_ARATH","SIPL4_ARATH")</f>
        <v>SIPL4_ARATH</v>
      </c>
      <c r="D16592" t="s">
        <v>10387</v>
      </c>
      <c r="E16592" s="3" t="s">
        <v>3</v>
      </c>
      <c r="F16592" s="4">
        <v>0</v>
      </c>
      <c r="G16592" s="3">
        <v>1994</v>
      </c>
      <c r="H16592" s="3">
        <v>76</v>
      </c>
      <c r="I16592" s="3">
        <v>514</v>
      </c>
      <c r="J16592" s="3">
        <v>316</v>
      </c>
      <c r="K16592" s="3">
        <v>1857</v>
      </c>
      <c r="L16592" s="3">
        <v>26</v>
      </c>
      <c r="M16592" s="3">
        <v>539</v>
      </c>
    </row>
    <row r="16593" spans="1:13" x14ac:dyDescent="0.25">
      <c r="A16593" s="1" t="str">
        <f>HYPERLINK("http://www.rosaceae.org/Prunus/Prunus_persica/p.persica_gdr_reftransV1_0025306","p.persica_gdr_reftransV1_0025306")</f>
        <v>p.persica_gdr_reftransV1_0025306</v>
      </c>
      <c r="B16593" s="3">
        <v>6753</v>
      </c>
      <c r="C16593" s="1" t="str">
        <f>HYPERLINK("http://www.uniprot.org/uniprot/POLX_TOBAC","POLX_TOBAC")</f>
        <v>POLX_TOBAC</v>
      </c>
      <c r="D16593" t="s">
        <v>1253</v>
      </c>
      <c r="E16593" s="3" t="s">
        <v>200</v>
      </c>
      <c r="F16593" s="4">
        <v>2.1699999999999999E-90</v>
      </c>
      <c r="G16593" s="3">
        <v>804</v>
      </c>
      <c r="H16593" s="3">
        <v>35</v>
      </c>
      <c r="I16593" s="3">
        <v>551</v>
      </c>
      <c r="J16593" s="3">
        <v>941</v>
      </c>
      <c r="K16593" s="3">
        <v>2566</v>
      </c>
      <c r="L16593" s="3">
        <v>425</v>
      </c>
      <c r="M16593" s="3">
        <v>965</v>
      </c>
    </row>
    <row r="16594" spans="1:13" x14ac:dyDescent="0.25">
      <c r="A16594" s="1" t="str">
        <f>HYPERLINK("http://www.rosaceae.org/Prunus/Prunus_persica/p.persica_gdr_reftransV1_0025506","p.persica_gdr_reftransV1_0025506")</f>
        <v>p.persica_gdr_reftransV1_0025506</v>
      </c>
      <c r="B16594" s="3">
        <v>966</v>
      </c>
      <c r="C16594" s="1" t="str">
        <f>HYPERLINK("http://www.uniprot.org/uniprot/YIPL5_ARATH","YIPL5_ARATH")</f>
        <v>YIPL5_ARATH</v>
      </c>
      <c r="D16594" t="s">
        <v>10388</v>
      </c>
      <c r="E16594" s="3" t="s">
        <v>3</v>
      </c>
      <c r="F16594" s="4">
        <v>1.18E-38</v>
      </c>
      <c r="G16594" s="3">
        <v>348</v>
      </c>
      <c r="H16594" s="3">
        <v>59</v>
      </c>
      <c r="I16594" s="3">
        <v>98</v>
      </c>
      <c r="J16594" s="3">
        <v>400</v>
      </c>
      <c r="K16594" s="3">
        <v>693</v>
      </c>
      <c r="L16594" s="3">
        <v>8</v>
      </c>
      <c r="M16594" s="3">
        <v>105</v>
      </c>
    </row>
    <row r="16595" spans="1:13" x14ac:dyDescent="0.25">
      <c r="A16595" s="1" t="str">
        <f>HYPERLINK("http://www.rosaceae.org/Prunus/Prunus_persica/p.persica_gdr_reftransV1_0025606","p.persica_gdr_reftransV1_0025606")</f>
        <v>p.persica_gdr_reftransV1_0025606</v>
      </c>
      <c r="B16595" s="3">
        <v>2693</v>
      </c>
      <c r="C16595" s="1" t="str">
        <f>HYPERLINK("http://www.uniprot.org/uniprot/PAPS4_ARATH","PAPS4_ARATH")</f>
        <v>PAPS4_ARATH</v>
      </c>
      <c r="D16595" t="s">
        <v>4151</v>
      </c>
      <c r="E16595" s="3" t="s">
        <v>3</v>
      </c>
      <c r="F16595" s="4">
        <v>0</v>
      </c>
      <c r="G16595" s="3">
        <v>1489</v>
      </c>
      <c r="H16595" s="3">
        <v>76</v>
      </c>
      <c r="I16595" s="3">
        <v>373</v>
      </c>
      <c r="J16595" s="3">
        <v>1</v>
      </c>
      <c r="K16595" s="3">
        <v>1113</v>
      </c>
      <c r="L16595" s="3">
        <v>194</v>
      </c>
      <c r="M16595" s="3">
        <v>563</v>
      </c>
    </row>
    <row r="16596" spans="1:13" x14ac:dyDescent="0.25">
      <c r="A16596" s="1" t="str">
        <f>HYPERLINK("http://www.rosaceae.org/Prunus/Prunus_persica/p.persica_gdr_reftransV1_0025856","p.persica_gdr_reftransV1_0025856")</f>
        <v>p.persica_gdr_reftransV1_0025856</v>
      </c>
      <c r="B16596" s="3">
        <v>2305</v>
      </c>
      <c r="C16596" s="1" t="str">
        <f>HYPERLINK("http://www.uniprot.org/uniprot/ENO3_ARATH","ENO3_ARATH")</f>
        <v>ENO3_ARATH</v>
      </c>
      <c r="D16596" t="s">
        <v>10389</v>
      </c>
      <c r="E16596" s="3" t="s">
        <v>3</v>
      </c>
      <c r="F16596" s="4">
        <v>0</v>
      </c>
      <c r="G16596" s="3">
        <v>2086</v>
      </c>
      <c r="H16596" s="3">
        <v>76</v>
      </c>
      <c r="I16596" s="3">
        <v>508</v>
      </c>
      <c r="J16596" s="3">
        <v>423</v>
      </c>
      <c r="K16596" s="3">
        <v>1946</v>
      </c>
      <c r="L16596" s="3">
        <v>1</v>
      </c>
      <c r="M16596" s="3">
        <v>474</v>
      </c>
    </row>
    <row r="16597" spans="1:13" x14ac:dyDescent="0.25">
      <c r="A16597" s="1" t="str">
        <f>HYPERLINK("http://www.rosaceae.org/Prunus/Prunus_persica/p.persica_gdr_reftransV1_0025906","p.persica_gdr_reftransV1_0025906")</f>
        <v>p.persica_gdr_reftransV1_0025906</v>
      </c>
      <c r="B16597" s="3">
        <v>2360</v>
      </c>
      <c r="C16597" s="1" t="str">
        <f>HYPERLINK("http://www.uniprot.org/uniprot/ZDH11_ARATH","ZDH11_ARATH")</f>
        <v>ZDH11_ARATH</v>
      </c>
      <c r="D16597" t="s">
        <v>10390</v>
      </c>
      <c r="E16597" s="3" t="s">
        <v>3</v>
      </c>
      <c r="F16597" s="4">
        <v>4.76E-59</v>
      </c>
      <c r="G16597" s="3">
        <v>532</v>
      </c>
      <c r="H16597" s="3">
        <v>70</v>
      </c>
      <c r="I16597" s="3">
        <v>174</v>
      </c>
      <c r="J16597" s="3">
        <v>288</v>
      </c>
      <c r="K16597" s="3">
        <v>809</v>
      </c>
      <c r="L16597" s="3">
        <v>171</v>
      </c>
      <c r="M16597" s="3">
        <v>340</v>
      </c>
    </row>
    <row r="16598" spans="1:13" x14ac:dyDescent="0.25">
      <c r="A16598" s="1" t="str">
        <f>HYPERLINK("http://www.rosaceae.org/Prunus/Prunus_persica/p.persica_gdr_reftransV1_0026156","p.persica_gdr_reftransV1_0026156")</f>
        <v>p.persica_gdr_reftransV1_0026156</v>
      </c>
      <c r="B16598" s="3">
        <v>742</v>
      </c>
      <c r="C16598" s="1" t="str">
        <f>HYPERLINK("http://www.uniprot.org/uniprot/MATE4_ARATH","MATE4_ARATH")</f>
        <v>MATE4_ARATH</v>
      </c>
      <c r="D16598" t="s">
        <v>1845</v>
      </c>
      <c r="E16598" s="3" t="s">
        <v>3</v>
      </c>
      <c r="F16598" s="4">
        <v>9.9100000000000001E-36</v>
      </c>
      <c r="G16598" s="3">
        <v>345</v>
      </c>
      <c r="H16598" s="3">
        <v>62</v>
      </c>
      <c r="I16598" s="3">
        <v>127</v>
      </c>
      <c r="J16598" s="3">
        <v>3</v>
      </c>
      <c r="K16598" s="3">
        <v>383</v>
      </c>
      <c r="L16598" s="3">
        <v>426</v>
      </c>
      <c r="M16598" s="3">
        <v>552</v>
      </c>
    </row>
    <row r="16599" spans="1:13" x14ac:dyDescent="0.25">
      <c r="A16599" s="1" t="str">
        <f>HYPERLINK("http://www.rosaceae.org/Prunus/Prunus_persica/p.persica_gdr_reftransV1_0026406","p.persica_gdr_reftransV1_0026406")</f>
        <v>p.persica_gdr_reftransV1_0026406</v>
      </c>
      <c r="B16599" s="3">
        <v>5118</v>
      </c>
      <c r="C16599" s="1" t="str">
        <f>HYPERLINK("http://www.uniprot.org/uniprot/CPRF1_PETCR","CPRF1_PETCR")</f>
        <v>CPRF1_PETCR</v>
      </c>
      <c r="D16599" t="s">
        <v>3917</v>
      </c>
      <c r="E16599" s="3" t="s">
        <v>1040</v>
      </c>
      <c r="F16599" s="4">
        <v>3.29E-43</v>
      </c>
      <c r="G16599" s="3">
        <v>231</v>
      </c>
      <c r="H16599" s="3">
        <v>70</v>
      </c>
      <c r="I16599" s="3">
        <v>69</v>
      </c>
      <c r="J16599" s="3">
        <v>4154</v>
      </c>
      <c r="K16599" s="3">
        <v>4360</v>
      </c>
      <c r="L16599" s="3">
        <v>265</v>
      </c>
      <c r="M16599" s="3">
        <v>333</v>
      </c>
    </row>
    <row r="16600" spans="1:13" x14ac:dyDescent="0.25">
      <c r="A16600" s="1" t="str">
        <f>HYPERLINK("http://www.rosaceae.org/Prunus/Prunus_persica/p.persica_gdr_reftransV1_0026506","p.persica_gdr_reftransV1_0026506")</f>
        <v>p.persica_gdr_reftransV1_0026506</v>
      </c>
      <c r="B16600" s="3">
        <v>2345</v>
      </c>
      <c r="C16600" s="1" t="str">
        <f>HYPERLINK("http://www.uniprot.org/uniprot/MLO8_ARATH","MLO8_ARATH")</f>
        <v>MLO8_ARATH</v>
      </c>
      <c r="D16600" t="s">
        <v>10391</v>
      </c>
      <c r="E16600" s="3" t="s">
        <v>3</v>
      </c>
      <c r="F16600" s="4">
        <v>0</v>
      </c>
      <c r="G16600" s="3">
        <v>1863</v>
      </c>
      <c r="H16600" s="3">
        <v>66</v>
      </c>
      <c r="I16600" s="3">
        <v>569</v>
      </c>
      <c r="J16600" s="3">
        <v>296</v>
      </c>
      <c r="K16600" s="3">
        <v>1960</v>
      </c>
      <c r="L16600" s="3">
        <v>30</v>
      </c>
      <c r="M16600" s="3">
        <v>589</v>
      </c>
    </row>
    <row r="16601" spans="1:13" x14ac:dyDescent="0.25">
      <c r="A16601" s="1" t="str">
        <f>HYPERLINK("http://www.rosaceae.org/Prunus/Prunus_persica/p.persica_gdr_reftransV1_0026656","p.persica_gdr_reftransV1_0026656")</f>
        <v>p.persica_gdr_reftransV1_0026656</v>
      </c>
      <c r="B16601" s="3">
        <v>2513</v>
      </c>
      <c r="C16601" s="1" t="str">
        <f>HYPERLINK("http://www.uniprot.org/uniprot/MFAP1_CHICK","MFAP1_CHICK")</f>
        <v>MFAP1_CHICK</v>
      </c>
      <c r="D16601" t="s">
        <v>5824</v>
      </c>
      <c r="E16601" s="3" t="s">
        <v>1278</v>
      </c>
      <c r="F16601" s="4">
        <v>1.2200000000000001E-45</v>
      </c>
      <c r="G16601" s="3">
        <v>441</v>
      </c>
      <c r="H16601" s="3">
        <v>47</v>
      </c>
      <c r="I16601" s="3">
        <v>252</v>
      </c>
      <c r="J16601" s="3">
        <v>986</v>
      </c>
      <c r="K16601" s="3">
        <v>1726</v>
      </c>
      <c r="L16601" s="3">
        <v>202</v>
      </c>
      <c r="M16601" s="3">
        <v>439</v>
      </c>
    </row>
    <row r="16602" spans="1:13" x14ac:dyDescent="0.25">
      <c r="A16602" s="1" t="str">
        <f>HYPERLINK("http://www.rosaceae.org/Prunus/Prunus_persica/p.persica_gdr_reftransV1_0026806","p.persica_gdr_reftransV1_0026806")</f>
        <v>p.persica_gdr_reftransV1_0026806</v>
      </c>
      <c r="B16602" s="3">
        <v>2076</v>
      </c>
      <c r="C16602" s="1" t="str">
        <f>HYPERLINK("http://www.uniprot.org/uniprot/CUCM1_CUCME","CUCM1_CUCME")</f>
        <v>CUCM1_CUCME</v>
      </c>
      <c r="D16602" t="s">
        <v>265</v>
      </c>
      <c r="E16602" s="3" t="s">
        <v>266</v>
      </c>
      <c r="F16602" s="4">
        <v>0</v>
      </c>
      <c r="G16602" s="3">
        <v>1431</v>
      </c>
      <c r="H16602" s="3">
        <v>49</v>
      </c>
      <c r="I16602" s="3">
        <v>644</v>
      </c>
      <c r="J16602" s="3">
        <v>183</v>
      </c>
      <c r="K16602" s="3">
        <v>2075</v>
      </c>
      <c r="L16602" s="3">
        <v>100</v>
      </c>
      <c r="M16602" s="3">
        <v>730</v>
      </c>
    </row>
    <row r="16603" spans="1:13" x14ac:dyDescent="0.25">
      <c r="A16603" s="1" t="str">
        <f>HYPERLINK("http://www.rosaceae.org/Prunus/Prunus_persica/p.persica_gdr_reftransV1_0026906","p.persica_gdr_reftransV1_0026906")</f>
        <v>p.persica_gdr_reftransV1_0026906</v>
      </c>
      <c r="B16603" s="3">
        <v>844</v>
      </c>
      <c r="C16603" s="1" t="str">
        <f>HYPERLINK("http://www.uniprot.org/uniprot/RLF33_ARATH","RLF33_ARATH")</f>
        <v>RLF33_ARATH</v>
      </c>
      <c r="D16603" t="s">
        <v>4480</v>
      </c>
      <c r="E16603" s="3" t="s">
        <v>3</v>
      </c>
      <c r="F16603" s="4">
        <v>3.9399999999999998E-29</v>
      </c>
      <c r="G16603" s="3">
        <v>280</v>
      </c>
      <c r="H16603" s="3">
        <v>77</v>
      </c>
      <c r="I16603" s="3">
        <v>74</v>
      </c>
      <c r="J16603" s="3">
        <v>340</v>
      </c>
      <c r="K16603" s="3">
        <v>549</v>
      </c>
      <c r="L16603" s="3">
        <v>42</v>
      </c>
      <c r="M16603" s="3">
        <v>115</v>
      </c>
    </row>
    <row r="16604" spans="1:13" x14ac:dyDescent="0.25">
      <c r="A16604" s="1" t="str">
        <f>HYPERLINK("http://www.rosaceae.org/Prunus/Prunus_persica/p.persica_gdr_reftransV1_0027056","p.persica_gdr_reftransV1_0027056")</f>
        <v>p.persica_gdr_reftransV1_0027056</v>
      </c>
      <c r="B16604" s="3">
        <v>3602</v>
      </c>
      <c r="C16604" s="1" t="str">
        <f>HYPERLINK("http://www.uniprot.org/uniprot/SFH9_ARATH","SFH9_ARATH")</f>
        <v>SFH9_ARATH</v>
      </c>
      <c r="D16604" t="s">
        <v>10392</v>
      </c>
      <c r="E16604" s="3" t="s">
        <v>3</v>
      </c>
      <c r="F16604" s="4">
        <v>4.2000000000000002E-156</v>
      </c>
      <c r="G16604" s="3">
        <v>1251</v>
      </c>
      <c r="H16604" s="3">
        <v>68</v>
      </c>
      <c r="I16604" s="3">
        <v>348</v>
      </c>
      <c r="J16604" s="3">
        <v>359</v>
      </c>
      <c r="K16604" s="3">
        <v>1396</v>
      </c>
      <c r="L16604" s="3">
        <v>1</v>
      </c>
      <c r="M16604" s="3">
        <v>346</v>
      </c>
    </row>
    <row r="16605" spans="1:13" x14ac:dyDescent="0.25">
      <c r="A16605" s="1" t="str">
        <f>HYPERLINK("http://www.rosaceae.org/Prunus/Prunus_persica/p.persica_gdr_reftransV1_0027306","p.persica_gdr_reftransV1_0027306")</f>
        <v>p.persica_gdr_reftransV1_0027306</v>
      </c>
      <c r="B16605" s="3">
        <v>1246</v>
      </c>
      <c r="C16605" s="1" t="str">
        <f>HYPERLINK("http://www.uniprot.org/uniprot/ASIL2_ARATH","ASIL2_ARATH")</f>
        <v>ASIL2_ARATH</v>
      </c>
      <c r="D16605" t="s">
        <v>1243</v>
      </c>
      <c r="E16605" s="3" t="s">
        <v>3</v>
      </c>
      <c r="F16605" s="4">
        <v>3.1599999999999999E-12</v>
      </c>
      <c r="G16605" s="3">
        <v>174</v>
      </c>
      <c r="H16605" s="3">
        <v>36</v>
      </c>
      <c r="I16605" s="3">
        <v>138</v>
      </c>
      <c r="J16605" s="3">
        <v>710</v>
      </c>
      <c r="K16605" s="3">
        <v>1123</v>
      </c>
      <c r="L16605" s="3">
        <v>298</v>
      </c>
      <c r="M16605" s="3">
        <v>409</v>
      </c>
    </row>
    <row r="16606" spans="1:13" x14ac:dyDescent="0.25">
      <c r="A16606" s="1" t="str">
        <f>HYPERLINK("http://www.rosaceae.org/Prunus/Prunus_persica/p.persica_gdr_reftransV1_0027356","p.persica_gdr_reftransV1_0027356")</f>
        <v>p.persica_gdr_reftransV1_0027356</v>
      </c>
      <c r="B16606" s="3">
        <v>2246</v>
      </c>
      <c r="C16606" s="1" t="str">
        <f>HYPERLINK("http://www.uniprot.org/uniprot/AGO7_ARATH","AGO7_ARATH")</f>
        <v>AGO7_ARATH</v>
      </c>
      <c r="D16606" t="s">
        <v>2444</v>
      </c>
      <c r="E16606" s="3" t="s">
        <v>3</v>
      </c>
      <c r="F16606" s="4">
        <v>0</v>
      </c>
      <c r="G16606" s="3">
        <v>2748</v>
      </c>
      <c r="H16606" s="3">
        <v>74</v>
      </c>
      <c r="I16606" s="3">
        <v>683</v>
      </c>
      <c r="J16606" s="3">
        <v>3</v>
      </c>
      <c r="K16606" s="3">
        <v>2048</v>
      </c>
      <c r="L16606" s="3">
        <v>331</v>
      </c>
      <c r="M16606" s="3">
        <v>990</v>
      </c>
    </row>
    <row r="16607" spans="1:13" x14ac:dyDescent="0.25">
      <c r="A16607" s="1" t="str">
        <f>HYPERLINK("http://www.rosaceae.org/Prunus/Prunus_persica/p.persica_gdr_reftransV1_0027506","p.persica_gdr_reftransV1_0027506")</f>
        <v>p.persica_gdr_reftransV1_0027506</v>
      </c>
      <c r="B16607" s="3">
        <v>3311</v>
      </c>
      <c r="C16607" s="1" t="str">
        <f>HYPERLINK("http://www.uniprot.org/uniprot/UBP19_ARATH","UBP19_ARATH")</f>
        <v>UBP19_ARATH</v>
      </c>
      <c r="D16607" t="s">
        <v>10393</v>
      </c>
      <c r="E16607" s="3" t="s">
        <v>3</v>
      </c>
      <c r="F16607" s="4">
        <v>4.4699999999999997E-158</v>
      </c>
      <c r="G16607" s="3">
        <v>1266</v>
      </c>
      <c r="H16607" s="3">
        <v>62</v>
      </c>
      <c r="I16607" s="3">
        <v>389</v>
      </c>
      <c r="J16607" s="3">
        <v>1973</v>
      </c>
      <c r="K16607" s="3">
        <v>3103</v>
      </c>
      <c r="L16607" s="3">
        <v>1</v>
      </c>
      <c r="M16607" s="3">
        <v>387</v>
      </c>
    </row>
    <row r="16608" spans="1:13" x14ac:dyDescent="0.25">
      <c r="A16608" s="1" t="str">
        <f>HYPERLINK("http://www.rosaceae.org/Prunus/Prunus_persica/p.persica_gdr_reftransV1_0027706","p.persica_gdr_reftransV1_0027706")</f>
        <v>p.persica_gdr_reftransV1_0027706</v>
      </c>
      <c r="B16608" s="3">
        <v>1127</v>
      </c>
      <c r="C16608" s="1" t="str">
        <f>HYPERLINK("http://www.uniprot.org/uniprot/PARP2_MAIZE","PARP2_MAIZE")</f>
        <v>PARP2_MAIZE</v>
      </c>
      <c r="D16608" t="s">
        <v>8032</v>
      </c>
      <c r="E16608" s="3" t="s">
        <v>72</v>
      </c>
      <c r="F16608" s="4">
        <v>0</v>
      </c>
      <c r="G16608" s="3">
        <v>1413</v>
      </c>
      <c r="H16608" s="3">
        <v>69</v>
      </c>
      <c r="I16608" s="3">
        <v>371</v>
      </c>
      <c r="J16608" s="3">
        <v>3</v>
      </c>
      <c r="K16608" s="3">
        <v>1115</v>
      </c>
      <c r="L16608" s="3">
        <v>154</v>
      </c>
      <c r="M16608" s="3">
        <v>519</v>
      </c>
    </row>
    <row r="16609" spans="1:13" x14ac:dyDescent="0.25">
      <c r="A16609" s="1" t="str">
        <f>HYPERLINK("http://www.rosaceae.org/Prunus/Prunus_persica/p.persica_gdr_reftransV1_0028056","p.persica_gdr_reftransV1_0028056")</f>
        <v>p.persica_gdr_reftransV1_0028056</v>
      </c>
      <c r="B16609" s="3">
        <v>612</v>
      </c>
      <c r="C16609" s="1" t="str">
        <f>HYPERLINK("http://www.uniprot.org/uniprot/HSP12_MEDSA","HSP12_MEDSA")</f>
        <v>HSP12_MEDSA</v>
      </c>
      <c r="D16609" t="s">
        <v>10394</v>
      </c>
      <c r="E16609" s="3" t="s">
        <v>515</v>
      </c>
      <c r="F16609" s="4">
        <v>3.7299999999999999E-50</v>
      </c>
      <c r="G16609" s="3">
        <v>420</v>
      </c>
      <c r="H16609" s="3">
        <v>52</v>
      </c>
      <c r="I16609" s="3">
        <v>163</v>
      </c>
      <c r="J16609" s="3">
        <v>56</v>
      </c>
      <c r="K16609" s="3">
        <v>511</v>
      </c>
      <c r="L16609" s="3">
        <v>1</v>
      </c>
      <c r="M16609" s="3">
        <v>158</v>
      </c>
    </row>
    <row r="16610" spans="1:13" x14ac:dyDescent="0.25">
      <c r="A16610" s="1" t="str">
        <f>HYPERLINK("http://www.rosaceae.org/Prunus/Prunus_persica/p.persica_gdr_reftransV1_0028256","p.persica_gdr_reftransV1_0028256")</f>
        <v>p.persica_gdr_reftransV1_0028256</v>
      </c>
      <c r="B16610" s="3">
        <v>6326</v>
      </c>
      <c r="C16610" s="1" t="str">
        <f>HYPERLINK("http://www.uniprot.org/uniprot/SCY1_ARATH","SCY1_ARATH")</f>
        <v>SCY1_ARATH</v>
      </c>
      <c r="D16610" t="s">
        <v>9857</v>
      </c>
      <c r="E16610" s="3" t="s">
        <v>3</v>
      </c>
      <c r="F16610" s="4">
        <v>3.1700000000000001E-83</v>
      </c>
      <c r="G16610" s="3">
        <v>746</v>
      </c>
      <c r="H16610" s="3">
        <v>73</v>
      </c>
      <c r="I16610" s="3">
        <v>216</v>
      </c>
      <c r="J16610" s="3">
        <v>180</v>
      </c>
      <c r="K16610" s="3">
        <v>821</v>
      </c>
      <c r="L16610" s="3">
        <v>43</v>
      </c>
      <c r="M16610" s="3">
        <v>249</v>
      </c>
    </row>
    <row r="16611" spans="1:13" x14ac:dyDescent="0.25">
      <c r="A16611" s="1" t="str">
        <f>HYPERLINK("http://www.rosaceae.org/Prunus/Prunus_persica/p.persica_gdr_reftransV1_0028406","p.persica_gdr_reftransV1_0028406")</f>
        <v>p.persica_gdr_reftransV1_0028406</v>
      </c>
      <c r="B16611" s="3">
        <v>1482</v>
      </c>
      <c r="C16611" s="1" t="str">
        <f>HYPERLINK("http://www.uniprot.org/uniprot/DRG3_ARATH","DRG3_ARATH")</f>
        <v>DRG3_ARATH</v>
      </c>
      <c r="D16611" t="s">
        <v>10168</v>
      </c>
      <c r="E16611" s="3" t="s">
        <v>3</v>
      </c>
      <c r="F16611" s="4">
        <v>4.1099999999999998E-155</v>
      </c>
      <c r="G16611" s="3">
        <v>1165</v>
      </c>
      <c r="H16611" s="3">
        <v>92</v>
      </c>
      <c r="I16611" s="3">
        <v>235</v>
      </c>
      <c r="J16611" s="3">
        <v>408</v>
      </c>
      <c r="K16611" s="3">
        <v>1112</v>
      </c>
      <c r="L16611" s="3">
        <v>135</v>
      </c>
      <c r="M16611" s="3">
        <v>369</v>
      </c>
    </row>
    <row r="16612" spans="1:13" x14ac:dyDescent="0.25">
      <c r="A16612" s="1" t="str">
        <f>HYPERLINK("http://www.rosaceae.org/Prunus/Prunus_persica/p.persica_gdr_reftransV1_0028456","p.persica_gdr_reftransV1_0028456")</f>
        <v>p.persica_gdr_reftransV1_0028456</v>
      </c>
      <c r="B16612" s="3">
        <v>2519</v>
      </c>
      <c r="C16612" s="1" t="str">
        <f>HYPERLINK("http://www.uniprot.org/uniprot/TMN8_ARATH","TMN8_ARATH")</f>
        <v>TMN8_ARATH</v>
      </c>
      <c r="D16612" t="s">
        <v>10395</v>
      </c>
      <c r="E16612" s="3" t="s">
        <v>3</v>
      </c>
      <c r="F16612" s="4">
        <v>0</v>
      </c>
      <c r="G16612" s="3">
        <v>2734</v>
      </c>
      <c r="H16612" s="3">
        <v>87</v>
      </c>
      <c r="I16612" s="3">
        <v>627</v>
      </c>
      <c r="J16612" s="3">
        <v>367</v>
      </c>
      <c r="K16612" s="3">
        <v>2244</v>
      </c>
      <c r="L16612" s="3">
        <v>23</v>
      </c>
      <c r="M16612" s="3">
        <v>648</v>
      </c>
    </row>
    <row r="16613" spans="1:13" x14ac:dyDescent="0.25">
      <c r="A16613" s="1" t="str">
        <f>HYPERLINK("http://www.rosaceae.org/Prunus/Prunus_persica/p.persica_gdr_reftransV1_0028506","p.persica_gdr_reftransV1_0028506")</f>
        <v>p.persica_gdr_reftransV1_0028506</v>
      </c>
      <c r="B16613" s="3">
        <v>1862</v>
      </c>
      <c r="C16613" s="1" t="str">
        <f>HYPERLINK("http://www.uniprot.org/uniprot/PP439_ARATH","PP439_ARATH")</f>
        <v>PP439_ARATH</v>
      </c>
      <c r="D16613" t="s">
        <v>10396</v>
      </c>
      <c r="E16613" s="3" t="s">
        <v>3</v>
      </c>
      <c r="F16613" s="4">
        <v>0</v>
      </c>
      <c r="G16613" s="3">
        <v>1486</v>
      </c>
      <c r="H16613" s="3">
        <v>64</v>
      </c>
      <c r="I16613" s="3">
        <v>415</v>
      </c>
      <c r="J16613" s="3">
        <v>613</v>
      </c>
      <c r="K16613" s="3">
        <v>1857</v>
      </c>
      <c r="L16613" s="3">
        <v>37</v>
      </c>
      <c r="M16613" s="3">
        <v>451</v>
      </c>
    </row>
    <row r="16614" spans="1:13" x14ac:dyDescent="0.25">
      <c r="A16614" s="1" t="str">
        <f>HYPERLINK("http://www.rosaceae.org/Prunus/Prunus_persica/p.persica_gdr_reftransV1_0028906","p.persica_gdr_reftransV1_0028906")</f>
        <v>p.persica_gdr_reftransV1_0028906</v>
      </c>
      <c r="B16614" s="3">
        <v>1249</v>
      </c>
      <c r="C16614" s="1" t="str">
        <f>HYPERLINK("http://www.uniprot.org/uniprot/VP241_ARATH","VP241_ARATH")</f>
        <v>VP241_ARATH</v>
      </c>
      <c r="D16614" t="s">
        <v>3486</v>
      </c>
      <c r="E16614" s="3" t="s">
        <v>3</v>
      </c>
      <c r="F16614" s="4">
        <v>8.9500000000000003E-92</v>
      </c>
      <c r="G16614" s="3">
        <v>724</v>
      </c>
      <c r="H16614" s="3">
        <v>85</v>
      </c>
      <c r="I16614" s="3">
        <v>179</v>
      </c>
      <c r="J16614" s="3">
        <v>553</v>
      </c>
      <c r="K16614" s="3">
        <v>1089</v>
      </c>
      <c r="L16614" s="3">
        <v>16</v>
      </c>
      <c r="M16614" s="3">
        <v>194</v>
      </c>
    </row>
    <row r="16615" spans="1:13" x14ac:dyDescent="0.25">
      <c r="A16615" s="1" t="str">
        <f>HYPERLINK("http://www.rosaceae.org/Prunus/Prunus_persica/p.persica_gdr_reftransV1_0028956","p.persica_gdr_reftransV1_0028956")</f>
        <v>p.persica_gdr_reftransV1_0028956</v>
      </c>
      <c r="B16615" s="3">
        <v>2446</v>
      </c>
      <c r="C16615" s="1" t="str">
        <f>HYPERLINK("http://www.uniprot.org/uniprot/P2C60_ORYSJ","P2C60_ORYSJ")</f>
        <v>P2C60_ORYSJ</v>
      </c>
      <c r="D16615" t="s">
        <v>3375</v>
      </c>
      <c r="E16615" s="3" t="s">
        <v>38</v>
      </c>
      <c r="F16615" s="4">
        <v>3.2799999999999998E-124</v>
      </c>
      <c r="G16615" s="3">
        <v>990</v>
      </c>
      <c r="H16615" s="3">
        <v>77</v>
      </c>
      <c r="I16615" s="3">
        <v>230</v>
      </c>
      <c r="J16615" s="3">
        <v>508</v>
      </c>
      <c r="K16615" s="3">
        <v>1197</v>
      </c>
      <c r="L16615" s="3">
        <v>1</v>
      </c>
      <c r="M16615" s="3">
        <v>230</v>
      </c>
    </row>
    <row r="16616" spans="1:13" x14ac:dyDescent="0.25">
      <c r="A16616" s="1" t="str">
        <f>HYPERLINK("http://www.rosaceae.org/Prunus/Prunus_persica/p.persica_gdr_reftransV1_0029006","p.persica_gdr_reftransV1_0029006")</f>
        <v>p.persica_gdr_reftransV1_0029006</v>
      </c>
      <c r="B16616" s="3">
        <v>2540</v>
      </c>
      <c r="C16616" s="1" t="str">
        <f>HYPERLINK("http://www.uniprot.org/uniprot/GPDL2_ARATH","GPDL2_ARATH")</f>
        <v>GPDL2_ARATH</v>
      </c>
      <c r="D16616" t="s">
        <v>3941</v>
      </c>
      <c r="E16616" s="3" t="s">
        <v>3</v>
      </c>
      <c r="F16616" s="4">
        <v>1.44E-98</v>
      </c>
      <c r="G16616" s="3">
        <v>866</v>
      </c>
      <c r="H16616" s="3">
        <v>50</v>
      </c>
      <c r="I16616" s="3">
        <v>329</v>
      </c>
      <c r="J16616" s="3">
        <v>331</v>
      </c>
      <c r="K16616" s="3">
        <v>1296</v>
      </c>
      <c r="L16616" s="3">
        <v>787</v>
      </c>
      <c r="M16616" s="3">
        <v>1110</v>
      </c>
    </row>
    <row r="16617" spans="1:13" x14ac:dyDescent="0.25">
      <c r="A16617" s="1" t="str">
        <f>HYPERLINK("http://www.rosaceae.org/Prunus/Prunus_persica/p.persica_gdr_reftransV1_0029156","p.persica_gdr_reftransV1_0029156")</f>
        <v>p.persica_gdr_reftransV1_0029156</v>
      </c>
      <c r="B16617" s="3">
        <v>2330</v>
      </c>
      <c r="C16617" s="1" t="str">
        <f>HYPERLINK("http://www.uniprot.org/uniprot/HAT5_ARATH","HAT5_ARATH")</f>
        <v>HAT5_ARATH</v>
      </c>
      <c r="D16617" t="s">
        <v>2876</v>
      </c>
      <c r="E16617" s="3" t="s">
        <v>3</v>
      </c>
      <c r="F16617" s="4">
        <v>3.2000000000000002E-36</v>
      </c>
      <c r="G16617" s="3">
        <v>359</v>
      </c>
      <c r="H16617" s="3">
        <v>66</v>
      </c>
      <c r="I16617" s="3">
        <v>169</v>
      </c>
      <c r="J16617" s="3">
        <v>602</v>
      </c>
      <c r="K16617" s="3">
        <v>1108</v>
      </c>
      <c r="L16617" s="3">
        <v>1</v>
      </c>
      <c r="M16617" s="3">
        <v>160</v>
      </c>
    </row>
    <row r="16618" spans="1:13" x14ac:dyDescent="0.25">
      <c r="A16618" s="1" t="str">
        <f>HYPERLINK("http://www.rosaceae.org/Prunus/Prunus_persica/p.persica_gdr_reftransV1_0029206","p.persica_gdr_reftransV1_0029206")</f>
        <v>p.persica_gdr_reftransV1_0029206</v>
      </c>
      <c r="B16618" s="3">
        <v>4884</v>
      </c>
      <c r="C16618" s="1" t="str">
        <f>HYPERLINK("http://www.uniprot.org/uniprot/Cid7_ARATH","Cid7_ARATH")</f>
        <v>Cid7_ARATH</v>
      </c>
      <c r="D16618" t="s">
        <v>9243</v>
      </c>
      <c r="E16618" s="3" t="s">
        <v>3</v>
      </c>
      <c r="F16618" s="4">
        <v>1.0800000000000001E-120</v>
      </c>
      <c r="G16618" s="3">
        <v>1020</v>
      </c>
      <c r="H16618" s="3">
        <v>49</v>
      </c>
      <c r="I16618" s="3">
        <v>505</v>
      </c>
      <c r="J16618" s="3">
        <v>2010</v>
      </c>
      <c r="K16618" s="3">
        <v>3500</v>
      </c>
      <c r="L16618" s="3">
        <v>1</v>
      </c>
      <c r="M16618" s="3">
        <v>429</v>
      </c>
    </row>
    <row r="16619" spans="1:13" x14ac:dyDescent="0.25">
      <c r="A16619" s="1" t="str">
        <f>HYPERLINK("http://www.rosaceae.org/Prunus/Prunus_persica/p.persica_gdr_reftransV1_0029306","p.persica_gdr_reftransV1_0029306")</f>
        <v>p.persica_gdr_reftransV1_0029306</v>
      </c>
      <c r="B16619" s="3">
        <v>2912</v>
      </c>
      <c r="C16619" s="1" t="str">
        <f>HYPERLINK("http://www.uniprot.org/uniprot/OBE2_ARATH","OBE2_ARATH")</f>
        <v>OBE2_ARATH</v>
      </c>
      <c r="D16619" t="s">
        <v>10320</v>
      </c>
      <c r="E16619" s="3" t="s">
        <v>3</v>
      </c>
      <c r="F16619" s="4">
        <v>0</v>
      </c>
      <c r="G16619" s="3">
        <v>2100</v>
      </c>
      <c r="H16619" s="3">
        <v>71</v>
      </c>
      <c r="I16619" s="3">
        <v>593</v>
      </c>
      <c r="J16619" s="3">
        <v>216</v>
      </c>
      <c r="K16619" s="3">
        <v>1973</v>
      </c>
      <c r="L16619" s="3">
        <v>1</v>
      </c>
      <c r="M16619" s="3">
        <v>574</v>
      </c>
    </row>
    <row r="16620" spans="1:13" x14ac:dyDescent="0.25">
      <c r="A16620" s="1" t="str">
        <f>HYPERLINK("http://www.rosaceae.org/Prunus/Prunus_persica/p.persica_gdr_reftransV1_0029456","p.persica_gdr_reftransV1_0029456")</f>
        <v>p.persica_gdr_reftransV1_0029456</v>
      </c>
      <c r="B16620" s="3">
        <v>2658</v>
      </c>
      <c r="C16620" s="1" t="str">
        <f>HYPERLINK("http://www.uniprot.org/uniprot/PPA26_ARATH","PPA26_ARATH")</f>
        <v>PPA26_ARATH</v>
      </c>
      <c r="D16620" t="s">
        <v>10397</v>
      </c>
      <c r="E16620" s="3" t="s">
        <v>3</v>
      </c>
      <c r="F16620" s="4">
        <v>1.64E-150</v>
      </c>
      <c r="G16620" s="3">
        <v>1180</v>
      </c>
      <c r="H16620" s="3">
        <v>74</v>
      </c>
      <c r="I16620" s="3">
        <v>287</v>
      </c>
      <c r="J16620" s="3">
        <v>523</v>
      </c>
      <c r="K16620" s="3">
        <v>1383</v>
      </c>
      <c r="L16620" s="3">
        <v>3</v>
      </c>
      <c r="M16620" s="3">
        <v>286</v>
      </c>
    </row>
    <row r="16621" spans="1:13" x14ac:dyDescent="0.25">
      <c r="A16621" s="1" t="str">
        <f>HYPERLINK("http://www.rosaceae.org/Prunus/Prunus_persica/p.persica_gdr_reftransV1_0029656","p.persica_gdr_reftransV1_0029656")</f>
        <v>p.persica_gdr_reftransV1_0029656</v>
      </c>
      <c r="B16621" s="3">
        <v>2785</v>
      </c>
      <c r="C16621" s="1" t="str">
        <f>HYPERLINK("http://www.uniprot.org/uniprot/CMT2_ARATH","CMT2_ARATH")</f>
        <v>CMT2_ARATH</v>
      </c>
      <c r="D16621" t="s">
        <v>3833</v>
      </c>
      <c r="E16621" s="3" t="s">
        <v>3</v>
      </c>
      <c r="F16621" s="4">
        <v>0</v>
      </c>
      <c r="G16621" s="3">
        <v>2483</v>
      </c>
      <c r="H16621" s="3">
        <v>63</v>
      </c>
      <c r="I16621" s="3">
        <v>744</v>
      </c>
      <c r="J16621" s="3">
        <v>2</v>
      </c>
      <c r="K16621" s="3">
        <v>2215</v>
      </c>
      <c r="L16621" s="3">
        <v>503</v>
      </c>
      <c r="M16621" s="3">
        <v>1233</v>
      </c>
    </row>
    <row r="16622" spans="1:13" x14ac:dyDescent="0.25">
      <c r="A16622" s="1" t="str">
        <f>HYPERLINK("http://www.rosaceae.org/Prunus/Prunus_persica/p.persica_gdr_reftransV1_0029806","p.persica_gdr_reftransV1_0029806")</f>
        <v>p.persica_gdr_reftransV1_0029806</v>
      </c>
      <c r="B16622" s="3">
        <v>4679</v>
      </c>
      <c r="C16622" s="1" t="str">
        <f>HYPERLINK("http://www.uniprot.org/uniprot/GAUTE_ARATH","GAUTE_ARATH")</f>
        <v>GAUTE_ARATH</v>
      </c>
      <c r="D16622" t="s">
        <v>10398</v>
      </c>
      <c r="E16622" s="3" t="s">
        <v>3</v>
      </c>
      <c r="F16622" s="4">
        <v>7.9000000000000004E-129</v>
      </c>
      <c r="G16622" s="3">
        <v>1074</v>
      </c>
      <c r="H16622" s="3">
        <v>84</v>
      </c>
      <c r="I16622" s="3">
        <v>261</v>
      </c>
      <c r="J16622" s="3">
        <v>1838</v>
      </c>
      <c r="K16622" s="3">
        <v>2620</v>
      </c>
      <c r="L16622" s="3">
        <v>85</v>
      </c>
      <c r="M16622" s="3">
        <v>343</v>
      </c>
    </row>
    <row r="16623" spans="1:13" x14ac:dyDescent="0.25">
      <c r="A16623" s="1" t="str">
        <f>HYPERLINK("http://www.rosaceae.org/Prunus/Prunus_persica/p.persica_gdr_reftransV1_0029906","p.persica_gdr_reftransV1_0029906")</f>
        <v>p.persica_gdr_reftransV1_0029906</v>
      </c>
      <c r="B16623" s="3">
        <v>2645</v>
      </c>
      <c r="C16623" s="1" t="str">
        <f>HYPERLINK("http://www.uniprot.org/uniprot/RNF12_HUMAN","RNF12_HUMAN")</f>
        <v>RNF12_HUMAN</v>
      </c>
      <c r="D16623" t="s">
        <v>10399</v>
      </c>
      <c r="E16623" s="3" t="s">
        <v>28</v>
      </c>
      <c r="F16623" s="4">
        <v>1.4100000000000001E-9</v>
      </c>
      <c r="G16623" s="3">
        <v>158</v>
      </c>
      <c r="H16623" s="3">
        <v>44</v>
      </c>
      <c r="I16623" s="3">
        <v>64</v>
      </c>
      <c r="J16623" s="3">
        <v>2015</v>
      </c>
      <c r="K16623" s="3">
        <v>2206</v>
      </c>
      <c r="L16623" s="3">
        <v>554</v>
      </c>
      <c r="M16623" s="3">
        <v>608</v>
      </c>
    </row>
    <row r="16624" spans="1:13" x14ac:dyDescent="0.25">
      <c r="A16624" s="1" t="str">
        <f>HYPERLINK("http://www.rosaceae.org/Prunus/Prunus_persica/p.persica_gdr_reftransV1_0030256","p.persica_gdr_reftransV1_0030256")</f>
        <v>p.persica_gdr_reftransV1_0030256</v>
      </c>
      <c r="B16624" s="3">
        <v>1287</v>
      </c>
      <c r="C16624" s="1" t="str">
        <f>HYPERLINK("http://www.uniprot.org/uniprot/E134_MAIZE","E134_MAIZE")</f>
        <v>E134_MAIZE</v>
      </c>
      <c r="D16624" t="s">
        <v>849</v>
      </c>
      <c r="E16624" s="3" t="s">
        <v>72</v>
      </c>
      <c r="F16624" s="4">
        <v>1.1800000000000001E-43</v>
      </c>
      <c r="G16624" s="3">
        <v>405</v>
      </c>
      <c r="H16624" s="3">
        <v>45</v>
      </c>
      <c r="I16624" s="3">
        <v>197</v>
      </c>
      <c r="J16624" s="3">
        <v>180</v>
      </c>
      <c r="K16624" s="3">
        <v>752</v>
      </c>
      <c r="L16624" s="3">
        <v>28</v>
      </c>
      <c r="M16624" s="3">
        <v>219</v>
      </c>
    </row>
    <row r="16625" spans="1:13" x14ac:dyDescent="0.25">
      <c r="A16625" s="1" t="str">
        <f>HYPERLINK("http://www.rosaceae.org/Prunus/Prunus_persica/p.persica_gdr_reftransV1_0030406","p.persica_gdr_reftransV1_0030406")</f>
        <v>p.persica_gdr_reftransV1_0030406</v>
      </c>
      <c r="B16625" s="3">
        <v>3123</v>
      </c>
      <c r="C16625" s="1" t="str">
        <f>HYPERLINK("http://www.uniprot.org/uniprot/XPO7_CHICK","XPO7_CHICK")</f>
        <v>XPO7_CHICK</v>
      </c>
      <c r="D16625" t="s">
        <v>7077</v>
      </c>
      <c r="E16625" s="3" t="s">
        <v>1278</v>
      </c>
      <c r="F16625" s="4">
        <v>0</v>
      </c>
      <c r="G16625" s="3">
        <v>1507</v>
      </c>
      <c r="H16625" s="3">
        <v>43</v>
      </c>
      <c r="I16625" s="3">
        <v>738</v>
      </c>
      <c r="J16625" s="3">
        <v>583</v>
      </c>
      <c r="K16625" s="3">
        <v>2742</v>
      </c>
      <c r="L16625" s="3">
        <v>342</v>
      </c>
      <c r="M16625" s="3">
        <v>1068</v>
      </c>
    </row>
    <row r="16626" spans="1:13" x14ac:dyDescent="0.25">
      <c r="A16626" s="1" t="str">
        <f>HYPERLINK("http://www.rosaceae.org/Prunus/Prunus_persica/p.persica_gdr_reftransV1_0030606","p.persica_gdr_reftransV1_0030606")</f>
        <v>p.persica_gdr_reftransV1_0030606</v>
      </c>
      <c r="B16626" s="3">
        <v>4378</v>
      </c>
      <c r="C16626" s="1" t="str">
        <f>HYPERLINK("http://www.uniprot.org/uniprot/UBP26_ARATH","UBP26_ARATH")</f>
        <v>UBP26_ARATH</v>
      </c>
      <c r="D16626" t="s">
        <v>10400</v>
      </c>
      <c r="E16626" s="3" t="s">
        <v>3</v>
      </c>
      <c r="F16626" s="4">
        <v>0</v>
      </c>
      <c r="G16626" s="3">
        <v>2247</v>
      </c>
      <c r="H16626" s="3">
        <v>57</v>
      </c>
      <c r="I16626" s="3">
        <v>783</v>
      </c>
      <c r="J16626" s="3">
        <v>524</v>
      </c>
      <c r="K16626" s="3">
        <v>2848</v>
      </c>
      <c r="L16626" s="3">
        <v>310</v>
      </c>
      <c r="M16626" s="3">
        <v>1066</v>
      </c>
    </row>
    <row r="16627" spans="1:13" x14ac:dyDescent="0.25">
      <c r="A16627" s="1" t="str">
        <f>HYPERLINK("http://www.rosaceae.org/Prunus/Prunus_persica/p.persica_gdr_reftransV1_0030856","p.persica_gdr_reftransV1_0030856")</f>
        <v>p.persica_gdr_reftransV1_0030856</v>
      </c>
      <c r="B16627" s="3">
        <v>2254</v>
      </c>
      <c r="C16627" s="1" t="str">
        <f>HYPERLINK("http://www.uniprot.org/uniprot/LPP3_ARATH","LPP3_ARATH")</f>
        <v>LPP3_ARATH</v>
      </c>
      <c r="D16627" t="s">
        <v>386</v>
      </c>
      <c r="E16627" s="3" t="s">
        <v>3</v>
      </c>
      <c r="F16627" s="4">
        <v>4.6499999999999998E-93</v>
      </c>
      <c r="G16627" s="3">
        <v>771</v>
      </c>
      <c r="H16627" s="3">
        <v>68</v>
      </c>
      <c r="I16627" s="3">
        <v>214</v>
      </c>
      <c r="J16627" s="3">
        <v>114</v>
      </c>
      <c r="K16627" s="3">
        <v>755</v>
      </c>
      <c r="L16627" s="3">
        <v>5</v>
      </c>
      <c r="M16627" s="3">
        <v>218</v>
      </c>
    </row>
    <row r="16628" spans="1:13" x14ac:dyDescent="0.25">
      <c r="A16628" s="1" t="str">
        <f>HYPERLINK("http://www.rosaceae.org/Prunus/Prunus_persica/p.persica_gdr_reftransV1_0031656","p.persica_gdr_reftransV1_0031656")</f>
        <v>p.persica_gdr_reftransV1_0031656</v>
      </c>
      <c r="B16628" s="3">
        <v>1174</v>
      </c>
      <c r="C16628" s="1" t="str">
        <f>HYPERLINK("http://www.uniprot.org/uniprot/SFT2B_HUMAN","SFT2B_HUMAN")</f>
        <v>SFT2B_HUMAN</v>
      </c>
      <c r="D16628" t="s">
        <v>6582</v>
      </c>
      <c r="E16628" s="3" t="s">
        <v>28</v>
      </c>
      <c r="F16628" s="4">
        <v>1.3E-24</v>
      </c>
      <c r="G16628" s="3">
        <v>255</v>
      </c>
      <c r="H16628" s="3">
        <v>37</v>
      </c>
      <c r="I16628" s="3">
        <v>150</v>
      </c>
      <c r="J16628" s="3">
        <v>605</v>
      </c>
      <c r="K16628" s="3">
        <v>1042</v>
      </c>
      <c r="L16628" s="3">
        <v>9</v>
      </c>
      <c r="M16628" s="3">
        <v>158</v>
      </c>
    </row>
    <row r="16629" spans="1:13" x14ac:dyDescent="0.25">
      <c r="A16629" s="1" t="str">
        <f>HYPERLINK("http://www.rosaceae.org/Prunus/Prunus_persica/p.persica_gdr_reftransV1_0031806","p.persica_gdr_reftransV1_0031806")</f>
        <v>p.persica_gdr_reftransV1_0031806</v>
      </c>
      <c r="B16629" s="3">
        <v>3294</v>
      </c>
      <c r="C16629" s="1" t="str">
        <f>HYPERLINK("http://www.uniprot.org/uniprot/ODP23_ARATH","ODP23_ARATH")</f>
        <v>ODP23_ARATH</v>
      </c>
      <c r="D16629" t="s">
        <v>10401</v>
      </c>
      <c r="E16629" s="3" t="s">
        <v>3</v>
      </c>
      <c r="F16629" s="4">
        <v>0</v>
      </c>
      <c r="G16629" s="3">
        <v>1636</v>
      </c>
      <c r="H16629" s="3">
        <v>70</v>
      </c>
      <c r="I16629" s="3">
        <v>461</v>
      </c>
      <c r="J16629" s="3">
        <v>1524</v>
      </c>
      <c r="K16629" s="3">
        <v>2900</v>
      </c>
      <c r="L16629" s="3">
        <v>106</v>
      </c>
      <c r="M16629" s="3">
        <v>539</v>
      </c>
    </row>
    <row r="16630" spans="1:13" x14ac:dyDescent="0.25">
      <c r="A16630" s="1" t="str">
        <f>HYPERLINK("http://www.rosaceae.org/Prunus/Prunus_persica/p.persica_gdr_reftransV1_0032056","p.persica_gdr_reftransV1_0032056")</f>
        <v>p.persica_gdr_reftransV1_0032056</v>
      </c>
      <c r="B16630" s="3">
        <v>813</v>
      </c>
      <c r="C16630" s="1" t="str">
        <f>HYPERLINK("http://www.uniprot.org/uniprot/ACO13_PONAB","ACO13_PONAB")</f>
        <v>ACO13_PONAB</v>
      </c>
      <c r="D16630" t="s">
        <v>666</v>
      </c>
      <c r="E16630" s="3" t="s">
        <v>176</v>
      </c>
      <c r="F16630" s="4">
        <v>3.22E-12</v>
      </c>
      <c r="G16630" s="3">
        <v>160</v>
      </c>
      <c r="H16630" s="3">
        <v>43</v>
      </c>
      <c r="I16630" s="3">
        <v>102</v>
      </c>
      <c r="J16630" s="3">
        <v>284</v>
      </c>
      <c r="K16630" s="3">
        <v>583</v>
      </c>
      <c r="L16630" s="3">
        <v>35</v>
      </c>
      <c r="M16630" s="3">
        <v>135</v>
      </c>
    </row>
    <row r="16631" spans="1:13" x14ac:dyDescent="0.25">
      <c r="A16631" s="1" t="str">
        <f>HYPERLINK("http://www.rosaceae.org/Prunus/Prunus_persica/p.persica_gdr_reftransV1_0032256","p.persica_gdr_reftransV1_0032256")</f>
        <v>p.persica_gdr_reftransV1_0032256</v>
      </c>
      <c r="B16631" s="3">
        <v>2666</v>
      </c>
      <c r="C16631" s="1" t="str">
        <f>HYPERLINK("http://www.uniprot.org/uniprot/SSY4_ARATH","SSY4_ARATH")</f>
        <v>SSY4_ARATH</v>
      </c>
      <c r="D16631" t="s">
        <v>6124</v>
      </c>
      <c r="E16631" s="3" t="s">
        <v>3</v>
      </c>
      <c r="F16631" s="4">
        <v>3.8199999999999999E-118</v>
      </c>
      <c r="G16631" s="3">
        <v>669</v>
      </c>
      <c r="H16631" s="3">
        <v>48</v>
      </c>
      <c r="I16631" s="3">
        <v>255</v>
      </c>
      <c r="J16631" s="3">
        <v>425</v>
      </c>
      <c r="K16631" s="3">
        <v>1186</v>
      </c>
      <c r="L16631" s="3">
        <v>778</v>
      </c>
      <c r="M16631" s="3">
        <v>1026</v>
      </c>
    </row>
    <row r="16632" spans="1:13" x14ac:dyDescent="0.25">
      <c r="A16632" s="1" t="str">
        <f>HYPERLINK("http://www.rosaceae.org/Prunus/Prunus_persica/p.persica_gdr_reftransV1_0032356","p.persica_gdr_reftransV1_0032356")</f>
        <v>p.persica_gdr_reftransV1_0032356</v>
      </c>
      <c r="B16632" s="3">
        <v>1947</v>
      </c>
      <c r="C16632" s="1" t="str">
        <f>HYPERLINK("http://www.uniprot.org/uniprot/AFC3_ARATH","AFC3_ARATH")</f>
        <v>AFC3_ARATH</v>
      </c>
      <c r="D16632" t="s">
        <v>2478</v>
      </c>
      <c r="E16632" s="3" t="s">
        <v>3</v>
      </c>
      <c r="F16632" s="4">
        <v>9.24E-50</v>
      </c>
      <c r="G16632" s="3">
        <v>465</v>
      </c>
      <c r="H16632" s="3">
        <v>56</v>
      </c>
      <c r="I16632" s="3">
        <v>178</v>
      </c>
      <c r="J16632" s="3">
        <v>1413</v>
      </c>
      <c r="K16632" s="3">
        <v>1946</v>
      </c>
      <c r="L16632" s="3">
        <v>187</v>
      </c>
      <c r="M16632" s="3">
        <v>308</v>
      </c>
    </row>
    <row r="16633" spans="1:13" x14ac:dyDescent="0.25">
      <c r="A16633" s="1" t="str">
        <f>HYPERLINK("http://www.rosaceae.org/Prunus/Prunus_persica/p.persica_gdr_reftransV1_0032606","p.persica_gdr_reftransV1_0032606")</f>
        <v>p.persica_gdr_reftransV1_0032606</v>
      </c>
      <c r="B16633" s="3">
        <v>4661</v>
      </c>
      <c r="C16633" s="1" t="str">
        <f>HYPERLINK("http://www.uniprot.org/uniprot/POLX_TOBAC","POLX_TOBAC")</f>
        <v>POLX_TOBAC</v>
      </c>
      <c r="D16633" t="s">
        <v>1253</v>
      </c>
      <c r="E16633" s="3" t="s">
        <v>200</v>
      </c>
      <c r="F16633" s="4">
        <v>1.6499999999999998E-89</v>
      </c>
      <c r="G16633" s="3">
        <v>829</v>
      </c>
      <c r="H16633" s="3">
        <v>39</v>
      </c>
      <c r="I16633" s="3">
        <v>466</v>
      </c>
      <c r="J16633" s="3">
        <v>372</v>
      </c>
      <c r="K16633" s="3">
        <v>1733</v>
      </c>
      <c r="L16633" s="3">
        <v>827</v>
      </c>
      <c r="M16633" s="3">
        <v>1291</v>
      </c>
    </row>
    <row r="16634" spans="1:13" x14ac:dyDescent="0.25">
      <c r="A16634" s="1" t="str">
        <f>HYPERLINK("http://www.rosaceae.org/Prunus/Prunus_persica/p.persica_gdr_reftransV1_0033156","p.persica_gdr_reftransV1_0033156")</f>
        <v>p.persica_gdr_reftransV1_0033156</v>
      </c>
      <c r="B16634" s="3">
        <v>3082</v>
      </c>
      <c r="C16634" s="1" t="str">
        <f>HYPERLINK("http://www.uniprot.org/uniprot/TGT_XENTR","TGT_XENTR")</f>
        <v>TGT_XENTR</v>
      </c>
      <c r="D16634" t="s">
        <v>10402</v>
      </c>
      <c r="E16634" s="3" t="s">
        <v>173</v>
      </c>
      <c r="F16634" s="4">
        <v>7.9799999999999999E-109</v>
      </c>
      <c r="G16634" s="3">
        <v>898</v>
      </c>
      <c r="H16634" s="3">
        <v>57</v>
      </c>
      <c r="I16634" s="3">
        <v>281</v>
      </c>
      <c r="J16634" s="3">
        <v>1076</v>
      </c>
      <c r="K16634" s="3">
        <v>1915</v>
      </c>
      <c r="L16634" s="3">
        <v>103</v>
      </c>
      <c r="M16634" s="3">
        <v>383</v>
      </c>
    </row>
    <row r="16635" spans="1:13" x14ac:dyDescent="0.25">
      <c r="A16635" s="1" t="str">
        <f>HYPERLINK("http://www.rosaceae.org/Prunus/Prunus_persica/p.persica_gdr_reftransV1_0033256","p.persica_gdr_reftransV1_0033256")</f>
        <v>p.persica_gdr_reftransV1_0033256</v>
      </c>
      <c r="B16635" s="3">
        <v>3111</v>
      </c>
      <c r="C16635" s="1" t="str">
        <f>HYPERLINK("http://www.uniprot.org/uniprot/DHX8_MOUSE","DHX8_MOUSE")</f>
        <v>DHX8_MOUSE</v>
      </c>
      <c r="D16635" t="s">
        <v>10403</v>
      </c>
      <c r="E16635" s="3" t="s">
        <v>157</v>
      </c>
      <c r="F16635" s="4">
        <v>0</v>
      </c>
      <c r="G16635" s="3">
        <v>1609</v>
      </c>
      <c r="H16635" s="3">
        <v>46</v>
      </c>
      <c r="I16635" s="3">
        <v>717</v>
      </c>
      <c r="J16635" s="3">
        <v>829</v>
      </c>
      <c r="K16635" s="3">
        <v>2976</v>
      </c>
      <c r="L16635" s="3">
        <v>546</v>
      </c>
      <c r="M16635" s="3">
        <v>1209</v>
      </c>
    </row>
    <row r="16636" spans="1:13" x14ac:dyDescent="0.25">
      <c r="A16636" s="1" t="str">
        <f>HYPERLINK("http://www.rosaceae.org/Prunus/Prunus_persica/p.persica_gdr_reftransV1_0033306","p.persica_gdr_reftransV1_0033306")</f>
        <v>p.persica_gdr_reftransV1_0033306</v>
      </c>
      <c r="B16636" s="3">
        <v>3001</v>
      </c>
      <c r="C16636" s="1" t="str">
        <f>HYPERLINK("http://www.uniprot.org/uniprot/FTSHB_ARATH","FTSHB_ARATH")</f>
        <v>FTSHB_ARATH</v>
      </c>
      <c r="D16636" t="s">
        <v>10404</v>
      </c>
      <c r="E16636" s="3" t="s">
        <v>3</v>
      </c>
      <c r="F16636" s="4">
        <v>0</v>
      </c>
      <c r="G16636" s="3">
        <v>2888</v>
      </c>
      <c r="H16636" s="3">
        <v>79</v>
      </c>
      <c r="I16636" s="3">
        <v>751</v>
      </c>
      <c r="J16636" s="3">
        <v>437</v>
      </c>
      <c r="K16636" s="3">
        <v>2680</v>
      </c>
      <c r="L16636" s="3">
        <v>60</v>
      </c>
      <c r="M16636" s="3">
        <v>786</v>
      </c>
    </row>
    <row r="16637" spans="1:13" x14ac:dyDescent="0.25">
      <c r="A16637" s="1" t="str">
        <f>HYPERLINK("http://www.rosaceae.org/Prunus/Prunus_persica/p.persica_gdr_reftransV1_0033706","p.persica_gdr_reftransV1_0033706")</f>
        <v>p.persica_gdr_reftransV1_0033706</v>
      </c>
      <c r="B16637" s="3">
        <v>1866</v>
      </c>
      <c r="C16637" s="1" t="str">
        <f>HYPERLINK("http://www.uniprot.org/uniprot/TIC22_ARATH","TIC22_ARATH")</f>
        <v>TIC22_ARATH</v>
      </c>
      <c r="D16637" t="s">
        <v>10405</v>
      </c>
      <c r="E16637" s="3" t="s">
        <v>3</v>
      </c>
      <c r="F16637" s="4">
        <v>5.5100000000000002E-70</v>
      </c>
      <c r="G16637" s="3">
        <v>596</v>
      </c>
      <c r="H16637" s="3">
        <v>64</v>
      </c>
      <c r="I16637" s="3">
        <v>188</v>
      </c>
      <c r="J16637" s="3">
        <v>1156</v>
      </c>
      <c r="K16637" s="3">
        <v>1710</v>
      </c>
      <c r="L16637" s="3">
        <v>6</v>
      </c>
      <c r="M16637" s="3">
        <v>185</v>
      </c>
    </row>
    <row r="16638" spans="1:13" x14ac:dyDescent="0.25">
      <c r="A16638" s="1" t="str">
        <f>HYPERLINK("http://www.rosaceae.org/Prunus/Prunus_persica/p.persica_gdr_reftransV1_0033806","p.persica_gdr_reftransV1_0033806")</f>
        <v>p.persica_gdr_reftransV1_0033806</v>
      </c>
      <c r="B16638" s="3">
        <v>1460</v>
      </c>
      <c r="C16638" s="1" t="str">
        <f>HYPERLINK("http://www.uniprot.org/uniprot/GAT24_ARATH","GAT24_ARATH")</f>
        <v>GAT24_ARATH</v>
      </c>
      <c r="D16638" t="s">
        <v>595</v>
      </c>
      <c r="E16638" s="3" t="s">
        <v>3</v>
      </c>
      <c r="F16638" s="4">
        <v>1.77E-68</v>
      </c>
      <c r="G16638" s="3">
        <v>579</v>
      </c>
      <c r="H16638" s="3">
        <v>64</v>
      </c>
      <c r="I16638" s="3">
        <v>186</v>
      </c>
      <c r="J16638" s="3">
        <v>856</v>
      </c>
      <c r="K16638" s="3">
        <v>1386</v>
      </c>
      <c r="L16638" s="3">
        <v>79</v>
      </c>
      <c r="M16638" s="3">
        <v>261</v>
      </c>
    </row>
    <row r="16639" spans="1:13" x14ac:dyDescent="0.25">
      <c r="A16639" s="1" t="str">
        <f>HYPERLINK("http://www.rosaceae.org/Prunus/Prunus_persica/p.persica_gdr_reftransV1_0034106","p.persica_gdr_reftransV1_0034106")</f>
        <v>p.persica_gdr_reftransV1_0034106</v>
      </c>
      <c r="B16639" s="3">
        <v>2327</v>
      </c>
      <c r="C16639" s="1" t="str">
        <f>HYPERLINK("http://www.uniprot.org/uniprot/AGL9_PETHY","AGL9_PETHY")</f>
        <v>AGL9_PETHY</v>
      </c>
      <c r="D16639" t="s">
        <v>8543</v>
      </c>
      <c r="E16639" s="3" t="s">
        <v>509</v>
      </c>
      <c r="F16639" s="4">
        <v>3.1399999999999998E-96</v>
      </c>
      <c r="G16639" s="3">
        <v>782</v>
      </c>
      <c r="H16639" s="3">
        <v>84</v>
      </c>
      <c r="I16639" s="3">
        <v>181</v>
      </c>
      <c r="J16639" s="3">
        <v>344</v>
      </c>
      <c r="K16639" s="3">
        <v>880</v>
      </c>
      <c r="L16639" s="3">
        <v>62</v>
      </c>
      <c r="M16639" s="3">
        <v>241</v>
      </c>
    </row>
    <row r="16640" spans="1:13" x14ac:dyDescent="0.25">
      <c r="A16640" s="1" t="str">
        <f>HYPERLINK("http://www.rosaceae.org/Prunus/Prunus_persica/p.persica_gdr_reftransV1_0034256","p.persica_gdr_reftransV1_0034256")</f>
        <v>p.persica_gdr_reftransV1_0034256</v>
      </c>
      <c r="B16640" s="3">
        <v>5320</v>
      </c>
      <c r="C16640" s="1" t="str">
        <f>HYPERLINK("http://www.uniprot.org/uniprot/AAPT1_ARATH","AAPT1_ARATH")</f>
        <v>AAPT1_ARATH</v>
      </c>
      <c r="D16640" t="s">
        <v>3597</v>
      </c>
      <c r="E16640" s="3" t="s">
        <v>3</v>
      </c>
      <c r="F16640" s="4">
        <v>3.3400000000000001E-59</v>
      </c>
      <c r="G16640" s="3">
        <v>549</v>
      </c>
      <c r="H16640" s="3">
        <v>69</v>
      </c>
      <c r="I16640" s="3">
        <v>150</v>
      </c>
      <c r="J16640" s="3">
        <v>3055</v>
      </c>
      <c r="K16640" s="3">
        <v>3492</v>
      </c>
      <c r="L16640" s="3">
        <v>160</v>
      </c>
      <c r="M16640" s="3">
        <v>309</v>
      </c>
    </row>
    <row r="16641" spans="1:13" x14ac:dyDescent="0.25">
      <c r="A16641" s="1" t="str">
        <f>HYPERLINK("http://www.rosaceae.org/Prunus/Prunus_persica/p.persica_gdr_reftransV1_0034506","p.persica_gdr_reftransV1_0034506")</f>
        <v>p.persica_gdr_reftransV1_0034506</v>
      </c>
      <c r="B16641" s="3">
        <v>1596</v>
      </c>
      <c r="C16641" s="1" t="str">
        <f>HYPERLINK("http://www.uniprot.org/uniprot/TECR_ARATH","TECR_ARATH")</f>
        <v>TECR_ARATH</v>
      </c>
      <c r="D16641" t="s">
        <v>10406</v>
      </c>
      <c r="E16641" s="3" t="s">
        <v>3</v>
      </c>
      <c r="F16641" s="4">
        <v>0</v>
      </c>
      <c r="G16641" s="3">
        <v>1392</v>
      </c>
      <c r="H16641" s="3">
        <v>82</v>
      </c>
      <c r="I16641" s="3">
        <v>310</v>
      </c>
      <c r="J16641" s="3">
        <v>367</v>
      </c>
      <c r="K16641" s="3">
        <v>1296</v>
      </c>
      <c r="L16641" s="3">
        <v>1</v>
      </c>
      <c r="M16641" s="3">
        <v>310</v>
      </c>
    </row>
    <row r="16642" spans="1:13" x14ac:dyDescent="0.25">
      <c r="A16642" s="1" t="str">
        <f>HYPERLINK("http://www.rosaceae.org/Prunus/Prunus_persica/p.persica_gdr_reftransV1_0034806","p.persica_gdr_reftransV1_0034806")</f>
        <v>p.persica_gdr_reftransV1_0034806</v>
      </c>
      <c r="B16642" s="3">
        <v>2319</v>
      </c>
      <c r="C16642" s="1" t="str">
        <f>HYPERLINK("http://www.uniprot.org/uniprot/LC7L2_HUMAN","LC7L2_HUMAN")</f>
        <v>LC7L2_HUMAN</v>
      </c>
      <c r="D16642" t="s">
        <v>10407</v>
      </c>
      <c r="E16642" s="3" t="s">
        <v>28</v>
      </c>
      <c r="F16642" s="4">
        <v>1.8399999999999998E-21</v>
      </c>
      <c r="G16642" s="3">
        <v>251</v>
      </c>
      <c r="H16642" s="3">
        <v>36</v>
      </c>
      <c r="I16642" s="3">
        <v>169</v>
      </c>
      <c r="J16642" s="3">
        <v>1664</v>
      </c>
      <c r="K16642" s="3">
        <v>2170</v>
      </c>
      <c r="L16642" s="3">
        <v>2</v>
      </c>
      <c r="M16642" s="3">
        <v>166</v>
      </c>
    </row>
    <row r="16643" spans="1:13" x14ac:dyDescent="0.25">
      <c r="A16643" s="1" t="str">
        <f>HYPERLINK("http://www.rosaceae.org/Prunus/Prunus_persica/p.persica_gdr_reftransV1_0034906","p.persica_gdr_reftransV1_0034906")</f>
        <v>p.persica_gdr_reftransV1_0034906</v>
      </c>
      <c r="B16643" s="3">
        <v>1085</v>
      </c>
      <c r="C16643" s="1" t="str">
        <f>HYPERLINK("http://www.uniprot.org/uniprot/B561L_ARATH","B561L_ARATH")</f>
        <v>B561L_ARATH</v>
      </c>
      <c r="D16643" t="s">
        <v>10408</v>
      </c>
      <c r="E16643" s="3" t="s">
        <v>3</v>
      </c>
      <c r="F16643" s="4">
        <v>1.3400000000000001E-59</v>
      </c>
      <c r="G16643" s="3">
        <v>506</v>
      </c>
      <c r="H16643" s="3">
        <v>56</v>
      </c>
      <c r="I16643" s="3">
        <v>183</v>
      </c>
      <c r="J16643" s="3">
        <v>193</v>
      </c>
      <c r="K16643" s="3">
        <v>738</v>
      </c>
      <c r="L16643" s="3">
        <v>41</v>
      </c>
      <c r="M16643" s="3">
        <v>223</v>
      </c>
    </row>
    <row r="16644" spans="1:13" x14ac:dyDescent="0.25">
      <c r="A16644" s="1" t="str">
        <f>HYPERLINK("http://www.rosaceae.org/Prunus/Prunus_persica/p.persica_gdr_reftransV1_0034956","p.persica_gdr_reftransV1_0034956")</f>
        <v>p.persica_gdr_reftransV1_0034956</v>
      </c>
      <c r="B16644" s="3">
        <v>1715</v>
      </c>
      <c r="C16644" s="1" t="str">
        <f>HYPERLINK("http://www.uniprot.org/uniprot/FOLD1_ARATH","FOLD1_ARATH")</f>
        <v>FOLD1_ARATH</v>
      </c>
      <c r="D16644" t="s">
        <v>3364</v>
      </c>
      <c r="E16644" s="3" t="s">
        <v>3</v>
      </c>
      <c r="F16644" s="4">
        <v>1.2200000000000001E-132</v>
      </c>
      <c r="G16644" s="3">
        <v>1022</v>
      </c>
      <c r="H16644" s="3">
        <v>59</v>
      </c>
      <c r="I16644" s="3">
        <v>359</v>
      </c>
      <c r="J16644" s="3">
        <v>163</v>
      </c>
      <c r="K16644" s="3">
        <v>1239</v>
      </c>
      <c r="L16644" s="3">
        <v>59</v>
      </c>
      <c r="M16644" s="3">
        <v>351</v>
      </c>
    </row>
    <row r="16645" spans="1:13" x14ac:dyDescent="0.25">
      <c r="A16645" s="1" t="str">
        <f>HYPERLINK("http://www.rosaceae.org/Prunus/Prunus_persica/p.persica_gdr_reftransV1_0035006","p.persica_gdr_reftransV1_0035006")</f>
        <v>p.persica_gdr_reftransV1_0035006</v>
      </c>
      <c r="B16645" s="3">
        <v>1168</v>
      </c>
      <c r="C16645" s="1" t="str">
        <f>HYPERLINK("http://www.uniprot.org/uniprot/MFS12_HUMAN","MFS12_HUMAN")</f>
        <v>MFS12_HUMAN</v>
      </c>
      <c r="D16645" t="s">
        <v>8344</v>
      </c>
      <c r="E16645" s="3" t="s">
        <v>28</v>
      </c>
      <c r="F16645" s="4">
        <v>7.3799999999999999E-13</v>
      </c>
      <c r="G16645" s="3">
        <v>179</v>
      </c>
      <c r="H16645" s="3">
        <v>36</v>
      </c>
      <c r="I16645" s="3">
        <v>103</v>
      </c>
      <c r="J16645" s="3">
        <v>91</v>
      </c>
      <c r="K16645" s="3">
        <v>399</v>
      </c>
      <c r="L16645" s="3">
        <v>89</v>
      </c>
      <c r="M16645" s="3">
        <v>189</v>
      </c>
    </row>
    <row r="16646" spans="1:13" x14ac:dyDescent="0.25">
      <c r="A16646" s="1" t="str">
        <f>HYPERLINK("http://www.rosaceae.org/Prunus/Prunus_persica/p.persica_gdr_reftransV1_0035106","p.persica_gdr_reftransV1_0035106")</f>
        <v>p.persica_gdr_reftransV1_0035106</v>
      </c>
      <c r="B16646" s="3">
        <v>866</v>
      </c>
      <c r="C16646" s="1" t="str">
        <f>HYPERLINK("http://www.uniprot.org/uniprot/PME36_ARATH","PME36_ARATH")</f>
        <v>PME36_ARATH</v>
      </c>
      <c r="D16646" t="s">
        <v>4657</v>
      </c>
      <c r="E16646" s="3" t="s">
        <v>3</v>
      </c>
      <c r="F16646" s="4">
        <v>6.8099999999999997E-132</v>
      </c>
      <c r="G16646" s="3">
        <v>1004</v>
      </c>
      <c r="H16646" s="3">
        <v>65</v>
      </c>
      <c r="I16646" s="3">
        <v>270</v>
      </c>
      <c r="J16646" s="3">
        <v>3</v>
      </c>
      <c r="K16646" s="3">
        <v>812</v>
      </c>
      <c r="L16646" s="3">
        <v>250</v>
      </c>
      <c r="M16646" s="3">
        <v>519</v>
      </c>
    </row>
    <row r="16647" spans="1:13" x14ac:dyDescent="0.25">
      <c r="A16647" s="1" t="str">
        <f>HYPERLINK("http://www.rosaceae.org/Prunus/Prunus_persica/p.persica_gdr_reftransV1_0035206","p.persica_gdr_reftransV1_0035206")</f>
        <v>p.persica_gdr_reftransV1_0035206</v>
      </c>
      <c r="B16647" s="3">
        <v>3507</v>
      </c>
      <c r="C16647" s="1" t="str">
        <f>HYPERLINK("http://www.uniprot.org/uniprot/DEN5B_DANRE","DEN5B_DANRE")</f>
        <v>DEN5B_DANRE</v>
      </c>
      <c r="D16647" t="s">
        <v>3662</v>
      </c>
      <c r="E16647" s="3" t="s">
        <v>704</v>
      </c>
      <c r="F16647" s="4">
        <v>2.3499999999999999E-15</v>
      </c>
      <c r="G16647" s="3">
        <v>210</v>
      </c>
      <c r="H16647" s="3">
        <v>38</v>
      </c>
      <c r="I16647" s="3">
        <v>120</v>
      </c>
      <c r="J16647" s="3">
        <v>2487</v>
      </c>
      <c r="K16647" s="3">
        <v>2828</v>
      </c>
      <c r="L16647" s="3">
        <v>304</v>
      </c>
      <c r="M16647" s="3">
        <v>423</v>
      </c>
    </row>
    <row r="16648" spans="1:13" x14ac:dyDescent="0.25">
      <c r="A16648" s="1" t="str">
        <f>HYPERLINK("http://www.rosaceae.org/Prunus/Prunus_persica/p.persica_gdr_reftransV1_0035606","p.persica_gdr_reftransV1_0035606")</f>
        <v>p.persica_gdr_reftransV1_0035606</v>
      </c>
      <c r="B16648" s="3">
        <v>2714</v>
      </c>
      <c r="C16648" s="1" t="str">
        <f>HYPERLINK("http://www.uniprot.org/uniprot/EX84C_ARATH","EX84C_ARATH")</f>
        <v>EX84C_ARATH</v>
      </c>
      <c r="D16648" t="s">
        <v>10409</v>
      </c>
      <c r="E16648" s="3" t="s">
        <v>3</v>
      </c>
      <c r="F16648" s="4">
        <v>0</v>
      </c>
      <c r="G16648" s="3">
        <v>2161</v>
      </c>
      <c r="H16648" s="3">
        <v>63</v>
      </c>
      <c r="I16648" s="3">
        <v>786</v>
      </c>
      <c r="J16648" s="3">
        <v>143</v>
      </c>
      <c r="K16648" s="3">
        <v>2461</v>
      </c>
      <c r="L16648" s="3">
        <v>1</v>
      </c>
      <c r="M16648" s="3">
        <v>769</v>
      </c>
    </row>
    <row r="16649" spans="1:13" x14ac:dyDescent="0.25">
      <c r="A16649" s="1" t="str">
        <f>HYPERLINK("http://www.rosaceae.org/Prunus/Prunus_persica/p.persica_gdr_reftransV1_0035656","p.persica_gdr_reftransV1_0035656")</f>
        <v>p.persica_gdr_reftransV1_0035656</v>
      </c>
      <c r="B16649" s="3">
        <v>1873</v>
      </c>
      <c r="C16649" s="1" t="str">
        <f>HYPERLINK("http://www.uniprot.org/uniprot/PURU1_ARATH","PURU1_ARATH")</f>
        <v>PURU1_ARATH</v>
      </c>
      <c r="D16649" t="s">
        <v>10410</v>
      </c>
      <c r="E16649" s="3" t="s">
        <v>3</v>
      </c>
      <c r="F16649" s="4">
        <v>2.4900000000000002E-122</v>
      </c>
      <c r="G16649" s="3">
        <v>955</v>
      </c>
      <c r="H16649" s="3">
        <v>72</v>
      </c>
      <c r="I16649" s="3">
        <v>248</v>
      </c>
      <c r="J16649" s="3">
        <v>1066</v>
      </c>
      <c r="K16649" s="3">
        <v>1803</v>
      </c>
      <c r="L16649" s="3">
        <v>11</v>
      </c>
      <c r="M16649" s="3">
        <v>258</v>
      </c>
    </row>
    <row r="16650" spans="1:13" x14ac:dyDescent="0.25">
      <c r="A16650" s="1" t="str">
        <f>HYPERLINK("http://www.rosaceae.org/Prunus/Prunus_persica/p.persica_gdr_reftransV1_0036306","p.persica_gdr_reftransV1_0036306")</f>
        <v>p.persica_gdr_reftransV1_0036306</v>
      </c>
      <c r="B16650" s="3">
        <v>3551</v>
      </c>
      <c r="C16650" s="1" t="str">
        <f>HYPERLINK("http://www.uniprot.org/uniprot/ZW10_ARATH","ZW10_ARATH")</f>
        <v>ZW10_ARATH</v>
      </c>
      <c r="D16650" t="s">
        <v>10411</v>
      </c>
      <c r="E16650" s="3" t="s">
        <v>3</v>
      </c>
      <c r="F16650" s="4">
        <v>1.37E-169</v>
      </c>
      <c r="G16650" s="3">
        <v>1356</v>
      </c>
      <c r="H16650" s="3">
        <v>65</v>
      </c>
      <c r="I16650" s="3">
        <v>415</v>
      </c>
      <c r="J16650" s="3">
        <v>1940</v>
      </c>
      <c r="K16650" s="3">
        <v>3184</v>
      </c>
      <c r="L16650" s="3">
        <v>339</v>
      </c>
      <c r="M16650" s="3">
        <v>738</v>
      </c>
    </row>
    <row r="16651" spans="1:13" x14ac:dyDescent="0.25">
      <c r="A16651" s="1" t="str">
        <f>HYPERLINK("http://www.rosaceae.org/Prunus/Prunus_persica/p.persica_gdr_reftransV1_0036356","p.persica_gdr_reftransV1_0036356")</f>
        <v>p.persica_gdr_reftransV1_0036356</v>
      </c>
      <c r="B16651" s="3">
        <v>1714</v>
      </c>
      <c r="C16651" s="1" t="str">
        <f>HYPERLINK("http://www.uniprot.org/uniprot/MURF_BACSU","MURF_BACSU")</f>
        <v>MURF_BACSU</v>
      </c>
      <c r="D16651" t="s">
        <v>10412</v>
      </c>
      <c r="E16651" s="3" t="s">
        <v>1630</v>
      </c>
      <c r="F16651" s="4">
        <v>2.47E-45</v>
      </c>
      <c r="G16651" s="3">
        <v>433</v>
      </c>
      <c r="H16651" s="3">
        <v>35</v>
      </c>
      <c r="I16651" s="3">
        <v>441</v>
      </c>
      <c r="J16651" s="3">
        <v>298</v>
      </c>
      <c r="K16651" s="3">
        <v>1602</v>
      </c>
      <c r="L16651" s="3">
        <v>30</v>
      </c>
      <c r="M16651" s="3">
        <v>448</v>
      </c>
    </row>
    <row r="16652" spans="1:13" x14ac:dyDescent="0.25">
      <c r="A16652" s="1" t="str">
        <f>HYPERLINK("http://www.rosaceae.org/Prunus/Prunus_persica/p.persica_gdr_reftransV1_0036506","p.persica_gdr_reftransV1_0036506")</f>
        <v>p.persica_gdr_reftransV1_0036506</v>
      </c>
      <c r="B16652" s="3">
        <v>5034</v>
      </c>
      <c r="C16652" s="1" t="str">
        <f>HYPERLINK("http://www.uniprot.org/uniprot/PDR3_TOBAC","PDR3_TOBAC")</f>
        <v>PDR3_TOBAC</v>
      </c>
      <c r="D16652" t="s">
        <v>7294</v>
      </c>
      <c r="E16652" s="3" t="s">
        <v>200</v>
      </c>
      <c r="F16652" s="4">
        <v>0</v>
      </c>
      <c r="G16652" s="3">
        <v>4864</v>
      </c>
      <c r="H16652" s="3">
        <v>63</v>
      </c>
      <c r="I16652" s="3">
        <v>1465</v>
      </c>
      <c r="J16652" s="3">
        <v>388</v>
      </c>
      <c r="K16652" s="3">
        <v>4770</v>
      </c>
      <c r="L16652" s="3">
        <v>51</v>
      </c>
      <c r="M16652" s="3">
        <v>1447</v>
      </c>
    </row>
    <row r="16653" spans="1:13" x14ac:dyDescent="0.25">
      <c r="A16653" s="1" t="str">
        <f>HYPERLINK("http://www.rosaceae.org/Prunus/Prunus_persica/p.persica_gdr_reftransV1_0036656","p.persica_gdr_reftransV1_0036656")</f>
        <v>p.persica_gdr_reftransV1_0036656</v>
      </c>
      <c r="B16653" s="3">
        <v>3311</v>
      </c>
      <c r="C16653" s="1" t="str">
        <f>HYPERLINK("http://www.uniprot.org/uniprot/AL7A1_MALDO","AL7A1_MALDO")</f>
        <v>AL7A1_MALDO</v>
      </c>
      <c r="D16653" t="s">
        <v>10413</v>
      </c>
      <c r="E16653" s="3" t="s">
        <v>540</v>
      </c>
      <c r="F16653" s="4">
        <v>1.37E-157</v>
      </c>
      <c r="G16653" s="3">
        <v>846</v>
      </c>
      <c r="H16653" s="3">
        <v>91</v>
      </c>
      <c r="I16653" s="3">
        <v>175</v>
      </c>
      <c r="J16653" s="3">
        <v>1007</v>
      </c>
      <c r="K16653" s="3">
        <v>1531</v>
      </c>
      <c r="L16653" s="3">
        <v>188</v>
      </c>
      <c r="M16653" s="3">
        <v>362</v>
      </c>
    </row>
    <row r="16654" spans="1:13" x14ac:dyDescent="0.25">
      <c r="A16654" s="1" t="str">
        <f>HYPERLINK("http://www.rosaceae.org/Prunus/Prunus_persica/p.persica_gdr_reftransV1_0037406","p.persica_gdr_reftransV1_0037406")</f>
        <v>p.persica_gdr_reftransV1_0037406</v>
      </c>
      <c r="B16654" s="3">
        <v>1177</v>
      </c>
      <c r="C16654" s="1" t="str">
        <f>HYPERLINK("http://www.uniprot.org/uniprot/ATP7_ARATH","ATP7_ARATH")</f>
        <v>ATP7_ARATH</v>
      </c>
      <c r="D16654" t="s">
        <v>6863</v>
      </c>
      <c r="E16654" s="3" t="s">
        <v>3</v>
      </c>
      <c r="F16654" s="4">
        <v>3.5000000000000001E-37</v>
      </c>
      <c r="G16654" s="3">
        <v>353</v>
      </c>
      <c r="H16654" s="3">
        <v>82</v>
      </c>
      <c r="I16654" s="3">
        <v>111</v>
      </c>
      <c r="J16654" s="3">
        <v>487</v>
      </c>
      <c r="K16654" s="3">
        <v>819</v>
      </c>
      <c r="L16654" s="3">
        <v>130</v>
      </c>
      <c r="M16654" s="3">
        <v>240</v>
      </c>
    </row>
    <row r="16655" spans="1:13" x14ac:dyDescent="0.25">
      <c r="A16655" s="1" t="str">
        <f>HYPERLINK("http://www.rosaceae.org/Prunus/Prunus_persica/p.persica_gdr_reftransV1_0037656","p.persica_gdr_reftransV1_0037656")</f>
        <v>p.persica_gdr_reftransV1_0037656</v>
      </c>
      <c r="B16655" s="3">
        <v>3091</v>
      </c>
      <c r="C16655" s="1" t="str">
        <f>HYPERLINK("http://www.uniprot.org/uniprot/RBR_RICCO","RBR_RICCO")</f>
        <v>RBR_RICCO</v>
      </c>
      <c r="D16655" t="s">
        <v>433</v>
      </c>
      <c r="E16655" s="3" t="s">
        <v>421</v>
      </c>
      <c r="F16655" s="4">
        <v>0</v>
      </c>
      <c r="G16655" s="3">
        <v>3781</v>
      </c>
      <c r="H16655" s="3">
        <v>80</v>
      </c>
      <c r="I16655" s="3">
        <v>954</v>
      </c>
      <c r="J16655" s="3">
        <v>238</v>
      </c>
      <c r="K16655" s="3">
        <v>3078</v>
      </c>
      <c r="L16655" s="3">
        <v>94</v>
      </c>
      <c r="M16655" s="3">
        <v>1019</v>
      </c>
    </row>
    <row r="16656" spans="1:13" x14ac:dyDescent="0.25">
      <c r="A16656" s="1" t="str">
        <f>HYPERLINK("http://www.rosaceae.org/Prunus/Prunus_persica/p.persica_gdr_reftransV1_0038006","p.persica_gdr_reftransV1_0038006")</f>
        <v>p.persica_gdr_reftransV1_0038006</v>
      </c>
      <c r="B16656" s="3">
        <v>1800</v>
      </c>
      <c r="C16656" s="1" t="str">
        <f>HYPERLINK("http://www.uniprot.org/uniprot/ATL34_ARATH","ATL34_ARATH")</f>
        <v>ATL34_ARATH</v>
      </c>
      <c r="D16656" t="s">
        <v>10414</v>
      </c>
      <c r="E16656" s="3" t="s">
        <v>3</v>
      </c>
      <c r="F16656" s="4">
        <v>6.8600000000000004E-53</v>
      </c>
      <c r="G16656" s="3">
        <v>480</v>
      </c>
      <c r="H16656" s="3">
        <v>43</v>
      </c>
      <c r="I16656" s="3">
        <v>270</v>
      </c>
      <c r="J16656" s="3">
        <v>573</v>
      </c>
      <c r="K16656" s="3">
        <v>1358</v>
      </c>
      <c r="L16656" s="3">
        <v>80</v>
      </c>
      <c r="M16656" s="3">
        <v>308</v>
      </c>
    </row>
    <row r="16657" spans="1:13" x14ac:dyDescent="0.25">
      <c r="A16657" s="1" t="str">
        <f>HYPERLINK("http://www.rosaceae.org/Prunus/Prunus_persica/p.persica_gdr_reftransV1_0038506","p.persica_gdr_reftransV1_0038506")</f>
        <v>p.persica_gdr_reftransV1_0038506</v>
      </c>
      <c r="B16657" s="3">
        <v>711</v>
      </c>
      <c r="C16657" s="1" t="str">
        <f>HYPERLINK("http://www.uniprot.org/uniprot/PPCT_MOUSE","PPCT_MOUSE")</f>
        <v>PPCT_MOUSE</v>
      </c>
      <c r="D16657" t="s">
        <v>10415</v>
      </c>
      <c r="E16657" s="3" t="s">
        <v>157</v>
      </c>
      <c r="F16657" s="4">
        <v>3.8600000000000001E-10</v>
      </c>
      <c r="G16657" s="3">
        <v>146</v>
      </c>
      <c r="H16657" s="3">
        <v>26</v>
      </c>
      <c r="I16657" s="3">
        <v>175</v>
      </c>
      <c r="J16657" s="3">
        <v>202</v>
      </c>
      <c r="K16657" s="3">
        <v>708</v>
      </c>
      <c r="L16657" s="3">
        <v>46</v>
      </c>
      <c r="M16657" s="3">
        <v>210</v>
      </c>
    </row>
    <row r="16658" spans="1:13" x14ac:dyDescent="0.25">
      <c r="A16658" s="1" t="str">
        <f>HYPERLINK("http://www.rosaceae.org/Prunus/Prunus_persica/p.persica_gdr_reftransV1_0038656","p.persica_gdr_reftransV1_0038656")</f>
        <v>p.persica_gdr_reftransV1_0038656</v>
      </c>
      <c r="B16658" s="3">
        <v>3193</v>
      </c>
      <c r="C16658" s="1" t="str">
        <f>HYPERLINK("http://www.uniprot.org/uniprot/ISOA1_ARATH","ISOA1_ARATH")</f>
        <v>ISOA1_ARATH</v>
      </c>
      <c r="D16658" t="s">
        <v>10416</v>
      </c>
      <c r="E16658" s="3" t="s">
        <v>3</v>
      </c>
      <c r="F16658" s="4">
        <v>0</v>
      </c>
      <c r="G16658" s="3">
        <v>1627</v>
      </c>
      <c r="H16658" s="3">
        <v>75</v>
      </c>
      <c r="I16658" s="3">
        <v>393</v>
      </c>
      <c r="J16658" s="3">
        <v>338</v>
      </c>
      <c r="K16658" s="3">
        <v>1513</v>
      </c>
      <c r="L16658" s="3">
        <v>420</v>
      </c>
      <c r="M16658" s="3">
        <v>783</v>
      </c>
    </row>
    <row r="16659" spans="1:13" x14ac:dyDescent="0.25">
      <c r="A16659" s="1" t="str">
        <f>HYPERLINK("http://www.rosaceae.org/Prunus/Prunus_persica/p.persica_gdr_reftransV1_0039456","p.persica_gdr_reftransV1_0039456")</f>
        <v>p.persica_gdr_reftransV1_0039456</v>
      </c>
      <c r="B16659" s="3">
        <v>2861</v>
      </c>
      <c r="C16659" s="1" t="str">
        <f>HYPERLINK("http://www.uniprot.org/uniprot/PEPK2_ARATH","PEPK2_ARATH")</f>
        <v>PEPK2_ARATH</v>
      </c>
      <c r="D16659" t="s">
        <v>10417</v>
      </c>
      <c r="E16659" s="3" t="s">
        <v>3</v>
      </c>
      <c r="F16659" s="4">
        <v>1.33E-154</v>
      </c>
      <c r="G16659" s="3">
        <v>1212</v>
      </c>
      <c r="H16659" s="3">
        <v>78</v>
      </c>
      <c r="I16659" s="3">
        <v>303</v>
      </c>
      <c r="J16659" s="3">
        <v>426</v>
      </c>
      <c r="K16659" s="3">
        <v>1334</v>
      </c>
      <c r="L16659" s="3">
        <v>54</v>
      </c>
      <c r="M16659" s="3">
        <v>356</v>
      </c>
    </row>
    <row r="16660" spans="1:13" x14ac:dyDescent="0.25">
      <c r="A16660" s="1" t="str">
        <f>HYPERLINK("http://www.rosaceae.org/Prunus/Prunus_persica/p.persica_gdr_reftransV1_0039606","p.persica_gdr_reftransV1_0039606")</f>
        <v>p.persica_gdr_reftransV1_0039606</v>
      </c>
      <c r="B16660" s="3">
        <v>2474</v>
      </c>
      <c r="C16660" s="1" t="str">
        <f>HYPERLINK("http://www.uniprot.org/uniprot/ALG12_ARATH","ALG12_ARATH")</f>
        <v>ALG12_ARATH</v>
      </c>
      <c r="D16660" t="s">
        <v>10418</v>
      </c>
      <c r="E16660" s="3" t="s">
        <v>3</v>
      </c>
      <c r="F16660" s="4">
        <v>5.9000000000000005E-175</v>
      </c>
      <c r="G16660" s="3">
        <v>1341</v>
      </c>
      <c r="H16660" s="3">
        <v>67</v>
      </c>
      <c r="I16660" s="3">
        <v>440</v>
      </c>
      <c r="J16660" s="3">
        <v>1124</v>
      </c>
      <c r="K16660" s="3">
        <v>2443</v>
      </c>
      <c r="L16660" s="3">
        <v>5</v>
      </c>
      <c r="M16660" s="3">
        <v>419</v>
      </c>
    </row>
    <row r="16661" spans="1:13" x14ac:dyDescent="0.25">
      <c r="A16661" s="1" t="str">
        <f>HYPERLINK("http://www.rosaceae.org/Prunus/Prunus_persica/p.persica_gdr_reftransV1_0039856","p.persica_gdr_reftransV1_0039856")</f>
        <v>p.persica_gdr_reftransV1_0039856</v>
      </c>
      <c r="B16661" s="3">
        <v>3517</v>
      </c>
      <c r="C16661" s="1" t="str">
        <f>HYPERLINK("http://www.uniprot.org/uniprot/GBA2_MOUSE","GBA2_MOUSE")</f>
        <v>GBA2_MOUSE</v>
      </c>
      <c r="D16661" t="s">
        <v>2735</v>
      </c>
      <c r="E16661" s="3" t="s">
        <v>157</v>
      </c>
      <c r="F16661" s="4">
        <v>1.6500000000000001E-121</v>
      </c>
      <c r="G16661" s="3">
        <v>1038</v>
      </c>
      <c r="H16661" s="3">
        <v>45</v>
      </c>
      <c r="I16661" s="3">
        <v>533</v>
      </c>
      <c r="J16661" s="3">
        <v>434</v>
      </c>
      <c r="K16661" s="3">
        <v>2002</v>
      </c>
      <c r="L16661" s="3">
        <v>358</v>
      </c>
      <c r="M16661" s="3">
        <v>848</v>
      </c>
    </row>
    <row r="16662" spans="1:13" x14ac:dyDescent="0.25">
      <c r="A16662" s="1" t="str">
        <f>HYPERLINK("http://www.rosaceae.org/Prunus/Prunus_persica/p.persica_gdr_reftransV1_0040256","p.persica_gdr_reftransV1_0040256")</f>
        <v>p.persica_gdr_reftransV1_0040256</v>
      </c>
      <c r="B16662" s="3">
        <v>2549</v>
      </c>
      <c r="C16662" s="1" t="str">
        <f>HYPERLINK("http://www.uniprot.org/uniprot/SDIR1_ARATH","SDIR1_ARATH")</f>
        <v>SDIR1_ARATH</v>
      </c>
      <c r="D16662" t="s">
        <v>535</v>
      </c>
      <c r="E16662" s="3" t="s">
        <v>3</v>
      </c>
      <c r="F16662" s="4">
        <v>9.2400000000000007E-49</v>
      </c>
      <c r="G16662" s="3">
        <v>452</v>
      </c>
      <c r="H16662" s="3">
        <v>89</v>
      </c>
      <c r="I16662" s="3">
        <v>139</v>
      </c>
      <c r="J16662" s="3">
        <v>222</v>
      </c>
      <c r="K16662" s="3">
        <v>635</v>
      </c>
      <c r="L16662" s="3">
        <v>1</v>
      </c>
      <c r="M16662" s="3">
        <v>139</v>
      </c>
    </row>
    <row r="16663" spans="1:13" x14ac:dyDescent="0.25">
      <c r="A16663" s="1" t="str">
        <f>HYPERLINK("http://www.rosaceae.org/Prunus/Prunus_persica/p.persica_gdr_reftransV1_0040306","p.persica_gdr_reftransV1_0040306")</f>
        <v>p.persica_gdr_reftransV1_0040306</v>
      </c>
      <c r="B16663" s="3">
        <v>2180</v>
      </c>
      <c r="C16663" s="1" t="str">
        <f>HYPERLINK("http://www.uniprot.org/uniprot/AFC1_ARATH","AFC1_ARATH")</f>
        <v>AFC1_ARATH</v>
      </c>
      <c r="D16663" t="s">
        <v>442</v>
      </c>
      <c r="E16663" s="3" t="s">
        <v>3</v>
      </c>
      <c r="F16663" s="4">
        <v>2.2999999999999999E-135</v>
      </c>
      <c r="G16663" s="3">
        <v>1065</v>
      </c>
      <c r="H16663" s="3">
        <v>89</v>
      </c>
      <c r="I16663" s="3">
        <v>217</v>
      </c>
      <c r="J16663" s="3">
        <v>312</v>
      </c>
      <c r="K16663" s="3">
        <v>962</v>
      </c>
      <c r="L16663" s="3">
        <v>229</v>
      </c>
      <c r="M16663" s="3">
        <v>445</v>
      </c>
    </row>
    <row r="16664" spans="1:13" x14ac:dyDescent="0.25">
      <c r="A16664" s="1" t="str">
        <f>HYPERLINK("http://www.rosaceae.org/Prunus/Prunus_persica/p.persica_gdr_reftransV1_0040506","p.persica_gdr_reftransV1_0040506")</f>
        <v>p.persica_gdr_reftransV1_0040506</v>
      </c>
      <c r="B16664" s="3">
        <v>822</v>
      </c>
      <c r="C16664" s="1" t="str">
        <f>HYPERLINK("http://www.uniprot.org/uniprot/TOM2B_ARATH","TOM2B_ARATH")</f>
        <v>TOM2B_ARATH</v>
      </c>
      <c r="D16664" t="s">
        <v>10419</v>
      </c>
      <c r="E16664" s="3" t="s">
        <v>3</v>
      </c>
      <c r="F16664" s="4">
        <v>3.3500000000000001E-28</v>
      </c>
      <c r="G16664" s="3">
        <v>269</v>
      </c>
      <c r="H16664" s="3">
        <v>66</v>
      </c>
      <c r="I16664" s="3">
        <v>88</v>
      </c>
      <c r="J16664" s="3">
        <v>485</v>
      </c>
      <c r="K16664" s="3">
        <v>733</v>
      </c>
      <c r="L16664" s="3">
        <v>2</v>
      </c>
      <c r="M16664" s="3">
        <v>89</v>
      </c>
    </row>
    <row r="16665" spans="1:13" x14ac:dyDescent="0.25">
      <c r="A16665" s="1" t="str">
        <f>HYPERLINK("http://www.rosaceae.org/Prunus/Prunus_persica/p.persica_gdr_reftransV1_0040956","p.persica_gdr_reftransV1_0040956")</f>
        <v>p.persica_gdr_reftransV1_0040956</v>
      </c>
      <c r="B16665" s="3">
        <v>3768</v>
      </c>
      <c r="C16665" s="1" t="str">
        <f>HYPERLINK("http://www.uniprot.org/uniprot/ASD1_ARATH","ASD1_ARATH")</f>
        <v>ASD1_ARATH</v>
      </c>
      <c r="D16665" t="s">
        <v>9079</v>
      </c>
      <c r="E16665" s="3" t="s">
        <v>3</v>
      </c>
      <c r="F16665" s="4">
        <v>0</v>
      </c>
      <c r="G16665" s="3">
        <v>2300</v>
      </c>
      <c r="H16665" s="3">
        <v>75</v>
      </c>
      <c r="I16665" s="3">
        <v>563</v>
      </c>
      <c r="J16665" s="3">
        <v>1823</v>
      </c>
      <c r="K16665" s="3">
        <v>3499</v>
      </c>
      <c r="L16665" s="3">
        <v>22</v>
      </c>
      <c r="M16665" s="3">
        <v>577</v>
      </c>
    </row>
    <row r="16666" spans="1:13" x14ac:dyDescent="0.25">
      <c r="A16666" s="1" t="str">
        <f>HYPERLINK("http://www.rosaceae.org/Prunus/Prunus_persica/p.persica_gdr_reftransV1_0041206","p.persica_gdr_reftransV1_0041206")</f>
        <v>p.persica_gdr_reftransV1_0041206</v>
      </c>
      <c r="B16666" s="3">
        <v>4113</v>
      </c>
      <c r="C16666" s="1" t="str">
        <f>HYPERLINK("http://www.uniprot.org/uniprot/ATG9_DICDI","ATG9_DICDI")</f>
        <v>ATG9_DICDI</v>
      </c>
      <c r="D16666" t="s">
        <v>10420</v>
      </c>
      <c r="E16666" s="3" t="s">
        <v>9</v>
      </c>
      <c r="F16666" s="4">
        <v>2.3500000000000001E-33</v>
      </c>
      <c r="G16666" s="3">
        <v>358</v>
      </c>
      <c r="H16666" s="3">
        <v>32</v>
      </c>
      <c r="I16666" s="3">
        <v>322</v>
      </c>
      <c r="J16666" s="3">
        <v>597</v>
      </c>
      <c r="K16666" s="3">
        <v>1538</v>
      </c>
      <c r="L16666" s="3">
        <v>67</v>
      </c>
      <c r="M16666" s="3">
        <v>356</v>
      </c>
    </row>
    <row r="16667" spans="1:13" x14ac:dyDescent="0.25">
      <c r="A16667" s="1" t="str">
        <f>HYPERLINK("http://www.rosaceae.org/Prunus/Prunus_persica/p.persica_gdr_reftransV1_0041256","p.persica_gdr_reftransV1_0041256")</f>
        <v>p.persica_gdr_reftransV1_0041256</v>
      </c>
      <c r="B16667" s="3">
        <v>2278</v>
      </c>
      <c r="C16667" s="1" t="str">
        <f>HYPERLINK("http://www.uniprot.org/uniprot/FAD3C_RICCO","FAD3C_RICCO")</f>
        <v>FAD3C_RICCO</v>
      </c>
      <c r="D16667" t="s">
        <v>9675</v>
      </c>
      <c r="E16667" s="3" t="s">
        <v>421</v>
      </c>
      <c r="F16667" s="4">
        <v>0</v>
      </c>
      <c r="G16667" s="3">
        <v>1733</v>
      </c>
      <c r="H16667" s="3">
        <v>68</v>
      </c>
      <c r="I16667" s="3">
        <v>496</v>
      </c>
      <c r="J16667" s="3">
        <v>451</v>
      </c>
      <c r="K16667" s="3">
        <v>1917</v>
      </c>
      <c r="L16667" s="3">
        <v>1</v>
      </c>
      <c r="M16667" s="3">
        <v>458</v>
      </c>
    </row>
    <row r="16668" spans="1:13" x14ac:dyDescent="0.25">
      <c r="A16668" s="1" t="str">
        <f>HYPERLINK("http://www.rosaceae.org/Prunus/Prunus_persica/p.persica_gdr_reftransV1_0041556","p.persica_gdr_reftransV1_0041556")</f>
        <v>p.persica_gdr_reftransV1_0041556</v>
      </c>
      <c r="B16668" s="3">
        <v>2466</v>
      </c>
      <c r="C16668" s="1" t="str">
        <f>HYPERLINK("http://www.uniprot.org/uniprot/AB10I_ARATH","AB10I_ARATH")</f>
        <v>AB10I_ARATH</v>
      </c>
      <c r="D16668" t="s">
        <v>3006</v>
      </c>
      <c r="E16668" s="3" t="s">
        <v>3</v>
      </c>
      <c r="F16668" s="4">
        <v>2.07E-58</v>
      </c>
      <c r="G16668" s="3">
        <v>504</v>
      </c>
      <c r="H16668" s="3">
        <v>69</v>
      </c>
      <c r="I16668" s="3">
        <v>131</v>
      </c>
      <c r="J16668" s="3">
        <v>452</v>
      </c>
      <c r="K16668" s="3">
        <v>841</v>
      </c>
      <c r="L16668" s="3">
        <v>30</v>
      </c>
      <c r="M16668" s="3">
        <v>160</v>
      </c>
    </row>
    <row r="16669" spans="1:13" x14ac:dyDescent="0.25">
      <c r="A16669" s="1" t="str">
        <f>HYPERLINK("http://www.rosaceae.org/Prunus/Prunus_persica/p.persica_gdr_reftransV1_0041606","p.persica_gdr_reftransV1_0041606")</f>
        <v>p.persica_gdr_reftransV1_0041606</v>
      </c>
      <c r="B16669" s="3">
        <v>3670</v>
      </c>
      <c r="C16669" s="1" t="str">
        <f>HYPERLINK("http://www.uniprot.org/uniprot/CL16A_MOUSE","CL16A_MOUSE")</f>
        <v>CL16A_MOUSE</v>
      </c>
      <c r="D16669" t="s">
        <v>10421</v>
      </c>
      <c r="E16669" s="3" t="s">
        <v>157</v>
      </c>
      <c r="F16669" s="4">
        <v>2.17E-21</v>
      </c>
      <c r="G16669" s="3">
        <v>261</v>
      </c>
      <c r="H16669" s="3">
        <v>35</v>
      </c>
      <c r="I16669" s="3">
        <v>229</v>
      </c>
      <c r="J16669" s="3">
        <v>2323</v>
      </c>
      <c r="K16669" s="3">
        <v>2991</v>
      </c>
      <c r="L16669" s="3">
        <v>116</v>
      </c>
      <c r="M16669" s="3">
        <v>338</v>
      </c>
    </row>
    <row r="16670" spans="1:13" x14ac:dyDescent="0.25">
      <c r="A16670" s="1" t="str">
        <f>HYPERLINK("http://www.rosaceae.org/Prunus/Prunus_persica/p.persica_gdr_reftransV1_0041856","p.persica_gdr_reftransV1_0041856")</f>
        <v>p.persica_gdr_reftransV1_0041856</v>
      </c>
      <c r="B16670" s="3">
        <v>2978</v>
      </c>
      <c r="C16670" s="1" t="str">
        <f>HYPERLINK("http://www.uniprot.org/uniprot/E70B1_ARATH","E70B1_ARATH")</f>
        <v>E70B1_ARATH</v>
      </c>
      <c r="D16670" t="s">
        <v>7633</v>
      </c>
      <c r="E16670" s="3" t="s">
        <v>3</v>
      </c>
      <c r="F16670" s="4">
        <v>6.6399999999999997E-93</v>
      </c>
      <c r="G16670" s="3">
        <v>805</v>
      </c>
      <c r="H16670" s="3">
        <v>33</v>
      </c>
      <c r="I16670" s="3">
        <v>633</v>
      </c>
      <c r="J16670" s="3">
        <v>771</v>
      </c>
      <c r="K16670" s="3">
        <v>2618</v>
      </c>
      <c r="L16670" s="3">
        <v>21</v>
      </c>
      <c r="M16670" s="3">
        <v>620</v>
      </c>
    </row>
    <row r="16671" spans="1:13" x14ac:dyDescent="0.25">
      <c r="A16671" s="1" t="str">
        <f>HYPERLINK("http://www.rosaceae.org/Prunus/Prunus_persica/p.persica_gdr_reftransV1_0042456","p.persica_gdr_reftransV1_0042456")</f>
        <v>p.persica_gdr_reftransV1_0042456</v>
      </c>
      <c r="B16671" s="3">
        <v>4359</v>
      </c>
      <c r="C16671" s="1" t="str">
        <f>HYPERLINK("http://www.uniprot.org/uniprot/UBE12_ARATH","UBE12_ARATH")</f>
        <v>UBE12_ARATH</v>
      </c>
      <c r="D16671" t="s">
        <v>9414</v>
      </c>
      <c r="E16671" s="3" t="s">
        <v>3</v>
      </c>
      <c r="F16671" s="4">
        <v>6.6399999999999998E-10</v>
      </c>
      <c r="G16671" s="3">
        <v>164</v>
      </c>
      <c r="H16671" s="3">
        <v>47</v>
      </c>
      <c r="I16671" s="3">
        <v>94</v>
      </c>
      <c r="J16671" s="3">
        <v>1187</v>
      </c>
      <c r="K16671" s="3">
        <v>1441</v>
      </c>
      <c r="L16671" s="3">
        <v>608</v>
      </c>
      <c r="M16671" s="3">
        <v>701</v>
      </c>
    </row>
    <row r="16672" spans="1:13" x14ac:dyDescent="0.25">
      <c r="A16672" s="1" t="str">
        <f>HYPERLINK("http://www.rosaceae.org/Prunus/Prunus_persica/p.persica_gdr_reftransV1_0042506","p.persica_gdr_reftransV1_0042506")</f>
        <v>p.persica_gdr_reftransV1_0042506</v>
      </c>
      <c r="B16672" s="3">
        <v>3350</v>
      </c>
      <c r="C16672" s="1" t="str">
        <f>HYPERLINK("http://www.uniprot.org/uniprot/RQL5_ARATH","RQL5_ARATH")</f>
        <v>RQL5_ARATH</v>
      </c>
      <c r="D16672" t="s">
        <v>10422</v>
      </c>
      <c r="E16672" s="3" t="s">
        <v>3</v>
      </c>
      <c r="F16672" s="4">
        <v>0</v>
      </c>
      <c r="G16672" s="3">
        <v>2186</v>
      </c>
      <c r="H16672" s="3">
        <v>61</v>
      </c>
      <c r="I16672" s="3">
        <v>733</v>
      </c>
      <c r="J16672" s="3">
        <v>1051</v>
      </c>
      <c r="K16672" s="3">
        <v>3228</v>
      </c>
      <c r="L16672" s="3">
        <v>124</v>
      </c>
      <c r="M16672" s="3">
        <v>842</v>
      </c>
    </row>
    <row r="16673" spans="1:13" x14ac:dyDescent="0.25">
      <c r="A16673" s="1" t="str">
        <f>HYPERLINK("http://www.rosaceae.org/Prunus/Prunus_persica/p.persica_gdr_reftransV1_0042556","p.persica_gdr_reftransV1_0042556")</f>
        <v>p.persica_gdr_reftransV1_0042556</v>
      </c>
      <c r="B16673" s="3">
        <v>665</v>
      </c>
      <c r="C16673" s="1" t="str">
        <f>HYPERLINK("http://www.uniprot.org/uniprot/Y4265_ARATH","Y4265_ARATH")</f>
        <v>Y4265_ARATH</v>
      </c>
      <c r="D16673" t="s">
        <v>1089</v>
      </c>
      <c r="E16673" s="3" t="s">
        <v>3</v>
      </c>
      <c r="F16673" s="4">
        <v>3.7499999999999998E-16</v>
      </c>
      <c r="G16673" s="3">
        <v>200</v>
      </c>
      <c r="H16673" s="3">
        <v>44</v>
      </c>
      <c r="I16673" s="3">
        <v>146</v>
      </c>
      <c r="J16673" s="3">
        <v>3</v>
      </c>
      <c r="K16673" s="3">
        <v>434</v>
      </c>
      <c r="L16673" s="3">
        <v>33</v>
      </c>
      <c r="M16673" s="3">
        <v>177</v>
      </c>
    </row>
    <row r="16674" spans="1:13" x14ac:dyDescent="0.25">
      <c r="A16674" s="1" t="str">
        <f>HYPERLINK("http://www.rosaceae.org/Prunus/Prunus_persica/p.persica_gdr_reftransV1_0042856","p.persica_gdr_reftransV1_0042856")</f>
        <v>p.persica_gdr_reftransV1_0042856</v>
      </c>
      <c r="B16674" s="3">
        <v>1124</v>
      </c>
      <c r="C16674" s="1" t="str">
        <f>HYPERLINK("http://www.uniprot.org/uniprot/RM06_MARPO","RM06_MARPO")</f>
        <v>RM06_MARPO</v>
      </c>
      <c r="D16674" t="s">
        <v>10423</v>
      </c>
      <c r="E16674" s="3" t="s">
        <v>9595</v>
      </c>
      <c r="F16674" s="4">
        <v>2.9600000000000002E-29</v>
      </c>
      <c r="G16674" s="3">
        <v>284</v>
      </c>
      <c r="H16674" s="3">
        <v>67</v>
      </c>
      <c r="I16674" s="3">
        <v>93</v>
      </c>
      <c r="J16674" s="3">
        <v>221</v>
      </c>
      <c r="K16674" s="3">
        <v>499</v>
      </c>
      <c r="L16674" s="3">
        <v>1</v>
      </c>
      <c r="M16674" s="3">
        <v>93</v>
      </c>
    </row>
    <row r="16675" spans="1:13" x14ac:dyDescent="0.25">
      <c r="A16675" s="1" t="str">
        <f>HYPERLINK("http://www.rosaceae.org/Prunus/Prunus_persica/p.persica_gdr_reftransV1_0043106","p.persica_gdr_reftransV1_0043106")</f>
        <v>p.persica_gdr_reftransV1_0043106</v>
      </c>
      <c r="B16675" s="3">
        <v>547</v>
      </c>
      <c r="C16675" s="1" t="str">
        <f>HYPERLINK("http://www.uniprot.org/uniprot/Y1534_ARATH","Y1534_ARATH")</f>
        <v>Y1534_ARATH</v>
      </c>
      <c r="D16675" t="s">
        <v>5111</v>
      </c>
      <c r="E16675" s="3" t="s">
        <v>3</v>
      </c>
      <c r="F16675" s="4">
        <v>1.1200000000000001E-59</v>
      </c>
      <c r="G16675" s="3">
        <v>519</v>
      </c>
      <c r="H16675" s="3">
        <v>63</v>
      </c>
      <c r="I16675" s="3">
        <v>158</v>
      </c>
      <c r="J16675" s="3">
        <v>3</v>
      </c>
      <c r="K16675" s="3">
        <v>476</v>
      </c>
      <c r="L16675" s="3">
        <v>64</v>
      </c>
      <c r="M16675" s="3">
        <v>221</v>
      </c>
    </row>
    <row r="16676" spans="1:13" x14ac:dyDescent="0.25">
      <c r="A16676" s="1" t="str">
        <f>HYPERLINK("http://www.rosaceae.org/Prunus/Prunus_persica/p.persica_gdr_reftransV1_0043206","p.persica_gdr_reftransV1_0043206")</f>
        <v>p.persica_gdr_reftransV1_0043206</v>
      </c>
      <c r="B16676" s="3">
        <v>2257</v>
      </c>
      <c r="C16676" s="1" t="str">
        <f>HYPERLINK("http://www.uniprot.org/uniprot/COG6_BOVIN","COG6_BOVIN")</f>
        <v>COG6_BOVIN</v>
      </c>
      <c r="D16676" t="s">
        <v>8256</v>
      </c>
      <c r="E16676" s="3" t="s">
        <v>184</v>
      </c>
      <c r="F16676" s="4">
        <v>6.4900000000000001E-124</v>
      </c>
      <c r="G16676" s="3">
        <v>1006</v>
      </c>
      <c r="H16676" s="3">
        <v>35</v>
      </c>
      <c r="I16676" s="3">
        <v>685</v>
      </c>
      <c r="J16676" s="3">
        <v>114</v>
      </c>
      <c r="K16676" s="3">
        <v>2150</v>
      </c>
      <c r="L16676" s="3">
        <v>35</v>
      </c>
      <c r="M16676" s="3">
        <v>656</v>
      </c>
    </row>
    <row r="16677" spans="1:13" x14ac:dyDescent="0.25">
      <c r="A16677" s="1" t="str">
        <f>HYPERLINK("http://www.rosaceae.org/Prunus/Prunus_persica/p.persica_gdr_reftransV1_0043256","p.persica_gdr_reftransV1_0043256")</f>
        <v>p.persica_gdr_reftransV1_0043256</v>
      </c>
      <c r="B16677" s="3">
        <v>1355</v>
      </c>
      <c r="C16677" s="1" t="str">
        <f>HYPERLINK("http://www.uniprot.org/uniprot/Y1176_ORYSJ","Y1176_ORYSJ")</f>
        <v>Y1176_ORYSJ</v>
      </c>
      <c r="D16677" t="s">
        <v>10424</v>
      </c>
      <c r="E16677" s="3" t="s">
        <v>38</v>
      </c>
      <c r="F16677" s="4">
        <v>1.2899999999999999E-10</v>
      </c>
      <c r="G16677" s="3">
        <v>161</v>
      </c>
      <c r="H16677" s="3">
        <v>37</v>
      </c>
      <c r="I16677" s="3">
        <v>102</v>
      </c>
      <c r="J16677" s="3">
        <v>306</v>
      </c>
      <c r="K16677" s="3">
        <v>605</v>
      </c>
      <c r="L16677" s="3">
        <v>275</v>
      </c>
      <c r="M16677" s="3">
        <v>376</v>
      </c>
    </row>
    <row r="16678" spans="1:13" x14ac:dyDescent="0.25">
      <c r="A16678" s="1" t="str">
        <f>HYPERLINK("http://www.rosaceae.org/Prunus/Prunus_persica/p.persica_gdr_reftransV1_0043356","p.persica_gdr_reftransV1_0043356")</f>
        <v>p.persica_gdr_reftransV1_0043356</v>
      </c>
      <c r="B16678" s="3">
        <v>403</v>
      </c>
      <c r="C16678" s="1" t="str">
        <f>HYPERLINK("http://www.uniprot.org/uniprot/POLX_TOBAC","POLX_TOBAC")</f>
        <v>POLX_TOBAC</v>
      </c>
      <c r="D16678" t="s">
        <v>1253</v>
      </c>
      <c r="E16678" s="3" t="s">
        <v>200</v>
      </c>
      <c r="F16678" s="4">
        <v>8.1799999999999997E-10</v>
      </c>
      <c r="G16678" s="3">
        <v>145</v>
      </c>
      <c r="H16678" s="3">
        <v>31</v>
      </c>
      <c r="I16678" s="3">
        <v>100</v>
      </c>
      <c r="J16678" s="3">
        <v>100</v>
      </c>
      <c r="K16678" s="3">
        <v>399</v>
      </c>
      <c r="L16678" s="3">
        <v>418</v>
      </c>
      <c r="M16678" s="3">
        <v>517</v>
      </c>
    </row>
    <row r="16679" spans="1:13" x14ac:dyDescent="0.25">
      <c r="A16679" s="1" t="str">
        <f>HYPERLINK("http://www.rosaceae.org/Prunus/Prunus_persica/p.persica_gdr_reftransV1_0043456","p.persica_gdr_reftransV1_0043456")</f>
        <v>p.persica_gdr_reftransV1_0043456</v>
      </c>
      <c r="B16679" s="3">
        <v>664</v>
      </c>
      <c r="C16679" s="1" t="str">
        <f>HYPERLINK("http://www.uniprot.org/uniprot/HNRL1_MOUSE","HNRL1_MOUSE")</f>
        <v>HNRL1_MOUSE</v>
      </c>
      <c r="D16679" t="s">
        <v>1941</v>
      </c>
      <c r="E16679" s="3" t="s">
        <v>157</v>
      </c>
      <c r="F16679" s="4">
        <v>5.2099999999999996E-19</v>
      </c>
      <c r="G16679" s="3">
        <v>222</v>
      </c>
      <c r="H16679" s="3">
        <v>40</v>
      </c>
      <c r="I16679" s="3">
        <v>156</v>
      </c>
      <c r="J16679" s="3">
        <v>30</v>
      </c>
      <c r="K16679" s="3">
        <v>494</v>
      </c>
      <c r="L16679" s="3">
        <v>212</v>
      </c>
      <c r="M16679" s="3">
        <v>365</v>
      </c>
    </row>
    <row r="16680" spans="1:13" x14ac:dyDescent="0.25">
      <c r="A16680" s="1" t="str">
        <f>HYPERLINK("http://www.rosaceae.org/Prunus/Prunus_persica/p.persica_gdr_reftransV1_0043506","p.persica_gdr_reftransV1_0043506")</f>
        <v>p.persica_gdr_reftransV1_0043506</v>
      </c>
      <c r="B16680" s="3">
        <v>543</v>
      </c>
      <c r="C16680" s="1" t="str">
        <f>HYPERLINK("http://www.uniprot.org/uniprot/NCED3_ARATH","NCED3_ARATH")</f>
        <v>NCED3_ARATH</v>
      </c>
      <c r="D16680" t="s">
        <v>8733</v>
      </c>
      <c r="E16680" s="3" t="s">
        <v>3</v>
      </c>
      <c r="F16680" s="4">
        <v>7.0299999999999997E-12</v>
      </c>
      <c r="G16680" s="3">
        <v>163</v>
      </c>
      <c r="H16680" s="3">
        <v>28</v>
      </c>
      <c r="I16680" s="3">
        <v>138</v>
      </c>
      <c r="J16680" s="3">
        <v>142</v>
      </c>
      <c r="K16680" s="3">
        <v>543</v>
      </c>
      <c r="L16680" s="3">
        <v>247</v>
      </c>
      <c r="M16680" s="3">
        <v>384</v>
      </c>
    </row>
    <row r="16681" spans="1:13" x14ac:dyDescent="0.25">
      <c r="A16681" s="1" t="str">
        <f>HYPERLINK("http://www.rosaceae.org/Prunus/Prunus_persica/p.persica_gdr_reftransV1_0043556","p.persica_gdr_reftransV1_0043556")</f>
        <v>p.persica_gdr_reftransV1_0043556</v>
      </c>
      <c r="B16681" s="3">
        <v>2507</v>
      </c>
      <c r="C16681" s="1" t="str">
        <f>HYPERLINK("http://www.uniprot.org/uniprot/SEOB_ARATH","SEOB_ARATH")</f>
        <v>SEOB_ARATH</v>
      </c>
      <c r="D16681" t="s">
        <v>4149</v>
      </c>
      <c r="E16681" s="3" t="s">
        <v>3</v>
      </c>
      <c r="F16681" s="4">
        <v>3.0300000000000002E-100</v>
      </c>
      <c r="G16681" s="3">
        <v>856</v>
      </c>
      <c r="H16681" s="3">
        <v>33</v>
      </c>
      <c r="I16681" s="3">
        <v>731</v>
      </c>
      <c r="J16681" s="3">
        <v>383</v>
      </c>
      <c r="K16681" s="3">
        <v>2389</v>
      </c>
      <c r="L16681" s="3">
        <v>12</v>
      </c>
      <c r="M16681" s="3">
        <v>730</v>
      </c>
    </row>
    <row r="16682" spans="1:13" x14ac:dyDescent="0.25">
      <c r="A16682" s="1" t="str">
        <f>HYPERLINK("http://www.rosaceae.org/Prunus/Prunus_persica/p.persica_gdr_reftransV1_0043656","p.persica_gdr_reftransV1_0043656")</f>
        <v>p.persica_gdr_reftransV1_0043656</v>
      </c>
      <c r="B16682" s="3">
        <v>840</v>
      </c>
      <c r="C16682" s="1" t="str">
        <f>HYPERLINK("http://www.uniprot.org/uniprot/RBM3_HUMAN","RBM3_HUMAN")</f>
        <v>RBM3_HUMAN</v>
      </c>
      <c r="D16682" t="s">
        <v>10425</v>
      </c>
      <c r="E16682" s="3" t="s">
        <v>28</v>
      </c>
      <c r="F16682" s="4">
        <v>2.4400000000000002E-13</v>
      </c>
      <c r="G16682" s="3">
        <v>169</v>
      </c>
      <c r="H16682" s="3">
        <v>40</v>
      </c>
      <c r="I16682" s="3">
        <v>85</v>
      </c>
      <c r="J16682" s="3">
        <v>375</v>
      </c>
      <c r="K16682" s="3">
        <v>629</v>
      </c>
      <c r="L16682" s="3">
        <v>6</v>
      </c>
      <c r="M16682" s="3">
        <v>88</v>
      </c>
    </row>
    <row r="16683" spans="1:13" x14ac:dyDescent="0.25">
      <c r="A16683" s="1" t="str">
        <f>HYPERLINK("http://www.rosaceae.org/Prunus/Prunus_persica/p.persica_gdr_reftransV1_0043706","p.persica_gdr_reftransV1_0043706")</f>
        <v>p.persica_gdr_reftransV1_0043706</v>
      </c>
      <c r="B16683" s="3">
        <v>5911</v>
      </c>
      <c r="C16683" s="1" t="str">
        <f>HYPERLINK("http://www.uniprot.org/uniprot/Y6689_DICDI","Y6689_DICDI")</f>
        <v>Y6689_DICDI</v>
      </c>
      <c r="D16683" t="s">
        <v>10426</v>
      </c>
      <c r="E16683" s="3" t="s">
        <v>9</v>
      </c>
      <c r="F16683" s="4">
        <v>7.6900000000000001E-19</v>
      </c>
      <c r="G16683" s="3">
        <v>243</v>
      </c>
      <c r="H16683" s="3">
        <v>28</v>
      </c>
      <c r="I16683" s="3">
        <v>314</v>
      </c>
      <c r="J16683" s="3">
        <v>1951</v>
      </c>
      <c r="K16683" s="3">
        <v>2781</v>
      </c>
      <c r="L16683" s="3">
        <v>2092</v>
      </c>
      <c r="M16683" s="3">
        <v>2356</v>
      </c>
    </row>
    <row r="16684" spans="1:13" x14ac:dyDescent="0.25">
      <c r="A16684" s="1" t="str">
        <f>HYPERLINK("http://www.rosaceae.org/Prunus/Prunus_persica/p.persica_gdr_reftransV1_0043756","p.persica_gdr_reftransV1_0043756")</f>
        <v>p.persica_gdr_reftransV1_0043756</v>
      </c>
      <c r="B16684" s="3">
        <v>852</v>
      </c>
      <c r="C16684" s="1" t="str">
        <f>HYPERLINK("http://www.uniprot.org/uniprot/PP188_ARATH","PP188_ARATH")</f>
        <v>PP188_ARATH</v>
      </c>
      <c r="D16684" t="s">
        <v>271</v>
      </c>
      <c r="E16684" s="3" t="s">
        <v>3</v>
      </c>
      <c r="F16684" s="4">
        <v>1.6800000000000001E-132</v>
      </c>
      <c r="G16684" s="3">
        <v>1006</v>
      </c>
      <c r="H16684" s="3">
        <v>68</v>
      </c>
      <c r="I16684" s="3">
        <v>285</v>
      </c>
      <c r="J16684" s="3">
        <v>1</v>
      </c>
      <c r="K16684" s="3">
        <v>852</v>
      </c>
      <c r="L16684" s="3">
        <v>88</v>
      </c>
      <c r="M16684" s="3">
        <v>370</v>
      </c>
    </row>
    <row r="16685" spans="1:13" x14ac:dyDescent="0.25">
      <c r="A16685" s="1" t="str">
        <f>HYPERLINK("http://www.rosaceae.org/Prunus/Prunus_persica/p.persica_gdr_reftransV1_0043806","p.persica_gdr_reftransV1_0043806")</f>
        <v>p.persica_gdr_reftransV1_0043806</v>
      </c>
      <c r="B16685" s="3">
        <v>3579</v>
      </c>
      <c r="C16685" s="1" t="str">
        <f>HYPERLINK("http://www.uniprot.org/uniprot/K125_TOBAC","K125_TOBAC")</f>
        <v>K125_TOBAC</v>
      </c>
      <c r="D16685" t="s">
        <v>7756</v>
      </c>
      <c r="E16685" s="3" t="s">
        <v>200</v>
      </c>
      <c r="F16685" s="4">
        <v>0</v>
      </c>
      <c r="G16685" s="3">
        <v>1926</v>
      </c>
      <c r="H16685" s="3">
        <v>45</v>
      </c>
      <c r="I16685" s="3">
        <v>1010</v>
      </c>
      <c r="J16685" s="3">
        <v>218</v>
      </c>
      <c r="K16685" s="3">
        <v>3199</v>
      </c>
      <c r="L16685" s="3">
        <v>3</v>
      </c>
      <c r="M16685" s="3">
        <v>1005</v>
      </c>
    </row>
    <row r="16686" spans="1:13" x14ac:dyDescent="0.25">
      <c r="A16686" s="1" t="str">
        <f>HYPERLINK("http://www.rosaceae.org/Prunus/Prunus_persica/p.persica_gdr_reftransV1_0043856","p.persica_gdr_reftransV1_0043856")</f>
        <v>p.persica_gdr_reftransV1_0043856</v>
      </c>
      <c r="B16686" s="3">
        <v>496</v>
      </c>
      <c r="C16686" s="1" t="str">
        <f>HYPERLINK("http://www.uniprot.org/uniprot/PXL1_ARATH","PXL1_ARATH")</f>
        <v>PXL1_ARATH</v>
      </c>
      <c r="D16686" t="s">
        <v>5351</v>
      </c>
      <c r="E16686" s="3" t="s">
        <v>3</v>
      </c>
      <c r="F16686" s="4">
        <v>4.6599999999999996E-59</v>
      </c>
      <c r="G16686" s="3">
        <v>515</v>
      </c>
      <c r="H16686" s="3">
        <v>66</v>
      </c>
      <c r="I16686" s="3">
        <v>160</v>
      </c>
      <c r="J16686" s="3">
        <v>3</v>
      </c>
      <c r="K16686" s="3">
        <v>482</v>
      </c>
      <c r="L16686" s="3">
        <v>78</v>
      </c>
      <c r="M16686" s="3">
        <v>237</v>
      </c>
    </row>
    <row r="16687" spans="1:13" x14ac:dyDescent="0.25">
      <c r="A16687" s="1" t="str">
        <f>HYPERLINK("http://www.rosaceae.org/Prunus/Prunus_persica/p.persica_gdr_reftransV1_0043906","p.persica_gdr_reftransV1_0043906")</f>
        <v>p.persica_gdr_reftransV1_0043906</v>
      </c>
      <c r="B16687" s="3">
        <v>1271</v>
      </c>
      <c r="C16687" s="1" t="str">
        <f>HYPERLINK("http://www.uniprot.org/uniprot/SCGT_TOBAC","SCGT_TOBAC")</f>
        <v>SCGT_TOBAC</v>
      </c>
      <c r="D16687" t="s">
        <v>2560</v>
      </c>
      <c r="E16687" s="3" t="s">
        <v>200</v>
      </c>
      <c r="F16687" s="4">
        <v>2.6600000000000002E-165</v>
      </c>
      <c r="G16687" s="3">
        <v>1236</v>
      </c>
      <c r="H16687" s="3">
        <v>61</v>
      </c>
      <c r="I16687" s="3">
        <v>370</v>
      </c>
      <c r="J16687" s="3">
        <v>161</v>
      </c>
      <c r="K16687" s="3">
        <v>1270</v>
      </c>
      <c r="L16687" s="3">
        <v>107</v>
      </c>
      <c r="M16687" s="3">
        <v>471</v>
      </c>
    </row>
    <row r="16688" spans="1:13" x14ac:dyDescent="0.25">
      <c r="A16688" s="1" t="str">
        <f>HYPERLINK("http://www.rosaceae.org/Prunus/Prunus_persica/p.persica_gdr_reftransV1_0043956","p.persica_gdr_reftransV1_0043956")</f>
        <v>p.persica_gdr_reftransV1_0043956</v>
      </c>
      <c r="B16688" s="3">
        <v>660</v>
      </c>
      <c r="C16688" s="1" t="str">
        <f>HYPERLINK("http://www.uniprot.org/uniprot/YUC4_ARATH","YUC4_ARATH")</f>
        <v>YUC4_ARATH</v>
      </c>
      <c r="D16688" t="s">
        <v>2681</v>
      </c>
      <c r="E16688" s="3" t="s">
        <v>3</v>
      </c>
      <c r="F16688" s="4">
        <v>3.9400000000000001E-88</v>
      </c>
      <c r="G16688" s="3">
        <v>696</v>
      </c>
      <c r="H16688" s="3">
        <v>73</v>
      </c>
      <c r="I16688" s="3">
        <v>222</v>
      </c>
      <c r="J16688" s="3">
        <v>3</v>
      </c>
      <c r="K16688" s="3">
        <v>659</v>
      </c>
      <c r="L16688" s="3">
        <v>186</v>
      </c>
      <c r="M16688" s="3">
        <v>406</v>
      </c>
    </row>
    <row r="16689" spans="1:13" x14ac:dyDescent="0.25">
      <c r="A16689" s="1" t="str">
        <f>HYPERLINK("http://www.rosaceae.org/Prunus/Prunus_persica/p.persica_gdr_reftransV1_0044006","p.persica_gdr_reftransV1_0044006")</f>
        <v>p.persica_gdr_reftransV1_0044006</v>
      </c>
      <c r="B16689" s="3">
        <v>618</v>
      </c>
      <c r="C16689" s="1" t="str">
        <f>HYPERLINK("http://www.uniprot.org/uniprot/RGA4_SOLBU","RGA4_SOLBU")</f>
        <v>RGA4_SOLBU</v>
      </c>
      <c r="D16689" t="s">
        <v>1657</v>
      </c>
      <c r="E16689" s="3" t="s">
        <v>560</v>
      </c>
      <c r="F16689" s="4">
        <v>3.1900000000000002E-14</v>
      </c>
      <c r="G16689" s="3">
        <v>183</v>
      </c>
      <c r="H16689" s="3">
        <v>36</v>
      </c>
      <c r="I16689" s="3">
        <v>188</v>
      </c>
      <c r="J16689" s="3">
        <v>52</v>
      </c>
      <c r="K16689" s="3">
        <v>603</v>
      </c>
      <c r="L16689" s="3">
        <v>783</v>
      </c>
      <c r="M16689" s="3">
        <v>965</v>
      </c>
    </row>
    <row r="16690" spans="1:13" x14ac:dyDescent="0.25">
      <c r="A16690" s="1" t="str">
        <f>HYPERLINK("http://www.rosaceae.org/Prunus/Prunus_persica/p.persica_gdr_reftransV1_0044156","p.persica_gdr_reftransV1_0044156")</f>
        <v>p.persica_gdr_reftransV1_0044156</v>
      </c>
      <c r="B16690" s="3">
        <v>1311</v>
      </c>
      <c r="C16690" s="1" t="str">
        <f>HYPERLINK("http://www.uniprot.org/uniprot/CAS1_BETPL","CAS1_BETPL")</f>
        <v>CAS1_BETPL</v>
      </c>
      <c r="D16690" t="s">
        <v>3201</v>
      </c>
      <c r="E16690" s="3" t="s">
        <v>2061</v>
      </c>
      <c r="F16690" s="4">
        <v>0</v>
      </c>
      <c r="G16690" s="3">
        <v>1791</v>
      </c>
      <c r="H16690" s="3">
        <v>83</v>
      </c>
      <c r="I16690" s="3">
        <v>425</v>
      </c>
      <c r="J16690" s="3">
        <v>54</v>
      </c>
      <c r="K16690" s="3">
        <v>1310</v>
      </c>
      <c r="L16690" s="3">
        <v>1</v>
      </c>
      <c r="M16690" s="3">
        <v>424</v>
      </c>
    </row>
    <row r="16691" spans="1:13" x14ac:dyDescent="0.25">
      <c r="A16691" s="1" t="str">
        <f>HYPERLINK("http://www.rosaceae.org/Prunus/Prunus_persica/p.persica_gdr_reftransV1_0044206","p.persica_gdr_reftransV1_0044206")</f>
        <v>p.persica_gdr_reftransV1_0044206</v>
      </c>
      <c r="B16691" s="3">
        <v>1762</v>
      </c>
      <c r="C16691" s="1" t="str">
        <f>HYPERLINK("http://www.uniprot.org/uniprot/SCR_ARATH","SCR_ARATH")</f>
        <v>SCR_ARATH</v>
      </c>
      <c r="D16691" t="s">
        <v>10427</v>
      </c>
      <c r="E16691" s="3" t="s">
        <v>3</v>
      </c>
      <c r="F16691" s="4">
        <v>1.1900000000000001E-22</v>
      </c>
      <c r="G16691" s="3">
        <v>264</v>
      </c>
      <c r="H16691" s="3">
        <v>59</v>
      </c>
      <c r="I16691" s="3">
        <v>88</v>
      </c>
      <c r="J16691" s="3">
        <v>620</v>
      </c>
      <c r="K16691" s="3">
        <v>883</v>
      </c>
      <c r="L16691" s="3">
        <v>102</v>
      </c>
      <c r="M16691" s="3">
        <v>188</v>
      </c>
    </row>
    <row r="16692" spans="1:13" x14ac:dyDescent="0.25">
      <c r="A16692" s="1" t="str">
        <f>HYPERLINK("http://www.rosaceae.org/Prunus/Prunus_persica/p.persica_gdr_reftransV1_0044256","p.persica_gdr_reftransV1_0044256")</f>
        <v>p.persica_gdr_reftransV1_0044256</v>
      </c>
      <c r="B16692" s="3">
        <v>867</v>
      </c>
      <c r="C16692" s="1" t="str">
        <f>HYPERLINK("http://www.uniprot.org/uniprot/RPOC2_MORIN","RPOC2_MORIN")</f>
        <v>RPOC2_MORIN</v>
      </c>
      <c r="D16692" t="s">
        <v>1685</v>
      </c>
      <c r="E16692" s="3" t="s">
        <v>69</v>
      </c>
      <c r="F16692" s="4">
        <v>1.2599999999999999E-146</v>
      </c>
      <c r="G16692" s="3">
        <v>1162</v>
      </c>
      <c r="H16692" s="3">
        <v>85</v>
      </c>
      <c r="I16692" s="3">
        <v>287</v>
      </c>
      <c r="J16692" s="3">
        <v>2</v>
      </c>
      <c r="K16692" s="3">
        <v>862</v>
      </c>
      <c r="L16692" s="3">
        <v>680</v>
      </c>
      <c r="M16692" s="3">
        <v>966</v>
      </c>
    </row>
    <row r="16693" spans="1:13" x14ac:dyDescent="0.25">
      <c r="A16693" s="1" t="str">
        <f>HYPERLINK("http://www.rosaceae.org/Prunus/Prunus_persica/p.persica_gdr_reftransV1_0044306","p.persica_gdr_reftransV1_0044306")</f>
        <v>p.persica_gdr_reftransV1_0044306</v>
      </c>
      <c r="B16693" s="3">
        <v>926</v>
      </c>
      <c r="C16693" s="1" t="str">
        <f>HYPERLINK("http://www.uniprot.org/uniprot/YACP_BACSU","YACP_BACSU")</f>
        <v>YACP_BACSU</v>
      </c>
      <c r="D16693" t="s">
        <v>10428</v>
      </c>
      <c r="E16693" s="3" t="s">
        <v>1630</v>
      </c>
      <c r="F16693" s="4">
        <v>5.0799999999999998E-8</v>
      </c>
      <c r="G16693" s="3">
        <v>132</v>
      </c>
      <c r="H16693" s="3">
        <v>34</v>
      </c>
      <c r="I16693" s="3">
        <v>115</v>
      </c>
      <c r="J16693" s="3">
        <v>380</v>
      </c>
      <c r="K16693" s="3">
        <v>721</v>
      </c>
      <c r="L16693" s="3">
        <v>1</v>
      </c>
      <c r="M16693" s="3">
        <v>113</v>
      </c>
    </row>
    <row r="16694" spans="1:13" x14ac:dyDescent="0.25">
      <c r="A16694" s="1" t="str">
        <f>HYPERLINK("http://www.rosaceae.org/Prunus/Prunus_persica/p.persica_gdr_reftransV1_0044406","p.persica_gdr_reftransV1_0044406")</f>
        <v>p.persica_gdr_reftransV1_0044406</v>
      </c>
      <c r="B16694" s="3">
        <v>1900</v>
      </c>
      <c r="C16694" s="1" t="str">
        <f>HYPERLINK("http://www.uniprot.org/uniprot/CBF5_ARATH","CBF5_ARATH")</f>
        <v>CBF5_ARATH</v>
      </c>
      <c r="D16694" t="s">
        <v>5853</v>
      </c>
      <c r="E16694" s="3" t="s">
        <v>3</v>
      </c>
      <c r="F16694" s="4">
        <v>0</v>
      </c>
      <c r="G16694" s="3">
        <v>1858</v>
      </c>
      <c r="H16694" s="3">
        <v>91</v>
      </c>
      <c r="I16694" s="3">
        <v>386</v>
      </c>
      <c r="J16694" s="3">
        <v>417</v>
      </c>
      <c r="K16694" s="3">
        <v>1574</v>
      </c>
      <c r="L16694" s="3">
        <v>26</v>
      </c>
      <c r="M16694" s="3">
        <v>411</v>
      </c>
    </row>
    <row r="16695" spans="1:13" x14ac:dyDescent="0.25">
      <c r="A16695" s="1" t="str">
        <f>HYPERLINK("http://www.rosaceae.org/Prunus/Prunus_persica/p.persica_gdr_reftransV1_0044656","p.persica_gdr_reftransV1_0044656")</f>
        <v>p.persica_gdr_reftransV1_0044656</v>
      </c>
      <c r="B16695" s="3">
        <v>1513</v>
      </c>
      <c r="C16695" s="1" t="str">
        <f>HYPERLINK("http://www.uniprot.org/uniprot/TARB1_HUMAN","TARB1_HUMAN")</f>
        <v>TARB1_HUMAN</v>
      </c>
      <c r="D16695" t="s">
        <v>9923</v>
      </c>
      <c r="E16695" s="3" t="s">
        <v>28</v>
      </c>
      <c r="F16695" s="4">
        <v>2.3900000000000002E-50</v>
      </c>
      <c r="G16695" s="3">
        <v>485</v>
      </c>
      <c r="H16695" s="3">
        <v>56</v>
      </c>
      <c r="I16695" s="3">
        <v>167</v>
      </c>
      <c r="J16695" s="3">
        <v>472</v>
      </c>
      <c r="K16695" s="3">
        <v>972</v>
      </c>
      <c r="L16695" s="3">
        <v>1449</v>
      </c>
      <c r="M16695" s="3">
        <v>1612</v>
      </c>
    </row>
    <row r="16696" spans="1:13" x14ac:dyDescent="0.25">
      <c r="A16696" s="1" t="str">
        <f>HYPERLINK("http://www.rosaceae.org/Prunus/Prunus_persica/p.persica_gdr_reftransV1_0044856","p.persica_gdr_reftransV1_0044856")</f>
        <v>p.persica_gdr_reftransV1_0044856</v>
      </c>
      <c r="B16696" s="3">
        <v>814</v>
      </c>
      <c r="C16696" s="1" t="str">
        <f>HYPERLINK("http://www.uniprot.org/uniprot/RS16_GOSHI","RS16_GOSHI")</f>
        <v>RS16_GOSHI</v>
      </c>
      <c r="D16696" t="s">
        <v>3878</v>
      </c>
      <c r="E16696" s="3" t="s">
        <v>816</v>
      </c>
      <c r="F16696" s="4">
        <v>9.7299999999999994E-93</v>
      </c>
      <c r="G16696" s="3">
        <v>708</v>
      </c>
      <c r="H16696" s="3">
        <v>95</v>
      </c>
      <c r="I16696" s="3">
        <v>145</v>
      </c>
      <c r="J16696" s="3">
        <v>65</v>
      </c>
      <c r="K16696" s="3">
        <v>499</v>
      </c>
      <c r="L16696" s="3">
        <v>1</v>
      </c>
      <c r="M16696" s="3">
        <v>145</v>
      </c>
    </row>
    <row r="16697" spans="1:13" x14ac:dyDescent="0.25">
      <c r="A16697" s="1" t="str">
        <f>HYPERLINK("http://www.rosaceae.org/Prunus/Prunus_persica/p.persica_gdr_reftransV1_0045156","p.persica_gdr_reftransV1_0045156")</f>
        <v>p.persica_gdr_reftransV1_0045156</v>
      </c>
      <c r="B16697" s="3">
        <v>499</v>
      </c>
      <c r="C16697" s="1" t="str">
        <f>HYPERLINK("http://www.uniprot.org/uniprot/NACK1_ARATH","NACK1_ARATH")</f>
        <v>NACK1_ARATH</v>
      </c>
      <c r="D16697" t="s">
        <v>10429</v>
      </c>
      <c r="E16697" s="3" t="s">
        <v>3</v>
      </c>
      <c r="F16697" s="4">
        <v>3.5800000000000003E-8</v>
      </c>
      <c r="G16697" s="3">
        <v>133</v>
      </c>
      <c r="H16697" s="3">
        <v>36</v>
      </c>
      <c r="I16697" s="3">
        <v>73</v>
      </c>
      <c r="J16697" s="3">
        <v>8</v>
      </c>
      <c r="K16697" s="3">
        <v>208</v>
      </c>
      <c r="L16697" s="3">
        <v>29</v>
      </c>
      <c r="M16697" s="3">
        <v>101</v>
      </c>
    </row>
    <row r="16698" spans="1:13" x14ac:dyDescent="0.25">
      <c r="A16698" s="1" t="str">
        <f>HYPERLINK("http://www.rosaceae.org/Prunus/Prunus_persica/p.persica_gdr_reftransV1_0045206","p.persica_gdr_reftransV1_0045206")</f>
        <v>p.persica_gdr_reftransV1_0045206</v>
      </c>
      <c r="B16698" s="3">
        <v>487</v>
      </c>
      <c r="C16698" s="1" t="str">
        <f>HYPERLINK("http://www.uniprot.org/uniprot/MUS81_ARATH","MUS81_ARATH")</f>
        <v>MUS81_ARATH</v>
      </c>
      <c r="D16698" t="s">
        <v>412</v>
      </c>
      <c r="E16698" s="3" t="s">
        <v>3</v>
      </c>
      <c r="F16698" s="4">
        <v>2.8899999999999998E-50</v>
      </c>
      <c r="G16698" s="3">
        <v>444</v>
      </c>
      <c r="H16698" s="3">
        <v>63</v>
      </c>
      <c r="I16698" s="3">
        <v>138</v>
      </c>
      <c r="J16698" s="3">
        <v>80</v>
      </c>
      <c r="K16698" s="3">
        <v>487</v>
      </c>
      <c r="L16698" s="3">
        <v>70</v>
      </c>
      <c r="M16698" s="3">
        <v>206</v>
      </c>
    </row>
    <row r="16699" spans="1:13" x14ac:dyDescent="0.25">
      <c r="A16699" s="1" t="str">
        <f>HYPERLINK("http://www.rosaceae.org/Prunus/Prunus_persica/p.persica_gdr_reftransV1_0045256","p.persica_gdr_reftransV1_0045256")</f>
        <v>p.persica_gdr_reftransV1_0045256</v>
      </c>
      <c r="B16699" s="3">
        <v>2970</v>
      </c>
      <c r="C16699" s="1" t="str">
        <f>HYPERLINK("http://www.uniprot.org/uniprot/POL_MLVAV","POL_MLVAV")</f>
        <v>POL_MLVAV</v>
      </c>
      <c r="D16699" t="s">
        <v>10430</v>
      </c>
      <c r="E16699" s="3" t="s">
        <v>10431</v>
      </c>
      <c r="F16699" s="4">
        <v>6.8299999999999998E-12</v>
      </c>
      <c r="G16699" s="3">
        <v>180</v>
      </c>
      <c r="H16699" s="3">
        <v>28</v>
      </c>
      <c r="I16699" s="3">
        <v>233</v>
      </c>
      <c r="J16699" s="3">
        <v>1057</v>
      </c>
      <c r="K16699" s="3">
        <v>1752</v>
      </c>
      <c r="L16699" s="3">
        <v>938</v>
      </c>
      <c r="M16699" s="3">
        <v>1149</v>
      </c>
    </row>
    <row r="16700" spans="1:13" x14ac:dyDescent="0.25">
      <c r="A16700" s="1" t="str">
        <f>HYPERLINK("http://www.rosaceae.org/Prunus/Prunus_persica/p.persica_gdr_reftransV1_0045456","p.persica_gdr_reftransV1_0045456")</f>
        <v>p.persica_gdr_reftransV1_0045456</v>
      </c>
      <c r="B16700" s="3">
        <v>1991</v>
      </c>
      <c r="C16700" s="1" t="str">
        <f>HYPERLINK("http://www.uniprot.org/uniprot/MLO4_ARATH","MLO4_ARATH")</f>
        <v>MLO4_ARATH</v>
      </c>
      <c r="D16700" t="s">
        <v>930</v>
      </c>
      <c r="E16700" s="3" t="s">
        <v>3</v>
      </c>
      <c r="F16700" s="4">
        <v>0</v>
      </c>
      <c r="G16700" s="3">
        <v>1827</v>
      </c>
      <c r="H16700" s="3">
        <v>70</v>
      </c>
      <c r="I16700" s="3">
        <v>582</v>
      </c>
      <c r="J16700" s="3">
        <v>228</v>
      </c>
      <c r="K16700" s="3">
        <v>1910</v>
      </c>
      <c r="L16700" s="3">
        <v>1</v>
      </c>
      <c r="M16700" s="3">
        <v>573</v>
      </c>
    </row>
    <row r="16701" spans="1:13" x14ac:dyDescent="0.25">
      <c r="A16701" s="1" t="str">
        <f>HYPERLINK("http://www.rosaceae.org/Prunus/Prunus_persica/p.persica_gdr_reftransV1_0045506","p.persica_gdr_reftransV1_0045506")</f>
        <v>p.persica_gdr_reftransV1_0045506</v>
      </c>
      <c r="B16701" s="3">
        <v>734</v>
      </c>
      <c r="C16701" s="1" t="str">
        <f>HYPERLINK("http://www.uniprot.org/uniprot/RS25_SOLLC","RS25_SOLLC")</f>
        <v>RS25_SOLLC</v>
      </c>
      <c r="D16701" t="s">
        <v>5528</v>
      </c>
      <c r="E16701" s="3" t="s">
        <v>64</v>
      </c>
      <c r="F16701" s="4">
        <v>1.44E-39</v>
      </c>
      <c r="G16701" s="3">
        <v>348</v>
      </c>
      <c r="H16701" s="3">
        <v>90</v>
      </c>
      <c r="I16701" s="3">
        <v>72</v>
      </c>
      <c r="J16701" s="3">
        <v>206</v>
      </c>
      <c r="K16701" s="3">
        <v>421</v>
      </c>
      <c r="L16701" s="3">
        <v>37</v>
      </c>
      <c r="M16701" s="3">
        <v>108</v>
      </c>
    </row>
    <row r="16702" spans="1:13" x14ac:dyDescent="0.25">
      <c r="A16702" s="1" t="str">
        <f>HYPERLINK("http://www.rosaceae.org/Prunus/Prunus_persica/p.persica_gdr_reftransV1_0045556","p.persica_gdr_reftransV1_0045556")</f>
        <v>p.persica_gdr_reftransV1_0045556</v>
      </c>
      <c r="B16702" s="3">
        <v>1988</v>
      </c>
      <c r="C16702" s="1" t="str">
        <f>HYPERLINK("http://www.uniprot.org/uniprot/MSK1_MEDSA","MSK1_MEDSA")</f>
        <v>MSK1_MEDSA</v>
      </c>
      <c r="D16702" t="s">
        <v>10432</v>
      </c>
      <c r="E16702" s="3" t="s">
        <v>515</v>
      </c>
      <c r="F16702" s="4">
        <v>0</v>
      </c>
      <c r="G16702" s="3">
        <v>2046</v>
      </c>
      <c r="H16702" s="3">
        <v>94</v>
      </c>
      <c r="I16702" s="3">
        <v>410</v>
      </c>
      <c r="J16702" s="3">
        <v>359</v>
      </c>
      <c r="K16702" s="3">
        <v>1582</v>
      </c>
      <c r="L16702" s="3">
        <v>1</v>
      </c>
      <c r="M16702" s="3">
        <v>410</v>
      </c>
    </row>
    <row r="16703" spans="1:13" x14ac:dyDescent="0.25">
      <c r="A16703" s="1" t="str">
        <f>HYPERLINK("http://www.rosaceae.org/Prunus/Prunus_persica/p.persica_gdr_reftransV1_0045606","p.persica_gdr_reftransV1_0045606")</f>
        <v>p.persica_gdr_reftransV1_0045606</v>
      </c>
      <c r="B16703" s="3">
        <v>733</v>
      </c>
      <c r="C16703" s="1" t="str">
        <f>HYPERLINK("http://www.uniprot.org/uniprot/ARP1_ARATH","ARP1_ARATH")</f>
        <v>ARP1_ARATH</v>
      </c>
      <c r="D16703" t="s">
        <v>5986</v>
      </c>
      <c r="E16703" s="3" t="s">
        <v>3</v>
      </c>
      <c r="F16703" s="4">
        <v>8.6999999999999996E-17</v>
      </c>
      <c r="G16703" s="3">
        <v>197</v>
      </c>
      <c r="H16703" s="3">
        <v>41</v>
      </c>
      <c r="I16703" s="3">
        <v>164</v>
      </c>
      <c r="J16703" s="3">
        <v>295</v>
      </c>
      <c r="K16703" s="3">
        <v>732</v>
      </c>
      <c r="L16703" s="3">
        <v>78</v>
      </c>
      <c r="M16703" s="3">
        <v>231</v>
      </c>
    </row>
    <row r="16704" spans="1:13" x14ac:dyDescent="0.25">
      <c r="A16704" s="1" t="str">
        <f>HYPERLINK("http://www.rosaceae.org/Prunus/Prunus_persica/p.persica_gdr_reftransV1_0045706","p.persica_gdr_reftransV1_0045706")</f>
        <v>p.persica_gdr_reftransV1_0045706</v>
      </c>
      <c r="B16704" s="3">
        <v>1838</v>
      </c>
      <c r="C16704" s="1" t="str">
        <f>HYPERLINK("http://www.uniprot.org/uniprot/NAC82_ARATH","NAC82_ARATH")</f>
        <v>NAC82_ARATH</v>
      </c>
      <c r="D16704" t="s">
        <v>7845</v>
      </c>
      <c r="E16704" s="3" t="s">
        <v>3</v>
      </c>
      <c r="F16704" s="4">
        <v>3.2999999999999999E-77</v>
      </c>
      <c r="G16704" s="3">
        <v>663</v>
      </c>
      <c r="H16704" s="3">
        <v>65</v>
      </c>
      <c r="I16704" s="3">
        <v>181</v>
      </c>
      <c r="J16704" s="3">
        <v>934</v>
      </c>
      <c r="K16704" s="3">
        <v>1473</v>
      </c>
      <c r="L16704" s="3">
        <v>1</v>
      </c>
      <c r="M16704" s="3">
        <v>181</v>
      </c>
    </row>
    <row r="16705" spans="1:13" x14ac:dyDescent="0.25">
      <c r="A16705" s="1" t="str">
        <f>HYPERLINK("http://www.rosaceae.org/Prunus/Prunus_persica/p.persica_gdr_reftransV1_0045806","p.persica_gdr_reftransV1_0045806")</f>
        <v>p.persica_gdr_reftransV1_0045806</v>
      </c>
      <c r="B16705" s="3">
        <v>2913</v>
      </c>
      <c r="C16705" s="1" t="str">
        <f>HYPERLINK("http://www.uniprot.org/uniprot/LEUNG_ARATH","LEUNG_ARATH")</f>
        <v>LEUNG_ARATH</v>
      </c>
      <c r="D16705" t="s">
        <v>7071</v>
      </c>
      <c r="E16705" s="3" t="s">
        <v>3</v>
      </c>
      <c r="F16705" s="4">
        <v>3.1200000000000001E-48</v>
      </c>
      <c r="G16705" s="3">
        <v>481</v>
      </c>
      <c r="H16705" s="3">
        <v>98</v>
      </c>
      <c r="I16705" s="3">
        <v>88</v>
      </c>
      <c r="J16705" s="3">
        <v>190</v>
      </c>
      <c r="K16705" s="3">
        <v>453</v>
      </c>
      <c r="L16705" s="3">
        <v>1</v>
      </c>
      <c r="M16705" s="3">
        <v>88</v>
      </c>
    </row>
    <row r="16706" spans="1:13" x14ac:dyDescent="0.25">
      <c r="A16706" s="1" t="str">
        <f>HYPERLINK("http://www.rosaceae.org/Prunus/Prunus_persica/p.persica_gdr_reftransV1_0046006","p.persica_gdr_reftransV1_0046006")</f>
        <v>p.persica_gdr_reftransV1_0046006</v>
      </c>
      <c r="B16706" s="3">
        <v>2472</v>
      </c>
      <c r="C16706" s="1" t="str">
        <f>HYPERLINK("http://www.uniprot.org/uniprot/AB40G_ARATH","AB40G_ARATH")</f>
        <v>AB40G_ARATH</v>
      </c>
      <c r="D16706" t="s">
        <v>10433</v>
      </c>
      <c r="E16706" s="3" t="s">
        <v>3</v>
      </c>
      <c r="F16706" s="4">
        <v>0</v>
      </c>
      <c r="G16706" s="3">
        <v>2646</v>
      </c>
      <c r="H16706" s="3">
        <v>72</v>
      </c>
      <c r="I16706" s="3">
        <v>694</v>
      </c>
      <c r="J16706" s="3">
        <v>392</v>
      </c>
      <c r="K16706" s="3">
        <v>2470</v>
      </c>
      <c r="L16706" s="3">
        <v>754</v>
      </c>
      <c r="M16706" s="3">
        <v>1423</v>
      </c>
    </row>
    <row r="16707" spans="1:13" x14ac:dyDescent="0.25">
      <c r="A16707" s="1" t="str">
        <f>HYPERLINK("http://www.rosaceae.org/Prunus/Prunus_persica/p.persica_gdr_reftransV1_0046056","p.persica_gdr_reftransV1_0046056")</f>
        <v>p.persica_gdr_reftransV1_0046056</v>
      </c>
      <c r="B16707" s="3">
        <v>635</v>
      </c>
      <c r="C16707" s="1" t="str">
        <f>HYPERLINK("http://www.uniprot.org/uniprot/Y2416_ARATH","Y2416_ARATH")</f>
        <v>Y2416_ARATH</v>
      </c>
      <c r="D16707" t="s">
        <v>5316</v>
      </c>
      <c r="E16707" s="3" t="s">
        <v>3</v>
      </c>
      <c r="F16707" s="4">
        <v>2.9799999999999998E-43</v>
      </c>
      <c r="G16707" s="3">
        <v>372</v>
      </c>
      <c r="H16707" s="3">
        <v>79</v>
      </c>
      <c r="I16707" s="3">
        <v>89</v>
      </c>
      <c r="J16707" s="3">
        <v>1</v>
      </c>
      <c r="K16707" s="3">
        <v>267</v>
      </c>
      <c r="L16707" s="3">
        <v>26</v>
      </c>
      <c r="M16707" s="3">
        <v>114</v>
      </c>
    </row>
    <row r="16708" spans="1:13" x14ac:dyDescent="0.25">
      <c r="A16708" s="1" t="str">
        <f>HYPERLINK("http://www.rosaceae.org/Prunus/Prunus_persica/p.persica_gdr_reftransV1_0046256","p.persica_gdr_reftransV1_0046256")</f>
        <v>p.persica_gdr_reftransV1_0046256</v>
      </c>
      <c r="B16708" s="3">
        <v>1800</v>
      </c>
      <c r="C16708" s="1" t="str">
        <f>HYPERLINK("http://www.uniprot.org/uniprot/TBB1_LUPAL","TBB1_LUPAL")</f>
        <v>TBB1_LUPAL</v>
      </c>
      <c r="D16708" t="s">
        <v>3877</v>
      </c>
      <c r="E16708" s="3" t="s">
        <v>2143</v>
      </c>
      <c r="F16708" s="4">
        <v>0</v>
      </c>
      <c r="G16708" s="3">
        <v>2220</v>
      </c>
      <c r="H16708" s="3">
        <v>98</v>
      </c>
      <c r="I16708" s="3">
        <v>430</v>
      </c>
      <c r="J16708" s="3">
        <v>385</v>
      </c>
      <c r="K16708" s="3">
        <v>1674</v>
      </c>
      <c r="L16708" s="3">
        <v>1</v>
      </c>
      <c r="M16708" s="3">
        <v>430</v>
      </c>
    </row>
    <row r="16709" spans="1:13" x14ac:dyDescent="0.25">
      <c r="A16709" s="1" t="str">
        <f>HYPERLINK("http://www.rosaceae.org/Prunus/Prunus_persica/p.persica_gdr_reftransV1_0046306","p.persica_gdr_reftransV1_0046306")</f>
        <v>p.persica_gdr_reftransV1_0046306</v>
      </c>
      <c r="B16709" s="3">
        <v>2161</v>
      </c>
      <c r="C16709" s="1" t="str">
        <f>HYPERLINK("http://www.uniprot.org/uniprot/Y1686_ARATH","Y1686_ARATH")</f>
        <v>Y1686_ARATH</v>
      </c>
      <c r="D16709" t="s">
        <v>6423</v>
      </c>
      <c r="E16709" s="3" t="s">
        <v>3</v>
      </c>
      <c r="F16709" s="4">
        <v>0</v>
      </c>
      <c r="G16709" s="3">
        <v>1853</v>
      </c>
      <c r="H16709" s="3">
        <v>75</v>
      </c>
      <c r="I16709" s="3">
        <v>483</v>
      </c>
      <c r="J16709" s="3">
        <v>416</v>
      </c>
      <c r="K16709" s="3">
        <v>1861</v>
      </c>
      <c r="L16709" s="3">
        <v>1</v>
      </c>
      <c r="M16709" s="3">
        <v>474</v>
      </c>
    </row>
    <row r="16710" spans="1:13" x14ac:dyDescent="0.25">
      <c r="A16710" s="1" t="str">
        <f>HYPERLINK("http://www.rosaceae.org/Prunus/Prunus_persica/p.persica_gdr_reftransV1_0046356","p.persica_gdr_reftransV1_0046356")</f>
        <v>p.persica_gdr_reftransV1_0046356</v>
      </c>
      <c r="B16710" s="3">
        <v>926</v>
      </c>
      <c r="C16710" s="1" t="str">
        <f>HYPERLINK("http://www.uniprot.org/uniprot/UGPI4_ARATH","UGPI4_ARATH")</f>
        <v>UGPI4_ARATH</v>
      </c>
      <c r="D16710" t="s">
        <v>10434</v>
      </c>
      <c r="E16710" s="3" t="s">
        <v>3</v>
      </c>
      <c r="F16710" s="4">
        <v>3.4999999999999999E-75</v>
      </c>
      <c r="G16710" s="3">
        <v>600</v>
      </c>
      <c r="H16710" s="3">
        <v>67</v>
      </c>
      <c r="I16710" s="3">
        <v>181</v>
      </c>
      <c r="J16710" s="3">
        <v>202</v>
      </c>
      <c r="K16710" s="3">
        <v>741</v>
      </c>
      <c r="L16710" s="3">
        <v>22</v>
      </c>
      <c r="M16710" s="3">
        <v>199</v>
      </c>
    </row>
    <row r="16711" spans="1:13" x14ac:dyDescent="0.25">
      <c r="A16711" s="1" t="str">
        <f>HYPERLINK("http://www.rosaceae.org/Prunus/Prunus_persica/p.persica_gdr_reftransV1_0046456","p.persica_gdr_reftransV1_0046456")</f>
        <v>p.persica_gdr_reftransV1_0046456</v>
      </c>
      <c r="B16711" s="3">
        <v>1326</v>
      </c>
      <c r="C16711" s="1" t="str">
        <f>HYPERLINK("http://www.uniprot.org/uniprot/MDHG_CITLA","MDHG_CITLA")</f>
        <v>MDHG_CITLA</v>
      </c>
      <c r="D16711" t="s">
        <v>10435</v>
      </c>
      <c r="E16711" s="3" t="s">
        <v>1259</v>
      </c>
      <c r="F16711" s="4">
        <v>0</v>
      </c>
      <c r="G16711" s="3">
        <v>1663</v>
      </c>
      <c r="H16711" s="3">
        <v>88</v>
      </c>
      <c r="I16711" s="3">
        <v>355</v>
      </c>
      <c r="J16711" s="3">
        <v>85</v>
      </c>
      <c r="K16711" s="3">
        <v>1149</v>
      </c>
      <c r="L16711" s="3">
        <v>1</v>
      </c>
      <c r="M16711" s="3">
        <v>355</v>
      </c>
    </row>
    <row r="16712" spans="1:13" x14ac:dyDescent="0.25">
      <c r="A16712" s="1" t="str">
        <f>HYPERLINK("http://www.rosaceae.org/Prunus/Prunus_persica/p.persica_gdr_reftransV1_0046756","p.persica_gdr_reftransV1_0046756")</f>
        <v>p.persica_gdr_reftransV1_0046756</v>
      </c>
      <c r="B16712" s="3">
        <v>973</v>
      </c>
      <c r="C16712" s="1" t="str">
        <f>HYPERLINK("http://www.uniprot.org/uniprot/WRK19_ARATH","WRK19_ARATH")</f>
        <v>WRK19_ARATH</v>
      </c>
      <c r="D16712" t="s">
        <v>1314</v>
      </c>
      <c r="E16712" s="3" t="s">
        <v>3</v>
      </c>
      <c r="F16712" s="4">
        <v>1.47E-30</v>
      </c>
      <c r="G16712" s="3">
        <v>320</v>
      </c>
      <c r="H16712" s="3">
        <v>33</v>
      </c>
      <c r="I16712" s="3">
        <v>317</v>
      </c>
      <c r="J16712" s="3">
        <v>147</v>
      </c>
      <c r="K16712" s="3">
        <v>935</v>
      </c>
      <c r="L16712" s="3">
        <v>1106</v>
      </c>
      <c r="M16712" s="3">
        <v>1412</v>
      </c>
    </row>
    <row r="16713" spans="1:13" x14ac:dyDescent="0.25">
      <c r="A16713" s="1" t="str">
        <f>HYPERLINK("http://www.rosaceae.org/Prunus/Prunus_persica/p.persica_gdr_reftransV1_0046906","p.persica_gdr_reftransV1_0046906")</f>
        <v>p.persica_gdr_reftransV1_0046906</v>
      </c>
      <c r="B16713" s="3">
        <v>797</v>
      </c>
      <c r="C16713" s="1" t="str">
        <f>HYPERLINK("http://www.uniprot.org/uniprot/ML329_ARATH","ML329_ARATH")</f>
        <v>ML329_ARATH</v>
      </c>
      <c r="D16713" t="s">
        <v>10436</v>
      </c>
      <c r="E16713" s="3" t="s">
        <v>3</v>
      </c>
      <c r="F16713" s="4">
        <v>3.8399999999999999E-28</v>
      </c>
      <c r="G16713" s="3">
        <v>275</v>
      </c>
      <c r="H16713" s="3">
        <v>36</v>
      </c>
      <c r="I16713" s="3">
        <v>158</v>
      </c>
      <c r="J16713" s="3">
        <v>217</v>
      </c>
      <c r="K16713" s="3">
        <v>687</v>
      </c>
      <c r="L16713" s="3">
        <v>1</v>
      </c>
      <c r="M16713" s="3">
        <v>150</v>
      </c>
    </row>
    <row r="16714" spans="1:13" x14ac:dyDescent="0.25">
      <c r="A16714" s="1" t="str">
        <f>HYPERLINK("http://www.rosaceae.org/Prunus/Prunus_persica/p.persica_gdr_reftransV1_0046956","p.persica_gdr_reftransV1_0046956")</f>
        <v>p.persica_gdr_reftransV1_0046956</v>
      </c>
      <c r="B16714" s="3">
        <v>1026</v>
      </c>
      <c r="C16714" s="1" t="str">
        <f>HYPERLINK("http://www.uniprot.org/uniprot/HPR3_ARATH","HPR3_ARATH")</f>
        <v>HPR3_ARATH</v>
      </c>
      <c r="D16714" t="s">
        <v>8238</v>
      </c>
      <c r="E16714" s="3" t="s">
        <v>3</v>
      </c>
      <c r="F16714" s="4">
        <v>1.0200000000000001E-80</v>
      </c>
      <c r="G16714" s="3">
        <v>652</v>
      </c>
      <c r="H16714" s="3">
        <v>52</v>
      </c>
      <c r="I16714" s="3">
        <v>273</v>
      </c>
      <c r="J16714" s="3">
        <v>2</v>
      </c>
      <c r="K16714" s="3">
        <v>811</v>
      </c>
      <c r="L16714" s="3">
        <v>5</v>
      </c>
      <c r="M16714" s="3">
        <v>273</v>
      </c>
    </row>
    <row r="16715" spans="1:13" x14ac:dyDescent="0.25">
      <c r="A16715" s="1" t="str">
        <f>HYPERLINK("http://www.rosaceae.org/Prunus/Prunus_persica/p.persica_gdr_reftransV1_0047056","p.persica_gdr_reftransV1_0047056")</f>
        <v>p.persica_gdr_reftransV1_0047056</v>
      </c>
      <c r="B16715" s="3">
        <v>2456</v>
      </c>
      <c r="C16715" s="1" t="str">
        <f>HYPERLINK("http://www.uniprot.org/uniprot/Y4265_ARATH","Y4265_ARATH")</f>
        <v>Y4265_ARATH</v>
      </c>
      <c r="D16715" t="s">
        <v>1089</v>
      </c>
      <c r="E16715" s="3" t="s">
        <v>3</v>
      </c>
      <c r="F16715" s="4">
        <v>0</v>
      </c>
      <c r="G16715" s="3">
        <v>1612</v>
      </c>
      <c r="H16715" s="3">
        <v>59</v>
      </c>
      <c r="I16715" s="3">
        <v>643</v>
      </c>
      <c r="J16715" s="3">
        <v>453</v>
      </c>
      <c r="K16715" s="3">
        <v>2378</v>
      </c>
      <c r="L16715" s="3">
        <v>28</v>
      </c>
      <c r="M16715" s="3">
        <v>669</v>
      </c>
    </row>
    <row r="16716" spans="1:13" x14ac:dyDescent="0.25">
      <c r="A16716" s="1" t="str">
        <f>HYPERLINK("http://www.rosaceae.org/Prunus/Prunus_persica/p.persica_gdr_reftransV1_0047156","p.persica_gdr_reftransV1_0047156")</f>
        <v>p.persica_gdr_reftransV1_0047156</v>
      </c>
      <c r="B16716" s="3">
        <v>739</v>
      </c>
      <c r="C16716" s="1" t="str">
        <f>HYPERLINK("http://www.uniprot.org/uniprot/MYB82_ARATH","MYB82_ARATH")</f>
        <v>MYB82_ARATH</v>
      </c>
      <c r="D16716" t="s">
        <v>10437</v>
      </c>
      <c r="E16716" s="3" t="s">
        <v>3</v>
      </c>
      <c r="F16716" s="4">
        <v>1.24E-14</v>
      </c>
      <c r="G16716" s="3">
        <v>179</v>
      </c>
      <c r="H16716" s="3">
        <v>89</v>
      </c>
      <c r="I16716" s="3">
        <v>36</v>
      </c>
      <c r="J16716" s="3">
        <v>2</v>
      </c>
      <c r="K16716" s="3">
        <v>109</v>
      </c>
      <c r="L16716" s="3">
        <v>81</v>
      </c>
      <c r="M16716" s="3">
        <v>116</v>
      </c>
    </row>
    <row r="16717" spans="1:13" x14ac:dyDescent="0.25">
      <c r="A16717" s="1" t="str">
        <f>HYPERLINK("http://www.rosaceae.org/Prunus/Prunus_persica/p.persica_gdr_reftransV1_0047256","p.persica_gdr_reftransV1_0047256")</f>
        <v>p.persica_gdr_reftransV1_0047256</v>
      </c>
      <c r="B16717" s="3">
        <v>894</v>
      </c>
      <c r="C16717" s="1" t="str">
        <f>HYPERLINK("http://www.uniprot.org/uniprot/RK24_PEA","RK24_PEA")</f>
        <v>RK24_PEA</v>
      </c>
      <c r="D16717" t="s">
        <v>10438</v>
      </c>
      <c r="E16717" s="3" t="s">
        <v>60</v>
      </c>
      <c r="F16717" s="4">
        <v>5.5500000000000003E-87</v>
      </c>
      <c r="G16717" s="3">
        <v>677</v>
      </c>
      <c r="H16717" s="3">
        <v>80</v>
      </c>
      <c r="I16717" s="3">
        <v>170</v>
      </c>
      <c r="J16717" s="3">
        <v>161</v>
      </c>
      <c r="K16717" s="3">
        <v>664</v>
      </c>
      <c r="L16717" s="3">
        <v>25</v>
      </c>
      <c r="M16717" s="3">
        <v>194</v>
      </c>
    </row>
    <row r="16718" spans="1:13" x14ac:dyDescent="0.25">
      <c r="A16718" s="1" t="str">
        <f>HYPERLINK("http://www.rosaceae.org/Prunus/Prunus_persica/p.persica_gdr_reftransV1_0047356","p.persica_gdr_reftransV1_0047356")</f>
        <v>p.persica_gdr_reftransV1_0047356</v>
      </c>
      <c r="B16718" s="3">
        <v>347</v>
      </c>
      <c r="C16718" s="1" t="str">
        <f>HYPERLINK("http://www.uniprot.org/uniprot/LECR_CLAKE","LECR_CLAKE")</f>
        <v>LECR_CLAKE</v>
      </c>
      <c r="D16718" t="s">
        <v>10439</v>
      </c>
      <c r="E16718" s="3" t="s">
        <v>4786</v>
      </c>
      <c r="F16718" s="4">
        <v>1.8200000000000001E-14</v>
      </c>
      <c r="G16718" s="3">
        <v>172</v>
      </c>
      <c r="H16718" s="3">
        <v>39</v>
      </c>
      <c r="I16718" s="3">
        <v>103</v>
      </c>
      <c r="J16718" s="3">
        <v>40</v>
      </c>
      <c r="K16718" s="3">
        <v>345</v>
      </c>
      <c r="L16718" s="3">
        <v>29</v>
      </c>
      <c r="M16718" s="3">
        <v>131</v>
      </c>
    </row>
    <row r="16719" spans="1:13" x14ac:dyDescent="0.25">
      <c r="A16719" s="1" t="str">
        <f>HYPERLINK("http://www.rosaceae.org/Prunus/Prunus_persica/p.persica_gdr_reftransV1_0047456","p.persica_gdr_reftransV1_0047456")</f>
        <v>p.persica_gdr_reftransV1_0047456</v>
      </c>
      <c r="B16719" s="3">
        <v>2565</v>
      </c>
      <c r="C16719" s="1" t="str">
        <f>HYPERLINK("http://www.uniprot.org/uniprot/GL3_ARATH","GL3_ARATH")</f>
        <v>GL3_ARATH</v>
      </c>
      <c r="D16719" t="s">
        <v>10047</v>
      </c>
      <c r="E16719" s="3" t="s">
        <v>3</v>
      </c>
      <c r="F16719" s="4">
        <v>1.1099999999999999E-148</v>
      </c>
      <c r="G16719" s="3">
        <v>1180</v>
      </c>
      <c r="H16719" s="3">
        <v>42</v>
      </c>
      <c r="I16719" s="3">
        <v>679</v>
      </c>
      <c r="J16719" s="3">
        <v>344</v>
      </c>
      <c r="K16719" s="3">
        <v>2290</v>
      </c>
      <c r="L16719" s="3">
        <v>1</v>
      </c>
      <c r="M16719" s="3">
        <v>637</v>
      </c>
    </row>
    <row r="16720" spans="1:13" x14ac:dyDescent="0.25">
      <c r="A16720" s="1" t="str">
        <f>HYPERLINK("http://www.rosaceae.org/Prunus/Prunus_persica/p.persica_gdr_reftransV1_0047556","p.persica_gdr_reftransV1_0047556")</f>
        <v>p.persica_gdr_reftransV1_0047556</v>
      </c>
      <c r="B16720" s="3">
        <v>1492</v>
      </c>
      <c r="C16720" s="1" t="str">
        <f>HYPERLINK("http://www.uniprot.org/uniprot/ZDH16_ARATH","ZDH16_ARATH")</f>
        <v>ZDH16_ARATH</v>
      </c>
      <c r="D16720" t="s">
        <v>10440</v>
      </c>
      <c r="E16720" s="3" t="s">
        <v>3</v>
      </c>
      <c r="F16720" s="4">
        <v>5.2099999999999997E-167</v>
      </c>
      <c r="G16720" s="3">
        <v>1258</v>
      </c>
      <c r="H16720" s="3">
        <v>66</v>
      </c>
      <c r="I16720" s="3">
        <v>455</v>
      </c>
      <c r="J16720" s="3">
        <v>143</v>
      </c>
      <c r="K16720" s="3">
        <v>1477</v>
      </c>
      <c r="L16720" s="3">
        <v>61</v>
      </c>
      <c r="M16720" s="3">
        <v>508</v>
      </c>
    </row>
    <row r="16721" spans="1:13" x14ac:dyDescent="0.25">
      <c r="A16721" s="1" t="str">
        <f>HYPERLINK("http://www.rosaceae.org/Prunus/Prunus_persica/p.persica_gdr_reftransV1_0047606","p.persica_gdr_reftransV1_0047606")</f>
        <v>p.persica_gdr_reftransV1_0047606</v>
      </c>
      <c r="B16721" s="3">
        <v>768</v>
      </c>
      <c r="C16721" s="1" t="str">
        <f>HYPERLINK("http://www.uniprot.org/uniprot/PP403_ARATH","PP403_ARATH")</f>
        <v>PP403_ARATH</v>
      </c>
      <c r="D16721" t="s">
        <v>10441</v>
      </c>
      <c r="E16721" s="3" t="s">
        <v>3</v>
      </c>
      <c r="F16721" s="4">
        <v>1.5499999999999999E-56</v>
      </c>
      <c r="G16721" s="3">
        <v>495</v>
      </c>
      <c r="H16721" s="3">
        <v>42</v>
      </c>
      <c r="I16721" s="3">
        <v>247</v>
      </c>
      <c r="J16721" s="3">
        <v>30</v>
      </c>
      <c r="K16721" s="3">
        <v>767</v>
      </c>
      <c r="L16721" s="3">
        <v>65</v>
      </c>
      <c r="M16721" s="3">
        <v>309</v>
      </c>
    </row>
    <row r="16722" spans="1:13" x14ac:dyDescent="0.25">
      <c r="A16722" s="1" t="str">
        <f>HYPERLINK("http://www.rosaceae.org/Prunus/Prunus_persica/p.persica_gdr_reftransV1_0047656","p.persica_gdr_reftransV1_0047656")</f>
        <v>p.persica_gdr_reftransV1_0047656</v>
      </c>
      <c r="B16722" s="3">
        <v>654</v>
      </c>
      <c r="C16722" s="1" t="str">
        <f>HYPERLINK("http://www.uniprot.org/uniprot/HSP11_DAUCA","HSP11_DAUCA")</f>
        <v>HSP11_DAUCA</v>
      </c>
      <c r="D16722" t="s">
        <v>4133</v>
      </c>
      <c r="E16722" s="3" t="s">
        <v>32</v>
      </c>
      <c r="F16722" s="4">
        <v>1.18E-49</v>
      </c>
      <c r="G16722" s="3">
        <v>418</v>
      </c>
      <c r="H16722" s="3">
        <v>76</v>
      </c>
      <c r="I16722" s="3">
        <v>119</v>
      </c>
      <c r="J16722" s="3">
        <v>1</v>
      </c>
      <c r="K16722" s="3">
        <v>357</v>
      </c>
      <c r="L16722" s="3">
        <v>1</v>
      </c>
      <c r="M16722" s="3">
        <v>111</v>
      </c>
    </row>
    <row r="16723" spans="1:13" x14ac:dyDescent="0.25">
      <c r="A16723" s="1" t="str">
        <f>HYPERLINK("http://www.rosaceae.org/Prunus/Prunus_persica/p.persica_gdr_reftransV1_0047706","p.persica_gdr_reftransV1_0047706")</f>
        <v>p.persica_gdr_reftransV1_0047706</v>
      </c>
      <c r="B16723" s="3">
        <v>662</v>
      </c>
      <c r="C16723" s="1" t="str">
        <f>HYPERLINK("http://www.uniprot.org/uniprot/IMK2_ARATH","IMK2_ARATH")</f>
        <v>IMK2_ARATH</v>
      </c>
      <c r="D16723" t="s">
        <v>6892</v>
      </c>
      <c r="E16723" s="3" t="s">
        <v>3</v>
      </c>
      <c r="F16723" s="4">
        <v>1.1600000000000001E-16</v>
      </c>
      <c r="G16723" s="3">
        <v>203</v>
      </c>
      <c r="H16723" s="3">
        <v>42</v>
      </c>
      <c r="I16723" s="3">
        <v>130</v>
      </c>
      <c r="J16723" s="3">
        <v>276</v>
      </c>
      <c r="K16723" s="3">
        <v>659</v>
      </c>
      <c r="L16723" s="3">
        <v>56</v>
      </c>
      <c r="M16723" s="3">
        <v>183</v>
      </c>
    </row>
    <row r="16724" spans="1:13" x14ac:dyDescent="0.25">
      <c r="A16724" s="1" t="str">
        <f>HYPERLINK("http://www.rosaceae.org/Prunus/Prunus_persica/p.persica_gdr_reftransV1_0047756","p.persica_gdr_reftransV1_0047756")</f>
        <v>p.persica_gdr_reftransV1_0047756</v>
      </c>
      <c r="B16724" s="3">
        <v>1579</v>
      </c>
      <c r="C16724" s="1" t="str">
        <f>HYPERLINK("http://www.uniprot.org/uniprot/PGES2_DANRE","PGES2_DANRE")</f>
        <v>PGES2_DANRE</v>
      </c>
      <c r="D16724" t="s">
        <v>1706</v>
      </c>
      <c r="E16724" s="3" t="s">
        <v>704</v>
      </c>
      <c r="F16724" s="4">
        <v>1.3900000000000001E-68</v>
      </c>
      <c r="G16724" s="3">
        <v>589</v>
      </c>
      <c r="H16724" s="3">
        <v>39</v>
      </c>
      <c r="I16724" s="3">
        <v>364</v>
      </c>
      <c r="J16724" s="3">
        <v>106</v>
      </c>
      <c r="K16724" s="3">
        <v>1050</v>
      </c>
      <c r="L16724" s="3">
        <v>21</v>
      </c>
      <c r="M16724" s="3">
        <v>373</v>
      </c>
    </row>
    <row r="16725" spans="1:13" x14ac:dyDescent="0.25">
      <c r="A16725" s="1" t="str">
        <f>HYPERLINK("http://www.rosaceae.org/Prunus/Prunus_persica/p.persica_gdr_reftransV1_0047806","p.persica_gdr_reftransV1_0047806")</f>
        <v>p.persica_gdr_reftransV1_0047806</v>
      </c>
      <c r="B16725" s="3">
        <v>2258</v>
      </c>
      <c r="C16725" s="1" t="str">
        <f>HYPERLINK("http://www.uniprot.org/uniprot/ETFQO_ARATH","ETFQO_ARATH")</f>
        <v>ETFQO_ARATH</v>
      </c>
      <c r="D16725" t="s">
        <v>6204</v>
      </c>
      <c r="E16725" s="3" t="s">
        <v>3</v>
      </c>
      <c r="F16725" s="4">
        <v>0</v>
      </c>
      <c r="G16725" s="3">
        <v>2469</v>
      </c>
      <c r="H16725" s="3">
        <v>77</v>
      </c>
      <c r="I16725" s="3">
        <v>574</v>
      </c>
      <c r="J16725" s="3">
        <v>349</v>
      </c>
      <c r="K16725" s="3">
        <v>2070</v>
      </c>
      <c r="L16725" s="3">
        <v>60</v>
      </c>
      <c r="M16725" s="3">
        <v>633</v>
      </c>
    </row>
    <row r="16726" spans="1:13" x14ac:dyDescent="0.25">
      <c r="A16726" s="1" t="str">
        <f>HYPERLINK("http://www.rosaceae.org/Prunus/Prunus_persica/p.persica_gdr_reftransV1_0047906","p.persica_gdr_reftransV1_0047906")</f>
        <v>p.persica_gdr_reftransV1_0047906</v>
      </c>
      <c r="B16726" s="3">
        <v>1829</v>
      </c>
      <c r="C16726" s="1" t="str">
        <f>HYPERLINK("http://www.uniprot.org/uniprot/TT12_ARATH","TT12_ARATH")</f>
        <v>TT12_ARATH</v>
      </c>
      <c r="D16726" t="s">
        <v>353</v>
      </c>
      <c r="E16726" s="3" t="s">
        <v>3</v>
      </c>
      <c r="F16726" s="4">
        <v>0</v>
      </c>
      <c r="G16726" s="3">
        <v>1809</v>
      </c>
      <c r="H16726" s="3">
        <v>73</v>
      </c>
      <c r="I16726" s="3">
        <v>501</v>
      </c>
      <c r="J16726" s="3">
        <v>80</v>
      </c>
      <c r="K16726" s="3">
        <v>1576</v>
      </c>
      <c r="L16726" s="3">
        <v>1</v>
      </c>
      <c r="M16726" s="3">
        <v>501</v>
      </c>
    </row>
    <row r="16727" spans="1:13" x14ac:dyDescent="0.25">
      <c r="A16727" s="1" t="str">
        <f>HYPERLINK("http://www.rosaceae.org/Prunus/Prunus_persica/p.persica_gdr_reftransV1_0047956","p.persica_gdr_reftransV1_0047956")</f>
        <v>p.persica_gdr_reftransV1_0047956</v>
      </c>
      <c r="B16727" s="3">
        <v>703</v>
      </c>
      <c r="C16727" s="1" t="str">
        <f>HYPERLINK("http://www.uniprot.org/uniprot/Y1518_ARATH","Y1518_ARATH")</f>
        <v>Y1518_ARATH</v>
      </c>
      <c r="D16727" t="s">
        <v>10442</v>
      </c>
      <c r="E16727" s="3" t="s">
        <v>3</v>
      </c>
      <c r="F16727" s="4">
        <v>5.1699999999999997E-51</v>
      </c>
      <c r="G16727" s="3">
        <v>461</v>
      </c>
      <c r="H16727" s="3">
        <v>42</v>
      </c>
      <c r="I16727" s="3">
        <v>236</v>
      </c>
      <c r="J16727" s="3">
        <v>3</v>
      </c>
      <c r="K16727" s="3">
        <v>701</v>
      </c>
      <c r="L16727" s="3">
        <v>75</v>
      </c>
      <c r="M16727" s="3">
        <v>305</v>
      </c>
    </row>
    <row r="16728" spans="1:13" x14ac:dyDescent="0.25">
      <c r="A16728" s="1" t="str">
        <f>HYPERLINK("http://www.rosaceae.org/Prunus/Prunus_persica/p.persica_gdr_reftransV1_0048006","p.persica_gdr_reftransV1_0048006")</f>
        <v>p.persica_gdr_reftransV1_0048006</v>
      </c>
      <c r="B16728" s="3">
        <v>1358</v>
      </c>
      <c r="C16728" s="1" t="str">
        <f>HYPERLINK("http://www.uniprot.org/uniprot/TIC32_ARATH","TIC32_ARATH")</f>
        <v>TIC32_ARATH</v>
      </c>
      <c r="D16728" t="s">
        <v>2095</v>
      </c>
      <c r="E16728" s="3" t="s">
        <v>3</v>
      </c>
      <c r="F16728" s="4">
        <v>1.0099999999999999E-118</v>
      </c>
      <c r="G16728" s="3">
        <v>578</v>
      </c>
      <c r="H16728" s="3">
        <v>70</v>
      </c>
      <c r="I16728" s="3">
        <v>156</v>
      </c>
      <c r="J16728" s="3">
        <v>277</v>
      </c>
      <c r="K16728" s="3">
        <v>741</v>
      </c>
      <c r="L16728" s="3">
        <v>159</v>
      </c>
      <c r="M16728" s="3">
        <v>314</v>
      </c>
    </row>
    <row r="16729" spans="1:13" x14ac:dyDescent="0.25">
      <c r="A16729" s="1" t="str">
        <f>HYPERLINK("http://www.rosaceae.org/Prunus/Prunus_persica/p.persica_gdr_reftransV1_0048056","p.persica_gdr_reftransV1_0048056")</f>
        <v>p.persica_gdr_reftransV1_0048056</v>
      </c>
      <c r="B16729" s="3">
        <v>1502</v>
      </c>
      <c r="C16729" s="1" t="str">
        <f>HYPERLINK("http://www.uniprot.org/uniprot/HLIP_ARATH","HLIP_ARATH")</f>
        <v>HLIP_ARATH</v>
      </c>
      <c r="D16729" t="s">
        <v>10443</v>
      </c>
      <c r="E16729" s="3" t="s">
        <v>3</v>
      </c>
      <c r="F16729" s="4">
        <v>4.0000000000000002E-33</v>
      </c>
      <c r="G16729" s="3">
        <v>316</v>
      </c>
      <c r="H16729" s="3">
        <v>64</v>
      </c>
      <c r="I16729" s="3">
        <v>100</v>
      </c>
      <c r="J16729" s="3">
        <v>1112</v>
      </c>
      <c r="K16729" s="3">
        <v>1411</v>
      </c>
      <c r="L16729" s="3">
        <v>21</v>
      </c>
      <c r="M16729" s="3">
        <v>110</v>
      </c>
    </row>
    <row r="16730" spans="1:13" x14ac:dyDescent="0.25">
      <c r="A16730" s="1" t="str">
        <f>HYPERLINK("http://www.rosaceae.org/Prunus/Prunus_persica/p.persica_gdr_reftransV1_0048156","p.persica_gdr_reftransV1_0048156")</f>
        <v>p.persica_gdr_reftransV1_0048156</v>
      </c>
      <c r="B16730" s="3">
        <v>326</v>
      </c>
      <c r="C16730" s="1" t="str">
        <f>HYPERLINK("http://www.uniprot.org/uniprot/MDL2_PRUSE","MDL2_PRUSE")</f>
        <v>MDL2_PRUSE</v>
      </c>
      <c r="D16730" t="s">
        <v>440</v>
      </c>
      <c r="E16730" s="3" t="s">
        <v>441</v>
      </c>
      <c r="F16730" s="4">
        <v>2.4399999999999999E-70</v>
      </c>
      <c r="G16730" s="3">
        <v>575</v>
      </c>
      <c r="H16730" s="3">
        <v>100</v>
      </c>
      <c r="I16730" s="3">
        <v>108</v>
      </c>
      <c r="J16730" s="3">
        <v>2</v>
      </c>
      <c r="K16730" s="3">
        <v>325</v>
      </c>
      <c r="L16730" s="3">
        <v>62</v>
      </c>
      <c r="M16730" s="3">
        <v>169</v>
      </c>
    </row>
    <row r="16731" spans="1:13" x14ac:dyDescent="0.25">
      <c r="A16731" s="1" t="str">
        <f>HYPERLINK("http://www.rosaceae.org/Prunus/Prunus_persica/p.persica_gdr_reftransV1_0048206","p.persica_gdr_reftransV1_0048206")</f>
        <v>p.persica_gdr_reftransV1_0048206</v>
      </c>
      <c r="B16731" s="3">
        <v>1489</v>
      </c>
      <c r="C16731" s="1" t="str">
        <f>HYPERLINK("http://www.uniprot.org/uniprot/PHL1_ARATH","PHL1_ARATH")</f>
        <v>PHL1_ARATH</v>
      </c>
      <c r="D16731" t="s">
        <v>2239</v>
      </c>
      <c r="E16731" s="3" t="s">
        <v>3</v>
      </c>
      <c r="F16731" s="4">
        <v>1.3500000000000001E-31</v>
      </c>
      <c r="G16731" s="3">
        <v>324</v>
      </c>
      <c r="H16731" s="3">
        <v>54</v>
      </c>
      <c r="I16731" s="3">
        <v>156</v>
      </c>
      <c r="J16731" s="3">
        <v>606</v>
      </c>
      <c r="K16731" s="3">
        <v>1067</v>
      </c>
      <c r="L16731" s="3">
        <v>212</v>
      </c>
      <c r="M16731" s="3">
        <v>366</v>
      </c>
    </row>
    <row r="16732" spans="1:13" x14ac:dyDescent="0.25">
      <c r="A16732" s="1" t="str">
        <f>HYPERLINK("http://www.rosaceae.org/Prunus/Prunus_persica/p.persica_gdr_reftransV1_0048256","p.persica_gdr_reftransV1_0048256")</f>
        <v>p.persica_gdr_reftransV1_0048256</v>
      </c>
      <c r="B16732" s="3">
        <v>958</v>
      </c>
      <c r="C16732" s="1" t="str">
        <f>HYPERLINK("http://www.uniprot.org/uniprot/PP151_ARATH","PP151_ARATH")</f>
        <v>PP151_ARATH</v>
      </c>
      <c r="D16732" t="s">
        <v>1204</v>
      </c>
      <c r="E16732" s="3" t="s">
        <v>3</v>
      </c>
      <c r="F16732" s="4">
        <v>1.5299999999999999E-165</v>
      </c>
      <c r="G16732" s="3">
        <v>1247</v>
      </c>
      <c r="H16732" s="3">
        <v>74</v>
      </c>
      <c r="I16732" s="3">
        <v>303</v>
      </c>
      <c r="J16732" s="3">
        <v>50</v>
      </c>
      <c r="K16732" s="3">
        <v>958</v>
      </c>
      <c r="L16732" s="3">
        <v>367</v>
      </c>
      <c r="M16732" s="3">
        <v>669</v>
      </c>
    </row>
    <row r="16733" spans="1:13" x14ac:dyDescent="0.25">
      <c r="A16733" s="1" t="str">
        <f>HYPERLINK("http://www.rosaceae.org/Prunus/Prunus_persica/p.persica_gdr_reftransV1_0048306","p.persica_gdr_reftransV1_0048306")</f>
        <v>p.persica_gdr_reftransV1_0048306</v>
      </c>
      <c r="B16733" s="3">
        <v>2540</v>
      </c>
      <c r="C16733" s="1" t="str">
        <f>HYPERLINK("http://www.uniprot.org/uniprot/NTL9_ARATH","NTL9_ARATH")</f>
        <v>NTL9_ARATH</v>
      </c>
      <c r="D16733" t="s">
        <v>3428</v>
      </c>
      <c r="E16733" s="3" t="s">
        <v>3</v>
      </c>
      <c r="F16733" s="4">
        <v>8.5999999999999997E-41</v>
      </c>
      <c r="G16733" s="3">
        <v>408</v>
      </c>
      <c r="H16733" s="3">
        <v>45</v>
      </c>
      <c r="I16733" s="3">
        <v>218</v>
      </c>
      <c r="J16733" s="3">
        <v>76</v>
      </c>
      <c r="K16733" s="3">
        <v>720</v>
      </c>
      <c r="L16733" s="3">
        <v>7</v>
      </c>
      <c r="M16733" s="3">
        <v>211</v>
      </c>
    </row>
    <row r="16734" spans="1:13" x14ac:dyDescent="0.25">
      <c r="A16734" s="1" t="str">
        <f>HYPERLINK("http://www.rosaceae.org/Prunus/Prunus_persica/p.persica_gdr_reftransV1_0048406","p.persica_gdr_reftransV1_0048406")</f>
        <v>p.persica_gdr_reftransV1_0048406</v>
      </c>
      <c r="B16734" s="3">
        <v>439</v>
      </c>
      <c r="C16734" s="1" t="str">
        <f>HYPERLINK("http://www.uniprot.org/uniprot/Y1561_ARATH","Y1561_ARATH")</f>
        <v>Y1561_ARATH</v>
      </c>
      <c r="D16734" t="s">
        <v>1387</v>
      </c>
      <c r="E16734" s="3" t="s">
        <v>3</v>
      </c>
      <c r="F16734" s="4">
        <v>5.3700000000000001E-45</v>
      </c>
      <c r="G16734" s="3">
        <v>410</v>
      </c>
      <c r="H16734" s="3">
        <v>53</v>
      </c>
      <c r="I16734" s="3">
        <v>144</v>
      </c>
      <c r="J16734" s="3">
        <v>3</v>
      </c>
      <c r="K16734" s="3">
        <v>434</v>
      </c>
      <c r="L16734" s="3">
        <v>338</v>
      </c>
      <c r="M16734" s="3">
        <v>480</v>
      </c>
    </row>
    <row r="16735" spans="1:13" x14ac:dyDescent="0.25">
      <c r="A16735" s="1" t="str">
        <f>HYPERLINK("http://www.rosaceae.org/Prunus/Prunus_persica/p.persica_gdr_reftransV1_0048506","p.persica_gdr_reftransV1_0048506")</f>
        <v>p.persica_gdr_reftransV1_0048506</v>
      </c>
      <c r="B16735" s="3">
        <v>4082</v>
      </c>
      <c r="C16735" s="1" t="str">
        <f>HYPERLINK("http://www.uniprot.org/uniprot/Y4211_ARATH","Y4211_ARATH")</f>
        <v>Y4211_ARATH</v>
      </c>
      <c r="D16735" t="s">
        <v>9772</v>
      </c>
      <c r="E16735" s="3" t="s">
        <v>3</v>
      </c>
      <c r="F16735" s="4">
        <v>1.1E-111</v>
      </c>
      <c r="G16735" s="3">
        <v>998</v>
      </c>
      <c r="H16735" s="3">
        <v>58</v>
      </c>
      <c r="I16735" s="3">
        <v>310</v>
      </c>
      <c r="J16735" s="3">
        <v>2593</v>
      </c>
      <c r="K16735" s="3">
        <v>3513</v>
      </c>
      <c r="L16735" s="3">
        <v>1017</v>
      </c>
      <c r="M16735" s="3">
        <v>1324</v>
      </c>
    </row>
    <row r="16736" spans="1:13" x14ac:dyDescent="0.25">
      <c r="A16736" s="1" t="str">
        <f>HYPERLINK("http://www.rosaceae.org/Prunus/Prunus_persica/p.persica_gdr_reftransV1_0048556","p.persica_gdr_reftransV1_0048556")</f>
        <v>p.persica_gdr_reftransV1_0048556</v>
      </c>
      <c r="B16736" s="3">
        <v>1608</v>
      </c>
      <c r="C16736" s="1" t="str">
        <f>HYPERLINK("http://www.uniprot.org/uniprot/CBSX5_ARATH","CBSX5_ARATH")</f>
        <v>CBSX5_ARATH</v>
      </c>
      <c r="D16736" t="s">
        <v>2259</v>
      </c>
      <c r="E16736" s="3" t="s">
        <v>3</v>
      </c>
      <c r="F16736" s="4">
        <v>1.2799999999999999E-104</v>
      </c>
      <c r="G16736" s="3">
        <v>835</v>
      </c>
      <c r="H16736" s="3">
        <v>50</v>
      </c>
      <c r="I16736" s="3">
        <v>409</v>
      </c>
      <c r="J16736" s="3">
        <v>327</v>
      </c>
      <c r="K16736" s="3">
        <v>1520</v>
      </c>
      <c r="L16736" s="3">
        <v>1</v>
      </c>
      <c r="M16736" s="3">
        <v>389</v>
      </c>
    </row>
    <row r="16737" spans="1:13" x14ac:dyDescent="0.25">
      <c r="A16737" s="1" t="str">
        <f>HYPERLINK("http://www.rosaceae.org/Prunus/Prunus_persica/p.persica_gdr_reftransV1_0048606","p.persica_gdr_reftransV1_0048606")</f>
        <v>p.persica_gdr_reftransV1_0048606</v>
      </c>
      <c r="B16737" s="3">
        <v>2271</v>
      </c>
      <c r="C16737" s="1" t="str">
        <f>HYPERLINK("http://www.uniprot.org/uniprot/RRN3_HUMAN","RRN3_HUMAN")</f>
        <v>RRN3_HUMAN</v>
      </c>
      <c r="D16737" t="s">
        <v>10444</v>
      </c>
      <c r="E16737" s="3" t="s">
        <v>28</v>
      </c>
      <c r="F16737" s="4">
        <v>6.9099999999999999E-35</v>
      </c>
      <c r="G16737" s="3">
        <v>365</v>
      </c>
      <c r="H16737" s="3">
        <v>27</v>
      </c>
      <c r="I16737" s="3">
        <v>494</v>
      </c>
      <c r="J16737" s="3">
        <v>402</v>
      </c>
      <c r="K16737" s="3">
        <v>1748</v>
      </c>
      <c r="L16737" s="3">
        <v>108</v>
      </c>
      <c r="M16737" s="3">
        <v>581</v>
      </c>
    </row>
    <row r="16738" spans="1:13" x14ac:dyDescent="0.25">
      <c r="A16738" s="1" t="str">
        <f>HYPERLINK("http://www.rosaceae.org/Prunus/Prunus_persica/p.persica_gdr_reftransV1_0048656","p.persica_gdr_reftransV1_0048656")</f>
        <v>p.persica_gdr_reftransV1_0048656</v>
      </c>
      <c r="B16738" s="3">
        <v>1436</v>
      </c>
      <c r="C16738" s="1" t="str">
        <f>HYPERLINK("http://www.uniprot.org/uniprot/BBR_ARATH","BBR_ARATH")</f>
        <v>BBR_ARATH</v>
      </c>
      <c r="D16738" t="s">
        <v>1236</v>
      </c>
      <c r="E16738" s="3" t="s">
        <v>3</v>
      </c>
      <c r="F16738" s="4">
        <v>6.0399999999999996E-100</v>
      </c>
      <c r="G16738" s="3">
        <v>794</v>
      </c>
      <c r="H16738" s="3">
        <v>64</v>
      </c>
      <c r="I16738" s="3">
        <v>259</v>
      </c>
      <c r="J16738" s="3">
        <v>394</v>
      </c>
      <c r="K16738" s="3">
        <v>1152</v>
      </c>
      <c r="L16738" s="3">
        <v>85</v>
      </c>
      <c r="M16738" s="3">
        <v>335</v>
      </c>
    </row>
    <row r="16739" spans="1:13" x14ac:dyDescent="0.25">
      <c r="A16739" s="1" t="str">
        <f>HYPERLINK("http://www.rosaceae.org/Prunus/Prunus_persica/p.persica_gdr_reftransV1_0048806","p.persica_gdr_reftransV1_0048806")</f>
        <v>p.persica_gdr_reftransV1_0048806</v>
      </c>
      <c r="B16739" s="3">
        <v>1021</v>
      </c>
      <c r="C16739" s="1" t="str">
        <f>HYPERLINK("http://www.uniprot.org/uniprot/KP1_ARATH","KP1_ARATH")</f>
        <v>KP1_ARATH</v>
      </c>
      <c r="D16739" t="s">
        <v>8355</v>
      </c>
      <c r="E16739" s="3" t="s">
        <v>3</v>
      </c>
      <c r="F16739" s="4">
        <v>1.31E-72</v>
      </c>
      <c r="G16739" s="3">
        <v>633</v>
      </c>
      <c r="H16739" s="3">
        <v>73</v>
      </c>
      <c r="I16739" s="3">
        <v>175</v>
      </c>
      <c r="J16739" s="3">
        <v>520</v>
      </c>
      <c r="K16739" s="3">
        <v>1020</v>
      </c>
      <c r="L16739" s="3">
        <v>1</v>
      </c>
      <c r="M16739" s="3">
        <v>175</v>
      </c>
    </row>
    <row r="16740" spans="1:13" x14ac:dyDescent="0.25">
      <c r="A16740" s="1" t="str">
        <f>HYPERLINK("http://www.rosaceae.org/Prunus/Prunus_persica/p.persica_gdr_reftransV1_0048856","p.persica_gdr_reftransV1_0048856")</f>
        <v>p.persica_gdr_reftransV1_0048856</v>
      </c>
      <c r="B16740" s="3">
        <v>964</v>
      </c>
      <c r="C16740" s="1" t="str">
        <f>HYPERLINK("http://www.uniprot.org/uniprot/RK17_ARATH","RK17_ARATH")</f>
        <v>RK17_ARATH</v>
      </c>
      <c r="D16740" t="s">
        <v>10445</v>
      </c>
      <c r="E16740" s="3" t="s">
        <v>3</v>
      </c>
      <c r="F16740" s="4">
        <v>6.4600000000000002E-91</v>
      </c>
      <c r="G16740" s="3">
        <v>707</v>
      </c>
      <c r="H16740" s="3">
        <v>75</v>
      </c>
      <c r="I16740" s="3">
        <v>208</v>
      </c>
      <c r="J16740" s="3">
        <v>253</v>
      </c>
      <c r="K16740" s="3">
        <v>876</v>
      </c>
      <c r="L16740" s="3">
        <v>14</v>
      </c>
      <c r="M16740" s="3">
        <v>211</v>
      </c>
    </row>
    <row r="16741" spans="1:13" x14ac:dyDescent="0.25">
      <c r="A16741" s="1" t="str">
        <f>HYPERLINK("http://www.rosaceae.org/Prunus/Prunus_persica/p.persica_gdr_reftransV1_0048906","p.persica_gdr_reftransV1_0048906")</f>
        <v>p.persica_gdr_reftransV1_0048906</v>
      </c>
      <c r="B16741" s="3">
        <v>1581</v>
      </c>
      <c r="C16741" s="1" t="str">
        <f>HYPERLINK("http://www.uniprot.org/uniprot/PHPDC_SALTY","PHPDC_SALTY")</f>
        <v>PHPDC_SALTY</v>
      </c>
      <c r="D16741" t="s">
        <v>111</v>
      </c>
      <c r="E16741" s="3" t="s">
        <v>112</v>
      </c>
      <c r="F16741" s="4">
        <v>1.3399999999999999E-19</v>
      </c>
      <c r="G16741" s="3">
        <v>200</v>
      </c>
      <c r="H16741" s="3">
        <v>33</v>
      </c>
      <c r="I16741" s="3">
        <v>180</v>
      </c>
      <c r="J16741" s="3">
        <v>527</v>
      </c>
      <c r="K16741" s="3">
        <v>1060</v>
      </c>
      <c r="L16741" s="3">
        <v>48</v>
      </c>
      <c r="M16741" s="3">
        <v>216</v>
      </c>
    </row>
    <row r="16742" spans="1:13" x14ac:dyDescent="0.25">
      <c r="A16742" s="1" t="str">
        <f>HYPERLINK("http://www.rosaceae.org/Prunus/Prunus_persica/p.persica_gdr_reftransV1_0048956","p.persica_gdr_reftransV1_0048956")</f>
        <v>p.persica_gdr_reftransV1_0048956</v>
      </c>
      <c r="B16742" s="3">
        <v>1359</v>
      </c>
      <c r="C16742" s="1" t="str">
        <f>HYPERLINK("http://www.uniprot.org/uniprot/CSD_STAES","CSD_STAES")</f>
        <v>CSD_STAES</v>
      </c>
      <c r="D16742" t="s">
        <v>10446</v>
      </c>
      <c r="E16742" s="3" t="s">
        <v>10447</v>
      </c>
      <c r="F16742" s="4">
        <v>1.2099999999999999E-15</v>
      </c>
      <c r="G16742" s="3">
        <v>202</v>
      </c>
      <c r="H16742" s="3">
        <v>26</v>
      </c>
      <c r="I16742" s="3">
        <v>227</v>
      </c>
      <c r="J16742" s="3">
        <v>679</v>
      </c>
      <c r="K16742" s="3">
        <v>1359</v>
      </c>
      <c r="L16742" s="3">
        <v>126</v>
      </c>
      <c r="M16742" s="3">
        <v>341</v>
      </c>
    </row>
    <row r="16743" spans="1:13" x14ac:dyDescent="0.25">
      <c r="A16743" s="1" t="str">
        <f>HYPERLINK("http://www.rosaceae.org/Prunus/Prunus_persica/p.persica_gdr_reftransV1_0049006","p.persica_gdr_reftransV1_0049006")</f>
        <v>p.persica_gdr_reftransV1_0049006</v>
      </c>
      <c r="B16743" s="3">
        <v>1093</v>
      </c>
      <c r="C16743" s="1" t="str">
        <f>HYPERLINK("http://www.uniprot.org/uniprot/RS101_ARATH","RS101_ARATH")</f>
        <v>RS101_ARATH</v>
      </c>
      <c r="D16743" t="s">
        <v>10448</v>
      </c>
      <c r="E16743" s="3" t="s">
        <v>3</v>
      </c>
      <c r="F16743" s="4">
        <v>6.6700000000000005E-54</v>
      </c>
      <c r="G16743" s="3">
        <v>460</v>
      </c>
      <c r="H16743" s="3">
        <v>70</v>
      </c>
      <c r="I16743" s="3">
        <v>150</v>
      </c>
      <c r="J16743" s="3">
        <v>405</v>
      </c>
      <c r="K16743" s="3">
        <v>851</v>
      </c>
      <c r="L16743" s="3">
        <v>1</v>
      </c>
      <c r="M16743" s="3">
        <v>146</v>
      </c>
    </row>
    <row r="16744" spans="1:13" x14ac:dyDescent="0.25">
      <c r="A16744" s="1" t="str">
        <f>HYPERLINK("http://www.rosaceae.org/Prunus/Prunus_persica/p.persica_gdr_reftransV1_0049106","p.persica_gdr_reftransV1_0049106")</f>
        <v>p.persica_gdr_reftransV1_0049106</v>
      </c>
      <c r="B16744" s="3">
        <v>1338</v>
      </c>
      <c r="C16744" s="1" t="str">
        <f>HYPERLINK("http://www.uniprot.org/uniprot/EMC3_DANRE","EMC3_DANRE")</f>
        <v>EMC3_DANRE</v>
      </c>
      <c r="D16744" t="s">
        <v>4784</v>
      </c>
      <c r="E16744" s="3" t="s">
        <v>704</v>
      </c>
      <c r="F16744" s="4">
        <v>3.9199999999999999E-56</v>
      </c>
      <c r="G16744" s="3">
        <v>489</v>
      </c>
      <c r="H16744" s="3">
        <v>43</v>
      </c>
      <c r="I16744" s="3">
        <v>237</v>
      </c>
      <c r="J16744" s="3">
        <v>323</v>
      </c>
      <c r="K16744" s="3">
        <v>1018</v>
      </c>
      <c r="L16744" s="3">
        <v>5</v>
      </c>
      <c r="M16744" s="3">
        <v>239</v>
      </c>
    </row>
    <row r="16745" spans="1:13" x14ac:dyDescent="0.25">
      <c r="A16745" s="1" t="str">
        <f>HYPERLINK("http://www.rosaceae.org/Prunus/Prunus_persica/p.persica_gdr_reftransV1_0049156","p.persica_gdr_reftransV1_0049156")</f>
        <v>p.persica_gdr_reftransV1_0049156</v>
      </c>
      <c r="B16745" s="3">
        <v>880</v>
      </c>
      <c r="C16745" s="1" t="str">
        <f>HYPERLINK("http://www.uniprot.org/uniprot/ARF_VIGUN","ARF_VIGUN")</f>
        <v>ARF_VIGUN</v>
      </c>
      <c r="D16745" t="s">
        <v>1008</v>
      </c>
      <c r="E16745" s="3" t="s">
        <v>1009</v>
      </c>
      <c r="F16745" s="4">
        <v>7.3900000000000002E-125</v>
      </c>
      <c r="G16745" s="3">
        <v>926</v>
      </c>
      <c r="H16745" s="3">
        <v>99</v>
      </c>
      <c r="I16745" s="3">
        <v>174</v>
      </c>
      <c r="J16745" s="3">
        <v>45</v>
      </c>
      <c r="K16745" s="3">
        <v>566</v>
      </c>
      <c r="L16745" s="3">
        <v>1</v>
      </c>
      <c r="M16745" s="3">
        <v>174</v>
      </c>
    </row>
    <row r="16746" spans="1:13" x14ac:dyDescent="0.25">
      <c r="A16746" s="1" t="str">
        <f>HYPERLINK("http://www.rosaceae.org/Prunus/Prunus_persica/p.persica_gdr_reftransV1_0000007","p.persica_gdr_reftransV1_0000007")</f>
        <v>p.persica_gdr_reftransV1_0000007</v>
      </c>
      <c r="B16746" s="3">
        <v>1519</v>
      </c>
      <c r="C16746" s="1" t="str">
        <f>HYPERLINK("http://www.uniprot.org/uniprot/DRL4_ARATH","DRL4_ARATH")</f>
        <v>DRL4_ARATH</v>
      </c>
      <c r="D16746" t="s">
        <v>2765</v>
      </c>
      <c r="E16746" s="3" t="s">
        <v>3</v>
      </c>
      <c r="F16746" s="4">
        <v>4.1499999999999999E-107</v>
      </c>
      <c r="G16746" s="3">
        <v>885</v>
      </c>
      <c r="H16746" s="3">
        <v>43</v>
      </c>
      <c r="I16746" s="3">
        <v>473</v>
      </c>
      <c r="J16746" s="3">
        <v>8</v>
      </c>
      <c r="K16746" s="3">
        <v>1420</v>
      </c>
      <c r="L16746" s="3">
        <v>1</v>
      </c>
      <c r="M16746" s="3">
        <v>456</v>
      </c>
    </row>
    <row r="16747" spans="1:13" x14ac:dyDescent="0.25">
      <c r="A16747" s="1" t="str">
        <f>HYPERLINK("http://www.rosaceae.org/Prunus/Prunus_persica/p.persica_gdr_reftransV1_0000057","p.persica_gdr_reftransV1_0000057")</f>
        <v>p.persica_gdr_reftransV1_0000057</v>
      </c>
      <c r="B16747" s="3">
        <v>550</v>
      </c>
      <c r="C16747" s="1" t="str">
        <f>HYPERLINK("http://www.uniprot.org/uniprot/Y4862_ARATH","Y4862_ARATH")</f>
        <v>Y4862_ARATH</v>
      </c>
      <c r="D16747" t="s">
        <v>1186</v>
      </c>
      <c r="E16747" s="3" t="s">
        <v>3</v>
      </c>
      <c r="F16747" s="4">
        <v>3.8000000000000003E-24</v>
      </c>
      <c r="G16747" s="3">
        <v>259</v>
      </c>
      <c r="H16747" s="3">
        <v>44</v>
      </c>
      <c r="I16747" s="3">
        <v>175</v>
      </c>
      <c r="J16747" s="3">
        <v>8</v>
      </c>
      <c r="K16747" s="3">
        <v>532</v>
      </c>
      <c r="L16747" s="3">
        <v>4</v>
      </c>
      <c r="M16747" s="3">
        <v>178</v>
      </c>
    </row>
    <row r="16748" spans="1:13" x14ac:dyDescent="0.25">
      <c r="A16748" s="1" t="str">
        <f>HYPERLINK("http://www.rosaceae.org/Prunus/Prunus_persica/p.persica_gdr_reftransV1_0000157","p.persica_gdr_reftransV1_0000157")</f>
        <v>p.persica_gdr_reftransV1_0000157</v>
      </c>
      <c r="B16748" s="3">
        <v>1366</v>
      </c>
      <c r="C16748" s="1" t="str">
        <f>HYPERLINK("http://www.uniprot.org/uniprot/RIN4_ARATH","RIN4_ARATH")</f>
        <v>RIN4_ARATH</v>
      </c>
      <c r="D16748" t="s">
        <v>1664</v>
      </c>
      <c r="E16748" s="3" t="s">
        <v>3</v>
      </c>
      <c r="F16748" s="4">
        <v>1.4299999999999999E-44</v>
      </c>
      <c r="G16748" s="3">
        <v>405</v>
      </c>
      <c r="H16748" s="3">
        <v>43</v>
      </c>
      <c r="I16748" s="3">
        <v>252</v>
      </c>
      <c r="J16748" s="3">
        <v>336</v>
      </c>
      <c r="K16748" s="3">
        <v>1058</v>
      </c>
      <c r="L16748" s="3">
        <v>3</v>
      </c>
      <c r="M16748" s="3">
        <v>206</v>
      </c>
    </row>
    <row r="16749" spans="1:13" x14ac:dyDescent="0.25">
      <c r="A16749" s="1" t="str">
        <f>HYPERLINK("http://www.rosaceae.org/Prunus/Prunus_persica/p.persica_gdr_reftransV1_0000207","p.persica_gdr_reftransV1_0000207")</f>
        <v>p.persica_gdr_reftransV1_0000207</v>
      </c>
      <c r="B16749" s="3">
        <v>4250</v>
      </c>
      <c r="C16749" s="1" t="str">
        <f>HYPERLINK("http://www.uniprot.org/uniprot/SCD1_ARATH","SCD1_ARATH")</f>
        <v>SCD1_ARATH</v>
      </c>
      <c r="D16749" t="s">
        <v>6428</v>
      </c>
      <c r="E16749" s="3" t="s">
        <v>3</v>
      </c>
      <c r="F16749" s="4">
        <v>0</v>
      </c>
      <c r="G16749" s="3">
        <v>2871</v>
      </c>
      <c r="H16749" s="3">
        <v>71</v>
      </c>
      <c r="I16749" s="3">
        <v>836</v>
      </c>
      <c r="J16749" s="3">
        <v>256</v>
      </c>
      <c r="K16749" s="3">
        <v>2745</v>
      </c>
      <c r="L16749" s="3">
        <v>1</v>
      </c>
      <c r="M16749" s="3">
        <v>827</v>
      </c>
    </row>
    <row r="16750" spans="1:13" x14ac:dyDescent="0.25">
      <c r="A16750" s="1" t="str">
        <f>HYPERLINK("http://www.rosaceae.org/Prunus/Prunus_persica/p.persica_gdr_reftransV1_0000257","p.persica_gdr_reftransV1_0000257")</f>
        <v>p.persica_gdr_reftransV1_0000257</v>
      </c>
      <c r="B16750" s="3">
        <v>595</v>
      </c>
      <c r="C16750" s="1" t="str">
        <f>HYPERLINK("http://www.uniprot.org/uniprot/ILL4_ORYSJ","ILL4_ORYSJ")</f>
        <v>ILL4_ORYSJ</v>
      </c>
      <c r="D16750" t="s">
        <v>10449</v>
      </c>
      <c r="E16750" s="3" t="s">
        <v>38</v>
      </c>
      <c r="F16750" s="4">
        <v>2.6000000000000001E-65</v>
      </c>
      <c r="G16750" s="3">
        <v>541</v>
      </c>
      <c r="H16750" s="3">
        <v>59</v>
      </c>
      <c r="I16750" s="3">
        <v>174</v>
      </c>
      <c r="J16750" s="3">
        <v>94</v>
      </c>
      <c r="K16750" s="3">
        <v>594</v>
      </c>
      <c r="L16750" s="3">
        <v>229</v>
      </c>
      <c r="M16750" s="3">
        <v>402</v>
      </c>
    </row>
    <row r="16751" spans="1:13" x14ac:dyDescent="0.25">
      <c r="A16751" s="1" t="str">
        <f>HYPERLINK("http://www.rosaceae.org/Prunus/Prunus_persica/p.persica_gdr_reftransV1_0000407","p.persica_gdr_reftransV1_0000407")</f>
        <v>p.persica_gdr_reftransV1_0000407</v>
      </c>
      <c r="B16751" s="3">
        <v>794</v>
      </c>
      <c r="C16751" s="1" t="str">
        <f>HYPERLINK("http://www.uniprot.org/uniprot/MYB05_ANTMA","MYB05_ANTMA")</f>
        <v>MYB05_ANTMA</v>
      </c>
      <c r="D16751" t="s">
        <v>9134</v>
      </c>
      <c r="E16751" s="3" t="s">
        <v>1408</v>
      </c>
      <c r="F16751" s="4">
        <v>4.9200000000000004E-50</v>
      </c>
      <c r="G16751" s="3">
        <v>429</v>
      </c>
      <c r="H16751" s="3">
        <v>66</v>
      </c>
      <c r="I16751" s="3">
        <v>116</v>
      </c>
      <c r="J16751" s="3">
        <v>131</v>
      </c>
      <c r="K16751" s="3">
        <v>478</v>
      </c>
      <c r="L16751" s="3">
        <v>14</v>
      </c>
      <c r="M16751" s="3">
        <v>129</v>
      </c>
    </row>
    <row r="16752" spans="1:13" x14ac:dyDescent="0.25">
      <c r="A16752" s="1" t="str">
        <f>HYPERLINK("http://www.rosaceae.org/Prunus/Prunus_persica/p.persica_gdr_reftransV1_0000457","p.persica_gdr_reftransV1_0000457")</f>
        <v>p.persica_gdr_reftransV1_0000457</v>
      </c>
      <c r="B16752" s="3">
        <v>6862</v>
      </c>
      <c r="C16752" s="1" t="str">
        <f>HYPERLINK("http://www.uniprot.org/uniprot/ARFE_ARATH","ARFE_ARATH")</f>
        <v>ARFE_ARATH</v>
      </c>
      <c r="D16752" t="s">
        <v>3463</v>
      </c>
      <c r="E16752" s="3" t="s">
        <v>3</v>
      </c>
      <c r="F16752" s="4">
        <v>0</v>
      </c>
      <c r="G16752" s="3">
        <v>2669</v>
      </c>
      <c r="H16752" s="3">
        <v>60</v>
      </c>
      <c r="I16752" s="3">
        <v>973</v>
      </c>
      <c r="J16752" s="3">
        <v>364</v>
      </c>
      <c r="K16752" s="3">
        <v>3204</v>
      </c>
      <c r="L16752" s="3">
        <v>5</v>
      </c>
      <c r="M16752" s="3">
        <v>902</v>
      </c>
    </row>
    <row r="16753" spans="1:13" x14ac:dyDescent="0.25">
      <c r="A16753" s="1" t="str">
        <f>HYPERLINK("http://www.rosaceae.org/Prunus/Prunus_persica/p.persica_gdr_reftransV1_0000707","p.persica_gdr_reftransV1_0000707")</f>
        <v>p.persica_gdr_reftransV1_0000707</v>
      </c>
      <c r="B16753" s="3">
        <v>2866</v>
      </c>
      <c r="C16753" s="1" t="str">
        <f>HYPERLINK("http://www.uniprot.org/uniprot/ATG1_MAGO7","ATG1_MAGO7")</f>
        <v>ATG1_MAGO7</v>
      </c>
      <c r="D16753" t="s">
        <v>5514</v>
      </c>
      <c r="E16753" s="3" t="s">
        <v>3904</v>
      </c>
      <c r="F16753" s="4">
        <v>2.3700000000000002E-78</v>
      </c>
      <c r="G16753" s="3">
        <v>718</v>
      </c>
      <c r="H16753" s="3">
        <v>45</v>
      </c>
      <c r="I16753" s="3">
        <v>310</v>
      </c>
      <c r="J16753" s="3">
        <v>1636</v>
      </c>
      <c r="K16753" s="3">
        <v>2472</v>
      </c>
      <c r="L16753" s="3">
        <v>16</v>
      </c>
      <c r="M16753" s="3">
        <v>324</v>
      </c>
    </row>
    <row r="16754" spans="1:13" x14ac:dyDescent="0.25">
      <c r="A16754" s="1" t="str">
        <f>HYPERLINK("http://www.rosaceae.org/Prunus/Prunus_persica/p.persica_gdr_reftransV1_0000757","p.persica_gdr_reftransV1_0000757")</f>
        <v>p.persica_gdr_reftransV1_0000757</v>
      </c>
      <c r="B16754" s="3">
        <v>1607</v>
      </c>
      <c r="C16754" s="1" t="str">
        <f>HYPERLINK("http://www.uniprot.org/uniprot/idHP_MEDSA","idHP_MEDSA")</f>
        <v>idHP_MEDSA</v>
      </c>
      <c r="D16754" t="s">
        <v>10450</v>
      </c>
      <c r="E16754" s="3" t="s">
        <v>515</v>
      </c>
      <c r="F16754" s="4">
        <v>0</v>
      </c>
      <c r="G16754" s="3">
        <v>2046</v>
      </c>
      <c r="H16754" s="3">
        <v>88</v>
      </c>
      <c r="I16754" s="3">
        <v>426</v>
      </c>
      <c r="J16754" s="3">
        <v>12</v>
      </c>
      <c r="K16754" s="3">
        <v>1289</v>
      </c>
      <c r="L16754" s="3">
        <v>7</v>
      </c>
      <c r="M16754" s="3">
        <v>432</v>
      </c>
    </row>
    <row r="16755" spans="1:13" x14ac:dyDescent="0.25">
      <c r="A16755" s="1" t="str">
        <f>HYPERLINK("http://www.rosaceae.org/Prunus/Prunus_persica/p.persica_gdr_reftransV1_0000807","p.persica_gdr_reftransV1_0000807")</f>
        <v>p.persica_gdr_reftransV1_0000807</v>
      </c>
      <c r="B16755" s="3">
        <v>1224</v>
      </c>
      <c r="C16755" s="1" t="str">
        <f>HYPERLINK("http://www.uniprot.org/uniprot/HYES_HUMAN","HYES_HUMAN")</f>
        <v>HYES_HUMAN</v>
      </c>
      <c r="D16755" t="s">
        <v>960</v>
      </c>
      <c r="E16755" s="3" t="s">
        <v>28</v>
      </c>
      <c r="F16755" s="4">
        <v>2.5299999999999998E-41</v>
      </c>
      <c r="G16755" s="3">
        <v>399</v>
      </c>
      <c r="H16755" s="3">
        <v>33</v>
      </c>
      <c r="I16755" s="3">
        <v>323</v>
      </c>
      <c r="J16755" s="3">
        <v>122</v>
      </c>
      <c r="K16755" s="3">
        <v>1045</v>
      </c>
      <c r="L16755" s="3">
        <v>236</v>
      </c>
      <c r="M16755" s="3">
        <v>543</v>
      </c>
    </row>
    <row r="16756" spans="1:13" x14ac:dyDescent="0.25">
      <c r="A16756" s="1" t="str">
        <f>HYPERLINK("http://www.rosaceae.org/Prunus/Prunus_persica/p.persica_gdr_reftransV1_0001057","p.persica_gdr_reftransV1_0001057")</f>
        <v>p.persica_gdr_reftransV1_0001057</v>
      </c>
      <c r="B16756" s="3">
        <v>1651</v>
      </c>
      <c r="C16756" s="1" t="str">
        <f>HYPERLINK("http://www.uniprot.org/uniprot/EIF3M_DICDI","EIF3M_DICDI")</f>
        <v>EIF3M_DICDI</v>
      </c>
      <c r="D16756" t="s">
        <v>2748</v>
      </c>
      <c r="E16756" s="3" t="s">
        <v>9</v>
      </c>
      <c r="F16756" s="4">
        <v>6.5800000000000004E-69</v>
      </c>
      <c r="G16756" s="3">
        <v>595</v>
      </c>
      <c r="H16756" s="3">
        <v>38</v>
      </c>
      <c r="I16756" s="3">
        <v>327</v>
      </c>
      <c r="J16756" s="3">
        <v>345</v>
      </c>
      <c r="K16756" s="3">
        <v>1310</v>
      </c>
      <c r="L16756" s="3">
        <v>66</v>
      </c>
      <c r="M16756" s="3">
        <v>385</v>
      </c>
    </row>
    <row r="16757" spans="1:13" x14ac:dyDescent="0.25">
      <c r="A16757" s="1" t="str">
        <f>HYPERLINK("http://www.rosaceae.org/Prunus/Prunus_persica/p.persica_gdr_reftransV1_0001107","p.persica_gdr_reftransV1_0001107")</f>
        <v>p.persica_gdr_reftransV1_0001107</v>
      </c>
      <c r="B16757" s="3">
        <v>651</v>
      </c>
      <c r="C16757" s="1" t="str">
        <f>HYPERLINK("http://www.uniprot.org/uniprot/OLE16_BROSE","OLE16_BROSE")</f>
        <v>OLE16_BROSE</v>
      </c>
      <c r="D16757" t="s">
        <v>9533</v>
      </c>
      <c r="E16757" s="3" t="s">
        <v>9534</v>
      </c>
      <c r="F16757" s="4">
        <v>1.38E-12</v>
      </c>
      <c r="G16757" s="3">
        <v>161</v>
      </c>
      <c r="H16757" s="3">
        <v>60</v>
      </c>
      <c r="I16757" s="3">
        <v>55</v>
      </c>
      <c r="J16757" s="3">
        <v>167</v>
      </c>
      <c r="K16757" s="3">
        <v>331</v>
      </c>
      <c r="L16757" s="3">
        <v>76</v>
      </c>
      <c r="M16757" s="3">
        <v>130</v>
      </c>
    </row>
    <row r="16758" spans="1:13" x14ac:dyDescent="0.25">
      <c r="A16758" s="1" t="str">
        <f>HYPERLINK("http://www.rosaceae.org/Prunus/Prunus_persica/p.persica_gdr_reftransV1_0001207","p.persica_gdr_reftransV1_0001207")</f>
        <v>p.persica_gdr_reftransV1_0001207</v>
      </c>
      <c r="B16758" s="3">
        <v>1752</v>
      </c>
      <c r="C16758" s="1" t="str">
        <f>HYPERLINK("http://www.uniprot.org/uniprot/AK1_ARATH","AK1_ARATH")</f>
        <v>AK1_ARATH</v>
      </c>
      <c r="D16758" t="s">
        <v>4315</v>
      </c>
      <c r="E16758" s="3" t="s">
        <v>3</v>
      </c>
      <c r="F16758" s="4">
        <v>0</v>
      </c>
      <c r="G16758" s="3">
        <v>2123</v>
      </c>
      <c r="H16758" s="3">
        <v>81</v>
      </c>
      <c r="I16758" s="3">
        <v>487</v>
      </c>
      <c r="J16758" s="3">
        <v>220</v>
      </c>
      <c r="K16758" s="3">
        <v>1680</v>
      </c>
      <c r="L16758" s="3">
        <v>82</v>
      </c>
      <c r="M16758" s="3">
        <v>564</v>
      </c>
    </row>
    <row r="16759" spans="1:13" x14ac:dyDescent="0.25">
      <c r="A16759" s="1" t="str">
        <f>HYPERLINK("http://www.rosaceae.org/Prunus/Prunus_persica/p.persica_gdr_reftransV1_0001257","p.persica_gdr_reftransV1_0001257")</f>
        <v>p.persica_gdr_reftransV1_0001257</v>
      </c>
      <c r="B16759" s="3">
        <v>679</v>
      </c>
      <c r="C16759" s="1" t="str">
        <f>HYPERLINK("http://www.uniprot.org/uniprot/PDR2_NICPL","PDR2_NICPL")</f>
        <v>PDR2_NICPL</v>
      </c>
      <c r="D16759" t="s">
        <v>2532</v>
      </c>
      <c r="E16759" s="3" t="s">
        <v>1450</v>
      </c>
      <c r="F16759" s="4">
        <v>6.0600000000000003E-90</v>
      </c>
      <c r="G16759" s="3">
        <v>752</v>
      </c>
      <c r="H16759" s="3">
        <v>81</v>
      </c>
      <c r="I16759" s="3">
        <v>226</v>
      </c>
      <c r="J16759" s="3">
        <v>1</v>
      </c>
      <c r="K16759" s="3">
        <v>678</v>
      </c>
      <c r="L16759" s="3">
        <v>93</v>
      </c>
      <c r="M16759" s="3">
        <v>318</v>
      </c>
    </row>
    <row r="16760" spans="1:13" x14ac:dyDescent="0.25">
      <c r="A16760" s="1" t="str">
        <f>HYPERLINK("http://www.rosaceae.org/Prunus/Prunus_persica/p.persica_gdr_reftransV1_0001407","p.persica_gdr_reftransV1_0001407")</f>
        <v>p.persica_gdr_reftransV1_0001407</v>
      </c>
      <c r="B16760" s="3">
        <v>2354</v>
      </c>
      <c r="C16760" s="1" t="str">
        <f>HYPERLINK("http://www.uniprot.org/uniprot/NORK_PEA","NORK_PEA")</f>
        <v>NORK_PEA</v>
      </c>
      <c r="D16760" t="s">
        <v>10451</v>
      </c>
      <c r="E16760" s="3" t="s">
        <v>60</v>
      </c>
      <c r="F16760" s="4">
        <v>0</v>
      </c>
      <c r="G16760" s="3">
        <v>2337</v>
      </c>
      <c r="H16760" s="3">
        <v>64</v>
      </c>
      <c r="I16760" s="3">
        <v>726</v>
      </c>
      <c r="J16760" s="3">
        <v>2</v>
      </c>
      <c r="K16760" s="3">
        <v>2161</v>
      </c>
      <c r="L16760" s="3">
        <v>211</v>
      </c>
      <c r="M16760" s="3">
        <v>924</v>
      </c>
    </row>
    <row r="16761" spans="1:13" x14ac:dyDescent="0.25">
      <c r="A16761" s="1" t="str">
        <f>HYPERLINK("http://www.rosaceae.org/Prunus/Prunus_persica/p.persica_gdr_reftransV1_0001507","p.persica_gdr_reftransV1_0001507")</f>
        <v>p.persica_gdr_reftransV1_0001507</v>
      </c>
      <c r="B16761" s="3">
        <v>828</v>
      </c>
      <c r="C16761" s="1" t="str">
        <f>HYPERLINK("http://www.uniprot.org/uniprot/YRAH_BACSU","YRAH_BACSU")</f>
        <v>YRAH_BACSU</v>
      </c>
      <c r="D16761" t="s">
        <v>10452</v>
      </c>
      <c r="E16761" s="3" t="s">
        <v>1630</v>
      </c>
      <c r="F16761" s="4">
        <v>4.5200000000000002E-7</v>
      </c>
      <c r="G16761" s="3">
        <v>122</v>
      </c>
      <c r="H16761" s="3">
        <v>25</v>
      </c>
      <c r="I16761" s="3">
        <v>119</v>
      </c>
      <c r="J16761" s="3">
        <v>129</v>
      </c>
      <c r="K16761" s="3">
        <v>482</v>
      </c>
      <c r="L16761" s="3">
        <v>8</v>
      </c>
      <c r="M16761" s="3">
        <v>124</v>
      </c>
    </row>
    <row r="16762" spans="1:13" x14ac:dyDescent="0.25">
      <c r="A16762" s="1" t="str">
        <f>HYPERLINK("http://www.rosaceae.org/Prunus/Prunus_persica/p.persica_gdr_reftransV1_0001657","p.persica_gdr_reftransV1_0001657")</f>
        <v>p.persica_gdr_reftransV1_0001657</v>
      </c>
      <c r="B16762" s="3">
        <v>1322</v>
      </c>
      <c r="C16762" s="1" t="str">
        <f>HYPERLINK("http://www.uniprot.org/uniprot/PHSC_ARATH","PHSC_ARATH")</f>
        <v>PHSC_ARATH</v>
      </c>
      <c r="D16762" t="s">
        <v>5681</v>
      </c>
      <c r="E16762" s="3" t="s">
        <v>3</v>
      </c>
      <c r="F16762" s="4">
        <v>6.6899999999999998E-178</v>
      </c>
      <c r="G16762" s="3">
        <v>1321</v>
      </c>
      <c r="H16762" s="3">
        <v>66</v>
      </c>
      <c r="I16762" s="3">
        <v>381</v>
      </c>
      <c r="J16762" s="3">
        <v>2</v>
      </c>
      <c r="K16762" s="3">
        <v>1144</v>
      </c>
      <c r="L16762" s="3">
        <v>87</v>
      </c>
      <c r="M16762" s="3">
        <v>465</v>
      </c>
    </row>
    <row r="16763" spans="1:13" x14ac:dyDescent="0.25">
      <c r="A16763" s="1" t="str">
        <f>HYPERLINK("http://www.rosaceae.org/Prunus/Prunus_persica/p.persica_gdr_reftransV1_0001757","p.persica_gdr_reftransV1_0001757")</f>
        <v>p.persica_gdr_reftransV1_0001757</v>
      </c>
      <c r="B16763" s="3">
        <v>629</v>
      </c>
      <c r="C16763" s="1" t="str">
        <f>HYPERLINK("http://www.uniprot.org/uniprot/LSM8_ARATH","LSM8_ARATH")</f>
        <v>LSM8_ARATH</v>
      </c>
      <c r="D16763" t="s">
        <v>10453</v>
      </c>
      <c r="E16763" s="3" t="s">
        <v>3</v>
      </c>
      <c r="F16763" s="4">
        <v>3.6499999999999999E-44</v>
      </c>
      <c r="G16763" s="3">
        <v>375</v>
      </c>
      <c r="H16763" s="3">
        <v>80</v>
      </c>
      <c r="I16763" s="3">
        <v>86</v>
      </c>
      <c r="J16763" s="3">
        <v>119</v>
      </c>
      <c r="K16763" s="3">
        <v>376</v>
      </c>
      <c r="L16763" s="3">
        <v>13</v>
      </c>
      <c r="M16763" s="3">
        <v>98</v>
      </c>
    </row>
    <row r="16764" spans="1:13" x14ac:dyDescent="0.25">
      <c r="A16764" s="1" t="str">
        <f>HYPERLINK("http://www.rosaceae.org/Prunus/Prunus_persica/p.persica_gdr_reftransV1_0001807","p.persica_gdr_reftransV1_0001807")</f>
        <v>p.persica_gdr_reftransV1_0001807</v>
      </c>
      <c r="B16764" s="3">
        <v>433</v>
      </c>
      <c r="C16764" s="1" t="str">
        <f>HYPERLINK("http://www.uniprot.org/uniprot/CNGC8_ARATH","CNGC8_ARATH")</f>
        <v>CNGC8_ARATH</v>
      </c>
      <c r="D16764" t="s">
        <v>10454</v>
      </c>
      <c r="E16764" s="3" t="s">
        <v>3</v>
      </c>
      <c r="F16764" s="4">
        <v>9.4499999999999991E-13</v>
      </c>
      <c r="G16764" s="3">
        <v>168</v>
      </c>
      <c r="H16764" s="3">
        <v>29</v>
      </c>
      <c r="I16764" s="3">
        <v>123</v>
      </c>
      <c r="J16764" s="3">
        <v>49</v>
      </c>
      <c r="K16764" s="3">
        <v>417</v>
      </c>
      <c r="L16764" s="3">
        <v>437</v>
      </c>
      <c r="M16764" s="3">
        <v>553</v>
      </c>
    </row>
    <row r="16765" spans="1:13" x14ac:dyDescent="0.25">
      <c r="A16765" s="1" t="str">
        <f>HYPERLINK("http://www.rosaceae.org/Prunus/Prunus_persica/p.persica_gdr_reftransV1_0002157","p.persica_gdr_reftransV1_0002157")</f>
        <v>p.persica_gdr_reftransV1_0002157</v>
      </c>
      <c r="B16765" s="3">
        <v>1631</v>
      </c>
      <c r="C16765" s="1" t="str">
        <f>HYPERLINK("http://www.uniprot.org/uniprot/Y2913_ARATH","Y2913_ARATH")</f>
        <v>Y2913_ARATH</v>
      </c>
      <c r="D16765" t="s">
        <v>5373</v>
      </c>
      <c r="E16765" s="3" t="s">
        <v>3</v>
      </c>
      <c r="F16765" s="4">
        <v>1.56E-121</v>
      </c>
      <c r="G16765" s="3">
        <v>985</v>
      </c>
      <c r="H16765" s="3">
        <v>42</v>
      </c>
      <c r="I16765" s="3">
        <v>525</v>
      </c>
      <c r="J16765" s="3">
        <v>109</v>
      </c>
      <c r="K16765" s="3">
        <v>1629</v>
      </c>
      <c r="L16765" s="3">
        <v>3</v>
      </c>
      <c r="M16765" s="3">
        <v>516</v>
      </c>
    </row>
    <row r="16766" spans="1:13" x14ac:dyDescent="0.25">
      <c r="A16766" s="1" t="str">
        <f>HYPERLINK("http://www.rosaceae.org/Prunus/Prunus_persica/p.persica_gdr_reftransV1_0002257","p.persica_gdr_reftransV1_0002257")</f>
        <v>p.persica_gdr_reftransV1_0002257</v>
      </c>
      <c r="B16766" s="3">
        <v>651</v>
      </c>
      <c r="C16766" s="1" t="str">
        <f>HYPERLINK("http://www.uniprot.org/uniprot/LOR5_ARATH","LOR5_ARATH")</f>
        <v>LOR5_ARATH</v>
      </c>
      <c r="D16766" t="s">
        <v>10455</v>
      </c>
      <c r="E16766" s="3" t="s">
        <v>3</v>
      </c>
      <c r="F16766" s="4">
        <v>8.1599999999999997E-18</v>
      </c>
      <c r="G16766" s="3">
        <v>202</v>
      </c>
      <c r="H16766" s="3">
        <v>39</v>
      </c>
      <c r="I16766" s="3">
        <v>182</v>
      </c>
      <c r="J16766" s="3">
        <v>111</v>
      </c>
      <c r="K16766" s="3">
        <v>650</v>
      </c>
      <c r="L16766" s="3">
        <v>18</v>
      </c>
      <c r="M16766" s="3">
        <v>187</v>
      </c>
    </row>
    <row r="16767" spans="1:13" x14ac:dyDescent="0.25">
      <c r="A16767" s="1" t="str">
        <f>HYPERLINK("http://www.rosaceae.org/Prunus/Prunus_persica/p.persica_gdr_reftransV1_0002357","p.persica_gdr_reftransV1_0002357")</f>
        <v>p.persica_gdr_reftransV1_0002357</v>
      </c>
      <c r="B16767" s="3">
        <v>430</v>
      </c>
      <c r="C16767" s="1" t="str">
        <f>HYPERLINK("http://www.uniprot.org/uniprot/IGKC_HUMAN","IGKC_HUMAN")</f>
        <v>IGKC_HUMAN</v>
      </c>
      <c r="D16767" t="s">
        <v>10456</v>
      </c>
      <c r="E16767" s="3" t="s">
        <v>28</v>
      </c>
      <c r="F16767" s="4">
        <v>3.3899999999999998E-55</v>
      </c>
      <c r="G16767" s="3">
        <v>443</v>
      </c>
      <c r="H16767" s="3">
        <v>100</v>
      </c>
      <c r="I16767" s="3">
        <v>96</v>
      </c>
      <c r="J16767" s="3">
        <v>142</v>
      </c>
      <c r="K16767" s="3">
        <v>429</v>
      </c>
      <c r="L16767" s="3">
        <v>11</v>
      </c>
      <c r="M16767" s="3">
        <v>106</v>
      </c>
    </row>
    <row r="16768" spans="1:13" x14ac:dyDescent="0.25">
      <c r="A16768" s="1" t="str">
        <f>HYPERLINK("http://www.rosaceae.org/Prunus/Prunus_persica/p.persica_gdr_reftransV1_0002457","p.persica_gdr_reftransV1_0002457")</f>
        <v>p.persica_gdr_reftransV1_0002457</v>
      </c>
      <c r="B16768" s="3">
        <v>622</v>
      </c>
      <c r="C16768" s="1" t="str">
        <f>HYPERLINK("http://www.uniprot.org/uniprot/ALOX1_PICPG","ALOX1_PICPG")</f>
        <v>ALOX1_PICPG</v>
      </c>
      <c r="D16768" t="s">
        <v>4903</v>
      </c>
      <c r="E16768" s="3" t="s">
        <v>4904</v>
      </c>
      <c r="F16768" s="4">
        <v>2.2200000000000001E-48</v>
      </c>
      <c r="G16768" s="3">
        <v>435</v>
      </c>
      <c r="H16768" s="3">
        <v>66</v>
      </c>
      <c r="I16768" s="3">
        <v>120</v>
      </c>
      <c r="J16768" s="3">
        <v>42</v>
      </c>
      <c r="K16768" s="3">
        <v>398</v>
      </c>
      <c r="L16768" s="3">
        <v>531</v>
      </c>
      <c r="M16768" s="3">
        <v>650</v>
      </c>
    </row>
    <row r="16769" spans="1:13" x14ac:dyDescent="0.25">
      <c r="A16769" s="1" t="str">
        <f>HYPERLINK("http://www.rosaceae.org/Prunus/Prunus_persica/p.persica_gdr_reftransV1_0002607","p.persica_gdr_reftransV1_0002607")</f>
        <v>p.persica_gdr_reftransV1_0002607</v>
      </c>
      <c r="B16769" s="3">
        <v>612</v>
      </c>
      <c r="C16769" s="1" t="str">
        <f>HYPERLINK("http://www.uniprot.org/uniprot/TMVRN_NICGU","TMVRN_NICGU")</f>
        <v>TMVRN_NICGU</v>
      </c>
      <c r="D16769" t="s">
        <v>151</v>
      </c>
      <c r="E16769" s="3" t="s">
        <v>152</v>
      </c>
      <c r="F16769" s="4">
        <v>3.4799999999999998E-41</v>
      </c>
      <c r="G16769" s="3">
        <v>389</v>
      </c>
      <c r="H16769" s="3">
        <v>54</v>
      </c>
      <c r="I16769" s="3">
        <v>142</v>
      </c>
      <c r="J16769" s="3">
        <v>164</v>
      </c>
      <c r="K16769" s="3">
        <v>580</v>
      </c>
      <c r="L16769" s="3">
        <v>12</v>
      </c>
      <c r="M16769" s="3">
        <v>153</v>
      </c>
    </row>
    <row r="16770" spans="1:13" x14ac:dyDescent="0.25">
      <c r="A16770" s="1" t="str">
        <f>HYPERLINK("http://www.rosaceae.org/Prunus/Prunus_persica/p.persica_gdr_reftransV1_0002657","p.persica_gdr_reftransV1_0002657")</f>
        <v>p.persica_gdr_reftransV1_0002657</v>
      </c>
      <c r="B16770" s="3">
        <v>1706</v>
      </c>
      <c r="C16770" s="1" t="str">
        <f>HYPERLINK("http://www.uniprot.org/uniprot/GLO1_ARATH","GLO1_ARATH")</f>
        <v>GLO1_ARATH</v>
      </c>
      <c r="D16770" t="s">
        <v>10457</v>
      </c>
      <c r="E16770" s="3" t="s">
        <v>3</v>
      </c>
      <c r="F16770" s="4">
        <v>0</v>
      </c>
      <c r="G16770" s="3">
        <v>1749</v>
      </c>
      <c r="H16770" s="3">
        <v>92</v>
      </c>
      <c r="I16770" s="3">
        <v>363</v>
      </c>
      <c r="J16770" s="3">
        <v>276</v>
      </c>
      <c r="K16770" s="3">
        <v>1364</v>
      </c>
      <c r="L16770" s="3">
        <v>1</v>
      </c>
      <c r="M16770" s="3">
        <v>363</v>
      </c>
    </row>
    <row r="16771" spans="1:13" x14ac:dyDescent="0.25">
      <c r="A16771" s="1" t="str">
        <f>HYPERLINK("http://www.rosaceae.org/Prunus/Prunus_persica/p.persica_gdr_reftransV1_0002707","p.persica_gdr_reftransV1_0002707")</f>
        <v>p.persica_gdr_reftransV1_0002707</v>
      </c>
      <c r="B16771" s="3">
        <v>515</v>
      </c>
      <c r="C16771" s="1" t="str">
        <f>HYPERLINK("http://www.uniprot.org/uniprot/CALM3_PETHY","CALM3_PETHY")</f>
        <v>CALM3_PETHY</v>
      </c>
      <c r="D16771" t="s">
        <v>10458</v>
      </c>
      <c r="E16771" s="3" t="s">
        <v>509</v>
      </c>
      <c r="F16771" s="4">
        <v>1.4700000000000001E-80</v>
      </c>
      <c r="G16771" s="3">
        <v>621</v>
      </c>
      <c r="H16771" s="3">
        <v>100</v>
      </c>
      <c r="I16771" s="3">
        <v>119</v>
      </c>
      <c r="J16771" s="3">
        <v>157</v>
      </c>
      <c r="K16771" s="3">
        <v>513</v>
      </c>
      <c r="L16771" s="3">
        <v>1</v>
      </c>
      <c r="M16771" s="3">
        <v>119</v>
      </c>
    </row>
    <row r="16772" spans="1:13" x14ac:dyDescent="0.25">
      <c r="A16772" s="1" t="str">
        <f>HYPERLINK("http://www.rosaceae.org/Prunus/Prunus_persica/p.persica_gdr_reftransV1_0002757","p.persica_gdr_reftransV1_0002757")</f>
        <v>p.persica_gdr_reftransV1_0002757</v>
      </c>
      <c r="B16772" s="3">
        <v>1175</v>
      </c>
      <c r="C16772" s="1" t="str">
        <f>HYPERLINK("http://www.uniprot.org/uniprot/APX3_ARATH","APX3_ARATH")</f>
        <v>APX3_ARATH</v>
      </c>
      <c r="D16772" t="s">
        <v>5014</v>
      </c>
      <c r="E16772" s="3" t="s">
        <v>3</v>
      </c>
      <c r="F16772" s="4">
        <v>5.0799999999999997E-142</v>
      </c>
      <c r="G16772" s="3">
        <v>1060</v>
      </c>
      <c r="H16772" s="3">
        <v>80</v>
      </c>
      <c r="I16772" s="3">
        <v>283</v>
      </c>
      <c r="J16772" s="3">
        <v>189</v>
      </c>
      <c r="K16772" s="3">
        <v>1037</v>
      </c>
      <c r="L16772" s="3">
        <v>1</v>
      </c>
      <c r="M16772" s="3">
        <v>283</v>
      </c>
    </row>
    <row r="16773" spans="1:13" x14ac:dyDescent="0.25">
      <c r="A16773" s="1" t="str">
        <f>HYPERLINK("http://www.rosaceae.org/Prunus/Prunus_persica/p.persica_gdr_reftransV1_0002807","p.persica_gdr_reftransV1_0002807")</f>
        <v>p.persica_gdr_reftransV1_0002807</v>
      </c>
      <c r="B16773" s="3">
        <v>1161</v>
      </c>
      <c r="C16773" s="1" t="str">
        <f>HYPERLINK("http://www.uniprot.org/uniprot/XTH2_SOYBN","XTH2_SOYBN")</f>
        <v>XTH2_SOYBN</v>
      </c>
      <c r="D16773" t="s">
        <v>4437</v>
      </c>
      <c r="E16773" s="3" t="s">
        <v>307</v>
      </c>
      <c r="F16773" s="4">
        <v>1.98E-147</v>
      </c>
      <c r="G16773" s="3">
        <v>1095</v>
      </c>
      <c r="H16773" s="3">
        <v>74</v>
      </c>
      <c r="I16773" s="3">
        <v>272</v>
      </c>
      <c r="J16773" s="3">
        <v>221</v>
      </c>
      <c r="K16773" s="3">
        <v>1036</v>
      </c>
      <c r="L16773" s="3">
        <v>13</v>
      </c>
      <c r="M16773" s="3">
        <v>281</v>
      </c>
    </row>
    <row r="16774" spans="1:13" x14ac:dyDescent="0.25">
      <c r="A16774" s="1" t="str">
        <f>HYPERLINK("http://www.rosaceae.org/Prunus/Prunus_persica/p.persica_gdr_reftransV1_0002907","p.persica_gdr_reftransV1_0002907")</f>
        <v>p.persica_gdr_reftransV1_0002907</v>
      </c>
      <c r="B16774" s="3">
        <v>2009</v>
      </c>
      <c r="C16774" s="1" t="str">
        <f>HYPERLINK("http://www.uniprot.org/uniprot/LHTL8_ARATH","LHTL8_ARATH")</f>
        <v>LHTL8_ARATH</v>
      </c>
      <c r="D16774" t="s">
        <v>1580</v>
      </c>
      <c r="E16774" s="3" t="s">
        <v>3</v>
      </c>
      <c r="F16774" s="4">
        <v>8.3299999999999997E-178</v>
      </c>
      <c r="G16774" s="3">
        <v>1348</v>
      </c>
      <c r="H16774" s="3">
        <v>53</v>
      </c>
      <c r="I16774" s="3">
        <v>551</v>
      </c>
      <c r="J16774" s="3">
        <v>94</v>
      </c>
      <c r="K16774" s="3">
        <v>1710</v>
      </c>
      <c r="L16774" s="3">
        <v>3</v>
      </c>
      <c r="M16774" s="3">
        <v>517</v>
      </c>
    </row>
    <row r="16775" spans="1:13" x14ac:dyDescent="0.25">
      <c r="A16775" s="1" t="str">
        <f>HYPERLINK("http://www.rosaceae.org/Prunus/Prunus_persica/p.persica_gdr_reftransV1_0002957","p.persica_gdr_reftransV1_0002957")</f>
        <v>p.persica_gdr_reftransV1_0002957</v>
      </c>
      <c r="B16775" s="3">
        <v>1440</v>
      </c>
      <c r="C16775" s="1" t="str">
        <f>HYPERLINK("http://www.uniprot.org/uniprot/TOPRS_MOUSE","TOPRS_MOUSE")</f>
        <v>TOPRS_MOUSE</v>
      </c>
      <c r="D16775" t="s">
        <v>8839</v>
      </c>
      <c r="E16775" s="3" t="s">
        <v>157</v>
      </c>
      <c r="F16775" s="4">
        <v>5.0400000000000001E-16</v>
      </c>
      <c r="G16775" s="3">
        <v>209</v>
      </c>
      <c r="H16775" s="3">
        <v>28</v>
      </c>
      <c r="I16775" s="3">
        <v>294</v>
      </c>
      <c r="J16775" s="3">
        <v>98</v>
      </c>
      <c r="K16775" s="3">
        <v>859</v>
      </c>
      <c r="L16775" s="3">
        <v>98</v>
      </c>
      <c r="M16775" s="3">
        <v>376</v>
      </c>
    </row>
    <row r="16776" spans="1:13" x14ac:dyDescent="0.25">
      <c r="A16776" s="1" t="str">
        <f>HYPERLINK("http://www.rosaceae.org/Prunus/Prunus_persica/p.persica_gdr_reftransV1_0003057","p.persica_gdr_reftransV1_0003057")</f>
        <v>p.persica_gdr_reftransV1_0003057</v>
      </c>
      <c r="B16776" s="3">
        <v>1393</v>
      </c>
      <c r="C16776" s="1" t="str">
        <f>HYPERLINK("http://www.uniprot.org/uniprot/RK27_ARATH","RK27_ARATH")</f>
        <v>RK27_ARATH</v>
      </c>
      <c r="D16776" t="s">
        <v>10459</v>
      </c>
      <c r="E16776" s="3" t="s">
        <v>3</v>
      </c>
      <c r="F16776" s="4">
        <v>6.9200000000000004E-73</v>
      </c>
      <c r="G16776" s="3">
        <v>598</v>
      </c>
      <c r="H16776" s="3">
        <v>78</v>
      </c>
      <c r="I16776" s="3">
        <v>147</v>
      </c>
      <c r="J16776" s="3">
        <v>752</v>
      </c>
      <c r="K16776" s="3">
        <v>1183</v>
      </c>
      <c r="L16776" s="3">
        <v>52</v>
      </c>
      <c r="M16776" s="3">
        <v>198</v>
      </c>
    </row>
    <row r="16777" spans="1:13" x14ac:dyDescent="0.25">
      <c r="A16777" s="1" t="str">
        <f>HYPERLINK("http://www.rosaceae.org/Prunus/Prunus_persica/p.persica_gdr_reftransV1_0003107","p.persica_gdr_reftransV1_0003107")</f>
        <v>p.persica_gdr_reftransV1_0003107</v>
      </c>
      <c r="B16777" s="3">
        <v>2708</v>
      </c>
      <c r="C16777" s="1" t="str">
        <f>HYPERLINK("http://www.uniprot.org/uniprot/PP283_ARATH","PP283_ARATH")</f>
        <v>PP283_ARATH</v>
      </c>
      <c r="D16777" t="s">
        <v>10460</v>
      </c>
      <c r="E16777" s="3" t="s">
        <v>3</v>
      </c>
      <c r="F16777" s="4">
        <v>3.3099999999999999E-56</v>
      </c>
      <c r="G16777" s="3">
        <v>474</v>
      </c>
      <c r="H16777" s="3">
        <v>46</v>
      </c>
      <c r="I16777" s="3">
        <v>201</v>
      </c>
      <c r="J16777" s="3">
        <v>1560</v>
      </c>
      <c r="K16777" s="3">
        <v>2138</v>
      </c>
      <c r="L16777" s="3">
        <v>145</v>
      </c>
      <c r="M16777" s="3">
        <v>345</v>
      </c>
    </row>
    <row r="16778" spans="1:13" x14ac:dyDescent="0.25">
      <c r="A16778" s="1" t="str">
        <f>HYPERLINK("http://www.rosaceae.org/Prunus/Prunus_persica/p.persica_gdr_reftransV1_0003207","p.persica_gdr_reftransV1_0003207")</f>
        <v>p.persica_gdr_reftransV1_0003207</v>
      </c>
      <c r="B16778" s="3">
        <v>952</v>
      </c>
      <c r="C16778" s="1" t="str">
        <f>HYPERLINK("http://www.uniprot.org/uniprot/MKS1_ARATH","MKS1_ARATH")</f>
        <v>MKS1_ARATH</v>
      </c>
      <c r="D16778" t="s">
        <v>7468</v>
      </c>
      <c r="E16778" s="3" t="s">
        <v>3</v>
      </c>
      <c r="F16778" s="4">
        <v>1.09E-14</v>
      </c>
      <c r="G16778" s="3">
        <v>183</v>
      </c>
      <c r="H16778" s="3">
        <v>40</v>
      </c>
      <c r="I16778" s="3">
        <v>166</v>
      </c>
      <c r="J16778" s="3">
        <v>149</v>
      </c>
      <c r="K16778" s="3">
        <v>616</v>
      </c>
      <c r="L16778" s="3">
        <v>5</v>
      </c>
      <c r="M16778" s="3">
        <v>159</v>
      </c>
    </row>
    <row r="16779" spans="1:13" x14ac:dyDescent="0.25">
      <c r="A16779" s="1" t="str">
        <f>HYPERLINK("http://www.rosaceae.org/Prunus/Prunus_persica/p.persica_gdr_reftransV1_0003307","p.persica_gdr_reftransV1_0003307")</f>
        <v>p.persica_gdr_reftransV1_0003307</v>
      </c>
      <c r="B16779" s="3">
        <v>510</v>
      </c>
      <c r="C16779" s="1" t="str">
        <f>HYPERLINK("http://www.uniprot.org/uniprot/ATM_ARATH","ATM_ARATH")</f>
        <v>ATM_ARATH</v>
      </c>
      <c r="D16779" t="s">
        <v>2500</v>
      </c>
      <c r="E16779" s="3" t="s">
        <v>3</v>
      </c>
      <c r="F16779" s="4">
        <v>1.5499999999999999E-47</v>
      </c>
      <c r="G16779" s="3">
        <v>435</v>
      </c>
      <c r="H16779" s="3">
        <v>64</v>
      </c>
      <c r="I16779" s="3">
        <v>169</v>
      </c>
      <c r="J16779" s="3">
        <v>3</v>
      </c>
      <c r="K16779" s="3">
        <v>509</v>
      </c>
      <c r="L16779" s="3">
        <v>2029</v>
      </c>
      <c r="M16779" s="3">
        <v>2197</v>
      </c>
    </row>
    <row r="16780" spans="1:13" x14ac:dyDescent="0.25">
      <c r="A16780" s="1" t="str">
        <f>HYPERLINK("http://www.rosaceae.org/Prunus/Prunus_persica/p.persica_gdr_reftransV1_0003357","p.persica_gdr_reftransV1_0003357")</f>
        <v>p.persica_gdr_reftransV1_0003357</v>
      </c>
      <c r="B16780" s="3">
        <v>381</v>
      </c>
      <c r="C16780" s="1" t="str">
        <f>HYPERLINK("http://www.uniprot.org/uniprot/ERDL7_ARATH","ERDL7_ARATH")</f>
        <v>ERDL7_ARATH</v>
      </c>
      <c r="D16780" t="s">
        <v>2970</v>
      </c>
      <c r="E16780" s="3" t="s">
        <v>3</v>
      </c>
      <c r="F16780" s="4">
        <v>6.4800000000000005E-51</v>
      </c>
      <c r="G16780" s="3">
        <v>438</v>
      </c>
      <c r="H16780" s="3">
        <v>75</v>
      </c>
      <c r="I16780" s="3">
        <v>126</v>
      </c>
      <c r="J16780" s="3">
        <v>3</v>
      </c>
      <c r="K16780" s="3">
        <v>380</v>
      </c>
      <c r="L16780" s="3">
        <v>149</v>
      </c>
      <c r="M16780" s="3">
        <v>274</v>
      </c>
    </row>
    <row r="16781" spans="1:13" x14ac:dyDescent="0.25">
      <c r="A16781" s="1" t="str">
        <f>HYPERLINK("http://www.rosaceae.org/Prunus/Prunus_persica/p.persica_gdr_reftransV1_0003407","p.persica_gdr_reftransV1_0003407")</f>
        <v>p.persica_gdr_reftransV1_0003407</v>
      </c>
      <c r="B16781" s="3">
        <v>4601</v>
      </c>
      <c r="C16781" s="1" t="str">
        <f>HYPERLINK("http://www.uniprot.org/uniprot/GP210_ARATH","GP210_ARATH")</f>
        <v>GP210_ARATH</v>
      </c>
      <c r="D16781" t="s">
        <v>2756</v>
      </c>
      <c r="E16781" s="3" t="s">
        <v>3</v>
      </c>
      <c r="F16781" s="4">
        <v>0</v>
      </c>
      <c r="G16781" s="3">
        <v>3850</v>
      </c>
      <c r="H16781" s="3">
        <v>54</v>
      </c>
      <c r="I16781" s="3">
        <v>1445</v>
      </c>
      <c r="J16781" s="3">
        <v>1</v>
      </c>
      <c r="K16781" s="3">
        <v>4329</v>
      </c>
      <c r="L16781" s="3">
        <v>522</v>
      </c>
      <c r="M16781" s="3">
        <v>1923</v>
      </c>
    </row>
    <row r="16782" spans="1:13" x14ac:dyDescent="0.25">
      <c r="A16782" s="1" t="str">
        <f>HYPERLINK("http://www.rosaceae.org/Prunus/Prunus_persica/p.persica_gdr_reftransV1_0003457","p.persica_gdr_reftransV1_0003457")</f>
        <v>p.persica_gdr_reftransV1_0003457</v>
      </c>
      <c r="B16782" s="3">
        <v>1555</v>
      </c>
      <c r="C16782" s="1" t="str">
        <f>HYPERLINK("http://www.uniprot.org/uniprot/LOX15_SOLTU","LOX15_SOLTU")</f>
        <v>LOX15_SOLTU</v>
      </c>
      <c r="D16782" t="s">
        <v>2422</v>
      </c>
      <c r="E16782" s="3" t="s">
        <v>11</v>
      </c>
      <c r="F16782" s="4">
        <v>0</v>
      </c>
      <c r="G16782" s="3">
        <v>1576</v>
      </c>
      <c r="H16782" s="3">
        <v>68</v>
      </c>
      <c r="I16782" s="3">
        <v>452</v>
      </c>
      <c r="J16782" s="3">
        <v>201</v>
      </c>
      <c r="K16782" s="3">
        <v>1553</v>
      </c>
      <c r="L16782" s="3">
        <v>2</v>
      </c>
      <c r="M16782" s="3">
        <v>451</v>
      </c>
    </row>
    <row r="16783" spans="1:13" x14ac:dyDescent="0.25">
      <c r="A16783" s="1" t="str">
        <f>HYPERLINK("http://www.rosaceae.org/Prunus/Prunus_persica/p.persica_gdr_reftransV1_0003657","p.persica_gdr_reftransV1_0003657")</f>
        <v>p.persica_gdr_reftransV1_0003657</v>
      </c>
      <c r="B16783" s="3">
        <v>1823</v>
      </c>
      <c r="C16783" s="1" t="str">
        <f>HYPERLINK("http://www.uniprot.org/uniprot/GSHB_BRAJU","GSHB_BRAJU")</f>
        <v>GSHB_BRAJU</v>
      </c>
      <c r="D16783" t="s">
        <v>7030</v>
      </c>
      <c r="E16783" s="3" t="s">
        <v>7031</v>
      </c>
      <c r="F16783" s="4">
        <v>3.93E-137</v>
      </c>
      <c r="G16783" s="3">
        <v>1072</v>
      </c>
      <c r="H16783" s="3">
        <v>66</v>
      </c>
      <c r="I16783" s="3">
        <v>310</v>
      </c>
      <c r="J16783" s="3">
        <v>739</v>
      </c>
      <c r="K16783" s="3">
        <v>1668</v>
      </c>
      <c r="L16783" s="3">
        <v>25</v>
      </c>
      <c r="M16783" s="3">
        <v>323</v>
      </c>
    </row>
    <row r="16784" spans="1:13" x14ac:dyDescent="0.25">
      <c r="A16784" s="1" t="str">
        <f>HYPERLINK("http://www.rosaceae.org/Prunus/Prunus_persica/p.persica_gdr_reftransV1_0003707","p.persica_gdr_reftransV1_0003707")</f>
        <v>p.persica_gdr_reftransV1_0003707</v>
      </c>
      <c r="B16784" s="3">
        <v>1674</v>
      </c>
      <c r="C16784" s="1" t="str">
        <f>HYPERLINK("http://www.uniprot.org/uniprot/BH014_ARATH","BH014_ARATH")</f>
        <v>BH014_ARATH</v>
      </c>
      <c r="D16784" t="s">
        <v>1168</v>
      </c>
      <c r="E16784" s="3" t="s">
        <v>3</v>
      </c>
      <c r="F16784" s="4">
        <v>9.5500000000000006E-54</v>
      </c>
      <c r="G16784" s="3">
        <v>491</v>
      </c>
      <c r="H16784" s="3">
        <v>32</v>
      </c>
      <c r="I16784" s="3">
        <v>478</v>
      </c>
      <c r="J16784" s="3">
        <v>120</v>
      </c>
      <c r="K16784" s="3">
        <v>1541</v>
      </c>
      <c r="L16784" s="3">
        <v>27</v>
      </c>
      <c r="M16784" s="3">
        <v>420</v>
      </c>
    </row>
    <row r="16785" spans="1:13" x14ac:dyDescent="0.25">
      <c r="A16785" s="1" t="str">
        <f>HYPERLINK("http://www.rosaceae.org/Prunus/Prunus_persica/p.persica_gdr_reftransV1_0003907","p.persica_gdr_reftransV1_0003907")</f>
        <v>p.persica_gdr_reftransV1_0003907</v>
      </c>
      <c r="B16785" s="3">
        <v>1282</v>
      </c>
      <c r="C16785" s="1" t="str">
        <f>HYPERLINK("http://www.uniprot.org/uniprot/MY108_ARATH","MY108_ARATH")</f>
        <v>MY108_ARATH</v>
      </c>
      <c r="D16785" t="s">
        <v>8582</v>
      </c>
      <c r="E16785" s="3" t="s">
        <v>3</v>
      </c>
      <c r="F16785" s="4">
        <v>1.6400000000000001E-57</v>
      </c>
      <c r="G16785" s="3">
        <v>502</v>
      </c>
      <c r="H16785" s="3">
        <v>71</v>
      </c>
      <c r="I16785" s="3">
        <v>133</v>
      </c>
      <c r="J16785" s="3">
        <v>777</v>
      </c>
      <c r="K16785" s="3">
        <v>1175</v>
      </c>
      <c r="L16785" s="3">
        <v>19</v>
      </c>
      <c r="M16785" s="3">
        <v>151</v>
      </c>
    </row>
    <row r="16786" spans="1:13" x14ac:dyDescent="0.25">
      <c r="A16786" s="1" t="str">
        <f>HYPERLINK("http://www.rosaceae.org/Prunus/Prunus_persica/p.persica_gdr_reftransV1_0003957","p.persica_gdr_reftransV1_0003957")</f>
        <v>p.persica_gdr_reftransV1_0003957</v>
      </c>
      <c r="B16786" s="3">
        <v>1738</v>
      </c>
      <c r="C16786" s="1" t="str">
        <f>HYPERLINK("http://www.uniprot.org/uniprot/PAE5_ARATH","PAE5_ARATH")</f>
        <v>PAE5_ARATH</v>
      </c>
      <c r="D16786" t="s">
        <v>5217</v>
      </c>
      <c r="E16786" s="3" t="s">
        <v>3</v>
      </c>
      <c r="F16786" s="4">
        <v>0</v>
      </c>
      <c r="G16786" s="3">
        <v>1464</v>
      </c>
      <c r="H16786" s="3">
        <v>63</v>
      </c>
      <c r="I16786" s="3">
        <v>414</v>
      </c>
      <c r="J16786" s="3">
        <v>315</v>
      </c>
      <c r="K16786" s="3">
        <v>1553</v>
      </c>
      <c r="L16786" s="3">
        <v>16</v>
      </c>
      <c r="M16786" s="3">
        <v>427</v>
      </c>
    </row>
    <row r="16787" spans="1:13" x14ac:dyDescent="0.25">
      <c r="A16787" s="1" t="str">
        <f>HYPERLINK("http://www.rosaceae.org/Prunus/Prunus_persica/p.persica_gdr_reftransV1_0004057","p.persica_gdr_reftransV1_0004057")</f>
        <v>p.persica_gdr_reftransV1_0004057</v>
      </c>
      <c r="B16787" s="3">
        <v>855</v>
      </c>
      <c r="C16787" s="1" t="str">
        <f>HYPERLINK("http://www.uniprot.org/uniprot/NRPB4_ARATH","NRPB4_ARATH")</f>
        <v>NRPB4_ARATH</v>
      </c>
      <c r="D16787" t="s">
        <v>10250</v>
      </c>
      <c r="E16787" s="3" t="s">
        <v>3</v>
      </c>
      <c r="F16787" s="4">
        <v>7.6199999999999996E-86</v>
      </c>
      <c r="G16787" s="3">
        <v>663</v>
      </c>
      <c r="H16787" s="3">
        <v>88</v>
      </c>
      <c r="I16787" s="3">
        <v>138</v>
      </c>
      <c r="J16787" s="3">
        <v>168</v>
      </c>
      <c r="K16787" s="3">
        <v>581</v>
      </c>
      <c r="L16787" s="3">
        <v>1</v>
      </c>
      <c r="M16787" s="3">
        <v>138</v>
      </c>
    </row>
    <row r="16788" spans="1:13" x14ac:dyDescent="0.25">
      <c r="A16788" s="1" t="str">
        <f>HYPERLINK("http://www.rosaceae.org/Prunus/Prunus_persica/p.persica_gdr_reftransV1_0004207","p.persica_gdr_reftransV1_0004207")</f>
        <v>p.persica_gdr_reftransV1_0004207</v>
      </c>
      <c r="B16788" s="3">
        <v>2899</v>
      </c>
      <c r="C16788" s="1" t="str">
        <f>HYPERLINK("http://www.uniprot.org/uniprot/TA15B_ARATH","TA15B_ARATH")</f>
        <v>TA15B_ARATH</v>
      </c>
      <c r="D16788" t="s">
        <v>6580</v>
      </c>
      <c r="E16788" s="3" t="s">
        <v>3</v>
      </c>
      <c r="F16788" s="4">
        <v>3.6399999999999997E-52</v>
      </c>
      <c r="G16788" s="3">
        <v>491</v>
      </c>
      <c r="H16788" s="3">
        <v>73</v>
      </c>
      <c r="I16788" s="3">
        <v>161</v>
      </c>
      <c r="J16788" s="3">
        <v>1036</v>
      </c>
      <c r="K16788" s="3">
        <v>1494</v>
      </c>
      <c r="L16788" s="3">
        <v>262</v>
      </c>
      <c r="M16788" s="3">
        <v>422</v>
      </c>
    </row>
    <row r="16789" spans="1:13" x14ac:dyDescent="0.25">
      <c r="A16789" s="1" t="str">
        <f>HYPERLINK("http://www.rosaceae.org/Prunus/Prunus_persica/p.persica_gdr_reftransV1_0004307","p.persica_gdr_reftransV1_0004307")</f>
        <v>p.persica_gdr_reftransV1_0004307</v>
      </c>
      <c r="B16789" s="3">
        <v>2433</v>
      </c>
      <c r="C16789" s="1" t="str">
        <f>HYPERLINK("http://www.uniprot.org/uniprot/KIFC3_HUMAN","KIFC3_HUMAN")</f>
        <v>KIFC3_HUMAN</v>
      </c>
      <c r="D16789" t="s">
        <v>6221</v>
      </c>
      <c r="E16789" s="3" t="s">
        <v>28</v>
      </c>
      <c r="F16789" s="4">
        <v>2.2200000000000001E-63</v>
      </c>
      <c r="G16789" s="3">
        <v>344</v>
      </c>
      <c r="H16789" s="3">
        <v>39</v>
      </c>
      <c r="I16789" s="3">
        <v>220</v>
      </c>
      <c r="J16789" s="3">
        <v>477</v>
      </c>
      <c r="K16789" s="3">
        <v>1118</v>
      </c>
      <c r="L16789" s="3">
        <v>444</v>
      </c>
      <c r="M16789" s="3">
        <v>656</v>
      </c>
    </row>
    <row r="16790" spans="1:13" x14ac:dyDescent="0.25">
      <c r="A16790" s="1" t="str">
        <f>HYPERLINK("http://www.rosaceae.org/Prunus/Prunus_persica/p.persica_gdr_reftransV1_0004357","p.persica_gdr_reftransV1_0004357")</f>
        <v>p.persica_gdr_reftransV1_0004357</v>
      </c>
      <c r="B16790" s="3">
        <v>2829</v>
      </c>
      <c r="C16790" s="1" t="str">
        <f>HYPERLINK("http://www.uniprot.org/uniprot/MYC2_ARATH","MYC2_ARATH")</f>
        <v>MYC2_ARATH</v>
      </c>
      <c r="D16790" t="s">
        <v>2937</v>
      </c>
      <c r="E16790" s="3" t="s">
        <v>3</v>
      </c>
      <c r="F16790" s="4">
        <v>5.3300000000000001E-180</v>
      </c>
      <c r="G16790" s="3">
        <v>1397</v>
      </c>
      <c r="H16790" s="3">
        <v>54</v>
      </c>
      <c r="I16790" s="3">
        <v>695</v>
      </c>
      <c r="J16790" s="3">
        <v>497</v>
      </c>
      <c r="K16790" s="3">
        <v>2548</v>
      </c>
      <c r="L16790" s="3">
        <v>1</v>
      </c>
      <c r="M16790" s="3">
        <v>623</v>
      </c>
    </row>
    <row r="16791" spans="1:13" x14ac:dyDescent="0.25">
      <c r="A16791" s="1" t="str">
        <f>HYPERLINK("http://www.rosaceae.org/Prunus/Prunus_persica/p.persica_gdr_reftransV1_0004457","p.persica_gdr_reftransV1_0004457")</f>
        <v>p.persica_gdr_reftransV1_0004457</v>
      </c>
      <c r="B16791" s="3">
        <v>385</v>
      </c>
      <c r="C16791" s="1" t="str">
        <f>HYPERLINK("http://www.uniprot.org/uniprot/PP185_ARATH","PP185_ARATH")</f>
        <v>PP185_ARATH</v>
      </c>
      <c r="D16791" t="s">
        <v>1574</v>
      </c>
      <c r="E16791" s="3" t="s">
        <v>3</v>
      </c>
      <c r="F16791" s="4">
        <v>2.18E-35</v>
      </c>
      <c r="G16791" s="3">
        <v>332</v>
      </c>
      <c r="H16791" s="3">
        <v>44</v>
      </c>
      <c r="I16791" s="3">
        <v>141</v>
      </c>
      <c r="J16791" s="3">
        <v>1</v>
      </c>
      <c r="K16791" s="3">
        <v>381</v>
      </c>
      <c r="L16791" s="3">
        <v>143</v>
      </c>
      <c r="M16791" s="3">
        <v>283</v>
      </c>
    </row>
    <row r="16792" spans="1:13" x14ac:dyDescent="0.25">
      <c r="A16792" s="1" t="str">
        <f>HYPERLINK("http://www.rosaceae.org/Prunus/Prunus_persica/p.persica_gdr_reftransV1_0004507","p.persica_gdr_reftransV1_0004507")</f>
        <v>p.persica_gdr_reftransV1_0004507</v>
      </c>
      <c r="B16792" s="3">
        <v>2209</v>
      </c>
      <c r="C16792" s="1" t="str">
        <f>HYPERLINK("http://www.uniprot.org/uniprot/POLG_MRFVC","POLG_MRFVC")</f>
        <v>POLG_MRFVC</v>
      </c>
      <c r="D16792" t="s">
        <v>5878</v>
      </c>
      <c r="E16792" s="3" t="s">
        <v>5879</v>
      </c>
      <c r="F16792" s="4">
        <v>0</v>
      </c>
      <c r="G16792" s="3">
        <v>1706</v>
      </c>
      <c r="H16792" s="3">
        <v>61</v>
      </c>
      <c r="I16792" s="3">
        <v>536</v>
      </c>
      <c r="J16792" s="3">
        <v>337</v>
      </c>
      <c r="K16792" s="3">
        <v>1938</v>
      </c>
      <c r="L16792" s="3">
        <v>1210</v>
      </c>
      <c r="M16792" s="3">
        <v>1745</v>
      </c>
    </row>
    <row r="16793" spans="1:13" x14ac:dyDescent="0.25">
      <c r="A16793" s="1" t="str">
        <f>HYPERLINK("http://www.rosaceae.org/Prunus/Prunus_persica/p.persica_gdr_reftransV1_0004557","p.persica_gdr_reftransV1_0004557")</f>
        <v>p.persica_gdr_reftransV1_0004557</v>
      </c>
      <c r="B16793" s="3">
        <v>1048</v>
      </c>
      <c r="C16793" s="1" t="str">
        <f>HYPERLINK("http://www.uniprot.org/uniprot/Y4869_ORYSJ","Y4869_ORYSJ")</f>
        <v>Y4869_ORYSJ</v>
      </c>
      <c r="D16793" t="s">
        <v>5093</v>
      </c>
      <c r="E16793" s="3" t="s">
        <v>38</v>
      </c>
      <c r="F16793" s="4">
        <v>6.5799999999999994E-27</v>
      </c>
      <c r="G16793" s="3">
        <v>275</v>
      </c>
      <c r="H16793" s="3">
        <v>40</v>
      </c>
      <c r="I16793" s="3">
        <v>127</v>
      </c>
      <c r="J16793" s="3">
        <v>257</v>
      </c>
      <c r="K16793" s="3">
        <v>625</v>
      </c>
      <c r="L16793" s="3">
        <v>86</v>
      </c>
      <c r="M16793" s="3">
        <v>212</v>
      </c>
    </row>
    <row r="16794" spans="1:13" x14ac:dyDescent="0.25">
      <c r="A16794" s="1" t="str">
        <f>HYPERLINK("http://www.rosaceae.org/Prunus/Prunus_persica/p.persica_gdr_reftransV1_0004607","p.persica_gdr_reftransV1_0004607")</f>
        <v>p.persica_gdr_reftransV1_0004607</v>
      </c>
      <c r="B16794" s="3">
        <v>2744</v>
      </c>
      <c r="C16794" s="1" t="str">
        <f>HYPERLINK("http://www.uniprot.org/uniprot/IBR3_ARATH","IBR3_ARATH")</f>
        <v>IBR3_ARATH</v>
      </c>
      <c r="D16794" t="s">
        <v>7770</v>
      </c>
      <c r="E16794" s="3" t="s">
        <v>3</v>
      </c>
      <c r="F16794" s="4">
        <v>0</v>
      </c>
      <c r="G16794" s="3">
        <v>1649</v>
      </c>
      <c r="H16794" s="3">
        <v>69</v>
      </c>
      <c r="I16794" s="3">
        <v>453</v>
      </c>
      <c r="J16794" s="3">
        <v>81</v>
      </c>
      <c r="K16794" s="3">
        <v>1430</v>
      </c>
      <c r="L16794" s="3">
        <v>13</v>
      </c>
      <c r="M16794" s="3">
        <v>462</v>
      </c>
    </row>
    <row r="16795" spans="1:13" x14ac:dyDescent="0.25">
      <c r="A16795" s="1" t="str">
        <f>HYPERLINK("http://www.rosaceae.org/Prunus/Prunus_persica/p.persica_gdr_reftransV1_0004757","p.persica_gdr_reftransV1_0004757")</f>
        <v>p.persica_gdr_reftransV1_0004757</v>
      </c>
      <c r="B16795" s="3">
        <v>2755</v>
      </c>
      <c r="C16795" s="1" t="str">
        <f>HYPERLINK("http://www.uniprot.org/uniprot/LIPN_MOUSE","LIPN_MOUSE")</f>
        <v>LIPN_MOUSE</v>
      </c>
      <c r="D16795" t="s">
        <v>1381</v>
      </c>
      <c r="E16795" s="3" t="s">
        <v>157</v>
      </c>
      <c r="F16795" s="4">
        <v>4.35E-21</v>
      </c>
      <c r="G16795" s="3">
        <v>249</v>
      </c>
      <c r="H16795" s="3">
        <v>25</v>
      </c>
      <c r="I16795" s="3">
        <v>403</v>
      </c>
      <c r="J16795" s="3">
        <v>554</v>
      </c>
      <c r="K16795" s="3">
        <v>1693</v>
      </c>
      <c r="L16795" s="3">
        <v>26</v>
      </c>
      <c r="M16795" s="3">
        <v>356</v>
      </c>
    </row>
    <row r="16796" spans="1:13" x14ac:dyDescent="0.25">
      <c r="A16796" s="1" t="str">
        <f>HYPERLINK("http://www.rosaceae.org/Prunus/Prunus_persica/p.persica_gdr_reftransV1_0004807","p.persica_gdr_reftransV1_0004807")</f>
        <v>p.persica_gdr_reftransV1_0004807</v>
      </c>
      <c r="B16796" s="3">
        <v>368</v>
      </c>
      <c r="C16796" s="1" t="str">
        <f>HYPERLINK("http://www.uniprot.org/uniprot/LSH4_ARATH","LSH4_ARATH")</f>
        <v>LSH4_ARATH</v>
      </c>
      <c r="D16796" t="s">
        <v>8712</v>
      </c>
      <c r="E16796" s="3" t="s">
        <v>3</v>
      </c>
      <c r="F16796" s="4">
        <v>4.0300000000000003E-40</v>
      </c>
      <c r="G16796" s="3">
        <v>348</v>
      </c>
      <c r="H16796" s="3">
        <v>97</v>
      </c>
      <c r="I16796" s="3">
        <v>86</v>
      </c>
      <c r="J16796" s="3">
        <v>2</v>
      </c>
      <c r="K16796" s="3">
        <v>259</v>
      </c>
      <c r="L16796" s="3">
        <v>46</v>
      </c>
      <c r="M16796" s="3">
        <v>131</v>
      </c>
    </row>
    <row r="16797" spans="1:13" x14ac:dyDescent="0.25">
      <c r="A16797" s="1" t="str">
        <f>HYPERLINK("http://www.rosaceae.org/Prunus/Prunus_persica/p.persica_gdr_reftransV1_0005057","p.persica_gdr_reftransV1_0005057")</f>
        <v>p.persica_gdr_reftransV1_0005057</v>
      </c>
      <c r="B16797" s="3">
        <v>1499</v>
      </c>
      <c r="C16797" s="1" t="str">
        <f>HYPERLINK("http://www.uniprot.org/uniprot/ENOX_FRAVE","ENOX_FRAVE")</f>
        <v>ENOX_FRAVE</v>
      </c>
      <c r="D16797" t="s">
        <v>4745</v>
      </c>
      <c r="E16797" s="3" t="s">
        <v>1166</v>
      </c>
      <c r="F16797" s="4">
        <v>4.0699999999999999E-163</v>
      </c>
      <c r="G16797" s="3">
        <v>1214</v>
      </c>
      <c r="H16797" s="3">
        <v>85</v>
      </c>
      <c r="I16797" s="3">
        <v>322</v>
      </c>
      <c r="J16797" s="3">
        <v>316</v>
      </c>
      <c r="K16797" s="3">
        <v>1281</v>
      </c>
      <c r="L16797" s="3">
        <v>1</v>
      </c>
      <c r="M16797" s="3">
        <v>322</v>
      </c>
    </row>
    <row r="16798" spans="1:13" x14ac:dyDescent="0.25">
      <c r="A16798" s="1" t="str">
        <f>HYPERLINK("http://www.rosaceae.org/Prunus/Prunus_persica/p.persica_gdr_reftransV1_0005157","p.persica_gdr_reftransV1_0005157")</f>
        <v>p.persica_gdr_reftransV1_0005157</v>
      </c>
      <c r="B16798" s="3">
        <v>3611</v>
      </c>
      <c r="C16798" s="1" t="str">
        <f>HYPERLINK("http://www.uniprot.org/uniprot/TPS7_ARATH","TPS7_ARATH")</f>
        <v>TPS7_ARATH</v>
      </c>
      <c r="D16798" t="s">
        <v>3928</v>
      </c>
      <c r="E16798" s="3" t="s">
        <v>3</v>
      </c>
      <c r="F16798" s="4">
        <v>0</v>
      </c>
      <c r="G16798" s="3">
        <v>3566</v>
      </c>
      <c r="H16798" s="3">
        <v>77</v>
      </c>
      <c r="I16798" s="3">
        <v>843</v>
      </c>
      <c r="J16798" s="3">
        <v>733</v>
      </c>
      <c r="K16798" s="3">
        <v>3261</v>
      </c>
      <c r="L16798" s="3">
        <v>1</v>
      </c>
      <c r="M16798" s="3">
        <v>839</v>
      </c>
    </row>
    <row r="16799" spans="1:13" x14ac:dyDescent="0.25">
      <c r="A16799" s="1" t="str">
        <f>HYPERLINK("http://www.rosaceae.org/Prunus/Prunus_persica/p.persica_gdr_reftransV1_0005207","p.persica_gdr_reftransV1_0005207")</f>
        <v>p.persica_gdr_reftransV1_0005207</v>
      </c>
      <c r="B16799" s="3">
        <v>2047</v>
      </c>
      <c r="C16799" s="1" t="str">
        <f>HYPERLINK("http://www.uniprot.org/uniprot/CERK_ARATH","CERK_ARATH")</f>
        <v>CERK_ARATH</v>
      </c>
      <c r="D16799" t="s">
        <v>8632</v>
      </c>
      <c r="E16799" s="3" t="s">
        <v>3</v>
      </c>
      <c r="F16799" s="4">
        <v>0</v>
      </c>
      <c r="G16799" s="3">
        <v>1697</v>
      </c>
      <c r="H16799" s="3">
        <v>57</v>
      </c>
      <c r="I16799" s="3">
        <v>597</v>
      </c>
      <c r="J16799" s="3">
        <v>229</v>
      </c>
      <c r="K16799" s="3">
        <v>1911</v>
      </c>
      <c r="L16799" s="3">
        <v>22</v>
      </c>
      <c r="M16799" s="3">
        <v>608</v>
      </c>
    </row>
    <row r="16800" spans="1:13" x14ac:dyDescent="0.25">
      <c r="A16800" s="1" t="str">
        <f>HYPERLINK("http://www.rosaceae.org/Prunus/Prunus_persica/p.persica_gdr_reftransV1_0005257","p.persica_gdr_reftransV1_0005257")</f>
        <v>p.persica_gdr_reftransV1_0005257</v>
      </c>
      <c r="B16800" s="3">
        <v>2155</v>
      </c>
      <c r="C16800" s="1" t="str">
        <f>HYPERLINK("http://www.uniprot.org/uniprot/TOP6B_ARATH","TOP6B_ARATH")</f>
        <v>TOP6B_ARATH</v>
      </c>
      <c r="D16800" t="s">
        <v>9099</v>
      </c>
      <c r="E16800" s="3" t="s">
        <v>3</v>
      </c>
      <c r="F16800" s="4">
        <v>0</v>
      </c>
      <c r="G16800" s="3">
        <v>2200</v>
      </c>
      <c r="H16800" s="3">
        <v>78</v>
      </c>
      <c r="I16800" s="3">
        <v>514</v>
      </c>
      <c r="J16800" s="3">
        <v>531</v>
      </c>
      <c r="K16800" s="3">
        <v>2072</v>
      </c>
      <c r="L16800" s="3">
        <v>174</v>
      </c>
      <c r="M16800" s="3">
        <v>669</v>
      </c>
    </row>
    <row r="16801" spans="1:13" x14ac:dyDescent="0.25">
      <c r="A16801" s="1" t="str">
        <f>HYPERLINK("http://www.rosaceae.org/Prunus/Prunus_persica/p.persica_gdr_reftransV1_0005407","p.persica_gdr_reftransV1_0005407")</f>
        <v>p.persica_gdr_reftransV1_0005407</v>
      </c>
      <c r="B16801" s="3">
        <v>421</v>
      </c>
      <c r="C16801" s="1" t="str">
        <f>HYPERLINK("http://www.uniprot.org/uniprot/PXL2_ARATH","PXL2_ARATH")</f>
        <v>PXL2_ARATH</v>
      </c>
      <c r="D16801" t="s">
        <v>6532</v>
      </c>
      <c r="E16801" s="3" t="s">
        <v>3</v>
      </c>
      <c r="F16801" s="4">
        <v>2.2500000000000001E-59</v>
      </c>
      <c r="G16801" s="3">
        <v>514</v>
      </c>
      <c r="H16801" s="3">
        <v>79</v>
      </c>
      <c r="I16801" s="3">
        <v>139</v>
      </c>
      <c r="J16801" s="3">
        <v>4</v>
      </c>
      <c r="K16801" s="3">
        <v>420</v>
      </c>
      <c r="L16801" s="3">
        <v>296</v>
      </c>
      <c r="M16801" s="3">
        <v>434</v>
      </c>
    </row>
    <row r="16802" spans="1:13" x14ac:dyDescent="0.25">
      <c r="A16802" s="1" t="str">
        <f>HYPERLINK("http://www.rosaceae.org/Prunus/Prunus_persica/p.persica_gdr_reftransV1_0005457","p.persica_gdr_reftransV1_0005457")</f>
        <v>p.persica_gdr_reftransV1_0005457</v>
      </c>
      <c r="B16802" s="3">
        <v>2090</v>
      </c>
      <c r="C16802" s="1" t="str">
        <f>HYPERLINK("http://www.uniprot.org/uniprot/LPCT2_ARATH","LPCT2_ARATH")</f>
        <v>LPCT2_ARATH</v>
      </c>
      <c r="D16802" t="s">
        <v>1106</v>
      </c>
      <c r="E16802" s="3" t="s">
        <v>3</v>
      </c>
      <c r="F16802" s="4">
        <v>0</v>
      </c>
      <c r="G16802" s="3">
        <v>1061</v>
      </c>
      <c r="H16802" s="3">
        <v>71</v>
      </c>
      <c r="I16802" s="3">
        <v>290</v>
      </c>
      <c r="J16802" s="3">
        <v>1142</v>
      </c>
      <c r="K16802" s="3">
        <v>1996</v>
      </c>
      <c r="L16802" s="3">
        <v>1</v>
      </c>
      <c r="M16802" s="3">
        <v>290</v>
      </c>
    </row>
    <row r="16803" spans="1:13" x14ac:dyDescent="0.25">
      <c r="A16803" s="1" t="str">
        <f>HYPERLINK("http://www.rosaceae.org/Prunus/Prunus_persica/p.persica_gdr_reftransV1_0005507","p.persica_gdr_reftransV1_0005507")</f>
        <v>p.persica_gdr_reftransV1_0005507</v>
      </c>
      <c r="B16803" s="3">
        <v>4064</v>
      </c>
      <c r="C16803" s="1" t="str">
        <f>HYPERLINK("http://www.uniprot.org/uniprot/GWD1_CITRE","GWD1_CITRE")</f>
        <v>GWD1_CITRE</v>
      </c>
      <c r="D16803" t="s">
        <v>4807</v>
      </c>
      <c r="E16803" s="3" t="s">
        <v>4808</v>
      </c>
      <c r="F16803" s="4">
        <v>0</v>
      </c>
      <c r="G16803" s="3">
        <v>4641</v>
      </c>
      <c r="H16803" s="3">
        <v>74</v>
      </c>
      <c r="I16803" s="3">
        <v>1274</v>
      </c>
      <c r="J16803" s="3">
        <v>287</v>
      </c>
      <c r="K16803" s="3">
        <v>4063</v>
      </c>
      <c r="L16803" s="3">
        <v>1</v>
      </c>
      <c r="M16803" s="3">
        <v>1267</v>
      </c>
    </row>
    <row r="16804" spans="1:13" x14ac:dyDescent="0.25">
      <c r="A16804" s="1" t="str">
        <f>HYPERLINK("http://www.rosaceae.org/Prunus/Prunus_persica/p.persica_gdr_reftransV1_0005607","p.persica_gdr_reftransV1_0005607")</f>
        <v>p.persica_gdr_reftransV1_0005607</v>
      </c>
      <c r="B16804" s="3">
        <v>949</v>
      </c>
      <c r="C16804" s="1" t="str">
        <f>HYPERLINK("http://www.uniprot.org/uniprot/RP8L2_ARATH","RP8L2_ARATH")</f>
        <v>RP8L2_ARATH</v>
      </c>
      <c r="D16804" t="s">
        <v>1701</v>
      </c>
      <c r="E16804" s="3" t="s">
        <v>3</v>
      </c>
      <c r="F16804" s="4">
        <v>1.7599999999999999E-11</v>
      </c>
      <c r="G16804" s="3">
        <v>166</v>
      </c>
      <c r="H16804" s="3">
        <v>39</v>
      </c>
      <c r="I16804" s="3">
        <v>115</v>
      </c>
      <c r="J16804" s="3">
        <v>183</v>
      </c>
      <c r="K16804" s="3">
        <v>524</v>
      </c>
      <c r="L16804" s="3">
        <v>758</v>
      </c>
      <c r="M16804" s="3">
        <v>872</v>
      </c>
    </row>
    <row r="16805" spans="1:13" x14ac:dyDescent="0.25">
      <c r="A16805" s="1" t="str">
        <f>HYPERLINK("http://www.rosaceae.org/Prunus/Prunus_persica/p.persica_gdr_reftransV1_0005707","p.persica_gdr_reftransV1_0005707")</f>
        <v>p.persica_gdr_reftransV1_0005707</v>
      </c>
      <c r="B16805" s="3">
        <v>636</v>
      </c>
      <c r="C16805" s="1" t="str">
        <f>HYPERLINK("http://www.uniprot.org/uniprot/YUC5_ARATH","YUC5_ARATH")</f>
        <v>YUC5_ARATH</v>
      </c>
      <c r="D16805" t="s">
        <v>10461</v>
      </c>
      <c r="E16805" s="3" t="s">
        <v>3</v>
      </c>
      <c r="F16805" s="4">
        <v>8.8699999999999999E-49</v>
      </c>
      <c r="G16805" s="3">
        <v>431</v>
      </c>
      <c r="H16805" s="3">
        <v>73</v>
      </c>
      <c r="I16805" s="3">
        <v>107</v>
      </c>
      <c r="J16805" s="3">
        <v>2</v>
      </c>
      <c r="K16805" s="3">
        <v>322</v>
      </c>
      <c r="L16805" s="3">
        <v>316</v>
      </c>
      <c r="M16805" s="3">
        <v>422</v>
      </c>
    </row>
    <row r="16806" spans="1:13" x14ac:dyDescent="0.25">
      <c r="A16806" s="1" t="str">
        <f>HYPERLINK("http://www.rosaceae.org/Prunus/Prunus_persica/p.persica_gdr_reftransV1_0005757","p.persica_gdr_reftransV1_0005757")</f>
        <v>p.persica_gdr_reftransV1_0005757</v>
      </c>
      <c r="B16806" s="3">
        <v>814</v>
      </c>
      <c r="C16806" s="1" t="str">
        <f>HYPERLINK("http://www.uniprot.org/uniprot/PR04_SOLLC","PR04_SOLLC")</f>
        <v>PR04_SOLLC</v>
      </c>
      <c r="D16806" t="s">
        <v>10462</v>
      </c>
      <c r="E16806" s="3" t="s">
        <v>64</v>
      </c>
      <c r="F16806" s="4">
        <v>1.42E-70</v>
      </c>
      <c r="G16806" s="3">
        <v>562</v>
      </c>
      <c r="H16806" s="3">
        <v>65</v>
      </c>
      <c r="I16806" s="3">
        <v>161</v>
      </c>
      <c r="J16806" s="3">
        <v>292</v>
      </c>
      <c r="K16806" s="3">
        <v>774</v>
      </c>
      <c r="L16806" s="3">
        <v>1</v>
      </c>
      <c r="M16806" s="3">
        <v>159</v>
      </c>
    </row>
    <row r="16807" spans="1:13" x14ac:dyDescent="0.25">
      <c r="A16807" s="1" t="str">
        <f>HYPERLINK("http://www.rosaceae.org/Prunus/Prunus_persica/p.persica_gdr_reftransV1_0005907","p.persica_gdr_reftransV1_0005907")</f>
        <v>p.persica_gdr_reftransV1_0005907</v>
      </c>
      <c r="B16807" s="3">
        <v>1603</v>
      </c>
      <c r="C16807" s="1" t="str">
        <f>HYPERLINK("http://www.uniprot.org/uniprot/KCS17_ARATH","KCS17_ARATH")</f>
        <v>KCS17_ARATH</v>
      </c>
      <c r="D16807" t="s">
        <v>10463</v>
      </c>
      <c r="E16807" s="3" t="s">
        <v>3</v>
      </c>
      <c r="F16807" s="4">
        <v>0</v>
      </c>
      <c r="G16807" s="3">
        <v>1983</v>
      </c>
      <c r="H16807" s="3">
        <v>80</v>
      </c>
      <c r="I16807" s="3">
        <v>479</v>
      </c>
      <c r="J16807" s="3">
        <v>6</v>
      </c>
      <c r="K16807" s="3">
        <v>1433</v>
      </c>
      <c r="L16807" s="3">
        <v>20</v>
      </c>
      <c r="M16807" s="3">
        <v>497</v>
      </c>
    </row>
    <row r="16808" spans="1:13" x14ac:dyDescent="0.25">
      <c r="A16808" s="1" t="str">
        <f>HYPERLINK("http://www.rosaceae.org/Prunus/Prunus_persica/p.persica_gdr_reftransV1_0006107","p.persica_gdr_reftransV1_0006107")</f>
        <v>p.persica_gdr_reftransV1_0006107</v>
      </c>
      <c r="B16808" s="3">
        <v>5053</v>
      </c>
      <c r="C16808" s="1" t="str">
        <f>HYPERLINK("http://www.uniprot.org/uniprot/PNAA_PRUDU","PNAA_PRUDU")</f>
        <v>PNAA_PRUDU</v>
      </c>
      <c r="D16808" t="s">
        <v>7226</v>
      </c>
      <c r="E16808" s="3" t="s">
        <v>418</v>
      </c>
      <c r="F16808" s="4">
        <v>2.2799999999999999E-132</v>
      </c>
      <c r="G16808" s="3">
        <v>1106</v>
      </c>
      <c r="H16808" s="3">
        <v>44</v>
      </c>
      <c r="I16808" s="3">
        <v>541</v>
      </c>
      <c r="J16808" s="3">
        <v>285</v>
      </c>
      <c r="K16808" s="3">
        <v>1895</v>
      </c>
      <c r="L16808" s="3">
        <v>13</v>
      </c>
      <c r="M16808" s="3">
        <v>541</v>
      </c>
    </row>
    <row r="16809" spans="1:13" x14ac:dyDescent="0.25">
      <c r="A16809" s="1" t="str">
        <f>HYPERLINK("http://www.rosaceae.org/Prunus/Prunus_persica/p.persica_gdr_reftransV1_0006157","p.persica_gdr_reftransV1_0006157")</f>
        <v>p.persica_gdr_reftransV1_0006157</v>
      </c>
      <c r="B16809" s="3">
        <v>585</v>
      </c>
      <c r="C16809" s="1" t="str">
        <f>HYPERLINK("http://www.uniprot.org/uniprot/RFS_PEA","RFS_PEA")</f>
        <v>RFS_PEA</v>
      </c>
      <c r="D16809" t="s">
        <v>7730</v>
      </c>
      <c r="E16809" s="3" t="s">
        <v>60</v>
      </c>
      <c r="F16809" s="4">
        <v>1.4900000000000001E-86</v>
      </c>
      <c r="G16809" s="3">
        <v>708</v>
      </c>
      <c r="H16809" s="3">
        <v>73</v>
      </c>
      <c r="I16809" s="3">
        <v>185</v>
      </c>
      <c r="J16809" s="3">
        <v>82</v>
      </c>
      <c r="K16809" s="3">
        <v>582</v>
      </c>
      <c r="L16809" s="3">
        <v>428</v>
      </c>
      <c r="M16809" s="3">
        <v>612</v>
      </c>
    </row>
    <row r="16810" spans="1:13" x14ac:dyDescent="0.25">
      <c r="A16810" s="1" t="str">
        <f>HYPERLINK("http://www.rosaceae.org/Prunus/Prunus_persica/p.persica_gdr_reftransV1_0006207","p.persica_gdr_reftransV1_0006207")</f>
        <v>p.persica_gdr_reftransV1_0006207</v>
      </c>
      <c r="B16810" s="3">
        <v>1240</v>
      </c>
      <c r="C16810" s="1" t="str">
        <f>HYPERLINK("http://www.uniprot.org/uniprot/C8D11_ARATH","C8D11_ARATH")</f>
        <v>C8D11_ARATH</v>
      </c>
      <c r="D16810" t="s">
        <v>10464</v>
      </c>
      <c r="E16810" s="3" t="s">
        <v>3</v>
      </c>
      <c r="F16810" s="4">
        <v>4.3599999999999999E-153</v>
      </c>
      <c r="G16810" s="3">
        <v>1157</v>
      </c>
      <c r="H16810" s="3">
        <v>62</v>
      </c>
      <c r="I16810" s="3">
        <v>352</v>
      </c>
      <c r="J16810" s="3">
        <v>1</v>
      </c>
      <c r="K16810" s="3">
        <v>1050</v>
      </c>
      <c r="L16810" s="3">
        <v>158</v>
      </c>
      <c r="M16810" s="3">
        <v>503</v>
      </c>
    </row>
    <row r="16811" spans="1:13" x14ac:dyDescent="0.25">
      <c r="A16811" s="1" t="str">
        <f>HYPERLINK("http://www.rosaceae.org/Prunus/Prunus_persica/p.persica_gdr_reftransV1_0006257","p.persica_gdr_reftransV1_0006257")</f>
        <v>p.persica_gdr_reftransV1_0006257</v>
      </c>
      <c r="B16811" s="3">
        <v>1294</v>
      </c>
      <c r="C16811" s="1" t="str">
        <f>HYPERLINK("http://www.uniprot.org/uniprot/DJ1D_ARATH","DJ1D_ARATH")</f>
        <v>DJ1D_ARATH</v>
      </c>
      <c r="D16811" t="s">
        <v>6452</v>
      </c>
      <c r="E16811" s="3" t="s">
        <v>3</v>
      </c>
      <c r="F16811" s="4">
        <v>3.2399999999999999E-177</v>
      </c>
      <c r="G16811" s="3">
        <v>1307</v>
      </c>
      <c r="H16811" s="3">
        <v>74</v>
      </c>
      <c r="I16811" s="3">
        <v>327</v>
      </c>
      <c r="J16811" s="3">
        <v>196</v>
      </c>
      <c r="K16811" s="3">
        <v>1176</v>
      </c>
      <c r="L16811" s="3">
        <v>4</v>
      </c>
      <c r="M16811" s="3">
        <v>329</v>
      </c>
    </row>
    <row r="16812" spans="1:13" x14ac:dyDescent="0.25">
      <c r="A16812" s="1" t="str">
        <f>HYPERLINK("http://www.rosaceae.org/Prunus/Prunus_persica/p.persica_gdr_reftransV1_0006457","p.persica_gdr_reftransV1_0006457")</f>
        <v>p.persica_gdr_reftransV1_0006457</v>
      </c>
      <c r="B16812" s="3">
        <v>585</v>
      </c>
      <c r="C16812" s="1" t="str">
        <f>HYPERLINK("http://www.uniprot.org/uniprot/SD17_ARATH","SD17_ARATH")</f>
        <v>SD17_ARATH</v>
      </c>
      <c r="D16812" t="s">
        <v>10465</v>
      </c>
      <c r="E16812" s="3" t="s">
        <v>3</v>
      </c>
      <c r="F16812" s="4">
        <v>5.3100000000000002E-37</v>
      </c>
      <c r="G16812" s="3">
        <v>355</v>
      </c>
      <c r="H16812" s="3">
        <v>53</v>
      </c>
      <c r="I16812" s="3">
        <v>148</v>
      </c>
      <c r="J16812" s="3">
        <v>174</v>
      </c>
      <c r="K16812" s="3">
        <v>584</v>
      </c>
      <c r="L16812" s="3">
        <v>696</v>
      </c>
      <c r="M16812" s="3">
        <v>843</v>
      </c>
    </row>
    <row r="16813" spans="1:13" x14ac:dyDescent="0.25">
      <c r="A16813" s="1" t="str">
        <f>HYPERLINK("http://www.rosaceae.org/Prunus/Prunus_persica/p.persica_gdr_reftransV1_0006507","p.persica_gdr_reftransV1_0006507")</f>
        <v>p.persica_gdr_reftransV1_0006507</v>
      </c>
      <c r="B16813" s="3">
        <v>915</v>
      </c>
      <c r="C16813" s="1" t="str">
        <f>HYPERLINK("http://www.uniprot.org/uniprot/PGR5_ARATH","PGR5_ARATH")</f>
        <v>PGR5_ARATH</v>
      </c>
      <c r="D16813" t="s">
        <v>4161</v>
      </c>
      <c r="E16813" s="3" t="s">
        <v>3</v>
      </c>
      <c r="F16813" s="4">
        <v>3.2600000000000001E-31</v>
      </c>
      <c r="G16813" s="3">
        <v>298</v>
      </c>
      <c r="H16813" s="3">
        <v>67</v>
      </c>
      <c r="I16813" s="3">
        <v>99</v>
      </c>
      <c r="J16813" s="3">
        <v>167</v>
      </c>
      <c r="K16813" s="3">
        <v>448</v>
      </c>
      <c r="L16813" s="3">
        <v>3</v>
      </c>
      <c r="M16813" s="3">
        <v>101</v>
      </c>
    </row>
    <row r="16814" spans="1:13" x14ac:dyDescent="0.25">
      <c r="A16814" s="1" t="str">
        <f>HYPERLINK("http://www.rosaceae.org/Prunus/Prunus_persica/p.persica_gdr_reftransV1_0006857","p.persica_gdr_reftransV1_0006857")</f>
        <v>p.persica_gdr_reftransV1_0006857</v>
      </c>
      <c r="B16814" s="3">
        <v>625</v>
      </c>
      <c r="C16814" s="1" t="str">
        <f>HYPERLINK("http://www.uniprot.org/uniprot/TTL1_ARATH","TTL1_ARATH")</f>
        <v>TTL1_ARATH</v>
      </c>
      <c r="D16814" t="s">
        <v>2136</v>
      </c>
      <c r="E16814" s="3" t="s">
        <v>3</v>
      </c>
      <c r="F16814" s="4">
        <v>1.3799999999999999E-24</v>
      </c>
      <c r="G16814" s="3">
        <v>263</v>
      </c>
      <c r="H16814" s="3">
        <v>52</v>
      </c>
      <c r="I16814" s="3">
        <v>95</v>
      </c>
      <c r="J16814" s="3">
        <v>1</v>
      </c>
      <c r="K16814" s="3">
        <v>285</v>
      </c>
      <c r="L16814" s="3">
        <v>492</v>
      </c>
      <c r="M16814" s="3">
        <v>586</v>
      </c>
    </row>
    <row r="16815" spans="1:13" x14ac:dyDescent="0.25">
      <c r="A16815" s="1" t="str">
        <f>HYPERLINK("http://www.rosaceae.org/Prunus/Prunus_persica/p.persica_gdr_reftransV1_0006907","p.persica_gdr_reftransV1_0006907")</f>
        <v>p.persica_gdr_reftransV1_0006907</v>
      </c>
      <c r="B16815" s="3">
        <v>711</v>
      </c>
      <c r="C16815" s="1" t="str">
        <f>HYPERLINK("http://www.uniprot.org/uniprot/UTP20_HUMAN","UTP20_HUMAN")</f>
        <v>UTP20_HUMAN</v>
      </c>
      <c r="D16815" t="s">
        <v>8896</v>
      </c>
      <c r="E16815" s="3" t="s">
        <v>28</v>
      </c>
      <c r="F16815" s="4">
        <v>5.44E-17</v>
      </c>
      <c r="G16815" s="3">
        <v>208</v>
      </c>
      <c r="H16815" s="3">
        <v>32</v>
      </c>
      <c r="I16815" s="3">
        <v>156</v>
      </c>
      <c r="J16815" s="3">
        <v>120</v>
      </c>
      <c r="K16815" s="3">
        <v>587</v>
      </c>
      <c r="L16815" s="3">
        <v>8</v>
      </c>
      <c r="M16815" s="3">
        <v>158</v>
      </c>
    </row>
    <row r="16816" spans="1:13" x14ac:dyDescent="0.25">
      <c r="A16816" s="1" t="str">
        <f>HYPERLINK("http://www.rosaceae.org/Prunus/Prunus_persica/p.persica_gdr_reftransV1_0007007","p.persica_gdr_reftransV1_0007007")</f>
        <v>p.persica_gdr_reftransV1_0007007</v>
      </c>
      <c r="B16816" s="3">
        <v>1619</v>
      </c>
      <c r="C16816" s="1" t="str">
        <f>HYPERLINK("http://www.uniprot.org/uniprot/SCP34_ARATH","SCP34_ARATH")</f>
        <v>SCP34_ARATH</v>
      </c>
      <c r="D16816" t="s">
        <v>10466</v>
      </c>
      <c r="E16816" s="3" t="s">
        <v>3</v>
      </c>
      <c r="F16816" s="4">
        <v>0</v>
      </c>
      <c r="G16816" s="3">
        <v>1707</v>
      </c>
      <c r="H16816" s="3">
        <v>68</v>
      </c>
      <c r="I16816" s="3">
        <v>450</v>
      </c>
      <c r="J16816" s="3">
        <v>60</v>
      </c>
      <c r="K16816" s="3">
        <v>1376</v>
      </c>
      <c r="L16816" s="3">
        <v>47</v>
      </c>
      <c r="M16816" s="3">
        <v>492</v>
      </c>
    </row>
    <row r="16817" spans="1:13" x14ac:dyDescent="0.25">
      <c r="A16817" s="1" t="str">
        <f>HYPERLINK("http://www.rosaceae.org/Prunus/Prunus_persica/p.persica_gdr_reftransV1_0007057","p.persica_gdr_reftransV1_0007057")</f>
        <v>p.persica_gdr_reftransV1_0007057</v>
      </c>
      <c r="B16817" s="3">
        <v>614</v>
      </c>
      <c r="C16817" s="1" t="str">
        <f>HYPERLINK("http://www.uniprot.org/uniprot/P2C51_ARATH","P2C51_ARATH")</f>
        <v>P2C51_ARATH</v>
      </c>
      <c r="D16817" t="s">
        <v>10136</v>
      </c>
      <c r="E16817" s="3" t="s">
        <v>3</v>
      </c>
      <c r="F16817" s="4">
        <v>3.5700000000000002E-71</v>
      </c>
      <c r="G16817" s="3">
        <v>589</v>
      </c>
      <c r="H16817" s="3">
        <v>61</v>
      </c>
      <c r="I16817" s="3">
        <v>193</v>
      </c>
      <c r="J16817" s="3">
        <v>2</v>
      </c>
      <c r="K16817" s="3">
        <v>574</v>
      </c>
      <c r="L16817" s="3">
        <v>71</v>
      </c>
      <c r="M16817" s="3">
        <v>263</v>
      </c>
    </row>
    <row r="16818" spans="1:13" x14ac:dyDescent="0.25">
      <c r="A16818" s="1" t="str">
        <f>HYPERLINK("http://www.rosaceae.org/Prunus/Prunus_persica/p.persica_gdr_reftransV1_0007157","p.persica_gdr_reftransV1_0007157")</f>
        <v>p.persica_gdr_reftransV1_0007157</v>
      </c>
      <c r="B16818" s="3">
        <v>603</v>
      </c>
      <c r="C16818" s="1" t="str">
        <f>HYPERLINK("http://www.uniprot.org/uniprot/POLX_TOBAC","POLX_TOBAC")</f>
        <v>POLX_TOBAC</v>
      </c>
      <c r="D16818" t="s">
        <v>1253</v>
      </c>
      <c r="E16818" s="3" t="s">
        <v>200</v>
      </c>
      <c r="F16818" s="4">
        <v>1.0700000000000001E-32</v>
      </c>
      <c r="G16818" s="3">
        <v>326</v>
      </c>
      <c r="H16818" s="3">
        <v>39</v>
      </c>
      <c r="I16818" s="3">
        <v>183</v>
      </c>
      <c r="J16818" s="3">
        <v>3</v>
      </c>
      <c r="K16818" s="3">
        <v>548</v>
      </c>
      <c r="L16818" s="3">
        <v>1068</v>
      </c>
      <c r="M16818" s="3">
        <v>1244</v>
      </c>
    </row>
    <row r="16819" spans="1:13" x14ac:dyDescent="0.25">
      <c r="A16819" s="1" t="str">
        <f>HYPERLINK("http://www.rosaceae.org/Prunus/Prunus_persica/p.persica_gdr_reftransV1_0007207","p.persica_gdr_reftransV1_0007207")</f>
        <v>p.persica_gdr_reftransV1_0007207</v>
      </c>
      <c r="B16819" s="3">
        <v>2262</v>
      </c>
      <c r="C16819" s="1" t="str">
        <f>HYPERLINK("http://www.uniprot.org/uniprot/CKX7_ARATH","CKX7_ARATH")</f>
        <v>CKX7_ARATH</v>
      </c>
      <c r="D16819" t="s">
        <v>10467</v>
      </c>
      <c r="E16819" s="3" t="s">
        <v>3</v>
      </c>
      <c r="F16819" s="4">
        <v>0</v>
      </c>
      <c r="G16819" s="3">
        <v>1704</v>
      </c>
      <c r="H16819" s="3">
        <v>65</v>
      </c>
      <c r="I16819" s="3">
        <v>524</v>
      </c>
      <c r="J16819" s="3">
        <v>443</v>
      </c>
      <c r="K16819" s="3">
        <v>1987</v>
      </c>
      <c r="L16819" s="3">
        <v>1</v>
      </c>
      <c r="M16819" s="3">
        <v>522</v>
      </c>
    </row>
    <row r="16820" spans="1:13" x14ac:dyDescent="0.25">
      <c r="A16820" s="1" t="str">
        <f>HYPERLINK("http://www.rosaceae.org/Prunus/Prunus_persica/p.persica_gdr_reftransV1_0007257","p.persica_gdr_reftransV1_0007257")</f>
        <v>p.persica_gdr_reftransV1_0007257</v>
      </c>
      <c r="B16820" s="3">
        <v>3781</v>
      </c>
      <c r="C16820" s="1" t="str">
        <f>HYPERLINK("http://www.uniprot.org/uniprot/SEC23_USTMA","SEC23_USTMA")</f>
        <v>SEC23_USTMA</v>
      </c>
      <c r="D16820" t="s">
        <v>832</v>
      </c>
      <c r="E16820" s="3" t="s">
        <v>833</v>
      </c>
      <c r="F16820" s="4">
        <v>3.2300000000000001E-121</v>
      </c>
      <c r="G16820" s="3">
        <v>1029</v>
      </c>
      <c r="H16820" s="3">
        <v>49</v>
      </c>
      <c r="I16820" s="3">
        <v>400</v>
      </c>
      <c r="J16820" s="3">
        <v>2485</v>
      </c>
      <c r="K16820" s="3">
        <v>3648</v>
      </c>
      <c r="L16820" s="3">
        <v>5</v>
      </c>
      <c r="M16820" s="3">
        <v>401</v>
      </c>
    </row>
    <row r="16821" spans="1:13" x14ac:dyDescent="0.25">
      <c r="A16821" s="1" t="str">
        <f>HYPERLINK("http://www.rosaceae.org/Prunus/Prunus_persica/p.persica_gdr_reftransV1_0007307","p.persica_gdr_reftransV1_0007307")</f>
        <v>p.persica_gdr_reftransV1_0007307</v>
      </c>
      <c r="B16821" s="3">
        <v>4220</v>
      </c>
      <c r="C16821" s="1" t="str">
        <f>HYPERLINK("http://www.uniprot.org/uniprot/RBCMT_TOBAC","RBCMT_TOBAC")</f>
        <v>RBCMT_TOBAC</v>
      </c>
      <c r="D16821" t="s">
        <v>2408</v>
      </c>
      <c r="E16821" s="3" t="s">
        <v>200</v>
      </c>
      <c r="F16821" s="4">
        <v>0</v>
      </c>
      <c r="G16821" s="3">
        <v>1715</v>
      </c>
      <c r="H16821" s="3">
        <v>76</v>
      </c>
      <c r="I16821" s="3">
        <v>446</v>
      </c>
      <c r="J16821" s="3">
        <v>2645</v>
      </c>
      <c r="K16821" s="3">
        <v>3979</v>
      </c>
      <c r="L16821" s="3">
        <v>48</v>
      </c>
      <c r="M16821" s="3">
        <v>491</v>
      </c>
    </row>
    <row r="16822" spans="1:13" x14ac:dyDescent="0.25">
      <c r="A16822" s="1" t="str">
        <f>HYPERLINK("http://www.rosaceae.org/Prunus/Prunus_persica/p.persica_gdr_reftransV1_0007357","p.persica_gdr_reftransV1_0007357")</f>
        <v>p.persica_gdr_reftransV1_0007357</v>
      </c>
      <c r="B16822" s="3">
        <v>1891</v>
      </c>
      <c r="C16822" s="1" t="str">
        <f>HYPERLINK("http://www.uniprot.org/uniprot/BAG8_ARATH","BAG8_ARATH")</f>
        <v>BAG8_ARATH</v>
      </c>
      <c r="D16822" t="s">
        <v>10468</v>
      </c>
      <c r="E16822" s="3" t="s">
        <v>3</v>
      </c>
      <c r="F16822" s="4">
        <v>7.1899999999999998E-29</v>
      </c>
      <c r="G16822" s="3">
        <v>312</v>
      </c>
      <c r="H16822" s="3">
        <v>38</v>
      </c>
      <c r="I16822" s="3">
        <v>214</v>
      </c>
      <c r="J16822" s="3">
        <v>553</v>
      </c>
      <c r="K16822" s="3">
        <v>1179</v>
      </c>
      <c r="L16822" s="3">
        <v>137</v>
      </c>
      <c r="M16822" s="3">
        <v>320</v>
      </c>
    </row>
    <row r="16823" spans="1:13" x14ac:dyDescent="0.25">
      <c r="A16823" s="1" t="str">
        <f>HYPERLINK("http://www.rosaceae.org/Prunus/Prunus_persica/p.persica_gdr_reftransV1_0007407","p.persica_gdr_reftransV1_0007407")</f>
        <v>p.persica_gdr_reftransV1_0007407</v>
      </c>
      <c r="B16823" s="3">
        <v>970</v>
      </c>
      <c r="C16823" s="1" t="str">
        <f>HYPERLINK("http://www.uniprot.org/uniprot/GLT2_ARATH","GLT2_ARATH")</f>
        <v>GLT2_ARATH</v>
      </c>
      <c r="D16823" t="s">
        <v>7543</v>
      </c>
      <c r="E16823" s="3" t="s">
        <v>3</v>
      </c>
      <c r="F16823" s="4">
        <v>4.1400000000000001E-72</v>
      </c>
      <c r="G16823" s="3">
        <v>583</v>
      </c>
      <c r="H16823" s="3">
        <v>57</v>
      </c>
      <c r="I16823" s="3">
        <v>197</v>
      </c>
      <c r="J16823" s="3">
        <v>237</v>
      </c>
      <c r="K16823" s="3">
        <v>827</v>
      </c>
      <c r="L16823" s="3">
        <v>24</v>
      </c>
      <c r="M16823" s="3">
        <v>218</v>
      </c>
    </row>
    <row r="16824" spans="1:13" x14ac:dyDescent="0.25">
      <c r="A16824" s="1" t="str">
        <f>HYPERLINK("http://www.rosaceae.org/Prunus/Prunus_persica/p.persica_gdr_reftransV1_0007507","p.persica_gdr_reftransV1_0007507")</f>
        <v>p.persica_gdr_reftransV1_0007507</v>
      </c>
      <c r="B16824" s="3">
        <v>2307</v>
      </c>
      <c r="C16824" s="1" t="str">
        <f>HYPERLINK("http://www.uniprot.org/uniprot/AHL29_ARATH","AHL29_ARATH")</f>
        <v>AHL29_ARATH</v>
      </c>
      <c r="D16824" t="s">
        <v>5808</v>
      </c>
      <c r="E16824" s="3" t="s">
        <v>3</v>
      </c>
      <c r="F16824" s="4">
        <v>1.0899999999999999E-50</v>
      </c>
      <c r="G16824" s="3">
        <v>466</v>
      </c>
      <c r="H16824" s="3">
        <v>76</v>
      </c>
      <c r="I16824" s="3">
        <v>151</v>
      </c>
      <c r="J16824" s="3">
        <v>836</v>
      </c>
      <c r="K16824" s="3">
        <v>1255</v>
      </c>
      <c r="L16824" s="3">
        <v>82</v>
      </c>
      <c r="M16824" s="3">
        <v>232</v>
      </c>
    </row>
    <row r="16825" spans="1:13" x14ac:dyDescent="0.25">
      <c r="A16825" s="1" t="str">
        <f>HYPERLINK("http://www.rosaceae.org/Prunus/Prunus_persica/p.persica_gdr_reftransV1_0007557","p.persica_gdr_reftransV1_0007557")</f>
        <v>p.persica_gdr_reftransV1_0007557</v>
      </c>
      <c r="B16825" s="3">
        <v>1772</v>
      </c>
      <c r="C16825" s="1" t="str">
        <f>HYPERLINK("http://www.uniprot.org/uniprot/RDO2_ARATH","RDO2_ARATH")</f>
        <v>RDO2_ARATH</v>
      </c>
      <c r="D16825" t="s">
        <v>10469</v>
      </c>
      <c r="E16825" s="3" t="s">
        <v>3</v>
      </c>
      <c r="F16825" s="4">
        <v>5.0900000000000004E-109</v>
      </c>
      <c r="G16825" s="3">
        <v>868</v>
      </c>
      <c r="H16825" s="3">
        <v>50</v>
      </c>
      <c r="I16825" s="3">
        <v>375</v>
      </c>
      <c r="J16825" s="3">
        <v>411</v>
      </c>
      <c r="K16825" s="3">
        <v>1499</v>
      </c>
      <c r="L16825" s="3">
        <v>22</v>
      </c>
      <c r="M16825" s="3">
        <v>378</v>
      </c>
    </row>
    <row r="16826" spans="1:13" x14ac:dyDescent="0.25">
      <c r="A16826" s="1" t="str">
        <f>HYPERLINK("http://www.rosaceae.org/Prunus/Prunus_persica/p.persica_gdr_reftransV1_0007657","p.persica_gdr_reftransV1_0007657")</f>
        <v>p.persica_gdr_reftransV1_0007657</v>
      </c>
      <c r="B16826" s="3">
        <v>2465</v>
      </c>
      <c r="C16826" s="1" t="str">
        <f>HYPERLINK("http://www.uniprot.org/uniprot/VPS9A_ARATH","VPS9A_ARATH")</f>
        <v>VPS9A_ARATH</v>
      </c>
      <c r="D16826" t="s">
        <v>10470</v>
      </c>
      <c r="E16826" s="3" t="s">
        <v>3</v>
      </c>
      <c r="F16826" s="4">
        <v>1.3100000000000001E-105</v>
      </c>
      <c r="G16826" s="3">
        <v>875</v>
      </c>
      <c r="H16826" s="3">
        <v>80</v>
      </c>
      <c r="I16826" s="3">
        <v>210</v>
      </c>
      <c r="J16826" s="3">
        <v>1704</v>
      </c>
      <c r="K16826" s="3">
        <v>2330</v>
      </c>
      <c r="L16826" s="3">
        <v>1</v>
      </c>
      <c r="M16826" s="3">
        <v>210</v>
      </c>
    </row>
    <row r="16827" spans="1:13" x14ac:dyDescent="0.25">
      <c r="A16827" s="1" t="str">
        <f>HYPERLINK("http://www.rosaceae.org/Prunus/Prunus_persica/p.persica_gdr_reftransV1_0007807","p.persica_gdr_reftransV1_0007807")</f>
        <v>p.persica_gdr_reftransV1_0007807</v>
      </c>
      <c r="B16827" s="3">
        <v>1081</v>
      </c>
      <c r="C16827" s="1" t="str">
        <f>HYPERLINK("http://www.uniprot.org/uniprot/MDHG_CITLA","MDHG_CITLA")</f>
        <v>MDHG_CITLA</v>
      </c>
      <c r="D16827" t="s">
        <v>10435</v>
      </c>
      <c r="E16827" s="3" t="s">
        <v>1259</v>
      </c>
      <c r="F16827" s="4">
        <v>1.07E-177</v>
      </c>
      <c r="G16827" s="3">
        <v>1299</v>
      </c>
      <c r="H16827" s="3">
        <v>80</v>
      </c>
      <c r="I16827" s="3">
        <v>323</v>
      </c>
      <c r="J16827" s="3">
        <v>111</v>
      </c>
      <c r="K16827" s="3">
        <v>1079</v>
      </c>
      <c r="L16827" s="3">
        <v>1</v>
      </c>
      <c r="M16827" s="3">
        <v>286</v>
      </c>
    </row>
    <row r="16828" spans="1:13" x14ac:dyDescent="0.25">
      <c r="A16828" s="1" t="str">
        <f>HYPERLINK("http://www.rosaceae.org/Prunus/Prunus_persica/p.persica_gdr_reftransV1_0007857","p.persica_gdr_reftransV1_0007857")</f>
        <v>p.persica_gdr_reftransV1_0007857</v>
      </c>
      <c r="B16828" s="3">
        <v>799</v>
      </c>
      <c r="C16828" s="1" t="str">
        <f>HYPERLINK("http://www.uniprot.org/uniprot/PP301_ARATH","PP301_ARATH")</f>
        <v>PP301_ARATH</v>
      </c>
      <c r="D16828" t="s">
        <v>1571</v>
      </c>
      <c r="E16828" s="3" t="s">
        <v>3</v>
      </c>
      <c r="F16828" s="4">
        <v>1.4500000000000001E-52</v>
      </c>
      <c r="G16828" s="3">
        <v>474</v>
      </c>
      <c r="H16828" s="3">
        <v>72</v>
      </c>
      <c r="I16828" s="3">
        <v>112</v>
      </c>
      <c r="J16828" s="3">
        <v>462</v>
      </c>
      <c r="K16828" s="3">
        <v>797</v>
      </c>
      <c r="L16828" s="3">
        <v>670</v>
      </c>
      <c r="M16828" s="3">
        <v>781</v>
      </c>
    </row>
    <row r="16829" spans="1:13" x14ac:dyDescent="0.25">
      <c r="A16829" s="1" t="str">
        <f>HYPERLINK("http://www.rosaceae.org/Prunus/Prunus_persica/p.persica_gdr_reftransV1_0007907","p.persica_gdr_reftransV1_0007907")</f>
        <v>p.persica_gdr_reftransV1_0007907</v>
      </c>
      <c r="B16829" s="3">
        <v>1160</v>
      </c>
      <c r="C16829" s="1" t="str">
        <f>HYPERLINK("http://www.uniprot.org/uniprot/ZHD2_ARATH","ZHD2_ARATH")</f>
        <v>ZHD2_ARATH</v>
      </c>
      <c r="D16829" t="s">
        <v>10471</v>
      </c>
      <c r="E16829" s="3" t="s">
        <v>3</v>
      </c>
      <c r="F16829" s="4">
        <v>5.5899999999999997E-35</v>
      </c>
      <c r="G16829" s="3">
        <v>335</v>
      </c>
      <c r="H16829" s="3">
        <v>41</v>
      </c>
      <c r="I16829" s="3">
        <v>176</v>
      </c>
      <c r="J16829" s="3">
        <v>321</v>
      </c>
      <c r="K16829" s="3">
        <v>842</v>
      </c>
      <c r="L16829" s="3">
        <v>49</v>
      </c>
      <c r="M16829" s="3">
        <v>213</v>
      </c>
    </row>
    <row r="16830" spans="1:13" x14ac:dyDescent="0.25">
      <c r="A16830" s="1" t="str">
        <f>HYPERLINK("http://www.rosaceae.org/Prunus/Prunus_persica/p.persica_gdr_reftransV1_0008007","p.persica_gdr_reftransV1_0008007")</f>
        <v>p.persica_gdr_reftransV1_0008007</v>
      </c>
      <c r="B16830" s="3">
        <v>2902</v>
      </c>
      <c r="C16830" s="1" t="str">
        <f>HYPERLINK("http://www.uniprot.org/uniprot/NPR3_ARATH","NPR3_ARATH")</f>
        <v>NPR3_ARATH</v>
      </c>
      <c r="D16830" t="s">
        <v>3845</v>
      </c>
      <c r="E16830" s="3" t="s">
        <v>3</v>
      </c>
      <c r="F16830" s="4">
        <v>7.2900000000000002E-177</v>
      </c>
      <c r="G16830" s="3">
        <v>1374</v>
      </c>
      <c r="H16830" s="3">
        <v>57</v>
      </c>
      <c r="I16830" s="3">
        <v>521</v>
      </c>
      <c r="J16830" s="3">
        <v>932</v>
      </c>
      <c r="K16830" s="3">
        <v>2482</v>
      </c>
      <c r="L16830" s="3">
        <v>39</v>
      </c>
      <c r="M16830" s="3">
        <v>557</v>
      </c>
    </row>
    <row r="16831" spans="1:13" x14ac:dyDescent="0.25">
      <c r="A16831" s="1" t="str">
        <f>HYPERLINK("http://www.rosaceae.org/Prunus/Prunus_persica/p.persica_gdr_reftransV1_0008057","p.persica_gdr_reftransV1_0008057")</f>
        <v>p.persica_gdr_reftransV1_0008057</v>
      </c>
      <c r="B16831" s="3">
        <v>806</v>
      </c>
      <c r="C16831" s="1" t="str">
        <f>HYPERLINK("http://www.uniprot.org/uniprot/NUDT1_ARATH","NUDT1_ARATH")</f>
        <v>NUDT1_ARATH</v>
      </c>
      <c r="D16831" t="s">
        <v>1177</v>
      </c>
      <c r="E16831" s="3" t="s">
        <v>3</v>
      </c>
      <c r="F16831" s="4">
        <v>6.5200000000000002E-69</v>
      </c>
      <c r="G16831" s="3">
        <v>550</v>
      </c>
      <c r="H16831" s="3">
        <v>71</v>
      </c>
      <c r="I16831" s="3">
        <v>143</v>
      </c>
      <c r="J16831" s="3">
        <v>162</v>
      </c>
      <c r="K16831" s="3">
        <v>590</v>
      </c>
      <c r="L16831" s="3">
        <v>2</v>
      </c>
      <c r="M16831" s="3">
        <v>141</v>
      </c>
    </row>
    <row r="16832" spans="1:13" x14ac:dyDescent="0.25">
      <c r="A16832" s="1" t="str">
        <f>HYPERLINK("http://www.rosaceae.org/Prunus/Prunus_persica/p.persica_gdr_reftransV1_0008157","p.persica_gdr_reftransV1_0008157")</f>
        <v>p.persica_gdr_reftransV1_0008157</v>
      </c>
      <c r="B16832" s="3">
        <v>1486</v>
      </c>
      <c r="C16832" s="1" t="str">
        <f>HYPERLINK("http://www.uniprot.org/uniprot/ATL6_ARATH","ATL6_ARATH")</f>
        <v>ATL6_ARATH</v>
      </c>
      <c r="D16832" t="s">
        <v>10472</v>
      </c>
      <c r="E16832" s="3" t="s">
        <v>3</v>
      </c>
      <c r="F16832" s="4">
        <v>4.83E-85</v>
      </c>
      <c r="G16832" s="3">
        <v>701</v>
      </c>
      <c r="H16832" s="3">
        <v>46</v>
      </c>
      <c r="I16832" s="3">
        <v>404</v>
      </c>
      <c r="J16832" s="3">
        <v>143</v>
      </c>
      <c r="K16832" s="3">
        <v>1237</v>
      </c>
      <c r="L16832" s="3">
        <v>6</v>
      </c>
      <c r="M16832" s="3">
        <v>398</v>
      </c>
    </row>
    <row r="16833" spans="1:13" x14ac:dyDescent="0.25">
      <c r="A16833" s="1" t="str">
        <f>HYPERLINK("http://www.rosaceae.org/Prunus/Prunus_persica/p.persica_gdr_reftransV1_0008257","p.persica_gdr_reftransV1_0008257")</f>
        <v>p.persica_gdr_reftransV1_0008257</v>
      </c>
      <c r="B16833" s="3">
        <v>1951</v>
      </c>
      <c r="C16833" s="1" t="str">
        <f>HYPERLINK("http://www.uniprot.org/uniprot/PMA10_ARATH","PMA10_ARATH")</f>
        <v>PMA10_ARATH</v>
      </c>
      <c r="D16833" t="s">
        <v>2089</v>
      </c>
      <c r="E16833" s="3" t="s">
        <v>3</v>
      </c>
      <c r="F16833" s="4">
        <v>0</v>
      </c>
      <c r="G16833" s="3">
        <v>2184</v>
      </c>
      <c r="H16833" s="3">
        <v>83</v>
      </c>
      <c r="I16833" s="3">
        <v>552</v>
      </c>
      <c r="J16833" s="3">
        <v>295</v>
      </c>
      <c r="K16833" s="3">
        <v>1950</v>
      </c>
      <c r="L16833" s="3">
        <v>1</v>
      </c>
      <c r="M16833" s="3">
        <v>552</v>
      </c>
    </row>
    <row r="16834" spans="1:13" x14ac:dyDescent="0.25">
      <c r="A16834" s="1" t="str">
        <f>HYPERLINK("http://www.rosaceae.org/Prunus/Prunus_persica/p.persica_gdr_reftransV1_0008357","p.persica_gdr_reftransV1_0008357")</f>
        <v>p.persica_gdr_reftransV1_0008357</v>
      </c>
      <c r="B16834" s="3">
        <v>1166</v>
      </c>
      <c r="C16834" s="1" t="str">
        <f>HYPERLINK("http://www.uniprot.org/uniprot/SIP21_ARATH","SIP21_ARATH")</f>
        <v>SIP21_ARATH</v>
      </c>
      <c r="D16834" t="s">
        <v>10473</v>
      </c>
      <c r="E16834" s="3" t="s">
        <v>3</v>
      </c>
      <c r="F16834" s="4">
        <v>6.2499999999999998E-107</v>
      </c>
      <c r="G16834" s="3">
        <v>823</v>
      </c>
      <c r="H16834" s="3">
        <v>64</v>
      </c>
      <c r="I16834" s="3">
        <v>237</v>
      </c>
      <c r="J16834" s="3">
        <v>240</v>
      </c>
      <c r="K16834" s="3">
        <v>947</v>
      </c>
      <c r="L16834" s="3">
        <v>1</v>
      </c>
      <c r="M16834" s="3">
        <v>237</v>
      </c>
    </row>
    <row r="16835" spans="1:13" x14ac:dyDescent="0.25">
      <c r="A16835" s="1" t="str">
        <f>HYPERLINK("http://www.rosaceae.org/Prunus/Prunus_persica/p.persica_gdr_reftransV1_0008407","p.persica_gdr_reftransV1_0008407")</f>
        <v>p.persica_gdr_reftransV1_0008407</v>
      </c>
      <c r="B16835" s="3">
        <v>607</v>
      </c>
      <c r="C16835" s="1" t="str">
        <f>HYPERLINK("http://www.uniprot.org/uniprot/PHT17_ARATH","PHT17_ARATH")</f>
        <v>PHT17_ARATH</v>
      </c>
      <c r="D16835" t="s">
        <v>2461</v>
      </c>
      <c r="E16835" s="3" t="s">
        <v>3</v>
      </c>
      <c r="F16835" s="4">
        <v>1.8100000000000001E-72</v>
      </c>
      <c r="G16835" s="3">
        <v>598</v>
      </c>
      <c r="H16835" s="3">
        <v>82</v>
      </c>
      <c r="I16835" s="3">
        <v>154</v>
      </c>
      <c r="J16835" s="3">
        <v>3</v>
      </c>
      <c r="K16835" s="3">
        <v>464</v>
      </c>
      <c r="L16835" s="3">
        <v>366</v>
      </c>
      <c r="M16835" s="3">
        <v>518</v>
      </c>
    </row>
    <row r="16836" spans="1:13" x14ac:dyDescent="0.25">
      <c r="A16836" s="1" t="str">
        <f>HYPERLINK("http://www.rosaceae.org/Prunus/Prunus_persica/p.persica_gdr_reftransV1_0008557","p.persica_gdr_reftransV1_0008557")</f>
        <v>p.persica_gdr_reftransV1_0008557</v>
      </c>
      <c r="B16836" s="3">
        <v>1183</v>
      </c>
      <c r="C16836" s="1" t="str">
        <f>HYPERLINK("http://www.uniprot.org/uniprot/GDL61_ARATH","GDL61_ARATH")</f>
        <v>GDL61_ARATH</v>
      </c>
      <c r="D16836" t="s">
        <v>6073</v>
      </c>
      <c r="E16836" s="3" t="s">
        <v>3</v>
      </c>
      <c r="F16836" s="4">
        <v>1.0100000000000001E-135</v>
      </c>
      <c r="G16836" s="3">
        <v>1028</v>
      </c>
      <c r="H16836" s="3">
        <v>66</v>
      </c>
      <c r="I16836" s="3">
        <v>295</v>
      </c>
      <c r="J16836" s="3">
        <v>306</v>
      </c>
      <c r="K16836" s="3">
        <v>1181</v>
      </c>
      <c r="L16836" s="3">
        <v>86</v>
      </c>
      <c r="M16836" s="3">
        <v>380</v>
      </c>
    </row>
    <row r="16837" spans="1:13" x14ac:dyDescent="0.25">
      <c r="A16837" s="1" t="str">
        <f>HYPERLINK("http://www.rosaceae.org/Prunus/Prunus_persica/p.persica_gdr_reftransV1_0008607","p.persica_gdr_reftransV1_0008607")</f>
        <v>p.persica_gdr_reftransV1_0008607</v>
      </c>
      <c r="B16837" s="3">
        <v>4113</v>
      </c>
      <c r="C16837" s="1" t="str">
        <f>HYPERLINK("http://www.uniprot.org/uniprot/BAG6_ARATH","BAG6_ARATH")</f>
        <v>BAG6_ARATH</v>
      </c>
      <c r="D16837" t="s">
        <v>10474</v>
      </c>
      <c r="E16837" s="3" t="s">
        <v>3</v>
      </c>
      <c r="F16837" s="4">
        <v>9.6199999999999999E-51</v>
      </c>
      <c r="G16837" s="3">
        <v>507</v>
      </c>
      <c r="H16837" s="3">
        <v>28</v>
      </c>
      <c r="I16837" s="3">
        <v>805</v>
      </c>
      <c r="J16837" s="3">
        <v>235</v>
      </c>
      <c r="K16837" s="3">
        <v>2301</v>
      </c>
      <c r="L16837" s="3">
        <v>1</v>
      </c>
      <c r="M16837" s="3">
        <v>682</v>
      </c>
    </row>
    <row r="16838" spans="1:13" x14ac:dyDescent="0.25">
      <c r="A16838" s="1" t="str">
        <f>HYPERLINK("http://www.rosaceae.org/Prunus/Prunus_persica/p.persica_gdr_reftransV1_0008657","p.persica_gdr_reftransV1_0008657")</f>
        <v>p.persica_gdr_reftransV1_0008657</v>
      </c>
      <c r="B16838" s="3">
        <v>2968</v>
      </c>
      <c r="C16838" s="1" t="str">
        <f>HYPERLINK("http://www.uniprot.org/uniprot/GAM1_ORYSJ","GAM1_ORYSJ")</f>
        <v>GAM1_ORYSJ</v>
      </c>
      <c r="D16838" t="s">
        <v>10475</v>
      </c>
      <c r="E16838" s="3" t="s">
        <v>38</v>
      </c>
      <c r="F16838" s="4">
        <v>1.2700000000000001E-118</v>
      </c>
      <c r="G16838" s="3">
        <v>978</v>
      </c>
      <c r="H16838" s="3">
        <v>43</v>
      </c>
      <c r="I16838" s="3">
        <v>578</v>
      </c>
      <c r="J16838" s="3">
        <v>928</v>
      </c>
      <c r="K16838" s="3">
        <v>2595</v>
      </c>
      <c r="L16838" s="3">
        <v>1</v>
      </c>
      <c r="M16838" s="3">
        <v>550</v>
      </c>
    </row>
    <row r="16839" spans="1:13" x14ac:dyDescent="0.25">
      <c r="A16839" s="1" t="str">
        <f>HYPERLINK("http://www.rosaceae.org/Prunus/Prunus_persica/p.persica_gdr_reftransV1_0008707","p.persica_gdr_reftransV1_0008707")</f>
        <v>p.persica_gdr_reftransV1_0008707</v>
      </c>
      <c r="B16839" s="3">
        <v>1410</v>
      </c>
      <c r="C16839" s="1" t="str">
        <f>HYPERLINK("http://www.uniprot.org/uniprot/CB12_SOLLC","CB12_SOLLC")</f>
        <v>CB12_SOLLC</v>
      </c>
      <c r="D16839" t="s">
        <v>5604</v>
      </c>
      <c r="E16839" s="3" t="s">
        <v>64</v>
      </c>
      <c r="F16839" s="4">
        <v>1.8500000000000001E-118</v>
      </c>
      <c r="G16839" s="3">
        <v>894</v>
      </c>
      <c r="H16839" s="3">
        <v>96</v>
      </c>
      <c r="I16839" s="3">
        <v>173</v>
      </c>
      <c r="J16839" s="3">
        <v>452</v>
      </c>
      <c r="K16839" s="3">
        <v>970</v>
      </c>
      <c r="L16839" s="3">
        <v>94</v>
      </c>
      <c r="M16839" s="3">
        <v>266</v>
      </c>
    </row>
    <row r="16840" spans="1:13" x14ac:dyDescent="0.25">
      <c r="A16840" s="1" t="str">
        <f>HYPERLINK("http://www.rosaceae.org/Prunus/Prunus_persica/p.persica_gdr_reftransV1_0008757","p.persica_gdr_reftransV1_0008757")</f>
        <v>p.persica_gdr_reftransV1_0008757</v>
      </c>
      <c r="B16840" s="3">
        <v>1062</v>
      </c>
      <c r="C16840" s="1" t="str">
        <f>HYPERLINK("http://www.uniprot.org/uniprot/PP175_ARATH","PP175_ARATH")</f>
        <v>PP175_ARATH</v>
      </c>
      <c r="D16840" t="s">
        <v>272</v>
      </c>
      <c r="E16840" s="3" t="s">
        <v>3</v>
      </c>
      <c r="F16840" s="4">
        <v>1.8000000000000001E-92</v>
      </c>
      <c r="G16840" s="3">
        <v>763</v>
      </c>
      <c r="H16840" s="3">
        <v>42</v>
      </c>
      <c r="I16840" s="3">
        <v>321</v>
      </c>
      <c r="J16840" s="3">
        <v>53</v>
      </c>
      <c r="K16840" s="3">
        <v>1015</v>
      </c>
      <c r="L16840" s="3">
        <v>326</v>
      </c>
      <c r="M16840" s="3">
        <v>642</v>
      </c>
    </row>
    <row r="16841" spans="1:13" x14ac:dyDescent="0.25">
      <c r="A16841" s="1" t="str">
        <f>HYPERLINK("http://www.rosaceae.org/Prunus/Prunus_persica/p.persica_gdr_reftransV1_0008907","p.persica_gdr_reftransV1_0008907")</f>
        <v>p.persica_gdr_reftransV1_0008907</v>
      </c>
      <c r="B16841" s="3">
        <v>2528</v>
      </c>
      <c r="C16841" s="1" t="str">
        <f>HYPERLINK("http://www.uniprot.org/uniprot/GAI_GOSHI","GAI_GOSHI")</f>
        <v>GAI_GOSHI</v>
      </c>
      <c r="D16841" t="s">
        <v>10476</v>
      </c>
      <c r="E16841" s="3" t="s">
        <v>816</v>
      </c>
      <c r="F16841" s="4">
        <v>0</v>
      </c>
      <c r="G16841" s="3">
        <v>2089</v>
      </c>
      <c r="H16841" s="3">
        <v>74</v>
      </c>
      <c r="I16841" s="3">
        <v>553</v>
      </c>
      <c r="J16841" s="3">
        <v>579</v>
      </c>
      <c r="K16841" s="3">
        <v>2228</v>
      </c>
      <c r="L16841" s="3">
        <v>22</v>
      </c>
      <c r="M16841" s="3">
        <v>528</v>
      </c>
    </row>
    <row r="16842" spans="1:13" x14ac:dyDescent="0.25">
      <c r="A16842" s="1" t="str">
        <f>HYPERLINK("http://www.rosaceae.org/Prunus/Prunus_persica/p.persica_gdr_reftransV1_0008957","p.persica_gdr_reftransV1_0008957")</f>
        <v>p.persica_gdr_reftransV1_0008957</v>
      </c>
      <c r="B16842" s="3">
        <v>1943</v>
      </c>
      <c r="C16842" s="1" t="str">
        <f>HYPERLINK("http://www.uniprot.org/uniprot/CCX1_ARATH","CCX1_ARATH")</f>
        <v>CCX1_ARATH</v>
      </c>
      <c r="D16842" t="s">
        <v>10477</v>
      </c>
      <c r="E16842" s="3" t="s">
        <v>3</v>
      </c>
      <c r="F16842" s="4">
        <v>3.19E-156</v>
      </c>
      <c r="G16842" s="3">
        <v>1207</v>
      </c>
      <c r="H16842" s="3">
        <v>56</v>
      </c>
      <c r="I16842" s="3">
        <v>528</v>
      </c>
      <c r="J16842" s="3">
        <v>139</v>
      </c>
      <c r="K16842" s="3">
        <v>1704</v>
      </c>
      <c r="L16842" s="3">
        <v>53</v>
      </c>
      <c r="M16842" s="3">
        <v>560</v>
      </c>
    </row>
    <row r="16843" spans="1:13" x14ac:dyDescent="0.25">
      <c r="A16843" s="1" t="str">
        <f>HYPERLINK("http://www.rosaceae.org/Prunus/Prunus_persica/p.persica_gdr_reftransV1_0009107","p.persica_gdr_reftransV1_0009107")</f>
        <v>p.persica_gdr_reftransV1_0009107</v>
      </c>
      <c r="B16843" s="3">
        <v>981</v>
      </c>
      <c r="C16843" s="1" t="str">
        <f>HYPERLINK("http://www.uniprot.org/uniprot/Y4141_ARATH","Y4141_ARATH")</f>
        <v>Y4141_ARATH</v>
      </c>
      <c r="D16843" t="s">
        <v>3026</v>
      </c>
      <c r="E16843" s="3" t="s">
        <v>3</v>
      </c>
      <c r="F16843" s="4">
        <v>2.3E-68</v>
      </c>
      <c r="G16843" s="3">
        <v>557</v>
      </c>
      <c r="H16843" s="3">
        <v>61</v>
      </c>
      <c r="I16843" s="3">
        <v>170</v>
      </c>
      <c r="J16843" s="3">
        <v>151</v>
      </c>
      <c r="K16843" s="3">
        <v>660</v>
      </c>
      <c r="L16843" s="3">
        <v>28</v>
      </c>
      <c r="M16843" s="3">
        <v>195</v>
      </c>
    </row>
    <row r="16844" spans="1:13" x14ac:dyDescent="0.25">
      <c r="A16844" s="1" t="str">
        <f>HYPERLINK("http://www.rosaceae.org/Prunus/Prunus_persica/p.persica_gdr_reftransV1_0009307","p.persica_gdr_reftransV1_0009307")</f>
        <v>p.persica_gdr_reftransV1_0009307</v>
      </c>
      <c r="B16844" s="3">
        <v>1048</v>
      </c>
      <c r="C16844" s="1" t="str">
        <f>HYPERLINK("http://www.uniprot.org/uniprot/PYL2_ARATH","PYL2_ARATH")</f>
        <v>PYL2_ARATH</v>
      </c>
      <c r="D16844" t="s">
        <v>10478</v>
      </c>
      <c r="E16844" s="3" t="s">
        <v>3</v>
      </c>
      <c r="F16844" s="4">
        <v>1.8300000000000001E-84</v>
      </c>
      <c r="G16844" s="3">
        <v>665</v>
      </c>
      <c r="H16844" s="3">
        <v>69</v>
      </c>
      <c r="I16844" s="3">
        <v>179</v>
      </c>
      <c r="J16844" s="3">
        <v>146</v>
      </c>
      <c r="K16844" s="3">
        <v>679</v>
      </c>
      <c r="L16844" s="3">
        <v>9</v>
      </c>
      <c r="M16844" s="3">
        <v>184</v>
      </c>
    </row>
    <row r="16845" spans="1:13" x14ac:dyDescent="0.25">
      <c r="A16845" s="1" t="str">
        <f>HYPERLINK("http://www.rosaceae.org/Prunus/Prunus_persica/p.persica_gdr_reftransV1_0009357","p.persica_gdr_reftransV1_0009357")</f>
        <v>p.persica_gdr_reftransV1_0009357</v>
      </c>
      <c r="B16845" s="3">
        <v>3752</v>
      </c>
      <c r="C16845" s="1" t="str">
        <f>HYPERLINK("http://www.uniprot.org/uniprot/PSA4_SPIOL","PSA4_SPIOL")</f>
        <v>PSA4_SPIOL</v>
      </c>
      <c r="D16845" t="s">
        <v>1136</v>
      </c>
      <c r="E16845" s="3" t="s">
        <v>131</v>
      </c>
      <c r="F16845" s="4">
        <v>3.3799999999999999E-150</v>
      </c>
      <c r="G16845" s="3">
        <v>1180</v>
      </c>
      <c r="H16845" s="3">
        <v>91</v>
      </c>
      <c r="I16845" s="3">
        <v>250</v>
      </c>
      <c r="J16845" s="3">
        <v>566</v>
      </c>
      <c r="K16845" s="3">
        <v>1315</v>
      </c>
      <c r="L16845" s="3">
        <v>1</v>
      </c>
      <c r="M16845" s="3">
        <v>250</v>
      </c>
    </row>
    <row r="16846" spans="1:13" x14ac:dyDescent="0.25">
      <c r="A16846" s="1" t="str">
        <f>HYPERLINK("http://www.rosaceae.org/Prunus/Prunus_persica/p.persica_gdr_reftransV1_0009407","p.persica_gdr_reftransV1_0009407")</f>
        <v>p.persica_gdr_reftransV1_0009407</v>
      </c>
      <c r="B16846" s="3">
        <v>361</v>
      </c>
      <c r="C16846" s="1" t="str">
        <f>HYPERLINK("http://www.uniprot.org/uniprot/PP184_ARATH","PP184_ARATH")</f>
        <v>PP184_ARATH</v>
      </c>
      <c r="D16846" t="s">
        <v>2303</v>
      </c>
      <c r="E16846" s="3" t="s">
        <v>3</v>
      </c>
      <c r="F16846" s="4">
        <v>9.1899999999999997E-25</v>
      </c>
      <c r="G16846" s="3">
        <v>255</v>
      </c>
      <c r="H16846" s="3">
        <v>43</v>
      </c>
      <c r="I16846" s="3">
        <v>116</v>
      </c>
      <c r="J16846" s="3">
        <v>13</v>
      </c>
      <c r="K16846" s="3">
        <v>360</v>
      </c>
      <c r="L16846" s="3">
        <v>284</v>
      </c>
      <c r="M16846" s="3">
        <v>399</v>
      </c>
    </row>
    <row r="16847" spans="1:13" x14ac:dyDescent="0.25">
      <c r="A16847" s="1" t="str">
        <f>HYPERLINK("http://www.rosaceae.org/Prunus/Prunus_persica/p.persica_gdr_reftransV1_0009557","p.persica_gdr_reftransV1_0009557")</f>
        <v>p.persica_gdr_reftransV1_0009557</v>
      </c>
      <c r="B16847" s="3">
        <v>1311</v>
      </c>
      <c r="C16847" s="1" t="str">
        <f>HYPERLINK("http://www.uniprot.org/uniprot/MTDH_FRAAN","MTDH_FRAAN")</f>
        <v>MTDH_FRAAN</v>
      </c>
      <c r="D16847" t="s">
        <v>54</v>
      </c>
      <c r="E16847" s="3" t="s">
        <v>15</v>
      </c>
      <c r="F16847" s="4">
        <v>1.18E-172</v>
      </c>
      <c r="G16847" s="3">
        <v>1275</v>
      </c>
      <c r="H16847" s="3">
        <v>77</v>
      </c>
      <c r="I16847" s="3">
        <v>352</v>
      </c>
      <c r="J16847" s="3">
        <v>182</v>
      </c>
      <c r="K16847" s="3">
        <v>1237</v>
      </c>
      <c r="L16847" s="3">
        <v>4</v>
      </c>
      <c r="M16847" s="3">
        <v>355</v>
      </c>
    </row>
    <row r="16848" spans="1:13" x14ac:dyDescent="0.25">
      <c r="A16848" s="1" t="str">
        <f>HYPERLINK("http://www.rosaceae.org/Prunus/Prunus_persica/p.persica_gdr_reftransV1_0009657","p.persica_gdr_reftransV1_0009657")</f>
        <v>p.persica_gdr_reftransV1_0009657</v>
      </c>
      <c r="B16848" s="3">
        <v>1806</v>
      </c>
      <c r="C16848" s="1" t="str">
        <f>HYPERLINK("http://www.uniprot.org/uniprot/ZNRF3_MOUSE","ZNRF3_MOUSE")</f>
        <v>ZNRF3_MOUSE</v>
      </c>
      <c r="D16848" t="s">
        <v>3083</v>
      </c>
      <c r="E16848" s="3" t="s">
        <v>157</v>
      </c>
      <c r="F16848" s="4">
        <v>4.4099999999999998E-10</v>
      </c>
      <c r="G16848" s="3">
        <v>161</v>
      </c>
      <c r="H16848" s="3">
        <v>46</v>
      </c>
      <c r="I16848" s="3">
        <v>57</v>
      </c>
      <c r="J16848" s="3">
        <v>1303</v>
      </c>
      <c r="K16848" s="3">
        <v>1473</v>
      </c>
      <c r="L16848" s="3">
        <v>279</v>
      </c>
      <c r="M16848" s="3">
        <v>335</v>
      </c>
    </row>
    <row r="16849" spans="1:13" x14ac:dyDescent="0.25">
      <c r="A16849" s="1" t="str">
        <f>HYPERLINK("http://www.rosaceae.org/Prunus/Prunus_persica/p.persica_gdr_reftransV1_0009707","p.persica_gdr_reftransV1_0009707")</f>
        <v>p.persica_gdr_reftransV1_0009707</v>
      </c>
      <c r="B16849" s="3">
        <v>2084</v>
      </c>
      <c r="C16849" s="1" t="str">
        <f>HYPERLINK("http://www.uniprot.org/uniprot/KAD5_ARATH","KAD5_ARATH")</f>
        <v>KAD5_ARATH</v>
      </c>
      <c r="D16849" t="s">
        <v>7266</v>
      </c>
      <c r="E16849" s="3" t="s">
        <v>3</v>
      </c>
      <c r="F16849" s="4">
        <v>0</v>
      </c>
      <c r="G16849" s="3">
        <v>1186</v>
      </c>
      <c r="H16849" s="3">
        <v>72</v>
      </c>
      <c r="I16849" s="3">
        <v>297</v>
      </c>
      <c r="J16849" s="3">
        <v>149</v>
      </c>
      <c r="K16849" s="3">
        <v>1039</v>
      </c>
      <c r="L16849" s="3">
        <v>64</v>
      </c>
      <c r="M16849" s="3">
        <v>355</v>
      </c>
    </row>
    <row r="16850" spans="1:13" x14ac:dyDescent="0.25">
      <c r="A16850" s="1" t="str">
        <f>HYPERLINK("http://www.rosaceae.org/Prunus/Prunus_persica/p.persica_gdr_reftransV1_0009757","p.persica_gdr_reftransV1_0009757")</f>
        <v>p.persica_gdr_reftransV1_0009757</v>
      </c>
      <c r="B16850" s="3">
        <v>4279</v>
      </c>
      <c r="C16850" s="1" t="str">
        <f>HYPERLINK("http://www.uniprot.org/uniprot/PHYB_TOBAC","PHYB_TOBAC")</f>
        <v>PHYB_TOBAC</v>
      </c>
      <c r="D16850" t="s">
        <v>10479</v>
      </c>
      <c r="E16850" s="3" t="s">
        <v>200</v>
      </c>
      <c r="F16850" s="4">
        <v>0</v>
      </c>
      <c r="G16850" s="3">
        <v>5139</v>
      </c>
      <c r="H16850" s="3">
        <v>87</v>
      </c>
      <c r="I16850" s="3">
        <v>1098</v>
      </c>
      <c r="J16850" s="3">
        <v>360</v>
      </c>
      <c r="K16850" s="3">
        <v>3650</v>
      </c>
      <c r="L16850" s="3">
        <v>29</v>
      </c>
      <c r="M16850" s="3">
        <v>1125</v>
      </c>
    </row>
    <row r="16851" spans="1:13" x14ac:dyDescent="0.25">
      <c r="A16851" s="1" t="str">
        <f>HYPERLINK("http://www.rosaceae.org/Prunus/Prunus_persica/p.persica_gdr_reftransV1_0010057","p.persica_gdr_reftransV1_0010057")</f>
        <v>p.persica_gdr_reftransV1_0010057</v>
      </c>
      <c r="B16851" s="3">
        <v>980</v>
      </c>
      <c r="C16851" s="1" t="str">
        <f>HYPERLINK("http://www.uniprot.org/uniprot/TSPO_ARATH","TSPO_ARATH")</f>
        <v>TSPO_ARATH</v>
      </c>
      <c r="D16851" t="s">
        <v>1134</v>
      </c>
      <c r="E16851" s="3" t="s">
        <v>3</v>
      </c>
      <c r="F16851" s="4">
        <v>6.6800000000000003E-54</v>
      </c>
      <c r="G16851" s="3">
        <v>459</v>
      </c>
      <c r="H16851" s="3">
        <v>50</v>
      </c>
      <c r="I16851" s="3">
        <v>193</v>
      </c>
      <c r="J16851" s="3">
        <v>296</v>
      </c>
      <c r="K16851" s="3">
        <v>859</v>
      </c>
      <c r="L16851" s="3">
        <v>1</v>
      </c>
      <c r="M16851" s="3">
        <v>193</v>
      </c>
    </row>
    <row r="16852" spans="1:13" x14ac:dyDescent="0.25">
      <c r="A16852" s="1" t="str">
        <f>HYPERLINK("http://www.rosaceae.org/Prunus/Prunus_persica/p.persica_gdr_reftransV1_0010357","p.persica_gdr_reftransV1_0010357")</f>
        <v>p.persica_gdr_reftransV1_0010357</v>
      </c>
      <c r="B16852" s="3">
        <v>1706</v>
      </c>
      <c r="C16852" s="1" t="str">
        <f>HYPERLINK("http://www.uniprot.org/uniprot/ERF53_ARATH","ERF53_ARATH")</f>
        <v>ERF53_ARATH</v>
      </c>
      <c r="D16852" t="s">
        <v>10480</v>
      </c>
      <c r="E16852" s="3" t="s">
        <v>3</v>
      </c>
      <c r="F16852" s="4">
        <v>5.7700000000000003E-51</v>
      </c>
      <c r="G16852" s="3">
        <v>466</v>
      </c>
      <c r="H16852" s="3">
        <v>50</v>
      </c>
      <c r="I16852" s="3">
        <v>224</v>
      </c>
      <c r="J16852" s="3">
        <v>970</v>
      </c>
      <c r="K16852" s="3">
        <v>1638</v>
      </c>
      <c r="L16852" s="3">
        <v>147</v>
      </c>
      <c r="M16852" s="3">
        <v>311</v>
      </c>
    </row>
    <row r="16853" spans="1:13" x14ac:dyDescent="0.25">
      <c r="A16853" s="1" t="str">
        <f>HYPERLINK("http://www.rosaceae.org/Prunus/Prunus_persica/p.persica_gdr_reftransV1_0010507","p.persica_gdr_reftransV1_0010507")</f>
        <v>p.persica_gdr_reftransV1_0010507</v>
      </c>
      <c r="B16853" s="3">
        <v>3903</v>
      </c>
      <c r="C16853" s="1" t="str">
        <f>HYPERLINK("http://www.uniprot.org/uniprot/UBP24_ARATH","UBP24_ARATH")</f>
        <v>UBP24_ARATH</v>
      </c>
      <c r="D16853" t="s">
        <v>9679</v>
      </c>
      <c r="E16853" s="3" t="s">
        <v>3</v>
      </c>
      <c r="F16853" s="4">
        <v>1.0799999999999999E-141</v>
      </c>
      <c r="G16853" s="3">
        <v>1155</v>
      </c>
      <c r="H16853" s="3">
        <v>54</v>
      </c>
      <c r="I16853" s="3">
        <v>516</v>
      </c>
      <c r="J16853" s="3">
        <v>1520</v>
      </c>
      <c r="K16853" s="3">
        <v>3016</v>
      </c>
      <c r="L16853" s="3">
        <v>5</v>
      </c>
      <c r="M16853" s="3">
        <v>504</v>
      </c>
    </row>
    <row r="16854" spans="1:13" x14ac:dyDescent="0.25">
      <c r="A16854" s="1" t="str">
        <f>HYPERLINK("http://www.rosaceae.org/Prunus/Prunus_persica/p.persica_gdr_reftransV1_0010557","p.persica_gdr_reftransV1_0010557")</f>
        <v>p.persica_gdr_reftransV1_0010557</v>
      </c>
      <c r="B16854" s="3">
        <v>496</v>
      </c>
      <c r="C16854" s="1" t="str">
        <f>HYPERLINK("http://www.uniprot.org/uniprot/LHTL8_ARATH","LHTL8_ARATH")</f>
        <v>LHTL8_ARATH</v>
      </c>
      <c r="D16854" t="s">
        <v>1580</v>
      </c>
      <c r="E16854" s="3" t="s">
        <v>3</v>
      </c>
      <c r="F16854" s="4">
        <v>4.7299999999999998E-55</v>
      </c>
      <c r="G16854" s="3">
        <v>474</v>
      </c>
      <c r="H16854" s="3">
        <v>55</v>
      </c>
      <c r="I16854" s="3">
        <v>165</v>
      </c>
      <c r="J16854" s="3">
        <v>1</v>
      </c>
      <c r="K16854" s="3">
        <v>495</v>
      </c>
      <c r="L16854" s="3">
        <v>114</v>
      </c>
      <c r="M16854" s="3">
        <v>276</v>
      </c>
    </row>
    <row r="16855" spans="1:13" x14ac:dyDescent="0.25">
      <c r="A16855" s="1" t="str">
        <f>HYPERLINK("http://www.rosaceae.org/Prunus/Prunus_persica/p.persica_gdr_reftransV1_0010657","p.persica_gdr_reftransV1_0010657")</f>
        <v>p.persica_gdr_reftransV1_0010657</v>
      </c>
      <c r="B16855" s="3">
        <v>1653</v>
      </c>
      <c r="C16855" s="1" t="str">
        <f>HYPERLINK("http://www.uniprot.org/uniprot/HAK11_ORYSJ","HAK11_ORYSJ")</f>
        <v>HAK11_ORYSJ</v>
      </c>
      <c r="D16855" t="s">
        <v>10481</v>
      </c>
      <c r="E16855" s="3" t="s">
        <v>38</v>
      </c>
      <c r="F16855" s="4">
        <v>2.43E-49</v>
      </c>
      <c r="G16855" s="3">
        <v>472</v>
      </c>
      <c r="H16855" s="3">
        <v>76</v>
      </c>
      <c r="I16855" s="3">
        <v>114</v>
      </c>
      <c r="J16855" s="3">
        <v>850</v>
      </c>
      <c r="K16855" s="3">
        <v>1191</v>
      </c>
      <c r="L16855" s="3">
        <v>4</v>
      </c>
      <c r="M16855" s="3">
        <v>116</v>
      </c>
    </row>
    <row r="16856" spans="1:13" x14ac:dyDescent="0.25">
      <c r="A16856" s="1" t="str">
        <f>HYPERLINK("http://www.rosaceae.org/Prunus/Prunus_persica/p.persica_gdr_reftransV1_0010807","p.persica_gdr_reftransV1_0010807")</f>
        <v>p.persica_gdr_reftransV1_0010807</v>
      </c>
      <c r="B16856" s="3">
        <v>4165</v>
      </c>
      <c r="C16856" s="1" t="str">
        <f>HYPERLINK("http://www.uniprot.org/uniprot/SCC3_ARATH","SCC3_ARATH")</f>
        <v>SCC3_ARATH</v>
      </c>
      <c r="D16856" t="s">
        <v>3328</v>
      </c>
      <c r="E16856" s="3" t="s">
        <v>3</v>
      </c>
      <c r="F16856" s="4">
        <v>0</v>
      </c>
      <c r="G16856" s="3">
        <v>3236</v>
      </c>
      <c r="H16856" s="3">
        <v>66</v>
      </c>
      <c r="I16856" s="3">
        <v>1021</v>
      </c>
      <c r="J16856" s="3">
        <v>981</v>
      </c>
      <c r="K16856" s="3">
        <v>4040</v>
      </c>
      <c r="L16856" s="3">
        <v>27</v>
      </c>
      <c r="M16856" s="3">
        <v>1031</v>
      </c>
    </row>
    <row r="16857" spans="1:13" x14ac:dyDescent="0.25">
      <c r="A16857" s="1" t="str">
        <f>HYPERLINK("http://www.rosaceae.org/Prunus/Prunus_persica/p.persica_gdr_reftransV1_0010907","p.persica_gdr_reftransV1_0010907")</f>
        <v>p.persica_gdr_reftransV1_0010907</v>
      </c>
      <c r="B16857" s="3">
        <v>1704</v>
      </c>
      <c r="C16857" s="1" t="str">
        <f>HYPERLINK("http://www.uniprot.org/uniprot/GDPD5_ARATH","GDPD5_ARATH")</f>
        <v>GDPD5_ARATH</v>
      </c>
      <c r="D16857" t="s">
        <v>10482</v>
      </c>
      <c r="E16857" s="3" t="s">
        <v>3</v>
      </c>
      <c r="F16857" s="4">
        <v>0</v>
      </c>
      <c r="G16857" s="3">
        <v>1511</v>
      </c>
      <c r="H16857" s="3">
        <v>74</v>
      </c>
      <c r="I16857" s="3">
        <v>394</v>
      </c>
      <c r="J16857" s="3">
        <v>302</v>
      </c>
      <c r="K16857" s="3">
        <v>1483</v>
      </c>
      <c r="L16857" s="3">
        <v>1</v>
      </c>
      <c r="M16857" s="3">
        <v>392</v>
      </c>
    </row>
    <row r="16858" spans="1:13" x14ac:dyDescent="0.25">
      <c r="A16858" s="1" t="str">
        <f>HYPERLINK("http://www.rosaceae.org/Prunus/Prunus_persica/p.persica_gdr_reftransV1_0010957","p.persica_gdr_reftransV1_0010957")</f>
        <v>p.persica_gdr_reftransV1_0010957</v>
      </c>
      <c r="B16858" s="3">
        <v>886</v>
      </c>
      <c r="C16858" s="1" t="str">
        <f>HYPERLINK("http://www.uniprot.org/uniprot/PPR53_ARATH","PPR53_ARATH")</f>
        <v>PPR53_ARATH</v>
      </c>
      <c r="D16858" t="s">
        <v>1197</v>
      </c>
      <c r="E16858" s="3" t="s">
        <v>3</v>
      </c>
      <c r="F16858" s="4">
        <v>1.39E-121</v>
      </c>
      <c r="G16858" s="3">
        <v>955</v>
      </c>
      <c r="H16858" s="3">
        <v>58</v>
      </c>
      <c r="I16858" s="3">
        <v>293</v>
      </c>
      <c r="J16858" s="3">
        <v>6</v>
      </c>
      <c r="K16858" s="3">
        <v>884</v>
      </c>
      <c r="L16858" s="3">
        <v>191</v>
      </c>
      <c r="M16858" s="3">
        <v>483</v>
      </c>
    </row>
    <row r="16859" spans="1:13" x14ac:dyDescent="0.25">
      <c r="A16859" s="1" t="str">
        <f>HYPERLINK("http://www.rosaceae.org/Prunus/Prunus_persica/p.persica_gdr_reftransV1_0011107","p.persica_gdr_reftransV1_0011107")</f>
        <v>p.persica_gdr_reftransV1_0011107</v>
      </c>
      <c r="B16859" s="3">
        <v>2726</v>
      </c>
      <c r="C16859" s="1" t="str">
        <f>HYPERLINK("http://www.uniprot.org/uniprot/Y5162_ARATH","Y5162_ARATH")</f>
        <v>Y5162_ARATH</v>
      </c>
      <c r="D16859" t="s">
        <v>3184</v>
      </c>
      <c r="E16859" s="3" t="s">
        <v>3</v>
      </c>
      <c r="F16859" s="4">
        <v>1.16E-29</v>
      </c>
      <c r="G16859" s="3">
        <v>324</v>
      </c>
      <c r="H16859" s="3">
        <v>36</v>
      </c>
      <c r="I16859" s="3">
        <v>259</v>
      </c>
      <c r="J16859" s="3">
        <v>1159</v>
      </c>
      <c r="K16859" s="3">
        <v>1908</v>
      </c>
      <c r="L16859" s="3">
        <v>161</v>
      </c>
      <c r="M16859" s="3">
        <v>412</v>
      </c>
    </row>
    <row r="16860" spans="1:13" x14ac:dyDescent="0.25">
      <c r="A16860" s="1" t="str">
        <f>HYPERLINK("http://www.rosaceae.org/Prunus/Prunus_persica/p.persica_gdr_reftransV1_0011157","p.persica_gdr_reftransV1_0011157")</f>
        <v>p.persica_gdr_reftransV1_0011157</v>
      </c>
      <c r="B16860" s="3">
        <v>2106</v>
      </c>
      <c r="C16860" s="1" t="str">
        <f>HYPERLINK("http://www.uniprot.org/uniprot/CPY57_ARATH","CPY57_ARATH")</f>
        <v>CPY57_ARATH</v>
      </c>
      <c r="D16860" t="s">
        <v>10483</v>
      </c>
      <c r="E16860" s="3" t="s">
        <v>3</v>
      </c>
      <c r="F16860" s="4">
        <v>0</v>
      </c>
      <c r="G16860" s="3">
        <v>1419</v>
      </c>
      <c r="H16860" s="3">
        <v>67</v>
      </c>
      <c r="I16860" s="3">
        <v>508</v>
      </c>
      <c r="J16860" s="3">
        <v>152</v>
      </c>
      <c r="K16860" s="3">
        <v>1639</v>
      </c>
      <c r="L16860" s="3">
        <v>1</v>
      </c>
      <c r="M16860" s="3">
        <v>504</v>
      </c>
    </row>
    <row r="16861" spans="1:13" x14ac:dyDescent="0.25">
      <c r="A16861" s="1" t="str">
        <f>HYPERLINK("http://www.rosaceae.org/Prunus/Prunus_persica/p.persica_gdr_reftransV1_0011257","p.persica_gdr_reftransV1_0011257")</f>
        <v>p.persica_gdr_reftransV1_0011257</v>
      </c>
      <c r="B16861" s="3">
        <v>2497</v>
      </c>
      <c r="C16861" s="1" t="str">
        <f>HYPERLINK("http://www.uniprot.org/uniprot/FDH_SOLTU","FDH_SOLTU")</f>
        <v>FDH_SOLTU</v>
      </c>
      <c r="D16861" t="s">
        <v>3650</v>
      </c>
      <c r="E16861" s="3" t="s">
        <v>11</v>
      </c>
      <c r="F16861" s="4">
        <v>5.5100000000000001E-174</v>
      </c>
      <c r="G16861" s="3">
        <v>1323</v>
      </c>
      <c r="H16861" s="3">
        <v>82</v>
      </c>
      <c r="I16861" s="3">
        <v>311</v>
      </c>
      <c r="J16861" s="3">
        <v>719</v>
      </c>
      <c r="K16861" s="3">
        <v>1651</v>
      </c>
      <c r="L16861" s="3">
        <v>1</v>
      </c>
      <c r="M16861" s="3">
        <v>307</v>
      </c>
    </row>
    <row r="16862" spans="1:13" x14ac:dyDescent="0.25">
      <c r="A16862" s="1" t="str">
        <f>HYPERLINK("http://www.rosaceae.org/Prunus/Prunus_persica/p.persica_gdr_reftransV1_0011407","p.persica_gdr_reftransV1_0011407")</f>
        <v>p.persica_gdr_reftransV1_0011407</v>
      </c>
      <c r="B16862" s="3">
        <v>1194</v>
      </c>
      <c r="C16862" s="1" t="str">
        <f>HYPERLINK("http://www.uniprot.org/uniprot/Y1176_ORYSJ","Y1176_ORYSJ")</f>
        <v>Y1176_ORYSJ</v>
      </c>
      <c r="D16862" t="s">
        <v>10424</v>
      </c>
      <c r="E16862" s="3" t="s">
        <v>38</v>
      </c>
      <c r="F16862" s="4">
        <v>1.43E-13</v>
      </c>
      <c r="G16862" s="3">
        <v>184</v>
      </c>
      <c r="H16862" s="3">
        <v>39</v>
      </c>
      <c r="I16862" s="3">
        <v>107</v>
      </c>
      <c r="J16862" s="3">
        <v>506</v>
      </c>
      <c r="K16862" s="3">
        <v>820</v>
      </c>
      <c r="L16862" s="3">
        <v>275</v>
      </c>
      <c r="M16862" s="3">
        <v>381</v>
      </c>
    </row>
    <row r="16863" spans="1:13" x14ac:dyDescent="0.25">
      <c r="A16863" s="1" t="str">
        <f>HYPERLINK("http://www.rosaceae.org/Prunus/Prunus_persica/p.persica_gdr_reftransV1_0011557","p.persica_gdr_reftransV1_0011557")</f>
        <v>p.persica_gdr_reftransV1_0011557</v>
      </c>
      <c r="B16863" s="3">
        <v>837</v>
      </c>
      <c r="C16863" s="1" t="str">
        <f>HYPERLINK("http://www.uniprot.org/uniprot/PLMT_ARATH","PLMT_ARATH")</f>
        <v>PLMT_ARATH</v>
      </c>
      <c r="D16863" t="s">
        <v>10484</v>
      </c>
      <c r="E16863" s="3" t="s">
        <v>3</v>
      </c>
      <c r="F16863" s="4">
        <v>2.6499999999999998E-85</v>
      </c>
      <c r="G16863" s="3">
        <v>661</v>
      </c>
      <c r="H16863" s="3">
        <v>76</v>
      </c>
      <c r="I16863" s="3">
        <v>161</v>
      </c>
      <c r="J16863" s="3">
        <v>307</v>
      </c>
      <c r="K16863" s="3">
        <v>789</v>
      </c>
      <c r="L16863" s="3">
        <v>1</v>
      </c>
      <c r="M16863" s="3">
        <v>161</v>
      </c>
    </row>
    <row r="16864" spans="1:13" x14ac:dyDescent="0.25">
      <c r="A16864" s="1" t="str">
        <f>HYPERLINK("http://www.rosaceae.org/Prunus/Prunus_persica/p.persica_gdr_reftransV1_0011607","p.persica_gdr_reftransV1_0011607")</f>
        <v>p.persica_gdr_reftransV1_0011607</v>
      </c>
      <c r="B16864" s="3">
        <v>2740</v>
      </c>
      <c r="C16864" s="1" t="str">
        <f>HYPERLINK("http://www.uniprot.org/uniprot/AEE7_ARATH","AEE7_ARATH")</f>
        <v>AEE7_ARATH</v>
      </c>
      <c r="D16864" t="s">
        <v>10485</v>
      </c>
      <c r="E16864" s="3" t="s">
        <v>3</v>
      </c>
      <c r="F16864" s="4">
        <v>6.7800000000000004E-161</v>
      </c>
      <c r="G16864" s="3">
        <v>1261</v>
      </c>
      <c r="H16864" s="3">
        <v>77</v>
      </c>
      <c r="I16864" s="3">
        <v>298</v>
      </c>
      <c r="J16864" s="3">
        <v>1415</v>
      </c>
      <c r="K16864" s="3">
        <v>2308</v>
      </c>
      <c r="L16864" s="3">
        <v>272</v>
      </c>
      <c r="M16864" s="3">
        <v>569</v>
      </c>
    </row>
    <row r="16865" spans="1:13" x14ac:dyDescent="0.25">
      <c r="A16865" s="1" t="str">
        <f>HYPERLINK("http://www.rosaceae.org/Prunus/Prunus_persica/p.persica_gdr_reftransV1_0011707","p.persica_gdr_reftransV1_0011707")</f>
        <v>p.persica_gdr_reftransV1_0011707</v>
      </c>
      <c r="B16865" s="3">
        <v>1599</v>
      </c>
      <c r="C16865" s="1" t="str">
        <f>HYPERLINK("http://www.uniprot.org/uniprot/ACBP2_ARATH","ACBP2_ARATH")</f>
        <v>ACBP2_ARATH</v>
      </c>
      <c r="D16865" t="s">
        <v>10486</v>
      </c>
      <c r="E16865" s="3" t="s">
        <v>3</v>
      </c>
      <c r="F16865" s="4">
        <v>1.8600000000000001E-142</v>
      </c>
      <c r="G16865" s="3">
        <v>1084</v>
      </c>
      <c r="H16865" s="3">
        <v>66</v>
      </c>
      <c r="I16865" s="3">
        <v>353</v>
      </c>
      <c r="J16865" s="3">
        <v>235</v>
      </c>
      <c r="K16865" s="3">
        <v>1275</v>
      </c>
      <c r="L16865" s="3">
        <v>1</v>
      </c>
      <c r="M16865" s="3">
        <v>347</v>
      </c>
    </row>
    <row r="16866" spans="1:13" x14ac:dyDescent="0.25">
      <c r="A16866" s="1" t="str">
        <f>HYPERLINK("http://www.rosaceae.org/Prunus/Prunus_persica/p.persica_gdr_reftransV1_0011757","p.persica_gdr_reftransV1_0011757")</f>
        <v>p.persica_gdr_reftransV1_0011757</v>
      </c>
      <c r="B16866" s="3">
        <v>1282</v>
      </c>
      <c r="C16866" s="1" t="str">
        <f>HYPERLINK("http://www.uniprot.org/uniprot/RMA1_CAPAN","RMA1_CAPAN")</f>
        <v>RMA1_CAPAN</v>
      </c>
      <c r="D16866" t="s">
        <v>587</v>
      </c>
      <c r="E16866" s="3" t="s">
        <v>588</v>
      </c>
      <c r="F16866" s="4">
        <v>4.1199999999999999E-42</v>
      </c>
      <c r="G16866" s="3">
        <v>390</v>
      </c>
      <c r="H16866" s="3">
        <v>41</v>
      </c>
      <c r="I16866" s="3">
        <v>245</v>
      </c>
      <c r="J16866" s="3">
        <v>394</v>
      </c>
      <c r="K16866" s="3">
        <v>1116</v>
      </c>
      <c r="L16866" s="3">
        <v>18</v>
      </c>
      <c r="M16866" s="3">
        <v>237</v>
      </c>
    </row>
    <row r="16867" spans="1:13" x14ac:dyDescent="0.25">
      <c r="A16867" s="1" t="str">
        <f>HYPERLINK("http://www.rosaceae.org/Prunus/Prunus_persica/p.persica_gdr_reftransV1_0012157","p.persica_gdr_reftransV1_0012157")</f>
        <v>p.persica_gdr_reftransV1_0012157</v>
      </c>
      <c r="B16867" s="3">
        <v>1043</v>
      </c>
      <c r="C16867" s="1" t="str">
        <f>HYPERLINK("http://www.uniprot.org/uniprot/PP360_ARATH","PP360_ARATH")</f>
        <v>PP360_ARATH</v>
      </c>
      <c r="D16867" t="s">
        <v>7516</v>
      </c>
      <c r="E16867" s="3" t="s">
        <v>3</v>
      </c>
      <c r="F16867" s="4">
        <v>7.27E-90</v>
      </c>
      <c r="G16867" s="3">
        <v>744</v>
      </c>
      <c r="H16867" s="3">
        <v>65</v>
      </c>
      <c r="I16867" s="3">
        <v>199</v>
      </c>
      <c r="J16867" s="3">
        <v>453</v>
      </c>
      <c r="K16867" s="3">
        <v>1043</v>
      </c>
      <c r="L16867" s="3">
        <v>530</v>
      </c>
      <c r="M16867" s="3">
        <v>728</v>
      </c>
    </row>
    <row r="16868" spans="1:13" x14ac:dyDescent="0.25">
      <c r="A16868" s="1" t="str">
        <f>HYPERLINK("http://www.rosaceae.org/Prunus/Prunus_persica/p.persica_gdr_reftransV1_0012207","p.persica_gdr_reftransV1_0012207")</f>
        <v>p.persica_gdr_reftransV1_0012207</v>
      </c>
      <c r="B16868" s="3">
        <v>3025</v>
      </c>
      <c r="C16868" s="1" t="str">
        <f>HYPERLINK("http://www.uniprot.org/uniprot/PP222_ARATH","PP222_ARATH")</f>
        <v>PP222_ARATH</v>
      </c>
      <c r="D16868" t="s">
        <v>10487</v>
      </c>
      <c r="E16868" s="3" t="s">
        <v>3</v>
      </c>
      <c r="F16868" s="4">
        <v>0</v>
      </c>
      <c r="G16868" s="3">
        <v>2574</v>
      </c>
      <c r="H16868" s="3">
        <v>72</v>
      </c>
      <c r="I16868" s="3">
        <v>694</v>
      </c>
      <c r="J16868" s="3">
        <v>763</v>
      </c>
      <c r="K16868" s="3">
        <v>2751</v>
      </c>
      <c r="L16868" s="3">
        <v>83</v>
      </c>
      <c r="M16868" s="3">
        <v>775</v>
      </c>
    </row>
    <row r="16869" spans="1:13" x14ac:dyDescent="0.25">
      <c r="A16869" s="1" t="str">
        <f>HYPERLINK("http://www.rosaceae.org/Prunus/Prunus_persica/p.persica_gdr_reftransV1_0012257","p.persica_gdr_reftransV1_0012257")</f>
        <v>p.persica_gdr_reftransV1_0012257</v>
      </c>
      <c r="B16869" s="3">
        <v>1128</v>
      </c>
      <c r="C16869" s="1" t="str">
        <f>HYPERLINK("http://www.uniprot.org/uniprot/LEA14_SOYBN","LEA14_SOYBN")</f>
        <v>LEA14_SOYBN</v>
      </c>
      <c r="D16869" t="s">
        <v>8222</v>
      </c>
      <c r="E16869" s="3" t="s">
        <v>307</v>
      </c>
      <c r="F16869" s="4">
        <v>7.5700000000000001E-67</v>
      </c>
      <c r="G16869" s="3">
        <v>546</v>
      </c>
      <c r="H16869" s="3">
        <v>68</v>
      </c>
      <c r="I16869" s="3">
        <v>147</v>
      </c>
      <c r="J16869" s="3">
        <v>97</v>
      </c>
      <c r="K16869" s="3">
        <v>537</v>
      </c>
      <c r="L16869" s="3">
        <v>1</v>
      </c>
      <c r="M16869" s="3">
        <v>147</v>
      </c>
    </row>
    <row r="16870" spans="1:13" x14ac:dyDescent="0.25">
      <c r="A16870" s="1" t="str">
        <f>HYPERLINK("http://www.rosaceae.org/Prunus/Prunus_persica/p.persica_gdr_reftransV1_0012607","p.persica_gdr_reftransV1_0012607")</f>
        <v>p.persica_gdr_reftransV1_0012607</v>
      </c>
      <c r="B16870" s="3">
        <v>2607</v>
      </c>
      <c r="C16870" s="1" t="str">
        <f>HYPERLINK("http://www.uniprot.org/uniprot/WTR42_ARATH","WTR42_ARATH")</f>
        <v>WTR42_ARATH</v>
      </c>
      <c r="D16870" t="s">
        <v>5789</v>
      </c>
      <c r="E16870" s="3" t="s">
        <v>3</v>
      </c>
      <c r="F16870" s="4">
        <v>1.65E-77</v>
      </c>
      <c r="G16870" s="3">
        <v>669</v>
      </c>
      <c r="H16870" s="3">
        <v>42</v>
      </c>
      <c r="I16870" s="3">
        <v>381</v>
      </c>
      <c r="J16870" s="3">
        <v>1218</v>
      </c>
      <c r="K16870" s="3">
        <v>2342</v>
      </c>
      <c r="L16870" s="3">
        <v>19</v>
      </c>
      <c r="M16870" s="3">
        <v>361</v>
      </c>
    </row>
    <row r="16871" spans="1:13" x14ac:dyDescent="0.25">
      <c r="A16871" s="1" t="str">
        <f>HYPERLINK("http://www.rosaceae.org/Prunus/Prunus_persica/p.persica_gdr_reftransV1_0012807","p.persica_gdr_reftransV1_0012807")</f>
        <v>p.persica_gdr_reftransV1_0012807</v>
      </c>
      <c r="B16871" s="3">
        <v>1938</v>
      </c>
      <c r="C16871" s="1" t="str">
        <f>HYPERLINK("http://www.uniprot.org/uniprot/FBL75_ARATH","FBL75_ARATH")</f>
        <v>FBL75_ARATH</v>
      </c>
      <c r="D16871" t="s">
        <v>10488</v>
      </c>
      <c r="E16871" s="3" t="s">
        <v>3</v>
      </c>
      <c r="F16871" s="4">
        <v>7.8600000000000002E-42</v>
      </c>
      <c r="G16871" s="3">
        <v>404</v>
      </c>
      <c r="H16871" s="3">
        <v>38</v>
      </c>
      <c r="I16871" s="3">
        <v>378</v>
      </c>
      <c r="J16871" s="3">
        <v>330</v>
      </c>
      <c r="K16871" s="3">
        <v>1409</v>
      </c>
      <c r="L16871" s="3">
        <v>8</v>
      </c>
      <c r="M16871" s="3">
        <v>359</v>
      </c>
    </row>
    <row r="16872" spans="1:13" x14ac:dyDescent="0.25">
      <c r="A16872" s="1" t="str">
        <f>HYPERLINK("http://www.rosaceae.org/Prunus/Prunus_persica/p.persica_gdr_reftransV1_0012907","p.persica_gdr_reftransV1_0012907")</f>
        <v>p.persica_gdr_reftransV1_0012907</v>
      </c>
      <c r="B16872" s="3">
        <v>1577</v>
      </c>
      <c r="C16872" s="1" t="str">
        <f>HYPERLINK("http://www.uniprot.org/uniprot/ACFR2_ARATH","ACFR2_ARATH")</f>
        <v>ACFR2_ARATH</v>
      </c>
      <c r="D16872" t="s">
        <v>10489</v>
      </c>
      <c r="E16872" s="3" t="s">
        <v>3</v>
      </c>
      <c r="F16872" s="4">
        <v>5.5199999999999996E-66</v>
      </c>
      <c r="G16872" s="3">
        <v>559</v>
      </c>
      <c r="H16872" s="3">
        <v>76</v>
      </c>
      <c r="I16872" s="3">
        <v>145</v>
      </c>
      <c r="J16872" s="3">
        <v>310</v>
      </c>
      <c r="K16872" s="3">
        <v>744</v>
      </c>
      <c r="L16872" s="3">
        <v>52</v>
      </c>
      <c r="M16872" s="3">
        <v>196</v>
      </c>
    </row>
    <row r="16873" spans="1:13" x14ac:dyDescent="0.25">
      <c r="A16873" s="1" t="str">
        <f>HYPERLINK("http://www.rosaceae.org/Prunus/Prunus_persica/p.persica_gdr_reftransV1_0013007","p.persica_gdr_reftransV1_0013007")</f>
        <v>p.persica_gdr_reftransV1_0013007</v>
      </c>
      <c r="B16873" s="3">
        <v>1101</v>
      </c>
      <c r="C16873" s="1" t="str">
        <f>HYPERLINK("http://www.uniprot.org/uniprot/Y6944_ORYSJ","Y6944_ORYSJ")</f>
        <v>Y6944_ORYSJ</v>
      </c>
      <c r="D16873" t="s">
        <v>8171</v>
      </c>
      <c r="E16873" s="3" t="s">
        <v>38</v>
      </c>
      <c r="F16873" s="4">
        <v>2.4900000000000001E-70</v>
      </c>
      <c r="G16873" s="3">
        <v>577</v>
      </c>
      <c r="H16873" s="3">
        <v>58</v>
      </c>
      <c r="I16873" s="3">
        <v>226</v>
      </c>
      <c r="J16873" s="3">
        <v>102</v>
      </c>
      <c r="K16873" s="3">
        <v>758</v>
      </c>
      <c r="L16873" s="3">
        <v>7</v>
      </c>
      <c r="M16873" s="3">
        <v>229</v>
      </c>
    </row>
    <row r="16874" spans="1:13" x14ac:dyDescent="0.25">
      <c r="A16874" s="1" t="str">
        <f>HYPERLINK("http://www.rosaceae.org/Prunus/Prunus_persica/p.persica_gdr_reftransV1_0013057","p.persica_gdr_reftransV1_0013057")</f>
        <v>p.persica_gdr_reftransV1_0013057</v>
      </c>
      <c r="B16874" s="3">
        <v>5060</v>
      </c>
      <c r="C16874" s="1" t="str">
        <f>HYPERLINK("http://www.uniprot.org/uniprot/PDR2_NICPL","PDR2_NICPL")</f>
        <v>PDR2_NICPL</v>
      </c>
      <c r="D16874" t="s">
        <v>2532</v>
      </c>
      <c r="E16874" s="3" t="s">
        <v>1450</v>
      </c>
      <c r="F16874" s="4">
        <v>0</v>
      </c>
      <c r="G16874" s="3">
        <v>5752</v>
      </c>
      <c r="H16874" s="3">
        <v>79</v>
      </c>
      <c r="I16874" s="3">
        <v>1405</v>
      </c>
      <c r="J16874" s="3">
        <v>539</v>
      </c>
      <c r="K16874" s="3">
        <v>4747</v>
      </c>
      <c r="L16874" s="3">
        <v>58</v>
      </c>
      <c r="M16874" s="3">
        <v>1461</v>
      </c>
    </row>
    <row r="16875" spans="1:13" x14ac:dyDescent="0.25">
      <c r="A16875" s="1" t="str">
        <f>HYPERLINK("http://www.rosaceae.org/Prunus/Prunus_persica/p.persica_gdr_reftransV1_0013507","p.persica_gdr_reftransV1_0013507")</f>
        <v>p.persica_gdr_reftransV1_0013507</v>
      </c>
      <c r="B16875" s="3">
        <v>847</v>
      </c>
      <c r="C16875" s="1" t="str">
        <f>HYPERLINK("http://www.uniprot.org/uniprot/PP169_ARATH","PP169_ARATH")</f>
        <v>PP169_ARATH</v>
      </c>
      <c r="D16875" t="s">
        <v>1957</v>
      </c>
      <c r="E16875" s="3" t="s">
        <v>3</v>
      </c>
      <c r="F16875" s="4">
        <v>3.5900000000000001E-52</v>
      </c>
      <c r="G16875" s="3">
        <v>471</v>
      </c>
      <c r="H16875" s="3">
        <v>50</v>
      </c>
      <c r="I16875" s="3">
        <v>175</v>
      </c>
      <c r="J16875" s="3">
        <v>2</v>
      </c>
      <c r="K16875" s="3">
        <v>526</v>
      </c>
      <c r="L16875" s="3">
        <v>471</v>
      </c>
      <c r="M16875" s="3">
        <v>644</v>
      </c>
    </row>
    <row r="16876" spans="1:13" x14ac:dyDescent="0.25">
      <c r="A16876" s="1" t="str">
        <f>HYPERLINK("http://www.rosaceae.org/Prunus/Prunus_persica/p.persica_gdr_reftransV1_0013707","p.persica_gdr_reftransV1_0013707")</f>
        <v>p.persica_gdr_reftransV1_0013707</v>
      </c>
      <c r="B16876" s="3">
        <v>1575</v>
      </c>
      <c r="C16876" s="1" t="str">
        <f>HYPERLINK("http://www.uniprot.org/uniprot/DDRGK_ARATH","DDRGK_ARATH")</f>
        <v>DDRGK_ARATH</v>
      </c>
      <c r="D16876" t="s">
        <v>10490</v>
      </c>
      <c r="E16876" s="3" t="s">
        <v>3</v>
      </c>
      <c r="F16876" s="4">
        <v>5.8600000000000006E-73</v>
      </c>
      <c r="G16876" s="3">
        <v>612</v>
      </c>
      <c r="H16876" s="3">
        <v>83</v>
      </c>
      <c r="I16876" s="3">
        <v>180</v>
      </c>
      <c r="J16876" s="3">
        <v>801</v>
      </c>
      <c r="K16876" s="3">
        <v>1334</v>
      </c>
      <c r="L16876" s="3">
        <v>120</v>
      </c>
      <c r="M16876" s="3">
        <v>298</v>
      </c>
    </row>
    <row r="16877" spans="1:13" x14ac:dyDescent="0.25">
      <c r="A16877" s="1" t="str">
        <f>HYPERLINK("http://www.rosaceae.org/Prunus/Prunus_persica/p.persica_gdr_reftransV1_0013757","p.persica_gdr_reftransV1_0013757")</f>
        <v>p.persica_gdr_reftransV1_0013757</v>
      </c>
      <c r="B16877" s="3">
        <v>3071</v>
      </c>
      <c r="C16877" s="1" t="str">
        <f>HYPERLINK("http://www.uniprot.org/uniprot/PYRG_DICDI","PYRG_DICDI")</f>
        <v>PYRG_DICDI</v>
      </c>
      <c r="D16877" t="s">
        <v>4396</v>
      </c>
      <c r="E16877" s="3" t="s">
        <v>9</v>
      </c>
      <c r="F16877" s="4">
        <v>1.16E-163</v>
      </c>
      <c r="G16877" s="3">
        <v>1288</v>
      </c>
      <c r="H16877" s="3">
        <v>56</v>
      </c>
      <c r="I16877" s="3">
        <v>535</v>
      </c>
      <c r="J16877" s="3">
        <v>441</v>
      </c>
      <c r="K16877" s="3">
        <v>2000</v>
      </c>
      <c r="L16877" s="3">
        <v>1</v>
      </c>
      <c r="M16877" s="3">
        <v>480</v>
      </c>
    </row>
    <row r="16878" spans="1:13" x14ac:dyDescent="0.25">
      <c r="A16878" s="1" t="str">
        <f>HYPERLINK("http://www.rosaceae.org/Prunus/Prunus_persica/p.persica_gdr_reftransV1_0013957","p.persica_gdr_reftransV1_0013957")</f>
        <v>p.persica_gdr_reftransV1_0013957</v>
      </c>
      <c r="B16878" s="3">
        <v>1230</v>
      </c>
      <c r="C16878" s="1" t="str">
        <f>HYPERLINK("http://www.uniprot.org/uniprot/PNC1_ARATH","PNC1_ARATH")</f>
        <v>PNC1_ARATH</v>
      </c>
      <c r="D16878" t="s">
        <v>9809</v>
      </c>
      <c r="E16878" s="3" t="s">
        <v>3</v>
      </c>
      <c r="F16878" s="4">
        <v>2.6300000000000002E-106</v>
      </c>
      <c r="G16878" s="3">
        <v>829</v>
      </c>
      <c r="H16878" s="3">
        <v>75</v>
      </c>
      <c r="I16878" s="3">
        <v>259</v>
      </c>
      <c r="J16878" s="3">
        <v>35</v>
      </c>
      <c r="K16878" s="3">
        <v>805</v>
      </c>
      <c r="L16878" s="3">
        <v>43</v>
      </c>
      <c r="M16878" s="3">
        <v>301</v>
      </c>
    </row>
    <row r="16879" spans="1:13" x14ac:dyDescent="0.25">
      <c r="A16879" s="1" t="str">
        <f>HYPERLINK("http://www.rosaceae.org/Prunus/Prunus_persica/p.persica_gdr_reftransV1_0014007","p.persica_gdr_reftransV1_0014007")</f>
        <v>p.persica_gdr_reftransV1_0014007</v>
      </c>
      <c r="B16879" s="3">
        <v>7168</v>
      </c>
      <c r="C16879" s="1" t="str">
        <f>HYPERLINK("http://www.uniprot.org/uniprot/PSAA_EUCGG","PSAA_EUCGG")</f>
        <v>PSAA_EUCGG</v>
      </c>
      <c r="D16879" t="s">
        <v>10491</v>
      </c>
      <c r="E16879" s="3" t="s">
        <v>10492</v>
      </c>
      <c r="F16879" s="4">
        <v>0</v>
      </c>
      <c r="G16879" s="3">
        <v>3739</v>
      </c>
      <c r="H16879" s="3">
        <v>99</v>
      </c>
      <c r="I16879" s="3">
        <v>750</v>
      </c>
      <c r="J16879" s="3">
        <v>2855</v>
      </c>
      <c r="K16879" s="3">
        <v>5104</v>
      </c>
      <c r="L16879" s="3">
        <v>1</v>
      </c>
      <c r="M16879" s="3">
        <v>750</v>
      </c>
    </row>
    <row r="16880" spans="1:13" x14ac:dyDescent="0.25">
      <c r="A16880" s="1" t="str">
        <f>HYPERLINK("http://www.rosaceae.org/Prunus/Prunus_persica/p.persica_gdr_reftransV1_0014107","p.persica_gdr_reftransV1_0014107")</f>
        <v>p.persica_gdr_reftransV1_0014107</v>
      </c>
      <c r="B16880" s="3">
        <v>1082</v>
      </c>
      <c r="C16880" s="1" t="str">
        <f>HYPERLINK("http://www.uniprot.org/uniprot/XTH10_ARATH","XTH10_ARATH")</f>
        <v>XTH10_ARATH</v>
      </c>
      <c r="D16880" t="s">
        <v>10493</v>
      </c>
      <c r="E16880" s="3" t="s">
        <v>3</v>
      </c>
      <c r="F16880" s="4">
        <v>4.3899999999999999E-159</v>
      </c>
      <c r="G16880" s="3">
        <v>1171</v>
      </c>
      <c r="H16880" s="3">
        <v>74</v>
      </c>
      <c r="I16880" s="3">
        <v>274</v>
      </c>
      <c r="J16880" s="3">
        <v>73</v>
      </c>
      <c r="K16880" s="3">
        <v>894</v>
      </c>
      <c r="L16880" s="3">
        <v>26</v>
      </c>
      <c r="M16880" s="3">
        <v>299</v>
      </c>
    </row>
    <row r="16881" spans="1:13" x14ac:dyDescent="0.25">
      <c r="A16881" s="1" t="str">
        <f>HYPERLINK("http://www.rosaceae.org/Prunus/Prunus_persica/p.persica_gdr_reftransV1_0014157","p.persica_gdr_reftransV1_0014157")</f>
        <v>p.persica_gdr_reftransV1_0014157</v>
      </c>
      <c r="B16881" s="3">
        <v>1765</v>
      </c>
      <c r="C16881" s="1" t="str">
        <f>HYPERLINK("http://www.uniprot.org/uniprot/ATL7_ARATH","ATL7_ARATH")</f>
        <v>ATL7_ARATH</v>
      </c>
      <c r="D16881" t="s">
        <v>1289</v>
      </c>
      <c r="E16881" s="3" t="s">
        <v>3</v>
      </c>
      <c r="F16881" s="4">
        <v>3.0699999999999998E-17</v>
      </c>
      <c r="G16881" s="3">
        <v>211</v>
      </c>
      <c r="H16881" s="3">
        <v>33</v>
      </c>
      <c r="I16881" s="3">
        <v>163</v>
      </c>
      <c r="J16881" s="3">
        <v>587</v>
      </c>
      <c r="K16881" s="3">
        <v>1057</v>
      </c>
      <c r="L16881" s="3">
        <v>74</v>
      </c>
      <c r="M16881" s="3">
        <v>219</v>
      </c>
    </row>
    <row r="16882" spans="1:13" x14ac:dyDescent="0.25">
      <c r="A16882" s="1" t="str">
        <f>HYPERLINK("http://www.rosaceae.org/Prunus/Prunus_persica/p.persica_gdr_reftransV1_0014357","p.persica_gdr_reftransV1_0014357")</f>
        <v>p.persica_gdr_reftransV1_0014357</v>
      </c>
      <c r="B16882" s="3">
        <v>1245</v>
      </c>
      <c r="C16882" s="1" t="str">
        <f>HYPERLINK("http://www.uniprot.org/uniprot/RM02_ORYSJ","RM02_ORYSJ")</f>
        <v>RM02_ORYSJ</v>
      </c>
      <c r="D16882" t="s">
        <v>10494</v>
      </c>
      <c r="E16882" s="3" t="s">
        <v>38</v>
      </c>
      <c r="F16882" s="4">
        <v>1.2899999999999999E-41</v>
      </c>
      <c r="G16882" s="3">
        <v>400</v>
      </c>
      <c r="H16882" s="3">
        <v>67</v>
      </c>
      <c r="I16882" s="3">
        <v>112</v>
      </c>
      <c r="J16882" s="3">
        <v>586</v>
      </c>
      <c r="K16882" s="3">
        <v>921</v>
      </c>
      <c r="L16882" s="3">
        <v>355</v>
      </c>
      <c r="M16882" s="3">
        <v>466</v>
      </c>
    </row>
    <row r="16883" spans="1:13" x14ac:dyDescent="0.25">
      <c r="A16883" s="1" t="str">
        <f>HYPERLINK("http://www.rosaceae.org/Prunus/Prunus_persica/p.persica_gdr_reftransV1_0014507","p.persica_gdr_reftransV1_0014507")</f>
        <v>p.persica_gdr_reftransV1_0014507</v>
      </c>
      <c r="B16883" s="3">
        <v>1050</v>
      </c>
      <c r="C16883" s="1" t="str">
        <f>HYPERLINK("http://www.uniprot.org/uniprot/SDHF1_RAT","SDHF1_RAT")</f>
        <v>SDHF1_RAT</v>
      </c>
      <c r="D16883" t="s">
        <v>10495</v>
      </c>
      <c r="E16883" s="3" t="s">
        <v>161</v>
      </c>
      <c r="F16883" s="4">
        <v>1.61E-9</v>
      </c>
      <c r="G16883" s="3">
        <v>142</v>
      </c>
      <c r="H16883" s="3">
        <v>41</v>
      </c>
      <c r="I16883" s="3">
        <v>91</v>
      </c>
      <c r="J16883" s="3">
        <v>197</v>
      </c>
      <c r="K16883" s="3">
        <v>469</v>
      </c>
      <c r="L16883" s="3">
        <v>3</v>
      </c>
      <c r="M16883" s="3">
        <v>87</v>
      </c>
    </row>
    <row r="16884" spans="1:13" x14ac:dyDescent="0.25">
      <c r="A16884" s="1" t="str">
        <f>HYPERLINK("http://www.rosaceae.org/Prunus/Prunus_persica/p.persica_gdr_reftransV1_0014557","p.persica_gdr_reftransV1_0014557")</f>
        <v>p.persica_gdr_reftransV1_0014557</v>
      </c>
      <c r="B16884" s="3">
        <v>2057</v>
      </c>
      <c r="C16884" s="1" t="str">
        <f>HYPERLINK("http://www.uniprot.org/uniprot/LEUC_ARATH","LEUC_ARATH")</f>
        <v>LEUC_ARATH</v>
      </c>
      <c r="D16884" t="s">
        <v>10496</v>
      </c>
      <c r="E16884" s="3" t="s">
        <v>3</v>
      </c>
      <c r="F16884" s="4">
        <v>0</v>
      </c>
      <c r="G16884" s="3">
        <v>2237</v>
      </c>
      <c r="H16884" s="3">
        <v>82</v>
      </c>
      <c r="I16884" s="3">
        <v>496</v>
      </c>
      <c r="J16884" s="3">
        <v>200</v>
      </c>
      <c r="K16884" s="3">
        <v>1681</v>
      </c>
      <c r="L16884" s="3">
        <v>15</v>
      </c>
      <c r="M16884" s="3">
        <v>509</v>
      </c>
    </row>
    <row r="16885" spans="1:13" x14ac:dyDescent="0.25">
      <c r="A16885" s="1" t="str">
        <f>HYPERLINK("http://www.rosaceae.org/Prunus/Prunus_persica/p.persica_gdr_reftransV1_0014707","p.persica_gdr_reftransV1_0014707")</f>
        <v>p.persica_gdr_reftransV1_0014707</v>
      </c>
      <c r="B16885" s="3">
        <v>2357</v>
      </c>
      <c r="C16885" s="1" t="str">
        <f>HYPERLINK("http://www.uniprot.org/uniprot/GCS1_ARATH","GCS1_ARATH")</f>
        <v>GCS1_ARATH</v>
      </c>
      <c r="D16885" t="s">
        <v>4043</v>
      </c>
      <c r="E16885" s="3" t="s">
        <v>3</v>
      </c>
      <c r="F16885" s="4">
        <v>3.9100000000000001E-104</v>
      </c>
      <c r="G16885" s="3">
        <v>887</v>
      </c>
      <c r="H16885" s="3">
        <v>58</v>
      </c>
      <c r="I16885" s="3">
        <v>295</v>
      </c>
      <c r="J16885" s="3">
        <v>1248</v>
      </c>
      <c r="K16885" s="3">
        <v>2123</v>
      </c>
      <c r="L16885" s="3">
        <v>41</v>
      </c>
      <c r="M16885" s="3">
        <v>333</v>
      </c>
    </row>
    <row r="16886" spans="1:13" x14ac:dyDescent="0.25">
      <c r="A16886" s="1" t="str">
        <f>HYPERLINK("http://www.rosaceae.org/Prunus/Prunus_persica/p.persica_gdr_reftransV1_0014757","p.persica_gdr_reftransV1_0014757")</f>
        <v>p.persica_gdr_reftransV1_0014757</v>
      </c>
      <c r="B16886" s="3">
        <v>2952</v>
      </c>
      <c r="C16886" s="1" t="str">
        <f>HYPERLINK("http://www.uniprot.org/uniprot/SETD3_HUMAN","SETD3_HUMAN")</f>
        <v>SETD3_HUMAN</v>
      </c>
      <c r="D16886" t="s">
        <v>9063</v>
      </c>
      <c r="E16886" s="3" t="s">
        <v>28</v>
      </c>
      <c r="F16886" s="4">
        <v>1.7699999999999999E-16</v>
      </c>
      <c r="G16886" s="3">
        <v>216</v>
      </c>
      <c r="H16886" s="3">
        <v>23</v>
      </c>
      <c r="I16886" s="3">
        <v>395</v>
      </c>
      <c r="J16886" s="3">
        <v>798</v>
      </c>
      <c r="K16886" s="3">
        <v>1922</v>
      </c>
      <c r="L16886" s="3">
        <v>110</v>
      </c>
      <c r="M16886" s="3">
        <v>483</v>
      </c>
    </row>
    <row r="16887" spans="1:13" x14ac:dyDescent="0.25">
      <c r="A16887" s="1" t="str">
        <f>HYPERLINK("http://www.rosaceae.org/Prunus/Prunus_persica/p.persica_gdr_reftransV1_0014907","p.persica_gdr_reftransV1_0014907")</f>
        <v>p.persica_gdr_reftransV1_0014907</v>
      </c>
      <c r="B16887" s="3">
        <v>2282</v>
      </c>
      <c r="C16887" s="1" t="str">
        <f>HYPERLINK("http://www.uniprot.org/uniprot/CARA_ARATH","CARA_ARATH")</f>
        <v>CARA_ARATH</v>
      </c>
      <c r="D16887" t="s">
        <v>3582</v>
      </c>
      <c r="E16887" s="3" t="s">
        <v>3</v>
      </c>
      <c r="F16887" s="4">
        <v>5.6500000000000002E-128</v>
      </c>
      <c r="G16887" s="3">
        <v>1014</v>
      </c>
      <c r="H16887" s="3">
        <v>79</v>
      </c>
      <c r="I16887" s="3">
        <v>229</v>
      </c>
      <c r="J16887" s="3">
        <v>1238</v>
      </c>
      <c r="K16887" s="3">
        <v>1924</v>
      </c>
      <c r="L16887" s="3">
        <v>199</v>
      </c>
      <c r="M16887" s="3">
        <v>427</v>
      </c>
    </row>
    <row r="16888" spans="1:13" x14ac:dyDescent="0.25">
      <c r="A16888" s="1" t="str">
        <f>HYPERLINK("http://www.rosaceae.org/Prunus/Prunus_persica/p.persica_gdr_reftransV1_0015107","p.persica_gdr_reftransV1_0015107")</f>
        <v>p.persica_gdr_reftransV1_0015107</v>
      </c>
      <c r="B16888" s="3">
        <v>2420</v>
      </c>
      <c r="C16888" s="1" t="str">
        <f>HYPERLINK("http://www.uniprot.org/uniprot/DXO_ARATH","DXO_ARATH")</f>
        <v>DXO_ARATH</v>
      </c>
      <c r="D16888" t="s">
        <v>10497</v>
      </c>
      <c r="E16888" s="3" t="s">
        <v>3</v>
      </c>
      <c r="F16888" s="4">
        <v>1.3999999999999999E-177</v>
      </c>
      <c r="G16888" s="3">
        <v>1361</v>
      </c>
      <c r="H16888" s="3">
        <v>72</v>
      </c>
      <c r="I16888" s="3">
        <v>377</v>
      </c>
      <c r="J16888" s="3">
        <v>516</v>
      </c>
      <c r="K16888" s="3">
        <v>1628</v>
      </c>
      <c r="L16888" s="3">
        <v>114</v>
      </c>
      <c r="M16888" s="3">
        <v>487</v>
      </c>
    </row>
    <row r="16889" spans="1:13" x14ac:dyDescent="0.25">
      <c r="A16889" s="1" t="str">
        <f>HYPERLINK("http://www.rosaceae.org/Prunus/Prunus_persica/p.persica_gdr_reftransV1_0015207","p.persica_gdr_reftransV1_0015207")</f>
        <v>p.persica_gdr_reftransV1_0015207</v>
      </c>
      <c r="B16889" s="3">
        <v>1650</v>
      </c>
      <c r="C16889" s="1" t="str">
        <f>HYPERLINK("http://www.uniprot.org/uniprot/GDI1_ARATH","GDI1_ARATH")</f>
        <v>GDI1_ARATH</v>
      </c>
      <c r="D16889" t="s">
        <v>3665</v>
      </c>
      <c r="E16889" s="3" t="s">
        <v>3</v>
      </c>
      <c r="F16889" s="4">
        <v>0</v>
      </c>
      <c r="G16889" s="3">
        <v>1538</v>
      </c>
      <c r="H16889" s="3">
        <v>83</v>
      </c>
      <c r="I16889" s="3">
        <v>345</v>
      </c>
      <c r="J16889" s="3">
        <v>161</v>
      </c>
      <c r="K16889" s="3">
        <v>1195</v>
      </c>
      <c r="L16889" s="3">
        <v>1</v>
      </c>
      <c r="M16889" s="3">
        <v>345</v>
      </c>
    </row>
    <row r="16890" spans="1:13" x14ac:dyDescent="0.25">
      <c r="A16890" s="1" t="str">
        <f>HYPERLINK("http://www.rosaceae.org/Prunus/Prunus_persica/p.persica_gdr_reftransV1_0015257","p.persica_gdr_reftransV1_0015257")</f>
        <v>p.persica_gdr_reftransV1_0015257</v>
      </c>
      <c r="B16890" s="3">
        <v>2978</v>
      </c>
      <c r="C16890" s="1" t="str">
        <f>HYPERLINK("http://www.uniprot.org/uniprot/R144A_HUMAN","R144A_HUMAN")</f>
        <v>R144A_HUMAN</v>
      </c>
      <c r="D16890" t="s">
        <v>10498</v>
      </c>
      <c r="E16890" s="3" t="s">
        <v>28</v>
      </c>
      <c r="F16890" s="4">
        <v>8.6900000000000004E-15</v>
      </c>
      <c r="G16890" s="3">
        <v>196</v>
      </c>
      <c r="H16890" s="3">
        <v>30</v>
      </c>
      <c r="I16890" s="3">
        <v>192</v>
      </c>
      <c r="J16890" s="3">
        <v>1707</v>
      </c>
      <c r="K16890" s="3">
        <v>2264</v>
      </c>
      <c r="L16890" s="3">
        <v>15</v>
      </c>
      <c r="M16890" s="3">
        <v>205</v>
      </c>
    </row>
    <row r="16891" spans="1:13" x14ac:dyDescent="0.25">
      <c r="A16891" s="1" t="str">
        <f>HYPERLINK("http://www.rosaceae.org/Prunus/Prunus_persica/p.persica_gdr_reftransV1_0015357","p.persica_gdr_reftransV1_0015357")</f>
        <v>p.persica_gdr_reftransV1_0015357</v>
      </c>
      <c r="B16891" s="3">
        <v>2617</v>
      </c>
      <c r="C16891" s="1" t="str">
        <f>HYPERLINK("http://www.uniprot.org/uniprot/TWIH_ARATH","TWIH_ARATH")</f>
        <v>TWIH_ARATH</v>
      </c>
      <c r="D16891" t="s">
        <v>5523</v>
      </c>
      <c r="E16891" s="3" t="s">
        <v>3</v>
      </c>
      <c r="F16891" s="4">
        <v>0</v>
      </c>
      <c r="G16891" s="3">
        <v>2243</v>
      </c>
      <c r="H16891" s="3">
        <v>67</v>
      </c>
      <c r="I16891" s="3">
        <v>641</v>
      </c>
      <c r="J16891" s="3">
        <v>490</v>
      </c>
      <c r="K16891" s="3">
        <v>2406</v>
      </c>
      <c r="L16891" s="3">
        <v>59</v>
      </c>
      <c r="M16891" s="3">
        <v>693</v>
      </c>
    </row>
    <row r="16892" spans="1:13" x14ac:dyDescent="0.25">
      <c r="A16892" s="1" t="str">
        <f>HYPERLINK("http://www.rosaceae.org/Prunus/Prunus_persica/p.persica_gdr_reftransV1_0015707","p.persica_gdr_reftransV1_0015707")</f>
        <v>p.persica_gdr_reftransV1_0015707</v>
      </c>
      <c r="B16892" s="3">
        <v>2093</v>
      </c>
      <c r="C16892" s="1" t="str">
        <f>HYPERLINK("http://www.uniprot.org/uniprot/STAR7_MOUSE","STAR7_MOUSE")</f>
        <v>STAR7_MOUSE</v>
      </c>
      <c r="D16892" t="s">
        <v>7418</v>
      </c>
      <c r="E16892" s="3" t="s">
        <v>157</v>
      </c>
      <c r="F16892" s="4">
        <v>2.0499999999999999E-10</v>
      </c>
      <c r="G16892" s="3">
        <v>162</v>
      </c>
      <c r="H16892" s="3">
        <v>29</v>
      </c>
      <c r="I16892" s="3">
        <v>150</v>
      </c>
      <c r="J16892" s="3">
        <v>867</v>
      </c>
      <c r="K16892" s="3">
        <v>1301</v>
      </c>
      <c r="L16892" s="3">
        <v>137</v>
      </c>
      <c r="M16892" s="3">
        <v>280</v>
      </c>
    </row>
    <row r="16893" spans="1:13" x14ac:dyDescent="0.25">
      <c r="A16893" s="1" t="str">
        <f>HYPERLINK("http://www.rosaceae.org/Prunus/Prunus_persica/p.persica_gdr_reftransV1_0015857","p.persica_gdr_reftransV1_0015857")</f>
        <v>p.persica_gdr_reftransV1_0015857</v>
      </c>
      <c r="B16893" s="3">
        <v>427</v>
      </c>
      <c r="C16893" s="1" t="str">
        <f>HYPERLINK("http://www.uniprot.org/uniprot/YTX2_XENLA","YTX2_XENLA")</f>
        <v>YTX2_XENLA</v>
      </c>
      <c r="D16893" t="s">
        <v>2850</v>
      </c>
      <c r="E16893" s="3" t="s">
        <v>475</v>
      </c>
      <c r="F16893" s="4">
        <v>1.2199999999999999E-9</v>
      </c>
      <c r="G16893" s="3">
        <v>144</v>
      </c>
      <c r="H16893" s="3">
        <v>34</v>
      </c>
      <c r="I16893" s="3">
        <v>114</v>
      </c>
      <c r="J16893" s="3">
        <v>82</v>
      </c>
      <c r="K16893" s="3">
        <v>423</v>
      </c>
      <c r="L16893" s="3">
        <v>506</v>
      </c>
      <c r="M16893" s="3">
        <v>616</v>
      </c>
    </row>
    <row r="16894" spans="1:13" x14ac:dyDescent="0.25">
      <c r="A16894" s="1" t="str">
        <f>HYPERLINK("http://www.rosaceae.org/Prunus/Prunus_persica/p.persica_gdr_reftransV1_0016107","p.persica_gdr_reftransV1_0016107")</f>
        <v>p.persica_gdr_reftransV1_0016107</v>
      </c>
      <c r="B16894" s="3">
        <v>3199</v>
      </c>
      <c r="C16894" s="1" t="str">
        <f>HYPERLINK("http://www.uniprot.org/uniprot/IF4E3_WHEAT","IF4E3_WHEAT")</f>
        <v>IF4E3_WHEAT</v>
      </c>
      <c r="D16894" t="s">
        <v>709</v>
      </c>
      <c r="E16894" s="3" t="s">
        <v>710</v>
      </c>
      <c r="F16894" s="4">
        <v>1.04E-53</v>
      </c>
      <c r="G16894" s="3">
        <v>489</v>
      </c>
      <c r="H16894" s="3">
        <v>81</v>
      </c>
      <c r="I16894" s="3">
        <v>108</v>
      </c>
      <c r="J16894" s="3">
        <v>2608</v>
      </c>
      <c r="K16894" s="3">
        <v>2931</v>
      </c>
      <c r="L16894" s="3">
        <v>44</v>
      </c>
      <c r="M16894" s="3">
        <v>150</v>
      </c>
    </row>
    <row r="16895" spans="1:13" x14ac:dyDescent="0.25">
      <c r="A16895" s="1" t="str">
        <f>HYPERLINK("http://www.rosaceae.org/Prunus/Prunus_persica/p.persica_gdr_reftransV1_0016157","p.persica_gdr_reftransV1_0016157")</f>
        <v>p.persica_gdr_reftransV1_0016157</v>
      </c>
      <c r="B16895" s="3">
        <v>3018</v>
      </c>
      <c r="C16895" s="1" t="str">
        <f>HYPERLINK("http://www.uniprot.org/uniprot/PMT8_ARATH","PMT8_ARATH")</f>
        <v>PMT8_ARATH</v>
      </c>
      <c r="D16895" t="s">
        <v>9314</v>
      </c>
      <c r="E16895" s="3" t="s">
        <v>3</v>
      </c>
      <c r="F16895" s="4">
        <v>0</v>
      </c>
      <c r="G16895" s="3">
        <v>2496</v>
      </c>
      <c r="H16895" s="3">
        <v>79</v>
      </c>
      <c r="I16895" s="3">
        <v>632</v>
      </c>
      <c r="J16895" s="3">
        <v>829</v>
      </c>
      <c r="K16895" s="3">
        <v>2703</v>
      </c>
      <c r="L16895" s="3">
        <v>1</v>
      </c>
      <c r="M16895" s="3">
        <v>623</v>
      </c>
    </row>
    <row r="16896" spans="1:13" x14ac:dyDescent="0.25">
      <c r="A16896" s="1" t="str">
        <f>HYPERLINK("http://www.rosaceae.org/Prunus/Prunus_persica/p.persica_gdr_reftransV1_0016357","p.persica_gdr_reftransV1_0016357")</f>
        <v>p.persica_gdr_reftransV1_0016357</v>
      </c>
      <c r="B16896" s="3">
        <v>932</v>
      </c>
      <c r="C16896" s="1" t="str">
        <f>HYPERLINK("http://www.uniprot.org/uniprot/TCTP_FRAAN","TCTP_FRAAN")</f>
        <v>TCTP_FRAAN</v>
      </c>
      <c r="D16896" t="s">
        <v>2421</v>
      </c>
      <c r="E16896" s="3" t="s">
        <v>15</v>
      </c>
      <c r="F16896" s="4">
        <v>1.76E-97</v>
      </c>
      <c r="G16896" s="3">
        <v>746</v>
      </c>
      <c r="H16896" s="3">
        <v>89</v>
      </c>
      <c r="I16896" s="3">
        <v>170</v>
      </c>
      <c r="J16896" s="3">
        <v>303</v>
      </c>
      <c r="K16896" s="3">
        <v>806</v>
      </c>
      <c r="L16896" s="3">
        <v>1</v>
      </c>
      <c r="M16896" s="3">
        <v>170</v>
      </c>
    </row>
    <row r="16897" spans="1:13" x14ac:dyDescent="0.25">
      <c r="A16897" s="1" t="str">
        <f>HYPERLINK("http://www.rosaceae.org/Prunus/Prunus_persica/p.persica_gdr_reftransV1_0016457","p.persica_gdr_reftransV1_0016457")</f>
        <v>p.persica_gdr_reftransV1_0016457</v>
      </c>
      <c r="B16897" s="3">
        <v>2168</v>
      </c>
      <c r="C16897" s="1" t="str">
        <f>HYPERLINK("http://www.uniprot.org/uniprot/CASTO_LOTJA","CASTO_LOTJA")</f>
        <v>CASTO_LOTJA</v>
      </c>
      <c r="D16897" t="s">
        <v>10220</v>
      </c>
      <c r="E16897" s="3" t="s">
        <v>880</v>
      </c>
      <c r="F16897" s="4">
        <v>0</v>
      </c>
      <c r="G16897" s="3">
        <v>1852</v>
      </c>
      <c r="H16897" s="3">
        <v>78</v>
      </c>
      <c r="I16897" s="3">
        <v>513</v>
      </c>
      <c r="J16897" s="3">
        <v>95</v>
      </c>
      <c r="K16897" s="3">
        <v>1606</v>
      </c>
      <c r="L16897" s="3">
        <v>90</v>
      </c>
      <c r="M16897" s="3">
        <v>599</v>
      </c>
    </row>
    <row r="16898" spans="1:13" x14ac:dyDescent="0.25">
      <c r="A16898" s="1" t="str">
        <f>HYPERLINK("http://www.rosaceae.org/Prunus/Prunus_persica/p.persica_gdr_reftransV1_0016657","p.persica_gdr_reftransV1_0016657")</f>
        <v>p.persica_gdr_reftransV1_0016657</v>
      </c>
      <c r="B16898" s="3">
        <v>801</v>
      </c>
      <c r="C16898" s="1" t="str">
        <f>HYPERLINK("http://www.uniprot.org/uniprot/GSTF1_TOBAC","GSTF1_TOBAC")</f>
        <v>GSTF1_TOBAC</v>
      </c>
      <c r="D16898" t="s">
        <v>10499</v>
      </c>
      <c r="E16898" s="3" t="s">
        <v>200</v>
      </c>
      <c r="F16898" s="4">
        <v>1.18E-35</v>
      </c>
      <c r="G16898" s="3">
        <v>332</v>
      </c>
      <c r="H16898" s="3">
        <v>50</v>
      </c>
      <c r="I16898" s="3">
        <v>121</v>
      </c>
      <c r="J16898" s="3">
        <v>429</v>
      </c>
      <c r="K16898" s="3">
        <v>791</v>
      </c>
      <c r="L16898" s="3">
        <v>3</v>
      </c>
      <c r="M16898" s="3">
        <v>122</v>
      </c>
    </row>
    <row r="16899" spans="1:13" x14ac:dyDescent="0.25">
      <c r="A16899" s="1" t="str">
        <f>HYPERLINK("http://www.rosaceae.org/Prunus/Prunus_persica/p.persica_gdr_reftransV1_0017057","p.persica_gdr_reftransV1_0017057")</f>
        <v>p.persica_gdr_reftransV1_0017057</v>
      </c>
      <c r="B16899" s="3">
        <v>1701</v>
      </c>
      <c r="C16899" s="1" t="str">
        <f>HYPERLINK("http://www.uniprot.org/uniprot/ZDP_ARATH","ZDP_ARATH")</f>
        <v>ZDP_ARATH</v>
      </c>
      <c r="D16899" t="s">
        <v>10500</v>
      </c>
      <c r="E16899" s="3" t="s">
        <v>3</v>
      </c>
      <c r="F16899" s="4">
        <v>4.1700000000000001E-129</v>
      </c>
      <c r="G16899" s="3">
        <v>1028</v>
      </c>
      <c r="H16899" s="3">
        <v>60</v>
      </c>
      <c r="I16899" s="3">
        <v>360</v>
      </c>
      <c r="J16899" s="3">
        <v>406</v>
      </c>
      <c r="K16899" s="3">
        <v>1434</v>
      </c>
      <c r="L16899" s="3">
        <v>326</v>
      </c>
      <c r="M16899" s="3">
        <v>685</v>
      </c>
    </row>
    <row r="16900" spans="1:13" x14ac:dyDescent="0.25">
      <c r="A16900" s="1" t="str">
        <f>HYPERLINK("http://www.rosaceae.org/Prunus/Prunus_persica/p.persica_gdr_reftransV1_0017407","p.persica_gdr_reftransV1_0017407")</f>
        <v>p.persica_gdr_reftransV1_0017407</v>
      </c>
      <c r="B16900" s="3">
        <v>1513</v>
      </c>
      <c r="C16900" s="1" t="str">
        <f>HYPERLINK("http://www.uniprot.org/uniprot/RTNLC_ARATH","RTNLC_ARATH")</f>
        <v>RTNLC_ARATH</v>
      </c>
      <c r="D16900" t="s">
        <v>7230</v>
      </c>
      <c r="E16900" s="3" t="s">
        <v>3</v>
      </c>
      <c r="F16900" s="4">
        <v>1.13E-51</v>
      </c>
      <c r="G16900" s="3">
        <v>461</v>
      </c>
      <c r="H16900" s="3">
        <v>67</v>
      </c>
      <c r="I16900" s="3">
        <v>169</v>
      </c>
      <c r="J16900" s="3">
        <v>884</v>
      </c>
      <c r="K16900" s="3">
        <v>1390</v>
      </c>
      <c r="L16900" s="3">
        <v>6</v>
      </c>
      <c r="M16900" s="3">
        <v>172</v>
      </c>
    </row>
    <row r="16901" spans="1:13" x14ac:dyDescent="0.25">
      <c r="A16901" s="1" t="str">
        <f>HYPERLINK("http://www.rosaceae.org/Prunus/Prunus_persica/p.persica_gdr_reftransV1_0017557","p.persica_gdr_reftransV1_0017557")</f>
        <v>p.persica_gdr_reftransV1_0017557</v>
      </c>
      <c r="B16901" s="3">
        <v>3575</v>
      </c>
      <c r="C16901" s="1" t="str">
        <f>HYPERLINK("http://www.uniprot.org/uniprot/PIP22_ORYSJ","PIP22_ORYSJ")</f>
        <v>PIP22_ORYSJ</v>
      </c>
      <c r="D16901" t="s">
        <v>10501</v>
      </c>
      <c r="E16901" s="3" t="s">
        <v>38</v>
      </c>
      <c r="F16901" s="4">
        <v>4.7000000000000002E-97</v>
      </c>
      <c r="G16901" s="3">
        <v>811</v>
      </c>
      <c r="H16901" s="3">
        <v>82</v>
      </c>
      <c r="I16901" s="3">
        <v>206</v>
      </c>
      <c r="J16901" s="3">
        <v>141</v>
      </c>
      <c r="K16901" s="3">
        <v>746</v>
      </c>
      <c r="L16901" s="3">
        <v>1</v>
      </c>
      <c r="M16901" s="3">
        <v>206</v>
      </c>
    </row>
    <row r="16902" spans="1:13" x14ac:dyDescent="0.25">
      <c r="A16902" s="1" t="str">
        <f>HYPERLINK("http://www.rosaceae.org/Prunus/Prunus_persica/p.persica_gdr_reftransV1_0017607","p.persica_gdr_reftransV1_0017607")</f>
        <v>p.persica_gdr_reftransV1_0017607</v>
      </c>
      <c r="B16902" s="3">
        <v>2971</v>
      </c>
      <c r="C16902" s="1" t="str">
        <f>HYPERLINK("http://www.uniprot.org/uniprot/PP451_ARATH","PP451_ARATH")</f>
        <v>PP451_ARATH</v>
      </c>
      <c r="D16902" t="s">
        <v>10502</v>
      </c>
      <c r="E16902" s="3" t="s">
        <v>3</v>
      </c>
      <c r="F16902" s="4">
        <v>0</v>
      </c>
      <c r="G16902" s="3">
        <v>2205</v>
      </c>
      <c r="H16902" s="3">
        <v>61</v>
      </c>
      <c r="I16902" s="3">
        <v>701</v>
      </c>
      <c r="J16902" s="3">
        <v>106</v>
      </c>
      <c r="K16902" s="3">
        <v>2199</v>
      </c>
      <c r="L16902" s="3">
        <v>18</v>
      </c>
      <c r="M16902" s="3">
        <v>698</v>
      </c>
    </row>
    <row r="16903" spans="1:13" x14ac:dyDescent="0.25">
      <c r="A16903" s="1" t="str">
        <f>HYPERLINK("http://www.rosaceae.org/Prunus/Prunus_persica/p.persica_gdr_reftransV1_0017757","p.persica_gdr_reftransV1_0017757")</f>
        <v>p.persica_gdr_reftransV1_0017757</v>
      </c>
      <c r="B16903" s="3">
        <v>722</v>
      </c>
      <c r="C16903" s="1" t="str">
        <f>HYPERLINK("http://www.uniprot.org/uniprot/D6PK_ARATH","D6PK_ARATH")</f>
        <v>D6PK_ARATH</v>
      </c>
      <c r="D16903" t="s">
        <v>10503</v>
      </c>
      <c r="E16903" s="3" t="s">
        <v>3</v>
      </c>
      <c r="F16903" s="4">
        <v>2.1300000000000002E-73</v>
      </c>
      <c r="G16903" s="3">
        <v>606</v>
      </c>
      <c r="H16903" s="3">
        <v>80</v>
      </c>
      <c r="I16903" s="3">
        <v>140</v>
      </c>
      <c r="J16903" s="3">
        <v>304</v>
      </c>
      <c r="K16903" s="3">
        <v>720</v>
      </c>
      <c r="L16903" s="3">
        <v>356</v>
      </c>
      <c r="M16903" s="3">
        <v>492</v>
      </c>
    </row>
    <row r="16904" spans="1:13" x14ac:dyDescent="0.25">
      <c r="A16904" s="1" t="str">
        <f>HYPERLINK("http://www.rosaceae.org/Prunus/Prunus_persica/p.persica_gdr_reftransV1_0018457","p.persica_gdr_reftransV1_0018457")</f>
        <v>p.persica_gdr_reftransV1_0018457</v>
      </c>
      <c r="B16904" s="3">
        <v>3223</v>
      </c>
      <c r="C16904" s="1" t="str">
        <f>HYPERLINK("http://www.uniprot.org/uniprot/NAC14_ARATH","NAC14_ARATH")</f>
        <v>NAC14_ARATH</v>
      </c>
      <c r="D16904" t="s">
        <v>4106</v>
      </c>
      <c r="E16904" s="3" t="s">
        <v>3</v>
      </c>
      <c r="F16904" s="4">
        <v>2.9899999999999998E-128</v>
      </c>
      <c r="G16904" s="3">
        <v>1058</v>
      </c>
      <c r="H16904" s="3">
        <v>44</v>
      </c>
      <c r="I16904" s="3">
        <v>557</v>
      </c>
      <c r="J16904" s="3">
        <v>1291</v>
      </c>
      <c r="K16904" s="3">
        <v>2934</v>
      </c>
      <c r="L16904" s="3">
        <v>14</v>
      </c>
      <c r="M16904" s="3">
        <v>538</v>
      </c>
    </row>
    <row r="16905" spans="1:13" x14ac:dyDescent="0.25">
      <c r="A16905" s="1" t="str">
        <f>HYPERLINK("http://www.rosaceae.org/Prunus/Prunus_persica/p.persica_gdr_reftransV1_0018957","p.persica_gdr_reftransV1_0018957")</f>
        <v>p.persica_gdr_reftransV1_0018957</v>
      </c>
      <c r="B16905" s="3">
        <v>2591</v>
      </c>
      <c r="C16905" s="1" t="str">
        <f>HYPERLINK("http://www.uniprot.org/uniprot/PUSH_ARATH","PUSH_ARATH")</f>
        <v>PUSH_ARATH</v>
      </c>
      <c r="D16905" t="s">
        <v>10504</v>
      </c>
      <c r="E16905" s="3" t="s">
        <v>3</v>
      </c>
      <c r="F16905" s="4">
        <v>3.87E-162</v>
      </c>
      <c r="G16905" s="3">
        <v>1260</v>
      </c>
      <c r="H16905" s="3">
        <v>53</v>
      </c>
      <c r="I16905" s="3">
        <v>504</v>
      </c>
      <c r="J16905" s="3">
        <v>114</v>
      </c>
      <c r="K16905" s="3">
        <v>1622</v>
      </c>
      <c r="L16905" s="3">
        <v>1</v>
      </c>
      <c r="M16905" s="3">
        <v>481</v>
      </c>
    </row>
    <row r="16906" spans="1:13" x14ac:dyDescent="0.25">
      <c r="A16906" s="1" t="str">
        <f>HYPERLINK("http://www.rosaceae.org/Prunus/Prunus_persica/p.persica_gdr_reftransV1_0019007","p.persica_gdr_reftransV1_0019007")</f>
        <v>p.persica_gdr_reftransV1_0019007</v>
      </c>
      <c r="B16906" s="3">
        <v>1655</v>
      </c>
      <c r="C16906" s="1" t="str">
        <f>HYPERLINK("http://www.uniprot.org/uniprot/RSSA_VITVI","RSSA_VITVI")</f>
        <v>RSSA_VITVI</v>
      </c>
      <c r="D16906" t="s">
        <v>7073</v>
      </c>
      <c r="E16906" s="3" t="s">
        <v>362</v>
      </c>
      <c r="F16906" s="4">
        <v>1.8400000000000001E-136</v>
      </c>
      <c r="G16906" s="3">
        <v>1042</v>
      </c>
      <c r="H16906" s="3">
        <v>88</v>
      </c>
      <c r="I16906" s="3">
        <v>230</v>
      </c>
      <c r="J16906" s="3">
        <v>781</v>
      </c>
      <c r="K16906" s="3">
        <v>1470</v>
      </c>
      <c r="L16906" s="3">
        <v>2</v>
      </c>
      <c r="M16906" s="3">
        <v>231</v>
      </c>
    </row>
    <row r="16907" spans="1:13" x14ac:dyDescent="0.25">
      <c r="A16907" s="1" t="str">
        <f>HYPERLINK("http://www.rosaceae.org/Prunus/Prunus_persica/p.persica_gdr_reftransV1_0019207","p.persica_gdr_reftransV1_0019207")</f>
        <v>p.persica_gdr_reftransV1_0019207</v>
      </c>
      <c r="B16907" s="3">
        <v>1082</v>
      </c>
      <c r="C16907" s="1" t="str">
        <f>HYPERLINK("http://www.uniprot.org/uniprot/TPIS_PETHY","TPIS_PETHY")</f>
        <v>TPIS_PETHY</v>
      </c>
      <c r="D16907" t="s">
        <v>4565</v>
      </c>
      <c r="E16907" s="3" t="s">
        <v>509</v>
      </c>
      <c r="F16907" s="4">
        <v>2.1899999999999999E-154</v>
      </c>
      <c r="G16907" s="3">
        <v>1135</v>
      </c>
      <c r="H16907" s="3">
        <v>85</v>
      </c>
      <c r="I16907" s="3">
        <v>253</v>
      </c>
      <c r="J16907" s="3">
        <v>249</v>
      </c>
      <c r="K16907" s="3">
        <v>1007</v>
      </c>
      <c r="L16907" s="3">
        <v>1</v>
      </c>
      <c r="M16907" s="3">
        <v>253</v>
      </c>
    </row>
    <row r="16908" spans="1:13" x14ac:dyDescent="0.25">
      <c r="A16908" s="1" t="str">
        <f>HYPERLINK("http://www.rosaceae.org/Prunus/Prunus_persica/p.persica_gdr_reftransV1_0019257","p.persica_gdr_reftransV1_0019257")</f>
        <v>p.persica_gdr_reftransV1_0019257</v>
      </c>
      <c r="B16908" s="3">
        <v>3135</v>
      </c>
      <c r="C16908" s="1" t="str">
        <f>HYPERLINK("http://www.uniprot.org/uniprot/FKGP_ARATH","FKGP_ARATH")</f>
        <v>FKGP_ARATH</v>
      </c>
      <c r="D16908" t="s">
        <v>10505</v>
      </c>
      <c r="E16908" s="3" t="s">
        <v>3</v>
      </c>
      <c r="F16908" s="4">
        <v>0</v>
      </c>
      <c r="G16908" s="3">
        <v>3685</v>
      </c>
      <c r="H16908" s="3">
        <v>73</v>
      </c>
      <c r="I16908" s="3">
        <v>1016</v>
      </c>
      <c r="J16908" s="3">
        <v>98</v>
      </c>
      <c r="K16908" s="3">
        <v>3133</v>
      </c>
      <c r="L16908" s="3">
        <v>66</v>
      </c>
      <c r="M16908" s="3">
        <v>1053</v>
      </c>
    </row>
    <row r="16909" spans="1:13" x14ac:dyDescent="0.25">
      <c r="A16909" s="1" t="str">
        <f>HYPERLINK("http://www.rosaceae.org/Prunus/Prunus_persica/p.persica_gdr_reftransV1_0019357","p.persica_gdr_reftransV1_0019357")</f>
        <v>p.persica_gdr_reftransV1_0019357</v>
      </c>
      <c r="B16909" s="3">
        <v>1536</v>
      </c>
      <c r="C16909" s="1" t="str">
        <f>HYPERLINK("http://www.uniprot.org/uniprot/FK201_ARATH","FK201_ARATH")</f>
        <v>FK201_ARATH</v>
      </c>
      <c r="D16909" t="s">
        <v>9691</v>
      </c>
      <c r="E16909" s="3" t="s">
        <v>3</v>
      </c>
      <c r="F16909" s="4">
        <v>1.06E-55</v>
      </c>
      <c r="G16909" s="3">
        <v>484</v>
      </c>
      <c r="H16909" s="3">
        <v>82</v>
      </c>
      <c r="I16909" s="3">
        <v>108</v>
      </c>
      <c r="J16909" s="3">
        <v>1067</v>
      </c>
      <c r="K16909" s="3">
        <v>1390</v>
      </c>
      <c r="L16909" s="3">
        <v>1</v>
      </c>
      <c r="M16909" s="3">
        <v>108</v>
      </c>
    </row>
    <row r="16910" spans="1:13" x14ac:dyDescent="0.25">
      <c r="A16910" s="1" t="str">
        <f>HYPERLINK("http://www.rosaceae.org/Prunus/Prunus_persica/p.persica_gdr_reftransV1_0019407","p.persica_gdr_reftransV1_0019407")</f>
        <v>p.persica_gdr_reftransV1_0019407</v>
      </c>
      <c r="B16910" s="3">
        <v>2345</v>
      </c>
      <c r="C16910" s="1" t="str">
        <f>HYPERLINK("http://www.uniprot.org/uniprot/TRM51_VITVI","TRM51_VITVI")</f>
        <v>TRM51_VITVI</v>
      </c>
      <c r="D16910" t="s">
        <v>10506</v>
      </c>
      <c r="E16910" s="3" t="s">
        <v>362</v>
      </c>
      <c r="F16910" s="4">
        <v>0</v>
      </c>
      <c r="G16910" s="3">
        <v>1996</v>
      </c>
      <c r="H16910" s="3">
        <v>68</v>
      </c>
      <c r="I16910" s="3">
        <v>630</v>
      </c>
      <c r="J16910" s="3">
        <v>179</v>
      </c>
      <c r="K16910" s="3">
        <v>2041</v>
      </c>
      <c r="L16910" s="3">
        <v>1</v>
      </c>
      <c r="M16910" s="3">
        <v>608</v>
      </c>
    </row>
    <row r="16911" spans="1:13" x14ac:dyDescent="0.25">
      <c r="A16911" s="1" t="str">
        <f>HYPERLINK("http://www.rosaceae.org/Prunus/Prunus_persica/p.persica_gdr_reftransV1_0019457","p.persica_gdr_reftransV1_0019457")</f>
        <v>p.persica_gdr_reftransV1_0019457</v>
      </c>
      <c r="B16911" s="3">
        <v>1345</v>
      </c>
      <c r="C16911" s="1" t="str">
        <f>HYPERLINK("http://www.uniprot.org/uniprot/MCA1_ARATH","MCA1_ARATH")</f>
        <v>MCA1_ARATH</v>
      </c>
      <c r="D16911" t="s">
        <v>962</v>
      </c>
      <c r="E16911" s="3" t="s">
        <v>3</v>
      </c>
      <c r="F16911" s="4">
        <v>3.68E-165</v>
      </c>
      <c r="G16911" s="3">
        <v>1227</v>
      </c>
      <c r="H16911" s="3">
        <v>77</v>
      </c>
      <c r="I16911" s="3">
        <v>320</v>
      </c>
      <c r="J16911" s="3">
        <v>265</v>
      </c>
      <c r="K16911" s="3">
        <v>1221</v>
      </c>
      <c r="L16911" s="3">
        <v>14</v>
      </c>
      <c r="M16911" s="3">
        <v>312</v>
      </c>
    </row>
    <row r="16912" spans="1:13" x14ac:dyDescent="0.25">
      <c r="A16912" s="1" t="str">
        <f>HYPERLINK("http://www.rosaceae.org/Prunus/Prunus_persica/p.persica_gdr_reftransV1_0019557","p.persica_gdr_reftransV1_0019557")</f>
        <v>p.persica_gdr_reftransV1_0019557</v>
      </c>
      <c r="B16912" s="3">
        <v>1005</v>
      </c>
      <c r="C16912" s="1" t="str">
        <f>HYPERLINK("http://www.uniprot.org/uniprot/GEML8_ARATH","GEML8_ARATH")</f>
        <v>GEML8_ARATH</v>
      </c>
      <c r="D16912" t="s">
        <v>10507</v>
      </c>
      <c r="E16912" s="3" t="s">
        <v>3</v>
      </c>
      <c r="F16912" s="4">
        <v>2.4900000000000001E-80</v>
      </c>
      <c r="G16912" s="3">
        <v>639</v>
      </c>
      <c r="H16912" s="3">
        <v>60</v>
      </c>
      <c r="I16912" s="3">
        <v>218</v>
      </c>
      <c r="J16912" s="3">
        <v>206</v>
      </c>
      <c r="K16912" s="3">
        <v>847</v>
      </c>
      <c r="L16912" s="3">
        <v>9</v>
      </c>
      <c r="M16912" s="3">
        <v>214</v>
      </c>
    </row>
    <row r="16913" spans="1:13" x14ac:dyDescent="0.25">
      <c r="A16913" s="1" t="str">
        <f>HYPERLINK("http://www.rosaceae.org/Prunus/Prunus_persica/p.persica_gdr_reftransV1_0019707","p.persica_gdr_reftransV1_0019707")</f>
        <v>p.persica_gdr_reftransV1_0019707</v>
      </c>
      <c r="B16913" s="3">
        <v>7564</v>
      </c>
      <c r="C16913" s="1" t="str">
        <f>HYPERLINK("http://www.uniprot.org/uniprot/R1A6_SOLDE","R1A6_SOLDE")</f>
        <v>R1A6_SOLDE</v>
      </c>
      <c r="D16913" t="s">
        <v>7069</v>
      </c>
      <c r="E16913" s="3" t="s">
        <v>4712</v>
      </c>
      <c r="F16913" s="4">
        <v>5.4799999999999999E-68</v>
      </c>
      <c r="G16913" s="3">
        <v>658</v>
      </c>
      <c r="H16913" s="3">
        <v>30</v>
      </c>
      <c r="I16913" s="3">
        <v>830</v>
      </c>
      <c r="J16913" s="3">
        <v>4139</v>
      </c>
      <c r="K16913" s="3">
        <v>6493</v>
      </c>
      <c r="L16913" s="3">
        <v>422</v>
      </c>
      <c r="M16913" s="3">
        <v>1211</v>
      </c>
    </row>
    <row r="16914" spans="1:13" x14ac:dyDescent="0.25">
      <c r="A16914" s="1" t="str">
        <f>HYPERLINK("http://www.rosaceae.org/Prunus/Prunus_persica/p.persica_gdr_reftransV1_0019907","p.persica_gdr_reftransV1_0019907")</f>
        <v>p.persica_gdr_reftransV1_0019907</v>
      </c>
      <c r="B16914" s="3">
        <v>1830</v>
      </c>
      <c r="C16914" s="1" t="str">
        <f>HYPERLINK("http://www.uniprot.org/uniprot/QPCT_ARATH","QPCT_ARATH")</f>
        <v>QPCT_ARATH</v>
      </c>
      <c r="D16914" t="s">
        <v>10161</v>
      </c>
      <c r="E16914" s="3" t="s">
        <v>3</v>
      </c>
      <c r="F16914" s="4">
        <v>5.1700000000000004E-96</v>
      </c>
      <c r="G16914" s="3">
        <v>777</v>
      </c>
      <c r="H16914" s="3">
        <v>74</v>
      </c>
      <c r="I16914" s="3">
        <v>192</v>
      </c>
      <c r="J16914" s="3">
        <v>835</v>
      </c>
      <c r="K16914" s="3">
        <v>1410</v>
      </c>
      <c r="L16914" s="3">
        <v>70</v>
      </c>
      <c r="M16914" s="3">
        <v>261</v>
      </c>
    </row>
    <row r="16915" spans="1:13" x14ac:dyDescent="0.25">
      <c r="A16915" s="1" t="str">
        <f>HYPERLINK("http://www.rosaceae.org/Prunus/Prunus_persica/p.persica_gdr_reftransV1_0020107","p.persica_gdr_reftransV1_0020107")</f>
        <v>p.persica_gdr_reftransV1_0020107</v>
      </c>
      <c r="B16915" s="3">
        <v>2979</v>
      </c>
      <c r="C16915" s="1" t="str">
        <f>HYPERLINK("http://www.uniprot.org/uniprot/HEL2_SCHPO","HEL2_SCHPO")</f>
        <v>HEL2_SCHPO</v>
      </c>
      <c r="D16915" t="s">
        <v>7066</v>
      </c>
      <c r="E16915" s="3" t="s">
        <v>464</v>
      </c>
      <c r="F16915" s="4">
        <v>2.1899999999999999E-41</v>
      </c>
      <c r="G16915" s="3">
        <v>422</v>
      </c>
      <c r="H16915" s="3">
        <v>32</v>
      </c>
      <c r="I16915" s="3">
        <v>309</v>
      </c>
      <c r="J16915" s="3">
        <v>195</v>
      </c>
      <c r="K16915" s="3">
        <v>1115</v>
      </c>
      <c r="L16915" s="3">
        <v>71</v>
      </c>
      <c r="M16915" s="3">
        <v>351</v>
      </c>
    </row>
    <row r="16916" spans="1:13" x14ac:dyDescent="0.25">
      <c r="A16916" s="1" t="str">
        <f>HYPERLINK("http://www.rosaceae.org/Prunus/Prunus_persica/p.persica_gdr_reftransV1_0020357","p.persica_gdr_reftransV1_0020357")</f>
        <v>p.persica_gdr_reftransV1_0020357</v>
      </c>
      <c r="B16916" s="3">
        <v>2617</v>
      </c>
      <c r="C16916" s="1" t="str">
        <f>HYPERLINK("http://www.uniprot.org/uniprot/PP368_ARATH","PP368_ARATH")</f>
        <v>PP368_ARATH</v>
      </c>
      <c r="D16916" t="s">
        <v>10508</v>
      </c>
      <c r="E16916" s="3" t="s">
        <v>3</v>
      </c>
      <c r="F16916" s="4">
        <v>0</v>
      </c>
      <c r="G16916" s="3">
        <v>2019</v>
      </c>
      <c r="H16916" s="3">
        <v>54</v>
      </c>
      <c r="I16916" s="3">
        <v>737</v>
      </c>
      <c r="J16916" s="3">
        <v>208</v>
      </c>
      <c r="K16916" s="3">
        <v>2412</v>
      </c>
      <c r="L16916" s="3">
        <v>25</v>
      </c>
      <c r="M16916" s="3">
        <v>757</v>
      </c>
    </row>
    <row r="16917" spans="1:13" x14ac:dyDescent="0.25">
      <c r="A16917" s="1" t="str">
        <f>HYPERLINK("http://www.rosaceae.org/Prunus/Prunus_persica/p.persica_gdr_reftransV1_0020407","p.persica_gdr_reftransV1_0020407")</f>
        <v>p.persica_gdr_reftransV1_0020407</v>
      </c>
      <c r="B16917" s="3">
        <v>3001</v>
      </c>
      <c r="C16917" s="1" t="str">
        <f>HYPERLINK("http://www.uniprot.org/uniprot/R13L4_ARATH","R13L4_ARATH")</f>
        <v>R13L4_ARATH</v>
      </c>
      <c r="D16917" t="s">
        <v>10050</v>
      </c>
      <c r="E16917" s="3" t="s">
        <v>3</v>
      </c>
      <c r="F16917" s="4">
        <v>3.29E-112</v>
      </c>
      <c r="G16917" s="3">
        <v>958</v>
      </c>
      <c r="H16917" s="3">
        <v>36</v>
      </c>
      <c r="I16917" s="3">
        <v>741</v>
      </c>
      <c r="J16917" s="3">
        <v>810</v>
      </c>
      <c r="K16917" s="3">
        <v>2975</v>
      </c>
      <c r="L16917" s="3">
        <v>107</v>
      </c>
      <c r="M16917" s="3">
        <v>832</v>
      </c>
    </row>
    <row r="16918" spans="1:13" x14ac:dyDescent="0.25">
      <c r="A16918" s="1" t="str">
        <f>HYPERLINK("http://www.rosaceae.org/Prunus/Prunus_persica/p.persica_gdr_reftransV1_0020457","p.persica_gdr_reftransV1_0020457")</f>
        <v>p.persica_gdr_reftransV1_0020457</v>
      </c>
      <c r="B16918" s="3">
        <v>1770</v>
      </c>
      <c r="C16918" s="1" t="str">
        <f>HYPERLINK("http://www.uniprot.org/uniprot/VAB_ARATH","VAB_ARATH")</f>
        <v>VAB_ARATH</v>
      </c>
      <c r="D16918" t="s">
        <v>2108</v>
      </c>
      <c r="E16918" s="3" t="s">
        <v>3</v>
      </c>
      <c r="F16918" s="4">
        <v>1.2E-111</v>
      </c>
      <c r="G16918" s="3">
        <v>897</v>
      </c>
      <c r="H16918" s="3">
        <v>64</v>
      </c>
      <c r="I16918" s="3">
        <v>473</v>
      </c>
      <c r="J16918" s="3">
        <v>135</v>
      </c>
      <c r="K16918" s="3">
        <v>1481</v>
      </c>
      <c r="L16918" s="3">
        <v>30</v>
      </c>
      <c r="M16918" s="3">
        <v>489</v>
      </c>
    </row>
    <row r="16919" spans="1:13" x14ac:dyDescent="0.25">
      <c r="A16919" s="1" t="str">
        <f>HYPERLINK("http://www.rosaceae.org/Prunus/Prunus_persica/p.persica_gdr_reftransV1_0020557","p.persica_gdr_reftransV1_0020557")</f>
        <v>p.persica_gdr_reftransV1_0020557</v>
      </c>
      <c r="B16919" s="3">
        <v>1927</v>
      </c>
      <c r="C16919" s="1" t="str">
        <f>HYPERLINK("http://www.uniprot.org/uniprot/Y1124_ARATH","Y1124_ARATH")</f>
        <v>Y1124_ARATH</v>
      </c>
      <c r="D16919" t="s">
        <v>4835</v>
      </c>
      <c r="E16919" s="3" t="s">
        <v>3</v>
      </c>
      <c r="F16919" s="4">
        <v>0</v>
      </c>
      <c r="G16919" s="3">
        <v>1903</v>
      </c>
      <c r="H16919" s="3">
        <v>69</v>
      </c>
      <c r="I16919" s="3">
        <v>545</v>
      </c>
      <c r="J16919" s="3">
        <v>5</v>
      </c>
      <c r="K16919" s="3">
        <v>1621</v>
      </c>
      <c r="L16919" s="3">
        <v>341</v>
      </c>
      <c r="M16919" s="3">
        <v>882</v>
      </c>
    </row>
    <row r="16920" spans="1:13" x14ac:dyDescent="0.25">
      <c r="A16920" s="1" t="str">
        <f>HYPERLINK("http://www.rosaceae.org/Prunus/Prunus_persica/p.persica_gdr_reftransV1_0020607","p.persica_gdr_reftransV1_0020607")</f>
        <v>p.persica_gdr_reftransV1_0020607</v>
      </c>
      <c r="B16920" s="3">
        <v>529</v>
      </c>
      <c r="C16920" s="1" t="str">
        <f>HYPERLINK("http://www.uniprot.org/uniprot/LYK3_ARATH","LYK3_ARATH")</f>
        <v>LYK3_ARATH</v>
      </c>
      <c r="D16920" t="s">
        <v>1153</v>
      </c>
      <c r="E16920" s="3" t="s">
        <v>3</v>
      </c>
      <c r="F16920" s="4">
        <v>8.1899999999999998E-28</v>
      </c>
      <c r="G16920" s="3">
        <v>283</v>
      </c>
      <c r="H16920" s="3">
        <v>42</v>
      </c>
      <c r="I16920" s="3">
        <v>132</v>
      </c>
      <c r="J16920" s="3">
        <v>146</v>
      </c>
      <c r="K16920" s="3">
        <v>523</v>
      </c>
      <c r="L16920" s="3">
        <v>520</v>
      </c>
      <c r="M16920" s="3">
        <v>651</v>
      </c>
    </row>
    <row r="16921" spans="1:13" x14ac:dyDescent="0.25">
      <c r="A16921" s="1" t="str">
        <f>HYPERLINK("http://www.rosaceae.org/Prunus/Prunus_persica/p.persica_gdr_reftransV1_0020657","p.persica_gdr_reftransV1_0020657")</f>
        <v>p.persica_gdr_reftransV1_0020657</v>
      </c>
      <c r="B16921" s="3">
        <v>1833</v>
      </c>
      <c r="C16921" s="1" t="str">
        <f>HYPERLINK("http://www.uniprot.org/uniprot/ERFL1_ARATH","ERFL1_ARATH")</f>
        <v>ERFL1_ARATH</v>
      </c>
      <c r="D16921" t="s">
        <v>10509</v>
      </c>
      <c r="E16921" s="3" t="s">
        <v>3</v>
      </c>
      <c r="F16921" s="4">
        <v>4.5200000000000002E-20</v>
      </c>
      <c r="G16921" s="3">
        <v>232</v>
      </c>
      <c r="H16921" s="3">
        <v>89</v>
      </c>
      <c r="I16921" s="3">
        <v>46</v>
      </c>
      <c r="J16921" s="3">
        <v>592</v>
      </c>
      <c r="K16921" s="3">
        <v>729</v>
      </c>
      <c r="L16921" s="3">
        <v>110</v>
      </c>
      <c r="M16921" s="3">
        <v>155</v>
      </c>
    </row>
    <row r="16922" spans="1:13" x14ac:dyDescent="0.25">
      <c r="A16922" s="1" t="str">
        <f>HYPERLINK("http://www.rosaceae.org/Prunus/Prunus_persica/p.persica_gdr_reftransV1_0020707","p.persica_gdr_reftransV1_0020707")</f>
        <v>p.persica_gdr_reftransV1_0020707</v>
      </c>
      <c r="B16922" s="3">
        <v>1707</v>
      </c>
      <c r="C16922" s="1" t="str">
        <f>HYPERLINK("http://www.uniprot.org/uniprot/DBR_TOBAC","DBR_TOBAC")</f>
        <v>DBR_TOBAC</v>
      </c>
      <c r="D16922" t="s">
        <v>199</v>
      </c>
      <c r="E16922" s="3" t="s">
        <v>200</v>
      </c>
      <c r="F16922" s="4">
        <v>4.65E-116</v>
      </c>
      <c r="G16922" s="3">
        <v>910</v>
      </c>
      <c r="H16922" s="3">
        <v>79</v>
      </c>
      <c r="I16922" s="3">
        <v>217</v>
      </c>
      <c r="J16922" s="3">
        <v>166</v>
      </c>
      <c r="K16922" s="3">
        <v>816</v>
      </c>
      <c r="L16922" s="3">
        <v>5</v>
      </c>
      <c r="M16922" s="3">
        <v>218</v>
      </c>
    </row>
    <row r="16923" spans="1:13" x14ac:dyDescent="0.25">
      <c r="A16923" s="1" t="str">
        <f>HYPERLINK("http://www.rosaceae.org/Prunus/Prunus_persica/p.persica_gdr_reftransV1_0020857","p.persica_gdr_reftransV1_0020857")</f>
        <v>p.persica_gdr_reftransV1_0020857</v>
      </c>
      <c r="B16923" s="3">
        <v>2126</v>
      </c>
      <c r="C16923" s="1" t="str">
        <f>HYPERLINK("http://www.uniprot.org/uniprot/2AAB_ARATH","2AAB_ARATH")</f>
        <v>2AAB_ARATH</v>
      </c>
      <c r="D16923" t="s">
        <v>4625</v>
      </c>
      <c r="E16923" s="3" t="s">
        <v>3</v>
      </c>
      <c r="F16923" s="4">
        <v>0</v>
      </c>
      <c r="G16923" s="3">
        <v>2197</v>
      </c>
      <c r="H16923" s="3">
        <v>91</v>
      </c>
      <c r="I16923" s="3">
        <v>449</v>
      </c>
      <c r="J16923" s="3">
        <v>646</v>
      </c>
      <c r="K16923" s="3">
        <v>1992</v>
      </c>
      <c r="L16923" s="3">
        <v>1</v>
      </c>
      <c r="M16923" s="3">
        <v>449</v>
      </c>
    </row>
    <row r="16924" spans="1:13" x14ac:dyDescent="0.25">
      <c r="A16924" s="1" t="str">
        <f>HYPERLINK("http://www.rosaceae.org/Prunus/Prunus_persica/p.persica_gdr_reftransV1_0020907","p.persica_gdr_reftransV1_0020907")</f>
        <v>p.persica_gdr_reftransV1_0020907</v>
      </c>
      <c r="B16924" s="3">
        <v>1129</v>
      </c>
      <c r="C16924" s="1" t="str">
        <f>HYPERLINK("http://www.uniprot.org/uniprot/NACA_PINTA","NACA_PINTA")</f>
        <v>NACA_PINTA</v>
      </c>
      <c r="D16924" t="s">
        <v>0</v>
      </c>
      <c r="E16924" s="3" t="s">
        <v>1</v>
      </c>
      <c r="F16924" s="4">
        <v>2.2899999999999999E-70</v>
      </c>
      <c r="G16924" s="3">
        <v>575</v>
      </c>
      <c r="H16924" s="3">
        <v>81</v>
      </c>
      <c r="I16924" s="3">
        <v>154</v>
      </c>
      <c r="J16924" s="3">
        <v>540</v>
      </c>
      <c r="K16924" s="3">
        <v>998</v>
      </c>
      <c r="L16924" s="3">
        <v>52</v>
      </c>
      <c r="M16924" s="3">
        <v>205</v>
      </c>
    </row>
    <row r="16925" spans="1:13" x14ac:dyDescent="0.25">
      <c r="A16925" s="1" t="str">
        <f>HYPERLINK("http://www.rosaceae.org/Prunus/Prunus_persica/p.persica_gdr_reftransV1_0021407","p.persica_gdr_reftransV1_0021407")</f>
        <v>p.persica_gdr_reftransV1_0021407</v>
      </c>
      <c r="B16925" s="3">
        <v>2622</v>
      </c>
      <c r="C16925" s="1" t="str">
        <f>HYPERLINK("http://www.uniprot.org/uniprot/Y5129_ARATH","Y5129_ARATH")</f>
        <v>Y5129_ARATH</v>
      </c>
      <c r="D16925" t="s">
        <v>10510</v>
      </c>
      <c r="E16925" s="3" t="s">
        <v>3</v>
      </c>
      <c r="F16925" s="4">
        <v>0</v>
      </c>
      <c r="G16925" s="3">
        <v>2285</v>
      </c>
      <c r="H16925" s="3">
        <v>78</v>
      </c>
      <c r="I16925" s="3">
        <v>609</v>
      </c>
      <c r="J16925" s="3">
        <v>345</v>
      </c>
      <c r="K16925" s="3">
        <v>2171</v>
      </c>
      <c r="L16925" s="3">
        <v>6</v>
      </c>
      <c r="M16925" s="3">
        <v>613</v>
      </c>
    </row>
    <row r="16926" spans="1:13" x14ac:dyDescent="0.25">
      <c r="A16926" s="1" t="str">
        <f>HYPERLINK("http://www.rosaceae.org/Prunus/Prunus_persica/p.persica_gdr_reftransV1_0021457","p.persica_gdr_reftransV1_0021457")</f>
        <v>p.persica_gdr_reftransV1_0021457</v>
      </c>
      <c r="B16926" s="3">
        <v>936</v>
      </c>
      <c r="C16926" s="1" t="str">
        <f>HYPERLINK("http://www.uniprot.org/uniprot/Y9963_DICDI","Y9963_DICDI")</f>
        <v>Y9963_DICDI</v>
      </c>
      <c r="D16926" t="s">
        <v>9579</v>
      </c>
      <c r="E16926" s="3" t="s">
        <v>9</v>
      </c>
      <c r="F16926" s="4">
        <v>5.3000000000000001E-32</v>
      </c>
      <c r="G16926" s="3">
        <v>330</v>
      </c>
      <c r="H16926" s="3">
        <v>44</v>
      </c>
      <c r="I16926" s="3">
        <v>159</v>
      </c>
      <c r="J16926" s="3">
        <v>16</v>
      </c>
      <c r="K16926" s="3">
        <v>486</v>
      </c>
      <c r="L16926" s="3">
        <v>1178</v>
      </c>
      <c r="M16926" s="3">
        <v>1327</v>
      </c>
    </row>
    <row r="16927" spans="1:13" x14ac:dyDescent="0.25">
      <c r="A16927" s="1" t="str">
        <f>HYPERLINK("http://www.rosaceae.org/Prunus/Prunus_persica/p.persica_gdr_reftransV1_0021507","p.persica_gdr_reftransV1_0021507")</f>
        <v>p.persica_gdr_reftransV1_0021507</v>
      </c>
      <c r="B16927" s="3">
        <v>921</v>
      </c>
      <c r="C16927" s="1" t="str">
        <f>HYPERLINK("http://www.uniprot.org/uniprot/SRP19_ORYSJ","SRP19_ORYSJ")</f>
        <v>SRP19_ORYSJ</v>
      </c>
      <c r="D16927" t="s">
        <v>10511</v>
      </c>
      <c r="E16927" s="3" t="s">
        <v>38</v>
      </c>
      <c r="F16927" s="4">
        <v>2.3300000000000001E-58</v>
      </c>
      <c r="G16927" s="3">
        <v>482</v>
      </c>
      <c r="H16927" s="3">
        <v>75</v>
      </c>
      <c r="I16927" s="3">
        <v>118</v>
      </c>
      <c r="J16927" s="3">
        <v>337</v>
      </c>
      <c r="K16927" s="3">
        <v>690</v>
      </c>
      <c r="L16927" s="3">
        <v>9</v>
      </c>
      <c r="M16927" s="3">
        <v>125</v>
      </c>
    </row>
    <row r="16928" spans="1:13" x14ac:dyDescent="0.25">
      <c r="A16928" s="1" t="str">
        <f>HYPERLINK("http://www.rosaceae.org/Prunus/Prunus_persica/p.persica_gdr_reftransV1_0021557","p.persica_gdr_reftransV1_0021557")</f>
        <v>p.persica_gdr_reftransV1_0021557</v>
      </c>
      <c r="B16928" s="3">
        <v>892</v>
      </c>
      <c r="C16928" s="1" t="str">
        <f>HYPERLINK("http://www.uniprot.org/uniprot/PPR91_ARATH","PPR91_ARATH")</f>
        <v>PPR91_ARATH</v>
      </c>
      <c r="D16928" t="s">
        <v>8828</v>
      </c>
      <c r="E16928" s="3" t="s">
        <v>3</v>
      </c>
      <c r="F16928" s="4">
        <v>2.2999999999999999E-43</v>
      </c>
      <c r="G16928" s="3">
        <v>407</v>
      </c>
      <c r="H16928" s="3">
        <v>30</v>
      </c>
      <c r="I16928" s="3">
        <v>278</v>
      </c>
      <c r="J16928" s="3">
        <v>58</v>
      </c>
      <c r="K16928" s="3">
        <v>891</v>
      </c>
      <c r="L16928" s="3">
        <v>289</v>
      </c>
      <c r="M16928" s="3">
        <v>566</v>
      </c>
    </row>
    <row r="16929" spans="1:13" x14ac:dyDescent="0.25">
      <c r="A16929" s="1" t="str">
        <f>HYPERLINK("http://www.rosaceae.org/Prunus/Prunus_persica/p.persica_gdr_reftransV1_0021707","p.persica_gdr_reftransV1_0021707")</f>
        <v>p.persica_gdr_reftransV1_0021707</v>
      </c>
      <c r="B16929" s="3">
        <v>1951</v>
      </c>
      <c r="C16929" s="1" t="str">
        <f>HYPERLINK("http://www.uniprot.org/uniprot/GPDL2_ARATH","GPDL2_ARATH")</f>
        <v>GPDL2_ARATH</v>
      </c>
      <c r="D16929" t="s">
        <v>3941</v>
      </c>
      <c r="E16929" s="3" t="s">
        <v>3</v>
      </c>
      <c r="F16929" s="4">
        <v>1.43E-52</v>
      </c>
      <c r="G16929" s="3">
        <v>508</v>
      </c>
      <c r="H16929" s="3">
        <v>56</v>
      </c>
      <c r="I16929" s="3">
        <v>165</v>
      </c>
      <c r="J16929" s="3">
        <v>1448</v>
      </c>
      <c r="K16929" s="3">
        <v>1939</v>
      </c>
      <c r="L16929" s="3">
        <v>789</v>
      </c>
      <c r="M16929" s="3">
        <v>952</v>
      </c>
    </row>
    <row r="16930" spans="1:13" x14ac:dyDescent="0.25">
      <c r="A16930" s="1" t="str">
        <f>HYPERLINK("http://www.rosaceae.org/Prunus/Prunus_persica/p.persica_gdr_reftransV1_0021757","p.persica_gdr_reftransV1_0021757")</f>
        <v>p.persica_gdr_reftransV1_0021757</v>
      </c>
      <c r="B16930" s="3">
        <v>1782</v>
      </c>
      <c r="C16930" s="1" t="str">
        <f>HYPERLINK("http://www.uniprot.org/uniprot/MDHP_MEDSA","MDHP_MEDSA")</f>
        <v>MDHP_MEDSA</v>
      </c>
      <c r="D16930" t="s">
        <v>6040</v>
      </c>
      <c r="E16930" s="3" t="s">
        <v>515</v>
      </c>
      <c r="F16930" s="4">
        <v>0</v>
      </c>
      <c r="G16930" s="3">
        <v>1655</v>
      </c>
      <c r="H16930" s="3">
        <v>86</v>
      </c>
      <c r="I16930" s="3">
        <v>382</v>
      </c>
      <c r="J16930" s="3">
        <v>596</v>
      </c>
      <c r="K16930" s="3">
        <v>1741</v>
      </c>
      <c r="L16930" s="3">
        <v>1</v>
      </c>
      <c r="M16930" s="3">
        <v>379</v>
      </c>
    </row>
    <row r="16931" spans="1:13" x14ac:dyDescent="0.25">
      <c r="A16931" s="1" t="str">
        <f>HYPERLINK("http://www.rosaceae.org/Prunus/Prunus_persica/p.persica_gdr_reftransV1_0022007","p.persica_gdr_reftransV1_0022007")</f>
        <v>p.persica_gdr_reftransV1_0022007</v>
      </c>
      <c r="B16931" s="3">
        <v>911</v>
      </c>
      <c r="C16931" s="1" t="str">
        <f>HYPERLINK("http://www.uniprot.org/uniprot/RS142_MAIZE","RS142_MAIZE")</f>
        <v>RS142_MAIZE</v>
      </c>
      <c r="D16931" t="s">
        <v>3426</v>
      </c>
      <c r="E16931" s="3" t="s">
        <v>72</v>
      </c>
      <c r="F16931" s="4">
        <v>2.66E-75</v>
      </c>
      <c r="G16931" s="3">
        <v>596</v>
      </c>
      <c r="H16931" s="3">
        <v>91</v>
      </c>
      <c r="I16931" s="3">
        <v>140</v>
      </c>
      <c r="J16931" s="3">
        <v>104</v>
      </c>
      <c r="K16931" s="3">
        <v>523</v>
      </c>
      <c r="L16931" s="3">
        <v>1</v>
      </c>
      <c r="M16931" s="3">
        <v>139</v>
      </c>
    </row>
    <row r="16932" spans="1:13" x14ac:dyDescent="0.25">
      <c r="A16932" s="1" t="str">
        <f>HYPERLINK("http://www.rosaceae.org/Prunus/Prunus_persica/p.persica_gdr_reftransV1_0022257","p.persica_gdr_reftransV1_0022257")</f>
        <v>p.persica_gdr_reftransV1_0022257</v>
      </c>
      <c r="B16932" s="3">
        <v>3791</v>
      </c>
      <c r="C16932" s="1" t="str">
        <f>HYPERLINK("http://www.uniprot.org/uniprot/PP155_ARATH","PP155_ARATH")</f>
        <v>PP155_ARATH</v>
      </c>
      <c r="D16932" t="s">
        <v>10512</v>
      </c>
      <c r="E16932" s="3" t="s">
        <v>3</v>
      </c>
      <c r="F16932" s="4">
        <v>3.0699999999999999E-147</v>
      </c>
      <c r="G16932" s="3">
        <v>1186</v>
      </c>
      <c r="H16932" s="3">
        <v>51</v>
      </c>
      <c r="I16932" s="3">
        <v>452</v>
      </c>
      <c r="J16932" s="3">
        <v>113</v>
      </c>
      <c r="K16932" s="3">
        <v>1456</v>
      </c>
      <c r="L16932" s="3">
        <v>41</v>
      </c>
      <c r="M16932" s="3">
        <v>489</v>
      </c>
    </row>
    <row r="16933" spans="1:13" x14ac:dyDescent="0.25">
      <c r="A16933" s="1" t="str">
        <f>HYPERLINK("http://www.rosaceae.org/Prunus/Prunus_persica/p.persica_gdr_reftransV1_0022307","p.persica_gdr_reftransV1_0022307")</f>
        <v>p.persica_gdr_reftransV1_0022307</v>
      </c>
      <c r="B16933" s="3">
        <v>3189</v>
      </c>
      <c r="C16933" s="1" t="str">
        <f>HYPERLINK("http://www.uniprot.org/uniprot/BLH1_ARATH","BLH1_ARATH")</f>
        <v>BLH1_ARATH</v>
      </c>
      <c r="D16933" t="s">
        <v>896</v>
      </c>
      <c r="E16933" s="3" t="s">
        <v>3</v>
      </c>
      <c r="F16933" s="4">
        <v>7.7699999999999995E-134</v>
      </c>
      <c r="G16933" s="3">
        <v>1098</v>
      </c>
      <c r="H16933" s="3">
        <v>43</v>
      </c>
      <c r="I16933" s="3">
        <v>730</v>
      </c>
      <c r="J16933" s="3">
        <v>360</v>
      </c>
      <c r="K16933" s="3">
        <v>2324</v>
      </c>
      <c r="L16933" s="3">
        <v>1</v>
      </c>
      <c r="M16933" s="3">
        <v>680</v>
      </c>
    </row>
    <row r="16934" spans="1:13" x14ac:dyDescent="0.25">
      <c r="A16934" s="1" t="str">
        <f>HYPERLINK("http://www.rosaceae.org/Prunus/Prunus_persica/p.persica_gdr_reftransV1_0022407","p.persica_gdr_reftransV1_0022407")</f>
        <v>p.persica_gdr_reftransV1_0022407</v>
      </c>
      <c r="B16934" s="3">
        <v>1598</v>
      </c>
      <c r="C16934" s="1" t="str">
        <f>HYPERLINK("http://www.uniprot.org/uniprot/RBGPR_MOUSE","RBGPR_MOUSE")</f>
        <v>RBGPR_MOUSE</v>
      </c>
      <c r="D16934" t="s">
        <v>10513</v>
      </c>
      <c r="E16934" s="3" t="s">
        <v>157</v>
      </c>
      <c r="F16934" s="4">
        <v>6.6099999999999999E-23</v>
      </c>
      <c r="G16934" s="3">
        <v>266</v>
      </c>
      <c r="H16934" s="3">
        <v>35</v>
      </c>
      <c r="I16934" s="3">
        <v>203</v>
      </c>
      <c r="J16934" s="3">
        <v>799</v>
      </c>
      <c r="K16934" s="3">
        <v>1371</v>
      </c>
      <c r="L16934" s="3">
        <v>303</v>
      </c>
      <c r="M16934" s="3">
        <v>502</v>
      </c>
    </row>
    <row r="16935" spans="1:13" x14ac:dyDescent="0.25">
      <c r="A16935" s="1" t="str">
        <f>HYPERLINK("http://www.rosaceae.org/Prunus/Prunus_persica/p.persica_gdr_reftransV1_0022457","p.persica_gdr_reftransV1_0022457")</f>
        <v>p.persica_gdr_reftransV1_0022457</v>
      </c>
      <c r="B16935" s="3">
        <v>2924</v>
      </c>
      <c r="C16935" s="1" t="str">
        <f>HYPERLINK("http://www.uniprot.org/uniprot/DSK2B_ARATH","DSK2B_ARATH")</f>
        <v>DSK2B_ARATH</v>
      </c>
      <c r="D16935" t="s">
        <v>4557</v>
      </c>
      <c r="E16935" s="3" t="s">
        <v>3</v>
      </c>
      <c r="F16935" s="4">
        <v>8.0800000000000005E-153</v>
      </c>
      <c r="G16935" s="3">
        <v>1210</v>
      </c>
      <c r="H16935" s="3">
        <v>66</v>
      </c>
      <c r="I16935" s="3">
        <v>456</v>
      </c>
      <c r="J16935" s="3">
        <v>443</v>
      </c>
      <c r="K16935" s="3">
        <v>1771</v>
      </c>
      <c r="L16935" s="3">
        <v>1</v>
      </c>
      <c r="M16935" s="3">
        <v>444</v>
      </c>
    </row>
    <row r="16936" spans="1:13" x14ac:dyDescent="0.25">
      <c r="A16936" s="1" t="str">
        <f>HYPERLINK("http://www.rosaceae.org/Prunus/Prunus_persica/p.persica_gdr_reftransV1_0022707","p.persica_gdr_reftransV1_0022707")</f>
        <v>p.persica_gdr_reftransV1_0022707</v>
      </c>
      <c r="B16936" s="3">
        <v>1126</v>
      </c>
      <c r="C16936" s="1" t="str">
        <f>HYPERLINK("http://www.uniprot.org/uniprot/RUBP1_ARATH","RUBP1_ARATH")</f>
        <v>RUBP1_ARATH</v>
      </c>
      <c r="D16936" t="s">
        <v>10514</v>
      </c>
      <c r="E16936" s="3" t="s">
        <v>3</v>
      </c>
      <c r="F16936" s="4">
        <v>9.2499999999999993E-53</v>
      </c>
      <c r="G16936" s="3">
        <v>316</v>
      </c>
      <c r="H16936" s="3">
        <v>46</v>
      </c>
      <c r="I16936" s="3">
        <v>141</v>
      </c>
      <c r="J16936" s="3">
        <v>320</v>
      </c>
      <c r="K16936" s="3">
        <v>739</v>
      </c>
      <c r="L16936" s="3">
        <v>85</v>
      </c>
      <c r="M16936" s="3">
        <v>220</v>
      </c>
    </row>
    <row r="16937" spans="1:13" x14ac:dyDescent="0.25">
      <c r="A16937" s="1" t="str">
        <f>HYPERLINK("http://www.rosaceae.org/Prunus/Prunus_persica/p.persica_gdr_reftransV1_0022807","p.persica_gdr_reftransV1_0022807")</f>
        <v>p.persica_gdr_reftransV1_0022807</v>
      </c>
      <c r="B16937" s="3">
        <v>2028</v>
      </c>
      <c r="C16937" s="1" t="str">
        <f>HYPERLINK("http://www.uniprot.org/uniprot/HSP7C_PETHY","HSP7C_PETHY")</f>
        <v>HSP7C_PETHY</v>
      </c>
      <c r="D16937" t="s">
        <v>804</v>
      </c>
      <c r="E16937" s="3" t="s">
        <v>509</v>
      </c>
      <c r="F16937" s="4">
        <v>0</v>
      </c>
      <c r="G16937" s="3">
        <v>2598</v>
      </c>
      <c r="H16937" s="3">
        <v>90</v>
      </c>
      <c r="I16937" s="3">
        <v>584</v>
      </c>
      <c r="J16937" s="3">
        <v>138</v>
      </c>
      <c r="K16937" s="3">
        <v>1889</v>
      </c>
      <c r="L16937" s="3">
        <v>1</v>
      </c>
      <c r="M16937" s="3">
        <v>584</v>
      </c>
    </row>
    <row r="16938" spans="1:13" x14ac:dyDescent="0.25">
      <c r="A16938" s="1" t="str">
        <f>HYPERLINK("http://www.rosaceae.org/Prunus/Prunus_persica/p.persica_gdr_reftransV1_0022907","p.persica_gdr_reftransV1_0022907")</f>
        <v>p.persica_gdr_reftransV1_0022907</v>
      </c>
      <c r="B16938" s="3">
        <v>2308</v>
      </c>
      <c r="C16938" s="1" t="str">
        <f>HYPERLINK("http://www.uniprot.org/uniprot/Y1666_ARATH","Y1666_ARATH")</f>
        <v>Y1666_ARATH</v>
      </c>
      <c r="D16938" t="s">
        <v>638</v>
      </c>
      <c r="E16938" s="3" t="s">
        <v>3</v>
      </c>
      <c r="F16938" s="4">
        <v>4.78E-163</v>
      </c>
      <c r="G16938" s="3">
        <v>1250</v>
      </c>
      <c r="H16938" s="3">
        <v>61</v>
      </c>
      <c r="I16938" s="3">
        <v>479</v>
      </c>
      <c r="J16938" s="3">
        <v>454</v>
      </c>
      <c r="K16938" s="3">
        <v>1869</v>
      </c>
      <c r="L16938" s="3">
        <v>1</v>
      </c>
      <c r="M16938" s="3">
        <v>424</v>
      </c>
    </row>
    <row r="16939" spans="1:13" x14ac:dyDescent="0.25">
      <c r="A16939" s="1" t="str">
        <f>HYPERLINK("http://www.rosaceae.org/Prunus/Prunus_persica/p.persica_gdr_reftransV1_0023207","p.persica_gdr_reftransV1_0023207")</f>
        <v>p.persica_gdr_reftransV1_0023207</v>
      </c>
      <c r="B16939" s="3">
        <v>2211</v>
      </c>
      <c r="C16939" s="1" t="str">
        <f>HYPERLINK("http://www.uniprot.org/uniprot/C71D9_SOYBN","C71D9_SOYBN")</f>
        <v>C71D9_SOYBN</v>
      </c>
      <c r="D16939" t="s">
        <v>10515</v>
      </c>
      <c r="E16939" s="3" t="s">
        <v>307</v>
      </c>
      <c r="F16939" s="4">
        <v>6.5400000000000003E-93</v>
      </c>
      <c r="G16939" s="3">
        <v>780</v>
      </c>
      <c r="H16939" s="3">
        <v>51</v>
      </c>
      <c r="I16939" s="3">
        <v>304</v>
      </c>
      <c r="J16939" s="3">
        <v>184</v>
      </c>
      <c r="K16939" s="3">
        <v>1092</v>
      </c>
      <c r="L16939" s="3">
        <v>1</v>
      </c>
      <c r="M16939" s="3">
        <v>293</v>
      </c>
    </row>
    <row r="16940" spans="1:13" x14ac:dyDescent="0.25">
      <c r="A16940" s="1" t="str">
        <f>HYPERLINK("http://www.rosaceae.org/Prunus/Prunus_persica/p.persica_gdr_reftransV1_0023307","p.persica_gdr_reftransV1_0023307")</f>
        <v>p.persica_gdr_reftransV1_0023307</v>
      </c>
      <c r="B16940" s="3">
        <v>1939</v>
      </c>
      <c r="C16940" s="1" t="str">
        <f>HYPERLINK("http://www.uniprot.org/uniprot/YCF37_GUITH","YCF37_GUITH")</f>
        <v>YCF37_GUITH</v>
      </c>
      <c r="D16940" t="s">
        <v>1834</v>
      </c>
      <c r="E16940" s="3" t="s">
        <v>1835</v>
      </c>
      <c r="F16940" s="4">
        <v>6.4200000000000003E-19</v>
      </c>
      <c r="G16940" s="3">
        <v>221</v>
      </c>
      <c r="H16940" s="3">
        <v>32</v>
      </c>
      <c r="I16940" s="3">
        <v>146</v>
      </c>
      <c r="J16940" s="3">
        <v>1139</v>
      </c>
      <c r="K16940" s="3">
        <v>1573</v>
      </c>
      <c r="L16940" s="3">
        <v>23</v>
      </c>
      <c r="M16940" s="3">
        <v>168</v>
      </c>
    </row>
    <row r="16941" spans="1:13" x14ac:dyDescent="0.25">
      <c r="A16941" s="1" t="str">
        <f>HYPERLINK("http://www.rosaceae.org/Prunus/Prunus_persica/p.persica_gdr_reftransV1_0024207","p.persica_gdr_reftransV1_0024207")</f>
        <v>p.persica_gdr_reftransV1_0024207</v>
      </c>
      <c r="B16941" s="3">
        <v>1243</v>
      </c>
      <c r="C16941" s="1" t="str">
        <f>HYPERLINK("http://www.uniprot.org/uniprot/NAC22_ARATH","NAC22_ARATH")</f>
        <v>NAC22_ARATH</v>
      </c>
      <c r="D16941" t="s">
        <v>10283</v>
      </c>
      <c r="E16941" s="3" t="s">
        <v>3</v>
      </c>
      <c r="F16941" s="4">
        <v>1.4599999999999999E-60</v>
      </c>
      <c r="G16941" s="3">
        <v>522</v>
      </c>
      <c r="H16941" s="3">
        <v>52</v>
      </c>
      <c r="I16941" s="3">
        <v>189</v>
      </c>
      <c r="J16941" s="3">
        <v>254</v>
      </c>
      <c r="K16941" s="3">
        <v>796</v>
      </c>
      <c r="L16941" s="3">
        <v>15</v>
      </c>
      <c r="M16941" s="3">
        <v>201</v>
      </c>
    </row>
    <row r="16942" spans="1:13" x14ac:dyDescent="0.25">
      <c r="A16942" s="1" t="str">
        <f>HYPERLINK("http://www.rosaceae.org/Prunus/Prunus_persica/p.persica_gdr_reftransV1_0024257","p.persica_gdr_reftransV1_0024257")</f>
        <v>p.persica_gdr_reftransV1_0024257</v>
      </c>
      <c r="B16942" s="3">
        <v>1442</v>
      </c>
      <c r="C16942" s="1" t="str">
        <f>HYPERLINK("http://www.uniprot.org/uniprot/SPSA3_ARATH","SPSA3_ARATH")</f>
        <v>SPSA3_ARATH</v>
      </c>
      <c r="D16942" t="s">
        <v>10516</v>
      </c>
      <c r="E16942" s="3" t="s">
        <v>3</v>
      </c>
      <c r="F16942" s="4">
        <v>2.57E-175</v>
      </c>
      <c r="G16942" s="3">
        <v>1359</v>
      </c>
      <c r="H16942" s="3">
        <v>81</v>
      </c>
      <c r="I16942" s="3">
        <v>339</v>
      </c>
      <c r="J16942" s="3">
        <v>439</v>
      </c>
      <c r="K16942" s="3">
        <v>1440</v>
      </c>
      <c r="L16942" s="3">
        <v>1</v>
      </c>
      <c r="M16942" s="3">
        <v>339</v>
      </c>
    </row>
    <row r="16943" spans="1:13" x14ac:dyDescent="0.25">
      <c r="A16943" s="1" t="str">
        <f>HYPERLINK("http://www.rosaceae.org/Prunus/Prunus_persica/p.persica_gdr_reftransV1_0024307","p.persica_gdr_reftransV1_0024307")</f>
        <v>p.persica_gdr_reftransV1_0024307</v>
      </c>
      <c r="B16943" s="3">
        <v>932</v>
      </c>
      <c r="C16943" s="1" t="str">
        <f>HYPERLINK("http://www.uniprot.org/uniprot/CAP10_ARATH","CAP10_ARATH")</f>
        <v>CAP10_ARATH</v>
      </c>
      <c r="D16943" t="s">
        <v>10357</v>
      </c>
      <c r="E16943" s="3" t="s">
        <v>3</v>
      </c>
      <c r="F16943" s="4">
        <v>3.46E-9</v>
      </c>
      <c r="G16943" s="3">
        <v>147</v>
      </c>
      <c r="H16943" s="3">
        <v>43</v>
      </c>
      <c r="I16943" s="3">
        <v>120</v>
      </c>
      <c r="J16943" s="3">
        <v>108</v>
      </c>
      <c r="K16943" s="3">
        <v>452</v>
      </c>
      <c r="L16943" s="3">
        <v>359</v>
      </c>
      <c r="M16943" s="3">
        <v>460</v>
      </c>
    </row>
    <row r="16944" spans="1:13" x14ac:dyDescent="0.25">
      <c r="A16944" s="1" t="str">
        <f>HYPERLINK("http://www.rosaceae.org/Prunus/Prunus_persica/p.persica_gdr_reftransV1_0024457","p.persica_gdr_reftransV1_0024457")</f>
        <v>p.persica_gdr_reftransV1_0024457</v>
      </c>
      <c r="B16944" s="3">
        <v>1421</v>
      </c>
      <c r="C16944" s="1" t="str">
        <f>HYPERLINK("http://www.uniprot.org/uniprot/YF48_SCHPO","YF48_SCHPO")</f>
        <v>YF48_SCHPO</v>
      </c>
      <c r="D16944" t="s">
        <v>8572</v>
      </c>
      <c r="E16944" s="3" t="s">
        <v>464</v>
      </c>
      <c r="F16944" s="4">
        <v>1.4500000000000001E-45</v>
      </c>
      <c r="G16944" s="3">
        <v>442</v>
      </c>
      <c r="H16944" s="3">
        <v>40</v>
      </c>
      <c r="I16944" s="3">
        <v>226</v>
      </c>
      <c r="J16944" s="3">
        <v>777</v>
      </c>
      <c r="K16944" s="3">
        <v>1418</v>
      </c>
      <c r="L16944" s="3">
        <v>377</v>
      </c>
      <c r="M16944" s="3">
        <v>598</v>
      </c>
    </row>
    <row r="16945" spans="1:13" x14ac:dyDescent="0.25">
      <c r="A16945" s="1" t="str">
        <f>HYPERLINK("http://www.rosaceae.org/Prunus/Prunus_persica/p.persica_gdr_reftransV1_0024507","p.persica_gdr_reftransV1_0024507")</f>
        <v>p.persica_gdr_reftransV1_0024507</v>
      </c>
      <c r="B16945" s="3">
        <v>2327</v>
      </c>
      <c r="C16945" s="1" t="str">
        <f>HYPERLINK("http://www.uniprot.org/uniprot/FB290_ARATH","FB290_ARATH")</f>
        <v>FB290_ARATH</v>
      </c>
      <c r="D16945" t="s">
        <v>10517</v>
      </c>
      <c r="E16945" s="3" t="s">
        <v>3</v>
      </c>
      <c r="F16945" s="4">
        <v>1.5100000000000001E-159</v>
      </c>
      <c r="G16945" s="3">
        <v>1232</v>
      </c>
      <c r="H16945" s="3">
        <v>58</v>
      </c>
      <c r="I16945" s="3">
        <v>430</v>
      </c>
      <c r="J16945" s="3">
        <v>350</v>
      </c>
      <c r="K16945" s="3">
        <v>1636</v>
      </c>
      <c r="L16945" s="3">
        <v>49</v>
      </c>
      <c r="M16945" s="3">
        <v>477</v>
      </c>
    </row>
    <row r="16946" spans="1:13" x14ac:dyDescent="0.25">
      <c r="A16946" s="1" t="str">
        <f>HYPERLINK("http://www.rosaceae.org/Prunus/Prunus_persica/p.persica_gdr_reftransV1_0024607","p.persica_gdr_reftransV1_0024607")</f>
        <v>p.persica_gdr_reftransV1_0024607</v>
      </c>
      <c r="B16946" s="3">
        <v>1845</v>
      </c>
      <c r="C16946" s="1" t="str">
        <f>HYPERLINK("http://www.uniprot.org/uniprot/FXL20_MOUSE","FXL20_MOUSE")</f>
        <v>FXL20_MOUSE</v>
      </c>
      <c r="D16946" t="s">
        <v>1100</v>
      </c>
      <c r="E16946" s="3" t="s">
        <v>157</v>
      </c>
      <c r="F16946" s="4">
        <v>8.1099999999999998E-29</v>
      </c>
      <c r="G16946" s="3">
        <v>308</v>
      </c>
      <c r="H16946" s="3">
        <v>31</v>
      </c>
      <c r="I16946" s="3">
        <v>310</v>
      </c>
      <c r="J16946" s="3">
        <v>447</v>
      </c>
      <c r="K16946" s="3">
        <v>1298</v>
      </c>
      <c r="L16946" s="3">
        <v>91</v>
      </c>
      <c r="M16946" s="3">
        <v>396</v>
      </c>
    </row>
    <row r="16947" spans="1:13" x14ac:dyDescent="0.25">
      <c r="A16947" s="1" t="str">
        <f>HYPERLINK("http://www.rosaceae.org/Prunus/Prunus_persica/p.persica_gdr_reftransV1_0024657","p.persica_gdr_reftransV1_0024657")</f>
        <v>p.persica_gdr_reftransV1_0024657</v>
      </c>
      <c r="B16947" s="3">
        <v>868</v>
      </c>
      <c r="C16947" s="1" t="str">
        <f>HYPERLINK("http://www.uniprot.org/uniprot/SUVH4_ARATH","SUVH4_ARATH")</f>
        <v>SUVH4_ARATH</v>
      </c>
      <c r="D16947" t="s">
        <v>4988</v>
      </c>
      <c r="E16947" s="3" t="s">
        <v>3</v>
      </c>
      <c r="F16947" s="4">
        <v>7.8300000000000001E-124</v>
      </c>
      <c r="G16947" s="3">
        <v>959</v>
      </c>
      <c r="H16947" s="3">
        <v>62</v>
      </c>
      <c r="I16947" s="3">
        <v>291</v>
      </c>
      <c r="J16947" s="3">
        <v>3</v>
      </c>
      <c r="K16947" s="3">
        <v>866</v>
      </c>
      <c r="L16947" s="3">
        <v>300</v>
      </c>
      <c r="M16947" s="3">
        <v>587</v>
      </c>
    </row>
    <row r="16948" spans="1:13" x14ac:dyDescent="0.25">
      <c r="A16948" s="1" t="str">
        <f>HYPERLINK("http://www.rosaceae.org/Prunus/Prunus_persica/p.persica_gdr_reftransV1_0024707","p.persica_gdr_reftransV1_0024707")</f>
        <v>p.persica_gdr_reftransV1_0024707</v>
      </c>
      <c r="B16948" s="3">
        <v>2717</v>
      </c>
      <c r="C16948" s="1" t="str">
        <f>HYPERLINK("http://www.uniprot.org/uniprot/BLH3_ARATH","BLH3_ARATH")</f>
        <v>BLH3_ARATH</v>
      </c>
      <c r="D16948" t="s">
        <v>10518</v>
      </c>
      <c r="E16948" s="3" t="s">
        <v>3</v>
      </c>
      <c r="F16948" s="4">
        <v>7.5299999999999996E-91</v>
      </c>
      <c r="G16948" s="3">
        <v>778</v>
      </c>
      <c r="H16948" s="3">
        <v>50</v>
      </c>
      <c r="I16948" s="3">
        <v>428</v>
      </c>
      <c r="J16948" s="3">
        <v>653</v>
      </c>
      <c r="K16948" s="3">
        <v>1927</v>
      </c>
      <c r="L16948" s="3">
        <v>39</v>
      </c>
      <c r="M16948" s="3">
        <v>419</v>
      </c>
    </row>
    <row r="16949" spans="1:13" x14ac:dyDescent="0.25">
      <c r="A16949" s="1" t="str">
        <f>HYPERLINK("http://www.rosaceae.org/Prunus/Prunus_persica/p.persica_gdr_reftransV1_0024807","p.persica_gdr_reftransV1_0024807")</f>
        <v>p.persica_gdr_reftransV1_0024807</v>
      </c>
      <c r="B16949" s="3">
        <v>1778</v>
      </c>
      <c r="C16949" s="1" t="str">
        <f>HYPERLINK("http://www.uniprot.org/uniprot/APK2A_ARATH","APK2A_ARATH")</f>
        <v>APK2A_ARATH</v>
      </c>
      <c r="D16949" t="s">
        <v>10519</v>
      </c>
      <c r="E16949" s="3" t="s">
        <v>3</v>
      </c>
      <c r="F16949" s="4">
        <v>4.7900000000000003E-119</v>
      </c>
      <c r="G16949" s="3">
        <v>606</v>
      </c>
      <c r="H16949" s="3">
        <v>69</v>
      </c>
      <c r="I16949" s="3">
        <v>149</v>
      </c>
      <c r="J16949" s="3">
        <v>822</v>
      </c>
      <c r="K16949" s="3">
        <v>1268</v>
      </c>
      <c r="L16949" s="3">
        <v>81</v>
      </c>
      <c r="M16949" s="3">
        <v>229</v>
      </c>
    </row>
    <row r="16950" spans="1:13" x14ac:dyDescent="0.25">
      <c r="A16950" s="1" t="str">
        <f>HYPERLINK("http://www.rosaceae.org/Prunus/Prunus_persica/p.persica_gdr_reftransV1_0025057","p.persica_gdr_reftransV1_0025057")</f>
        <v>p.persica_gdr_reftransV1_0025057</v>
      </c>
      <c r="B16950" s="3">
        <v>1801</v>
      </c>
      <c r="C16950" s="1" t="str">
        <f>HYPERLINK("http://www.uniprot.org/uniprot/PDCD2_BOVIN","PDCD2_BOVIN")</f>
        <v>PDCD2_BOVIN</v>
      </c>
      <c r="D16950" t="s">
        <v>4127</v>
      </c>
      <c r="E16950" s="3" t="s">
        <v>184</v>
      </c>
      <c r="F16950" s="4">
        <v>1.6300000000000001E-50</v>
      </c>
      <c r="G16950" s="3">
        <v>465</v>
      </c>
      <c r="H16950" s="3">
        <v>33</v>
      </c>
      <c r="I16950" s="3">
        <v>400</v>
      </c>
      <c r="J16950" s="3">
        <v>311</v>
      </c>
      <c r="K16950" s="3">
        <v>1477</v>
      </c>
      <c r="L16950" s="3">
        <v>11</v>
      </c>
      <c r="M16950" s="3">
        <v>338</v>
      </c>
    </row>
    <row r="16951" spans="1:13" x14ac:dyDescent="0.25">
      <c r="A16951" s="1" t="str">
        <f>HYPERLINK("http://www.rosaceae.org/Prunus/Prunus_persica/p.persica_gdr_reftransV1_0025307","p.persica_gdr_reftransV1_0025307")</f>
        <v>p.persica_gdr_reftransV1_0025307</v>
      </c>
      <c r="B16951" s="3">
        <v>351</v>
      </c>
      <c r="C16951" s="1" t="str">
        <f>HYPERLINK("http://www.uniprot.org/uniprot/C76B6_CATRO","C76B6_CATRO")</f>
        <v>C76B6_CATRO</v>
      </c>
      <c r="D16951" t="s">
        <v>3655</v>
      </c>
      <c r="E16951" s="3" t="s">
        <v>457</v>
      </c>
      <c r="F16951" s="4">
        <v>7.1900000000000005E-15</v>
      </c>
      <c r="G16951" s="3">
        <v>180</v>
      </c>
      <c r="H16951" s="3">
        <v>61</v>
      </c>
      <c r="I16951" s="3">
        <v>54</v>
      </c>
      <c r="J16951" s="3">
        <v>10</v>
      </c>
      <c r="K16951" s="3">
        <v>171</v>
      </c>
      <c r="L16951" s="3">
        <v>46</v>
      </c>
      <c r="M16951" s="3">
        <v>99</v>
      </c>
    </row>
    <row r="16952" spans="1:13" x14ac:dyDescent="0.25">
      <c r="A16952" s="1" t="str">
        <f>HYPERLINK("http://www.rosaceae.org/Prunus/Prunus_persica/p.persica_gdr_reftransV1_0025707","p.persica_gdr_reftransV1_0025707")</f>
        <v>p.persica_gdr_reftransV1_0025707</v>
      </c>
      <c r="B16952" s="3">
        <v>1936</v>
      </c>
      <c r="C16952" s="1" t="str">
        <f>HYPERLINK("http://www.uniprot.org/uniprot/Y4729_ARATH","Y4729_ARATH")</f>
        <v>Y4729_ARATH</v>
      </c>
      <c r="D16952" t="s">
        <v>334</v>
      </c>
      <c r="E16952" s="3" t="s">
        <v>3</v>
      </c>
      <c r="F16952" s="4">
        <v>4.2700000000000002E-113</v>
      </c>
      <c r="G16952" s="3">
        <v>933</v>
      </c>
      <c r="H16952" s="3">
        <v>47</v>
      </c>
      <c r="I16952" s="3">
        <v>371</v>
      </c>
      <c r="J16952" s="3">
        <v>846</v>
      </c>
      <c r="K16952" s="3">
        <v>1934</v>
      </c>
      <c r="L16952" s="3">
        <v>63</v>
      </c>
      <c r="M16952" s="3">
        <v>429</v>
      </c>
    </row>
    <row r="16953" spans="1:13" x14ac:dyDescent="0.25">
      <c r="A16953" s="1" t="str">
        <f>HYPERLINK("http://www.rosaceae.org/Prunus/Prunus_persica/p.persica_gdr_reftransV1_0025907","p.persica_gdr_reftransV1_0025907")</f>
        <v>p.persica_gdr_reftransV1_0025907</v>
      </c>
      <c r="B16953" s="3">
        <v>2051</v>
      </c>
      <c r="C16953" s="1" t="str">
        <f>HYPERLINK("http://www.uniprot.org/uniprot/PP281_ARATH","PP281_ARATH")</f>
        <v>PP281_ARATH</v>
      </c>
      <c r="D16953" t="s">
        <v>1006</v>
      </c>
      <c r="E16953" s="3" t="s">
        <v>3</v>
      </c>
      <c r="F16953" s="4">
        <v>2.8400000000000001E-34</v>
      </c>
      <c r="G16953" s="3">
        <v>361</v>
      </c>
      <c r="H16953" s="3">
        <v>29</v>
      </c>
      <c r="I16953" s="3">
        <v>352</v>
      </c>
      <c r="J16953" s="3">
        <v>535</v>
      </c>
      <c r="K16953" s="3">
        <v>1461</v>
      </c>
      <c r="L16953" s="3">
        <v>261</v>
      </c>
      <c r="M16953" s="3">
        <v>611</v>
      </c>
    </row>
    <row r="16954" spans="1:13" x14ac:dyDescent="0.25">
      <c r="A16954" s="1" t="str">
        <f>HYPERLINK("http://www.rosaceae.org/Prunus/Prunus_persica/p.persica_gdr_reftransV1_0025957","p.persica_gdr_reftransV1_0025957")</f>
        <v>p.persica_gdr_reftransV1_0025957</v>
      </c>
      <c r="B16954" s="3">
        <v>912</v>
      </c>
      <c r="C16954" s="1" t="str">
        <f>HYPERLINK("http://www.uniprot.org/uniprot/RBK2_ARATH","RBK2_ARATH")</f>
        <v>RBK2_ARATH</v>
      </c>
      <c r="D16954" t="s">
        <v>1395</v>
      </c>
      <c r="E16954" s="3" t="s">
        <v>3</v>
      </c>
      <c r="F16954" s="4">
        <v>5.3600000000000003E-90</v>
      </c>
      <c r="G16954" s="3">
        <v>722</v>
      </c>
      <c r="H16954" s="3">
        <v>72</v>
      </c>
      <c r="I16954" s="3">
        <v>185</v>
      </c>
      <c r="J16954" s="3">
        <v>358</v>
      </c>
      <c r="K16954" s="3">
        <v>912</v>
      </c>
      <c r="L16954" s="3">
        <v>276</v>
      </c>
      <c r="M16954" s="3">
        <v>460</v>
      </c>
    </row>
    <row r="16955" spans="1:13" x14ac:dyDescent="0.25">
      <c r="A16955" s="1" t="str">
        <f>HYPERLINK("http://www.rosaceae.org/Prunus/Prunus_persica/p.persica_gdr_reftransV1_0026107","p.persica_gdr_reftransV1_0026107")</f>
        <v>p.persica_gdr_reftransV1_0026107</v>
      </c>
      <c r="B16955" s="3">
        <v>4607</v>
      </c>
      <c r="C16955" s="1" t="str">
        <f>HYPERLINK("http://www.uniprot.org/uniprot/CHLH_ARATH","CHLH_ARATH")</f>
        <v>CHLH_ARATH</v>
      </c>
      <c r="D16955" t="s">
        <v>10520</v>
      </c>
      <c r="E16955" s="3" t="s">
        <v>3</v>
      </c>
      <c r="F16955" s="4">
        <v>0</v>
      </c>
      <c r="G16955" s="3">
        <v>6464</v>
      </c>
      <c r="H16955" s="3">
        <v>87</v>
      </c>
      <c r="I16955" s="3">
        <v>1383</v>
      </c>
      <c r="J16955" s="3">
        <v>228</v>
      </c>
      <c r="K16955" s="3">
        <v>4367</v>
      </c>
      <c r="L16955" s="3">
        <v>1</v>
      </c>
      <c r="M16955" s="3">
        <v>1381</v>
      </c>
    </row>
    <row r="16956" spans="1:13" x14ac:dyDescent="0.25">
      <c r="A16956" s="1" t="str">
        <f>HYPERLINK("http://www.rosaceae.org/Prunus/Prunus_persica/p.persica_gdr_reftransV1_0026207","p.persica_gdr_reftransV1_0026207")</f>
        <v>p.persica_gdr_reftransV1_0026207</v>
      </c>
      <c r="B16956" s="3">
        <v>1258</v>
      </c>
      <c r="C16956" s="1" t="str">
        <f>HYPERLINK("http://www.uniprot.org/uniprot/MED28_ARATH","MED28_ARATH")</f>
        <v>MED28_ARATH</v>
      </c>
      <c r="D16956" t="s">
        <v>10521</v>
      </c>
      <c r="E16956" s="3" t="s">
        <v>3</v>
      </c>
      <c r="F16956" s="4">
        <v>3.7300000000000002E-37</v>
      </c>
      <c r="G16956" s="3">
        <v>347</v>
      </c>
      <c r="H16956" s="3">
        <v>74</v>
      </c>
      <c r="I16956" s="3">
        <v>118</v>
      </c>
      <c r="J16956" s="3">
        <v>633</v>
      </c>
      <c r="K16956" s="3">
        <v>983</v>
      </c>
      <c r="L16956" s="3">
        <v>39</v>
      </c>
      <c r="M16956" s="3">
        <v>156</v>
      </c>
    </row>
    <row r="16957" spans="1:13" x14ac:dyDescent="0.25">
      <c r="A16957" s="1" t="str">
        <f>HYPERLINK("http://www.rosaceae.org/Prunus/Prunus_persica/p.persica_gdr_reftransV1_0026307","p.persica_gdr_reftransV1_0026307")</f>
        <v>p.persica_gdr_reftransV1_0026307</v>
      </c>
      <c r="B16957" s="3">
        <v>2448</v>
      </c>
      <c r="C16957" s="1" t="str">
        <f>HYPERLINK("http://www.uniprot.org/uniprot/MCM5_ARATH","MCM5_ARATH")</f>
        <v>MCM5_ARATH</v>
      </c>
      <c r="D16957" t="s">
        <v>10522</v>
      </c>
      <c r="E16957" s="3" t="s">
        <v>3</v>
      </c>
      <c r="F16957" s="4">
        <v>0</v>
      </c>
      <c r="G16957" s="3">
        <v>2998</v>
      </c>
      <c r="H16957" s="3">
        <v>77</v>
      </c>
      <c r="I16957" s="3">
        <v>734</v>
      </c>
      <c r="J16957" s="3">
        <v>51</v>
      </c>
      <c r="K16957" s="3">
        <v>2252</v>
      </c>
      <c r="L16957" s="3">
        <v>1</v>
      </c>
      <c r="M16957" s="3">
        <v>727</v>
      </c>
    </row>
    <row r="16958" spans="1:13" x14ac:dyDescent="0.25">
      <c r="A16958" s="1" t="str">
        <f>HYPERLINK("http://www.rosaceae.org/Prunus/Prunus_persica/p.persica_gdr_reftransV1_0026757","p.persica_gdr_reftransV1_0026757")</f>
        <v>p.persica_gdr_reftransV1_0026757</v>
      </c>
      <c r="B16958" s="3">
        <v>2971</v>
      </c>
      <c r="C16958" s="1" t="str">
        <f>HYPERLINK("http://www.uniprot.org/uniprot/PP418_ARATH","PP418_ARATH")</f>
        <v>PP418_ARATH</v>
      </c>
      <c r="D16958" t="s">
        <v>10523</v>
      </c>
      <c r="E16958" s="3" t="s">
        <v>3</v>
      </c>
      <c r="F16958" s="4">
        <v>9.1699999999999996E-117</v>
      </c>
      <c r="G16958" s="3">
        <v>958</v>
      </c>
      <c r="H16958" s="3">
        <v>61</v>
      </c>
      <c r="I16958" s="3">
        <v>288</v>
      </c>
      <c r="J16958" s="3">
        <v>927</v>
      </c>
      <c r="K16958" s="3">
        <v>1790</v>
      </c>
      <c r="L16958" s="3">
        <v>177</v>
      </c>
      <c r="M16958" s="3">
        <v>462</v>
      </c>
    </row>
    <row r="16959" spans="1:13" x14ac:dyDescent="0.25">
      <c r="A16959" s="1" t="str">
        <f>HYPERLINK("http://www.rosaceae.org/Prunus/Prunus_persica/p.persica_gdr_reftransV1_0026857","p.persica_gdr_reftransV1_0026857")</f>
        <v>p.persica_gdr_reftransV1_0026857</v>
      </c>
      <c r="B16959" s="3">
        <v>3237</v>
      </c>
      <c r="C16959" s="1" t="str">
        <f>HYPERLINK("http://www.uniprot.org/uniprot/GLR27_ARATH","GLR27_ARATH")</f>
        <v>GLR27_ARATH</v>
      </c>
      <c r="D16959" t="s">
        <v>1199</v>
      </c>
      <c r="E16959" s="3" t="s">
        <v>3</v>
      </c>
      <c r="F16959" s="4">
        <v>1.89E-114</v>
      </c>
      <c r="G16959" s="3">
        <v>985</v>
      </c>
      <c r="H16959" s="3">
        <v>33</v>
      </c>
      <c r="I16959" s="3">
        <v>847</v>
      </c>
      <c r="J16959" s="3">
        <v>331</v>
      </c>
      <c r="K16959" s="3">
        <v>2757</v>
      </c>
      <c r="L16959" s="3">
        <v>6</v>
      </c>
      <c r="M16959" s="3">
        <v>826</v>
      </c>
    </row>
    <row r="16960" spans="1:13" x14ac:dyDescent="0.25">
      <c r="A16960" s="1" t="str">
        <f>HYPERLINK("http://www.rosaceae.org/Prunus/Prunus_persica/p.persica_gdr_reftransV1_0026907","p.persica_gdr_reftransV1_0026907")</f>
        <v>p.persica_gdr_reftransV1_0026907</v>
      </c>
      <c r="B16960" s="3">
        <v>1382</v>
      </c>
      <c r="C16960" s="1" t="str">
        <f>HYPERLINK("http://www.uniprot.org/uniprot/HFB2A_ARATH","HFB2A_ARATH")</f>
        <v>HFB2A_ARATH</v>
      </c>
      <c r="D16960" t="s">
        <v>10524</v>
      </c>
      <c r="E16960" s="3" t="s">
        <v>3</v>
      </c>
      <c r="F16960" s="4">
        <v>3.5400000000000001E-50</v>
      </c>
      <c r="G16960" s="3">
        <v>380</v>
      </c>
      <c r="H16960" s="3">
        <v>44</v>
      </c>
      <c r="I16960" s="3">
        <v>236</v>
      </c>
      <c r="J16960" s="3">
        <v>531</v>
      </c>
      <c r="K16960" s="3">
        <v>1178</v>
      </c>
      <c r="L16960" s="3">
        <v>85</v>
      </c>
      <c r="M16960" s="3">
        <v>299</v>
      </c>
    </row>
    <row r="16961" spans="1:13" x14ac:dyDescent="0.25">
      <c r="A16961" s="1" t="str">
        <f>HYPERLINK("http://www.rosaceae.org/Prunus/Prunus_persica/p.persica_gdr_reftransV1_0027107","p.persica_gdr_reftransV1_0027107")</f>
        <v>p.persica_gdr_reftransV1_0027107</v>
      </c>
      <c r="B16961" s="3">
        <v>4151</v>
      </c>
      <c r="C16961" s="1" t="str">
        <f>HYPERLINK("http://www.uniprot.org/uniprot/MRS22_ARATH","MRS22_ARATH")</f>
        <v>MRS22_ARATH</v>
      </c>
      <c r="D16961" t="s">
        <v>10145</v>
      </c>
      <c r="E16961" s="3" t="s">
        <v>3</v>
      </c>
      <c r="F16961" s="4">
        <v>2.5500000000000002E-50</v>
      </c>
      <c r="G16961" s="3">
        <v>480</v>
      </c>
      <c r="H16961" s="3">
        <v>82</v>
      </c>
      <c r="I16961" s="3">
        <v>119</v>
      </c>
      <c r="J16961" s="3">
        <v>2775</v>
      </c>
      <c r="K16961" s="3">
        <v>3128</v>
      </c>
      <c r="L16961" s="3">
        <v>93</v>
      </c>
      <c r="M16961" s="3">
        <v>211</v>
      </c>
    </row>
    <row r="16962" spans="1:13" x14ac:dyDescent="0.25">
      <c r="A16962" s="1" t="str">
        <f>HYPERLINK("http://www.rosaceae.org/Prunus/Prunus_persica/p.persica_gdr_reftransV1_0027207","p.persica_gdr_reftransV1_0027207")</f>
        <v>p.persica_gdr_reftransV1_0027207</v>
      </c>
      <c r="B16962" s="3">
        <v>4020</v>
      </c>
      <c r="C16962" s="1" t="str">
        <f>HYPERLINK("http://www.uniprot.org/uniprot/MRS23_ARATH","MRS23_ARATH")</f>
        <v>MRS23_ARATH</v>
      </c>
      <c r="D16962" t="s">
        <v>10525</v>
      </c>
      <c r="E16962" s="3" t="s">
        <v>3</v>
      </c>
      <c r="F16962" s="4">
        <v>4.6800000000000002E-74</v>
      </c>
      <c r="G16962" s="3">
        <v>665</v>
      </c>
      <c r="H16962" s="3">
        <v>73</v>
      </c>
      <c r="I16962" s="3">
        <v>218</v>
      </c>
      <c r="J16962" s="3">
        <v>3141</v>
      </c>
      <c r="K16962" s="3">
        <v>3794</v>
      </c>
      <c r="L16962" s="3">
        <v>47</v>
      </c>
      <c r="M16962" s="3">
        <v>259</v>
      </c>
    </row>
    <row r="16963" spans="1:13" x14ac:dyDescent="0.25">
      <c r="A16963" s="1" t="str">
        <f>HYPERLINK("http://www.rosaceae.org/Prunus/Prunus_persica/p.persica_gdr_reftransV1_0027307","p.persica_gdr_reftransV1_0027307")</f>
        <v>p.persica_gdr_reftransV1_0027307</v>
      </c>
      <c r="B16963" s="3">
        <v>1020</v>
      </c>
      <c r="C16963" s="1" t="str">
        <f>HYPERLINK("http://www.uniprot.org/uniprot/FER2_SYNP6","FER2_SYNP6")</f>
        <v>FER2_SYNP6</v>
      </c>
      <c r="D16963" t="s">
        <v>10526</v>
      </c>
      <c r="E16963" s="3" t="s">
        <v>2403</v>
      </c>
      <c r="F16963" s="4">
        <v>8.8799999999999998E-24</v>
      </c>
      <c r="G16963" s="3">
        <v>244</v>
      </c>
      <c r="H16963" s="3">
        <v>46</v>
      </c>
      <c r="I16963" s="3">
        <v>93</v>
      </c>
      <c r="J16963" s="3">
        <v>310</v>
      </c>
      <c r="K16963" s="3">
        <v>588</v>
      </c>
      <c r="L16963" s="3">
        <v>11</v>
      </c>
      <c r="M16963" s="3">
        <v>103</v>
      </c>
    </row>
    <row r="16964" spans="1:13" x14ac:dyDescent="0.25">
      <c r="A16964" s="1" t="str">
        <f>HYPERLINK("http://www.rosaceae.org/Prunus/Prunus_persica/p.persica_gdr_reftransV1_0027357","p.persica_gdr_reftransV1_0027357")</f>
        <v>p.persica_gdr_reftransV1_0027357</v>
      </c>
      <c r="B16964" s="3">
        <v>1336</v>
      </c>
      <c r="C16964" s="1" t="str">
        <f>HYPERLINK("http://www.uniprot.org/uniprot/PP301_ARATH","PP301_ARATH")</f>
        <v>PP301_ARATH</v>
      </c>
      <c r="D16964" t="s">
        <v>1571</v>
      </c>
      <c r="E16964" s="3" t="s">
        <v>3</v>
      </c>
      <c r="F16964" s="4">
        <v>1.0600000000000001E-100</v>
      </c>
      <c r="G16964" s="3">
        <v>831</v>
      </c>
      <c r="H16964" s="3">
        <v>49</v>
      </c>
      <c r="I16964" s="3">
        <v>314</v>
      </c>
      <c r="J16964" s="3">
        <v>410</v>
      </c>
      <c r="K16964" s="3">
        <v>1336</v>
      </c>
      <c r="L16964" s="3">
        <v>468</v>
      </c>
      <c r="M16964" s="3">
        <v>781</v>
      </c>
    </row>
    <row r="16965" spans="1:13" x14ac:dyDescent="0.25">
      <c r="A16965" s="1" t="str">
        <f>HYPERLINK("http://www.rosaceae.org/Prunus/Prunus_persica/p.persica_gdr_reftransV1_0027757","p.persica_gdr_reftransV1_0027757")</f>
        <v>p.persica_gdr_reftransV1_0027757</v>
      </c>
      <c r="B16965" s="3">
        <v>4837</v>
      </c>
      <c r="C16965" s="1" t="str">
        <f>HYPERLINK("http://www.uniprot.org/uniprot/MIP3_ARATH","MIP3_ARATH")</f>
        <v>MIP3_ARATH</v>
      </c>
      <c r="D16965" t="s">
        <v>10527</v>
      </c>
      <c r="E16965" s="3" t="s">
        <v>3</v>
      </c>
      <c r="F16965" s="4">
        <v>0</v>
      </c>
      <c r="G16965" s="3">
        <v>2213</v>
      </c>
      <c r="H16965" s="3">
        <v>62</v>
      </c>
      <c r="I16965" s="3">
        <v>823</v>
      </c>
      <c r="J16965" s="3">
        <v>2044</v>
      </c>
      <c r="K16965" s="3">
        <v>4503</v>
      </c>
      <c r="L16965" s="3">
        <v>24</v>
      </c>
      <c r="M16965" s="3">
        <v>812</v>
      </c>
    </row>
    <row r="16966" spans="1:13" x14ac:dyDescent="0.25">
      <c r="A16966" s="1" t="str">
        <f>HYPERLINK("http://www.rosaceae.org/Prunus/Prunus_persica/p.persica_gdr_reftransV1_0027807","p.persica_gdr_reftransV1_0027807")</f>
        <v>p.persica_gdr_reftransV1_0027807</v>
      </c>
      <c r="B16966" s="3">
        <v>2406</v>
      </c>
      <c r="C16966" s="1" t="str">
        <f>HYPERLINK("http://www.uniprot.org/uniprot/RBRA_DICDI","RBRA_DICDI")</f>
        <v>RBRA_DICDI</v>
      </c>
      <c r="D16966" t="s">
        <v>6583</v>
      </c>
      <c r="E16966" s="3" t="s">
        <v>9</v>
      </c>
      <c r="F16966" s="4">
        <v>5.9400000000000001E-12</v>
      </c>
      <c r="G16966" s="3">
        <v>177</v>
      </c>
      <c r="H16966" s="3">
        <v>25</v>
      </c>
      <c r="I16966" s="3">
        <v>212</v>
      </c>
      <c r="J16966" s="3">
        <v>601</v>
      </c>
      <c r="K16966" s="3">
        <v>1191</v>
      </c>
      <c r="L16966" s="3">
        <v>128</v>
      </c>
      <c r="M16966" s="3">
        <v>319</v>
      </c>
    </row>
    <row r="16967" spans="1:13" x14ac:dyDescent="0.25">
      <c r="A16967" s="1" t="str">
        <f>HYPERLINK("http://www.rosaceae.org/Prunus/Prunus_persica/p.persica_gdr_reftransV1_0028357","p.persica_gdr_reftransV1_0028357")</f>
        <v>p.persica_gdr_reftransV1_0028357</v>
      </c>
      <c r="B16967" s="3">
        <v>2486</v>
      </c>
      <c r="C16967" s="1" t="str">
        <f>HYPERLINK("http://www.uniprot.org/uniprot/FBL78_ARATH","FBL78_ARATH")</f>
        <v>FBL78_ARATH</v>
      </c>
      <c r="D16967" t="s">
        <v>6849</v>
      </c>
      <c r="E16967" s="3" t="s">
        <v>3</v>
      </c>
      <c r="F16967" s="4">
        <v>1.04E-12</v>
      </c>
      <c r="G16967" s="3">
        <v>183</v>
      </c>
      <c r="H16967" s="3">
        <v>29</v>
      </c>
      <c r="I16967" s="3">
        <v>233</v>
      </c>
      <c r="J16967" s="3">
        <v>351</v>
      </c>
      <c r="K16967" s="3">
        <v>1010</v>
      </c>
      <c r="L16967" s="3">
        <v>23</v>
      </c>
      <c r="M16967" s="3">
        <v>222</v>
      </c>
    </row>
    <row r="16968" spans="1:13" x14ac:dyDescent="0.25">
      <c r="A16968" s="1" t="str">
        <f>HYPERLINK("http://www.rosaceae.org/Prunus/Prunus_persica/p.persica_gdr_reftransV1_0028507","p.persica_gdr_reftransV1_0028507")</f>
        <v>p.persica_gdr_reftransV1_0028507</v>
      </c>
      <c r="B16968" s="3">
        <v>4460</v>
      </c>
      <c r="C16968" s="1" t="str">
        <f>HYPERLINK("http://www.uniprot.org/uniprot/CSLD3_ARATH","CSLD3_ARATH")</f>
        <v>CSLD3_ARATH</v>
      </c>
      <c r="D16968" t="s">
        <v>9212</v>
      </c>
      <c r="E16968" s="3" t="s">
        <v>3</v>
      </c>
      <c r="F16968" s="4">
        <v>0</v>
      </c>
      <c r="G16968" s="3">
        <v>4426</v>
      </c>
      <c r="H16968" s="3">
        <v>72</v>
      </c>
      <c r="I16968" s="3">
        <v>1166</v>
      </c>
      <c r="J16968" s="3">
        <v>425</v>
      </c>
      <c r="K16968" s="3">
        <v>3901</v>
      </c>
      <c r="L16968" s="3">
        <v>41</v>
      </c>
      <c r="M16968" s="3">
        <v>1145</v>
      </c>
    </row>
    <row r="16969" spans="1:13" x14ac:dyDescent="0.25">
      <c r="A16969" s="1" t="str">
        <f>HYPERLINK("http://www.rosaceae.org/Prunus/Prunus_persica/p.persica_gdr_reftransV1_0028907","p.persica_gdr_reftransV1_0028907")</f>
        <v>p.persica_gdr_reftransV1_0028907</v>
      </c>
      <c r="B16969" s="3">
        <v>1331</v>
      </c>
      <c r="C16969" s="1" t="str">
        <f>HYPERLINK("http://www.uniprot.org/uniprot/CBWD1_HUMAN","CBWD1_HUMAN")</f>
        <v>CBWD1_HUMAN</v>
      </c>
      <c r="D16969" t="s">
        <v>2515</v>
      </c>
      <c r="E16969" s="3" t="s">
        <v>28</v>
      </c>
      <c r="F16969" s="4">
        <v>1.2599999999999999E-82</v>
      </c>
      <c r="G16969" s="3">
        <v>680</v>
      </c>
      <c r="H16969" s="3">
        <v>41</v>
      </c>
      <c r="I16969" s="3">
        <v>364</v>
      </c>
      <c r="J16969" s="3">
        <v>182</v>
      </c>
      <c r="K16969" s="3">
        <v>1252</v>
      </c>
      <c r="L16969" s="3">
        <v>24</v>
      </c>
      <c r="M16969" s="3">
        <v>377</v>
      </c>
    </row>
    <row r="16970" spans="1:13" x14ac:dyDescent="0.25">
      <c r="A16970" s="1" t="str">
        <f>HYPERLINK("http://www.rosaceae.org/Prunus/Prunus_persica/p.persica_gdr_reftransV1_0029157","p.persica_gdr_reftransV1_0029157")</f>
        <v>p.persica_gdr_reftransV1_0029157</v>
      </c>
      <c r="B16970" s="3">
        <v>1291</v>
      </c>
      <c r="C16970" s="1" t="str">
        <f>HYPERLINK("http://www.uniprot.org/uniprot/DRB1_ARATH","DRB1_ARATH")</f>
        <v>DRB1_ARATH</v>
      </c>
      <c r="D16970" t="s">
        <v>3313</v>
      </c>
      <c r="E16970" s="3" t="s">
        <v>3</v>
      </c>
      <c r="F16970" s="4">
        <v>3.6299999999999999E-77</v>
      </c>
      <c r="G16970" s="3">
        <v>644</v>
      </c>
      <c r="H16970" s="3">
        <v>66</v>
      </c>
      <c r="I16970" s="3">
        <v>204</v>
      </c>
      <c r="J16970" s="3">
        <v>184</v>
      </c>
      <c r="K16970" s="3">
        <v>795</v>
      </c>
      <c r="L16970" s="3">
        <v>1</v>
      </c>
      <c r="M16970" s="3">
        <v>202</v>
      </c>
    </row>
    <row r="16971" spans="1:13" x14ac:dyDescent="0.25">
      <c r="A16971" s="1" t="str">
        <f>HYPERLINK("http://www.rosaceae.org/Prunus/Prunus_persica/p.persica_gdr_reftransV1_0029257","p.persica_gdr_reftransV1_0029257")</f>
        <v>p.persica_gdr_reftransV1_0029257</v>
      </c>
      <c r="B16971" s="3">
        <v>3588</v>
      </c>
      <c r="C16971" s="1" t="str">
        <f>HYPERLINK("http://www.uniprot.org/uniprot/Y7633_ORYSJ","Y7633_ORYSJ")</f>
        <v>Y7633_ORYSJ</v>
      </c>
      <c r="D16971" t="s">
        <v>10528</v>
      </c>
      <c r="E16971" s="3" t="s">
        <v>38</v>
      </c>
      <c r="F16971" s="4">
        <v>0</v>
      </c>
      <c r="G16971" s="3">
        <v>1154</v>
      </c>
      <c r="H16971" s="3">
        <v>50</v>
      </c>
      <c r="I16971" s="3">
        <v>498</v>
      </c>
      <c r="J16971" s="3">
        <v>1963</v>
      </c>
      <c r="K16971" s="3">
        <v>3300</v>
      </c>
      <c r="L16971" s="3">
        <v>81</v>
      </c>
      <c r="M16971" s="3">
        <v>570</v>
      </c>
    </row>
    <row r="16972" spans="1:13" x14ac:dyDescent="0.25">
      <c r="A16972" s="1" t="str">
        <f>HYPERLINK("http://www.rosaceae.org/Prunus/Prunus_persica/p.persica_gdr_reftransV1_0029307","p.persica_gdr_reftransV1_0029307")</f>
        <v>p.persica_gdr_reftransV1_0029307</v>
      </c>
      <c r="B16972" s="3">
        <v>1969</v>
      </c>
      <c r="C16972" s="1" t="str">
        <f>HYPERLINK("http://www.uniprot.org/uniprot/SKI11_ARATH","SKI11_ARATH")</f>
        <v>SKI11_ARATH</v>
      </c>
      <c r="D16972" t="s">
        <v>247</v>
      </c>
      <c r="E16972" s="3" t="s">
        <v>3</v>
      </c>
      <c r="F16972" s="4">
        <v>0</v>
      </c>
      <c r="G16972" s="3">
        <v>1393</v>
      </c>
      <c r="H16972" s="3">
        <v>63</v>
      </c>
      <c r="I16972" s="3">
        <v>460</v>
      </c>
      <c r="J16972" s="3">
        <v>346</v>
      </c>
      <c r="K16972" s="3">
        <v>1626</v>
      </c>
      <c r="L16972" s="3">
        <v>1</v>
      </c>
      <c r="M16972" s="3">
        <v>454</v>
      </c>
    </row>
    <row r="16973" spans="1:13" x14ac:dyDescent="0.25">
      <c r="A16973" s="1" t="str">
        <f>HYPERLINK("http://www.rosaceae.org/Prunus/Prunus_persica/p.persica_gdr_reftransV1_0030257","p.persica_gdr_reftransV1_0030257")</f>
        <v>p.persica_gdr_reftransV1_0030257</v>
      </c>
      <c r="B16973" s="3">
        <v>2564</v>
      </c>
      <c r="C16973" s="1" t="str">
        <f>HYPERLINK("http://www.uniprot.org/uniprot/RSLE2_ORYSJ","RSLE2_ORYSJ")</f>
        <v>RSLE2_ORYSJ</v>
      </c>
      <c r="D16973" t="s">
        <v>4476</v>
      </c>
      <c r="E16973" s="3" t="s">
        <v>38</v>
      </c>
      <c r="F16973" s="4">
        <v>9.3300000000000008E-127</v>
      </c>
      <c r="G16973" s="3">
        <v>1039</v>
      </c>
      <c r="H16973" s="3">
        <v>36</v>
      </c>
      <c r="I16973" s="3">
        <v>675</v>
      </c>
      <c r="J16973" s="3">
        <v>447</v>
      </c>
      <c r="K16973" s="3">
        <v>2408</v>
      </c>
      <c r="L16973" s="3">
        <v>47</v>
      </c>
      <c r="M16973" s="3">
        <v>703</v>
      </c>
    </row>
    <row r="16974" spans="1:13" x14ac:dyDescent="0.25">
      <c r="A16974" s="1" t="str">
        <f>HYPERLINK("http://www.rosaceae.org/Prunus/Prunus_persica/p.persica_gdr_reftransV1_0030307","p.persica_gdr_reftransV1_0030307")</f>
        <v>p.persica_gdr_reftransV1_0030307</v>
      </c>
      <c r="B16974" s="3">
        <v>974</v>
      </c>
      <c r="C16974" s="1" t="str">
        <f>HYPERLINK("http://www.uniprot.org/uniprot/LSM1B_ARATH","LSM1B_ARATH")</f>
        <v>LSM1B_ARATH</v>
      </c>
      <c r="D16974" t="s">
        <v>1770</v>
      </c>
      <c r="E16974" s="3" t="s">
        <v>3</v>
      </c>
      <c r="F16974" s="4">
        <v>1.87E-51</v>
      </c>
      <c r="G16974" s="3">
        <v>437</v>
      </c>
      <c r="H16974" s="3">
        <v>90</v>
      </c>
      <c r="I16974" s="3">
        <v>92</v>
      </c>
      <c r="J16974" s="3">
        <v>680</v>
      </c>
      <c r="K16974" s="3">
        <v>955</v>
      </c>
      <c r="L16974" s="3">
        <v>37</v>
      </c>
      <c r="M16974" s="3">
        <v>128</v>
      </c>
    </row>
    <row r="16975" spans="1:13" x14ac:dyDescent="0.25">
      <c r="A16975" s="1" t="str">
        <f>HYPERLINK("http://www.rosaceae.org/Prunus/Prunus_persica/p.persica_gdr_reftransV1_0030507","p.persica_gdr_reftransV1_0030507")</f>
        <v>p.persica_gdr_reftransV1_0030507</v>
      </c>
      <c r="B16975" s="3">
        <v>1714</v>
      </c>
      <c r="C16975" s="1" t="str">
        <f>HYPERLINK("http://www.uniprot.org/uniprot/PP198_ARATH","PP198_ARATH")</f>
        <v>PP198_ARATH</v>
      </c>
      <c r="D16975" t="s">
        <v>4451</v>
      </c>
      <c r="E16975" s="3" t="s">
        <v>3</v>
      </c>
      <c r="F16975" s="4">
        <v>0</v>
      </c>
      <c r="G16975" s="3">
        <v>1842</v>
      </c>
      <c r="H16975" s="3">
        <v>67</v>
      </c>
      <c r="I16975" s="3">
        <v>523</v>
      </c>
      <c r="J16975" s="3">
        <v>5</v>
      </c>
      <c r="K16975" s="3">
        <v>1570</v>
      </c>
      <c r="L16975" s="3">
        <v>128</v>
      </c>
      <c r="M16975" s="3">
        <v>650</v>
      </c>
    </row>
    <row r="16976" spans="1:13" x14ac:dyDescent="0.25">
      <c r="A16976" s="1" t="str">
        <f>HYPERLINK("http://www.rosaceae.org/Prunus/Prunus_persica/p.persica_gdr_reftransV1_0030807","p.persica_gdr_reftransV1_0030807")</f>
        <v>p.persica_gdr_reftransV1_0030807</v>
      </c>
      <c r="B16976" s="3">
        <v>3617</v>
      </c>
      <c r="C16976" s="1" t="str">
        <f>HYPERLINK("http://www.uniprot.org/uniprot/MCES2_ARATH","MCES2_ARATH")</f>
        <v>MCES2_ARATH</v>
      </c>
      <c r="D16976" t="s">
        <v>10529</v>
      </c>
      <c r="E16976" s="3" t="s">
        <v>3</v>
      </c>
      <c r="F16976" s="4">
        <v>8.9500000000000009E-168</v>
      </c>
      <c r="G16976" s="3">
        <v>1308</v>
      </c>
      <c r="H16976" s="3">
        <v>69</v>
      </c>
      <c r="I16976" s="3">
        <v>360</v>
      </c>
      <c r="J16976" s="3">
        <v>2294</v>
      </c>
      <c r="K16976" s="3">
        <v>3370</v>
      </c>
      <c r="L16976" s="3">
        <v>1</v>
      </c>
      <c r="M16976" s="3">
        <v>354</v>
      </c>
    </row>
    <row r="16977" spans="1:13" x14ac:dyDescent="0.25">
      <c r="A16977" s="1" t="str">
        <f>HYPERLINK("http://www.rosaceae.org/Prunus/Prunus_persica/p.persica_gdr_reftransV1_0031057","p.persica_gdr_reftransV1_0031057")</f>
        <v>p.persica_gdr_reftransV1_0031057</v>
      </c>
      <c r="B16977" s="3">
        <v>2018</v>
      </c>
      <c r="C16977" s="1" t="str">
        <f>HYPERLINK("http://www.uniprot.org/uniprot/BAG1_ARATH","BAG1_ARATH")</f>
        <v>BAG1_ARATH</v>
      </c>
      <c r="D16977" t="s">
        <v>4278</v>
      </c>
      <c r="E16977" s="3" t="s">
        <v>3</v>
      </c>
      <c r="F16977" s="4">
        <v>2.42E-100</v>
      </c>
      <c r="G16977" s="3">
        <v>813</v>
      </c>
      <c r="H16977" s="3">
        <v>56</v>
      </c>
      <c r="I16977" s="3">
        <v>323</v>
      </c>
      <c r="J16977" s="3">
        <v>715</v>
      </c>
      <c r="K16977" s="3">
        <v>1674</v>
      </c>
      <c r="L16977" s="3">
        <v>39</v>
      </c>
      <c r="M16977" s="3">
        <v>342</v>
      </c>
    </row>
    <row r="16978" spans="1:13" x14ac:dyDescent="0.25">
      <c r="A16978" s="1" t="str">
        <f>HYPERLINK("http://www.rosaceae.org/Prunus/Prunus_persica/p.persica_gdr_reftransV1_0031107","p.persica_gdr_reftransV1_0031107")</f>
        <v>p.persica_gdr_reftransV1_0031107</v>
      </c>
      <c r="B16978" s="3">
        <v>1951</v>
      </c>
      <c r="C16978" s="1" t="str">
        <f>HYPERLINK("http://www.uniprot.org/uniprot/TYRPB_HAEIN","TYRPB_HAEIN")</f>
        <v>TYRPB_HAEIN</v>
      </c>
      <c r="D16978" t="s">
        <v>10530</v>
      </c>
      <c r="E16978" s="3" t="s">
        <v>2553</v>
      </c>
      <c r="F16978" s="4">
        <v>2.22E-20</v>
      </c>
      <c r="G16978" s="3">
        <v>168</v>
      </c>
      <c r="H16978" s="3">
        <v>29</v>
      </c>
      <c r="I16978" s="3">
        <v>266</v>
      </c>
      <c r="J16978" s="3">
        <v>740</v>
      </c>
      <c r="K16978" s="3">
        <v>1525</v>
      </c>
      <c r="L16978" s="3">
        <v>12</v>
      </c>
      <c r="M16978" s="3">
        <v>269</v>
      </c>
    </row>
    <row r="16979" spans="1:13" x14ac:dyDescent="0.25">
      <c r="A16979" s="1" t="str">
        <f>HYPERLINK("http://www.rosaceae.org/Prunus/Prunus_persica/p.persica_gdr_reftransV1_0031257","p.persica_gdr_reftransV1_0031257")</f>
        <v>p.persica_gdr_reftransV1_0031257</v>
      </c>
      <c r="B16979" s="3">
        <v>1731</v>
      </c>
      <c r="C16979" s="1" t="str">
        <f>HYPERLINK("http://www.uniprot.org/uniprot/C734A_ARATH","C734A_ARATH")</f>
        <v>C734A_ARATH</v>
      </c>
      <c r="D16979" t="s">
        <v>3618</v>
      </c>
      <c r="E16979" s="3" t="s">
        <v>3</v>
      </c>
      <c r="F16979" s="4">
        <v>1.11E-145</v>
      </c>
      <c r="G16979" s="3">
        <v>1125</v>
      </c>
      <c r="H16979" s="3">
        <v>45</v>
      </c>
      <c r="I16979" s="3">
        <v>487</v>
      </c>
      <c r="J16979" s="3">
        <v>200</v>
      </c>
      <c r="K16979" s="3">
        <v>1639</v>
      </c>
      <c r="L16979" s="3">
        <v>33</v>
      </c>
      <c r="M16979" s="3">
        <v>517</v>
      </c>
    </row>
    <row r="16980" spans="1:13" x14ac:dyDescent="0.25">
      <c r="A16980" s="1" t="str">
        <f>HYPERLINK("http://www.rosaceae.org/Prunus/Prunus_persica/p.persica_gdr_reftransV1_0031607","p.persica_gdr_reftransV1_0031607")</f>
        <v>p.persica_gdr_reftransV1_0031607</v>
      </c>
      <c r="B16980" s="3">
        <v>2246</v>
      </c>
      <c r="C16980" s="1" t="str">
        <f>HYPERLINK("http://www.uniprot.org/uniprot/ALG1_MOUSE","ALG1_MOUSE")</f>
        <v>ALG1_MOUSE</v>
      </c>
      <c r="D16980" t="s">
        <v>10531</v>
      </c>
      <c r="E16980" s="3" t="s">
        <v>157</v>
      </c>
      <c r="F16980" s="4">
        <v>1.2499999999999999E-76</v>
      </c>
      <c r="G16980" s="3">
        <v>667</v>
      </c>
      <c r="H16980" s="3">
        <v>39</v>
      </c>
      <c r="I16980" s="3">
        <v>454</v>
      </c>
      <c r="J16980" s="3">
        <v>733</v>
      </c>
      <c r="K16980" s="3">
        <v>2079</v>
      </c>
      <c r="L16980" s="3">
        <v>25</v>
      </c>
      <c r="M16980" s="3">
        <v>394</v>
      </c>
    </row>
    <row r="16981" spans="1:13" x14ac:dyDescent="0.25">
      <c r="A16981" s="1" t="str">
        <f>HYPERLINK("http://www.rosaceae.org/Prunus/Prunus_persica/p.persica_gdr_reftransV1_0031657","p.persica_gdr_reftransV1_0031657")</f>
        <v>p.persica_gdr_reftransV1_0031657</v>
      </c>
      <c r="B16981" s="3">
        <v>2117</v>
      </c>
      <c r="C16981" s="1" t="str">
        <f>HYPERLINK("http://www.uniprot.org/uniprot/GAOA_GIBZE","GAOA_GIBZE")</f>
        <v>GAOA_GIBZE</v>
      </c>
      <c r="D16981" t="s">
        <v>5595</v>
      </c>
      <c r="E16981" s="3" t="s">
        <v>2278</v>
      </c>
      <c r="F16981" s="4">
        <v>2.14E-19</v>
      </c>
      <c r="G16981" s="3">
        <v>239</v>
      </c>
      <c r="H16981" s="3">
        <v>26</v>
      </c>
      <c r="I16981" s="3">
        <v>458</v>
      </c>
      <c r="J16981" s="3">
        <v>470</v>
      </c>
      <c r="K16981" s="3">
        <v>1771</v>
      </c>
      <c r="L16981" s="3">
        <v>262</v>
      </c>
      <c r="M16981" s="3">
        <v>671</v>
      </c>
    </row>
    <row r="16982" spans="1:13" x14ac:dyDescent="0.25">
      <c r="A16982" s="1" t="str">
        <f>HYPERLINK("http://www.rosaceae.org/Prunus/Prunus_persica/p.persica_gdr_reftransV1_0031757","p.persica_gdr_reftransV1_0031757")</f>
        <v>p.persica_gdr_reftransV1_0031757</v>
      </c>
      <c r="B16982" s="3">
        <v>582</v>
      </c>
      <c r="C16982" s="1" t="str">
        <f>HYPERLINK("http://www.uniprot.org/uniprot/COPIA_DROME","COPIA_DROME")</f>
        <v>COPIA_DROME</v>
      </c>
      <c r="D16982" t="s">
        <v>478</v>
      </c>
      <c r="E16982" s="3" t="s">
        <v>5</v>
      </c>
      <c r="F16982" s="4">
        <v>1.6E-44</v>
      </c>
      <c r="G16982" s="3">
        <v>414</v>
      </c>
      <c r="H16982" s="3">
        <v>45</v>
      </c>
      <c r="I16982" s="3">
        <v>177</v>
      </c>
      <c r="J16982" s="3">
        <v>2</v>
      </c>
      <c r="K16982" s="3">
        <v>523</v>
      </c>
      <c r="L16982" s="3">
        <v>1223</v>
      </c>
      <c r="M16982" s="3">
        <v>1399</v>
      </c>
    </row>
    <row r="16983" spans="1:13" x14ac:dyDescent="0.25">
      <c r="A16983" s="1" t="str">
        <f>HYPERLINK("http://www.rosaceae.org/Prunus/Prunus_persica/p.persica_gdr_reftransV1_0032057","p.persica_gdr_reftransV1_0032057")</f>
        <v>p.persica_gdr_reftransV1_0032057</v>
      </c>
      <c r="B16983" s="3">
        <v>1017</v>
      </c>
      <c r="C16983" s="1" t="str">
        <f>HYPERLINK("http://www.uniprot.org/uniprot/P24D3_ARATH","P24D3_ARATH")</f>
        <v>P24D3_ARATH</v>
      </c>
      <c r="D16983" t="s">
        <v>7101</v>
      </c>
      <c r="E16983" s="3" t="s">
        <v>3</v>
      </c>
      <c r="F16983" s="4">
        <v>1.18E-74</v>
      </c>
      <c r="G16983" s="3">
        <v>601</v>
      </c>
      <c r="H16983" s="3">
        <v>67</v>
      </c>
      <c r="I16983" s="3">
        <v>190</v>
      </c>
      <c r="J16983" s="3">
        <v>78</v>
      </c>
      <c r="K16983" s="3">
        <v>647</v>
      </c>
      <c r="L16983" s="3">
        <v>17</v>
      </c>
      <c r="M16983" s="3">
        <v>206</v>
      </c>
    </row>
    <row r="16984" spans="1:13" x14ac:dyDescent="0.25">
      <c r="A16984" s="1" t="str">
        <f>HYPERLINK("http://www.rosaceae.org/Prunus/Prunus_persica/p.persica_gdr_reftransV1_0032557","p.persica_gdr_reftransV1_0032557")</f>
        <v>p.persica_gdr_reftransV1_0032557</v>
      </c>
      <c r="B16984" s="3">
        <v>2738</v>
      </c>
      <c r="C16984" s="1" t="str">
        <f>HYPERLINK("http://www.uniprot.org/uniprot/PSD1_ARATH","PSD1_ARATH")</f>
        <v>PSD1_ARATH</v>
      </c>
      <c r="D16984" t="s">
        <v>9513</v>
      </c>
      <c r="E16984" s="3" t="s">
        <v>3</v>
      </c>
      <c r="F16984" s="4">
        <v>7.2000000000000004E-150</v>
      </c>
      <c r="G16984" s="3">
        <v>1176</v>
      </c>
      <c r="H16984" s="3">
        <v>66</v>
      </c>
      <c r="I16984" s="3">
        <v>364</v>
      </c>
      <c r="J16984" s="3">
        <v>1594</v>
      </c>
      <c r="K16984" s="3">
        <v>2643</v>
      </c>
      <c r="L16984" s="3">
        <v>1</v>
      </c>
      <c r="M16984" s="3">
        <v>360</v>
      </c>
    </row>
    <row r="16985" spans="1:13" x14ac:dyDescent="0.25">
      <c r="A16985" s="1" t="str">
        <f>HYPERLINK("http://www.rosaceae.org/Prunus/Prunus_persica/p.persica_gdr_reftransV1_0032607","p.persica_gdr_reftransV1_0032607")</f>
        <v>p.persica_gdr_reftransV1_0032607</v>
      </c>
      <c r="B16985" s="3">
        <v>3232</v>
      </c>
      <c r="C16985" s="1" t="str">
        <f>HYPERLINK("http://www.uniprot.org/uniprot/CACLC_ARATH","CACLC_ARATH")</f>
        <v>CACLC_ARATH</v>
      </c>
      <c r="D16985" t="s">
        <v>10532</v>
      </c>
      <c r="E16985" s="3" t="s">
        <v>3</v>
      </c>
      <c r="F16985" s="4">
        <v>0</v>
      </c>
      <c r="G16985" s="3">
        <v>2172</v>
      </c>
      <c r="H16985" s="3">
        <v>67</v>
      </c>
      <c r="I16985" s="3">
        <v>654</v>
      </c>
      <c r="J16985" s="3">
        <v>405</v>
      </c>
      <c r="K16985" s="3">
        <v>2360</v>
      </c>
      <c r="L16985" s="3">
        <v>7</v>
      </c>
      <c r="M16985" s="3">
        <v>658</v>
      </c>
    </row>
    <row r="16986" spans="1:13" x14ac:dyDescent="0.25">
      <c r="A16986" s="1" t="str">
        <f>HYPERLINK("http://www.rosaceae.org/Prunus/Prunus_persica/p.persica_gdr_reftransV1_0033407","p.persica_gdr_reftransV1_0033407")</f>
        <v>p.persica_gdr_reftransV1_0033407</v>
      </c>
      <c r="B16986" s="3">
        <v>2632</v>
      </c>
      <c r="C16986" s="1" t="str">
        <f>HYPERLINK("http://www.uniprot.org/uniprot/AL121_ARATH","AL121_ARATH")</f>
        <v>AL121_ARATH</v>
      </c>
      <c r="D16986" t="s">
        <v>782</v>
      </c>
      <c r="E16986" s="3" t="s">
        <v>3</v>
      </c>
      <c r="F16986" s="4">
        <v>0</v>
      </c>
      <c r="G16986" s="3">
        <v>2005</v>
      </c>
      <c r="H16986" s="3">
        <v>81</v>
      </c>
      <c r="I16986" s="3">
        <v>450</v>
      </c>
      <c r="J16986" s="3">
        <v>698</v>
      </c>
      <c r="K16986" s="3">
        <v>2044</v>
      </c>
      <c r="L16986" s="3">
        <v>55</v>
      </c>
      <c r="M16986" s="3">
        <v>504</v>
      </c>
    </row>
    <row r="16987" spans="1:13" x14ac:dyDescent="0.25">
      <c r="A16987" s="1" t="str">
        <f>HYPERLINK("http://www.rosaceae.org/Prunus/Prunus_persica/p.persica_gdr_reftransV1_0033457","p.persica_gdr_reftransV1_0033457")</f>
        <v>p.persica_gdr_reftransV1_0033457</v>
      </c>
      <c r="B16987" s="3">
        <v>4231</v>
      </c>
      <c r="C16987" s="1" t="str">
        <f>HYPERLINK("http://www.uniprot.org/uniprot/SMC3_ARATH","SMC3_ARATH")</f>
        <v>SMC3_ARATH</v>
      </c>
      <c r="D16987" t="s">
        <v>10533</v>
      </c>
      <c r="E16987" s="3" t="s">
        <v>3</v>
      </c>
      <c r="F16987" s="4">
        <v>0</v>
      </c>
      <c r="G16987" s="3">
        <v>3561</v>
      </c>
      <c r="H16987" s="3">
        <v>71</v>
      </c>
      <c r="I16987" s="3">
        <v>1023</v>
      </c>
      <c r="J16987" s="3">
        <v>280</v>
      </c>
      <c r="K16987" s="3">
        <v>3345</v>
      </c>
      <c r="L16987" s="3">
        <v>182</v>
      </c>
      <c r="M16987" s="3">
        <v>1204</v>
      </c>
    </row>
    <row r="16988" spans="1:13" x14ac:dyDescent="0.25">
      <c r="A16988" s="1" t="str">
        <f>HYPERLINK("http://www.rosaceae.org/Prunus/Prunus_persica/p.persica_gdr_reftransV1_0034657","p.persica_gdr_reftransV1_0034657")</f>
        <v>p.persica_gdr_reftransV1_0034657</v>
      </c>
      <c r="B16988" s="3">
        <v>6169</v>
      </c>
      <c r="C16988" s="1" t="str">
        <f>HYPERLINK("http://www.uniprot.org/uniprot/FB135_ARATH","FB135_ARATH")</f>
        <v>FB135_ARATH</v>
      </c>
      <c r="D16988" t="s">
        <v>6152</v>
      </c>
      <c r="E16988" s="3" t="s">
        <v>3</v>
      </c>
      <c r="F16988" s="4">
        <v>3.3699999999999999E-23</v>
      </c>
      <c r="G16988" s="3">
        <v>270</v>
      </c>
      <c r="H16988" s="3">
        <v>23</v>
      </c>
      <c r="I16988" s="3">
        <v>440</v>
      </c>
      <c r="J16988" s="3">
        <v>4593</v>
      </c>
      <c r="K16988" s="3">
        <v>5774</v>
      </c>
      <c r="L16988" s="3">
        <v>25</v>
      </c>
      <c r="M16988" s="3">
        <v>407</v>
      </c>
    </row>
    <row r="16989" spans="1:13" x14ac:dyDescent="0.25">
      <c r="A16989" s="1" t="str">
        <f>HYPERLINK("http://www.rosaceae.org/Prunus/Prunus_persica/p.persica_gdr_reftransV1_0034707","p.persica_gdr_reftransV1_0034707")</f>
        <v>p.persica_gdr_reftransV1_0034707</v>
      </c>
      <c r="B16989" s="3">
        <v>3614</v>
      </c>
      <c r="C16989" s="1" t="str">
        <f>HYPERLINK("http://www.uniprot.org/uniprot/CK2_ARATH","CK2_ARATH")</f>
        <v>CK2_ARATH</v>
      </c>
      <c r="D16989" t="s">
        <v>10534</v>
      </c>
      <c r="E16989" s="3" t="s">
        <v>3</v>
      </c>
      <c r="F16989" s="4">
        <v>1.81E-170</v>
      </c>
      <c r="G16989" s="3">
        <v>1325</v>
      </c>
      <c r="H16989" s="3">
        <v>69</v>
      </c>
      <c r="I16989" s="3">
        <v>346</v>
      </c>
      <c r="J16989" s="3">
        <v>1757</v>
      </c>
      <c r="K16989" s="3">
        <v>2794</v>
      </c>
      <c r="L16989" s="3">
        <v>1</v>
      </c>
      <c r="M16989" s="3">
        <v>346</v>
      </c>
    </row>
    <row r="16990" spans="1:13" x14ac:dyDescent="0.25">
      <c r="A16990" s="1" t="str">
        <f>HYPERLINK("http://www.rosaceae.org/Prunus/Prunus_persica/p.persica_gdr_reftransV1_0035157","p.persica_gdr_reftransV1_0035157")</f>
        <v>p.persica_gdr_reftransV1_0035157</v>
      </c>
      <c r="B16990" s="3">
        <v>1424</v>
      </c>
      <c r="C16990" s="1" t="str">
        <f>HYPERLINK("http://www.uniprot.org/uniprot/ZCH10_RAT","ZCH10_RAT")</f>
        <v>ZCH10_RAT</v>
      </c>
      <c r="D16990" t="s">
        <v>10535</v>
      </c>
      <c r="E16990" s="3" t="s">
        <v>161</v>
      </c>
      <c r="F16990" s="4">
        <v>2.8099999999999999E-7</v>
      </c>
      <c r="G16990" s="3">
        <v>129</v>
      </c>
      <c r="H16990" s="3">
        <v>48</v>
      </c>
      <c r="I16990" s="3">
        <v>52</v>
      </c>
      <c r="J16990" s="3">
        <v>718</v>
      </c>
      <c r="K16990" s="3">
        <v>873</v>
      </c>
      <c r="L16990" s="3">
        <v>7</v>
      </c>
      <c r="M16990" s="3">
        <v>53</v>
      </c>
    </row>
    <row r="16991" spans="1:13" x14ac:dyDescent="0.25">
      <c r="A16991" s="1" t="str">
        <f>HYPERLINK("http://www.rosaceae.org/Prunus/Prunus_persica/p.persica_gdr_reftransV1_0035507","p.persica_gdr_reftransV1_0035507")</f>
        <v>p.persica_gdr_reftransV1_0035507</v>
      </c>
      <c r="B16991" s="3">
        <v>2086</v>
      </c>
      <c r="C16991" s="1" t="str">
        <f>HYPERLINK("http://www.uniprot.org/uniprot/P2C44_ORYSJ","P2C44_ORYSJ")</f>
        <v>P2C44_ORYSJ</v>
      </c>
      <c r="D16991" t="s">
        <v>10536</v>
      </c>
      <c r="E16991" s="3" t="s">
        <v>38</v>
      </c>
      <c r="F16991" s="4">
        <v>1.46E-109</v>
      </c>
      <c r="G16991" s="3">
        <v>875</v>
      </c>
      <c r="H16991" s="3">
        <v>84</v>
      </c>
      <c r="I16991" s="3">
        <v>193</v>
      </c>
      <c r="J16991" s="3">
        <v>1026</v>
      </c>
      <c r="K16991" s="3">
        <v>1598</v>
      </c>
      <c r="L16991" s="3">
        <v>127</v>
      </c>
      <c r="M16991" s="3">
        <v>319</v>
      </c>
    </row>
    <row r="16992" spans="1:13" x14ac:dyDescent="0.25">
      <c r="A16992" s="1" t="str">
        <f>HYPERLINK("http://www.rosaceae.org/Prunus/Prunus_persica/p.persica_gdr_reftransV1_0035557","p.persica_gdr_reftransV1_0035557")</f>
        <v>p.persica_gdr_reftransV1_0035557</v>
      </c>
      <c r="B16992" s="3">
        <v>2238</v>
      </c>
      <c r="C16992" s="1" t="str">
        <f>HYPERLINK("http://www.uniprot.org/uniprot/SCAM3_ARATH","SCAM3_ARATH")</f>
        <v>SCAM3_ARATH</v>
      </c>
      <c r="D16992" t="s">
        <v>10537</v>
      </c>
      <c r="E16992" s="3" t="s">
        <v>3</v>
      </c>
      <c r="F16992" s="4">
        <v>3.13E-57</v>
      </c>
      <c r="G16992" s="3">
        <v>513</v>
      </c>
      <c r="H16992" s="3">
        <v>70</v>
      </c>
      <c r="I16992" s="3">
        <v>142</v>
      </c>
      <c r="J16992" s="3">
        <v>258</v>
      </c>
      <c r="K16992" s="3">
        <v>677</v>
      </c>
      <c r="L16992" s="3">
        <v>1</v>
      </c>
      <c r="M16992" s="3">
        <v>140</v>
      </c>
    </row>
    <row r="16993" spans="1:13" x14ac:dyDescent="0.25">
      <c r="A16993" s="1" t="str">
        <f>HYPERLINK("http://www.rosaceae.org/Prunus/Prunus_persica/p.persica_gdr_reftransV1_0035857","p.persica_gdr_reftransV1_0035857")</f>
        <v>p.persica_gdr_reftransV1_0035857</v>
      </c>
      <c r="B16993" s="3">
        <v>1478</v>
      </c>
      <c r="C16993" s="1" t="str">
        <f>HYPERLINK("http://www.uniprot.org/uniprot/M810_ARATH","M810_ARATH")</f>
        <v>M810_ARATH</v>
      </c>
      <c r="D16993" t="s">
        <v>92</v>
      </c>
      <c r="E16993" s="3" t="s">
        <v>3</v>
      </c>
      <c r="F16993" s="4">
        <v>3.0599999999999997E-36</v>
      </c>
      <c r="G16993" s="3">
        <v>349</v>
      </c>
      <c r="H16993" s="3">
        <v>58</v>
      </c>
      <c r="I16993" s="3">
        <v>115</v>
      </c>
      <c r="J16993" s="3">
        <v>4</v>
      </c>
      <c r="K16993" s="3">
        <v>345</v>
      </c>
      <c r="L16993" s="3">
        <v>96</v>
      </c>
      <c r="M16993" s="3">
        <v>210</v>
      </c>
    </row>
    <row r="16994" spans="1:13" x14ac:dyDescent="0.25">
      <c r="A16994" s="1" t="str">
        <f>HYPERLINK("http://www.rosaceae.org/Prunus/Prunus_persica/p.persica_gdr_reftransV1_0035907","p.persica_gdr_reftransV1_0035907")</f>
        <v>p.persica_gdr_reftransV1_0035907</v>
      </c>
      <c r="B16994" s="3">
        <v>1036</v>
      </c>
      <c r="C16994" s="1" t="str">
        <f>HYPERLINK("http://www.uniprot.org/uniprot/VSP55_ARATH","VSP55_ARATH")</f>
        <v>VSP55_ARATH</v>
      </c>
      <c r="D16994" t="s">
        <v>2388</v>
      </c>
      <c r="E16994" s="3" t="s">
        <v>3</v>
      </c>
      <c r="F16994" s="4">
        <v>6.6799999999999998E-34</v>
      </c>
      <c r="G16994" s="3">
        <v>319</v>
      </c>
      <c r="H16994" s="3">
        <v>54</v>
      </c>
      <c r="I16994" s="3">
        <v>117</v>
      </c>
      <c r="J16994" s="3">
        <v>343</v>
      </c>
      <c r="K16994" s="3">
        <v>684</v>
      </c>
      <c r="L16994" s="3">
        <v>17</v>
      </c>
      <c r="M16994" s="3">
        <v>133</v>
      </c>
    </row>
    <row r="16995" spans="1:13" x14ac:dyDescent="0.25">
      <c r="A16995" s="1" t="str">
        <f>HYPERLINK("http://www.rosaceae.org/Prunus/Prunus_persica/p.persica_gdr_reftransV1_0036157","p.persica_gdr_reftransV1_0036157")</f>
        <v>p.persica_gdr_reftransV1_0036157</v>
      </c>
      <c r="B16995" s="3">
        <v>2376</v>
      </c>
      <c r="C16995" s="1" t="str">
        <f>HYPERLINK("http://www.uniprot.org/uniprot/PS12A_ARATH","PS12A_ARATH")</f>
        <v>PS12A_ARATH</v>
      </c>
      <c r="D16995" t="s">
        <v>10538</v>
      </c>
      <c r="E16995" s="3" t="s">
        <v>3</v>
      </c>
      <c r="F16995" s="4">
        <v>0</v>
      </c>
      <c r="G16995" s="3">
        <v>1730</v>
      </c>
      <c r="H16995" s="3">
        <v>88</v>
      </c>
      <c r="I16995" s="3">
        <v>372</v>
      </c>
      <c r="J16995" s="3">
        <v>893</v>
      </c>
      <c r="K16995" s="3">
        <v>2008</v>
      </c>
      <c r="L16995" s="3">
        <v>70</v>
      </c>
      <c r="M16995" s="3">
        <v>441</v>
      </c>
    </row>
    <row r="16996" spans="1:13" x14ac:dyDescent="0.25">
      <c r="A16996" s="1" t="str">
        <f>HYPERLINK("http://www.rosaceae.org/Prunus/Prunus_persica/p.persica_gdr_reftransV1_0036207","p.persica_gdr_reftransV1_0036207")</f>
        <v>p.persica_gdr_reftransV1_0036207</v>
      </c>
      <c r="B16996" s="3">
        <v>932</v>
      </c>
      <c r="C16996" s="1" t="str">
        <f>HYPERLINK("http://www.uniprot.org/uniprot/Y5614_ARATH","Y5614_ARATH")</f>
        <v>Y5614_ARATH</v>
      </c>
      <c r="D16996" t="s">
        <v>3631</v>
      </c>
      <c r="E16996" s="3" t="s">
        <v>3</v>
      </c>
      <c r="F16996" s="4">
        <v>2.5500000000000002E-77</v>
      </c>
      <c r="G16996" s="3">
        <v>663</v>
      </c>
      <c r="H16996" s="3">
        <v>61</v>
      </c>
      <c r="I16996" s="3">
        <v>223</v>
      </c>
      <c r="J16996" s="3">
        <v>2</v>
      </c>
      <c r="K16996" s="3">
        <v>667</v>
      </c>
      <c r="L16996" s="3">
        <v>820</v>
      </c>
      <c r="M16996" s="3">
        <v>1033</v>
      </c>
    </row>
    <row r="16997" spans="1:13" x14ac:dyDescent="0.25">
      <c r="A16997" s="1" t="str">
        <f>HYPERLINK("http://www.rosaceae.org/Prunus/Prunus_persica/p.persica_gdr_reftransV1_0036457","p.persica_gdr_reftransV1_0036457")</f>
        <v>p.persica_gdr_reftransV1_0036457</v>
      </c>
      <c r="B16997" s="3">
        <v>1384</v>
      </c>
      <c r="C16997" s="1" t="str">
        <f>HYPERLINK("http://www.uniprot.org/uniprot/DCUP_TOBAC","DCUP_TOBAC")</f>
        <v>DCUP_TOBAC</v>
      </c>
      <c r="D16997" t="s">
        <v>9237</v>
      </c>
      <c r="E16997" s="3" t="s">
        <v>200</v>
      </c>
      <c r="F16997" s="4">
        <v>1.9100000000000001E-106</v>
      </c>
      <c r="G16997" s="3">
        <v>841</v>
      </c>
      <c r="H16997" s="3">
        <v>90</v>
      </c>
      <c r="I16997" s="3">
        <v>173</v>
      </c>
      <c r="J16997" s="3">
        <v>584</v>
      </c>
      <c r="K16997" s="3">
        <v>1102</v>
      </c>
      <c r="L16997" s="3">
        <v>219</v>
      </c>
      <c r="M16997" s="3">
        <v>391</v>
      </c>
    </row>
    <row r="16998" spans="1:13" x14ac:dyDescent="0.25">
      <c r="A16998" s="1" t="str">
        <f>HYPERLINK("http://www.rosaceae.org/Prunus/Prunus_persica/p.persica_gdr_reftransV1_0036707","p.persica_gdr_reftransV1_0036707")</f>
        <v>p.persica_gdr_reftransV1_0036707</v>
      </c>
      <c r="B16998" s="3">
        <v>1690</v>
      </c>
      <c r="C16998" s="1" t="str">
        <f>HYPERLINK("http://www.uniprot.org/uniprot/RF298_ARATH","RF298_ARATH")</f>
        <v>RF298_ARATH</v>
      </c>
      <c r="D16998" t="s">
        <v>716</v>
      </c>
      <c r="E16998" s="3" t="s">
        <v>3</v>
      </c>
      <c r="F16998" s="4">
        <v>4.4200000000000002E-48</v>
      </c>
      <c r="G16998" s="3">
        <v>463</v>
      </c>
      <c r="H16998" s="3">
        <v>47</v>
      </c>
      <c r="I16998" s="3">
        <v>198</v>
      </c>
      <c r="J16998" s="3">
        <v>319</v>
      </c>
      <c r="K16998" s="3">
        <v>909</v>
      </c>
      <c r="L16998" s="3">
        <v>619</v>
      </c>
      <c r="M16998" s="3">
        <v>813</v>
      </c>
    </row>
    <row r="16999" spans="1:13" x14ac:dyDescent="0.25">
      <c r="A16999" s="1" t="str">
        <f>HYPERLINK("http://www.rosaceae.org/Prunus/Prunus_persica/p.persica_gdr_reftransV1_0037057","p.persica_gdr_reftransV1_0037057")</f>
        <v>p.persica_gdr_reftransV1_0037057</v>
      </c>
      <c r="B16999" s="3">
        <v>2676</v>
      </c>
      <c r="C16999" s="1" t="str">
        <f>HYPERLINK("http://www.uniprot.org/uniprot/QSOX2_ARATH","QSOX2_ARATH")</f>
        <v>QSOX2_ARATH</v>
      </c>
      <c r="D16999" t="s">
        <v>10539</v>
      </c>
      <c r="E16999" s="3" t="s">
        <v>3</v>
      </c>
      <c r="F16999" s="4">
        <v>2.0000000000000001E-133</v>
      </c>
      <c r="G16999" s="3">
        <v>1067</v>
      </c>
      <c r="H16999" s="3">
        <v>71</v>
      </c>
      <c r="I16999" s="3">
        <v>277</v>
      </c>
      <c r="J16999" s="3">
        <v>1479</v>
      </c>
      <c r="K16999" s="3">
        <v>2306</v>
      </c>
      <c r="L16999" s="3">
        <v>24</v>
      </c>
      <c r="M16999" s="3">
        <v>297</v>
      </c>
    </row>
    <row r="17000" spans="1:13" x14ac:dyDescent="0.25">
      <c r="A17000" s="1" t="str">
        <f>HYPERLINK("http://www.rosaceae.org/Prunus/Prunus_persica/p.persica_gdr_reftransV1_0037307","p.persica_gdr_reftransV1_0037307")</f>
        <v>p.persica_gdr_reftransV1_0037307</v>
      </c>
      <c r="B17000" s="3">
        <v>2347</v>
      </c>
      <c r="C17000" s="1" t="str">
        <f>HYPERLINK("http://www.uniprot.org/uniprot/FRI1_TOBAC","FRI1_TOBAC")</f>
        <v>FRI1_TOBAC</v>
      </c>
      <c r="D17000" t="s">
        <v>10540</v>
      </c>
      <c r="E17000" s="3" t="s">
        <v>200</v>
      </c>
      <c r="F17000" s="4">
        <v>1.8700000000000001E-50</v>
      </c>
      <c r="G17000" s="3">
        <v>460</v>
      </c>
      <c r="H17000" s="3">
        <v>75</v>
      </c>
      <c r="I17000" s="3">
        <v>138</v>
      </c>
      <c r="J17000" s="3">
        <v>1680</v>
      </c>
      <c r="K17000" s="3">
        <v>2093</v>
      </c>
      <c r="L17000" s="3">
        <v>35</v>
      </c>
      <c r="M17000" s="3">
        <v>172</v>
      </c>
    </row>
    <row r="17001" spans="1:13" x14ac:dyDescent="0.25">
      <c r="A17001" s="1" t="str">
        <f>HYPERLINK("http://www.rosaceae.org/Prunus/Prunus_persica/p.persica_gdr_reftransV1_0037357","p.persica_gdr_reftransV1_0037357")</f>
        <v>p.persica_gdr_reftransV1_0037357</v>
      </c>
      <c r="B17001" s="3">
        <v>2108</v>
      </c>
      <c r="C17001" s="1" t="str">
        <f>HYPERLINK("http://www.uniprot.org/uniprot/UBP12_ARATH","UBP12_ARATH")</f>
        <v>UBP12_ARATH</v>
      </c>
      <c r="D17001" t="s">
        <v>5651</v>
      </c>
      <c r="E17001" s="3" t="s">
        <v>3</v>
      </c>
      <c r="F17001" s="4">
        <v>1.6399999999999999E-25</v>
      </c>
      <c r="G17001" s="3">
        <v>291</v>
      </c>
      <c r="H17001" s="3">
        <v>55</v>
      </c>
      <c r="I17001" s="3">
        <v>95</v>
      </c>
      <c r="J17001" s="3">
        <v>241</v>
      </c>
      <c r="K17001" s="3">
        <v>525</v>
      </c>
      <c r="L17001" s="3">
        <v>42</v>
      </c>
      <c r="M17001" s="3">
        <v>136</v>
      </c>
    </row>
    <row r="17002" spans="1:13" x14ac:dyDescent="0.25">
      <c r="A17002" s="1" t="str">
        <f>HYPERLINK("http://www.rosaceae.org/Prunus/Prunus_persica/p.persica_gdr_reftransV1_0037557","p.persica_gdr_reftransV1_0037557")</f>
        <v>p.persica_gdr_reftransV1_0037557</v>
      </c>
      <c r="B17002" s="3">
        <v>3051</v>
      </c>
      <c r="C17002" s="1" t="str">
        <f>HYPERLINK("http://www.uniprot.org/uniprot/Y3565_ARATH","Y3565_ARATH")</f>
        <v>Y3565_ARATH</v>
      </c>
      <c r="D17002" t="s">
        <v>10541</v>
      </c>
      <c r="E17002" s="3" t="s">
        <v>3</v>
      </c>
      <c r="F17002" s="4">
        <v>7.1000000000000003E-60</v>
      </c>
      <c r="G17002" s="3">
        <v>554</v>
      </c>
      <c r="H17002" s="3">
        <v>55</v>
      </c>
      <c r="I17002" s="3">
        <v>206</v>
      </c>
      <c r="J17002" s="3">
        <v>258</v>
      </c>
      <c r="K17002" s="3">
        <v>851</v>
      </c>
      <c r="L17002" s="3">
        <v>300</v>
      </c>
      <c r="M17002" s="3">
        <v>498</v>
      </c>
    </row>
    <row r="17003" spans="1:13" x14ac:dyDescent="0.25">
      <c r="A17003" s="1" t="str">
        <f>HYPERLINK("http://www.rosaceae.org/Prunus/Prunus_persica/p.persica_gdr_reftransV1_0037907","p.persica_gdr_reftransV1_0037907")</f>
        <v>p.persica_gdr_reftransV1_0037907</v>
      </c>
      <c r="B17003" s="3">
        <v>1779</v>
      </c>
      <c r="C17003" s="1" t="str">
        <f>HYPERLINK("http://www.uniprot.org/uniprot/FNTB_PEA","FNTB_PEA")</f>
        <v>FNTB_PEA</v>
      </c>
      <c r="D17003" t="s">
        <v>10542</v>
      </c>
      <c r="E17003" s="3" t="s">
        <v>60</v>
      </c>
      <c r="F17003" s="4">
        <v>0</v>
      </c>
      <c r="G17003" s="3">
        <v>1468</v>
      </c>
      <c r="H17003" s="3">
        <v>63</v>
      </c>
      <c r="I17003" s="3">
        <v>456</v>
      </c>
      <c r="J17003" s="3">
        <v>313</v>
      </c>
      <c r="K17003" s="3">
        <v>1659</v>
      </c>
      <c r="L17003" s="3">
        <v>4</v>
      </c>
      <c r="M17003" s="3">
        <v>418</v>
      </c>
    </row>
    <row r="17004" spans="1:13" x14ac:dyDescent="0.25">
      <c r="A17004" s="1" t="str">
        <f>HYPERLINK("http://www.rosaceae.org/Prunus/Prunus_persica/p.persica_gdr_reftransV1_0038007","p.persica_gdr_reftransV1_0038007")</f>
        <v>p.persica_gdr_reftransV1_0038007</v>
      </c>
      <c r="B17004" s="3">
        <v>1899</v>
      </c>
      <c r="C17004" s="1" t="str">
        <f>HYPERLINK("http://www.uniprot.org/uniprot/ARASP_ARATH","ARASP_ARATH")</f>
        <v>ARASP_ARATH</v>
      </c>
      <c r="D17004" t="s">
        <v>10543</v>
      </c>
      <c r="E17004" s="3" t="s">
        <v>3</v>
      </c>
      <c r="F17004" s="4">
        <v>1.07E-178</v>
      </c>
      <c r="G17004" s="3">
        <v>1343</v>
      </c>
      <c r="H17004" s="3">
        <v>74</v>
      </c>
      <c r="I17004" s="3">
        <v>437</v>
      </c>
      <c r="J17004" s="3">
        <v>197</v>
      </c>
      <c r="K17004" s="3">
        <v>1507</v>
      </c>
      <c r="L17004" s="3">
        <v>18</v>
      </c>
      <c r="M17004" s="3">
        <v>447</v>
      </c>
    </row>
    <row r="17005" spans="1:13" x14ac:dyDescent="0.25">
      <c r="A17005" s="1" t="str">
        <f>HYPERLINK("http://www.rosaceae.org/Prunus/Prunus_persica/p.persica_gdr_reftransV1_0038107","p.persica_gdr_reftransV1_0038107")</f>
        <v>p.persica_gdr_reftransV1_0038107</v>
      </c>
      <c r="B17005" s="3">
        <v>3423</v>
      </c>
      <c r="C17005" s="1" t="str">
        <f>HYPERLINK("http://www.uniprot.org/uniprot/APK1_ARATH","APK1_ARATH")</f>
        <v>APK1_ARATH</v>
      </c>
      <c r="D17005" t="s">
        <v>7566</v>
      </c>
      <c r="E17005" s="3" t="s">
        <v>3</v>
      </c>
      <c r="F17005" s="4">
        <v>5.7700000000000005E-85</v>
      </c>
      <c r="G17005" s="3">
        <v>722</v>
      </c>
      <c r="H17005" s="3">
        <v>81</v>
      </c>
      <c r="I17005" s="3">
        <v>166</v>
      </c>
      <c r="J17005" s="3">
        <v>2520</v>
      </c>
      <c r="K17005" s="3">
        <v>3017</v>
      </c>
      <c r="L17005" s="3">
        <v>113</v>
      </c>
      <c r="M17005" s="3">
        <v>276</v>
      </c>
    </row>
    <row r="17006" spans="1:13" x14ac:dyDescent="0.25">
      <c r="A17006" s="1" t="str">
        <f>HYPERLINK("http://www.rosaceae.org/Prunus/Prunus_persica/p.persica_gdr_reftransV1_0038307","p.persica_gdr_reftransV1_0038307")</f>
        <v>p.persica_gdr_reftransV1_0038307</v>
      </c>
      <c r="B17006" s="3">
        <v>1610</v>
      </c>
      <c r="C17006" s="1" t="str">
        <f>HYPERLINK("http://www.uniprot.org/uniprot/RBK2_ARATH","RBK2_ARATH")</f>
        <v>RBK2_ARATH</v>
      </c>
      <c r="D17006" t="s">
        <v>1395</v>
      </c>
      <c r="E17006" s="3" t="s">
        <v>3</v>
      </c>
      <c r="F17006" s="4">
        <v>1.3799999999999999E-96</v>
      </c>
      <c r="G17006" s="3">
        <v>787</v>
      </c>
      <c r="H17006" s="3">
        <v>50</v>
      </c>
      <c r="I17006" s="3">
        <v>363</v>
      </c>
      <c r="J17006" s="3">
        <v>558</v>
      </c>
      <c r="K17006" s="3">
        <v>1610</v>
      </c>
      <c r="L17006" s="3">
        <v>4</v>
      </c>
      <c r="M17006" s="3">
        <v>305</v>
      </c>
    </row>
    <row r="17007" spans="1:13" x14ac:dyDescent="0.25">
      <c r="A17007" s="1" t="str">
        <f>HYPERLINK("http://www.rosaceae.org/Prunus/Prunus_persica/p.persica_gdr_reftransV1_0038557","p.persica_gdr_reftransV1_0038557")</f>
        <v>p.persica_gdr_reftransV1_0038557</v>
      </c>
      <c r="B17007" s="3">
        <v>726</v>
      </c>
      <c r="C17007" s="1" t="str">
        <f>HYPERLINK("http://www.uniprot.org/uniprot/SUMO2_ARATH","SUMO2_ARATH")</f>
        <v>SUMO2_ARATH</v>
      </c>
      <c r="D17007" t="s">
        <v>99</v>
      </c>
      <c r="E17007" s="3" t="s">
        <v>3</v>
      </c>
      <c r="F17007" s="4">
        <v>2.4699999999999998E-53</v>
      </c>
      <c r="G17007" s="3">
        <v>440</v>
      </c>
      <c r="H17007" s="3">
        <v>90</v>
      </c>
      <c r="I17007" s="3">
        <v>96</v>
      </c>
      <c r="J17007" s="3">
        <v>359</v>
      </c>
      <c r="K17007" s="3">
        <v>646</v>
      </c>
      <c r="L17007" s="3">
        <v>3</v>
      </c>
      <c r="M17007" s="3">
        <v>95</v>
      </c>
    </row>
    <row r="17008" spans="1:13" x14ac:dyDescent="0.25">
      <c r="A17008" s="1" t="str">
        <f>HYPERLINK("http://www.rosaceae.org/Prunus/Prunus_persica/p.persica_gdr_reftransV1_0038907","p.persica_gdr_reftransV1_0038907")</f>
        <v>p.persica_gdr_reftransV1_0038907</v>
      </c>
      <c r="B17008" s="3">
        <v>1719</v>
      </c>
      <c r="C17008" s="1" t="str">
        <f>HYPERLINK("http://www.uniprot.org/uniprot/RL6_MESCR","RL6_MESCR")</f>
        <v>RL6_MESCR</v>
      </c>
      <c r="D17008" t="s">
        <v>2485</v>
      </c>
      <c r="E17008" s="3" t="s">
        <v>2486</v>
      </c>
      <c r="F17008" s="4">
        <v>1.51E-55</v>
      </c>
      <c r="G17008" s="3">
        <v>490</v>
      </c>
      <c r="H17008" s="3">
        <v>83</v>
      </c>
      <c r="I17008" s="3">
        <v>121</v>
      </c>
      <c r="J17008" s="3">
        <v>1159</v>
      </c>
      <c r="K17008" s="3">
        <v>1521</v>
      </c>
      <c r="L17008" s="3">
        <v>3</v>
      </c>
      <c r="M17008" s="3">
        <v>123</v>
      </c>
    </row>
    <row r="17009" spans="1:13" x14ac:dyDescent="0.25">
      <c r="A17009" s="1" t="str">
        <f>HYPERLINK("http://www.rosaceae.org/Prunus/Prunus_persica/p.persica_gdr_reftransV1_0039007","p.persica_gdr_reftransV1_0039007")</f>
        <v>p.persica_gdr_reftransV1_0039007</v>
      </c>
      <c r="B17009" s="3">
        <v>1912</v>
      </c>
      <c r="C17009" s="1" t="str">
        <f>HYPERLINK("http://www.uniprot.org/uniprot/TPPJ_ARATH","TPPJ_ARATH")</f>
        <v>TPPJ_ARATH</v>
      </c>
      <c r="D17009" t="s">
        <v>10544</v>
      </c>
      <c r="E17009" s="3" t="s">
        <v>3</v>
      </c>
      <c r="F17009" s="4">
        <v>3.5500000000000003E-175</v>
      </c>
      <c r="G17009" s="3">
        <v>1312</v>
      </c>
      <c r="H17009" s="3">
        <v>66</v>
      </c>
      <c r="I17009" s="3">
        <v>393</v>
      </c>
      <c r="J17009" s="3">
        <v>510</v>
      </c>
      <c r="K17009" s="3">
        <v>1670</v>
      </c>
      <c r="L17009" s="3">
        <v>1</v>
      </c>
      <c r="M17009" s="3">
        <v>355</v>
      </c>
    </row>
    <row r="17010" spans="1:13" x14ac:dyDescent="0.25">
      <c r="A17010" s="1" t="str">
        <f>HYPERLINK("http://www.rosaceae.org/Prunus/Prunus_persica/p.persica_gdr_reftransV1_0039407","p.persica_gdr_reftransV1_0039407")</f>
        <v>p.persica_gdr_reftransV1_0039407</v>
      </c>
      <c r="B17010" s="3">
        <v>1325</v>
      </c>
      <c r="C17010" s="1" t="str">
        <f>HYPERLINK("http://www.uniprot.org/uniprot/PRA1H_ARATH","PRA1H_ARATH")</f>
        <v>PRA1H_ARATH</v>
      </c>
      <c r="D17010" t="s">
        <v>9709</v>
      </c>
      <c r="E17010" s="3" t="s">
        <v>3</v>
      </c>
      <c r="F17010" s="4">
        <v>8.4199999999999997E-44</v>
      </c>
      <c r="G17010" s="3">
        <v>402</v>
      </c>
      <c r="H17010" s="3">
        <v>54</v>
      </c>
      <c r="I17010" s="3">
        <v>169</v>
      </c>
      <c r="J17010" s="3">
        <v>96</v>
      </c>
      <c r="K17010" s="3">
        <v>560</v>
      </c>
      <c r="L17010" s="3">
        <v>1</v>
      </c>
      <c r="M17010" s="3">
        <v>165</v>
      </c>
    </row>
    <row r="17011" spans="1:13" x14ac:dyDescent="0.25">
      <c r="A17011" s="1" t="str">
        <f>HYPERLINK("http://www.rosaceae.org/Prunus/Prunus_persica/p.persica_gdr_reftransV1_0039557","p.persica_gdr_reftransV1_0039557")</f>
        <v>p.persica_gdr_reftransV1_0039557</v>
      </c>
      <c r="B17011" s="3">
        <v>1228</v>
      </c>
      <c r="C17011" s="1" t="str">
        <f>HYPERLINK("http://www.uniprot.org/uniprot/KITH_ORYSJ","KITH_ORYSJ")</f>
        <v>KITH_ORYSJ</v>
      </c>
      <c r="D17011" t="s">
        <v>7821</v>
      </c>
      <c r="E17011" s="3" t="s">
        <v>38</v>
      </c>
      <c r="F17011" s="4">
        <v>4.3600000000000002E-105</v>
      </c>
      <c r="G17011" s="3">
        <v>816</v>
      </c>
      <c r="H17011" s="3">
        <v>78</v>
      </c>
      <c r="I17011" s="3">
        <v>194</v>
      </c>
      <c r="J17011" s="3">
        <v>327</v>
      </c>
      <c r="K17011" s="3">
        <v>905</v>
      </c>
      <c r="L17011" s="3">
        <v>67</v>
      </c>
      <c r="M17011" s="3">
        <v>260</v>
      </c>
    </row>
    <row r="17012" spans="1:13" x14ac:dyDescent="0.25">
      <c r="A17012" s="1" t="str">
        <f>HYPERLINK("http://www.rosaceae.org/Prunus/Prunus_persica/p.persica_gdr_reftransV1_0039807","p.persica_gdr_reftransV1_0039807")</f>
        <v>p.persica_gdr_reftransV1_0039807</v>
      </c>
      <c r="B17012" s="3">
        <v>3015</v>
      </c>
      <c r="C17012" s="1" t="str">
        <f>HYPERLINK("http://www.uniprot.org/uniprot/NIFU2_ARATH","NIFU2_ARATH")</f>
        <v>NIFU2_ARATH</v>
      </c>
      <c r="D17012" t="s">
        <v>10545</v>
      </c>
      <c r="E17012" s="3" t="s">
        <v>3</v>
      </c>
      <c r="F17012" s="4">
        <v>2.6199999999999998E-90</v>
      </c>
      <c r="G17012" s="3">
        <v>752</v>
      </c>
      <c r="H17012" s="3">
        <v>77</v>
      </c>
      <c r="I17012" s="3">
        <v>195</v>
      </c>
      <c r="J17012" s="3">
        <v>451</v>
      </c>
      <c r="K17012" s="3">
        <v>1035</v>
      </c>
      <c r="L17012" s="3">
        <v>47</v>
      </c>
      <c r="M17012" s="3">
        <v>235</v>
      </c>
    </row>
    <row r="17013" spans="1:13" x14ac:dyDescent="0.25">
      <c r="A17013" s="1" t="str">
        <f>HYPERLINK("http://www.rosaceae.org/Prunus/Prunus_persica/p.persica_gdr_reftransV1_0039857","p.persica_gdr_reftransV1_0039857")</f>
        <v>p.persica_gdr_reftransV1_0039857</v>
      </c>
      <c r="B17013" s="3">
        <v>3585</v>
      </c>
      <c r="C17013" s="1" t="str">
        <f>HYPERLINK("http://www.uniprot.org/uniprot/KTNB1_ARATH","KTNB1_ARATH")</f>
        <v>KTNB1_ARATH</v>
      </c>
      <c r="D17013" t="s">
        <v>5530</v>
      </c>
      <c r="E17013" s="3" t="s">
        <v>3</v>
      </c>
      <c r="F17013" s="4">
        <v>0</v>
      </c>
      <c r="G17013" s="3">
        <v>2475</v>
      </c>
      <c r="H17013" s="3">
        <v>62</v>
      </c>
      <c r="I17013" s="3">
        <v>843</v>
      </c>
      <c r="J17013" s="3">
        <v>665</v>
      </c>
      <c r="K17013" s="3">
        <v>3073</v>
      </c>
      <c r="L17013" s="3">
        <v>1</v>
      </c>
      <c r="M17013" s="3">
        <v>836</v>
      </c>
    </row>
    <row r="17014" spans="1:13" x14ac:dyDescent="0.25">
      <c r="A17014" s="1" t="str">
        <f>HYPERLINK("http://www.rosaceae.org/Prunus/Prunus_persica/p.persica_gdr_reftransV1_0040007","p.persica_gdr_reftransV1_0040007")</f>
        <v>p.persica_gdr_reftransV1_0040007</v>
      </c>
      <c r="B17014" s="3">
        <v>3252</v>
      </c>
      <c r="C17014" s="1" t="str">
        <f>HYPERLINK("http://www.uniprot.org/uniprot/MCCB_ARATH","MCCB_ARATH")</f>
        <v>MCCB_ARATH</v>
      </c>
      <c r="D17014" t="s">
        <v>10312</v>
      </c>
      <c r="E17014" s="3" t="s">
        <v>3</v>
      </c>
      <c r="F17014" s="4">
        <v>2.6599999999999999E-175</v>
      </c>
      <c r="G17014" s="3">
        <v>961</v>
      </c>
      <c r="H17014" s="3">
        <v>82</v>
      </c>
      <c r="I17014" s="3">
        <v>225</v>
      </c>
      <c r="J17014" s="3">
        <v>524</v>
      </c>
      <c r="K17014" s="3">
        <v>1198</v>
      </c>
      <c r="L17014" s="3">
        <v>42</v>
      </c>
      <c r="M17014" s="3">
        <v>266</v>
      </c>
    </row>
    <row r="17015" spans="1:13" x14ac:dyDescent="0.25">
      <c r="A17015" s="1" t="str">
        <f>HYPERLINK("http://www.rosaceae.org/Prunus/Prunus_persica/p.persica_gdr_reftransV1_0040107","p.persica_gdr_reftransV1_0040107")</f>
        <v>p.persica_gdr_reftransV1_0040107</v>
      </c>
      <c r="B17015" s="3">
        <v>1096</v>
      </c>
      <c r="C17015" s="1" t="str">
        <f>HYPERLINK("http://www.uniprot.org/uniprot/CHUP1_ARATH","CHUP1_ARATH")</f>
        <v>CHUP1_ARATH</v>
      </c>
      <c r="D17015" t="s">
        <v>3256</v>
      </c>
      <c r="E17015" s="3" t="s">
        <v>3</v>
      </c>
      <c r="F17015" s="4">
        <v>4.6099999999999995E-13</v>
      </c>
      <c r="G17015" s="3">
        <v>181</v>
      </c>
      <c r="H17015" s="3">
        <v>65</v>
      </c>
      <c r="I17015" s="3">
        <v>52</v>
      </c>
      <c r="J17015" s="3">
        <v>3</v>
      </c>
      <c r="K17015" s="3">
        <v>158</v>
      </c>
      <c r="L17015" s="3">
        <v>931</v>
      </c>
      <c r="M17015" s="3">
        <v>982</v>
      </c>
    </row>
    <row r="17016" spans="1:13" x14ac:dyDescent="0.25">
      <c r="A17016" s="1" t="str">
        <f>HYPERLINK("http://www.rosaceae.org/Prunus/Prunus_persica/p.persica_gdr_reftransV1_0040307","p.persica_gdr_reftransV1_0040307")</f>
        <v>p.persica_gdr_reftransV1_0040307</v>
      </c>
      <c r="B17016" s="3">
        <v>1275</v>
      </c>
      <c r="C17016" s="1" t="str">
        <f>HYPERLINK("http://www.uniprot.org/uniprot/BPC2_ARATH","BPC2_ARATH")</f>
        <v>BPC2_ARATH</v>
      </c>
      <c r="D17016" t="s">
        <v>6460</v>
      </c>
      <c r="E17016" s="3" t="s">
        <v>3</v>
      </c>
      <c r="F17016" s="4">
        <v>4.6600000000000002E-103</v>
      </c>
      <c r="G17016" s="3">
        <v>804</v>
      </c>
      <c r="H17016" s="3">
        <v>57</v>
      </c>
      <c r="I17016" s="3">
        <v>290</v>
      </c>
      <c r="J17016" s="3">
        <v>361</v>
      </c>
      <c r="K17016" s="3">
        <v>1194</v>
      </c>
      <c r="L17016" s="3">
        <v>1</v>
      </c>
      <c r="M17016" s="3">
        <v>279</v>
      </c>
    </row>
    <row r="17017" spans="1:13" x14ac:dyDescent="0.25">
      <c r="A17017" s="1" t="str">
        <f>HYPERLINK("http://www.rosaceae.org/Prunus/Prunus_persica/p.persica_gdr_reftransV1_0041107","p.persica_gdr_reftransV1_0041107")</f>
        <v>p.persica_gdr_reftransV1_0041107</v>
      </c>
      <c r="B17017" s="3">
        <v>2877</v>
      </c>
      <c r="C17017" s="1" t="str">
        <f>HYPERLINK("http://www.uniprot.org/uniprot/SYCM_ARATH","SYCM_ARATH")</f>
        <v>SYCM_ARATH</v>
      </c>
      <c r="D17017" t="s">
        <v>385</v>
      </c>
      <c r="E17017" s="3" t="s">
        <v>3</v>
      </c>
      <c r="F17017" s="4">
        <v>0</v>
      </c>
      <c r="G17017" s="3">
        <v>1590</v>
      </c>
      <c r="H17017" s="3">
        <v>76</v>
      </c>
      <c r="I17017" s="3">
        <v>390</v>
      </c>
      <c r="J17017" s="3">
        <v>1715</v>
      </c>
      <c r="K17017" s="3">
        <v>2872</v>
      </c>
      <c r="L17017" s="3">
        <v>3</v>
      </c>
      <c r="M17017" s="3">
        <v>384</v>
      </c>
    </row>
    <row r="17018" spans="1:13" x14ac:dyDescent="0.25">
      <c r="A17018" s="1" t="str">
        <f>HYPERLINK("http://www.rosaceae.org/Prunus/Prunus_persica/p.persica_gdr_reftransV1_0041157","p.persica_gdr_reftransV1_0041157")</f>
        <v>p.persica_gdr_reftransV1_0041157</v>
      </c>
      <c r="B17018" s="3">
        <v>6757</v>
      </c>
      <c r="C17018" s="1" t="str">
        <f>HYPERLINK("http://www.uniprot.org/uniprot/PRP4B_RAT","PRP4B_RAT")</f>
        <v>PRP4B_RAT</v>
      </c>
      <c r="D17018" t="s">
        <v>3374</v>
      </c>
      <c r="E17018" s="3" t="s">
        <v>161</v>
      </c>
      <c r="F17018" s="4">
        <v>1.31E-121</v>
      </c>
      <c r="G17018" s="3">
        <v>1072</v>
      </c>
      <c r="H17018" s="3">
        <v>54</v>
      </c>
      <c r="I17018" s="3">
        <v>374</v>
      </c>
      <c r="J17018" s="3">
        <v>2608</v>
      </c>
      <c r="K17018" s="3">
        <v>3714</v>
      </c>
      <c r="L17018" s="3">
        <v>636</v>
      </c>
      <c r="M17018" s="3">
        <v>1006</v>
      </c>
    </row>
    <row r="17019" spans="1:13" x14ac:dyDescent="0.25">
      <c r="A17019" s="1" t="str">
        <f>HYPERLINK("http://www.rosaceae.org/Prunus/Prunus_persica/p.persica_gdr_reftransV1_0041407","p.persica_gdr_reftransV1_0041407")</f>
        <v>p.persica_gdr_reftransV1_0041407</v>
      </c>
      <c r="B17019" s="3">
        <v>867</v>
      </c>
      <c r="C17019" s="1" t="str">
        <f>HYPERLINK("http://www.uniprot.org/uniprot/RL30_CORA7","RL30_CORA7")</f>
        <v>RL30_CORA7</v>
      </c>
      <c r="D17019" t="s">
        <v>10546</v>
      </c>
      <c r="E17019" s="3" t="s">
        <v>10547</v>
      </c>
      <c r="F17019" s="4">
        <v>3.46E-7</v>
      </c>
      <c r="G17019" s="3">
        <v>121</v>
      </c>
      <c r="H17019" s="3">
        <v>41</v>
      </c>
      <c r="I17019" s="3">
        <v>54</v>
      </c>
      <c r="J17019" s="3">
        <v>232</v>
      </c>
      <c r="K17019" s="3">
        <v>393</v>
      </c>
      <c r="L17019" s="3">
        <v>3</v>
      </c>
      <c r="M17019" s="3">
        <v>56</v>
      </c>
    </row>
    <row r="17020" spans="1:13" x14ac:dyDescent="0.25">
      <c r="A17020" s="1" t="str">
        <f>HYPERLINK("http://www.rosaceae.org/Prunus/Prunus_persica/p.persica_gdr_reftransV1_0041507","p.persica_gdr_reftransV1_0041507")</f>
        <v>p.persica_gdr_reftransV1_0041507</v>
      </c>
      <c r="B17020" s="3">
        <v>2710</v>
      </c>
      <c r="C17020" s="1" t="str">
        <f>HYPERLINK("http://www.uniprot.org/uniprot/BH110_ARATH","BH110_ARATH")</f>
        <v>BH110_ARATH</v>
      </c>
      <c r="D17020" t="s">
        <v>10548</v>
      </c>
      <c r="E17020" s="3" t="s">
        <v>3</v>
      </c>
      <c r="F17020" s="4">
        <v>7.8900000000000004E-51</v>
      </c>
      <c r="G17020" s="3">
        <v>482</v>
      </c>
      <c r="H17020" s="3">
        <v>56</v>
      </c>
      <c r="I17020" s="3">
        <v>202</v>
      </c>
      <c r="J17020" s="3">
        <v>1842</v>
      </c>
      <c r="K17020" s="3">
        <v>2417</v>
      </c>
      <c r="L17020" s="3">
        <v>255</v>
      </c>
      <c r="M17020" s="3">
        <v>453</v>
      </c>
    </row>
    <row r="17021" spans="1:13" x14ac:dyDescent="0.25">
      <c r="A17021" s="1" t="str">
        <f>HYPERLINK("http://www.rosaceae.org/Prunus/Prunus_persica/p.persica_gdr_reftransV1_0041707","p.persica_gdr_reftransV1_0041707")</f>
        <v>p.persica_gdr_reftransV1_0041707</v>
      </c>
      <c r="B17021" s="3">
        <v>2443</v>
      </c>
      <c r="C17021" s="1" t="str">
        <f>HYPERLINK("http://www.uniprot.org/uniprot/ACOX3_ARATH","ACOX3_ARATH")</f>
        <v>ACOX3_ARATH</v>
      </c>
      <c r="D17021" t="s">
        <v>10549</v>
      </c>
      <c r="E17021" s="3" t="s">
        <v>3</v>
      </c>
      <c r="F17021" s="4">
        <v>0</v>
      </c>
      <c r="G17021" s="3">
        <v>2710</v>
      </c>
      <c r="H17021" s="3">
        <v>75</v>
      </c>
      <c r="I17021" s="3">
        <v>672</v>
      </c>
      <c r="J17021" s="3">
        <v>235</v>
      </c>
      <c r="K17021" s="3">
        <v>2241</v>
      </c>
      <c r="L17021" s="3">
        <v>4</v>
      </c>
      <c r="M17021" s="3">
        <v>675</v>
      </c>
    </row>
    <row r="17022" spans="1:13" x14ac:dyDescent="0.25">
      <c r="A17022" s="1" t="str">
        <f>HYPERLINK("http://www.rosaceae.org/Prunus/Prunus_persica/p.persica_gdr_reftransV1_0042507","p.persica_gdr_reftransV1_0042507")</f>
        <v>p.persica_gdr_reftransV1_0042507</v>
      </c>
      <c r="B17022" s="3">
        <v>1810</v>
      </c>
      <c r="C17022" s="1" t="str">
        <f>HYPERLINK("http://www.uniprot.org/uniprot/Y1099_ARATH","Y1099_ARATH")</f>
        <v>Y1099_ARATH</v>
      </c>
      <c r="D17022" t="s">
        <v>10550</v>
      </c>
      <c r="E17022" s="3" t="s">
        <v>3</v>
      </c>
      <c r="F17022" s="4">
        <v>2.9399999999999999E-103</v>
      </c>
      <c r="G17022" s="3">
        <v>666</v>
      </c>
      <c r="H17022" s="3">
        <v>70</v>
      </c>
      <c r="I17022" s="3">
        <v>175</v>
      </c>
      <c r="J17022" s="3">
        <v>502</v>
      </c>
      <c r="K17022" s="3">
        <v>1026</v>
      </c>
      <c r="L17022" s="3">
        <v>151</v>
      </c>
      <c r="M17022" s="3">
        <v>325</v>
      </c>
    </row>
    <row r="17023" spans="1:13" x14ac:dyDescent="0.25">
      <c r="A17023" s="1" t="str">
        <f>HYPERLINK("http://www.rosaceae.org/Prunus/Prunus_persica/p.persica_gdr_reftransV1_0042557","p.persica_gdr_reftransV1_0042557")</f>
        <v>p.persica_gdr_reftransV1_0042557</v>
      </c>
      <c r="B17023" s="3">
        <v>4173</v>
      </c>
      <c r="C17023" s="1" t="str">
        <f>HYPERLINK("http://www.uniprot.org/uniprot/DHE2_ARATH","DHE2_ARATH")</f>
        <v>DHE2_ARATH</v>
      </c>
      <c r="D17023" t="s">
        <v>3251</v>
      </c>
      <c r="E17023" s="3" t="s">
        <v>3</v>
      </c>
      <c r="F17023" s="4">
        <v>0</v>
      </c>
      <c r="G17023" s="3">
        <v>1618</v>
      </c>
      <c r="H17023" s="3">
        <v>88</v>
      </c>
      <c r="I17023" s="3">
        <v>338</v>
      </c>
      <c r="J17023" s="3">
        <v>1411</v>
      </c>
      <c r="K17023" s="3">
        <v>2424</v>
      </c>
      <c r="L17023" s="3">
        <v>74</v>
      </c>
      <c r="M17023" s="3">
        <v>411</v>
      </c>
    </row>
    <row r="17024" spans="1:13" x14ac:dyDescent="0.25">
      <c r="A17024" s="1" t="str">
        <f>HYPERLINK("http://www.rosaceae.org/Prunus/Prunus_persica/p.persica_gdr_reftransV1_0042907","p.persica_gdr_reftransV1_0042907")</f>
        <v>p.persica_gdr_reftransV1_0042907</v>
      </c>
      <c r="B17024" s="3">
        <v>1547</v>
      </c>
      <c r="C17024" s="1" t="str">
        <f>HYPERLINK("http://www.uniprot.org/uniprot/2NPD_STAAS","2NPD_STAAS")</f>
        <v>2NPD_STAAS</v>
      </c>
      <c r="D17024" t="s">
        <v>10551</v>
      </c>
      <c r="E17024" s="3" t="s">
        <v>6531</v>
      </c>
      <c r="F17024" s="4">
        <v>8.4399999999999997E-20</v>
      </c>
      <c r="G17024" s="3">
        <v>233</v>
      </c>
      <c r="H17024" s="3">
        <v>32</v>
      </c>
      <c r="I17024" s="3">
        <v>245</v>
      </c>
      <c r="J17024" s="3">
        <v>197</v>
      </c>
      <c r="K17024" s="3">
        <v>877</v>
      </c>
      <c r="L17024" s="3">
        <v>131</v>
      </c>
      <c r="M17024" s="3">
        <v>355</v>
      </c>
    </row>
    <row r="17025" spans="1:13" x14ac:dyDescent="0.25">
      <c r="A17025" s="1" t="str">
        <f>HYPERLINK("http://www.rosaceae.org/Prunus/Prunus_persica/p.persica_gdr_reftransV1_0042957","p.persica_gdr_reftransV1_0042957")</f>
        <v>p.persica_gdr_reftransV1_0042957</v>
      </c>
      <c r="B17025" s="3">
        <v>4698</v>
      </c>
      <c r="C17025" s="1" t="str">
        <f>HYPERLINK("http://www.uniprot.org/uniprot/GLGB1_PEA","GLGB1_PEA")</f>
        <v>GLGB1_PEA</v>
      </c>
      <c r="D17025" t="s">
        <v>10552</v>
      </c>
      <c r="E17025" s="3" t="s">
        <v>60</v>
      </c>
      <c r="F17025" s="4">
        <v>0</v>
      </c>
      <c r="G17025" s="3">
        <v>2461</v>
      </c>
      <c r="H17025" s="3">
        <v>72</v>
      </c>
      <c r="I17025" s="3">
        <v>652</v>
      </c>
      <c r="J17025" s="3">
        <v>1870</v>
      </c>
      <c r="K17025" s="3">
        <v>3783</v>
      </c>
      <c r="L17025" s="3">
        <v>1</v>
      </c>
      <c r="M17025" s="3">
        <v>633</v>
      </c>
    </row>
    <row r="17026" spans="1:13" x14ac:dyDescent="0.25">
      <c r="A17026" s="1" t="str">
        <f>HYPERLINK("http://www.rosaceae.org/Prunus/Prunus_persica/p.persica_gdr_reftransV1_0043007","p.persica_gdr_reftransV1_0043007")</f>
        <v>p.persica_gdr_reftransV1_0043007</v>
      </c>
      <c r="B17026" s="3">
        <v>1783</v>
      </c>
      <c r="C17026" s="1" t="str">
        <f>HYPERLINK("http://www.uniprot.org/uniprot/BASS1_ARATH","BASS1_ARATH")</f>
        <v>BASS1_ARATH</v>
      </c>
      <c r="D17026" t="s">
        <v>1309</v>
      </c>
      <c r="E17026" s="3" t="s">
        <v>3</v>
      </c>
      <c r="F17026" s="4">
        <v>2.4000000000000001E-57</v>
      </c>
      <c r="G17026" s="3">
        <v>517</v>
      </c>
      <c r="H17026" s="3">
        <v>41</v>
      </c>
      <c r="I17026" s="3">
        <v>328</v>
      </c>
      <c r="J17026" s="3">
        <v>409</v>
      </c>
      <c r="K17026" s="3">
        <v>1392</v>
      </c>
      <c r="L17026" s="3">
        <v>101</v>
      </c>
      <c r="M17026" s="3">
        <v>401</v>
      </c>
    </row>
    <row r="17027" spans="1:13" x14ac:dyDescent="0.25">
      <c r="A17027" s="1" t="str">
        <f>HYPERLINK("http://www.rosaceae.org/Prunus/Prunus_persica/p.persica_gdr_reftransV1_0043107","p.persica_gdr_reftransV1_0043107")</f>
        <v>p.persica_gdr_reftransV1_0043107</v>
      </c>
      <c r="B17027" s="3">
        <v>1457</v>
      </c>
      <c r="C17027" s="1" t="str">
        <f>HYPERLINK("http://www.uniprot.org/uniprot/RKF1_ARATH","RKF1_ARATH")</f>
        <v>RKF1_ARATH</v>
      </c>
      <c r="D17027" t="s">
        <v>4071</v>
      </c>
      <c r="E17027" s="3" t="s">
        <v>3</v>
      </c>
      <c r="F17027" s="4">
        <v>6.7900000000000001E-131</v>
      </c>
      <c r="G17027" s="3">
        <v>961</v>
      </c>
      <c r="H17027" s="3">
        <v>66</v>
      </c>
      <c r="I17027" s="3">
        <v>276</v>
      </c>
      <c r="J17027" s="3">
        <v>410</v>
      </c>
      <c r="K17027" s="3">
        <v>1228</v>
      </c>
      <c r="L17027" s="3">
        <v>706</v>
      </c>
      <c r="M17027" s="3">
        <v>981</v>
      </c>
    </row>
    <row r="17028" spans="1:13" x14ac:dyDescent="0.25">
      <c r="A17028" s="1" t="str">
        <f>HYPERLINK("http://www.rosaceae.org/Prunus/Prunus_persica/p.persica_gdr_reftransV1_0043157","p.persica_gdr_reftransV1_0043157")</f>
        <v>p.persica_gdr_reftransV1_0043157</v>
      </c>
      <c r="B17028" s="3">
        <v>1054</v>
      </c>
      <c r="C17028" s="1" t="str">
        <f>HYPERLINK("http://www.uniprot.org/uniprot/PPR89_ARATH","PPR89_ARATH")</f>
        <v>PPR89_ARATH</v>
      </c>
      <c r="D17028" t="s">
        <v>2248</v>
      </c>
      <c r="E17028" s="3" t="s">
        <v>3</v>
      </c>
      <c r="F17028" s="4">
        <v>2.23E-7</v>
      </c>
      <c r="G17028" s="3">
        <v>129</v>
      </c>
      <c r="H17028" s="3">
        <v>34</v>
      </c>
      <c r="I17028" s="3">
        <v>102</v>
      </c>
      <c r="J17028" s="3">
        <v>351</v>
      </c>
      <c r="K17028" s="3">
        <v>650</v>
      </c>
      <c r="L17028" s="3">
        <v>1</v>
      </c>
      <c r="M17028" s="3">
        <v>101</v>
      </c>
    </row>
    <row r="17029" spans="1:13" x14ac:dyDescent="0.25">
      <c r="A17029" s="1" t="str">
        <f>HYPERLINK("http://www.rosaceae.org/Prunus/Prunus_persica/p.persica_gdr_reftransV1_0043207","p.persica_gdr_reftransV1_0043207")</f>
        <v>p.persica_gdr_reftransV1_0043207</v>
      </c>
      <c r="B17029" s="3">
        <v>770</v>
      </c>
      <c r="C17029" s="1" t="str">
        <f>HYPERLINK("http://www.uniprot.org/uniprot/Y5880_ARATH","Y5880_ARATH")</f>
        <v>Y5880_ARATH</v>
      </c>
      <c r="D17029" t="s">
        <v>3008</v>
      </c>
      <c r="E17029" s="3" t="s">
        <v>3</v>
      </c>
      <c r="F17029" s="4">
        <v>1.34E-133</v>
      </c>
      <c r="G17029" s="3">
        <v>1020</v>
      </c>
      <c r="H17029" s="3">
        <v>76</v>
      </c>
      <c r="I17029" s="3">
        <v>259</v>
      </c>
      <c r="J17029" s="3">
        <v>3</v>
      </c>
      <c r="K17029" s="3">
        <v>770</v>
      </c>
      <c r="L17029" s="3">
        <v>77</v>
      </c>
      <c r="M17029" s="3">
        <v>317</v>
      </c>
    </row>
    <row r="17030" spans="1:13" x14ac:dyDescent="0.25">
      <c r="A17030" s="1" t="str">
        <f>HYPERLINK("http://www.rosaceae.org/Prunus/Prunus_persica/p.persica_gdr_reftransV1_0043257","p.persica_gdr_reftransV1_0043257")</f>
        <v>p.persica_gdr_reftransV1_0043257</v>
      </c>
      <c r="B17030" s="3">
        <v>1419</v>
      </c>
      <c r="C17030" s="1" t="str">
        <f>HYPERLINK("http://www.uniprot.org/uniprot/ODO1_PETHY","ODO1_PETHY")</f>
        <v>ODO1_PETHY</v>
      </c>
      <c r="D17030" t="s">
        <v>9531</v>
      </c>
      <c r="E17030" s="3" t="s">
        <v>509</v>
      </c>
      <c r="F17030" s="4">
        <v>1.0600000000000001E-100</v>
      </c>
      <c r="G17030" s="3">
        <v>794</v>
      </c>
      <c r="H17030" s="3">
        <v>58</v>
      </c>
      <c r="I17030" s="3">
        <v>287</v>
      </c>
      <c r="J17030" s="3">
        <v>395</v>
      </c>
      <c r="K17030" s="3">
        <v>1237</v>
      </c>
      <c r="L17030" s="3">
        <v>1</v>
      </c>
      <c r="M17030" s="3">
        <v>287</v>
      </c>
    </row>
    <row r="17031" spans="1:13" x14ac:dyDescent="0.25">
      <c r="A17031" s="1" t="str">
        <f>HYPERLINK("http://www.rosaceae.org/Prunus/Prunus_persica/p.persica_gdr_reftransV1_0043307","p.persica_gdr_reftransV1_0043307")</f>
        <v>p.persica_gdr_reftransV1_0043307</v>
      </c>
      <c r="B17031" s="3">
        <v>2078</v>
      </c>
      <c r="C17031" s="1" t="str">
        <f>HYPERLINK("http://www.uniprot.org/uniprot/LCB2A_ARATH","LCB2A_ARATH")</f>
        <v>LCB2A_ARATH</v>
      </c>
      <c r="D17031" t="s">
        <v>10553</v>
      </c>
      <c r="E17031" s="3" t="s">
        <v>3</v>
      </c>
      <c r="F17031" s="4">
        <v>0</v>
      </c>
      <c r="G17031" s="3">
        <v>2262</v>
      </c>
      <c r="H17031" s="3">
        <v>86</v>
      </c>
      <c r="I17031" s="3">
        <v>489</v>
      </c>
      <c r="J17031" s="3">
        <v>420</v>
      </c>
      <c r="K17031" s="3">
        <v>1880</v>
      </c>
      <c r="L17031" s="3">
        <v>1</v>
      </c>
      <c r="M17031" s="3">
        <v>489</v>
      </c>
    </row>
    <row r="17032" spans="1:13" x14ac:dyDescent="0.25">
      <c r="A17032" s="1" t="str">
        <f>HYPERLINK("http://www.rosaceae.org/Prunus/Prunus_persica/p.persica_gdr_reftransV1_0043357","p.persica_gdr_reftransV1_0043357")</f>
        <v>p.persica_gdr_reftransV1_0043357</v>
      </c>
      <c r="B17032" s="3">
        <v>1041</v>
      </c>
      <c r="C17032" s="1" t="str">
        <f>HYPERLINK("http://www.uniprot.org/uniprot/CP19C_ARATH","CP19C_ARATH")</f>
        <v>CP19C_ARATH</v>
      </c>
      <c r="D17032" t="s">
        <v>10554</v>
      </c>
      <c r="E17032" s="3" t="s">
        <v>3</v>
      </c>
      <c r="F17032" s="4">
        <v>2.6599999999999999E-91</v>
      </c>
      <c r="G17032" s="3">
        <v>709</v>
      </c>
      <c r="H17032" s="3">
        <v>83</v>
      </c>
      <c r="I17032" s="3">
        <v>173</v>
      </c>
      <c r="J17032" s="3">
        <v>453</v>
      </c>
      <c r="K17032" s="3">
        <v>971</v>
      </c>
      <c r="L17032" s="3">
        <v>1</v>
      </c>
      <c r="M17032" s="3">
        <v>173</v>
      </c>
    </row>
    <row r="17033" spans="1:13" x14ac:dyDescent="0.25">
      <c r="A17033" s="1" t="str">
        <f>HYPERLINK("http://www.rosaceae.org/Prunus/Prunus_persica/p.persica_gdr_reftransV1_0043407","p.persica_gdr_reftransV1_0043407")</f>
        <v>p.persica_gdr_reftransV1_0043407</v>
      </c>
      <c r="B17033" s="3">
        <v>1094</v>
      </c>
      <c r="C17033" s="1" t="str">
        <f>HYPERLINK("http://www.uniprot.org/uniprot/SGGP_ARATH","SGGP_ARATH")</f>
        <v>SGGP_ARATH</v>
      </c>
      <c r="D17033" t="s">
        <v>2170</v>
      </c>
      <c r="E17033" s="3" t="s">
        <v>3</v>
      </c>
      <c r="F17033" s="4">
        <v>3.2199999999999998E-94</v>
      </c>
      <c r="G17033" s="3">
        <v>737</v>
      </c>
      <c r="H17033" s="3">
        <v>56</v>
      </c>
      <c r="I17033" s="3">
        <v>237</v>
      </c>
      <c r="J17033" s="3">
        <v>87</v>
      </c>
      <c r="K17033" s="3">
        <v>797</v>
      </c>
      <c r="L17033" s="3">
        <v>9</v>
      </c>
      <c r="M17033" s="3">
        <v>244</v>
      </c>
    </row>
    <row r="17034" spans="1:13" x14ac:dyDescent="0.25">
      <c r="A17034" s="1" t="str">
        <f>HYPERLINK("http://www.rosaceae.org/Prunus/Prunus_persica/p.persica_gdr_reftransV1_0043457","p.persica_gdr_reftransV1_0043457")</f>
        <v>p.persica_gdr_reftransV1_0043457</v>
      </c>
      <c r="B17034" s="3">
        <v>1437</v>
      </c>
      <c r="C17034" s="1" t="str">
        <f>HYPERLINK("http://www.uniprot.org/uniprot/FAD3C_SESIN","FAD3C_SESIN")</f>
        <v>FAD3C_SESIN</v>
      </c>
      <c r="D17034" t="s">
        <v>10555</v>
      </c>
      <c r="E17034" s="3" t="s">
        <v>1772</v>
      </c>
      <c r="F17034" s="4">
        <v>0</v>
      </c>
      <c r="G17034" s="3">
        <v>1454</v>
      </c>
      <c r="H17034" s="3">
        <v>71</v>
      </c>
      <c r="I17034" s="3">
        <v>363</v>
      </c>
      <c r="J17034" s="3">
        <v>255</v>
      </c>
      <c r="K17034" s="3">
        <v>1343</v>
      </c>
      <c r="L17034" s="3">
        <v>85</v>
      </c>
      <c r="M17034" s="3">
        <v>446</v>
      </c>
    </row>
    <row r="17035" spans="1:13" x14ac:dyDescent="0.25">
      <c r="A17035" s="1" t="str">
        <f>HYPERLINK("http://www.rosaceae.org/Prunus/Prunus_persica/p.persica_gdr_reftransV1_0043607","p.persica_gdr_reftransV1_0043607")</f>
        <v>p.persica_gdr_reftransV1_0043607</v>
      </c>
      <c r="B17035" s="3">
        <v>878</v>
      </c>
      <c r="C17035" s="1" t="str">
        <f>HYPERLINK("http://www.uniprot.org/uniprot/MY113_ARATH","MY113_ARATH")</f>
        <v>MY113_ARATH</v>
      </c>
      <c r="D17035" t="s">
        <v>3584</v>
      </c>
      <c r="E17035" s="3" t="s">
        <v>3</v>
      </c>
      <c r="F17035" s="4">
        <v>7.4300000000000005E-35</v>
      </c>
      <c r="G17035" s="3">
        <v>331</v>
      </c>
      <c r="H17035" s="3">
        <v>58</v>
      </c>
      <c r="I17035" s="3">
        <v>112</v>
      </c>
      <c r="J17035" s="3">
        <v>546</v>
      </c>
      <c r="K17035" s="3">
        <v>854</v>
      </c>
      <c r="L17035" s="3">
        <v>41</v>
      </c>
      <c r="M17035" s="3">
        <v>152</v>
      </c>
    </row>
    <row r="17036" spans="1:13" x14ac:dyDescent="0.25">
      <c r="A17036" s="1" t="str">
        <f>HYPERLINK("http://www.rosaceae.org/Prunus/Prunus_persica/p.persica_gdr_reftransV1_0043757","p.persica_gdr_reftransV1_0043757")</f>
        <v>p.persica_gdr_reftransV1_0043757</v>
      </c>
      <c r="B17036" s="3">
        <v>826</v>
      </c>
      <c r="C17036" s="1" t="str">
        <f>HYPERLINK("http://www.uniprot.org/uniprot/ZB14_MAIZE","ZB14_MAIZE")</f>
        <v>ZB14_MAIZE</v>
      </c>
      <c r="D17036" t="s">
        <v>9645</v>
      </c>
      <c r="E17036" s="3" t="s">
        <v>72</v>
      </c>
      <c r="F17036" s="4">
        <v>9.4500000000000001E-70</v>
      </c>
      <c r="G17036" s="3">
        <v>555</v>
      </c>
      <c r="H17036" s="3">
        <v>86</v>
      </c>
      <c r="I17036" s="3">
        <v>115</v>
      </c>
      <c r="J17036" s="3">
        <v>332</v>
      </c>
      <c r="K17036" s="3">
        <v>676</v>
      </c>
      <c r="L17036" s="3">
        <v>14</v>
      </c>
      <c r="M17036" s="3">
        <v>128</v>
      </c>
    </row>
    <row r="17037" spans="1:13" x14ac:dyDescent="0.25">
      <c r="A17037" s="1" t="str">
        <f>HYPERLINK("http://www.rosaceae.org/Prunus/Prunus_persica/p.persica_gdr_reftransV1_0043807","p.persica_gdr_reftransV1_0043807")</f>
        <v>p.persica_gdr_reftransV1_0043807</v>
      </c>
      <c r="B17037" s="3">
        <v>2021</v>
      </c>
      <c r="C17037" s="1" t="str">
        <f>HYPERLINK("http://www.uniprot.org/uniprot/RPT2_ARATH","RPT2_ARATH")</f>
        <v>RPT2_ARATH</v>
      </c>
      <c r="D17037" t="s">
        <v>10556</v>
      </c>
      <c r="E17037" s="3" t="s">
        <v>3</v>
      </c>
      <c r="F17037" s="4">
        <v>0</v>
      </c>
      <c r="G17037" s="3">
        <v>2091</v>
      </c>
      <c r="H17037" s="3">
        <v>71</v>
      </c>
      <c r="I17037" s="3">
        <v>585</v>
      </c>
      <c r="J17037" s="3">
        <v>111</v>
      </c>
      <c r="K17037" s="3">
        <v>1829</v>
      </c>
      <c r="L17037" s="3">
        <v>14</v>
      </c>
      <c r="M17037" s="3">
        <v>593</v>
      </c>
    </row>
    <row r="17038" spans="1:13" x14ac:dyDescent="0.25">
      <c r="A17038" s="1" t="str">
        <f>HYPERLINK("http://www.rosaceae.org/Prunus/Prunus_persica/p.persica_gdr_reftransV1_0043857","p.persica_gdr_reftransV1_0043857")</f>
        <v>p.persica_gdr_reftransV1_0043857</v>
      </c>
      <c r="B17038" s="3">
        <v>957</v>
      </c>
      <c r="C17038" s="1" t="str">
        <f>HYPERLINK("http://www.uniprot.org/uniprot/MD19B_ARATH","MD19B_ARATH")</f>
        <v>MD19B_ARATH</v>
      </c>
      <c r="D17038" t="s">
        <v>3122</v>
      </c>
      <c r="E17038" s="3" t="s">
        <v>3</v>
      </c>
      <c r="F17038" s="4">
        <v>1.6800000000000001E-42</v>
      </c>
      <c r="G17038" s="3">
        <v>382</v>
      </c>
      <c r="H17038" s="3">
        <v>67</v>
      </c>
      <c r="I17038" s="3">
        <v>111</v>
      </c>
      <c r="J17038" s="3">
        <v>515</v>
      </c>
      <c r="K17038" s="3">
        <v>844</v>
      </c>
      <c r="L17038" s="3">
        <v>6</v>
      </c>
      <c r="M17038" s="3">
        <v>116</v>
      </c>
    </row>
    <row r="17039" spans="1:13" x14ac:dyDescent="0.25">
      <c r="A17039" s="1" t="str">
        <f>HYPERLINK("http://www.rosaceae.org/Prunus/Prunus_persica/p.persica_gdr_reftransV1_0043907","p.persica_gdr_reftransV1_0043907")</f>
        <v>p.persica_gdr_reftransV1_0043907</v>
      </c>
      <c r="B17039" s="3">
        <v>2821</v>
      </c>
      <c r="C17039" s="1" t="str">
        <f>HYPERLINK("http://www.uniprot.org/uniprot/POLX_TOBAC","POLX_TOBAC")</f>
        <v>POLX_TOBAC</v>
      </c>
      <c r="D17039" t="s">
        <v>1253</v>
      </c>
      <c r="E17039" s="3" t="s">
        <v>200</v>
      </c>
      <c r="F17039" s="4">
        <v>0</v>
      </c>
      <c r="G17039" s="3">
        <v>1580</v>
      </c>
      <c r="H17039" s="3">
        <v>39</v>
      </c>
      <c r="I17039" s="3">
        <v>892</v>
      </c>
      <c r="J17039" s="3">
        <v>16</v>
      </c>
      <c r="K17039" s="3">
        <v>2568</v>
      </c>
      <c r="L17039" s="3">
        <v>455</v>
      </c>
      <c r="M17039" s="3">
        <v>1327</v>
      </c>
    </row>
    <row r="17040" spans="1:13" x14ac:dyDescent="0.25">
      <c r="A17040" s="1" t="str">
        <f>HYPERLINK("http://www.rosaceae.org/Prunus/Prunus_persica/p.persica_gdr_reftransV1_0044007","p.persica_gdr_reftransV1_0044007")</f>
        <v>p.persica_gdr_reftransV1_0044007</v>
      </c>
      <c r="B17040" s="3">
        <v>2370</v>
      </c>
      <c r="C17040" s="1" t="str">
        <f>HYPERLINK("http://www.uniprot.org/uniprot/TPX2_ARATH","TPX2_ARATH")</f>
        <v>TPX2_ARATH</v>
      </c>
      <c r="D17040" t="s">
        <v>6836</v>
      </c>
      <c r="E17040" s="3" t="s">
        <v>3</v>
      </c>
      <c r="F17040" s="4">
        <v>0</v>
      </c>
      <c r="G17040" s="3">
        <v>2037</v>
      </c>
      <c r="H17040" s="3">
        <v>61</v>
      </c>
      <c r="I17040" s="3">
        <v>742</v>
      </c>
      <c r="J17040" s="3">
        <v>228</v>
      </c>
      <c r="K17040" s="3">
        <v>2333</v>
      </c>
      <c r="L17040" s="3">
        <v>16</v>
      </c>
      <c r="M17040" s="3">
        <v>741</v>
      </c>
    </row>
    <row r="17041" spans="1:13" x14ac:dyDescent="0.25">
      <c r="A17041" s="1" t="str">
        <f>HYPERLINK("http://www.rosaceae.org/Prunus/Prunus_persica/p.persica_gdr_reftransV1_0044057","p.persica_gdr_reftransV1_0044057")</f>
        <v>p.persica_gdr_reftransV1_0044057</v>
      </c>
      <c r="B17041" s="3">
        <v>1270</v>
      </c>
      <c r="C17041" s="1" t="str">
        <f>HYPERLINK("http://www.uniprot.org/uniprot/CB24_PEA","CB24_PEA")</f>
        <v>CB24_PEA</v>
      </c>
      <c r="D17041" t="s">
        <v>1931</v>
      </c>
      <c r="E17041" s="3" t="s">
        <v>60</v>
      </c>
      <c r="F17041" s="4">
        <v>3.1599999999999999E-124</v>
      </c>
      <c r="G17041" s="3">
        <v>942</v>
      </c>
      <c r="H17041" s="3">
        <v>85</v>
      </c>
      <c r="I17041" s="3">
        <v>218</v>
      </c>
      <c r="J17041" s="3">
        <v>432</v>
      </c>
      <c r="K17041" s="3">
        <v>1085</v>
      </c>
      <c r="L17041" s="3">
        <v>1</v>
      </c>
      <c r="M17041" s="3">
        <v>215</v>
      </c>
    </row>
    <row r="17042" spans="1:13" x14ac:dyDescent="0.25">
      <c r="A17042" s="1" t="str">
        <f>HYPERLINK("http://www.rosaceae.org/Prunus/Prunus_persica/p.persica_gdr_reftransV1_0044157","p.persica_gdr_reftransV1_0044157")</f>
        <v>p.persica_gdr_reftransV1_0044157</v>
      </c>
      <c r="B17042" s="3">
        <v>3873</v>
      </c>
      <c r="C17042" s="1" t="str">
        <f>HYPERLINK("http://www.uniprot.org/uniprot/ERECT_ARATH","ERECT_ARATH")</f>
        <v>ERECT_ARATH</v>
      </c>
      <c r="D17042" t="s">
        <v>10557</v>
      </c>
      <c r="E17042" s="3" t="s">
        <v>3</v>
      </c>
      <c r="F17042" s="4">
        <v>0</v>
      </c>
      <c r="G17042" s="3">
        <v>3960</v>
      </c>
      <c r="H17042" s="3">
        <v>82</v>
      </c>
      <c r="I17042" s="3">
        <v>963</v>
      </c>
      <c r="J17042" s="3">
        <v>496</v>
      </c>
      <c r="K17042" s="3">
        <v>3384</v>
      </c>
      <c r="L17042" s="3">
        <v>22</v>
      </c>
      <c r="M17042" s="3">
        <v>976</v>
      </c>
    </row>
    <row r="17043" spans="1:13" x14ac:dyDescent="0.25">
      <c r="A17043" s="1" t="str">
        <f>HYPERLINK("http://www.rosaceae.org/Prunus/Prunus_persica/p.persica_gdr_reftransV1_0044257","p.persica_gdr_reftransV1_0044257")</f>
        <v>p.persica_gdr_reftransV1_0044257</v>
      </c>
      <c r="B17043" s="3">
        <v>2639</v>
      </c>
      <c r="C17043" s="1" t="str">
        <f>HYPERLINK("http://www.uniprot.org/uniprot/VSR1_ARATH","VSR1_ARATH")</f>
        <v>VSR1_ARATH</v>
      </c>
      <c r="D17043" t="s">
        <v>6718</v>
      </c>
      <c r="E17043" s="3" t="s">
        <v>3</v>
      </c>
      <c r="F17043" s="4">
        <v>0</v>
      </c>
      <c r="G17043" s="3">
        <v>2556</v>
      </c>
      <c r="H17043" s="3">
        <v>77</v>
      </c>
      <c r="I17043" s="3">
        <v>611</v>
      </c>
      <c r="J17043" s="3">
        <v>528</v>
      </c>
      <c r="K17043" s="3">
        <v>2357</v>
      </c>
      <c r="L17043" s="3">
        <v>2</v>
      </c>
      <c r="M17043" s="3">
        <v>612</v>
      </c>
    </row>
    <row r="17044" spans="1:13" x14ac:dyDescent="0.25">
      <c r="A17044" s="1" t="str">
        <f>HYPERLINK("http://www.rosaceae.org/Prunus/Prunus_persica/p.persica_gdr_reftransV1_0044357","p.persica_gdr_reftransV1_0044357")</f>
        <v>p.persica_gdr_reftransV1_0044357</v>
      </c>
      <c r="B17044" s="3">
        <v>460</v>
      </c>
      <c r="C17044" s="1" t="str">
        <f>HYPERLINK("http://www.uniprot.org/uniprot/7SBG2_SOYBN","7SBG2_SOYBN")</f>
        <v>7SBG2_SOYBN</v>
      </c>
      <c r="D17044" t="s">
        <v>6028</v>
      </c>
      <c r="E17044" s="3" t="s">
        <v>307</v>
      </c>
      <c r="F17044" s="4">
        <v>3.9799999999999999E-21</v>
      </c>
      <c r="G17044" s="3">
        <v>228</v>
      </c>
      <c r="H17044" s="3">
        <v>46</v>
      </c>
      <c r="I17044" s="3">
        <v>94</v>
      </c>
      <c r="J17044" s="3">
        <v>159</v>
      </c>
      <c r="K17044" s="3">
        <v>440</v>
      </c>
      <c r="L17044" s="3">
        <v>41</v>
      </c>
      <c r="M17044" s="3">
        <v>134</v>
      </c>
    </row>
    <row r="17045" spans="1:13" x14ac:dyDescent="0.25">
      <c r="A17045" s="1" t="str">
        <f>HYPERLINK("http://www.rosaceae.org/Prunus/Prunus_persica/p.persica_gdr_reftransV1_0044507","p.persica_gdr_reftransV1_0044507")</f>
        <v>p.persica_gdr_reftransV1_0044507</v>
      </c>
      <c r="B17045" s="3">
        <v>1030</v>
      </c>
      <c r="C17045" s="1" t="str">
        <f>HYPERLINK("http://www.uniprot.org/uniprot/OLEO6_GOSHI","OLEO6_GOSHI")</f>
        <v>OLEO6_GOSHI</v>
      </c>
      <c r="D17045" t="s">
        <v>10558</v>
      </c>
      <c r="E17045" s="3" t="s">
        <v>816</v>
      </c>
      <c r="F17045" s="4">
        <v>1.2500000000000001E-44</v>
      </c>
      <c r="G17045" s="3">
        <v>395</v>
      </c>
      <c r="H17045" s="3">
        <v>63</v>
      </c>
      <c r="I17045" s="3">
        <v>162</v>
      </c>
      <c r="J17045" s="3">
        <v>466</v>
      </c>
      <c r="K17045" s="3">
        <v>927</v>
      </c>
      <c r="L17045" s="3">
        <v>1</v>
      </c>
      <c r="M17045" s="3">
        <v>162</v>
      </c>
    </row>
    <row r="17046" spans="1:13" x14ac:dyDescent="0.25">
      <c r="A17046" s="1" t="str">
        <f>HYPERLINK("http://www.rosaceae.org/Prunus/Prunus_persica/p.persica_gdr_reftransV1_0044557","p.persica_gdr_reftransV1_0044557")</f>
        <v>p.persica_gdr_reftransV1_0044557</v>
      </c>
      <c r="B17046" s="3">
        <v>1033</v>
      </c>
      <c r="C17046" s="1" t="str">
        <f>HYPERLINK("http://www.uniprot.org/uniprot/MAFL2_DICDI","MAFL2_DICDI")</f>
        <v>MAFL2_DICDI</v>
      </c>
      <c r="D17046" t="s">
        <v>5127</v>
      </c>
      <c r="E17046" s="3" t="s">
        <v>9</v>
      </c>
      <c r="F17046" s="4">
        <v>8.3200000000000002E-34</v>
      </c>
      <c r="G17046" s="3">
        <v>323</v>
      </c>
      <c r="H17046" s="3">
        <v>35</v>
      </c>
      <c r="I17046" s="3">
        <v>230</v>
      </c>
      <c r="J17046" s="3">
        <v>99</v>
      </c>
      <c r="K17046" s="3">
        <v>788</v>
      </c>
      <c r="L17046" s="3">
        <v>2</v>
      </c>
      <c r="M17046" s="3">
        <v>194</v>
      </c>
    </row>
    <row r="17047" spans="1:13" x14ac:dyDescent="0.25">
      <c r="A17047" s="1" t="str">
        <f>HYPERLINK("http://www.rosaceae.org/Prunus/Prunus_persica/p.persica_gdr_reftransV1_0044657","p.persica_gdr_reftransV1_0044657")</f>
        <v>p.persica_gdr_reftransV1_0044657</v>
      </c>
      <c r="B17047" s="3">
        <v>529</v>
      </c>
      <c r="C17047" s="1" t="str">
        <f>HYPERLINK("http://www.uniprot.org/uniprot/ODBA2_ARATH","ODBA2_ARATH")</f>
        <v>ODBA2_ARATH</v>
      </c>
      <c r="D17047" t="s">
        <v>3167</v>
      </c>
      <c r="E17047" s="3" t="s">
        <v>3</v>
      </c>
      <c r="F17047" s="4">
        <v>3.91E-80</v>
      </c>
      <c r="G17047" s="3">
        <v>643</v>
      </c>
      <c r="H17047" s="3">
        <v>69</v>
      </c>
      <c r="I17047" s="3">
        <v>165</v>
      </c>
      <c r="J17047" s="3">
        <v>22</v>
      </c>
      <c r="K17047" s="3">
        <v>516</v>
      </c>
      <c r="L17047" s="3">
        <v>307</v>
      </c>
      <c r="M17047" s="3">
        <v>471</v>
      </c>
    </row>
    <row r="17048" spans="1:13" x14ac:dyDescent="0.25">
      <c r="A17048" s="1" t="str">
        <f>HYPERLINK("http://www.rosaceae.org/Prunus/Prunus_persica/p.persica_gdr_reftransV1_0044757","p.persica_gdr_reftransV1_0044757")</f>
        <v>p.persica_gdr_reftransV1_0044757</v>
      </c>
      <c r="B17048" s="3">
        <v>2506</v>
      </c>
      <c r="C17048" s="1" t="str">
        <f>HYPERLINK("http://www.uniprot.org/uniprot/RMR2_ORYSJ","RMR2_ORYSJ")</f>
        <v>RMR2_ORYSJ</v>
      </c>
      <c r="D17048" t="s">
        <v>10559</v>
      </c>
      <c r="E17048" s="3" t="s">
        <v>38</v>
      </c>
      <c r="F17048" s="4">
        <v>1.42E-13</v>
      </c>
      <c r="G17048" s="3">
        <v>190</v>
      </c>
      <c r="H17048" s="3">
        <v>41</v>
      </c>
      <c r="I17048" s="3">
        <v>70</v>
      </c>
      <c r="J17048" s="3">
        <v>616</v>
      </c>
      <c r="K17048" s="3">
        <v>825</v>
      </c>
      <c r="L17048" s="3">
        <v>212</v>
      </c>
      <c r="M17048" s="3">
        <v>280</v>
      </c>
    </row>
    <row r="17049" spans="1:13" x14ac:dyDescent="0.25">
      <c r="A17049" s="1" t="str">
        <f>HYPERLINK("http://www.rosaceae.org/Prunus/Prunus_persica/p.persica_gdr_reftransV1_0044857","p.persica_gdr_reftransV1_0044857")</f>
        <v>p.persica_gdr_reftransV1_0044857</v>
      </c>
      <c r="B17049" s="3">
        <v>878</v>
      </c>
      <c r="C17049" s="1" t="str">
        <f>HYPERLINK("http://www.uniprot.org/uniprot/MBF1A_ARATH","MBF1A_ARATH")</f>
        <v>MBF1A_ARATH</v>
      </c>
      <c r="D17049" t="s">
        <v>10560</v>
      </c>
      <c r="E17049" s="3" t="s">
        <v>3</v>
      </c>
      <c r="F17049" s="4">
        <v>1.4400000000000001E-77</v>
      </c>
      <c r="G17049" s="3">
        <v>609</v>
      </c>
      <c r="H17049" s="3">
        <v>83</v>
      </c>
      <c r="I17049" s="3">
        <v>142</v>
      </c>
      <c r="J17049" s="3">
        <v>241</v>
      </c>
      <c r="K17049" s="3">
        <v>663</v>
      </c>
      <c r="L17049" s="3">
        <v>1</v>
      </c>
      <c r="M17049" s="3">
        <v>142</v>
      </c>
    </row>
    <row r="17050" spans="1:13" x14ac:dyDescent="0.25">
      <c r="A17050" s="1" t="str">
        <f>HYPERLINK("http://www.rosaceae.org/Prunus/Prunus_persica/p.persica_gdr_reftransV1_0044907","p.persica_gdr_reftransV1_0044907")</f>
        <v>p.persica_gdr_reftransV1_0044907</v>
      </c>
      <c r="B17050" s="3">
        <v>1011</v>
      </c>
      <c r="C17050" s="1" t="str">
        <f>HYPERLINK("http://www.uniprot.org/uniprot/G3PC_ANTMA","G3PC_ANTMA")</f>
        <v>G3PC_ANTMA</v>
      </c>
      <c r="D17050" t="s">
        <v>7628</v>
      </c>
      <c r="E17050" s="3" t="s">
        <v>1408</v>
      </c>
      <c r="F17050" s="4">
        <v>0</v>
      </c>
      <c r="G17050" s="3">
        <v>1346</v>
      </c>
      <c r="H17050" s="3">
        <v>87</v>
      </c>
      <c r="I17050" s="3">
        <v>303</v>
      </c>
      <c r="J17050" s="3">
        <v>101</v>
      </c>
      <c r="K17050" s="3">
        <v>1009</v>
      </c>
      <c r="L17050" s="3">
        <v>33</v>
      </c>
      <c r="M17050" s="3">
        <v>335</v>
      </c>
    </row>
    <row r="17051" spans="1:13" x14ac:dyDescent="0.25">
      <c r="A17051" s="1" t="str">
        <f>HYPERLINK("http://www.rosaceae.org/Prunus/Prunus_persica/p.persica_gdr_reftransV1_0044957","p.persica_gdr_reftransV1_0044957")</f>
        <v>p.persica_gdr_reftransV1_0044957</v>
      </c>
      <c r="B17051" s="3">
        <v>2584</v>
      </c>
      <c r="C17051" s="1" t="str">
        <f>HYPERLINK("http://www.uniprot.org/uniprot/EIF3J_XENLA","EIF3J_XENLA")</f>
        <v>EIF3J_XENLA</v>
      </c>
      <c r="D17051" t="s">
        <v>7153</v>
      </c>
      <c r="E17051" s="3" t="s">
        <v>475</v>
      </c>
      <c r="F17051" s="4">
        <v>7.19E-10</v>
      </c>
      <c r="G17051" s="3">
        <v>155</v>
      </c>
      <c r="H17051" s="3">
        <v>38</v>
      </c>
      <c r="I17051" s="3">
        <v>93</v>
      </c>
      <c r="J17051" s="3">
        <v>1788</v>
      </c>
      <c r="K17051" s="3">
        <v>2066</v>
      </c>
      <c r="L17051" s="3">
        <v>106</v>
      </c>
      <c r="M17051" s="3">
        <v>198</v>
      </c>
    </row>
    <row r="17052" spans="1:13" x14ac:dyDescent="0.25">
      <c r="A17052" s="1" t="str">
        <f>HYPERLINK("http://www.rosaceae.org/Prunus/Prunus_persica/p.persica_gdr_reftransV1_0045157","p.persica_gdr_reftransV1_0045157")</f>
        <v>p.persica_gdr_reftransV1_0045157</v>
      </c>
      <c r="B17052" s="3">
        <v>335</v>
      </c>
      <c r="C17052" s="1" t="str">
        <f>HYPERLINK("http://www.uniprot.org/uniprot/PPR93_ARATH","PPR93_ARATH")</f>
        <v>PPR93_ARATH</v>
      </c>
      <c r="D17052" t="s">
        <v>10561</v>
      </c>
      <c r="E17052" s="3" t="s">
        <v>3</v>
      </c>
      <c r="F17052" s="4">
        <v>3.9899999999999997E-9</v>
      </c>
      <c r="G17052" s="3">
        <v>136</v>
      </c>
      <c r="H17052" s="3">
        <v>48</v>
      </c>
      <c r="I17052" s="3">
        <v>52</v>
      </c>
      <c r="J17052" s="3">
        <v>2</v>
      </c>
      <c r="K17052" s="3">
        <v>157</v>
      </c>
      <c r="L17052" s="3">
        <v>49</v>
      </c>
      <c r="M17052" s="3">
        <v>100</v>
      </c>
    </row>
    <row r="17053" spans="1:13" x14ac:dyDescent="0.25">
      <c r="A17053" s="1" t="str">
        <f>HYPERLINK("http://www.rosaceae.org/Prunus/Prunus_persica/p.persica_gdr_reftransV1_0045307","p.persica_gdr_reftransV1_0045307")</f>
        <v>p.persica_gdr_reftransV1_0045307</v>
      </c>
      <c r="B17053" s="3">
        <v>2389</v>
      </c>
      <c r="C17053" s="1" t="str">
        <f>HYPERLINK("http://www.uniprot.org/uniprot/SRD2_ARATH","SRD2_ARATH")</f>
        <v>SRD2_ARATH</v>
      </c>
      <c r="D17053" t="s">
        <v>10562</v>
      </c>
      <c r="E17053" s="3" t="s">
        <v>3</v>
      </c>
      <c r="F17053" s="4">
        <v>3.3999999999999999E-116</v>
      </c>
      <c r="G17053" s="3">
        <v>932</v>
      </c>
      <c r="H17053" s="3">
        <v>52</v>
      </c>
      <c r="I17053" s="3">
        <v>379</v>
      </c>
      <c r="J17053" s="3">
        <v>989</v>
      </c>
      <c r="K17053" s="3">
        <v>2104</v>
      </c>
      <c r="L17053" s="3">
        <v>1</v>
      </c>
      <c r="M17053" s="3">
        <v>375</v>
      </c>
    </row>
    <row r="17054" spans="1:13" x14ac:dyDescent="0.25">
      <c r="A17054" s="1" t="str">
        <f>HYPERLINK("http://www.rosaceae.org/Prunus/Prunus_persica/p.persica_gdr_reftransV1_0045407","p.persica_gdr_reftransV1_0045407")</f>
        <v>p.persica_gdr_reftransV1_0045407</v>
      </c>
      <c r="B17054" s="3">
        <v>3087</v>
      </c>
      <c r="C17054" s="1" t="str">
        <f>HYPERLINK("http://www.uniprot.org/uniprot/ADO1_ARATH","ADO1_ARATH")</f>
        <v>ADO1_ARATH</v>
      </c>
      <c r="D17054" t="s">
        <v>5294</v>
      </c>
      <c r="E17054" s="3" t="s">
        <v>3</v>
      </c>
      <c r="F17054" s="4">
        <v>0</v>
      </c>
      <c r="G17054" s="3">
        <v>2653</v>
      </c>
      <c r="H17054" s="3">
        <v>84</v>
      </c>
      <c r="I17054" s="3">
        <v>622</v>
      </c>
      <c r="J17054" s="3">
        <v>984</v>
      </c>
      <c r="K17054" s="3">
        <v>2843</v>
      </c>
      <c r="L17054" s="3">
        <v>1</v>
      </c>
      <c r="M17054" s="3">
        <v>606</v>
      </c>
    </row>
    <row r="17055" spans="1:13" x14ac:dyDescent="0.25">
      <c r="A17055" s="1" t="str">
        <f>HYPERLINK("http://www.rosaceae.org/Prunus/Prunus_persica/p.persica_gdr_reftransV1_0045457","p.persica_gdr_reftransV1_0045457")</f>
        <v>p.persica_gdr_reftransV1_0045457</v>
      </c>
      <c r="B17055" s="3">
        <v>1078</v>
      </c>
      <c r="C17055" s="1" t="str">
        <f>HYPERLINK("http://www.uniprot.org/uniprot/WLIM1_ARATH","WLIM1_ARATH")</f>
        <v>WLIM1_ARATH</v>
      </c>
      <c r="D17055" t="s">
        <v>8695</v>
      </c>
      <c r="E17055" s="3" t="s">
        <v>3</v>
      </c>
      <c r="F17055" s="4">
        <v>2.4800000000000001E-89</v>
      </c>
      <c r="G17055" s="3">
        <v>698</v>
      </c>
      <c r="H17055" s="3">
        <v>72</v>
      </c>
      <c r="I17055" s="3">
        <v>186</v>
      </c>
      <c r="J17055" s="3">
        <v>202</v>
      </c>
      <c r="K17055" s="3">
        <v>747</v>
      </c>
      <c r="L17055" s="3">
        <v>3</v>
      </c>
      <c r="M17055" s="3">
        <v>182</v>
      </c>
    </row>
    <row r="17056" spans="1:13" x14ac:dyDescent="0.25">
      <c r="A17056" s="1" t="str">
        <f>HYPERLINK("http://www.rosaceae.org/Prunus/Prunus_persica/p.persica_gdr_reftransV1_0045557","p.persica_gdr_reftransV1_0045557")</f>
        <v>p.persica_gdr_reftransV1_0045557</v>
      </c>
      <c r="B17056" s="3">
        <v>1327</v>
      </c>
      <c r="C17056" s="1" t="str">
        <f>HYPERLINK("http://www.uniprot.org/uniprot/UAF30_SCHPO","UAF30_SCHPO")</f>
        <v>UAF30_SCHPO</v>
      </c>
      <c r="D17056" t="s">
        <v>2138</v>
      </c>
      <c r="E17056" s="3" t="s">
        <v>464</v>
      </c>
      <c r="F17056" s="4">
        <v>3.1200000000000001E-19</v>
      </c>
      <c r="G17056" s="3">
        <v>222</v>
      </c>
      <c r="H17056" s="3">
        <v>50</v>
      </c>
      <c r="I17056" s="3">
        <v>72</v>
      </c>
      <c r="J17056" s="3">
        <v>720</v>
      </c>
      <c r="K17056" s="3">
        <v>935</v>
      </c>
      <c r="L17056" s="3">
        <v>117</v>
      </c>
      <c r="M17056" s="3">
        <v>188</v>
      </c>
    </row>
    <row r="17057" spans="1:13" x14ac:dyDescent="0.25">
      <c r="A17057" s="1" t="str">
        <f>HYPERLINK("http://www.rosaceae.org/Prunus/Prunus_persica/p.persica_gdr_reftransV1_0045607","p.persica_gdr_reftransV1_0045607")</f>
        <v>p.persica_gdr_reftransV1_0045607</v>
      </c>
      <c r="B17057" s="3">
        <v>2168</v>
      </c>
      <c r="C17057" s="1" t="str">
        <f>HYPERLINK("http://www.uniprot.org/uniprot/NDHM_VITVI","NDHM_VITVI")</f>
        <v>NDHM_VITVI</v>
      </c>
      <c r="D17057" t="s">
        <v>4169</v>
      </c>
      <c r="E17057" s="3" t="s">
        <v>362</v>
      </c>
      <c r="F17057" s="4">
        <v>1.6600000000000001E-83</v>
      </c>
      <c r="G17057" s="3">
        <v>689</v>
      </c>
      <c r="H17057" s="3">
        <v>92</v>
      </c>
      <c r="I17057" s="3">
        <v>134</v>
      </c>
      <c r="J17057" s="3">
        <v>1455</v>
      </c>
      <c r="K17057" s="3">
        <v>1856</v>
      </c>
      <c r="L17057" s="3">
        <v>66</v>
      </c>
      <c r="M17057" s="3">
        <v>199</v>
      </c>
    </row>
    <row r="17058" spans="1:13" x14ac:dyDescent="0.25">
      <c r="A17058" s="1" t="str">
        <f>HYPERLINK("http://www.rosaceae.org/Prunus/Prunus_persica/p.persica_gdr_reftransV1_0045657","p.persica_gdr_reftransV1_0045657")</f>
        <v>p.persica_gdr_reftransV1_0045657</v>
      </c>
      <c r="B17058" s="3">
        <v>1499</v>
      </c>
      <c r="C17058" s="1" t="str">
        <f>HYPERLINK("http://www.uniprot.org/uniprot/RFC3_ARATH","RFC3_ARATH")</f>
        <v>RFC3_ARATH</v>
      </c>
      <c r="D17058" t="s">
        <v>7015</v>
      </c>
      <c r="E17058" s="3" t="s">
        <v>3</v>
      </c>
      <c r="F17058" s="4">
        <v>0</v>
      </c>
      <c r="G17058" s="3">
        <v>1581</v>
      </c>
      <c r="H17058" s="3">
        <v>86</v>
      </c>
      <c r="I17058" s="3">
        <v>354</v>
      </c>
      <c r="J17058" s="3">
        <v>309</v>
      </c>
      <c r="K17058" s="3">
        <v>1370</v>
      </c>
      <c r="L17058" s="3">
        <v>1</v>
      </c>
      <c r="M17058" s="3">
        <v>354</v>
      </c>
    </row>
    <row r="17059" spans="1:13" x14ac:dyDescent="0.25">
      <c r="A17059" s="1" t="str">
        <f>HYPERLINK("http://www.rosaceae.org/Prunus/Prunus_persica/p.persica_gdr_reftransV1_0045707","p.persica_gdr_reftransV1_0045707")</f>
        <v>p.persica_gdr_reftransV1_0045707</v>
      </c>
      <c r="B17059" s="3">
        <v>309</v>
      </c>
      <c r="C17059" s="1" t="str">
        <f>HYPERLINK("http://www.uniprot.org/uniprot/H33_VITVI","H33_VITVI")</f>
        <v>H33_VITVI</v>
      </c>
      <c r="D17059" t="s">
        <v>1951</v>
      </c>
      <c r="E17059" s="3" t="s">
        <v>362</v>
      </c>
      <c r="F17059" s="4">
        <v>2.2699999999999999E-53</v>
      </c>
      <c r="G17059" s="3">
        <v>429</v>
      </c>
      <c r="H17059" s="3">
        <v>99</v>
      </c>
      <c r="I17059" s="3">
        <v>84</v>
      </c>
      <c r="J17059" s="3">
        <v>16</v>
      </c>
      <c r="K17059" s="3">
        <v>267</v>
      </c>
      <c r="L17059" s="3">
        <v>23</v>
      </c>
      <c r="M17059" s="3">
        <v>106</v>
      </c>
    </row>
    <row r="17060" spans="1:13" x14ac:dyDescent="0.25">
      <c r="A17060" s="1" t="str">
        <f>HYPERLINK("http://www.rosaceae.org/Prunus/Prunus_persica/p.persica_gdr_reftransV1_0045757","p.persica_gdr_reftransV1_0045757")</f>
        <v>p.persica_gdr_reftransV1_0045757</v>
      </c>
      <c r="B17060" s="3">
        <v>1582</v>
      </c>
      <c r="C17060" s="1" t="str">
        <f>HYPERLINK("http://www.uniprot.org/uniprot/SYP32_ARATH","SYP32_ARATH")</f>
        <v>SYP32_ARATH</v>
      </c>
      <c r="D17060" t="s">
        <v>6158</v>
      </c>
      <c r="E17060" s="3" t="s">
        <v>3</v>
      </c>
      <c r="F17060" s="4">
        <v>6.14E-107</v>
      </c>
      <c r="G17060" s="3">
        <v>846</v>
      </c>
      <c r="H17060" s="3">
        <v>64</v>
      </c>
      <c r="I17060" s="3">
        <v>329</v>
      </c>
      <c r="J17060" s="3">
        <v>289</v>
      </c>
      <c r="K17060" s="3">
        <v>1266</v>
      </c>
      <c r="L17060" s="3">
        <v>1</v>
      </c>
      <c r="M17060" s="3">
        <v>326</v>
      </c>
    </row>
    <row r="17061" spans="1:13" x14ac:dyDescent="0.25">
      <c r="A17061" s="1" t="str">
        <f>HYPERLINK("http://www.rosaceae.org/Prunus/Prunus_persica/p.persica_gdr_reftransV1_0045907","p.persica_gdr_reftransV1_0045907")</f>
        <v>p.persica_gdr_reftransV1_0045907</v>
      </c>
      <c r="B17061" s="3">
        <v>1661</v>
      </c>
      <c r="C17061" s="1" t="str">
        <f>HYPERLINK("http://www.uniprot.org/uniprot/NB5R1_ARATH","NB5R1_ARATH")</f>
        <v>NB5R1_ARATH</v>
      </c>
      <c r="D17061" t="s">
        <v>1351</v>
      </c>
      <c r="E17061" s="3" t="s">
        <v>3</v>
      </c>
      <c r="F17061" s="4">
        <v>3.3900000000000001E-125</v>
      </c>
      <c r="G17061" s="3">
        <v>814</v>
      </c>
      <c r="H17061" s="3">
        <v>90</v>
      </c>
      <c r="I17061" s="3">
        <v>164</v>
      </c>
      <c r="J17061" s="3">
        <v>465</v>
      </c>
      <c r="K17061" s="3">
        <v>956</v>
      </c>
      <c r="L17061" s="3">
        <v>118</v>
      </c>
      <c r="M17061" s="3">
        <v>281</v>
      </c>
    </row>
    <row r="17062" spans="1:13" x14ac:dyDescent="0.25">
      <c r="A17062" s="1" t="str">
        <f>HYPERLINK("http://www.rosaceae.org/Prunus/Prunus_persica/p.persica_gdr_reftransV1_0045957","p.persica_gdr_reftransV1_0045957")</f>
        <v>p.persica_gdr_reftransV1_0045957</v>
      </c>
      <c r="B17062" s="3">
        <v>437</v>
      </c>
      <c r="C17062" s="1" t="str">
        <f>HYPERLINK("http://www.uniprot.org/uniprot/SNAK1_SOLTU","SNAK1_SOLTU")</f>
        <v>SNAK1_SOLTU</v>
      </c>
      <c r="D17062" t="s">
        <v>10563</v>
      </c>
      <c r="E17062" s="3" t="s">
        <v>11</v>
      </c>
      <c r="F17062" s="4">
        <v>1.7100000000000001E-23</v>
      </c>
      <c r="G17062" s="3">
        <v>230</v>
      </c>
      <c r="H17062" s="3">
        <v>70</v>
      </c>
      <c r="I17062" s="3">
        <v>74</v>
      </c>
      <c r="J17062" s="3">
        <v>159</v>
      </c>
      <c r="K17062" s="3">
        <v>371</v>
      </c>
      <c r="L17062" s="3">
        <v>15</v>
      </c>
      <c r="M17062" s="3">
        <v>88</v>
      </c>
    </row>
    <row r="17063" spans="1:13" x14ac:dyDescent="0.25">
      <c r="A17063" s="1" t="str">
        <f>HYPERLINK("http://www.rosaceae.org/Prunus/Prunus_persica/p.persica_gdr_reftransV1_0046157","p.persica_gdr_reftransV1_0046157")</f>
        <v>p.persica_gdr_reftransV1_0046157</v>
      </c>
      <c r="B17063" s="3">
        <v>911</v>
      </c>
      <c r="C17063" s="1" t="str">
        <f>HYPERLINK("http://www.uniprot.org/uniprot/H33_VITVI","H33_VITVI")</f>
        <v>H33_VITVI</v>
      </c>
      <c r="D17063" t="s">
        <v>1951</v>
      </c>
      <c r="E17063" s="3" t="s">
        <v>362</v>
      </c>
      <c r="F17063" s="4">
        <v>1.18E-91</v>
      </c>
      <c r="G17063" s="3">
        <v>703</v>
      </c>
      <c r="H17063" s="3">
        <v>100</v>
      </c>
      <c r="I17063" s="3">
        <v>136</v>
      </c>
      <c r="J17063" s="3">
        <v>65</v>
      </c>
      <c r="K17063" s="3">
        <v>472</v>
      </c>
      <c r="L17063" s="3">
        <v>1</v>
      </c>
      <c r="M17063" s="3">
        <v>136</v>
      </c>
    </row>
    <row r="17064" spans="1:13" x14ac:dyDescent="0.25">
      <c r="A17064" s="1" t="str">
        <f>HYPERLINK("http://www.rosaceae.org/Prunus/Prunus_persica/p.persica_gdr_reftransV1_0046357","p.persica_gdr_reftransV1_0046357")</f>
        <v>p.persica_gdr_reftransV1_0046357</v>
      </c>
      <c r="B17064" s="3">
        <v>1758</v>
      </c>
      <c r="C17064" s="1" t="str">
        <f>HYPERLINK("http://www.uniprot.org/uniprot/MYB39_ARATH","MYB39_ARATH")</f>
        <v>MYB39_ARATH</v>
      </c>
      <c r="D17064" t="s">
        <v>5930</v>
      </c>
      <c r="E17064" s="3" t="s">
        <v>3</v>
      </c>
      <c r="F17064" s="4">
        <v>7.6700000000000001E-65</v>
      </c>
      <c r="G17064" s="3">
        <v>566</v>
      </c>
      <c r="H17064" s="3">
        <v>71</v>
      </c>
      <c r="I17064" s="3">
        <v>139</v>
      </c>
      <c r="J17064" s="3">
        <v>1164</v>
      </c>
      <c r="K17064" s="3">
        <v>1577</v>
      </c>
      <c r="L17064" s="3">
        <v>1</v>
      </c>
      <c r="M17064" s="3">
        <v>139</v>
      </c>
    </row>
    <row r="17065" spans="1:13" x14ac:dyDescent="0.25">
      <c r="A17065" s="1" t="str">
        <f>HYPERLINK("http://www.rosaceae.org/Prunus/Prunus_persica/p.persica_gdr_reftransV1_0046457","p.persica_gdr_reftransV1_0046457")</f>
        <v>p.persica_gdr_reftransV1_0046457</v>
      </c>
      <c r="B17065" s="3">
        <v>1073</v>
      </c>
      <c r="C17065" s="1" t="str">
        <f>HYPERLINK("http://www.uniprot.org/uniprot/RNHX1_ARATH","RNHX1_ARATH")</f>
        <v>RNHX1_ARATH</v>
      </c>
      <c r="D17065" t="s">
        <v>124</v>
      </c>
      <c r="E17065" s="3" t="s">
        <v>3</v>
      </c>
      <c r="F17065" s="4">
        <v>3.85E-28</v>
      </c>
      <c r="G17065" s="3">
        <v>298</v>
      </c>
      <c r="H17065" s="3">
        <v>35</v>
      </c>
      <c r="I17065" s="3">
        <v>168</v>
      </c>
      <c r="J17065" s="3">
        <v>319</v>
      </c>
      <c r="K17065" s="3">
        <v>822</v>
      </c>
      <c r="L17065" s="3">
        <v>449</v>
      </c>
      <c r="M17065" s="3">
        <v>616</v>
      </c>
    </row>
    <row r="17066" spans="1:13" x14ac:dyDescent="0.25">
      <c r="A17066" s="1" t="str">
        <f>HYPERLINK("http://www.rosaceae.org/Prunus/Prunus_persica/p.persica_gdr_reftransV1_0046507","p.persica_gdr_reftransV1_0046507")</f>
        <v>p.persica_gdr_reftransV1_0046507</v>
      </c>
      <c r="B17066" s="3">
        <v>2131</v>
      </c>
      <c r="C17066" s="1" t="str">
        <f>HYPERLINK("http://www.uniprot.org/uniprot/DHBK_SOLLC","DHBK_SOLLC")</f>
        <v>DHBK_SOLLC</v>
      </c>
      <c r="D17066" t="s">
        <v>6397</v>
      </c>
      <c r="E17066" s="3" t="s">
        <v>64</v>
      </c>
      <c r="F17066" s="4">
        <v>0</v>
      </c>
      <c r="G17066" s="3">
        <v>1525</v>
      </c>
      <c r="H17066" s="3">
        <v>80</v>
      </c>
      <c r="I17066" s="3">
        <v>407</v>
      </c>
      <c r="J17066" s="3">
        <v>474</v>
      </c>
      <c r="K17066" s="3">
        <v>1691</v>
      </c>
      <c r="L17066" s="3">
        <v>188</v>
      </c>
      <c r="M17066" s="3">
        <v>594</v>
      </c>
    </row>
    <row r="17067" spans="1:13" x14ac:dyDescent="0.25">
      <c r="A17067" s="1" t="str">
        <f>HYPERLINK("http://www.rosaceae.org/Prunus/Prunus_persica/p.persica_gdr_reftransV1_0046557","p.persica_gdr_reftransV1_0046557")</f>
        <v>p.persica_gdr_reftransV1_0046557</v>
      </c>
      <c r="B17067" s="3">
        <v>2839</v>
      </c>
      <c r="C17067" s="1" t="str">
        <f>HYPERLINK("http://www.uniprot.org/uniprot/FRAY2_DICDI","FRAY2_DICDI")</f>
        <v>FRAY2_DICDI</v>
      </c>
      <c r="D17067" t="s">
        <v>2965</v>
      </c>
      <c r="E17067" s="3" t="s">
        <v>9</v>
      </c>
      <c r="F17067" s="4">
        <v>1.9300000000000001E-101</v>
      </c>
      <c r="G17067" s="3">
        <v>889</v>
      </c>
      <c r="H17067" s="3">
        <v>56</v>
      </c>
      <c r="I17067" s="3">
        <v>286</v>
      </c>
      <c r="J17067" s="3">
        <v>1768</v>
      </c>
      <c r="K17067" s="3">
        <v>2622</v>
      </c>
      <c r="L17067" s="3">
        <v>71</v>
      </c>
      <c r="M17067" s="3">
        <v>353</v>
      </c>
    </row>
    <row r="17068" spans="1:13" x14ac:dyDescent="0.25">
      <c r="A17068" s="1" t="str">
        <f>HYPERLINK("http://www.rosaceae.org/Prunus/Prunus_persica/p.persica_gdr_reftransV1_0046607","p.persica_gdr_reftransV1_0046607")</f>
        <v>p.persica_gdr_reftransV1_0046607</v>
      </c>
      <c r="B17068" s="3">
        <v>1018</v>
      </c>
      <c r="C17068" s="1" t="str">
        <f>HYPERLINK("http://www.uniprot.org/uniprot/GSTX6_SOYBN","GSTX6_SOYBN")</f>
        <v>GSTX6_SOYBN</v>
      </c>
      <c r="D17068" t="s">
        <v>2987</v>
      </c>
      <c r="E17068" s="3" t="s">
        <v>307</v>
      </c>
      <c r="F17068" s="4">
        <v>1.65E-54</v>
      </c>
      <c r="G17068" s="3">
        <v>467</v>
      </c>
      <c r="H17068" s="3">
        <v>53</v>
      </c>
      <c r="I17068" s="3">
        <v>219</v>
      </c>
      <c r="J17068" s="3">
        <v>232</v>
      </c>
      <c r="K17068" s="3">
        <v>885</v>
      </c>
      <c r="L17068" s="3">
        <v>1</v>
      </c>
      <c r="M17068" s="3">
        <v>219</v>
      </c>
    </row>
    <row r="17069" spans="1:13" x14ac:dyDescent="0.25">
      <c r="A17069" s="1" t="str">
        <f>HYPERLINK("http://www.rosaceae.org/Prunus/Prunus_persica/p.persica_gdr_reftransV1_0046657","p.persica_gdr_reftransV1_0046657")</f>
        <v>p.persica_gdr_reftransV1_0046657</v>
      </c>
      <c r="B17069" s="3">
        <v>1735</v>
      </c>
      <c r="C17069" s="1" t="str">
        <f>HYPERLINK("http://www.uniprot.org/uniprot/PGLR_VITVI","PGLR_VITVI")</f>
        <v>PGLR_VITVI</v>
      </c>
      <c r="D17069" t="s">
        <v>2366</v>
      </c>
      <c r="E17069" s="3" t="s">
        <v>362</v>
      </c>
      <c r="F17069" s="4">
        <v>0</v>
      </c>
      <c r="G17069" s="3">
        <v>1974</v>
      </c>
      <c r="H17069" s="3">
        <v>79</v>
      </c>
      <c r="I17069" s="3">
        <v>450</v>
      </c>
      <c r="J17069" s="3">
        <v>220</v>
      </c>
      <c r="K17069" s="3">
        <v>1569</v>
      </c>
      <c r="L17069" s="3">
        <v>40</v>
      </c>
      <c r="M17069" s="3">
        <v>489</v>
      </c>
    </row>
    <row r="17070" spans="1:13" x14ac:dyDescent="0.25">
      <c r="A17070" s="1" t="str">
        <f>HYPERLINK("http://www.rosaceae.org/Prunus/Prunus_persica/p.persica_gdr_reftransV1_0046857","p.persica_gdr_reftransV1_0046857")</f>
        <v>p.persica_gdr_reftransV1_0046857</v>
      </c>
      <c r="B17070" s="3">
        <v>1880</v>
      </c>
      <c r="C17070" s="1" t="str">
        <f>HYPERLINK("http://www.uniprot.org/uniprot/ASPL1_ARATH","ASPL1_ARATH")</f>
        <v>ASPL1_ARATH</v>
      </c>
      <c r="D17070" t="s">
        <v>996</v>
      </c>
      <c r="E17070" s="3" t="s">
        <v>3</v>
      </c>
      <c r="F17070" s="4">
        <v>2.0999999999999999E-83</v>
      </c>
      <c r="G17070" s="3">
        <v>710</v>
      </c>
      <c r="H17070" s="3">
        <v>39</v>
      </c>
      <c r="I17070" s="3">
        <v>456</v>
      </c>
      <c r="J17070" s="3">
        <v>9</v>
      </c>
      <c r="K17070" s="3">
        <v>1301</v>
      </c>
      <c r="L17070" s="3">
        <v>15</v>
      </c>
      <c r="M17070" s="3">
        <v>455</v>
      </c>
    </row>
    <row r="17071" spans="1:13" x14ac:dyDescent="0.25">
      <c r="A17071" s="1" t="str">
        <f>HYPERLINK("http://www.rosaceae.org/Prunus/Prunus_persica/p.persica_gdr_reftransV1_0046957","p.persica_gdr_reftransV1_0046957")</f>
        <v>p.persica_gdr_reftransV1_0046957</v>
      </c>
      <c r="B17071" s="3">
        <v>1894</v>
      </c>
      <c r="C17071" s="1" t="str">
        <f>HYPERLINK("http://www.uniprot.org/uniprot/CCA31_ARATH","CCA31_ARATH")</f>
        <v>CCA31_ARATH</v>
      </c>
      <c r="D17071" t="s">
        <v>10564</v>
      </c>
      <c r="E17071" s="3" t="s">
        <v>3</v>
      </c>
      <c r="F17071" s="4">
        <v>1.6E-130</v>
      </c>
      <c r="G17071" s="3">
        <v>1013</v>
      </c>
      <c r="H17071" s="3">
        <v>58</v>
      </c>
      <c r="I17071" s="3">
        <v>335</v>
      </c>
      <c r="J17071" s="3">
        <v>701</v>
      </c>
      <c r="K17071" s="3">
        <v>1672</v>
      </c>
      <c r="L17071" s="3">
        <v>33</v>
      </c>
      <c r="M17071" s="3">
        <v>353</v>
      </c>
    </row>
    <row r="17072" spans="1:13" x14ac:dyDescent="0.25">
      <c r="A17072" s="1" t="str">
        <f>HYPERLINK("http://www.rosaceae.org/Prunus/Prunus_persica/p.persica_gdr_reftransV1_0047007","p.persica_gdr_reftransV1_0047007")</f>
        <v>p.persica_gdr_reftransV1_0047007</v>
      </c>
      <c r="B17072" s="3">
        <v>1170</v>
      </c>
      <c r="C17072" s="1" t="str">
        <f>HYPERLINK("http://www.uniprot.org/uniprot/GPDA_CUPLA","GPDA_CUPLA")</f>
        <v>GPDA_CUPLA</v>
      </c>
      <c r="D17072" t="s">
        <v>4805</v>
      </c>
      <c r="E17072" s="3" t="s">
        <v>2950</v>
      </c>
      <c r="F17072" s="4">
        <v>0</v>
      </c>
      <c r="G17072" s="3">
        <v>1411</v>
      </c>
      <c r="H17072" s="3">
        <v>84</v>
      </c>
      <c r="I17072" s="3">
        <v>316</v>
      </c>
      <c r="J17072" s="3">
        <v>230</v>
      </c>
      <c r="K17072" s="3">
        <v>1168</v>
      </c>
      <c r="L17072" s="3">
        <v>7</v>
      </c>
      <c r="M17072" s="3">
        <v>322</v>
      </c>
    </row>
    <row r="17073" spans="1:13" x14ac:dyDescent="0.25">
      <c r="A17073" s="1" t="str">
        <f>HYPERLINK("http://www.rosaceae.org/Prunus/Prunus_persica/p.persica_gdr_reftransV1_0047107","p.persica_gdr_reftransV1_0047107")</f>
        <v>p.persica_gdr_reftransV1_0047107</v>
      </c>
      <c r="B17073" s="3">
        <v>347</v>
      </c>
      <c r="C17073" s="1" t="str">
        <f>HYPERLINK("http://www.uniprot.org/uniprot/F6H2_ARATH","F6H2_ARATH")</f>
        <v>F6H2_ARATH</v>
      </c>
      <c r="D17073" t="s">
        <v>10565</v>
      </c>
      <c r="E17073" s="3" t="s">
        <v>3</v>
      </c>
      <c r="F17073" s="4">
        <v>3.0500000000000003E-14</v>
      </c>
      <c r="G17073" s="3">
        <v>173</v>
      </c>
      <c r="H17073" s="3">
        <v>41</v>
      </c>
      <c r="I17073" s="3">
        <v>105</v>
      </c>
      <c r="J17073" s="3">
        <v>25</v>
      </c>
      <c r="K17073" s="3">
        <v>327</v>
      </c>
      <c r="L17073" s="3">
        <v>35</v>
      </c>
      <c r="M17073" s="3">
        <v>128</v>
      </c>
    </row>
    <row r="17074" spans="1:13" x14ac:dyDescent="0.25">
      <c r="A17074" s="1" t="str">
        <f>HYPERLINK("http://www.rosaceae.org/Prunus/Prunus_persica/p.persica_gdr_reftransV1_0047157","p.persica_gdr_reftransV1_0047157")</f>
        <v>p.persica_gdr_reftransV1_0047157</v>
      </c>
      <c r="B17074" s="3">
        <v>373</v>
      </c>
      <c r="C17074" s="1" t="str">
        <f>HYPERLINK("http://www.uniprot.org/uniprot/MYBC_MAIZE","MYBC_MAIZE")</f>
        <v>MYBC_MAIZE</v>
      </c>
      <c r="D17074" t="s">
        <v>2070</v>
      </c>
      <c r="E17074" s="3" t="s">
        <v>72</v>
      </c>
      <c r="F17074" s="4">
        <v>1.33E-56</v>
      </c>
      <c r="G17074" s="3">
        <v>464</v>
      </c>
      <c r="H17074" s="3">
        <v>78</v>
      </c>
      <c r="I17074" s="3">
        <v>107</v>
      </c>
      <c r="J17074" s="3">
        <v>52</v>
      </c>
      <c r="K17074" s="3">
        <v>372</v>
      </c>
      <c r="L17074" s="3">
        <v>1</v>
      </c>
      <c r="M17074" s="3">
        <v>107</v>
      </c>
    </row>
    <row r="17075" spans="1:13" x14ac:dyDescent="0.25">
      <c r="A17075" s="1" t="str">
        <f>HYPERLINK("http://www.rosaceae.org/Prunus/Prunus_persica/p.persica_gdr_reftransV1_0047257","p.persica_gdr_reftransV1_0047257")</f>
        <v>p.persica_gdr_reftransV1_0047257</v>
      </c>
      <c r="B17075" s="3">
        <v>930</v>
      </c>
      <c r="C17075" s="1" t="str">
        <f>HYPERLINK("http://www.uniprot.org/uniprot/RM02_ORYSJ","RM02_ORYSJ")</f>
        <v>RM02_ORYSJ</v>
      </c>
      <c r="D17075" t="s">
        <v>10494</v>
      </c>
      <c r="E17075" s="3" t="s">
        <v>38</v>
      </c>
      <c r="F17075" s="4">
        <v>7.4400000000000002E-44</v>
      </c>
      <c r="G17075" s="3">
        <v>409</v>
      </c>
      <c r="H17075" s="3">
        <v>68</v>
      </c>
      <c r="I17075" s="3">
        <v>112</v>
      </c>
      <c r="J17075" s="3">
        <v>443</v>
      </c>
      <c r="K17075" s="3">
        <v>778</v>
      </c>
      <c r="L17075" s="3">
        <v>355</v>
      </c>
      <c r="M17075" s="3">
        <v>466</v>
      </c>
    </row>
    <row r="17076" spans="1:13" x14ac:dyDescent="0.25">
      <c r="A17076" s="1" t="str">
        <f>HYPERLINK("http://www.rosaceae.org/Prunus/Prunus_persica/p.persica_gdr_reftransV1_0047357","p.persica_gdr_reftransV1_0047357")</f>
        <v>p.persica_gdr_reftransV1_0047357</v>
      </c>
      <c r="B17076" s="3">
        <v>1071</v>
      </c>
      <c r="C17076" s="1" t="str">
        <f>HYPERLINK("http://www.uniprot.org/uniprot/GSTXC_TOBAC","GSTXC_TOBAC")</f>
        <v>GSTXC_TOBAC</v>
      </c>
      <c r="D17076" t="s">
        <v>9456</v>
      </c>
      <c r="E17076" s="3" t="s">
        <v>200</v>
      </c>
      <c r="F17076" s="4">
        <v>1.01E-101</v>
      </c>
      <c r="G17076" s="3">
        <v>783</v>
      </c>
      <c r="H17076" s="3">
        <v>71</v>
      </c>
      <c r="I17076" s="3">
        <v>219</v>
      </c>
      <c r="J17076" s="3">
        <v>203</v>
      </c>
      <c r="K17076" s="3">
        <v>856</v>
      </c>
      <c r="L17076" s="3">
        <v>4</v>
      </c>
      <c r="M17076" s="3">
        <v>221</v>
      </c>
    </row>
    <row r="17077" spans="1:13" x14ac:dyDescent="0.25">
      <c r="A17077" s="1" t="str">
        <f>HYPERLINK("http://www.rosaceae.org/Prunus/Prunus_persica/p.persica_gdr_reftransV1_0047407","p.persica_gdr_reftransV1_0047407")</f>
        <v>p.persica_gdr_reftransV1_0047407</v>
      </c>
      <c r="B17077" s="3">
        <v>2951</v>
      </c>
      <c r="C17077" s="1" t="str">
        <f>HYPERLINK("http://www.uniprot.org/uniprot/PSBC_LACSA","PSBC_LACSA")</f>
        <v>PSBC_LACSA</v>
      </c>
      <c r="D17077" t="s">
        <v>10566</v>
      </c>
      <c r="E17077" s="3" t="s">
        <v>10567</v>
      </c>
      <c r="F17077" s="4">
        <v>0</v>
      </c>
      <c r="G17077" s="3">
        <v>2228</v>
      </c>
      <c r="H17077" s="3">
        <v>99</v>
      </c>
      <c r="I17077" s="3">
        <v>473</v>
      </c>
      <c r="J17077" s="3">
        <v>144</v>
      </c>
      <c r="K17077" s="3">
        <v>1562</v>
      </c>
      <c r="L17077" s="3">
        <v>1</v>
      </c>
      <c r="M17077" s="3">
        <v>473</v>
      </c>
    </row>
    <row r="17078" spans="1:13" x14ac:dyDescent="0.25">
      <c r="A17078" s="1" t="str">
        <f>HYPERLINK("http://www.rosaceae.org/Prunus/Prunus_persica/p.persica_gdr_reftransV1_0047457","p.persica_gdr_reftransV1_0047457")</f>
        <v>p.persica_gdr_reftransV1_0047457</v>
      </c>
      <c r="B17078" s="3">
        <v>1471</v>
      </c>
      <c r="C17078" s="1" t="str">
        <f>HYPERLINK("http://www.uniprot.org/uniprot/PXN_ARATH","PXN_ARATH")</f>
        <v>PXN_ARATH</v>
      </c>
      <c r="D17078" t="s">
        <v>6391</v>
      </c>
      <c r="E17078" s="3" t="s">
        <v>3</v>
      </c>
      <c r="F17078" s="4">
        <v>8.2999999999999999E-169</v>
      </c>
      <c r="G17078" s="3">
        <v>1252</v>
      </c>
      <c r="H17078" s="3">
        <v>76</v>
      </c>
      <c r="I17078" s="3">
        <v>313</v>
      </c>
      <c r="J17078" s="3">
        <v>307</v>
      </c>
      <c r="K17078" s="3">
        <v>1245</v>
      </c>
      <c r="L17078" s="3">
        <v>22</v>
      </c>
      <c r="M17078" s="3">
        <v>331</v>
      </c>
    </row>
    <row r="17079" spans="1:13" x14ac:dyDescent="0.25">
      <c r="A17079" s="1" t="str">
        <f>HYPERLINK("http://www.rosaceae.org/Prunus/Prunus_persica/p.persica_gdr_reftransV1_0047507","p.persica_gdr_reftransV1_0047507")</f>
        <v>p.persica_gdr_reftransV1_0047507</v>
      </c>
      <c r="B17079" s="3">
        <v>2283</v>
      </c>
      <c r="C17079" s="1" t="str">
        <f>HYPERLINK("http://www.uniprot.org/uniprot/SBT4E_ARATH","SBT4E_ARATH")</f>
        <v>SBT4E_ARATH</v>
      </c>
      <c r="D17079" t="s">
        <v>4212</v>
      </c>
      <c r="E17079" s="3" t="s">
        <v>3</v>
      </c>
      <c r="F17079" s="4">
        <v>0</v>
      </c>
      <c r="G17079" s="3">
        <v>2458</v>
      </c>
      <c r="H17079" s="3">
        <v>65</v>
      </c>
      <c r="I17079" s="3">
        <v>714</v>
      </c>
      <c r="J17079" s="3">
        <v>114</v>
      </c>
      <c r="K17079" s="3">
        <v>2255</v>
      </c>
      <c r="L17079" s="3">
        <v>35</v>
      </c>
      <c r="M17079" s="3">
        <v>746</v>
      </c>
    </row>
    <row r="17080" spans="1:13" x14ac:dyDescent="0.25">
      <c r="A17080" s="1" t="str">
        <f>HYPERLINK("http://www.rosaceae.org/Prunus/Prunus_persica/p.persica_gdr_reftransV1_0047557","p.persica_gdr_reftransV1_0047557")</f>
        <v>p.persica_gdr_reftransV1_0047557</v>
      </c>
      <c r="B17080" s="3">
        <v>2102</v>
      </c>
      <c r="C17080" s="1" t="str">
        <f>HYPERLINK("http://www.uniprot.org/uniprot/SDP6_ARATH","SDP6_ARATH")</f>
        <v>SDP6_ARATH</v>
      </c>
      <c r="D17080" t="s">
        <v>6171</v>
      </c>
      <c r="E17080" s="3" t="s">
        <v>3</v>
      </c>
      <c r="F17080" s="4">
        <v>0</v>
      </c>
      <c r="G17080" s="3">
        <v>2556</v>
      </c>
      <c r="H17080" s="3">
        <v>82</v>
      </c>
      <c r="I17080" s="3">
        <v>602</v>
      </c>
      <c r="J17080" s="3">
        <v>290</v>
      </c>
      <c r="K17080" s="3">
        <v>2092</v>
      </c>
      <c r="L17080" s="3">
        <v>28</v>
      </c>
      <c r="M17080" s="3">
        <v>628</v>
      </c>
    </row>
    <row r="17081" spans="1:13" x14ac:dyDescent="0.25">
      <c r="A17081" s="1" t="str">
        <f>HYPERLINK("http://www.rosaceae.org/Prunus/Prunus_persica/p.persica_gdr_reftransV1_0047707","p.persica_gdr_reftransV1_0047707")</f>
        <v>p.persica_gdr_reftransV1_0047707</v>
      </c>
      <c r="B17081" s="3">
        <v>1267</v>
      </c>
      <c r="C17081" s="1" t="str">
        <f>HYPERLINK("http://www.uniprot.org/uniprot/PRU1_PRUAV","PRU1_PRUAV")</f>
        <v>PRU1_PRUAV</v>
      </c>
      <c r="D17081" t="s">
        <v>3347</v>
      </c>
      <c r="E17081" s="3" t="s">
        <v>1404</v>
      </c>
      <c r="F17081" s="4">
        <v>3.5199999999999999E-105</v>
      </c>
      <c r="G17081" s="3">
        <v>807</v>
      </c>
      <c r="H17081" s="3">
        <v>98</v>
      </c>
      <c r="I17081" s="3">
        <v>160</v>
      </c>
      <c r="J17081" s="3">
        <v>436</v>
      </c>
      <c r="K17081" s="3">
        <v>915</v>
      </c>
      <c r="L17081" s="3">
        <v>1</v>
      </c>
      <c r="M17081" s="3">
        <v>160</v>
      </c>
    </row>
    <row r="17082" spans="1:13" x14ac:dyDescent="0.25">
      <c r="A17082" s="1" t="str">
        <f>HYPERLINK("http://www.rosaceae.org/Prunus/Prunus_persica/p.persica_gdr_reftransV1_0047757","p.persica_gdr_reftransV1_0047757")</f>
        <v>p.persica_gdr_reftransV1_0047757</v>
      </c>
      <c r="B17082" s="3">
        <v>5325</v>
      </c>
      <c r="C17082" s="1" t="str">
        <f>HYPERLINK("http://www.uniprot.org/uniprot/idM1_ARATH","idM1_ARATH")</f>
        <v>idM1_ARATH</v>
      </c>
      <c r="D17082" t="s">
        <v>1345</v>
      </c>
      <c r="E17082" s="3" t="s">
        <v>3</v>
      </c>
      <c r="F17082" s="4">
        <v>4.9799999999999998E-9</v>
      </c>
      <c r="G17082" s="3">
        <v>158</v>
      </c>
      <c r="H17082" s="3">
        <v>55</v>
      </c>
      <c r="I17082" s="3">
        <v>51</v>
      </c>
      <c r="J17082" s="3">
        <v>1008</v>
      </c>
      <c r="K17082" s="3">
        <v>1160</v>
      </c>
      <c r="L17082" s="3">
        <v>721</v>
      </c>
      <c r="M17082" s="3">
        <v>769</v>
      </c>
    </row>
    <row r="17083" spans="1:13" x14ac:dyDescent="0.25">
      <c r="A17083" s="1" t="str">
        <f>HYPERLINK("http://www.rosaceae.org/Prunus/Prunus_persica/p.persica_gdr_reftransV1_0047857","p.persica_gdr_reftransV1_0047857")</f>
        <v>p.persica_gdr_reftransV1_0047857</v>
      </c>
      <c r="B17083" s="3">
        <v>1740</v>
      </c>
      <c r="C17083" s="1" t="str">
        <f>HYPERLINK("http://www.uniprot.org/uniprot/C84A1_ARATH","C84A1_ARATH")</f>
        <v>C84A1_ARATH</v>
      </c>
      <c r="D17083" t="s">
        <v>9047</v>
      </c>
      <c r="E17083" s="3" t="s">
        <v>3</v>
      </c>
      <c r="F17083" s="4">
        <v>0</v>
      </c>
      <c r="G17083" s="3">
        <v>1866</v>
      </c>
      <c r="H17083" s="3">
        <v>74</v>
      </c>
      <c r="I17083" s="3">
        <v>473</v>
      </c>
      <c r="J17083" s="3">
        <v>120</v>
      </c>
      <c r="K17083" s="3">
        <v>1535</v>
      </c>
      <c r="L17083" s="3">
        <v>48</v>
      </c>
      <c r="M17083" s="3">
        <v>520</v>
      </c>
    </row>
    <row r="17084" spans="1:13" x14ac:dyDescent="0.25">
      <c r="A17084" s="1" t="str">
        <f>HYPERLINK("http://www.rosaceae.org/Prunus/Prunus_persica/p.persica_gdr_reftransV1_0047907","p.persica_gdr_reftransV1_0047907")</f>
        <v>p.persica_gdr_reftransV1_0047907</v>
      </c>
      <c r="B17084" s="3">
        <v>1193</v>
      </c>
      <c r="C17084" s="1" t="str">
        <f>HYPERLINK("http://www.uniprot.org/uniprot/HSP21_HELAN","HSP21_HELAN")</f>
        <v>HSP21_HELAN</v>
      </c>
      <c r="D17084" t="s">
        <v>10568</v>
      </c>
      <c r="E17084" s="3" t="s">
        <v>599</v>
      </c>
      <c r="F17084" s="4">
        <v>4.6800000000000002E-52</v>
      </c>
      <c r="G17084" s="3">
        <v>449</v>
      </c>
      <c r="H17084" s="3">
        <v>63</v>
      </c>
      <c r="I17084" s="3">
        <v>153</v>
      </c>
      <c r="J17084" s="3">
        <v>73</v>
      </c>
      <c r="K17084" s="3">
        <v>522</v>
      </c>
      <c r="L17084" s="3">
        <v>7</v>
      </c>
      <c r="M17084" s="3">
        <v>157</v>
      </c>
    </row>
    <row r="17085" spans="1:13" x14ac:dyDescent="0.25">
      <c r="A17085" s="1" t="str">
        <f>HYPERLINK("http://www.rosaceae.org/Prunus/Prunus_persica/p.persica_gdr_reftransV1_0047957","p.persica_gdr_reftransV1_0047957")</f>
        <v>p.persica_gdr_reftransV1_0047957</v>
      </c>
      <c r="B17085" s="3">
        <v>1153</v>
      </c>
      <c r="C17085" s="1" t="str">
        <f>HYPERLINK("http://www.uniprot.org/uniprot/OP162_ARATH","OP162_ARATH")</f>
        <v>OP162_ARATH</v>
      </c>
      <c r="D17085" t="s">
        <v>5155</v>
      </c>
      <c r="E17085" s="3" t="s">
        <v>3</v>
      </c>
      <c r="F17085" s="4">
        <v>4.4899999999999999E-26</v>
      </c>
      <c r="G17085" s="3">
        <v>267</v>
      </c>
      <c r="H17085" s="3">
        <v>77</v>
      </c>
      <c r="I17085" s="3">
        <v>83</v>
      </c>
      <c r="J17085" s="3">
        <v>289</v>
      </c>
      <c r="K17085" s="3">
        <v>531</v>
      </c>
      <c r="L17085" s="3">
        <v>96</v>
      </c>
      <c r="M17085" s="3">
        <v>178</v>
      </c>
    </row>
    <row r="17086" spans="1:13" x14ac:dyDescent="0.25">
      <c r="A17086" s="1" t="str">
        <f>HYPERLINK("http://www.rosaceae.org/Prunus/Prunus_persica/p.persica_gdr_reftransV1_0048157","p.persica_gdr_reftransV1_0048157")</f>
        <v>p.persica_gdr_reftransV1_0048157</v>
      </c>
      <c r="B17086" s="3">
        <v>709</v>
      </c>
      <c r="C17086" s="1" t="str">
        <f>HYPERLINK("http://www.uniprot.org/uniprot/AX22D_VIGRR","AX22D_VIGRR")</f>
        <v>AX22D_VIGRR</v>
      </c>
      <c r="D17086" t="s">
        <v>8923</v>
      </c>
      <c r="E17086" s="3" t="s">
        <v>2261</v>
      </c>
      <c r="F17086" s="4">
        <v>5.5100000000000002E-57</v>
      </c>
      <c r="G17086" s="3">
        <v>472</v>
      </c>
      <c r="H17086" s="3">
        <v>60</v>
      </c>
      <c r="I17086" s="3">
        <v>165</v>
      </c>
      <c r="J17086" s="3">
        <v>231</v>
      </c>
      <c r="K17086" s="3">
        <v>707</v>
      </c>
      <c r="L17086" s="3">
        <v>9</v>
      </c>
      <c r="M17086" s="3">
        <v>170</v>
      </c>
    </row>
    <row r="17087" spans="1:13" x14ac:dyDescent="0.25">
      <c r="A17087" s="1" t="str">
        <f>HYPERLINK("http://www.rosaceae.org/Prunus/Prunus_persica/p.persica_gdr_reftransV1_0048207","p.persica_gdr_reftransV1_0048207")</f>
        <v>p.persica_gdr_reftransV1_0048207</v>
      </c>
      <c r="B17087" s="3">
        <v>2429</v>
      </c>
      <c r="C17087" s="1" t="str">
        <f>HYPERLINK("http://www.uniprot.org/uniprot/DER_PARL1","DER_PARL1")</f>
        <v>DER_PARL1</v>
      </c>
      <c r="D17087" t="s">
        <v>2036</v>
      </c>
      <c r="E17087" s="3" t="s">
        <v>2037</v>
      </c>
      <c r="F17087" s="4">
        <v>3.5199999999999998E-99</v>
      </c>
      <c r="G17087" s="3">
        <v>826</v>
      </c>
      <c r="H17087" s="3">
        <v>41</v>
      </c>
      <c r="I17087" s="3">
        <v>478</v>
      </c>
      <c r="J17087" s="3">
        <v>377</v>
      </c>
      <c r="K17087" s="3">
        <v>1783</v>
      </c>
      <c r="L17087" s="3">
        <v>5</v>
      </c>
      <c r="M17087" s="3">
        <v>460</v>
      </c>
    </row>
    <row r="17088" spans="1:13" x14ac:dyDescent="0.25">
      <c r="A17088" s="1" t="str">
        <f>HYPERLINK("http://www.rosaceae.org/Prunus/Prunus_persica/p.persica_gdr_reftransV1_0048257","p.persica_gdr_reftransV1_0048257")</f>
        <v>p.persica_gdr_reftransV1_0048257</v>
      </c>
      <c r="B17088" s="3">
        <v>1841</v>
      </c>
      <c r="C17088" s="1" t="str">
        <f>HYPERLINK("http://www.uniprot.org/uniprot/SCGT_TOBAC","SCGT_TOBAC")</f>
        <v>SCGT_TOBAC</v>
      </c>
      <c r="D17088" t="s">
        <v>2560</v>
      </c>
      <c r="E17088" s="3" t="s">
        <v>200</v>
      </c>
      <c r="F17088" s="4">
        <v>0</v>
      </c>
      <c r="G17088" s="3">
        <v>1519</v>
      </c>
      <c r="H17088" s="3">
        <v>62</v>
      </c>
      <c r="I17088" s="3">
        <v>478</v>
      </c>
      <c r="J17088" s="3">
        <v>286</v>
      </c>
      <c r="K17088" s="3">
        <v>1719</v>
      </c>
      <c r="L17088" s="3">
        <v>4</v>
      </c>
      <c r="M17088" s="3">
        <v>473</v>
      </c>
    </row>
    <row r="17089" spans="1:13" x14ac:dyDescent="0.25">
      <c r="A17089" s="1" t="str">
        <f>HYPERLINK("http://www.rosaceae.org/Prunus/Prunus_persica/p.persica_gdr_reftransV1_0048357","p.persica_gdr_reftransV1_0048357")</f>
        <v>p.persica_gdr_reftransV1_0048357</v>
      </c>
      <c r="B17089" s="3">
        <v>982</v>
      </c>
      <c r="C17089" s="1" t="str">
        <f>HYPERLINK("http://www.uniprot.org/uniprot/BOR1_ARATH","BOR1_ARATH")</f>
        <v>BOR1_ARATH</v>
      </c>
      <c r="D17089" t="s">
        <v>6354</v>
      </c>
      <c r="E17089" s="3" t="s">
        <v>3</v>
      </c>
      <c r="F17089" s="4">
        <v>1.6200000000000001E-118</v>
      </c>
      <c r="G17089" s="3">
        <v>934</v>
      </c>
      <c r="H17089" s="3">
        <v>88</v>
      </c>
      <c r="I17089" s="3">
        <v>208</v>
      </c>
      <c r="J17089" s="3">
        <v>3</v>
      </c>
      <c r="K17089" s="3">
        <v>626</v>
      </c>
      <c r="L17089" s="3">
        <v>1</v>
      </c>
      <c r="M17089" s="3">
        <v>208</v>
      </c>
    </row>
    <row r="17090" spans="1:13" x14ac:dyDescent="0.25">
      <c r="A17090" s="1" t="str">
        <f>HYPERLINK("http://www.rosaceae.org/Prunus/Prunus_persica/p.persica_gdr_reftransV1_0048407","p.persica_gdr_reftransV1_0048407")</f>
        <v>p.persica_gdr_reftransV1_0048407</v>
      </c>
      <c r="B17090" s="3">
        <v>1801</v>
      </c>
      <c r="C17090" s="1" t="str">
        <f>HYPERLINK("http://www.uniprot.org/uniprot/IAA8_ARATH","IAA8_ARATH")</f>
        <v>IAA8_ARATH</v>
      </c>
      <c r="D17090" t="s">
        <v>10569</v>
      </c>
      <c r="E17090" s="3" t="s">
        <v>3</v>
      </c>
      <c r="F17090" s="4">
        <v>7.2299999999999997E-80</v>
      </c>
      <c r="G17090" s="3">
        <v>504</v>
      </c>
      <c r="H17090" s="3">
        <v>49</v>
      </c>
      <c r="I17090" s="3">
        <v>285</v>
      </c>
      <c r="J17090" s="3">
        <v>425</v>
      </c>
      <c r="K17090" s="3">
        <v>1270</v>
      </c>
      <c r="L17090" s="3">
        <v>19</v>
      </c>
      <c r="M17090" s="3">
        <v>239</v>
      </c>
    </row>
    <row r="17091" spans="1:13" x14ac:dyDescent="0.25">
      <c r="A17091" s="1" t="str">
        <f>HYPERLINK("http://www.rosaceae.org/Prunus/Prunus_persica/p.persica_gdr_reftransV1_0048507","p.persica_gdr_reftransV1_0048507")</f>
        <v>p.persica_gdr_reftransV1_0048507</v>
      </c>
      <c r="B17091" s="3">
        <v>1369</v>
      </c>
      <c r="C17091" s="1" t="str">
        <f>HYPERLINK("http://www.uniprot.org/uniprot/CLPX_PSEMY","CLPX_PSEMY")</f>
        <v>CLPX_PSEMY</v>
      </c>
      <c r="D17091" t="s">
        <v>10570</v>
      </c>
      <c r="E17091" s="3" t="s">
        <v>10571</v>
      </c>
      <c r="F17091" s="4">
        <v>9.4200000000000001E-102</v>
      </c>
      <c r="G17091" s="3">
        <v>812</v>
      </c>
      <c r="H17091" s="3">
        <v>57</v>
      </c>
      <c r="I17091" s="3">
        <v>297</v>
      </c>
      <c r="J17091" s="3">
        <v>1</v>
      </c>
      <c r="K17091" s="3">
        <v>828</v>
      </c>
      <c r="L17091" s="3">
        <v>61</v>
      </c>
      <c r="M17091" s="3">
        <v>333</v>
      </c>
    </row>
    <row r="17092" spans="1:13" x14ac:dyDescent="0.25">
      <c r="A17092" s="1" t="str">
        <f>HYPERLINK("http://www.rosaceae.org/Prunus/Prunus_persica/p.persica_gdr_reftransV1_0048557","p.persica_gdr_reftransV1_0048557")</f>
        <v>p.persica_gdr_reftransV1_0048557</v>
      </c>
      <c r="B17092" s="3">
        <v>2031</v>
      </c>
      <c r="C17092" s="1" t="str">
        <f>HYPERLINK("http://www.uniprot.org/uniprot/HMCS_ARATH","HMCS_ARATH")</f>
        <v>HMCS_ARATH</v>
      </c>
      <c r="D17092" t="s">
        <v>10572</v>
      </c>
      <c r="E17092" s="3" t="s">
        <v>3</v>
      </c>
      <c r="F17092" s="4">
        <v>0</v>
      </c>
      <c r="G17092" s="3">
        <v>1888</v>
      </c>
      <c r="H17092" s="3">
        <v>80</v>
      </c>
      <c r="I17092" s="3">
        <v>471</v>
      </c>
      <c r="J17092" s="3">
        <v>300</v>
      </c>
      <c r="K17092" s="3">
        <v>1706</v>
      </c>
      <c r="L17092" s="3">
        <v>1</v>
      </c>
      <c r="M17092" s="3">
        <v>461</v>
      </c>
    </row>
    <row r="17093" spans="1:13" x14ac:dyDescent="0.25">
      <c r="A17093" s="1" t="str">
        <f>HYPERLINK("http://www.rosaceae.org/Prunus/Prunus_persica/p.persica_gdr_reftransV1_0048607","p.persica_gdr_reftransV1_0048607")</f>
        <v>p.persica_gdr_reftransV1_0048607</v>
      </c>
      <c r="B17093" s="3">
        <v>809</v>
      </c>
      <c r="C17093" s="1" t="str">
        <f>HYPERLINK("http://www.uniprot.org/uniprot/TPPC2_PIG","TPPC2_PIG")</f>
        <v>TPPC2_PIG</v>
      </c>
      <c r="D17093" t="s">
        <v>10573</v>
      </c>
      <c r="E17093" s="3" t="s">
        <v>1126</v>
      </c>
      <c r="F17093" s="4">
        <v>2.6299999999999999E-41</v>
      </c>
      <c r="G17093" s="3">
        <v>365</v>
      </c>
      <c r="H17093" s="3">
        <v>49</v>
      </c>
      <c r="I17093" s="3">
        <v>138</v>
      </c>
      <c r="J17093" s="3">
        <v>104</v>
      </c>
      <c r="K17093" s="3">
        <v>508</v>
      </c>
      <c r="L17093" s="3">
        <v>1</v>
      </c>
      <c r="M17093" s="3">
        <v>138</v>
      </c>
    </row>
    <row r="17094" spans="1:13" x14ac:dyDescent="0.25">
      <c r="A17094" s="1" t="str">
        <f>HYPERLINK("http://www.rosaceae.org/Prunus/Prunus_persica/p.persica_gdr_reftransV1_0048657","p.persica_gdr_reftransV1_0048657")</f>
        <v>p.persica_gdr_reftransV1_0048657</v>
      </c>
      <c r="B17094" s="3">
        <v>1509</v>
      </c>
      <c r="C17094" s="1" t="str">
        <f>HYPERLINK("http://www.uniprot.org/uniprot/TRN1_ARATH","TRN1_ARATH")</f>
        <v>TRN1_ARATH</v>
      </c>
      <c r="D17094" t="s">
        <v>8252</v>
      </c>
      <c r="E17094" s="3" t="s">
        <v>3</v>
      </c>
      <c r="F17094" s="4">
        <v>0</v>
      </c>
      <c r="G17094" s="3">
        <v>1906</v>
      </c>
      <c r="H17094" s="3">
        <v>71</v>
      </c>
      <c r="I17094" s="3">
        <v>506</v>
      </c>
      <c r="J17094" s="3">
        <v>1</v>
      </c>
      <c r="K17094" s="3">
        <v>1506</v>
      </c>
      <c r="L17094" s="3">
        <v>312</v>
      </c>
      <c r="M17094" s="3">
        <v>814</v>
      </c>
    </row>
    <row r="17095" spans="1:13" x14ac:dyDescent="0.25">
      <c r="A17095" s="1" t="str">
        <f>HYPERLINK("http://www.rosaceae.org/Prunus/Prunus_persica/p.persica_gdr_reftransV1_0048807","p.persica_gdr_reftransV1_0048807")</f>
        <v>p.persica_gdr_reftransV1_0048807</v>
      </c>
      <c r="B17095" s="3">
        <v>3014</v>
      </c>
      <c r="C17095" s="1" t="str">
        <f>HYPERLINK("http://www.uniprot.org/uniprot/SDIR1_ARATH","SDIR1_ARATH")</f>
        <v>SDIR1_ARATH</v>
      </c>
      <c r="D17095" t="s">
        <v>535</v>
      </c>
      <c r="E17095" s="3" t="s">
        <v>3</v>
      </c>
      <c r="F17095" s="4">
        <v>2.44E-17</v>
      </c>
      <c r="G17095" s="3">
        <v>216</v>
      </c>
      <c r="H17095" s="3">
        <v>36</v>
      </c>
      <c r="I17095" s="3">
        <v>129</v>
      </c>
      <c r="J17095" s="3">
        <v>2331</v>
      </c>
      <c r="K17095" s="3">
        <v>2621</v>
      </c>
      <c r="L17095" s="3">
        <v>124</v>
      </c>
      <c r="M17095" s="3">
        <v>252</v>
      </c>
    </row>
    <row r="17096" spans="1:13" x14ac:dyDescent="0.25">
      <c r="A17096" s="1" t="str">
        <f>HYPERLINK("http://www.rosaceae.org/Prunus/Prunus_persica/p.persica_gdr_reftransV1_0048857","p.persica_gdr_reftransV1_0048857")</f>
        <v>p.persica_gdr_reftransV1_0048857</v>
      </c>
      <c r="B17096" s="3">
        <v>2142</v>
      </c>
      <c r="C17096" s="1" t="str">
        <f>HYPERLINK("http://www.uniprot.org/uniprot/PAO4_ARATH","PAO4_ARATH")</f>
        <v>PAO4_ARATH</v>
      </c>
      <c r="D17096" t="s">
        <v>10574</v>
      </c>
      <c r="E17096" s="3" t="s">
        <v>3</v>
      </c>
      <c r="F17096" s="4">
        <v>0</v>
      </c>
      <c r="G17096" s="3">
        <v>1799</v>
      </c>
      <c r="H17096" s="3">
        <v>68</v>
      </c>
      <c r="I17096" s="3">
        <v>493</v>
      </c>
      <c r="J17096" s="3">
        <v>421</v>
      </c>
      <c r="K17096" s="3">
        <v>1887</v>
      </c>
      <c r="L17096" s="3">
        <v>5</v>
      </c>
      <c r="M17096" s="3">
        <v>497</v>
      </c>
    </row>
    <row r="17097" spans="1:13" x14ac:dyDescent="0.25">
      <c r="A17097" s="1" t="str">
        <f>HYPERLINK("http://www.rosaceae.org/Prunus/Prunus_persica/p.persica_gdr_reftransV1_0048907","p.persica_gdr_reftransV1_0048907")</f>
        <v>p.persica_gdr_reftransV1_0048907</v>
      </c>
      <c r="B17097" s="3">
        <v>1906</v>
      </c>
      <c r="C17097" s="1" t="str">
        <f>HYPERLINK("http://www.uniprot.org/uniprot/Y4837_ARATH","Y4837_ARATH")</f>
        <v>Y4837_ARATH</v>
      </c>
      <c r="D17097" t="s">
        <v>1335</v>
      </c>
      <c r="E17097" s="3" t="s">
        <v>3</v>
      </c>
      <c r="F17097" s="4">
        <v>5.8900000000000002E-30</v>
      </c>
      <c r="G17097" s="3">
        <v>323</v>
      </c>
      <c r="H17097" s="3">
        <v>26</v>
      </c>
      <c r="I17097" s="3">
        <v>519</v>
      </c>
      <c r="J17097" s="3">
        <v>85</v>
      </c>
      <c r="K17097" s="3">
        <v>1521</v>
      </c>
      <c r="L17097" s="3">
        <v>142</v>
      </c>
      <c r="M17097" s="3">
        <v>606</v>
      </c>
    </row>
    <row r="17098" spans="1:13" x14ac:dyDescent="0.25">
      <c r="A17098" s="1" t="str">
        <f>HYPERLINK("http://www.rosaceae.org/Prunus/Prunus_persica/p.persica_gdr_reftransV1_0048957","p.persica_gdr_reftransV1_0048957")</f>
        <v>p.persica_gdr_reftransV1_0048957</v>
      </c>
      <c r="B17098" s="3">
        <v>1516</v>
      </c>
      <c r="C17098" s="1" t="str">
        <f>HYPERLINK("http://www.uniprot.org/uniprot/KING1_ARATH","KING1_ARATH")</f>
        <v>KING1_ARATH</v>
      </c>
      <c r="D17098" t="s">
        <v>7881</v>
      </c>
      <c r="E17098" s="3" t="s">
        <v>3</v>
      </c>
      <c r="F17098" s="4">
        <v>6.1300000000000002E-29</v>
      </c>
      <c r="G17098" s="3">
        <v>305</v>
      </c>
      <c r="H17098" s="3">
        <v>23</v>
      </c>
      <c r="I17098" s="3">
        <v>379</v>
      </c>
      <c r="J17098" s="3">
        <v>111</v>
      </c>
      <c r="K17098" s="3">
        <v>1166</v>
      </c>
      <c r="L17098" s="3">
        <v>38</v>
      </c>
      <c r="M17098" s="3">
        <v>397</v>
      </c>
    </row>
    <row r="17099" spans="1:13" x14ac:dyDescent="0.25">
      <c r="A17099" s="1" t="str">
        <f>HYPERLINK("http://www.rosaceae.org/Prunus/Prunus_persica/p.persica_gdr_reftransV1_0049007","p.persica_gdr_reftransV1_0049007")</f>
        <v>p.persica_gdr_reftransV1_0049007</v>
      </c>
      <c r="B17099" s="3">
        <v>486</v>
      </c>
      <c r="C17099" s="1" t="str">
        <f>HYPERLINK("http://www.uniprot.org/uniprot/PP342_ARATH","PP342_ARATH")</f>
        <v>PP342_ARATH</v>
      </c>
      <c r="D17099" t="s">
        <v>1589</v>
      </c>
      <c r="E17099" s="3" t="s">
        <v>3</v>
      </c>
      <c r="F17099" s="4">
        <v>1.9999999999999999E-75</v>
      </c>
      <c r="G17099" s="3">
        <v>630</v>
      </c>
      <c r="H17099" s="3">
        <v>73</v>
      </c>
      <c r="I17099" s="3">
        <v>160</v>
      </c>
      <c r="J17099" s="3">
        <v>3</v>
      </c>
      <c r="K17099" s="3">
        <v>482</v>
      </c>
      <c r="L17099" s="3">
        <v>311</v>
      </c>
      <c r="M17099" s="3">
        <v>470</v>
      </c>
    </row>
    <row r="17100" spans="1:13" x14ac:dyDescent="0.25">
      <c r="A17100" s="1" t="str">
        <f>HYPERLINK("http://www.rosaceae.org/Prunus/Prunus_persica/p.persica_gdr_reftransV1_0049157","p.persica_gdr_reftransV1_0049157")</f>
        <v>p.persica_gdr_reftransV1_0049157</v>
      </c>
      <c r="B17100" s="3">
        <v>1261</v>
      </c>
      <c r="C17100" s="1" t="str">
        <f>HYPERLINK("http://www.uniprot.org/uniprot/PTR46_ARATH","PTR46_ARATH")</f>
        <v>PTR46_ARATH</v>
      </c>
      <c r="D17100" t="s">
        <v>6188</v>
      </c>
      <c r="E17100" s="3" t="s">
        <v>3</v>
      </c>
      <c r="F17100" s="4">
        <v>2.4499999999999999E-132</v>
      </c>
      <c r="G17100" s="3">
        <v>1024</v>
      </c>
      <c r="H17100" s="3">
        <v>53</v>
      </c>
      <c r="I17100" s="3">
        <v>365</v>
      </c>
      <c r="J17100" s="3">
        <v>184</v>
      </c>
      <c r="K17100" s="3">
        <v>1260</v>
      </c>
      <c r="L17100" s="3">
        <v>191</v>
      </c>
      <c r="M17100" s="3">
        <v>554</v>
      </c>
    </row>
    <row r="17101" spans="1:13" x14ac:dyDescent="0.25">
      <c r="A17101" s="1" t="str">
        <f>HYPERLINK("http://www.rosaceae.org/Prunus/Prunus_persica/p.persica_gdr_reftransV1_0000008","p.persica_gdr_reftransV1_0000008")</f>
        <v>p.persica_gdr_reftransV1_0000008</v>
      </c>
      <c r="B17101" s="3">
        <v>2021</v>
      </c>
      <c r="C17101" s="1" t="str">
        <f>HYPERLINK("http://www.uniprot.org/uniprot/ULA1_ARATH","ULA1_ARATH")</f>
        <v>ULA1_ARATH</v>
      </c>
      <c r="D17101" t="s">
        <v>10575</v>
      </c>
      <c r="E17101" s="3" t="s">
        <v>3</v>
      </c>
      <c r="F17101" s="4">
        <v>0</v>
      </c>
      <c r="G17101" s="3">
        <v>2269</v>
      </c>
      <c r="H17101" s="3">
        <v>78</v>
      </c>
      <c r="I17101" s="3">
        <v>527</v>
      </c>
      <c r="J17101" s="3">
        <v>111</v>
      </c>
      <c r="K17101" s="3">
        <v>1688</v>
      </c>
      <c r="L17101" s="3">
        <v>14</v>
      </c>
      <c r="M17101" s="3">
        <v>540</v>
      </c>
    </row>
    <row r="17102" spans="1:13" x14ac:dyDescent="0.25">
      <c r="A17102" s="1" t="str">
        <f>HYPERLINK("http://www.rosaceae.org/Prunus/Prunus_persica/p.persica_gdr_reftransV1_0000058","p.persica_gdr_reftransV1_0000058")</f>
        <v>p.persica_gdr_reftransV1_0000058</v>
      </c>
      <c r="B17102" s="3">
        <v>1242</v>
      </c>
      <c r="C17102" s="1" t="str">
        <f>HYPERLINK("http://www.uniprot.org/uniprot/XTH6_ARATH","XTH6_ARATH")</f>
        <v>XTH6_ARATH</v>
      </c>
      <c r="D17102" t="s">
        <v>10576</v>
      </c>
      <c r="E17102" s="3" t="s">
        <v>3</v>
      </c>
      <c r="F17102" s="4">
        <v>1.53E-164</v>
      </c>
      <c r="G17102" s="3">
        <v>1212</v>
      </c>
      <c r="H17102" s="3">
        <v>75</v>
      </c>
      <c r="I17102" s="3">
        <v>285</v>
      </c>
      <c r="J17102" s="3">
        <v>306</v>
      </c>
      <c r="K17102" s="3">
        <v>1148</v>
      </c>
      <c r="L17102" s="3">
        <v>8</v>
      </c>
      <c r="M17102" s="3">
        <v>292</v>
      </c>
    </row>
    <row r="17103" spans="1:13" x14ac:dyDescent="0.25">
      <c r="A17103" s="1" t="str">
        <f>HYPERLINK("http://www.rosaceae.org/Prunus/Prunus_persica/p.persica_gdr_reftransV1_0000108","p.persica_gdr_reftransV1_0000108")</f>
        <v>p.persica_gdr_reftransV1_0000108</v>
      </c>
      <c r="B17103" s="3">
        <v>956</v>
      </c>
      <c r="C17103" s="1" t="str">
        <f>HYPERLINK("http://www.uniprot.org/uniprot/PP137_ARATH","PP137_ARATH")</f>
        <v>PP137_ARATH</v>
      </c>
      <c r="D17103" t="s">
        <v>10577</v>
      </c>
      <c r="E17103" s="3" t="s">
        <v>3</v>
      </c>
      <c r="F17103" s="4">
        <v>1.3999999999999999E-30</v>
      </c>
      <c r="G17103" s="3">
        <v>312</v>
      </c>
      <c r="H17103" s="3">
        <v>42</v>
      </c>
      <c r="I17103" s="3">
        <v>163</v>
      </c>
      <c r="J17103" s="3">
        <v>294</v>
      </c>
      <c r="K17103" s="3">
        <v>773</v>
      </c>
      <c r="L17103" s="3">
        <v>44</v>
      </c>
      <c r="M17103" s="3">
        <v>200</v>
      </c>
    </row>
    <row r="17104" spans="1:13" x14ac:dyDescent="0.25">
      <c r="A17104" s="1" t="str">
        <f>HYPERLINK("http://www.rosaceae.org/Prunus/Prunus_persica/p.persica_gdr_reftransV1_0000158","p.persica_gdr_reftransV1_0000158")</f>
        <v>p.persica_gdr_reftransV1_0000158</v>
      </c>
      <c r="B17104" s="3">
        <v>365</v>
      </c>
      <c r="C17104" s="1" t="str">
        <f>HYPERLINK("http://www.uniprot.org/uniprot/S35E3_DANRE","S35E3_DANRE")</f>
        <v>S35E3_DANRE</v>
      </c>
      <c r="D17104" t="s">
        <v>10578</v>
      </c>
      <c r="E17104" s="3" t="s">
        <v>704</v>
      </c>
      <c r="F17104" s="4">
        <v>1.7600000000000001E-10</v>
      </c>
      <c r="G17104" s="3">
        <v>145</v>
      </c>
      <c r="H17104" s="3">
        <v>30</v>
      </c>
      <c r="I17104" s="3">
        <v>123</v>
      </c>
      <c r="J17104" s="3">
        <v>6</v>
      </c>
      <c r="K17104" s="3">
        <v>365</v>
      </c>
      <c r="L17104" s="3">
        <v>177</v>
      </c>
      <c r="M17104" s="3">
        <v>299</v>
      </c>
    </row>
    <row r="17105" spans="1:13" x14ac:dyDescent="0.25">
      <c r="A17105" s="1" t="str">
        <f>HYPERLINK("http://www.rosaceae.org/Prunus/Prunus_persica/p.persica_gdr_reftransV1_0000208","p.persica_gdr_reftransV1_0000208")</f>
        <v>p.persica_gdr_reftransV1_0000208</v>
      </c>
      <c r="B17105" s="3">
        <v>1649</v>
      </c>
      <c r="C17105" s="1" t="str">
        <f>HYPERLINK("http://www.uniprot.org/uniprot/CD029_MOUSE","CD029_MOUSE")</f>
        <v>CD029_MOUSE</v>
      </c>
      <c r="D17105" t="s">
        <v>1273</v>
      </c>
      <c r="E17105" s="3" t="s">
        <v>157</v>
      </c>
      <c r="F17105" s="4">
        <v>2.5799999999999998E-31</v>
      </c>
      <c r="G17105" s="3">
        <v>325</v>
      </c>
      <c r="H17105" s="3">
        <v>34</v>
      </c>
      <c r="I17105" s="3">
        <v>250</v>
      </c>
      <c r="J17105" s="3">
        <v>580</v>
      </c>
      <c r="K17105" s="3">
        <v>1308</v>
      </c>
      <c r="L17105" s="3">
        <v>8</v>
      </c>
      <c r="M17105" s="3">
        <v>252</v>
      </c>
    </row>
    <row r="17106" spans="1:13" x14ac:dyDescent="0.25">
      <c r="A17106" s="1" t="str">
        <f>HYPERLINK("http://www.rosaceae.org/Prunus/Prunus_persica/p.persica_gdr_reftransV1_0000258","p.persica_gdr_reftransV1_0000258")</f>
        <v>p.persica_gdr_reftransV1_0000258</v>
      </c>
      <c r="B17106" s="3">
        <v>2581</v>
      </c>
      <c r="C17106" s="1" t="str">
        <f>HYPERLINK("http://www.uniprot.org/uniprot/HARB1_HUMAN","HARB1_HUMAN")</f>
        <v>HARB1_HUMAN</v>
      </c>
      <c r="D17106" t="s">
        <v>10579</v>
      </c>
      <c r="E17106" s="3" t="s">
        <v>28</v>
      </c>
      <c r="F17106" s="4">
        <v>1.24E-23</v>
      </c>
      <c r="G17106" s="3">
        <v>268</v>
      </c>
      <c r="H17106" s="3">
        <v>27</v>
      </c>
      <c r="I17106" s="3">
        <v>301</v>
      </c>
      <c r="J17106" s="3">
        <v>348</v>
      </c>
      <c r="K17106" s="3">
        <v>1235</v>
      </c>
      <c r="L17106" s="3">
        <v>12</v>
      </c>
      <c r="M17106" s="3">
        <v>301</v>
      </c>
    </row>
    <row r="17107" spans="1:13" x14ac:dyDescent="0.25">
      <c r="A17107" s="1" t="str">
        <f>HYPERLINK("http://www.rosaceae.org/Prunus/Prunus_persica/p.persica_gdr_reftransV1_0000308","p.persica_gdr_reftransV1_0000308")</f>
        <v>p.persica_gdr_reftransV1_0000308</v>
      </c>
      <c r="B17107" s="3">
        <v>5197</v>
      </c>
      <c r="C17107" s="1" t="str">
        <f>HYPERLINK("http://www.uniprot.org/uniprot/TOP2_ARATH","TOP2_ARATH")</f>
        <v>TOP2_ARATH</v>
      </c>
      <c r="D17107" t="s">
        <v>7041</v>
      </c>
      <c r="E17107" s="3" t="s">
        <v>3</v>
      </c>
      <c r="F17107" s="4">
        <v>0</v>
      </c>
      <c r="G17107" s="3">
        <v>3373</v>
      </c>
      <c r="H17107" s="3">
        <v>78</v>
      </c>
      <c r="I17107" s="3">
        <v>829</v>
      </c>
      <c r="J17107" s="3">
        <v>55</v>
      </c>
      <c r="K17107" s="3">
        <v>2523</v>
      </c>
      <c r="L17107" s="3">
        <v>4</v>
      </c>
      <c r="M17107" s="3">
        <v>831</v>
      </c>
    </row>
    <row r="17108" spans="1:13" x14ac:dyDescent="0.25">
      <c r="A17108" s="1" t="str">
        <f>HYPERLINK("http://www.rosaceae.org/Prunus/Prunus_persica/p.persica_gdr_reftransV1_0000458","p.persica_gdr_reftransV1_0000458")</f>
        <v>p.persica_gdr_reftransV1_0000458</v>
      </c>
      <c r="B17108" s="3">
        <v>2607</v>
      </c>
      <c r="C17108" s="1" t="str">
        <f>HYPERLINK("http://www.uniprot.org/uniprot/Y4729_ARATH","Y4729_ARATH")</f>
        <v>Y4729_ARATH</v>
      </c>
      <c r="D17108" t="s">
        <v>334</v>
      </c>
      <c r="E17108" s="3" t="s">
        <v>3</v>
      </c>
      <c r="F17108" s="4">
        <v>0</v>
      </c>
      <c r="G17108" s="3">
        <v>1862</v>
      </c>
      <c r="H17108" s="3">
        <v>49</v>
      </c>
      <c r="I17108" s="3">
        <v>824</v>
      </c>
      <c r="J17108" s="3">
        <v>137</v>
      </c>
      <c r="K17108" s="3">
        <v>2581</v>
      </c>
      <c r="L17108" s="3">
        <v>1</v>
      </c>
      <c r="M17108" s="3">
        <v>783</v>
      </c>
    </row>
    <row r="17109" spans="1:13" x14ac:dyDescent="0.25">
      <c r="A17109" s="1" t="str">
        <f>HYPERLINK("http://www.rosaceae.org/Prunus/Prunus_persica/p.persica_gdr_reftransV1_0000558","p.persica_gdr_reftransV1_0000558")</f>
        <v>p.persica_gdr_reftransV1_0000558</v>
      </c>
      <c r="B17109" s="3">
        <v>1320</v>
      </c>
      <c r="C17109" s="1" t="str">
        <f>HYPERLINK("http://www.uniprot.org/uniprot/NFYA7_ARATH","NFYA7_ARATH")</f>
        <v>NFYA7_ARATH</v>
      </c>
      <c r="D17109" t="s">
        <v>6587</v>
      </c>
      <c r="E17109" s="3" t="s">
        <v>3</v>
      </c>
      <c r="F17109" s="4">
        <v>4.3000000000000003E-52</v>
      </c>
      <c r="G17109" s="3">
        <v>455</v>
      </c>
      <c r="H17109" s="3">
        <v>57</v>
      </c>
      <c r="I17109" s="3">
        <v>206</v>
      </c>
      <c r="J17109" s="3">
        <v>188</v>
      </c>
      <c r="K17109" s="3">
        <v>793</v>
      </c>
      <c r="L17109" s="3">
        <v>1</v>
      </c>
      <c r="M17109" s="3">
        <v>190</v>
      </c>
    </row>
    <row r="17110" spans="1:13" x14ac:dyDescent="0.25">
      <c r="A17110" s="1" t="str">
        <f>HYPERLINK("http://www.rosaceae.org/Prunus/Prunus_persica/p.persica_gdr_reftransV1_0000708","p.persica_gdr_reftransV1_0000708")</f>
        <v>p.persica_gdr_reftransV1_0000708</v>
      </c>
      <c r="B17110" s="3">
        <v>5466</v>
      </c>
      <c r="C17110" s="1" t="str">
        <f>HYPERLINK("http://www.uniprot.org/uniprot/AB2C_ARATH","AB2C_ARATH")</f>
        <v>AB2C_ARATH</v>
      </c>
      <c r="D17110" t="s">
        <v>6969</v>
      </c>
      <c r="E17110" s="3" t="s">
        <v>3</v>
      </c>
      <c r="F17110" s="4">
        <v>0</v>
      </c>
      <c r="G17110" s="3">
        <v>6151</v>
      </c>
      <c r="H17110" s="3">
        <v>77</v>
      </c>
      <c r="I17110" s="3">
        <v>1637</v>
      </c>
      <c r="J17110" s="3">
        <v>344</v>
      </c>
      <c r="K17110" s="3">
        <v>5236</v>
      </c>
      <c r="L17110" s="3">
        <v>1</v>
      </c>
      <c r="M17110" s="3">
        <v>1623</v>
      </c>
    </row>
    <row r="17111" spans="1:13" x14ac:dyDescent="0.25">
      <c r="A17111" s="1" t="str">
        <f>HYPERLINK("http://www.rosaceae.org/Prunus/Prunus_persica/p.persica_gdr_reftransV1_0000758","p.persica_gdr_reftransV1_0000758")</f>
        <v>p.persica_gdr_reftransV1_0000758</v>
      </c>
      <c r="B17111" s="3">
        <v>454</v>
      </c>
      <c r="C17111" s="1" t="str">
        <f>HYPERLINK("http://www.uniprot.org/uniprot/POK2_ARATH","POK2_ARATH")</f>
        <v>POK2_ARATH</v>
      </c>
      <c r="D17111" t="s">
        <v>3327</v>
      </c>
      <c r="E17111" s="3" t="s">
        <v>3</v>
      </c>
      <c r="F17111" s="4">
        <v>8.4500000000000005E-27</v>
      </c>
      <c r="G17111" s="3">
        <v>277</v>
      </c>
      <c r="H17111" s="3">
        <v>44</v>
      </c>
      <c r="I17111" s="3">
        <v>158</v>
      </c>
      <c r="J17111" s="3">
        <v>1</v>
      </c>
      <c r="K17111" s="3">
        <v>438</v>
      </c>
      <c r="L17111" s="3">
        <v>740</v>
      </c>
      <c r="M17111" s="3">
        <v>889</v>
      </c>
    </row>
    <row r="17112" spans="1:13" x14ac:dyDescent="0.25">
      <c r="A17112" s="1" t="str">
        <f>HYPERLINK("http://www.rosaceae.org/Prunus/Prunus_persica/p.persica_gdr_reftransV1_0000858","p.persica_gdr_reftransV1_0000858")</f>
        <v>p.persica_gdr_reftransV1_0000858</v>
      </c>
      <c r="B17112" s="3">
        <v>3300</v>
      </c>
      <c r="C17112" s="1" t="str">
        <f>HYPERLINK("http://www.uniprot.org/uniprot/KP1_ARATH","KP1_ARATH")</f>
        <v>KP1_ARATH</v>
      </c>
      <c r="D17112" t="s">
        <v>8355</v>
      </c>
      <c r="E17112" s="3" t="s">
        <v>3</v>
      </c>
      <c r="F17112" s="4">
        <v>0</v>
      </c>
      <c r="G17112" s="3">
        <v>1477</v>
      </c>
      <c r="H17112" s="3">
        <v>63</v>
      </c>
      <c r="I17112" s="3">
        <v>433</v>
      </c>
      <c r="J17112" s="3">
        <v>428</v>
      </c>
      <c r="K17112" s="3">
        <v>1726</v>
      </c>
      <c r="L17112" s="3">
        <v>311</v>
      </c>
      <c r="M17112" s="3">
        <v>743</v>
      </c>
    </row>
    <row r="17113" spans="1:13" x14ac:dyDescent="0.25">
      <c r="A17113" s="1" t="str">
        <f>HYPERLINK("http://www.rosaceae.org/Prunus/Prunus_persica/p.persica_gdr_reftransV1_0001008","p.persica_gdr_reftransV1_0001008")</f>
        <v>p.persica_gdr_reftransV1_0001008</v>
      </c>
      <c r="B17113" s="3">
        <v>3122</v>
      </c>
      <c r="C17113" s="1" t="str">
        <f>HYPERLINK("http://www.uniprot.org/uniprot/PEK11_ARATH","PEK11_ARATH")</f>
        <v>PEK11_ARATH</v>
      </c>
      <c r="D17113" t="s">
        <v>5051</v>
      </c>
      <c r="E17113" s="3" t="s">
        <v>3</v>
      </c>
      <c r="F17113" s="4">
        <v>1.4199999999999999E-75</v>
      </c>
      <c r="G17113" s="3">
        <v>687</v>
      </c>
      <c r="H17113" s="3">
        <v>44</v>
      </c>
      <c r="I17113" s="3">
        <v>317</v>
      </c>
      <c r="J17113" s="3">
        <v>1434</v>
      </c>
      <c r="K17113" s="3">
        <v>2363</v>
      </c>
      <c r="L17113" s="3">
        <v>330</v>
      </c>
      <c r="M17113" s="3">
        <v>643</v>
      </c>
    </row>
    <row r="17114" spans="1:13" x14ac:dyDescent="0.25">
      <c r="A17114" s="1" t="str">
        <f>HYPERLINK("http://www.rosaceae.org/Prunus/Prunus_persica/p.persica_gdr_reftransV1_0001058","p.persica_gdr_reftransV1_0001058")</f>
        <v>p.persica_gdr_reftransV1_0001058</v>
      </c>
      <c r="B17114" s="3">
        <v>1930</v>
      </c>
      <c r="C17114" s="1" t="str">
        <f>HYPERLINK("http://www.uniprot.org/uniprot/DJ1C_ARATH","DJ1C_ARATH")</f>
        <v>DJ1C_ARATH</v>
      </c>
      <c r="D17114" t="s">
        <v>10580</v>
      </c>
      <c r="E17114" s="3" t="s">
        <v>3</v>
      </c>
      <c r="F17114" s="4">
        <v>2.6200000000000001E-177</v>
      </c>
      <c r="G17114" s="3">
        <v>1337</v>
      </c>
      <c r="H17114" s="3">
        <v>68</v>
      </c>
      <c r="I17114" s="3">
        <v>388</v>
      </c>
      <c r="J17114" s="3">
        <v>264</v>
      </c>
      <c r="K17114" s="3">
        <v>1424</v>
      </c>
      <c r="L17114" s="3">
        <v>84</v>
      </c>
      <c r="M17114" s="3">
        <v>471</v>
      </c>
    </row>
    <row r="17115" spans="1:13" x14ac:dyDescent="0.25">
      <c r="A17115" s="1" t="str">
        <f>HYPERLINK("http://www.rosaceae.org/Prunus/Prunus_persica/p.persica_gdr_reftransV1_0001158","p.persica_gdr_reftransV1_0001158")</f>
        <v>p.persica_gdr_reftransV1_0001158</v>
      </c>
      <c r="B17115" s="3">
        <v>598</v>
      </c>
      <c r="C17115" s="1" t="str">
        <f>HYPERLINK("http://www.uniprot.org/uniprot/HSP82_MAIZE","HSP82_MAIZE")</f>
        <v>HSP82_MAIZE</v>
      </c>
      <c r="D17115" t="s">
        <v>10581</v>
      </c>
      <c r="E17115" s="3" t="s">
        <v>72</v>
      </c>
      <c r="F17115" s="4">
        <v>1.71E-38</v>
      </c>
      <c r="G17115" s="3">
        <v>364</v>
      </c>
      <c r="H17115" s="3">
        <v>84</v>
      </c>
      <c r="I17115" s="3">
        <v>94</v>
      </c>
      <c r="J17115" s="3">
        <v>316</v>
      </c>
      <c r="K17115" s="3">
        <v>597</v>
      </c>
      <c r="L17115" s="3">
        <v>590</v>
      </c>
      <c r="M17115" s="3">
        <v>683</v>
      </c>
    </row>
    <row r="17116" spans="1:13" x14ac:dyDescent="0.25">
      <c r="A17116" s="1" t="str">
        <f>HYPERLINK("http://www.rosaceae.org/Prunus/Prunus_persica/p.persica_gdr_reftransV1_0001258","p.persica_gdr_reftransV1_0001258")</f>
        <v>p.persica_gdr_reftransV1_0001258</v>
      </c>
      <c r="B17116" s="3">
        <v>1203</v>
      </c>
      <c r="C17116" s="1" t="str">
        <f>HYPERLINK("http://www.uniprot.org/uniprot/AUR1_ARATH","AUR1_ARATH")</f>
        <v>AUR1_ARATH</v>
      </c>
      <c r="D17116" t="s">
        <v>4624</v>
      </c>
      <c r="E17116" s="3" t="s">
        <v>3</v>
      </c>
      <c r="F17116" s="4">
        <v>0</v>
      </c>
      <c r="G17116" s="3">
        <v>1412</v>
      </c>
      <c r="H17116" s="3">
        <v>83</v>
      </c>
      <c r="I17116" s="3">
        <v>324</v>
      </c>
      <c r="J17116" s="3">
        <v>59</v>
      </c>
      <c r="K17116" s="3">
        <v>1027</v>
      </c>
      <c r="L17116" s="3">
        <v>1</v>
      </c>
      <c r="M17116" s="3">
        <v>294</v>
      </c>
    </row>
    <row r="17117" spans="1:13" x14ac:dyDescent="0.25">
      <c r="A17117" s="1" t="str">
        <f>HYPERLINK("http://www.rosaceae.org/Prunus/Prunus_persica/p.persica_gdr_reftransV1_0001358","p.persica_gdr_reftransV1_0001358")</f>
        <v>p.persica_gdr_reftransV1_0001358</v>
      </c>
      <c r="B17117" s="3">
        <v>2683</v>
      </c>
      <c r="C17117" s="1" t="str">
        <f>HYPERLINK("http://www.uniprot.org/uniprot/RFS5_ARATH","RFS5_ARATH")</f>
        <v>RFS5_ARATH</v>
      </c>
      <c r="D17117" t="s">
        <v>7346</v>
      </c>
      <c r="E17117" s="3" t="s">
        <v>3</v>
      </c>
      <c r="F17117" s="4">
        <v>1.6999999999999999E-153</v>
      </c>
      <c r="G17117" s="3">
        <v>1229</v>
      </c>
      <c r="H17117" s="3">
        <v>38</v>
      </c>
      <c r="I17117" s="3">
        <v>826</v>
      </c>
      <c r="J17117" s="3">
        <v>104</v>
      </c>
      <c r="K17117" s="3">
        <v>2473</v>
      </c>
      <c r="L17117" s="3">
        <v>24</v>
      </c>
      <c r="M17117" s="3">
        <v>769</v>
      </c>
    </row>
    <row r="17118" spans="1:13" x14ac:dyDescent="0.25">
      <c r="A17118" s="1" t="str">
        <f>HYPERLINK("http://www.rosaceae.org/Prunus/Prunus_persica/p.persica_gdr_reftransV1_0001408","p.persica_gdr_reftransV1_0001408")</f>
        <v>p.persica_gdr_reftransV1_0001408</v>
      </c>
      <c r="B17118" s="3">
        <v>1865</v>
      </c>
      <c r="C17118" s="1" t="str">
        <f>HYPERLINK("http://www.uniprot.org/uniprot/RPA1_SCHPO","RPA1_SCHPO")</f>
        <v>RPA1_SCHPO</v>
      </c>
      <c r="D17118" t="s">
        <v>6444</v>
      </c>
      <c r="E17118" s="3" t="s">
        <v>464</v>
      </c>
      <c r="F17118" s="4">
        <v>1.44E-101</v>
      </c>
      <c r="G17118" s="3">
        <v>881</v>
      </c>
      <c r="H17118" s="3">
        <v>33</v>
      </c>
      <c r="I17118" s="3">
        <v>670</v>
      </c>
      <c r="J17118" s="3">
        <v>128</v>
      </c>
      <c r="K17118" s="3">
        <v>1864</v>
      </c>
      <c r="L17118" s="3">
        <v>1</v>
      </c>
      <c r="M17118" s="3">
        <v>646</v>
      </c>
    </row>
    <row r="17119" spans="1:13" x14ac:dyDescent="0.25">
      <c r="A17119" s="1" t="str">
        <f>HYPERLINK("http://www.rosaceae.org/Prunus/Prunus_persica/p.persica_gdr_reftransV1_0001558","p.persica_gdr_reftransV1_0001558")</f>
        <v>p.persica_gdr_reftransV1_0001558</v>
      </c>
      <c r="B17119" s="3">
        <v>4003</v>
      </c>
      <c r="C17119" s="1" t="str">
        <f>HYPERLINK("http://www.uniprot.org/uniprot/IF2C_ARATH","IF2C_ARATH")</f>
        <v>IF2C_ARATH</v>
      </c>
      <c r="D17119" t="s">
        <v>10582</v>
      </c>
      <c r="E17119" s="3" t="s">
        <v>3</v>
      </c>
      <c r="F17119" s="4">
        <v>0</v>
      </c>
      <c r="G17119" s="3">
        <v>2135</v>
      </c>
      <c r="H17119" s="3">
        <v>86</v>
      </c>
      <c r="I17119" s="3">
        <v>511</v>
      </c>
      <c r="J17119" s="3">
        <v>455</v>
      </c>
      <c r="K17119" s="3">
        <v>1987</v>
      </c>
      <c r="L17119" s="3">
        <v>500</v>
      </c>
      <c r="M17119" s="3">
        <v>1010</v>
      </c>
    </row>
    <row r="17120" spans="1:13" x14ac:dyDescent="0.25">
      <c r="A17120" s="1" t="str">
        <f>HYPERLINK("http://www.rosaceae.org/Prunus/Prunus_persica/p.persica_gdr_reftransV1_0001658","p.persica_gdr_reftransV1_0001658")</f>
        <v>p.persica_gdr_reftransV1_0001658</v>
      </c>
      <c r="B17120" s="3">
        <v>1664</v>
      </c>
      <c r="C17120" s="1" t="str">
        <f>HYPERLINK("http://www.uniprot.org/uniprot/PTRB_ECOLI","PTRB_ECOLI")</f>
        <v>PTRB_ECOLI</v>
      </c>
      <c r="D17120" t="s">
        <v>10583</v>
      </c>
      <c r="E17120" s="3" t="s">
        <v>2372</v>
      </c>
      <c r="F17120" s="4">
        <v>4.3600000000000001E-32</v>
      </c>
      <c r="G17120" s="3">
        <v>297</v>
      </c>
      <c r="H17120" s="3">
        <v>36</v>
      </c>
      <c r="I17120" s="3">
        <v>202</v>
      </c>
      <c r="J17120" s="3">
        <v>282</v>
      </c>
      <c r="K17120" s="3">
        <v>869</v>
      </c>
      <c r="L17120" s="3">
        <v>481</v>
      </c>
      <c r="M17120" s="3">
        <v>677</v>
      </c>
    </row>
    <row r="17121" spans="1:13" x14ac:dyDescent="0.25">
      <c r="A17121" s="1" t="str">
        <f>HYPERLINK("http://www.rosaceae.org/Prunus/Prunus_persica/p.persica_gdr_reftransV1_0001708","p.persica_gdr_reftransV1_0001708")</f>
        <v>p.persica_gdr_reftransV1_0001708</v>
      </c>
      <c r="B17121" s="3">
        <v>888</v>
      </c>
      <c r="C17121" s="1" t="str">
        <f>HYPERLINK("http://www.uniprot.org/uniprot/RS141_MAIZE","RS141_MAIZE")</f>
        <v>RS141_MAIZE</v>
      </c>
      <c r="D17121" t="s">
        <v>3426</v>
      </c>
      <c r="E17121" s="3" t="s">
        <v>72</v>
      </c>
      <c r="F17121" s="4">
        <v>2.9300000000000001E-77</v>
      </c>
      <c r="G17121" s="3">
        <v>608</v>
      </c>
      <c r="H17121" s="3">
        <v>94</v>
      </c>
      <c r="I17121" s="3">
        <v>139</v>
      </c>
      <c r="J17121" s="3">
        <v>368</v>
      </c>
      <c r="K17121" s="3">
        <v>784</v>
      </c>
      <c r="L17121" s="3">
        <v>1</v>
      </c>
      <c r="M17121" s="3">
        <v>138</v>
      </c>
    </row>
    <row r="17122" spans="1:13" x14ac:dyDescent="0.25">
      <c r="A17122" s="1" t="str">
        <f>HYPERLINK("http://www.rosaceae.org/Prunus/Prunus_persica/p.persica_gdr_reftransV1_0001758","p.persica_gdr_reftransV1_0001758")</f>
        <v>p.persica_gdr_reftransV1_0001758</v>
      </c>
      <c r="B17122" s="3">
        <v>1262</v>
      </c>
      <c r="C17122" s="1" t="str">
        <f>HYPERLINK("http://www.uniprot.org/uniprot/PPH_ARATH","PPH_ARATH")</f>
        <v>PPH_ARATH</v>
      </c>
      <c r="D17122" t="s">
        <v>4504</v>
      </c>
      <c r="E17122" s="3" t="s">
        <v>3</v>
      </c>
      <c r="F17122" s="4">
        <v>1.56E-23</v>
      </c>
      <c r="G17122" s="3">
        <v>263</v>
      </c>
      <c r="H17122" s="3">
        <v>25</v>
      </c>
      <c r="I17122" s="3">
        <v>315</v>
      </c>
      <c r="J17122" s="3">
        <v>112</v>
      </c>
      <c r="K17122" s="3">
        <v>927</v>
      </c>
      <c r="L17122" s="3">
        <v>104</v>
      </c>
      <c r="M17122" s="3">
        <v>411</v>
      </c>
    </row>
    <row r="17123" spans="1:13" x14ac:dyDescent="0.25">
      <c r="A17123" s="1" t="str">
        <f>HYPERLINK("http://www.rosaceae.org/Prunus/Prunus_persica/p.persica_gdr_reftransV1_0001808","p.persica_gdr_reftransV1_0001808")</f>
        <v>p.persica_gdr_reftransV1_0001808</v>
      </c>
      <c r="B17123" s="3">
        <v>1578</v>
      </c>
      <c r="C17123" s="1" t="str">
        <f>HYPERLINK("http://www.uniprot.org/uniprot/BH062_ARATH","BH062_ARATH")</f>
        <v>BH062_ARATH</v>
      </c>
      <c r="D17123" t="s">
        <v>1683</v>
      </c>
      <c r="E17123" s="3" t="s">
        <v>3</v>
      </c>
      <c r="F17123" s="4">
        <v>4.0700000000000001E-29</v>
      </c>
      <c r="G17123" s="3">
        <v>308</v>
      </c>
      <c r="H17123" s="3">
        <v>36</v>
      </c>
      <c r="I17123" s="3">
        <v>408</v>
      </c>
      <c r="J17123" s="3">
        <v>2</v>
      </c>
      <c r="K17123" s="3">
        <v>1192</v>
      </c>
      <c r="L17123" s="3">
        <v>1</v>
      </c>
      <c r="M17123" s="3">
        <v>268</v>
      </c>
    </row>
    <row r="17124" spans="1:13" x14ac:dyDescent="0.25">
      <c r="A17124" s="1" t="str">
        <f>HYPERLINK("http://www.rosaceae.org/Prunus/Prunus_persica/p.persica_gdr_reftransV1_0001908","p.persica_gdr_reftransV1_0001908")</f>
        <v>p.persica_gdr_reftransV1_0001908</v>
      </c>
      <c r="B17124" s="3">
        <v>2334</v>
      </c>
      <c r="C17124" s="1" t="str">
        <f>HYPERLINK("http://www.uniprot.org/uniprot/UGT6_CATRO","UGT6_CATRO")</f>
        <v>UGT6_CATRO</v>
      </c>
      <c r="D17124" t="s">
        <v>3893</v>
      </c>
      <c r="E17124" s="3" t="s">
        <v>457</v>
      </c>
      <c r="F17124" s="4">
        <v>0</v>
      </c>
      <c r="G17124" s="3">
        <v>1454</v>
      </c>
      <c r="H17124" s="3">
        <v>60</v>
      </c>
      <c r="I17124" s="3">
        <v>481</v>
      </c>
      <c r="J17124" s="3">
        <v>8</v>
      </c>
      <c r="K17124" s="3">
        <v>1444</v>
      </c>
      <c r="L17124" s="3">
        <v>2</v>
      </c>
      <c r="M17124" s="3">
        <v>478</v>
      </c>
    </row>
    <row r="17125" spans="1:13" x14ac:dyDescent="0.25">
      <c r="A17125" s="1" t="str">
        <f>HYPERLINK("http://www.rosaceae.org/Prunus/Prunus_persica/p.persica_gdr_reftransV1_0001958","p.persica_gdr_reftransV1_0001958")</f>
        <v>p.persica_gdr_reftransV1_0001958</v>
      </c>
      <c r="B17125" s="3">
        <v>2131</v>
      </c>
      <c r="C17125" s="1" t="str">
        <f>HYPERLINK("http://www.uniprot.org/uniprot/LIP_STAHY","LIP_STAHY")</f>
        <v>LIP_STAHY</v>
      </c>
      <c r="D17125" t="s">
        <v>10584</v>
      </c>
      <c r="E17125" s="3" t="s">
        <v>10585</v>
      </c>
      <c r="F17125" s="4">
        <v>2.12E-27</v>
      </c>
      <c r="G17125" s="3">
        <v>304</v>
      </c>
      <c r="H17125" s="3">
        <v>28</v>
      </c>
      <c r="I17125" s="3">
        <v>405</v>
      </c>
      <c r="J17125" s="3">
        <v>229</v>
      </c>
      <c r="K17125" s="3">
        <v>1335</v>
      </c>
      <c r="L17125" s="3">
        <v>264</v>
      </c>
      <c r="M17125" s="3">
        <v>625</v>
      </c>
    </row>
    <row r="17126" spans="1:13" x14ac:dyDescent="0.25">
      <c r="A17126" s="1" t="str">
        <f>HYPERLINK("http://www.rosaceae.org/Prunus/Prunus_persica/p.persica_gdr_reftransV1_0002008","p.persica_gdr_reftransV1_0002008")</f>
        <v>p.persica_gdr_reftransV1_0002008</v>
      </c>
      <c r="B17126" s="3">
        <v>404</v>
      </c>
      <c r="C17126" s="1" t="str">
        <f>HYPERLINK("http://www.uniprot.org/uniprot/GPAT1_ARATH","GPAT1_ARATH")</f>
        <v>GPAT1_ARATH</v>
      </c>
      <c r="D17126" t="s">
        <v>10586</v>
      </c>
      <c r="E17126" s="3" t="s">
        <v>3</v>
      </c>
      <c r="F17126" s="4">
        <v>7.76E-68</v>
      </c>
      <c r="G17126" s="3">
        <v>562</v>
      </c>
      <c r="H17126" s="3">
        <v>79</v>
      </c>
      <c r="I17126" s="3">
        <v>132</v>
      </c>
      <c r="J17126" s="3">
        <v>9</v>
      </c>
      <c r="K17126" s="3">
        <v>404</v>
      </c>
      <c r="L17126" s="3">
        <v>427</v>
      </c>
      <c r="M17126" s="3">
        <v>558</v>
      </c>
    </row>
    <row r="17127" spans="1:13" x14ac:dyDescent="0.25">
      <c r="A17127" s="1" t="str">
        <f>HYPERLINK("http://www.rosaceae.org/Prunus/Prunus_persica/p.persica_gdr_reftransV1_0002108","p.persica_gdr_reftransV1_0002108")</f>
        <v>p.persica_gdr_reftransV1_0002108</v>
      </c>
      <c r="B17127" s="3">
        <v>2782</v>
      </c>
      <c r="C17127" s="1" t="str">
        <f>HYPERLINK("http://www.uniprot.org/uniprot/ZW10_ARATH","ZW10_ARATH")</f>
        <v>ZW10_ARATH</v>
      </c>
      <c r="D17127" t="s">
        <v>10411</v>
      </c>
      <c r="E17127" s="3" t="s">
        <v>3</v>
      </c>
      <c r="F17127" s="4">
        <v>0</v>
      </c>
      <c r="G17127" s="3">
        <v>1833</v>
      </c>
      <c r="H17127" s="3">
        <v>64</v>
      </c>
      <c r="I17127" s="3">
        <v>567</v>
      </c>
      <c r="J17127" s="3">
        <v>216</v>
      </c>
      <c r="K17127" s="3">
        <v>1916</v>
      </c>
      <c r="L17127" s="3">
        <v>187</v>
      </c>
      <c r="M17127" s="3">
        <v>738</v>
      </c>
    </row>
    <row r="17128" spans="1:13" x14ac:dyDescent="0.25">
      <c r="A17128" s="1" t="str">
        <f>HYPERLINK("http://www.rosaceae.org/Prunus/Prunus_persica/p.persica_gdr_reftransV1_0002158","p.persica_gdr_reftransV1_0002158")</f>
        <v>p.persica_gdr_reftransV1_0002158</v>
      </c>
      <c r="B17128" s="3">
        <v>351</v>
      </c>
      <c r="C17128" s="1" t="str">
        <f>HYPERLINK("http://www.uniprot.org/uniprot/PLYB_EMENI","PLYB_EMENI")</f>
        <v>PLYB_EMENI</v>
      </c>
      <c r="D17128" t="s">
        <v>2162</v>
      </c>
      <c r="E17128" s="3" t="s">
        <v>205</v>
      </c>
      <c r="F17128" s="4">
        <v>8.1400000000000005E-38</v>
      </c>
      <c r="G17128" s="3">
        <v>340</v>
      </c>
      <c r="H17128" s="3">
        <v>73</v>
      </c>
      <c r="I17128" s="3">
        <v>116</v>
      </c>
      <c r="J17128" s="3">
        <v>3</v>
      </c>
      <c r="K17128" s="3">
        <v>350</v>
      </c>
      <c r="L17128" s="3">
        <v>59</v>
      </c>
      <c r="M17128" s="3">
        <v>174</v>
      </c>
    </row>
    <row r="17129" spans="1:13" x14ac:dyDescent="0.25">
      <c r="A17129" s="1" t="str">
        <f>HYPERLINK("http://www.rosaceae.org/Prunus/Prunus_persica/p.persica_gdr_reftransV1_0002208","p.persica_gdr_reftransV1_0002208")</f>
        <v>p.persica_gdr_reftransV1_0002208</v>
      </c>
      <c r="B17129" s="3">
        <v>1446</v>
      </c>
      <c r="C17129" s="1" t="str">
        <f>HYPERLINK("http://www.uniprot.org/uniprot/ERGI3_BOVIN","ERGI3_BOVIN")</f>
        <v>ERGI3_BOVIN</v>
      </c>
      <c r="D17129" t="s">
        <v>3550</v>
      </c>
      <c r="E17129" s="3" t="s">
        <v>184</v>
      </c>
      <c r="F17129" s="4">
        <v>9.4899999999999994E-93</v>
      </c>
      <c r="G17129" s="3">
        <v>593</v>
      </c>
      <c r="H17129" s="3">
        <v>49</v>
      </c>
      <c r="I17129" s="3">
        <v>267</v>
      </c>
      <c r="J17129" s="3">
        <v>625</v>
      </c>
      <c r="K17129" s="3">
        <v>1413</v>
      </c>
      <c r="L17129" s="3">
        <v>4</v>
      </c>
      <c r="M17129" s="3">
        <v>263</v>
      </c>
    </row>
    <row r="17130" spans="1:13" x14ac:dyDescent="0.25">
      <c r="A17130" s="1" t="str">
        <f>HYPERLINK("http://www.rosaceae.org/Prunus/Prunus_persica/p.persica_gdr_reftransV1_0002258","p.persica_gdr_reftransV1_0002258")</f>
        <v>p.persica_gdr_reftransV1_0002258</v>
      </c>
      <c r="B17130" s="3">
        <v>2118</v>
      </c>
      <c r="C17130" s="1" t="str">
        <f>HYPERLINK("http://www.uniprot.org/uniprot/RAP27_ARATH","RAP27_ARATH")</f>
        <v>RAP27_ARATH</v>
      </c>
      <c r="D17130" t="s">
        <v>7807</v>
      </c>
      <c r="E17130" s="3" t="s">
        <v>3</v>
      </c>
      <c r="F17130" s="4">
        <v>3.0200000000000001E-69</v>
      </c>
      <c r="G17130" s="3">
        <v>610</v>
      </c>
      <c r="H17130" s="3">
        <v>52</v>
      </c>
      <c r="I17130" s="3">
        <v>366</v>
      </c>
      <c r="J17130" s="3">
        <v>375</v>
      </c>
      <c r="K17130" s="3">
        <v>1457</v>
      </c>
      <c r="L17130" s="3">
        <v>1</v>
      </c>
      <c r="M17130" s="3">
        <v>327</v>
      </c>
    </row>
    <row r="17131" spans="1:13" x14ac:dyDescent="0.25">
      <c r="A17131" s="1" t="str">
        <f>HYPERLINK("http://www.rosaceae.org/Prunus/Prunus_persica/p.persica_gdr_reftransV1_0002308","p.persica_gdr_reftransV1_0002308")</f>
        <v>p.persica_gdr_reftransV1_0002308</v>
      </c>
      <c r="B17131" s="3">
        <v>471</v>
      </c>
      <c r="C17131" s="1" t="str">
        <f>HYPERLINK("http://www.uniprot.org/uniprot/Y1295_ARATH","Y1295_ARATH")</f>
        <v>Y1295_ARATH</v>
      </c>
      <c r="D17131" t="s">
        <v>9628</v>
      </c>
      <c r="E17131" s="3" t="s">
        <v>3</v>
      </c>
      <c r="F17131" s="4">
        <v>5.7699999999999997E-9</v>
      </c>
      <c r="G17131" s="3">
        <v>137</v>
      </c>
      <c r="H17131" s="3">
        <v>50</v>
      </c>
      <c r="I17131" s="3">
        <v>82</v>
      </c>
      <c r="J17131" s="3">
        <v>57</v>
      </c>
      <c r="K17131" s="3">
        <v>302</v>
      </c>
      <c r="L17131" s="3">
        <v>31</v>
      </c>
      <c r="M17131" s="3">
        <v>104</v>
      </c>
    </row>
    <row r="17132" spans="1:13" x14ac:dyDescent="0.25">
      <c r="A17132" s="1" t="str">
        <f>HYPERLINK("http://www.rosaceae.org/Prunus/Prunus_persica/p.persica_gdr_reftransV1_0002458","p.persica_gdr_reftransV1_0002458")</f>
        <v>p.persica_gdr_reftransV1_0002458</v>
      </c>
      <c r="B17132" s="3">
        <v>1244</v>
      </c>
      <c r="C17132" s="1" t="str">
        <f>HYPERLINK("http://www.uniprot.org/uniprot/MBD6_ARATH","MBD6_ARATH")</f>
        <v>MBD6_ARATH</v>
      </c>
      <c r="D17132" t="s">
        <v>8053</v>
      </c>
      <c r="E17132" s="3" t="s">
        <v>3</v>
      </c>
      <c r="F17132" s="4">
        <v>7.2900000000000004E-35</v>
      </c>
      <c r="G17132" s="3">
        <v>336</v>
      </c>
      <c r="H17132" s="3">
        <v>39</v>
      </c>
      <c r="I17132" s="3">
        <v>224</v>
      </c>
      <c r="J17132" s="3">
        <v>105</v>
      </c>
      <c r="K17132" s="3">
        <v>740</v>
      </c>
      <c r="L17132" s="3">
        <v>4</v>
      </c>
      <c r="M17132" s="3">
        <v>218</v>
      </c>
    </row>
    <row r="17133" spans="1:13" x14ac:dyDescent="0.25">
      <c r="A17133" s="1" t="str">
        <f>HYPERLINK("http://www.rosaceae.org/Prunus/Prunus_persica/p.persica_gdr_reftransV1_0002508","p.persica_gdr_reftransV1_0002508")</f>
        <v>p.persica_gdr_reftransV1_0002508</v>
      </c>
      <c r="B17133" s="3">
        <v>913</v>
      </c>
      <c r="C17133" s="1" t="str">
        <f>HYPERLINK("http://www.uniprot.org/uniprot/PPR12_ARATH","PPR12_ARATH")</f>
        <v>PPR12_ARATH</v>
      </c>
      <c r="D17133" t="s">
        <v>483</v>
      </c>
      <c r="E17133" s="3" t="s">
        <v>3</v>
      </c>
      <c r="F17133" s="4">
        <v>6.54E-84</v>
      </c>
      <c r="G17133" s="3">
        <v>699</v>
      </c>
      <c r="H17133" s="3">
        <v>58</v>
      </c>
      <c r="I17133" s="3">
        <v>238</v>
      </c>
      <c r="J17133" s="3">
        <v>224</v>
      </c>
      <c r="K17133" s="3">
        <v>913</v>
      </c>
      <c r="L17133" s="3">
        <v>3</v>
      </c>
      <c r="M17133" s="3">
        <v>240</v>
      </c>
    </row>
    <row r="17134" spans="1:13" x14ac:dyDescent="0.25">
      <c r="A17134" s="1" t="str">
        <f>HYPERLINK("http://www.rosaceae.org/Prunus/Prunus_persica/p.persica_gdr_reftransV1_0002558","p.persica_gdr_reftransV1_0002558")</f>
        <v>p.persica_gdr_reftransV1_0002558</v>
      </c>
      <c r="B17134" s="3">
        <v>423</v>
      </c>
      <c r="C17134" s="1" t="str">
        <f>HYPERLINK("http://www.uniprot.org/uniprot/PCKA_NEUCR","PCKA_NEUCR")</f>
        <v>PCKA_NEUCR</v>
      </c>
      <c r="D17134" t="s">
        <v>5390</v>
      </c>
      <c r="E17134" s="3" t="s">
        <v>435</v>
      </c>
      <c r="F17134" s="4">
        <v>3.7799999999999997E-74</v>
      </c>
      <c r="G17134" s="3">
        <v>607</v>
      </c>
      <c r="H17134" s="3">
        <v>89</v>
      </c>
      <c r="I17134" s="3">
        <v>140</v>
      </c>
      <c r="J17134" s="3">
        <v>3</v>
      </c>
      <c r="K17134" s="3">
        <v>422</v>
      </c>
      <c r="L17134" s="3">
        <v>55</v>
      </c>
      <c r="M17134" s="3">
        <v>194</v>
      </c>
    </row>
    <row r="17135" spans="1:13" x14ac:dyDescent="0.25">
      <c r="A17135" s="1" t="str">
        <f>HYPERLINK("http://www.rosaceae.org/Prunus/Prunus_persica/p.persica_gdr_reftransV1_0002658","p.persica_gdr_reftransV1_0002658")</f>
        <v>p.persica_gdr_reftransV1_0002658</v>
      </c>
      <c r="B17135" s="3">
        <v>1742</v>
      </c>
      <c r="C17135" s="1" t="str">
        <f>HYPERLINK("http://www.uniprot.org/uniprot/FB84_ARATH","FB84_ARATH")</f>
        <v>FB84_ARATH</v>
      </c>
      <c r="D17135" t="s">
        <v>10587</v>
      </c>
      <c r="E17135" s="3" t="s">
        <v>3</v>
      </c>
      <c r="F17135" s="4">
        <v>1.3899999999999999E-129</v>
      </c>
      <c r="G17135" s="3">
        <v>1002</v>
      </c>
      <c r="H17135" s="3">
        <v>57</v>
      </c>
      <c r="I17135" s="3">
        <v>350</v>
      </c>
      <c r="J17135" s="3">
        <v>88</v>
      </c>
      <c r="K17135" s="3">
        <v>1098</v>
      </c>
      <c r="L17135" s="3">
        <v>1</v>
      </c>
      <c r="M17135" s="3">
        <v>350</v>
      </c>
    </row>
    <row r="17136" spans="1:13" x14ac:dyDescent="0.25">
      <c r="A17136" s="1" t="str">
        <f>HYPERLINK("http://www.rosaceae.org/Prunus/Prunus_persica/p.persica_gdr_reftransV1_0002708","p.persica_gdr_reftransV1_0002708")</f>
        <v>p.persica_gdr_reftransV1_0002708</v>
      </c>
      <c r="B17136" s="3">
        <v>657</v>
      </c>
      <c r="C17136" s="1" t="str">
        <f>HYPERLINK("http://www.uniprot.org/uniprot/H4_SOYBN","H4_SOYBN")</f>
        <v>H4_SOYBN</v>
      </c>
      <c r="D17136" t="s">
        <v>4009</v>
      </c>
      <c r="E17136" s="3" t="s">
        <v>307</v>
      </c>
      <c r="F17136" s="4">
        <v>9.3999999999999995E-51</v>
      </c>
      <c r="G17136" s="3">
        <v>420</v>
      </c>
      <c r="H17136" s="3">
        <v>100</v>
      </c>
      <c r="I17136" s="3">
        <v>82</v>
      </c>
      <c r="J17136" s="3">
        <v>152</v>
      </c>
      <c r="K17136" s="3">
        <v>397</v>
      </c>
      <c r="L17136" s="3">
        <v>22</v>
      </c>
      <c r="M17136" s="3">
        <v>103</v>
      </c>
    </row>
    <row r="17137" spans="1:13" x14ac:dyDescent="0.25">
      <c r="A17137" s="1" t="str">
        <f>HYPERLINK("http://www.rosaceae.org/Prunus/Prunus_persica/p.persica_gdr_reftransV1_0002758","p.persica_gdr_reftransV1_0002758")</f>
        <v>p.persica_gdr_reftransV1_0002758</v>
      </c>
      <c r="B17137" s="3">
        <v>1847</v>
      </c>
      <c r="C17137" s="1" t="str">
        <f>HYPERLINK("http://www.uniprot.org/uniprot/CSN1_ARATH","CSN1_ARATH")</f>
        <v>CSN1_ARATH</v>
      </c>
      <c r="D17137" t="s">
        <v>10588</v>
      </c>
      <c r="E17137" s="3" t="s">
        <v>3</v>
      </c>
      <c r="F17137" s="4">
        <v>0</v>
      </c>
      <c r="G17137" s="3">
        <v>1796</v>
      </c>
      <c r="H17137" s="3">
        <v>78</v>
      </c>
      <c r="I17137" s="3">
        <v>444</v>
      </c>
      <c r="J17137" s="3">
        <v>184</v>
      </c>
      <c r="K17137" s="3">
        <v>1515</v>
      </c>
      <c r="L17137" s="3">
        <v>1</v>
      </c>
      <c r="M17137" s="3">
        <v>440</v>
      </c>
    </row>
    <row r="17138" spans="1:13" x14ac:dyDescent="0.25">
      <c r="A17138" s="1" t="str">
        <f>HYPERLINK("http://www.rosaceae.org/Prunus/Prunus_persica/p.persica_gdr_reftransV1_0002858","p.persica_gdr_reftransV1_0002858")</f>
        <v>p.persica_gdr_reftransV1_0002858</v>
      </c>
      <c r="B17138" s="3">
        <v>1058</v>
      </c>
      <c r="C17138" s="1" t="str">
        <f>HYPERLINK("http://www.uniprot.org/uniprot/GPTC8_MOUSE","GPTC8_MOUSE")</f>
        <v>GPTC8_MOUSE</v>
      </c>
      <c r="D17138" t="s">
        <v>9206</v>
      </c>
      <c r="E17138" s="3" t="s">
        <v>157</v>
      </c>
      <c r="F17138" s="4">
        <v>3.1000000000000001E-12</v>
      </c>
      <c r="G17138" s="3">
        <v>174</v>
      </c>
      <c r="H17138" s="3">
        <v>55</v>
      </c>
      <c r="I17138" s="3">
        <v>84</v>
      </c>
      <c r="J17138" s="3">
        <v>542</v>
      </c>
      <c r="K17138" s="3">
        <v>784</v>
      </c>
      <c r="L17138" s="3">
        <v>29</v>
      </c>
      <c r="M17138" s="3">
        <v>110</v>
      </c>
    </row>
    <row r="17139" spans="1:13" x14ac:dyDescent="0.25">
      <c r="A17139" s="1" t="str">
        <f>HYPERLINK("http://www.rosaceae.org/Prunus/Prunus_persica/p.persica_gdr_reftransV1_0002908","p.persica_gdr_reftransV1_0002908")</f>
        <v>p.persica_gdr_reftransV1_0002908</v>
      </c>
      <c r="B17139" s="3">
        <v>435</v>
      </c>
      <c r="C17139" s="1" t="str">
        <f>HYPERLINK("http://www.uniprot.org/uniprot/RCO3_NEUCR","RCO3_NEUCR")</f>
        <v>RCO3_NEUCR</v>
      </c>
      <c r="D17139" t="s">
        <v>10589</v>
      </c>
      <c r="E17139" s="3" t="s">
        <v>435</v>
      </c>
      <c r="F17139" s="4">
        <v>2.1499999999999999E-25</v>
      </c>
      <c r="G17139" s="3">
        <v>262</v>
      </c>
      <c r="H17139" s="3">
        <v>43</v>
      </c>
      <c r="I17139" s="3">
        <v>134</v>
      </c>
      <c r="J17139" s="3">
        <v>7</v>
      </c>
      <c r="K17139" s="3">
        <v>408</v>
      </c>
      <c r="L17139" s="3">
        <v>249</v>
      </c>
      <c r="M17139" s="3">
        <v>372</v>
      </c>
    </row>
    <row r="17140" spans="1:13" x14ac:dyDescent="0.25">
      <c r="A17140" s="1" t="str">
        <f>HYPERLINK("http://www.rosaceae.org/Prunus/Prunus_persica/p.persica_gdr_reftransV1_0002958","p.persica_gdr_reftransV1_0002958")</f>
        <v>p.persica_gdr_reftransV1_0002958</v>
      </c>
      <c r="B17140" s="3">
        <v>528</v>
      </c>
      <c r="C17140" s="1" t="str">
        <f>HYPERLINK("http://www.uniprot.org/uniprot/HBP1B_WHEAT","HBP1B_WHEAT")</f>
        <v>HBP1B_WHEAT</v>
      </c>
      <c r="D17140" t="s">
        <v>9233</v>
      </c>
      <c r="E17140" s="3" t="s">
        <v>710</v>
      </c>
      <c r="F17140" s="4">
        <v>2.8200000000000002E-65</v>
      </c>
      <c r="G17140" s="3">
        <v>532</v>
      </c>
      <c r="H17140" s="3">
        <v>59</v>
      </c>
      <c r="I17140" s="3">
        <v>176</v>
      </c>
      <c r="J17140" s="3">
        <v>3</v>
      </c>
      <c r="K17140" s="3">
        <v>527</v>
      </c>
      <c r="L17140" s="3">
        <v>68</v>
      </c>
      <c r="M17140" s="3">
        <v>234</v>
      </c>
    </row>
    <row r="17141" spans="1:13" x14ac:dyDescent="0.25">
      <c r="A17141" s="1" t="str">
        <f>HYPERLINK("http://www.rosaceae.org/Prunus/Prunus_persica/p.persica_gdr_reftransV1_0003058","p.persica_gdr_reftransV1_0003058")</f>
        <v>p.persica_gdr_reftransV1_0003058</v>
      </c>
      <c r="B17141" s="3">
        <v>2963</v>
      </c>
      <c r="C17141" s="1" t="str">
        <f>HYPERLINK("http://www.uniprot.org/uniprot/RBG2_ARATH","RBG2_ARATH")</f>
        <v>RBG2_ARATH</v>
      </c>
      <c r="D17141" t="s">
        <v>4734</v>
      </c>
      <c r="E17141" s="3" t="s">
        <v>3</v>
      </c>
      <c r="F17141" s="4">
        <v>5.4099999999999999E-10</v>
      </c>
      <c r="G17141" s="3">
        <v>154</v>
      </c>
      <c r="H17141" s="3">
        <v>43</v>
      </c>
      <c r="I17141" s="3">
        <v>75</v>
      </c>
      <c r="J17141" s="3">
        <v>1044</v>
      </c>
      <c r="K17141" s="3">
        <v>1268</v>
      </c>
      <c r="L17141" s="3">
        <v>34</v>
      </c>
      <c r="M17141" s="3">
        <v>108</v>
      </c>
    </row>
    <row r="17142" spans="1:13" x14ac:dyDescent="0.25">
      <c r="A17142" s="1" t="str">
        <f>HYPERLINK("http://www.rosaceae.org/Prunus/Prunus_persica/p.persica_gdr_reftransV1_0003108","p.persica_gdr_reftransV1_0003108")</f>
        <v>p.persica_gdr_reftransV1_0003108</v>
      </c>
      <c r="B17142" s="3">
        <v>1468</v>
      </c>
      <c r="C17142" s="1" t="str">
        <f>HYPERLINK("http://www.uniprot.org/uniprot/LRK72_ARATH","LRK72_ARATH")</f>
        <v>LRK72_ARATH</v>
      </c>
      <c r="D17142" t="s">
        <v>6856</v>
      </c>
      <c r="E17142" s="3" t="s">
        <v>3</v>
      </c>
      <c r="F17142" s="4">
        <v>2.2799999999999999E-161</v>
      </c>
      <c r="G17142" s="3">
        <v>1236</v>
      </c>
      <c r="H17142" s="3">
        <v>57</v>
      </c>
      <c r="I17142" s="3">
        <v>494</v>
      </c>
      <c r="J17142" s="3">
        <v>2</v>
      </c>
      <c r="K17142" s="3">
        <v>1468</v>
      </c>
      <c r="L17142" s="3">
        <v>199</v>
      </c>
      <c r="M17142" s="3">
        <v>681</v>
      </c>
    </row>
    <row r="17143" spans="1:13" x14ac:dyDescent="0.25">
      <c r="A17143" s="1" t="str">
        <f>HYPERLINK("http://www.rosaceae.org/Prunus/Prunus_persica/p.persica_gdr_reftransV1_0003158","p.persica_gdr_reftransV1_0003158")</f>
        <v>p.persica_gdr_reftransV1_0003158</v>
      </c>
      <c r="B17143" s="3">
        <v>2284</v>
      </c>
      <c r="C17143" s="1" t="str">
        <f>HYPERLINK("http://www.uniprot.org/uniprot/DRP1C_ARATH","DRP1C_ARATH")</f>
        <v>DRP1C_ARATH</v>
      </c>
      <c r="D17143" t="s">
        <v>4694</v>
      </c>
      <c r="E17143" s="3" t="s">
        <v>3</v>
      </c>
      <c r="F17143" s="4">
        <v>0</v>
      </c>
      <c r="G17143" s="3">
        <v>2711</v>
      </c>
      <c r="H17143" s="3">
        <v>83</v>
      </c>
      <c r="I17143" s="3">
        <v>623</v>
      </c>
      <c r="J17143" s="3">
        <v>251</v>
      </c>
      <c r="K17143" s="3">
        <v>2119</v>
      </c>
      <c r="L17143" s="3">
        <v>1</v>
      </c>
      <c r="M17143" s="3">
        <v>614</v>
      </c>
    </row>
    <row r="17144" spans="1:13" x14ac:dyDescent="0.25">
      <c r="A17144" s="1" t="str">
        <f>HYPERLINK("http://www.rosaceae.org/Prunus/Prunus_persica/p.persica_gdr_reftransV1_0003208","p.persica_gdr_reftransV1_0003208")</f>
        <v>p.persica_gdr_reftransV1_0003208</v>
      </c>
      <c r="B17144" s="3">
        <v>436</v>
      </c>
      <c r="C17144" s="1" t="str">
        <f>HYPERLINK("http://www.uniprot.org/uniprot/PP164_ARATH","PP164_ARATH")</f>
        <v>PP164_ARATH</v>
      </c>
      <c r="D17144" t="s">
        <v>5427</v>
      </c>
      <c r="E17144" s="3" t="s">
        <v>3</v>
      </c>
      <c r="F17144" s="4">
        <v>2.62E-35</v>
      </c>
      <c r="G17144" s="3">
        <v>335</v>
      </c>
      <c r="H17144" s="3">
        <v>51</v>
      </c>
      <c r="I17144" s="3">
        <v>144</v>
      </c>
      <c r="J17144" s="3">
        <v>3</v>
      </c>
      <c r="K17144" s="3">
        <v>431</v>
      </c>
      <c r="L17144" s="3">
        <v>147</v>
      </c>
      <c r="M17144" s="3">
        <v>290</v>
      </c>
    </row>
    <row r="17145" spans="1:13" x14ac:dyDescent="0.25">
      <c r="A17145" s="1" t="str">
        <f>HYPERLINK("http://www.rosaceae.org/Prunus/Prunus_persica/p.persica_gdr_reftransV1_0003258","p.persica_gdr_reftransV1_0003258")</f>
        <v>p.persica_gdr_reftransV1_0003258</v>
      </c>
      <c r="B17145" s="3">
        <v>399</v>
      </c>
      <c r="C17145" s="1" t="str">
        <f>HYPERLINK("http://www.uniprot.org/uniprot/PP185_ARATH","PP185_ARATH")</f>
        <v>PP185_ARATH</v>
      </c>
      <c r="D17145" t="s">
        <v>1574</v>
      </c>
      <c r="E17145" s="3" t="s">
        <v>3</v>
      </c>
      <c r="F17145" s="4">
        <v>1.04E-33</v>
      </c>
      <c r="G17145" s="3">
        <v>321</v>
      </c>
      <c r="H17145" s="3">
        <v>45</v>
      </c>
      <c r="I17145" s="3">
        <v>128</v>
      </c>
      <c r="J17145" s="3">
        <v>10</v>
      </c>
      <c r="K17145" s="3">
        <v>393</v>
      </c>
      <c r="L17145" s="3">
        <v>149</v>
      </c>
      <c r="M17145" s="3">
        <v>276</v>
      </c>
    </row>
    <row r="17146" spans="1:13" x14ac:dyDescent="0.25">
      <c r="A17146" s="1" t="str">
        <f>HYPERLINK("http://www.rosaceae.org/Prunus/Prunus_persica/p.persica_gdr_reftransV1_0003308","p.persica_gdr_reftransV1_0003308")</f>
        <v>p.persica_gdr_reftransV1_0003308</v>
      </c>
      <c r="B17146" s="3">
        <v>2831</v>
      </c>
      <c r="C17146" s="1" t="str">
        <f>HYPERLINK("http://www.uniprot.org/uniprot/REV1_ARATH","REV1_ARATH")</f>
        <v>REV1_ARATH</v>
      </c>
      <c r="D17146" t="s">
        <v>4073</v>
      </c>
      <c r="E17146" s="3" t="s">
        <v>3</v>
      </c>
      <c r="F17146" s="4">
        <v>0</v>
      </c>
      <c r="G17146" s="3">
        <v>2170</v>
      </c>
      <c r="H17146" s="3">
        <v>53</v>
      </c>
      <c r="I17146" s="3">
        <v>832</v>
      </c>
      <c r="J17146" s="3">
        <v>3</v>
      </c>
      <c r="K17146" s="3">
        <v>2411</v>
      </c>
      <c r="L17146" s="3">
        <v>320</v>
      </c>
      <c r="M17146" s="3">
        <v>1104</v>
      </c>
    </row>
    <row r="17147" spans="1:13" x14ac:dyDescent="0.25">
      <c r="A17147" s="1" t="str">
        <f>HYPERLINK("http://www.rosaceae.org/Prunus/Prunus_persica/p.persica_gdr_reftransV1_0003358","p.persica_gdr_reftransV1_0003358")</f>
        <v>p.persica_gdr_reftransV1_0003358</v>
      </c>
      <c r="B17147" s="3">
        <v>453</v>
      </c>
      <c r="C17147" s="1" t="str">
        <f>HYPERLINK("http://www.uniprot.org/uniprot/PP137_ARATH","PP137_ARATH")</f>
        <v>PP137_ARATH</v>
      </c>
      <c r="D17147" t="s">
        <v>10577</v>
      </c>
      <c r="E17147" s="3" t="s">
        <v>3</v>
      </c>
      <c r="F17147" s="4">
        <v>5.4500000000000003E-42</v>
      </c>
      <c r="G17147" s="3">
        <v>381</v>
      </c>
      <c r="H17147" s="3">
        <v>51</v>
      </c>
      <c r="I17147" s="3">
        <v>139</v>
      </c>
      <c r="J17147" s="3">
        <v>2</v>
      </c>
      <c r="K17147" s="3">
        <v>418</v>
      </c>
      <c r="L17147" s="3">
        <v>370</v>
      </c>
      <c r="M17147" s="3">
        <v>508</v>
      </c>
    </row>
    <row r="17148" spans="1:13" x14ac:dyDescent="0.25">
      <c r="A17148" s="1" t="str">
        <f>HYPERLINK("http://www.rosaceae.org/Prunus/Prunus_persica/p.persica_gdr_reftransV1_0003408","p.persica_gdr_reftransV1_0003408")</f>
        <v>p.persica_gdr_reftransV1_0003408</v>
      </c>
      <c r="B17148" s="3">
        <v>760</v>
      </c>
      <c r="C17148" s="1" t="str">
        <f>HYPERLINK("http://www.uniprot.org/uniprot/MED18_ARATH","MED18_ARATH")</f>
        <v>MED18_ARATH</v>
      </c>
      <c r="D17148" t="s">
        <v>5726</v>
      </c>
      <c r="E17148" s="3" t="s">
        <v>3</v>
      </c>
      <c r="F17148" s="4">
        <v>2.1900000000000001E-123</v>
      </c>
      <c r="G17148" s="3">
        <v>916</v>
      </c>
      <c r="H17148" s="3">
        <v>83</v>
      </c>
      <c r="I17148" s="3">
        <v>200</v>
      </c>
      <c r="J17148" s="3">
        <v>145</v>
      </c>
      <c r="K17148" s="3">
        <v>744</v>
      </c>
      <c r="L17148" s="3">
        <v>3</v>
      </c>
      <c r="M17148" s="3">
        <v>202</v>
      </c>
    </row>
    <row r="17149" spans="1:13" x14ac:dyDescent="0.25">
      <c r="A17149" s="1" t="str">
        <f>HYPERLINK("http://www.rosaceae.org/Prunus/Prunus_persica/p.persica_gdr_reftransV1_0003558","p.persica_gdr_reftransV1_0003558")</f>
        <v>p.persica_gdr_reftransV1_0003558</v>
      </c>
      <c r="B17149" s="3">
        <v>465</v>
      </c>
      <c r="C17149" s="1" t="str">
        <f>HYPERLINK("http://www.uniprot.org/uniprot/GLNA_GIBFU","GLNA_GIBFU")</f>
        <v>GLNA_GIBFU</v>
      </c>
      <c r="D17149" t="s">
        <v>438</v>
      </c>
      <c r="E17149" s="3" t="s">
        <v>439</v>
      </c>
      <c r="F17149" s="4">
        <v>2.4700000000000001E-82</v>
      </c>
      <c r="G17149" s="3">
        <v>646</v>
      </c>
      <c r="H17149" s="3">
        <v>92</v>
      </c>
      <c r="I17149" s="3">
        <v>129</v>
      </c>
      <c r="J17149" s="3">
        <v>1</v>
      </c>
      <c r="K17149" s="3">
        <v>387</v>
      </c>
      <c r="L17149" s="3">
        <v>1</v>
      </c>
      <c r="M17149" s="3">
        <v>129</v>
      </c>
    </row>
    <row r="17150" spans="1:13" x14ac:dyDescent="0.25">
      <c r="A17150" s="1" t="str">
        <f>HYPERLINK("http://www.rosaceae.org/Prunus/Prunus_persica/p.persica_gdr_reftransV1_0003708","p.persica_gdr_reftransV1_0003708")</f>
        <v>p.persica_gdr_reftransV1_0003708</v>
      </c>
      <c r="B17150" s="3">
        <v>333</v>
      </c>
      <c r="C17150" s="1" t="str">
        <f>HYPERLINK("http://www.uniprot.org/uniprot/AB16B_ARATH","AB16B_ARATH")</f>
        <v>AB16B_ARATH</v>
      </c>
      <c r="D17150" t="s">
        <v>10590</v>
      </c>
      <c r="E17150" s="3" t="s">
        <v>3</v>
      </c>
      <c r="F17150" s="4">
        <v>2.5099999999999998E-38</v>
      </c>
      <c r="G17150" s="3">
        <v>357</v>
      </c>
      <c r="H17150" s="3">
        <v>72</v>
      </c>
      <c r="I17150" s="3">
        <v>102</v>
      </c>
      <c r="J17150" s="3">
        <v>2</v>
      </c>
      <c r="K17150" s="3">
        <v>307</v>
      </c>
      <c r="L17150" s="3">
        <v>464</v>
      </c>
      <c r="M17150" s="3">
        <v>565</v>
      </c>
    </row>
    <row r="17151" spans="1:13" x14ac:dyDescent="0.25">
      <c r="A17151" s="1" t="str">
        <f>HYPERLINK("http://www.rosaceae.org/Prunus/Prunus_persica/p.persica_gdr_reftransV1_0003758","p.persica_gdr_reftransV1_0003758")</f>
        <v>p.persica_gdr_reftransV1_0003758</v>
      </c>
      <c r="B17151" s="3">
        <v>1941</v>
      </c>
      <c r="C17151" s="1" t="str">
        <f>HYPERLINK("http://www.uniprot.org/uniprot/C98A2_SOYBN","C98A2_SOYBN")</f>
        <v>C98A2_SOYBN</v>
      </c>
      <c r="D17151" t="s">
        <v>10591</v>
      </c>
      <c r="E17151" s="3" t="s">
        <v>307</v>
      </c>
      <c r="F17151" s="4">
        <v>0</v>
      </c>
      <c r="G17151" s="3">
        <v>2283</v>
      </c>
      <c r="H17151" s="3">
        <v>87</v>
      </c>
      <c r="I17151" s="3">
        <v>493</v>
      </c>
      <c r="J17151" s="3">
        <v>121</v>
      </c>
      <c r="K17151" s="3">
        <v>1599</v>
      </c>
      <c r="L17151" s="3">
        <v>17</v>
      </c>
      <c r="M17151" s="3">
        <v>509</v>
      </c>
    </row>
    <row r="17152" spans="1:13" x14ac:dyDescent="0.25">
      <c r="A17152" s="1" t="str">
        <f>HYPERLINK("http://www.rosaceae.org/Prunus/Prunus_persica/p.persica_gdr_reftransV1_0003808","p.persica_gdr_reftransV1_0003808")</f>
        <v>p.persica_gdr_reftransV1_0003808</v>
      </c>
      <c r="B17152" s="3">
        <v>1414</v>
      </c>
      <c r="C17152" s="1" t="str">
        <f>HYPERLINK("http://www.uniprot.org/uniprot/PLP3_ARATH","PLP3_ARATH")</f>
        <v>PLP3_ARATH</v>
      </c>
      <c r="D17152" t="s">
        <v>10592</v>
      </c>
      <c r="E17152" s="3" t="s">
        <v>3</v>
      </c>
      <c r="F17152" s="4">
        <v>3.5899999999999999E-159</v>
      </c>
      <c r="G17152" s="3">
        <v>1196</v>
      </c>
      <c r="H17152" s="3">
        <v>59</v>
      </c>
      <c r="I17152" s="3">
        <v>408</v>
      </c>
      <c r="J17152" s="3">
        <v>51</v>
      </c>
      <c r="K17152" s="3">
        <v>1250</v>
      </c>
      <c r="L17152" s="3">
        <v>28</v>
      </c>
      <c r="M17152" s="3">
        <v>428</v>
      </c>
    </row>
    <row r="17153" spans="1:13" x14ac:dyDescent="0.25">
      <c r="A17153" s="1" t="str">
        <f>HYPERLINK("http://www.rosaceae.org/Prunus/Prunus_persica/p.persica_gdr_reftransV1_0003958","p.persica_gdr_reftransV1_0003958")</f>
        <v>p.persica_gdr_reftransV1_0003958</v>
      </c>
      <c r="B17153" s="3">
        <v>1135</v>
      </c>
      <c r="C17153" s="1" t="str">
        <f>HYPERLINK("http://www.uniprot.org/uniprot/DRE1D_ARATH","DRE1D_ARATH")</f>
        <v>DRE1D_ARATH</v>
      </c>
      <c r="D17153" t="s">
        <v>10593</v>
      </c>
      <c r="E17153" s="3" t="s">
        <v>3</v>
      </c>
      <c r="F17153" s="4">
        <v>2.0200000000000002E-59</v>
      </c>
      <c r="G17153" s="3">
        <v>503</v>
      </c>
      <c r="H17153" s="3">
        <v>49</v>
      </c>
      <c r="I17153" s="3">
        <v>226</v>
      </c>
      <c r="J17153" s="3">
        <v>130</v>
      </c>
      <c r="K17153" s="3">
        <v>774</v>
      </c>
      <c r="L17153" s="3">
        <v>2</v>
      </c>
      <c r="M17153" s="3">
        <v>222</v>
      </c>
    </row>
    <row r="17154" spans="1:13" x14ac:dyDescent="0.25">
      <c r="A17154" s="1" t="str">
        <f>HYPERLINK("http://www.rosaceae.org/Prunus/Prunus_persica/p.persica_gdr_reftransV1_0004058","p.persica_gdr_reftransV1_0004058")</f>
        <v>p.persica_gdr_reftransV1_0004058</v>
      </c>
      <c r="B17154" s="3">
        <v>579</v>
      </c>
      <c r="C17154" s="1" t="str">
        <f>HYPERLINK("http://www.uniprot.org/uniprot/Y4230_ARATH","Y4230_ARATH")</f>
        <v>Y4230_ARATH</v>
      </c>
      <c r="D17154" t="s">
        <v>3999</v>
      </c>
      <c r="E17154" s="3" t="s">
        <v>3</v>
      </c>
      <c r="F17154" s="4">
        <v>2.0800000000000001E-95</v>
      </c>
      <c r="G17154" s="3">
        <v>772</v>
      </c>
      <c r="H17154" s="3">
        <v>79</v>
      </c>
      <c r="I17154" s="3">
        <v>180</v>
      </c>
      <c r="J17154" s="3">
        <v>2</v>
      </c>
      <c r="K17154" s="3">
        <v>538</v>
      </c>
      <c r="L17154" s="3">
        <v>642</v>
      </c>
      <c r="M17154" s="3">
        <v>821</v>
      </c>
    </row>
    <row r="17155" spans="1:13" x14ac:dyDescent="0.25">
      <c r="A17155" s="1" t="str">
        <f>HYPERLINK("http://www.rosaceae.org/Prunus/Prunus_persica/p.persica_gdr_reftransV1_0004258","p.persica_gdr_reftransV1_0004258")</f>
        <v>p.persica_gdr_reftransV1_0004258</v>
      </c>
      <c r="B17155" s="3">
        <v>2455</v>
      </c>
      <c r="C17155" s="1" t="str">
        <f>HYPERLINK("http://www.uniprot.org/uniprot/INVE_ARATH","INVE_ARATH")</f>
        <v>INVE_ARATH</v>
      </c>
      <c r="D17155" t="s">
        <v>3007</v>
      </c>
      <c r="E17155" s="3" t="s">
        <v>3</v>
      </c>
      <c r="F17155" s="4">
        <v>0</v>
      </c>
      <c r="G17155" s="3">
        <v>2322</v>
      </c>
      <c r="H17155" s="3">
        <v>68</v>
      </c>
      <c r="I17155" s="3">
        <v>671</v>
      </c>
      <c r="J17155" s="3">
        <v>344</v>
      </c>
      <c r="K17155" s="3">
        <v>2353</v>
      </c>
      <c r="L17155" s="3">
        <v>1</v>
      </c>
      <c r="M17155" s="3">
        <v>610</v>
      </c>
    </row>
    <row r="17156" spans="1:13" x14ac:dyDescent="0.25">
      <c r="A17156" s="1" t="str">
        <f>HYPERLINK("http://www.rosaceae.org/Prunus/Prunus_persica/p.persica_gdr_reftransV1_0004308","p.persica_gdr_reftransV1_0004308")</f>
        <v>p.persica_gdr_reftransV1_0004308</v>
      </c>
      <c r="B17156" s="3">
        <v>519</v>
      </c>
      <c r="C17156" s="1" t="str">
        <f>HYPERLINK("http://www.uniprot.org/uniprot/RER1B_ARATH","RER1B_ARATH")</f>
        <v>RER1B_ARATH</v>
      </c>
      <c r="D17156" t="s">
        <v>3828</v>
      </c>
      <c r="E17156" s="3" t="s">
        <v>3</v>
      </c>
      <c r="F17156" s="4">
        <v>2.2000000000000001E-26</v>
      </c>
      <c r="G17156" s="3">
        <v>260</v>
      </c>
      <c r="H17156" s="3">
        <v>64</v>
      </c>
      <c r="I17156" s="3">
        <v>101</v>
      </c>
      <c r="J17156" s="3">
        <v>217</v>
      </c>
      <c r="K17156" s="3">
        <v>519</v>
      </c>
      <c r="L17156" s="3">
        <v>1</v>
      </c>
      <c r="M17156" s="3">
        <v>101</v>
      </c>
    </row>
    <row r="17157" spans="1:13" x14ac:dyDescent="0.25">
      <c r="A17157" s="1" t="str">
        <f>HYPERLINK("http://www.rosaceae.org/Prunus/Prunus_persica/p.persica_gdr_reftransV1_0004458","p.persica_gdr_reftransV1_0004458")</f>
        <v>p.persica_gdr_reftransV1_0004458</v>
      </c>
      <c r="B17157" s="3">
        <v>991</v>
      </c>
      <c r="C17157" s="1" t="str">
        <f>HYPERLINK("http://www.uniprot.org/uniprot/ROC4_NICSY","ROC4_NICSY")</f>
        <v>ROC4_NICSY</v>
      </c>
      <c r="D17157" t="s">
        <v>8267</v>
      </c>
      <c r="E17157" s="3" t="s">
        <v>495</v>
      </c>
      <c r="F17157" s="4">
        <v>8.7000000000000004E-44</v>
      </c>
      <c r="G17157" s="3">
        <v>400</v>
      </c>
      <c r="H17157" s="3">
        <v>50</v>
      </c>
      <c r="I17157" s="3">
        <v>228</v>
      </c>
      <c r="J17157" s="3">
        <v>404</v>
      </c>
      <c r="K17157" s="3">
        <v>991</v>
      </c>
      <c r="L17157" s="3">
        <v>1</v>
      </c>
      <c r="M17157" s="3">
        <v>213</v>
      </c>
    </row>
    <row r="17158" spans="1:13" x14ac:dyDescent="0.25">
      <c r="A17158" s="1" t="str">
        <f>HYPERLINK("http://www.rosaceae.org/Prunus/Prunus_persica/p.persica_gdr_reftransV1_0004508","p.persica_gdr_reftransV1_0004508")</f>
        <v>p.persica_gdr_reftransV1_0004508</v>
      </c>
      <c r="B17158" s="3">
        <v>1125</v>
      </c>
      <c r="C17158" s="1" t="str">
        <f>HYPERLINK("http://www.uniprot.org/uniprot/PNSL4_ARATH","PNSL4_ARATH")</f>
        <v>PNSL4_ARATH</v>
      </c>
      <c r="D17158" t="s">
        <v>10594</v>
      </c>
      <c r="E17158" s="3" t="s">
        <v>3</v>
      </c>
      <c r="F17158" s="4">
        <v>2.9600000000000001E-81</v>
      </c>
      <c r="G17158" s="3">
        <v>649</v>
      </c>
      <c r="H17158" s="3">
        <v>75</v>
      </c>
      <c r="I17158" s="3">
        <v>171</v>
      </c>
      <c r="J17158" s="3">
        <v>238</v>
      </c>
      <c r="K17158" s="3">
        <v>750</v>
      </c>
      <c r="L17158" s="3">
        <v>44</v>
      </c>
      <c r="M17158" s="3">
        <v>214</v>
      </c>
    </row>
    <row r="17159" spans="1:13" x14ac:dyDescent="0.25">
      <c r="A17159" s="1" t="str">
        <f>HYPERLINK("http://www.rosaceae.org/Prunus/Prunus_persica/p.persica_gdr_reftransV1_0004558","p.persica_gdr_reftransV1_0004558")</f>
        <v>p.persica_gdr_reftransV1_0004558</v>
      </c>
      <c r="B17159" s="3">
        <v>369</v>
      </c>
      <c r="C17159" s="1" t="str">
        <f>HYPERLINK("http://www.uniprot.org/uniprot/KATAM_ORYSJ","KATAM_ORYSJ")</f>
        <v>KATAM_ORYSJ</v>
      </c>
      <c r="D17159" t="s">
        <v>1088</v>
      </c>
      <c r="E17159" s="3" t="s">
        <v>38</v>
      </c>
      <c r="F17159" s="4">
        <v>4.7700000000000001E-31</v>
      </c>
      <c r="G17159" s="3">
        <v>300</v>
      </c>
      <c r="H17159" s="3">
        <v>48</v>
      </c>
      <c r="I17159" s="3">
        <v>122</v>
      </c>
      <c r="J17159" s="3">
        <v>5</v>
      </c>
      <c r="K17159" s="3">
        <v>367</v>
      </c>
      <c r="L17159" s="3">
        <v>291</v>
      </c>
      <c r="M17159" s="3">
        <v>410</v>
      </c>
    </row>
    <row r="17160" spans="1:13" x14ac:dyDescent="0.25">
      <c r="A17160" s="1" t="str">
        <f>HYPERLINK("http://www.rosaceae.org/Prunus/Prunus_persica/p.persica_gdr_reftransV1_0004708","p.persica_gdr_reftransV1_0004708")</f>
        <v>p.persica_gdr_reftransV1_0004708</v>
      </c>
      <c r="B17160" s="3">
        <v>2337</v>
      </c>
      <c r="C17160" s="1" t="str">
        <f>HYPERLINK("http://www.uniprot.org/uniprot/EML3_ARATH","EML3_ARATH")</f>
        <v>EML3_ARATH</v>
      </c>
      <c r="D17160" t="s">
        <v>6358</v>
      </c>
      <c r="E17160" s="3" t="s">
        <v>3</v>
      </c>
      <c r="F17160" s="4">
        <v>1.24E-114</v>
      </c>
      <c r="G17160" s="3">
        <v>923</v>
      </c>
      <c r="H17160" s="3">
        <v>55</v>
      </c>
      <c r="I17160" s="3">
        <v>390</v>
      </c>
      <c r="J17160" s="3">
        <v>438</v>
      </c>
      <c r="K17160" s="3">
        <v>1520</v>
      </c>
      <c r="L17160" s="3">
        <v>22</v>
      </c>
      <c r="M17160" s="3">
        <v>394</v>
      </c>
    </row>
    <row r="17161" spans="1:13" x14ac:dyDescent="0.25">
      <c r="A17161" s="1" t="str">
        <f>HYPERLINK("http://www.rosaceae.org/Prunus/Prunus_persica/p.persica_gdr_reftransV1_0004858","p.persica_gdr_reftransV1_0004858")</f>
        <v>p.persica_gdr_reftransV1_0004858</v>
      </c>
      <c r="B17161" s="3">
        <v>1954</v>
      </c>
      <c r="C17161" s="1" t="str">
        <f>HYPERLINK("http://www.uniprot.org/uniprot/VEP1_ARATH","VEP1_ARATH")</f>
        <v>VEP1_ARATH</v>
      </c>
      <c r="D17161" t="s">
        <v>3813</v>
      </c>
      <c r="E17161" s="3" t="s">
        <v>3</v>
      </c>
      <c r="F17161" s="4">
        <v>0</v>
      </c>
      <c r="G17161" s="3">
        <v>1439</v>
      </c>
      <c r="H17161" s="3">
        <v>74</v>
      </c>
      <c r="I17161" s="3">
        <v>376</v>
      </c>
      <c r="J17161" s="3">
        <v>402</v>
      </c>
      <c r="K17161" s="3">
        <v>1529</v>
      </c>
      <c r="L17161" s="3">
        <v>16</v>
      </c>
      <c r="M17161" s="3">
        <v>388</v>
      </c>
    </row>
    <row r="17162" spans="1:13" x14ac:dyDescent="0.25">
      <c r="A17162" s="1" t="str">
        <f>HYPERLINK("http://www.rosaceae.org/Prunus/Prunus_persica/p.persica_gdr_reftransV1_0004958","p.persica_gdr_reftransV1_0004958")</f>
        <v>p.persica_gdr_reftransV1_0004958</v>
      </c>
      <c r="B17162" s="3">
        <v>1685</v>
      </c>
      <c r="C17162" s="1" t="str">
        <f>HYPERLINK("http://www.uniprot.org/uniprot/SWET2_ARATH","SWET2_ARATH")</f>
        <v>SWET2_ARATH</v>
      </c>
      <c r="D17162" t="s">
        <v>9403</v>
      </c>
      <c r="E17162" s="3" t="s">
        <v>3</v>
      </c>
      <c r="F17162" s="4">
        <v>1.7900000000000001E-32</v>
      </c>
      <c r="G17162" s="3">
        <v>323</v>
      </c>
      <c r="H17162" s="3">
        <v>71</v>
      </c>
      <c r="I17162" s="3">
        <v>111</v>
      </c>
      <c r="J17162" s="3">
        <v>668</v>
      </c>
      <c r="K17162" s="3">
        <v>997</v>
      </c>
      <c r="L17162" s="3">
        <v>125</v>
      </c>
      <c r="M17162" s="3">
        <v>235</v>
      </c>
    </row>
    <row r="17163" spans="1:13" x14ac:dyDescent="0.25">
      <c r="A17163" s="1" t="str">
        <f>HYPERLINK("http://www.rosaceae.org/Prunus/Prunus_persica/p.persica_gdr_reftransV1_0005058","p.persica_gdr_reftransV1_0005058")</f>
        <v>p.persica_gdr_reftransV1_0005058</v>
      </c>
      <c r="B17163" s="3">
        <v>2789</v>
      </c>
      <c r="C17163" s="1" t="str">
        <f>HYPERLINK("http://www.uniprot.org/uniprot/RFS2_ARATH","RFS2_ARATH")</f>
        <v>RFS2_ARATH</v>
      </c>
      <c r="D17163" t="s">
        <v>5622</v>
      </c>
      <c r="E17163" s="3" t="s">
        <v>3</v>
      </c>
      <c r="F17163" s="4">
        <v>0</v>
      </c>
      <c r="G17163" s="3">
        <v>3291</v>
      </c>
      <c r="H17163" s="3">
        <v>77</v>
      </c>
      <c r="I17163" s="3">
        <v>770</v>
      </c>
      <c r="J17163" s="3">
        <v>237</v>
      </c>
      <c r="K17163" s="3">
        <v>2537</v>
      </c>
      <c r="L17163" s="3">
        <v>7</v>
      </c>
      <c r="M17163" s="3">
        <v>773</v>
      </c>
    </row>
    <row r="17164" spans="1:13" x14ac:dyDescent="0.25">
      <c r="A17164" s="1" t="str">
        <f>HYPERLINK("http://www.rosaceae.org/Prunus/Prunus_persica/p.persica_gdr_reftransV1_0005158","p.persica_gdr_reftransV1_0005158")</f>
        <v>p.persica_gdr_reftransV1_0005158</v>
      </c>
      <c r="B17164" s="3">
        <v>513</v>
      </c>
      <c r="C17164" s="1" t="str">
        <f>HYPERLINK("http://www.uniprot.org/uniprot/TMVRN_NICGU","TMVRN_NICGU")</f>
        <v>TMVRN_NICGU</v>
      </c>
      <c r="D17164" t="s">
        <v>151</v>
      </c>
      <c r="E17164" s="3" t="s">
        <v>152</v>
      </c>
      <c r="F17164" s="4">
        <v>4.5099999999999998E-14</v>
      </c>
      <c r="G17164" s="3">
        <v>181</v>
      </c>
      <c r="H17164" s="3">
        <v>40</v>
      </c>
      <c r="I17164" s="3">
        <v>105</v>
      </c>
      <c r="J17164" s="3">
        <v>196</v>
      </c>
      <c r="K17164" s="3">
        <v>510</v>
      </c>
      <c r="L17164" s="3">
        <v>476</v>
      </c>
      <c r="M17164" s="3">
        <v>577</v>
      </c>
    </row>
    <row r="17165" spans="1:13" x14ac:dyDescent="0.25">
      <c r="A17165" s="1" t="str">
        <f>HYPERLINK("http://www.rosaceae.org/Prunus/Prunus_persica/p.persica_gdr_reftransV1_0005208","p.persica_gdr_reftransV1_0005208")</f>
        <v>p.persica_gdr_reftransV1_0005208</v>
      </c>
      <c r="B17165" s="3">
        <v>1713</v>
      </c>
      <c r="C17165" s="1" t="str">
        <f>HYPERLINK("http://www.uniprot.org/uniprot/TRB1_ARATH","TRB1_ARATH")</f>
        <v>TRB1_ARATH</v>
      </c>
      <c r="D17165" t="s">
        <v>10595</v>
      </c>
      <c r="E17165" s="3" t="s">
        <v>3</v>
      </c>
      <c r="F17165" s="4">
        <v>1.9899999999999998E-96</v>
      </c>
      <c r="G17165" s="3">
        <v>775</v>
      </c>
      <c r="H17165" s="3">
        <v>66</v>
      </c>
      <c r="I17165" s="3">
        <v>306</v>
      </c>
      <c r="J17165" s="3">
        <v>279</v>
      </c>
      <c r="K17165" s="3">
        <v>1175</v>
      </c>
      <c r="L17165" s="3">
        <v>1</v>
      </c>
      <c r="M17165" s="3">
        <v>299</v>
      </c>
    </row>
    <row r="17166" spans="1:13" x14ac:dyDescent="0.25">
      <c r="A17166" s="1" t="str">
        <f>HYPERLINK("http://www.rosaceae.org/Prunus/Prunus_persica/p.persica_gdr_reftransV1_0005408","p.persica_gdr_reftransV1_0005408")</f>
        <v>p.persica_gdr_reftransV1_0005408</v>
      </c>
      <c r="B17166" s="3">
        <v>1206</v>
      </c>
      <c r="C17166" s="1" t="str">
        <f>HYPERLINK("http://www.uniprot.org/uniprot/SUS2_ARATH","SUS2_ARATH")</f>
        <v>SUS2_ARATH</v>
      </c>
      <c r="D17166" t="s">
        <v>3043</v>
      </c>
      <c r="E17166" s="3" t="s">
        <v>3</v>
      </c>
      <c r="F17166" s="4">
        <v>0</v>
      </c>
      <c r="G17166" s="3">
        <v>1875</v>
      </c>
      <c r="H17166" s="3">
        <v>86</v>
      </c>
      <c r="I17166" s="3">
        <v>402</v>
      </c>
      <c r="J17166" s="3">
        <v>1</v>
      </c>
      <c r="K17166" s="3">
        <v>1206</v>
      </c>
      <c r="L17166" s="3">
        <v>91</v>
      </c>
      <c r="M17166" s="3">
        <v>492</v>
      </c>
    </row>
    <row r="17167" spans="1:13" x14ac:dyDescent="0.25">
      <c r="A17167" s="1" t="str">
        <f>HYPERLINK("http://www.rosaceae.org/Prunus/Prunus_persica/p.persica_gdr_reftransV1_0005458","p.persica_gdr_reftransV1_0005458")</f>
        <v>p.persica_gdr_reftransV1_0005458</v>
      </c>
      <c r="B17167" s="3">
        <v>2333</v>
      </c>
      <c r="C17167" s="1" t="str">
        <f>HYPERLINK("http://www.uniprot.org/uniprot/CYP59_ARATH","CYP59_ARATH")</f>
        <v>CYP59_ARATH</v>
      </c>
      <c r="D17167" t="s">
        <v>4044</v>
      </c>
      <c r="E17167" s="3" t="s">
        <v>3</v>
      </c>
      <c r="F17167" s="4">
        <v>0</v>
      </c>
      <c r="G17167" s="3">
        <v>1642</v>
      </c>
      <c r="H17167" s="3">
        <v>72</v>
      </c>
      <c r="I17167" s="3">
        <v>481</v>
      </c>
      <c r="J17167" s="3">
        <v>685</v>
      </c>
      <c r="K17167" s="3">
        <v>2124</v>
      </c>
      <c r="L17167" s="3">
        <v>1</v>
      </c>
      <c r="M17167" s="3">
        <v>441</v>
      </c>
    </row>
    <row r="17168" spans="1:13" x14ac:dyDescent="0.25">
      <c r="A17168" s="1" t="str">
        <f>HYPERLINK("http://www.rosaceae.org/Prunus/Prunus_persica/p.persica_gdr_reftransV1_0005558","p.persica_gdr_reftransV1_0005558")</f>
        <v>p.persica_gdr_reftransV1_0005558</v>
      </c>
      <c r="B17168" s="3">
        <v>978</v>
      </c>
      <c r="C17168" s="1" t="str">
        <f>HYPERLINK("http://www.uniprot.org/uniprot/Y4230_ARATH","Y4230_ARATH")</f>
        <v>Y4230_ARATH</v>
      </c>
      <c r="D17168" t="s">
        <v>3999</v>
      </c>
      <c r="E17168" s="3" t="s">
        <v>3</v>
      </c>
      <c r="F17168" s="4">
        <v>7.3700000000000003E-113</v>
      </c>
      <c r="G17168" s="3">
        <v>906</v>
      </c>
      <c r="H17168" s="3">
        <v>72</v>
      </c>
      <c r="I17168" s="3">
        <v>257</v>
      </c>
      <c r="J17168" s="3">
        <v>215</v>
      </c>
      <c r="K17168" s="3">
        <v>976</v>
      </c>
      <c r="L17168" s="3">
        <v>596</v>
      </c>
      <c r="M17168" s="3">
        <v>852</v>
      </c>
    </row>
    <row r="17169" spans="1:13" x14ac:dyDescent="0.25">
      <c r="A17169" s="1" t="str">
        <f>HYPERLINK("http://www.rosaceae.org/Prunus/Prunus_persica/p.persica_gdr_reftransV1_0005608","p.persica_gdr_reftransV1_0005608")</f>
        <v>p.persica_gdr_reftransV1_0005608</v>
      </c>
      <c r="B17169" s="3">
        <v>442</v>
      </c>
      <c r="C17169" s="1" t="str">
        <f>HYPERLINK("http://www.uniprot.org/uniprot/CML10_ORYSJ","CML10_ORYSJ")</f>
        <v>CML10_ORYSJ</v>
      </c>
      <c r="D17169" t="s">
        <v>10596</v>
      </c>
      <c r="E17169" s="3" t="s">
        <v>38</v>
      </c>
      <c r="F17169" s="4">
        <v>6.9100000000000003E-8</v>
      </c>
      <c r="G17169" s="3">
        <v>124</v>
      </c>
      <c r="H17169" s="3">
        <v>39</v>
      </c>
      <c r="I17169" s="3">
        <v>66</v>
      </c>
      <c r="J17169" s="3">
        <v>128</v>
      </c>
      <c r="K17169" s="3">
        <v>325</v>
      </c>
      <c r="L17169" s="3">
        <v>35</v>
      </c>
      <c r="M17169" s="3">
        <v>100</v>
      </c>
    </row>
    <row r="17170" spans="1:13" x14ac:dyDescent="0.25">
      <c r="A17170" s="1" t="str">
        <f>HYPERLINK("http://www.rosaceae.org/Prunus/Prunus_persica/p.persica_gdr_reftransV1_0005658","p.persica_gdr_reftransV1_0005658")</f>
        <v>p.persica_gdr_reftransV1_0005658</v>
      </c>
      <c r="B17170" s="3">
        <v>3126</v>
      </c>
      <c r="C17170" s="1" t="str">
        <f>HYPERLINK("http://www.uniprot.org/uniprot/TMVRN_NICGU","TMVRN_NICGU")</f>
        <v>TMVRN_NICGU</v>
      </c>
      <c r="D17170" t="s">
        <v>151</v>
      </c>
      <c r="E17170" s="3" t="s">
        <v>152</v>
      </c>
      <c r="F17170" s="4">
        <v>1.9200000000000001E-131</v>
      </c>
      <c r="G17170" s="3">
        <v>1114</v>
      </c>
      <c r="H17170" s="3">
        <v>36</v>
      </c>
      <c r="I17170" s="3">
        <v>839</v>
      </c>
      <c r="J17170" s="3">
        <v>650</v>
      </c>
      <c r="K17170" s="3">
        <v>3106</v>
      </c>
      <c r="L17170" s="3">
        <v>209</v>
      </c>
      <c r="M17170" s="3">
        <v>1013</v>
      </c>
    </row>
    <row r="17171" spans="1:13" x14ac:dyDescent="0.25">
      <c r="A17171" s="1" t="str">
        <f>HYPERLINK("http://www.rosaceae.org/Prunus/Prunus_persica/p.persica_gdr_reftransV1_0005758","p.persica_gdr_reftransV1_0005758")</f>
        <v>p.persica_gdr_reftransV1_0005758</v>
      </c>
      <c r="B17171" s="3">
        <v>1514</v>
      </c>
      <c r="C17171" s="1" t="str">
        <f>HYPERLINK("http://www.uniprot.org/uniprot/CIPK5_ORYSJ","CIPK5_ORYSJ")</f>
        <v>CIPK5_ORYSJ</v>
      </c>
      <c r="D17171" t="s">
        <v>4434</v>
      </c>
      <c r="E17171" s="3" t="s">
        <v>38</v>
      </c>
      <c r="F17171" s="4">
        <v>8.9000000000000006E-165</v>
      </c>
      <c r="G17171" s="3">
        <v>1240</v>
      </c>
      <c r="H17171" s="3">
        <v>69</v>
      </c>
      <c r="I17171" s="3">
        <v>334</v>
      </c>
      <c r="J17171" s="3">
        <v>3</v>
      </c>
      <c r="K17171" s="3">
        <v>1004</v>
      </c>
      <c r="L17171" s="3">
        <v>113</v>
      </c>
      <c r="M17171" s="3">
        <v>437</v>
      </c>
    </row>
    <row r="17172" spans="1:13" x14ac:dyDescent="0.25">
      <c r="A17172" s="1" t="str">
        <f>HYPERLINK("http://www.rosaceae.org/Prunus/Prunus_persica/p.persica_gdr_reftransV1_0005908","p.persica_gdr_reftransV1_0005908")</f>
        <v>p.persica_gdr_reftransV1_0005908</v>
      </c>
      <c r="B17172" s="3">
        <v>750</v>
      </c>
      <c r="C17172" s="1" t="str">
        <f>HYPERLINK("http://www.uniprot.org/uniprot/R13L1_ARATH","R13L1_ARATH")</f>
        <v>R13L1_ARATH</v>
      </c>
      <c r="D17172" t="s">
        <v>100</v>
      </c>
      <c r="E17172" s="3" t="s">
        <v>3</v>
      </c>
      <c r="F17172" s="4">
        <v>1.7799999999999999E-63</v>
      </c>
      <c r="G17172" s="3">
        <v>556</v>
      </c>
      <c r="H17172" s="3">
        <v>49</v>
      </c>
      <c r="I17172" s="3">
        <v>253</v>
      </c>
      <c r="J17172" s="3">
        <v>1</v>
      </c>
      <c r="K17172" s="3">
        <v>750</v>
      </c>
      <c r="L17172" s="3">
        <v>430</v>
      </c>
      <c r="M17172" s="3">
        <v>680</v>
      </c>
    </row>
    <row r="17173" spans="1:13" x14ac:dyDescent="0.25">
      <c r="A17173" s="1" t="str">
        <f>HYPERLINK("http://www.rosaceae.org/Prunus/Prunus_persica/p.persica_gdr_reftransV1_0006758","p.persica_gdr_reftransV1_0006758")</f>
        <v>p.persica_gdr_reftransV1_0006758</v>
      </c>
      <c r="B17173" s="3">
        <v>1156</v>
      </c>
      <c r="C17173" s="1" t="str">
        <f>HYPERLINK("http://www.uniprot.org/uniprot/G2OX_PHACN","G2OX_PHACN")</f>
        <v>G2OX_PHACN</v>
      </c>
      <c r="D17173" t="s">
        <v>10597</v>
      </c>
      <c r="E17173" s="3" t="s">
        <v>10598</v>
      </c>
      <c r="F17173" s="4">
        <v>4.8000000000000003E-146</v>
      </c>
      <c r="G17173" s="3">
        <v>1091</v>
      </c>
      <c r="H17173" s="3">
        <v>77</v>
      </c>
      <c r="I17173" s="3">
        <v>263</v>
      </c>
      <c r="J17173" s="3">
        <v>368</v>
      </c>
      <c r="K17173" s="3">
        <v>1156</v>
      </c>
      <c r="L17173" s="3">
        <v>69</v>
      </c>
      <c r="M17173" s="3">
        <v>330</v>
      </c>
    </row>
    <row r="17174" spans="1:13" x14ac:dyDescent="0.25">
      <c r="A17174" s="1" t="str">
        <f>HYPERLINK("http://www.rosaceae.org/Prunus/Prunus_persica/p.persica_gdr_reftransV1_0006808","p.persica_gdr_reftransV1_0006808")</f>
        <v>p.persica_gdr_reftransV1_0006808</v>
      </c>
      <c r="B17174" s="3">
        <v>555</v>
      </c>
      <c r="C17174" s="1" t="str">
        <f>HYPERLINK("http://www.uniprot.org/uniprot/LRK91_ARATH","LRK91_ARATH")</f>
        <v>LRK91_ARATH</v>
      </c>
      <c r="D17174" t="s">
        <v>5103</v>
      </c>
      <c r="E17174" s="3" t="s">
        <v>3</v>
      </c>
      <c r="F17174" s="4">
        <v>2.4099999999999999E-18</v>
      </c>
      <c r="G17174" s="3">
        <v>213</v>
      </c>
      <c r="H17174" s="3">
        <v>69</v>
      </c>
      <c r="I17174" s="3">
        <v>52</v>
      </c>
      <c r="J17174" s="3">
        <v>397</v>
      </c>
      <c r="K17174" s="3">
        <v>552</v>
      </c>
      <c r="L17174" s="3">
        <v>574</v>
      </c>
      <c r="M17174" s="3">
        <v>625</v>
      </c>
    </row>
    <row r="17175" spans="1:13" x14ac:dyDescent="0.25">
      <c r="A17175" s="1" t="str">
        <f>HYPERLINK("http://www.rosaceae.org/Prunus/Prunus_persica/p.persica_gdr_reftransV1_0006858","p.persica_gdr_reftransV1_0006858")</f>
        <v>p.persica_gdr_reftransV1_0006858</v>
      </c>
      <c r="B17175" s="3">
        <v>1066</v>
      </c>
      <c r="C17175" s="1" t="str">
        <f>HYPERLINK("http://www.uniprot.org/uniprot/PP333_ARATH","PP333_ARATH")</f>
        <v>PP333_ARATH</v>
      </c>
      <c r="D17175" t="s">
        <v>2209</v>
      </c>
      <c r="E17175" s="3" t="s">
        <v>3</v>
      </c>
      <c r="F17175" s="4">
        <v>1.5999999999999999E-97</v>
      </c>
      <c r="G17175" s="3">
        <v>507</v>
      </c>
      <c r="H17175" s="3">
        <v>51</v>
      </c>
      <c r="I17175" s="3">
        <v>196</v>
      </c>
      <c r="J17175" s="3">
        <v>32</v>
      </c>
      <c r="K17175" s="3">
        <v>619</v>
      </c>
      <c r="L17175" s="3">
        <v>162</v>
      </c>
      <c r="M17175" s="3">
        <v>357</v>
      </c>
    </row>
    <row r="17176" spans="1:13" x14ac:dyDescent="0.25">
      <c r="A17176" s="1" t="str">
        <f>HYPERLINK("http://www.rosaceae.org/Prunus/Prunus_persica/p.persica_gdr_reftransV1_0006908","p.persica_gdr_reftransV1_0006908")</f>
        <v>p.persica_gdr_reftransV1_0006908</v>
      </c>
      <c r="B17176" s="3">
        <v>439</v>
      </c>
      <c r="C17176" s="1" t="str">
        <f>HYPERLINK("http://www.uniprot.org/uniprot/PSYR1_ARATH","PSYR1_ARATH")</f>
        <v>PSYR1_ARATH</v>
      </c>
      <c r="D17176" t="s">
        <v>177</v>
      </c>
      <c r="E17176" s="3" t="s">
        <v>3</v>
      </c>
      <c r="F17176" s="4">
        <v>8.4200000000000003E-26</v>
      </c>
      <c r="G17176" s="3">
        <v>268</v>
      </c>
      <c r="H17176" s="3">
        <v>47</v>
      </c>
      <c r="I17176" s="3">
        <v>147</v>
      </c>
      <c r="J17176" s="3">
        <v>1</v>
      </c>
      <c r="K17176" s="3">
        <v>432</v>
      </c>
      <c r="L17176" s="3">
        <v>502</v>
      </c>
      <c r="M17176" s="3">
        <v>646</v>
      </c>
    </row>
    <row r="17177" spans="1:13" x14ac:dyDescent="0.25">
      <c r="A17177" s="1" t="str">
        <f>HYPERLINK("http://www.rosaceae.org/Prunus/Prunus_persica/p.persica_gdr_reftransV1_0007308","p.persica_gdr_reftransV1_0007308")</f>
        <v>p.persica_gdr_reftransV1_0007308</v>
      </c>
      <c r="B17177" s="3">
        <v>4718</v>
      </c>
      <c r="C17177" s="1" t="str">
        <f>HYPERLINK("http://www.uniprot.org/uniprot/EMF1_ARATH","EMF1_ARATH")</f>
        <v>EMF1_ARATH</v>
      </c>
      <c r="D17177" t="s">
        <v>459</v>
      </c>
      <c r="E17177" s="3" t="s">
        <v>3</v>
      </c>
      <c r="F17177" s="4">
        <v>2.3700000000000001E-42</v>
      </c>
      <c r="G17177" s="3">
        <v>439</v>
      </c>
      <c r="H17177" s="3">
        <v>31</v>
      </c>
      <c r="I17177" s="3">
        <v>568</v>
      </c>
      <c r="J17177" s="3">
        <v>2465</v>
      </c>
      <c r="K17177" s="3">
        <v>4114</v>
      </c>
      <c r="L17177" s="3">
        <v>568</v>
      </c>
      <c r="M17177" s="3">
        <v>1067</v>
      </c>
    </row>
    <row r="17178" spans="1:13" x14ac:dyDescent="0.25">
      <c r="A17178" s="1" t="str">
        <f>HYPERLINK("http://www.rosaceae.org/Prunus/Prunus_persica/p.persica_gdr_reftransV1_0007358","p.persica_gdr_reftransV1_0007358")</f>
        <v>p.persica_gdr_reftransV1_0007358</v>
      </c>
      <c r="B17178" s="3">
        <v>1926</v>
      </c>
      <c r="C17178" s="1" t="str">
        <f>HYPERLINK("http://www.uniprot.org/uniprot/VDE_TOBAC","VDE_TOBAC")</f>
        <v>VDE_TOBAC</v>
      </c>
      <c r="D17178" t="s">
        <v>10599</v>
      </c>
      <c r="E17178" s="3" t="s">
        <v>200</v>
      </c>
      <c r="F17178" s="4">
        <v>4.0500000000000002E-11</v>
      </c>
      <c r="G17178" s="3">
        <v>168</v>
      </c>
      <c r="H17178" s="3">
        <v>22</v>
      </c>
      <c r="I17178" s="3">
        <v>274</v>
      </c>
      <c r="J17178" s="3">
        <v>827</v>
      </c>
      <c r="K17178" s="3">
        <v>1618</v>
      </c>
      <c r="L17178" s="3">
        <v>137</v>
      </c>
      <c r="M17178" s="3">
        <v>388</v>
      </c>
    </row>
    <row r="17179" spans="1:13" x14ac:dyDescent="0.25">
      <c r="A17179" s="1" t="str">
        <f>HYPERLINK("http://www.rosaceae.org/Prunus/Prunus_persica/p.persica_gdr_reftransV1_0007908","p.persica_gdr_reftransV1_0007908")</f>
        <v>p.persica_gdr_reftransV1_0007908</v>
      </c>
      <c r="B17179" s="3">
        <v>1301</v>
      </c>
      <c r="C17179" s="1" t="str">
        <f>HYPERLINK("http://www.uniprot.org/uniprot/WAKLH_ARATH","WAKLH_ARATH")</f>
        <v>WAKLH_ARATH</v>
      </c>
      <c r="D17179" t="s">
        <v>5503</v>
      </c>
      <c r="E17179" s="3" t="s">
        <v>3</v>
      </c>
      <c r="F17179" s="4">
        <v>3.1599999999999999E-149</v>
      </c>
      <c r="G17179" s="3">
        <v>1158</v>
      </c>
      <c r="H17179" s="3">
        <v>68</v>
      </c>
      <c r="I17179" s="3">
        <v>312</v>
      </c>
      <c r="J17179" s="3">
        <v>368</v>
      </c>
      <c r="K17179" s="3">
        <v>1300</v>
      </c>
      <c r="L17179" s="3">
        <v>413</v>
      </c>
      <c r="M17179" s="3">
        <v>723</v>
      </c>
    </row>
    <row r="17180" spans="1:13" x14ac:dyDescent="0.25">
      <c r="A17180" s="1" t="str">
        <f>HYPERLINK("http://www.rosaceae.org/Prunus/Prunus_persica/p.persica_gdr_reftransV1_0007958","p.persica_gdr_reftransV1_0007958")</f>
        <v>p.persica_gdr_reftransV1_0007958</v>
      </c>
      <c r="B17180" s="3">
        <v>3575</v>
      </c>
      <c r="C17180" s="1" t="str">
        <f>HYPERLINK("http://www.uniprot.org/uniprot/GLR34_ARATH","GLR34_ARATH")</f>
        <v>GLR34_ARATH</v>
      </c>
      <c r="D17180" t="s">
        <v>7659</v>
      </c>
      <c r="E17180" s="3" t="s">
        <v>3</v>
      </c>
      <c r="F17180" s="4">
        <v>0</v>
      </c>
      <c r="G17180" s="3">
        <v>3220</v>
      </c>
      <c r="H17180" s="3">
        <v>68</v>
      </c>
      <c r="I17180" s="3">
        <v>881</v>
      </c>
      <c r="J17180" s="3">
        <v>370</v>
      </c>
      <c r="K17180" s="3">
        <v>3006</v>
      </c>
      <c r="L17180" s="3">
        <v>54</v>
      </c>
      <c r="M17180" s="3">
        <v>932</v>
      </c>
    </row>
    <row r="17181" spans="1:13" x14ac:dyDescent="0.25">
      <c r="A17181" s="1" t="str">
        <f>HYPERLINK("http://www.rosaceae.org/Prunus/Prunus_persica/p.persica_gdr_reftransV1_0008058","p.persica_gdr_reftransV1_0008058")</f>
        <v>p.persica_gdr_reftransV1_0008058</v>
      </c>
      <c r="B17181" s="3">
        <v>742</v>
      </c>
      <c r="C17181" s="1" t="str">
        <f>HYPERLINK("http://www.uniprot.org/uniprot/DIR17_ARATH","DIR17_ARATH")</f>
        <v>DIR17_ARATH</v>
      </c>
      <c r="D17181" t="s">
        <v>10600</v>
      </c>
      <c r="E17181" s="3" t="s">
        <v>3</v>
      </c>
      <c r="F17181" s="4">
        <v>5.3800000000000001E-36</v>
      </c>
      <c r="G17181" s="3">
        <v>337</v>
      </c>
      <c r="H17181" s="3">
        <v>58</v>
      </c>
      <c r="I17181" s="3">
        <v>117</v>
      </c>
      <c r="J17181" s="3">
        <v>169</v>
      </c>
      <c r="K17181" s="3">
        <v>516</v>
      </c>
      <c r="L17181" s="3">
        <v>1</v>
      </c>
      <c r="M17181" s="3">
        <v>112</v>
      </c>
    </row>
    <row r="17182" spans="1:13" x14ac:dyDescent="0.25">
      <c r="A17182" s="1" t="str">
        <f>HYPERLINK("http://www.rosaceae.org/Prunus/Prunus_persica/p.persica_gdr_reftransV1_0008108","p.persica_gdr_reftransV1_0008108")</f>
        <v>p.persica_gdr_reftransV1_0008108</v>
      </c>
      <c r="B17182" s="3">
        <v>1027</v>
      </c>
      <c r="C17182" s="1" t="str">
        <f>HYPERLINK("http://www.uniprot.org/uniprot/DNAJ_CLOTE","DNAJ_CLOTE")</f>
        <v>DNAJ_CLOTE</v>
      </c>
      <c r="D17182" t="s">
        <v>2971</v>
      </c>
      <c r="E17182" s="3" t="s">
        <v>2972</v>
      </c>
      <c r="F17182" s="4">
        <v>1.4500000000000001E-15</v>
      </c>
      <c r="G17182" s="3">
        <v>197</v>
      </c>
      <c r="H17182" s="3">
        <v>55</v>
      </c>
      <c r="I17182" s="3">
        <v>67</v>
      </c>
      <c r="J17182" s="3">
        <v>517</v>
      </c>
      <c r="K17182" s="3">
        <v>717</v>
      </c>
      <c r="L17182" s="3">
        <v>4</v>
      </c>
      <c r="M17182" s="3">
        <v>70</v>
      </c>
    </row>
    <row r="17183" spans="1:13" x14ac:dyDescent="0.25">
      <c r="A17183" s="1" t="str">
        <f>HYPERLINK("http://www.rosaceae.org/Prunus/Prunus_persica/p.persica_gdr_reftransV1_0008258","p.persica_gdr_reftransV1_0008258")</f>
        <v>p.persica_gdr_reftransV1_0008258</v>
      </c>
      <c r="B17183" s="3">
        <v>708</v>
      </c>
      <c r="C17183" s="1" t="str">
        <f>HYPERLINK("http://www.uniprot.org/uniprot/RL261_ARATH","RL261_ARATH")</f>
        <v>RL261_ARATH</v>
      </c>
      <c r="D17183" t="s">
        <v>9354</v>
      </c>
      <c r="E17183" s="3" t="s">
        <v>3</v>
      </c>
      <c r="F17183" s="4">
        <v>3.9399999999999999E-78</v>
      </c>
      <c r="G17183" s="3">
        <v>608</v>
      </c>
      <c r="H17183" s="3">
        <v>88</v>
      </c>
      <c r="I17183" s="3">
        <v>146</v>
      </c>
      <c r="J17183" s="3">
        <v>34</v>
      </c>
      <c r="K17183" s="3">
        <v>471</v>
      </c>
      <c r="L17183" s="3">
        <v>1</v>
      </c>
      <c r="M17183" s="3">
        <v>146</v>
      </c>
    </row>
    <row r="17184" spans="1:13" x14ac:dyDescent="0.25">
      <c r="A17184" s="1" t="str">
        <f>HYPERLINK("http://www.rosaceae.org/Prunus/Prunus_persica/p.persica_gdr_reftransV1_0008358","p.persica_gdr_reftransV1_0008358")</f>
        <v>p.persica_gdr_reftransV1_0008358</v>
      </c>
      <c r="B17184" s="3">
        <v>672</v>
      </c>
      <c r="C17184" s="1" t="str">
        <f>HYPERLINK("http://www.uniprot.org/uniprot/PPR27_ARATH","PPR27_ARATH")</f>
        <v>PPR27_ARATH</v>
      </c>
      <c r="D17184" t="s">
        <v>609</v>
      </c>
      <c r="E17184" s="3" t="s">
        <v>3</v>
      </c>
      <c r="F17184" s="4">
        <v>4.2700000000000002E-17</v>
      </c>
      <c r="G17184" s="3">
        <v>206</v>
      </c>
      <c r="H17184" s="3">
        <v>37</v>
      </c>
      <c r="I17184" s="3">
        <v>167</v>
      </c>
      <c r="J17184" s="3">
        <v>15</v>
      </c>
      <c r="K17184" s="3">
        <v>434</v>
      </c>
      <c r="L17184" s="3">
        <v>59</v>
      </c>
      <c r="M17184" s="3">
        <v>220</v>
      </c>
    </row>
    <row r="17185" spans="1:13" x14ac:dyDescent="0.25">
      <c r="A17185" s="1" t="str">
        <f>HYPERLINK("http://www.rosaceae.org/Prunus/Prunus_persica/p.persica_gdr_reftransV1_0008408","p.persica_gdr_reftransV1_0008408")</f>
        <v>p.persica_gdr_reftransV1_0008408</v>
      </c>
      <c r="B17185" s="3">
        <v>842</v>
      </c>
      <c r="C17185" s="1" t="str">
        <f>HYPERLINK("http://www.uniprot.org/uniprot/AGL12_ARATH","AGL12_ARATH")</f>
        <v>AGL12_ARATH</v>
      </c>
      <c r="D17185" t="s">
        <v>5834</v>
      </c>
      <c r="E17185" s="3" t="s">
        <v>3</v>
      </c>
      <c r="F17185" s="4">
        <v>5.1300000000000001E-76</v>
      </c>
      <c r="G17185" s="3">
        <v>604</v>
      </c>
      <c r="H17185" s="3">
        <v>61</v>
      </c>
      <c r="I17185" s="3">
        <v>212</v>
      </c>
      <c r="J17185" s="3">
        <v>52</v>
      </c>
      <c r="K17185" s="3">
        <v>663</v>
      </c>
      <c r="L17185" s="3">
        <v>1</v>
      </c>
      <c r="M17185" s="3">
        <v>211</v>
      </c>
    </row>
    <row r="17186" spans="1:13" x14ac:dyDescent="0.25">
      <c r="A17186" s="1" t="str">
        <f>HYPERLINK("http://www.rosaceae.org/Prunus/Prunus_persica/p.persica_gdr_reftransV1_0008558","p.persica_gdr_reftransV1_0008558")</f>
        <v>p.persica_gdr_reftransV1_0008558</v>
      </c>
      <c r="B17186" s="3">
        <v>1296</v>
      </c>
      <c r="C17186" s="1" t="str">
        <f>HYPERLINK("http://www.uniprot.org/uniprot/ZIP1_ARATH","ZIP1_ARATH")</f>
        <v>ZIP1_ARATH</v>
      </c>
      <c r="D17186" t="s">
        <v>10601</v>
      </c>
      <c r="E17186" s="3" t="s">
        <v>3</v>
      </c>
      <c r="F17186" s="4">
        <v>2.1299999999999999E-106</v>
      </c>
      <c r="G17186" s="3">
        <v>835</v>
      </c>
      <c r="H17186" s="3">
        <v>58</v>
      </c>
      <c r="I17186" s="3">
        <v>343</v>
      </c>
      <c r="J17186" s="3">
        <v>223</v>
      </c>
      <c r="K17186" s="3">
        <v>1212</v>
      </c>
      <c r="L17186" s="3">
        <v>27</v>
      </c>
      <c r="M17186" s="3">
        <v>355</v>
      </c>
    </row>
    <row r="17187" spans="1:13" x14ac:dyDescent="0.25">
      <c r="A17187" s="1" t="str">
        <f>HYPERLINK("http://www.rosaceae.org/Prunus/Prunus_persica/p.persica_gdr_reftransV1_0008758","p.persica_gdr_reftransV1_0008758")</f>
        <v>p.persica_gdr_reftransV1_0008758</v>
      </c>
      <c r="B17187" s="3">
        <v>722</v>
      </c>
      <c r="C17187" s="1" t="str">
        <f>HYPERLINK("http://www.uniprot.org/uniprot/PPR47_ARATH","PPR47_ARATH")</f>
        <v>PPR47_ARATH</v>
      </c>
      <c r="D17187" t="s">
        <v>10602</v>
      </c>
      <c r="E17187" s="3" t="s">
        <v>3</v>
      </c>
      <c r="F17187" s="4">
        <v>1.9200000000000002E-74</v>
      </c>
      <c r="G17187" s="3">
        <v>627</v>
      </c>
      <c r="H17187" s="3">
        <v>57</v>
      </c>
      <c r="I17187" s="3">
        <v>219</v>
      </c>
      <c r="J17187" s="3">
        <v>1</v>
      </c>
      <c r="K17187" s="3">
        <v>657</v>
      </c>
      <c r="L17187" s="3">
        <v>509</v>
      </c>
      <c r="M17187" s="3">
        <v>727</v>
      </c>
    </row>
    <row r="17188" spans="1:13" x14ac:dyDescent="0.25">
      <c r="A17188" s="1" t="str">
        <f>HYPERLINK("http://www.rosaceae.org/Prunus/Prunus_persica/p.persica_gdr_reftransV1_0008808","p.persica_gdr_reftransV1_0008808")</f>
        <v>p.persica_gdr_reftransV1_0008808</v>
      </c>
      <c r="B17188" s="3">
        <v>3836</v>
      </c>
      <c r="C17188" s="1" t="str">
        <f>HYPERLINK("http://www.uniprot.org/uniprot/RIF1_MOUSE","RIF1_MOUSE")</f>
        <v>RIF1_MOUSE</v>
      </c>
      <c r="D17188" t="s">
        <v>10603</v>
      </c>
      <c r="E17188" s="3" t="s">
        <v>157</v>
      </c>
      <c r="F17188" s="4">
        <v>8.6200000000000002E-10</v>
      </c>
      <c r="G17188" s="3">
        <v>164</v>
      </c>
      <c r="H17188" s="3">
        <v>24</v>
      </c>
      <c r="I17188" s="3">
        <v>327</v>
      </c>
      <c r="J17188" s="3">
        <v>353</v>
      </c>
      <c r="K17188" s="3">
        <v>1309</v>
      </c>
      <c r="L17188" s="3">
        <v>62</v>
      </c>
      <c r="M17188" s="3">
        <v>349</v>
      </c>
    </row>
    <row r="17189" spans="1:13" x14ac:dyDescent="0.25">
      <c r="A17189" s="1" t="str">
        <f>HYPERLINK("http://www.rosaceae.org/Prunus/Prunus_persica/p.persica_gdr_reftransV1_0008958","p.persica_gdr_reftransV1_0008958")</f>
        <v>p.persica_gdr_reftransV1_0008958</v>
      </c>
      <c r="B17189" s="3">
        <v>594</v>
      </c>
      <c r="C17189" s="1" t="str">
        <f>HYPERLINK("http://www.uniprot.org/uniprot/PTR46_ARATH","PTR46_ARATH")</f>
        <v>PTR46_ARATH</v>
      </c>
      <c r="D17189" t="s">
        <v>6188</v>
      </c>
      <c r="E17189" s="3" t="s">
        <v>3</v>
      </c>
      <c r="F17189" s="4">
        <v>7.7400000000000003E-66</v>
      </c>
      <c r="G17189" s="3">
        <v>554</v>
      </c>
      <c r="H17189" s="3">
        <v>64</v>
      </c>
      <c r="I17189" s="3">
        <v>163</v>
      </c>
      <c r="J17189" s="3">
        <v>2</v>
      </c>
      <c r="K17189" s="3">
        <v>490</v>
      </c>
      <c r="L17189" s="3">
        <v>10</v>
      </c>
      <c r="M17189" s="3">
        <v>172</v>
      </c>
    </row>
    <row r="17190" spans="1:13" x14ac:dyDescent="0.25">
      <c r="A17190" s="1" t="str">
        <f>HYPERLINK("http://www.rosaceae.org/Prunus/Prunus_persica/p.persica_gdr_reftransV1_0009108","p.persica_gdr_reftransV1_0009108")</f>
        <v>p.persica_gdr_reftransV1_0009108</v>
      </c>
      <c r="B17190" s="3">
        <v>1397</v>
      </c>
      <c r="C17190" s="1" t="str">
        <f>HYPERLINK("http://www.uniprot.org/uniprot/GLYT1_ARATH","GLYT1_ARATH")</f>
        <v>GLYT1_ARATH</v>
      </c>
      <c r="D17190" t="s">
        <v>8022</v>
      </c>
      <c r="E17190" s="3" t="s">
        <v>3</v>
      </c>
      <c r="F17190" s="4">
        <v>1.54E-30</v>
      </c>
      <c r="G17190" s="3">
        <v>317</v>
      </c>
      <c r="H17190" s="3">
        <v>42</v>
      </c>
      <c r="I17190" s="3">
        <v>135</v>
      </c>
      <c r="J17190" s="3">
        <v>987</v>
      </c>
      <c r="K17190" s="3">
        <v>1388</v>
      </c>
      <c r="L17190" s="3">
        <v>123</v>
      </c>
      <c r="M17190" s="3">
        <v>256</v>
      </c>
    </row>
    <row r="17191" spans="1:13" x14ac:dyDescent="0.25">
      <c r="A17191" s="1" t="str">
        <f>HYPERLINK("http://www.rosaceae.org/Prunus/Prunus_persica/p.persica_gdr_reftransV1_0009408","p.persica_gdr_reftransV1_0009408")</f>
        <v>p.persica_gdr_reftransV1_0009408</v>
      </c>
      <c r="B17191" s="3">
        <v>2267</v>
      </c>
      <c r="C17191" s="1" t="str">
        <f>HYPERLINK("http://www.uniprot.org/uniprot/PSD3_ARATH","PSD3_ARATH")</f>
        <v>PSD3_ARATH</v>
      </c>
      <c r="D17191" t="s">
        <v>10604</v>
      </c>
      <c r="E17191" s="3" t="s">
        <v>3</v>
      </c>
      <c r="F17191" s="4">
        <v>0</v>
      </c>
      <c r="G17191" s="3">
        <v>2446</v>
      </c>
      <c r="H17191" s="3">
        <v>77</v>
      </c>
      <c r="I17191" s="3">
        <v>598</v>
      </c>
      <c r="J17191" s="3">
        <v>223</v>
      </c>
      <c r="K17191" s="3">
        <v>2016</v>
      </c>
      <c r="L17191" s="3">
        <v>49</v>
      </c>
      <c r="M17191" s="3">
        <v>634</v>
      </c>
    </row>
    <row r="17192" spans="1:13" x14ac:dyDescent="0.25">
      <c r="A17192" s="1" t="str">
        <f>HYPERLINK("http://www.rosaceae.org/Prunus/Prunus_persica/p.persica_gdr_reftransV1_0009508","p.persica_gdr_reftransV1_0009508")</f>
        <v>p.persica_gdr_reftransV1_0009508</v>
      </c>
      <c r="B17192" s="3">
        <v>2172</v>
      </c>
      <c r="C17192" s="1" t="str">
        <f>HYPERLINK("http://www.uniprot.org/uniprot/PP249_ARATH","PP249_ARATH")</f>
        <v>PP249_ARATH</v>
      </c>
      <c r="D17192" t="s">
        <v>602</v>
      </c>
      <c r="E17192" s="3" t="s">
        <v>3</v>
      </c>
      <c r="F17192" s="4">
        <v>0</v>
      </c>
      <c r="G17192" s="3">
        <v>2256</v>
      </c>
      <c r="H17192" s="3">
        <v>64</v>
      </c>
      <c r="I17192" s="3">
        <v>675</v>
      </c>
      <c r="J17192" s="3">
        <v>5</v>
      </c>
      <c r="K17192" s="3">
        <v>2023</v>
      </c>
      <c r="L17192" s="3">
        <v>160</v>
      </c>
      <c r="M17192" s="3">
        <v>834</v>
      </c>
    </row>
    <row r="17193" spans="1:13" x14ac:dyDescent="0.25">
      <c r="A17193" s="1" t="str">
        <f>HYPERLINK("http://www.rosaceae.org/Prunus/Prunus_persica/p.persica_gdr_reftransV1_0009558","p.persica_gdr_reftransV1_0009558")</f>
        <v>p.persica_gdr_reftransV1_0009558</v>
      </c>
      <c r="B17193" s="3">
        <v>4340</v>
      </c>
      <c r="C17193" s="1" t="str">
        <f>HYPERLINK("http://www.uniprot.org/uniprot/RPOC2_MORIN","RPOC2_MORIN")</f>
        <v>RPOC2_MORIN</v>
      </c>
      <c r="D17193" t="s">
        <v>1685</v>
      </c>
      <c r="E17193" s="3" t="s">
        <v>69</v>
      </c>
      <c r="F17193" s="4">
        <v>0</v>
      </c>
      <c r="G17193" s="3">
        <v>2285</v>
      </c>
      <c r="H17193" s="3">
        <v>87</v>
      </c>
      <c r="I17193" s="3">
        <v>540</v>
      </c>
      <c r="J17193" s="3">
        <v>2381</v>
      </c>
      <c r="K17193" s="3">
        <v>3994</v>
      </c>
      <c r="L17193" s="3">
        <v>853</v>
      </c>
      <c r="M17193" s="3">
        <v>1384</v>
      </c>
    </row>
    <row r="17194" spans="1:13" x14ac:dyDescent="0.25">
      <c r="A17194" s="1" t="str">
        <f>HYPERLINK("http://www.rosaceae.org/Prunus/Prunus_persica/p.persica_gdr_reftransV1_0009808","p.persica_gdr_reftransV1_0009808")</f>
        <v>p.persica_gdr_reftransV1_0009808</v>
      </c>
      <c r="B17194" s="3">
        <v>2221</v>
      </c>
      <c r="C17194" s="1" t="str">
        <f>HYPERLINK("http://www.uniprot.org/uniprot/IQD1_ARATH","IQD1_ARATH")</f>
        <v>IQD1_ARATH</v>
      </c>
      <c r="D17194" t="s">
        <v>4422</v>
      </c>
      <c r="E17194" s="3" t="s">
        <v>3</v>
      </c>
      <c r="F17194" s="4">
        <v>2.02E-68</v>
      </c>
      <c r="G17194" s="3">
        <v>607</v>
      </c>
      <c r="H17194" s="3">
        <v>45</v>
      </c>
      <c r="I17194" s="3">
        <v>376</v>
      </c>
      <c r="J17194" s="3">
        <v>475</v>
      </c>
      <c r="K17194" s="3">
        <v>1563</v>
      </c>
      <c r="L17194" s="3">
        <v>101</v>
      </c>
      <c r="M17194" s="3">
        <v>450</v>
      </c>
    </row>
    <row r="17195" spans="1:13" x14ac:dyDescent="0.25">
      <c r="A17195" s="1" t="str">
        <f>HYPERLINK("http://www.rosaceae.org/Prunus/Prunus_persica/p.persica_gdr_reftransV1_0009858","p.persica_gdr_reftransV1_0009858")</f>
        <v>p.persica_gdr_reftransV1_0009858</v>
      </c>
      <c r="B17195" s="3">
        <v>1357</v>
      </c>
      <c r="C17195" s="1" t="str">
        <f>HYPERLINK("http://www.uniprot.org/uniprot/CLPX_RUEPO","CLPX_RUEPO")</f>
        <v>CLPX_RUEPO</v>
      </c>
      <c r="D17195" t="s">
        <v>10605</v>
      </c>
      <c r="E17195" s="3" t="s">
        <v>4730</v>
      </c>
      <c r="F17195" s="4">
        <v>7.0499999999999998E-83</v>
      </c>
      <c r="G17195" s="3">
        <v>685</v>
      </c>
      <c r="H17195" s="3">
        <v>61</v>
      </c>
      <c r="I17195" s="3">
        <v>220</v>
      </c>
      <c r="J17195" s="3">
        <v>696</v>
      </c>
      <c r="K17195" s="3">
        <v>1355</v>
      </c>
      <c r="L17195" s="3">
        <v>125</v>
      </c>
      <c r="M17195" s="3">
        <v>337</v>
      </c>
    </row>
    <row r="17196" spans="1:13" x14ac:dyDescent="0.25">
      <c r="A17196" s="1" t="str">
        <f>HYPERLINK("http://www.rosaceae.org/Prunus/Prunus_persica/p.persica_gdr_reftransV1_0010008","p.persica_gdr_reftransV1_0010008")</f>
        <v>p.persica_gdr_reftransV1_0010008</v>
      </c>
      <c r="B17196" s="3">
        <v>984</v>
      </c>
      <c r="C17196" s="1" t="str">
        <f>HYPERLINK("http://www.uniprot.org/uniprot/SSBP_ARATH","SSBP_ARATH")</f>
        <v>SSBP_ARATH</v>
      </c>
      <c r="D17196" t="s">
        <v>8994</v>
      </c>
      <c r="E17196" s="3" t="s">
        <v>3</v>
      </c>
      <c r="F17196" s="4">
        <v>2.2400000000000001E-23</v>
      </c>
      <c r="G17196" s="3">
        <v>247</v>
      </c>
      <c r="H17196" s="3">
        <v>39</v>
      </c>
      <c r="I17196" s="3">
        <v>123</v>
      </c>
      <c r="J17196" s="3">
        <v>317</v>
      </c>
      <c r="K17196" s="3">
        <v>685</v>
      </c>
      <c r="L17196" s="3">
        <v>70</v>
      </c>
      <c r="M17196" s="3">
        <v>186</v>
      </c>
    </row>
    <row r="17197" spans="1:13" x14ac:dyDescent="0.25">
      <c r="A17197" s="1" t="str">
        <f>HYPERLINK("http://www.rosaceae.org/Prunus/Prunus_persica/p.persica_gdr_reftransV1_0010058","p.persica_gdr_reftransV1_0010058")</f>
        <v>p.persica_gdr_reftransV1_0010058</v>
      </c>
      <c r="B17197" s="3">
        <v>1369</v>
      </c>
      <c r="C17197" s="1" t="str">
        <f>HYPERLINK("http://www.uniprot.org/uniprot/GEML1_ARATH","GEML1_ARATH")</f>
        <v>GEML1_ARATH</v>
      </c>
      <c r="D17197" t="s">
        <v>977</v>
      </c>
      <c r="E17197" s="3" t="s">
        <v>3</v>
      </c>
      <c r="F17197" s="4">
        <v>1.43E-99</v>
      </c>
      <c r="G17197" s="3">
        <v>782</v>
      </c>
      <c r="H17197" s="3">
        <v>73</v>
      </c>
      <c r="I17197" s="3">
        <v>207</v>
      </c>
      <c r="J17197" s="3">
        <v>317</v>
      </c>
      <c r="K17197" s="3">
        <v>937</v>
      </c>
      <c r="L17197" s="3">
        <v>54</v>
      </c>
      <c r="M17197" s="3">
        <v>255</v>
      </c>
    </row>
    <row r="17198" spans="1:13" x14ac:dyDescent="0.25">
      <c r="A17198" s="1" t="str">
        <f>HYPERLINK("http://www.rosaceae.org/Prunus/Prunus_persica/p.persica_gdr_reftransV1_0010158","p.persica_gdr_reftransV1_0010158")</f>
        <v>p.persica_gdr_reftransV1_0010158</v>
      </c>
      <c r="B17198" s="3">
        <v>1779</v>
      </c>
      <c r="C17198" s="1" t="str">
        <f>HYPERLINK("http://www.uniprot.org/uniprot/WTR18_ARATH","WTR18_ARATH")</f>
        <v>WTR18_ARATH</v>
      </c>
      <c r="D17198" t="s">
        <v>10606</v>
      </c>
      <c r="E17198" s="3" t="s">
        <v>3</v>
      </c>
      <c r="F17198" s="4">
        <v>8.4700000000000005E-79</v>
      </c>
      <c r="G17198" s="3">
        <v>663</v>
      </c>
      <c r="H17198" s="3">
        <v>61</v>
      </c>
      <c r="I17198" s="3">
        <v>261</v>
      </c>
      <c r="J17198" s="3">
        <v>938</v>
      </c>
      <c r="K17198" s="3">
        <v>1717</v>
      </c>
      <c r="L17198" s="3">
        <v>1</v>
      </c>
      <c r="M17198" s="3">
        <v>254</v>
      </c>
    </row>
    <row r="17199" spans="1:13" x14ac:dyDescent="0.25">
      <c r="A17199" s="1" t="str">
        <f>HYPERLINK("http://www.rosaceae.org/Prunus/Prunus_persica/p.persica_gdr_reftransV1_0010208","p.persica_gdr_reftransV1_0010208")</f>
        <v>p.persica_gdr_reftransV1_0010208</v>
      </c>
      <c r="B17199" s="3">
        <v>1804</v>
      </c>
      <c r="C17199" s="1" t="str">
        <f>HYPERLINK("http://www.uniprot.org/uniprot/ARR6_ARATH","ARR6_ARATH")</f>
        <v>ARR6_ARATH</v>
      </c>
      <c r="D17199" t="s">
        <v>10607</v>
      </c>
      <c r="E17199" s="3" t="s">
        <v>3</v>
      </c>
      <c r="F17199" s="4">
        <v>3.0999999999999999E-69</v>
      </c>
      <c r="G17199" s="3">
        <v>582</v>
      </c>
      <c r="H17199" s="3">
        <v>71</v>
      </c>
      <c r="I17199" s="3">
        <v>169</v>
      </c>
      <c r="J17199" s="3">
        <v>1088</v>
      </c>
      <c r="K17199" s="3">
        <v>1588</v>
      </c>
      <c r="L17199" s="3">
        <v>6</v>
      </c>
      <c r="M17199" s="3">
        <v>172</v>
      </c>
    </row>
    <row r="17200" spans="1:13" x14ac:dyDescent="0.25">
      <c r="A17200" s="1" t="str">
        <f>HYPERLINK("http://www.rosaceae.org/Prunus/Prunus_persica/p.persica_gdr_reftransV1_0010308","p.persica_gdr_reftransV1_0010308")</f>
        <v>p.persica_gdr_reftransV1_0010308</v>
      </c>
      <c r="B17200" s="3">
        <v>3835</v>
      </c>
      <c r="C17200" s="1" t="str">
        <f>HYPERLINK("http://www.uniprot.org/uniprot/MFPA_CUCSA","MFPA_CUCSA")</f>
        <v>MFPA_CUCSA</v>
      </c>
      <c r="D17200" t="s">
        <v>10608</v>
      </c>
      <c r="E17200" s="3" t="s">
        <v>1149</v>
      </c>
      <c r="F17200" s="4">
        <v>0</v>
      </c>
      <c r="G17200" s="3">
        <v>2995</v>
      </c>
      <c r="H17200" s="3">
        <v>79</v>
      </c>
      <c r="I17200" s="3">
        <v>714</v>
      </c>
      <c r="J17200" s="3">
        <v>760</v>
      </c>
      <c r="K17200" s="3">
        <v>2901</v>
      </c>
      <c r="L17200" s="3">
        <v>1</v>
      </c>
      <c r="M17200" s="3">
        <v>714</v>
      </c>
    </row>
    <row r="17201" spans="1:13" x14ac:dyDescent="0.25">
      <c r="A17201" s="1" t="str">
        <f>HYPERLINK("http://www.rosaceae.org/Prunus/Prunus_persica/p.persica_gdr_reftransV1_0010408","p.persica_gdr_reftransV1_0010408")</f>
        <v>p.persica_gdr_reftransV1_0010408</v>
      </c>
      <c r="B17201" s="3">
        <v>823</v>
      </c>
      <c r="C17201" s="1" t="str">
        <f>HYPERLINK("http://www.uniprot.org/uniprot/RS18_ARATH","RS18_ARATH")</f>
        <v>RS18_ARATH</v>
      </c>
      <c r="D17201" t="s">
        <v>6431</v>
      </c>
      <c r="E17201" s="3" t="s">
        <v>3</v>
      </c>
      <c r="F17201" s="4">
        <v>5.2499999999999998E-93</v>
      </c>
      <c r="G17201" s="3">
        <v>711</v>
      </c>
      <c r="H17201" s="3">
        <v>97</v>
      </c>
      <c r="I17201" s="3">
        <v>152</v>
      </c>
      <c r="J17201" s="3">
        <v>287</v>
      </c>
      <c r="K17201" s="3">
        <v>742</v>
      </c>
      <c r="L17201" s="3">
        <v>1</v>
      </c>
      <c r="M17201" s="3">
        <v>152</v>
      </c>
    </row>
    <row r="17202" spans="1:13" x14ac:dyDescent="0.25">
      <c r="A17202" s="1" t="str">
        <f>HYPERLINK("http://www.rosaceae.org/Prunus/Prunus_persica/p.persica_gdr_reftransV1_0010458","p.persica_gdr_reftransV1_0010458")</f>
        <v>p.persica_gdr_reftransV1_0010458</v>
      </c>
      <c r="B17202" s="3">
        <v>973</v>
      </c>
      <c r="C17202" s="1" t="str">
        <f>HYPERLINK("http://www.uniprot.org/uniprot/DIM1B_ARATH","DIM1B_ARATH")</f>
        <v>DIM1B_ARATH</v>
      </c>
      <c r="D17202" t="s">
        <v>10609</v>
      </c>
      <c r="E17202" s="3" t="s">
        <v>3</v>
      </c>
      <c r="F17202" s="4">
        <v>4.3699999999999997E-96</v>
      </c>
      <c r="G17202" s="3">
        <v>758</v>
      </c>
      <c r="H17202" s="3">
        <v>64</v>
      </c>
      <c r="I17202" s="3">
        <v>273</v>
      </c>
      <c r="J17202" s="3">
        <v>2</v>
      </c>
      <c r="K17202" s="3">
        <v>820</v>
      </c>
      <c r="L17202" s="3">
        <v>101</v>
      </c>
      <c r="M17202" s="3">
        <v>370</v>
      </c>
    </row>
    <row r="17203" spans="1:13" x14ac:dyDescent="0.25">
      <c r="A17203" s="1" t="str">
        <f>HYPERLINK("http://www.rosaceae.org/Prunus/Prunus_persica/p.persica_gdr_reftransV1_0010508","p.persica_gdr_reftransV1_0010508")</f>
        <v>p.persica_gdr_reftransV1_0010508</v>
      </c>
      <c r="B17203" s="3">
        <v>1278</v>
      </c>
      <c r="C17203" s="1" t="str">
        <f>HYPERLINK("http://www.uniprot.org/uniprot/MDN1_DICDI","MDN1_DICDI")</f>
        <v>MDN1_DICDI</v>
      </c>
      <c r="D17203" t="s">
        <v>406</v>
      </c>
      <c r="E17203" s="3" t="s">
        <v>9</v>
      </c>
      <c r="F17203" s="4">
        <v>1.9399999999999999E-90</v>
      </c>
      <c r="G17203" s="3">
        <v>786</v>
      </c>
      <c r="H17203" s="3">
        <v>41</v>
      </c>
      <c r="I17203" s="3">
        <v>432</v>
      </c>
      <c r="J17203" s="3">
        <v>2</v>
      </c>
      <c r="K17203" s="3">
        <v>1276</v>
      </c>
      <c r="L17203" s="3">
        <v>1421</v>
      </c>
      <c r="M17203" s="3">
        <v>1840</v>
      </c>
    </row>
    <row r="17204" spans="1:13" x14ac:dyDescent="0.25">
      <c r="A17204" s="1" t="str">
        <f>HYPERLINK("http://www.rosaceae.org/Prunus/Prunus_persica/p.persica_gdr_reftransV1_0010808","p.persica_gdr_reftransV1_0010808")</f>
        <v>p.persica_gdr_reftransV1_0010808</v>
      </c>
      <c r="B17204" s="3">
        <v>2584</v>
      </c>
      <c r="C17204" s="1" t="str">
        <f>HYPERLINK("http://www.uniprot.org/uniprot/PP420_ARATH","PP420_ARATH")</f>
        <v>PP420_ARATH</v>
      </c>
      <c r="D17204" t="s">
        <v>10610</v>
      </c>
      <c r="E17204" s="3" t="s">
        <v>3</v>
      </c>
      <c r="F17204" s="4">
        <v>0</v>
      </c>
      <c r="G17204" s="3">
        <v>2456</v>
      </c>
      <c r="H17204" s="3">
        <v>67</v>
      </c>
      <c r="I17204" s="3">
        <v>723</v>
      </c>
      <c r="J17204" s="3">
        <v>211</v>
      </c>
      <c r="K17204" s="3">
        <v>2346</v>
      </c>
      <c r="L17204" s="3">
        <v>11</v>
      </c>
      <c r="M17204" s="3">
        <v>704</v>
      </c>
    </row>
    <row r="17205" spans="1:13" x14ac:dyDescent="0.25">
      <c r="A17205" s="1" t="str">
        <f>HYPERLINK("http://www.rosaceae.org/Prunus/Prunus_persica/p.persica_gdr_reftransV1_0010858","p.persica_gdr_reftransV1_0010858")</f>
        <v>p.persica_gdr_reftransV1_0010858</v>
      </c>
      <c r="B17205" s="3">
        <v>1458</v>
      </c>
      <c r="C17205" s="1" t="str">
        <f>HYPERLINK("http://www.uniprot.org/uniprot/Y5902_ARATH","Y5902_ARATH")</f>
        <v>Y5902_ARATH</v>
      </c>
      <c r="D17205" t="s">
        <v>5114</v>
      </c>
      <c r="E17205" s="3" t="s">
        <v>3</v>
      </c>
      <c r="F17205" s="4">
        <v>2.3600000000000001E-20</v>
      </c>
      <c r="G17205" s="3">
        <v>233</v>
      </c>
      <c r="H17205" s="3">
        <v>56</v>
      </c>
      <c r="I17205" s="3">
        <v>89</v>
      </c>
      <c r="J17205" s="3">
        <v>845</v>
      </c>
      <c r="K17205" s="3">
        <v>1108</v>
      </c>
      <c r="L17205" s="3">
        <v>150</v>
      </c>
      <c r="M17205" s="3">
        <v>237</v>
      </c>
    </row>
    <row r="17206" spans="1:13" x14ac:dyDescent="0.25">
      <c r="A17206" s="1" t="str">
        <f>HYPERLINK("http://www.rosaceae.org/Prunus/Prunus_persica/p.persica_gdr_reftransV1_0011008","p.persica_gdr_reftransV1_0011008")</f>
        <v>p.persica_gdr_reftransV1_0011008</v>
      </c>
      <c r="B17206" s="3">
        <v>6955</v>
      </c>
      <c r="C17206" s="1" t="str">
        <f>HYPERLINK("http://www.uniprot.org/uniprot/FRS5_ARATH","FRS5_ARATH")</f>
        <v>FRS5_ARATH</v>
      </c>
      <c r="D17206" t="s">
        <v>908</v>
      </c>
      <c r="E17206" s="3" t="s">
        <v>3</v>
      </c>
      <c r="F17206" s="4">
        <v>5.8399999999999995E-106</v>
      </c>
      <c r="G17206" s="3">
        <v>938</v>
      </c>
      <c r="H17206" s="3">
        <v>35</v>
      </c>
      <c r="I17206" s="3">
        <v>599</v>
      </c>
      <c r="J17206" s="3">
        <v>2215</v>
      </c>
      <c r="K17206" s="3">
        <v>3993</v>
      </c>
      <c r="L17206" s="3">
        <v>43</v>
      </c>
      <c r="M17206" s="3">
        <v>634</v>
      </c>
    </row>
    <row r="17207" spans="1:13" x14ac:dyDescent="0.25">
      <c r="A17207" s="1" t="str">
        <f>HYPERLINK("http://www.rosaceae.org/Prunus/Prunus_persica/p.persica_gdr_reftransV1_0011058","p.persica_gdr_reftransV1_0011058")</f>
        <v>p.persica_gdr_reftransV1_0011058</v>
      </c>
      <c r="B17207" s="3">
        <v>1490</v>
      </c>
      <c r="C17207" s="1" t="str">
        <f>HYPERLINK("http://www.uniprot.org/uniprot/PUR3_VIGUN","PUR3_VIGUN")</f>
        <v>PUR3_VIGUN</v>
      </c>
      <c r="D17207" t="s">
        <v>10611</v>
      </c>
      <c r="E17207" s="3" t="s">
        <v>1009</v>
      </c>
      <c r="F17207" s="4">
        <v>6.4699999999999999E-114</v>
      </c>
      <c r="G17207" s="3">
        <v>887</v>
      </c>
      <c r="H17207" s="3">
        <v>58</v>
      </c>
      <c r="I17207" s="3">
        <v>317</v>
      </c>
      <c r="J17207" s="3">
        <v>201</v>
      </c>
      <c r="K17207" s="3">
        <v>1097</v>
      </c>
      <c r="L17207" s="3">
        <v>1</v>
      </c>
      <c r="M17207" s="3">
        <v>311</v>
      </c>
    </row>
    <row r="17208" spans="1:13" x14ac:dyDescent="0.25">
      <c r="A17208" s="1" t="str">
        <f>HYPERLINK("http://www.rosaceae.org/Prunus/Prunus_persica/p.persica_gdr_reftransV1_0011108","p.persica_gdr_reftransV1_0011108")</f>
        <v>p.persica_gdr_reftransV1_0011108</v>
      </c>
      <c r="B17208" s="3">
        <v>2322</v>
      </c>
      <c r="C17208" s="1" t="str">
        <f>HYPERLINK("http://www.uniprot.org/uniprot/RBL_LIQST","RBL_LIQST")</f>
        <v>RBL_LIQST</v>
      </c>
      <c r="D17208" t="s">
        <v>5576</v>
      </c>
      <c r="E17208" s="3" t="s">
        <v>5577</v>
      </c>
      <c r="F17208" s="4">
        <v>0</v>
      </c>
      <c r="G17208" s="3">
        <v>2221</v>
      </c>
      <c r="H17208" s="3">
        <v>99</v>
      </c>
      <c r="I17208" s="3">
        <v>414</v>
      </c>
      <c r="J17208" s="3">
        <v>431</v>
      </c>
      <c r="K17208" s="3">
        <v>1672</v>
      </c>
      <c r="L17208" s="3">
        <v>61</v>
      </c>
      <c r="M17208" s="3">
        <v>474</v>
      </c>
    </row>
    <row r="17209" spans="1:13" x14ac:dyDescent="0.25">
      <c r="A17209" s="1" t="str">
        <f>HYPERLINK("http://www.rosaceae.org/Prunus/Prunus_persica/p.persica_gdr_reftransV1_0011158","p.persica_gdr_reftransV1_0011158")</f>
        <v>p.persica_gdr_reftransV1_0011158</v>
      </c>
      <c r="B17209" s="3">
        <v>1870</v>
      </c>
      <c r="C17209" s="1" t="str">
        <f>HYPERLINK("http://www.uniprot.org/uniprot/E139_ARATH","E139_ARATH")</f>
        <v>E139_ARATH</v>
      </c>
      <c r="D17209" t="s">
        <v>10612</v>
      </c>
      <c r="E17209" s="3" t="s">
        <v>3</v>
      </c>
      <c r="F17209" s="4">
        <v>0</v>
      </c>
      <c r="G17209" s="3">
        <v>1737</v>
      </c>
      <c r="H17209" s="3">
        <v>73</v>
      </c>
      <c r="I17209" s="3">
        <v>446</v>
      </c>
      <c r="J17209" s="3">
        <v>150</v>
      </c>
      <c r="K17209" s="3">
        <v>1487</v>
      </c>
      <c r="L17209" s="3">
        <v>25</v>
      </c>
      <c r="M17209" s="3">
        <v>464</v>
      </c>
    </row>
    <row r="17210" spans="1:13" x14ac:dyDescent="0.25">
      <c r="A17210" s="1" t="str">
        <f>HYPERLINK("http://www.rosaceae.org/Prunus/Prunus_persica/p.persica_gdr_reftransV1_0011208","p.persica_gdr_reftransV1_0011208")</f>
        <v>p.persica_gdr_reftransV1_0011208</v>
      </c>
      <c r="B17210" s="3">
        <v>2245</v>
      </c>
      <c r="C17210" s="1" t="str">
        <f>HYPERLINK("http://www.uniprot.org/uniprot/CRTI_SOYBN","CRTI_SOYBN")</f>
        <v>CRTI_SOYBN</v>
      </c>
      <c r="D17210" t="s">
        <v>10613</v>
      </c>
      <c r="E17210" s="3" t="s">
        <v>307</v>
      </c>
      <c r="F17210" s="4">
        <v>0</v>
      </c>
      <c r="G17210" s="3">
        <v>2445</v>
      </c>
      <c r="H17210" s="3">
        <v>82</v>
      </c>
      <c r="I17210" s="3">
        <v>572</v>
      </c>
      <c r="J17210" s="3">
        <v>391</v>
      </c>
      <c r="K17210" s="3">
        <v>2106</v>
      </c>
      <c r="L17210" s="3">
        <v>1</v>
      </c>
      <c r="M17210" s="3">
        <v>569</v>
      </c>
    </row>
    <row r="17211" spans="1:13" x14ac:dyDescent="0.25">
      <c r="A17211" s="1" t="str">
        <f>HYPERLINK("http://www.rosaceae.org/Prunus/Prunus_persica/p.persica_gdr_reftransV1_0011358","p.persica_gdr_reftransV1_0011358")</f>
        <v>p.persica_gdr_reftransV1_0011358</v>
      </c>
      <c r="B17211" s="3">
        <v>1499</v>
      </c>
      <c r="C17211" s="1" t="str">
        <f>HYPERLINK("http://www.uniprot.org/uniprot/D6KL2_ARATH","D6KL2_ARATH")</f>
        <v>D6KL2_ARATH</v>
      </c>
      <c r="D17211" t="s">
        <v>1171</v>
      </c>
      <c r="E17211" s="3" t="s">
        <v>3</v>
      </c>
      <c r="F17211" s="4">
        <v>1.3800000000000001E-134</v>
      </c>
      <c r="G17211" s="3">
        <v>1050</v>
      </c>
      <c r="H17211" s="3">
        <v>54</v>
      </c>
      <c r="I17211" s="3">
        <v>391</v>
      </c>
      <c r="J17211" s="3">
        <v>129</v>
      </c>
      <c r="K17211" s="3">
        <v>1268</v>
      </c>
      <c r="L17211" s="3">
        <v>162</v>
      </c>
      <c r="M17211" s="3">
        <v>537</v>
      </c>
    </row>
    <row r="17212" spans="1:13" x14ac:dyDescent="0.25">
      <c r="A17212" s="1" t="str">
        <f>HYPERLINK("http://www.rosaceae.org/Prunus/Prunus_persica/p.persica_gdr_reftransV1_0011458","p.persica_gdr_reftransV1_0011458")</f>
        <v>p.persica_gdr_reftransV1_0011458</v>
      </c>
      <c r="B17212" s="3">
        <v>3288</v>
      </c>
      <c r="C17212" s="1" t="str">
        <f>HYPERLINK("http://www.uniprot.org/uniprot/DCE_SOLLC","DCE_SOLLC")</f>
        <v>DCE_SOLLC</v>
      </c>
      <c r="D17212" t="s">
        <v>10614</v>
      </c>
      <c r="E17212" s="3" t="s">
        <v>64</v>
      </c>
      <c r="F17212" s="4">
        <v>1.3400000000000001E-137</v>
      </c>
      <c r="G17212" s="3">
        <v>1110</v>
      </c>
      <c r="H17212" s="3">
        <v>90</v>
      </c>
      <c r="I17212" s="3">
        <v>224</v>
      </c>
      <c r="J17212" s="3">
        <v>1047</v>
      </c>
      <c r="K17212" s="3">
        <v>1718</v>
      </c>
      <c r="L17212" s="3">
        <v>99</v>
      </c>
      <c r="M17212" s="3">
        <v>322</v>
      </c>
    </row>
    <row r="17213" spans="1:13" x14ac:dyDescent="0.25">
      <c r="A17213" s="1" t="str">
        <f>HYPERLINK("http://www.rosaceae.org/Prunus/Prunus_persica/p.persica_gdr_reftransV1_0011508","p.persica_gdr_reftransV1_0011508")</f>
        <v>p.persica_gdr_reftransV1_0011508</v>
      </c>
      <c r="B17213" s="3">
        <v>7124</v>
      </c>
      <c r="C17213" s="1" t="str">
        <f>HYPERLINK("http://www.uniprot.org/uniprot/PUB4_ARATH","PUB4_ARATH")</f>
        <v>PUB4_ARATH</v>
      </c>
      <c r="D17213" t="s">
        <v>1286</v>
      </c>
      <c r="E17213" s="3" t="s">
        <v>3</v>
      </c>
      <c r="F17213" s="4">
        <v>3.0099999999999999E-10</v>
      </c>
      <c r="G17213" s="3">
        <v>169</v>
      </c>
      <c r="H17213" s="3">
        <v>41</v>
      </c>
      <c r="I17213" s="3">
        <v>135</v>
      </c>
      <c r="J17213" s="3">
        <v>4913</v>
      </c>
      <c r="K17213" s="3">
        <v>5311</v>
      </c>
      <c r="L17213" s="3">
        <v>576</v>
      </c>
      <c r="M17213" s="3">
        <v>708</v>
      </c>
    </row>
    <row r="17214" spans="1:13" x14ac:dyDescent="0.25">
      <c r="A17214" s="1" t="str">
        <f>HYPERLINK("http://www.rosaceae.org/Prunus/Prunus_persica/p.persica_gdr_reftransV1_0011908","p.persica_gdr_reftransV1_0011908")</f>
        <v>p.persica_gdr_reftransV1_0011908</v>
      </c>
      <c r="B17214" s="3">
        <v>2264</v>
      </c>
      <c r="C17214" s="1" t="str">
        <f>HYPERLINK("http://www.uniprot.org/uniprot/PRI2_ARATH","PRI2_ARATH")</f>
        <v>PRI2_ARATH</v>
      </c>
      <c r="D17214" t="s">
        <v>10615</v>
      </c>
      <c r="E17214" s="3" t="s">
        <v>3</v>
      </c>
      <c r="F17214" s="4">
        <v>0</v>
      </c>
      <c r="G17214" s="3">
        <v>1774</v>
      </c>
      <c r="H17214" s="3">
        <v>74</v>
      </c>
      <c r="I17214" s="3">
        <v>452</v>
      </c>
      <c r="J17214" s="3">
        <v>98</v>
      </c>
      <c r="K17214" s="3">
        <v>1447</v>
      </c>
      <c r="L17214" s="3">
        <v>1</v>
      </c>
      <c r="M17214" s="3">
        <v>452</v>
      </c>
    </row>
    <row r="17215" spans="1:13" x14ac:dyDescent="0.25">
      <c r="A17215" s="1" t="str">
        <f>HYPERLINK("http://www.rosaceae.org/Prunus/Prunus_persica/p.persica_gdr_reftransV1_0011958","p.persica_gdr_reftransV1_0011958")</f>
        <v>p.persica_gdr_reftransV1_0011958</v>
      </c>
      <c r="B17215" s="3">
        <v>2601</v>
      </c>
      <c r="C17215" s="1" t="str">
        <f>HYPERLINK("http://www.uniprot.org/uniprot/COI1_ARATH","COI1_ARATH")</f>
        <v>COI1_ARATH</v>
      </c>
      <c r="D17215" t="s">
        <v>10616</v>
      </c>
      <c r="E17215" s="3" t="s">
        <v>3</v>
      </c>
      <c r="F17215" s="4">
        <v>0</v>
      </c>
      <c r="G17215" s="3">
        <v>2182</v>
      </c>
      <c r="H17215" s="3">
        <v>73</v>
      </c>
      <c r="I17215" s="3">
        <v>585</v>
      </c>
      <c r="J17215" s="3">
        <v>783</v>
      </c>
      <c r="K17215" s="3">
        <v>2504</v>
      </c>
      <c r="L17215" s="3">
        <v>1</v>
      </c>
      <c r="M17215" s="3">
        <v>585</v>
      </c>
    </row>
    <row r="17216" spans="1:13" x14ac:dyDescent="0.25">
      <c r="A17216" s="1" t="str">
        <f>HYPERLINK("http://www.rosaceae.org/Prunus/Prunus_persica/p.persica_gdr_reftransV1_0012358","p.persica_gdr_reftransV1_0012358")</f>
        <v>p.persica_gdr_reftransV1_0012358</v>
      </c>
      <c r="B17216" s="3">
        <v>1446</v>
      </c>
      <c r="C17216" s="1" t="str">
        <f>HYPERLINK("http://www.uniprot.org/uniprot/DRE2_VITVI","DRE2_VITVI")</f>
        <v>DRE2_VITVI</v>
      </c>
      <c r="D17216" t="s">
        <v>10617</v>
      </c>
      <c r="E17216" s="3" t="s">
        <v>362</v>
      </c>
      <c r="F17216" s="4">
        <v>9.3699999999999992E-100</v>
      </c>
      <c r="G17216" s="3">
        <v>787</v>
      </c>
      <c r="H17216" s="3">
        <v>69</v>
      </c>
      <c r="I17216" s="3">
        <v>269</v>
      </c>
      <c r="J17216" s="3">
        <v>467</v>
      </c>
      <c r="K17216" s="3">
        <v>1264</v>
      </c>
      <c r="L17216" s="3">
        <v>5</v>
      </c>
      <c r="M17216" s="3">
        <v>272</v>
      </c>
    </row>
    <row r="17217" spans="1:13" x14ac:dyDescent="0.25">
      <c r="A17217" s="1" t="str">
        <f>HYPERLINK("http://www.rosaceae.org/Prunus/Prunus_persica/p.persica_gdr_reftransV1_0012458","p.persica_gdr_reftransV1_0012458")</f>
        <v>p.persica_gdr_reftransV1_0012458</v>
      </c>
      <c r="B17217" s="3">
        <v>2044</v>
      </c>
      <c r="C17217" s="1" t="str">
        <f>HYPERLINK("http://www.uniprot.org/uniprot/RH5_ORYSJ","RH5_ORYSJ")</f>
        <v>RH5_ORYSJ</v>
      </c>
      <c r="D17217" t="s">
        <v>445</v>
      </c>
      <c r="E17217" s="3" t="s">
        <v>38</v>
      </c>
      <c r="F17217" s="4">
        <v>3.7E-14</v>
      </c>
      <c r="G17217" s="3">
        <v>194</v>
      </c>
      <c r="H17217" s="3">
        <v>25</v>
      </c>
      <c r="I17217" s="3">
        <v>362</v>
      </c>
      <c r="J17217" s="3">
        <v>789</v>
      </c>
      <c r="K17217" s="3">
        <v>1853</v>
      </c>
      <c r="L17217" s="3">
        <v>123</v>
      </c>
      <c r="M17217" s="3">
        <v>475</v>
      </c>
    </row>
    <row r="17218" spans="1:13" x14ac:dyDescent="0.25">
      <c r="A17218" s="1" t="str">
        <f>HYPERLINK("http://www.rosaceae.org/Prunus/Prunus_persica/p.persica_gdr_reftransV1_0012508","p.persica_gdr_reftransV1_0012508")</f>
        <v>p.persica_gdr_reftransV1_0012508</v>
      </c>
      <c r="B17218" s="3">
        <v>1547</v>
      </c>
      <c r="C17218" s="1" t="str">
        <f>HYPERLINK("http://www.uniprot.org/uniprot/EXPA8_ARATH","EXPA8_ARATH")</f>
        <v>EXPA8_ARATH</v>
      </c>
      <c r="D17218" t="s">
        <v>10618</v>
      </c>
      <c r="E17218" s="3" t="s">
        <v>3</v>
      </c>
      <c r="F17218" s="4">
        <v>5.3099999999999998E-110</v>
      </c>
      <c r="G17218" s="3">
        <v>856</v>
      </c>
      <c r="H17218" s="3">
        <v>84</v>
      </c>
      <c r="I17218" s="3">
        <v>188</v>
      </c>
      <c r="J17218" s="3">
        <v>706</v>
      </c>
      <c r="K17218" s="3">
        <v>1266</v>
      </c>
      <c r="L17218" s="3">
        <v>55</v>
      </c>
      <c r="M17218" s="3">
        <v>242</v>
      </c>
    </row>
    <row r="17219" spans="1:13" x14ac:dyDescent="0.25">
      <c r="A17219" s="1" t="str">
        <f>HYPERLINK("http://www.rosaceae.org/Prunus/Prunus_persica/p.persica_gdr_reftransV1_0012558","p.persica_gdr_reftransV1_0012558")</f>
        <v>p.persica_gdr_reftransV1_0012558</v>
      </c>
      <c r="B17219" s="3">
        <v>2892</v>
      </c>
      <c r="C17219" s="1" t="str">
        <f>HYPERLINK("http://www.uniprot.org/uniprot/MFL1_ARATH","MFL1_ARATH")</f>
        <v>MFL1_ARATH</v>
      </c>
      <c r="D17219" t="s">
        <v>10619</v>
      </c>
      <c r="E17219" s="3" t="s">
        <v>3</v>
      </c>
      <c r="F17219" s="4">
        <v>1.4600000000000001E-167</v>
      </c>
      <c r="G17219" s="3">
        <v>1295</v>
      </c>
      <c r="H17219" s="3">
        <v>66</v>
      </c>
      <c r="I17219" s="3">
        <v>422</v>
      </c>
      <c r="J17219" s="3">
        <v>115</v>
      </c>
      <c r="K17219" s="3">
        <v>1257</v>
      </c>
      <c r="L17219" s="3">
        <v>1</v>
      </c>
      <c r="M17219" s="3">
        <v>411</v>
      </c>
    </row>
    <row r="17220" spans="1:13" x14ac:dyDescent="0.25">
      <c r="A17220" s="1" t="str">
        <f>HYPERLINK("http://www.rosaceae.org/Prunus/Prunus_persica/p.persica_gdr_reftransV1_0012658","p.persica_gdr_reftransV1_0012658")</f>
        <v>p.persica_gdr_reftransV1_0012658</v>
      </c>
      <c r="B17220" s="3">
        <v>2561</v>
      </c>
      <c r="C17220" s="1" t="str">
        <f>HYPERLINK("http://www.uniprot.org/uniprot/GTL2_ARATH","GTL2_ARATH")</f>
        <v>GTL2_ARATH</v>
      </c>
      <c r="D17220" t="s">
        <v>6243</v>
      </c>
      <c r="E17220" s="3" t="s">
        <v>3</v>
      </c>
      <c r="F17220" s="4">
        <v>4.31E-76</v>
      </c>
      <c r="G17220" s="3">
        <v>678</v>
      </c>
      <c r="H17220" s="3">
        <v>43</v>
      </c>
      <c r="I17220" s="3">
        <v>469</v>
      </c>
      <c r="J17220" s="3">
        <v>574</v>
      </c>
      <c r="K17220" s="3">
        <v>1842</v>
      </c>
      <c r="L17220" s="3">
        <v>130</v>
      </c>
      <c r="M17220" s="3">
        <v>558</v>
      </c>
    </row>
    <row r="17221" spans="1:13" x14ac:dyDescent="0.25">
      <c r="A17221" s="1" t="str">
        <f>HYPERLINK("http://www.rosaceae.org/Prunus/Prunus_persica/p.persica_gdr_reftransV1_0013008","p.persica_gdr_reftransV1_0013008")</f>
        <v>p.persica_gdr_reftransV1_0013008</v>
      </c>
      <c r="B17221" s="3">
        <v>1191</v>
      </c>
      <c r="C17221" s="1" t="str">
        <f>HYPERLINK("http://www.uniprot.org/uniprot/TBB2_LUPAL","TBB2_LUPAL")</f>
        <v>TBB2_LUPAL</v>
      </c>
      <c r="D17221" t="s">
        <v>10620</v>
      </c>
      <c r="E17221" s="3" t="s">
        <v>2143</v>
      </c>
      <c r="F17221" s="4">
        <v>0</v>
      </c>
      <c r="G17221" s="3">
        <v>1494</v>
      </c>
      <c r="H17221" s="3">
        <v>99</v>
      </c>
      <c r="I17221" s="3">
        <v>278</v>
      </c>
      <c r="J17221" s="3">
        <v>356</v>
      </c>
      <c r="K17221" s="3">
        <v>1189</v>
      </c>
      <c r="L17221" s="3">
        <v>153</v>
      </c>
      <c r="M17221" s="3">
        <v>430</v>
      </c>
    </row>
    <row r="17222" spans="1:13" x14ac:dyDescent="0.25">
      <c r="A17222" s="1" t="str">
        <f>HYPERLINK("http://www.rosaceae.org/Prunus/Prunus_persica/p.persica_gdr_reftransV1_0013208","p.persica_gdr_reftransV1_0013208")</f>
        <v>p.persica_gdr_reftransV1_0013208</v>
      </c>
      <c r="B17222" s="3">
        <v>1448</v>
      </c>
      <c r="C17222" s="1" t="str">
        <f>HYPERLINK("http://www.uniprot.org/uniprot/PPAN_ARATH","PPAN_ARATH")</f>
        <v>PPAN_ARATH</v>
      </c>
      <c r="D17222" t="s">
        <v>10621</v>
      </c>
      <c r="E17222" s="3" t="s">
        <v>3</v>
      </c>
      <c r="F17222" s="4">
        <v>4.83E-165</v>
      </c>
      <c r="G17222" s="3">
        <v>1228</v>
      </c>
      <c r="H17222" s="3">
        <v>79</v>
      </c>
      <c r="I17222" s="3">
        <v>303</v>
      </c>
      <c r="J17222" s="3">
        <v>152</v>
      </c>
      <c r="K17222" s="3">
        <v>1054</v>
      </c>
      <c r="L17222" s="3">
        <v>1</v>
      </c>
      <c r="M17222" s="3">
        <v>303</v>
      </c>
    </row>
    <row r="17223" spans="1:13" x14ac:dyDescent="0.25">
      <c r="A17223" s="1" t="str">
        <f>HYPERLINK("http://www.rosaceae.org/Prunus/Prunus_persica/p.persica_gdr_reftransV1_0013358","p.persica_gdr_reftransV1_0013358")</f>
        <v>p.persica_gdr_reftransV1_0013358</v>
      </c>
      <c r="B17223" s="3">
        <v>2362</v>
      </c>
      <c r="C17223" s="1" t="str">
        <f>HYPERLINK("http://www.uniprot.org/uniprot/CAD1_ARATH","CAD1_ARATH")</f>
        <v>CAD1_ARATH</v>
      </c>
      <c r="D17223" t="s">
        <v>1344</v>
      </c>
      <c r="E17223" s="3" t="s">
        <v>3</v>
      </c>
      <c r="F17223" s="4">
        <v>0</v>
      </c>
      <c r="G17223" s="3">
        <v>1853</v>
      </c>
      <c r="H17223" s="3">
        <v>63</v>
      </c>
      <c r="I17223" s="3">
        <v>578</v>
      </c>
      <c r="J17223" s="3">
        <v>280</v>
      </c>
      <c r="K17223" s="3">
        <v>2004</v>
      </c>
      <c r="L17223" s="3">
        <v>13</v>
      </c>
      <c r="M17223" s="3">
        <v>561</v>
      </c>
    </row>
    <row r="17224" spans="1:13" x14ac:dyDescent="0.25">
      <c r="A17224" s="1" t="str">
        <f>HYPERLINK("http://www.rosaceae.org/Prunus/Prunus_persica/p.persica_gdr_reftransV1_0013958","p.persica_gdr_reftransV1_0013958")</f>
        <v>p.persica_gdr_reftransV1_0013958</v>
      </c>
      <c r="B17224" s="3">
        <v>1924</v>
      </c>
      <c r="C17224" s="1" t="str">
        <f>HYPERLINK("http://www.uniprot.org/uniprot/MTK_ARATH","MTK_ARATH")</f>
        <v>MTK_ARATH</v>
      </c>
      <c r="D17224" t="s">
        <v>232</v>
      </c>
      <c r="E17224" s="3" t="s">
        <v>3</v>
      </c>
      <c r="F17224" s="4">
        <v>0</v>
      </c>
      <c r="G17224" s="3">
        <v>1829</v>
      </c>
      <c r="H17224" s="3">
        <v>79</v>
      </c>
      <c r="I17224" s="3">
        <v>418</v>
      </c>
      <c r="J17224" s="3">
        <v>49</v>
      </c>
      <c r="K17224" s="3">
        <v>1293</v>
      </c>
      <c r="L17224" s="3">
        <v>1</v>
      </c>
      <c r="M17224" s="3">
        <v>418</v>
      </c>
    </row>
    <row r="17225" spans="1:13" x14ac:dyDescent="0.25">
      <c r="A17225" s="1" t="str">
        <f>HYPERLINK("http://www.rosaceae.org/Prunus/Prunus_persica/p.persica_gdr_reftransV1_0014008","p.persica_gdr_reftransV1_0014008")</f>
        <v>p.persica_gdr_reftransV1_0014008</v>
      </c>
      <c r="B17225" s="3">
        <v>1044</v>
      </c>
      <c r="C17225" s="1" t="str">
        <f>HYPERLINK("http://www.uniprot.org/uniprot/PPL1_ARATH","PPL1_ARATH")</f>
        <v>PPL1_ARATH</v>
      </c>
      <c r="D17225" t="s">
        <v>6540</v>
      </c>
      <c r="E17225" s="3" t="s">
        <v>3</v>
      </c>
      <c r="F17225" s="4">
        <v>1E-91</v>
      </c>
      <c r="G17225" s="3">
        <v>717</v>
      </c>
      <c r="H17225" s="3">
        <v>65</v>
      </c>
      <c r="I17225" s="3">
        <v>206</v>
      </c>
      <c r="J17225" s="3">
        <v>230</v>
      </c>
      <c r="K17225" s="3">
        <v>847</v>
      </c>
      <c r="L17225" s="3">
        <v>24</v>
      </c>
      <c r="M17225" s="3">
        <v>228</v>
      </c>
    </row>
    <row r="17226" spans="1:13" x14ac:dyDescent="0.25">
      <c r="A17226" s="1" t="str">
        <f>HYPERLINK("http://www.rosaceae.org/Prunus/Prunus_persica/p.persica_gdr_reftransV1_0014158","p.persica_gdr_reftransV1_0014158")</f>
        <v>p.persica_gdr_reftransV1_0014158</v>
      </c>
      <c r="B17226" s="3">
        <v>1012</v>
      </c>
      <c r="C17226" s="1" t="str">
        <f>HYPERLINK("http://www.uniprot.org/uniprot/CRF2_ARATH","CRF2_ARATH")</f>
        <v>CRF2_ARATH</v>
      </c>
      <c r="D17226" t="s">
        <v>9524</v>
      </c>
      <c r="E17226" s="3" t="s">
        <v>3</v>
      </c>
      <c r="F17226" s="4">
        <v>1.0600000000000001E-54</v>
      </c>
      <c r="G17226" s="3">
        <v>477</v>
      </c>
      <c r="H17226" s="3">
        <v>43</v>
      </c>
      <c r="I17226" s="3">
        <v>336</v>
      </c>
      <c r="J17226" s="3">
        <v>29</v>
      </c>
      <c r="K17226" s="3">
        <v>946</v>
      </c>
      <c r="L17226" s="3">
        <v>33</v>
      </c>
      <c r="M17226" s="3">
        <v>343</v>
      </c>
    </row>
    <row r="17227" spans="1:13" x14ac:dyDescent="0.25">
      <c r="A17227" s="1" t="str">
        <f>HYPERLINK("http://www.rosaceae.org/Prunus/Prunus_persica/p.persica_gdr_reftransV1_0014208","p.persica_gdr_reftransV1_0014208")</f>
        <v>p.persica_gdr_reftransV1_0014208</v>
      </c>
      <c r="B17227" s="3">
        <v>490</v>
      </c>
      <c r="C17227" s="1" t="str">
        <f>HYPERLINK("http://www.uniprot.org/uniprot/PLRX1_ARATH","PLRX1_ARATH")</f>
        <v>PLRX1_ARATH</v>
      </c>
      <c r="D17227" t="s">
        <v>2281</v>
      </c>
      <c r="E17227" s="3" t="s">
        <v>3</v>
      </c>
      <c r="F17227" s="4">
        <v>5.3599999999999997E-66</v>
      </c>
      <c r="G17227" s="3">
        <v>563</v>
      </c>
      <c r="H17227" s="3">
        <v>68</v>
      </c>
      <c r="I17227" s="3">
        <v>139</v>
      </c>
      <c r="J17227" s="3">
        <v>2</v>
      </c>
      <c r="K17227" s="3">
        <v>418</v>
      </c>
      <c r="L17227" s="3">
        <v>68</v>
      </c>
      <c r="M17227" s="3">
        <v>206</v>
      </c>
    </row>
    <row r="17228" spans="1:13" x14ac:dyDescent="0.25">
      <c r="A17228" s="1" t="str">
        <f>HYPERLINK("http://www.rosaceae.org/Prunus/Prunus_persica/p.persica_gdr_reftransV1_0014308","p.persica_gdr_reftransV1_0014308")</f>
        <v>p.persica_gdr_reftransV1_0014308</v>
      </c>
      <c r="B17228" s="3">
        <v>1539</v>
      </c>
      <c r="C17228" s="1" t="str">
        <f>HYPERLINK("http://www.uniprot.org/uniprot/PSB6_ARATH","PSB6_ARATH")</f>
        <v>PSB6_ARATH</v>
      </c>
      <c r="D17228" t="s">
        <v>2338</v>
      </c>
      <c r="E17228" s="3" t="s">
        <v>3</v>
      </c>
      <c r="F17228" s="4">
        <v>1.0600000000000001E-89</v>
      </c>
      <c r="G17228" s="3">
        <v>718</v>
      </c>
      <c r="H17228" s="3">
        <v>75</v>
      </c>
      <c r="I17228" s="3">
        <v>180</v>
      </c>
      <c r="J17228" s="3">
        <v>741</v>
      </c>
      <c r="K17228" s="3">
        <v>1247</v>
      </c>
      <c r="L17228" s="3">
        <v>52</v>
      </c>
      <c r="M17228" s="3">
        <v>231</v>
      </c>
    </row>
    <row r="17229" spans="1:13" x14ac:dyDescent="0.25">
      <c r="A17229" s="1" t="str">
        <f>HYPERLINK("http://www.rosaceae.org/Prunus/Prunus_persica/p.persica_gdr_reftransV1_0014458","p.persica_gdr_reftransV1_0014458")</f>
        <v>p.persica_gdr_reftransV1_0014458</v>
      </c>
      <c r="B17229" s="3">
        <v>3041</v>
      </c>
      <c r="C17229" s="1" t="str">
        <f>HYPERLINK("http://www.uniprot.org/uniprot/MSL2_ARATH","MSL2_ARATH")</f>
        <v>MSL2_ARATH</v>
      </c>
      <c r="D17229" t="s">
        <v>10622</v>
      </c>
      <c r="E17229" s="3" t="s">
        <v>3</v>
      </c>
      <c r="F17229" s="4">
        <v>0</v>
      </c>
      <c r="G17229" s="3">
        <v>1832</v>
      </c>
      <c r="H17229" s="3">
        <v>67</v>
      </c>
      <c r="I17229" s="3">
        <v>553</v>
      </c>
      <c r="J17229" s="3">
        <v>958</v>
      </c>
      <c r="K17229" s="3">
        <v>2598</v>
      </c>
      <c r="L17229" s="3">
        <v>1</v>
      </c>
      <c r="M17229" s="3">
        <v>543</v>
      </c>
    </row>
    <row r="17230" spans="1:13" x14ac:dyDescent="0.25">
      <c r="A17230" s="1" t="str">
        <f>HYPERLINK("http://www.rosaceae.org/Prunus/Prunus_persica/p.persica_gdr_reftransV1_0014508","p.persica_gdr_reftransV1_0014508")</f>
        <v>p.persica_gdr_reftransV1_0014508</v>
      </c>
      <c r="B17230" s="3">
        <v>1913</v>
      </c>
      <c r="C17230" s="1" t="str">
        <f>HYPERLINK("http://www.uniprot.org/uniprot/C7A52_PANGI","C7A52_PANGI")</f>
        <v>C7A52_PANGI</v>
      </c>
      <c r="D17230" t="s">
        <v>4188</v>
      </c>
      <c r="E17230" s="3" t="s">
        <v>1477</v>
      </c>
      <c r="F17230" s="4">
        <v>0</v>
      </c>
      <c r="G17230" s="3">
        <v>1500</v>
      </c>
      <c r="H17230" s="3">
        <v>71</v>
      </c>
      <c r="I17230" s="3">
        <v>393</v>
      </c>
      <c r="J17230" s="3">
        <v>98</v>
      </c>
      <c r="K17230" s="3">
        <v>1267</v>
      </c>
      <c r="L17230" s="3">
        <v>1</v>
      </c>
      <c r="M17230" s="3">
        <v>393</v>
      </c>
    </row>
    <row r="17231" spans="1:13" x14ac:dyDescent="0.25">
      <c r="A17231" s="1" t="str">
        <f>HYPERLINK("http://www.rosaceae.org/Prunus/Prunus_persica/p.persica_gdr_reftransV1_0014608","p.persica_gdr_reftransV1_0014608")</f>
        <v>p.persica_gdr_reftransV1_0014608</v>
      </c>
      <c r="B17231" s="3">
        <v>2774</v>
      </c>
      <c r="C17231" s="1" t="str">
        <f>HYPERLINK("http://www.uniprot.org/uniprot/CHX20_ARATH","CHX20_ARATH")</f>
        <v>CHX20_ARATH</v>
      </c>
      <c r="D17231" t="s">
        <v>1937</v>
      </c>
      <c r="E17231" s="3" t="s">
        <v>3</v>
      </c>
      <c r="F17231" s="4">
        <v>0</v>
      </c>
      <c r="G17231" s="3">
        <v>2727</v>
      </c>
      <c r="H17231" s="3">
        <v>68</v>
      </c>
      <c r="I17231" s="3">
        <v>837</v>
      </c>
      <c r="J17231" s="3">
        <v>278</v>
      </c>
      <c r="K17231" s="3">
        <v>2743</v>
      </c>
      <c r="L17231" s="3">
        <v>2</v>
      </c>
      <c r="M17231" s="3">
        <v>829</v>
      </c>
    </row>
    <row r="17232" spans="1:13" x14ac:dyDescent="0.25">
      <c r="A17232" s="1" t="str">
        <f>HYPERLINK("http://www.rosaceae.org/Prunus/Prunus_persica/p.persica_gdr_reftransV1_0015208","p.persica_gdr_reftransV1_0015208")</f>
        <v>p.persica_gdr_reftransV1_0015208</v>
      </c>
      <c r="B17232" s="3">
        <v>2652</v>
      </c>
      <c r="C17232" s="1" t="str">
        <f>HYPERLINK("http://www.uniprot.org/uniprot/TAF6_ARATH","TAF6_ARATH")</f>
        <v>TAF6_ARATH</v>
      </c>
      <c r="D17232" t="s">
        <v>282</v>
      </c>
      <c r="E17232" s="3" t="s">
        <v>3</v>
      </c>
      <c r="F17232" s="4">
        <v>0</v>
      </c>
      <c r="G17232" s="3">
        <v>1750</v>
      </c>
      <c r="H17232" s="3">
        <v>67</v>
      </c>
      <c r="I17232" s="3">
        <v>547</v>
      </c>
      <c r="J17232" s="3">
        <v>747</v>
      </c>
      <c r="K17232" s="3">
        <v>2366</v>
      </c>
      <c r="L17232" s="3">
        <v>1</v>
      </c>
      <c r="M17232" s="3">
        <v>546</v>
      </c>
    </row>
    <row r="17233" spans="1:13" x14ac:dyDescent="0.25">
      <c r="A17233" s="1" t="str">
        <f>HYPERLINK("http://www.rosaceae.org/Prunus/Prunus_persica/p.persica_gdr_reftransV1_0015258","p.persica_gdr_reftransV1_0015258")</f>
        <v>p.persica_gdr_reftransV1_0015258</v>
      </c>
      <c r="B17233" s="3">
        <v>819</v>
      </c>
      <c r="C17233" s="1" t="str">
        <f>HYPERLINK("http://www.uniprot.org/uniprot/PNSL5_ARATH","PNSL5_ARATH")</f>
        <v>PNSL5_ARATH</v>
      </c>
      <c r="D17233" t="s">
        <v>3011</v>
      </c>
      <c r="E17233" s="3" t="s">
        <v>3</v>
      </c>
      <c r="F17233" s="4">
        <v>8.0300000000000001E-45</v>
      </c>
      <c r="G17233" s="3">
        <v>398</v>
      </c>
      <c r="H17233" s="3">
        <v>89</v>
      </c>
      <c r="I17233" s="3">
        <v>94</v>
      </c>
      <c r="J17233" s="3">
        <v>114</v>
      </c>
      <c r="K17233" s="3">
        <v>395</v>
      </c>
      <c r="L17233" s="3">
        <v>85</v>
      </c>
      <c r="M17233" s="3">
        <v>178</v>
      </c>
    </row>
    <row r="17234" spans="1:13" x14ac:dyDescent="0.25">
      <c r="A17234" s="1" t="str">
        <f>HYPERLINK("http://www.rosaceae.org/Prunus/Prunus_persica/p.persica_gdr_reftransV1_0015358","p.persica_gdr_reftransV1_0015358")</f>
        <v>p.persica_gdr_reftransV1_0015358</v>
      </c>
      <c r="B17234" s="3">
        <v>2924</v>
      </c>
      <c r="C17234" s="1" t="str">
        <f>HYPERLINK("http://www.uniprot.org/uniprot/CUL3B_ARATH","CUL3B_ARATH")</f>
        <v>CUL3B_ARATH</v>
      </c>
      <c r="D17234" t="s">
        <v>10623</v>
      </c>
      <c r="E17234" s="3" t="s">
        <v>3</v>
      </c>
      <c r="F17234" s="4">
        <v>0</v>
      </c>
      <c r="G17234" s="3">
        <v>3235</v>
      </c>
      <c r="H17234" s="3">
        <v>82</v>
      </c>
      <c r="I17234" s="3">
        <v>733</v>
      </c>
      <c r="J17234" s="3">
        <v>277</v>
      </c>
      <c r="K17234" s="3">
        <v>2475</v>
      </c>
      <c r="L17234" s="3">
        <v>1</v>
      </c>
      <c r="M17234" s="3">
        <v>732</v>
      </c>
    </row>
    <row r="17235" spans="1:13" x14ac:dyDescent="0.25">
      <c r="A17235" s="1" t="str">
        <f>HYPERLINK("http://www.rosaceae.org/Prunus/Prunus_persica/p.persica_gdr_reftransV1_0015458","p.persica_gdr_reftransV1_0015458")</f>
        <v>p.persica_gdr_reftransV1_0015458</v>
      </c>
      <c r="B17235" s="3">
        <v>2655</v>
      </c>
      <c r="C17235" s="1" t="str">
        <f>HYPERLINK("http://www.uniprot.org/uniprot/OPT7_ARATH","OPT7_ARATH")</f>
        <v>OPT7_ARATH</v>
      </c>
      <c r="D17235" t="s">
        <v>7321</v>
      </c>
      <c r="E17235" s="3" t="s">
        <v>3</v>
      </c>
      <c r="F17235" s="4">
        <v>0</v>
      </c>
      <c r="G17235" s="3">
        <v>2688</v>
      </c>
      <c r="H17235" s="3">
        <v>72</v>
      </c>
      <c r="I17235" s="3">
        <v>713</v>
      </c>
      <c r="J17235" s="3">
        <v>152</v>
      </c>
      <c r="K17235" s="3">
        <v>2290</v>
      </c>
      <c r="L17235" s="3">
        <v>55</v>
      </c>
      <c r="M17235" s="3">
        <v>764</v>
      </c>
    </row>
    <row r="17236" spans="1:13" x14ac:dyDescent="0.25">
      <c r="A17236" s="1" t="str">
        <f>HYPERLINK("http://www.rosaceae.org/Prunus/Prunus_persica/p.persica_gdr_reftransV1_0016058","p.persica_gdr_reftransV1_0016058")</f>
        <v>p.persica_gdr_reftransV1_0016058</v>
      </c>
      <c r="B17236" s="3">
        <v>2586</v>
      </c>
      <c r="C17236" s="1" t="str">
        <f>HYPERLINK("http://www.uniprot.org/uniprot/EIF3B_ARATH","EIF3B_ARATH")</f>
        <v>EIF3B_ARATH</v>
      </c>
      <c r="D17236" t="s">
        <v>10624</v>
      </c>
      <c r="E17236" s="3" t="s">
        <v>3</v>
      </c>
      <c r="F17236" s="4">
        <v>0</v>
      </c>
      <c r="G17236" s="3">
        <v>2940</v>
      </c>
      <c r="H17236" s="3">
        <v>79</v>
      </c>
      <c r="I17236" s="3">
        <v>685</v>
      </c>
      <c r="J17236" s="3">
        <v>217</v>
      </c>
      <c r="K17236" s="3">
        <v>2271</v>
      </c>
      <c r="L17236" s="3">
        <v>1</v>
      </c>
      <c r="M17236" s="3">
        <v>679</v>
      </c>
    </row>
    <row r="17237" spans="1:13" x14ac:dyDescent="0.25">
      <c r="A17237" s="1" t="str">
        <f>HYPERLINK("http://www.rosaceae.org/Prunus/Prunus_persica/p.persica_gdr_reftransV1_0016308","p.persica_gdr_reftransV1_0016308")</f>
        <v>p.persica_gdr_reftransV1_0016308</v>
      </c>
      <c r="B17237" s="3">
        <v>1014</v>
      </c>
      <c r="C17237" s="1" t="str">
        <f>HYPERLINK("http://www.uniprot.org/uniprot/IPT3_ARATH","IPT3_ARATH")</f>
        <v>IPT3_ARATH</v>
      </c>
      <c r="D17237" t="s">
        <v>10625</v>
      </c>
      <c r="E17237" s="3" t="s">
        <v>3</v>
      </c>
      <c r="F17237" s="4">
        <v>8.8200000000000003E-120</v>
      </c>
      <c r="G17237" s="3">
        <v>912</v>
      </c>
      <c r="H17237" s="3">
        <v>58</v>
      </c>
      <c r="I17237" s="3">
        <v>301</v>
      </c>
      <c r="J17237" s="3">
        <v>9</v>
      </c>
      <c r="K17237" s="3">
        <v>902</v>
      </c>
      <c r="L17237" s="3">
        <v>34</v>
      </c>
      <c r="M17237" s="3">
        <v>324</v>
      </c>
    </row>
    <row r="17238" spans="1:13" x14ac:dyDescent="0.25">
      <c r="A17238" s="1" t="str">
        <f>HYPERLINK("http://www.rosaceae.org/Prunus/Prunus_persica/p.persica_gdr_reftransV1_0016558","p.persica_gdr_reftransV1_0016558")</f>
        <v>p.persica_gdr_reftransV1_0016558</v>
      </c>
      <c r="B17238" s="3">
        <v>927</v>
      </c>
      <c r="C17238" s="1" t="str">
        <f>HYPERLINK("http://www.uniprot.org/uniprot/DR206_PEA","DR206_PEA")</f>
        <v>DR206_PEA</v>
      </c>
      <c r="D17238" t="s">
        <v>8568</v>
      </c>
      <c r="E17238" s="3" t="s">
        <v>60</v>
      </c>
      <c r="F17238" s="4">
        <v>7.5599999999999999E-81</v>
      </c>
      <c r="G17238" s="3">
        <v>637</v>
      </c>
      <c r="H17238" s="3">
        <v>72</v>
      </c>
      <c r="I17238" s="3">
        <v>181</v>
      </c>
      <c r="J17238" s="3">
        <v>116</v>
      </c>
      <c r="K17238" s="3">
        <v>652</v>
      </c>
      <c r="L17238" s="3">
        <v>4</v>
      </c>
      <c r="M17238" s="3">
        <v>184</v>
      </c>
    </row>
    <row r="17239" spans="1:13" x14ac:dyDescent="0.25">
      <c r="A17239" s="1" t="str">
        <f>HYPERLINK("http://www.rosaceae.org/Prunus/Prunus_persica/p.persica_gdr_reftransV1_0017008","p.persica_gdr_reftransV1_0017008")</f>
        <v>p.persica_gdr_reftransV1_0017008</v>
      </c>
      <c r="B17239" s="3">
        <v>1632</v>
      </c>
      <c r="C17239" s="1" t="str">
        <f>HYPERLINK("http://www.uniprot.org/uniprot/SF3A2_HUMAN","SF3A2_HUMAN")</f>
        <v>SF3A2_HUMAN</v>
      </c>
      <c r="D17239" t="s">
        <v>10626</v>
      </c>
      <c r="E17239" s="3" t="s">
        <v>28</v>
      </c>
      <c r="F17239" s="4">
        <v>3.52E-68</v>
      </c>
      <c r="G17239" s="3">
        <v>594</v>
      </c>
      <c r="H17239" s="3">
        <v>72</v>
      </c>
      <c r="I17239" s="3">
        <v>176</v>
      </c>
      <c r="J17239" s="3">
        <v>228</v>
      </c>
      <c r="K17239" s="3">
        <v>755</v>
      </c>
      <c r="L17239" s="3">
        <v>37</v>
      </c>
      <c r="M17239" s="3">
        <v>212</v>
      </c>
    </row>
    <row r="17240" spans="1:13" x14ac:dyDescent="0.25">
      <c r="A17240" s="1" t="str">
        <f>HYPERLINK("http://www.rosaceae.org/Prunus/Prunus_persica/p.persica_gdr_reftransV1_0017208","p.persica_gdr_reftransV1_0017208")</f>
        <v>p.persica_gdr_reftransV1_0017208</v>
      </c>
      <c r="B17240" s="3">
        <v>1379</v>
      </c>
      <c r="C17240" s="1" t="str">
        <f>HYPERLINK("http://www.uniprot.org/uniprot/F6H2_ARATH","F6H2_ARATH")</f>
        <v>F6H2_ARATH</v>
      </c>
      <c r="D17240" t="s">
        <v>10565</v>
      </c>
      <c r="E17240" s="3" t="s">
        <v>3</v>
      </c>
      <c r="F17240" s="4">
        <v>2.2E-54</v>
      </c>
      <c r="G17240" s="3">
        <v>486</v>
      </c>
      <c r="H17240" s="3">
        <v>34</v>
      </c>
      <c r="I17240" s="3">
        <v>325</v>
      </c>
      <c r="J17240" s="3">
        <v>255</v>
      </c>
      <c r="K17240" s="3">
        <v>1208</v>
      </c>
      <c r="L17240" s="3">
        <v>60</v>
      </c>
      <c r="M17240" s="3">
        <v>354</v>
      </c>
    </row>
    <row r="17241" spans="1:13" x14ac:dyDescent="0.25">
      <c r="A17241" s="1" t="str">
        <f>HYPERLINK("http://www.rosaceae.org/Prunus/Prunus_persica/p.persica_gdr_reftransV1_0017358","p.persica_gdr_reftransV1_0017358")</f>
        <v>p.persica_gdr_reftransV1_0017358</v>
      </c>
      <c r="B17241" s="3">
        <v>2817</v>
      </c>
      <c r="C17241" s="1" t="str">
        <f>HYPERLINK("http://www.uniprot.org/uniprot/P2C35_ARATH","P2C35_ARATH")</f>
        <v>P2C35_ARATH</v>
      </c>
      <c r="D17241" t="s">
        <v>8574</v>
      </c>
      <c r="E17241" s="3" t="s">
        <v>3</v>
      </c>
      <c r="F17241" s="4">
        <v>2.17E-178</v>
      </c>
      <c r="G17241" s="3">
        <v>1358</v>
      </c>
      <c r="H17241" s="3">
        <v>73</v>
      </c>
      <c r="I17241" s="3">
        <v>351</v>
      </c>
      <c r="J17241" s="3">
        <v>948</v>
      </c>
      <c r="K17241" s="3">
        <v>1991</v>
      </c>
      <c r="L17241" s="3">
        <v>1</v>
      </c>
      <c r="M17241" s="3">
        <v>345</v>
      </c>
    </row>
    <row r="17242" spans="1:13" x14ac:dyDescent="0.25">
      <c r="A17242" s="1" t="str">
        <f>HYPERLINK("http://www.rosaceae.org/Prunus/Prunus_persica/p.persica_gdr_reftransV1_0017408","p.persica_gdr_reftransV1_0017408")</f>
        <v>p.persica_gdr_reftransV1_0017408</v>
      </c>
      <c r="B17242" s="3">
        <v>1341</v>
      </c>
      <c r="C17242" s="1" t="str">
        <f>HYPERLINK("http://www.uniprot.org/uniprot/RS33_ARATH","RS33_ARATH")</f>
        <v>RS33_ARATH</v>
      </c>
      <c r="D17242" t="s">
        <v>2140</v>
      </c>
      <c r="E17242" s="3" t="s">
        <v>3</v>
      </c>
      <c r="F17242" s="4">
        <v>9.0400000000000004E-58</v>
      </c>
      <c r="G17242" s="3">
        <v>499</v>
      </c>
      <c r="H17242" s="3">
        <v>86</v>
      </c>
      <c r="I17242" s="3">
        <v>106</v>
      </c>
      <c r="J17242" s="3">
        <v>527</v>
      </c>
      <c r="K17242" s="3">
        <v>844</v>
      </c>
      <c r="L17242" s="3">
        <v>117</v>
      </c>
      <c r="M17242" s="3">
        <v>222</v>
      </c>
    </row>
    <row r="17243" spans="1:13" x14ac:dyDescent="0.25">
      <c r="A17243" s="1" t="str">
        <f>HYPERLINK("http://www.rosaceae.org/Prunus/Prunus_persica/p.persica_gdr_reftransV1_0017458","p.persica_gdr_reftransV1_0017458")</f>
        <v>p.persica_gdr_reftransV1_0017458</v>
      </c>
      <c r="B17243" s="3">
        <v>1572</v>
      </c>
      <c r="C17243" s="1" t="str">
        <f>HYPERLINK("http://www.uniprot.org/uniprot/PIGL_DICDI","PIGL_DICDI")</f>
        <v>PIGL_DICDI</v>
      </c>
      <c r="D17243" t="s">
        <v>10627</v>
      </c>
      <c r="E17243" s="3" t="s">
        <v>9</v>
      </c>
      <c r="F17243" s="4">
        <v>9.6300000000000004E-13</v>
      </c>
      <c r="G17243" s="3">
        <v>175</v>
      </c>
      <c r="H17243" s="3">
        <v>29</v>
      </c>
      <c r="I17243" s="3">
        <v>171</v>
      </c>
      <c r="J17243" s="3">
        <v>913</v>
      </c>
      <c r="K17243" s="3">
        <v>1347</v>
      </c>
      <c r="L17243" s="3">
        <v>92</v>
      </c>
      <c r="M17243" s="3">
        <v>258</v>
      </c>
    </row>
    <row r="17244" spans="1:13" x14ac:dyDescent="0.25">
      <c r="A17244" s="1" t="str">
        <f>HYPERLINK("http://www.rosaceae.org/Prunus/Prunus_persica/p.persica_gdr_reftransV1_0017708","p.persica_gdr_reftransV1_0017708")</f>
        <v>p.persica_gdr_reftransV1_0017708</v>
      </c>
      <c r="B17244" s="3">
        <v>2870</v>
      </c>
      <c r="C17244" s="1" t="str">
        <f>HYPERLINK("http://www.uniprot.org/uniprot/LETM1_CHICK","LETM1_CHICK")</f>
        <v>LETM1_CHICK</v>
      </c>
      <c r="D17244" t="s">
        <v>8980</v>
      </c>
      <c r="E17244" s="3" t="s">
        <v>1278</v>
      </c>
      <c r="F17244" s="4">
        <v>2.7400000000000002E-78</v>
      </c>
      <c r="G17244" s="3">
        <v>707</v>
      </c>
      <c r="H17244" s="3">
        <v>55</v>
      </c>
      <c r="I17244" s="3">
        <v>292</v>
      </c>
      <c r="J17244" s="3">
        <v>891</v>
      </c>
      <c r="K17244" s="3">
        <v>1760</v>
      </c>
      <c r="L17244" s="3">
        <v>154</v>
      </c>
      <c r="M17244" s="3">
        <v>441</v>
      </c>
    </row>
    <row r="17245" spans="1:13" x14ac:dyDescent="0.25">
      <c r="A17245" s="1" t="str">
        <f>HYPERLINK("http://www.rosaceae.org/Prunus/Prunus_persica/p.persica_gdr_reftransV1_0018658","p.persica_gdr_reftransV1_0018658")</f>
        <v>p.persica_gdr_reftransV1_0018658</v>
      </c>
      <c r="B17245" s="3">
        <v>1047</v>
      </c>
      <c r="C17245" s="1" t="str">
        <f>HYPERLINK("http://www.uniprot.org/uniprot/MCC16_ARATH","MCC16_ARATH")</f>
        <v>MCC16_ARATH</v>
      </c>
      <c r="D17245" t="s">
        <v>6087</v>
      </c>
      <c r="E17245" s="3" t="s">
        <v>3</v>
      </c>
      <c r="F17245" s="4">
        <v>8.3400000000000004E-16</v>
      </c>
      <c r="G17245" s="3">
        <v>197</v>
      </c>
      <c r="H17245" s="3">
        <v>34</v>
      </c>
      <c r="I17245" s="3">
        <v>137</v>
      </c>
      <c r="J17245" s="3">
        <v>57</v>
      </c>
      <c r="K17245" s="3">
        <v>467</v>
      </c>
      <c r="L17245" s="3">
        <v>8</v>
      </c>
      <c r="M17245" s="3">
        <v>143</v>
      </c>
    </row>
    <row r="17246" spans="1:13" x14ac:dyDescent="0.25">
      <c r="A17246" s="1" t="str">
        <f>HYPERLINK("http://www.rosaceae.org/Prunus/Prunus_persica/p.persica_gdr_reftransV1_0019058","p.persica_gdr_reftransV1_0019058")</f>
        <v>p.persica_gdr_reftransV1_0019058</v>
      </c>
      <c r="B17246" s="3">
        <v>1111</v>
      </c>
      <c r="C17246" s="1" t="str">
        <f>HYPERLINK("http://www.uniprot.org/uniprot/PDX1_HEVBR","PDX1_HEVBR")</f>
        <v>PDX1_HEVBR</v>
      </c>
      <c r="D17246" t="s">
        <v>6694</v>
      </c>
      <c r="E17246" s="3" t="s">
        <v>24</v>
      </c>
      <c r="F17246" s="4">
        <v>3.32E-117</v>
      </c>
      <c r="G17246" s="3">
        <v>896</v>
      </c>
      <c r="H17246" s="3">
        <v>91</v>
      </c>
      <c r="I17246" s="3">
        <v>211</v>
      </c>
      <c r="J17246" s="3">
        <v>479</v>
      </c>
      <c r="K17246" s="3">
        <v>1111</v>
      </c>
      <c r="L17246" s="3">
        <v>99</v>
      </c>
      <c r="M17246" s="3">
        <v>309</v>
      </c>
    </row>
    <row r="17247" spans="1:13" x14ac:dyDescent="0.25">
      <c r="A17247" s="1" t="str">
        <f>HYPERLINK("http://www.rosaceae.org/Prunus/Prunus_persica/p.persica_gdr_reftransV1_0019258","p.persica_gdr_reftransV1_0019258")</f>
        <v>p.persica_gdr_reftransV1_0019258</v>
      </c>
      <c r="B17247" s="3">
        <v>908</v>
      </c>
      <c r="C17247" s="1" t="str">
        <f>HYPERLINK("http://www.uniprot.org/uniprot/FAD3D_ARATH","FAD3D_ARATH")</f>
        <v>FAD3D_ARATH</v>
      </c>
      <c r="D17247" t="s">
        <v>10628</v>
      </c>
      <c r="E17247" s="3" t="s">
        <v>3</v>
      </c>
      <c r="F17247" s="4">
        <v>3.8299999999999998E-77</v>
      </c>
      <c r="G17247" s="3">
        <v>633</v>
      </c>
      <c r="H17247" s="3">
        <v>89</v>
      </c>
      <c r="I17247" s="3">
        <v>133</v>
      </c>
      <c r="J17247" s="3">
        <v>510</v>
      </c>
      <c r="K17247" s="3">
        <v>908</v>
      </c>
      <c r="L17247" s="3">
        <v>303</v>
      </c>
      <c r="M17247" s="3">
        <v>435</v>
      </c>
    </row>
    <row r="17248" spans="1:13" x14ac:dyDescent="0.25">
      <c r="A17248" s="1" t="str">
        <f>HYPERLINK("http://www.rosaceae.org/Prunus/Prunus_persica/p.persica_gdr_reftransV1_0019558","p.persica_gdr_reftransV1_0019558")</f>
        <v>p.persica_gdr_reftransV1_0019558</v>
      </c>
      <c r="B17248" s="3">
        <v>464</v>
      </c>
      <c r="C17248" s="1" t="str">
        <f>HYPERLINK("http://www.uniprot.org/uniprot/PP184_ARATH","PP184_ARATH")</f>
        <v>PP184_ARATH</v>
      </c>
      <c r="D17248" t="s">
        <v>2303</v>
      </c>
      <c r="E17248" s="3" t="s">
        <v>3</v>
      </c>
      <c r="F17248" s="4">
        <v>2.5400000000000002E-36</v>
      </c>
      <c r="G17248" s="3">
        <v>341</v>
      </c>
      <c r="H17248" s="3">
        <v>42</v>
      </c>
      <c r="I17248" s="3">
        <v>152</v>
      </c>
      <c r="J17248" s="3">
        <v>9</v>
      </c>
      <c r="K17248" s="3">
        <v>464</v>
      </c>
      <c r="L17248" s="3">
        <v>154</v>
      </c>
      <c r="M17248" s="3">
        <v>305</v>
      </c>
    </row>
    <row r="17249" spans="1:13" x14ac:dyDescent="0.25">
      <c r="A17249" s="1" t="str">
        <f>HYPERLINK("http://www.rosaceae.org/Prunus/Prunus_persica/p.persica_gdr_reftransV1_0019608","p.persica_gdr_reftransV1_0019608")</f>
        <v>p.persica_gdr_reftransV1_0019608</v>
      </c>
      <c r="B17249" s="3">
        <v>3901</v>
      </c>
      <c r="C17249" s="1" t="str">
        <f>HYPERLINK("http://www.uniprot.org/uniprot/PP331_ARATH","PP331_ARATH")</f>
        <v>PP331_ARATH</v>
      </c>
      <c r="D17249" t="s">
        <v>10629</v>
      </c>
      <c r="E17249" s="3" t="s">
        <v>3</v>
      </c>
      <c r="F17249" s="4">
        <v>4.8600000000000002E-138</v>
      </c>
      <c r="G17249" s="3">
        <v>1133</v>
      </c>
      <c r="H17249" s="3">
        <v>45</v>
      </c>
      <c r="I17249" s="3">
        <v>558</v>
      </c>
      <c r="J17249" s="3">
        <v>122</v>
      </c>
      <c r="K17249" s="3">
        <v>1771</v>
      </c>
      <c r="L17249" s="3">
        <v>28</v>
      </c>
      <c r="M17249" s="3">
        <v>585</v>
      </c>
    </row>
    <row r="17250" spans="1:13" x14ac:dyDescent="0.25">
      <c r="A17250" s="1" t="str">
        <f>HYPERLINK("http://www.rosaceae.org/Prunus/Prunus_persica/p.persica_gdr_reftransV1_0019758","p.persica_gdr_reftransV1_0019758")</f>
        <v>p.persica_gdr_reftransV1_0019758</v>
      </c>
      <c r="B17250" s="3">
        <v>2439</v>
      </c>
      <c r="C17250" s="1" t="str">
        <f>HYPERLINK("http://www.uniprot.org/uniprot/BGL42_ARATH","BGL42_ARATH")</f>
        <v>BGL42_ARATH</v>
      </c>
      <c r="D17250" t="s">
        <v>10630</v>
      </c>
      <c r="E17250" s="3" t="s">
        <v>3</v>
      </c>
      <c r="F17250" s="4">
        <v>0</v>
      </c>
      <c r="G17250" s="3">
        <v>1728</v>
      </c>
      <c r="H17250" s="3">
        <v>68</v>
      </c>
      <c r="I17250" s="3">
        <v>490</v>
      </c>
      <c r="J17250" s="3">
        <v>75</v>
      </c>
      <c r="K17250" s="3">
        <v>1541</v>
      </c>
      <c r="L17250" s="3">
        <v>1</v>
      </c>
      <c r="M17250" s="3">
        <v>490</v>
      </c>
    </row>
    <row r="17251" spans="1:13" x14ac:dyDescent="0.25">
      <c r="A17251" s="1" t="str">
        <f>HYPERLINK("http://www.rosaceae.org/Prunus/Prunus_persica/p.persica_gdr_reftransV1_0020258","p.persica_gdr_reftransV1_0020258")</f>
        <v>p.persica_gdr_reftransV1_0020258</v>
      </c>
      <c r="B17251" s="3">
        <v>3273</v>
      </c>
      <c r="C17251" s="1" t="str">
        <f>HYPERLINK("http://www.uniprot.org/uniprot/FH20_ARATH","FH20_ARATH")</f>
        <v>FH20_ARATH</v>
      </c>
      <c r="D17251" t="s">
        <v>551</v>
      </c>
      <c r="E17251" s="3" t="s">
        <v>3</v>
      </c>
      <c r="F17251" s="4">
        <v>1.6799999999999999E-125</v>
      </c>
      <c r="G17251" s="3">
        <v>1096</v>
      </c>
      <c r="H17251" s="3">
        <v>81</v>
      </c>
      <c r="I17251" s="3">
        <v>258</v>
      </c>
      <c r="J17251" s="3">
        <v>339</v>
      </c>
      <c r="K17251" s="3">
        <v>1112</v>
      </c>
      <c r="L17251" s="3">
        <v>1236</v>
      </c>
      <c r="M17251" s="3">
        <v>1490</v>
      </c>
    </row>
    <row r="17252" spans="1:13" x14ac:dyDescent="0.25">
      <c r="A17252" s="1" t="str">
        <f>HYPERLINK("http://www.rosaceae.org/Prunus/Prunus_persica/p.persica_gdr_reftransV1_0020308","p.persica_gdr_reftransV1_0020308")</f>
        <v>p.persica_gdr_reftransV1_0020308</v>
      </c>
      <c r="B17252" s="3">
        <v>1864</v>
      </c>
      <c r="C17252" s="1" t="str">
        <f>HYPERLINK("http://www.uniprot.org/uniprot/TCP5_ARATH","TCP5_ARATH")</f>
        <v>TCP5_ARATH</v>
      </c>
      <c r="D17252" t="s">
        <v>10631</v>
      </c>
      <c r="E17252" s="3" t="s">
        <v>3</v>
      </c>
      <c r="F17252" s="4">
        <v>9.2599999999999998E-44</v>
      </c>
      <c r="G17252" s="3">
        <v>417</v>
      </c>
      <c r="H17252" s="3">
        <v>86</v>
      </c>
      <c r="I17252" s="3">
        <v>88</v>
      </c>
      <c r="J17252" s="3">
        <v>528</v>
      </c>
      <c r="K17252" s="3">
        <v>791</v>
      </c>
      <c r="L17252" s="3">
        <v>47</v>
      </c>
      <c r="M17252" s="3">
        <v>134</v>
      </c>
    </row>
    <row r="17253" spans="1:13" x14ac:dyDescent="0.25">
      <c r="A17253" s="1" t="str">
        <f>HYPERLINK("http://www.rosaceae.org/Prunus/Prunus_persica/p.persica_gdr_reftransV1_0020358","p.persica_gdr_reftransV1_0020358")</f>
        <v>p.persica_gdr_reftransV1_0020358</v>
      </c>
      <c r="B17253" s="3">
        <v>1197</v>
      </c>
      <c r="C17253" s="1" t="str">
        <f>HYPERLINK("http://www.uniprot.org/uniprot/FRS3_ARATH","FRS3_ARATH")</f>
        <v>FRS3_ARATH</v>
      </c>
      <c r="D17253" t="s">
        <v>2843</v>
      </c>
      <c r="E17253" s="3" t="s">
        <v>3</v>
      </c>
      <c r="F17253" s="4">
        <v>2.3699999999999999E-17</v>
      </c>
      <c r="G17253" s="3">
        <v>216</v>
      </c>
      <c r="H17253" s="3">
        <v>53</v>
      </c>
      <c r="I17253" s="3">
        <v>93</v>
      </c>
      <c r="J17253" s="3">
        <v>495</v>
      </c>
      <c r="K17253" s="3">
        <v>755</v>
      </c>
      <c r="L17253" s="3">
        <v>695</v>
      </c>
      <c r="M17253" s="3">
        <v>787</v>
      </c>
    </row>
    <row r="17254" spans="1:13" x14ac:dyDescent="0.25">
      <c r="A17254" s="1" t="str">
        <f>HYPERLINK("http://www.rosaceae.org/Prunus/Prunus_persica/p.persica_gdr_reftransV1_0021458","p.persica_gdr_reftransV1_0021458")</f>
        <v>p.persica_gdr_reftransV1_0021458</v>
      </c>
      <c r="B17254" s="3">
        <v>873</v>
      </c>
      <c r="C17254" s="1" t="str">
        <f>HYPERLINK("http://www.uniprot.org/uniprot/TIM16_DANRE","TIM16_DANRE")</f>
        <v>TIM16_DANRE</v>
      </c>
      <c r="D17254" t="s">
        <v>10632</v>
      </c>
      <c r="E17254" s="3" t="s">
        <v>704</v>
      </c>
      <c r="F17254" s="4">
        <v>3.23E-15</v>
      </c>
      <c r="G17254" s="3">
        <v>182</v>
      </c>
      <c r="H17254" s="3">
        <v>47</v>
      </c>
      <c r="I17254" s="3">
        <v>106</v>
      </c>
      <c r="J17254" s="3">
        <v>468</v>
      </c>
      <c r="K17254" s="3">
        <v>773</v>
      </c>
      <c r="L17254" s="3">
        <v>2</v>
      </c>
      <c r="M17254" s="3">
        <v>106</v>
      </c>
    </row>
    <row r="17255" spans="1:13" x14ac:dyDescent="0.25">
      <c r="A17255" s="1" t="str">
        <f>HYPERLINK("http://www.rosaceae.org/Prunus/Prunus_persica/p.persica_gdr_reftransV1_0021658","p.persica_gdr_reftransV1_0021658")</f>
        <v>p.persica_gdr_reftransV1_0021658</v>
      </c>
      <c r="B17255" s="3">
        <v>1940</v>
      </c>
      <c r="C17255" s="1" t="str">
        <f>HYPERLINK("http://www.uniprot.org/uniprot/AL2B7_ARATH","AL2B7_ARATH")</f>
        <v>AL2B7_ARATH</v>
      </c>
      <c r="D17255" t="s">
        <v>5341</v>
      </c>
      <c r="E17255" s="3" t="s">
        <v>3</v>
      </c>
      <c r="F17255" s="4">
        <v>1.01E-112</v>
      </c>
      <c r="G17255" s="3">
        <v>912</v>
      </c>
      <c r="H17255" s="3">
        <v>77</v>
      </c>
      <c r="I17255" s="3">
        <v>215</v>
      </c>
      <c r="J17255" s="3">
        <v>355</v>
      </c>
      <c r="K17255" s="3">
        <v>996</v>
      </c>
      <c r="L17255" s="3">
        <v>29</v>
      </c>
      <c r="M17255" s="3">
        <v>243</v>
      </c>
    </row>
    <row r="17256" spans="1:13" x14ac:dyDescent="0.25">
      <c r="A17256" s="1" t="str">
        <f>HYPERLINK("http://www.rosaceae.org/Prunus/Prunus_persica/p.persica_gdr_reftransV1_0021908","p.persica_gdr_reftransV1_0021908")</f>
        <v>p.persica_gdr_reftransV1_0021908</v>
      </c>
      <c r="B17256" s="3">
        <v>2694</v>
      </c>
      <c r="C17256" s="1" t="str">
        <f>HYPERLINK("http://www.uniprot.org/uniprot/JMJ25_ARATH","JMJ25_ARATH")</f>
        <v>JMJ25_ARATH</v>
      </c>
      <c r="D17256" t="s">
        <v>1512</v>
      </c>
      <c r="E17256" s="3" t="s">
        <v>3</v>
      </c>
      <c r="F17256" s="4">
        <v>1.1799999999999999E-161</v>
      </c>
      <c r="G17256" s="3">
        <v>1304</v>
      </c>
      <c r="H17256" s="3">
        <v>47</v>
      </c>
      <c r="I17256" s="3">
        <v>563</v>
      </c>
      <c r="J17256" s="3">
        <v>1103</v>
      </c>
      <c r="K17256" s="3">
        <v>2629</v>
      </c>
      <c r="L17256" s="3">
        <v>179</v>
      </c>
      <c r="M17256" s="3">
        <v>729</v>
      </c>
    </row>
    <row r="17257" spans="1:13" x14ac:dyDescent="0.25">
      <c r="A17257" s="1" t="str">
        <f>HYPERLINK("http://www.rosaceae.org/Prunus/Prunus_persica/p.persica_gdr_reftransV1_0021958","p.persica_gdr_reftransV1_0021958")</f>
        <v>p.persica_gdr_reftransV1_0021958</v>
      </c>
      <c r="B17257" s="3">
        <v>1891</v>
      </c>
      <c r="C17257" s="1" t="str">
        <f>HYPERLINK("http://www.uniprot.org/uniprot/G2OX1_PEA","G2OX1_PEA")</f>
        <v>G2OX1_PEA</v>
      </c>
      <c r="D17257" t="s">
        <v>10633</v>
      </c>
      <c r="E17257" s="3" t="s">
        <v>60</v>
      </c>
      <c r="F17257" s="4">
        <v>4.9300000000000001E-113</v>
      </c>
      <c r="G17257" s="3">
        <v>894</v>
      </c>
      <c r="H17257" s="3">
        <v>66</v>
      </c>
      <c r="I17257" s="3">
        <v>248</v>
      </c>
      <c r="J17257" s="3">
        <v>1007</v>
      </c>
      <c r="K17257" s="3">
        <v>1750</v>
      </c>
      <c r="L17257" s="3">
        <v>1</v>
      </c>
      <c r="M17257" s="3">
        <v>243</v>
      </c>
    </row>
    <row r="17258" spans="1:13" x14ac:dyDescent="0.25">
      <c r="A17258" s="1" t="str">
        <f>HYPERLINK("http://www.rosaceae.org/Prunus/Prunus_persica/p.persica_gdr_reftransV1_0022108","p.persica_gdr_reftransV1_0022108")</f>
        <v>p.persica_gdr_reftransV1_0022108</v>
      </c>
      <c r="B17258" s="3">
        <v>1667</v>
      </c>
      <c r="C17258" s="1" t="str">
        <f>HYPERLINK("http://www.uniprot.org/uniprot/DEGP8_ARATH","DEGP8_ARATH")</f>
        <v>DEGP8_ARATH</v>
      </c>
      <c r="D17258" t="s">
        <v>8554</v>
      </c>
      <c r="E17258" s="3" t="s">
        <v>3</v>
      </c>
      <c r="F17258" s="4">
        <v>0</v>
      </c>
      <c r="G17258" s="3">
        <v>1680</v>
      </c>
      <c r="H17258" s="3">
        <v>75</v>
      </c>
      <c r="I17258" s="3">
        <v>446</v>
      </c>
      <c r="J17258" s="3">
        <v>179</v>
      </c>
      <c r="K17258" s="3">
        <v>1513</v>
      </c>
      <c r="L17258" s="3">
        <v>13</v>
      </c>
      <c r="M17258" s="3">
        <v>448</v>
      </c>
    </row>
    <row r="17259" spans="1:13" x14ac:dyDescent="0.25">
      <c r="A17259" s="1" t="str">
        <f>HYPERLINK("http://www.rosaceae.org/Prunus/Prunus_persica/p.persica_gdr_reftransV1_0022558","p.persica_gdr_reftransV1_0022558")</f>
        <v>p.persica_gdr_reftransV1_0022558</v>
      </c>
      <c r="B17259" s="3">
        <v>1408</v>
      </c>
      <c r="C17259" s="1" t="str">
        <f>HYPERLINK("http://www.uniprot.org/uniprot/BUB32_ARATH","BUB32_ARATH")</f>
        <v>BUB32_ARATH</v>
      </c>
      <c r="D17259" t="s">
        <v>10634</v>
      </c>
      <c r="E17259" s="3" t="s">
        <v>3</v>
      </c>
      <c r="F17259" s="4">
        <v>0</v>
      </c>
      <c r="G17259" s="3">
        <v>1548</v>
      </c>
      <c r="H17259" s="3">
        <v>87</v>
      </c>
      <c r="I17259" s="3">
        <v>328</v>
      </c>
      <c r="J17259" s="3">
        <v>340</v>
      </c>
      <c r="K17259" s="3">
        <v>1323</v>
      </c>
      <c r="L17259" s="3">
        <v>1</v>
      </c>
      <c r="M17259" s="3">
        <v>326</v>
      </c>
    </row>
    <row r="17260" spans="1:13" x14ac:dyDescent="0.25">
      <c r="A17260" s="1" t="str">
        <f>HYPERLINK("http://www.rosaceae.org/Prunus/Prunus_persica/p.persica_gdr_reftransV1_0022608","p.persica_gdr_reftransV1_0022608")</f>
        <v>p.persica_gdr_reftransV1_0022608</v>
      </c>
      <c r="B17260" s="3">
        <v>2075</v>
      </c>
      <c r="C17260" s="1" t="str">
        <f>HYPERLINK("http://www.uniprot.org/uniprot/T2EA_DICDI","T2EA_DICDI")</f>
        <v>T2EA_DICDI</v>
      </c>
      <c r="D17260" t="s">
        <v>10635</v>
      </c>
      <c r="E17260" s="3" t="s">
        <v>9</v>
      </c>
      <c r="F17260" s="4">
        <v>1.1800000000000001E-10</v>
      </c>
      <c r="G17260" s="3">
        <v>110</v>
      </c>
      <c r="H17260" s="3">
        <v>26</v>
      </c>
      <c r="I17260" s="3">
        <v>163</v>
      </c>
      <c r="J17260" s="3">
        <v>221</v>
      </c>
      <c r="K17260" s="3">
        <v>709</v>
      </c>
      <c r="L17260" s="3">
        <v>11</v>
      </c>
      <c r="M17260" s="3">
        <v>136</v>
      </c>
    </row>
    <row r="17261" spans="1:13" x14ac:dyDescent="0.25">
      <c r="A17261" s="1" t="str">
        <f>HYPERLINK("http://www.rosaceae.org/Prunus/Prunus_persica/p.persica_gdr_reftransV1_0022708","p.persica_gdr_reftransV1_0022708")</f>
        <v>p.persica_gdr_reftransV1_0022708</v>
      </c>
      <c r="B17261" s="3">
        <v>1604</v>
      </c>
      <c r="C17261" s="1" t="str">
        <f>HYPERLINK("http://www.uniprot.org/uniprot/CLPP3_ARATH","CLPP3_ARATH")</f>
        <v>CLPP3_ARATH</v>
      </c>
      <c r="D17261" t="s">
        <v>10636</v>
      </c>
      <c r="E17261" s="3" t="s">
        <v>3</v>
      </c>
      <c r="F17261" s="4">
        <v>1.6500000000000002E-114</v>
      </c>
      <c r="G17261" s="3">
        <v>831</v>
      </c>
      <c r="H17261" s="3">
        <v>78</v>
      </c>
      <c r="I17261" s="3">
        <v>188</v>
      </c>
      <c r="J17261" s="3">
        <v>465</v>
      </c>
      <c r="K17261" s="3">
        <v>1028</v>
      </c>
      <c r="L17261" s="3">
        <v>122</v>
      </c>
      <c r="M17261" s="3">
        <v>309</v>
      </c>
    </row>
    <row r="17262" spans="1:13" x14ac:dyDescent="0.25">
      <c r="A17262" s="1" t="str">
        <f>HYPERLINK("http://www.rosaceae.org/Prunus/Prunus_persica/p.persica_gdr_reftransV1_0022908","p.persica_gdr_reftransV1_0022908")</f>
        <v>p.persica_gdr_reftransV1_0022908</v>
      </c>
      <c r="B17262" s="3">
        <v>1745</v>
      </c>
      <c r="C17262" s="1" t="str">
        <f>HYPERLINK("http://www.uniprot.org/uniprot/EFR_ARATH","EFR_ARATH")</f>
        <v>EFR_ARATH</v>
      </c>
      <c r="D17262" t="s">
        <v>692</v>
      </c>
      <c r="E17262" s="3" t="s">
        <v>3</v>
      </c>
      <c r="F17262" s="4">
        <v>4.2799999999999999E-79</v>
      </c>
      <c r="G17262" s="3">
        <v>702</v>
      </c>
      <c r="H17262" s="3">
        <v>44</v>
      </c>
      <c r="I17262" s="3">
        <v>381</v>
      </c>
      <c r="J17262" s="3">
        <v>606</v>
      </c>
      <c r="K17262" s="3">
        <v>1742</v>
      </c>
      <c r="L17262" s="3">
        <v>167</v>
      </c>
      <c r="M17262" s="3">
        <v>546</v>
      </c>
    </row>
    <row r="17263" spans="1:13" x14ac:dyDescent="0.25">
      <c r="A17263" s="1" t="str">
        <f>HYPERLINK("http://www.rosaceae.org/Prunus/Prunus_persica/p.persica_gdr_reftransV1_0022958","p.persica_gdr_reftransV1_0022958")</f>
        <v>p.persica_gdr_reftransV1_0022958</v>
      </c>
      <c r="B17263" s="3">
        <v>2435</v>
      </c>
      <c r="C17263" s="1" t="str">
        <f>HYPERLINK("http://www.uniprot.org/uniprot/PTR2_ARATH","PTR2_ARATH")</f>
        <v>PTR2_ARATH</v>
      </c>
      <c r="D17263" t="s">
        <v>9792</v>
      </c>
      <c r="E17263" s="3" t="s">
        <v>3</v>
      </c>
      <c r="F17263" s="4">
        <v>0</v>
      </c>
      <c r="G17263" s="3">
        <v>2370</v>
      </c>
      <c r="H17263" s="3">
        <v>76</v>
      </c>
      <c r="I17263" s="3">
        <v>585</v>
      </c>
      <c r="J17263" s="3">
        <v>353</v>
      </c>
      <c r="K17263" s="3">
        <v>2104</v>
      </c>
      <c r="L17263" s="3">
        <v>1</v>
      </c>
      <c r="M17263" s="3">
        <v>584</v>
      </c>
    </row>
    <row r="17264" spans="1:13" x14ac:dyDescent="0.25">
      <c r="A17264" s="1" t="str">
        <f>HYPERLINK("http://www.rosaceae.org/Prunus/Prunus_persica/p.persica_gdr_reftransV1_0023008","p.persica_gdr_reftransV1_0023008")</f>
        <v>p.persica_gdr_reftransV1_0023008</v>
      </c>
      <c r="B17264" s="3">
        <v>1602</v>
      </c>
      <c r="C17264" s="1" t="str">
        <f>HYPERLINK("http://www.uniprot.org/uniprot/ARC2A_ARATH","ARC2A_ARATH")</f>
        <v>ARC2A_ARATH</v>
      </c>
      <c r="D17264" t="s">
        <v>6675</v>
      </c>
      <c r="E17264" s="3" t="s">
        <v>3</v>
      </c>
      <c r="F17264" s="4">
        <v>3.1699999999999999E-121</v>
      </c>
      <c r="G17264" s="3">
        <v>473</v>
      </c>
      <c r="H17264" s="3">
        <v>73</v>
      </c>
      <c r="I17264" s="3">
        <v>122</v>
      </c>
      <c r="J17264" s="3">
        <v>721</v>
      </c>
      <c r="K17264" s="3">
        <v>1086</v>
      </c>
      <c r="L17264" s="3">
        <v>114</v>
      </c>
      <c r="M17264" s="3">
        <v>235</v>
      </c>
    </row>
    <row r="17265" spans="1:13" x14ac:dyDescent="0.25">
      <c r="A17265" s="1" t="str">
        <f>HYPERLINK("http://www.rosaceae.org/Prunus/Prunus_persica/p.persica_gdr_reftransV1_0023108","p.persica_gdr_reftransV1_0023108")</f>
        <v>p.persica_gdr_reftransV1_0023108</v>
      </c>
      <c r="B17265" s="3">
        <v>1577</v>
      </c>
      <c r="C17265" s="1" t="str">
        <f>HYPERLINK("http://www.uniprot.org/uniprot/UBC27_ARATH","UBC27_ARATH")</f>
        <v>UBC27_ARATH</v>
      </c>
      <c r="D17265" t="s">
        <v>10637</v>
      </c>
      <c r="E17265" s="3" t="s">
        <v>3</v>
      </c>
      <c r="F17265" s="4">
        <v>2.0000000000000001E-58</v>
      </c>
      <c r="G17265" s="3">
        <v>504</v>
      </c>
      <c r="H17265" s="3">
        <v>81</v>
      </c>
      <c r="I17265" s="3">
        <v>118</v>
      </c>
      <c r="J17265" s="3">
        <v>926</v>
      </c>
      <c r="K17265" s="3">
        <v>1279</v>
      </c>
      <c r="L17265" s="3">
        <v>77</v>
      </c>
      <c r="M17265" s="3">
        <v>192</v>
      </c>
    </row>
    <row r="17266" spans="1:13" x14ac:dyDescent="0.25">
      <c r="A17266" s="1" t="str">
        <f>HYPERLINK("http://www.rosaceae.org/Prunus/Prunus_persica/p.persica_gdr_reftransV1_0023308","p.persica_gdr_reftransV1_0023308")</f>
        <v>p.persica_gdr_reftransV1_0023308</v>
      </c>
      <c r="B17266" s="3">
        <v>983</v>
      </c>
      <c r="C17266" s="1" t="str">
        <f>HYPERLINK("http://www.uniprot.org/uniprot/PLP2_ARATH","PLP2_ARATH")</f>
        <v>PLP2_ARATH</v>
      </c>
      <c r="D17266" t="s">
        <v>2299</v>
      </c>
      <c r="E17266" s="3" t="s">
        <v>3</v>
      </c>
      <c r="F17266" s="4">
        <v>1.1099999999999999E-138</v>
      </c>
      <c r="G17266" s="3">
        <v>1043</v>
      </c>
      <c r="H17266" s="3">
        <v>62</v>
      </c>
      <c r="I17266" s="3">
        <v>327</v>
      </c>
      <c r="J17266" s="3">
        <v>1</v>
      </c>
      <c r="K17266" s="3">
        <v>981</v>
      </c>
      <c r="L17266" s="3">
        <v>73</v>
      </c>
      <c r="M17266" s="3">
        <v>397</v>
      </c>
    </row>
    <row r="17267" spans="1:13" x14ac:dyDescent="0.25">
      <c r="A17267" s="1" t="str">
        <f>HYPERLINK("http://www.rosaceae.org/Prunus/Prunus_persica/p.persica_gdr_reftransV1_0023358","p.persica_gdr_reftransV1_0023358")</f>
        <v>p.persica_gdr_reftransV1_0023358</v>
      </c>
      <c r="B17267" s="3">
        <v>3444</v>
      </c>
      <c r="C17267" s="1" t="str">
        <f>HYPERLINK("http://www.uniprot.org/uniprot/F135B_XENLA","F135B_XENLA")</f>
        <v>F135B_XENLA</v>
      </c>
      <c r="D17267" t="s">
        <v>10638</v>
      </c>
      <c r="E17267" s="3" t="s">
        <v>475</v>
      </c>
      <c r="F17267" s="4">
        <v>8.4199999999999996E-54</v>
      </c>
      <c r="G17267" s="3">
        <v>533</v>
      </c>
      <c r="H17267" s="3">
        <v>43</v>
      </c>
      <c r="I17267" s="3">
        <v>268</v>
      </c>
      <c r="J17267" s="3">
        <v>566</v>
      </c>
      <c r="K17267" s="3">
        <v>1363</v>
      </c>
      <c r="L17267" s="3">
        <v>1109</v>
      </c>
      <c r="M17267" s="3">
        <v>1362</v>
      </c>
    </row>
    <row r="17268" spans="1:13" x14ac:dyDescent="0.25">
      <c r="A17268" s="1" t="str">
        <f>HYPERLINK("http://www.rosaceae.org/Prunus/Prunus_persica/p.persica_gdr_reftransV1_0024058","p.persica_gdr_reftransV1_0024058")</f>
        <v>p.persica_gdr_reftransV1_0024058</v>
      </c>
      <c r="B17268" s="3">
        <v>888</v>
      </c>
      <c r="C17268" s="1" t="str">
        <f>HYPERLINK("http://www.uniprot.org/uniprot/BAHD1_ARATH","BAHD1_ARATH")</f>
        <v>BAHD1_ARATH</v>
      </c>
      <c r="D17268" t="s">
        <v>897</v>
      </c>
      <c r="E17268" s="3" t="s">
        <v>3</v>
      </c>
      <c r="F17268" s="4">
        <v>1.6E-40</v>
      </c>
      <c r="G17268" s="3">
        <v>382</v>
      </c>
      <c r="H17268" s="3">
        <v>36</v>
      </c>
      <c r="I17268" s="3">
        <v>252</v>
      </c>
      <c r="J17268" s="3">
        <v>112</v>
      </c>
      <c r="K17268" s="3">
        <v>828</v>
      </c>
      <c r="L17268" s="3">
        <v>191</v>
      </c>
      <c r="M17268" s="3">
        <v>442</v>
      </c>
    </row>
    <row r="17269" spans="1:13" x14ac:dyDescent="0.25">
      <c r="A17269" s="1" t="str">
        <f>HYPERLINK("http://www.rosaceae.org/Prunus/Prunus_persica/p.persica_gdr_reftransV1_0024208","p.persica_gdr_reftransV1_0024208")</f>
        <v>p.persica_gdr_reftransV1_0024208</v>
      </c>
      <c r="B17269" s="3">
        <v>2786</v>
      </c>
      <c r="C17269" s="1" t="str">
        <f>HYPERLINK("http://www.uniprot.org/uniprot/CAPP4_ARATH","CAPP4_ARATH")</f>
        <v>CAPP4_ARATH</v>
      </c>
      <c r="D17269" t="s">
        <v>4433</v>
      </c>
      <c r="E17269" s="3" t="s">
        <v>3</v>
      </c>
      <c r="F17269" s="4">
        <v>0</v>
      </c>
      <c r="G17269" s="3">
        <v>1880</v>
      </c>
      <c r="H17269" s="3">
        <v>85</v>
      </c>
      <c r="I17269" s="3">
        <v>415</v>
      </c>
      <c r="J17269" s="3">
        <v>1204</v>
      </c>
      <c r="K17269" s="3">
        <v>2448</v>
      </c>
      <c r="L17269" s="3">
        <v>618</v>
      </c>
      <c r="M17269" s="3">
        <v>1032</v>
      </c>
    </row>
    <row r="17270" spans="1:13" x14ac:dyDescent="0.25">
      <c r="A17270" s="1" t="str">
        <f>HYPERLINK("http://www.rosaceae.org/Prunus/Prunus_persica/p.persica_gdr_reftransV1_0024258","p.persica_gdr_reftransV1_0024258")</f>
        <v>p.persica_gdr_reftransV1_0024258</v>
      </c>
      <c r="B17270" s="3">
        <v>640</v>
      </c>
      <c r="C17270" s="1" t="str">
        <f>HYPERLINK("http://www.uniprot.org/uniprot/T184C_CHICK","T184C_CHICK")</f>
        <v>T184C_CHICK</v>
      </c>
      <c r="D17270" t="s">
        <v>10639</v>
      </c>
      <c r="E17270" s="3" t="s">
        <v>1278</v>
      </c>
      <c r="F17270" s="4">
        <v>5.6500000000000001E-10</v>
      </c>
      <c r="G17270" s="3">
        <v>148</v>
      </c>
      <c r="H17270" s="3">
        <v>38</v>
      </c>
      <c r="I17270" s="3">
        <v>73</v>
      </c>
      <c r="J17270" s="3">
        <v>426</v>
      </c>
      <c r="K17270" s="3">
        <v>638</v>
      </c>
      <c r="L17270" s="3">
        <v>243</v>
      </c>
      <c r="M17270" s="3">
        <v>315</v>
      </c>
    </row>
    <row r="17271" spans="1:13" x14ac:dyDescent="0.25">
      <c r="A17271" s="1" t="str">
        <f>HYPERLINK("http://www.rosaceae.org/Prunus/Prunus_persica/p.persica_gdr_reftransV1_0024308","p.persica_gdr_reftransV1_0024308")</f>
        <v>p.persica_gdr_reftransV1_0024308</v>
      </c>
      <c r="B17271" s="3">
        <v>3289</v>
      </c>
      <c r="C17271" s="1" t="str">
        <f>HYPERLINK("http://www.uniprot.org/uniprot/NES2_FRAAN","NES2_FRAAN")</f>
        <v>NES2_FRAAN</v>
      </c>
      <c r="D17271" t="s">
        <v>10640</v>
      </c>
      <c r="E17271" s="3" t="s">
        <v>15</v>
      </c>
      <c r="F17271" s="4">
        <v>0</v>
      </c>
      <c r="G17271" s="3">
        <v>2144</v>
      </c>
      <c r="H17271" s="3">
        <v>70</v>
      </c>
      <c r="I17271" s="3">
        <v>592</v>
      </c>
      <c r="J17271" s="3">
        <v>85</v>
      </c>
      <c r="K17271" s="3">
        <v>1821</v>
      </c>
      <c r="L17271" s="3">
        <v>1</v>
      </c>
      <c r="M17271" s="3">
        <v>578</v>
      </c>
    </row>
    <row r="17272" spans="1:13" x14ac:dyDescent="0.25">
      <c r="A17272" s="1" t="str">
        <f>HYPERLINK("http://www.rosaceae.org/Prunus/Prunus_persica/p.persica_gdr_reftransV1_0024358","p.persica_gdr_reftransV1_0024358")</f>
        <v>p.persica_gdr_reftransV1_0024358</v>
      </c>
      <c r="B17272" s="3">
        <v>7560</v>
      </c>
      <c r="C17272" s="1" t="str">
        <f>HYPERLINK("http://www.uniprot.org/uniprot/QKY_ARATH","QKY_ARATH")</f>
        <v>QKY_ARATH</v>
      </c>
      <c r="D17272" t="s">
        <v>707</v>
      </c>
      <c r="E17272" s="3" t="s">
        <v>3</v>
      </c>
      <c r="F17272" s="4">
        <v>0</v>
      </c>
      <c r="G17272" s="3">
        <v>1790</v>
      </c>
      <c r="H17272" s="3">
        <v>50</v>
      </c>
      <c r="I17272" s="3">
        <v>771</v>
      </c>
      <c r="J17272" s="3">
        <v>3996</v>
      </c>
      <c r="K17272" s="3">
        <v>6236</v>
      </c>
      <c r="L17272" s="3">
        <v>323</v>
      </c>
      <c r="M17272" s="3">
        <v>1081</v>
      </c>
    </row>
    <row r="17273" spans="1:13" x14ac:dyDescent="0.25">
      <c r="A17273" s="1" t="str">
        <f>HYPERLINK("http://www.rosaceae.org/Prunus/Prunus_persica/p.persica_gdr_reftransV1_0024458","p.persica_gdr_reftransV1_0024458")</f>
        <v>p.persica_gdr_reftransV1_0024458</v>
      </c>
      <c r="B17273" s="3">
        <v>3292</v>
      </c>
      <c r="C17273" s="1" t="str">
        <f>HYPERLINK("http://www.uniprot.org/uniprot/COPG_ARATH","COPG_ARATH")</f>
        <v>COPG_ARATH</v>
      </c>
      <c r="D17273" t="s">
        <v>10641</v>
      </c>
      <c r="E17273" s="3" t="s">
        <v>3</v>
      </c>
      <c r="F17273" s="4">
        <v>0</v>
      </c>
      <c r="G17273" s="3">
        <v>3923</v>
      </c>
      <c r="H17273" s="3">
        <v>85</v>
      </c>
      <c r="I17273" s="3">
        <v>887</v>
      </c>
      <c r="J17273" s="3">
        <v>221</v>
      </c>
      <c r="K17273" s="3">
        <v>2878</v>
      </c>
      <c r="L17273" s="3">
        <v>1</v>
      </c>
      <c r="M17273" s="3">
        <v>886</v>
      </c>
    </row>
    <row r="17274" spans="1:13" x14ac:dyDescent="0.25">
      <c r="A17274" s="1" t="str">
        <f>HYPERLINK("http://www.rosaceae.org/Prunus/Prunus_persica/p.persica_gdr_reftransV1_0024558","p.persica_gdr_reftransV1_0024558")</f>
        <v>p.persica_gdr_reftransV1_0024558</v>
      </c>
      <c r="B17274" s="3">
        <v>3761</v>
      </c>
      <c r="C17274" s="1" t="str">
        <f>HYPERLINK("http://www.uniprot.org/uniprot/RABEP_DROME","RABEP_DROME")</f>
        <v>RABEP_DROME</v>
      </c>
      <c r="D17274" t="s">
        <v>10642</v>
      </c>
      <c r="E17274" s="3" t="s">
        <v>5</v>
      </c>
      <c r="F17274" s="4">
        <v>6.68E-21</v>
      </c>
      <c r="G17274" s="3">
        <v>252</v>
      </c>
      <c r="H17274" s="3">
        <v>33</v>
      </c>
      <c r="I17274" s="3">
        <v>226</v>
      </c>
      <c r="J17274" s="3">
        <v>2687</v>
      </c>
      <c r="K17274" s="3">
        <v>3355</v>
      </c>
      <c r="L17274" s="3">
        <v>9</v>
      </c>
      <c r="M17274" s="3">
        <v>210</v>
      </c>
    </row>
    <row r="17275" spans="1:13" x14ac:dyDescent="0.25">
      <c r="A17275" s="1" t="str">
        <f>HYPERLINK("http://www.rosaceae.org/Prunus/Prunus_persica/p.persica_gdr_reftransV1_0024658","p.persica_gdr_reftransV1_0024658")</f>
        <v>p.persica_gdr_reftransV1_0024658</v>
      </c>
      <c r="B17275" s="3">
        <v>1748</v>
      </c>
      <c r="C17275" s="1" t="str">
        <f>HYPERLINK("http://www.uniprot.org/uniprot/UBC18_ARATH","UBC18_ARATH")</f>
        <v>UBC18_ARATH</v>
      </c>
      <c r="D17275" t="s">
        <v>7654</v>
      </c>
      <c r="E17275" s="3" t="s">
        <v>3</v>
      </c>
      <c r="F17275" s="4">
        <v>2.35E-55</v>
      </c>
      <c r="G17275" s="3">
        <v>482</v>
      </c>
      <c r="H17275" s="3">
        <v>76</v>
      </c>
      <c r="I17275" s="3">
        <v>118</v>
      </c>
      <c r="J17275" s="3">
        <v>1328</v>
      </c>
      <c r="K17275" s="3">
        <v>1681</v>
      </c>
      <c r="L17275" s="3">
        <v>1</v>
      </c>
      <c r="M17275" s="3">
        <v>117</v>
      </c>
    </row>
    <row r="17276" spans="1:13" x14ac:dyDescent="0.25">
      <c r="A17276" s="1" t="str">
        <f>HYPERLINK("http://www.rosaceae.org/Prunus/Prunus_persica/p.persica_gdr_reftransV1_0024758","p.persica_gdr_reftransV1_0024758")</f>
        <v>p.persica_gdr_reftransV1_0024758</v>
      </c>
      <c r="B17276" s="3">
        <v>1752</v>
      </c>
      <c r="C17276" s="1" t="str">
        <f>HYPERLINK("http://www.uniprot.org/uniprot/UN45A_PONAB","UN45A_PONAB")</f>
        <v>UN45A_PONAB</v>
      </c>
      <c r="D17276" t="s">
        <v>10643</v>
      </c>
      <c r="E17276" s="3" t="s">
        <v>176</v>
      </c>
      <c r="F17276" s="4">
        <v>1.1200000000000001E-14</v>
      </c>
      <c r="G17276" s="3">
        <v>199</v>
      </c>
      <c r="H17276" s="3">
        <v>33</v>
      </c>
      <c r="I17276" s="3">
        <v>127</v>
      </c>
      <c r="J17276" s="3">
        <v>1225</v>
      </c>
      <c r="K17276" s="3">
        <v>1602</v>
      </c>
      <c r="L17276" s="3">
        <v>1</v>
      </c>
      <c r="M17276" s="3">
        <v>127</v>
      </c>
    </row>
    <row r="17277" spans="1:13" x14ac:dyDescent="0.25">
      <c r="A17277" s="1" t="str">
        <f>HYPERLINK("http://www.rosaceae.org/Prunus/Prunus_persica/p.persica_gdr_reftransV1_0025208","p.persica_gdr_reftransV1_0025208")</f>
        <v>p.persica_gdr_reftransV1_0025208</v>
      </c>
      <c r="B17277" s="3">
        <v>2732</v>
      </c>
      <c r="C17277" s="1" t="str">
        <f>HYPERLINK("http://www.uniprot.org/uniprot/HMOX1_ARATH","HMOX1_ARATH")</f>
        <v>HMOX1_ARATH</v>
      </c>
      <c r="D17277" t="s">
        <v>10644</v>
      </c>
      <c r="E17277" s="3" t="s">
        <v>3</v>
      </c>
      <c r="F17277" s="4">
        <v>7.1599999999999999E-41</v>
      </c>
      <c r="G17277" s="3">
        <v>396</v>
      </c>
      <c r="H17277" s="3">
        <v>58</v>
      </c>
      <c r="I17277" s="3">
        <v>143</v>
      </c>
      <c r="J17277" s="3">
        <v>534</v>
      </c>
      <c r="K17277" s="3">
        <v>962</v>
      </c>
      <c r="L17277" s="3">
        <v>1</v>
      </c>
      <c r="M17277" s="3">
        <v>141</v>
      </c>
    </row>
    <row r="17278" spans="1:13" x14ac:dyDescent="0.25">
      <c r="A17278" s="1" t="str">
        <f>HYPERLINK("http://www.rosaceae.org/Prunus/Prunus_persica/p.persica_gdr_reftransV1_0025808","p.persica_gdr_reftransV1_0025808")</f>
        <v>p.persica_gdr_reftransV1_0025808</v>
      </c>
      <c r="B17278" s="3">
        <v>2094</v>
      </c>
      <c r="C17278" s="1" t="str">
        <f>HYPERLINK("http://www.uniprot.org/uniprot/MLO3_ARATH","MLO3_ARATH")</f>
        <v>MLO3_ARATH</v>
      </c>
      <c r="D17278" t="s">
        <v>3429</v>
      </c>
      <c r="E17278" s="3" t="s">
        <v>3</v>
      </c>
      <c r="F17278" s="4">
        <v>1.5400000000000001E-160</v>
      </c>
      <c r="G17278" s="3">
        <v>1234</v>
      </c>
      <c r="H17278" s="3">
        <v>52</v>
      </c>
      <c r="I17278" s="3">
        <v>498</v>
      </c>
      <c r="J17278" s="3">
        <v>192</v>
      </c>
      <c r="K17278" s="3">
        <v>1685</v>
      </c>
      <c r="L17278" s="3">
        <v>18</v>
      </c>
      <c r="M17278" s="3">
        <v>457</v>
      </c>
    </row>
    <row r="17279" spans="1:13" x14ac:dyDescent="0.25">
      <c r="A17279" s="1" t="str">
        <f>HYPERLINK("http://www.rosaceae.org/Prunus/Prunus_persica/p.persica_gdr_reftransV1_0026008","p.persica_gdr_reftransV1_0026008")</f>
        <v>p.persica_gdr_reftransV1_0026008</v>
      </c>
      <c r="B17279" s="3">
        <v>2941</v>
      </c>
      <c r="C17279" s="1" t="str">
        <f>HYPERLINK("http://www.uniprot.org/uniprot/NUP88_ARATH","NUP88_ARATH")</f>
        <v>NUP88_ARATH</v>
      </c>
      <c r="D17279" t="s">
        <v>10645</v>
      </c>
      <c r="E17279" s="3" t="s">
        <v>3</v>
      </c>
      <c r="F17279" s="4">
        <v>0</v>
      </c>
      <c r="G17279" s="3">
        <v>2296</v>
      </c>
      <c r="H17279" s="3">
        <v>61</v>
      </c>
      <c r="I17279" s="3">
        <v>798</v>
      </c>
      <c r="J17279" s="3">
        <v>472</v>
      </c>
      <c r="K17279" s="3">
        <v>2853</v>
      </c>
      <c r="L17279" s="3">
        <v>1</v>
      </c>
      <c r="M17279" s="3">
        <v>796</v>
      </c>
    </row>
    <row r="17280" spans="1:13" x14ac:dyDescent="0.25">
      <c r="A17280" s="1" t="str">
        <f>HYPERLINK("http://www.rosaceae.org/Prunus/Prunus_persica/p.persica_gdr_reftransV1_0026108","p.persica_gdr_reftransV1_0026108")</f>
        <v>p.persica_gdr_reftransV1_0026108</v>
      </c>
      <c r="B17280" s="3">
        <v>3353</v>
      </c>
      <c r="C17280" s="1" t="str">
        <f>HYPERLINK("http://www.uniprot.org/uniprot/YCF45_PORPU","YCF45_PORPU")</f>
        <v>YCF45_PORPU</v>
      </c>
      <c r="D17280" t="s">
        <v>693</v>
      </c>
      <c r="E17280" s="3" t="s">
        <v>694</v>
      </c>
      <c r="F17280" s="4">
        <v>2.2599999999999999E-100</v>
      </c>
      <c r="G17280" s="3">
        <v>859</v>
      </c>
      <c r="H17280" s="3">
        <v>64</v>
      </c>
      <c r="I17280" s="3">
        <v>251</v>
      </c>
      <c r="J17280" s="3">
        <v>1455</v>
      </c>
      <c r="K17280" s="3">
        <v>2207</v>
      </c>
      <c r="L17280" s="3">
        <v>70</v>
      </c>
      <c r="M17280" s="3">
        <v>320</v>
      </c>
    </row>
    <row r="17281" spans="1:13" x14ac:dyDescent="0.25">
      <c r="A17281" s="1" t="str">
        <f>HYPERLINK("http://www.rosaceae.org/Prunus/Prunus_persica/p.persica_gdr_reftransV1_0026458","p.persica_gdr_reftransV1_0026458")</f>
        <v>p.persica_gdr_reftransV1_0026458</v>
      </c>
      <c r="B17281" s="3">
        <v>750</v>
      </c>
      <c r="C17281" s="1" t="str">
        <f>HYPERLINK("http://www.uniprot.org/uniprot/YPI1_SCHPO","YPI1_SCHPO")</f>
        <v>YPI1_SCHPO</v>
      </c>
      <c r="D17281" t="s">
        <v>10646</v>
      </c>
      <c r="E17281" s="3" t="s">
        <v>464</v>
      </c>
      <c r="F17281" s="4">
        <v>6.13E-7</v>
      </c>
      <c r="G17281" s="3">
        <v>119</v>
      </c>
      <c r="H17281" s="3">
        <v>44</v>
      </c>
      <c r="I17281" s="3">
        <v>77</v>
      </c>
      <c r="J17281" s="3">
        <v>443</v>
      </c>
      <c r="K17281" s="3">
        <v>673</v>
      </c>
      <c r="L17281" s="3">
        <v>5</v>
      </c>
      <c r="M17281" s="3">
        <v>75</v>
      </c>
    </row>
    <row r="17282" spans="1:13" x14ac:dyDescent="0.25">
      <c r="A17282" s="1" t="str">
        <f>HYPERLINK("http://www.rosaceae.org/Prunus/Prunus_persica/p.persica_gdr_reftransV1_0026508","p.persica_gdr_reftransV1_0026508")</f>
        <v>p.persica_gdr_reftransV1_0026508</v>
      </c>
      <c r="B17282" s="3">
        <v>3788</v>
      </c>
      <c r="C17282" s="1" t="str">
        <f>HYPERLINK("http://www.uniprot.org/uniprot/IPPK_ARATH","IPPK_ARATH")</f>
        <v>IPPK_ARATH</v>
      </c>
      <c r="D17282" t="s">
        <v>1127</v>
      </c>
      <c r="E17282" s="3" t="s">
        <v>3</v>
      </c>
      <c r="F17282" s="4">
        <v>1.6E-160</v>
      </c>
      <c r="G17282" s="3">
        <v>1272</v>
      </c>
      <c r="H17282" s="3">
        <v>56</v>
      </c>
      <c r="I17282" s="3">
        <v>442</v>
      </c>
      <c r="J17282" s="3">
        <v>2129</v>
      </c>
      <c r="K17282" s="3">
        <v>3439</v>
      </c>
      <c r="L17282" s="3">
        <v>1</v>
      </c>
      <c r="M17282" s="3">
        <v>437</v>
      </c>
    </row>
    <row r="17283" spans="1:13" x14ac:dyDescent="0.25">
      <c r="A17283" s="1" t="str">
        <f>HYPERLINK("http://www.rosaceae.org/Prunus/Prunus_persica/p.persica_gdr_reftransV1_0026858","p.persica_gdr_reftransV1_0026858")</f>
        <v>p.persica_gdr_reftransV1_0026858</v>
      </c>
      <c r="B17283" s="3">
        <v>3332</v>
      </c>
      <c r="C17283" s="1" t="str">
        <f>HYPERLINK("http://www.uniprot.org/uniprot/SDA1_DANRE","SDA1_DANRE")</f>
        <v>SDA1_DANRE</v>
      </c>
      <c r="D17283" t="s">
        <v>10647</v>
      </c>
      <c r="E17283" s="3" t="s">
        <v>704</v>
      </c>
      <c r="F17283" s="4">
        <v>1.8999999999999998E-99</v>
      </c>
      <c r="G17283" s="3">
        <v>861</v>
      </c>
      <c r="H17283" s="3">
        <v>39</v>
      </c>
      <c r="I17283" s="3">
        <v>539</v>
      </c>
      <c r="J17283" s="3">
        <v>495</v>
      </c>
      <c r="K17283" s="3">
        <v>2099</v>
      </c>
      <c r="L17283" s="3">
        <v>12</v>
      </c>
      <c r="M17283" s="3">
        <v>525</v>
      </c>
    </row>
    <row r="17284" spans="1:13" x14ac:dyDescent="0.25">
      <c r="A17284" s="1" t="str">
        <f>HYPERLINK("http://www.rosaceae.org/Prunus/Prunus_persica/p.persica_gdr_reftransV1_0027208","p.persica_gdr_reftransV1_0027208")</f>
        <v>p.persica_gdr_reftransV1_0027208</v>
      </c>
      <c r="B17284" s="3">
        <v>2950</v>
      </c>
      <c r="C17284" s="1" t="str">
        <f>HYPERLINK("http://www.uniprot.org/uniprot/STT3A_ARATH","STT3A_ARATH")</f>
        <v>STT3A_ARATH</v>
      </c>
      <c r="D17284" t="s">
        <v>10648</v>
      </c>
      <c r="E17284" s="3" t="s">
        <v>3</v>
      </c>
      <c r="F17284" s="4">
        <v>0</v>
      </c>
      <c r="G17284" s="3">
        <v>3057</v>
      </c>
      <c r="H17284" s="3">
        <v>83</v>
      </c>
      <c r="I17284" s="3">
        <v>785</v>
      </c>
      <c r="J17284" s="3">
        <v>476</v>
      </c>
      <c r="K17284" s="3">
        <v>2815</v>
      </c>
      <c r="L17284" s="3">
        <v>1</v>
      </c>
      <c r="M17284" s="3">
        <v>755</v>
      </c>
    </row>
    <row r="17285" spans="1:13" x14ac:dyDescent="0.25">
      <c r="A17285" s="1" t="str">
        <f>HYPERLINK("http://www.rosaceae.org/Prunus/Prunus_persica/p.persica_gdr_reftransV1_0027308","p.persica_gdr_reftransV1_0027308")</f>
        <v>p.persica_gdr_reftransV1_0027308</v>
      </c>
      <c r="B17285" s="3">
        <v>1920</v>
      </c>
      <c r="C17285" s="1" t="str">
        <f>HYPERLINK("http://www.uniprot.org/uniprot/PTR50_ARATH","PTR50_ARATH")</f>
        <v>PTR50_ARATH</v>
      </c>
      <c r="D17285" t="s">
        <v>10649</v>
      </c>
      <c r="E17285" s="3" t="s">
        <v>3</v>
      </c>
      <c r="F17285" s="4">
        <v>0</v>
      </c>
      <c r="G17285" s="3">
        <v>1425</v>
      </c>
      <c r="H17285" s="3">
        <v>60</v>
      </c>
      <c r="I17285" s="3">
        <v>558</v>
      </c>
      <c r="J17285" s="3">
        <v>175</v>
      </c>
      <c r="K17285" s="3">
        <v>1797</v>
      </c>
      <c r="L17285" s="3">
        <v>3</v>
      </c>
      <c r="M17285" s="3">
        <v>548</v>
      </c>
    </row>
    <row r="17286" spans="1:13" x14ac:dyDescent="0.25">
      <c r="A17286" s="1" t="str">
        <f>HYPERLINK("http://www.rosaceae.org/Prunus/Prunus_persica/p.persica_gdr_reftransV1_0027458","p.persica_gdr_reftransV1_0027458")</f>
        <v>p.persica_gdr_reftransV1_0027458</v>
      </c>
      <c r="B17286" s="3">
        <v>2077</v>
      </c>
      <c r="C17286" s="1" t="str">
        <f>HYPERLINK("http://www.uniprot.org/uniprot/LSF1_ARATH","LSF1_ARATH")</f>
        <v>LSF1_ARATH</v>
      </c>
      <c r="D17286" t="s">
        <v>10650</v>
      </c>
      <c r="E17286" s="3" t="s">
        <v>3</v>
      </c>
      <c r="F17286" s="4">
        <v>0</v>
      </c>
      <c r="G17286" s="3">
        <v>1794</v>
      </c>
      <c r="H17286" s="3">
        <v>73</v>
      </c>
      <c r="I17286" s="3">
        <v>462</v>
      </c>
      <c r="J17286" s="3">
        <v>504</v>
      </c>
      <c r="K17286" s="3">
        <v>1886</v>
      </c>
      <c r="L17286" s="3">
        <v>130</v>
      </c>
      <c r="M17286" s="3">
        <v>590</v>
      </c>
    </row>
    <row r="17287" spans="1:13" x14ac:dyDescent="0.25">
      <c r="A17287" s="1" t="str">
        <f>HYPERLINK("http://www.rosaceae.org/Prunus/Prunus_persica/p.persica_gdr_reftransV1_0027758","p.persica_gdr_reftransV1_0027758")</f>
        <v>p.persica_gdr_reftransV1_0027758</v>
      </c>
      <c r="B17287" s="3">
        <v>1584</v>
      </c>
      <c r="C17287" s="1" t="str">
        <f>HYPERLINK("http://www.uniprot.org/uniprot/ERF78_ARATH","ERF78_ARATH")</f>
        <v>ERF78_ARATH</v>
      </c>
      <c r="D17287" t="s">
        <v>10651</v>
      </c>
      <c r="E17287" s="3" t="s">
        <v>3</v>
      </c>
      <c r="F17287" s="4">
        <v>4.5199999999999997E-24</v>
      </c>
      <c r="G17287" s="3">
        <v>260</v>
      </c>
      <c r="H17287" s="3">
        <v>93</v>
      </c>
      <c r="I17287" s="3">
        <v>68</v>
      </c>
      <c r="J17287" s="3">
        <v>1240</v>
      </c>
      <c r="K17287" s="3">
        <v>1443</v>
      </c>
      <c r="L17287" s="3">
        <v>19</v>
      </c>
      <c r="M17287" s="3">
        <v>86</v>
      </c>
    </row>
    <row r="17288" spans="1:13" x14ac:dyDescent="0.25">
      <c r="A17288" s="1" t="str">
        <f>HYPERLINK("http://www.rosaceae.org/Prunus/Prunus_persica/p.persica_gdr_reftransV1_0027808","p.persica_gdr_reftransV1_0027808")</f>
        <v>p.persica_gdr_reftransV1_0027808</v>
      </c>
      <c r="B17288" s="3">
        <v>1551</v>
      </c>
      <c r="C17288" s="1" t="str">
        <f>HYPERLINK("http://www.uniprot.org/uniprot/WD82B_XENLA","WD82B_XENLA")</f>
        <v>WD82B_XENLA</v>
      </c>
      <c r="D17288" t="s">
        <v>10652</v>
      </c>
      <c r="E17288" s="3" t="s">
        <v>475</v>
      </c>
      <c r="F17288" s="4">
        <v>3.4300000000000001E-83</v>
      </c>
      <c r="G17288" s="3">
        <v>682</v>
      </c>
      <c r="H17288" s="3">
        <v>42</v>
      </c>
      <c r="I17288" s="3">
        <v>312</v>
      </c>
      <c r="J17288" s="3">
        <v>174</v>
      </c>
      <c r="K17288" s="3">
        <v>1100</v>
      </c>
      <c r="L17288" s="3">
        <v>1</v>
      </c>
      <c r="M17288" s="3">
        <v>311</v>
      </c>
    </row>
    <row r="17289" spans="1:13" x14ac:dyDescent="0.25">
      <c r="A17289" s="1" t="str">
        <f>HYPERLINK("http://www.rosaceae.org/Prunus/Prunus_persica/p.persica_gdr_reftransV1_0027858","p.persica_gdr_reftransV1_0027858")</f>
        <v>p.persica_gdr_reftransV1_0027858</v>
      </c>
      <c r="B17289" s="3">
        <v>2445</v>
      </c>
      <c r="C17289" s="1" t="str">
        <f>HYPERLINK("http://www.uniprot.org/uniprot/AGLUP_ARATH","AGLUP_ARATH")</f>
        <v>AGLUP_ARATH</v>
      </c>
      <c r="D17289" t="s">
        <v>10653</v>
      </c>
      <c r="E17289" s="3" t="s">
        <v>3</v>
      </c>
      <c r="F17289" s="4">
        <v>1.66E-149</v>
      </c>
      <c r="G17289" s="3">
        <v>1155</v>
      </c>
      <c r="H17289" s="3">
        <v>66</v>
      </c>
      <c r="I17289" s="3">
        <v>333</v>
      </c>
      <c r="J17289" s="3">
        <v>363</v>
      </c>
      <c r="K17289" s="3">
        <v>1361</v>
      </c>
      <c r="L17289" s="3">
        <v>21</v>
      </c>
      <c r="M17289" s="3">
        <v>351</v>
      </c>
    </row>
    <row r="17290" spans="1:13" x14ac:dyDescent="0.25">
      <c r="A17290" s="1" t="str">
        <f>HYPERLINK("http://www.rosaceae.org/Prunus/Prunus_persica/p.persica_gdr_reftransV1_0028058","p.persica_gdr_reftransV1_0028058")</f>
        <v>p.persica_gdr_reftransV1_0028058</v>
      </c>
      <c r="B17290" s="3">
        <v>2616</v>
      </c>
      <c r="C17290" s="1" t="str">
        <f>HYPERLINK("http://www.uniprot.org/uniprot/ANK3_RAT","ANK3_RAT")</f>
        <v>ANK3_RAT</v>
      </c>
      <c r="D17290" t="s">
        <v>10654</v>
      </c>
      <c r="E17290" s="3" t="s">
        <v>161</v>
      </c>
      <c r="F17290" s="4">
        <v>2.1900000000000001E-8</v>
      </c>
      <c r="G17290" s="3">
        <v>150</v>
      </c>
      <c r="H17290" s="3">
        <v>47</v>
      </c>
      <c r="I17290" s="3">
        <v>77</v>
      </c>
      <c r="J17290" s="3">
        <v>1827</v>
      </c>
      <c r="K17290" s="3">
        <v>2057</v>
      </c>
      <c r="L17290" s="3">
        <v>61</v>
      </c>
      <c r="M17290" s="3">
        <v>131</v>
      </c>
    </row>
    <row r="17291" spans="1:13" x14ac:dyDescent="0.25">
      <c r="A17291" s="1" t="str">
        <f>HYPERLINK("http://www.rosaceae.org/Prunus/Prunus_persica/p.persica_gdr_reftransV1_0028408","p.persica_gdr_reftransV1_0028408")</f>
        <v>p.persica_gdr_reftransV1_0028408</v>
      </c>
      <c r="B17291" s="3">
        <v>1486</v>
      </c>
      <c r="C17291" s="1" t="str">
        <f>HYPERLINK("http://www.uniprot.org/uniprot/THA1_ARATH","THA1_ARATH")</f>
        <v>THA1_ARATH</v>
      </c>
      <c r="D17291" t="s">
        <v>4647</v>
      </c>
      <c r="E17291" s="3" t="s">
        <v>3</v>
      </c>
      <c r="F17291" s="4">
        <v>3.2299999999999999E-178</v>
      </c>
      <c r="G17291" s="3">
        <v>1317</v>
      </c>
      <c r="H17291" s="3">
        <v>75</v>
      </c>
      <c r="I17291" s="3">
        <v>319</v>
      </c>
      <c r="J17291" s="3">
        <v>270</v>
      </c>
      <c r="K17291" s="3">
        <v>1226</v>
      </c>
      <c r="L17291" s="3">
        <v>1</v>
      </c>
      <c r="M17291" s="3">
        <v>319</v>
      </c>
    </row>
    <row r="17292" spans="1:13" x14ac:dyDescent="0.25">
      <c r="A17292" s="1" t="str">
        <f>HYPERLINK("http://www.rosaceae.org/Prunus/Prunus_persica/p.persica_gdr_reftransV1_0028708","p.persica_gdr_reftransV1_0028708")</f>
        <v>p.persica_gdr_reftransV1_0028708</v>
      </c>
      <c r="B17292" s="3">
        <v>2110</v>
      </c>
      <c r="C17292" s="1" t="str">
        <f>HYPERLINK("http://www.uniprot.org/uniprot/PPR73_ARATH","PPR73_ARATH")</f>
        <v>PPR73_ARATH</v>
      </c>
      <c r="D17292" t="s">
        <v>10655</v>
      </c>
      <c r="E17292" s="3" t="s">
        <v>3</v>
      </c>
      <c r="F17292" s="4">
        <v>0</v>
      </c>
      <c r="G17292" s="3">
        <v>1499</v>
      </c>
      <c r="H17292" s="3">
        <v>50</v>
      </c>
      <c r="I17292" s="3">
        <v>582</v>
      </c>
      <c r="J17292" s="3">
        <v>366</v>
      </c>
      <c r="K17292" s="3">
        <v>2108</v>
      </c>
      <c r="L17292" s="3">
        <v>44</v>
      </c>
      <c r="M17292" s="3">
        <v>623</v>
      </c>
    </row>
    <row r="17293" spans="1:13" x14ac:dyDescent="0.25">
      <c r="A17293" s="1" t="str">
        <f>HYPERLINK("http://www.rosaceae.org/Prunus/Prunus_persica/p.persica_gdr_reftransV1_0028858","p.persica_gdr_reftransV1_0028858")</f>
        <v>p.persica_gdr_reftransV1_0028858</v>
      </c>
      <c r="B17293" s="3">
        <v>1325</v>
      </c>
      <c r="C17293" s="1" t="str">
        <f>HYPERLINK("http://www.uniprot.org/uniprot/UPP_TOBAC","UPP_TOBAC")</f>
        <v>UPP_TOBAC</v>
      </c>
      <c r="D17293" t="s">
        <v>2112</v>
      </c>
      <c r="E17293" s="3" t="s">
        <v>200</v>
      </c>
      <c r="F17293" s="4">
        <v>4.3000000000000002E-139</v>
      </c>
      <c r="G17293" s="3">
        <v>1040</v>
      </c>
      <c r="H17293" s="3">
        <v>85</v>
      </c>
      <c r="I17293" s="3">
        <v>224</v>
      </c>
      <c r="J17293" s="3">
        <v>287</v>
      </c>
      <c r="K17293" s="3">
        <v>958</v>
      </c>
      <c r="L17293" s="3">
        <v>1</v>
      </c>
      <c r="M17293" s="3">
        <v>224</v>
      </c>
    </row>
    <row r="17294" spans="1:13" x14ac:dyDescent="0.25">
      <c r="A17294" s="1" t="str">
        <f>HYPERLINK("http://www.rosaceae.org/Prunus/Prunus_persica/p.persica_gdr_reftransV1_0029008","p.persica_gdr_reftransV1_0029008")</f>
        <v>p.persica_gdr_reftransV1_0029008</v>
      </c>
      <c r="B17294" s="3">
        <v>2255</v>
      </c>
      <c r="C17294" s="1" t="str">
        <f>HYPERLINK("http://www.uniprot.org/uniprot/RH41_ARATH","RH41_ARATH")</f>
        <v>RH41_ARATH</v>
      </c>
      <c r="D17294" t="s">
        <v>10656</v>
      </c>
      <c r="E17294" s="3" t="s">
        <v>3</v>
      </c>
      <c r="F17294" s="4">
        <v>0</v>
      </c>
      <c r="G17294" s="3">
        <v>1774</v>
      </c>
      <c r="H17294" s="3">
        <v>67</v>
      </c>
      <c r="I17294" s="3">
        <v>502</v>
      </c>
      <c r="J17294" s="3">
        <v>498</v>
      </c>
      <c r="K17294" s="3">
        <v>1988</v>
      </c>
      <c r="L17294" s="3">
        <v>11</v>
      </c>
      <c r="M17294" s="3">
        <v>496</v>
      </c>
    </row>
    <row r="17295" spans="1:13" x14ac:dyDescent="0.25">
      <c r="A17295" s="1" t="str">
        <f>HYPERLINK("http://www.rosaceae.org/Prunus/Prunus_persica/p.persica_gdr_reftransV1_0029058","p.persica_gdr_reftransV1_0029058")</f>
        <v>p.persica_gdr_reftransV1_0029058</v>
      </c>
      <c r="B17295" s="3">
        <v>1860</v>
      </c>
      <c r="C17295" s="1" t="str">
        <f>HYPERLINK("http://www.uniprot.org/uniprot/YJX4_SCHPO","YJX4_SCHPO")</f>
        <v>YJX4_SCHPO</v>
      </c>
      <c r="D17295" t="s">
        <v>1084</v>
      </c>
      <c r="E17295" s="3" t="s">
        <v>464</v>
      </c>
      <c r="F17295" s="4">
        <v>4.1999999999999996E-15</v>
      </c>
      <c r="G17295" s="3">
        <v>203</v>
      </c>
      <c r="H17295" s="3">
        <v>36</v>
      </c>
      <c r="I17295" s="3">
        <v>127</v>
      </c>
      <c r="J17295" s="3">
        <v>583</v>
      </c>
      <c r="K17295" s="3">
        <v>960</v>
      </c>
      <c r="L17295" s="3">
        <v>705</v>
      </c>
      <c r="M17295" s="3">
        <v>823</v>
      </c>
    </row>
    <row r="17296" spans="1:13" x14ac:dyDescent="0.25">
      <c r="A17296" s="1" t="str">
        <f>HYPERLINK("http://www.rosaceae.org/Prunus/Prunus_persica/p.persica_gdr_reftransV1_0029158","p.persica_gdr_reftransV1_0029158")</f>
        <v>p.persica_gdr_reftransV1_0029158</v>
      </c>
      <c r="B17296" s="3">
        <v>882</v>
      </c>
      <c r="C17296" s="1" t="str">
        <f>HYPERLINK("http://www.uniprot.org/uniprot/HOP2_ARATH","HOP2_ARATH")</f>
        <v>HOP2_ARATH</v>
      </c>
      <c r="D17296" t="s">
        <v>1755</v>
      </c>
      <c r="E17296" s="3" t="s">
        <v>3</v>
      </c>
      <c r="F17296" s="4">
        <v>6.2500000000000002E-119</v>
      </c>
      <c r="G17296" s="3">
        <v>891</v>
      </c>
      <c r="H17296" s="3">
        <v>72</v>
      </c>
      <c r="I17296" s="3">
        <v>225</v>
      </c>
      <c r="J17296" s="3">
        <v>91</v>
      </c>
      <c r="K17296" s="3">
        <v>765</v>
      </c>
      <c r="L17296" s="3">
        <v>1</v>
      </c>
      <c r="M17296" s="3">
        <v>225</v>
      </c>
    </row>
    <row r="17297" spans="1:13" x14ac:dyDescent="0.25">
      <c r="A17297" s="1" t="str">
        <f>HYPERLINK("http://www.rosaceae.org/Prunus/Prunus_persica/p.persica_gdr_reftransV1_0029408","p.persica_gdr_reftransV1_0029408")</f>
        <v>p.persica_gdr_reftransV1_0029408</v>
      </c>
      <c r="B17297" s="3">
        <v>1991</v>
      </c>
      <c r="C17297" s="1" t="str">
        <f>HYPERLINK("http://www.uniprot.org/uniprot/GCS1_ARATH","GCS1_ARATH")</f>
        <v>GCS1_ARATH</v>
      </c>
      <c r="D17297" t="s">
        <v>4043</v>
      </c>
      <c r="E17297" s="3" t="s">
        <v>3</v>
      </c>
      <c r="F17297" s="4">
        <v>0</v>
      </c>
      <c r="G17297" s="3">
        <v>1756</v>
      </c>
      <c r="H17297" s="3">
        <v>73</v>
      </c>
      <c r="I17297" s="3">
        <v>437</v>
      </c>
      <c r="J17297" s="3">
        <v>437</v>
      </c>
      <c r="K17297" s="3">
        <v>1744</v>
      </c>
      <c r="L17297" s="3">
        <v>413</v>
      </c>
      <c r="M17297" s="3">
        <v>849</v>
      </c>
    </row>
    <row r="17298" spans="1:13" x14ac:dyDescent="0.25">
      <c r="A17298" s="1" t="str">
        <f>HYPERLINK("http://www.rosaceae.org/Prunus/Prunus_persica/p.persica_gdr_reftransV1_0029708","p.persica_gdr_reftransV1_0029708")</f>
        <v>p.persica_gdr_reftransV1_0029708</v>
      </c>
      <c r="B17298" s="3">
        <v>432</v>
      </c>
      <c r="C17298" s="1" t="str">
        <f>HYPERLINK("http://www.uniprot.org/uniprot/Y1124_ARATH","Y1124_ARATH")</f>
        <v>Y1124_ARATH</v>
      </c>
      <c r="D17298" t="s">
        <v>4835</v>
      </c>
      <c r="E17298" s="3" t="s">
        <v>3</v>
      </c>
      <c r="F17298" s="4">
        <v>3.6500000000000003E-8</v>
      </c>
      <c r="G17298" s="3">
        <v>132</v>
      </c>
      <c r="H17298" s="3">
        <v>30</v>
      </c>
      <c r="I17298" s="3">
        <v>135</v>
      </c>
      <c r="J17298" s="3">
        <v>4</v>
      </c>
      <c r="K17298" s="3">
        <v>408</v>
      </c>
      <c r="L17298" s="3">
        <v>318</v>
      </c>
      <c r="M17298" s="3">
        <v>446</v>
      </c>
    </row>
    <row r="17299" spans="1:13" x14ac:dyDescent="0.25">
      <c r="A17299" s="1" t="str">
        <f>HYPERLINK("http://www.rosaceae.org/Prunus/Prunus_persica/p.persica_gdr_reftransV1_0029908","p.persica_gdr_reftransV1_0029908")</f>
        <v>p.persica_gdr_reftransV1_0029908</v>
      </c>
      <c r="B17299" s="3">
        <v>1086</v>
      </c>
      <c r="C17299" s="1" t="str">
        <f>HYPERLINK("http://www.uniprot.org/uniprot/TPPC5_DICDI","TPPC5_DICDI")</f>
        <v>TPPC5_DICDI</v>
      </c>
      <c r="D17299" t="s">
        <v>10657</v>
      </c>
      <c r="E17299" s="3" t="s">
        <v>9</v>
      </c>
      <c r="F17299" s="4">
        <v>5.8899999999999997E-76</v>
      </c>
      <c r="G17299" s="3">
        <v>609</v>
      </c>
      <c r="H17299" s="3">
        <v>61</v>
      </c>
      <c r="I17299" s="3">
        <v>180</v>
      </c>
      <c r="J17299" s="3">
        <v>185</v>
      </c>
      <c r="K17299" s="3">
        <v>724</v>
      </c>
      <c r="L17299" s="3">
        <v>7</v>
      </c>
      <c r="M17299" s="3">
        <v>186</v>
      </c>
    </row>
    <row r="17300" spans="1:13" x14ac:dyDescent="0.25">
      <c r="A17300" s="1" t="str">
        <f>HYPERLINK("http://www.rosaceae.org/Prunus/Prunus_persica/p.persica_gdr_reftransV1_0030008","p.persica_gdr_reftransV1_0030008")</f>
        <v>p.persica_gdr_reftransV1_0030008</v>
      </c>
      <c r="B17300" s="3">
        <v>1794</v>
      </c>
      <c r="C17300" s="1" t="str">
        <f>HYPERLINK("http://www.uniprot.org/uniprot/FB119_ARATH","FB119_ARATH")</f>
        <v>FB119_ARATH</v>
      </c>
      <c r="D17300" t="s">
        <v>771</v>
      </c>
      <c r="E17300" s="3" t="s">
        <v>3</v>
      </c>
      <c r="F17300" s="4">
        <v>1.49E-30</v>
      </c>
      <c r="G17300" s="3">
        <v>316</v>
      </c>
      <c r="H17300" s="3">
        <v>28</v>
      </c>
      <c r="I17300" s="3">
        <v>373</v>
      </c>
      <c r="J17300" s="3">
        <v>122</v>
      </c>
      <c r="K17300" s="3">
        <v>1222</v>
      </c>
      <c r="L17300" s="3">
        <v>10</v>
      </c>
      <c r="M17300" s="3">
        <v>335</v>
      </c>
    </row>
    <row r="17301" spans="1:13" x14ac:dyDescent="0.25">
      <c r="A17301" s="1" t="str">
        <f>HYPERLINK("http://www.rosaceae.org/Prunus/Prunus_persica/p.persica_gdr_reftransV1_0030308","p.persica_gdr_reftransV1_0030308")</f>
        <v>p.persica_gdr_reftransV1_0030308</v>
      </c>
      <c r="B17301" s="3">
        <v>1619</v>
      </c>
      <c r="C17301" s="1" t="str">
        <f>HYPERLINK("http://www.uniprot.org/uniprot/STR4A_ARATH","STR4A_ARATH")</f>
        <v>STR4A_ARATH</v>
      </c>
      <c r="D17301" t="s">
        <v>4617</v>
      </c>
      <c r="E17301" s="3" t="s">
        <v>3</v>
      </c>
      <c r="F17301" s="4">
        <v>1.07E-73</v>
      </c>
      <c r="G17301" s="3">
        <v>615</v>
      </c>
      <c r="H17301" s="3">
        <v>51</v>
      </c>
      <c r="I17301" s="3">
        <v>271</v>
      </c>
      <c r="J17301" s="3">
        <v>647</v>
      </c>
      <c r="K17301" s="3">
        <v>1456</v>
      </c>
      <c r="L17301" s="3">
        <v>7</v>
      </c>
      <c r="M17301" s="3">
        <v>264</v>
      </c>
    </row>
    <row r="17302" spans="1:13" x14ac:dyDescent="0.25">
      <c r="A17302" s="1" t="str">
        <f>HYPERLINK("http://www.rosaceae.org/Prunus/Prunus_persica/p.persica_gdr_reftransV1_0030358","p.persica_gdr_reftransV1_0030358")</f>
        <v>p.persica_gdr_reftransV1_0030358</v>
      </c>
      <c r="B17302" s="3">
        <v>1884</v>
      </c>
      <c r="C17302" s="1" t="str">
        <f>HYPERLINK("http://www.uniprot.org/uniprot/SRO5_ARATH","SRO5_ARATH")</f>
        <v>SRO5_ARATH</v>
      </c>
      <c r="D17302" t="s">
        <v>4735</v>
      </c>
      <c r="E17302" s="3" t="s">
        <v>3</v>
      </c>
      <c r="F17302" s="4">
        <v>8.08E-76</v>
      </c>
      <c r="G17302" s="3">
        <v>640</v>
      </c>
      <c r="H17302" s="3">
        <v>47</v>
      </c>
      <c r="I17302" s="3">
        <v>274</v>
      </c>
      <c r="J17302" s="3">
        <v>436</v>
      </c>
      <c r="K17302" s="3">
        <v>1248</v>
      </c>
      <c r="L17302" s="3">
        <v>41</v>
      </c>
      <c r="M17302" s="3">
        <v>302</v>
      </c>
    </row>
    <row r="17303" spans="1:13" x14ac:dyDescent="0.25">
      <c r="A17303" s="1" t="str">
        <f>HYPERLINK("http://www.rosaceae.org/Prunus/Prunus_persica/p.persica_gdr_reftransV1_0030508","p.persica_gdr_reftransV1_0030508")</f>
        <v>p.persica_gdr_reftransV1_0030508</v>
      </c>
      <c r="B17303" s="3">
        <v>1784</v>
      </c>
      <c r="C17303" s="1" t="str">
        <f>HYPERLINK("http://www.uniprot.org/uniprot/SCP45_ARATH","SCP45_ARATH")</f>
        <v>SCP45_ARATH</v>
      </c>
      <c r="D17303" t="s">
        <v>1851</v>
      </c>
      <c r="E17303" s="3" t="s">
        <v>3</v>
      </c>
      <c r="F17303" s="4">
        <v>0</v>
      </c>
      <c r="G17303" s="3">
        <v>1453</v>
      </c>
      <c r="H17303" s="3">
        <v>57</v>
      </c>
      <c r="I17303" s="3">
        <v>481</v>
      </c>
      <c r="J17303" s="3">
        <v>63</v>
      </c>
      <c r="K17303" s="3">
        <v>1493</v>
      </c>
      <c r="L17303" s="3">
        <v>1</v>
      </c>
      <c r="M17303" s="3">
        <v>458</v>
      </c>
    </row>
    <row r="17304" spans="1:13" x14ac:dyDescent="0.25">
      <c r="A17304" s="1" t="str">
        <f>HYPERLINK("http://www.rosaceae.org/Prunus/Prunus_persica/p.persica_gdr_reftransV1_0030608","p.persica_gdr_reftransV1_0030608")</f>
        <v>p.persica_gdr_reftransV1_0030608</v>
      </c>
      <c r="B17304" s="3">
        <v>2421</v>
      </c>
      <c r="C17304" s="1" t="str">
        <f>HYPERLINK("http://www.uniprot.org/uniprot/RPAP3_CHICK","RPAP3_CHICK")</f>
        <v>RPAP3_CHICK</v>
      </c>
      <c r="D17304" t="s">
        <v>10658</v>
      </c>
      <c r="E17304" s="3" t="s">
        <v>1278</v>
      </c>
      <c r="F17304" s="4">
        <v>1.7699999999999999E-21</v>
      </c>
      <c r="G17304" s="3">
        <v>257</v>
      </c>
      <c r="H17304" s="3">
        <v>56</v>
      </c>
      <c r="I17304" s="3">
        <v>90</v>
      </c>
      <c r="J17304" s="3">
        <v>701</v>
      </c>
      <c r="K17304" s="3">
        <v>967</v>
      </c>
      <c r="L17304" s="3">
        <v>283</v>
      </c>
      <c r="M17304" s="3">
        <v>372</v>
      </c>
    </row>
    <row r="17305" spans="1:13" x14ac:dyDescent="0.25">
      <c r="A17305" s="1" t="str">
        <f>HYPERLINK("http://www.rosaceae.org/Prunus/Prunus_persica/p.persica_gdr_reftransV1_0030658","p.persica_gdr_reftransV1_0030658")</f>
        <v>p.persica_gdr_reftransV1_0030658</v>
      </c>
      <c r="B17305" s="3">
        <v>3055</v>
      </c>
      <c r="C17305" s="1" t="str">
        <f>HYPERLINK("http://www.uniprot.org/uniprot/ZDHC2_ARATH","ZDHC2_ARATH")</f>
        <v>ZDHC2_ARATH</v>
      </c>
      <c r="D17305" t="s">
        <v>10659</v>
      </c>
      <c r="E17305" s="3" t="s">
        <v>3</v>
      </c>
      <c r="F17305" s="4">
        <v>1.32E-127</v>
      </c>
      <c r="G17305" s="3">
        <v>1040</v>
      </c>
      <c r="H17305" s="3">
        <v>61</v>
      </c>
      <c r="I17305" s="3">
        <v>325</v>
      </c>
      <c r="J17305" s="3">
        <v>204</v>
      </c>
      <c r="K17305" s="3">
        <v>1175</v>
      </c>
      <c r="L17305" s="3">
        <v>1</v>
      </c>
      <c r="M17305" s="3">
        <v>325</v>
      </c>
    </row>
    <row r="17306" spans="1:13" x14ac:dyDescent="0.25">
      <c r="A17306" s="1" t="str">
        <f>HYPERLINK("http://www.rosaceae.org/Prunus/Prunus_persica/p.persica_gdr_reftransV1_0030908","p.persica_gdr_reftransV1_0030908")</f>
        <v>p.persica_gdr_reftransV1_0030908</v>
      </c>
      <c r="B17306" s="3">
        <v>3673</v>
      </c>
      <c r="C17306" s="1" t="str">
        <f>HYPERLINK("http://www.uniprot.org/uniprot/DRL42_ARATH","DRL42_ARATH")</f>
        <v>DRL42_ARATH</v>
      </c>
      <c r="D17306" t="s">
        <v>819</v>
      </c>
      <c r="E17306" s="3" t="s">
        <v>3</v>
      </c>
      <c r="F17306" s="4">
        <v>4.25E-64</v>
      </c>
      <c r="G17306" s="3">
        <v>540</v>
      </c>
      <c r="H17306" s="3">
        <v>50</v>
      </c>
      <c r="I17306" s="3">
        <v>278</v>
      </c>
      <c r="J17306" s="3">
        <v>2596</v>
      </c>
      <c r="K17306" s="3">
        <v>3426</v>
      </c>
      <c r="L17306" s="3">
        <v>532</v>
      </c>
      <c r="M17306" s="3">
        <v>807</v>
      </c>
    </row>
    <row r="17307" spans="1:13" x14ac:dyDescent="0.25">
      <c r="A17307" s="1" t="str">
        <f>HYPERLINK("http://www.rosaceae.org/Prunus/Prunus_persica/p.persica_gdr_reftransV1_0031008","p.persica_gdr_reftransV1_0031008")</f>
        <v>p.persica_gdr_reftransV1_0031008</v>
      </c>
      <c r="B17307" s="3">
        <v>2582</v>
      </c>
      <c r="C17307" s="1" t="str">
        <f>HYPERLINK("http://www.uniprot.org/uniprot/TENAC_ARATH","TENAC_ARATH")</f>
        <v>TENAC_ARATH</v>
      </c>
      <c r="D17307" t="s">
        <v>6846</v>
      </c>
      <c r="E17307" s="3" t="s">
        <v>3</v>
      </c>
      <c r="F17307" s="4">
        <v>0</v>
      </c>
      <c r="G17307" s="3">
        <v>1882</v>
      </c>
      <c r="H17307" s="3">
        <v>70</v>
      </c>
      <c r="I17307" s="3">
        <v>574</v>
      </c>
      <c r="J17307" s="3">
        <v>687</v>
      </c>
      <c r="K17307" s="3">
        <v>2393</v>
      </c>
      <c r="L17307" s="3">
        <v>54</v>
      </c>
      <c r="M17307" s="3">
        <v>616</v>
      </c>
    </row>
    <row r="17308" spans="1:13" x14ac:dyDescent="0.25">
      <c r="A17308" s="1" t="str">
        <f>HYPERLINK("http://www.rosaceae.org/Prunus/Prunus_persica/p.persica_gdr_reftransV1_0031708","p.persica_gdr_reftransV1_0031708")</f>
        <v>p.persica_gdr_reftransV1_0031708</v>
      </c>
      <c r="B17308" s="3">
        <v>2791</v>
      </c>
      <c r="C17308" s="1" t="str">
        <f>HYPERLINK("http://www.uniprot.org/uniprot/MTBC1_VITVI","MTBC1_VITVI")</f>
        <v>MTBC1_VITVI</v>
      </c>
      <c r="D17308" t="s">
        <v>10660</v>
      </c>
      <c r="E17308" s="3" t="s">
        <v>362</v>
      </c>
      <c r="F17308" s="4">
        <v>0</v>
      </c>
      <c r="G17308" s="3">
        <v>1801</v>
      </c>
      <c r="H17308" s="3">
        <v>80</v>
      </c>
      <c r="I17308" s="3">
        <v>413</v>
      </c>
      <c r="J17308" s="3">
        <v>1237</v>
      </c>
      <c r="K17308" s="3">
        <v>2475</v>
      </c>
      <c r="L17308" s="3">
        <v>111</v>
      </c>
      <c r="M17308" s="3">
        <v>517</v>
      </c>
    </row>
    <row r="17309" spans="1:13" x14ac:dyDescent="0.25">
      <c r="A17309" s="1" t="str">
        <f>HYPERLINK("http://www.rosaceae.org/Prunus/Prunus_persica/p.persica_gdr_reftransV1_0031758","p.persica_gdr_reftransV1_0031758")</f>
        <v>p.persica_gdr_reftransV1_0031758</v>
      </c>
      <c r="B17309" s="3">
        <v>1862</v>
      </c>
      <c r="C17309" s="1" t="str">
        <f>HYPERLINK("http://www.uniprot.org/uniprot/CSK2B_ARATH","CSK2B_ARATH")</f>
        <v>CSK2B_ARATH</v>
      </c>
      <c r="D17309" t="s">
        <v>3391</v>
      </c>
      <c r="E17309" s="3" t="s">
        <v>3</v>
      </c>
      <c r="F17309" s="4">
        <v>8.3000000000000005E-85</v>
      </c>
      <c r="G17309" s="3">
        <v>699</v>
      </c>
      <c r="H17309" s="3">
        <v>92</v>
      </c>
      <c r="I17309" s="3">
        <v>135</v>
      </c>
      <c r="J17309" s="3">
        <v>970</v>
      </c>
      <c r="K17309" s="3">
        <v>1374</v>
      </c>
      <c r="L17309" s="3">
        <v>153</v>
      </c>
      <c r="M17309" s="3">
        <v>287</v>
      </c>
    </row>
    <row r="17310" spans="1:13" x14ac:dyDescent="0.25">
      <c r="A17310" s="1" t="str">
        <f>HYPERLINK("http://www.rosaceae.org/Prunus/Prunus_persica/p.persica_gdr_reftransV1_0031908","p.persica_gdr_reftransV1_0031908")</f>
        <v>p.persica_gdr_reftransV1_0031908</v>
      </c>
      <c r="B17310" s="3">
        <v>318</v>
      </c>
      <c r="C17310" s="1" t="str">
        <f>HYPERLINK("http://www.uniprot.org/uniprot/RHD3_ORYSJ","RHD3_ORYSJ")</f>
        <v>RHD3_ORYSJ</v>
      </c>
      <c r="D17310" t="s">
        <v>1567</v>
      </c>
      <c r="E17310" s="3" t="s">
        <v>38</v>
      </c>
      <c r="F17310" s="4">
        <v>2.3700000000000002E-40</v>
      </c>
      <c r="G17310" s="3">
        <v>369</v>
      </c>
      <c r="H17310" s="3">
        <v>65</v>
      </c>
      <c r="I17310" s="3">
        <v>109</v>
      </c>
      <c r="J17310" s="3">
        <v>3</v>
      </c>
      <c r="K17310" s="3">
        <v>317</v>
      </c>
      <c r="L17310" s="3">
        <v>196</v>
      </c>
      <c r="M17310" s="3">
        <v>304</v>
      </c>
    </row>
    <row r="17311" spans="1:13" x14ac:dyDescent="0.25">
      <c r="A17311" s="1" t="str">
        <f>HYPERLINK("http://www.rosaceae.org/Prunus/Prunus_persica/p.persica_gdr_reftransV1_0032008","p.persica_gdr_reftransV1_0032008")</f>
        <v>p.persica_gdr_reftransV1_0032008</v>
      </c>
      <c r="B17311" s="3">
        <v>907</v>
      </c>
      <c r="C17311" s="1" t="str">
        <f>HYPERLINK("http://www.uniprot.org/uniprot/ARG2_VIGRR","ARG2_VIGRR")</f>
        <v>ARG2_VIGRR</v>
      </c>
      <c r="D17311" t="s">
        <v>2260</v>
      </c>
      <c r="E17311" s="3" t="s">
        <v>2261</v>
      </c>
      <c r="F17311" s="4">
        <v>1.4399999999999999E-19</v>
      </c>
      <c r="G17311" s="3">
        <v>212</v>
      </c>
      <c r="H17311" s="3">
        <v>53</v>
      </c>
      <c r="I17311" s="3">
        <v>100</v>
      </c>
      <c r="J17311" s="3">
        <v>147</v>
      </c>
      <c r="K17311" s="3">
        <v>446</v>
      </c>
      <c r="L17311" s="3">
        <v>1</v>
      </c>
      <c r="M17311" s="3">
        <v>95</v>
      </c>
    </row>
    <row r="17312" spans="1:13" x14ac:dyDescent="0.25">
      <c r="A17312" s="1" t="str">
        <f>HYPERLINK("http://www.rosaceae.org/Prunus/Prunus_persica/p.persica_gdr_reftransV1_0032308","p.persica_gdr_reftransV1_0032308")</f>
        <v>p.persica_gdr_reftransV1_0032308</v>
      </c>
      <c r="B17312" s="3">
        <v>431</v>
      </c>
      <c r="C17312" s="1" t="str">
        <f>HYPERLINK("http://www.uniprot.org/uniprot/FRS10_ARATH","FRS10_ARATH")</f>
        <v>FRS10_ARATH</v>
      </c>
      <c r="D17312" t="s">
        <v>2208</v>
      </c>
      <c r="E17312" s="3" t="s">
        <v>3</v>
      </c>
      <c r="F17312" s="4">
        <v>1.81E-65</v>
      </c>
      <c r="G17312" s="3">
        <v>551</v>
      </c>
      <c r="H17312" s="3">
        <v>69</v>
      </c>
      <c r="I17312" s="3">
        <v>143</v>
      </c>
      <c r="J17312" s="3">
        <v>2</v>
      </c>
      <c r="K17312" s="3">
        <v>430</v>
      </c>
      <c r="L17312" s="3">
        <v>523</v>
      </c>
      <c r="M17312" s="3">
        <v>665</v>
      </c>
    </row>
    <row r="17313" spans="1:13" x14ac:dyDescent="0.25">
      <c r="A17313" s="1" t="str">
        <f>HYPERLINK("http://www.rosaceae.org/Prunus/Prunus_persica/p.persica_gdr_reftransV1_0032458","p.persica_gdr_reftransV1_0032458")</f>
        <v>p.persica_gdr_reftransV1_0032458</v>
      </c>
      <c r="B17313" s="3">
        <v>2076</v>
      </c>
      <c r="C17313" s="1" t="str">
        <f>HYPERLINK("http://www.uniprot.org/uniprot/HDA8_ARATH","HDA8_ARATH")</f>
        <v>HDA8_ARATH</v>
      </c>
      <c r="D17313" t="s">
        <v>10661</v>
      </c>
      <c r="E17313" s="3" t="s">
        <v>3</v>
      </c>
      <c r="F17313" s="4">
        <v>1.7700000000000001E-91</v>
      </c>
      <c r="G17313" s="3">
        <v>757</v>
      </c>
      <c r="H17313" s="3">
        <v>77</v>
      </c>
      <c r="I17313" s="3">
        <v>198</v>
      </c>
      <c r="J17313" s="3">
        <v>715</v>
      </c>
      <c r="K17313" s="3">
        <v>1302</v>
      </c>
      <c r="L17313" s="3">
        <v>80</v>
      </c>
      <c r="M17313" s="3">
        <v>277</v>
      </c>
    </row>
    <row r="17314" spans="1:13" x14ac:dyDescent="0.25">
      <c r="A17314" s="1" t="str">
        <f>HYPERLINK("http://www.rosaceae.org/Prunus/Prunus_persica/p.persica_gdr_reftransV1_0032708","p.persica_gdr_reftransV1_0032708")</f>
        <v>p.persica_gdr_reftransV1_0032708</v>
      </c>
      <c r="B17314" s="3">
        <v>3460</v>
      </c>
      <c r="C17314" s="1" t="str">
        <f>HYPERLINK("http://www.uniprot.org/uniprot/TPS5_ARATH","TPS5_ARATH")</f>
        <v>TPS5_ARATH</v>
      </c>
      <c r="D17314" t="s">
        <v>10662</v>
      </c>
      <c r="E17314" s="3" t="s">
        <v>3</v>
      </c>
      <c r="F17314" s="4">
        <v>0</v>
      </c>
      <c r="G17314" s="3">
        <v>3835</v>
      </c>
      <c r="H17314" s="3">
        <v>81</v>
      </c>
      <c r="I17314" s="3">
        <v>859</v>
      </c>
      <c r="J17314" s="3">
        <v>511</v>
      </c>
      <c r="K17314" s="3">
        <v>3066</v>
      </c>
      <c r="L17314" s="3">
        <v>1</v>
      </c>
      <c r="M17314" s="3">
        <v>859</v>
      </c>
    </row>
    <row r="17315" spans="1:13" x14ac:dyDescent="0.25">
      <c r="A17315" s="1" t="str">
        <f>HYPERLINK("http://www.rosaceae.org/Prunus/Prunus_persica/p.persica_gdr_reftransV1_0032758","p.persica_gdr_reftransV1_0032758")</f>
        <v>p.persica_gdr_reftransV1_0032758</v>
      </c>
      <c r="B17315" s="3">
        <v>1407</v>
      </c>
      <c r="C17315" s="1" t="str">
        <f>HYPERLINK("http://www.uniprot.org/uniprot/TIF9_ARATH","TIF9_ARATH")</f>
        <v>TIF9_ARATH</v>
      </c>
      <c r="D17315" t="s">
        <v>9994</v>
      </c>
      <c r="E17315" s="3" t="s">
        <v>3</v>
      </c>
      <c r="F17315" s="4">
        <v>2.7499999999999999E-37</v>
      </c>
      <c r="G17315" s="3">
        <v>353</v>
      </c>
      <c r="H17315" s="3">
        <v>45</v>
      </c>
      <c r="I17315" s="3">
        <v>218</v>
      </c>
      <c r="J17315" s="3">
        <v>78</v>
      </c>
      <c r="K17315" s="3">
        <v>728</v>
      </c>
      <c r="L17315" s="3">
        <v>1</v>
      </c>
      <c r="M17315" s="3">
        <v>192</v>
      </c>
    </row>
    <row r="17316" spans="1:13" x14ac:dyDescent="0.25">
      <c r="A17316" s="1" t="str">
        <f>HYPERLINK("http://www.rosaceae.org/Prunus/Prunus_persica/p.persica_gdr_reftransV1_0032808","p.persica_gdr_reftransV1_0032808")</f>
        <v>p.persica_gdr_reftransV1_0032808</v>
      </c>
      <c r="B17316" s="3">
        <v>3714</v>
      </c>
      <c r="C17316" s="1" t="str">
        <f>HYPERLINK("http://www.uniprot.org/uniprot/PBS1_ARATH","PBS1_ARATH")</f>
        <v>PBS1_ARATH</v>
      </c>
      <c r="D17316" t="s">
        <v>2502</v>
      </c>
      <c r="E17316" s="3" t="s">
        <v>3</v>
      </c>
      <c r="F17316" s="4">
        <v>1.2499999999999999E-149</v>
      </c>
      <c r="G17316" s="3">
        <v>1197</v>
      </c>
      <c r="H17316" s="3">
        <v>78</v>
      </c>
      <c r="I17316" s="3">
        <v>290</v>
      </c>
      <c r="J17316" s="3">
        <v>355</v>
      </c>
      <c r="K17316" s="3">
        <v>1224</v>
      </c>
      <c r="L17316" s="3">
        <v>170</v>
      </c>
      <c r="M17316" s="3">
        <v>449</v>
      </c>
    </row>
    <row r="17317" spans="1:13" x14ac:dyDescent="0.25">
      <c r="A17317" s="1" t="str">
        <f>HYPERLINK("http://www.rosaceae.org/Prunus/Prunus_persica/p.persica_gdr_reftransV1_0032958","p.persica_gdr_reftransV1_0032958")</f>
        <v>p.persica_gdr_reftransV1_0032958</v>
      </c>
      <c r="B17317" s="3">
        <v>2339</v>
      </c>
      <c r="C17317" s="1" t="str">
        <f>HYPERLINK("http://www.uniprot.org/uniprot/DMC1_SOYBN","DMC1_SOYBN")</f>
        <v>DMC1_SOYBN</v>
      </c>
      <c r="D17317" t="s">
        <v>10663</v>
      </c>
      <c r="E17317" s="3" t="s">
        <v>307</v>
      </c>
      <c r="F17317" s="4">
        <v>0</v>
      </c>
      <c r="G17317" s="3">
        <v>1661</v>
      </c>
      <c r="H17317" s="3">
        <v>92</v>
      </c>
      <c r="I17317" s="3">
        <v>345</v>
      </c>
      <c r="J17317" s="3">
        <v>77</v>
      </c>
      <c r="K17317" s="3">
        <v>1108</v>
      </c>
      <c r="L17317" s="3">
        <v>1</v>
      </c>
      <c r="M17317" s="3">
        <v>345</v>
      </c>
    </row>
    <row r="17318" spans="1:13" x14ac:dyDescent="0.25">
      <c r="A17318" s="1" t="str">
        <f>HYPERLINK("http://www.rosaceae.org/Prunus/Prunus_persica/p.persica_gdr_reftransV1_0033008","p.persica_gdr_reftransV1_0033008")</f>
        <v>p.persica_gdr_reftransV1_0033008</v>
      </c>
      <c r="B17318" s="3">
        <v>4028</v>
      </c>
      <c r="C17318" s="1" t="str">
        <f>HYPERLINK("http://www.uniprot.org/uniprot/FABH_ARATH","FABH_ARATH")</f>
        <v>FABH_ARATH</v>
      </c>
      <c r="D17318" t="s">
        <v>10664</v>
      </c>
      <c r="E17318" s="3" t="s">
        <v>3</v>
      </c>
      <c r="F17318" s="4">
        <v>1.0600000000000001E-97</v>
      </c>
      <c r="G17318" s="3">
        <v>831</v>
      </c>
      <c r="H17318" s="3">
        <v>75</v>
      </c>
      <c r="I17318" s="3">
        <v>229</v>
      </c>
      <c r="J17318" s="3">
        <v>2847</v>
      </c>
      <c r="K17318" s="3">
        <v>3533</v>
      </c>
      <c r="L17318" s="3">
        <v>3</v>
      </c>
      <c r="M17318" s="3">
        <v>230</v>
      </c>
    </row>
    <row r="17319" spans="1:13" x14ac:dyDescent="0.25">
      <c r="A17319" s="1" t="str">
        <f>HYPERLINK("http://www.rosaceae.org/Prunus/Prunus_persica/p.persica_gdr_reftransV1_0033058","p.persica_gdr_reftransV1_0033058")</f>
        <v>p.persica_gdr_reftransV1_0033058</v>
      </c>
      <c r="B17319" s="3">
        <v>2290</v>
      </c>
      <c r="C17319" s="1" t="str">
        <f>HYPERLINK("http://www.uniprot.org/uniprot/MATE2_ARATH","MATE2_ARATH")</f>
        <v>MATE2_ARATH</v>
      </c>
      <c r="D17319" t="s">
        <v>10665</v>
      </c>
      <c r="E17319" s="3" t="s">
        <v>3</v>
      </c>
      <c r="F17319" s="4">
        <v>7.7200000000000002E-155</v>
      </c>
      <c r="G17319" s="3">
        <v>769</v>
      </c>
      <c r="H17319" s="3">
        <v>58</v>
      </c>
      <c r="I17319" s="3">
        <v>288</v>
      </c>
      <c r="J17319" s="3">
        <v>993</v>
      </c>
      <c r="K17319" s="3">
        <v>1856</v>
      </c>
      <c r="L17319" s="3">
        <v>273</v>
      </c>
      <c r="M17319" s="3">
        <v>521</v>
      </c>
    </row>
    <row r="17320" spans="1:13" x14ac:dyDescent="0.25">
      <c r="A17320" s="1" t="str">
        <f>HYPERLINK("http://www.rosaceae.org/Prunus/Prunus_persica/p.persica_gdr_reftransV1_0033208","p.persica_gdr_reftransV1_0033208")</f>
        <v>p.persica_gdr_reftransV1_0033208</v>
      </c>
      <c r="B17320" s="3">
        <v>729</v>
      </c>
      <c r="C17320" s="1" t="str">
        <f>HYPERLINK("http://www.uniprot.org/uniprot/PP233_ARATH","PP233_ARATH")</f>
        <v>PP233_ARATH</v>
      </c>
      <c r="D17320" t="s">
        <v>6037</v>
      </c>
      <c r="E17320" s="3" t="s">
        <v>3</v>
      </c>
      <c r="F17320" s="4">
        <v>9.4400000000000001E-89</v>
      </c>
      <c r="G17320" s="3">
        <v>712</v>
      </c>
      <c r="H17320" s="3">
        <v>61</v>
      </c>
      <c r="I17320" s="3">
        <v>243</v>
      </c>
      <c r="J17320" s="3">
        <v>1</v>
      </c>
      <c r="K17320" s="3">
        <v>729</v>
      </c>
      <c r="L17320" s="3">
        <v>86</v>
      </c>
      <c r="M17320" s="3">
        <v>325</v>
      </c>
    </row>
    <row r="17321" spans="1:13" x14ac:dyDescent="0.25">
      <c r="A17321" s="1" t="str">
        <f>HYPERLINK("http://www.rosaceae.org/Prunus/Prunus_persica/p.persica_gdr_reftransV1_0033358","p.persica_gdr_reftransV1_0033358")</f>
        <v>p.persica_gdr_reftransV1_0033358</v>
      </c>
      <c r="B17321" s="3">
        <v>1705</v>
      </c>
      <c r="C17321" s="1" t="str">
        <f>HYPERLINK("http://www.uniprot.org/uniprot/CLS_ARATH","CLS_ARATH")</f>
        <v>CLS_ARATH</v>
      </c>
      <c r="D17321" t="s">
        <v>10666</v>
      </c>
      <c r="E17321" s="3" t="s">
        <v>3</v>
      </c>
      <c r="F17321" s="4">
        <v>9.1400000000000005E-61</v>
      </c>
      <c r="G17321" s="3">
        <v>535</v>
      </c>
      <c r="H17321" s="3">
        <v>56</v>
      </c>
      <c r="I17321" s="3">
        <v>218</v>
      </c>
      <c r="J17321" s="3">
        <v>34</v>
      </c>
      <c r="K17321" s="3">
        <v>666</v>
      </c>
      <c r="L17321" s="3">
        <v>1</v>
      </c>
      <c r="M17321" s="3">
        <v>209</v>
      </c>
    </row>
    <row r="17322" spans="1:13" x14ac:dyDescent="0.25">
      <c r="A17322" s="1" t="str">
        <f>HYPERLINK("http://www.rosaceae.org/Prunus/Prunus_persica/p.persica_gdr_reftransV1_0033658","p.persica_gdr_reftransV1_0033658")</f>
        <v>p.persica_gdr_reftransV1_0033658</v>
      </c>
      <c r="B17322" s="3">
        <v>4804</v>
      </c>
      <c r="C17322" s="1" t="str">
        <f>HYPERLINK("http://www.uniprot.org/uniprot/ALA8_ARATH","ALA8_ARATH")</f>
        <v>ALA8_ARATH</v>
      </c>
      <c r="D17322" t="s">
        <v>10667</v>
      </c>
      <c r="E17322" s="3" t="s">
        <v>3</v>
      </c>
      <c r="F17322" s="4">
        <v>0</v>
      </c>
      <c r="G17322" s="3">
        <v>2860</v>
      </c>
      <c r="H17322" s="3">
        <v>78</v>
      </c>
      <c r="I17322" s="3">
        <v>711</v>
      </c>
      <c r="J17322" s="3">
        <v>1915</v>
      </c>
      <c r="K17322" s="3">
        <v>4041</v>
      </c>
      <c r="L17322" s="3">
        <v>6</v>
      </c>
      <c r="M17322" s="3">
        <v>707</v>
      </c>
    </row>
    <row r="17323" spans="1:13" x14ac:dyDescent="0.25">
      <c r="A17323" s="1" t="str">
        <f>HYPERLINK("http://www.rosaceae.org/Prunus/Prunus_persica/p.persica_gdr_reftransV1_0033708","p.persica_gdr_reftransV1_0033708")</f>
        <v>p.persica_gdr_reftransV1_0033708</v>
      </c>
      <c r="B17323" s="3">
        <v>5073</v>
      </c>
      <c r="C17323" s="1" t="str">
        <f>HYPERLINK("http://www.uniprot.org/uniprot/RGA2_SOLBU","RGA2_SOLBU")</f>
        <v>RGA2_SOLBU</v>
      </c>
      <c r="D17323" t="s">
        <v>925</v>
      </c>
      <c r="E17323" s="3" t="s">
        <v>560</v>
      </c>
      <c r="F17323" s="4">
        <v>2.83E-127</v>
      </c>
      <c r="G17323" s="3">
        <v>1103</v>
      </c>
      <c r="H17323" s="3">
        <v>34</v>
      </c>
      <c r="I17323" s="3">
        <v>1065</v>
      </c>
      <c r="J17323" s="3">
        <v>1502</v>
      </c>
      <c r="K17323" s="3">
        <v>4624</v>
      </c>
      <c r="L17323" s="3">
        <v>6</v>
      </c>
      <c r="M17323" s="3">
        <v>943</v>
      </c>
    </row>
    <row r="17324" spans="1:13" x14ac:dyDescent="0.25">
      <c r="A17324" s="1" t="str">
        <f>HYPERLINK("http://www.rosaceae.org/Prunus/Prunus_persica/p.persica_gdr_reftransV1_0033908","p.persica_gdr_reftransV1_0033908")</f>
        <v>p.persica_gdr_reftransV1_0033908</v>
      </c>
      <c r="B17324" s="3">
        <v>918</v>
      </c>
      <c r="C17324" s="1" t="str">
        <f>HYPERLINK("http://www.uniprot.org/uniprot/MGN_EUPLA","MGN_EUPLA")</f>
        <v>MGN_EUPLA</v>
      </c>
      <c r="D17324" t="s">
        <v>10668</v>
      </c>
      <c r="E17324" s="3" t="s">
        <v>10669</v>
      </c>
      <c r="F17324" s="4">
        <v>1.76E-93</v>
      </c>
      <c r="G17324" s="3">
        <v>717</v>
      </c>
      <c r="H17324" s="3">
        <v>90</v>
      </c>
      <c r="I17324" s="3">
        <v>146</v>
      </c>
      <c r="J17324" s="3">
        <v>406</v>
      </c>
      <c r="K17324" s="3">
        <v>843</v>
      </c>
      <c r="L17324" s="3">
        <v>4</v>
      </c>
      <c r="M17324" s="3">
        <v>149</v>
      </c>
    </row>
    <row r="17325" spans="1:13" x14ac:dyDescent="0.25">
      <c r="A17325" s="1" t="str">
        <f>HYPERLINK("http://www.rosaceae.org/Prunus/Prunus_persica/p.persica_gdr_reftransV1_0034208","p.persica_gdr_reftransV1_0034208")</f>
        <v>p.persica_gdr_reftransV1_0034208</v>
      </c>
      <c r="B17325" s="3">
        <v>2139</v>
      </c>
      <c r="C17325" s="1" t="str">
        <f>HYPERLINK("http://www.uniprot.org/uniprot/CADH1_ARATH","CADH1_ARATH")</f>
        <v>CADH1_ARATH</v>
      </c>
      <c r="D17325" t="s">
        <v>75</v>
      </c>
      <c r="E17325" s="3" t="s">
        <v>3</v>
      </c>
      <c r="F17325" s="4">
        <v>3.04E-136</v>
      </c>
      <c r="G17325" s="3">
        <v>1059</v>
      </c>
      <c r="H17325" s="3">
        <v>80</v>
      </c>
      <c r="I17325" s="3">
        <v>287</v>
      </c>
      <c r="J17325" s="3">
        <v>1122</v>
      </c>
      <c r="K17325" s="3">
        <v>1982</v>
      </c>
      <c r="L17325" s="3">
        <v>70</v>
      </c>
      <c r="M17325" s="3">
        <v>355</v>
      </c>
    </row>
    <row r="17326" spans="1:13" x14ac:dyDescent="0.25">
      <c r="A17326" s="1" t="str">
        <f>HYPERLINK("http://www.rosaceae.org/Prunus/Prunus_persica/p.persica_gdr_reftransV1_0034808","p.persica_gdr_reftransV1_0034808")</f>
        <v>p.persica_gdr_reftransV1_0034808</v>
      </c>
      <c r="B17326" s="3">
        <v>1961</v>
      </c>
      <c r="C17326" s="1" t="str">
        <f>HYPERLINK("http://www.uniprot.org/uniprot/PP164_ARATH","PP164_ARATH")</f>
        <v>PP164_ARATH</v>
      </c>
      <c r="D17326" t="s">
        <v>5427</v>
      </c>
      <c r="E17326" s="3" t="s">
        <v>3</v>
      </c>
      <c r="F17326" s="4">
        <v>1.1000000000000001E-126</v>
      </c>
      <c r="G17326" s="3">
        <v>1020</v>
      </c>
      <c r="H17326" s="3">
        <v>52</v>
      </c>
      <c r="I17326" s="3">
        <v>362</v>
      </c>
      <c r="J17326" s="3">
        <v>3</v>
      </c>
      <c r="K17326" s="3">
        <v>1085</v>
      </c>
      <c r="L17326" s="3">
        <v>323</v>
      </c>
      <c r="M17326" s="3">
        <v>684</v>
      </c>
    </row>
    <row r="17327" spans="1:13" x14ac:dyDescent="0.25">
      <c r="A17327" s="1" t="str">
        <f>HYPERLINK("http://www.rosaceae.org/Prunus/Prunus_persica/p.persica_gdr_reftransV1_0035058","p.persica_gdr_reftransV1_0035058")</f>
        <v>p.persica_gdr_reftransV1_0035058</v>
      </c>
      <c r="B17327" s="3">
        <v>3840</v>
      </c>
      <c r="C17327" s="1" t="str">
        <f>HYPERLINK("http://www.uniprot.org/uniprot/SYM8_PEA","SYM8_PEA")</f>
        <v>SYM8_PEA</v>
      </c>
      <c r="D17327" t="s">
        <v>10670</v>
      </c>
      <c r="E17327" s="3" t="s">
        <v>60</v>
      </c>
      <c r="F17327" s="4">
        <v>0</v>
      </c>
      <c r="G17327" s="3">
        <v>3036</v>
      </c>
      <c r="H17327" s="3">
        <v>79</v>
      </c>
      <c r="I17327" s="3">
        <v>759</v>
      </c>
      <c r="J17327" s="3">
        <v>564</v>
      </c>
      <c r="K17327" s="3">
        <v>2819</v>
      </c>
      <c r="L17327" s="3">
        <v>136</v>
      </c>
      <c r="M17327" s="3">
        <v>894</v>
      </c>
    </row>
    <row r="17328" spans="1:13" x14ac:dyDescent="0.25">
      <c r="A17328" s="1" t="str">
        <f>HYPERLINK("http://www.rosaceae.org/Prunus/Prunus_persica/p.persica_gdr_reftransV1_0035208","p.persica_gdr_reftransV1_0035208")</f>
        <v>p.persica_gdr_reftransV1_0035208</v>
      </c>
      <c r="B17328" s="3">
        <v>2902</v>
      </c>
      <c r="C17328" s="1" t="str">
        <f>HYPERLINK("http://www.uniprot.org/uniprot/Y1343_ARATH","Y1343_ARATH")</f>
        <v>Y1343_ARATH</v>
      </c>
      <c r="D17328" t="s">
        <v>1207</v>
      </c>
      <c r="E17328" s="3" t="s">
        <v>3</v>
      </c>
      <c r="F17328" s="4">
        <v>1.05E-110</v>
      </c>
      <c r="G17328" s="3">
        <v>944</v>
      </c>
      <c r="H17328" s="3">
        <v>34</v>
      </c>
      <c r="I17328" s="3">
        <v>792</v>
      </c>
      <c r="J17328" s="3">
        <v>311</v>
      </c>
      <c r="K17328" s="3">
        <v>2563</v>
      </c>
      <c r="L17328" s="3">
        <v>38</v>
      </c>
      <c r="M17328" s="3">
        <v>768</v>
      </c>
    </row>
    <row r="17329" spans="1:13" x14ac:dyDescent="0.25">
      <c r="A17329" s="1" t="str">
        <f>HYPERLINK("http://www.rosaceae.org/Prunus/Prunus_persica/p.persica_gdr_reftransV1_0035258","p.persica_gdr_reftransV1_0035258")</f>
        <v>p.persica_gdr_reftransV1_0035258</v>
      </c>
      <c r="B17329" s="3">
        <v>3631</v>
      </c>
      <c r="C17329" s="1" t="str">
        <f>HYPERLINK("http://www.uniprot.org/uniprot/YIPC_SCHPO","YIPC_SCHPO")</f>
        <v>YIPC_SCHPO</v>
      </c>
      <c r="D17329" t="s">
        <v>4551</v>
      </c>
      <c r="E17329" s="3" t="s">
        <v>464</v>
      </c>
      <c r="F17329" s="4">
        <v>1.15E-45</v>
      </c>
      <c r="G17329" s="3">
        <v>451</v>
      </c>
      <c r="H17329" s="3">
        <v>39</v>
      </c>
      <c r="I17329" s="3">
        <v>265</v>
      </c>
      <c r="J17329" s="3">
        <v>2614</v>
      </c>
      <c r="K17329" s="3">
        <v>3378</v>
      </c>
      <c r="L17329" s="3">
        <v>243</v>
      </c>
      <c r="M17329" s="3">
        <v>502</v>
      </c>
    </row>
    <row r="17330" spans="1:13" x14ac:dyDescent="0.25">
      <c r="A17330" s="1" t="str">
        <f>HYPERLINK("http://www.rosaceae.org/Prunus/Prunus_persica/p.persica_gdr_reftransV1_0035758","p.persica_gdr_reftransV1_0035758")</f>
        <v>p.persica_gdr_reftransV1_0035758</v>
      </c>
      <c r="B17330" s="3">
        <v>1809</v>
      </c>
      <c r="C17330" s="1" t="str">
        <f>HYPERLINK("http://www.uniprot.org/uniprot/SAT4_ARATH","SAT4_ARATH")</f>
        <v>SAT4_ARATH</v>
      </c>
      <c r="D17330" t="s">
        <v>10671</v>
      </c>
      <c r="E17330" s="3" t="s">
        <v>3</v>
      </c>
      <c r="F17330" s="4">
        <v>6.2600000000000001E-158</v>
      </c>
      <c r="G17330" s="3">
        <v>1193</v>
      </c>
      <c r="H17330" s="3">
        <v>66</v>
      </c>
      <c r="I17330" s="3">
        <v>366</v>
      </c>
      <c r="J17330" s="3">
        <v>612</v>
      </c>
      <c r="K17330" s="3">
        <v>1667</v>
      </c>
      <c r="L17330" s="3">
        <v>1</v>
      </c>
      <c r="M17330" s="3">
        <v>355</v>
      </c>
    </row>
    <row r="17331" spans="1:13" x14ac:dyDescent="0.25">
      <c r="A17331" s="1" t="str">
        <f>HYPERLINK("http://www.rosaceae.org/Prunus/Prunus_persica/p.persica_gdr_reftransV1_0035808","p.persica_gdr_reftransV1_0035808")</f>
        <v>p.persica_gdr_reftransV1_0035808</v>
      </c>
      <c r="B17331" s="3">
        <v>3256</v>
      </c>
      <c r="C17331" s="1" t="str">
        <f>HYPERLINK("http://www.uniprot.org/uniprot/SGTB_RAT","SGTB_RAT")</f>
        <v>SGTB_RAT</v>
      </c>
      <c r="D17331" t="s">
        <v>2394</v>
      </c>
      <c r="E17331" s="3" t="s">
        <v>161</v>
      </c>
      <c r="F17331" s="4">
        <v>1.5E-24</v>
      </c>
      <c r="G17331" s="3">
        <v>275</v>
      </c>
      <c r="H17331" s="3">
        <v>47</v>
      </c>
      <c r="I17331" s="3">
        <v>120</v>
      </c>
      <c r="J17331" s="3">
        <v>2064</v>
      </c>
      <c r="K17331" s="3">
        <v>2423</v>
      </c>
      <c r="L17331" s="3">
        <v>92</v>
      </c>
      <c r="M17331" s="3">
        <v>210</v>
      </c>
    </row>
    <row r="17332" spans="1:13" x14ac:dyDescent="0.25">
      <c r="A17332" s="1" t="str">
        <f>HYPERLINK("http://www.rosaceae.org/Prunus/Prunus_persica/p.persica_gdr_reftransV1_0036458","p.persica_gdr_reftransV1_0036458")</f>
        <v>p.persica_gdr_reftransV1_0036458</v>
      </c>
      <c r="B17332" s="3">
        <v>620</v>
      </c>
      <c r="C17332" s="1" t="str">
        <f>HYPERLINK("http://www.uniprot.org/uniprot/QCR8_SOLTU","QCR8_SOLTU")</f>
        <v>QCR8_SOLTU</v>
      </c>
      <c r="D17332" t="s">
        <v>10672</v>
      </c>
      <c r="E17332" s="3" t="s">
        <v>11</v>
      </c>
      <c r="F17332" s="4">
        <v>9.2000000000000003E-39</v>
      </c>
      <c r="G17332" s="3">
        <v>337</v>
      </c>
      <c r="H17332" s="3">
        <v>86</v>
      </c>
      <c r="I17332" s="3">
        <v>72</v>
      </c>
      <c r="J17332" s="3">
        <v>94</v>
      </c>
      <c r="K17332" s="3">
        <v>309</v>
      </c>
      <c r="L17332" s="3">
        <v>1</v>
      </c>
      <c r="M17332" s="3">
        <v>72</v>
      </c>
    </row>
    <row r="17333" spans="1:13" x14ac:dyDescent="0.25">
      <c r="A17333" s="1" t="str">
        <f>HYPERLINK("http://www.rosaceae.org/Prunus/Prunus_persica/p.persica_gdr_reftransV1_0036558","p.persica_gdr_reftransV1_0036558")</f>
        <v>p.persica_gdr_reftransV1_0036558</v>
      </c>
      <c r="B17333" s="3">
        <v>2530</v>
      </c>
      <c r="C17333" s="1" t="str">
        <f>HYPERLINK("http://www.uniprot.org/uniprot/AMERL_ARATH","AMERL_ARATH")</f>
        <v>AMERL_ARATH</v>
      </c>
      <c r="D17333" t="s">
        <v>10673</v>
      </c>
      <c r="E17333" s="3" t="s">
        <v>3</v>
      </c>
      <c r="F17333" s="4">
        <v>1.82E-88</v>
      </c>
      <c r="G17333" s="3">
        <v>730</v>
      </c>
      <c r="H17333" s="3">
        <v>76</v>
      </c>
      <c r="I17333" s="3">
        <v>172</v>
      </c>
      <c r="J17333" s="3">
        <v>1438</v>
      </c>
      <c r="K17333" s="3">
        <v>1953</v>
      </c>
      <c r="L17333" s="3">
        <v>36</v>
      </c>
      <c r="M17333" s="3">
        <v>207</v>
      </c>
    </row>
    <row r="17334" spans="1:13" x14ac:dyDescent="0.25">
      <c r="A17334" s="1" t="str">
        <f>HYPERLINK("http://www.rosaceae.org/Prunus/Prunus_persica/p.persica_gdr_reftransV1_0036808","p.persica_gdr_reftransV1_0036808")</f>
        <v>p.persica_gdr_reftransV1_0036808</v>
      </c>
      <c r="B17334" s="3">
        <v>936</v>
      </c>
      <c r="C17334" s="1" t="str">
        <f>HYPERLINK("http://www.uniprot.org/uniprot/PP274_ARATH","PP274_ARATH")</f>
        <v>PP274_ARATH</v>
      </c>
      <c r="D17334" t="s">
        <v>6513</v>
      </c>
      <c r="E17334" s="3" t="s">
        <v>3</v>
      </c>
      <c r="F17334" s="4">
        <v>5.7500000000000004E-90</v>
      </c>
      <c r="G17334" s="3">
        <v>740</v>
      </c>
      <c r="H17334" s="3">
        <v>67</v>
      </c>
      <c r="I17334" s="3">
        <v>203</v>
      </c>
      <c r="J17334" s="3">
        <v>1</v>
      </c>
      <c r="K17334" s="3">
        <v>609</v>
      </c>
      <c r="L17334" s="3">
        <v>519</v>
      </c>
      <c r="M17334" s="3">
        <v>721</v>
      </c>
    </row>
    <row r="17335" spans="1:13" x14ac:dyDescent="0.25">
      <c r="A17335" s="1" t="str">
        <f>HYPERLINK("http://www.rosaceae.org/Prunus/Prunus_persica/p.persica_gdr_reftransV1_0036958","p.persica_gdr_reftransV1_0036958")</f>
        <v>p.persica_gdr_reftransV1_0036958</v>
      </c>
      <c r="B17335" s="3">
        <v>4221</v>
      </c>
      <c r="C17335" s="1" t="str">
        <f>HYPERLINK("http://www.uniprot.org/uniprot/WRK53_ARATH","WRK53_ARATH")</f>
        <v>WRK53_ARATH</v>
      </c>
      <c r="D17335" t="s">
        <v>10674</v>
      </c>
      <c r="E17335" s="3" t="s">
        <v>3</v>
      </c>
      <c r="F17335" s="4">
        <v>8.2100000000000005E-17</v>
      </c>
      <c r="G17335" s="3">
        <v>214</v>
      </c>
      <c r="H17335" s="3">
        <v>47</v>
      </c>
      <c r="I17335" s="3">
        <v>116</v>
      </c>
      <c r="J17335" s="3">
        <v>2280</v>
      </c>
      <c r="K17335" s="3">
        <v>2627</v>
      </c>
      <c r="L17335" s="3">
        <v>170</v>
      </c>
      <c r="M17335" s="3">
        <v>276</v>
      </c>
    </row>
    <row r="17336" spans="1:13" x14ac:dyDescent="0.25">
      <c r="A17336" s="1" t="str">
        <f>HYPERLINK("http://www.rosaceae.org/Prunus/Prunus_persica/p.persica_gdr_reftransV1_0038008","p.persica_gdr_reftransV1_0038008")</f>
        <v>p.persica_gdr_reftransV1_0038008</v>
      </c>
      <c r="B17336" s="3">
        <v>1688</v>
      </c>
      <c r="C17336" s="1" t="str">
        <f>HYPERLINK("http://www.uniprot.org/uniprot/E2FE_ARATH","E2FE_ARATH")</f>
        <v>E2FE_ARATH</v>
      </c>
      <c r="D17336" t="s">
        <v>10675</v>
      </c>
      <c r="E17336" s="3" t="s">
        <v>3</v>
      </c>
      <c r="F17336" s="4">
        <v>8.9999999999999999E-132</v>
      </c>
      <c r="G17336" s="3">
        <v>1020</v>
      </c>
      <c r="H17336" s="3">
        <v>59</v>
      </c>
      <c r="I17336" s="3">
        <v>367</v>
      </c>
      <c r="J17336" s="3">
        <v>136</v>
      </c>
      <c r="K17336" s="3">
        <v>1155</v>
      </c>
      <c r="L17336" s="3">
        <v>30</v>
      </c>
      <c r="M17336" s="3">
        <v>396</v>
      </c>
    </row>
    <row r="17337" spans="1:13" x14ac:dyDescent="0.25">
      <c r="A17337" s="1" t="str">
        <f>HYPERLINK("http://www.rosaceae.org/Prunus/Prunus_persica/p.persica_gdr_reftransV1_0038358","p.persica_gdr_reftransV1_0038358")</f>
        <v>p.persica_gdr_reftransV1_0038358</v>
      </c>
      <c r="B17337" s="3">
        <v>2852</v>
      </c>
      <c r="C17337" s="1" t="str">
        <f>HYPERLINK("http://www.uniprot.org/uniprot/TFC5_SCHPO","TFC5_SCHPO")</f>
        <v>TFC5_SCHPO</v>
      </c>
      <c r="D17337" t="s">
        <v>10676</v>
      </c>
      <c r="E17337" s="3" t="s">
        <v>464</v>
      </c>
      <c r="F17337" s="4">
        <v>2.4600000000000001E-13</v>
      </c>
      <c r="G17337" s="3">
        <v>189</v>
      </c>
      <c r="H17337" s="3">
        <v>42</v>
      </c>
      <c r="I17337" s="3">
        <v>93</v>
      </c>
      <c r="J17337" s="3">
        <v>1766</v>
      </c>
      <c r="K17337" s="3">
        <v>2044</v>
      </c>
      <c r="L17337" s="3">
        <v>350</v>
      </c>
      <c r="M17337" s="3">
        <v>434</v>
      </c>
    </row>
    <row r="17338" spans="1:13" x14ac:dyDescent="0.25">
      <c r="A17338" s="1" t="str">
        <f>HYPERLINK("http://www.rosaceae.org/Prunus/Prunus_persica/p.persica_gdr_reftransV1_0038508","p.persica_gdr_reftransV1_0038508")</f>
        <v>p.persica_gdr_reftransV1_0038508</v>
      </c>
      <c r="B17338" s="3">
        <v>3119</v>
      </c>
      <c r="C17338" s="1" t="str">
        <f>HYPERLINK("http://www.uniprot.org/uniprot/CSCLB_ARATH","CSCLB_ARATH")</f>
        <v>CSCLB_ARATH</v>
      </c>
      <c r="D17338" t="s">
        <v>4634</v>
      </c>
      <c r="E17338" s="3" t="s">
        <v>3</v>
      </c>
      <c r="F17338" s="4">
        <v>0</v>
      </c>
      <c r="G17338" s="3">
        <v>1611</v>
      </c>
      <c r="H17338" s="3">
        <v>61</v>
      </c>
      <c r="I17338" s="3">
        <v>500</v>
      </c>
      <c r="J17338" s="3">
        <v>297</v>
      </c>
      <c r="K17338" s="3">
        <v>1796</v>
      </c>
      <c r="L17338" s="3">
        <v>1</v>
      </c>
      <c r="M17338" s="3">
        <v>492</v>
      </c>
    </row>
    <row r="17339" spans="1:13" x14ac:dyDescent="0.25">
      <c r="A17339" s="1" t="str">
        <f>HYPERLINK("http://www.rosaceae.org/Prunus/Prunus_persica/p.persica_gdr_reftransV1_0038608","p.persica_gdr_reftransV1_0038608")</f>
        <v>p.persica_gdr_reftransV1_0038608</v>
      </c>
      <c r="B17339" s="3">
        <v>2604</v>
      </c>
      <c r="C17339" s="1" t="str">
        <f>HYPERLINK("http://www.uniprot.org/uniprot/MHK_ARATH","MHK_ARATH")</f>
        <v>MHK_ARATH</v>
      </c>
      <c r="D17339" t="s">
        <v>10677</v>
      </c>
      <c r="E17339" s="3" t="s">
        <v>3</v>
      </c>
      <c r="F17339" s="4">
        <v>1.6100000000000001E-106</v>
      </c>
      <c r="G17339" s="3">
        <v>878</v>
      </c>
      <c r="H17339" s="3">
        <v>78</v>
      </c>
      <c r="I17339" s="3">
        <v>203</v>
      </c>
      <c r="J17339" s="3">
        <v>1427</v>
      </c>
      <c r="K17339" s="3">
        <v>2035</v>
      </c>
      <c r="L17339" s="3">
        <v>8</v>
      </c>
      <c r="M17339" s="3">
        <v>210</v>
      </c>
    </row>
    <row r="17340" spans="1:13" x14ac:dyDescent="0.25">
      <c r="A17340" s="1" t="str">
        <f>HYPERLINK("http://www.rosaceae.org/Prunus/Prunus_persica/p.persica_gdr_reftransV1_0038758","p.persica_gdr_reftransV1_0038758")</f>
        <v>p.persica_gdr_reftransV1_0038758</v>
      </c>
      <c r="B17340" s="3">
        <v>1119</v>
      </c>
      <c r="C17340" s="1" t="str">
        <f>HYPERLINK("http://www.uniprot.org/uniprot/RBG4_ARATH","RBG4_ARATH")</f>
        <v>RBG4_ARATH</v>
      </c>
      <c r="D17340" t="s">
        <v>881</v>
      </c>
      <c r="E17340" s="3" t="s">
        <v>3</v>
      </c>
      <c r="F17340" s="4">
        <v>3.3300000000000001E-12</v>
      </c>
      <c r="G17340" s="3">
        <v>164</v>
      </c>
      <c r="H17340" s="3">
        <v>46</v>
      </c>
      <c r="I17340" s="3">
        <v>67</v>
      </c>
      <c r="J17340" s="3">
        <v>185</v>
      </c>
      <c r="K17340" s="3">
        <v>385</v>
      </c>
      <c r="L17340" s="3">
        <v>33</v>
      </c>
      <c r="M17340" s="3">
        <v>99</v>
      </c>
    </row>
    <row r="17341" spans="1:13" x14ac:dyDescent="0.25">
      <c r="A17341" s="1" t="str">
        <f>HYPERLINK("http://www.rosaceae.org/Prunus/Prunus_persica/p.persica_gdr_reftransV1_0038858","p.persica_gdr_reftransV1_0038858")</f>
        <v>p.persica_gdr_reftransV1_0038858</v>
      </c>
      <c r="B17341" s="3">
        <v>3138</v>
      </c>
      <c r="C17341" s="1" t="str">
        <f>HYPERLINK("http://www.uniprot.org/uniprot/TENAC_ARATH","TENAC_ARATH")</f>
        <v>TENAC_ARATH</v>
      </c>
      <c r="D17341" t="s">
        <v>6846</v>
      </c>
      <c r="E17341" s="3" t="s">
        <v>3</v>
      </c>
      <c r="F17341" s="4">
        <v>3.2299999999999998E-149</v>
      </c>
      <c r="G17341" s="3">
        <v>377</v>
      </c>
      <c r="H17341" s="3">
        <v>62</v>
      </c>
      <c r="I17341" s="3">
        <v>142</v>
      </c>
      <c r="J17341" s="3">
        <v>2173</v>
      </c>
      <c r="K17341" s="3">
        <v>2592</v>
      </c>
      <c r="L17341" s="3">
        <v>475</v>
      </c>
      <c r="M17341" s="3">
        <v>615</v>
      </c>
    </row>
    <row r="17342" spans="1:13" x14ac:dyDescent="0.25">
      <c r="A17342" s="1" t="str">
        <f>HYPERLINK("http://www.rosaceae.org/Prunus/Prunus_persica/p.persica_gdr_reftransV1_0038908","p.persica_gdr_reftransV1_0038908")</f>
        <v>p.persica_gdr_reftransV1_0038908</v>
      </c>
      <c r="B17342" s="3">
        <v>1924</v>
      </c>
      <c r="C17342" s="1" t="str">
        <f>HYPERLINK("http://www.uniprot.org/uniprot/MVP_AMVLE","MVP_AMVLE")</f>
        <v>MVP_AMVLE</v>
      </c>
      <c r="D17342" t="s">
        <v>10678</v>
      </c>
      <c r="E17342" s="3" t="s">
        <v>3145</v>
      </c>
      <c r="F17342" s="4">
        <v>9.1199999999999994E-20</v>
      </c>
      <c r="G17342" s="3">
        <v>233</v>
      </c>
      <c r="H17342" s="3">
        <v>35</v>
      </c>
      <c r="I17342" s="3">
        <v>216</v>
      </c>
      <c r="J17342" s="3">
        <v>288</v>
      </c>
      <c r="K17342" s="3">
        <v>905</v>
      </c>
      <c r="L17342" s="3">
        <v>48</v>
      </c>
      <c r="M17342" s="3">
        <v>258</v>
      </c>
    </row>
    <row r="17343" spans="1:13" x14ac:dyDescent="0.25">
      <c r="A17343" s="1" t="str">
        <f>HYPERLINK("http://www.rosaceae.org/Prunus/Prunus_persica/p.persica_gdr_reftransV1_0038958","p.persica_gdr_reftransV1_0038958")</f>
        <v>p.persica_gdr_reftransV1_0038958</v>
      </c>
      <c r="B17343" s="3">
        <v>3214</v>
      </c>
      <c r="C17343" s="1" t="str">
        <f>HYPERLINK("http://www.uniprot.org/uniprot/NTO1_YEAST","NTO1_YEAST")</f>
        <v>NTO1_YEAST</v>
      </c>
      <c r="D17343" t="s">
        <v>10679</v>
      </c>
      <c r="E17343" s="3" t="s">
        <v>34</v>
      </c>
      <c r="F17343" s="4">
        <v>4.8400000000000001E-21</v>
      </c>
      <c r="G17343" s="3">
        <v>256</v>
      </c>
      <c r="H17343" s="3">
        <v>31</v>
      </c>
      <c r="I17343" s="3">
        <v>206</v>
      </c>
      <c r="J17343" s="3">
        <v>1493</v>
      </c>
      <c r="K17343" s="3">
        <v>2095</v>
      </c>
      <c r="L17343" s="3">
        <v>264</v>
      </c>
      <c r="M17343" s="3">
        <v>454</v>
      </c>
    </row>
    <row r="17344" spans="1:13" x14ac:dyDescent="0.25">
      <c r="A17344" s="1" t="str">
        <f>HYPERLINK("http://www.rosaceae.org/Prunus/Prunus_persica/p.persica_gdr_reftransV1_0039058","p.persica_gdr_reftransV1_0039058")</f>
        <v>p.persica_gdr_reftransV1_0039058</v>
      </c>
      <c r="B17344" s="3">
        <v>3196</v>
      </c>
      <c r="C17344" s="1" t="str">
        <f>HYPERLINK("http://www.uniprot.org/uniprot/FQRL1_ARATH","FQRL1_ARATH")</f>
        <v>FQRL1_ARATH</v>
      </c>
      <c r="D17344" t="s">
        <v>8074</v>
      </c>
      <c r="E17344" s="3" t="s">
        <v>3</v>
      </c>
      <c r="F17344" s="4">
        <v>1.02E-79</v>
      </c>
      <c r="G17344" s="3">
        <v>675</v>
      </c>
      <c r="H17344" s="3">
        <v>85</v>
      </c>
      <c r="I17344" s="3">
        <v>163</v>
      </c>
      <c r="J17344" s="3">
        <v>2349</v>
      </c>
      <c r="K17344" s="3">
        <v>2837</v>
      </c>
      <c r="L17344" s="3">
        <v>39</v>
      </c>
      <c r="M17344" s="3">
        <v>201</v>
      </c>
    </row>
    <row r="17345" spans="1:13" x14ac:dyDescent="0.25">
      <c r="A17345" s="1" t="str">
        <f>HYPERLINK("http://www.rosaceae.org/Prunus/Prunus_persica/p.persica_gdr_reftransV1_0039558","p.persica_gdr_reftransV1_0039558")</f>
        <v>p.persica_gdr_reftransV1_0039558</v>
      </c>
      <c r="B17345" s="3">
        <v>1916</v>
      </c>
      <c r="C17345" s="1" t="str">
        <f>HYPERLINK("http://www.uniprot.org/uniprot/SEUSS_ARATH","SEUSS_ARATH")</f>
        <v>SEUSS_ARATH</v>
      </c>
      <c r="D17345" t="s">
        <v>389</v>
      </c>
      <c r="E17345" s="3" t="s">
        <v>3</v>
      </c>
      <c r="F17345" s="4">
        <v>2.32E-18</v>
      </c>
      <c r="G17345" s="3">
        <v>230</v>
      </c>
      <c r="H17345" s="3">
        <v>48</v>
      </c>
      <c r="I17345" s="3">
        <v>291</v>
      </c>
      <c r="J17345" s="3">
        <v>408</v>
      </c>
      <c r="K17345" s="3">
        <v>1250</v>
      </c>
      <c r="L17345" s="3">
        <v>617</v>
      </c>
      <c r="M17345" s="3">
        <v>875</v>
      </c>
    </row>
    <row r="17346" spans="1:13" x14ac:dyDescent="0.25">
      <c r="A17346" s="1" t="str">
        <f>HYPERLINK("http://www.rosaceae.org/Prunus/Prunus_persica/p.persica_gdr_reftransV1_0039708","p.persica_gdr_reftransV1_0039708")</f>
        <v>p.persica_gdr_reftransV1_0039708</v>
      </c>
      <c r="B17346" s="3">
        <v>3554</v>
      </c>
      <c r="C17346" s="1" t="str">
        <f>HYPERLINK("http://www.uniprot.org/uniprot/UNE12_ARATH","UNE12_ARATH")</f>
        <v>UNE12_ARATH</v>
      </c>
      <c r="D17346" t="s">
        <v>2370</v>
      </c>
      <c r="E17346" s="3" t="s">
        <v>3</v>
      </c>
      <c r="F17346" s="4">
        <v>9.9899999999999993E-24</v>
      </c>
      <c r="G17346" s="3">
        <v>269</v>
      </c>
      <c r="H17346" s="3">
        <v>71</v>
      </c>
      <c r="I17346" s="3">
        <v>73</v>
      </c>
      <c r="J17346" s="3">
        <v>2792</v>
      </c>
      <c r="K17346" s="3">
        <v>3010</v>
      </c>
      <c r="L17346" s="3">
        <v>237</v>
      </c>
      <c r="M17346" s="3">
        <v>307</v>
      </c>
    </row>
    <row r="17347" spans="1:13" x14ac:dyDescent="0.25">
      <c r="A17347" s="1" t="str">
        <f>HYPERLINK("http://www.rosaceae.org/Prunus/Prunus_persica/p.persica_gdr_reftransV1_0039758","p.persica_gdr_reftransV1_0039758")</f>
        <v>p.persica_gdr_reftransV1_0039758</v>
      </c>
      <c r="B17347" s="3">
        <v>4081</v>
      </c>
      <c r="C17347" s="1" t="str">
        <f>HYPERLINK("http://www.uniprot.org/uniprot/HDA2_ARATH","HDA2_ARATH")</f>
        <v>HDA2_ARATH</v>
      </c>
      <c r="D17347" t="s">
        <v>8029</v>
      </c>
      <c r="E17347" s="3" t="s">
        <v>3</v>
      </c>
      <c r="F17347" s="4">
        <v>2.6099999999999999E-88</v>
      </c>
      <c r="G17347" s="3">
        <v>760</v>
      </c>
      <c r="H17347" s="3">
        <v>64</v>
      </c>
      <c r="I17347" s="3">
        <v>230</v>
      </c>
      <c r="J17347" s="3">
        <v>1141</v>
      </c>
      <c r="K17347" s="3">
        <v>1830</v>
      </c>
      <c r="L17347" s="3">
        <v>148</v>
      </c>
      <c r="M17347" s="3">
        <v>330</v>
      </c>
    </row>
    <row r="17348" spans="1:13" x14ac:dyDescent="0.25">
      <c r="A17348" s="1" t="str">
        <f>HYPERLINK("http://www.rosaceae.org/Prunus/Prunus_persica/p.persica_gdr_reftransV1_0040058","p.persica_gdr_reftransV1_0040058")</f>
        <v>p.persica_gdr_reftransV1_0040058</v>
      </c>
      <c r="B17348" s="3">
        <v>1502</v>
      </c>
      <c r="C17348" s="1" t="str">
        <f>HYPERLINK("http://www.uniprot.org/uniprot/ARF_MAIZE","ARF_MAIZE")</f>
        <v>ARF_MAIZE</v>
      </c>
      <c r="D17348" t="s">
        <v>10680</v>
      </c>
      <c r="E17348" s="3" t="s">
        <v>72</v>
      </c>
      <c r="F17348" s="4">
        <v>6.2200000000000004E-73</v>
      </c>
      <c r="G17348" s="3">
        <v>600</v>
      </c>
      <c r="H17348" s="3">
        <v>100</v>
      </c>
      <c r="I17348" s="3">
        <v>113</v>
      </c>
      <c r="J17348" s="3">
        <v>1046</v>
      </c>
      <c r="K17348" s="3">
        <v>1384</v>
      </c>
      <c r="L17348" s="3">
        <v>1</v>
      </c>
      <c r="M17348" s="3">
        <v>113</v>
      </c>
    </row>
    <row r="17349" spans="1:13" x14ac:dyDescent="0.25">
      <c r="A17349" s="1" t="str">
        <f>HYPERLINK("http://www.rosaceae.org/Prunus/Prunus_persica/p.persica_gdr_reftransV1_0040108","p.persica_gdr_reftransV1_0040108")</f>
        <v>p.persica_gdr_reftransV1_0040108</v>
      </c>
      <c r="B17349" s="3">
        <v>1980</v>
      </c>
      <c r="C17349" s="1" t="str">
        <f>HYPERLINK("http://www.uniprot.org/uniprot/IMPA9_ARATH","IMPA9_ARATH")</f>
        <v>IMPA9_ARATH</v>
      </c>
      <c r="D17349" t="s">
        <v>10681</v>
      </c>
      <c r="E17349" s="3" t="s">
        <v>3</v>
      </c>
      <c r="F17349" s="4">
        <v>0</v>
      </c>
      <c r="G17349" s="3">
        <v>2000</v>
      </c>
      <c r="H17349" s="3">
        <v>76</v>
      </c>
      <c r="I17349" s="3">
        <v>523</v>
      </c>
      <c r="J17349" s="3">
        <v>125</v>
      </c>
      <c r="K17349" s="3">
        <v>1690</v>
      </c>
      <c r="L17349" s="3">
        <v>1</v>
      </c>
      <c r="M17349" s="3">
        <v>519</v>
      </c>
    </row>
    <row r="17350" spans="1:13" x14ac:dyDescent="0.25">
      <c r="A17350" s="1" t="str">
        <f>HYPERLINK("http://www.rosaceae.org/Prunus/Prunus_persica/p.persica_gdr_reftransV1_0040308","p.persica_gdr_reftransV1_0040308")</f>
        <v>p.persica_gdr_reftransV1_0040308</v>
      </c>
      <c r="B17350" s="3">
        <v>2820</v>
      </c>
      <c r="C17350" s="1" t="str">
        <f>HYPERLINK("http://www.uniprot.org/uniprot/RTNLH_ARATH","RTNLH_ARATH")</f>
        <v>RTNLH_ARATH</v>
      </c>
      <c r="D17350" t="s">
        <v>6674</v>
      </c>
      <c r="E17350" s="3" t="s">
        <v>3</v>
      </c>
      <c r="F17350" s="4">
        <v>1.2399999999999999E-100</v>
      </c>
      <c r="G17350" s="3">
        <v>822</v>
      </c>
      <c r="H17350" s="3">
        <v>61</v>
      </c>
      <c r="I17350" s="3">
        <v>248</v>
      </c>
      <c r="J17350" s="3">
        <v>1481</v>
      </c>
      <c r="K17350" s="3">
        <v>2224</v>
      </c>
      <c r="L17350" s="3">
        <v>1</v>
      </c>
      <c r="M17350" s="3">
        <v>247</v>
      </c>
    </row>
    <row r="17351" spans="1:13" x14ac:dyDescent="0.25">
      <c r="A17351" s="1" t="str">
        <f>HYPERLINK("http://www.rosaceae.org/Prunus/Prunus_persica/p.persica_gdr_reftransV1_0041008","p.persica_gdr_reftransV1_0041008")</f>
        <v>p.persica_gdr_reftransV1_0041008</v>
      </c>
      <c r="B17351" s="3">
        <v>1838</v>
      </c>
      <c r="C17351" s="1" t="str">
        <f>HYPERLINK("http://www.uniprot.org/uniprot/P2B12_ARATH","P2B12_ARATH")</f>
        <v>P2B12_ARATH</v>
      </c>
      <c r="D17351" t="s">
        <v>3090</v>
      </c>
      <c r="E17351" s="3" t="s">
        <v>3</v>
      </c>
      <c r="F17351" s="4">
        <v>3.0599999999999998E-45</v>
      </c>
      <c r="G17351" s="3">
        <v>419</v>
      </c>
      <c r="H17351" s="3">
        <v>46</v>
      </c>
      <c r="I17351" s="3">
        <v>209</v>
      </c>
      <c r="J17351" s="3">
        <v>876</v>
      </c>
      <c r="K17351" s="3">
        <v>1499</v>
      </c>
      <c r="L17351" s="3">
        <v>84</v>
      </c>
      <c r="M17351" s="3">
        <v>248</v>
      </c>
    </row>
    <row r="17352" spans="1:13" x14ac:dyDescent="0.25">
      <c r="A17352" s="1" t="str">
        <f>HYPERLINK("http://www.rosaceae.org/Prunus/Prunus_persica/p.persica_gdr_reftransV1_0041108","p.persica_gdr_reftransV1_0041108")</f>
        <v>p.persica_gdr_reftransV1_0041108</v>
      </c>
      <c r="B17352" s="3">
        <v>2266</v>
      </c>
      <c r="C17352" s="1" t="str">
        <f>HYPERLINK("http://www.uniprot.org/uniprot/PLPD1_ARATH","PLPD1_ARATH")</f>
        <v>PLPD1_ARATH</v>
      </c>
      <c r="D17352" t="s">
        <v>10682</v>
      </c>
      <c r="E17352" s="3" t="s">
        <v>3</v>
      </c>
      <c r="F17352" s="4">
        <v>0</v>
      </c>
      <c r="G17352" s="3">
        <v>2303</v>
      </c>
      <c r="H17352" s="3">
        <v>83</v>
      </c>
      <c r="I17352" s="3">
        <v>554</v>
      </c>
      <c r="J17352" s="3">
        <v>217</v>
      </c>
      <c r="K17352" s="3">
        <v>1857</v>
      </c>
      <c r="L17352" s="3">
        <v>1</v>
      </c>
      <c r="M17352" s="3">
        <v>553</v>
      </c>
    </row>
    <row r="17353" spans="1:13" x14ac:dyDescent="0.25">
      <c r="A17353" s="1" t="str">
        <f>HYPERLINK("http://www.rosaceae.org/Prunus/Prunus_persica/p.persica_gdr_reftransV1_0041258","p.persica_gdr_reftransV1_0041258")</f>
        <v>p.persica_gdr_reftransV1_0041258</v>
      </c>
      <c r="B17353" s="3">
        <v>2729</v>
      </c>
      <c r="C17353" s="1" t="str">
        <f>HYPERLINK("http://www.uniprot.org/uniprot/ARid2_ARATH","ARid2_ARATH")</f>
        <v>ARid2_ARATH</v>
      </c>
      <c r="D17353" t="s">
        <v>6986</v>
      </c>
      <c r="E17353" s="3" t="s">
        <v>3</v>
      </c>
      <c r="F17353" s="4">
        <v>1.12E-106</v>
      </c>
      <c r="G17353" s="3">
        <v>893</v>
      </c>
      <c r="H17353" s="3">
        <v>41</v>
      </c>
      <c r="I17353" s="3">
        <v>578</v>
      </c>
      <c r="J17353" s="3">
        <v>516</v>
      </c>
      <c r="K17353" s="3">
        <v>2180</v>
      </c>
      <c r="L17353" s="3">
        <v>30</v>
      </c>
      <c r="M17353" s="3">
        <v>572</v>
      </c>
    </row>
    <row r="17354" spans="1:13" x14ac:dyDescent="0.25">
      <c r="A17354" s="1" t="str">
        <f>HYPERLINK("http://www.rosaceae.org/Prunus/Prunus_persica/p.persica_gdr_reftransV1_0041508","p.persica_gdr_reftransV1_0041508")</f>
        <v>p.persica_gdr_reftransV1_0041508</v>
      </c>
      <c r="B17354" s="3">
        <v>751</v>
      </c>
      <c r="C17354" s="1" t="str">
        <f>HYPERLINK("http://www.uniprot.org/uniprot/PRB1_TOBAC","PRB1_TOBAC")</f>
        <v>PRB1_TOBAC</v>
      </c>
      <c r="D17354" t="s">
        <v>5722</v>
      </c>
      <c r="E17354" s="3" t="s">
        <v>200</v>
      </c>
      <c r="F17354" s="4">
        <v>5.83E-35</v>
      </c>
      <c r="G17354" s="3">
        <v>323</v>
      </c>
      <c r="H17354" s="3">
        <v>43</v>
      </c>
      <c r="I17354" s="3">
        <v>155</v>
      </c>
      <c r="J17354" s="3">
        <v>57</v>
      </c>
      <c r="K17354" s="3">
        <v>518</v>
      </c>
      <c r="L17354" s="3">
        <v>1</v>
      </c>
      <c r="M17354" s="3">
        <v>152</v>
      </c>
    </row>
    <row r="17355" spans="1:13" x14ac:dyDescent="0.25">
      <c r="A17355" s="1" t="str">
        <f>HYPERLINK("http://www.rosaceae.org/Prunus/Prunus_persica/p.persica_gdr_reftransV1_0041908","p.persica_gdr_reftransV1_0041908")</f>
        <v>p.persica_gdr_reftransV1_0041908</v>
      </c>
      <c r="B17355" s="3">
        <v>2323</v>
      </c>
      <c r="C17355" s="1" t="str">
        <f>HYPERLINK("http://www.uniprot.org/uniprot/YK50_YEAST","YK50_YEAST")</f>
        <v>YK50_YEAST</v>
      </c>
      <c r="D17355" t="s">
        <v>4791</v>
      </c>
      <c r="E17355" s="3" t="s">
        <v>34</v>
      </c>
      <c r="F17355" s="4">
        <v>5.0999999999999997E-14</v>
      </c>
      <c r="G17355" s="3">
        <v>187</v>
      </c>
      <c r="H17355" s="3">
        <v>30</v>
      </c>
      <c r="I17355" s="3">
        <v>165</v>
      </c>
      <c r="J17355" s="3">
        <v>1005</v>
      </c>
      <c r="K17355" s="3">
        <v>1481</v>
      </c>
      <c r="L17355" s="3">
        <v>77</v>
      </c>
      <c r="M17355" s="3">
        <v>231</v>
      </c>
    </row>
    <row r="17356" spans="1:13" x14ac:dyDescent="0.25">
      <c r="A17356" s="1" t="str">
        <f>HYPERLINK("http://www.rosaceae.org/Prunus/Prunus_persica/p.persica_gdr_reftransV1_0042008","p.persica_gdr_reftransV1_0042008")</f>
        <v>p.persica_gdr_reftransV1_0042008</v>
      </c>
      <c r="B17356" s="3">
        <v>2605</v>
      </c>
      <c r="C17356" s="1" t="str">
        <f>HYPERLINK("http://www.uniprot.org/uniprot/TFB1A_ARATH","TFB1A_ARATH")</f>
        <v>TFB1A_ARATH</v>
      </c>
      <c r="D17356" t="s">
        <v>10683</v>
      </c>
      <c r="E17356" s="3" t="s">
        <v>3</v>
      </c>
      <c r="F17356" s="4">
        <v>1.36E-148</v>
      </c>
      <c r="G17356" s="3">
        <v>1177</v>
      </c>
      <c r="H17356" s="3">
        <v>57</v>
      </c>
      <c r="I17356" s="3">
        <v>434</v>
      </c>
      <c r="J17356" s="3">
        <v>1005</v>
      </c>
      <c r="K17356" s="3">
        <v>2279</v>
      </c>
      <c r="L17356" s="3">
        <v>193</v>
      </c>
      <c r="M17356" s="3">
        <v>589</v>
      </c>
    </row>
    <row r="17357" spans="1:13" x14ac:dyDescent="0.25">
      <c r="A17357" s="1" t="str">
        <f>HYPERLINK("http://www.rosaceae.org/Prunus/Prunus_persica/p.persica_gdr_reftransV1_0042608","p.persica_gdr_reftransV1_0042608")</f>
        <v>p.persica_gdr_reftransV1_0042608</v>
      </c>
      <c r="B17357" s="3">
        <v>2139</v>
      </c>
      <c r="C17357" s="1" t="str">
        <f>HYPERLINK("http://www.uniprot.org/uniprot/MINE1_ARATH","MINE1_ARATH")</f>
        <v>MINE1_ARATH</v>
      </c>
      <c r="D17357" t="s">
        <v>3308</v>
      </c>
      <c r="E17357" s="3" t="s">
        <v>3</v>
      </c>
      <c r="F17357" s="4">
        <v>3.54E-67</v>
      </c>
      <c r="G17357" s="3">
        <v>577</v>
      </c>
      <c r="H17357" s="3">
        <v>65</v>
      </c>
      <c r="I17357" s="3">
        <v>197</v>
      </c>
      <c r="J17357" s="3">
        <v>1305</v>
      </c>
      <c r="K17357" s="3">
        <v>1886</v>
      </c>
      <c r="L17357" s="3">
        <v>35</v>
      </c>
      <c r="M17357" s="3">
        <v>229</v>
      </c>
    </row>
    <row r="17358" spans="1:13" x14ac:dyDescent="0.25">
      <c r="A17358" s="1" t="str">
        <f>HYPERLINK("http://www.rosaceae.org/Prunus/Prunus_persica/p.persica_gdr_reftransV1_0042858","p.persica_gdr_reftransV1_0042858")</f>
        <v>p.persica_gdr_reftransV1_0042858</v>
      </c>
      <c r="B17358" s="3">
        <v>1279</v>
      </c>
      <c r="C17358" s="1" t="str">
        <f>HYPERLINK("http://www.uniprot.org/uniprot/POLX_TOBAC","POLX_TOBAC")</f>
        <v>POLX_TOBAC</v>
      </c>
      <c r="D17358" t="s">
        <v>1253</v>
      </c>
      <c r="E17358" s="3" t="s">
        <v>200</v>
      </c>
      <c r="F17358" s="4">
        <v>6.5899999999999997E-79</v>
      </c>
      <c r="G17358" s="3">
        <v>506</v>
      </c>
      <c r="H17358" s="3">
        <v>39</v>
      </c>
      <c r="I17358" s="3">
        <v>267</v>
      </c>
      <c r="J17358" s="3">
        <v>446</v>
      </c>
      <c r="K17358" s="3">
        <v>1225</v>
      </c>
      <c r="L17358" s="3">
        <v>1063</v>
      </c>
      <c r="M17358" s="3">
        <v>1327</v>
      </c>
    </row>
    <row r="17359" spans="1:13" x14ac:dyDescent="0.25">
      <c r="A17359" s="1" t="str">
        <f>HYPERLINK("http://www.rosaceae.org/Prunus/Prunus_persica/p.persica_gdr_reftransV1_0043008","p.persica_gdr_reftransV1_0043008")</f>
        <v>p.persica_gdr_reftransV1_0043008</v>
      </c>
      <c r="B17359" s="3">
        <v>1609</v>
      </c>
      <c r="C17359" s="1" t="str">
        <f>HYPERLINK("http://www.uniprot.org/uniprot/JADE1_DANRE","JADE1_DANRE")</f>
        <v>JADE1_DANRE</v>
      </c>
      <c r="D17359" t="s">
        <v>8420</v>
      </c>
      <c r="E17359" s="3" t="s">
        <v>704</v>
      </c>
      <c r="F17359" s="4">
        <v>4.4199999999999998E-29</v>
      </c>
      <c r="G17359" s="3">
        <v>315</v>
      </c>
      <c r="H17359" s="3">
        <v>40</v>
      </c>
      <c r="I17359" s="3">
        <v>198</v>
      </c>
      <c r="J17359" s="3">
        <v>527</v>
      </c>
      <c r="K17359" s="3">
        <v>1105</v>
      </c>
      <c r="L17359" s="3">
        <v>197</v>
      </c>
      <c r="M17359" s="3">
        <v>384</v>
      </c>
    </row>
    <row r="17360" spans="1:13" x14ac:dyDescent="0.25">
      <c r="A17360" s="1" t="str">
        <f>HYPERLINK("http://www.rosaceae.org/Prunus/Prunus_persica/p.persica_gdr_reftransV1_0043058","p.persica_gdr_reftransV1_0043058")</f>
        <v>p.persica_gdr_reftransV1_0043058</v>
      </c>
      <c r="B17360" s="3">
        <v>2370</v>
      </c>
      <c r="C17360" s="1" t="str">
        <f>HYPERLINK("http://www.uniprot.org/uniprot/INVB_DAUCA","INVB_DAUCA")</f>
        <v>INVB_DAUCA</v>
      </c>
      <c r="D17360" t="s">
        <v>10684</v>
      </c>
      <c r="E17360" s="3" t="s">
        <v>32</v>
      </c>
      <c r="F17360" s="4">
        <v>0</v>
      </c>
      <c r="G17360" s="3">
        <v>2125</v>
      </c>
      <c r="H17360" s="3">
        <v>61</v>
      </c>
      <c r="I17360" s="3">
        <v>654</v>
      </c>
      <c r="J17360" s="3">
        <v>202</v>
      </c>
      <c r="K17360" s="3">
        <v>2109</v>
      </c>
      <c r="L17360" s="3">
        <v>14</v>
      </c>
      <c r="M17360" s="3">
        <v>661</v>
      </c>
    </row>
    <row r="17361" spans="1:13" x14ac:dyDescent="0.25">
      <c r="A17361" s="1" t="str">
        <f>HYPERLINK("http://www.rosaceae.org/Prunus/Prunus_persica/p.persica_gdr_reftransV1_0043108","p.persica_gdr_reftransV1_0043108")</f>
        <v>p.persica_gdr_reftransV1_0043108</v>
      </c>
      <c r="B17361" s="3">
        <v>2287</v>
      </c>
      <c r="C17361" s="1" t="str">
        <f>HYPERLINK("http://www.uniprot.org/uniprot/Y3148_ARATH","Y3148_ARATH")</f>
        <v>Y3148_ARATH</v>
      </c>
      <c r="D17361" t="s">
        <v>953</v>
      </c>
      <c r="E17361" s="3" t="s">
        <v>3</v>
      </c>
      <c r="F17361" s="4">
        <v>2.3300000000000001E-167</v>
      </c>
      <c r="G17361" s="3">
        <v>1330</v>
      </c>
      <c r="H17361" s="3">
        <v>65</v>
      </c>
      <c r="I17361" s="3">
        <v>382</v>
      </c>
      <c r="J17361" s="3">
        <v>274</v>
      </c>
      <c r="K17361" s="3">
        <v>1395</v>
      </c>
      <c r="L17361" s="3">
        <v>643</v>
      </c>
      <c r="M17361" s="3">
        <v>1020</v>
      </c>
    </row>
    <row r="17362" spans="1:13" x14ac:dyDescent="0.25">
      <c r="A17362" s="1" t="str">
        <f>HYPERLINK("http://www.rosaceae.org/Prunus/Prunus_persica/p.persica_gdr_reftransV1_0043158","p.persica_gdr_reftransV1_0043158")</f>
        <v>p.persica_gdr_reftransV1_0043158</v>
      </c>
      <c r="B17362" s="3">
        <v>1174</v>
      </c>
      <c r="C17362" s="1" t="str">
        <f>HYPERLINK("http://www.uniprot.org/uniprot/GG3_ARATH","GG3_ARATH")</f>
        <v>GG3_ARATH</v>
      </c>
      <c r="D17362" t="s">
        <v>10685</v>
      </c>
      <c r="E17362" s="3" t="s">
        <v>3</v>
      </c>
      <c r="F17362" s="4">
        <v>5.2699999999999998E-28</v>
      </c>
      <c r="G17362" s="3">
        <v>287</v>
      </c>
      <c r="H17362" s="3">
        <v>77</v>
      </c>
      <c r="I17362" s="3">
        <v>71</v>
      </c>
      <c r="J17362" s="3">
        <v>566</v>
      </c>
      <c r="K17362" s="3">
        <v>778</v>
      </c>
      <c r="L17362" s="3">
        <v>43</v>
      </c>
      <c r="M17362" s="3">
        <v>113</v>
      </c>
    </row>
    <row r="17363" spans="1:13" x14ac:dyDescent="0.25">
      <c r="A17363" s="1" t="str">
        <f>HYPERLINK("http://www.rosaceae.org/Prunus/Prunus_persica/p.persica_gdr_reftransV1_0043208","p.persica_gdr_reftransV1_0043208")</f>
        <v>p.persica_gdr_reftransV1_0043208</v>
      </c>
      <c r="B17363" s="3">
        <v>641</v>
      </c>
      <c r="C17363" s="1" t="str">
        <f>HYPERLINK("http://www.uniprot.org/uniprot/ACR4L_ARATH","ACR4L_ARATH")</f>
        <v>ACR4L_ARATH</v>
      </c>
      <c r="D17363" t="s">
        <v>2018</v>
      </c>
      <c r="E17363" s="3" t="s">
        <v>3</v>
      </c>
      <c r="F17363" s="4">
        <v>1.1799999999999999E-115</v>
      </c>
      <c r="G17363" s="3">
        <v>915</v>
      </c>
      <c r="H17363" s="3">
        <v>83</v>
      </c>
      <c r="I17363" s="3">
        <v>212</v>
      </c>
      <c r="J17363" s="3">
        <v>6</v>
      </c>
      <c r="K17363" s="3">
        <v>638</v>
      </c>
      <c r="L17363" s="3">
        <v>468</v>
      </c>
      <c r="M17363" s="3">
        <v>675</v>
      </c>
    </row>
    <row r="17364" spans="1:13" x14ac:dyDescent="0.25">
      <c r="A17364" s="1" t="str">
        <f>HYPERLINK("http://www.rosaceae.org/Prunus/Prunus_persica/p.persica_gdr_reftransV1_0043258","p.persica_gdr_reftransV1_0043258")</f>
        <v>p.persica_gdr_reftransV1_0043258</v>
      </c>
      <c r="B17364" s="3">
        <v>1355</v>
      </c>
      <c r="C17364" s="1" t="str">
        <f>HYPERLINK("http://www.uniprot.org/uniprot/NEP1_MOUSE","NEP1_MOUSE")</f>
        <v>NEP1_MOUSE</v>
      </c>
      <c r="D17364" t="s">
        <v>2581</v>
      </c>
      <c r="E17364" s="3" t="s">
        <v>157</v>
      </c>
      <c r="F17364" s="4">
        <v>4.1599999999999999E-48</v>
      </c>
      <c r="G17364" s="3">
        <v>432</v>
      </c>
      <c r="H17364" s="3">
        <v>41</v>
      </c>
      <c r="I17364" s="3">
        <v>209</v>
      </c>
      <c r="J17364" s="3">
        <v>298</v>
      </c>
      <c r="K17364" s="3">
        <v>924</v>
      </c>
      <c r="L17364" s="3">
        <v>40</v>
      </c>
      <c r="M17364" s="3">
        <v>244</v>
      </c>
    </row>
    <row r="17365" spans="1:13" x14ac:dyDescent="0.25">
      <c r="A17365" s="1" t="str">
        <f>HYPERLINK("http://www.rosaceae.org/Prunus/Prunus_persica/p.persica_gdr_reftransV1_0043308","p.persica_gdr_reftransV1_0043308")</f>
        <v>p.persica_gdr_reftransV1_0043308</v>
      </c>
      <c r="B17365" s="3">
        <v>1161</v>
      </c>
      <c r="C17365" s="1" t="str">
        <f>HYPERLINK("http://www.uniprot.org/uniprot/ZAT1_ARATH","ZAT1_ARATH")</f>
        <v>ZAT1_ARATH</v>
      </c>
      <c r="D17365" t="s">
        <v>10686</v>
      </c>
      <c r="E17365" s="3" t="s">
        <v>3</v>
      </c>
      <c r="F17365" s="4">
        <v>4.2699999999999997E-34</v>
      </c>
      <c r="G17365" s="3">
        <v>332</v>
      </c>
      <c r="H17365" s="3">
        <v>35</v>
      </c>
      <c r="I17365" s="3">
        <v>340</v>
      </c>
      <c r="J17365" s="3">
        <v>114</v>
      </c>
      <c r="K17365" s="3">
        <v>1091</v>
      </c>
      <c r="L17365" s="3">
        <v>3</v>
      </c>
      <c r="M17365" s="3">
        <v>263</v>
      </c>
    </row>
    <row r="17366" spans="1:13" x14ac:dyDescent="0.25">
      <c r="A17366" s="1" t="str">
        <f>HYPERLINK("http://www.rosaceae.org/Prunus/Prunus_persica/p.persica_gdr_reftransV1_0043358","p.persica_gdr_reftransV1_0043358")</f>
        <v>p.persica_gdr_reftransV1_0043358</v>
      </c>
      <c r="B17366" s="3">
        <v>2138</v>
      </c>
      <c r="C17366" s="1" t="str">
        <f>HYPERLINK("http://www.uniprot.org/uniprot/PFPB_RICCO","PFPB_RICCO")</f>
        <v>PFPB_RICCO</v>
      </c>
      <c r="D17366" t="s">
        <v>1519</v>
      </c>
      <c r="E17366" s="3" t="s">
        <v>421</v>
      </c>
      <c r="F17366" s="4">
        <v>0</v>
      </c>
      <c r="G17366" s="3">
        <v>2521</v>
      </c>
      <c r="H17366" s="3">
        <v>88</v>
      </c>
      <c r="I17366" s="3">
        <v>545</v>
      </c>
      <c r="J17366" s="3">
        <v>172</v>
      </c>
      <c r="K17366" s="3">
        <v>1806</v>
      </c>
      <c r="L17366" s="3">
        <v>8</v>
      </c>
      <c r="M17366" s="3">
        <v>552</v>
      </c>
    </row>
    <row r="17367" spans="1:13" x14ac:dyDescent="0.25">
      <c r="A17367" s="1" t="str">
        <f>HYPERLINK("http://www.rosaceae.org/Prunus/Prunus_persica/p.persica_gdr_reftransV1_0043408","p.persica_gdr_reftransV1_0043408")</f>
        <v>p.persica_gdr_reftransV1_0043408</v>
      </c>
      <c r="B17367" s="3">
        <v>350</v>
      </c>
      <c r="C17367" s="1" t="str">
        <f>HYPERLINK("http://www.uniprot.org/uniprot/RBOHC_SOLTU","RBOHC_SOLTU")</f>
        <v>RBOHC_SOLTU</v>
      </c>
      <c r="D17367" t="s">
        <v>2265</v>
      </c>
      <c r="E17367" s="3" t="s">
        <v>11</v>
      </c>
      <c r="F17367" s="4">
        <v>3.2400000000000002E-54</v>
      </c>
      <c r="G17367" s="3">
        <v>472</v>
      </c>
      <c r="H17367" s="3">
        <v>74</v>
      </c>
      <c r="I17367" s="3">
        <v>116</v>
      </c>
      <c r="J17367" s="3">
        <v>2</v>
      </c>
      <c r="K17367" s="3">
        <v>349</v>
      </c>
      <c r="L17367" s="3">
        <v>148</v>
      </c>
      <c r="M17367" s="3">
        <v>263</v>
      </c>
    </row>
    <row r="17368" spans="1:13" x14ac:dyDescent="0.25">
      <c r="A17368" s="1" t="str">
        <f>HYPERLINK("http://www.rosaceae.org/Prunus/Prunus_persica/p.persica_gdr_reftransV1_0043458","p.persica_gdr_reftransV1_0043458")</f>
        <v>p.persica_gdr_reftransV1_0043458</v>
      </c>
      <c r="B17368" s="3">
        <v>1594</v>
      </c>
      <c r="C17368" s="1" t="str">
        <f>HYPERLINK("http://www.uniprot.org/uniprot/BXL6_ARATH","BXL6_ARATH")</f>
        <v>BXL6_ARATH</v>
      </c>
      <c r="D17368" t="s">
        <v>3439</v>
      </c>
      <c r="E17368" s="3" t="s">
        <v>3</v>
      </c>
      <c r="F17368" s="4">
        <v>0</v>
      </c>
      <c r="G17368" s="3">
        <v>913</v>
      </c>
      <c r="H17368" s="3">
        <v>68</v>
      </c>
      <c r="I17368" s="3">
        <v>249</v>
      </c>
      <c r="J17368" s="3">
        <v>4</v>
      </c>
      <c r="K17368" s="3">
        <v>750</v>
      </c>
      <c r="L17368" s="3">
        <v>281</v>
      </c>
      <c r="M17368" s="3">
        <v>529</v>
      </c>
    </row>
    <row r="17369" spans="1:13" x14ac:dyDescent="0.25">
      <c r="A17369" s="1" t="str">
        <f>HYPERLINK("http://www.rosaceae.org/Prunus/Prunus_persica/p.persica_gdr_reftransV1_0043508","p.persica_gdr_reftransV1_0043508")</f>
        <v>p.persica_gdr_reftransV1_0043508</v>
      </c>
      <c r="B17369" s="3">
        <v>921</v>
      </c>
      <c r="C17369" s="1" t="str">
        <f>HYPERLINK("http://www.uniprot.org/uniprot/SAMC2_ARATH","SAMC2_ARATH")</f>
        <v>SAMC2_ARATH</v>
      </c>
      <c r="D17369" t="s">
        <v>8589</v>
      </c>
      <c r="E17369" s="3" t="s">
        <v>3</v>
      </c>
      <c r="F17369" s="4">
        <v>5.6200000000000001E-97</v>
      </c>
      <c r="G17369" s="3">
        <v>759</v>
      </c>
      <c r="H17369" s="3">
        <v>84</v>
      </c>
      <c r="I17369" s="3">
        <v>164</v>
      </c>
      <c r="J17369" s="3">
        <v>279</v>
      </c>
      <c r="K17369" s="3">
        <v>770</v>
      </c>
      <c r="L17369" s="3">
        <v>177</v>
      </c>
      <c r="M17369" s="3">
        <v>340</v>
      </c>
    </row>
    <row r="17370" spans="1:13" x14ac:dyDescent="0.25">
      <c r="A17370" s="1" t="str">
        <f>HYPERLINK("http://www.rosaceae.org/Prunus/Prunus_persica/p.persica_gdr_reftransV1_0043608","p.persica_gdr_reftransV1_0043608")</f>
        <v>p.persica_gdr_reftransV1_0043608</v>
      </c>
      <c r="B17370" s="3">
        <v>563</v>
      </c>
      <c r="C17370" s="1" t="str">
        <f>HYPERLINK("http://www.uniprot.org/uniprot/PROSC_DICDI","PROSC_DICDI")</f>
        <v>PROSC_DICDI</v>
      </c>
      <c r="D17370" t="s">
        <v>10687</v>
      </c>
      <c r="E17370" s="3" t="s">
        <v>9</v>
      </c>
      <c r="F17370" s="4">
        <v>8.3300000000000005E-26</v>
      </c>
      <c r="G17370" s="3">
        <v>260</v>
      </c>
      <c r="H17370" s="3">
        <v>50</v>
      </c>
      <c r="I17370" s="3">
        <v>101</v>
      </c>
      <c r="J17370" s="3">
        <v>126</v>
      </c>
      <c r="K17370" s="3">
        <v>422</v>
      </c>
      <c r="L17370" s="3">
        <v>15</v>
      </c>
      <c r="M17370" s="3">
        <v>112</v>
      </c>
    </row>
    <row r="17371" spans="1:13" x14ac:dyDescent="0.25">
      <c r="A17371" s="1" t="str">
        <f>HYPERLINK("http://www.rosaceae.org/Prunus/Prunus_persica/p.persica_gdr_reftransV1_0043658","p.persica_gdr_reftransV1_0043658")</f>
        <v>p.persica_gdr_reftransV1_0043658</v>
      </c>
      <c r="B17371" s="3">
        <v>1774</v>
      </c>
      <c r="C17371" s="1" t="str">
        <f>HYPERLINK("http://www.uniprot.org/uniprot/DRB3_ARATH","DRB3_ARATH")</f>
        <v>DRB3_ARATH</v>
      </c>
      <c r="D17371" t="s">
        <v>1675</v>
      </c>
      <c r="E17371" s="3" t="s">
        <v>3</v>
      </c>
      <c r="F17371" s="4">
        <v>1.9600000000000001E-97</v>
      </c>
      <c r="G17371" s="3">
        <v>789</v>
      </c>
      <c r="H17371" s="3">
        <v>79</v>
      </c>
      <c r="I17371" s="3">
        <v>184</v>
      </c>
      <c r="J17371" s="3">
        <v>1127</v>
      </c>
      <c r="K17371" s="3">
        <v>1678</v>
      </c>
      <c r="L17371" s="3">
        <v>1</v>
      </c>
      <c r="M17371" s="3">
        <v>183</v>
      </c>
    </row>
    <row r="17372" spans="1:13" x14ac:dyDescent="0.25">
      <c r="A17372" s="1" t="str">
        <f>HYPERLINK("http://www.rosaceae.org/Prunus/Prunus_persica/p.persica_gdr_reftransV1_0043708","p.persica_gdr_reftransV1_0043708")</f>
        <v>p.persica_gdr_reftransV1_0043708</v>
      </c>
      <c r="B17372" s="3">
        <v>1321</v>
      </c>
      <c r="C17372" s="1" t="str">
        <f>HYPERLINK("http://www.uniprot.org/uniprot/PIN8_ARATH","PIN8_ARATH")</f>
        <v>PIN8_ARATH</v>
      </c>
      <c r="D17372" t="s">
        <v>10688</v>
      </c>
      <c r="E17372" s="3" t="s">
        <v>3</v>
      </c>
      <c r="F17372" s="4">
        <v>1.59E-166</v>
      </c>
      <c r="G17372" s="3">
        <v>1234</v>
      </c>
      <c r="H17372" s="3">
        <v>73</v>
      </c>
      <c r="I17372" s="3">
        <v>361</v>
      </c>
      <c r="J17372" s="3">
        <v>213</v>
      </c>
      <c r="K17372" s="3">
        <v>1295</v>
      </c>
      <c r="L17372" s="3">
        <v>1</v>
      </c>
      <c r="M17372" s="3">
        <v>351</v>
      </c>
    </row>
    <row r="17373" spans="1:13" x14ac:dyDescent="0.25">
      <c r="A17373" s="1" t="str">
        <f>HYPERLINK("http://www.rosaceae.org/Prunus/Prunus_persica/p.persica_gdr_reftransV1_0043758","p.persica_gdr_reftransV1_0043758")</f>
        <v>p.persica_gdr_reftransV1_0043758</v>
      </c>
      <c r="B17373" s="3">
        <v>1781</v>
      </c>
      <c r="C17373" s="1" t="str">
        <f>HYPERLINK("http://www.uniprot.org/uniprot/KCS11_ARATH","KCS11_ARATH")</f>
        <v>KCS11_ARATH</v>
      </c>
      <c r="D17373" t="s">
        <v>6601</v>
      </c>
      <c r="E17373" s="3" t="s">
        <v>3</v>
      </c>
      <c r="F17373" s="4">
        <v>0</v>
      </c>
      <c r="G17373" s="3">
        <v>2190</v>
      </c>
      <c r="H17373" s="3">
        <v>83</v>
      </c>
      <c r="I17373" s="3">
        <v>493</v>
      </c>
      <c r="J17373" s="3">
        <v>270</v>
      </c>
      <c r="K17373" s="3">
        <v>1748</v>
      </c>
      <c r="L17373" s="3">
        <v>17</v>
      </c>
      <c r="M17373" s="3">
        <v>509</v>
      </c>
    </row>
    <row r="17374" spans="1:13" x14ac:dyDescent="0.25">
      <c r="A17374" s="1" t="str">
        <f>HYPERLINK("http://www.rosaceae.org/Prunus/Prunus_persica/p.persica_gdr_reftransV1_0043808","p.persica_gdr_reftransV1_0043808")</f>
        <v>p.persica_gdr_reftransV1_0043808</v>
      </c>
      <c r="B17374" s="3">
        <v>1404</v>
      </c>
      <c r="C17374" s="1" t="str">
        <f>HYPERLINK("http://www.uniprot.org/uniprot/XTH32_ARATH","XTH32_ARATH")</f>
        <v>XTH32_ARATH</v>
      </c>
      <c r="D17374" t="s">
        <v>7989</v>
      </c>
      <c r="E17374" s="3" t="s">
        <v>3</v>
      </c>
      <c r="F17374" s="4">
        <v>1.7E-177</v>
      </c>
      <c r="G17374" s="3">
        <v>1304</v>
      </c>
      <c r="H17374" s="3">
        <v>85</v>
      </c>
      <c r="I17374" s="3">
        <v>277</v>
      </c>
      <c r="J17374" s="3">
        <v>440</v>
      </c>
      <c r="K17374" s="3">
        <v>1270</v>
      </c>
      <c r="L17374" s="3">
        <v>23</v>
      </c>
      <c r="M17374" s="3">
        <v>299</v>
      </c>
    </row>
    <row r="17375" spans="1:13" x14ac:dyDescent="0.25">
      <c r="A17375" s="1" t="str">
        <f>HYPERLINK("http://www.rosaceae.org/Prunus/Prunus_persica/p.persica_gdr_reftransV1_0043858","p.persica_gdr_reftransV1_0043858")</f>
        <v>p.persica_gdr_reftransV1_0043858</v>
      </c>
      <c r="B17375" s="3">
        <v>2026</v>
      </c>
      <c r="C17375" s="1" t="str">
        <f>HYPERLINK("http://www.uniprot.org/uniprot/ATG4_MEDTR","ATG4_MEDTR")</f>
        <v>ATG4_MEDTR</v>
      </c>
      <c r="D17375" t="s">
        <v>1998</v>
      </c>
      <c r="E17375" s="3" t="s">
        <v>91</v>
      </c>
      <c r="F17375" s="4">
        <v>0</v>
      </c>
      <c r="G17375" s="3">
        <v>1517</v>
      </c>
      <c r="H17375" s="3">
        <v>69</v>
      </c>
      <c r="I17375" s="3">
        <v>489</v>
      </c>
      <c r="J17375" s="3">
        <v>330</v>
      </c>
      <c r="K17375" s="3">
        <v>1793</v>
      </c>
      <c r="L17375" s="3">
        <v>2</v>
      </c>
      <c r="M17375" s="3">
        <v>487</v>
      </c>
    </row>
    <row r="17376" spans="1:13" x14ac:dyDescent="0.25">
      <c r="A17376" s="1" t="str">
        <f>HYPERLINK("http://www.rosaceae.org/Prunus/Prunus_persica/p.persica_gdr_reftransV1_0043958","p.persica_gdr_reftransV1_0043958")</f>
        <v>p.persica_gdr_reftransV1_0043958</v>
      </c>
      <c r="B17376" s="3">
        <v>2132</v>
      </c>
      <c r="C17376" s="1" t="str">
        <f>HYPERLINK("http://www.uniprot.org/uniprot/MPPB_ARATH","MPPB_ARATH")</f>
        <v>MPPB_ARATH</v>
      </c>
      <c r="D17376" t="s">
        <v>10689</v>
      </c>
      <c r="E17376" s="3" t="s">
        <v>3</v>
      </c>
      <c r="F17376" s="4">
        <v>0</v>
      </c>
      <c r="G17376" s="3">
        <v>2019</v>
      </c>
      <c r="H17376" s="3">
        <v>79</v>
      </c>
      <c r="I17376" s="3">
        <v>480</v>
      </c>
      <c r="J17376" s="3">
        <v>411</v>
      </c>
      <c r="K17376" s="3">
        <v>1850</v>
      </c>
      <c r="L17376" s="3">
        <v>52</v>
      </c>
      <c r="M17376" s="3">
        <v>531</v>
      </c>
    </row>
    <row r="17377" spans="1:13" x14ac:dyDescent="0.25">
      <c r="A17377" s="1" t="str">
        <f>HYPERLINK("http://www.rosaceae.org/Prunus/Prunus_persica/p.persica_gdr_reftransV1_0044008","p.persica_gdr_reftransV1_0044008")</f>
        <v>p.persica_gdr_reftransV1_0044008</v>
      </c>
      <c r="B17377" s="3">
        <v>319</v>
      </c>
      <c r="C17377" s="1" t="str">
        <f>HYPERLINK("http://www.uniprot.org/uniprot/SRS2L_ARATH","SRS2L_ARATH")</f>
        <v>SRS2L_ARATH</v>
      </c>
      <c r="D17377" t="s">
        <v>1474</v>
      </c>
      <c r="E17377" s="3" t="s">
        <v>3</v>
      </c>
      <c r="F17377" s="4">
        <v>9.84E-49</v>
      </c>
      <c r="G17377" s="3">
        <v>433</v>
      </c>
      <c r="H17377" s="3">
        <v>78</v>
      </c>
      <c r="I17377" s="3">
        <v>101</v>
      </c>
      <c r="J17377" s="3">
        <v>1</v>
      </c>
      <c r="K17377" s="3">
        <v>303</v>
      </c>
      <c r="L17377" s="3">
        <v>705</v>
      </c>
      <c r="M17377" s="3">
        <v>805</v>
      </c>
    </row>
    <row r="17378" spans="1:13" x14ac:dyDescent="0.25">
      <c r="A17378" s="1" t="str">
        <f>HYPERLINK("http://www.rosaceae.org/Prunus/Prunus_persica/p.persica_gdr_reftransV1_0044058","p.persica_gdr_reftransV1_0044058")</f>
        <v>p.persica_gdr_reftransV1_0044058</v>
      </c>
      <c r="B17378" s="3">
        <v>1250</v>
      </c>
      <c r="C17378" s="1" t="str">
        <f>HYPERLINK("http://www.uniprot.org/uniprot/SPT_ARATH","SPT_ARATH")</f>
        <v>SPT_ARATH</v>
      </c>
      <c r="D17378" t="s">
        <v>55</v>
      </c>
      <c r="E17378" s="3" t="s">
        <v>3</v>
      </c>
      <c r="F17378" s="4">
        <v>1.8099999999999999E-53</v>
      </c>
      <c r="G17378" s="3">
        <v>477</v>
      </c>
      <c r="H17378" s="3">
        <v>56</v>
      </c>
      <c r="I17378" s="3">
        <v>219</v>
      </c>
      <c r="J17378" s="3">
        <v>73</v>
      </c>
      <c r="K17378" s="3">
        <v>720</v>
      </c>
      <c r="L17378" s="3">
        <v>160</v>
      </c>
      <c r="M17378" s="3">
        <v>354</v>
      </c>
    </row>
    <row r="17379" spans="1:13" x14ac:dyDescent="0.25">
      <c r="A17379" s="1" t="str">
        <f>HYPERLINK("http://www.rosaceae.org/Prunus/Prunus_persica/p.persica_gdr_reftransV1_0044158","p.persica_gdr_reftransV1_0044158")</f>
        <v>p.persica_gdr_reftransV1_0044158</v>
      </c>
      <c r="B17379" s="3">
        <v>1415</v>
      </c>
      <c r="C17379" s="1" t="str">
        <f>HYPERLINK("http://www.uniprot.org/uniprot/Y1869_ARATH","Y1869_ARATH")</f>
        <v>Y1869_ARATH</v>
      </c>
      <c r="D17379" t="s">
        <v>3938</v>
      </c>
      <c r="E17379" s="3" t="s">
        <v>3</v>
      </c>
      <c r="F17379" s="4">
        <v>1.3999999999999999E-90</v>
      </c>
      <c r="G17379" s="3">
        <v>730</v>
      </c>
      <c r="H17379" s="3">
        <v>58</v>
      </c>
      <c r="I17379" s="3">
        <v>309</v>
      </c>
      <c r="J17379" s="3">
        <v>167</v>
      </c>
      <c r="K17379" s="3">
        <v>1087</v>
      </c>
      <c r="L17379" s="3">
        <v>34</v>
      </c>
      <c r="M17379" s="3">
        <v>323</v>
      </c>
    </row>
    <row r="17380" spans="1:13" x14ac:dyDescent="0.25">
      <c r="A17380" s="1" t="str">
        <f>HYPERLINK("http://www.rosaceae.org/Prunus/Prunus_persica/p.persica_gdr_reftransV1_0044208","p.persica_gdr_reftransV1_0044208")</f>
        <v>p.persica_gdr_reftransV1_0044208</v>
      </c>
      <c r="B17380" s="3">
        <v>784</v>
      </c>
      <c r="C17380" s="1" t="str">
        <f>HYPERLINK("http://www.uniprot.org/uniprot/TBL26_ARATH","TBL26_ARATH")</f>
        <v>TBL26_ARATH</v>
      </c>
      <c r="D17380" t="s">
        <v>9722</v>
      </c>
      <c r="E17380" s="3" t="s">
        <v>3</v>
      </c>
      <c r="F17380" s="4">
        <v>5.1700000000000002E-54</v>
      </c>
      <c r="G17380" s="3">
        <v>472</v>
      </c>
      <c r="H17380" s="3">
        <v>61</v>
      </c>
      <c r="I17380" s="3">
        <v>157</v>
      </c>
      <c r="J17380" s="3">
        <v>309</v>
      </c>
      <c r="K17380" s="3">
        <v>776</v>
      </c>
      <c r="L17380" s="3">
        <v>279</v>
      </c>
      <c r="M17380" s="3">
        <v>435</v>
      </c>
    </row>
    <row r="17381" spans="1:13" x14ac:dyDescent="0.25">
      <c r="A17381" s="1" t="str">
        <f>HYPERLINK("http://www.rosaceae.org/Prunus/Prunus_persica/p.persica_gdr_reftransV1_0044308","p.persica_gdr_reftransV1_0044308")</f>
        <v>p.persica_gdr_reftransV1_0044308</v>
      </c>
      <c r="B17381" s="3">
        <v>569</v>
      </c>
      <c r="C17381" s="1" t="str">
        <f>HYPERLINK("http://www.uniprot.org/uniprot/ADAT1_HUMAN","ADAT1_HUMAN")</f>
        <v>ADAT1_HUMAN</v>
      </c>
      <c r="D17381" t="s">
        <v>10690</v>
      </c>
      <c r="E17381" s="3" t="s">
        <v>28</v>
      </c>
      <c r="F17381" s="4">
        <v>1.0400000000000001E-18</v>
      </c>
      <c r="G17381" s="3">
        <v>215</v>
      </c>
      <c r="H17381" s="3">
        <v>37</v>
      </c>
      <c r="I17381" s="3">
        <v>147</v>
      </c>
      <c r="J17381" s="3">
        <v>68</v>
      </c>
      <c r="K17381" s="3">
        <v>466</v>
      </c>
      <c r="L17381" s="3">
        <v>20</v>
      </c>
      <c r="M17381" s="3">
        <v>146</v>
      </c>
    </row>
    <row r="17382" spans="1:13" x14ac:dyDescent="0.25">
      <c r="A17382" s="1" t="str">
        <f>HYPERLINK("http://www.rosaceae.org/Prunus/Prunus_persica/p.persica_gdr_reftransV1_0044358","p.persica_gdr_reftransV1_0044358")</f>
        <v>p.persica_gdr_reftransV1_0044358</v>
      </c>
      <c r="B17382" s="3">
        <v>1810</v>
      </c>
      <c r="C17382" s="1" t="str">
        <f>HYPERLINK("http://www.uniprot.org/uniprot/NMT1_ARATH","NMT1_ARATH")</f>
        <v>NMT1_ARATH</v>
      </c>
      <c r="D17382" t="s">
        <v>936</v>
      </c>
      <c r="E17382" s="3" t="s">
        <v>3</v>
      </c>
      <c r="F17382" s="4">
        <v>0</v>
      </c>
      <c r="G17382" s="3">
        <v>1995</v>
      </c>
      <c r="H17382" s="3">
        <v>86</v>
      </c>
      <c r="I17382" s="3">
        <v>423</v>
      </c>
      <c r="J17382" s="3">
        <v>279</v>
      </c>
      <c r="K17382" s="3">
        <v>1544</v>
      </c>
      <c r="L17382" s="3">
        <v>6</v>
      </c>
      <c r="M17382" s="3">
        <v>428</v>
      </c>
    </row>
    <row r="17383" spans="1:13" x14ac:dyDescent="0.25">
      <c r="A17383" s="1" t="str">
        <f>HYPERLINK("http://www.rosaceae.org/Prunus/Prunus_persica/p.persica_gdr_reftransV1_0044458","p.persica_gdr_reftransV1_0044458")</f>
        <v>p.persica_gdr_reftransV1_0044458</v>
      </c>
      <c r="B17383" s="3">
        <v>1432</v>
      </c>
      <c r="C17383" s="1" t="str">
        <f>HYPERLINK("http://www.uniprot.org/uniprot/RM21_ARATH","RM21_ARATH")</f>
        <v>RM21_ARATH</v>
      </c>
      <c r="D17383" t="s">
        <v>5026</v>
      </c>
      <c r="E17383" s="3" t="s">
        <v>3</v>
      </c>
      <c r="F17383" s="4">
        <v>7.2399999999999997E-50</v>
      </c>
      <c r="G17383" s="3">
        <v>448</v>
      </c>
      <c r="H17383" s="3">
        <v>83</v>
      </c>
      <c r="I17383" s="3">
        <v>126</v>
      </c>
      <c r="J17383" s="3">
        <v>533</v>
      </c>
      <c r="K17383" s="3">
        <v>910</v>
      </c>
      <c r="L17383" s="3">
        <v>119</v>
      </c>
      <c r="M17383" s="3">
        <v>244</v>
      </c>
    </row>
    <row r="17384" spans="1:13" x14ac:dyDescent="0.25">
      <c r="A17384" s="1" t="str">
        <f>HYPERLINK("http://www.rosaceae.org/Prunus/Prunus_persica/p.persica_gdr_reftransV1_0044508","p.persica_gdr_reftransV1_0044508")</f>
        <v>p.persica_gdr_reftransV1_0044508</v>
      </c>
      <c r="B17384" s="3">
        <v>2341</v>
      </c>
      <c r="C17384" s="1" t="str">
        <f>HYPERLINK("http://www.uniprot.org/uniprot/TPX2_ARATH","TPX2_ARATH")</f>
        <v>TPX2_ARATH</v>
      </c>
      <c r="D17384" t="s">
        <v>6836</v>
      </c>
      <c r="E17384" s="3" t="s">
        <v>3</v>
      </c>
      <c r="F17384" s="4">
        <v>1.01E-35</v>
      </c>
      <c r="G17384" s="3">
        <v>375</v>
      </c>
      <c r="H17384" s="3">
        <v>38</v>
      </c>
      <c r="I17384" s="3">
        <v>317</v>
      </c>
      <c r="J17384" s="3">
        <v>659</v>
      </c>
      <c r="K17384" s="3">
        <v>1444</v>
      </c>
      <c r="L17384" s="3">
        <v>199</v>
      </c>
      <c r="M17384" s="3">
        <v>511</v>
      </c>
    </row>
    <row r="17385" spans="1:13" x14ac:dyDescent="0.25">
      <c r="A17385" s="1" t="str">
        <f>HYPERLINK("http://www.rosaceae.org/Prunus/Prunus_persica/p.persica_gdr_reftransV1_0044558","p.persica_gdr_reftransV1_0044558")</f>
        <v>p.persica_gdr_reftransV1_0044558</v>
      </c>
      <c r="B17385" s="3">
        <v>821</v>
      </c>
      <c r="C17385" s="1" t="str">
        <f>HYPERLINK("http://www.uniprot.org/uniprot/Y3028_ARATH","Y3028_ARATH")</f>
        <v>Y3028_ARATH</v>
      </c>
      <c r="D17385" t="s">
        <v>919</v>
      </c>
      <c r="E17385" s="3" t="s">
        <v>3</v>
      </c>
      <c r="F17385" s="4">
        <v>3.7E-45</v>
      </c>
      <c r="G17385" s="3">
        <v>412</v>
      </c>
      <c r="H17385" s="3">
        <v>42</v>
      </c>
      <c r="I17385" s="3">
        <v>213</v>
      </c>
      <c r="J17385" s="3">
        <v>40</v>
      </c>
      <c r="K17385" s="3">
        <v>672</v>
      </c>
      <c r="L17385" s="3">
        <v>232</v>
      </c>
      <c r="M17385" s="3">
        <v>443</v>
      </c>
    </row>
    <row r="17386" spans="1:13" x14ac:dyDescent="0.25">
      <c r="A17386" s="1" t="str">
        <f>HYPERLINK("http://www.rosaceae.org/Prunus/Prunus_persica/p.persica_gdr_reftransV1_0044608","p.persica_gdr_reftransV1_0044608")</f>
        <v>p.persica_gdr_reftransV1_0044608</v>
      </c>
      <c r="B17386" s="3">
        <v>404</v>
      </c>
      <c r="C17386" s="1" t="str">
        <f>HYPERLINK("http://www.uniprot.org/uniprot/PP311_ARATH","PP311_ARATH")</f>
        <v>PP311_ARATH</v>
      </c>
      <c r="D17386" t="s">
        <v>4246</v>
      </c>
      <c r="E17386" s="3" t="s">
        <v>3</v>
      </c>
      <c r="F17386" s="4">
        <v>3.8199999999999999E-52</v>
      </c>
      <c r="G17386" s="3">
        <v>455</v>
      </c>
      <c r="H17386" s="3">
        <v>61</v>
      </c>
      <c r="I17386" s="3">
        <v>134</v>
      </c>
      <c r="J17386" s="3">
        <v>2</v>
      </c>
      <c r="K17386" s="3">
        <v>403</v>
      </c>
      <c r="L17386" s="3">
        <v>289</v>
      </c>
      <c r="M17386" s="3">
        <v>422</v>
      </c>
    </row>
    <row r="17387" spans="1:13" x14ac:dyDescent="0.25">
      <c r="A17387" s="1" t="str">
        <f>HYPERLINK("http://www.rosaceae.org/Prunus/Prunus_persica/p.persica_gdr_reftransV1_0044658","p.persica_gdr_reftransV1_0044658")</f>
        <v>p.persica_gdr_reftransV1_0044658</v>
      </c>
      <c r="B17387" s="3">
        <v>421</v>
      </c>
      <c r="C17387" s="1" t="str">
        <f>HYPERLINK("http://www.uniprot.org/uniprot/RLM1A_ARATH","RLM1A_ARATH")</f>
        <v>RLM1A_ARATH</v>
      </c>
      <c r="D17387" t="s">
        <v>4662</v>
      </c>
      <c r="E17387" s="3" t="s">
        <v>3</v>
      </c>
      <c r="F17387" s="4">
        <v>2.2599999999999999E-18</v>
      </c>
      <c r="G17387" s="3">
        <v>211</v>
      </c>
      <c r="H17387" s="3">
        <v>38</v>
      </c>
      <c r="I17387" s="3">
        <v>134</v>
      </c>
      <c r="J17387" s="3">
        <v>19</v>
      </c>
      <c r="K17387" s="3">
        <v>420</v>
      </c>
      <c r="L17387" s="3">
        <v>257</v>
      </c>
      <c r="M17387" s="3">
        <v>385</v>
      </c>
    </row>
    <row r="17388" spans="1:13" x14ac:dyDescent="0.25">
      <c r="A17388" s="1" t="str">
        <f>HYPERLINK("http://www.rosaceae.org/Prunus/Prunus_persica/p.persica_gdr_reftransV1_0044758","p.persica_gdr_reftransV1_0044758")</f>
        <v>p.persica_gdr_reftransV1_0044758</v>
      </c>
      <c r="B17388" s="3">
        <v>3938</v>
      </c>
      <c r="C17388" s="1" t="str">
        <f>HYPERLINK("http://www.uniprot.org/uniprot/GWD1_CITRE","GWD1_CITRE")</f>
        <v>GWD1_CITRE</v>
      </c>
      <c r="D17388" t="s">
        <v>4807</v>
      </c>
      <c r="E17388" s="3" t="s">
        <v>4808</v>
      </c>
      <c r="F17388" s="4">
        <v>0</v>
      </c>
      <c r="G17388" s="3">
        <v>4946</v>
      </c>
      <c r="H17388" s="3">
        <v>78</v>
      </c>
      <c r="I17388" s="3">
        <v>1262</v>
      </c>
      <c r="J17388" s="3">
        <v>11</v>
      </c>
      <c r="K17388" s="3">
        <v>3778</v>
      </c>
      <c r="L17388" s="3">
        <v>220</v>
      </c>
      <c r="M17388" s="3">
        <v>1475</v>
      </c>
    </row>
    <row r="17389" spans="1:13" x14ac:dyDescent="0.25">
      <c r="A17389" s="1" t="str">
        <f>HYPERLINK("http://www.rosaceae.org/Prunus/Prunus_persica/p.persica_gdr_reftransV1_0044908","p.persica_gdr_reftransV1_0044908")</f>
        <v>p.persica_gdr_reftransV1_0044908</v>
      </c>
      <c r="B17389" s="3">
        <v>2784</v>
      </c>
      <c r="C17389" s="1" t="str">
        <f>HYPERLINK("http://www.uniprot.org/uniprot/NOC3L_DANRE","NOC3L_DANRE")</f>
        <v>NOC3L_DANRE</v>
      </c>
      <c r="D17389" t="s">
        <v>10691</v>
      </c>
      <c r="E17389" s="3" t="s">
        <v>704</v>
      </c>
      <c r="F17389" s="4">
        <v>1.54E-63</v>
      </c>
      <c r="G17389" s="3">
        <v>596</v>
      </c>
      <c r="H17389" s="3">
        <v>30</v>
      </c>
      <c r="I17389" s="3">
        <v>616</v>
      </c>
      <c r="J17389" s="3">
        <v>532</v>
      </c>
      <c r="K17389" s="3">
        <v>2268</v>
      </c>
      <c r="L17389" s="3">
        <v>189</v>
      </c>
      <c r="M17389" s="3">
        <v>749</v>
      </c>
    </row>
    <row r="17390" spans="1:13" x14ac:dyDescent="0.25">
      <c r="A17390" s="1" t="str">
        <f>HYPERLINK("http://www.rosaceae.org/Prunus/Prunus_persica/p.persica_gdr_reftransV1_0045308","p.persica_gdr_reftransV1_0045308")</f>
        <v>p.persica_gdr_reftransV1_0045308</v>
      </c>
      <c r="B17390" s="3">
        <v>1380</v>
      </c>
      <c r="C17390" s="1" t="str">
        <f>HYPERLINK("http://www.uniprot.org/uniprot/CY11_SOLTU","CY11_SOLTU")</f>
        <v>CY11_SOLTU</v>
      </c>
      <c r="D17390" t="s">
        <v>10692</v>
      </c>
      <c r="E17390" s="3" t="s">
        <v>11</v>
      </c>
      <c r="F17390" s="4">
        <v>2.7899999999999999E-166</v>
      </c>
      <c r="G17390" s="3">
        <v>1231</v>
      </c>
      <c r="H17390" s="3">
        <v>87</v>
      </c>
      <c r="I17390" s="3">
        <v>306</v>
      </c>
      <c r="J17390" s="3">
        <v>200</v>
      </c>
      <c r="K17390" s="3">
        <v>1111</v>
      </c>
      <c r="L17390" s="3">
        <v>15</v>
      </c>
      <c r="M17390" s="3">
        <v>320</v>
      </c>
    </row>
    <row r="17391" spans="1:13" x14ac:dyDescent="0.25">
      <c r="A17391" s="1" t="str">
        <f>HYPERLINK("http://www.rosaceae.org/Prunus/Prunus_persica/p.persica_gdr_reftransV1_0045358","p.persica_gdr_reftransV1_0045358")</f>
        <v>p.persica_gdr_reftransV1_0045358</v>
      </c>
      <c r="B17391" s="3">
        <v>1528</v>
      </c>
      <c r="C17391" s="1" t="str">
        <f>HYPERLINK("http://www.uniprot.org/uniprot/U87A1_ARATH","U87A1_ARATH")</f>
        <v>U87A1_ARATH</v>
      </c>
      <c r="D17391" t="s">
        <v>2427</v>
      </c>
      <c r="E17391" s="3" t="s">
        <v>3</v>
      </c>
      <c r="F17391" s="4">
        <v>1.97E-176</v>
      </c>
      <c r="G17391" s="3">
        <v>1315</v>
      </c>
      <c r="H17391" s="3">
        <v>57</v>
      </c>
      <c r="I17391" s="3">
        <v>453</v>
      </c>
      <c r="J17391" s="3">
        <v>8</v>
      </c>
      <c r="K17391" s="3">
        <v>1360</v>
      </c>
      <c r="L17391" s="3">
        <v>1</v>
      </c>
      <c r="M17391" s="3">
        <v>438</v>
      </c>
    </row>
    <row r="17392" spans="1:13" x14ac:dyDescent="0.25">
      <c r="A17392" s="1" t="str">
        <f>HYPERLINK("http://www.rosaceae.org/Prunus/Prunus_persica/p.persica_gdr_reftransV1_0045408","p.persica_gdr_reftransV1_0045408")</f>
        <v>p.persica_gdr_reftransV1_0045408</v>
      </c>
      <c r="B17392" s="3">
        <v>2709</v>
      </c>
      <c r="C17392" s="1" t="str">
        <f>HYPERLINK("http://www.uniprot.org/uniprot/Y4265_ARATH","Y4265_ARATH")</f>
        <v>Y4265_ARATH</v>
      </c>
      <c r="D17392" t="s">
        <v>1089</v>
      </c>
      <c r="E17392" s="3" t="s">
        <v>3</v>
      </c>
      <c r="F17392" s="4">
        <v>0</v>
      </c>
      <c r="G17392" s="3">
        <v>1858</v>
      </c>
      <c r="H17392" s="3">
        <v>54</v>
      </c>
      <c r="I17392" s="3">
        <v>791</v>
      </c>
      <c r="J17392" s="3">
        <v>1</v>
      </c>
      <c r="K17392" s="3">
        <v>2358</v>
      </c>
      <c r="L17392" s="3">
        <v>276</v>
      </c>
      <c r="M17392" s="3">
        <v>1043</v>
      </c>
    </row>
    <row r="17393" spans="1:13" x14ac:dyDescent="0.25">
      <c r="A17393" s="1" t="str">
        <f>HYPERLINK("http://www.rosaceae.org/Prunus/Prunus_persica/p.persica_gdr_reftransV1_0045458","p.persica_gdr_reftransV1_0045458")</f>
        <v>p.persica_gdr_reftransV1_0045458</v>
      </c>
      <c r="B17393" s="3">
        <v>948</v>
      </c>
      <c r="C17393" s="1" t="str">
        <f>HYPERLINK("http://www.uniprot.org/uniprot/CB22_PEA","CB22_PEA")</f>
        <v>CB22_PEA</v>
      </c>
      <c r="D17393" t="s">
        <v>10693</v>
      </c>
      <c r="E17393" s="3" t="s">
        <v>60</v>
      </c>
      <c r="F17393" s="4">
        <v>2.2399999999999999E-142</v>
      </c>
      <c r="G17393" s="3">
        <v>1053</v>
      </c>
      <c r="H17393" s="3">
        <v>97</v>
      </c>
      <c r="I17393" s="3">
        <v>204</v>
      </c>
      <c r="J17393" s="3">
        <v>335</v>
      </c>
      <c r="K17393" s="3">
        <v>946</v>
      </c>
      <c r="L17393" s="3">
        <v>66</v>
      </c>
      <c r="M17393" s="3">
        <v>269</v>
      </c>
    </row>
    <row r="17394" spans="1:13" x14ac:dyDescent="0.25">
      <c r="A17394" s="1" t="str">
        <f>HYPERLINK("http://www.rosaceae.org/Prunus/Prunus_persica/p.persica_gdr_reftransV1_0045508","p.persica_gdr_reftransV1_0045508")</f>
        <v>p.persica_gdr_reftransV1_0045508</v>
      </c>
      <c r="B17394" s="3">
        <v>555</v>
      </c>
      <c r="C17394" s="1" t="str">
        <f>HYPERLINK("http://www.uniprot.org/uniprot/PIP13_ARATH","PIP13_ARATH")</f>
        <v>PIP13_ARATH</v>
      </c>
      <c r="D17394" t="s">
        <v>10694</v>
      </c>
      <c r="E17394" s="3" t="s">
        <v>3</v>
      </c>
      <c r="F17394" s="4">
        <v>6.6199999999999997E-44</v>
      </c>
      <c r="G17394" s="3">
        <v>386</v>
      </c>
      <c r="H17394" s="3">
        <v>94</v>
      </c>
      <c r="I17394" s="3">
        <v>78</v>
      </c>
      <c r="J17394" s="3">
        <v>145</v>
      </c>
      <c r="K17394" s="3">
        <v>378</v>
      </c>
      <c r="L17394" s="3">
        <v>209</v>
      </c>
      <c r="M17394" s="3">
        <v>286</v>
      </c>
    </row>
    <row r="17395" spans="1:13" x14ac:dyDescent="0.25">
      <c r="A17395" s="1" t="str">
        <f>HYPERLINK("http://www.rosaceae.org/Prunus/Prunus_persica/p.persica_gdr_reftransV1_0045558","p.persica_gdr_reftransV1_0045558")</f>
        <v>p.persica_gdr_reftransV1_0045558</v>
      </c>
      <c r="B17395" s="3">
        <v>1572</v>
      </c>
      <c r="C17395" s="1" t="str">
        <f>HYPERLINK("http://www.uniprot.org/uniprot/P2C10_ARATH","P2C10_ARATH")</f>
        <v>P2C10_ARATH</v>
      </c>
      <c r="D17395" t="s">
        <v>2945</v>
      </c>
      <c r="E17395" s="3" t="s">
        <v>3</v>
      </c>
      <c r="F17395" s="4">
        <v>4.6900000000000003E-154</v>
      </c>
      <c r="G17395" s="3">
        <v>1153</v>
      </c>
      <c r="H17395" s="3">
        <v>79</v>
      </c>
      <c r="I17395" s="3">
        <v>282</v>
      </c>
      <c r="J17395" s="3">
        <v>228</v>
      </c>
      <c r="K17395" s="3">
        <v>1070</v>
      </c>
      <c r="L17395" s="3">
        <v>1</v>
      </c>
      <c r="M17395" s="3">
        <v>282</v>
      </c>
    </row>
    <row r="17396" spans="1:13" x14ac:dyDescent="0.25">
      <c r="A17396" s="1" t="str">
        <f>HYPERLINK("http://www.rosaceae.org/Prunus/Prunus_persica/p.persica_gdr_reftransV1_0045658","p.persica_gdr_reftransV1_0045658")</f>
        <v>p.persica_gdr_reftransV1_0045658</v>
      </c>
      <c r="B17396" s="3">
        <v>3453</v>
      </c>
      <c r="C17396" s="1" t="str">
        <f>HYPERLINK("http://www.uniprot.org/uniprot/RFC1_ARATH","RFC1_ARATH")</f>
        <v>RFC1_ARATH</v>
      </c>
      <c r="D17396" t="s">
        <v>1295</v>
      </c>
      <c r="E17396" s="3" t="s">
        <v>3</v>
      </c>
      <c r="F17396" s="4">
        <v>0</v>
      </c>
      <c r="G17396" s="3">
        <v>2885</v>
      </c>
      <c r="H17396" s="3">
        <v>67</v>
      </c>
      <c r="I17396" s="3">
        <v>952</v>
      </c>
      <c r="J17396" s="3">
        <v>272</v>
      </c>
      <c r="K17396" s="3">
        <v>3094</v>
      </c>
      <c r="L17396" s="3">
        <v>2</v>
      </c>
      <c r="M17396" s="3">
        <v>925</v>
      </c>
    </row>
    <row r="17397" spans="1:13" x14ac:dyDescent="0.25">
      <c r="A17397" s="1" t="str">
        <f>HYPERLINK("http://www.rosaceae.org/Prunus/Prunus_persica/p.persica_gdr_reftransV1_0045758","p.persica_gdr_reftransV1_0045758")</f>
        <v>p.persica_gdr_reftransV1_0045758</v>
      </c>
      <c r="B17397" s="3">
        <v>866</v>
      </c>
      <c r="C17397" s="1" t="str">
        <f>HYPERLINK("http://www.uniprot.org/uniprot/RR13_ARATH","RR13_ARATH")</f>
        <v>RR13_ARATH</v>
      </c>
      <c r="D17397" t="s">
        <v>8459</v>
      </c>
      <c r="E17397" s="3" t="s">
        <v>3</v>
      </c>
      <c r="F17397" s="4">
        <v>7.7900000000000002E-79</v>
      </c>
      <c r="G17397" s="3">
        <v>620</v>
      </c>
      <c r="H17397" s="3">
        <v>77</v>
      </c>
      <c r="I17397" s="3">
        <v>155</v>
      </c>
      <c r="J17397" s="3">
        <v>264</v>
      </c>
      <c r="K17397" s="3">
        <v>722</v>
      </c>
      <c r="L17397" s="3">
        <v>1</v>
      </c>
      <c r="M17397" s="3">
        <v>154</v>
      </c>
    </row>
    <row r="17398" spans="1:13" x14ac:dyDescent="0.25">
      <c r="A17398" s="1" t="str">
        <f>HYPERLINK("http://www.rosaceae.org/Prunus/Prunus_persica/p.persica_gdr_reftransV1_0045808","p.persica_gdr_reftransV1_0045808")</f>
        <v>p.persica_gdr_reftransV1_0045808</v>
      </c>
      <c r="B17398" s="3">
        <v>1395</v>
      </c>
      <c r="C17398" s="1" t="str">
        <f>HYPERLINK("http://www.uniprot.org/uniprot/TLPH_ARATH","TLPH_ARATH")</f>
        <v>TLPH_ARATH</v>
      </c>
      <c r="D17398" t="s">
        <v>790</v>
      </c>
      <c r="E17398" s="3" t="s">
        <v>3</v>
      </c>
      <c r="F17398" s="4">
        <v>2.6699999999999999E-129</v>
      </c>
      <c r="G17398" s="3">
        <v>979</v>
      </c>
      <c r="H17398" s="3">
        <v>80</v>
      </c>
      <c r="I17398" s="3">
        <v>222</v>
      </c>
      <c r="J17398" s="3">
        <v>465</v>
      </c>
      <c r="K17398" s="3">
        <v>1130</v>
      </c>
      <c r="L17398" s="3">
        <v>18</v>
      </c>
      <c r="M17398" s="3">
        <v>239</v>
      </c>
    </row>
    <row r="17399" spans="1:13" x14ac:dyDescent="0.25">
      <c r="A17399" s="1" t="str">
        <f>HYPERLINK("http://www.rosaceae.org/Prunus/Prunus_persica/p.persica_gdr_reftransV1_0046108","p.persica_gdr_reftransV1_0046108")</f>
        <v>p.persica_gdr_reftransV1_0046108</v>
      </c>
      <c r="B17399" s="3">
        <v>851</v>
      </c>
      <c r="C17399" s="1" t="str">
        <f>HYPERLINK("http://www.uniprot.org/uniprot/RS193_ARATH","RS193_ARATH")</f>
        <v>RS193_ARATH</v>
      </c>
      <c r="D17399" t="s">
        <v>6913</v>
      </c>
      <c r="E17399" s="3" t="s">
        <v>3</v>
      </c>
      <c r="F17399" s="4">
        <v>4.3099999999999999E-89</v>
      </c>
      <c r="G17399" s="3">
        <v>685</v>
      </c>
      <c r="H17399" s="3">
        <v>88</v>
      </c>
      <c r="I17399" s="3">
        <v>143</v>
      </c>
      <c r="J17399" s="3">
        <v>124</v>
      </c>
      <c r="K17399" s="3">
        <v>552</v>
      </c>
      <c r="L17399" s="3">
        <v>1</v>
      </c>
      <c r="M17399" s="3">
        <v>143</v>
      </c>
    </row>
    <row r="17400" spans="1:13" x14ac:dyDescent="0.25">
      <c r="A17400" s="1" t="str">
        <f>HYPERLINK("http://www.rosaceae.org/Prunus/Prunus_persica/p.persica_gdr_reftransV1_0046158","p.persica_gdr_reftransV1_0046158")</f>
        <v>p.persica_gdr_reftransV1_0046158</v>
      </c>
      <c r="B17400" s="3">
        <v>642</v>
      </c>
      <c r="C17400" s="1" t="str">
        <f>HYPERLINK("http://www.uniprot.org/uniprot/SC61A_DICDI","SC61A_DICDI")</f>
        <v>SC61A_DICDI</v>
      </c>
      <c r="D17400" t="s">
        <v>1717</v>
      </c>
      <c r="E17400" s="3" t="s">
        <v>9</v>
      </c>
      <c r="F17400" s="4">
        <v>5.5699999999999997E-68</v>
      </c>
      <c r="G17400" s="3">
        <v>565</v>
      </c>
      <c r="H17400" s="3">
        <v>76</v>
      </c>
      <c r="I17400" s="3">
        <v>134</v>
      </c>
      <c r="J17400" s="3">
        <v>233</v>
      </c>
      <c r="K17400" s="3">
        <v>634</v>
      </c>
      <c r="L17400" s="3">
        <v>331</v>
      </c>
      <c r="M17400" s="3">
        <v>464</v>
      </c>
    </row>
    <row r="17401" spans="1:13" x14ac:dyDescent="0.25">
      <c r="A17401" s="1" t="str">
        <f>HYPERLINK("http://www.rosaceae.org/Prunus/Prunus_persica/p.persica_gdr_reftransV1_0046208","p.persica_gdr_reftransV1_0046208")</f>
        <v>p.persica_gdr_reftransV1_0046208</v>
      </c>
      <c r="B17401" s="3">
        <v>549</v>
      </c>
      <c r="C17401" s="1" t="str">
        <f>HYPERLINK("http://www.uniprot.org/uniprot/NUD11_ARATH","NUD11_ARATH")</f>
        <v>NUD11_ARATH</v>
      </c>
      <c r="D17401" t="s">
        <v>10695</v>
      </c>
      <c r="E17401" s="3" t="s">
        <v>3</v>
      </c>
      <c r="F17401" s="4">
        <v>4.5000000000000001E-56</v>
      </c>
      <c r="G17401" s="3">
        <v>463</v>
      </c>
      <c r="H17401" s="3">
        <v>65</v>
      </c>
      <c r="I17401" s="3">
        <v>137</v>
      </c>
      <c r="J17401" s="3">
        <v>39</v>
      </c>
      <c r="K17401" s="3">
        <v>443</v>
      </c>
      <c r="L17401" s="3">
        <v>83</v>
      </c>
      <c r="M17401" s="3">
        <v>219</v>
      </c>
    </row>
    <row r="17402" spans="1:13" x14ac:dyDescent="0.25">
      <c r="A17402" s="1" t="str">
        <f>HYPERLINK("http://www.rosaceae.org/Prunus/Prunus_persica/p.persica_gdr_reftransV1_0046358","p.persica_gdr_reftransV1_0046358")</f>
        <v>p.persica_gdr_reftransV1_0046358</v>
      </c>
      <c r="B17402" s="3">
        <v>2504</v>
      </c>
      <c r="C17402" s="1" t="str">
        <f>HYPERLINK("http://www.uniprot.org/uniprot/CHR19_ARATH","CHR19_ARATH")</f>
        <v>CHR19_ARATH</v>
      </c>
      <c r="D17402" t="s">
        <v>5898</v>
      </c>
      <c r="E17402" s="3" t="s">
        <v>3</v>
      </c>
      <c r="F17402" s="4">
        <v>0</v>
      </c>
      <c r="G17402" s="3">
        <v>2779</v>
      </c>
      <c r="H17402" s="3">
        <v>82</v>
      </c>
      <c r="I17402" s="3">
        <v>611</v>
      </c>
      <c r="J17402" s="3">
        <v>347</v>
      </c>
      <c r="K17402" s="3">
        <v>2179</v>
      </c>
      <c r="L17402" s="3">
        <v>154</v>
      </c>
      <c r="M17402" s="3">
        <v>763</v>
      </c>
    </row>
    <row r="17403" spans="1:13" x14ac:dyDescent="0.25">
      <c r="A17403" s="1" t="str">
        <f>HYPERLINK("http://www.rosaceae.org/Prunus/Prunus_persica/p.persica_gdr_reftransV1_0046408","p.persica_gdr_reftransV1_0046408")</f>
        <v>p.persica_gdr_reftransV1_0046408</v>
      </c>
      <c r="B17403" s="3">
        <v>3312</v>
      </c>
      <c r="C17403" s="1" t="str">
        <f>HYPERLINK("http://www.uniprot.org/uniprot/AKH1_ARATH","AKH1_ARATH")</f>
        <v>AKH1_ARATH</v>
      </c>
      <c r="D17403" t="s">
        <v>3067</v>
      </c>
      <c r="E17403" s="3" t="s">
        <v>3</v>
      </c>
      <c r="F17403" s="4">
        <v>0</v>
      </c>
      <c r="G17403" s="3">
        <v>3725</v>
      </c>
      <c r="H17403" s="3">
        <v>81</v>
      </c>
      <c r="I17403" s="3">
        <v>860</v>
      </c>
      <c r="J17403" s="3">
        <v>323</v>
      </c>
      <c r="K17403" s="3">
        <v>2902</v>
      </c>
      <c r="L17403" s="3">
        <v>52</v>
      </c>
      <c r="M17403" s="3">
        <v>911</v>
      </c>
    </row>
    <row r="17404" spans="1:13" x14ac:dyDescent="0.25">
      <c r="A17404" s="1" t="str">
        <f>HYPERLINK("http://www.rosaceae.org/Prunus/Prunus_persica/p.persica_gdr_reftransV1_0046558","p.persica_gdr_reftransV1_0046558")</f>
        <v>p.persica_gdr_reftransV1_0046558</v>
      </c>
      <c r="B17404" s="3">
        <v>433</v>
      </c>
      <c r="C17404" s="1" t="str">
        <f>HYPERLINK("http://www.uniprot.org/uniprot/IAMT1_ARATH","IAMT1_ARATH")</f>
        <v>IAMT1_ARATH</v>
      </c>
      <c r="D17404" t="s">
        <v>1065</v>
      </c>
      <c r="E17404" s="3" t="s">
        <v>3</v>
      </c>
      <c r="F17404" s="4">
        <v>2.5700000000000001E-39</v>
      </c>
      <c r="G17404" s="3">
        <v>356</v>
      </c>
      <c r="H17404" s="3">
        <v>54</v>
      </c>
      <c r="I17404" s="3">
        <v>151</v>
      </c>
      <c r="J17404" s="3">
        <v>2</v>
      </c>
      <c r="K17404" s="3">
        <v>433</v>
      </c>
      <c r="L17404" s="3">
        <v>132</v>
      </c>
      <c r="M17404" s="3">
        <v>277</v>
      </c>
    </row>
    <row r="17405" spans="1:13" x14ac:dyDescent="0.25">
      <c r="A17405" s="1" t="str">
        <f>HYPERLINK("http://www.rosaceae.org/Prunus/Prunus_persica/p.persica_gdr_reftransV1_0046608","p.persica_gdr_reftransV1_0046608")</f>
        <v>p.persica_gdr_reftransV1_0046608</v>
      </c>
      <c r="B17405" s="3">
        <v>300</v>
      </c>
      <c r="C17405" s="1" t="str">
        <f>HYPERLINK("http://www.uniprot.org/uniprot/GPDL2_ARATH","GPDL2_ARATH")</f>
        <v>GPDL2_ARATH</v>
      </c>
      <c r="D17405" t="s">
        <v>3941</v>
      </c>
      <c r="E17405" s="3" t="s">
        <v>3</v>
      </c>
      <c r="F17405" s="4">
        <v>1.7400000000000001E-12</v>
      </c>
      <c r="G17405" s="3">
        <v>163</v>
      </c>
      <c r="H17405" s="3">
        <v>39</v>
      </c>
      <c r="I17405" s="3">
        <v>93</v>
      </c>
      <c r="J17405" s="3">
        <v>19</v>
      </c>
      <c r="K17405" s="3">
        <v>291</v>
      </c>
      <c r="L17405" s="3">
        <v>1016</v>
      </c>
      <c r="M17405" s="3">
        <v>1106</v>
      </c>
    </row>
    <row r="17406" spans="1:13" x14ac:dyDescent="0.25">
      <c r="A17406" s="1" t="str">
        <f>HYPERLINK("http://www.rosaceae.org/Prunus/Prunus_persica/p.persica_gdr_reftransV1_0046658","p.persica_gdr_reftransV1_0046658")</f>
        <v>p.persica_gdr_reftransV1_0046658</v>
      </c>
      <c r="B17406" s="3">
        <v>1036</v>
      </c>
      <c r="C17406" s="1" t="str">
        <f>HYPERLINK("http://www.uniprot.org/uniprot/NAT6_ARATH","NAT6_ARATH")</f>
        <v>NAT6_ARATH</v>
      </c>
      <c r="D17406" t="s">
        <v>7923</v>
      </c>
      <c r="E17406" s="3" t="s">
        <v>3</v>
      </c>
      <c r="F17406" s="4">
        <v>2.4099999999999999E-166</v>
      </c>
      <c r="G17406" s="3">
        <v>1240</v>
      </c>
      <c r="H17406" s="3">
        <v>85</v>
      </c>
      <c r="I17406" s="3">
        <v>272</v>
      </c>
      <c r="J17406" s="3">
        <v>1</v>
      </c>
      <c r="K17406" s="3">
        <v>816</v>
      </c>
      <c r="L17406" s="3">
        <v>261</v>
      </c>
      <c r="M17406" s="3">
        <v>532</v>
      </c>
    </row>
    <row r="17407" spans="1:13" x14ac:dyDescent="0.25">
      <c r="A17407" s="1" t="str">
        <f>HYPERLINK("http://www.rosaceae.org/Prunus/Prunus_persica/p.persica_gdr_reftransV1_0046708","p.persica_gdr_reftransV1_0046708")</f>
        <v>p.persica_gdr_reftransV1_0046708</v>
      </c>
      <c r="B17407" s="3">
        <v>1715</v>
      </c>
      <c r="C17407" s="1" t="str">
        <f>HYPERLINK("http://www.uniprot.org/uniprot/WSD1_ARATH","WSD1_ARATH")</f>
        <v>WSD1_ARATH</v>
      </c>
      <c r="D17407" t="s">
        <v>84</v>
      </c>
      <c r="E17407" s="3" t="s">
        <v>3</v>
      </c>
      <c r="F17407" s="4">
        <v>1.11E-49</v>
      </c>
      <c r="G17407" s="3">
        <v>395</v>
      </c>
      <c r="H17407" s="3">
        <v>33</v>
      </c>
      <c r="I17407" s="3">
        <v>285</v>
      </c>
      <c r="J17407" s="3">
        <v>267</v>
      </c>
      <c r="K17407" s="3">
        <v>1088</v>
      </c>
      <c r="L17407" s="3">
        <v>193</v>
      </c>
      <c r="M17407" s="3">
        <v>470</v>
      </c>
    </row>
    <row r="17408" spans="1:13" x14ac:dyDescent="0.25">
      <c r="A17408" s="1" t="str">
        <f>HYPERLINK("http://www.rosaceae.org/Prunus/Prunus_persica/p.persica_gdr_reftransV1_0046808","p.persica_gdr_reftransV1_0046808")</f>
        <v>p.persica_gdr_reftransV1_0046808</v>
      </c>
      <c r="B17408" s="3">
        <v>3418</v>
      </c>
      <c r="C17408" s="1" t="str">
        <f>HYPERLINK("http://www.uniprot.org/uniprot/C3H31_ARATH","C3H31_ARATH")</f>
        <v>C3H31_ARATH</v>
      </c>
      <c r="D17408" t="s">
        <v>8841</v>
      </c>
      <c r="E17408" s="3" t="s">
        <v>3</v>
      </c>
      <c r="F17408" s="4">
        <v>0</v>
      </c>
      <c r="G17408" s="3">
        <v>2334</v>
      </c>
      <c r="H17408" s="3">
        <v>68</v>
      </c>
      <c r="I17408" s="3">
        <v>688</v>
      </c>
      <c r="J17408" s="3">
        <v>139</v>
      </c>
      <c r="K17408" s="3">
        <v>2202</v>
      </c>
      <c r="L17408" s="3">
        <v>22</v>
      </c>
      <c r="M17408" s="3">
        <v>703</v>
      </c>
    </row>
    <row r="17409" spans="1:13" x14ac:dyDescent="0.25">
      <c r="A17409" s="1" t="str">
        <f>HYPERLINK("http://www.rosaceae.org/Prunus/Prunus_persica/p.persica_gdr_reftransV1_0046958","p.persica_gdr_reftransV1_0046958")</f>
        <v>p.persica_gdr_reftransV1_0046958</v>
      </c>
      <c r="B17409" s="3">
        <v>1089</v>
      </c>
      <c r="C17409" s="1" t="str">
        <f>HYPERLINK("http://www.uniprot.org/uniprot/AOG_PHAAN","AOG_PHAAN")</f>
        <v>AOG_PHAAN</v>
      </c>
      <c r="D17409" t="s">
        <v>10696</v>
      </c>
      <c r="E17409" s="3" t="s">
        <v>4879</v>
      </c>
      <c r="F17409" s="4">
        <v>1.5299999999999999E-109</v>
      </c>
      <c r="G17409" s="3">
        <v>860</v>
      </c>
      <c r="H17409" s="3">
        <v>48</v>
      </c>
      <c r="I17409" s="3">
        <v>344</v>
      </c>
      <c r="J17409" s="3">
        <v>55</v>
      </c>
      <c r="K17409" s="3">
        <v>1086</v>
      </c>
      <c r="L17409" s="3">
        <v>137</v>
      </c>
      <c r="M17409" s="3">
        <v>478</v>
      </c>
    </row>
    <row r="17410" spans="1:13" x14ac:dyDescent="0.25">
      <c r="A17410" s="1" t="str">
        <f>HYPERLINK("http://www.rosaceae.org/Prunus/Prunus_persica/p.persica_gdr_reftransV1_0047008","p.persica_gdr_reftransV1_0047008")</f>
        <v>p.persica_gdr_reftransV1_0047008</v>
      </c>
      <c r="B17410" s="3">
        <v>1810</v>
      </c>
      <c r="C17410" s="1" t="str">
        <f>HYPERLINK("http://www.uniprot.org/uniprot/C98A2_SOYBN","C98A2_SOYBN")</f>
        <v>C98A2_SOYBN</v>
      </c>
      <c r="D17410" t="s">
        <v>10591</v>
      </c>
      <c r="E17410" s="3" t="s">
        <v>307</v>
      </c>
      <c r="F17410" s="4">
        <v>0</v>
      </c>
      <c r="G17410" s="3">
        <v>2220</v>
      </c>
      <c r="H17410" s="3">
        <v>84</v>
      </c>
      <c r="I17410" s="3">
        <v>493</v>
      </c>
      <c r="J17410" s="3">
        <v>117</v>
      </c>
      <c r="K17410" s="3">
        <v>1595</v>
      </c>
      <c r="L17410" s="3">
        <v>17</v>
      </c>
      <c r="M17410" s="3">
        <v>509</v>
      </c>
    </row>
    <row r="17411" spans="1:13" x14ac:dyDescent="0.25">
      <c r="A17411" s="1" t="str">
        <f>HYPERLINK("http://www.rosaceae.org/Prunus/Prunus_persica/p.persica_gdr_reftransV1_0047058","p.persica_gdr_reftransV1_0047058")</f>
        <v>p.persica_gdr_reftransV1_0047058</v>
      </c>
      <c r="B17411" s="3">
        <v>2281</v>
      </c>
      <c r="C17411" s="1" t="str">
        <f>HYPERLINK("http://www.uniprot.org/uniprot/RPD1_ARATH","RPD1_ARATH")</f>
        <v>RPD1_ARATH</v>
      </c>
      <c r="D17411" t="s">
        <v>1883</v>
      </c>
      <c r="E17411" s="3" t="s">
        <v>3</v>
      </c>
      <c r="F17411" s="4">
        <v>1.06E-31</v>
      </c>
      <c r="G17411" s="3">
        <v>332</v>
      </c>
      <c r="H17411" s="3">
        <v>30</v>
      </c>
      <c r="I17411" s="3">
        <v>342</v>
      </c>
      <c r="J17411" s="3">
        <v>232</v>
      </c>
      <c r="K17411" s="3">
        <v>1164</v>
      </c>
      <c r="L17411" s="3">
        <v>53</v>
      </c>
      <c r="M17411" s="3">
        <v>382</v>
      </c>
    </row>
    <row r="17412" spans="1:13" x14ac:dyDescent="0.25">
      <c r="A17412" s="1" t="str">
        <f>HYPERLINK("http://www.rosaceae.org/Prunus/Prunus_persica/p.persica_gdr_reftransV1_0047108","p.persica_gdr_reftransV1_0047108")</f>
        <v>p.persica_gdr_reftransV1_0047108</v>
      </c>
      <c r="B17412" s="3">
        <v>1332</v>
      </c>
      <c r="C17412" s="1" t="str">
        <f>HYPERLINK("http://www.uniprot.org/uniprot/F6H2_ARATH","F6H2_ARATH")</f>
        <v>F6H2_ARATH</v>
      </c>
      <c r="D17412" t="s">
        <v>10565</v>
      </c>
      <c r="E17412" s="3" t="s">
        <v>3</v>
      </c>
      <c r="F17412" s="4">
        <v>1.1099999999999999E-57</v>
      </c>
      <c r="G17412" s="3">
        <v>507</v>
      </c>
      <c r="H17412" s="3">
        <v>35</v>
      </c>
      <c r="I17412" s="3">
        <v>323</v>
      </c>
      <c r="J17412" s="3">
        <v>135</v>
      </c>
      <c r="K17412" s="3">
        <v>1082</v>
      </c>
      <c r="L17412" s="3">
        <v>60</v>
      </c>
      <c r="M17412" s="3">
        <v>354</v>
      </c>
    </row>
    <row r="17413" spans="1:13" x14ac:dyDescent="0.25">
      <c r="A17413" s="1" t="str">
        <f>HYPERLINK("http://www.rosaceae.org/Prunus/Prunus_persica/p.persica_gdr_reftransV1_0047158","p.persica_gdr_reftransV1_0047158")</f>
        <v>p.persica_gdr_reftransV1_0047158</v>
      </c>
      <c r="B17413" s="3">
        <v>360</v>
      </c>
      <c r="C17413" s="1" t="str">
        <f>HYPERLINK("http://www.uniprot.org/uniprot/MYBC_MAIZE","MYBC_MAIZE")</f>
        <v>MYBC_MAIZE</v>
      </c>
      <c r="D17413" t="s">
        <v>2070</v>
      </c>
      <c r="E17413" s="3" t="s">
        <v>72</v>
      </c>
      <c r="F17413" s="4">
        <v>1.7900000000000001E-50</v>
      </c>
      <c r="G17413" s="3">
        <v>423</v>
      </c>
      <c r="H17413" s="3">
        <v>76</v>
      </c>
      <c r="I17413" s="3">
        <v>99</v>
      </c>
      <c r="J17413" s="3">
        <v>3</v>
      </c>
      <c r="K17413" s="3">
        <v>299</v>
      </c>
      <c r="L17413" s="3">
        <v>1</v>
      </c>
      <c r="M17413" s="3">
        <v>99</v>
      </c>
    </row>
    <row r="17414" spans="1:13" x14ac:dyDescent="0.25">
      <c r="A17414" s="1" t="str">
        <f>HYPERLINK("http://www.rosaceae.org/Prunus/Prunus_persica/p.persica_gdr_reftransV1_0047258","p.persica_gdr_reftransV1_0047258")</f>
        <v>p.persica_gdr_reftransV1_0047258</v>
      </c>
      <c r="B17414" s="3">
        <v>1844</v>
      </c>
      <c r="C17414" s="1" t="str">
        <f>HYPERLINK("http://www.uniprot.org/uniprot/C3H40_ORYSJ","C3H40_ORYSJ")</f>
        <v>C3H40_ORYSJ</v>
      </c>
      <c r="D17414" t="s">
        <v>10697</v>
      </c>
      <c r="E17414" s="3" t="s">
        <v>38</v>
      </c>
      <c r="F17414" s="4">
        <v>0</v>
      </c>
      <c r="G17414" s="3">
        <v>1694</v>
      </c>
      <c r="H17414" s="3">
        <v>82</v>
      </c>
      <c r="I17414" s="3">
        <v>388</v>
      </c>
      <c r="J17414" s="3">
        <v>45</v>
      </c>
      <c r="K17414" s="3">
        <v>1175</v>
      </c>
      <c r="L17414" s="3">
        <v>1</v>
      </c>
      <c r="M17414" s="3">
        <v>385</v>
      </c>
    </row>
    <row r="17415" spans="1:13" x14ac:dyDescent="0.25">
      <c r="A17415" s="1" t="str">
        <f>HYPERLINK("http://www.rosaceae.org/Prunus/Prunus_persica/p.persica_gdr_reftransV1_0047408","p.persica_gdr_reftransV1_0047408")</f>
        <v>p.persica_gdr_reftransV1_0047408</v>
      </c>
      <c r="B17415" s="3">
        <v>2796</v>
      </c>
      <c r="C17415" s="1" t="str">
        <f>HYPERLINK("http://www.uniprot.org/uniprot/Y1670_ARATH","Y1670_ARATH")</f>
        <v>Y1670_ARATH</v>
      </c>
      <c r="D17415" t="s">
        <v>3135</v>
      </c>
      <c r="E17415" s="3" t="s">
        <v>3</v>
      </c>
      <c r="F17415" s="4">
        <v>2.7200000000000001E-139</v>
      </c>
      <c r="G17415" s="3">
        <v>1144</v>
      </c>
      <c r="H17415" s="3">
        <v>43</v>
      </c>
      <c r="I17415" s="3">
        <v>632</v>
      </c>
      <c r="J17415" s="3">
        <v>625</v>
      </c>
      <c r="K17415" s="3">
        <v>2442</v>
      </c>
      <c r="L17415" s="3">
        <v>250</v>
      </c>
      <c r="M17415" s="3">
        <v>854</v>
      </c>
    </row>
    <row r="17416" spans="1:13" x14ac:dyDescent="0.25">
      <c r="A17416" s="1" t="str">
        <f>HYPERLINK("http://www.rosaceae.org/Prunus/Prunus_persica/p.persica_gdr_reftransV1_0047508","p.persica_gdr_reftransV1_0047508")</f>
        <v>p.persica_gdr_reftransV1_0047508</v>
      </c>
      <c r="B17416" s="3">
        <v>664</v>
      </c>
      <c r="C17416" s="1" t="str">
        <f>HYPERLINK("http://www.uniprot.org/uniprot/SEOB_ARATH","SEOB_ARATH")</f>
        <v>SEOB_ARATH</v>
      </c>
      <c r="D17416" t="s">
        <v>4149</v>
      </c>
      <c r="E17416" s="3" t="s">
        <v>3</v>
      </c>
      <c r="F17416" s="4">
        <v>1.39E-8</v>
      </c>
      <c r="G17416" s="3">
        <v>138</v>
      </c>
      <c r="H17416" s="3">
        <v>27</v>
      </c>
      <c r="I17416" s="3">
        <v>150</v>
      </c>
      <c r="J17416" s="3">
        <v>6</v>
      </c>
      <c r="K17416" s="3">
        <v>446</v>
      </c>
      <c r="L17416" s="3">
        <v>34</v>
      </c>
      <c r="M17416" s="3">
        <v>164</v>
      </c>
    </row>
    <row r="17417" spans="1:13" x14ac:dyDescent="0.25">
      <c r="A17417" s="1" t="str">
        <f>HYPERLINK("http://www.rosaceae.org/Prunus/Prunus_persica/p.persica_gdr_reftransV1_0047558","p.persica_gdr_reftransV1_0047558")</f>
        <v>p.persica_gdr_reftransV1_0047558</v>
      </c>
      <c r="B17417" s="3">
        <v>446</v>
      </c>
      <c r="C17417" s="1" t="str">
        <f>HYPERLINK("http://www.uniprot.org/uniprot/PER9_ARATH","PER9_ARATH")</f>
        <v>PER9_ARATH</v>
      </c>
      <c r="D17417" t="s">
        <v>2736</v>
      </c>
      <c r="E17417" s="3" t="s">
        <v>3</v>
      </c>
      <c r="F17417" s="4">
        <v>7.7900000000000006E-48</v>
      </c>
      <c r="G17417" s="3">
        <v>413</v>
      </c>
      <c r="H17417" s="3">
        <v>71</v>
      </c>
      <c r="I17417" s="3">
        <v>128</v>
      </c>
      <c r="J17417" s="3">
        <v>62</v>
      </c>
      <c r="K17417" s="3">
        <v>445</v>
      </c>
      <c r="L17417" s="3">
        <v>227</v>
      </c>
      <c r="M17417" s="3">
        <v>346</v>
      </c>
    </row>
    <row r="17418" spans="1:13" x14ac:dyDescent="0.25">
      <c r="A17418" s="1" t="str">
        <f>HYPERLINK("http://www.rosaceae.org/Prunus/Prunus_persica/p.persica_gdr_reftransV1_0047608","p.persica_gdr_reftransV1_0047608")</f>
        <v>p.persica_gdr_reftransV1_0047608</v>
      </c>
      <c r="B17418" s="3">
        <v>1005</v>
      </c>
      <c r="C17418" s="1" t="str">
        <f>HYPERLINK("http://www.uniprot.org/uniprot/LBD39_ARATH","LBD39_ARATH")</f>
        <v>LBD39_ARATH</v>
      </c>
      <c r="D17418" t="s">
        <v>5240</v>
      </c>
      <c r="E17418" s="3" t="s">
        <v>3</v>
      </c>
      <c r="F17418" s="4">
        <v>6.8300000000000001E-60</v>
      </c>
      <c r="G17418" s="3">
        <v>504</v>
      </c>
      <c r="H17418" s="3">
        <v>76</v>
      </c>
      <c r="I17418" s="3">
        <v>127</v>
      </c>
      <c r="J17418" s="3">
        <v>413</v>
      </c>
      <c r="K17418" s="3">
        <v>790</v>
      </c>
      <c r="L17418" s="3">
        <v>1</v>
      </c>
      <c r="M17418" s="3">
        <v>127</v>
      </c>
    </row>
    <row r="17419" spans="1:13" x14ac:dyDescent="0.25">
      <c r="A17419" s="1" t="str">
        <f>HYPERLINK("http://www.rosaceae.org/Prunus/Prunus_persica/p.persica_gdr_reftransV1_0047658","p.persica_gdr_reftransV1_0047658")</f>
        <v>p.persica_gdr_reftransV1_0047658</v>
      </c>
      <c r="B17419" s="3">
        <v>418</v>
      </c>
      <c r="C17419" s="1" t="str">
        <f>HYPERLINK("http://www.uniprot.org/uniprot/PPR80_ARATH","PPR80_ARATH")</f>
        <v>PPR80_ARATH</v>
      </c>
      <c r="D17419" t="s">
        <v>4559</v>
      </c>
      <c r="E17419" s="3" t="s">
        <v>3</v>
      </c>
      <c r="F17419" s="4">
        <v>1.4999999999999999E-38</v>
      </c>
      <c r="G17419" s="3">
        <v>358</v>
      </c>
      <c r="H17419" s="3">
        <v>60</v>
      </c>
      <c r="I17419" s="3">
        <v>139</v>
      </c>
      <c r="J17419" s="3">
        <v>1</v>
      </c>
      <c r="K17419" s="3">
        <v>417</v>
      </c>
      <c r="L17419" s="3">
        <v>422</v>
      </c>
      <c r="M17419" s="3">
        <v>560</v>
      </c>
    </row>
    <row r="17420" spans="1:13" x14ac:dyDescent="0.25">
      <c r="A17420" s="1" t="str">
        <f>HYPERLINK("http://www.rosaceae.org/Prunus/Prunus_persica/p.persica_gdr_reftransV1_0047708","p.persica_gdr_reftransV1_0047708")</f>
        <v>p.persica_gdr_reftransV1_0047708</v>
      </c>
      <c r="B17420" s="3">
        <v>1452</v>
      </c>
      <c r="C17420" s="1" t="str">
        <f>HYPERLINK("http://www.uniprot.org/uniprot/MAKR1_ARATH","MAKR1_ARATH")</f>
        <v>MAKR1_ARATH</v>
      </c>
      <c r="D17420" t="s">
        <v>4731</v>
      </c>
      <c r="E17420" s="3" t="s">
        <v>3</v>
      </c>
      <c r="F17420" s="4">
        <v>4.3400000000000001E-21</v>
      </c>
      <c r="G17420" s="3">
        <v>242</v>
      </c>
      <c r="H17420" s="3">
        <v>47</v>
      </c>
      <c r="I17420" s="3">
        <v>197</v>
      </c>
      <c r="J17420" s="3">
        <v>655</v>
      </c>
      <c r="K17420" s="3">
        <v>1245</v>
      </c>
      <c r="L17420" s="3">
        <v>34</v>
      </c>
      <c r="M17420" s="3">
        <v>204</v>
      </c>
    </row>
    <row r="17421" spans="1:13" x14ac:dyDescent="0.25">
      <c r="A17421" s="1" t="str">
        <f>HYPERLINK("http://www.rosaceae.org/Prunus/Prunus_persica/p.persica_gdr_reftransV1_0047758","p.persica_gdr_reftransV1_0047758")</f>
        <v>p.persica_gdr_reftransV1_0047758</v>
      </c>
      <c r="B17421" s="3">
        <v>911</v>
      </c>
      <c r="C17421" s="1" t="str">
        <f>HYPERLINK("http://www.uniprot.org/uniprot/CYC2_ARATH","CYC2_ARATH")</f>
        <v>CYC2_ARATH</v>
      </c>
      <c r="D17421" t="s">
        <v>10698</v>
      </c>
      <c r="E17421" s="3" t="s">
        <v>3</v>
      </c>
      <c r="F17421" s="4">
        <v>5.06E-71</v>
      </c>
      <c r="G17421" s="3">
        <v>564</v>
      </c>
      <c r="H17421" s="3">
        <v>94</v>
      </c>
      <c r="I17421" s="3">
        <v>112</v>
      </c>
      <c r="J17421" s="3">
        <v>123</v>
      </c>
      <c r="K17421" s="3">
        <v>458</v>
      </c>
      <c r="L17421" s="3">
        <v>1</v>
      </c>
      <c r="M17421" s="3">
        <v>112</v>
      </c>
    </row>
    <row r="17422" spans="1:13" x14ac:dyDescent="0.25">
      <c r="A17422" s="1" t="str">
        <f>HYPERLINK("http://www.rosaceae.org/Prunus/Prunus_persica/p.persica_gdr_reftransV1_0047858","p.persica_gdr_reftransV1_0047858")</f>
        <v>p.persica_gdr_reftransV1_0047858</v>
      </c>
      <c r="B17422" s="3">
        <v>328</v>
      </c>
      <c r="C17422" s="1" t="str">
        <f>HYPERLINK("http://www.uniprot.org/uniprot/C724B_ORYSJ","C724B_ORYSJ")</f>
        <v>C724B_ORYSJ</v>
      </c>
      <c r="D17422" t="s">
        <v>2364</v>
      </c>
      <c r="E17422" s="3" t="s">
        <v>38</v>
      </c>
      <c r="F17422" s="4">
        <v>4.4300000000000002E-38</v>
      </c>
      <c r="G17422" s="3">
        <v>347</v>
      </c>
      <c r="H17422" s="3">
        <v>64</v>
      </c>
      <c r="I17422" s="3">
        <v>104</v>
      </c>
      <c r="J17422" s="3">
        <v>37</v>
      </c>
      <c r="K17422" s="3">
        <v>327</v>
      </c>
      <c r="L17422" s="3">
        <v>154</v>
      </c>
      <c r="M17422" s="3">
        <v>257</v>
      </c>
    </row>
    <row r="17423" spans="1:13" x14ac:dyDescent="0.25">
      <c r="A17423" s="1" t="str">
        <f>HYPERLINK("http://www.rosaceae.org/Prunus/Prunus_persica/p.persica_gdr_reftransV1_0047908","p.persica_gdr_reftransV1_0047908")</f>
        <v>p.persica_gdr_reftransV1_0047908</v>
      </c>
      <c r="B17423" s="3">
        <v>891</v>
      </c>
      <c r="C17423" s="1" t="str">
        <f>HYPERLINK("http://www.uniprot.org/uniprot/IF1A_ONOVI","IF1A_ONOVI")</f>
        <v>IF1A_ONOVI</v>
      </c>
      <c r="D17423" t="s">
        <v>5031</v>
      </c>
      <c r="E17423" s="3" t="s">
        <v>5032</v>
      </c>
      <c r="F17423" s="4">
        <v>1.5400000000000001E-62</v>
      </c>
      <c r="G17423" s="3">
        <v>510</v>
      </c>
      <c r="H17423" s="3">
        <v>97</v>
      </c>
      <c r="I17423" s="3">
        <v>116</v>
      </c>
      <c r="J17423" s="3">
        <v>394</v>
      </c>
      <c r="K17423" s="3">
        <v>741</v>
      </c>
      <c r="L17423" s="3">
        <v>1</v>
      </c>
      <c r="M17423" s="3">
        <v>116</v>
      </c>
    </row>
    <row r="17424" spans="1:13" x14ac:dyDescent="0.25">
      <c r="A17424" s="1" t="str">
        <f>HYPERLINK("http://www.rosaceae.org/Prunus/Prunus_persica/p.persica_gdr_reftransV1_0047958","p.persica_gdr_reftransV1_0047958")</f>
        <v>p.persica_gdr_reftransV1_0047958</v>
      </c>
      <c r="B17424" s="3">
        <v>975</v>
      </c>
      <c r="C17424" s="1" t="str">
        <f>HYPERLINK("http://www.uniprot.org/uniprot/H2AV1_ARATH","H2AV1_ARATH")</f>
        <v>H2AV1_ARATH</v>
      </c>
      <c r="D17424" t="s">
        <v>3944</v>
      </c>
      <c r="E17424" s="3" t="s">
        <v>3</v>
      </c>
      <c r="F17424" s="4">
        <v>6.2599999999999998E-66</v>
      </c>
      <c r="G17424" s="3">
        <v>534</v>
      </c>
      <c r="H17424" s="3">
        <v>93</v>
      </c>
      <c r="I17424" s="3">
        <v>109</v>
      </c>
      <c r="J17424" s="3">
        <v>439</v>
      </c>
      <c r="K17424" s="3">
        <v>765</v>
      </c>
      <c r="L17424" s="3">
        <v>28</v>
      </c>
      <c r="M17424" s="3">
        <v>136</v>
      </c>
    </row>
    <row r="17425" spans="1:13" x14ac:dyDescent="0.25">
      <c r="A17425" s="1" t="str">
        <f>HYPERLINK("http://www.rosaceae.org/Prunus/Prunus_persica/p.persica_gdr_reftransV1_0048008","p.persica_gdr_reftransV1_0048008")</f>
        <v>p.persica_gdr_reftransV1_0048008</v>
      </c>
      <c r="B17425" s="3">
        <v>384</v>
      </c>
      <c r="C17425" s="1" t="str">
        <f>HYPERLINK("http://www.uniprot.org/uniprot/SCP51_ARATH","SCP51_ARATH")</f>
        <v>SCP51_ARATH</v>
      </c>
      <c r="D17425" t="s">
        <v>9427</v>
      </c>
      <c r="E17425" s="3" t="s">
        <v>3</v>
      </c>
      <c r="F17425" s="4">
        <v>4.9600000000000002E-52</v>
      </c>
      <c r="G17425" s="3">
        <v>446</v>
      </c>
      <c r="H17425" s="3">
        <v>80</v>
      </c>
      <c r="I17425" s="3">
        <v>103</v>
      </c>
      <c r="J17425" s="3">
        <v>40</v>
      </c>
      <c r="K17425" s="3">
        <v>342</v>
      </c>
      <c r="L17425" s="3">
        <v>31</v>
      </c>
      <c r="M17425" s="3">
        <v>133</v>
      </c>
    </row>
    <row r="17426" spans="1:13" x14ac:dyDescent="0.25">
      <c r="A17426" s="1" t="str">
        <f>HYPERLINK("http://www.rosaceae.org/Prunus/Prunus_persica/p.persica_gdr_reftransV1_0048158","p.persica_gdr_reftransV1_0048158")</f>
        <v>p.persica_gdr_reftransV1_0048158</v>
      </c>
      <c r="B17426" s="3">
        <v>2189</v>
      </c>
      <c r="C17426" s="1" t="str">
        <f>HYPERLINK("http://www.uniprot.org/uniprot/idHP_MEDSA","idHP_MEDSA")</f>
        <v>idHP_MEDSA</v>
      </c>
      <c r="D17426" t="s">
        <v>10450</v>
      </c>
      <c r="E17426" s="3" t="s">
        <v>515</v>
      </c>
      <c r="F17426" s="4">
        <v>0</v>
      </c>
      <c r="G17426" s="3">
        <v>2052</v>
      </c>
      <c r="H17426" s="3">
        <v>88</v>
      </c>
      <c r="I17426" s="3">
        <v>426</v>
      </c>
      <c r="J17426" s="3">
        <v>121</v>
      </c>
      <c r="K17426" s="3">
        <v>1398</v>
      </c>
      <c r="L17426" s="3">
        <v>7</v>
      </c>
      <c r="M17426" s="3">
        <v>432</v>
      </c>
    </row>
    <row r="17427" spans="1:13" x14ac:dyDescent="0.25">
      <c r="A17427" s="1" t="str">
        <f>HYPERLINK("http://www.rosaceae.org/Prunus/Prunus_persica/p.persica_gdr_reftransV1_0048258","p.persica_gdr_reftransV1_0048258")</f>
        <v>p.persica_gdr_reftransV1_0048258</v>
      </c>
      <c r="B17427" s="3">
        <v>344</v>
      </c>
      <c r="C17427" s="1" t="str">
        <f>HYPERLINK("http://www.uniprot.org/uniprot/PSYR1_ARATH","PSYR1_ARATH")</f>
        <v>PSYR1_ARATH</v>
      </c>
      <c r="D17427" t="s">
        <v>177</v>
      </c>
      <c r="E17427" s="3" t="s">
        <v>3</v>
      </c>
      <c r="F17427" s="4">
        <v>1.17E-16</v>
      </c>
      <c r="G17427" s="3">
        <v>196</v>
      </c>
      <c r="H17427" s="3">
        <v>44</v>
      </c>
      <c r="I17427" s="3">
        <v>116</v>
      </c>
      <c r="J17427" s="3">
        <v>6</v>
      </c>
      <c r="K17427" s="3">
        <v>344</v>
      </c>
      <c r="L17427" s="3">
        <v>511</v>
      </c>
      <c r="M17427" s="3">
        <v>623</v>
      </c>
    </row>
    <row r="17428" spans="1:13" x14ac:dyDescent="0.25">
      <c r="A17428" s="1" t="str">
        <f>HYPERLINK("http://www.rosaceae.org/Prunus/Prunus_persica/p.persica_gdr_reftransV1_0048358","p.persica_gdr_reftransV1_0048358")</f>
        <v>p.persica_gdr_reftransV1_0048358</v>
      </c>
      <c r="B17428" s="3">
        <v>1287</v>
      </c>
      <c r="C17428" s="1" t="str">
        <f>HYPERLINK("http://www.uniprot.org/uniprot/BH025_ARATH","BH025_ARATH")</f>
        <v>BH025_ARATH</v>
      </c>
      <c r="D17428" t="s">
        <v>416</v>
      </c>
      <c r="E17428" s="3" t="s">
        <v>3</v>
      </c>
      <c r="F17428" s="4">
        <v>7.8600000000000004E-52</v>
      </c>
      <c r="G17428" s="3">
        <v>463</v>
      </c>
      <c r="H17428" s="3">
        <v>55</v>
      </c>
      <c r="I17428" s="3">
        <v>195</v>
      </c>
      <c r="J17428" s="3">
        <v>599</v>
      </c>
      <c r="K17428" s="3">
        <v>1180</v>
      </c>
      <c r="L17428" s="3">
        <v>135</v>
      </c>
      <c r="M17428" s="3">
        <v>328</v>
      </c>
    </row>
    <row r="17429" spans="1:13" x14ac:dyDescent="0.25">
      <c r="A17429" s="1" t="str">
        <f>HYPERLINK("http://www.rosaceae.org/Prunus/Prunus_persica/p.persica_gdr_reftransV1_0048408","p.persica_gdr_reftransV1_0048408")</f>
        <v>p.persica_gdr_reftransV1_0048408</v>
      </c>
      <c r="B17429" s="3">
        <v>758</v>
      </c>
      <c r="C17429" s="1" t="str">
        <f>HYPERLINK("http://www.uniprot.org/uniprot/BOR4_ARATH","BOR4_ARATH")</f>
        <v>BOR4_ARATH</v>
      </c>
      <c r="D17429" t="s">
        <v>8525</v>
      </c>
      <c r="E17429" s="3" t="s">
        <v>3</v>
      </c>
      <c r="F17429" s="4">
        <v>2.1899999999999999E-69</v>
      </c>
      <c r="G17429" s="3">
        <v>590</v>
      </c>
      <c r="H17429" s="3">
        <v>59</v>
      </c>
      <c r="I17429" s="3">
        <v>186</v>
      </c>
      <c r="J17429" s="3">
        <v>220</v>
      </c>
      <c r="K17429" s="3">
        <v>756</v>
      </c>
      <c r="L17429" s="3">
        <v>494</v>
      </c>
      <c r="M17429" s="3">
        <v>676</v>
      </c>
    </row>
    <row r="17430" spans="1:13" x14ac:dyDescent="0.25">
      <c r="A17430" s="1" t="str">
        <f>HYPERLINK("http://www.rosaceae.org/Prunus/Prunus_persica/p.persica_gdr_reftransV1_0048558","p.persica_gdr_reftransV1_0048558")</f>
        <v>p.persica_gdr_reftransV1_0048558</v>
      </c>
      <c r="B17430" s="3">
        <v>674</v>
      </c>
      <c r="C17430" s="1" t="str">
        <f>HYPERLINK("http://www.uniprot.org/uniprot/ORN_ARATH","ORN_ARATH")</f>
        <v>ORN_ARATH</v>
      </c>
      <c r="D17430" t="s">
        <v>8501</v>
      </c>
      <c r="E17430" s="3" t="s">
        <v>3</v>
      </c>
      <c r="F17430" s="4">
        <v>2.2299999999999999E-62</v>
      </c>
      <c r="G17430" s="3">
        <v>509</v>
      </c>
      <c r="H17430" s="3">
        <v>59</v>
      </c>
      <c r="I17430" s="3">
        <v>174</v>
      </c>
      <c r="J17430" s="3">
        <v>202</v>
      </c>
      <c r="K17430" s="3">
        <v>672</v>
      </c>
      <c r="L17430" s="3">
        <v>1</v>
      </c>
      <c r="M17430" s="3">
        <v>173</v>
      </c>
    </row>
    <row r="17431" spans="1:13" x14ac:dyDescent="0.25">
      <c r="A17431" s="1" t="str">
        <f>HYPERLINK("http://www.rosaceae.org/Prunus/Prunus_persica/p.persica_gdr_reftransV1_0048608","p.persica_gdr_reftransV1_0048608")</f>
        <v>p.persica_gdr_reftransV1_0048608</v>
      </c>
      <c r="B17431" s="3">
        <v>1146</v>
      </c>
      <c r="C17431" s="1" t="str">
        <f>HYPERLINK("http://www.uniprot.org/uniprot/U82A1_ARATH","U82A1_ARATH")</f>
        <v>U82A1_ARATH</v>
      </c>
      <c r="D17431" t="s">
        <v>4404</v>
      </c>
      <c r="E17431" s="3" t="s">
        <v>3</v>
      </c>
      <c r="F17431" s="4">
        <v>1.2E-126</v>
      </c>
      <c r="G17431" s="3">
        <v>974</v>
      </c>
      <c r="H17431" s="3">
        <v>55</v>
      </c>
      <c r="I17431" s="3">
        <v>370</v>
      </c>
      <c r="J17431" s="3">
        <v>75</v>
      </c>
      <c r="K17431" s="3">
        <v>1145</v>
      </c>
      <c r="L17431" s="3">
        <v>9</v>
      </c>
      <c r="M17431" s="3">
        <v>372</v>
      </c>
    </row>
    <row r="17432" spans="1:13" x14ac:dyDescent="0.25">
      <c r="A17432" s="1" t="str">
        <f>HYPERLINK("http://www.rosaceae.org/Prunus/Prunus_persica/p.persica_gdr_reftransV1_0048658","p.persica_gdr_reftransV1_0048658")</f>
        <v>p.persica_gdr_reftransV1_0048658</v>
      </c>
      <c r="B17432" s="3">
        <v>786</v>
      </c>
      <c r="C17432" s="1" t="str">
        <f>HYPERLINK("http://www.uniprot.org/uniprot/P4KG7_ARATH","P4KG7_ARATH")</f>
        <v>P4KG7_ARATH</v>
      </c>
      <c r="D17432" t="s">
        <v>8117</v>
      </c>
      <c r="E17432" s="3" t="s">
        <v>3</v>
      </c>
      <c r="F17432" s="4">
        <v>4.0499999999999996E-37</v>
      </c>
      <c r="G17432" s="3">
        <v>358</v>
      </c>
      <c r="H17432" s="3">
        <v>37</v>
      </c>
      <c r="I17432" s="3">
        <v>233</v>
      </c>
      <c r="J17432" s="3">
        <v>239</v>
      </c>
      <c r="K17432" s="3">
        <v>784</v>
      </c>
      <c r="L17432" s="3">
        <v>418</v>
      </c>
      <c r="M17432" s="3">
        <v>650</v>
      </c>
    </row>
    <row r="17433" spans="1:13" x14ac:dyDescent="0.25">
      <c r="A17433" s="1" t="str">
        <f>HYPERLINK("http://www.rosaceae.org/Prunus/Prunus_persica/p.persica_gdr_reftransV1_0048708","p.persica_gdr_reftransV1_0048708")</f>
        <v>p.persica_gdr_reftransV1_0048708</v>
      </c>
      <c r="B17433" s="3">
        <v>1017</v>
      </c>
      <c r="C17433" s="1" t="str">
        <f>HYPERLINK("http://www.uniprot.org/uniprot/COPZ2_ORYSJ","COPZ2_ORYSJ")</f>
        <v>COPZ2_ORYSJ</v>
      </c>
      <c r="D17433" t="s">
        <v>10699</v>
      </c>
      <c r="E17433" s="3" t="s">
        <v>38</v>
      </c>
      <c r="F17433" s="4">
        <v>7.0699999999999996E-95</v>
      </c>
      <c r="G17433" s="3">
        <v>733</v>
      </c>
      <c r="H17433" s="3">
        <v>76</v>
      </c>
      <c r="I17433" s="3">
        <v>177</v>
      </c>
      <c r="J17433" s="3">
        <v>85</v>
      </c>
      <c r="K17433" s="3">
        <v>615</v>
      </c>
      <c r="L17433" s="3">
        <v>6</v>
      </c>
      <c r="M17433" s="3">
        <v>182</v>
      </c>
    </row>
    <row r="17434" spans="1:13" x14ac:dyDescent="0.25">
      <c r="A17434" s="1" t="str">
        <f>HYPERLINK("http://www.rosaceae.org/Prunus/Prunus_persica/p.persica_gdr_reftransV1_0048758","p.persica_gdr_reftransV1_0048758")</f>
        <v>p.persica_gdr_reftransV1_0048758</v>
      </c>
      <c r="B17434" s="3">
        <v>5152</v>
      </c>
      <c r="C17434" s="1" t="str">
        <f>HYPERLINK("http://www.uniprot.org/uniprot/DRL27_ARATH","DRL27_ARATH")</f>
        <v>DRL27_ARATH</v>
      </c>
      <c r="D17434" t="s">
        <v>6709</v>
      </c>
      <c r="E17434" s="3" t="s">
        <v>3</v>
      </c>
      <c r="F17434" s="4">
        <v>2.4000000000000001E-71</v>
      </c>
      <c r="G17434" s="3">
        <v>676</v>
      </c>
      <c r="H17434" s="3">
        <v>29</v>
      </c>
      <c r="I17434" s="3">
        <v>804</v>
      </c>
      <c r="J17434" s="3">
        <v>1079</v>
      </c>
      <c r="K17434" s="3">
        <v>3442</v>
      </c>
      <c r="L17434" s="3">
        <v>150</v>
      </c>
      <c r="M17434" s="3">
        <v>906</v>
      </c>
    </row>
    <row r="17435" spans="1:13" x14ac:dyDescent="0.25">
      <c r="A17435" s="1" t="str">
        <f>HYPERLINK("http://www.rosaceae.org/Prunus/Prunus_persica/p.persica_gdr_reftransV1_0048858","p.persica_gdr_reftransV1_0048858")</f>
        <v>p.persica_gdr_reftransV1_0048858</v>
      </c>
      <c r="B17435" s="3">
        <v>676</v>
      </c>
      <c r="C17435" s="1" t="str">
        <f>HYPERLINK("http://www.uniprot.org/uniprot/TPS9_RICCO","TPS9_RICCO")</f>
        <v>TPS9_RICCO</v>
      </c>
      <c r="D17435" t="s">
        <v>10167</v>
      </c>
      <c r="E17435" s="3" t="s">
        <v>421</v>
      </c>
      <c r="F17435" s="4">
        <v>2.2400000000000001E-66</v>
      </c>
      <c r="G17435" s="3">
        <v>562</v>
      </c>
      <c r="H17435" s="3">
        <v>59</v>
      </c>
      <c r="I17435" s="3">
        <v>182</v>
      </c>
      <c r="J17435" s="3">
        <v>3</v>
      </c>
      <c r="K17435" s="3">
        <v>545</v>
      </c>
      <c r="L17435" s="3">
        <v>406</v>
      </c>
      <c r="M17435" s="3">
        <v>583</v>
      </c>
    </row>
    <row r="17436" spans="1:13" x14ac:dyDescent="0.25">
      <c r="A17436" s="1" t="str">
        <f>HYPERLINK("http://www.rosaceae.org/Prunus/Prunus_persica/p.persica_gdr_reftransV1_0048908","p.persica_gdr_reftransV1_0048908")</f>
        <v>p.persica_gdr_reftransV1_0048908</v>
      </c>
      <c r="B17436" s="3">
        <v>569</v>
      </c>
      <c r="C17436" s="1" t="str">
        <f>HYPERLINK("http://www.uniprot.org/uniprot/CDI_ARATH","CDI_ARATH")</f>
        <v>CDI_ARATH</v>
      </c>
      <c r="D17436" t="s">
        <v>2296</v>
      </c>
      <c r="E17436" s="3" t="s">
        <v>3</v>
      </c>
      <c r="F17436" s="4">
        <v>3.6500000000000002E-51</v>
      </c>
      <c r="G17436" s="3">
        <v>434</v>
      </c>
      <c r="H17436" s="3">
        <v>70</v>
      </c>
      <c r="I17436" s="3">
        <v>111</v>
      </c>
      <c r="J17436" s="3">
        <v>236</v>
      </c>
      <c r="K17436" s="3">
        <v>568</v>
      </c>
      <c r="L17436" s="3">
        <v>1</v>
      </c>
      <c r="M17436" s="3">
        <v>111</v>
      </c>
    </row>
    <row r="17437" spans="1:13" x14ac:dyDescent="0.25">
      <c r="A17437" s="1" t="str">
        <f>HYPERLINK("http://www.rosaceae.org/Prunus/Prunus_persica/p.persica_gdr_reftransV1_0048958","p.persica_gdr_reftransV1_0048958")</f>
        <v>p.persica_gdr_reftransV1_0048958</v>
      </c>
      <c r="B17437" s="3">
        <v>2149</v>
      </c>
      <c r="C17437" s="1" t="str">
        <f>HYPERLINK("http://www.uniprot.org/uniprot/PPO_MALDO","PPO_MALDO")</f>
        <v>PPO_MALDO</v>
      </c>
      <c r="D17437" t="s">
        <v>2145</v>
      </c>
      <c r="E17437" s="3" t="s">
        <v>540</v>
      </c>
      <c r="F17437" s="4">
        <v>8.4699999999999995E-175</v>
      </c>
      <c r="G17437" s="3">
        <v>1339</v>
      </c>
      <c r="H17437" s="3">
        <v>55</v>
      </c>
      <c r="I17437" s="3">
        <v>592</v>
      </c>
      <c r="J17437" s="3">
        <v>301</v>
      </c>
      <c r="K17437" s="3">
        <v>2037</v>
      </c>
      <c r="L17437" s="3">
        <v>18</v>
      </c>
      <c r="M17437" s="3">
        <v>593</v>
      </c>
    </row>
    <row r="17438" spans="1:13" x14ac:dyDescent="0.25">
      <c r="A17438" s="1" t="str">
        <f>HYPERLINK("http://www.rosaceae.org/Prunus/Prunus_persica/p.persica_gdr_reftransV1_0049008","p.persica_gdr_reftransV1_0049008")</f>
        <v>p.persica_gdr_reftransV1_0049008</v>
      </c>
      <c r="B17438" s="3">
        <v>2363</v>
      </c>
      <c r="C17438" s="1" t="str">
        <f>HYPERLINK("http://www.uniprot.org/uniprot/DNPEP_RICCO","DNPEP_RICCO")</f>
        <v>DNPEP_RICCO</v>
      </c>
      <c r="D17438" t="s">
        <v>8070</v>
      </c>
      <c r="E17438" s="3" t="s">
        <v>421</v>
      </c>
      <c r="F17438" s="4">
        <v>0</v>
      </c>
      <c r="G17438" s="3">
        <v>2120</v>
      </c>
      <c r="H17438" s="3">
        <v>81</v>
      </c>
      <c r="I17438" s="3">
        <v>490</v>
      </c>
      <c r="J17438" s="3">
        <v>605</v>
      </c>
      <c r="K17438" s="3">
        <v>2065</v>
      </c>
      <c r="L17438" s="3">
        <v>1</v>
      </c>
      <c r="M17438" s="3">
        <v>490</v>
      </c>
    </row>
    <row r="17439" spans="1:13" x14ac:dyDescent="0.25">
      <c r="A17439" s="1" t="str">
        <f>HYPERLINK("http://www.rosaceae.org/Prunus/Prunus_persica/p.persica_gdr_reftransV1_0049058","p.persica_gdr_reftransV1_0049058")</f>
        <v>p.persica_gdr_reftransV1_0049058</v>
      </c>
      <c r="B17439" s="3">
        <v>1068</v>
      </c>
      <c r="C17439" s="1" t="str">
        <f>HYPERLINK("http://www.uniprot.org/uniprot/XTH32_ARATH","XTH32_ARATH")</f>
        <v>XTH32_ARATH</v>
      </c>
      <c r="D17439" t="s">
        <v>7989</v>
      </c>
      <c r="E17439" s="3" t="s">
        <v>3</v>
      </c>
      <c r="F17439" s="4">
        <v>2.66E-147</v>
      </c>
      <c r="G17439" s="3">
        <v>1093</v>
      </c>
      <c r="H17439" s="3">
        <v>69</v>
      </c>
      <c r="I17439" s="3">
        <v>297</v>
      </c>
      <c r="J17439" s="3">
        <v>170</v>
      </c>
      <c r="K17439" s="3">
        <v>1054</v>
      </c>
      <c r="L17439" s="3">
        <v>5</v>
      </c>
      <c r="M17439" s="3">
        <v>299</v>
      </c>
    </row>
    <row r="17440" spans="1:13" x14ac:dyDescent="0.25">
      <c r="A17440" s="1" t="str">
        <f>HYPERLINK("http://www.rosaceae.org/Prunus/Prunus_persica/p.persica_gdr_reftransV1_0049108","p.persica_gdr_reftransV1_0049108")</f>
        <v>p.persica_gdr_reftransV1_0049108</v>
      </c>
      <c r="B17440" s="3">
        <v>469</v>
      </c>
      <c r="C17440" s="1" t="str">
        <f>HYPERLINK("http://www.uniprot.org/uniprot/SLU7_ORYSJ","SLU7_ORYSJ")</f>
        <v>SLU7_ORYSJ</v>
      </c>
      <c r="D17440" t="s">
        <v>7375</v>
      </c>
      <c r="E17440" s="3" t="s">
        <v>38</v>
      </c>
      <c r="F17440" s="4">
        <v>1.8600000000000001E-51</v>
      </c>
      <c r="G17440" s="3">
        <v>316</v>
      </c>
      <c r="H17440" s="3">
        <v>78</v>
      </c>
      <c r="I17440" s="3">
        <v>72</v>
      </c>
      <c r="J17440" s="3">
        <v>220</v>
      </c>
      <c r="K17440" s="3">
        <v>435</v>
      </c>
      <c r="L17440" s="3">
        <v>99</v>
      </c>
      <c r="M17440" s="3">
        <v>170</v>
      </c>
    </row>
    <row r="17441" spans="1:13" x14ac:dyDescent="0.25">
      <c r="A17441" s="1" t="str">
        <f>HYPERLINK("http://www.rosaceae.org/Prunus/Prunus_persica/p.persica_gdr_reftransV1_0000159","p.persica_gdr_reftransV1_0000159")</f>
        <v>p.persica_gdr_reftransV1_0000159</v>
      </c>
      <c r="B17441" s="3">
        <v>1712</v>
      </c>
      <c r="C17441" s="1" t="str">
        <f>HYPERLINK("http://www.uniprot.org/uniprot/Y2124_NOSS1","Y2124_NOSS1")</f>
        <v>Y2124_NOSS1</v>
      </c>
      <c r="D17441" t="s">
        <v>10700</v>
      </c>
      <c r="E17441" s="3" t="s">
        <v>719</v>
      </c>
      <c r="F17441" s="4">
        <v>1.3899999999999999E-14</v>
      </c>
      <c r="G17441" s="3">
        <v>199</v>
      </c>
      <c r="H17441" s="3">
        <v>28</v>
      </c>
      <c r="I17441" s="3">
        <v>232</v>
      </c>
      <c r="J17441" s="3">
        <v>205</v>
      </c>
      <c r="K17441" s="3">
        <v>891</v>
      </c>
      <c r="L17441" s="3">
        <v>1071</v>
      </c>
      <c r="M17441" s="3">
        <v>1268</v>
      </c>
    </row>
    <row r="17442" spans="1:13" x14ac:dyDescent="0.25">
      <c r="A17442" s="1" t="str">
        <f>HYPERLINK("http://www.rosaceae.org/Prunus/Prunus_persica/p.persica_gdr_reftransV1_0000409","p.persica_gdr_reftransV1_0000409")</f>
        <v>p.persica_gdr_reftransV1_0000409</v>
      </c>
      <c r="B17442" s="3">
        <v>1855</v>
      </c>
      <c r="C17442" s="1" t="str">
        <f>HYPERLINK("http://www.uniprot.org/uniprot/CDKE1_ARATH","CDKE1_ARATH")</f>
        <v>CDKE1_ARATH</v>
      </c>
      <c r="D17442" t="s">
        <v>277</v>
      </c>
      <c r="E17442" s="3" t="s">
        <v>3</v>
      </c>
      <c r="F17442" s="4">
        <v>0</v>
      </c>
      <c r="G17442" s="3">
        <v>1468</v>
      </c>
      <c r="H17442" s="3">
        <v>87</v>
      </c>
      <c r="I17442" s="3">
        <v>327</v>
      </c>
      <c r="J17442" s="3">
        <v>826</v>
      </c>
      <c r="K17442" s="3">
        <v>1806</v>
      </c>
      <c r="L17442" s="3">
        <v>18</v>
      </c>
      <c r="M17442" s="3">
        <v>341</v>
      </c>
    </row>
    <row r="17443" spans="1:13" x14ac:dyDescent="0.25">
      <c r="A17443" s="1" t="str">
        <f>HYPERLINK("http://www.rosaceae.org/Prunus/Prunus_persica/p.persica_gdr_reftransV1_0000459","p.persica_gdr_reftransV1_0000459")</f>
        <v>p.persica_gdr_reftransV1_0000459</v>
      </c>
      <c r="B17443" s="3">
        <v>2305</v>
      </c>
      <c r="C17443" s="1" t="str">
        <f>HYPERLINK("http://www.uniprot.org/uniprot/PGMC_POPTN","PGMC_POPTN")</f>
        <v>PGMC_POPTN</v>
      </c>
      <c r="D17443" t="s">
        <v>3120</v>
      </c>
      <c r="E17443" s="3" t="s">
        <v>3121</v>
      </c>
      <c r="F17443" s="4">
        <v>0</v>
      </c>
      <c r="G17443" s="3">
        <v>2621</v>
      </c>
      <c r="H17443" s="3">
        <v>89</v>
      </c>
      <c r="I17443" s="3">
        <v>578</v>
      </c>
      <c r="J17443" s="3">
        <v>314</v>
      </c>
      <c r="K17443" s="3">
        <v>2047</v>
      </c>
      <c r="L17443" s="3">
        <v>5</v>
      </c>
      <c r="M17443" s="3">
        <v>582</v>
      </c>
    </row>
    <row r="17444" spans="1:13" x14ac:dyDescent="0.25">
      <c r="A17444" s="1" t="str">
        <f>HYPERLINK("http://www.rosaceae.org/Prunus/Prunus_persica/p.persica_gdr_reftransV1_0000559","p.persica_gdr_reftransV1_0000559")</f>
        <v>p.persica_gdr_reftransV1_0000559</v>
      </c>
      <c r="B17444" s="3">
        <v>731</v>
      </c>
      <c r="C17444" s="1" t="str">
        <f>HYPERLINK("http://www.uniprot.org/uniprot/HTH_ARATH","HTH_ARATH")</f>
        <v>HTH_ARATH</v>
      </c>
      <c r="D17444" t="s">
        <v>5584</v>
      </c>
      <c r="E17444" s="3" t="s">
        <v>3</v>
      </c>
      <c r="F17444" s="4">
        <v>1.6800000000000001E-49</v>
      </c>
      <c r="G17444" s="3">
        <v>446</v>
      </c>
      <c r="H17444" s="3">
        <v>63</v>
      </c>
      <c r="I17444" s="3">
        <v>128</v>
      </c>
      <c r="J17444" s="3">
        <v>348</v>
      </c>
      <c r="K17444" s="3">
        <v>731</v>
      </c>
      <c r="L17444" s="3">
        <v>61</v>
      </c>
      <c r="M17444" s="3">
        <v>188</v>
      </c>
    </row>
    <row r="17445" spans="1:13" x14ac:dyDescent="0.25">
      <c r="A17445" s="1" t="str">
        <f>HYPERLINK("http://www.rosaceae.org/Prunus/Prunus_persica/p.persica_gdr_reftransV1_0000759","p.persica_gdr_reftransV1_0000759")</f>
        <v>p.persica_gdr_reftransV1_0000759</v>
      </c>
      <c r="B17445" s="3">
        <v>742</v>
      </c>
      <c r="C17445" s="1" t="str">
        <f>HYPERLINK("http://www.uniprot.org/uniprot/EXOL1_ARATH","EXOL1_ARATH")</f>
        <v>EXOL1_ARATH</v>
      </c>
      <c r="D17445" t="s">
        <v>10701</v>
      </c>
      <c r="E17445" s="3" t="s">
        <v>3</v>
      </c>
      <c r="F17445" s="4">
        <v>1.5999999999999999E-71</v>
      </c>
      <c r="G17445" s="3">
        <v>580</v>
      </c>
      <c r="H17445" s="3">
        <v>61</v>
      </c>
      <c r="I17445" s="3">
        <v>203</v>
      </c>
      <c r="J17445" s="3">
        <v>2</v>
      </c>
      <c r="K17445" s="3">
        <v>610</v>
      </c>
      <c r="L17445" s="3">
        <v>20</v>
      </c>
      <c r="M17445" s="3">
        <v>217</v>
      </c>
    </row>
    <row r="17446" spans="1:13" x14ac:dyDescent="0.25">
      <c r="A17446" s="1" t="str">
        <f>HYPERLINK("http://www.rosaceae.org/Prunus/Prunus_persica/p.persica_gdr_reftransV1_0000809","p.persica_gdr_reftransV1_0000809")</f>
        <v>p.persica_gdr_reftransV1_0000809</v>
      </c>
      <c r="B17446" s="3">
        <v>2054</v>
      </c>
      <c r="C17446" s="1" t="str">
        <f>HYPERLINK("http://www.uniprot.org/uniprot/GAGT3_ARATH","GAGT3_ARATH")</f>
        <v>GAGT3_ARATH</v>
      </c>
      <c r="D17446" t="s">
        <v>10702</v>
      </c>
      <c r="E17446" s="3" t="s">
        <v>3</v>
      </c>
      <c r="F17446" s="4">
        <v>0</v>
      </c>
      <c r="G17446" s="3">
        <v>2060</v>
      </c>
      <c r="H17446" s="3">
        <v>67</v>
      </c>
      <c r="I17446" s="3">
        <v>567</v>
      </c>
      <c r="J17446" s="3">
        <v>222</v>
      </c>
      <c r="K17446" s="3">
        <v>1901</v>
      </c>
      <c r="L17446" s="3">
        <v>73</v>
      </c>
      <c r="M17446" s="3">
        <v>637</v>
      </c>
    </row>
    <row r="17447" spans="1:13" x14ac:dyDescent="0.25">
      <c r="A17447" s="1" t="str">
        <f>HYPERLINK("http://www.rosaceae.org/Prunus/Prunus_persica/p.persica_gdr_reftransV1_0000859","p.persica_gdr_reftransV1_0000859")</f>
        <v>p.persica_gdr_reftransV1_0000859</v>
      </c>
      <c r="B17447" s="3">
        <v>1604</v>
      </c>
      <c r="C17447" s="1" t="str">
        <f>HYPERLINK("http://www.uniprot.org/uniprot/LIP5_ARATH","LIP5_ARATH")</f>
        <v>LIP5_ARATH</v>
      </c>
      <c r="D17447" t="s">
        <v>7867</v>
      </c>
      <c r="E17447" s="3" t="s">
        <v>3</v>
      </c>
      <c r="F17447" s="4">
        <v>2.8600000000000001E-123</v>
      </c>
      <c r="G17447" s="3">
        <v>963</v>
      </c>
      <c r="H17447" s="3">
        <v>56</v>
      </c>
      <c r="I17447" s="3">
        <v>448</v>
      </c>
      <c r="J17447" s="3">
        <v>118</v>
      </c>
      <c r="K17447" s="3">
        <v>1428</v>
      </c>
      <c r="L17447" s="3">
        <v>1</v>
      </c>
      <c r="M17447" s="3">
        <v>418</v>
      </c>
    </row>
    <row r="17448" spans="1:13" x14ac:dyDescent="0.25">
      <c r="A17448" s="1" t="str">
        <f>HYPERLINK("http://www.rosaceae.org/Prunus/Prunus_persica/p.persica_gdr_reftransV1_0000959","p.persica_gdr_reftransV1_0000959")</f>
        <v>p.persica_gdr_reftransV1_0000959</v>
      </c>
      <c r="B17448" s="3">
        <v>1783</v>
      </c>
      <c r="C17448" s="1" t="str">
        <f>HYPERLINK("http://www.uniprot.org/uniprot/EXPA8_ARATH","EXPA8_ARATH")</f>
        <v>EXPA8_ARATH</v>
      </c>
      <c r="D17448" t="s">
        <v>10618</v>
      </c>
      <c r="E17448" s="3" t="s">
        <v>3</v>
      </c>
      <c r="F17448" s="4">
        <v>6.46E-113</v>
      </c>
      <c r="G17448" s="3">
        <v>883</v>
      </c>
      <c r="H17448" s="3">
        <v>86</v>
      </c>
      <c r="I17448" s="3">
        <v>209</v>
      </c>
      <c r="J17448" s="3">
        <v>257</v>
      </c>
      <c r="K17448" s="3">
        <v>877</v>
      </c>
      <c r="L17448" s="3">
        <v>34</v>
      </c>
      <c r="M17448" s="3">
        <v>242</v>
      </c>
    </row>
    <row r="17449" spans="1:13" x14ac:dyDescent="0.25">
      <c r="A17449" s="1" t="str">
        <f>HYPERLINK("http://www.rosaceae.org/Prunus/Prunus_persica/p.persica_gdr_reftransV1_0001009","p.persica_gdr_reftransV1_0001009")</f>
        <v>p.persica_gdr_reftransV1_0001009</v>
      </c>
      <c r="B17449" s="3">
        <v>2778</v>
      </c>
      <c r="C17449" s="1" t="str">
        <f>HYPERLINK("http://www.uniprot.org/uniprot/MNS4_ARATH","MNS4_ARATH")</f>
        <v>MNS4_ARATH</v>
      </c>
      <c r="D17449" t="s">
        <v>9590</v>
      </c>
      <c r="E17449" s="3" t="s">
        <v>3</v>
      </c>
      <c r="F17449" s="4">
        <v>0</v>
      </c>
      <c r="G17449" s="3">
        <v>2327</v>
      </c>
      <c r="H17449" s="3">
        <v>77</v>
      </c>
      <c r="I17449" s="3">
        <v>578</v>
      </c>
      <c r="J17449" s="3">
        <v>898</v>
      </c>
      <c r="K17449" s="3">
        <v>2628</v>
      </c>
      <c r="L17449" s="3">
        <v>25</v>
      </c>
      <c r="M17449" s="3">
        <v>586</v>
      </c>
    </row>
    <row r="17450" spans="1:13" x14ac:dyDescent="0.25">
      <c r="A17450" s="1" t="str">
        <f>HYPERLINK("http://www.rosaceae.org/Prunus/Prunus_persica/p.persica_gdr_reftransV1_0001159","p.persica_gdr_reftransV1_0001159")</f>
        <v>p.persica_gdr_reftransV1_0001159</v>
      </c>
      <c r="B17450" s="3">
        <v>424</v>
      </c>
      <c r="C17450" s="1" t="str">
        <f>HYPERLINK("http://www.uniprot.org/uniprot/TBC8B_DANRE","TBC8B_DANRE")</f>
        <v>TBC8B_DANRE</v>
      </c>
      <c r="D17450" t="s">
        <v>10703</v>
      </c>
      <c r="E17450" s="3" t="s">
        <v>704</v>
      </c>
      <c r="F17450" s="4">
        <v>5.6300000000000001E-23</v>
      </c>
      <c r="G17450" s="3">
        <v>246</v>
      </c>
      <c r="H17450" s="3">
        <v>38</v>
      </c>
      <c r="I17450" s="3">
        <v>141</v>
      </c>
      <c r="J17450" s="3">
        <v>6</v>
      </c>
      <c r="K17450" s="3">
        <v>422</v>
      </c>
      <c r="L17450" s="3">
        <v>471</v>
      </c>
      <c r="M17450" s="3">
        <v>600</v>
      </c>
    </row>
    <row r="17451" spans="1:13" x14ac:dyDescent="0.25">
      <c r="A17451" s="1" t="str">
        <f>HYPERLINK("http://www.rosaceae.org/Prunus/Prunus_persica/p.persica_gdr_reftransV1_0001209","p.persica_gdr_reftransV1_0001209")</f>
        <v>p.persica_gdr_reftransV1_0001209</v>
      </c>
      <c r="B17451" s="3">
        <v>2602</v>
      </c>
      <c r="C17451" s="1" t="str">
        <f>HYPERLINK("http://www.uniprot.org/uniprot/CSCLC_ARATH","CSCLC_ARATH")</f>
        <v>CSCLC_ARATH</v>
      </c>
      <c r="D17451" t="s">
        <v>9463</v>
      </c>
      <c r="E17451" s="3" t="s">
        <v>3</v>
      </c>
      <c r="F17451" s="4">
        <v>0</v>
      </c>
      <c r="G17451" s="3">
        <v>2230</v>
      </c>
      <c r="H17451" s="3">
        <v>63</v>
      </c>
      <c r="I17451" s="3">
        <v>701</v>
      </c>
      <c r="J17451" s="3">
        <v>166</v>
      </c>
      <c r="K17451" s="3">
        <v>2268</v>
      </c>
      <c r="L17451" s="3">
        <v>1</v>
      </c>
      <c r="M17451" s="3">
        <v>699</v>
      </c>
    </row>
    <row r="17452" spans="1:13" x14ac:dyDescent="0.25">
      <c r="A17452" s="1" t="str">
        <f>HYPERLINK("http://www.rosaceae.org/Prunus/Prunus_persica/p.persica_gdr_reftransV1_0001259","p.persica_gdr_reftransV1_0001259")</f>
        <v>p.persica_gdr_reftransV1_0001259</v>
      </c>
      <c r="B17452" s="3">
        <v>389</v>
      </c>
      <c r="C17452" s="1" t="str">
        <f>HYPERLINK("http://www.uniprot.org/uniprot/ANAG_HUMAN","ANAG_HUMAN")</f>
        <v>ANAG_HUMAN</v>
      </c>
      <c r="D17452" t="s">
        <v>1379</v>
      </c>
      <c r="E17452" s="3" t="s">
        <v>28</v>
      </c>
      <c r="F17452" s="4">
        <v>9.9400000000000005E-39</v>
      </c>
      <c r="G17452" s="3">
        <v>359</v>
      </c>
      <c r="H17452" s="3">
        <v>52</v>
      </c>
      <c r="I17452" s="3">
        <v>128</v>
      </c>
      <c r="J17452" s="3">
        <v>7</v>
      </c>
      <c r="K17452" s="3">
        <v>387</v>
      </c>
      <c r="L17452" s="3">
        <v>370</v>
      </c>
      <c r="M17452" s="3">
        <v>497</v>
      </c>
    </row>
    <row r="17453" spans="1:13" x14ac:dyDescent="0.25">
      <c r="A17453" s="1" t="str">
        <f>HYPERLINK("http://www.rosaceae.org/Prunus/Prunus_persica/p.persica_gdr_reftransV1_0001509","p.persica_gdr_reftransV1_0001509")</f>
        <v>p.persica_gdr_reftransV1_0001509</v>
      </c>
      <c r="B17453" s="3">
        <v>2263</v>
      </c>
      <c r="C17453" s="1" t="str">
        <f>HYPERLINK("http://www.uniprot.org/uniprot/HIP1_ORYSJ","HIP1_ORYSJ")</f>
        <v>HIP1_ORYSJ</v>
      </c>
      <c r="D17453" t="s">
        <v>5763</v>
      </c>
      <c r="E17453" s="3" t="s">
        <v>38</v>
      </c>
      <c r="F17453" s="4">
        <v>2.96E-44</v>
      </c>
      <c r="G17453" s="3">
        <v>437</v>
      </c>
      <c r="H17453" s="3">
        <v>31</v>
      </c>
      <c r="I17453" s="3">
        <v>661</v>
      </c>
      <c r="J17453" s="3">
        <v>349</v>
      </c>
      <c r="K17453" s="3">
        <v>2262</v>
      </c>
      <c r="L17453" s="3">
        <v>1</v>
      </c>
      <c r="M17453" s="3">
        <v>587</v>
      </c>
    </row>
    <row r="17454" spans="1:13" x14ac:dyDescent="0.25">
      <c r="A17454" s="1" t="str">
        <f>HYPERLINK("http://www.rosaceae.org/Prunus/Prunus_persica/p.persica_gdr_reftransV1_0001559","p.persica_gdr_reftransV1_0001559")</f>
        <v>p.persica_gdr_reftransV1_0001559</v>
      </c>
      <c r="B17454" s="3">
        <v>617</v>
      </c>
      <c r="C17454" s="1" t="str">
        <f>HYPERLINK("http://www.uniprot.org/uniprot/SUT_SPIOL","SUT_SPIOL")</f>
        <v>SUT_SPIOL</v>
      </c>
      <c r="D17454" t="s">
        <v>5583</v>
      </c>
      <c r="E17454" s="3" t="s">
        <v>131</v>
      </c>
      <c r="F17454" s="4">
        <v>1.5699999999999999E-34</v>
      </c>
      <c r="G17454" s="3">
        <v>332</v>
      </c>
      <c r="H17454" s="3">
        <v>78</v>
      </c>
      <c r="I17454" s="3">
        <v>101</v>
      </c>
      <c r="J17454" s="3">
        <v>19</v>
      </c>
      <c r="K17454" s="3">
        <v>321</v>
      </c>
      <c r="L17454" s="3">
        <v>415</v>
      </c>
      <c r="M17454" s="3">
        <v>515</v>
      </c>
    </row>
    <row r="17455" spans="1:13" x14ac:dyDescent="0.25">
      <c r="A17455" s="1" t="str">
        <f>HYPERLINK("http://www.rosaceae.org/Prunus/Prunus_persica/p.persica_gdr_reftransV1_0001609","p.persica_gdr_reftransV1_0001609")</f>
        <v>p.persica_gdr_reftransV1_0001609</v>
      </c>
      <c r="B17455" s="3">
        <v>1792</v>
      </c>
      <c r="C17455" s="1" t="str">
        <f>HYPERLINK("http://www.uniprot.org/uniprot/CFTSY_ARATH","CFTSY_ARATH")</f>
        <v>CFTSY_ARATH</v>
      </c>
      <c r="D17455" t="s">
        <v>10066</v>
      </c>
      <c r="E17455" s="3" t="s">
        <v>3</v>
      </c>
      <c r="F17455" s="4">
        <v>6.95E-147</v>
      </c>
      <c r="G17455" s="3">
        <v>655</v>
      </c>
      <c r="H17455" s="3">
        <v>83</v>
      </c>
      <c r="I17455" s="3">
        <v>151</v>
      </c>
      <c r="J17455" s="3">
        <v>1203</v>
      </c>
      <c r="K17455" s="3">
        <v>1655</v>
      </c>
      <c r="L17455" s="3">
        <v>33</v>
      </c>
      <c r="M17455" s="3">
        <v>183</v>
      </c>
    </row>
    <row r="17456" spans="1:13" x14ac:dyDescent="0.25">
      <c r="A17456" s="1" t="str">
        <f>HYPERLINK("http://www.rosaceae.org/Prunus/Prunus_persica/p.persica_gdr_reftransV1_0001659","p.persica_gdr_reftransV1_0001659")</f>
        <v>p.persica_gdr_reftransV1_0001659</v>
      </c>
      <c r="B17456" s="3">
        <v>597</v>
      </c>
      <c r="C17456" s="1" t="str">
        <f>HYPERLINK("http://www.uniprot.org/uniprot/AGL16_ARATH","AGL16_ARATH")</f>
        <v>AGL16_ARATH</v>
      </c>
      <c r="D17456" t="s">
        <v>3402</v>
      </c>
      <c r="E17456" s="3" t="s">
        <v>3</v>
      </c>
      <c r="F17456" s="4">
        <v>5.2699999999999996E-35</v>
      </c>
      <c r="G17456" s="3">
        <v>324</v>
      </c>
      <c r="H17456" s="3">
        <v>61</v>
      </c>
      <c r="I17456" s="3">
        <v>119</v>
      </c>
      <c r="J17456" s="3">
        <v>2</v>
      </c>
      <c r="K17456" s="3">
        <v>316</v>
      </c>
      <c r="L17456" s="3">
        <v>95</v>
      </c>
      <c r="M17456" s="3">
        <v>213</v>
      </c>
    </row>
    <row r="17457" spans="1:13" x14ac:dyDescent="0.25">
      <c r="A17457" s="1" t="str">
        <f>HYPERLINK("http://www.rosaceae.org/Prunus/Prunus_persica/p.persica_gdr_reftransV1_0001709","p.persica_gdr_reftransV1_0001709")</f>
        <v>p.persica_gdr_reftransV1_0001709</v>
      </c>
      <c r="B17457" s="3">
        <v>890</v>
      </c>
      <c r="C17457" s="1" t="str">
        <f>HYPERLINK("http://www.uniprot.org/uniprot/AB15G_ARATH","AB15G_ARATH")</f>
        <v>AB15G_ARATH</v>
      </c>
      <c r="D17457" t="s">
        <v>4722</v>
      </c>
      <c r="E17457" s="3" t="s">
        <v>3</v>
      </c>
      <c r="F17457" s="4">
        <v>6.3699999999999998E-125</v>
      </c>
      <c r="G17457" s="3">
        <v>973</v>
      </c>
      <c r="H17457" s="3">
        <v>78</v>
      </c>
      <c r="I17457" s="3">
        <v>233</v>
      </c>
      <c r="J17457" s="3">
        <v>187</v>
      </c>
      <c r="K17457" s="3">
        <v>885</v>
      </c>
      <c r="L17457" s="3">
        <v>23</v>
      </c>
      <c r="M17457" s="3">
        <v>254</v>
      </c>
    </row>
    <row r="17458" spans="1:13" x14ac:dyDescent="0.25">
      <c r="A17458" s="1" t="str">
        <f>HYPERLINK("http://www.rosaceae.org/Prunus/Prunus_persica/p.persica_gdr_reftransV1_0001809","p.persica_gdr_reftransV1_0001809")</f>
        <v>p.persica_gdr_reftransV1_0001809</v>
      </c>
      <c r="B17458" s="3">
        <v>2158</v>
      </c>
      <c r="C17458" s="1" t="str">
        <f>HYPERLINK("http://www.uniprot.org/uniprot/TBL10_ARATH","TBL10_ARATH")</f>
        <v>TBL10_ARATH</v>
      </c>
      <c r="D17458" t="s">
        <v>10704</v>
      </c>
      <c r="E17458" s="3" t="s">
        <v>3</v>
      </c>
      <c r="F17458" s="4">
        <v>0</v>
      </c>
      <c r="G17458" s="3">
        <v>1661</v>
      </c>
      <c r="H17458" s="3">
        <v>66</v>
      </c>
      <c r="I17458" s="3">
        <v>453</v>
      </c>
      <c r="J17458" s="3">
        <v>323</v>
      </c>
      <c r="K17458" s="3">
        <v>1654</v>
      </c>
      <c r="L17458" s="3">
        <v>1</v>
      </c>
      <c r="M17458" s="3">
        <v>452</v>
      </c>
    </row>
    <row r="17459" spans="1:13" x14ac:dyDescent="0.25">
      <c r="A17459" s="1" t="str">
        <f>HYPERLINK("http://www.rosaceae.org/Prunus/Prunus_persica/p.persica_gdr_reftransV1_0001909","p.persica_gdr_reftransV1_0001909")</f>
        <v>p.persica_gdr_reftransV1_0001909</v>
      </c>
      <c r="B17459" s="3">
        <v>322</v>
      </c>
      <c r="C17459" s="1" t="str">
        <f>HYPERLINK("http://www.uniprot.org/uniprot/RCH2_ARATH","RCH2_ARATH")</f>
        <v>RCH2_ARATH</v>
      </c>
      <c r="D17459" t="s">
        <v>4052</v>
      </c>
      <c r="E17459" s="3" t="s">
        <v>3</v>
      </c>
      <c r="F17459" s="4">
        <v>2.18E-32</v>
      </c>
      <c r="G17459" s="3">
        <v>313</v>
      </c>
      <c r="H17459" s="3">
        <v>55</v>
      </c>
      <c r="I17459" s="3">
        <v>104</v>
      </c>
      <c r="J17459" s="3">
        <v>9</v>
      </c>
      <c r="K17459" s="3">
        <v>320</v>
      </c>
      <c r="L17459" s="3">
        <v>191</v>
      </c>
      <c r="M17459" s="3">
        <v>294</v>
      </c>
    </row>
    <row r="17460" spans="1:13" x14ac:dyDescent="0.25">
      <c r="A17460" s="1" t="str">
        <f>HYPERLINK("http://www.rosaceae.org/Prunus/Prunus_persica/p.persica_gdr_reftransV1_0001959","p.persica_gdr_reftransV1_0001959")</f>
        <v>p.persica_gdr_reftransV1_0001959</v>
      </c>
      <c r="B17460" s="3">
        <v>317</v>
      </c>
      <c r="C17460" s="1" t="str">
        <f>HYPERLINK("http://www.uniprot.org/uniprot/Y5487_ARATH","Y5487_ARATH")</f>
        <v>Y5487_ARATH</v>
      </c>
      <c r="D17460" t="s">
        <v>292</v>
      </c>
      <c r="E17460" s="3" t="s">
        <v>3</v>
      </c>
      <c r="F17460" s="4">
        <v>3.4299999999999999E-34</v>
      </c>
      <c r="G17460" s="3">
        <v>325</v>
      </c>
      <c r="H17460" s="3">
        <v>58</v>
      </c>
      <c r="I17460" s="3">
        <v>102</v>
      </c>
      <c r="J17460" s="3">
        <v>10</v>
      </c>
      <c r="K17460" s="3">
        <v>315</v>
      </c>
      <c r="L17460" s="3">
        <v>36</v>
      </c>
      <c r="M17460" s="3">
        <v>137</v>
      </c>
    </row>
    <row r="17461" spans="1:13" x14ac:dyDescent="0.25">
      <c r="A17461" s="1" t="str">
        <f>HYPERLINK("http://www.rosaceae.org/Prunus/Prunus_persica/p.persica_gdr_reftransV1_0002009","p.persica_gdr_reftransV1_0002009")</f>
        <v>p.persica_gdr_reftransV1_0002009</v>
      </c>
      <c r="B17461" s="3">
        <v>336</v>
      </c>
      <c r="C17461" s="1" t="str">
        <f>HYPERLINK("http://www.uniprot.org/uniprot/CNGC1_ARATH","CNGC1_ARATH")</f>
        <v>CNGC1_ARATH</v>
      </c>
      <c r="D17461" t="s">
        <v>241</v>
      </c>
      <c r="E17461" s="3" t="s">
        <v>3</v>
      </c>
      <c r="F17461" s="4">
        <v>1.28E-12</v>
      </c>
      <c r="G17461" s="3">
        <v>164</v>
      </c>
      <c r="H17461" s="3">
        <v>52</v>
      </c>
      <c r="I17461" s="3">
        <v>60</v>
      </c>
      <c r="J17461" s="3">
        <v>1</v>
      </c>
      <c r="K17461" s="3">
        <v>180</v>
      </c>
      <c r="L17461" s="3">
        <v>104</v>
      </c>
      <c r="M17461" s="3">
        <v>163</v>
      </c>
    </row>
    <row r="17462" spans="1:13" x14ac:dyDescent="0.25">
      <c r="A17462" s="1" t="str">
        <f>HYPERLINK("http://www.rosaceae.org/Prunus/Prunus_persica/p.persica_gdr_reftransV1_0002159","p.persica_gdr_reftransV1_0002159")</f>
        <v>p.persica_gdr_reftransV1_0002159</v>
      </c>
      <c r="B17462" s="3">
        <v>394</v>
      </c>
      <c r="C17462" s="1" t="str">
        <f>HYPERLINK("http://www.uniprot.org/uniprot/BH025_ARATH","BH025_ARATH")</f>
        <v>BH025_ARATH</v>
      </c>
      <c r="D17462" t="s">
        <v>416</v>
      </c>
      <c r="E17462" s="3" t="s">
        <v>3</v>
      </c>
      <c r="F17462" s="4">
        <v>5.2700000000000001E-41</v>
      </c>
      <c r="G17462" s="3">
        <v>364</v>
      </c>
      <c r="H17462" s="3">
        <v>60</v>
      </c>
      <c r="I17462" s="3">
        <v>131</v>
      </c>
      <c r="J17462" s="3">
        <v>1</v>
      </c>
      <c r="K17462" s="3">
        <v>393</v>
      </c>
      <c r="L17462" s="3">
        <v>177</v>
      </c>
      <c r="M17462" s="3">
        <v>306</v>
      </c>
    </row>
    <row r="17463" spans="1:13" x14ac:dyDescent="0.25">
      <c r="A17463" s="1" t="str">
        <f>HYPERLINK("http://www.rosaceae.org/Prunus/Prunus_persica/p.persica_gdr_reftransV1_0002259","p.persica_gdr_reftransV1_0002259")</f>
        <v>p.persica_gdr_reftransV1_0002259</v>
      </c>
      <c r="B17463" s="3">
        <v>1269</v>
      </c>
      <c r="C17463" s="1" t="str">
        <f>HYPERLINK("http://www.uniprot.org/uniprot/GRDH_DAUCA","GRDH_DAUCA")</f>
        <v>GRDH_DAUCA</v>
      </c>
      <c r="D17463" t="s">
        <v>10705</v>
      </c>
      <c r="E17463" s="3" t="s">
        <v>32</v>
      </c>
      <c r="F17463" s="4">
        <v>6.9799999999999998E-166</v>
      </c>
      <c r="G17463" s="3">
        <v>1221</v>
      </c>
      <c r="H17463" s="3">
        <v>76</v>
      </c>
      <c r="I17463" s="3">
        <v>293</v>
      </c>
      <c r="J17463" s="3">
        <v>300</v>
      </c>
      <c r="K17463" s="3">
        <v>1178</v>
      </c>
      <c r="L17463" s="3">
        <v>1</v>
      </c>
      <c r="M17463" s="3">
        <v>290</v>
      </c>
    </row>
    <row r="17464" spans="1:13" x14ac:dyDescent="0.25">
      <c r="A17464" s="1" t="str">
        <f>HYPERLINK("http://www.rosaceae.org/Prunus/Prunus_persica/p.persica_gdr_reftransV1_0002309","p.persica_gdr_reftransV1_0002309")</f>
        <v>p.persica_gdr_reftransV1_0002309</v>
      </c>
      <c r="B17464" s="3">
        <v>864</v>
      </c>
      <c r="C17464" s="1" t="str">
        <f>HYPERLINK("http://www.uniprot.org/uniprot/Y1343_ARATH","Y1343_ARATH")</f>
        <v>Y1343_ARATH</v>
      </c>
      <c r="D17464" t="s">
        <v>1207</v>
      </c>
      <c r="E17464" s="3" t="s">
        <v>3</v>
      </c>
      <c r="F17464" s="4">
        <v>9.7999999999999997E-50</v>
      </c>
      <c r="G17464" s="3">
        <v>456</v>
      </c>
      <c r="H17464" s="3">
        <v>49</v>
      </c>
      <c r="I17464" s="3">
        <v>180</v>
      </c>
      <c r="J17464" s="3">
        <v>1</v>
      </c>
      <c r="K17464" s="3">
        <v>534</v>
      </c>
      <c r="L17464" s="3">
        <v>586</v>
      </c>
      <c r="M17464" s="3">
        <v>765</v>
      </c>
    </row>
    <row r="17465" spans="1:13" x14ac:dyDescent="0.25">
      <c r="A17465" s="1" t="str">
        <f>HYPERLINK("http://www.rosaceae.org/Prunus/Prunus_persica/p.persica_gdr_reftransV1_0002409","p.persica_gdr_reftransV1_0002409")</f>
        <v>p.persica_gdr_reftransV1_0002409</v>
      </c>
      <c r="B17465" s="3">
        <v>5599</v>
      </c>
      <c r="C17465" s="1" t="str">
        <f>HYPERLINK("http://www.uniprot.org/uniprot/VPS8_HUMAN","VPS8_HUMAN")</f>
        <v>VPS8_HUMAN</v>
      </c>
      <c r="D17465" t="s">
        <v>10706</v>
      </c>
      <c r="E17465" s="3" t="s">
        <v>28</v>
      </c>
      <c r="F17465" s="4">
        <v>5.18E-79</v>
      </c>
      <c r="G17465" s="3">
        <v>749</v>
      </c>
      <c r="H17465" s="3">
        <v>25</v>
      </c>
      <c r="I17465" s="3">
        <v>989</v>
      </c>
      <c r="J17465" s="3">
        <v>1963</v>
      </c>
      <c r="K17465" s="3">
        <v>4848</v>
      </c>
      <c r="L17465" s="3">
        <v>470</v>
      </c>
      <c r="M17465" s="3">
        <v>1288</v>
      </c>
    </row>
    <row r="17466" spans="1:13" x14ac:dyDescent="0.25">
      <c r="A17466" s="1" t="str">
        <f>HYPERLINK("http://www.rosaceae.org/Prunus/Prunus_persica/p.persica_gdr_reftransV1_0002459","p.persica_gdr_reftransV1_0002459")</f>
        <v>p.persica_gdr_reftransV1_0002459</v>
      </c>
      <c r="B17466" s="3">
        <v>1781</v>
      </c>
      <c r="C17466" s="1" t="str">
        <f>HYPERLINK("http://www.uniprot.org/uniprot/SMC6B_ARATH","SMC6B_ARATH")</f>
        <v>SMC6B_ARATH</v>
      </c>
      <c r="D17466" t="s">
        <v>5035</v>
      </c>
      <c r="E17466" s="3" t="s">
        <v>3</v>
      </c>
      <c r="F17466" s="4">
        <v>2.6099999999999999E-160</v>
      </c>
      <c r="G17466" s="3">
        <v>898</v>
      </c>
      <c r="H17466" s="3">
        <v>53</v>
      </c>
      <c r="I17466" s="3">
        <v>398</v>
      </c>
      <c r="J17466" s="3">
        <v>1</v>
      </c>
      <c r="K17466" s="3">
        <v>1101</v>
      </c>
      <c r="L17466" s="3">
        <v>505</v>
      </c>
      <c r="M17466" s="3">
        <v>901</v>
      </c>
    </row>
    <row r="17467" spans="1:13" x14ac:dyDescent="0.25">
      <c r="A17467" s="1" t="str">
        <f>HYPERLINK("http://www.rosaceae.org/Prunus/Prunus_persica/p.persica_gdr_reftransV1_0002509","p.persica_gdr_reftransV1_0002509")</f>
        <v>p.persica_gdr_reftransV1_0002509</v>
      </c>
      <c r="B17467" s="3">
        <v>2271</v>
      </c>
      <c r="C17467" s="1" t="str">
        <f>HYPERLINK("http://www.uniprot.org/uniprot/PEK13_ARATH","PEK13_ARATH")</f>
        <v>PEK13_ARATH</v>
      </c>
      <c r="D17467" t="s">
        <v>5671</v>
      </c>
      <c r="E17467" s="3" t="s">
        <v>3</v>
      </c>
      <c r="F17467" s="4">
        <v>2.8999999999999999E-71</v>
      </c>
      <c r="G17467" s="3">
        <v>644</v>
      </c>
      <c r="H17467" s="3">
        <v>35</v>
      </c>
      <c r="I17467" s="3">
        <v>452</v>
      </c>
      <c r="J17467" s="3">
        <v>695</v>
      </c>
      <c r="K17467" s="3">
        <v>2005</v>
      </c>
      <c r="L17467" s="3">
        <v>196</v>
      </c>
      <c r="M17467" s="3">
        <v>631</v>
      </c>
    </row>
    <row r="17468" spans="1:13" x14ac:dyDescent="0.25">
      <c r="A17468" s="1" t="str">
        <f>HYPERLINK("http://www.rosaceae.org/Prunus/Prunus_persica/p.persica_gdr_reftransV1_0002559","p.persica_gdr_reftransV1_0002559")</f>
        <v>p.persica_gdr_reftransV1_0002559</v>
      </c>
      <c r="B17468" s="3">
        <v>1771</v>
      </c>
      <c r="C17468" s="1" t="str">
        <f>HYPERLINK("http://www.uniprot.org/uniprot/MTP4_ORYSJ","MTP4_ORYSJ")</f>
        <v>MTP4_ORYSJ</v>
      </c>
      <c r="D17468" t="s">
        <v>10707</v>
      </c>
      <c r="E17468" s="3" t="s">
        <v>38</v>
      </c>
      <c r="F17468" s="4">
        <v>0</v>
      </c>
      <c r="G17468" s="3">
        <v>1365</v>
      </c>
      <c r="H17468" s="3">
        <v>77</v>
      </c>
      <c r="I17468" s="3">
        <v>370</v>
      </c>
      <c r="J17468" s="3">
        <v>218</v>
      </c>
      <c r="K17468" s="3">
        <v>1321</v>
      </c>
      <c r="L17468" s="3">
        <v>28</v>
      </c>
      <c r="M17468" s="3">
        <v>397</v>
      </c>
    </row>
    <row r="17469" spans="1:13" x14ac:dyDescent="0.25">
      <c r="A17469" s="1" t="str">
        <f>HYPERLINK("http://www.rosaceae.org/Prunus/Prunus_persica/p.persica_gdr_reftransV1_0002759","p.persica_gdr_reftransV1_0002759")</f>
        <v>p.persica_gdr_reftransV1_0002759</v>
      </c>
      <c r="B17469" s="3">
        <v>789</v>
      </c>
      <c r="C17469" s="1" t="str">
        <f>HYPERLINK("http://www.uniprot.org/uniprot/PLY_LILLO","PLY_LILLO")</f>
        <v>PLY_LILLO</v>
      </c>
      <c r="D17469" t="s">
        <v>6254</v>
      </c>
      <c r="E17469" s="3" t="s">
        <v>3887</v>
      </c>
      <c r="F17469" s="4">
        <v>3.6499999999999998E-88</v>
      </c>
      <c r="G17469" s="3">
        <v>703</v>
      </c>
      <c r="H17469" s="3">
        <v>69</v>
      </c>
      <c r="I17469" s="3">
        <v>182</v>
      </c>
      <c r="J17469" s="3">
        <v>6</v>
      </c>
      <c r="K17469" s="3">
        <v>551</v>
      </c>
      <c r="L17469" s="3">
        <v>254</v>
      </c>
      <c r="M17469" s="3">
        <v>434</v>
      </c>
    </row>
    <row r="17470" spans="1:13" x14ac:dyDescent="0.25">
      <c r="A17470" s="1" t="str">
        <f>HYPERLINK("http://www.rosaceae.org/Prunus/Prunus_persica/p.persica_gdr_reftransV1_0002859","p.persica_gdr_reftransV1_0002859")</f>
        <v>p.persica_gdr_reftransV1_0002859</v>
      </c>
      <c r="B17470" s="3">
        <v>1899</v>
      </c>
      <c r="C17470" s="1" t="str">
        <f>HYPERLINK("http://www.uniprot.org/uniprot/DNJ49_ARATH","DNJ49_ARATH")</f>
        <v>DNJ49_ARATH</v>
      </c>
      <c r="D17470" t="s">
        <v>4749</v>
      </c>
      <c r="E17470" s="3" t="s">
        <v>3</v>
      </c>
      <c r="F17470" s="4">
        <v>2.7400000000000001E-67</v>
      </c>
      <c r="G17470" s="3">
        <v>585</v>
      </c>
      <c r="H17470" s="3">
        <v>41</v>
      </c>
      <c r="I17470" s="3">
        <v>370</v>
      </c>
      <c r="J17470" s="3">
        <v>350</v>
      </c>
      <c r="K17470" s="3">
        <v>1423</v>
      </c>
      <c r="L17470" s="3">
        <v>1</v>
      </c>
      <c r="M17470" s="3">
        <v>343</v>
      </c>
    </row>
    <row r="17471" spans="1:13" x14ac:dyDescent="0.25">
      <c r="A17471" s="1" t="str">
        <f>HYPERLINK("http://www.rosaceae.org/Prunus/Prunus_persica/p.persica_gdr_reftransV1_0002909","p.persica_gdr_reftransV1_0002909")</f>
        <v>p.persica_gdr_reftransV1_0002909</v>
      </c>
      <c r="B17471" s="3">
        <v>1619</v>
      </c>
      <c r="C17471" s="1" t="str">
        <f>HYPERLINK("http://www.uniprot.org/uniprot/B561G_ARATH","B561G_ARATH")</f>
        <v>B561G_ARATH</v>
      </c>
      <c r="D17471" t="s">
        <v>10708</v>
      </c>
      <c r="E17471" s="3" t="s">
        <v>3</v>
      </c>
      <c r="F17471" s="4">
        <v>0</v>
      </c>
      <c r="G17471" s="3">
        <v>1440</v>
      </c>
      <c r="H17471" s="3">
        <v>71</v>
      </c>
      <c r="I17471" s="3">
        <v>376</v>
      </c>
      <c r="J17471" s="3">
        <v>368</v>
      </c>
      <c r="K17471" s="3">
        <v>1486</v>
      </c>
      <c r="L17471" s="3">
        <v>20</v>
      </c>
      <c r="M17471" s="3">
        <v>395</v>
      </c>
    </row>
    <row r="17472" spans="1:13" x14ac:dyDescent="0.25">
      <c r="A17472" s="1" t="str">
        <f>HYPERLINK("http://www.rosaceae.org/Prunus/Prunus_persica/p.persica_gdr_reftransV1_0003109","p.persica_gdr_reftransV1_0003109")</f>
        <v>p.persica_gdr_reftransV1_0003109</v>
      </c>
      <c r="B17472" s="3">
        <v>9772</v>
      </c>
      <c r="C17472" s="1" t="str">
        <f>HYPERLINK("http://www.uniprot.org/uniprot/POLG_PPVSK","POLG_PPVSK")</f>
        <v>POLG_PPVSK</v>
      </c>
      <c r="D17472" t="s">
        <v>10709</v>
      </c>
      <c r="E17472" s="3" t="s">
        <v>10710</v>
      </c>
      <c r="F17472" s="4">
        <v>0</v>
      </c>
      <c r="G17472" s="3">
        <v>16405</v>
      </c>
      <c r="H17472" s="3">
        <v>99</v>
      </c>
      <c r="I17472" s="3">
        <v>3140</v>
      </c>
      <c r="J17472" s="3">
        <v>131</v>
      </c>
      <c r="K17472" s="3">
        <v>9550</v>
      </c>
      <c r="L17472" s="3">
        <v>1</v>
      </c>
      <c r="M17472" s="3">
        <v>3140</v>
      </c>
    </row>
    <row r="17473" spans="1:13" x14ac:dyDescent="0.25">
      <c r="A17473" s="1" t="str">
        <f>HYPERLINK("http://www.rosaceae.org/Prunus/Prunus_persica/p.persica_gdr_reftransV1_0003209","p.persica_gdr_reftransV1_0003209")</f>
        <v>p.persica_gdr_reftransV1_0003209</v>
      </c>
      <c r="B17473" s="3">
        <v>1158</v>
      </c>
      <c r="C17473" s="1" t="str">
        <f>HYPERLINK("http://www.uniprot.org/uniprot/YIZG_SCHPO","YIZG_SCHPO")</f>
        <v>YIZG_SCHPO</v>
      </c>
      <c r="D17473" t="s">
        <v>2160</v>
      </c>
      <c r="E17473" s="3" t="s">
        <v>464</v>
      </c>
      <c r="F17473" s="4">
        <v>5.56E-55</v>
      </c>
      <c r="G17473" s="3">
        <v>493</v>
      </c>
      <c r="H17473" s="3">
        <v>42</v>
      </c>
      <c r="I17473" s="3">
        <v>262</v>
      </c>
      <c r="J17473" s="3">
        <v>353</v>
      </c>
      <c r="K17473" s="3">
        <v>1135</v>
      </c>
      <c r="L17473" s="3">
        <v>73</v>
      </c>
      <c r="M17473" s="3">
        <v>333</v>
      </c>
    </row>
    <row r="17474" spans="1:13" x14ac:dyDescent="0.25">
      <c r="A17474" s="1" t="str">
        <f>HYPERLINK("http://www.rosaceae.org/Prunus/Prunus_persica/p.persica_gdr_reftransV1_0003259","p.persica_gdr_reftransV1_0003259")</f>
        <v>p.persica_gdr_reftransV1_0003259</v>
      </c>
      <c r="B17474" s="3">
        <v>2559</v>
      </c>
      <c r="C17474" s="1" t="str">
        <f>HYPERLINK("http://www.uniprot.org/uniprot/S6PD_MALDO","S6PD_MALDO")</f>
        <v>S6PD_MALDO</v>
      </c>
      <c r="D17474" t="s">
        <v>3468</v>
      </c>
      <c r="E17474" s="3" t="s">
        <v>540</v>
      </c>
      <c r="F17474" s="4">
        <v>2.7299999999999999E-164</v>
      </c>
      <c r="G17474" s="3">
        <v>1253</v>
      </c>
      <c r="H17474" s="3">
        <v>76</v>
      </c>
      <c r="I17474" s="3">
        <v>310</v>
      </c>
      <c r="J17474" s="3">
        <v>97</v>
      </c>
      <c r="K17474" s="3">
        <v>1026</v>
      </c>
      <c r="L17474" s="3">
        <v>1</v>
      </c>
      <c r="M17474" s="3">
        <v>310</v>
      </c>
    </row>
    <row r="17475" spans="1:13" x14ac:dyDescent="0.25">
      <c r="A17475" s="1" t="str">
        <f>HYPERLINK("http://www.rosaceae.org/Prunus/Prunus_persica/p.persica_gdr_reftransV1_0003309","p.persica_gdr_reftransV1_0003309")</f>
        <v>p.persica_gdr_reftransV1_0003309</v>
      </c>
      <c r="B17475" s="3">
        <v>412</v>
      </c>
      <c r="C17475" s="1" t="str">
        <f>HYPERLINK("http://www.uniprot.org/uniprot/AFC1_ARATH","AFC1_ARATH")</f>
        <v>AFC1_ARATH</v>
      </c>
      <c r="D17475" t="s">
        <v>442</v>
      </c>
      <c r="E17475" s="3" t="s">
        <v>3</v>
      </c>
      <c r="F17475" s="4">
        <v>5.4400000000000001E-11</v>
      </c>
      <c r="G17475" s="3">
        <v>152</v>
      </c>
      <c r="H17475" s="3">
        <v>37</v>
      </c>
      <c r="I17475" s="3">
        <v>97</v>
      </c>
      <c r="J17475" s="3">
        <v>17</v>
      </c>
      <c r="K17475" s="3">
        <v>307</v>
      </c>
      <c r="L17475" s="3">
        <v>296</v>
      </c>
      <c r="M17475" s="3">
        <v>384</v>
      </c>
    </row>
    <row r="17476" spans="1:13" x14ac:dyDescent="0.25">
      <c r="A17476" s="1" t="str">
        <f>HYPERLINK("http://www.rosaceae.org/Prunus/Prunus_persica/p.persica_gdr_reftransV1_0003409","p.persica_gdr_reftransV1_0003409")</f>
        <v>p.persica_gdr_reftransV1_0003409</v>
      </c>
      <c r="B17476" s="3">
        <v>2524</v>
      </c>
      <c r="C17476" s="1" t="str">
        <f>HYPERLINK("http://www.uniprot.org/uniprot/DDB2_ARATH","DDB2_ARATH")</f>
        <v>DDB2_ARATH</v>
      </c>
      <c r="D17476" t="s">
        <v>2096</v>
      </c>
      <c r="E17476" s="3" t="s">
        <v>3</v>
      </c>
      <c r="F17476" s="4">
        <v>3.5900000000000003E-144</v>
      </c>
      <c r="G17476" s="3">
        <v>967</v>
      </c>
      <c r="H17476" s="3">
        <v>75</v>
      </c>
      <c r="I17476" s="3">
        <v>228</v>
      </c>
      <c r="J17476" s="3">
        <v>1041</v>
      </c>
      <c r="K17476" s="3">
        <v>1724</v>
      </c>
      <c r="L17476" s="3">
        <v>192</v>
      </c>
      <c r="M17476" s="3">
        <v>419</v>
      </c>
    </row>
    <row r="17477" spans="1:13" x14ac:dyDescent="0.25">
      <c r="A17477" s="1" t="str">
        <f>HYPERLINK("http://www.rosaceae.org/Prunus/Prunus_persica/p.persica_gdr_reftransV1_0003459","p.persica_gdr_reftransV1_0003459")</f>
        <v>p.persica_gdr_reftransV1_0003459</v>
      </c>
      <c r="B17477" s="3">
        <v>784</v>
      </c>
      <c r="C17477" s="1" t="str">
        <f>HYPERLINK("http://www.uniprot.org/uniprot/PPR89_ARATH","PPR89_ARATH")</f>
        <v>PPR89_ARATH</v>
      </c>
      <c r="D17477" t="s">
        <v>2248</v>
      </c>
      <c r="E17477" s="3" t="s">
        <v>3</v>
      </c>
      <c r="F17477" s="4">
        <v>8.0999999999999997E-8</v>
      </c>
      <c r="G17477" s="3">
        <v>130</v>
      </c>
      <c r="H17477" s="3">
        <v>34</v>
      </c>
      <c r="I17477" s="3">
        <v>102</v>
      </c>
      <c r="J17477" s="3">
        <v>234</v>
      </c>
      <c r="K17477" s="3">
        <v>533</v>
      </c>
      <c r="L17477" s="3">
        <v>1</v>
      </c>
      <c r="M17477" s="3">
        <v>101</v>
      </c>
    </row>
    <row r="17478" spans="1:13" x14ac:dyDescent="0.25">
      <c r="A17478" s="1" t="str">
        <f>HYPERLINK("http://www.rosaceae.org/Prunus/Prunus_persica/p.persica_gdr_reftransV1_0003559","p.persica_gdr_reftransV1_0003559")</f>
        <v>p.persica_gdr_reftransV1_0003559</v>
      </c>
      <c r="B17478" s="3">
        <v>436</v>
      </c>
      <c r="C17478" s="1" t="str">
        <f>HYPERLINK("http://www.uniprot.org/uniprot/SYLC_ARATH","SYLC_ARATH")</f>
        <v>SYLC_ARATH</v>
      </c>
      <c r="D17478" t="s">
        <v>171</v>
      </c>
      <c r="E17478" s="3" t="s">
        <v>3</v>
      </c>
      <c r="F17478" s="4">
        <v>1.24E-61</v>
      </c>
      <c r="G17478" s="3">
        <v>532</v>
      </c>
      <c r="H17478" s="3">
        <v>75</v>
      </c>
      <c r="I17478" s="3">
        <v>145</v>
      </c>
      <c r="J17478" s="3">
        <v>2</v>
      </c>
      <c r="K17478" s="3">
        <v>436</v>
      </c>
      <c r="L17478" s="3">
        <v>317</v>
      </c>
      <c r="M17478" s="3">
        <v>460</v>
      </c>
    </row>
    <row r="17479" spans="1:13" x14ac:dyDescent="0.25">
      <c r="A17479" s="1" t="str">
        <f>HYPERLINK("http://www.rosaceae.org/Prunus/Prunus_persica/p.persica_gdr_reftransV1_0003609","p.persica_gdr_reftransV1_0003609")</f>
        <v>p.persica_gdr_reftransV1_0003609</v>
      </c>
      <c r="B17479" s="3">
        <v>2305</v>
      </c>
      <c r="C17479" s="1" t="str">
        <f>HYPERLINK("http://www.uniprot.org/uniprot/PP449_ARATH","PP449_ARATH")</f>
        <v>PP449_ARATH</v>
      </c>
      <c r="D17479" t="s">
        <v>1725</v>
      </c>
      <c r="E17479" s="3" t="s">
        <v>3</v>
      </c>
      <c r="F17479" s="4">
        <v>4.8500000000000004E-22</v>
      </c>
      <c r="G17479" s="3">
        <v>245</v>
      </c>
      <c r="H17479" s="3">
        <v>42</v>
      </c>
      <c r="I17479" s="3">
        <v>122</v>
      </c>
      <c r="J17479" s="3">
        <v>267</v>
      </c>
      <c r="K17479" s="3">
        <v>623</v>
      </c>
      <c r="L17479" s="3">
        <v>154</v>
      </c>
      <c r="M17479" s="3">
        <v>269</v>
      </c>
    </row>
    <row r="17480" spans="1:13" x14ac:dyDescent="0.25">
      <c r="A17480" s="1" t="str">
        <f>HYPERLINK("http://www.rosaceae.org/Prunus/Prunus_persica/p.persica_gdr_reftransV1_0003659","p.persica_gdr_reftransV1_0003659")</f>
        <v>p.persica_gdr_reftransV1_0003659</v>
      </c>
      <c r="B17480" s="3">
        <v>806</v>
      </c>
      <c r="C17480" s="1" t="str">
        <f>HYPERLINK("http://www.uniprot.org/uniprot/ML329_ARATH","ML329_ARATH")</f>
        <v>ML329_ARATH</v>
      </c>
      <c r="D17480" t="s">
        <v>10436</v>
      </c>
      <c r="E17480" s="3" t="s">
        <v>3</v>
      </c>
      <c r="F17480" s="4">
        <v>2.4500000000000001E-28</v>
      </c>
      <c r="G17480" s="3">
        <v>277</v>
      </c>
      <c r="H17480" s="3">
        <v>40</v>
      </c>
      <c r="I17480" s="3">
        <v>146</v>
      </c>
      <c r="J17480" s="3">
        <v>126</v>
      </c>
      <c r="K17480" s="3">
        <v>560</v>
      </c>
      <c r="L17480" s="3">
        <v>6</v>
      </c>
      <c r="M17480" s="3">
        <v>150</v>
      </c>
    </row>
    <row r="17481" spans="1:13" x14ac:dyDescent="0.25">
      <c r="A17481" s="1" t="str">
        <f>HYPERLINK("http://www.rosaceae.org/Prunus/Prunus_persica/p.persica_gdr_reftransV1_0003759","p.persica_gdr_reftransV1_0003759")</f>
        <v>p.persica_gdr_reftransV1_0003759</v>
      </c>
      <c r="B17481" s="3">
        <v>1470</v>
      </c>
      <c r="C17481" s="1" t="str">
        <f>HYPERLINK("http://www.uniprot.org/uniprot/RAD9A_MOUSE","RAD9A_MOUSE")</f>
        <v>RAD9A_MOUSE</v>
      </c>
      <c r="D17481" t="s">
        <v>10711</v>
      </c>
      <c r="E17481" s="3" t="s">
        <v>157</v>
      </c>
      <c r="F17481" s="4">
        <v>1.37E-22</v>
      </c>
      <c r="G17481" s="3">
        <v>255</v>
      </c>
      <c r="H17481" s="3">
        <v>31</v>
      </c>
      <c r="I17481" s="3">
        <v>292</v>
      </c>
      <c r="J17481" s="3">
        <v>551</v>
      </c>
      <c r="K17481" s="3">
        <v>1399</v>
      </c>
      <c r="L17481" s="3">
        <v>1</v>
      </c>
      <c r="M17481" s="3">
        <v>266</v>
      </c>
    </row>
    <row r="17482" spans="1:13" x14ac:dyDescent="0.25">
      <c r="A17482" s="1" t="str">
        <f>HYPERLINK("http://www.rosaceae.org/Prunus/Prunus_persica/p.persica_gdr_reftransV1_0004059","p.persica_gdr_reftransV1_0004059")</f>
        <v>p.persica_gdr_reftransV1_0004059</v>
      </c>
      <c r="B17482" s="3">
        <v>1747</v>
      </c>
      <c r="C17482" s="1" t="str">
        <f>HYPERLINK("http://www.uniprot.org/uniprot/RVE3_ARATH","RVE3_ARATH")</f>
        <v>RVE3_ARATH</v>
      </c>
      <c r="D17482" t="s">
        <v>10712</v>
      </c>
      <c r="E17482" s="3" t="s">
        <v>3</v>
      </c>
      <c r="F17482" s="4">
        <v>8.9599999999999997E-91</v>
      </c>
      <c r="G17482" s="3">
        <v>736</v>
      </c>
      <c r="H17482" s="3">
        <v>54</v>
      </c>
      <c r="I17482" s="3">
        <v>323</v>
      </c>
      <c r="J17482" s="3">
        <v>613</v>
      </c>
      <c r="K17482" s="3">
        <v>1578</v>
      </c>
      <c r="L17482" s="3">
        <v>1</v>
      </c>
      <c r="M17482" s="3">
        <v>286</v>
      </c>
    </row>
    <row r="17483" spans="1:13" x14ac:dyDescent="0.25">
      <c r="A17483" s="1" t="str">
        <f>HYPERLINK("http://www.rosaceae.org/Prunus/Prunus_persica/p.persica_gdr_reftransV1_0004209","p.persica_gdr_reftransV1_0004209")</f>
        <v>p.persica_gdr_reftransV1_0004209</v>
      </c>
      <c r="B17483" s="3">
        <v>1882</v>
      </c>
      <c r="C17483" s="1" t="str">
        <f>HYPERLINK("http://www.uniprot.org/uniprot/DRB2_ARATH","DRB2_ARATH")</f>
        <v>DRB2_ARATH</v>
      </c>
      <c r="D17483" t="s">
        <v>10713</v>
      </c>
      <c r="E17483" s="3" t="s">
        <v>3</v>
      </c>
      <c r="F17483" s="4">
        <v>5.6399999999999998E-143</v>
      </c>
      <c r="G17483" s="3">
        <v>1104</v>
      </c>
      <c r="H17483" s="3">
        <v>73</v>
      </c>
      <c r="I17483" s="3">
        <v>359</v>
      </c>
      <c r="J17483" s="3">
        <v>527</v>
      </c>
      <c r="K17483" s="3">
        <v>1552</v>
      </c>
      <c r="L17483" s="3">
        <v>1</v>
      </c>
      <c r="M17483" s="3">
        <v>355</v>
      </c>
    </row>
    <row r="17484" spans="1:13" x14ac:dyDescent="0.25">
      <c r="A17484" s="1" t="str">
        <f>HYPERLINK("http://www.rosaceae.org/Prunus/Prunus_persica/p.persica_gdr_reftransV1_0004309","p.persica_gdr_reftransV1_0004309")</f>
        <v>p.persica_gdr_reftransV1_0004309</v>
      </c>
      <c r="B17484" s="3">
        <v>669</v>
      </c>
      <c r="C17484" s="1" t="str">
        <f>HYPERLINK("http://www.uniprot.org/uniprot/MD33A_ARATH","MD33A_ARATH")</f>
        <v>MD33A_ARATH</v>
      </c>
      <c r="D17484" t="s">
        <v>4179</v>
      </c>
      <c r="E17484" s="3" t="s">
        <v>3</v>
      </c>
      <c r="F17484" s="4">
        <v>4.8300000000000004E-53</v>
      </c>
      <c r="G17484" s="3">
        <v>480</v>
      </c>
      <c r="H17484" s="3">
        <v>61</v>
      </c>
      <c r="I17484" s="3">
        <v>170</v>
      </c>
      <c r="J17484" s="3">
        <v>147</v>
      </c>
      <c r="K17484" s="3">
        <v>656</v>
      </c>
      <c r="L17484" s="3">
        <v>8</v>
      </c>
      <c r="M17484" s="3">
        <v>177</v>
      </c>
    </row>
    <row r="17485" spans="1:13" x14ac:dyDescent="0.25">
      <c r="A17485" s="1" t="str">
        <f>HYPERLINK("http://www.rosaceae.org/Prunus/Prunus_persica/p.persica_gdr_reftransV1_0004359","p.persica_gdr_reftransV1_0004359")</f>
        <v>p.persica_gdr_reftransV1_0004359</v>
      </c>
      <c r="B17485" s="3">
        <v>2537</v>
      </c>
      <c r="C17485" s="1" t="str">
        <f>HYPERLINK("http://www.uniprot.org/uniprot/TRPA1_RAT","TRPA1_RAT")</f>
        <v>TRPA1_RAT</v>
      </c>
      <c r="D17485" t="s">
        <v>10714</v>
      </c>
      <c r="E17485" s="3" t="s">
        <v>161</v>
      </c>
      <c r="F17485" s="4">
        <v>1.2900000000000001E-9</v>
      </c>
      <c r="G17485" s="3">
        <v>159</v>
      </c>
      <c r="H17485" s="3">
        <v>37</v>
      </c>
      <c r="I17485" s="3">
        <v>115</v>
      </c>
      <c r="J17485" s="3">
        <v>427</v>
      </c>
      <c r="K17485" s="3">
        <v>768</v>
      </c>
      <c r="L17485" s="3">
        <v>446</v>
      </c>
      <c r="M17485" s="3">
        <v>557</v>
      </c>
    </row>
    <row r="17486" spans="1:13" x14ac:dyDescent="0.25">
      <c r="A17486" s="1" t="str">
        <f>HYPERLINK("http://www.rosaceae.org/Prunus/Prunus_persica/p.persica_gdr_reftransV1_0004409","p.persica_gdr_reftransV1_0004409")</f>
        <v>p.persica_gdr_reftransV1_0004409</v>
      </c>
      <c r="B17486" s="3">
        <v>941</v>
      </c>
      <c r="C17486" s="1" t="str">
        <f>HYPERLINK("http://www.uniprot.org/uniprot/SUI1_MAIZE","SUI1_MAIZE")</f>
        <v>SUI1_MAIZE</v>
      </c>
      <c r="D17486" t="s">
        <v>10715</v>
      </c>
      <c r="E17486" s="3" t="s">
        <v>72</v>
      </c>
      <c r="F17486" s="4">
        <v>6.0300000000000001E-56</v>
      </c>
      <c r="G17486" s="3">
        <v>465</v>
      </c>
      <c r="H17486" s="3">
        <v>77</v>
      </c>
      <c r="I17486" s="3">
        <v>115</v>
      </c>
      <c r="J17486" s="3">
        <v>138</v>
      </c>
      <c r="K17486" s="3">
        <v>473</v>
      </c>
      <c r="L17486" s="3">
        <v>1</v>
      </c>
      <c r="M17486" s="3">
        <v>115</v>
      </c>
    </row>
    <row r="17487" spans="1:13" x14ac:dyDescent="0.25">
      <c r="A17487" s="1" t="str">
        <f>HYPERLINK("http://www.rosaceae.org/Prunus/Prunus_persica/p.persica_gdr_reftransV1_0004509","p.persica_gdr_reftransV1_0004509")</f>
        <v>p.persica_gdr_reftransV1_0004509</v>
      </c>
      <c r="B17487" s="3">
        <v>5016</v>
      </c>
      <c r="C17487" s="1" t="str">
        <f>HYPERLINK("http://www.uniprot.org/uniprot/AB3C_ARATH","AB3C_ARATH")</f>
        <v>AB3C_ARATH</v>
      </c>
      <c r="D17487" t="s">
        <v>6222</v>
      </c>
      <c r="E17487" s="3" t="s">
        <v>3</v>
      </c>
      <c r="F17487" s="4">
        <v>0</v>
      </c>
      <c r="G17487" s="3">
        <v>5058</v>
      </c>
      <c r="H17487" s="3">
        <v>69</v>
      </c>
      <c r="I17487" s="3">
        <v>1515</v>
      </c>
      <c r="J17487" s="3">
        <v>348</v>
      </c>
      <c r="K17487" s="3">
        <v>4862</v>
      </c>
      <c r="L17487" s="3">
        <v>4</v>
      </c>
      <c r="M17487" s="3">
        <v>1514</v>
      </c>
    </row>
    <row r="17488" spans="1:13" x14ac:dyDescent="0.25">
      <c r="A17488" s="1" t="str">
        <f>HYPERLINK("http://www.rosaceae.org/Prunus/Prunus_persica/p.persica_gdr_reftransV1_0004559","p.persica_gdr_reftransV1_0004559")</f>
        <v>p.persica_gdr_reftransV1_0004559</v>
      </c>
      <c r="B17488" s="3">
        <v>464</v>
      </c>
      <c r="C17488" s="1" t="str">
        <f>HYPERLINK("http://www.uniprot.org/uniprot/BAGBG_DALNI","BAGBG_DALNI")</f>
        <v>BAGBG_DALNI</v>
      </c>
      <c r="D17488" t="s">
        <v>10716</v>
      </c>
      <c r="E17488" s="3" t="s">
        <v>10717</v>
      </c>
      <c r="F17488" s="4">
        <v>2.87E-57</v>
      </c>
      <c r="G17488" s="3">
        <v>489</v>
      </c>
      <c r="H17488" s="3">
        <v>58</v>
      </c>
      <c r="I17488" s="3">
        <v>154</v>
      </c>
      <c r="J17488" s="3">
        <v>3</v>
      </c>
      <c r="K17488" s="3">
        <v>464</v>
      </c>
      <c r="L17488" s="3">
        <v>332</v>
      </c>
      <c r="M17488" s="3">
        <v>485</v>
      </c>
    </row>
    <row r="17489" spans="1:13" x14ac:dyDescent="0.25">
      <c r="A17489" s="1" t="str">
        <f>HYPERLINK("http://www.rosaceae.org/Prunus/Prunus_persica/p.persica_gdr_reftransV1_0004609","p.persica_gdr_reftransV1_0004609")</f>
        <v>p.persica_gdr_reftransV1_0004609</v>
      </c>
      <c r="B17489" s="3">
        <v>2546</v>
      </c>
      <c r="C17489" s="1" t="str">
        <f>HYPERLINK("http://www.uniprot.org/uniprot/ARP1_ARATH","ARP1_ARATH")</f>
        <v>ARP1_ARATH</v>
      </c>
      <c r="D17489" t="s">
        <v>5986</v>
      </c>
      <c r="E17489" s="3" t="s">
        <v>3</v>
      </c>
      <c r="F17489" s="4">
        <v>8.0699999999999996E-35</v>
      </c>
      <c r="G17489" s="3">
        <v>349</v>
      </c>
      <c r="H17489" s="3">
        <v>63</v>
      </c>
      <c r="I17489" s="3">
        <v>101</v>
      </c>
      <c r="J17489" s="3">
        <v>686</v>
      </c>
      <c r="K17489" s="3">
        <v>988</v>
      </c>
      <c r="L17489" s="3">
        <v>3</v>
      </c>
      <c r="M17489" s="3">
        <v>103</v>
      </c>
    </row>
    <row r="17490" spans="1:13" x14ac:dyDescent="0.25">
      <c r="A17490" s="1" t="str">
        <f>HYPERLINK("http://www.rosaceae.org/Prunus/Prunus_persica/p.persica_gdr_reftransV1_0004659","p.persica_gdr_reftransV1_0004659")</f>
        <v>p.persica_gdr_reftransV1_0004659</v>
      </c>
      <c r="B17490" s="3">
        <v>302</v>
      </c>
      <c r="C17490" s="1" t="str">
        <f>HYPERLINK("http://www.uniprot.org/uniprot/AB24G_ARATH","AB24G_ARATH")</f>
        <v>AB24G_ARATH</v>
      </c>
      <c r="D17490" t="s">
        <v>10718</v>
      </c>
      <c r="E17490" s="3" t="s">
        <v>3</v>
      </c>
      <c r="F17490" s="4">
        <v>1.4799999999999999E-45</v>
      </c>
      <c r="G17490" s="3">
        <v>409</v>
      </c>
      <c r="H17490" s="3">
        <v>78</v>
      </c>
      <c r="I17490" s="3">
        <v>90</v>
      </c>
      <c r="J17490" s="3">
        <v>33</v>
      </c>
      <c r="K17490" s="3">
        <v>302</v>
      </c>
      <c r="L17490" s="3">
        <v>230</v>
      </c>
      <c r="M17490" s="3">
        <v>319</v>
      </c>
    </row>
    <row r="17491" spans="1:13" x14ac:dyDescent="0.25">
      <c r="A17491" s="1" t="str">
        <f>HYPERLINK("http://www.rosaceae.org/Prunus/Prunus_persica/p.persica_gdr_reftransV1_0004809","p.persica_gdr_reftransV1_0004809")</f>
        <v>p.persica_gdr_reftransV1_0004809</v>
      </c>
      <c r="B17491" s="3">
        <v>1045</v>
      </c>
      <c r="C17491" s="1" t="str">
        <f>HYPERLINK("http://www.uniprot.org/uniprot/RLF_ARATH","RLF_ARATH")</f>
        <v>RLF_ARATH</v>
      </c>
      <c r="D17491" t="s">
        <v>3718</v>
      </c>
      <c r="E17491" s="3" t="s">
        <v>3</v>
      </c>
      <c r="F17491" s="4">
        <v>6.9499999999999997E-78</v>
      </c>
      <c r="G17491" s="3">
        <v>623</v>
      </c>
      <c r="H17491" s="3">
        <v>63</v>
      </c>
      <c r="I17491" s="3">
        <v>200</v>
      </c>
      <c r="J17491" s="3">
        <v>240</v>
      </c>
      <c r="K17491" s="3">
        <v>824</v>
      </c>
      <c r="L17491" s="3">
        <v>20</v>
      </c>
      <c r="M17491" s="3">
        <v>203</v>
      </c>
    </row>
    <row r="17492" spans="1:13" x14ac:dyDescent="0.25">
      <c r="A17492" s="1" t="str">
        <f>HYPERLINK("http://www.rosaceae.org/Prunus/Prunus_persica/p.persica_gdr_reftransV1_0004859","p.persica_gdr_reftransV1_0004859")</f>
        <v>p.persica_gdr_reftransV1_0004859</v>
      </c>
      <c r="B17492" s="3">
        <v>3049</v>
      </c>
      <c r="C17492" s="1" t="str">
        <f>HYPERLINK("http://www.uniprot.org/uniprot/BH145_ARATH","BH145_ARATH")</f>
        <v>BH145_ARATH</v>
      </c>
      <c r="D17492" t="s">
        <v>10719</v>
      </c>
      <c r="E17492" s="3" t="s">
        <v>3</v>
      </c>
      <c r="F17492" s="4">
        <v>1.54E-28</v>
      </c>
      <c r="G17492" s="3">
        <v>306</v>
      </c>
      <c r="H17492" s="3">
        <v>34</v>
      </c>
      <c r="I17492" s="3">
        <v>287</v>
      </c>
      <c r="J17492" s="3">
        <v>1223</v>
      </c>
      <c r="K17492" s="3">
        <v>2074</v>
      </c>
      <c r="L17492" s="3">
        <v>66</v>
      </c>
      <c r="M17492" s="3">
        <v>307</v>
      </c>
    </row>
    <row r="17493" spans="1:13" x14ac:dyDescent="0.25">
      <c r="A17493" s="1" t="str">
        <f>HYPERLINK("http://www.rosaceae.org/Prunus/Prunus_persica/p.persica_gdr_reftransV1_0004909","p.persica_gdr_reftransV1_0004909")</f>
        <v>p.persica_gdr_reftransV1_0004909</v>
      </c>
      <c r="B17493" s="3">
        <v>2029</v>
      </c>
      <c r="C17493" s="1" t="str">
        <f>HYPERLINK("http://www.uniprot.org/uniprot/MLO1_ARATH","MLO1_ARATH")</f>
        <v>MLO1_ARATH</v>
      </c>
      <c r="D17493" t="s">
        <v>7826</v>
      </c>
      <c r="E17493" s="3" t="s">
        <v>3</v>
      </c>
      <c r="F17493" s="4">
        <v>0</v>
      </c>
      <c r="G17493" s="3">
        <v>1581</v>
      </c>
      <c r="H17493" s="3">
        <v>62</v>
      </c>
      <c r="I17493" s="3">
        <v>530</v>
      </c>
      <c r="J17493" s="3">
        <v>263</v>
      </c>
      <c r="K17493" s="3">
        <v>1765</v>
      </c>
      <c r="L17493" s="3">
        <v>7</v>
      </c>
      <c r="M17493" s="3">
        <v>526</v>
      </c>
    </row>
    <row r="17494" spans="1:13" x14ac:dyDescent="0.25">
      <c r="A17494" s="1" t="str">
        <f>HYPERLINK("http://www.rosaceae.org/Prunus/Prunus_persica/p.persica_gdr_reftransV1_0005009","p.persica_gdr_reftransV1_0005009")</f>
        <v>p.persica_gdr_reftransV1_0005009</v>
      </c>
      <c r="B17494" s="3">
        <v>1729</v>
      </c>
      <c r="C17494" s="1" t="str">
        <f>HYPERLINK("http://www.uniprot.org/uniprot/STML2_HUMAN","STML2_HUMAN")</f>
        <v>STML2_HUMAN</v>
      </c>
      <c r="D17494" t="s">
        <v>10720</v>
      </c>
      <c r="E17494" s="3" t="s">
        <v>28</v>
      </c>
      <c r="F17494" s="4">
        <v>5.09E-89</v>
      </c>
      <c r="G17494" s="3">
        <v>730</v>
      </c>
      <c r="H17494" s="3">
        <v>51</v>
      </c>
      <c r="I17494" s="3">
        <v>325</v>
      </c>
      <c r="J17494" s="3">
        <v>364</v>
      </c>
      <c r="K17494" s="3">
        <v>1305</v>
      </c>
      <c r="L17494" s="3">
        <v>33</v>
      </c>
      <c r="M17494" s="3">
        <v>351</v>
      </c>
    </row>
    <row r="17495" spans="1:13" x14ac:dyDescent="0.25">
      <c r="A17495" s="1" t="str">
        <f>HYPERLINK("http://www.rosaceae.org/Prunus/Prunus_persica/p.persica_gdr_reftransV1_0005059","p.persica_gdr_reftransV1_0005059")</f>
        <v>p.persica_gdr_reftransV1_0005059</v>
      </c>
      <c r="B17495" s="3">
        <v>5026</v>
      </c>
      <c r="C17495" s="1" t="str">
        <f>HYPERLINK("http://www.uniprot.org/uniprot/FPP7_ARATH","FPP7_ARATH")</f>
        <v>FPP7_ARATH</v>
      </c>
      <c r="D17495" t="s">
        <v>5278</v>
      </c>
      <c r="E17495" s="3" t="s">
        <v>3</v>
      </c>
      <c r="F17495" s="4">
        <v>7.9400000000000004E-92</v>
      </c>
      <c r="G17495" s="3">
        <v>832</v>
      </c>
      <c r="H17495" s="3">
        <v>34</v>
      </c>
      <c r="I17495" s="3">
        <v>838</v>
      </c>
      <c r="J17495" s="3">
        <v>114</v>
      </c>
      <c r="K17495" s="3">
        <v>2489</v>
      </c>
      <c r="L17495" s="3">
        <v>1</v>
      </c>
      <c r="M17495" s="3">
        <v>760</v>
      </c>
    </row>
    <row r="17496" spans="1:13" x14ac:dyDescent="0.25">
      <c r="A17496" s="1" t="str">
        <f>HYPERLINK("http://www.rosaceae.org/Prunus/Prunus_persica/p.persica_gdr_reftransV1_0005159","p.persica_gdr_reftransV1_0005159")</f>
        <v>p.persica_gdr_reftransV1_0005159</v>
      </c>
      <c r="B17496" s="3">
        <v>1831</v>
      </c>
      <c r="C17496" s="1" t="str">
        <f>HYPERLINK("http://www.uniprot.org/uniprot/TLP5_ORYSJ","TLP5_ORYSJ")</f>
        <v>TLP5_ORYSJ</v>
      </c>
      <c r="D17496" t="s">
        <v>7318</v>
      </c>
      <c r="E17496" s="3" t="s">
        <v>38</v>
      </c>
      <c r="F17496" s="4">
        <v>2.24E-178</v>
      </c>
      <c r="G17496" s="3">
        <v>1337</v>
      </c>
      <c r="H17496" s="3">
        <v>65</v>
      </c>
      <c r="I17496" s="3">
        <v>429</v>
      </c>
      <c r="J17496" s="3">
        <v>239</v>
      </c>
      <c r="K17496" s="3">
        <v>1474</v>
      </c>
      <c r="L17496" s="3">
        <v>1</v>
      </c>
      <c r="M17496" s="3">
        <v>428</v>
      </c>
    </row>
    <row r="17497" spans="1:13" x14ac:dyDescent="0.25">
      <c r="A17497" s="1" t="str">
        <f>HYPERLINK("http://www.rosaceae.org/Prunus/Prunus_persica/p.persica_gdr_reftransV1_0005209","p.persica_gdr_reftransV1_0005209")</f>
        <v>p.persica_gdr_reftransV1_0005209</v>
      </c>
      <c r="B17497" s="3">
        <v>3354</v>
      </c>
      <c r="C17497" s="1" t="str">
        <f>HYPERLINK("http://www.uniprot.org/uniprot/TIR1B_ORYSJ","TIR1B_ORYSJ")</f>
        <v>TIR1B_ORYSJ</v>
      </c>
      <c r="D17497" t="s">
        <v>10721</v>
      </c>
      <c r="E17497" s="3" t="s">
        <v>38</v>
      </c>
      <c r="F17497" s="4">
        <v>0</v>
      </c>
      <c r="G17497" s="3">
        <v>1630</v>
      </c>
      <c r="H17497" s="3">
        <v>56</v>
      </c>
      <c r="I17497" s="3">
        <v>558</v>
      </c>
      <c r="J17497" s="3">
        <v>200</v>
      </c>
      <c r="K17497" s="3">
        <v>1834</v>
      </c>
      <c r="L17497" s="3">
        <v>19</v>
      </c>
      <c r="M17497" s="3">
        <v>572</v>
      </c>
    </row>
    <row r="17498" spans="1:13" x14ac:dyDescent="0.25">
      <c r="A17498" s="1" t="str">
        <f>HYPERLINK("http://www.rosaceae.org/Prunus/Prunus_persica/p.persica_gdr_reftransV1_0005309","p.persica_gdr_reftransV1_0005309")</f>
        <v>p.persica_gdr_reftransV1_0005309</v>
      </c>
      <c r="B17498" s="3">
        <v>1967</v>
      </c>
      <c r="C17498" s="1" t="str">
        <f>HYPERLINK("http://www.uniprot.org/uniprot/ARR18_ARATH","ARR18_ARATH")</f>
        <v>ARR18_ARATH</v>
      </c>
      <c r="D17498" t="s">
        <v>10722</v>
      </c>
      <c r="E17498" s="3" t="s">
        <v>3</v>
      </c>
      <c r="F17498" s="4">
        <v>1.6999999999999999E-11</v>
      </c>
      <c r="G17498" s="3">
        <v>173</v>
      </c>
      <c r="H17498" s="3">
        <v>50</v>
      </c>
      <c r="I17498" s="3">
        <v>70</v>
      </c>
      <c r="J17498" s="3">
        <v>675</v>
      </c>
      <c r="K17498" s="3">
        <v>881</v>
      </c>
      <c r="L17498" s="3">
        <v>183</v>
      </c>
      <c r="M17498" s="3">
        <v>251</v>
      </c>
    </row>
    <row r="17499" spans="1:13" x14ac:dyDescent="0.25">
      <c r="A17499" s="1" t="str">
        <f>HYPERLINK("http://www.rosaceae.org/Prunus/Prunus_persica/p.persica_gdr_reftransV1_0005409","p.persica_gdr_reftransV1_0005409")</f>
        <v>p.persica_gdr_reftransV1_0005409</v>
      </c>
      <c r="B17499" s="3">
        <v>1746</v>
      </c>
      <c r="C17499" s="1" t="str">
        <f>HYPERLINK("http://www.uniprot.org/uniprot/TIF6B_ARATH","TIF6B_ARATH")</f>
        <v>TIF6B_ARATH</v>
      </c>
      <c r="D17499" t="s">
        <v>9095</v>
      </c>
      <c r="E17499" s="3" t="s">
        <v>3</v>
      </c>
      <c r="F17499" s="4">
        <v>5.7399999999999997E-38</v>
      </c>
      <c r="G17499" s="3">
        <v>372</v>
      </c>
      <c r="H17499" s="3">
        <v>35</v>
      </c>
      <c r="I17499" s="3">
        <v>383</v>
      </c>
      <c r="J17499" s="3">
        <v>223</v>
      </c>
      <c r="K17499" s="3">
        <v>1308</v>
      </c>
      <c r="L17499" s="3">
        <v>1</v>
      </c>
      <c r="M17499" s="3">
        <v>332</v>
      </c>
    </row>
    <row r="17500" spans="1:13" x14ac:dyDescent="0.25">
      <c r="A17500" s="1" t="str">
        <f>HYPERLINK("http://www.rosaceae.org/Prunus/Prunus_persica/p.persica_gdr_reftransV1_0005459","p.persica_gdr_reftransV1_0005459")</f>
        <v>p.persica_gdr_reftransV1_0005459</v>
      </c>
      <c r="B17500" s="3">
        <v>656</v>
      </c>
      <c r="C17500" s="1" t="str">
        <f>HYPERLINK("http://www.uniprot.org/uniprot/TBB5_GOSHI","TBB5_GOSHI")</f>
        <v>TBB5_GOSHI</v>
      </c>
      <c r="D17500" t="s">
        <v>10723</v>
      </c>
      <c r="E17500" s="3" t="s">
        <v>816</v>
      </c>
      <c r="F17500" s="4">
        <v>4.5000000000000002E-115</v>
      </c>
      <c r="G17500" s="3">
        <v>878</v>
      </c>
      <c r="H17500" s="3">
        <v>97</v>
      </c>
      <c r="I17500" s="3">
        <v>181</v>
      </c>
      <c r="J17500" s="3">
        <v>2</v>
      </c>
      <c r="K17500" s="3">
        <v>544</v>
      </c>
      <c r="L17500" s="3">
        <v>1</v>
      </c>
      <c r="M17500" s="3">
        <v>181</v>
      </c>
    </row>
    <row r="17501" spans="1:13" x14ac:dyDescent="0.25">
      <c r="A17501" s="1" t="str">
        <f>HYPERLINK("http://www.rosaceae.org/Prunus/Prunus_persica/p.persica_gdr_reftransV1_0005509","p.persica_gdr_reftransV1_0005509")</f>
        <v>p.persica_gdr_reftransV1_0005509</v>
      </c>
      <c r="B17501" s="3">
        <v>2326</v>
      </c>
      <c r="C17501" s="1" t="str">
        <f>HYPERLINK("http://www.uniprot.org/uniprot/Y1491_ARATH","Y1491_ARATH")</f>
        <v>Y1491_ARATH</v>
      </c>
      <c r="D17501" t="s">
        <v>310</v>
      </c>
      <c r="E17501" s="3" t="s">
        <v>3</v>
      </c>
      <c r="F17501" s="4">
        <v>6.4700000000000003E-87</v>
      </c>
      <c r="G17501" s="3">
        <v>743</v>
      </c>
      <c r="H17501" s="3">
        <v>38</v>
      </c>
      <c r="I17501" s="3">
        <v>437</v>
      </c>
      <c r="J17501" s="3">
        <v>610</v>
      </c>
      <c r="K17501" s="3">
        <v>1896</v>
      </c>
      <c r="L17501" s="3">
        <v>57</v>
      </c>
      <c r="M17501" s="3">
        <v>475</v>
      </c>
    </row>
    <row r="17502" spans="1:13" x14ac:dyDescent="0.25">
      <c r="A17502" s="1" t="str">
        <f>HYPERLINK("http://www.rosaceae.org/Prunus/Prunus_persica/p.persica_gdr_reftransV1_0005709","p.persica_gdr_reftransV1_0005709")</f>
        <v>p.persica_gdr_reftransV1_0005709</v>
      </c>
      <c r="B17502" s="3">
        <v>375</v>
      </c>
      <c r="C17502" s="1" t="str">
        <f>HYPERLINK("http://www.uniprot.org/uniprot/RGA1_SOLBU","RGA1_SOLBU")</f>
        <v>RGA1_SOLBU</v>
      </c>
      <c r="D17502" t="s">
        <v>559</v>
      </c>
      <c r="E17502" s="3" t="s">
        <v>560</v>
      </c>
      <c r="F17502" s="4">
        <v>4.4800000000000003E-12</v>
      </c>
      <c r="G17502" s="3">
        <v>161</v>
      </c>
      <c r="H17502" s="3">
        <v>38</v>
      </c>
      <c r="I17502" s="3">
        <v>118</v>
      </c>
      <c r="J17502" s="3">
        <v>23</v>
      </c>
      <c r="K17502" s="3">
        <v>370</v>
      </c>
      <c r="L17502" s="3">
        <v>468</v>
      </c>
      <c r="M17502" s="3">
        <v>577</v>
      </c>
    </row>
    <row r="17503" spans="1:13" x14ac:dyDescent="0.25">
      <c r="A17503" s="1" t="str">
        <f>HYPERLINK("http://www.rosaceae.org/Prunus/Prunus_persica/p.persica_gdr_reftransV1_0005759","p.persica_gdr_reftransV1_0005759")</f>
        <v>p.persica_gdr_reftransV1_0005759</v>
      </c>
      <c r="B17503" s="3">
        <v>629</v>
      </c>
      <c r="C17503" s="1" t="str">
        <f>HYPERLINK("http://www.uniprot.org/uniprot/SWT17_ARATH","SWT17_ARATH")</f>
        <v>SWT17_ARATH</v>
      </c>
      <c r="D17503" t="s">
        <v>3014</v>
      </c>
      <c r="E17503" s="3" t="s">
        <v>3</v>
      </c>
      <c r="F17503" s="4">
        <v>1.3600000000000001E-41</v>
      </c>
      <c r="G17503" s="3">
        <v>370</v>
      </c>
      <c r="H17503" s="3">
        <v>59</v>
      </c>
      <c r="I17503" s="3">
        <v>143</v>
      </c>
      <c r="J17503" s="3">
        <v>203</v>
      </c>
      <c r="K17503" s="3">
        <v>628</v>
      </c>
      <c r="L17503" s="3">
        <v>88</v>
      </c>
      <c r="M17503" s="3">
        <v>229</v>
      </c>
    </row>
    <row r="17504" spans="1:13" x14ac:dyDescent="0.25">
      <c r="A17504" s="1" t="str">
        <f>HYPERLINK("http://www.rosaceae.org/Prunus/Prunus_persica/p.persica_gdr_reftransV1_0005859","p.persica_gdr_reftransV1_0005859")</f>
        <v>p.persica_gdr_reftransV1_0005859</v>
      </c>
      <c r="B17504" s="3">
        <v>1184</v>
      </c>
      <c r="C17504" s="1" t="str">
        <f>HYPERLINK("http://www.uniprot.org/uniprot/WTR18_ARATH","WTR18_ARATH")</f>
        <v>WTR18_ARATH</v>
      </c>
      <c r="D17504" t="s">
        <v>10606</v>
      </c>
      <c r="E17504" s="3" t="s">
        <v>3</v>
      </c>
      <c r="F17504" s="4">
        <v>6.5900000000000003E-74</v>
      </c>
      <c r="G17504" s="3">
        <v>614</v>
      </c>
      <c r="H17504" s="3">
        <v>41</v>
      </c>
      <c r="I17504" s="3">
        <v>363</v>
      </c>
      <c r="J17504" s="3">
        <v>10</v>
      </c>
      <c r="K17504" s="3">
        <v>1047</v>
      </c>
      <c r="L17504" s="3">
        <v>8</v>
      </c>
      <c r="M17504" s="3">
        <v>366</v>
      </c>
    </row>
    <row r="17505" spans="1:13" x14ac:dyDescent="0.25">
      <c r="A17505" s="1" t="str">
        <f>HYPERLINK("http://www.rosaceae.org/Prunus/Prunus_persica/p.persica_gdr_reftransV1_0006159","p.persica_gdr_reftransV1_0006159")</f>
        <v>p.persica_gdr_reftransV1_0006159</v>
      </c>
      <c r="B17505" s="3">
        <v>1241</v>
      </c>
      <c r="C17505" s="1" t="str">
        <f>HYPERLINK("http://www.uniprot.org/uniprot/YVRI_CAEEL","YVRI_CAEEL")</f>
        <v>YVRI_CAEEL</v>
      </c>
      <c r="D17505" t="s">
        <v>5602</v>
      </c>
      <c r="E17505" s="3" t="s">
        <v>281</v>
      </c>
      <c r="F17505" s="4">
        <v>2.9100000000000002E-13</v>
      </c>
      <c r="G17505" s="3">
        <v>177</v>
      </c>
      <c r="H17505" s="3">
        <v>32</v>
      </c>
      <c r="I17505" s="3">
        <v>115</v>
      </c>
      <c r="J17505" s="3">
        <v>181</v>
      </c>
      <c r="K17505" s="3">
        <v>516</v>
      </c>
      <c r="L17505" s="3">
        <v>73</v>
      </c>
      <c r="M17505" s="3">
        <v>185</v>
      </c>
    </row>
    <row r="17506" spans="1:13" x14ac:dyDescent="0.25">
      <c r="A17506" s="1" t="str">
        <f>HYPERLINK("http://www.rosaceae.org/Prunus/Prunus_persica/p.persica_gdr_reftransV1_0006209","p.persica_gdr_reftransV1_0006209")</f>
        <v>p.persica_gdr_reftransV1_0006209</v>
      </c>
      <c r="B17506" s="3">
        <v>2181</v>
      </c>
      <c r="C17506" s="1" t="str">
        <f>HYPERLINK("http://www.uniprot.org/uniprot/TCP18_ARATH","TCP18_ARATH")</f>
        <v>TCP18_ARATH</v>
      </c>
      <c r="D17506" t="s">
        <v>10724</v>
      </c>
      <c r="E17506" s="3" t="s">
        <v>3</v>
      </c>
      <c r="F17506" s="4">
        <v>1.3000000000000001E-19</v>
      </c>
      <c r="G17506" s="3">
        <v>237</v>
      </c>
      <c r="H17506" s="3">
        <v>48</v>
      </c>
      <c r="I17506" s="3">
        <v>119</v>
      </c>
      <c r="J17506" s="3">
        <v>860</v>
      </c>
      <c r="K17506" s="3">
        <v>1165</v>
      </c>
      <c r="L17506" s="3">
        <v>136</v>
      </c>
      <c r="M17506" s="3">
        <v>253</v>
      </c>
    </row>
    <row r="17507" spans="1:13" x14ac:dyDescent="0.25">
      <c r="A17507" s="1" t="str">
        <f>HYPERLINK("http://www.rosaceae.org/Prunus/Prunus_persica/p.persica_gdr_reftransV1_0006309","p.persica_gdr_reftransV1_0006309")</f>
        <v>p.persica_gdr_reftransV1_0006309</v>
      </c>
      <c r="B17507" s="3">
        <v>810</v>
      </c>
      <c r="C17507" s="1" t="str">
        <f>HYPERLINK("http://www.uniprot.org/uniprot/RQL4A_ARATH","RQL4A_ARATH")</f>
        <v>RQL4A_ARATH</v>
      </c>
      <c r="D17507" t="s">
        <v>1804</v>
      </c>
      <c r="E17507" s="3" t="s">
        <v>3</v>
      </c>
      <c r="F17507" s="4">
        <v>3.9500000000000002E-100</v>
      </c>
      <c r="G17507" s="3">
        <v>827</v>
      </c>
      <c r="H17507" s="3">
        <v>62</v>
      </c>
      <c r="I17507" s="3">
        <v>272</v>
      </c>
      <c r="J17507" s="3">
        <v>1</v>
      </c>
      <c r="K17507" s="3">
        <v>810</v>
      </c>
      <c r="L17507" s="3">
        <v>248</v>
      </c>
      <c r="M17507" s="3">
        <v>513</v>
      </c>
    </row>
    <row r="17508" spans="1:13" x14ac:dyDescent="0.25">
      <c r="A17508" s="1" t="str">
        <f>HYPERLINK("http://www.rosaceae.org/Prunus/Prunus_persica/p.persica_gdr_reftransV1_0006359","p.persica_gdr_reftransV1_0006359")</f>
        <v>p.persica_gdr_reftransV1_0006359</v>
      </c>
      <c r="B17508" s="3">
        <v>3416</v>
      </c>
      <c r="C17508" s="1" t="str">
        <f>HYPERLINK("http://www.uniprot.org/uniprot/LRK41_ARATH","LRK41_ARATH")</f>
        <v>LRK41_ARATH</v>
      </c>
      <c r="D17508" t="s">
        <v>4600</v>
      </c>
      <c r="E17508" s="3" t="s">
        <v>3</v>
      </c>
      <c r="F17508" s="4">
        <v>0</v>
      </c>
      <c r="G17508" s="3">
        <v>1944</v>
      </c>
      <c r="H17508" s="3">
        <v>67</v>
      </c>
      <c r="I17508" s="3">
        <v>655</v>
      </c>
      <c r="J17508" s="3">
        <v>1269</v>
      </c>
      <c r="K17508" s="3">
        <v>3224</v>
      </c>
      <c r="L17508" s="3">
        <v>23</v>
      </c>
      <c r="M17508" s="3">
        <v>675</v>
      </c>
    </row>
    <row r="17509" spans="1:13" x14ac:dyDescent="0.25">
      <c r="A17509" s="1" t="str">
        <f>HYPERLINK("http://www.rosaceae.org/Prunus/Prunus_persica/p.persica_gdr_reftransV1_0006459","p.persica_gdr_reftransV1_0006459")</f>
        <v>p.persica_gdr_reftransV1_0006459</v>
      </c>
      <c r="B17509" s="3">
        <v>1251</v>
      </c>
      <c r="C17509" s="1" t="str">
        <f>HYPERLINK("http://www.uniprot.org/uniprot/SYMC_ARATH","SYMC_ARATH")</f>
        <v>SYMC_ARATH</v>
      </c>
      <c r="D17509" t="s">
        <v>10009</v>
      </c>
      <c r="E17509" s="3" t="s">
        <v>3</v>
      </c>
      <c r="F17509" s="4">
        <v>0</v>
      </c>
      <c r="G17509" s="3">
        <v>1730</v>
      </c>
      <c r="H17509" s="3">
        <v>84</v>
      </c>
      <c r="I17509" s="3">
        <v>379</v>
      </c>
      <c r="J17509" s="3">
        <v>115</v>
      </c>
      <c r="K17509" s="3">
        <v>1251</v>
      </c>
      <c r="L17509" s="3">
        <v>10</v>
      </c>
      <c r="M17509" s="3">
        <v>388</v>
      </c>
    </row>
    <row r="17510" spans="1:13" x14ac:dyDescent="0.25">
      <c r="A17510" s="1" t="str">
        <f>HYPERLINK("http://www.rosaceae.org/Prunus/Prunus_persica/p.persica_gdr_reftransV1_0006709","p.persica_gdr_reftransV1_0006709")</f>
        <v>p.persica_gdr_reftransV1_0006709</v>
      </c>
      <c r="B17510" s="3">
        <v>1376</v>
      </c>
      <c r="C17510" s="1" t="str">
        <f>HYPERLINK("http://www.uniprot.org/uniprot/MTDH_FRAAN","MTDH_FRAAN")</f>
        <v>MTDH_FRAAN</v>
      </c>
      <c r="D17510" t="s">
        <v>54</v>
      </c>
      <c r="E17510" s="3" t="s">
        <v>15</v>
      </c>
      <c r="F17510" s="4">
        <v>0</v>
      </c>
      <c r="G17510" s="3">
        <v>1391</v>
      </c>
      <c r="H17510" s="3">
        <v>81</v>
      </c>
      <c r="I17510" s="3">
        <v>356</v>
      </c>
      <c r="J17510" s="3">
        <v>86</v>
      </c>
      <c r="K17510" s="3">
        <v>1153</v>
      </c>
      <c r="L17510" s="3">
        <v>4</v>
      </c>
      <c r="M17510" s="3">
        <v>359</v>
      </c>
    </row>
    <row r="17511" spans="1:13" x14ac:dyDescent="0.25">
      <c r="A17511" s="1" t="str">
        <f>HYPERLINK("http://www.rosaceae.org/Prunus/Prunus_persica/p.persica_gdr_reftransV1_0006759","p.persica_gdr_reftransV1_0006759")</f>
        <v>p.persica_gdr_reftransV1_0006759</v>
      </c>
      <c r="B17511" s="3">
        <v>1481</v>
      </c>
      <c r="C17511" s="1" t="str">
        <f>HYPERLINK("http://www.uniprot.org/uniprot/ANK1_MOUSE","ANK1_MOUSE")</f>
        <v>ANK1_MOUSE</v>
      </c>
      <c r="D17511" t="s">
        <v>10725</v>
      </c>
      <c r="E17511" s="3" t="s">
        <v>157</v>
      </c>
      <c r="F17511" s="4">
        <v>9.9800000000000001E-14</v>
      </c>
      <c r="G17511" s="3">
        <v>191</v>
      </c>
      <c r="H17511" s="3">
        <v>39</v>
      </c>
      <c r="I17511" s="3">
        <v>104</v>
      </c>
      <c r="J17511" s="3">
        <v>619</v>
      </c>
      <c r="K17511" s="3">
        <v>930</v>
      </c>
      <c r="L17511" s="3">
        <v>635</v>
      </c>
      <c r="M17511" s="3">
        <v>738</v>
      </c>
    </row>
    <row r="17512" spans="1:13" x14ac:dyDescent="0.25">
      <c r="A17512" s="1" t="str">
        <f>HYPERLINK("http://www.rosaceae.org/Prunus/Prunus_persica/p.persica_gdr_reftransV1_0006809","p.persica_gdr_reftransV1_0006809")</f>
        <v>p.persica_gdr_reftransV1_0006809</v>
      </c>
      <c r="B17512" s="3">
        <v>1286</v>
      </c>
      <c r="C17512" s="1" t="str">
        <f>HYPERLINK("http://www.uniprot.org/uniprot/ACCH1_ARATH","ACCH1_ARATH")</f>
        <v>ACCH1_ARATH</v>
      </c>
      <c r="D17512" t="s">
        <v>1325</v>
      </c>
      <c r="E17512" s="3" t="s">
        <v>3</v>
      </c>
      <c r="F17512" s="4">
        <v>1.1E-113</v>
      </c>
      <c r="G17512" s="3">
        <v>884</v>
      </c>
      <c r="H17512" s="3">
        <v>59</v>
      </c>
      <c r="I17512" s="3">
        <v>315</v>
      </c>
      <c r="J17512" s="3">
        <v>294</v>
      </c>
      <c r="K17512" s="3">
        <v>1232</v>
      </c>
      <c r="L17512" s="3">
        <v>56</v>
      </c>
      <c r="M17512" s="3">
        <v>365</v>
      </c>
    </row>
    <row r="17513" spans="1:13" x14ac:dyDescent="0.25">
      <c r="A17513" s="1" t="str">
        <f>HYPERLINK("http://www.rosaceae.org/Prunus/Prunus_persica/p.persica_gdr_reftransV1_0006909","p.persica_gdr_reftransV1_0006909")</f>
        <v>p.persica_gdr_reftransV1_0006909</v>
      </c>
      <c r="B17513" s="3">
        <v>1477</v>
      </c>
      <c r="C17513" s="1" t="str">
        <f>HYPERLINK("http://www.uniprot.org/uniprot/LRP1_ARATH","LRP1_ARATH")</f>
        <v>LRP1_ARATH</v>
      </c>
      <c r="D17513" t="s">
        <v>3036</v>
      </c>
      <c r="E17513" s="3" t="s">
        <v>3</v>
      </c>
      <c r="F17513" s="4">
        <v>6.98E-29</v>
      </c>
      <c r="G17513" s="3">
        <v>300</v>
      </c>
      <c r="H17513" s="3">
        <v>45</v>
      </c>
      <c r="I17513" s="3">
        <v>188</v>
      </c>
      <c r="J17513" s="3">
        <v>467</v>
      </c>
      <c r="K17513" s="3">
        <v>952</v>
      </c>
      <c r="L17513" s="3">
        <v>112</v>
      </c>
      <c r="M17513" s="3">
        <v>293</v>
      </c>
    </row>
    <row r="17514" spans="1:13" x14ac:dyDescent="0.25">
      <c r="A17514" s="1" t="str">
        <f>HYPERLINK("http://www.rosaceae.org/Prunus/Prunus_persica/p.persica_gdr_reftransV1_0006959","p.persica_gdr_reftransV1_0006959")</f>
        <v>p.persica_gdr_reftransV1_0006959</v>
      </c>
      <c r="B17514" s="3">
        <v>2053</v>
      </c>
      <c r="C17514" s="1" t="str">
        <f>HYPERLINK("http://www.uniprot.org/uniprot/RLM1B_ARATH","RLM1B_ARATH")</f>
        <v>RLM1B_ARATH</v>
      </c>
      <c r="D17514" t="s">
        <v>3318</v>
      </c>
      <c r="E17514" s="3" t="s">
        <v>3</v>
      </c>
      <c r="F17514" s="4">
        <v>1.3200000000000001E-29</v>
      </c>
      <c r="G17514" s="3">
        <v>324</v>
      </c>
      <c r="H17514" s="3">
        <v>32</v>
      </c>
      <c r="I17514" s="3">
        <v>317</v>
      </c>
      <c r="J17514" s="3">
        <v>1124</v>
      </c>
      <c r="K17514" s="3">
        <v>2023</v>
      </c>
      <c r="L17514" s="3">
        <v>543</v>
      </c>
      <c r="M17514" s="3">
        <v>821</v>
      </c>
    </row>
    <row r="17515" spans="1:13" x14ac:dyDescent="0.25">
      <c r="A17515" s="1" t="str">
        <f>HYPERLINK("http://www.rosaceae.org/Prunus/Prunus_persica/p.persica_gdr_reftransV1_0007059","p.persica_gdr_reftransV1_0007059")</f>
        <v>p.persica_gdr_reftransV1_0007059</v>
      </c>
      <c r="B17515" s="3">
        <v>589</v>
      </c>
      <c r="C17515" s="1" t="str">
        <f>HYPERLINK("http://www.uniprot.org/uniprot/COPT6_ARATH","COPT6_ARATH")</f>
        <v>COPT6_ARATH</v>
      </c>
      <c r="D17515" t="s">
        <v>10726</v>
      </c>
      <c r="E17515" s="3" t="s">
        <v>3</v>
      </c>
      <c r="F17515" s="4">
        <v>1.4700000000000001E-38</v>
      </c>
      <c r="G17515" s="3">
        <v>340</v>
      </c>
      <c r="H17515" s="3">
        <v>59</v>
      </c>
      <c r="I17515" s="3">
        <v>117</v>
      </c>
      <c r="J17515" s="3">
        <v>3</v>
      </c>
      <c r="K17515" s="3">
        <v>350</v>
      </c>
      <c r="L17515" s="3">
        <v>19</v>
      </c>
      <c r="M17515" s="3">
        <v>134</v>
      </c>
    </row>
    <row r="17516" spans="1:13" x14ac:dyDescent="0.25">
      <c r="A17516" s="1" t="str">
        <f>HYPERLINK("http://www.rosaceae.org/Prunus/Prunus_persica/p.persica_gdr_reftransV1_0007159","p.persica_gdr_reftransV1_0007159")</f>
        <v>p.persica_gdr_reftransV1_0007159</v>
      </c>
      <c r="B17516" s="3">
        <v>678</v>
      </c>
      <c r="C17516" s="1" t="str">
        <f>HYPERLINK("http://www.uniprot.org/uniprot/PHL1_ARATH","PHL1_ARATH")</f>
        <v>PHL1_ARATH</v>
      </c>
      <c r="D17516" t="s">
        <v>2239</v>
      </c>
      <c r="E17516" s="3" t="s">
        <v>3</v>
      </c>
      <c r="F17516" s="4">
        <v>3.3499999999999998E-10</v>
      </c>
      <c r="G17516" s="3">
        <v>150</v>
      </c>
      <c r="H17516" s="3">
        <v>60</v>
      </c>
      <c r="I17516" s="3">
        <v>43</v>
      </c>
      <c r="J17516" s="3">
        <v>548</v>
      </c>
      <c r="K17516" s="3">
        <v>676</v>
      </c>
      <c r="L17516" s="3">
        <v>223</v>
      </c>
      <c r="M17516" s="3">
        <v>265</v>
      </c>
    </row>
    <row r="17517" spans="1:13" x14ac:dyDescent="0.25">
      <c r="A17517" s="1" t="str">
        <f>HYPERLINK("http://www.rosaceae.org/Prunus/Prunus_persica/p.persica_gdr_reftransV1_0007259","p.persica_gdr_reftransV1_0007259")</f>
        <v>p.persica_gdr_reftransV1_0007259</v>
      </c>
      <c r="B17517" s="3">
        <v>2672</v>
      </c>
      <c r="C17517" s="1" t="str">
        <f>HYPERLINK("http://www.uniprot.org/uniprot/MAG2L_ARATH","MAG2L_ARATH")</f>
        <v>MAG2L_ARATH</v>
      </c>
      <c r="D17517" t="s">
        <v>10727</v>
      </c>
      <c r="E17517" s="3" t="s">
        <v>3</v>
      </c>
      <c r="F17517" s="4">
        <v>0</v>
      </c>
      <c r="G17517" s="3">
        <v>1421</v>
      </c>
      <c r="H17517" s="3">
        <v>48</v>
      </c>
      <c r="I17517" s="3">
        <v>637</v>
      </c>
      <c r="J17517" s="3">
        <v>749</v>
      </c>
      <c r="K17517" s="3">
        <v>2629</v>
      </c>
      <c r="L17517" s="3">
        <v>149</v>
      </c>
      <c r="M17517" s="3">
        <v>774</v>
      </c>
    </row>
    <row r="17518" spans="1:13" x14ac:dyDescent="0.25">
      <c r="A17518" s="1" t="str">
        <f>HYPERLINK("http://www.rosaceae.org/Prunus/Prunus_persica/p.persica_gdr_reftransV1_0007309","p.persica_gdr_reftransV1_0007309")</f>
        <v>p.persica_gdr_reftransV1_0007309</v>
      </c>
      <c r="B17518" s="3">
        <v>740</v>
      </c>
      <c r="C17518" s="1" t="str">
        <f>HYPERLINK("http://www.uniprot.org/uniprot/WDR5A_ARATH","WDR5A_ARATH")</f>
        <v>WDR5A_ARATH</v>
      </c>
      <c r="D17518" t="s">
        <v>10151</v>
      </c>
      <c r="E17518" s="3" t="s">
        <v>3</v>
      </c>
      <c r="F17518" s="4">
        <v>1.9699999999999999E-54</v>
      </c>
      <c r="G17518" s="3">
        <v>466</v>
      </c>
      <c r="H17518" s="3">
        <v>72</v>
      </c>
      <c r="I17518" s="3">
        <v>116</v>
      </c>
      <c r="J17518" s="3">
        <v>2</v>
      </c>
      <c r="K17518" s="3">
        <v>349</v>
      </c>
      <c r="L17518" s="3">
        <v>202</v>
      </c>
      <c r="M17518" s="3">
        <v>315</v>
      </c>
    </row>
    <row r="17519" spans="1:13" x14ac:dyDescent="0.25">
      <c r="A17519" s="1" t="str">
        <f>HYPERLINK("http://www.rosaceae.org/Prunus/Prunus_persica/p.persica_gdr_reftransV1_0007359","p.persica_gdr_reftransV1_0007359")</f>
        <v>p.persica_gdr_reftransV1_0007359</v>
      </c>
      <c r="B17519" s="3">
        <v>461</v>
      </c>
      <c r="C17519" s="1" t="str">
        <f>HYPERLINK("http://www.uniprot.org/uniprot/TCP20_ARATH","TCP20_ARATH")</f>
        <v>TCP20_ARATH</v>
      </c>
      <c r="D17519" t="s">
        <v>3925</v>
      </c>
      <c r="E17519" s="3" t="s">
        <v>3</v>
      </c>
      <c r="F17519" s="4">
        <v>1.27E-30</v>
      </c>
      <c r="G17519" s="3">
        <v>293</v>
      </c>
      <c r="H17519" s="3">
        <v>71</v>
      </c>
      <c r="I17519" s="3">
        <v>77</v>
      </c>
      <c r="J17519" s="3">
        <v>249</v>
      </c>
      <c r="K17519" s="3">
        <v>461</v>
      </c>
      <c r="L17519" s="3">
        <v>45</v>
      </c>
      <c r="M17519" s="3">
        <v>121</v>
      </c>
    </row>
    <row r="17520" spans="1:13" x14ac:dyDescent="0.25">
      <c r="A17520" s="1" t="str">
        <f>HYPERLINK("http://www.rosaceae.org/Prunus/Prunus_persica/p.persica_gdr_reftransV1_0007409","p.persica_gdr_reftransV1_0007409")</f>
        <v>p.persica_gdr_reftransV1_0007409</v>
      </c>
      <c r="B17520" s="3">
        <v>1295</v>
      </c>
      <c r="C17520" s="1" t="str">
        <f>HYPERLINK("http://www.uniprot.org/uniprot/SACS_HUMAN","SACS_HUMAN")</f>
        <v>SACS_HUMAN</v>
      </c>
      <c r="D17520" t="s">
        <v>756</v>
      </c>
      <c r="E17520" s="3" t="s">
        <v>28</v>
      </c>
      <c r="F17520" s="4">
        <v>1.03E-46</v>
      </c>
      <c r="G17520" s="3">
        <v>454</v>
      </c>
      <c r="H17520" s="3">
        <v>34</v>
      </c>
      <c r="I17520" s="3">
        <v>345</v>
      </c>
      <c r="J17520" s="3">
        <v>69</v>
      </c>
      <c r="K17520" s="3">
        <v>1094</v>
      </c>
      <c r="L17520" s="3">
        <v>2521</v>
      </c>
      <c r="M17520" s="3">
        <v>2860</v>
      </c>
    </row>
    <row r="17521" spans="1:13" x14ac:dyDescent="0.25">
      <c r="A17521" s="1" t="str">
        <f>HYPERLINK("http://www.rosaceae.org/Prunus/Prunus_persica/p.persica_gdr_reftransV1_0007859","p.persica_gdr_reftransV1_0007859")</f>
        <v>p.persica_gdr_reftransV1_0007859</v>
      </c>
      <c r="B17521" s="3">
        <v>1658</v>
      </c>
      <c r="C17521" s="1" t="str">
        <f>HYPERLINK("http://www.uniprot.org/uniprot/TM56B_XENLA","TM56B_XENLA")</f>
        <v>TM56B_XENLA</v>
      </c>
      <c r="D17521" t="s">
        <v>2291</v>
      </c>
      <c r="E17521" s="3" t="s">
        <v>475</v>
      </c>
      <c r="F17521" s="4">
        <v>2.93E-19</v>
      </c>
      <c r="G17521" s="3">
        <v>227</v>
      </c>
      <c r="H17521" s="3">
        <v>29</v>
      </c>
      <c r="I17521" s="3">
        <v>229</v>
      </c>
      <c r="J17521" s="3">
        <v>613</v>
      </c>
      <c r="K17521" s="3">
        <v>1284</v>
      </c>
      <c r="L17521" s="3">
        <v>38</v>
      </c>
      <c r="M17521" s="3">
        <v>259</v>
      </c>
    </row>
    <row r="17522" spans="1:13" x14ac:dyDescent="0.25">
      <c r="A17522" s="1" t="str">
        <f>HYPERLINK("http://www.rosaceae.org/Prunus/Prunus_persica/p.persica_gdr_reftransV1_0007959","p.persica_gdr_reftransV1_0007959")</f>
        <v>p.persica_gdr_reftransV1_0007959</v>
      </c>
      <c r="B17522" s="3">
        <v>1623</v>
      </c>
      <c r="C17522" s="1" t="str">
        <f>HYPERLINK("http://www.uniprot.org/uniprot/CAB25_ARATH","CAB25_ARATH")</f>
        <v>CAB25_ARATH</v>
      </c>
      <c r="D17522" t="s">
        <v>10728</v>
      </c>
      <c r="E17522" s="3" t="s">
        <v>3</v>
      </c>
      <c r="F17522" s="4">
        <v>4.2300000000000003E-23</v>
      </c>
      <c r="G17522" s="3">
        <v>254</v>
      </c>
      <c r="H17522" s="3">
        <v>42</v>
      </c>
      <c r="I17522" s="3">
        <v>196</v>
      </c>
      <c r="J17522" s="3">
        <v>578</v>
      </c>
      <c r="K17522" s="3">
        <v>1141</v>
      </c>
      <c r="L17522" s="3">
        <v>1</v>
      </c>
      <c r="M17522" s="3">
        <v>186</v>
      </c>
    </row>
    <row r="17523" spans="1:13" x14ac:dyDescent="0.25">
      <c r="A17523" s="1" t="str">
        <f>HYPERLINK("http://www.rosaceae.org/Prunus/Prunus_persica/p.persica_gdr_reftransV1_0008009","p.persica_gdr_reftransV1_0008009")</f>
        <v>p.persica_gdr_reftransV1_0008009</v>
      </c>
      <c r="B17523" s="3">
        <v>3057</v>
      </c>
      <c r="C17523" s="1" t="str">
        <f>HYPERLINK("http://www.uniprot.org/uniprot/CRSH_ARATH","CRSH_ARATH")</f>
        <v>CRSH_ARATH</v>
      </c>
      <c r="D17523" t="s">
        <v>10729</v>
      </c>
      <c r="E17523" s="3" t="s">
        <v>3</v>
      </c>
      <c r="F17523" s="4">
        <v>0</v>
      </c>
      <c r="G17523" s="3">
        <v>1722</v>
      </c>
      <c r="H17523" s="3">
        <v>71</v>
      </c>
      <c r="I17523" s="3">
        <v>528</v>
      </c>
      <c r="J17523" s="3">
        <v>245</v>
      </c>
      <c r="K17523" s="3">
        <v>1813</v>
      </c>
      <c r="L17523" s="3">
        <v>55</v>
      </c>
      <c r="M17523" s="3">
        <v>582</v>
      </c>
    </row>
    <row r="17524" spans="1:13" x14ac:dyDescent="0.25">
      <c r="A17524" s="1" t="str">
        <f>HYPERLINK("http://www.rosaceae.org/Prunus/Prunus_persica/p.persica_gdr_reftransV1_0008059","p.persica_gdr_reftransV1_0008059")</f>
        <v>p.persica_gdr_reftransV1_0008059</v>
      </c>
      <c r="B17524" s="3">
        <v>768</v>
      </c>
      <c r="C17524" s="1" t="str">
        <f>HYPERLINK("http://www.uniprot.org/uniprot/BPA1_ARATH","BPA1_ARATH")</f>
        <v>BPA1_ARATH</v>
      </c>
      <c r="D17524" t="s">
        <v>4085</v>
      </c>
      <c r="E17524" s="3" t="s">
        <v>3</v>
      </c>
      <c r="F17524" s="4">
        <v>8.1500000000000005E-49</v>
      </c>
      <c r="G17524" s="3">
        <v>424</v>
      </c>
      <c r="H17524" s="3">
        <v>57</v>
      </c>
      <c r="I17524" s="3">
        <v>144</v>
      </c>
      <c r="J17524" s="3">
        <v>3</v>
      </c>
      <c r="K17524" s="3">
        <v>434</v>
      </c>
      <c r="L17524" s="3">
        <v>87</v>
      </c>
      <c r="M17524" s="3">
        <v>230</v>
      </c>
    </row>
    <row r="17525" spans="1:13" x14ac:dyDescent="0.25">
      <c r="A17525" s="1" t="str">
        <f>HYPERLINK("http://www.rosaceae.org/Prunus/Prunus_persica/p.persica_gdr_reftransV1_0008109","p.persica_gdr_reftransV1_0008109")</f>
        <v>p.persica_gdr_reftransV1_0008109</v>
      </c>
      <c r="B17525" s="3">
        <v>1088</v>
      </c>
      <c r="C17525" s="1" t="str">
        <f>HYPERLINK("http://www.uniprot.org/uniprot/NFD4_ARATH","NFD4_ARATH")</f>
        <v>NFD4_ARATH</v>
      </c>
      <c r="D17525" t="s">
        <v>404</v>
      </c>
      <c r="E17525" s="3" t="s">
        <v>3</v>
      </c>
      <c r="F17525" s="4">
        <v>2.7500000000000001E-57</v>
      </c>
      <c r="G17525" s="3">
        <v>512</v>
      </c>
      <c r="H17525" s="3">
        <v>47</v>
      </c>
      <c r="I17525" s="3">
        <v>325</v>
      </c>
      <c r="J17525" s="3">
        <v>73</v>
      </c>
      <c r="K17525" s="3">
        <v>1044</v>
      </c>
      <c r="L17525" s="3">
        <v>128</v>
      </c>
      <c r="M17525" s="3">
        <v>418</v>
      </c>
    </row>
    <row r="17526" spans="1:13" x14ac:dyDescent="0.25">
      <c r="A17526" s="1" t="str">
        <f>HYPERLINK("http://www.rosaceae.org/Prunus/Prunus_persica/p.persica_gdr_reftransV1_0008159","p.persica_gdr_reftransV1_0008159")</f>
        <v>p.persica_gdr_reftransV1_0008159</v>
      </c>
      <c r="B17526" s="3">
        <v>534</v>
      </c>
      <c r="C17526" s="1" t="str">
        <f>HYPERLINK("http://www.uniprot.org/uniprot/TYDC5_PAPSO","TYDC5_PAPSO")</f>
        <v>TYDC5_PAPSO</v>
      </c>
      <c r="D17526" t="s">
        <v>10730</v>
      </c>
      <c r="E17526" s="3" t="s">
        <v>2250</v>
      </c>
      <c r="F17526" s="4">
        <v>6.3799999999999997E-48</v>
      </c>
      <c r="G17526" s="3">
        <v>426</v>
      </c>
      <c r="H17526" s="3">
        <v>60</v>
      </c>
      <c r="I17526" s="3">
        <v>136</v>
      </c>
      <c r="J17526" s="3">
        <v>126</v>
      </c>
      <c r="K17526" s="3">
        <v>533</v>
      </c>
      <c r="L17526" s="3">
        <v>392</v>
      </c>
      <c r="M17526" s="3">
        <v>516</v>
      </c>
    </row>
    <row r="17527" spans="1:13" x14ac:dyDescent="0.25">
      <c r="A17527" s="1" t="str">
        <f>HYPERLINK("http://www.rosaceae.org/Prunus/Prunus_persica/p.persica_gdr_reftransV1_0008259","p.persica_gdr_reftransV1_0008259")</f>
        <v>p.persica_gdr_reftransV1_0008259</v>
      </c>
      <c r="B17527" s="3">
        <v>1736</v>
      </c>
      <c r="C17527" s="1" t="str">
        <f>HYPERLINK("http://www.uniprot.org/uniprot/KPRO_MAIZE","KPRO_MAIZE")</f>
        <v>KPRO_MAIZE</v>
      </c>
      <c r="D17527" t="s">
        <v>4928</v>
      </c>
      <c r="E17527" s="3" t="s">
        <v>72</v>
      </c>
      <c r="F17527" s="4">
        <v>2.71E-117</v>
      </c>
      <c r="G17527" s="3">
        <v>959</v>
      </c>
      <c r="H17527" s="3">
        <v>43</v>
      </c>
      <c r="I17527" s="3">
        <v>449</v>
      </c>
      <c r="J17527" s="3">
        <v>419</v>
      </c>
      <c r="K17527" s="3">
        <v>1717</v>
      </c>
      <c r="L17527" s="3">
        <v>306</v>
      </c>
      <c r="M17527" s="3">
        <v>747</v>
      </c>
    </row>
    <row r="17528" spans="1:13" x14ac:dyDescent="0.25">
      <c r="A17528" s="1" t="str">
        <f>HYPERLINK("http://www.rosaceae.org/Prunus/Prunus_persica/p.persica_gdr_reftransV1_0008309","p.persica_gdr_reftransV1_0008309")</f>
        <v>p.persica_gdr_reftransV1_0008309</v>
      </c>
      <c r="B17528" s="3">
        <v>962</v>
      </c>
      <c r="C17528" s="1" t="str">
        <f>HYPERLINK("http://www.uniprot.org/uniprot/GDAP2_DROPS","GDAP2_DROPS")</f>
        <v>GDAP2_DROPS</v>
      </c>
      <c r="D17528" t="s">
        <v>10731</v>
      </c>
      <c r="E17528" s="3" t="s">
        <v>3741</v>
      </c>
      <c r="F17528" s="4">
        <v>8.5899999999999997E-13</v>
      </c>
      <c r="G17528" s="3">
        <v>176</v>
      </c>
      <c r="H17528" s="3">
        <v>23</v>
      </c>
      <c r="I17528" s="3">
        <v>158</v>
      </c>
      <c r="J17528" s="3">
        <v>350</v>
      </c>
      <c r="K17528" s="3">
        <v>823</v>
      </c>
      <c r="L17528" s="3">
        <v>372</v>
      </c>
      <c r="M17528" s="3">
        <v>526</v>
      </c>
    </row>
    <row r="17529" spans="1:13" x14ac:dyDescent="0.25">
      <c r="A17529" s="1" t="str">
        <f>HYPERLINK("http://www.rosaceae.org/Prunus/Prunus_persica/p.persica_gdr_reftransV1_0008359","p.persica_gdr_reftransV1_0008359")</f>
        <v>p.persica_gdr_reftransV1_0008359</v>
      </c>
      <c r="B17529" s="3">
        <v>1600</v>
      </c>
      <c r="C17529" s="1" t="str">
        <f>HYPERLINK("http://www.uniprot.org/uniprot/ACLA2_ARATH","ACLA2_ARATH")</f>
        <v>ACLA2_ARATH</v>
      </c>
      <c r="D17529" t="s">
        <v>10732</v>
      </c>
      <c r="E17529" s="3" t="s">
        <v>3</v>
      </c>
      <c r="F17529" s="4">
        <v>0</v>
      </c>
      <c r="G17529" s="3">
        <v>1883</v>
      </c>
      <c r="H17529" s="3">
        <v>88</v>
      </c>
      <c r="I17529" s="3">
        <v>423</v>
      </c>
      <c r="J17529" s="3">
        <v>227</v>
      </c>
      <c r="K17529" s="3">
        <v>1495</v>
      </c>
      <c r="L17529" s="3">
        <v>1</v>
      </c>
      <c r="M17529" s="3">
        <v>423</v>
      </c>
    </row>
    <row r="17530" spans="1:13" x14ac:dyDescent="0.25">
      <c r="A17530" s="1" t="str">
        <f>HYPERLINK("http://www.rosaceae.org/Prunus/Prunus_persica/p.persica_gdr_reftransV1_0008559","p.persica_gdr_reftransV1_0008559")</f>
        <v>p.persica_gdr_reftransV1_0008559</v>
      </c>
      <c r="B17530" s="3">
        <v>2086</v>
      </c>
      <c r="C17530" s="1" t="str">
        <f>HYPERLINK("http://www.uniprot.org/uniprot/PP152_ARATH","PP152_ARATH")</f>
        <v>PP152_ARATH</v>
      </c>
      <c r="D17530" t="s">
        <v>2874</v>
      </c>
      <c r="E17530" s="3" t="s">
        <v>3</v>
      </c>
      <c r="F17530" s="4">
        <v>0</v>
      </c>
      <c r="G17530" s="3">
        <v>1847</v>
      </c>
      <c r="H17530" s="3">
        <v>57</v>
      </c>
      <c r="I17530" s="3">
        <v>592</v>
      </c>
      <c r="J17530" s="3">
        <v>312</v>
      </c>
      <c r="K17530" s="3">
        <v>2084</v>
      </c>
      <c r="L17530" s="3">
        <v>22</v>
      </c>
      <c r="M17530" s="3">
        <v>610</v>
      </c>
    </row>
    <row r="17531" spans="1:13" x14ac:dyDescent="0.25">
      <c r="A17531" s="1" t="str">
        <f>HYPERLINK("http://www.rosaceae.org/Prunus/Prunus_persica/p.persica_gdr_reftransV1_0008659","p.persica_gdr_reftransV1_0008659")</f>
        <v>p.persica_gdr_reftransV1_0008659</v>
      </c>
      <c r="B17531" s="3">
        <v>1533</v>
      </c>
      <c r="C17531" s="1" t="str">
        <f>HYPERLINK("http://www.uniprot.org/uniprot/HHT1_ARATH","HHT1_ARATH")</f>
        <v>HHT1_ARATH</v>
      </c>
      <c r="D17531" t="s">
        <v>1756</v>
      </c>
      <c r="E17531" s="3" t="s">
        <v>3</v>
      </c>
      <c r="F17531" s="4">
        <v>6.4899999999999999E-62</v>
      </c>
      <c r="G17531" s="3">
        <v>548</v>
      </c>
      <c r="H17531" s="3">
        <v>31</v>
      </c>
      <c r="I17531" s="3">
        <v>479</v>
      </c>
      <c r="J17531" s="3">
        <v>66</v>
      </c>
      <c r="K17531" s="3">
        <v>1466</v>
      </c>
      <c r="L17531" s="3">
        <v>31</v>
      </c>
      <c r="M17531" s="3">
        <v>454</v>
      </c>
    </row>
    <row r="17532" spans="1:13" x14ac:dyDescent="0.25">
      <c r="A17532" s="1" t="str">
        <f>HYPERLINK("http://www.rosaceae.org/Prunus/Prunus_persica/p.persica_gdr_reftransV1_0008759","p.persica_gdr_reftransV1_0008759")</f>
        <v>p.persica_gdr_reftransV1_0008759</v>
      </c>
      <c r="B17532" s="3">
        <v>3283</v>
      </c>
      <c r="C17532" s="1" t="str">
        <f>HYPERLINK("http://www.uniprot.org/uniprot/LDL2_ARATH","LDL2_ARATH")</f>
        <v>LDL2_ARATH</v>
      </c>
      <c r="D17532" t="s">
        <v>10733</v>
      </c>
      <c r="E17532" s="3" t="s">
        <v>3</v>
      </c>
      <c r="F17532" s="4">
        <v>0</v>
      </c>
      <c r="G17532" s="3">
        <v>2585</v>
      </c>
      <c r="H17532" s="3">
        <v>69</v>
      </c>
      <c r="I17532" s="3">
        <v>732</v>
      </c>
      <c r="J17532" s="3">
        <v>573</v>
      </c>
      <c r="K17532" s="3">
        <v>2765</v>
      </c>
      <c r="L17532" s="3">
        <v>1</v>
      </c>
      <c r="M17532" s="3">
        <v>719</v>
      </c>
    </row>
    <row r="17533" spans="1:13" x14ac:dyDescent="0.25">
      <c r="A17533" s="1" t="str">
        <f>HYPERLINK("http://www.rosaceae.org/Prunus/Prunus_persica/p.persica_gdr_reftransV1_0008959","p.persica_gdr_reftransV1_0008959")</f>
        <v>p.persica_gdr_reftransV1_0008959</v>
      </c>
      <c r="B17533" s="3">
        <v>890</v>
      </c>
      <c r="C17533" s="1" t="str">
        <f>HYPERLINK("http://www.uniprot.org/uniprot/RHA2A_ARATH","RHA2A_ARATH")</f>
        <v>RHA2A_ARATH</v>
      </c>
      <c r="D17533" t="s">
        <v>10734</v>
      </c>
      <c r="E17533" s="3" t="s">
        <v>3</v>
      </c>
      <c r="F17533" s="4">
        <v>1.3799999999999999E-15</v>
      </c>
      <c r="G17533" s="3">
        <v>186</v>
      </c>
      <c r="H17533" s="3">
        <v>35</v>
      </c>
      <c r="I17533" s="3">
        <v>101</v>
      </c>
      <c r="J17533" s="3">
        <v>204</v>
      </c>
      <c r="K17533" s="3">
        <v>494</v>
      </c>
      <c r="L17533" s="3">
        <v>42</v>
      </c>
      <c r="M17533" s="3">
        <v>142</v>
      </c>
    </row>
    <row r="17534" spans="1:13" x14ac:dyDescent="0.25">
      <c r="A17534" s="1" t="str">
        <f>HYPERLINK("http://www.rosaceae.org/Prunus/Prunus_persica/p.persica_gdr_reftransV1_0009009","p.persica_gdr_reftransV1_0009009")</f>
        <v>p.persica_gdr_reftransV1_0009009</v>
      </c>
      <c r="B17534" s="3">
        <v>1141</v>
      </c>
      <c r="C17534" s="1" t="str">
        <f>HYPERLINK("http://www.uniprot.org/uniprot/CAF1A_ARATH","CAF1A_ARATH")</f>
        <v>CAF1A_ARATH</v>
      </c>
      <c r="D17534" t="s">
        <v>10735</v>
      </c>
      <c r="E17534" s="3" t="s">
        <v>3</v>
      </c>
      <c r="F17534" s="4">
        <v>4.4400000000000002E-47</v>
      </c>
      <c r="G17534" s="3">
        <v>429</v>
      </c>
      <c r="H17534" s="3">
        <v>41</v>
      </c>
      <c r="I17534" s="3">
        <v>249</v>
      </c>
      <c r="J17534" s="3">
        <v>265</v>
      </c>
      <c r="K17534" s="3">
        <v>1008</v>
      </c>
      <c r="L17534" s="3">
        <v>10</v>
      </c>
      <c r="M17534" s="3">
        <v>254</v>
      </c>
    </row>
    <row r="17535" spans="1:13" x14ac:dyDescent="0.25">
      <c r="A17535" s="1" t="str">
        <f>HYPERLINK("http://www.rosaceae.org/Prunus/Prunus_persica/p.persica_gdr_reftransV1_0009059","p.persica_gdr_reftransV1_0009059")</f>
        <v>p.persica_gdr_reftransV1_0009059</v>
      </c>
      <c r="B17535" s="3">
        <v>3845</v>
      </c>
      <c r="C17535" s="1" t="str">
        <f>HYPERLINK("http://www.uniprot.org/uniprot/DFRA_GERHY","DFRA_GERHY")</f>
        <v>DFRA_GERHY</v>
      </c>
      <c r="D17535" t="s">
        <v>10736</v>
      </c>
      <c r="E17535" s="3" t="s">
        <v>10737</v>
      </c>
      <c r="F17535" s="4">
        <v>3.5300000000000002E-19</v>
      </c>
      <c r="G17535" s="3">
        <v>234</v>
      </c>
      <c r="H17535" s="3">
        <v>53</v>
      </c>
      <c r="I17535" s="3">
        <v>89</v>
      </c>
      <c r="J17535" s="3">
        <v>3513</v>
      </c>
      <c r="K17535" s="3">
        <v>3779</v>
      </c>
      <c r="L17535" s="3">
        <v>9</v>
      </c>
      <c r="M17535" s="3">
        <v>97</v>
      </c>
    </row>
    <row r="17536" spans="1:13" x14ac:dyDescent="0.25">
      <c r="A17536" s="1" t="str">
        <f>HYPERLINK("http://www.rosaceae.org/Prunus/Prunus_persica/p.persica_gdr_reftransV1_0009259","p.persica_gdr_reftransV1_0009259")</f>
        <v>p.persica_gdr_reftransV1_0009259</v>
      </c>
      <c r="B17536" s="3">
        <v>1668</v>
      </c>
      <c r="C17536" s="1" t="str">
        <f>HYPERLINK("http://www.uniprot.org/uniprot/XYLB_STAXY","XYLB_STAXY")</f>
        <v>XYLB_STAXY</v>
      </c>
      <c r="D17536" t="s">
        <v>10738</v>
      </c>
      <c r="E17536" s="3" t="s">
        <v>10739</v>
      </c>
      <c r="F17536" s="4">
        <v>3.0600000000000003E-8</v>
      </c>
      <c r="G17536" s="3">
        <v>144</v>
      </c>
      <c r="H17536" s="3">
        <v>24</v>
      </c>
      <c r="I17536" s="3">
        <v>217</v>
      </c>
      <c r="J17536" s="3">
        <v>187</v>
      </c>
      <c r="K17536" s="3">
        <v>804</v>
      </c>
      <c r="L17536" s="3">
        <v>214</v>
      </c>
      <c r="M17536" s="3">
        <v>427</v>
      </c>
    </row>
    <row r="17537" spans="1:13" x14ac:dyDescent="0.25">
      <c r="A17537" s="1" t="str">
        <f>HYPERLINK("http://www.rosaceae.org/Prunus/Prunus_persica/p.persica_gdr_reftransV1_0009359","p.persica_gdr_reftransV1_0009359")</f>
        <v>p.persica_gdr_reftransV1_0009359</v>
      </c>
      <c r="B17537" s="3">
        <v>5606</v>
      </c>
      <c r="C17537" s="1" t="str">
        <f>HYPERLINK("http://www.uniprot.org/uniprot/BBP_CRYNJ","BBP_CRYNJ")</f>
        <v>BBP_CRYNJ</v>
      </c>
      <c r="D17537" t="s">
        <v>10740</v>
      </c>
      <c r="E17537" s="3" t="s">
        <v>1720</v>
      </c>
      <c r="F17537" s="4">
        <v>1.63E-68</v>
      </c>
      <c r="G17537" s="3">
        <v>633</v>
      </c>
      <c r="H17537" s="3">
        <v>44</v>
      </c>
      <c r="I17537" s="3">
        <v>327</v>
      </c>
      <c r="J17537" s="3">
        <v>4158</v>
      </c>
      <c r="K17537" s="3">
        <v>5072</v>
      </c>
      <c r="L17537" s="3">
        <v>127</v>
      </c>
      <c r="M17537" s="3">
        <v>445</v>
      </c>
    </row>
    <row r="17538" spans="1:13" x14ac:dyDescent="0.25">
      <c r="A17538" s="1" t="str">
        <f>HYPERLINK("http://www.rosaceae.org/Prunus/Prunus_persica/p.persica_gdr_reftransV1_0009409","p.persica_gdr_reftransV1_0009409")</f>
        <v>p.persica_gdr_reftransV1_0009409</v>
      </c>
      <c r="B17538" s="3">
        <v>796</v>
      </c>
      <c r="C17538" s="1" t="str">
        <f>HYPERLINK("http://www.uniprot.org/uniprot/ROLL9_ORYSJ","ROLL9_ORYSJ")</f>
        <v>ROLL9_ORYSJ</v>
      </c>
      <c r="D17538" t="s">
        <v>10741</v>
      </c>
      <c r="E17538" s="3" t="s">
        <v>38</v>
      </c>
      <c r="F17538" s="4">
        <v>1.3400000000000001E-15</v>
      </c>
      <c r="G17538" s="3">
        <v>195</v>
      </c>
      <c r="H17538" s="3">
        <v>97</v>
      </c>
      <c r="I17538" s="3">
        <v>38</v>
      </c>
      <c r="J17538" s="3">
        <v>1</v>
      </c>
      <c r="K17538" s="3">
        <v>114</v>
      </c>
      <c r="L17538" s="3">
        <v>348</v>
      </c>
      <c r="M17538" s="3">
        <v>385</v>
      </c>
    </row>
    <row r="17539" spans="1:13" x14ac:dyDescent="0.25">
      <c r="A17539" s="1" t="str">
        <f>HYPERLINK("http://www.rosaceae.org/Prunus/Prunus_persica/p.persica_gdr_reftransV1_0009459","p.persica_gdr_reftransV1_0009459")</f>
        <v>p.persica_gdr_reftransV1_0009459</v>
      </c>
      <c r="B17539" s="3">
        <v>2070</v>
      </c>
      <c r="C17539" s="1" t="str">
        <f>HYPERLINK("http://www.uniprot.org/uniprot/ACLA2_ORYSJ","ACLA2_ORYSJ")</f>
        <v>ACLA2_ORYSJ</v>
      </c>
      <c r="D17539" t="s">
        <v>10742</v>
      </c>
      <c r="E17539" s="3" t="s">
        <v>38</v>
      </c>
      <c r="F17539" s="4">
        <v>0</v>
      </c>
      <c r="G17539" s="3">
        <v>2037</v>
      </c>
      <c r="H17539" s="3">
        <v>90</v>
      </c>
      <c r="I17539" s="3">
        <v>420</v>
      </c>
      <c r="J17539" s="3">
        <v>421</v>
      </c>
      <c r="K17539" s="3">
        <v>1680</v>
      </c>
      <c r="L17539" s="3">
        <v>1</v>
      </c>
      <c r="M17539" s="3">
        <v>420</v>
      </c>
    </row>
    <row r="17540" spans="1:13" x14ac:dyDescent="0.25">
      <c r="A17540" s="1" t="str">
        <f>HYPERLINK("http://www.rosaceae.org/Prunus/Prunus_persica/p.persica_gdr_reftransV1_0009509","p.persica_gdr_reftransV1_0009509")</f>
        <v>p.persica_gdr_reftransV1_0009509</v>
      </c>
      <c r="B17540" s="3">
        <v>1977</v>
      </c>
      <c r="C17540" s="1" t="str">
        <f>HYPERLINK("http://www.uniprot.org/uniprot/WLIM1_ARATH","WLIM1_ARATH")</f>
        <v>WLIM1_ARATH</v>
      </c>
      <c r="D17540" t="s">
        <v>8695</v>
      </c>
      <c r="E17540" s="3" t="s">
        <v>3</v>
      </c>
      <c r="F17540" s="4">
        <v>7.7499999999999999E-56</v>
      </c>
      <c r="G17540" s="3">
        <v>491</v>
      </c>
      <c r="H17540" s="3">
        <v>64</v>
      </c>
      <c r="I17540" s="3">
        <v>146</v>
      </c>
      <c r="J17540" s="3">
        <v>335</v>
      </c>
      <c r="K17540" s="3">
        <v>760</v>
      </c>
      <c r="L17540" s="3">
        <v>43</v>
      </c>
      <c r="M17540" s="3">
        <v>182</v>
      </c>
    </row>
    <row r="17541" spans="1:13" x14ac:dyDescent="0.25">
      <c r="A17541" s="1" t="str">
        <f>HYPERLINK("http://www.rosaceae.org/Prunus/Prunus_persica/p.persica_gdr_reftransV1_0009559","p.persica_gdr_reftransV1_0009559")</f>
        <v>p.persica_gdr_reftransV1_0009559</v>
      </c>
      <c r="B17541" s="3">
        <v>1734</v>
      </c>
      <c r="C17541" s="1" t="str">
        <f>HYPERLINK("http://www.uniprot.org/uniprot/TAZ_MACMU","TAZ_MACMU")</f>
        <v>TAZ_MACMU</v>
      </c>
      <c r="D17541" t="s">
        <v>10743</v>
      </c>
      <c r="E17541" s="3" t="s">
        <v>4934</v>
      </c>
      <c r="F17541" s="4">
        <v>6.6300000000000002E-43</v>
      </c>
      <c r="G17541" s="3">
        <v>402</v>
      </c>
      <c r="H17541" s="3">
        <v>36</v>
      </c>
      <c r="I17541" s="3">
        <v>242</v>
      </c>
      <c r="J17541" s="3">
        <v>526</v>
      </c>
      <c r="K17541" s="3">
        <v>1248</v>
      </c>
      <c r="L17541" s="3">
        <v>22</v>
      </c>
      <c r="M17541" s="3">
        <v>260</v>
      </c>
    </row>
    <row r="17542" spans="1:13" x14ac:dyDescent="0.25">
      <c r="A17542" s="1" t="str">
        <f>HYPERLINK("http://www.rosaceae.org/Prunus/Prunus_persica/p.persica_gdr_reftransV1_0009659","p.persica_gdr_reftransV1_0009659")</f>
        <v>p.persica_gdr_reftransV1_0009659</v>
      </c>
      <c r="B17542" s="3">
        <v>1341</v>
      </c>
      <c r="C17542" s="1" t="str">
        <f>HYPERLINK("http://www.uniprot.org/uniprot/XERIC_ARATH","XERIC_ARATH")</f>
        <v>XERIC_ARATH</v>
      </c>
      <c r="D17542" t="s">
        <v>5700</v>
      </c>
      <c r="E17542" s="3" t="s">
        <v>3</v>
      </c>
      <c r="F17542" s="4">
        <v>1.27E-17</v>
      </c>
      <c r="G17542" s="3">
        <v>207</v>
      </c>
      <c r="H17542" s="3">
        <v>35</v>
      </c>
      <c r="I17542" s="3">
        <v>147</v>
      </c>
      <c r="J17542" s="3">
        <v>518</v>
      </c>
      <c r="K17542" s="3">
        <v>940</v>
      </c>
      <c r="L17542" s="3">
        <v>1</v>
      </c>
      <c r="M17542" s="3">
        <v>146</v>
      </c>
    </row>
    <row r="17543" spans="1:13" x14ac:dyDescent="0.25">
      <c r="A17543" s="1" t="str">
        <f>HYPERLINK("http://www.rosaceae.org/Prunus/Prunus_persica/p.persica_gdr_reftransV1_0009759","p.persica_gdr_reftransV1_0009759")</f>
        <v>p.persica_gdr_reftransV1_0009759</v>
      </c>
      <c r="B17543" s="3">
        <v>3401</v>
      </c>
      <c r="C17543" s="1" t="str">
        <f>HYPERLINK("http://www.uniprot.org/uniprot/FERON_ARATH","FERON_ARATH")</f>
        <v>FERON_ARATH</v>
      </c>
      <c r="D17543" t="s">
        <v>635</v>
      </c>
      <c r="E17543" s="3" t="s">
        <v>3</v>
      </c>
      <c r="F17543" s="4">
        <v>0</v>
      </c>
      <c r="G17543" s="3">
        <v>3254</v>
      </c>
      <c r="H17543" s="3">
        <v>73</v>
      </c>
      <c r="I17543" s="3">
        <v>877</v>
      </c>
      <c r="J17543" s="3">
        <v>300</v>
      </c>
      <c r="K17543" s="3">
        <v>2906</v>
      </c>
      <c r="L17543" s="3">
        <v>24</v>
      </c>
      <c r="M17543" s="3">
        <v>895</v>
      </c>
    </row>
    <row r="17544" spans="1:13" x14ac:dyDescent="0.25">
      <c r="A17544" s="1" t="str">
        <f>HYPERLINK("http://www.rosaceae.org/Prunus/Prunus_persica/p.persica_gdr_reftransV1_0009909","p.persica_gdr_reftransV1_0009909")</f>
        <v>p.persica_gdr_reftransV1_0009909</v>
      </c>
      <c r="B17544" s="3">
        <v>2278</v>
      </c>
      <c r="C17544" s="1" t="str">
        <f>HYPERLINK("http://www.uniprot.org/uniprot/PP1_ORYSJ","PP1_ORYSJ")</f>
        <v>PP1_ORYSJ</v>
      </c>
      <c r="D17544" t="s">
        <v>2166</v>
      </c>
      <c r="E17544" s="3" t="s">
        <v>38</v>
      </c>
      <c r="F17544" s="4">
        <v>1.4999999999999999E-143</v>
      </c>
      <c r="G17544" s="3">
        <v>1108</v>
      </c>
      <c r="H17544" s="3">
        <v>84</v>
      </c>
      <c r="I17544" s="3">
        <v>244</v>
      </c>
      <c r="J17544" s="3">
        <v>1546</v>
      </c>
      <c r="K17544" s="3">
        <v>2277</v>
      </c>
      <c r="L17544" s="3">
        <v>55</v>
      </c>
      <c r="M17544" s="3">
        <v>296</v>
      </c>
    </row>
    <row r="17545" spans="1:13" x14ac:dyDescent="0.25">
      <c r="A17545" s="1" t="str">
        <f>HYPERLINK("http://www.rosaceae.org/Prunus/Prunus_persica/p.persica_gdr_reftransV1_0009959","p.persica_gdr_reftransV1_0009959")</f>
        <v>p.persica_gdr_reftransV1_0009959</v>
      </c>
      <c r="B17545" s="3">
        <v>3823</v>
      </c>
      <c r="C17545" s="1" t="str">
        <f>HYPERLINK("http://www.uniprot.org/uniprot/ATPA_MANES","ATPA_MANES")</f>
        <v>ATPA_MANES</v>
      </c>
      <c r="D17545" t="s">
        <v>3842</v>
      </c>
      <c r="E17545" s="3" t="s">
        <v>1797</v>
      </c>
      <c r="F17545" s="4">
        <v>0</v>
      </c>
      <c r="G17545" s="3">
        <v>2383</v>
      </c>
      <c r="H17545" s="3">
        <v>97</v>
      </c>
      <c r="I17545" s="3">
        <v>507</v>
      </c>
      <c r="J17545" s="3">
        <v>74</v>
      </c>
      <c r="K17545" s="3">
        <v>1594</v>
      </c>
      <c r="L17545" s="3">
        <v>1</v>
      </c>
      <c r="M17545" s="3">
        <v>507</v>
      </c>
    </row>
    <row r="17546" spans="1:13" x14ac:dyDescent="0.25">
      <c r="A17546" s="1" t="str">
        <f>HYPERLINK("http://www.rosaceae.org/Prunus/Prunus_persica/p.persica_gdr_reftransV1_0010059","p.persica_gdr_reftransV1_0010059")</f>
        <v>p.persica_gdr_reftransV1_0010059</v>
      </c>
      <c r="B17546" s="3">
        <v>1530</v>
      </c>
      <c r="C17546" s="1" t="str">
        <f>HYPERLINK("http://www.uniprot.org/uniprot/RTL2_ARATH","RTL2_ARATH")</f>
        <v>RTL2_ARATH</v>
      </c>
      <c r="D17546" t="s">
        <v>5268</v>
      </c>
      <c r="E17546" s="3" t="s">
        <v>3</v>
      </c>
      <c r="F17546" s="4">
        <v>9.0700000000000003E-122</v>
      </c>
      <c r="G17546" s="3">
        <v>948</v>
      </c>
      <c r="H17546" s="3">
        <v>56</v>
      </c>
      <c r="I17546" s="3">
        <v>347</v>
      </c>
      <c r="J17546" s="3">
        <v>243</v>
      </c>
      <c r="K17546" s="3">
        <v>1268</v>
      </c>
      <c r="L17546" s="3">
        <v>54</v>
      </c>
      <c r="M17546" s="3">
        <v>391</v>
      </c>
    </row>
    <row r="17547" spans="1:13" x14ac:dyDescent="0.25">
      <c r="A17547" s="1" t="str">
        <f>HYPERLINK("http://www.rosaceae.org/Prunus/Prunus_persica/p.persica_gdr_reftransV1_0010259","p.persica_gdr_reftransV1_0010259")</f>
        <v>p.persica_gdr_reftransV1_0010259</v>
      </c>
      <c r="B17547" s="3">
        <v>2672</v>
      </c>
      <c r="C17547" s="1" t="str">
        <f>HYPERLINK("http://www.uniprot.org/uniprot/NAR1_ARATH","NAR1_ARATH")</f>
        <v>NAR1_ARATH</v>
      </c>
      <c r="D17547" t="s">
        <v>10744</v>
      </c>
      <c r="E17547" s="3" t="s">
        <v>3</v>
      </c>
      <c r="F17547" s="4">
        <v>0</v>
      </c>
      <c r="G17547" s="3">
        <v>1643</v>
      </c>
      <c r="H17547" s="3">
        <v>70</v>
      </c>
      <c r="I17547" s="3">
        <v>431</v>
      </c>
      <c r="J17547" s="3">
        <v>1096</v>
      </c>
      <c r="K17547" s="3">
        <v>2385</v>
      </c>
      <c r="L17547" s="3">
        <v>1</v>
      </c>
      <c r="M17547" s="3">
        <v>426</v>
      </c>
    </row>
    <row r="17548" spans="1:13" x14ac:dyDescent="0.25">
      <c r="A17548" s="1" t="str">
        <f>HYPERLINK("http://www.rosaceae.org/Prunus/Prunus_persica/p.persica_gdr_reftransV1_0010309","p.persica_gdr_reftransV1_0010309")</f>
        <v>p.persica_gdr_reftransV1_0010309</v>
      </c>
      <c r="B17548" s="3">
        <v>2373</v>
      </c>
      <c r="C17548" s="1" t="str">
        <f>HYPERLINK("http://www.uniprot.org/uniprot/CASD1_HUMAN","CASD1_HUMAN")</f>
        <v>CASD1_HUMAN</v>
      </c>
      <c r="D17548" t="s">
        <v>10745</v>
      </c>
      <c r="E17548" s="3" t="s">
        <v>28</v>
      </c>
      <c r="F17548" s="4">
        <v>3.1500000000000002E-57</v>
      </c>
      <c r="G17548" s="3">
        <v>544</v>
      </c>
      <c r="H17548" s="3">
        <v>32</v>
      </c>
      <c r="I17548" s="3">
        <v>459</v>
      </c>
      <c r="J17548" s="3">
        <v>476</v>
      </c>
      <c r="K17548" s="3">
        <v>1786</v>
      </c>
      <c r="L17548" s="3">
        <v>368</v>
      </c>
      <c r="M17548" s="3">
        <v>797</v>
      </c>
    </row>
    <row r="17549" spans="1:13" x14ac:dyDescent="0.25">
      <c r="A17549" s="1" t="str">
        <f>HYPERLINK("http://www.rosaceae.org/Prunus/Prunus_persica/p.persica_gdr_reftransV1_0010609","p.persica_gdr_reftransV1_0010609")</f>
        <v>p.persica_gdr_reftransV1_0010609</v>
      </c>
      <c r="B17549" s="3">
        <v>1312</v>
      </c>
      <c r="C17549" s="1" t="str">
        <f>HYPERLINK("http://www.uniprot.org/uniprot/AT18A_ARATH","AT18A_ARATH")</f>
        <v>AT18A_ARATH</v>
      </c>
      <c r="D17549" t="s">
        <v>125</v>
      </c>
      <c r="E17549" s="3" t="s">
        <v>3</v>
      </c>
      <c r="F17549" s="4">
        <v>1.0800000000000001E-176</v>
      </c>
      <c r="G17549" s="3">
        <v>1308</v>
      </c>
      <c r="H17549" s="3">
        <v>75</v>
      </c>
      <c r="I17549" s="3">
        <v>355</v>
      </c>
      <c r="J17549" s="3">
        <v>259</v>
      </c>
      <c r="K17549" s="3">
        <v>1311</v>
      </c>
      <c r="L17549" s="3">
        <v>57</v>
      </c>
      <c r="M17549" s="3">
        <v>409</v>
      </c>
    </row>
    <row r="17550" spans="1:13" x14ac:dyDescent="0.25">
      <c r="A17550" s="1" t="str">
        <f>HYPERLINK("http://www.rosaceae.org/Prunus/Prunus_persica/p.persica_gdr_reftransV1_0010759","p.persica_gdr_reftransV1_0010759")</f>
        <v>p.persica_gdr_reftransV1_0010759</v>
      </c>
      <c r="B17550" s="3">
        <v>1264</v>
      </c>
      <c r="C17550" s="1" t="str">
        <f>HYPERLINK("http://www.uniprot.org/uniprot/UBP12_ARATH","UBP12_ARATH")</f>
        <v>UBP12_ARATH</v>
      </c>
      <c r="D17550" t="s">
        <v>5651</v>
      </c>
      <c r="E17550" s="3" t="s">
        <v>3</v>
      </c>
      <c r="F17550" s="4">
        <v>7.9900000000000002E-17</v>
      </c>
      <c r="G17550" s="3">
        <v>213</v>
      </c>
      <c r="H17550" s="3">
        <v>35</v>
      </c>
      <c r="I17550" s="3">
        <v>139</v>
      </c>
      <c r="J17550" s="3">
        <v>568</v>
      </c>
      <c r="K17550" s="3">
        <v>981</v>
      </c>
      <c r="L17550" s="3">
        <v>49</v>
      </c>
      <c r="M17550" s="3">
        <v>184</v>
      </c>
    </row>
    <row r="17551" spans="1:13" x14ac:dyDescent="0.25">
      <c r="A17551" s="1" t="str">
        <f>HYPERLINK("http://www.rosaceae.org/Prunus/Prunus_persica/p.persica_gdr_reftransV1_0010859","p.persica_gdr_reftransV1_0010859")</f>
        <v>p.persica_gdr_reftransV1_0010859</v>
      </c>
      <c r="B17551" s="3">
        <v>410</v>
      </c>
      <c r="C17551" s="1" t="str">
        <f>HYPERLINK("http://www.uniprot.org/uniprot/PPR8_ARATH","PPR8_ARATH")</f>
        <v>PPR8_ARATH</v>
      </c>
      <c r="D17551" t="s">
        <v>6859</v>
      </c>
      <c r="E17551" s="3" t="s">
        <v>3</v>
      </c>
      <c r="F17551" s="4">
        <v>4.6999999999999997E-51</v>
      </c>
      <c r="G17551" s="3">
        <v>446</v>
      </c>
      <c r="H17551" s="3">
        <v>68</v>
      </c>
      <c r="I17551" s="3">
        <v>134</v>
      </c>
      <c r="J17551" s="3">
        <v>2</v>
      </c>
      <c r="K17551" s="3">
        <v>394</v>
      </c>
      <c r="L17551" s="3">
        <v>4</v>
      </c>
      <c r="M17551" s="3">
        <v>136</v>
      </c>
    </row>
    <row r="17552" spans="1:13" x14ac:dyDescent="0.25">
      <c r="A17552" s="1" t="str">
        <f>HYPERLINK("http://www.rosaceae.org/Prunus/Prunus_persica/p.persica_gdr_reftransV1_0011059","p.persica_gdr_reftransV1_0011059")</f>
        <v>p.persica_gdr_reftransV1_0011059</v>
      </c>
      <c r="B17552" s="3">
        <v>1336</v>
      </c>
      <c r="C17552" s="1" t="str">
        <f>HYPERLINK("http://www.uniprot.org/uniprot/RL22_SINMW","RL22_SINMW")</f>
        <v>RL22_SINMW</v>
      </c>
      <c r="D17552" t="s">
        <v>7824</v>
      </c>
      <c r="E17552" s="3" t="s">
        <v>7825</v>
      </c>
      <c r="F17552" s="4">
        <v>4.0900000000000001E-14</v>
      </c>
      <c r="G17552" s="3">
        <v>179</v>
      </c>
      <c r="H17552" s="3">
        <v>38</v>
      </c>
      <c r="I17552" s="3">
        <v>125</v>
      </c>
      <c r="J17552" s="3">
        <v>362</v>
      </c>
      <c r="K17552" s="3">
        <v>736</v>
      </c>
      <c r="L17552" s="3">
        <v>11</v>
      </c>
      <c r="M17552" s="3">
        <v>129</v>
      </c>
    </row>
    <row r="17553" spans="1:13" x14ac:dyDescent="0.25">
      <c r="A17553" s="1" t="str">
        <f>HYPERLINK("http://www.rosaceae.org/Prunus/Prunus_persica/p.persica_gdr_reftransV1_0011109","p.persica_gdr_reftransV1_0011109")</f>
        <v>p.persica_gdr_reftransV1_0011109</v>
      </c>
      <c r="B17553" s="3">
        <v>1995</v>
      </c>
      <c r="C17553" s="1" t="str">
        <f>HYPERLINK("http://www.uniprot.org/uniprot/C86B1_ARATH","C86B1_ARATH")</f>
        <v>C86B1_ARATH</v>
      </c>
      <c r="D17553" t="s">
        <v>9714</v>
      </c>
      <c r="E17553" s="3" t="s">
        <v>3</v>
      </c>
      <c r="F17553" s="4">
        <v>0</v>
      </c>
      <c r="G17553" s="3">
        <v>1855</v>
      </c>
      <c r="H17553" s="3">
        <v>70</v>
      </c>
      <c r="I17553" s="3">
        <v>512</v>
      </c>
      <c r="J17553" s="3">
        <v>1</v>
      </c>
      <c r="K17553" s="3">
        <v>1536</v>
      </c>
      <c r="L17553" s="3">
        <v>64</v>
      </c>
      <c r="M17553" s="3">
        <v>544</v>
      </c>
    </row>
    <row r="17554" spans="1:13" x14ac:dyDescent="0.25">
      <c r="A17554" s="1" t="str">
        <f>HYPERLINK("http://www.rosaceae.org/Prunus/Prunus_persica/p.persica_gdr_reftransV1_0011159","p.persica_gdr_reftransV1_0011159")</f>
        <v>p.persica_gdr_reftransV1_0011159</v>
      </c>
      <c r="B17554" s="3">
        <v>791</v>
      </c>
      <c r="C17554" s="1" t="str">
        <f>HYPERLINK("http://www.uniprot.org/uniprot/SCL33_ARATH","SCL33_ARATH")</f>
        <v>SCL33_ARATH</v>
      </c>
      <c r="D17554" t="s">
        <v>10746</v>
      </c>
      <c r="E17554" s="3" t="s">
        <v>3</v>
      </c>
      <c r="F17554" s="4">
        <v>1.4999999999999999E-15</v>
      </c>
      <c r="G17554" s="3">
        <v>196</v>
      </c>
      <c r="H17554" s="3">
        <v>53</v>
      </c>
      <c r="I17554" s="3">
        <v>74</v>
      </c>
      <c r="J17554" s="3">
        <v>573</v>
      </c>
      <c r="K17554" s="3">
        <v>782</v>
      </c>
      <c r="L17554" s="3">
        <v>50</v>
      </c>
      <c r="M17554" s="3">
        <v>123</v>
      </c>
    </row>
    <row r="17555" spans="1:13" x14ac:dyDescent="0.25">
      <c r="A17555" s="1" t="str">
        <f>HYPERLINK("http://www.rosaceae.org/Prunus/Prunus_persica/p.persica_gdr_reftransV1_0011209","p.persica_gdr_reftransV1_0011209")</f>
        <v>p.persica_gdr_reftransV1_0011209</v>
      </c>
      <c r="B17555" s="3">
        <v>846</v>
      </c>
      <c r="C17555" s="1" t="str">
        <f>HYPERLINK("http://www.uniprot.org/uniprot/MTK2_ORYSJ","MTK2_ORYSJ")</f>
        <v>MTK2_ORYSJ</v>
      </c>
      <c r="D17555" t="s">
        <v>3064</v>
      </c>
      <c r="E17555" s="3" t="s">
        <v>38</v>
      </c>
      <c r="F17555" s="4">
        <v>4.9899999999999997E-76</v>
      </c>
      <c r="G17555" s="3">
        <v>623</v>
      </c>
      <c r="H17555" s="3">
        <v>71</v>
      </c>
      <c r="I17555" s="3">
        <v>168</v>
      </c>
      <c r="J17555" s="3">
        <v>343</v>
      </c>
      <c r="K17555" s="3">
        <v>846</v>
      </c>
      <c r="L17555" s="3">
        <v>256</v>
      </c>
      <c r="M17555" s="3">
        <v>423</v>
      </c>
    </row>
    <row r="17556" spans="1:13" x14ac:dyDescent="0.25">
      <c r="A17556" s="1" t="str">
        <f>HYPERLINK("http://www.rosaceae.org/Prunus/Prunus_persica/p.persica_gdr_reftransV1_0011309","p.persica_gdr_reftransV1_0011309")</f>
        <v>p.persica_gdr_reftransV1_0011309</v>
      </c>
      <c r="B17556" s="3">
        <v>1512</v>
      </c>
      <c r="C17556" s="1" t="str">
        <f>HYPERLINK("http://www.uniprot.org/uniprot/PSMD6_ARATH","PSMD6_ARATH")</f>
        <v>PSMD6_ARATH</v>
      </c>
      <c r="D17556" t="s">
        <v>10747</v>
      </c>
      <c r="E17556" s="3" t="s">
        <v>3</v>
      </c>
      <c r="F17556" s="4">
        <v>0</v>
      </c>
      <c r="G17556" s="3">
        <v>1776</v>
      </c>
      <c r="H17556" s="3">
        <v>86</v>
      </c>
      <c r="I17556" s="3">
        <v>384</v>
      </c>
      <c r="J17556" s="3">
        <v>240</v>
      </c>
      <c r="K17556" s="3">
        <v>1391</v>
      </c>
      <c r="L17556" s="3">
        <v>4</v>
      </c>
      <c r="M17556" s="3">
        <v>387</v>
      </c>
    </row>
    <row r="17557" spans="1:13" x14ac:dyDescent="0.25">
      <c r="A17557" s="1" t="str">
        <f>HYPERLINK("http://www.rosaceae.org/Prunus/Prunus_persica/p.persica_gdr_reftransV1_0011359","p.persica_gdr_reftransV1_0011359")</f>
        <v>p.persica_gdr_reftransV1_0011359</v>
      </c>
      <c r="B17557" s="3">
        <v>1429</v>
      </c>
      <c r="C17557" s="1" t="str">
        <f>HYPERLINK("http://www.uniprot.org/uniprot/MYB6_ARATH","MYB6_ARATH")</f>
        <v>MYB6_ARATH</v>
      </c>
      <c r="D17557" t="s">
        <v>10748</v>
      </c>
      <c r="E17557" s="3" t="s">
        <v>3</v>
      </c>
      <c r="F17557" s="4">
        <v>7.4600000000000002E-42</v>
      </c>
      <c r="G17557" s="3">
        <v>389</v>
      </c>
      <c r="H17557" s="3">
        <v>77</v>
      </c>
      <c r="I17557" s="3">
        <v>87</v>
      </c>
      <c r="J17557" s="3">
        <v>1113</v>
      </c>
      <c r="K17557" s="3">
        <v>1373</v>
      </c>
      <c r="L17557" s="3">
        <v>3</v>
      </c>
      <c r="M17557" s="3">
        <v>89</v>
      </c>
    </row>
    <row r="17558" spans="1:13" x14ac:dyDescent="0.25">
      <c r="A17558" s="1" t="str">
        <f>HYPERLINK("http://www.rosaceae.org/Prunus/Prunus_persica/p.persica_gdr_reftransV1_0011509","p.persica_gdr_reftransV1_0011509")</f>
        <v>p.persica_gdr_reftransV1_0011509</v>
      </c>
      <c r="B17558" s="3">
        <v>1103</v>
      </c>
      <c r="C17558" s="1" t="str">
        <f>HYPERLINK("http://www.uniprot.org/uniprot/PPR30_ARATH","PPR30_ARATH")</f>
        <v>PPR30_ARATH</v>
      </c>
      <c r="D17558" t="s">
        <v>5664</v>
      </c>
      <c r="E17558" s="3" t="s">
        <v>3</v>
      </c>
      <c r="F17558" s="4">
        <v>1.16E-112</v>
      </c>
      <c r="G17558" s="3">
        <v>880</v>
      </c>
      <c r="H17558" s="3">
        <v>49</v>
      </c>
      <c r="I17558" s="3">
        <v>365</v>
      </c>
      <c r="J17558" s="3">
        <v>1</v>
      </c>
      <c r="K17558" s="3">
        <v>1095</v>
      </c>
      <c r="L17558" s="3">
        <v>14</v>
      </c>
      <c r="M17558" s="3">
        <v>368</v>
      </c>
    </row>
    <row r="17559" spans="1:13" x14ac:dyDescent="0.25">
      <c r="A17559" s="1" t="str">
        <f>HYPERLINK("http://www.rosaceae.org/Prunus/Prunus_persica/p.persica_gdr_reftransV1_0011559","p.persica_gdr_reftransV1_0011559")</f>
        <v>p.persica_gdr_reftransV1_0011559</v>
      </c>
      <c r="B17559" s="3">
        <v>1091</v>
      </c>
      <c r="C17559" s="1" t="str">
        <f>HYPERLINK("http://www.uniprot.org/uniprot/MES17_ARATH","MES17_ARATH")</f>
        <v>MES17_ARATH</v>
      </c>
      <c r="D17559" t="s">
        <v>9163</v>
      </c>
      <c r="E17559" s="3" t="s">
        <v>3</v>
      </c>
      <c r="F17559" s="4">
        <v>7.6899999999999997E-123</v>
      </c>
      <c r="G17559" s="3">
        <v>929</v>
      </c>
      <c r="H17559" s="3">
        <v>63</v>
      </c>
      <c r="I17559" s="3">
        <v>270</v>
      </c>
      <c r="J17559" s="3">
        <v>160</v>
      </c>
      <c r="K17559" s="3">
        <v>948</v>
      </c>
      <c r="L17559" s="3">
        <v>1</v>
      </c>
      <c r="M17559" s="3">
        <v>270</v>
      </c>
    </row>
    <row r="17560" spans="1:13" x14ac:dyDescent="0.25">
      <c r="A17560" s="1" t="str">
        <f>HYPERLINK("http://www.rosaceae.org/Prunus/Prunus_persica/p.persica_gdr_reftransV1_0011709","p.persica_gdr_reftransV1_0011709")</f>
        <v>p.persica_gdr_reftransV1_0011709</v>
      </c>
      <c r="B17560" s="3">
        <v>624</v>
      </c>
      <c r="C17560" s="1" t="str">
        <f>HYPERLINK("http://www.uniprot.org/uniprot/AGP16_ARATH","AGP16_ARATH")</f>
        <v>AGP16_ARATH</v>
      </c>
      <c r="D17560" t="s">
        <v>10749</v>
      </c>
      <c r="E17560" s="3" t="s">
        <v>3</v>
      </c>
      <c r="F17560" s="4">
        <v>5.5499999999999996E-13</v>
      </c>
      <c r="G17560" s="3">
        <v>159</v>
      </c>
      <c r="H17560" s="3">
        <v>91</v>
      </c>
      <c r="I17560" s="3">
        <v>34</v>
      </c>
      <c r="J17560" s="3">
        <v>273</v>
      </c>
      <c r="K17560" s="3">
        <v>374</v>
      </c>
      <c r="L17560" s="3">
        <v>38</v>
      </c>
      <c r="M17560" s="3">
        <v>71</v>
      </c>
    </row>
    <row r="17561" spans="1:13" x14ac:dyDescent="0.25">
      <c r="A17561" s="1" t="str">
        <f>HYPERLINK("http://www.rosaceae.org/Prunus/Prunus_persica/p.persica_gdr_reftransV1_0011859","p.persica_gdr_reftransV1_0011859")</f>
        <v>p.persica_gdr_reftransV1_0011859</v>
      </c>
      <c r="B17561" s="3">
        <v>5411</v>
      </c>
      <c r="C17561" s="1" t="str">
        <f>HYPERLINK("http://www.uniprot.org/uniprot/BGAL_MALDO","BGAL_MALDO")</f>
        <v>BGAL_MALDO</v>
      </c>
      <c r="D17561" t="s">
        <v>10750</v>
      </c>
      <c r="E17561" s="3" t="s">
        <v>540</v>
      </c>
      <c r="F17561" s="4">
        <v>0</v>
      </c>
      <c r="G17561" s="3">
        <v>3374</v>
      </c>
      <c r="H17561" s="3">
        <v>87</v>
      </c>
      <c r="I17561" s="3">
        <v>734</v>
      </c>
      <c r="J17561" s="3">
        <v>2996</v>
      </c>
      <c r="K17561" s="3">
        <v>5197</v>
      </c>
      <c r="L17561" s="3">
        <v>1</v>
      </c>
      <c r="M17561" s="3">
        <v>725</v>
      </c>
    </row>
    <row r="17562" spans="1:13" x14ac:dyDescent="0.25">
      <c r="A17562" s="1" t="str">
        <f>HYPERLINK("http://www.rosaceae.org/Prunus/Prunus_persica/p.persica_gdr_reftransV1_0011909","p.persica_gdr_reftransV1_0011909")</f>
        <v>p.persica_gdr_reftransV1_0011909</v>
      </c>
      <c r="B17562" s="3">
        <v>2139</v>
      </c>
      <c r="C17562" s="1" t="str">
        <f>HYPERLINK("http://www.uniprot.org/uniprot/PME35_ARATH","PME35_ARATH")</f>
        <v>PME35_ARATH</v>
      </c>
      <c r="D17562" t="s">
        <v>10751</v>
      </c>
      <c r="E17562" s="3" t="s">
        <v>3</v>
      </c>
      <c r="F17562" s="4">
        <v>0</v>
      </c>
      <c r="G17562" s="3">
        <v>1472</v>
      </c>
      <c r="H17562" s="3">
        <v>61</v>
      </c>
      <c r="I17562" s="3">
        <v>503</v>
      </c>
      <c r="J17562" s="3">
        <v>249</v>
      </c>
      <c r="K17562" s="3">
        <v>1742</v>
      </c>
      <c r="L17562" s="3">
        <v>55</v>
      </c>
      <c r="M17562" s="3">
        <v>527</v>
      </c>
    </row>
    <row r="17563" spans="1:13" x14ac:dyDescent="0.25">
      <c r="A17563" s="1" t="str">
        <f>HYPERLINK("http://www.rosaceae.org/Prunus/Prunus_persica/p.persica_gdr_reftransV1_0012209","p.persica_gdr_reftransV1_0012209")</f>
        <v>p.persica_gdr_reftransV1_0012209</v>
      </c>
      <c r="B17563" s="3">
        <v>2895</v>
      </c>
      <c r="C17563" s="1" t="str">
        <f>HYPERLINK("http://www.uniprot.org/uniprot/YKT61_ARATH","YKT61_ARATH")</f>
        <v>YKT61_ARATH</v>
      </c>
      <c r="D17563" t="s">
        <v>10752</v>
      </c>
      <c r="E17563" s="3" t="s">
        <v>3</v>
      </c>
      <c r="F17563" s="4">
        <v>5.8199999999999997E-73</v>
      </c>
      <c r="G17563" s="3">
        <v>623</v>
      </c>
      <c r="H17563" s="3">
        <v>83</v>
      </c>
      <c r="I17563" s="3">
        <v>132</v>
      </c>
      <c r="J17563" s="3">
        <v>2241</v>
      </c>
      <c r="K17563" s="3">
        <v>2636</v>
      </c>
      <c r="L17563" s="3">
        <v>1</v>
      </c>
      <c r="M17563" s="3">
        <v>132</v>
      </c>
    </row>
    <row r="17564" spans="1:13" x14ac:dyDescent="0.25">
      <c r="A17564" s="1" t="str">
        <f>HYPERLINK("http://www.rosaceae.org/Prunus/Prunus_persica/p.persica_gdr_reftransV1_0012259","p.persica_gdr_reftransV1_0012259")</f>
        <v>p.persica_gdr_reftransV1_0012259</v>
      </c>
      <c r="B17564" s="3">
        <v>4418</v>
      </c>
      <c r="C17564" s="1" t="str">
        <f>HYPERLINK("http://www.uniprot.org/uniprot/FCA_ARATH","FCA_ARATH")</f>
        <v>FCA_ARATH</v>
      </c>
      <c r="D17564" t="s">
        <v>7981</v>
      </c>
      <c r="E17564" s="3" t="s">
        <v>3</v>
      </c>
      <c r="F17564" s="4">
        <v>8.4300000000000002E-82</v>
      </c>
      <c r="G17564" s="3">
        <v>744</v>
      </c>
      <c r="H17564" s="3">
        <v>50</v>
      </c>
      <c r="I17564" s="3">
        <v>350</v>
      </c>
      <c r="J17564" s="3">
        <v>1708</v>
      </c>
      <c r="K17564" s="3">
        <v>2754</v>
      </c>
      <c r="L17564" s="3">
        <v>162</v>
      </c>
      <c r="M17564" s="3">
        <v>485</v>
      </c>
    </row>
    <row r="17565" spans="1:13" x14ac:dyDescent="0.25">
      <c r="A17565" s="1" t="str">
        <f>HYPERLINK("http://www.rosaceae.org/Prunus/Prunus_persica/p.persica_gdr_reftransV1_0012459","p.persica_gdr_reftransV1_0012459")</f>
        <v>p.persica_gdr_reftransV1_0012459</v>
      </c>
      <c r="B17565" s="3">
        <v>1105</v>
      </c>
      <c r="C17565" s="1" t="str">
        <f>HYPERLINK("http://www.uniprot.org/uniprot/RS12_HORVU","RS12_HORVU")</f>
        <v>RS12_HORVU</v>
      </c>
      <c r="D17565" t="s">
        <v>823</v>
      </c>
      <c r="E17565" s="3" t="s">
        <v>769</v>
      </c>
      <c r="F17565" s="4">
        <v>3.8199999999999998E-61</v>
      </c>
      <c r="G17565" s="3">
        <v>507</v>
      </c>
      <c r="H17565" s="3">
        <v>83</v>
      </c>
      <c r="I17565" s="3">
        <v>114</v>
      </c>
      <c r="J17565" s="3">
        <v>153</v>
      </c>
      <c r="K17565" s="3">
        <v>494</v>
      </c>
      <c r="L17565" s="3">
        <v>20</v>
      </c>
      <c r="M17565" s="3">
        <v>133</v>
      </c>
    </row>
    <row r="17566" spans="1:13" x14ac:dyDescent="0.25">
      <c r="A17566" s="1" t="str">
        <f>HYPERLINK("http://www.rosaceae.org/Prunus/Prunus_persica/p.persica_gdr_reftransV1_0012709","p.persica_gdr_reftransV1_0012709")</f>
        <v>p.persica_gdr_reftransV1_0012709</v>
      </c>
      <c r="B17566" s="3">
        <v>546</v>
      </c>
      <c r="C17566" s="1" t="str">
        <f>HYPERLINK("http://www.uniprot.org/uniprot/FLS_CITUN","FLS_CITUN")</f>
        <v>FLS_CITUN</v>
      </c>
      <c r="D17566" t="s">
        <v>10753</v>
      </c>
      <c r="E17566" s="3" t="s">
        <v>4547</v>
      </c>
      <c r="F17566" s="4">
        <v>1.3200000000000001E-31</v>
      </c>
      <c r="G17566" s="3">
        <v>304</v>
      </c>
      <c r="H17566" s="3">
        <v>44</v>
      </c>
      <c r="I17566" s="3">
        <v>134</v>
      </c>
      <c r="J17566" s="3">
        <v>61</v>
      </c>
      <c r="K17566" s="3">
        <v>459</v>
      </c>
      <c r="L17566" s="3">
        <v>200</v>
      </c>
      <c r="M17566" s="3">
        <v>332</v>
      </c>
    </row>
    <row r="17567" spans="1:13" x14ac:dyDescent="0.25">
      <c r="A17567" s="1" t="str">
        <f>HYPERLINK("http://www.rosaceae.org/Prunus/Prunus_persica/p.persica_gdr_reftransV1_0012809","p.persica_gdr_reftransV1_0012809")</f>
        <v>p.persica_gdr_reftransV1_0012809</v>
      </c>
      <c r="B17567" s="3">
        <v>1253</v>
      </c>
      <c r="C17567" s="1" t="str">
        <f>HYPERLINK("http://www.uniprot.org/uniprot/SDI2_ARATH","SDI2_ARATH")</f>
        <v>SDI2_ARATH</v>
      </c>
      <c r="D17567" t="s">
        <v>10754</v>
      </c>
      <c r="E17567" s="3" t="s">
        <v>3</v>
      </c>
      <c r="F17567" s="4">
        <v>3.0699999999999999E-134</v>
      </c>
      <c r="G17567" s="3">
        <v>1013</v>
      </c>
      <c r="H17567" s="3">
        <v>67</v>
      </c>
      <c r="I17567" s="3">
        <v>304</v>
      </c>
      <c r="J17567" s="3">
        <v>155</v>
      </c>
      <c r="K17567" s="3">
        <v>1051</v>
      </c>
      <c r="L17567" s="3">
        <v>4</v>
      </c>
      <c r="M17567" s="3">
        <v>303</v>
      </c>
    </row>
    <row r="17568" spans="1:13" x14ac:dyDescent="0.25">
      <c r="A17568" s="1" t="str">
        <f>HYPERLINK("http://www.rosaceae.org/Prunus/Prunus_persica/p.persica_gdr_reftransV1_0013009","p.persica_gdr_reftransV1_0013009")</f>
        <v>p.persica_gdr_reftransV1_0013009</v>
      </c>
      <c r="B17568" s="3">
        <v>1859</v>
      </c>
      <c r="C17568" s="1" t="str">
        <f>HYPERLINK("http://www.uniprot.org/uniprot/FH5_ARATH","FH5_ARATH")</f>
        <v>FH5_ARATH</v>
      </c>
      <c r="D17568" t="s">
        <v>4343</v>
      </c>
      <c r="E17568" s="3" t="s">
        <v>3</v>
      </c>
      <c r="F17568" s="4">
        <v>6.0399999999999996E-7</v>
      </c>
      <c r="G17568" s="3">
        <v>135</v>
      </c>
      <c r="H17568" s="3">
        <v>28</v>
      </c>
      <c r="I17568" s="3">
        <v>166</v>
      </c>
      <c r="J17568" s="3">
        <v>755</v>
      </c>
      <c r="K17568" s="3">
        <v>1249</v>
      </c>
      <c r="L17568" s="3">
        <v>3</v>
      </c>
      <c r="M17568" s="3">
        <v>140</v>
      </c>
    </row>
    <row r="17569" spans="1:13" x14ac:dyDescent="0.25">
      <c r="A17569" s="1" t="str">
        <f>HYPERLINK("http://www.rosaceae.org/Prunus/Prunus_persica/p.persica_gdr_reftransV1_0013059","p.persica_gdr_reftransV1_0013059")</f>
        <v>p.persica_gdr_reftransV1_0013059</v>
      </c>
      <c r="B17569" s="3">
        <v>1423</v>
      </c>
      <c r="C17569" s="1" t="str">
        <f>HYPERLINK("http://www.uniprot.org/uniprot/AIP2_ARATH","AIP2_ARATH")</f>
        <v>AIP2_ARATH</v>
      </c>
      <c r="D17569" t="s">
        <v>10755</v>
      </c>
      <c r="E17569" s="3" t="s">
        <v>3</v>
      </c>
      <c r="F17569" s="4">
        <v>5.1000000000000002E-117</v>
      </c>
      <c r="G17569" s="3">
        <v>905</v>
      </c>
      <c r="H17569" s="3">
        <v>62</v>
      </c>
      <c r="I17569" s="3">
        <v>303</v>
      </c>
      <c r="J17569" s="3">
        <v>150</v>
      </c>
      <c r="K17569" s="3">
        <v>1058</v>
      </c>
      <c r="L17569" s="3">
        <v>14</v>
      </c>
      <c r="M17569" s="3">
        <v>306</v>
      </c>
    </row>
    <row r="17570" spans="1:13" x14ac:dyDescent="0.25">
      <c r="A17570" s="1" t="str">
        <f>HYPERLINK("http://www.rosaceae.org/Prunus/Prunus_persica/p.persica_gdr_reftransV1_0013209","p.persica_gdr_reftransV1_0013209")</f>
        <v>p.persica_gdr_reftransV1_0013209</v>
      </c>
      <c r="B17570" s="3">
        <v>1108</v>
      </c>
      <c r="C17570" s="1" t="str">
        <f>HYPERLINK("http://www.uniprot.org/uniprot/3MG_ARATH","3MG_ARATH")</f>
        <v>3MG_ARATH</v>
      </c>
      <c r="D17570" t="s">
        <v>10756</v>
      </c>
      <c r="E17570" s="3" t="s">
        <v>3</v>
      </c>
      <c r="F17570" s="4">
        <v>4.35E-121</v>
      </c>
      <c r="G17570" s="3">
        <v>916</v>
      </c>
      <c r="H17570" s="3">
        <v>84</v>
      </c>
      <c r="I17570" s="3">
        <v>199</v>
      </c>
      <c r="J17570" s="3">
        <v>206</v>
      </c>
      <c r="K17570" s="3">
        <v>799</v>
      </c>
      <c r="L17570" s="3">
        <v>55</v>
      </c>
      <c r="M17570" s="3">
        <v>253</v>
      </c>
    </row>
    <row r="17571" spans="1:13" x14ac:dyDescent="0.25">
      <c r="A17571" s="1" t="str">
        <f>HYPERLINK("http://www.rosaceae.org/Prunus/Prunus_persica/p.persica_gdr_reftransV1_0013409","p.persica_gdr_reftransV1_0013409")</f>
        <v>p.persica_gdr_reftransV1_0013409</v>
      </c>
      <c r="B17571" s="3">
        <v>1558</v>
      </c>
      <c r="C17571" s="1" t="str">
        <f>HYPERLINK("http://www.uniprot.org/uniprot/DHLA_XANFL","DHLA_XANFL")</f>
        <v>DHLA_XANFL</v>
      </c>
      <c r="D17571" t="s">
        <v>9543</v>
      </c>
      <c r="E17571" s="3" t="s">
        <v>9544</v>
      </c>
      <c r="F17571" s="4">
        <v>4.0800000000000004E-12</v>
      </c>
      <c r="G17571" s="3">
        <v>172</v>
      </c>
      <c r="H17571" s="3">
        <v>30</v>
      </c>
      <c r="I17571" s="3">
        <v>291</v>
      </c>
      <c r="J17571" s="3">
        <v>284</v>
      </c>
      <c r="K17571" s="3">
        <v>1072</v>
      </c>
      <c r="L17571" s="3">
        <v>40</v>
      </c>
      <c r="M17571" s="3">
        <v>306</v>
      </c>
    </row>
    <row r="17572" spans="1:13" x14ac:dyDescent="0.25">
      <c r="A17572" s="1" t="str">
        <f>HYPERLINK("http://www.rosaceae.org/Prunus/Prunus_persica/p.persica_gdr_reftransV1_0013459","p.persica_gdr_reftransV1_0013459")</f>
        <v>p.persica_gdr_reftransV1_0013459</v>
      </c>
      <c r="B17572" s="3">
        <v>713</v>
      </c>
      <c r="C17572" s="1" t="str">
        <f>HYPERLINK("http://www.uniprot.org/uniprot/AB3C_ARATH","AB3C_ARATH")</f>
        <v>AB3C_ARATH</v>
      </c>
      <c r="D17572" t="s">
        <v>6222</v>
      </c>
      <c r="E17572" s="3" t="s">
        <v>3</v>
      </c>
      <c r="F17572" s="4">
        <v>7.8200000000000003E-69</v>
      </c>
      <c r="G17572" s="3">
        <v>600</v>
      </c>
      <c r="H17572" s="3">
        <v>49</v>
      </c>
      <c r="I17572" s="3">
        <v>240</v>
      </c>
      <c r="J17572" s="3">
        <v>1</v>
      </c>
      <c r="K17572" s="3">
        <v>711</v>
      </c>
      <c r="L17572" s="3">
        <v>329</v>
      </c>
      <c r="M17572" s="3">
        <v>565</v>
      </c>
    </row>
    <row r="17573" spans="1:13" x14ac:dyDescent="0.25">
      <c r="A17573" s="1" t="str">
        <f>HYPERLINK("http://www.rosaceae.org/Prunus/Prunus_persica/p.persica_gdr_reftransV1_0013509","p.persica_gdr_reftransV1_0013509")</f>
        <v>p.persica_gdr_reftransV1_0013509</v>
      </c>
      <c r="B17573" s="3">
        <v>915</v>
      </c>
      <c r="C17573" s="1" t="str">
        <f>HYPERLINK("http://www.uniprot.org/uniprot/PPR85_ARATH","PPR85_ARATH")</f>
        <v>PPR85_ARATH</v>
      </c>
      <c r="D17573" t="s">
        <v>1505</v>
      </c>
      <c r="E17573" s="3" t="s">
        <v>3</v>
      </c>
      <c r="F17573" s="4">
        <v>3.4000000000000002E-44</v>
      </c>
      <c r="G17573" s="3">
        <v>414</v>
      </c>
      <c r="H17573" s="3">
        <v>35</v>
      </c>
      <c r="I17573" s="3">
        <v>288</v>
      </c>
      <c r="J17573" s="3">
        <v>1</v>
      </c>
      <c r="K17573" s="3">
        <v>840</v>
      </c>
      <c r="L17573" s="3">
        <v>57</v>
      </c>
      <c r="M17573" s="3">
        <v>343</v>
      </c>
    </row>
    <row r="17574" spans="1:13" x14ac:dyDescent="0.25">
      <c r="A17574" s="1" t="str">
        <f>HYPERLINK("http://www.rosaceae.org/Prunus/Prunus_persica/p.persica_gdr_reftransV1_0013559","p.persica_gdr_reftransV1_0013559")</f>
        <v>p.persica_gdr_reftransV1_0013559</v>
      </c>
      <c r="B17574" s="3">
        <v>3135</v>
      </c>
      <c r="C17574" s="1" t="str">
        <f>HYPERLINK("http://www.uniprot.org/uniprot/Y4139_ARATH","Y4139_ARATH")</f>
        <v>Y4139_ARATH</v>
      </c>
      <c r="D17574" t="s">
        <v>760</v>
      </c>
      <c r="E17574" s="3" t="s">
        <v>3</v>
      </c>
      <c r="F17574" s="4">
        <v>0</v>
      </c>
      <c r="G17574" s="3">
        <v>1959</v>
      </c>
      <c r="H17574" s="3">
        <v>85</v>
      </c>
      <c r="I17574" s="3">
        <v>427</v>
      </c>
      <c r="J17574" s="3">
        <v>301</v>
      </c>
      <c r="K17574" s="3">
        <v>1581</v>
      </c>
      <c r="L17574" s="3">
        <v>264</v>
      </c>
      <c r="M17574" s="3">
        <v>682</v>
      </c>
    </row>
    <row r="17575" spans="1:13" x14ac:dyDescent="0.25">
      <c r="A17575" s="1" t="str">
        <f>HYPERLINK("http://www.rosaceae.org/Prunus/Prunus_persica/p.persica_gdr_reftransV1_0013609","p.persica_gdr_reftransV1_0013609")</f>
        <v>p.persica_gdr_reftransV1_0013609</v>
      </c>
      <c r="B17575" s="3">
        <v>2862</v>
      </c>
      <c r="C17575" s="1" t="str">
        <f>HYPERLINK("http://www.uniprot.org/uniprot/DGK2_ARATH","DGK2_ARATH")</f>
        <v>DGK2_ARATH</v>
      </c>
      <c r="D17575" t="s">
        <v>8728</v>
      </c>
      <c r="E17575" s="3" t="s">
        <v>3</v>
      </c>
      <c r="F17575" s="4">
        <v>0</v>
      </c>
      <c r="G17575" s="3">
        <v>2660</v>
      </c>
      <c r="H17575" s="3">
        <v>71</v>
      </c>
      <c r="I17575" s="3">
        <v>720</v>
      </c>
      <c r="J17575" s="3">
        <v>235</v>
      </c>
      <c r="K17575" s="3">
        <v>2358</v>
      </c>
      <c r="L17575" s="3">
        <v>1</v>
      </c>
      <c r="M17575" s="3">
        <v>712</v>
      </c>
    </row>
    <row r="17576" spans="1:13" x14ac:dyDescent="0.25">
      <c r="A17576" s="1" t="str">
        <f>HYPERLINK("http://www.rosaceae.org/Prunus/Prunus_persica/p.persica_gdr_reftransV1_0013959","p.persica_gdr_reftransV1_0013959")</f>
        <v>p.persica_gdr_reftransV1_0013959</v>
      </c>
      <c r="B17576" s="3">
        <v>840</v>
      </c>
      <c r="C17576" s="1" t="str">
        <f>HYPERLINK("http://www.uniprot.org/uniprot/ATL8_ARATH","ATL8_ARATH")</f>
        <v>ATL8_ARATH</v>
      </c>
      <c r="D17576" t="s">
        <v>778</v>
      </c>
      <c r="E17576" s="3" t="s">
        <v>3</v>
      </c>
      <c r="F17576" s="4">
        <v>2.9300000000000001E-34</v>
      </c>
      <c r="G17576" s="3">
        <v>321</v>
      </c>
      <c r="H17576" s="3">
        <v>75</v>
      </c>
      <c r="I17576" s="3">
        <v>84</v>
      </c>
      <c r="J17576" s="3">
        <v>293</v>
      </c>
      <c r="K17576" s="3">
        <v>538</v>
      </c>
      <c r="L17576" s="3">
        <v>75</v>
      </c>
      <c r="M17576" s="3">
        <v>157</v>
      </c>
    </row>
    <row r="17577" spans="1:13" x14ac:dyDescent="0.25">
      <c r="A17577" s="1" t="str">
        <f>HYPERLINK("http://www.rosaceae.org/Prunus/Prunus_persica/p.persica_gdr_reftransV1_0014009","p.persica_gdr_reftransV1_0014009")</f>
        <v>p.persica_gdr_reftransV1_0014009</v>
      </c>
      <c r="B17577" s="3">
        <v>3004</v>
      </c>
      <c r="C17577" s="1" t="str">
        <f>HYPERLINK("http://www.uniprot.org/uniprot/MYO2_ARATH","MYO2_ARATH")</f>
        <v>MYO2_ARATH</v>
      </c>
      <c r="D17577" t="s">
        <v>10757</v>
      </c>
      <c r="E17577" s="3" t="s">
        <v>3</v>
      </c>
      <c r="F17577" s="4">
        <v>0</v>
      </c>
      <c r="G17577" s="3">
        <v>2921</v>
      </c>
      <c r="H17577" s="3">
        <v>62</v>
      </c>
      <c r="I17577" s="3">
        <v>937</v>
      </c>
      <c r="J17577" s="3">
        <v>1</v>
      </c>
      <c r="K17577" s="3">
        <v>2622</v>
      </c>
      <c r="L17577" s="3">
        <v>293</v>
      </c>
      <c r="M17577" s="3">
        <v>1218</v>
      </c>
    </row>
    <row r="17578" spans="1:13" x14ac:dyDescent="0.25">
      <c r="A17578" s="1" t="str">
        <f>HYPERLINK("http://www.rosaceae.org/Prunus/Prunus_persica/p.persica_gdr_reftransV1_0014109","p.persica_gdr_reftransV1_0014109")</f>
        <v>p.persica_gdr_reftransV1_0014109</v>
      </c>
      <c r="B17578" s="3">
        <v>2101</v>
      </c>
      <c r="C17578" s="1" t="str">
        <f>HYPERLINK("http://www.uniprot.org/uniprot/TM135_XENLA","TM135_XENLA")</f>
        <v>TM135_XENLA</v>
      </c>
      <c r="D17578" t="s">
        <v>10758</v>
      </c>
      <c r="E17578" s="3" t="s">
        <v>475</v>
      </c>
      <c r="F17578" s="4">
        <v>7.8400000000000001E-8</v>
      </c>
      <c r="G17578" s="3">
        <v>142</v>
      </c>
      <c r="H17578" s="3">
        <v>27</v>
      </c>
      <c r="I17578" s="3">
        <v>161</v>
      </c>
      <c r="J17578" s="3">
        <v>479</v>
      </c>
      <c r="K17578" s="3">
        <v>946</v>
      </c>
      <c r="L17578" s="3">
        <v>17</v>
      </c>
      <c r="M17578" s="3">
        <v>169</v>
      </c>
    </row>
    <row r="17579" spans="1:13" x14ac:dyDescent="0.25">
      <c r="A17579" s="1" t="str">
        <f>HYPERLINK("http://www.rosaceae.org/Prunus/Prunus_persica/p.persica_gdr_reftransV1_0014159","p.persica_gdr_reftransV1_0014159")</f>
        <v>p.persica_gdr_reftransV1_0014159</v>
      </c>
      <c r="B17579" s="3">
        <v>1437</v>
      </c>
      <c r="C17579" s="1" t="str">
        <f>HYPERLINK("http://www.uniprot.org/uniprot/AI5L4_ARATH","AI5L4_ARATH")</f>
        <v>AI5L4_ARATH</v>
      </c>
      <c r="D17579" t="s">
        <v>10759</v>
      </c>
      <c r="E17579" s="3" t="s">
        <v>3</v>
      </c>
      <c r="F17579" s="4">
        <v>1.32E-44</v>
      </c>
      <c r="G17579" s="3">
        <v>420</v>
      </c>
      <c r="H17579" s="3">
        <v>58</v>
      </c>
      <c r="I17579" s="3">
        <v>165</v>
      </c>
      <c r="J17579" s="3">
        <v>5</v>
      </c>
      <c r="K17579" s="3">
        <v>478</v>
      </c>
      <c r="L17579" s="3">
        <v>1</v>
      </c>
      <c r="M17579" s="3">
        <v>154</v>
      </c>
    </row>
    <row r="17580" spans="1:13" x14ac:dyDescent="0.25">
      <c r="A17580" s="1" t="str">
        <f>HYPERLINK("http://www.rosaceae.org/Prunus/Prunus_persica/p.persica_gdr_reftransV1_0014259","p.persica_gdr_reftransV1_0014259")</f>
        <v>p.persica_gdr_reftransV1_0014259</v>
      </c>
      <c r="B17580" s="3">
        <v>2275</v>
      </c>
      <c r="C17580" s="1" t="str">
        <f>HYPERLINK("http://www.uniprot.org/uniprot/FRS5_ARATH","FRS5_ARATH")</f>
        <v>FRS5_ARATH</v>
      </c>
      <c r="D17580" t="s">
        <v>908</v>
      </c>
      <c r="E17580" s="3" t="s">
        <v>3</v>
      </c>
      <c r="F17580" s="4">
        <v>1.9899999999999999E-20</v>
      </c>
      <c r="G17580" s="3">
        <v>249</v>
      </c>
      <c r="H17580" s="3">
        <v>37</v>
      </c>
      <c r="I17580" s="3">
        <v>173</v>
      </c>
      <c r="J17580" s="3">
        <v>367</v>
      </c>
      <c r="K17580" s="3">
        <v>816</v>
      </c>
      <c r="L17580" s="3">
        <v>15</v>
      </c>
      <c r="M17580" s="3">
        <v>185</v>
      </c>
    </row>
    <row r="17581" spans="1:13" x14ac:dyDescent="0.25">
      <c r="A17581" s="1" t="str">
        <f>HYPERLINK("http://www.rosaceae.org/Prunus/Prunus_persica/p.persica_gdr_reftransV1_0014409","p.persica_gdr_reftransV1_0014409")</f>
        <v>p.persica_gdr_reftransV1_0014409</v>
      </c>
      <c r="B17581" s="3">
        <v>1317</v>
      </c>
      <c r="C17581" s="1" t="str">
        <f>HYPERLINK("http://www.uniprot.org/uniprot/VAP12_ARATH","VAP12_ARATH")</f>
        <v>VAP12_ARATH</v>
      </c>
      <c r="D17581" t="s">
        <v>836</v>
      </c>
      <c r="E17581" s="3" t="s">
        <v>3</v>
      </c>
      <c r="F17581" s="4">
        <v>3.6500000000000001E-110</v>
      </c>
      <c r="G17581" s="3">
        <v>849</v>
      </c>
      <c r="H17581" s="3">
        <v>75</v>
      </c>
      <c r="I17581" s="3">
        <v>220</v>
      </c>
      <c r="J17581" s="3">
        <v>429</v>
      </c>
      <c r="K17581" s="3">
        <v>1082</v>
      </c>
      <c r="L17581" s="3">
        <v>2</v>
      </c>
      <c r="M17581" s="3">
        <v>219</v>
      </c>
    </row>
    <row r="17582" spans="1:13" x14ac:dyDescent="0.25">
      <c r="A17582" s="1" t="str">
        <f>HYPERLINK("http://www.rosaceae.org/Prunus/Prunus_persica/p.persica_gdr_reftransV1_0014559","p.persica_gdr_reftransV1_0014559")</f>
        <v>p.persica_gdr_reftransV1_0014559</v>
      </c>
      <c r="B17582" s="3">
        <v>3932</v>
      </c>
      <c r="C17582" s="1" t="str">
        <f>HYPERLINK("http://www.uniprot.org/uniprot/DJC14_HUMAN","DJC14_HUMAN")</f>
        <v>DJC14_HUMAN</v>
      </c>
      <c r="D17582" t="s">
        <v>4520</v>
      </c>
      <c r="E17582" s="3" t="s">
        <v>28</v>
      </c>
      <c r="F17582" s="4">
        <v>3.6500000000000002E-20</v>
      </c>
      <c r="G17582" s="3">
        <v>249</v>
      </c>
      <c r="H17582" s="3">
        <v>28</v>
      </c>
      <c r="I17582" s="3">
        <v>247</v>
      </c>
      <c r="J17582" s="3">
        <v>2546</v>
      </c>
      <c r="K17582" s="3">
        <v>3271</v>
      </c>
      <c r="L17582" s="3">
        <v>413</v>
      </c>
      <c r="M17582" s="3">
        <v>643</v>
      </c>
    </row>
    <row r="17583" spans="1:13" x14ac:dyDescent="0.25">
      <c r="A17583" s="1" t="str">
        <f>HYPERLINK("http://www.rosaceae.org/Prunus/Prunus_persica/p.persica_gdr_reftransV1_0014759","p.persica_gdr_reftransV1_0014759")</f>
        <v>p.persica_gdr_reftransV1_0014759</v>
      </c>
      <c r="B17583" s="3">
        <v>1038</v>
      </c>
      <c r="C17583" s="1" t="str">
        <f>HYPERLINK("http://www.uniprot.org/uniprot/RS71_ARATH","RS71_ARATH")</f>
        <v>RS71_ARATH</v>
      </c>
      <c r="D17583" t="s">
        <v>6424</v>
      </c>
      <c r="E17583" s="3" t="s">
        <v>3</v>
      </c>
      <c r="F17583" s="4">
        <v>6.3800000000000005E-103</v>
      </c>
      <c r="G17583" s="3">
        <v>787</v>
      </c>
      <c r="H17583" s="3">
        <v>71</v>
      </c>
      <c r="I17583" s="3">
        <v>216</v>
      </c>
      <c r="J17583" s="3">
        <v>143</v>
      </c>
      <c r="K17583" s="3">
        <v>787</v>
      </c>
      <c r="L17583" s="3">
        <v>1</v>
      </c>
      <c r="M17583" s="3">
        <v>191</v>
      </c>
    </row>
    <row r="17584" spans="1:13" x14ac:dyDescent="0.25">
      <c r="A17584" s="1" t="str">
        <f>HYPERLINK("http://www.rosaceae.org/Prunus/Prunus_persica/p.persica_gdr_reftransV1_0014809","p.persica_gdr_reftransV1_0014809")</f>
        <v>p.persica_gdr_reftransV1_0014809</v>
      </c>
      <c r="B17584" s="3">
        <v>1960</v>
      </c>
      <c r="C17584" s="1" t="str">
        <f>HYPERLINK("http://www.uniprot.org/uniprot/ACOT9_MOUSE","ACOT9_MOUSE")</f>
        <v>ACOT9_MOUSE</v>
      </c>
      <c r="D17584" t="s">
        <v>10760</v>
      </c>
      <c r="E17584" s="3" t="s">
        <v>157</v>
      </c>
      <c r="F17584" s="4">
        <v>4.7199999999999997E-44</v>
      </c>
      <c r="G17584" s="3">
        <v>424</v>
      </c>
      <c r="H17584" s="3">
        <v>32</v>
      </c>
      <c r="I17584" s="3">
        <v>351</v>
      </c>
      <c r="J17584" s="3">
        <v>541</v>
      </c>
      <c r="K17584" s="3">
        <v>1578</v>
      </c>
      <c r="L17584" s="3">
        <v>64</v>
      </c>
      <c r="M17584" s="3">
        <v>401</v>
      </c>
    </row>
    <row r="17585" spans="1:13" x14ac:dyDescent="0.25">
      <c r="A17585" s="1" t="str">
        <f>HYPERLINK("http://www.rosaceae.org/Prunus/Prunus_persica/p.persica_gdr_reftransV1_0014959","p.persica_gdr_reftransV1_0014959")</f>
        <v>p.persica_gdr_reftransV1_0014959</v>
      </c>
      <c r="B17585" s="3">
        <v>2233</v>
      </c>
      <c r="C17585" s="1" t="str">
        <f>HYPERLINK("http://www.uniprot.org/uniprot/GPT1_ARATH","GPT1_ARATH")</f>
        <v>GPT1_ARATH</v>
      </c>
      <c r="D17585" t="s">
        <v>9840</v>
      </c>
      <c r="E17585" s="3" t="s">
        <v>3</v>
      </c>
      <c r="F17585" s="4">
        <v>0</v>
      </c>
      <c r="G17585" s="3">
        <v>1467</v>
      </c>
      <c r="H17585" s="3">
        <v>74</v>
      </c>
      <c r="I17585" s="3">
        <v>398</v>
      </c>
      <c r="J17585" s="3">
        <v>567</v>
      </c>
      <c r="K17585" s="3">
        <v>1748</v>
      </c>
      <c r="L17585" s="3">
        <v>1</v>
      </c>
      <c r="M17585" s="3">
        <v>387</v>
      </c>
    </row>
    <row r="17586" spans="1:13" x14ac:dyDescent="0.25">
      <c r="A17586" s="1" t="str">
        <f>HYPERLINK("http://www.rosaceae.org/Prunus/Prunus_persica/p.persica_gdr_reftransV1_0015209","p.persica_gdr_reftransV1_0015209")</f>
        <v>p.persica_gdr_reftransV1_0015209</v>
      </c>
      <c r="B17586" s="3">
        <v>2337</v>
      </c>
      <c r="C17586" s="1" t="str">
        <f>HYPERLINK("http://www.uniprot.org/uniprot/PP417_ARATH","PP417_ARATH")</f>
        <v>PP417_ARATH</v>
      </c>
      <c r="D17586" t="s">
        <v>10761</v>
      </c>
      <c r="E17586" s="3" t="s">
        <v>3</v>
      </c>
      <c r="F17586" s="4">
        <v>0</v>
      </c>
      <c r="G17586" s="3">
        <v>2094</v>
      </c>
      <c r="H17586" s="3">
        <v>62</v>
      </c>
      <c r="I17586" s="3">
        <v>621</v>
      </c>
      <c r="J17586" s="3">
        <v>349</v>
      </c>
      <c r="K17586" s="3">
        <v>2208</v>
      </c>
      <c r="L17586" s="3">
        <v>38</v>
      </c>
      <c r="M17586" s="3">
        <v>657</v>
      </c>
    </row>
    <row r="17587" spans="1:13" x14ac:dyDescent="0.25">
      <c r="A17587" s="1" t="str">
        <f>HYPERLINK("http://www.rosaceae.org/Prunus/Prunus_persica/p.persica_gdr_reftransV1_0015359","p.persica_gdr_reftransV1_0015359")</f>
        <v>p.persica_gdr_reftransV1_0015359</v>
      </c>
      <c r="B17587" s="3">
        <v>3127</v>
      </c>
      <c r="C17587" s="1" t="str">
        <f>HYPERLINK("http://www.uniprot.org/uniprot/UFC_ARATH","UFC_ARATH")</f>
        <v>UFC_ARATH</v>
      </c>
      <c r="D17587" t="s">
        <v>7696</v>
      </c>
      <c r="E17587" s="3" t="s">
        <v>3</v>
      </c>
      <c r="F17587" s="4">
        <v>3.3000000000000003E-30</v>
      </c>
      <c r="G17587" s="3">
        <v>324</v>
      </c>
      <c r="H17587" s="3">
        <v>59</v>
      </c>
      <c r="I17587" s="3">
        <v>101</v>
      </c>
      <c r="J17587" s="3">
        <v>499</v>
      </c>
      <c r="K17587" s="3">
        <v>792</v>
      </c>
      <c r="L17587" s="3">
        <v>44</v>
      </c>
      <c r="M17587" s="3">
        <v>144</v>
      </c>
    </row>
    <row r="17588" spans="1:13" x14ac:dyDescent="0.25">
      <c r="A17588" s="1" t="str">
        <f>HYPERLINK("http://www.rosaceae.org/Prunus/Prunus_persica/p.persica_gdr_reftransV1_0015509","p.persica_gdr_reftransV1_0015509")</f>
        <v>p.persica_gdr_reftransV1_0015509</v>
      </c>
      <c r="B17588" s="3">
        <v>1009</v>
      </c>
      <c r="C17588" s="1" t="str">
        <f>HYPERLINK("http://www.uniprot.org/uniprot/PSBW_ARATH","PSBW_ARATH")</f>
        <v>PSBW_ARATH</v>
      </c>
      <c r="D17588" t="s">
        <v>436</v>
      </c>
      <c r="E17588" s="3" t="s">
        <v>3</v>
      </c>
      <c r="F17588" s="4">
        <v>2.5400000000000001E-21</v>
      </c>
      <c r="G17588" s="3">
        <v>228</v>
      </c>
      <c r="H17588" s="3">
        <v>66</v>
      </c>
      <c r="I17588" s="3">
        <v>87</v>
      </c>
      <c r="J17588" s="3">
        <v>296</v>
      </c>
      <c r="K17588" s="3">
        <v>553</v>
      </c>
      <c r="L17588" s="3">
        <v>35</v>
      </c>
      <c r="M17588" s="3">
        <v>120</v>
      </c>
    </row>
    <row r="17589" spans="1:13" x14ac:dyDescent="0.25">
      <c r="A17589" s="1" t="str">
        <f>HYPERLINK("http://www.rosaceae.org/Prunus/Prunus_persica/p.persica_gdr_reftransV1_0015859","p.persica_gdr_reftransV1_0015859")</f>
        <v>p.persica_gdr_reftransV1_0015859</v>
      </c>
      <c r="B17589" s="3">
        <v>1800</v>
      </c>
      <c r="C17589" s="1" t="str">
        <f>HYPERLINK("http://www.uniprot.org/uniprot/TLOV1_ARATH","TLOV1_ARATH")</f>
        <v>TLOV1_ARATH</v>
      </c>
      <c r="D17589" t="s">
        <v>1021</v>
      </c>
      <c r="E17589" s="3" t="s">
        <v>3</v>
      </c>
      <c r="F17589" s="4">
        <v>1.2600000000000001E-115</v>
      </c>
      <c r="G17589" s="3">
        <v>663</v>
      </c>
      <c r="H17589" s="3">
        <v>64</v>
      </c>
      <c r="I17589" s="3">
        <v>226</v>
      </c>
      <c r="J17589" s="3">
        <v>732</v>
      </c>
      <c r="K17589" s="3">
        <v>1397</v>
      </c>
      <c r="L17589" s="3">
        <v>19</v>
      </c>
      <c r="M17589" s="3">
        <v>237</v>
      </c>
    </row>
    <row r="17590" spans="1:13" x14ac:dyDescent="0.25">
      <c r="A17590" s="1" t="str">
        <f>HYPERLINK("http://www.rosaceae.org/Prunus/Prunus_persica/p.persica_gdr_reftransV1_0015909","p.persica_gdr_reftransV1_0015909")</f>
        <v>p.persica_gdr_reftransV1_0015909</v>
      </c>
      <c r="B17590" s="3">
        <v>2102</v>
      </c>
      <c r="C17590" s="1" t="str">
        <f>HYPERLINK("http://www.uniprot.org/uniprot/GAT1_ARATH","GAT1_ARATH")</f>
        <v>GAT1_ARATH</v>
      </c>
      <c r="D17590" t="s">
        <v>1377</v>
      </c>
      <c r="E17590" s="3" t="s">
        <v>3</v>
      </c>
      <c r="F17590" s="4">
        <v>2.3000000000000001E-89</v>
      </c>
      <c r="G17590" s="3">
        <v>750</v>
      </c>
      <c r="H17590" s="3">
        <v>70</v>
      </c>
      <c r="I17590" s="3">
        <v>206</v>
      </c>
      <c r="J17590" s="3">
        <v>1289</v>
      </c>
      <c r="K17590" s="3">
        <v>1900</v>
      </c>
      <c r="L17590" s="3">
        <v>246</v>
      </c>
      <c r="M17590" s="3">
        <v>451</v>
      </c>
    </row>
    <row r="17591" spans="1:13" x14ac:dyDescent="0.25">
      <c r="A17591" s="1" t="str">
        <f>HYPERLINK("http://www.rosaceae.org/Prunus/Prunus_persica/p.persica_gdr_reftransV1_0015959","p.persica_gdr_reftransV1_0015959")</f>
        <v>p.persica_gdr_reftransV1_0015959</v>
      </c>
      <c r="B17591" s="3">
        <v>1650</v>
      </c>
      <c r="C17591" s="1" t="str">
        <f>HYPERLINK("http://www.uniprot.org/uniprot/ACR9_ARATH","ACR9_ARATH")</f>
        <v>ACR9_ARATH</v>
      </c>
      <c r="D17591" t="s">
        <v>4091</v>
      </c>
      <c r="E17591" s="3" t="s">
        <v>3</v>
      </c>
      <c r="F17591" s="4">
        <v>5.1900000000000002E-147</v>
      </c>
      <c r="G17591" s="3">
        <v>1121</v>
      </c>
      <c r="H17591" s="3">
        <v>59</v>
      </c>
      <c r="I17591" s="3">
        <v>365</v>
      </c>
      <c r="J17591" s="3">
        <v>166</v>
      </c>
      <c r="K17591" s="3">
        <v>1260</v>
      </c>
      <c r="L17591" s="3">
        <v>1</v>
      </c>
      <c r="M17591" s="3">
        <v>356</v>
      </c>
    </row>
    <row r="17592" spans="1:13" x14ac:dyDescent="0.25">
      <c r="A17592" s="1" t="str">
        <f>HYPERLINK("http://www.rosaceae.org/Prunus/Prunus_persica/p.persica_gdr_reftransV1_0016009","p.persica_gdr_reftransV1_0016009")</f>
        <v>p.persica_gdr_reftransV1_0016009</v>
      </c>
      <c r="B17592" s="3">
        <v>2612</v>
      </c>
      <c r="C17592" s="1" t="str">
        <f>HYPERLINK("http://www.uniprot.org/uniprot/ULP2B_ARATH","ULP2B_ARATH")</f>
        <v>ULP2B_ARATH</v>
      </c>
      <c r="D17592" t="s">
        <v>951</v>
      </c>
      <c r="E17592" s="3" t="s">
        <v>3</v>
      </c>
      <c r="F17592" s="4">
        <v>6.3300000000000001E-118</v>
      </c>
      <c r="G17592" s="3">
        <v>994</v>
      </c>
      <c r="H17592" s="3">
        <v>56</v>
      </c>
      <c r="I17592" s="3">
        <v>385</v>
      </c>
      <c r="J17592" s="3">
        <v>740</v>
      </c>
      <c r="K17592" s="3">
        <v>1828</v>
      </c>
      <c r="L17592" s="3">
        <v>338</v>
      </c>
      <c r="M17592" s="3">
        <v>716</v>
      </c>
    </row>
    <row r="17593" spans="1:13" x14ac:dyDescent="0.25">
      <c r="A17593" s="1" t="str">
        <f>HYPERLINK("http://www.rosaceae.org/Prunus/Prunus_persica/p.persica_gdr_reftransV1_0016109","p.persica_gdr_reftransV1_0016109")</f>
        <v>p.persica_gdr_reftransV1_0016109</v>
      </c>
      <c r="B17593" s="3">
        <v>4193</v>
      </c>
      <c r="C17593" s="1" t="str">
        <f>HYPERLINK("http://www.uniprot.org/uniprot/PDR2_ARATH","PDR2_ARATH")</f>
        <v>PDR2_ARATH</v>
      </c>
      <c r="D17593" t="s">
        <v>10762</v>
      </c>
      <c r="E17593" s="3" t="s">
        <v>3</v>
      </c>
      <c r="F17593" s="4">
        <v>0</v>
      </c>
      <c r="G17593" s="3">
        <v>4853</v>
      </c>
      <c r="H17593" s="3">
        <v>77</v>
      </c>
      <c r="I17593" s="3">
        <v>1196</v>
      </c>
      <c r="J17593" s="3">
        <v>206</v>
      </c>
      <c r="K17593" s="3">
        <v>3787</v>
      </c>
      <c r="L17593" s="3">
        <v>1</v>
      </c>
      <c r="M17593" s="3">
        <v>1179</v>
      </c>
    </row>
    <row r="17594" spans="1:13" x14ac:dyDescent="0.25">
      <c r="A17594" s="1" t="str">
        <f>HYPERLINK("http://www.rosaceae.org/Prunus/Prunus_persica/p.persica_gdr_reftransV1_0016159","p.persica_gdr_reftransV1_0016159")</f>
        <v>p.persica_gdr_reftransV1_0016159</v>
      </c>
      <c r="B17594" s="3">
        <v>2703</v>
      </c>
      <c r="C17594" s="1" t="str">
        <f>HYPERLINK("http://www.uniprot.org/uniprot/RNP1_ARATH","RNP1_ARATH")</f>
        <v>RNP1_ARATH</v>
      </c>
      <c r="D17594" t="s">
        <v>2083</v>
      </c>
      <c r="E17594" s="3" t="s">
        <v>3</v>
      </c>
      <c r="F17594" s="4">
        <v>2.9999999999999999E-41</v>
      </c>
      <c r="G17594" s="3">
        <v>408</v>
      </c>
      <c r="H17594" s="3">
        <v>49</v>
      </c>
      <c r="I17594" s="3">
        <v>172</v>
      </c>
      <c r="J17594" s="3">
        <v>1140</v>
      </c>
      <c r="K17594" s="3">
        <v>1610</v>
      </c>
      <c r="L17594" s="3">
        <v>22</v>
      </c>
      <c r="M17594" s="3">
        <v>188</v>
      </c>
    </row>
    <row r="17595" spans="1:13" x14ac:dyDescent="0.25">
      <c r="A17595" s="1" t="str">
        <f>HYPERLINK("http://www.rosaceae.org/Prunus/Prunus_persica/p.persica_gdr_reftransV1_0016409","p.persica_gdr_reftransV1_0016409")</f>
        <v>p.persica_gdr_reftransV1_0016409</v>
      </c>
      <c r="B17595" s="3">
        <v>3250</v>
      </c>
      <c r="C17595" s="1" t="str">
        <f>HYPERLINK("http://www.uniprot.org/uniprot/POT12_ARATH","POT12_ARATH")</f>
        <v>POT12_ARATH</v>
      </c>
      <c r="D17595" t="s">
        <v>10763</v>
      </c>
      <c r="E17595" s="3" t="s">
        <v>3</v>
      </c>
      <c r="F17595" s="4">
        <v>0</v>
      </c>
      <c r="G17595" s="3">
        <v>2088</v>
      </c>
      <c r="H17595" s="3">
        <v>77</v>
      </c>
      <c r="I17595" s="3">
        <v>565</v>
      </c>
      <c r="J17595" s="3">
        <v>178</v>
      </c>
      <c r="K17595" s="3">
        <v>1866</v>
      </c>
      <c r="L17595" s="3">
        <v>275</v>
      </c>
      <c r="M17595" s="3">
        <v>827</v>
      </c>
    </row>
    <row r="17596" spans="1:13" x14ac:dyDescent="0.25">
      <c r="A17596" s="1" t="str">
        <f>HYPERLINK("http://www.rosaceae.org/Prunus/Prunus_persica/p.persica_gdr_reftransV1_0016459","p.persica_gdr_reftransV1_0016459")</f>
        <v>p.persica_gdr_reftransV1_0016459</v>
      </c>
      <c r="B17596" s="3">
        <v>2010</v>
      </c>
      <c r="C17596" s="1" t="str">
        <f>HYPERLINK("http://www.uniprot.org/uniprot/NIPA6_ARATH","NIPA6_ARATH")</f>
        <v>NIPA6_ARATH</v>
      </c>
      <c r="D17596" t="s">
        <v>9226</v>
      </c>
      <c r="E17596" s="3" t="s">
        <v>3</v>
      </c>
      <c r="F17596" s="4">
        <v>2.07E-24</v>
      </c>
      <c r="G17596" s="3">
        <v>271</v>
      </c>
      <c r="H17596" s="3">
        <v>51</v>
      </c>
      <c r="I17596" s="3">
        <v>116</v>
      </c>
      <c r="J17596" s="3">
        <v>526</v>
      </c>
      <c r="K17596" s="3">
        <v>870</v>
      </c>
      <c r="L17596" s="3">
        <v>227</v>
      </c>
      <c r="M17596" s="3">
        <v>328</v>
      </c>
    </row>
    <row r="17597" spans="1:13" x14ac:dyDescent="0.25">
      <c r="A17597" s="1" t="str">
        <f>HYPERLINK("http://www.rosaceae.org/Prunus/Prunus_persica/p.persica_gdr_reftransV1_0016709","p.persica_gdr_reftransV1_0016709")</f>
        <v>p.persica_gdr_reftransV1_0016709</v>
      </c>
      <c r="B17597" s="3">
        <v>2101</v>
      </c>
      <c r="C17597" s="1" t="str">
        <f>HYPERLINK("http://www.uniprot.org/uniprot/MCC1_ARATH","MCC1_ARATH")</f>
        <v>MCC1_ARATH</v>
      </c>
      <c r="D17597" t="s">
        <v>10764</v>
      </c>
      <c r="E17597" s="3" t="s">
        <v>3</v>
      </c>
      <c r="F17597" s="4">
        <v>5.4399999999999997E-55</v>
      </c>
      <c r="G17597" s="3">
        <v>492</v>
      </c>
      <c r="H17597" s="3">
        <v>60</v>
      </c>
      <c r="I17597" s="3">
        <v>151</v>
      </c>
      <c r="J17597" s="3">
        <v>1356</v>
      </c>
      <c r="K17597" s="3">
        <v>1808</v>
      </c>
      <c r="L17597" s="3">
        <v>98</v>
      </c>
      <c r="M17597" s="3">
        <v>247</v>
      </c>
    </row>
    <row r="17598" spans="1:13" x14ac:dyDescent="0.25">
      <c r="A17598" s="1" t="str">
        <f>HYPERLINK("http://www.rosaceae.org/Prunus/Prunus_persica/p.persica_gdr_reftransV1_0016909","p.persica_gdr_reftransV1_0016909")</f>
        <v>p.persica_gdr_reftransV1_0016909</v>
      </c>
      <c r="B17598" s="3">
        <v>2145</v>
      </c>
      <c r="C17598" s="1" t="str">
        <f>HYPERLINK("http://www.uniprot.org/uniprot/OBE2_ARATH","OBE2_ARATH")</f>
        <v>OBE2_ARATH</v>
      </c>
      <c r="D17598" t="s">
        <v>10320</v>
      </c>
      <c r="E17598" s="3" t="s">
        <v>3</v>
      </c>
      <c r="F17598" s="4">
        <v>1.8900000000000001E-7</v>
      </c>
      <c r="G17598" s="3">
        <v>139</v>
      </c>
      <c r="H17598" s="3">
        <v>29</v>
      </c>
      <c r="I17598" s="3">
        <v>143</v>
      </c>
      <c r="J17598" s="3">
        <v>1562</v>
      </c>
      <c r="K17598" s="3">
        <v>1963</v>
      </c>
      <c r="L17598" s="3">
        <v>214</v>
      </c>
      <c r="M17598" s="3">
        <v>348</v>
      </c>
    </row>
    <row r="17599" spans="1:13" x14ac:dyDescent="0.25">
      <c r="A17599" s="1" t="str">
        <f>HYPERLINK("http://www.rosaceae.org/Prunus/Prunus_persica/p.persica_gdr_reftransV1_0017009","p.persica_gdr_reftransV1_0017009")</f>
        <v>p.persica_gdr_reftransV1_0017009</v>
      </c>
      <c r="B17599" s="3">
        <v>2619</v>
      </c>
      <c r="C17599" s="1" t="str">
        <f>HYPERLINK("http://www.uniprot.org/uniprot/PP271_ARATH","PP271_ARATH")</f>
        <v>PP271_ARATH</v>
      </c>
      <c r="D17599" t="s">
        <v>2747</v>
      </c>
      <c r="E17599" s="3" t="s">
        <v>3</v>
      </c>
      <c r="F17599" s="4">
        <v>0</v>
      </c>
      <c r="G17599" s="3">
        <v>2004</v>
      </c>
      <c r="H17599" s="3">
        <v>71</v>
      </c>
      <c r="I17599" s="3">
        <v>519</v>
      </c>
      <c r="J17599" s="3">
        <v>553</v>
      </c>
      <c r="K17599" s="3">
        <v>2082</v>
      </c>
      <c r="L17599" s="3">
        <v>168</v>
      </c>
      <c r="M17599" s="3">
        <v>686</v>
      </c>
    </row>
    <row r="17600" spans="1:13" x14ac:dyDescent="0.25">
      <c r="A17600" s="1" t="str">
        <f>HYPERLINK("http://www.rosaceae.org/Prunus/Prunus_persica/p.persica_gdr_reftransV1_0017059","p.persica_gdr_reftransV1_0017059")</f>
        <v>p.persica_gdr_reftransV1_0017059</v>
      </c>
      <c r="B17600" s="3">
        <v>3583</v>
      </c>
      <c r="C17600" s="1" t="str">
        <f>HYPERLINK("http://www.uniprot.org/uniprot/CTLHB_DICDI","CTLHB_DICDI")</f>
        <v>CTLHB_DICDI</v>
      </c>
      <c r="D17600" t="s">
        <v>1178</v>
      </c>
      <c r="E17600" s="3" t="s">
        <v>9</v>
      </c>
      <c r="F17600" s="4">
        <v>5.6899999999999998E-21</v>
      </c>
      <c r="G17600" s="3">
        <v>254</v>
      </c>
      <c r="H17600" s="3">
        <v>27</v>
      </c>
      <c r="I17600" s="3">
        <v>286</v>
      </c>
      <c r="J17600" s="3">
        <v>1642</v>
      </c>
      <c r="K17600" s="3">
        <v>2445</v>
      </c>
      <c r="L17600" s="3">
        <v>259</v>
      </c>
      <c r="M17600" s="3">
        <v>535</v>
      </c>
    </row>
    <row r="17601" spans="1:13" x14ac:dyDescent="0.25">
      <c r="A17601" s="1" t="str">
        <f>HYPERLINK("http://www.rosaceae.org/Prunus/Prunus_persica/p.persica_gdr_reftransV1_0017109","p.persica_gdr_reftransV1_0017109")</f>
        <v>p.persica_gdr_reftransV1_0017109</v>
      </c>
      <c r="B17601" s="3">
        <v>4076</v>
      </c>
      <c r="C17601" s="1" t="str">
        <f>HYPERLINK("http://www.uniprot.org/uniprot/PP400_ARATH","PP400_ARATH")</f>
        <v>PP400_ARATH</v>
      </c>
      <c r="D17601" t="s">
        <v>3362</v>
      </c>
      <c r="E17601" s="3" t="s">
        <v>3</v>
      </c>
      <c r="F17601" s="4">
        <v>4.7100000000000002E-166</v>
      </c>
      <c r="G17601" s="3">
        <v>1320</v>
      </c>
      <c r="H17601" s="3">
        <v>58</v>
      </c>
      <c r="I17601" s="3">
        <v>440</v>
      </c>
      <c r="J17601" s="3">
        <v>1189</v>
      </c>
      <c r="K17601" s="3">
        <v>2496</v>
      </c>
      <c r="L17601" s="3">
        <v>43</v>
      </c>
      <c r="M17601" s="3">
        <v>482</v>
      </c>
    </row>
    <row r="17602" spans="1:13" x14ac:dyDescent="0.25">
      <c r="A17602" s="1" t="str">
        <f>HYPERLINK("http://www.rosaceae.org/Prunus/Prunus_persica/p.persica_gdr_reftransV1_0017209","p.persica_gdr_reftransV1_0017209")</f>
        <v>p.persica_gdr_reftransV1_0017209</v>
      </c>
      <c r="B17602" s="3">
        <v>1496</v>
      </c>
      <c r="C17602" s="1" t="str">
        <f>HYPERLINK("http://www.uniprot.org/uniprot/PER12_ARATH","PER12_ARATH")</f>
        <v>PER12_ARATH</v>
      </c>
      <c r="D17602" t="s">
        <v>10765</v>
      </c>
      <c r="E17602" s="3" t="s">
        <v>3</v>
      </c>
      <c r="F17602" s="4">
        <v>1.9499999999999998E-158</v>
      </c>
      <c r="G17602" s="3">
        <v>1187</v>
      </c>
      <c r="H17602" s="3">
        <v>69</v>
      </c>
      <c r="I17602" s="3">
        <v>302</v>
      </c>
      <c r="J17602" s="3">
        <v>162</v>
      </c>
      <c r="K17602" s="3">
        <v>1067</v>
      </c>
      <c r="L17602" s="3">
        <v>39</v>
      </c>
      <c r="M17602" s="3">
        <v>340</v>
      </c>
    </row>
    <row r="17603" spans="1:13" x14ac:dyDescent="0.25">
      <c r="A17603" s="1" t="str">
        <f>HYPERLINK("http://www.rosaceae.org/Prunus/Prunus_persica/p.persica_gdr_reftransV1_0017559","p.persica_gdr_reftransV1_0017559")</f>
        <v>p.persica_gdr_reftransV1_0017559</v>
      </c>
      <c r="B17603" s="3">
        <v>1376</v>
      </c>
      <c r="C17603" s="1" t="str">
        <f>HYPERLINK("http://www.uniprot.org/uniprot/PP235_ARATH","PP235_ARATH")</f>
        <v>PP235_ARATH</v>
      </c>
      <c r="D17603" t="s">
        <v>6029</v>
      </c>
      <c r="E17603" s="3" t="s">
        <v>3</v>
      </c>
      <c r="F17603" s="4">
        <v>3.8000000000000001E-152</v>
      </c>
      <c r="G17603" s="3">
        <v>1172</v>
      </c>
      <c r="H17603" s="3">
        <v>63</v>
      </c>
      <c r="I17603" s="3">
        <v>347</v>
      </c>
      <c r="J17603" s="3">
        <v>334</v>
      </c>
      <c r="K17603" s="3">
        <v>1374</v>
      </c>
      <c r="L17603" s="3">
        <v>316</v>
      </c>
      <c r="M17603" s="3">
        <v>662</v>
      </c>
    </row>
    <row r="17604" spans="1:13" x14ac:dyDescent="0.25">
      <c r="A17604" s="1" t="str">
        <f>HYPERLINK("http://www.rosaceae.org/Prunus/Prunus_persica/p.persica_gdr_reftransV1_0017709","p.persica_gdr_reftransV1_0017709")</f>
        <v>p.persica_gdr_reftransV1_0017709</v>
      </c>
      <c r="B17604" s="3">
        <v>5808</v>
      </c>
      <c r="C17604" s="1" t="str">
        <f>HYPERLINK("http://www.uniprot.org/uniprot/CLAH1_ARATH","CLAH1_ARATH")</f>
        <v>CLAH1_ARATH</v>
      </c>
      <c r="D17604" t="s">
        <v>1760</v>
      </c>
      <c r="E17604" s="3" t="s">
        <v>3</v>
      </c>
      <c r="F17604" s="4">
        <v>0</v>
      </c>
      <c r="G17604" s="3">
        <v>7952</v>
      </c>
      <c r="H17604" s="3">
        <v>92</v>
      </c>
      <c r="I17604" s="3">
        <v>1657</v>
      </c>
      <c r="J17604" s="3">
        <v>553</v>
      </c>
      <c r="K17604" s="3">
        <v>5523</v>
      </c>
      <c r="L17604" s="3">
        <v>1</v>
      </c>
      <c r="M17604" s="3">
        <v>1657</v>
      </c>
    </row>
    <row r="17605" spans="1:13" x14ac:dyDescent="0.25">
      <c r="A17605" s="1" t="str">
        <f>HYPERLINK("http://www.rosaceae.org/Prunus/Prunus_persica/p.persica_gdr_reftransV1_0018009","p.persica_gdr_reftransV1_0018009")</f>
        <v>p.persica_gdr_reftransV1_0018009</v>
      </c>
      <c r="B17605" s="3">
        <v>3750</v>
      </c>
      <c r="C17605" s="1" t="str">
        <f>HYPERLINK("http://www.uniprot.org/uniprot/RCCD1_MOUSE","RCCD1_MOUSE")</f>
        <v>RCCD1_MOUSE</v>
      </c>
      <c r="D17605" t="s">
        <v>10766</v>
      </c>
      <c r="E17605" s="3" t="s">
        <v>157</v>
      </c>
      <c r="F17605" s="4">
        <v>6.5899999999999998E-9</v>
      </c>
      <c r="G17605" s="3">
        <v>152</v>
      </c>
      <c r="H17605" s="3">
        <v>30</v>
      </c>
      <c r="I17605" s="3">
        <v>128</v>
      </c>
      <c r="J17605" s="3">
        <v>2147</v>
      </c>
      <c r="K17605" s="3">
        <v>2422</v>
      </c>
      <c r="L17605" s="3">
        <v>192</v>
      </c>
      <c r="M17605" s="3">
        <v>317</v>
      </c>
    </row>
    <row r="17606" spans="1:13" x14ac:dyDescent="0.25">
      <c r="A17606" s="1" t="str">
        <f>HYPERLINK("http://www.rosaceae.org/Prunus/Prunus_persica/p.persica_gdr_reftransV1_0018059","p.persica_gdr_reftransV1_0018059")</f>
        <v>p.persica_gdr_reftransV1_0018059</v>
      </c>
      <c r="B17606" s="3">
        <v>3155</v>
      </c>
      <c r="C17606" s="1" t="str">
        <f>HYPERLINK("http://www.uniprot.org/uniprot/PP328_ARATH","PP328_ARATH")</f>
        <v>PP328_ARATH</v>
      </c>
      <c r="D17606" t="s">
        <v>10767</v>
      </c>
      <c r="E17606" s="3" t="s">
        <v>3</v>
      </c>
      <c r="F17606" s="4">
        <v>0</v>
      </c>
      <c r="G17606" s="3">
        <v>2515</v>
      </c>
      <c r="H17606" s="3">
        <v>65</v>
      </c>
      <c r="I17606" s="3">
        <v>714</v>
      </c>
      <c r="J17606" s="3">
        <v>83</v>
      </c>
      <c r="K17606" s="3">
        <v>2200</v>
      </c>
      <c r="L17606" s="3">
        <v>17</v>
      </c>
      <c r="M17606" s="3">
        <v>725</v>
      </c>
    </row>
    <row r="17607" spans="1:13" x14ac:dyDescent="0.25">
      <c r="A17607" s="1" t="str">
        <f>HYPERLINK("http://www.rosaceae.org/Prunus/Prunus_persica/p.persica_gdr_reftransV1_0018609","p.persica_gdr_reftransV1_0018609")</f>
        <v>p.persica_gdr_reftransV1_0018609</v>
      </c>
      <c r="B17607" s="3">
        <v>2644</v>
      </c>
      <c r="C17607" s="1" t="str">
        <f>HYPERLINK("http://www.uniprot.org/uniprot/THOC1_ARATH","THOC1_ARATH")</f>
        <v>THOC1_ARATH</v>
      </c>
      <c r="D17607" t="s">
        <v>10768</v>
      </c>
      <c r="E17607" s="3" t="s">
        <v>3</v>
      </c>
      <c r="F17607" s="4">
        <v>0</v>
      </c>
      <c r="G17607" s="3">
        <v>2433</v>
      </c>
      <c r="H17607" s="3">
        <v>75</v>
      </c>
      <c r="I17607" s="3">
        <v>612</v>
      </c>
      <c r="J17607" s="3">
        <v>310</v>
      </c>
      <c r="K17607" s="3">
        <v>2133</v>
      </c>
      <c r="L17607" s="3">
        <v>1</v>
      </c>
      <c r="M17607" s="3">
        <v>596</v>
      </c>
    </row>
    <row r="17608" spans="1:13" x14ac:dyDescent="0.25">
      <c r="A17608" s="1" t="str">
        <f>HYPERLINK("http://www.rosaceae.org/Prunus/Prunus_persica/p.persica_gdr_reftransV1_0018659","p.persica_gdr_reftransV1_0018659")</f>
        <v>p.persica_gdr_reftransV1_0018659</v>
      </c>
      <c r="B17608" s="3">
        <v>2200</v>
      </c>
      <c r="C17608" s="1" t="str">
        <f>HYPERLINK("http://www.uniprot.org/uniprot/DRL4_ARATH","DRL4_ARATH")</f>
        <v>DRL4_ARATH</v>
      </c>
      <c r="D17608" t="s">
        <v>2765</v>
      </c>
      <c r="E17608" s="3" t="s">
        <v>3</v>
      </c>
      <c r="F17608" s="4">
        <v>3.8400000000000001E-97</v>
      </c>
      <c r="G17608" s="3">
        <v>835</v>
      </c>
      <c r="H17608" s="3">
        <v>37</v>
      </c>
      <c r="I17608" s="3">
        <v>678</v>
      </c>
      <c r="J17608" s="3">
        <v>85</v>
      </c>
      <c r="K17608" s="3">
        <v>2001</v>
      </c>
      <c r="L17608" s="3">
        <v>1</v>
      </c>
      <c r="M17608" s="3">
        <v>638</v>
      </c>
    </row>
    <row r="17609" spans="1:13" x14ac:dyDescent="0.25">
      <c r="A17609" s="1" t="str">
        <f>HYPERLINK("http://www.rosaceae.org/Prunus/Prunus_persica/p.persica_gdr_reftransV1_0018909","p.persica_gdr_reftransV1_0018909")</f>
        <v>p.persica_gdr_reftransV1_0018909</v>
      </c>
      <c r="B17609" s="3">
        <v>1440</v>
      </c>
      <c r="C17609" s="1" t="str">
        <f>HYPERLINK("http://www.uniprot.org/uniprot/WTR13_ARATH","WTR13_ARATH")</f>
        <v>WTR13_ARATH</v>
      </c>
      <c r="D17609" t="s">
        <v>10769</v>
      </c>
      <c r="E17609" s="3" t="s">
        <v>3</v>
      </c>
      <c r="F17609" s="4">
        <v>3.41E-165</v>
      </c>
      <c r="G17609" s="3">
        <v>1232</v>
      </c>
      <c r="H17609" s="3">
        <v>67</v>
      </c>
      <c r="I17609" s="3">
        <v>364</v>
      </c>
      <c r="J17609" s="3">
        <v>146</v>
      </c>
      <c r="K17609" s="3">
        <v>1225</v>
      </c>
      <c r="L17609" s="3">
        <v>11</v>
      </c>
      <c r="M17609" s="3">
        <v>371</v>
      </c>
    </row>
    <row r="17610" spans="1:13" x14ac:dyDescent="0.25">
      <c r="A17610" s="1" t="str">
        <f>HYPERLINK("http://www.rosaceae.org/Prunus/Prunus_persica/p.persica_gdr_reftransV1_0019259","p.persica_gdr_reftransV1_0019259")</f>
        <v>p.persica_gdr_reftransV1_0019259</v>
      </c>
      <c r="B17610" s="3">
        <v>2730</v>
      </c>
      <c r="C17610" s="1" t="str">
        <f>HYPERLINK("http://www.uniprot.org/uniprot/PSL4_ARATH","PSL4_ARATH")</f>
        <v>PSL4_ARATH</v>
      </c>
      <c r="D17610" t="s">
        <v>10770</v>
      </c>
      <c r="E17610" s="3" t="s">
        <v>3</v>
      </c>
      <c r="F17610" s="4">
        <v>0</v>
      </c>
      <c r="G17610" s="3">
        <v>1457</v>
      </c>
      <c r="H17610" s="3">
        <v>55</v>
      </c>
      <c r="I17610" s="3">
        <v>657</v>
      </c>
      <c r="J17610" s="3">
        <v>591</v>
      </c>
      <c r="K17610" s="3">
        <v>2513</v>
      </c>
      <c r="L17610" s="3">
        <v>26</v>
      </c>
      <c r="M17610" s="3">
        <v>647</v>
      </c>
    </row>
    <row r="17611" spans="1:13" x14ac:dyDescent="0.25">
      <c r="A17611" s="1" t="str">
        <f>HYPERLINK("http://www.rosaceae.org/Prunus/Prunus_persica/p.persica_gdr_reftransV1_0019359","p.persica_gdr_reftransV1_0019359")</f>
        <v>p.persica_gdr_reftransV1_0019359</v>
      </c>
      <c r="B17611" s="3">
        <v>3017</v>
      </c>
      <c r="C17611" s="1" t="str">
        <f>HYPERLINK("http://www.uniprot.org/uniprot/WAKLQ_ARATH","WAKLQ_ARATH")</f>
        <v>WAKLQ_ARATH</v>
      </c>
      <c r="D17611" t="s">
        <v>1055</v>
      </c>
      <c r="E17611" s="3" t="s">
        <v>3</v>
      </c>
      <c r="F17611" s="4">
        <v>2.9199999999999998E-175</v>
      </c>
      <c r="G17611" s="3">
        <v>1373</v>
      </c>
      <c r="H17611" s="3">
        <v>59</v>
      </c>
      <c r="I17611" s="3">
        <v>459</v>
      </c>
      <c r="J17611" s="3">
        <v>2</v>
      </c>
      <c r="K17611" s="3">
        <v>1309</v>
      </c>
      <c r="L17611" s="3">
        <v>194</v>
      </c>
      <c r="M17611" s="3">
        <v>646</v>
      </c>
    </row>
    <row r="17612" spans="1:13" x14ac:dyDescent="0.25">
      <c r="A17612" s="1" t="str">
        <f>HYPERLINK("http://www.rosaceae.org/Prunus/Prunus_persica/p.persica_gdr_reftransV1_0019409","p.persica_gdr_reftransV1_0019409")</f>
        <v>p.persica_gdr_reftransV1_0019409</v>
      </c>
      <c r="B17612" s="3">
        <v>1218</v>
      </c>
      <c r="C17612" s="1" t="str">
        <f>HYPERLINK("http://www.uniprot.org/uniprot/ASF1B_ARATH","ASF1B_ARATH")</f>
        <v>ASF1B_ARATH</v>
      </c>
      <c r="D17612" t="s">
        <v>10771</v>
      </c>
      <c r="E17612" s="3" t="s">
        <v>3</v>
      </c>
      <c r="F17612" s="4">
        <v>6.9300000000000005E-98</v>
      </c>
      <c r="G17612" s="3">
        <v>762</v>
      </c>
      <c r="H17612" s="3">
        <v>86</v>
      </c>
      <c r="I17612" s="3">
        <v>170</v>
      </c>
      <c r="J17612" s="3">
        <v>531</v>
      </c>
      <c r="K17612" s="3">
        <v>1037</v>
      </c>
      <c r="L17612" s="3">
        <v>1</v>
      </c>
      <c r="M17612" s="3">
        <v>170</v>
      </c>
    </row>
    <row r="17613" spans="1:13" x14ac:dyDescent="0.25">
      <c r="A17613" s="1" t="str">
        <f>HYPERLINK("http://www.rosaceae.org/Prunus/Prunus_persica/p.persica_gdr_reftransV1_0019559","p.persica_gdr_reftransV1_0019559")</f>
        <v>p.persica_gdr_reftransV1_0019559</v>
      </c>
      <c r="B17613" s="3">
        <v>1411</v>
      </c>
      <c r="C17613" s="1" t="str">
        <f>HYPERLINK("http://www.uniprot.org/uniprot/HDG12_ARATH","HDG12_ARATH")</f>
        <v>HDG12_ARATH</v>
      </c>
      <c r="D17613" t="s">
        <v>10772</v>
      </c>
      <c r="E17613" s="3" t="s">
        <v>3</v>
      </c>
      <c r="F17613" s="4">
        <v>2.13E-132</v>
      </c>
      <c r="G17613" s="3">
        <v>1041</v>
      </c>
      <c r="H17613" s="3">
        <v>52</v>
      </c>
      <c r="I17613" s="3">
        <v>387</v>
      </c>
      <c r="J17613" s="3">
        <v>256</v>
      </c>
      <c r="K17613" s="3">
        <v>1407</v>
      </c>
      <c r="L17613" s="3">
        <v>311</v>
      </c>
      <c r="M17613" s="3">
        <v>683</v>
      </c>
    </row>
    <row r="17614" spans="1:13" x14ac:dyDescent="0.25">
      <c r="A17614" s="1" t="str">
        <f>HYPERLINK("http://www.rosaceae.org/Prunus/Prunus_persica/p.persica_gdr_reftransV1_0019759","p.persica_gdr_reftransV1_0019759")</f>
        <v>p.persica_gdr_reftransV1_0019759</v>
      </c>
      <c r="B17614" s="3">
        <v>4339</v>
      </c>
      <c r="C17614" s="1" t="str">
        <f>HYPERLINK("http://www.uniprot.org/uniprot/PUB44_ARATH","PUB44_ARATH")</f>
        <v>PUB44_ARATH</v>
      </c>
      <c r="D17614" t="s">
        <v>10773</v>
      </c>
      <c r="E17614" s="3" t="s">
        <v>3</v>
      </c>
      <c r="F17614" s="4">
        <v>3.0600000000000001E-59</v>
      </c>
      <c r="G17614" s="3">
        <v>571</v>
      </c>
      <c r="H17614" s="3">
        <v>34</v>
      </c>
      <c r="I17614" s="3">
        <v>452</v>
      </c>
      <c r="J17614" s="3">
        <v>2010</v>
      </c>
      <c r="K17614" s="3">
        <v>3338</v>
      </c>
      <c r="L17614" s="3">
        <v>16</v>
      </c>
      <c r="M17614" s="3">
        <v>451</v>
      </c>
    </row>
    <row r="17615" spans="1:13" x14ac:dyDescent="0.25">
      <c r="A17615" s="1" t="str">
        <f>HYPERLINK("http://www.rosaceae.org/Prunus/Prunus_persica/p.persica_gdr_reftransV1_0019809","p.persica_gdr_reftransV1_0019809")</f>
        <v>p.persica_gdr_reftransV1_0019809</v>
      </c>
      <c r="B17615" s="3">
        <v>835</v>
      </c>
      <c r="C17615" s="1" t="str">
        <f>HYPERLINK("http://www.uniprot.org/uniprot/TRXO1_ARATH","TRXO1_ARATH")</f>
        <v>TRXO1_ARATH</v>
      </c>
      <c r="D17615" t="s">
        <v>8886</v>
      </c>
      <c r="E17615" s="3" t="s">
        <v>3</v>
      </c>
      <c r="F17615" s="4">
        <v>5.2800000000000002E-45</v>
      </c>
      <c r="G17615" s="3">
        <v>395</v>
      </c>
      <c r="H17615" s="3">
        <v>54</v>
      </c>
      <c r="I17615" s="3">
        <v>131</v>
      </c>
      <c r="J17615" s="3">
        <v>229</v>
      </c>
      <c r="K17615" s="3">
        <v>618</v>
      </c>
      <c r="L17615" s="3">
        <v>64</v>
      </c>
      <c r="M17615" s="3">
        <v>194</v>
      </c>
    </row>
    <row r="17616" spans="1:13" x14ac:dyDescent="0.25">
      <c r="A17616" s="1" t="str">
        <f>HYPERLINK("http://www.rosaceae.org/Prunus/Prunus_persica/p.persica_gdr_reftransV1_0019859","p.persica_gdr_reftransV1_0019859")</f>
        <v>p.persica_gdr_reftransV1_0019859</v>
      </c>
      <c r="B17616" s="3">
        <v>1730</v>
      </c>
      <c r="C17616" s="1" t="str">
        <f>HYPERLINK("http://www.uniprot.org/uniprot/NFYA3_ARATH","NFYA3_ARATH")</f>
        <v>NFYA3_ARATH</v>
      </c>
      <c r="D17616" t="s">
        <v>6921</v>
      </c>
      <c r="E17616" s="3" t="s">
        <v>3</v>
      </c>
      <c r="F17616" s="4">
        <v>1.5999999999999999E-39</v>
      </c>
      <c r="G17616" s="3">
        <v>383</v>
      </c>
      <c r="H17616" s="3">
        <v>51</v>
      </c>
      <c r="I17616" s="3">
        <v>188</v>
      </c>
      <c r="J17616" s="3">
        <v>187</v>
      </c>
      <c r="K17616" s="3">
        <v>735</v>
      </c>
      <c r="L17616" s="3">
        <v>159</v>
      </c>
      <c r="M17616" s="3">
        <v>338</v>
      </c>
    </row>
    <row r="17617" spans="1:13" x14ac:dyDescent="0.25">
      <c r="A17617" s="1" t="str">
        <f>HYPERLINK("http://www.rosaceae.org/Prunus/Prunus_persica/p.persica_gdr_reftransV1_0020109","p.persica_gdr_reftransV1_0020109")</f>
        <v>p.persica_gdr_reftransV1_0020109</v>
      </c>
      <c r="B17617" s="3">
        <v>2124</v>
      </c>
      <c r="C17617" s="1" t="str">
        <f>HYPERLINK("http://www.uniprot.org/uniprot/BRT1_ARATH","BRT1_ARATH")</f>
        <v>BRT1_ARATH</v>
      </c>
      <c r="D17617" t="s">
        <v>4772</v>
      </c>
      <c r="E17617" s="3" t="s">
        <v>3</v>
      </c>
      <c r="F17617" s="4">
        <v>3.56E-173</v>
      </c>
      <c r="G17617" s="3">
        <v>1308</v>
      </c>
      <c r="H17617" s="3">
        <v>71</v>
      </c>
      <c r="I17617" s="3">
        <v>392</v>
      </c>
      <c r="J17617" s="3">
        <v>559</v>
      </c>
      <c r="K17617" s="3">
        <v>1725</v>
      </c>
      <c r="L17617" s="3">
        <v>1</v>
      </c>
      <c r="M17617" s="3">
        <v>392</v>
      </c>
    </row>
    <row r="17618" spans="1:13" x14ac:dyDescent="0.25">
      <c r="A17618" s="1" t="str">
        <f>HYPERLINK("http://www.rosaceae.org/Prunus/Prunus_persica/p.persica_gdr_reftransV1_0020209","p.persica_gdr_reftransV1_0020209")</f>
        <v>p.persica_gdr_reftransV1_0020209</v>
      </c>
      <c r="B17618" s="3">
        <v>2528</v>
      </c>
      <c r="C17618" s="1" t="str">
        <f>HYPERLINK("http://www.uniprot.org/uniprot/RUS6_ARATH","RUS6_ARATH")</f>
        <v>RUS6_ARATH</v>
      </c>
      <c r="D17618" t="s">
        <v>10774</v>
      </c>
      <c r="E17618" s="3" t="s">
        <v>3</v>
      </c>
      <c r="F17618" s="4">
        <v>0</v>
      </c>
      <c r="G17618" s="3">
        <v>1556</v>
      </c>
      <c r="H17618" s="3">
        <v>78</v>
      </c>
      <c r="I17618" s="3">
        <v>407</v>
      </c>
      <c r="J17618" s="3">
        <v>882</v>
      </c>
      <c r="K17618" s="3">
        <v>2102</v>
      </c>
      <c r="L17618" s="3">
        <v>21</v>
      </c>
      <c r="M17618" s="3">
        <v>416</v>
      </c>
    </row>
    <row r="17619" spans="1:13" x14ac:dyDescent="0.25">
      <c r="A17619" s="1" t="str">
        <f>HYPERLINK("http://www.rosaceae.org/Prunus/Prunus_persica/p.persica_gdr_reftransV1_0020309","p.persica_gdr_reftransV1_0020309")</f>
        <v>p.persica_gdr_reftransV1_0020309</v>
      </c>
      <c r="B17619" s="3">
        <v>1519</v>
      </c>
      <c r="C17619" s="1" t="str">
        <f>HYPERLINK("http://www.uniprot.org/uniprot/BBD2_ORYSJ","BBD2_ORYSJ")</f>
        <v>BBD2_ORYSJ</v>
      </c>
      <c r="D17619" t="s">
        <v>2425</v>
      </c>
      <c r="E17619" s="3" t="s">
        <v>38</v>
      </c>
      <c r="F17619" s="4">
        <v>3.0200000000000003E-29</v>
      </c>
      <c r="G17619" s="3">
        <v>303</v>
      </c>
      <c r="H17619" s="3">
        <v>38</v>
      </c>
      <c r="I17619" s="3">
        <v>198</v>
      </c>
      <c r="J17619" s="3">
        <v>381</v>
      </c>
      <c r="K17619" s="3">
        <v>959</v>
      </c>
      <c r="L17619" s="3">
        <v>123</v>
      </c>
      <c r="M17619" s="3">
        <v>318</v>
      </c>
    </row>
    <row r="17620" spans="1:13" x14ac:dyDescent="0.25">
      <c r="A17620" s="1" t="str">
        <f>HYPERLINK("http://www.rosaceae.org/Prunus/Prunus_persica/p.persica_gdr_reftransV1_0020359","p.persica_gdr_reftransV1_0020359")</f>
        <v>p.persica_gdr_reftransV1_0020359</v>
      </c>
      <c r="B17620" s="3">
        <v>1547</v>
      </c>
      <c r="C17620" s="1" t="str">
        <f>HYPERLINK("http://www.uniprot.org/uniprot/NUP35_ARATH","NUP35_ARATH")</f>
        <v>NUP35_ARATH</v>
      </c>
      <c r="D17620" t="s">
        <v>10775</v>
      </c>
      <c r="E17620" s="3" t="s">
        <v>3</v>
      </c>
      <c r="F17620" s="4">
        <v>2.28E-150</v>
      </c>
      <c r="G17620" s="3">
        <v>1132</v>
      </c>
      <c r="H17620" s="3">
        <v>69</v>
      </c>
      <c r="I17620" s="3">
        <v>333</v>
      </c>
      <c r="J17620" s="3">
        <v>329</v>
      </c>
      <c r="K17620" s="3">
        <v>1318</v>
      </c>
      <c r="L17620" s="3">
        <v>1</v>
      </c>
      <c r="M17620" s="3">
        <v>329</v>
      </c>
    </row>
    <row r="17621" spans="1:13" x14ac:dyDescent="0.25">
      <c r="A17621" s="1" t="str">
        <f>HYPERLINK("http://www.rosaceae.org/Prunus/Prunus_persica/p.persica_gdr_reftransV1_0020409","p.persica_gdr_reftransV1_0020409")</f>
        <v>p.persica_gdr_reftransV1_0020409</v>
      </c>
      <c r="B17621" s="3">
        <v>1315</v>
      </c>
      <c r="C17621" s="1" t="str">
        <f>HYPERLINK("http://www.uniprot.org/uniprot/NSRP1_DANRE","NSRP1_DANRE")</f>
        <v>NSRP1_DANRE</v>
      </c>
      <c r="D17621" t="s">
        <v>10776</v>
      </c>
      <c r="E17621" s="3" t="s">
        <v>704</v>
      </c>
      <c r="F17621" s="4">
        <v>6.0000000000000001E-17</v>
      </c>
      <c r="G17621" s="3">
        <v>213</v>
      </c>
      <c r="H17621" s="3">
        <v>41</v>
      </c>
      <c r="I17621" s="3">
        <v>125</v>
      </c>
      <c r="J17621" s="3">
        <v>226</v>
      </c>
      <c r="K17621" s="3">
        <v>588</v>
      </c>
      <c r="L17621" s="3">
        <v>29</v>
      </c>
      <c r="M17621" s="3">
        <v>153</v>
      </c>
    </row>
    <row r="17622" spans="1:13" x14ac:dyDescent="0.25">
      <c r="A17622" s="1" t="str">
        <f>HYPERLINK("http://www.rosaceae.org/Prunus/Prunus_persica/p.persica_gdr_reftransV1_0020509","p.persica_gdr_reftransV1_0020509")</f>
        <v>p.persica_gdr_reftransV1_0020509</v>
      </c>
      <c r="B17622" s="3">
        <v>1645</v>
      </c>
      <c r="C17622" s="1" t="str">
        <f>HYPERLINK("http://www.uniprot.org/uniprot/APX6_ARATH","APX6_ARATH")</f>
        <v>APX6_ARATH</v>
      </c>
      <c r="D17622" t="s">
        <v>10777</v>
      </c>
      <c r="E17622" s="3" t="s">
        <v>3</v>
      </c>
      <c r="F17622" s="4">
        <v>6.7799999999999998E-81</v>
      </c>
      <c r="G17622" s="3">
        <v>671</v>
      </c>
      <c r="H17622" s="3">
        <v>73</v>
      </c>
      <c r="I17622" s="3">
        <v>171</v>
      </c>
      <c r="J17622" s="3">
        <v>497</v>
      </c>
      <c r="K17622" s="3">
        <v>994</v>
      </c>
      <c r="L17622" s="3">
        <v>159</v>
      </c>
      <c r="M17622" s="3">
        <v>329</v>
      </c>
    </row>
    <row r="17623" spans="1:13" x14ac:dyDescent="0.25">
      <c r="A17623" s="1" t="str">
        <f>HYPERLINK("http://www.rosaceae.org/Prunus/Prunus_persica/p.persica_gdr_reftransV1_0020559","p.persica_gdr_reftransV1_0020559")</f>
        <v>p.persica_gdr_reftransV1_0020559</v>
      </c>
      <c r="B17623" s="3">
        <v>1839</v>
      </c>
      <c r="C17623" s="1" t="str">
        <f>HYPERLINK("http://www.uniprot.org/uniprot/Y4920_ARATH","Y4920_ARATH")</f>
        <v>Y4920_ARATH</v>
      </c>
      <c r="D17623" t="s">
        <v>9219</v>
      </c>
      <c r="E17623" s="3" t="s">
        <v>3</v>
      </c>
      <c r="F17623" s="4">
        <v>8.8500000000000004E-95</v>
      </c>
      <c r="G17623" s="3">
        <v>778</v>
      </c>
      <c r="H17623" s="3">
        <v>47</v>
      </c>
      <c r="I17623" s="3">
        <v>309</v>
      </c>
      <c r="J17623" s="3">
        <v>474</v>
      </c>
      <c r="K17623" s="3">
        <v>1400</v>
      </c>
      <c r="L17623" s="3">
        <v>81</v>
      </c>
      <c r="M17623" s="3">
        <v>388</v>
      </c>
    </row>
    <row r="17624" spans="1:13" x14ac:dyDescent="0.25">
      <c r="A17624" s="1" t="str">
        <f>HYPERLINK("http://www.rosaceae.org/Prunus/Prunus_persica/p.persica_gdr_reftransV1_0020809","p.persica_gdr_reftransV1_0020809")</f>
        <v>p.persica_gdr_reftransV1_0020809</v>
      </c>
      <c r="B17624" s="3">
        <v>1849</v>
      </c>
      <c r="C17624" s="1" t="str">
        <f>HYPERLINK("http://www.uniprot.org/uniprot/UBA5_ARATH","UBA5_ARATH")</f>
        <v>UBA5_ARATH</v>
      </c>
      <c r="D17624" t="s">
        <v>10778</v>
      </c>
      <c r="E17624" s="3" t="s">
        <v>3</v>
      </c>
      <c r="F17624" s="4">
        <v>1.28E-169</v>
      </c>
      <c r="G17624" s="3">
        <v>1182</v>
      </c>
      <c r="H17624" s="3">
        <v>76</v>
      </c>
      <c r="I17624" s="3">
        <v>322</v>
      </c>
      <c r="J17624" s="3">
        <v>675</v>
      </c>
      <c r="K17624" s="3">
        <v>1637</v>
      </c>
      <c r="L17624" s="3">
        <v>1</v>
      </c>
      <c r="M17624" s="3">
        <v>296</v>
      </c>
    </row>
    <row r="17625" spans="1:13" x14ac:dyDescent="0.25">
      <c r="A17625" s="1" t="str">
        <f>HYPERLINK("http://www.rosaceae.org/Prunus/Prunus_persica/p.persica_gdr_reftransV1_0020909","p.persica_gdr_reftransV1_0020909")</f>
        <v>p.persica_gdr_reftransV1_0020909</v>
      </c>
      <c r="B17625" s="3">
        <v>3015</v>
      </c>
      <c r="C17625" s="1" t="str">
        <f>HYPERLINK("http://www.uniprot.org/uniprot/PPR92_ARATH","PPR92_ARATH")</f>
        <v>PPR92_ARATH</v>
      </c>
      <c r="D17625" t="s">
        <v>10779</v>
      </c>
      <c r="E17625" s="3" t="s">
        <v>3</v>
      </c>
      <c r="F17625" s="4">
        <v>3.73E-56</v>
      </c>
      <c r="G17625" s="3">
        <v>530</v>
      </c>
      <c r="H17625" s="3">
        <v>30</v>
      </c>
      <c r="I17625" s="3">
        <v>393</v>
      </c>
      <c r="J17625" s="3">
        <v>1409</v>
      </c>
      <c r="K17625" s="3">
        <v>2587</v>
      </c>
      <c r="L17625" s="3">
        <v>82</v>
      </c>
      <c r="M17625" s="3">
        <v>469</v>
      </c>
    </row>
    <row r="17626" spans="1:13" x14ac:dyDescent="0.25">
      <c r="A17626" s="1" t="str">
        <f>HYPERLINK("http://www.rosaceae.org/Prunus/Prunus_persica/p.persica_gdr_reftransV1_0021059","p.persica_gdr_reftransV1_0021059")</f>
        <v>p.persica_gdr_reftransV1_0021059</v>
      </c>
      <c r="B17626" s="3">
        <v>2532</v>
      </c>
      <c r="C17626" s="1" t="str">
        <f>HYPERLINK("http://www.uniprot.org/uniprot/PIRL2_ORYSJ","PIRL2_ORYSJ")</f>
        <v>PIRL2_ORYSJ</v>
      </c>
      <c r="D17626" t="s">
        <v>10780</v>
      </c>
      <c r="E17626" s="3" t="s">
        <v>38</v>
      </c>
      <c r="F17626" s="4">
        <v>7.5900000000000006E-80</v>
      </c>
      <c r="G17626" s="3">
        <v>541</v>
      </c>
      <c r="H17626" s="3">
        <v>62</v>
      </c>
      <c r="I17626" s="3">
        <v>180</v>
      </c>
      <c r="J17626" s="3">
        <v>1026</v>
      </c>
      <c r="K17626" s="3">
        <v>1559</v>
      </c>
      <c r="L17626" s="3">
        <v>284</v>
      </c>
      <c r="M17626" s="3">
        <v>463</v>
      </c>
    </row>
    <row r="17627" spans="1:13" x14ac:dyDescent="0.25">
      <c r="A17627" s="1" t="str">
        <f>HYPERLINK("http://www.rosaceae.org/Prunus/Prunus_persica/p.persica_gdr_reftransV1_0021509","p.persica_gdr_reftransV1_0021509")</f>
        <v>p.persica_gdr_reftransV1_0021509</v>
      </c>
      <c r="B17627" s="3">
        <v>1397</v>
      </c>
      <c r="C17627" s="1" t="str">
        <f>HYPERLINK("http://www.uniprot.org/uniprot/GSTZ_EUPES","GSTZ_EUPES")</f>
        <v>GSTZ_EUPES</v>
      </c>
      <c r="D17627" t="s">
        <v>9666</v>
      </c>
      <c r="E17627" s="3" t="s">
        <v>1191</v>
      </c>
      <c r="F17627" s="4">
        <v>4.2800000000000001E-52</v>
      </c>
      <c r="G17627" s="3">
        <v>459</v>
      </c>
      <c r="H17627" s="3">
        <v>59</v>
      </c>
      <c r="I17627" s="3">
        <v>148</v>
      </c>
      <c r="J17627" s="3">
        <v>254</v>
      </c>
      <c r="K17627" s="3">
        <v>697</v>
      </c>
      <c r="L17627" s="3">
        <v>22</v>
      </c>
      <c r="M17627" s="3">
        <v>169</v>
      </c>
    </row>
    <row r="17628" spans="1:13" x14ac:dyDescent="0.25">
      <c r="A17628" s="1" t="str">
        <f>HYPERLINK("http://www.rosaceae.org/Prunus/Prunus_persica/p.persica_gdr_reftransV1_0021659","p.persica_gdr_reftransV1_0021659")</f>
        <v>p.persica_gdr_reftransV1_0021659</v>
      </c>
      <c r="B17628" s="3">
        <v>919</v>
      </c>
      <c r="C17628" s="1" t="str">
        <f>HYPERLINK("http://www.uniprot.org/uniprot/OPA3_SCHPO","OPA3_SCHPO")</f>
        <v>OPA3_SCHPO</v>
      </c>
      <c r="D17628" t="s">
        <v>2496</v>
      </c>
      <c r="E17628" s="3" t="s">
        <v>464</v>
      </c>
      <c r="F17628" s="4">
        <v>4.5800000000000003E-18</v>
      </c>
      <c r="G17628" s="3">
        <v>208</v>
      </c>
      <c r="H17628" s="3">
        <v>43</v>
      </c>
      <c r="I17628" s="3">
        <v>115</v>
      </c>
      <c r="J17628" s="3">
        <v>355</v>
      </c>
      <c r="K17628" s="3">
        <v>690</v>
      </c>
      <c r="L17628" s="3">
        <v>5</v>
      </c>
      <c r="M17628" s="3">
        <v>114</v>
      </c>
    </row>
    <row r="17629" spans="1:13" x14ac:dyDescent="0.25">
      <c r="A17629" s="1" t="str">
        <f>HYPERLINK("http://www.rosaceae.org/Prunus/Prunus_persica/p.persica_gdr_reftransV1_0021759","p.persica_gdr_reftransV1_0021759")</f>
        <v>p.persica_gdr_reftransV1_0021759</v>
      </c>
      <c r="B17629" s="3">
        <v>2801</v>
      </c>
      <c r="C17629" s="1" t="str">
        <f>HYPERLINK("http://www.uniprot.org/uniprot/TTC7A_MOUSE","TTC7A_MOUSE")</f>
        <v>TTC7A_MOUSE</v>
      </c>
      <c r="D17629" t="s">
        <v>10781</v>
      </c>
      <c r="E17629" s="3" t="s">
        <v>157</v>
      </c>
      <c r="F17629" s="4">
        <v>7.4599999999999997E-20</v>
      </c>
      <c r="G17629" s="3">
        <v>246</v>
      </c>
      <c r="H17629" s="3">
        <v>24</v>
      </c>
      <c r="I17629" s="3">
        <v>698</v>
      </c>
      <c r="J17629" s="3">
        <v>103</v>
      </c>
      <c r="K17629" s="3">
        <v>1944</v>
      </c>
      <c r="L17629" s="3">
        <v>207</v>
      </c>
      <c r="M17629" s="3">
        <v>851</v>
      </c>
    </row>
    <row r="17630" spans="1:13" x14ac:dyDescent="0.25">
      <c r="A17630" s="1" t="str">
        <f>HYPERLINK("http://www.rosaceae.org/Prunus/Prunus_persica/p.persica_gdr_reftransV1_0021859","p.persica_gdr_reftransV1_0021859")</f>
        <v>p.persica_gdr_reftransV1_0021859</v>
      </c>
      <c r="B17630" s="3">
        <v>2273</v>
      </c>
      <c r="C17630" s="1" t="str">
        <f>HYPERLINK("http://www.uniprot.org/uniprot/HNRPQ_RAT","HNRPQ_RAT")</f>
        <v>HNRPQ_RAT</v>
      </c>
      <c r="D17630" t="s">
        <v>5951</v>
      </c>
      <c r="E17630" s="3" t="s">
        <v>161</v>
      </c>
      <c r="F17630" s="4">
        <v>5.3200000000000003E-30</v>
      </c>
      <c r="G17630" s="3">
        <v>323</v>
      </c>
      <c r="H17630" s="3">
        <v>33</v>
      </c>
      <c r="I17630" s="3">
        <v>253</v>
      </c>
      <c r="J17630" s="3">
        <v>1010</v>
      </c>
      <c r="K17630" s="3">
        <v>1762</v>
      </c>
      <c r="L17630" s="3">
        <v>73</v>
      </c>
      <c r="M17630" s="3">
        <v>313</v>
      </c>
    </row>
    <row r="17631" spans="1:13" x14ac:dyDescent="0.25">
      <c r="A17631" s="1" t="str">
        <f>HYPERLINK("http://www.rosaceae.org/Prunus/Prunus_persica/p.persica_gdr_reftransV1_0022209","p.persica_gdr_reftransV1_0022209")</f>
        <v>p.persica_gdr_reftransV1_0022209</v>
      </c>
      <c r="B17631" s="3">
        <v>1822</v>
      </c>
      <c r="C17631" s="1" t="str">
        <f>HYPERLINK("http://www.uniprot.org/uniprot/COAD_ARATH","COAD_ARATH")</f>
        <v>COAD_ARATH</v>
      </c>
      <c r="D17631" t="s">
        <v>10782</v>
      </c>
      <c r="E17631" s="3" t="s">
        <v>3</v>
      </c>
      <c r="F17631" s="4">
        <v>9.3100000000000005E-39</v>
      </c>
      <c r="G17631" s="3">
        <v>365</v>
      </c>
      <c r="H17631" s="3">
        <v>77</v>
      </c>
      <c r="I17631" s="3">
        <v>84</v>
      </c>
      <c r="J17631" s="3">
        <v>543</v>
      </c>
      <c r="K17631" s="3">
        <v>794</v>
      </c>
      <c r="L17631" s="3">
        <v>1</v>
      </c>
      <c r="M17631" s="3">
        <v>80</v>
      </c>
    </row>
    <row r="17632" spans="1:13" x14ac:dyDescent="0.25">
      <c r="A17632" s="1" t="str">
        <f>HYPERLINK("http://www.rosaceae.org/Prunus/Prunus_persica/p.persica_gdr_reftransV1_0022809","p.persica_gdr_reftransV1_0022809")</f>
        <v>p.persica_gdr_reftransV1_0022809</v>
      </c>
      <c r="B17632" s="3">
        <v>2615</v>
      </c>
      <c r="C17632" s="1" t="str">
        <f>HYPERLINK("http://www.uniprot.org/uniprot/ESF1_RAT","ESF1_RAT")</f>
        <v>ESF1_RAT</v>
      </c>
      <c r="D17632" t="s">
        <v>2708</v>
      </c>
      <c r="E17632" s="3" t="s">
        <v>161</v>
      </c>
      <c r="F17632" s="4">
        <v>6.03E-43</v>
      </c>
      <c r="G17632" s="3">
        <v>435</v>
      </c>
      <c r="H17632" s="3">
        <v>47</v>
      </c>
      <c r="I17632" s="3">
        <v>200</v>
      </c>
      <c r="J17632" s="3">
        <v>578</v>
      </c>
      <c r="K17632" s="3">
        <v>1171</v>
      </c>
      <c r="L17632" s="3">
        <v>331</v>
      </c>
      <c r="M17632" s="3">
        <v>524</v>
      </c>
    </row>
    <row r="17633" spans="1:13" x14ac:dyDescent="0.25">
      <c r="A17633" s="1" t="str">
        <f>HYPERLINK("http://www.rosaceae.org/Prunus/Prunus_persica/p.persica_gdr_reftransV1_0023209","p.persica_gdr_reftransV1_0023209")</f>
        <v>p.persica_gdr_reftransV1_0023209</v>
      </c>
      <c r="B17633" s="3">
        <v>2138</v>
      </c>
      <c r="C17633" s="1" t="str">
        <f>HYPERLINK("http://www.uniprot.org/uniprot/APS2_ARATH","APS2_ARATH")</f>
        <v>APS2_ARATH</v>
      </c>
      <c r="D17633" t="s">
        <v>1426</v>
      </c>
      <c r="E17633" s="3" t="s">
        <v>3</v>
      </c>
      <c r="F17633" s="4">
        <v>0</v>
      </c>
      <c r="G17633" s="3">
        <v>1629</v>
      </c>
      <c r="H17633" s="3">
        <v>80</v>
      </c>
      <c r="I17633" s="3">
        <v>369</v>
      </c>
      <c r="J17633" s="3">
        <v>347</v>
      </c>
      <c r="K17633" s="3">
        <v>1453</v>
      </c>
      <c r="L17633" s="3">
        <v>39</v>
      </c>
      <c r="M17633" s="3">
        <v>405</v>
      </c>
    </row>
    <row r="17634" spans="1:13" x14ac:dyDescent="0.25">
      <c r="A17634" s="1" t="str">
        <f>HYPERLINK("http://www.rosaceae.org/Prunus/Prunus_persica/p.persica_gdr_reftransV1_0023409","p.persica_gdr_reftransV1_0023409")</f>
        <v>p.persica_gdr_reftransV1_0023409</v>
      </c>
      <c r="B17634" s="3">
        <v>2617</v>
      </c>
      <c r="C17634" s="1" t="str">
        <f>HYPERLINK("http://www.uniprot.org/uniprot/RBOHA_SOLTU","RBOHA_SOLTU")</f>
        <v>RBOHA_SOLTU</v>
      </c>
      <c r="D17634" t="s">
        <v>2766</v>
      </c>
      <c r="E17634" s="3" t="s">
        <v>11</v>
      </c>
      <c r="F17634" s="4">
        <v>0</v>
      </c>
      <c r="G17634" s="3">
        <v>3621</v>
      </c>
      <c r="H17634" s="3">
        <v>85</v>
      </c>
      <c r="I17634" s="3">
        <v>814</v>
      </c>
      <c r="J17634" s="3">
        <v>174</v>
      </c>
      <c r="K17634" s="3">
        <v>2612</v>
      </c>
      <c r="L17634" s="3">
        <v>157</v>
      </c>
      <c r="M17634" s="3">
        <v>963</v>
      </c>
    </row>
    <row r="17635" spans="1:13" x14ac:dyDescent="0.25">
      <c r="A17635" s="1" t="str">
        <f>HYPERLINK("http://www.rosaceae.org/Prunus/Prunus_persica/p.persica_gdr_reftransV1_0023459","p.persica_gdr_reftransV1_0023459")</f>
        <v>p.persica_gdr_reftransV1_0023459</v>
      </c>
      <c r="B17635" s="3">
        <v>2307</v>
      </c>
      <c r="C17635" s="1" t="str">
        <f>HYPERLINK("http://www.uniprot.org/uniprot/DNJ15_ARATH","DNJ15_ARATH")</f>
        <v>DNJ15_ARATH</v>
      </c>
      <c r="D17635" t="s">
        <v>57</v>
      </c>
      <c r="E17635" s="3" t="s">
        <v>3</v>
      </c>
      <c r="F17635" s="4">
        <v>0</v>
      </c>
      <c r="G17635" s="3">
        <v>1571</v>
      </c>
      <c r="H17635" s="3">
        <v>90</v>
      </c>
      <c r="I17635" s="3">
        <v>335</v>
      </c>
      <c r="J17635" s="3">
        <v>413</v>
      </c>
      <c r="K17635" s="3">
        <v>1417</v>
      </c>
      <c r="L17635" s="3">
        <v>2</v>
      </c>
      <c r="M17635" s="3">
        <v>336</v>
      </c>
    </row>
    <row r="17636" spans="1:13" x14ac:dyDescent="0.25">
      <c r="A17636" s="1" t="str">
        <f>HYPERLINK("http://www.rosaceae.org/Prunus/Prunus_persica/p.persica_gdr_reftransV1_0023509","p.persica_gdr_reftransV1_0023509")</f>
        <v>p.persica_gdr_reftransV1_0023509</v>
      </c>
      <c r="B17636" s="3">
        <v>677</v>
      </c>
      <c r="C17636" s="1" t="str">
        <f>HYPERLINK("http://www.uniprot.org/uniprot/RL362_ARATH","RL362_ARATH")</f>
        <v>RL362_ARATH</v>
      </c>
      <c r="D17636" t="s">
        <v>3890</v>
      </c>
      <c r="E17636" s="3" t="s">
        <v>3</v>
      </c>
      <c r="F17636" s="4">
        <v>1.12E-39</v>
      </c>
      <c r="G17636" s="3">
        <v>348</v>
      </c>
      <c r="H17636" s="3">
        <v>80</v>
      </c>
      <c r="I17636" s="3">
        <v>102</v>
      </c>
      <c r="J17636" s="3">
        <v>55</v>
      </c>
      <c r="K17636" s="3">
        <v>360</v>
      </c>
      <c r="L17636" s="3">
        <v>1</v>
      </c>
      <c r="M17636" s="3">
        <v>102</v>
      </c>
    </row>
    <row r="17637" spans="1:13" x14ac:dyDescent="0.25">
      <c r="A17637" s="1" t="str">
        <f>HYPERLINK("http://www.rosaceae.org/Prunus/Prunus_persica/p.persica_gdr_reftransV1_0023609","p.persica_gdr_reftransV1_0023609")</f>
        <v>p.persica_gdr_reftransV1_0023609</v>
      </c>
      <c r="B17637" s="3">
        <v>573</v>
      </c>
      <c r="C17637" s="1" t="str">
        <f>HYPERLINK("http://www.uniprot.org/uniprot/CSE_ARATH","CSE_ARATH")</f>
        <v>CSE_ARATH</v>
      </c>
      <c r="D17637" t="s">
        <v>584</v>
      </c>
      <c r="E17637" s="3" t="s">
        <v>3</v>
      </c>
      <c r="F17637" s="4">
        <v>4.0499999999999999E-7</v>
      </c>
      <c r="G17637" s="3">
        <v>124</v>
      </c>
      <c r="H17637" s="3">
        <v>39</v>
      </c>
      <c r="I17637" s="3">
        <v>71</v>
      </c>
      <c r="J17637" s="3">
        <v>6</v>
      </c>
      <c r="K17637" s="3">
        <v>218</v>
      </c>
      <c r="L17637" s="3">
        <v>36</v>
      </c>
      <c r="M17637" s="3">
        <v>104</v>
      </c>
    </row>
    <row r="17638" spans="1:13" x14ac:dyDescent="0.25">
      <c r="A17638" s="1" t="str">
        <f>HYPERLINK("http://www.rosaceae.org/Prunus/Prunus_persica/p.persica_gdr_reftransV1_0023659","p.persica_gdr_reftransV1_0023659")</f>
        <v>p.persica_gdr_reftransV1_0023659</v>
      </c>
      <c r="B17638" s="3">
        <v>1394</v>
      </c>
      <c r="C17638" s="1" t="str">
        <f>HYPERLINK("http://www.uniprot.org/uniprot/HMT1_BRAOT","HMT1_BRAOT")</f>
        <v>HMT1_BRAOT</v>
      </c>
      <c r="D17638" t="s">
        <v>10783</v>
      </c>
      <c r="E17638" s="3" t="s">
        <v>1308</v>
      </c>
      <c r="F17638" s="4">
        <v>0</v>
      </c>
      <c r="G17638" s="3">
        <v>1388</v>
      </c>
      <c r="H17638" s="3">
        <v>79</v>
      </c>
      <c r="I17638" s="3">
        <v>324</v>
      </c>
      <c r="J17638" s="3">
        <v>140</v>
      </c>
      <c r="K17638" s="3">
        <v>1111</v>
      </c>
      <c r="L17638" s="3">
        <v>1</v>
      </c>
      <c r="M17638" s="3">
        <v>324</v>
      </c>
    </row>
    <row r="17639" spans="1:13" x14ac:dyDescent="0.25">
      <c r="A17639" s="1" t="str">
        <f>HYPERLINK("http://www.rosaceae.org/Prunus/Prunus_persica/p.persica_gdr_reftransV1_0023909","p.persica_gdr_reftransV1_0023909")</f>
        <v>p.persica_gdr_reftransV1_0023909</v>
      </c>
      <c r="B17639" s="3">
        <v>2521</v>
      </c>
      <c r="C17639" s="1" t="str">
        <f>HYPERLINK("http://www.uniprot.org/uniprot/RNHX1_ARATH","RNHX1_ARATH")</f>
        <v>RNHX1_ARATH</v>
      </c>
      <c r="D17639" t="s">
        <v>124</v>
      </c>
      <c r="E17639" s="3" t="s">
        <v>3</v>
      </c>
      <c r="F17639" s="4">
        <v>1.2099999999999999E-22</v>
      </c>
      <c r="G17639" s="3">
        <v>266</v>
      </c>
      <c r="H17639" s="3">
        <v>36</v>
      </c>
      <c r="I17639" s="3">
        <v>152</v>
      </c>
      <c r="J17639" s="3">
        <v>130</v>
      </c>
      <c r="K17639" s="3">
        <v>585</v>
      </c>
      <c r="L17639" s="3">
        <v>465</v>
      </c>
      <c r="M17639" s="3">
        <v>615</v>
      </c>
    </row>
    <row r="17640" spans="1:13" x14ac:dyDescent="0.25">
      <c r="A17640" s="1" t="str">
        <f>HYPERLINK("http://www.rosaceae.org/Prunus/Prunus_persica/p.persica_gdr_reftransV1_0023959","p.persica_gdr_reftransV1_0023959")</f>
        <v>p.persica_gdr_reftransV1_0023959</v>
      </c>
      <c r="B17640" s="3">
        <v>1732</v>
      </c>
      <c r="C17640" s="1" t="str">
        <f>HYPERLINK("http://www.uniprot.org/uniprot/THOC6_ARATH","THOC6_ARATH")</f>
        <v>THOC6_ARATH</v>
      </c>
      <c r="D17640" t="s">
        <v>10784</v>
      </c>
      <c r="E17640" s="3" t="s">
        <v>3</v>
      </c>
      <c r="F17640" s="4">
        <v>2.8600000000000001E-123</v>
      </c>
      <c r="G17640" s="3">
        <v>599</v>
      </c>
      <c r="H17640" s="3">
        <v>54</v>
      </c>
      <c r="I17640" s="3">
        <v>221</v>
      </c>
      <c r="J17640" s="3">
        <v>937</v>
      </c>
      <c r="K17640" s="3">
        <v>1593</v>
      </c>
      <c r="L17640" s="3">
        <v>1</v>
      </c>
      <c r="M17640" s="3">
        <v>188</v>
      </c>
    </row>
    <row r="17641" spans="1:13" x14ac:dyDescent="0.25">
      <c r="A17641" s="1" t="str">
        <f>HYPERLINK("http://www.rosaceae.org/Prunus/Prunus_persica/p.persica_gdr_reftransV1_0024009","p.persica_gdr_reftransV1_0024009")</f>
        <v>p.persica_gdr_reftransV1_0024009</v>
      </c>
      <c r="B17641" s="3">
        <v>3613</v>
      </c>
      <c r="C17641" s="1" t="str">
        <f>HYPERLINK("http://www.uniprot.org/uniprot/TRUA_SOLUE","TRUA_SOLUE")</f>
        <v>TRUA_SOLUE</v>
      </c>
      <c r="D17641" t="s">
        <v>10785</v>
      </c>
      <c r="E17641" s="3" t="s">
        <v>4299</v>
      </c>
      <c r="F17641" s="4">
        <v>8.1800000000000002E-14</v>
      </c>
      <c r="G17641" s="3">
        <v>187</v>
      </c>
      <c r="H17641" s="3">
        <v>35</v>
      </c>
      <c r="I17641" s="3">
        <v>130</v>
      </c>
      <c r="J17641" s="3">
        <v>486</v>
      </c>
      <c r="K17641" s="3">
        <v>875</v>
      </c>
      <c r="L17641" s="3">
        <v>4</v>
      </c>
      <c r="M17641" s="3">
        <v>118</v>
      </c>
    </row>
    <row r="17642" spans="1:13" x14ac:dyDescent="0.25">
      <c r="A17642" s="1" t="str">
        <f>HYPERLINK("http://www.rosaceae.org/Prunus/Prunus_persica/p.persica_gdr_reftransV1_0024109","p.persica_gdr_reftransV1_0024109")</f>
        <v>p.persica_gdr_reftransV1_0024109</v>
      </c>
      <c r="B17642" s="3">
        <v>4328</v>
      </c>
      <c r="C17642" s="1" t="str">
        <f>HYPERLINK("http://www.uniprot.org/uniprot/PXM16_ARATH","PXM16_ARATH")</f>
        <v>PXM16_ARATH</v>
      </c>
      <c r="D17642" t="s">
        <v>10786</v>
      </c>
      <c r="E17642" s="3" t="s">
        <v>3</v>
      </c>
      <c r="F17642" s="4">
        <v>0</v>
      </c>
      <c r="G17642" s="3">
        <v>3127</v>
      </c>
      <c r="H17642" s="3">
        <v>72</v>
      </c>
      <c r="I17642" s="3">
        <v>785</v>
      </c>
      <c r="J17642" s="3">
        <v>474</v>
      </c>
      <c r="K17642" s="3">
        <v>2828</v>
      </c>
      <c r="L17642" s="3">
        <v>181</v>
      </c>
      <c r="M17642" s="3">
        <v>964</v>
      </c>
    </row>
    <row r="17643" spans="1:13" x14ac:dyDescent="0.25">
      <c r="A17643" s="1" t="str">
        <f>HYPERLINK("http://www.rosaceae.org/Prunus/Prunus_persica/p.persica_gdr_reftransV1_0024259","p.persica_gdr_reftransV1_0024259")</f>
        <v>p.persica_gdr_reftransV1_0024259</v>
      </c>
      <c r="B17643" s="3">
        <v>1895</v>
      </c>
      <c r="C17643" s="1" t="str">
        <f>HYPERLINK("http://www.uniprot.org/uniprot/MAEA_DANRE","MAEA_DANRE")</f>
        <v>MAEA_DANRE</v>
      </c>
      <c r="D17643" t="s">
        <v>3032</v>
      </c>
      <c r="E17643" s="3" t="s">
        <v>704</v>
      </c>
      <c r="F17643" s="4">
        <v>1.8400000000000001E-54</v>
      </c>
      <c r="G17643" s="3">
        <v>498</v>
      </c>
      <c r="H17643" s="3">
        <v>38</v>
      </c>
      <c r="I17643" s="3">
        <v>279</v>
      </c>
      <c r="J17643" s="3">
        <v>262</v>
      </c>
      <c r="K17643" s="3">
        <v>1083</v>
      </c>
      <c r="L17643" s="3">
        <v>22</v>
      </c>
      <c r="M17643" s="3">
        <v>300</v>
      </c>
    </row>
    <row r="17644" spans="1:13" x14ac:dyDescent="0.25">
      <c r="A17644" s="1" t="str">
        <f>HYPERLINK("http://www.rosaceae.org/Prunus/Prunus_persica/p.persica_gdr_reftransV1_0024459","p.persica_gdr_reftransV1_0024459")</f>
        <v>p.persica_gdr_reftransV1_0024459</v>
      </c>
      <c r="B17644" s="3">
        <v>3969</v>
      </c>
      <c r="C17644" s="1" t="str">
        <f>HYPERLINK("http://www.uniprot.org/uniprot/RPC1_SCHPO","RPC1_SCHPO")</f>
        <v>RPC1_SCHPO</v>
      </c>
      <c r="D17644" t="s">
        <v>10787</v>
      </c>
      <c r="E17644" s="3" t="s">
        <v>464</v>
      </c>
      <c r="F17644" s="4">
        <v>0</v>
      </c>
      <c r="G17644" s="3">
        <v>1952</v>
      </c>
      <c r="H17644" s="3">
        <v>52</v>
      </c>
      <c r="I17644" s="3">
        <v>734</v>
      </c>
      <c r="J17644" s="3">
        <v>7</v>
      </c>
      <c r="K17644" s="3">
        <v>2163</v>
      </c>
      <c r="L17644" s="3">
        <v>398</v>
      </c>
      <c r="M17644" s="3">
        <v>1126</v>
      </c>
    </row>
    <row r="17645" spans="1:13" x14ac:dyDescent="0.25">
      <c r="A17645" s="1" t="str">
        <f>HYPERLINK("http://www.rosaceae.org/Prunus/Prunus_persica/p.persica_gdr_reftransV1_0024509","p.persica_gdr_reftransV1_0024509")</f>
        <v>p.persica_gdr_reftransV1_0024509</v>
      </c>
      <c r="B17645" s="3">
        <v>2149</v>
      </c>
      <c r="C17645" s="1" t="str">
        <f>HYPERLINK("http://www.uniprot.org/uniprot/AGT21_ARATH","AGT21_ARATH")</f>
        <v>AGT21_ARATH</v>
      </c>
      <c r="D17645" t="s">
        <v>10788</v>
      </c>
      <c r="E17645" s="3" t="s">
        <v>3</v>
      </c>
      <c r="F17645" s="4">
        <v>0</v>
      </c>
      <c r="G17645" s="3">
        <v>2051</v>
      </c>
      <c r="H17645" s="3">
        <v>81</v>
      </c>
      <c r="I17645" s="3">
        <v>490</v>
      </c>
      <c r="J17645" s="3">
        <v>273</v>
      </c>
      <c r="K17645" s="3">
        <v>1742</v>
      </c>
      <c r="L17645" s="3">
        <v>1</v>
      </c>
      <c r="M17645" s="3">
        <v>476</v>
      </c>
    </row>
    <row r="17646" spans="1:13" x14ac:dyDescent="0.25">
      <c r="A17646" s="1" t="str">
        <f>HYPERLINK("http://www.rosaceae.org/Prunus/Prunus_persica/p.persica_gdr_reftransV1_0024609","p.persica_gdr_reftransV1_0024609")</f>
        <v>p.persica_gdr_reftransV1_0024609</v>
      </c>
      <c r="B17646" s="3">
        <v>1108</v>
      </c>
      <c r="C17646" s="1" t="str">
        <f>HYPERLINK("http://www.uniprot.org/uniprot/TL15B_ARATH","TL15B_ARATH")</f>
        <v>TL15B_ARATH</v>
      </c>
      <c r="D17646" t="s">
        <v>10789</v>
      </c>
      <c r="E17646" s="3" t="s">
        <v>3</v>
      </c>
      <c r="F17646" s="4">
        <v>1.5599999999999999E-88</v>
      </c>
      <c r="G17646" s="3">
        <v>697</v>
      </c>
      <c r="H17646" s="3">
        <v>87</v>
      </c>
      <c r="I17646" s="3">
        <v>151</v>
      </c>
      <c r="J17646" s="3">
        <v>223</v>
      </c>
      <c r="K17646" s="3">
        <v>675</v>
      </c>
      <c r="L17646" s="3">
        <v>43</v>
      </c>
      <c r="M17646" s="3">
        <v>193</v>
      </c>
    </row>
    <row r="17647" spans="1:13" x14ac:dyDescent="0.25">
      <c r="A17647" s="1" t="str">
        <f>HYPERLINK("http://www.rosaceae.org/Prunus/Prunus_persica/p.persica_gdr_reftransV1_0024809","p.persica_gdr_reftransV1_0024809")</f>
        <v>p.persica_gdr_reftransV1_0024809</v>
      </c>
      <c r="B17647" s="3">
        <v>902</v>
      </c>
      <c r="C17647" s="1" t="str">
        <f>HYPERLINK("http://www.uniprot.org/uniprot/LTPG2_ARATH","LTPG2_ARATH")</f>
        <v>LTPG2_ARATH</v>
      </c>
      <c r="D17647" t="s">
        <v>10790</v>
      </c>
      <c r="E17647" s="3" t="s">
        <v>3</v>
      </c>
      <c r="F17647" s="4">
        <v>1.9300000000000001E-17</v>
      </c>
      <c r="G17647" s="3">
        <v>202</v>
      </c>
      <c r="H17647" s="3">
        <v>39</v>
      </c>
      <c r="I17647" s="3">
        <v>147</v>
      </c>
      <c r="J17647" s="3">
        <v>313</v>
      </c>
      <c r="K17647" s="3">
        <v>726</v>
      </c>
      <c r="L17647" s="3">
        <v>37</v>
      </c>
      <c r="M17647" s="3">
        <v>182</v>
      </c>
    </row>
    <row r="17648" spans="1:13" x14ac:dyDescent="0.25">
      <c r="A17648" s="1" t="str">
        <f>HYPERLINK("http://www.rosaceae.org/Prunus/Prunus_persica/p.persica_gdr_reftransV1_0025009","p.persica_gdr_reftransV1_0025009")</f>
        <v>p.persica_gdr_reftransV1_0025009</v>
      </c>
      <c r="B17648" s="3">
        <v>3489</v>
      </c>
      <c r="C17648" s="1" t="str">
        <f>HYPERLINK("http://www.uniprot.org/uniprot/GATA8_ARATH","GATA8_ARATH")</f>
        <v>GATA8_ARATH</v>
      </c>
      <c r="D17648" t="s">
        <v>6265</v>
      </c>
      <c r="E17648" s="3" t="s">
        <v>3</v>
      </c>
      <c r="F17648" s="4">
        <v>7.1600000000000002E-37</v>
      </c>
      <c r="G17648" s="3">
        <v>372</v>
      </c>
      <c r="H17648" s="3">
        <v>70</v>
      </c>
      <c r="I17648" s="3">
        <v>102</v>
      </c>
      <c r="J17648" s="3">
        <v>2595</v>
      </c>
      <c r="K17648" s="3">
        <v>2900</v>
      </c>
      <c r="L17648" s="3">
        <v>225</v>
      </c>
      <c r="M17648" s="3">
        <v>322</v>
      </c>
    </row>
    <row r="17649" spans="1:13" x14ac:dyDescent="0.25">
      <c r="A17649" s="1" t="str">
        <f>HYPERLINK("http://www.rosaceae.org/Prunus/Prunus_persica/p.persica_gdr_reftransV1_0025309","p.persica_gdr_reftransV1_0025309")</f>
        <v>p.persica_gdr_reftransV1_0025309</v>
      </c>
      <c r="B17649" s="3">
        <v>2658</v>
      </c>
      <c r="C17649" s="1" t="str">
        <f>HYPERLINK("http://www.uniprot.org/uniprot/MLO11_ARATH","MLO11_ARATH")</f>
        <v>MLO11_ARATH</v>
      </c>
      <c r="D17649" t="s">
        <v>5352</v>
      </c>
      <c r="E17649" s="3" t="s">
        <v>3</v>
      </c>
      <c r="F17649" s="4">
        <v>8.1899999999999996E-118</v>
      </c>
      <c r="G17649" s="3">
        <v>968</v>
      </c>
      <c r="H17649" s="3">
        <v>64</v>
      </c>
      <c r="I17649" s="3">
        <v>324</v>
      </c>
      <c r="J17649" s="3">
        <v>1200</v>
      </c>
      <c r="K17649" s="3">
        <v>2144</v>
      </c>
      <c r="L17649" s="3">
        <v>264</v>
      </c>
      <c r="M17649" s="3">
        <v>535</v>
      </c>
    </row>
    <row r="17650" spans="1:13" x14ac:dyDescent="0.25">
      <c r="A17650" s="1" t="str">
        <f>HYPERLINK("http://www.rosaceae.org/Prunus/Prunus_persica/p.persica_gdr_reftransV1_0025459","p.persica_gdr_reftransV1_0025459")</f>
        <v>p.persica_gdr_reftransV1_0025459</v>
      </c>
      <c r="B17650" s="3">
        <v>1853</v>
      </c>
      <c r="C17650" s="1" t="str">
        <f>HYPERLINK("http://www.uniprot.org/uniprot/IP5P9_ARATH","IP5P9_ARATH")</f>
        <v>IP5P9_ARATH</v>
      </c>
      <c r="D17650" t="s">
        <v>10791</v>
      </c>
      <c r="E17650" s="3" t="s">
        <v>3</v>
      </c>
      <c r="F17650" s="4">
        <v>3.44E-27</v>
      </c>
      <c r="G17650" s="3">
        <v>181</v>
      </c>
      <c r="H17650" s="3">
        <v>54</v>
      </c>
      <c r="I17650" s="3">
        <v>52</v>
      </c>
      <c r="J17650" s="3">
        <v>1561</v>
      </c>
      <c r="K17650" s="3">
        <v>1716</v>
      </c>
      <c r="L17650" s="3">
        <v>294</v>
      </c>
      <c r="M17650" s="3">
        <v>345</v>
      </c>
    </row>
    <row r="17651" spans="1:13" x14ac:dyDescent="0.25">
      <c r="A17651" s="1" t="str">
        <f>HYPERLINK("http://www.rosaceae.org/Prunus/Prunus_persica/p.persica_gdr_reftransV1_0025759","p.persica_gdr_reftransV1_0025759")</f>
        <v>p.persica_gdr_reftransV1_0025759</v>
      </c>
      <c r="B17651" s="3">
        <v>3184</v>
      </c>
      <c r="C17651" s="1" t="str">
        <f>HYPERLINK("http://www.uniprot.org/uniprot/FRS5_ARATH","FRS5_ARATH")</f>
        <v>FRS5_ARATH</v>
      </c>
      <c r="D17651" t="s">
        <v>908</v>
      </c>
      <c r="E17651" s="3" t="s">
        <v>3</v>
      </c>
      <c r="F17651" s="4">
        <v>1.0699999999999999E-11</v>
      </c>
      <c r="G17651" s="3">
        <v>178</v>
      </c>
      <c r="H17651" s="3">
        <v>22</v>
      </c>
      <c r="I17651" s="3">
        <v>289</v>
      </c>
      <c r="J17651" s="3">
        <v>1807</v>
      </c>
      <c r="K17651" s="3">
        <v>2628</v>
      </c>
      <c r="L17651" s="3">
        <v>118</v>
      </c>
      <c r="M17651" s="3">
        <v>402</v>
      </c>
    </row>
    <row r="17652" spans="1:13" x14ac:dyDescent="0.25">
      <c r="A17652" s="1" t="str">
        <f>HYPERLINK("http://www.rosaceae.org/Prunus/Prunus_persica/p.persica_gdr_reftransV1_0025809","p.persica_gdr_reftransV1_0025809")</f>
        <v>p.persica_gdr_reftransV1_0025809</v>
      </c>
      <c r="B17652" s="3">
        <v>846</v>
      </c>
      <c r="C17652" s="1" t="str">
        <f>HYPERLINK("http://www.uniprot.org/uniprot/WIN1_ARATH","WIN1_ARATH")</f>
        <v>WIN1_ARATH</v>
      </c>
      <c r="D17652" t="s">
        <v>10792</v>
      </c>
      <c r="E17652" s="3" t="s">
        <v>3</v>
      </c>
      <c r="F17652" s="4">
        <v>1.33E-53</v>
      </c>
      <c r="G17652" s="3">
        <v>454</v>
      </c>
      <c r="H17652" s="3">
        <v>55</v>
      </c>
      <c r="I17652" s="3">
        <v>227</v>
      </c>
      <c r="J17652" s="3">
        <v>95</v>
      </c>
      <c r="K17652" s="3">
        <v>763</v>
      </c>
      <c r="L17652" s="3">
        <v>1</v>
      </c>
      <c r="M17652" s="3">
        <v>199</v>
      </c>
    </row>
    <row r="17653" spans="1:13" x14ac:dyDescent="0.25">
      <c r="A17653" s="1" t="str">
        <f>HYPERLINK("http://www.rosaceae.org/Prunus/Prunus_persica/p.persica_gdr_reftransV1_0025859","p.persica_gdr_reftransV1_0025859")</f>
        <v>p.persica_gdr_reftransV1_0025859</v>
      </c>
      <c r="B17653" s="3">
        <v>3746</v>
      </c>
      <c r="C17653" s="1" t="str">
        <f>HYPERLINK("http://www.uniprot.org/uniprot/QKY_ARATH","QKY_ARATH")</f>
        <v>QKY_ARATH</v>
      </c>
      <c r="D17653" t="s">
        <v>707</v>
      </c>
      <c r="E17653" s="3" t="s">
        <v>3</v>
      </c>
      <c r="F17653" s="4">
        <v>0</v>
      </c>
      <c r="G17653" s="3">
        <v>3297</v>
      </c>
      <c r="H17653" s="3">
        <v>78</v>
      </c>
      <c r="I17653" s="3">
        <v>807</v>
      </c>
      <c r="J17653" s="3">
        <v>920</v>
      </c>
      <c r="K17653" s="3">
        <v>3289</v>
      </c>
      <c r="L17653" s="3">
        <v>275</v>
      </c>
      <c r="M17653" s="3">
        <v>1081</v>
      </c>
    </row>
    <row r="17654" spans="1:13" x14ac:dyDescent="0.25">
      <c r="A17654" s="1" t="str">
        <f>HYPERLINK("http://www.rosaceae.org/Prunus/Prunus_persica/p.persica_gdr_reftransV1_0026309","p.persica_gdr_reftransV1_0026309")</f>
        <v>p.persica_gdr_reftransV1_0026309</v>
      </c>
      <c r="B17654" s="3">
        <v>4244</v>
      </c>
      <c r="C17654" s="1" t="str">
        <f>HYPERLINK("http://www.uniprot.org/uniprot/ATX5_ARATH","ATX5_ARATH")</f>
        <v>ATX5_ARATH</v>
      </c>
      <c r="D17654" t="s">
        <v>10793</v>
      </c>
      <c r="E17654" s="3" t="s">
        <v>3</v>
      </c>
      <c r="F17654" s="4">
        <v>0</v>
      </c>
      <c r="G17654" s="3">
        <v>2669</v>
      </c>
      <c r="H17654" s="3">
        <v>80</v>
      </c>
      <c r="I17654" s="3">
        <v>613</v>
      </c>
      <c r="J17654" s="3">
        <v>317</v>
      </c>
      <c r="K17654" s="3">
        <v>2152</v>
      </c>
      <c r="L17654" s="3">
        <v>432</v>
      </c>
      <c r="M17654" s="3">
        <v>1043</v>
      </c>
    </row>
    <row r="17655" spans="1:13" x14ac:dyDescent="0.25">
      <c r="A17655" s="1" t="str">
        <f>HYPERLINK("http://www.rosaceae.org/Prunus/Prunus_persica/p.persica_gdr_reftransV1_0026459","p.persica_gdr_reftransV1_0026459")</f>
        <v>p.persica_gdr_reftransV1_0026459</v>
      </c>
      <c r="B17655" s="3">
        <v>581</v>
      </c>
      <c r="C17655" s="1" t="str">
        <f>HYPERLINK("http://www.uniprot.org/uniprot/H4_SOYBN","H4_SOYBN")</f>
        <v>H4_SOYBN</v>
      </c>
      <c r="D17655" t="s">
        <v>4009</v>
      </c>
      <c r="E17655" s="3" t="s">
        <v>307</v>
      </c>
      <c r="F17655" s="4">
        <v>1.3600000000000001E-49</v>
      </c>
      <c r="G17655" s="3">
        <v>410</v>
      </c>
      <c r="H17655" s="3">
        <v>100</v>
      </c>
      <c r="I17655" s="3">
        <v>82</v>
      </c>
      <c r="J17655" s="3">
        <v>221</v>
      </c>
      <c r="K17655" s="3">
        <v>466</v>
      </c>
      <c r="L17655" s="3">
        <v>22</v>
      </c>
      <c r="M17655" s="3">
        <v>103</v>
      </c>
    </row>
    <row r="17656" spans="1:13" x14ac:dyDescent="0.25">
      <c r="A17656" s="1" t="str">
        <f>HYPERLINK("http://www.rosaceae.org/Prunus/Prunus_persica/p.persica_gdr_reftransV1_0026659","p.persica_gdr_reftransV1_0026659")</f>
        <v>p.persica_gdr_reftransV1_0026659</v>
      </c>
      <c r="B17656" s="3">
        <v>1336</v>
      </c>
      <c r="C17656" s="1" t="str">
        <f>HYPERLINK("http://www.uniprot.org/uniprot/Y5986_ARATH","Y5986_ARATH")</f>
        <v>Y5986_ARATH</v>
      </c>
      <c r="D17656" t="s">
        <v>4689</v>
      </c>
      <c r="E17656" s="3" t="s">
        <v>3</v>
      </c>
      <c r="F17656" s="4">
        <v>1.3400000000000001E-37</v>
      </c>
      <c r="G17656" s="3">
        <v>367</v>
      </c>
      <c r="H17656" s="3">
        <v>37</v>
      </c>
      <c r="I17656" s="3">
        <v>259</v>
      </c>
      <c r="J17656" s="3">
        <v>394</v>
      </c>
      <c r="K17656" s="3">
        <v>1104</v>
      </c>
      <c r="L17656" s="3">
        <v>139</v>
      </c>
      <c r="M17656" s="3">
        <v>388</v>
      </c>
    </row>
    <row r="17657" spans="1:13" x14ac:dyDescent="0.25">
      <c r="A17657" s="1" t="str">
        <f>HYPERLINK("http://www.rosaceae.org/Prunus/Prunus_persica/p.persica_gdr_reftransV1_0026809","p.persica_gdr_reftransV1_0026809")</f>
        <v>p.persica_gdr_reftransV1_0026809</v>
      </c>
      <c r="B17657" s="3">
        <v>990</v>
      </c>
      <c r="C17657" s="1" t="str">
        <f>HYPERLINK("http://www.uniprot.org/uniprot/AB3C_ARATH","AB3C_ARATH")</f>
        <v>AB3C_ARATH</v>
      </c>
      <c r="D17657" t="s">
        <v>6222</v>
      </c>
      <c r="E17657" s="3" t="s">
        <v>3</v>
      </c>
      <c r="F17657" s="4">
        <v>8.6700000000000003E-76</v>
      </c>
      <c r="G17657" s="3">
        <v>661</v>
      </c>
      <c r="H17657" s="3">
        <v>69</v>
      </c>
      <c r="I17657" s="3">
        <v>217</v>
      </c>
      <c r="J17657" s="3">
        <v>340</v>
      </c>
      <c r="K17657" s="3">
        <v>990</v>
      </c>
      <c r="L17657" s="3">
        <v>1336</v>
      </c>
      <c r="M17657" s="3">
        <v>1514</v>
      </c>
    </row>
    <row r="17658" spans="1:13" x14ac:dyDescent="0.25">
      <c r="A17658" s="1" t="str">
        <f>HYPERLINK("http://www.rosaceae.org/Prunus/Prunus_persica/p.persica_gdr_reftransV1_0027309","p.persica_gdr_reftransV1_0027309")</f>
        <v>p.persica_gdr_reftransV1_0027309</v>
      </c>
      <c r="B17658" s="3">
        <v>379</v>
      </c>
      <c r="C17658" s="1" t="str">
        <f>HYPERLINK("http://www.uniprot.org/uniprot/TAF4B_ARATH","TAF4B_ARATH")</f>
        <v>TAF4B_ARATH</v>
      </c>
      <c r="D17658" t="s">
        <v>1135</v>
      </c>
      <c r="E17658" s="3" t="s">
        <v>3</v>
      </c>
      <c r="F17658" s="4">
        <v>3.5000000000000002E-13</v>
      </c>
      <c r="G17658" s="3">
        <v>170</v>
      </c>
      <c r="H17658" s="3">
        <v>40</v>
      </c>
      <c r="I17658" s="3">
        <v>126</v>
      </c>
      <c r="J17658" s="3">
        <v>2</v>
      </c>
      <c r="K17658" s="3">
        <v>379</v>
      </c>
      <c r="L17658" s="3">
        <v>416</v>
      </c>
      <c r="M17658" s="3">
        <v>514</v>
      </c>
    </row>
    <row r="17659" spans="1:13" x14ac:dyDescent="0.25">
      <c r="A17659" s="1" t="str">
        <f>HYPERLINK("http://www.rosaceae.org/Prunus/Prunus_persica/p.persica_gdr_reftransV1_0027359","p.persica_gdr_reftransV1_0027359")</f>
        <v>p.persica_gdr_reftransV1_0027359</v>
      </c>
      <c r="B17659" s="3">
        <v>1409</v>
      </c>
      <c r="C17659" s="1" t="str">
        <f>HYPERLINK("http://www.uniprot.org/uniprot/ABHDB_DANRE","ABHDB_DANRE")</f>
        <v>ABHDB_DANRE</v>
      </c>
      <c r="D17659" t="s">
        <v>5925</v>
      </c>
      <c r="E17659" s="3" t="s">
        <v>704</v>
      </c>
      <c r="F17659" s="4">
        <v>8.4600000000000007E-12</v>
      </c>
      <c r="G17659" s="3">
        <v>169</v>
      </c>
      <c r="H17659" s="3">
        <v>28</v>
      </c>
      <c r="I17659" s="3">
        <v>211</v>
      </c>
      <c r="J17659" s="3">
        <v>648</v>
      </c>
      <c r="K17659" s="3">
        <v>1259</v>
      </c>
      <c r="L17659" s="3">
        <v>56</v>
      </c>
      <c r="M17659" s="3">
        <v>240</v>
      </c>
    </row>
    <row r="17660" spans="1:13" x14ac:dyDescent="0.25">
      <c r="A17660" s="1" t="str">
        <f>HYPERLINK("http://www.rosaceae.org/Prunus/Prunus_persica/p.persica_gdr_reftransV1_0027409","p.persica_gdr_reftransV1_0027409")</f>
        <v>p.persica_gdr_reftransV1_0027409</v>
      </c>
      <c r="B17660" s="3">
        <v>2223</v>
      </c>
      <c r="C17660" s="1" t="str">
        <f>HYPERLINK("http://www.uniprot.org/uniprot/PP151_ARATH","PP151_ARATH")</f>
        <v>PP151_ARATH</v>
      </c>
      <c r="D17660" t="s">
        <v>1204</v>
      </c>
      <c r="E17660" s="3" t="s">
        <v>3</v>
      </c>
      <c r="F17660" s="4">
        <v>2.6900000000000001E-140</v>
      </c>
      <c r="G17660" s="3">
        <v>1120</v>
      </c>
      <c r="H17660" s="3">
        <v>43</v>
      </c>
      <c r="I17660" s="3">
        <v>475</v>
      </c>
      <c r="J17660" s="3">
        <v>2</v>
      </c>
      <c r="K17660" s="3">
        <v>1405</v>
      </c>
      <c r="L17660" s="3">
        <v>194</v>
      </c>
      <c r="M17660" s="3">
        <v>668</v>
      </c>
    </row>
    <row r="17661" spans="1:13" x14ac:dyDescent="0.25">
      <c r="A17661" s="1" t="str">
        <f>HYPERLINK("http://www.rosaceae.org/Prunus/Prunus_persica/p.persica_gdr_reftransV1_0027459","p.persica_gdr_reftransV1_0027459")</f>
        <v>p.persica_gdr_reftransV1_0027459</v>
      </c>
      <c r="B17661" s="3">
        <v>5833</v>
      </c>
      <c r="C17661" s="1" t="str">
        <f>HYPERLINK("http://www.uniprot.org/uniprot/PERQ2_MOUSE","PERQ2_MOUSE")</f>
        <v>PERQ2_MOUSE</v>
      </c>
      <c r="D17661" t="s">
        <v>10794</v>
      </c>
      <c r="E17661" s="3" t="s">
        <v>157</v>
      </c>
      <c r="F17661" s="4">
        <v>1.7900000000000001E-8</v>
      </c>
      <c r="G17661" s="3">
        <v>154</v>
      </c>
      <c r="H17661" s="3">
        <v>55</v>
      </c>
      <c r="I17661" s="3">
        <v>51</v>
      </c>
      <c r="J17661" s="3">
        <v>3835</v>
      </c>
      <c r="K17661" s="3">
        <v>3987</v>
      </c>
      <c r="L17661" s="3">
        <v>538</v>
      </c>
      <c r="M17661" s="3">
        <v>585</v>
      </c>
    </row>
    <row r="17662" spans="1:13" x14ac:dyDescent="0.25">
      <c r="A17662" s="1" t="str">
        <f>HYPERLINK("http://www.rosaceae.org/Prunus/Prunus_persica/p.persica_gdr_reftransV1_0027759","p.persica_gdr_reftransV1_0027759")</f>
        <v>p.persica_gdr_reftransV1_0027759</v>
      </c>
      <c r="B17662" s="3">
        <v>1878</v>
      </c>
      <c r="C17662" s="1" t="str">
        <f>HYPERLINK("http://www.uniprot.org/uniprot/RH36_ARATH","RH36_ARATH")</f>
        <v>RH36_ARATH</v>
      </c>
      <c r="D17662" t="s">
        <v>10795</v>
      </c>
      <c r="E17662" s="3" t="s">
        <v>3</v>
      </c>
      <c r="F17662" s="4">
        <v>0</v>
      </c>
      <c r="G17662" s="3">
        <v>1540</v>
      </c>
      <c r="H17662" s="3">
        <v>73</v>
      </c>
      <c r="I17662" s="3">
        <v>416</v>
      </c>
      <c r="J17662" s="3">
        <v>215</v>
      </c>
      <c r="K17662" s="3">
        <v>1450</v>
      </c>
      <c r="L17662" s="3">
        <v>43</v>
      </c>
      <c r="M17662" s="3">
        <v>458</v>
      </c>
    </row>
    <row r="17663" spans="1:13" x14ac:dyDescent="0.25">
      <c r="A17663" s="1" t="str">
        <f>HYPERLINK("http://www.rosaceae.org/Prunus/Prunus_persica/p.persica_gdr_reftransV1_0028159","p.persica_gdr_reftransV1_0028159")</f>
        <v>p.persica_gdr_reftransV1_0028159</v>
      </c>
      <c r="B17663" s="3">
        <v>3369</v>
      </c>
      <c r="C17663" s="1" t="str">
        <f>HYPERLINK("http://www.uniprot.org/uniprot/TLP7_ARATH","TLP7_ARATH")</f>
        <v>TLP7_ARATH</v>
      </c>
      <c r="D17663" t="s">
        <v>10796</v>
      </c>
      <c r="E17663" s="3" t="s">
        <v>3</v>
      </c>
      <c r="F17663" s="4">
        <v>4.0899999999999998E-94</v>
      </c>
      <c r="G17663" s="3">
        <v>798</v>
      </c>
      <c r="H17663" s="3">
        <v>77</v>
      </c>
      <c r="I17663" s="3">
        <v>199</v>
      </c>
      <c r="J17663" s="3">
        <v>2190</v>
      </c>
      <c r="K17663" s="3">
        <v>2759</v>
      </c>
      <c r="L17663" s="3">
        <v>181</v>
      </c>
      <c r="M17663" s="3">
        <v>379</v>
      </c>
    </row>
    <row r="17664" spans="1:13" x14ac:dyDescent="0.25">
      <c r="A17664" s="1" t="str">
        <f>HYPERLINK("http://www.rosaceae.org/Prunus/Prunus_persica/p.persica_gdr_reftransV1_0028409","p.persica_gdr_reftransV1_0028409")</f>
        <v>p.persica_gdr_reftransV1_0028409</v>
      </c>
      <c r="B17664" s="3">
        <v>1178</v>
      </c>
      <c r="C17664" s="1" t="str">
        <f>HYPERLINK("http://www.uniprot.org/uniprot/GCA1_ARATH","GCA1_ARATH")</f>
        <v>GCA1_ARATH</v>
      </c>
      <c r="D17664" t="s">
        <v>6250</v>
      </c>
      <c r="E17664" s="3" t="s">
        <v>3</v>
      </c>
      <c r="F17664" s="4">
        <v>1.5000000000000001E-147</v>
      </c>
      <c r="G17664" s="3">
        <v>1096</v>
      </c>
      <c r="H17664" s="3">
        <v>85</v>
      </c>
      <c r="I17664" s="3">
        <v>237</v>
      </c>
      <c r="J17664" s="3">
        <v>467</v>
      </c>
      <c r="K17664" s="3">
        <v>1177</v>
      </c>
      <c r="L17664" s="3">
        <v>25</v>
      </c>
      <c r="M17664" s="3">
        <v>261</v>
      </c>
    </row>
    <row r="17665" spans="1:13" x14ac:dyDescent="0.25">
      <c r="A17665" s="1" t="str">
        <f>HYPERLINK("http://www.rosaceae.org/Prunus/Prunus_persica/p.persica_gdr_reftransV1_0028559","p.persica_gdr_reftransV1_0028559")</f>
        <v>p.persica_gdr_reftransV1_0028559</v>
      </c>
      <c r="B17665" s="3">
        <v>993</v>
      </c>
      <c r="C17665" s="1" t="str">
        <f>HYPERLINK("http://www.uniprot.org/uniprot/RTM2B_ARATH","RTM2B_ARATH")</f>
        <v>RTM2B_ARATH</v>
      </c>
      <c r="D17665" t="s">
        <v>3686</v>
      </c>
      <c r="E17665" s="3" t="s">
        <v>3</v>
      </c>
      <c r="F17665" s="4">
        <v>1.4000000000000001E-7</v>
      </c>
      <c r="G17665" s="3">
        <v>134</v>
      </c>
      <c r="H17665" s="3">
        <v>33</v>
      </c>
      <c r="I17665" s="3">
        <v>85</v>
      </c>
      <c r="J17665" s="3">
        <v>570</v>
      </c>
      <c r="K17665" s="3">
        <v>824</v>
      </c>
      <c r="L17665" s="3">
        <v>16</v>
      </c>
      <c r="M17665" s="3">
        <v>100</v>
      </c>
    </row>
    <row r="17666" spans="1:13" x14ac:dyDescent="0.25">
      <c r="A17666" s="1" t="str">
        <f>HYPERLINK("http://www.rosaceae.org/Prunus/Prunus_persica/p.persica_gdr_reftransV1_0028709","p.persica_gdr_reftransV1_0028709")</f>
        <v>p.persica_gdr_reftransV1_0028709</v>
      </c>
      <c r="B17666" s="3">
        <v>2078</v>
      </c>
      <c r="C17666" s="1" t="str">
        <f>HYPERLINK("http://www.uniprot.org/uniprot/E70A1_ARATH","E70A1_ARATH")</f>
        <v>E70A1_ARATH</v>
      </c>
      <c r="D17666" t="s">
        <v>89</v>
      </c>
      <c r="E17666" s="3" t="s">
        <v>3</v>
      </c>
      <c r="F17666" s="4">
        <v>0</v>
      </c>
      <c r="G17666" s="3">
        <v>2580</v>
      </c>
      <c r="H17666" s="3">
        <v>80</v>
      </c>
      <c r="I17666" s="3">
        <v>640</v>
      </c>
      <c r="J17666" s="3">
        <v>72</v>
      </c>
      <c r="K17666" s="3">
        <v>1991</v>
      </c>
      <c r="L17666" s="3">
        <v>8</v>
      </c>
      <c r="M17666" s="3">
        <v>638</v>
      </c>
    </row>
    <row r="17667" spans="1:13" x14ac:dyDescent="0.25">
      <c r="A17667" s="1" t="str">
        <f>HYPERLINK("http://www.rosaceae.org/Prunus/Prunus_persica/p.persica_gdr_reftransV1_0029059","p.persica_gdr_reftransV1_0029059")</f>
        <v>p.persica_gdr_reftransV1_0029059</v>
      </c>
      <c r="B17667" s="3">
        <v>2967</v>
      </c>
      <c r="C17667" s="1" t="str">
        <f>HYPERLINK("http://www.uniprot.org/uniprot/ERMP1_MOUSE","ERMP1_MOUSE")</f>
        <v>ERMP1_MOUSE</v>
      </c>
      <c r="D17667" t="s">
        <v>10797</v>
      </c>
      <c r="E17667" s="3" t="s">
        <v>157</v>
      </c>
      <c r="F17667" s="4">
        <v>1.8899999999999999E-55</v>
      </c>
      <c r="G17667" s="3">
        <v>537</v>
      </c>
      <c r="H17667" s="3">
        <v>32</v>
      </c>
      <c r="I17667" s="3">
        <v>359</v>
      </c>
      <c r="J17667" s="3">
        <v>1647</v>
      </c>
      <c r="K17667" s="3">
        <v>2714</v>
      </c>
      <c r="L17667" s="3">
        <v>85</v>
      </c>
      <c r="M17667" s="3">
        <v>431</v>
      </c>
    </row>
    <row r="17668" spans="1:13" x14ac:dyDescent="0.25">
      <c r="A17668" s="1" t="str">
        <f>HYPERLINK("http://www.rosaceae.org/Prunus/Prunus_persica/p.persica_gdr_reftransV1_0029109","p.persica_gdr_reftransV1_0029109")</f>
        <v>p.persica_gdr_reftransV1_0029109</v>
      </c>
      <c r="B17668" s="3">
        <v>1927</v>
      </c>
      <c r="C17668" s="1" t="str">
        <f>HYPERLINK("http://www.uniprot.org/uniprot/MPC1_ARATH","MPC1_ARATH")</f>
        <v>MPC1_ARATH</v>
      </c>
      <c r="D17668" t="s">
        <v>29</v>
      </c>
      <c r="E17668" s="3" t="s">
        <v>3</v>
      </c>
      <c r="F17668" s="4">
        <v>6.6699999999999994E-58</v>
      </c>
      <c r="G17668" s="3">
        <v>498</v>
      </c>
      <c r="H17668" s="3">
        <v>87</v>
      </c>
      <c r="I17668" s="3">
        <v>100</v>
      </c>
      <c r="J17668" s="3">
        <v>484</v>
      </c>
      <c r="K17668" s="3">
        <v>783</v>
      </c>
      <c r="L17668" s="3">
        <v>6</v>
      </c>
      <c r="M17668" s="3">
        <v>105</v>
      </c>
    </row>
    <row r="17669" spans="1:13" x14ac:dyDescent="0.25">
      <c r="A17669" s="1" t="str">
        <f>HYPERLINK("http://www.rosaceae.org/Prunus/Prunus_persica/p.persica_gdr_reftransV1_0029509","p.persica_gdr_reftransV1_0029509")</f>
        <v>p.persica_gdr_reftransV1_0029509</v>
      </c>
      <c r="B17669" s="3">
        <v>1636</v>
      </c>
      <c r="C17669" s="1" t="str">
        <f>HYPERLINK("http://www.uniprot.org/uniprot/R3HC1_MOUSE","R3HC1_MOUSE")</f>
        <v>R3HC1_MOUSE</v>
      </c>
      <c r="D17669" t="s">
        <v>10798</v>
      </c>
      <c r="E17669" s="3" t="s">
        <v>157</v>
      </c>
      <c r="F17669" s="4">
        <v>2.1899999999999999E-10</v>
      </c>
      <c r="G17669" s="3">
        <v>162</v>
      </c>
      <c r="H17669" s="3">
        <v>35</v>
      </c>
      <c r="I17669" s="3">
        <v>108</v>
      </c>
      <c r="J17669" s="3">
        <v>796</v>
      </c>
      <c r="K17669" s="3">
        <v>1110</v>
      </c>
      <c r="L17669" s="3">
        <v>473</v>
      </c>
      <c r="M17669" s="3">
        <v>580</v>
      </c>
    </row>
    <row r="17670" spans="1:13" x14ac:dyDescent="0.25">
      <c r="A17670" s="1" t="str">
        <f>HYPERLINK("http://www.rosaceae.org/Prunus/Prunus_persica/p.persica_gdr_reftransV1_0029709","p.persica_gdr_reftransV1_0029709")</f>
        <v>p.persica_gdr_reftransV1_0029709</v>
      </c>
      <c r="B17670" s="3">
        <v>3024</v>
      </c>
      <c r="C17670" s="1" t="str">
        <f>HYPERLINK("http://www.uniprot.org/uniprot/CCR4A_ARATH","CCR4A_ARATH")</f>
        <v>CCR4A_ARATH</v>
      </c>
      <c r="D17670" t="s">
        <v>10799</v>
      </c>
      <c r="E17670" s="3" t="s">
        <v>3</v>
      </c>
      <c r="F17670" s="4">
        <v>0</v>
      </c>
      <c r="G17670" s="3">
        <v>2383</v>
      </c>
      <c r="H17670" s="3">
        <v>78</v>
      </c>
      <c r="I17670" s="3">
        <v>610</v>
      </c>
      <c r="J17670" s="3">
        <v>615</v>
      </c>
      <c r="K17670" s="3">
        <v>2438</v>
      </c>
      <c r="L17670" s="3">
        <v>1</v>
      </c>
      <c r="M17670" s="3">
        <v>602</v>
      </c>
    </row>
    <row r="17671" spans="1:13" x14ac:dyDescent="0.25">
      <c r="A17671" s="1" t="str">
        <f>HYPERLINK("http://www.rosaceae.org/Prunus/Prunus_persica/p.persica_gdr_reftransV1_0029759","p.persica_gdr_reftransV1_0029759")</f>
        <v>p.persica_gdr_reftransV1_0029759</v>
      </c>
      <c r="B17671" s="3">
        <v>831</v>
      </c>
      <c r="C17671" s="1" t="str">
        <f>HYPERLINK("http://www.uniprot.org/uniprot/WTR41_ARATH","WTR41_ARATH")</f>
        <v>WTR41_ARATH</v>
      </c>
      <c r="D17671" t="s">
        <v>10800</v>
      </c>
      <c r="E17671" s="3" t="s">
        <v>3</v>
      </c>
      <c r="F17671" s="4">
        <v>9.2899999999999996E-84</v>
      </c>
      <c r="G17671" s="3">
        <v>670</v>
      </c>
      <c r="H17671" s="3">
        <v>59</v>
      </c>
      <c r="I17671" s="3">
        <v>244</v>
      </c>
      <c r="J17671" s="3">
        <v>93</v>
      </c>
      <c r="K17671" s="3">
        <v>806</v>
      </c>
      <c r="L17671" s="3">
        <v>132</v>
      </c>
      <c r="M17671" s="3">
        <v>363</v>
      </c>
    </row>
    <row r="17672" spans="1:13" x14ac:dyDescent="0.25">
      <c r="A17672" s="1" t="str">
        <f>HYPERLINK("http://www.rosaceae.org/Prunus/Prunus_persica/p.persica_gdr_reftransV1_0029959","p.persica_gdr_reftransV1_0029959")</f>
        <v>p.persica_gdr_reftransV1_0029959</v>
      </c>
      <c r="B17672" s="3">
        <v>1971</v>
      </c>
      <c r="C17672" s="1" t="str">
        <f>HYPERLINK("http://www.uniprot.org/uniprot/CB60B_ARATH","CB60B_ARATH")</f>
        <v>CB60B_ARATH</v>
      </c>
      <c r="D17672" t="s">
        <v>2863</v>
      </c>
      <c r="E17672" s="3" t="s">
        <v>3</v>
      </c>
      <c r="F17672" s="4">
        <v>4.8999999999999996E-164</v>
      </c>
      <c r="G17672" s="3">
        <v>1267</v>
      </c>
      <c r="H17672" s="3">
        <v>63</v>
      </c>
      <c r="I17672" s="3">
        <v>408</v>
      </c>
      <c r="J17672" s="3">
        <v>785</v>
      </c>
      <c r="K17672" s="3">
        <v>1969</v>
      </c>
      <c r="L17672" s="3">
        <v>232</v>
      </c>
      <c r="M17672" s="3">
        <v>637</v>
      </c>
    </row>
    <row r="17673" spans="1:13" x14ac:dyDescent="0.25">
      <c r="A17673" s="1" t="str">
        <f>HYPERLINK("http://www.rosaceae.org/Prunus/Prunus_persica/p.persica_gdr_reftransV1_0030009","p.persica_gdr_reftransV1_0030009")</f>
        <v>p.persica_gdr_reftransV1_0030009</v>
      </c>
      <c r="B17673" s="3">
        <v>1534</v>
      </c>
      <c r="C17673" s="1" t="str">
        <f>HYPERLINK("http://www.uniprot.org/uniprot/U84B2_ARATH","U84B2_ARATH")</f>
        <v>U84B2_ARATH</v>
      </c>
      <c r="D17673" t="s">
        <v>10801</v>
      </c>
      <c r="E17673" s="3" t="s">
        <v>3</v>
      </c>
      <c r="F17673" s="4">
        <v>1.84E-115</v>
      </c>
      <c r="G17673" s="3">
        <v>910</v>
      </c>
      <c r="H17673" s="3">
        <v>45</v>
      </c>
      <c r="I17673" s="3">
        <v>461</v>
      </c>
      <c r="J17673" s="3">
        <v>144</v>
      </c>
      <c r="K17673" s="3">
        <v>1514</v>
      </c>
      <c r="L17673" s="3">
        <v>1</v>
      </c>
      <c r="M17673" s="3">
        <v>435</v>
      </c>
    </row>
    <row r="17674" spans="1:13" x14ac:dyDescent="0.25">
      <c r="A17674" s="1" t="str">
        <f>HYPERLINK("http://www.rosaceae.org/Prunus/Prunus_persica/p.persica_gdr_reftransV1_0030259","p.persica_gdr_reftransV1_0030259")</f>
        <v>p.persica_gdr_reftransV1_0030259</v>
      </c>
      <c r="B17674" s="3">
        <v>1907</v>
      </c>
      <c r="C17674" s="1" t="str">
        <f>HYPERLINK("http://www.uniprot.org/uniprot/RM45_DROME","RM45_DROME")</f>
        <v>RM45_DROME</v>
      </c>
      <c r="D17674" t="s">
        <v>10802</v>
      </c>
      <c r="E17674" s="3" t="s">
        <v>5</v>
      </c>
      <c r="F17674" s="4">
        <v>2.8299999999999999E-9</v>
      </c>
      <c r="G17674" s="3">
        <v>152</v>
      </c>
      <c r="H17674" s="3">
        <v>28</v>
      </c>
      <c r="I17674" s="3">
        <v>159</v>
      </c>
      <c r="J17674" s="3">
        <v>337</v>
      </c>
      <c r="K17674" s="3">
        <v>798</v>
      </c>
      <c r="L17674" s="3">
        <v>148</v>
      </c>
      <c r="M17674" s="3">
        <v>296</v>
      </c>
    </row>
    <row r="17675" spans="1:13" x14ac:dyDescent="0.25">
      <c r="A17675" s="1" t="str">
        <f>HYPERLINK("http://www.rosaceae.org/Prunus/Prunus_persica/p.persica_gdr_reftransV1_0030309","p.persica_gdr_reftransV1_0030309")</f>
        <v>p.persica_gdr_reftransV1_0030309</v>
      </c>
      <c r="B17675" s="3">
        <v>1583</v>
      </c>
      <c r="C17675" s="1" t="str">
        <f>HYPERLINK("http://www.uniprot.org/uniprot/TCD_SCHPO","TCD_SCHPO")</f>
        <v>TCD_SCHPO</v>
      </c>
      <c r="D17675" t="s">
        <v>10803</v>
      </c>
      <c r="E17675" s="3" t="s">
        <v>464</v>
      </c>
      <c r="F17675" s="4">
        <v>2.7500000000000003E-66</v>
      </c>
      <c r="G17675" s="3">
        <v>582</v>
      </c>
      <c r="H17675" s="3">
        <v>40</v>
      </c>
      <c r="I17675" s="3">
        <v>365</v>
      </c>
      <c r="J17675" s="3">
        <v>184</v>
      </c>
      <c r="K17675" s="3">
        <v>1269</v>
      </c>
      <c r="L17675" s="3">
        <v>102</v>
      </c>
      <c r="M17675" s="3">
        <v>453</v>
      </c>
    </row>
    <row r="17676" spans="1:13" x14ac:dyDescent="0.25">
      <c r="A17676" s="1" t="str">
        <f>HYPERLINK("http://www.rosaceae.org/Prunus/Prunus_persica/p.persica_gdr_reftransV1_0030859","p.persica_gdr_reftransV1_0030859")</f>
        <v>p.persica_gdr_reftransV1_0030859</v>
      </c>
      <c r="B17676" s="3">
        <v>1435</v>
      </c>
      <c r="C17676" s="1" t="str">
        <f>HYPERLINK("http://www.uniprot.org/uniprot/SRR_ARATH","SRR_ARATH")</f>
        <v>SRR_ARATH</v>
      </c>
      <c r="D17676" t="s">
        <v>10804</v>
      </c>
      <c r="E17676" s="3" t="s">
        <v>3</v>
      </c>
      <c r="F17676" s="4">
        <v>4.51E-97</v>
      </c>
      <c r="G17676" s="3">
        <v>774</v>
      </c>
      <c r="H17676" s="3">
        <v>76</v>
      </c>
      <c r="I17676" s="3">
        <v>191</v>
      </c>
      <c r="J17676" s="3">
        <v>71</v>
      </c>
      <c r="K17676" s="3">
        <v>643</v>
      </c>
      <c r="L17676" s="3">
        <v>1</v>
      </c>
      <c r="M17676" s="3">
        <v>186</v>
      </c>
    </row>
    <row r="17677" spans="1:13" x14ac:dyDescent="0.25">
      <c r="A17677" s="1" t="str">
        <f>HYPERLINK("http://www.rosaceae.org/Prunus/Prunus_persica/p.persica_gdr_reftransV1_0030959","p.persica_gdr_reftransV1_0030959")</f>
        <v>p.persica_gdr_reftransV1_0030959</v>
      </c>
      <c r="B17677" s="3">
        <v>2577</v>
      </c>
      <c r="C17677" s="1" t="str">
        <f>HYPERLINK("http://www.uniprot.org/uniprot/PP192_ARATH","PP192_ARATH")</f>
        <v>PP192_ARATH</v>
      </c>
      <c r="D17677" t="s">
        <v>6671</v>
      </c>
      <c r="E17677" s="3" t="s">
        <v>3</v>
      </c>
      <c r="F17677" s="4">
        <v>7.2200000000000003E-175</v>
      </c>
      <c r="G17677" s="3">
        <v>1344</v>
      </c>
      <c r="H17677" s="3">
        <v>63</v>
      </c>
      <c r="I17677" s="3">
        <v>396</v>
      </c>
      <c r="J17677" s="3">
        <v>29</v>
      </c>
      <c r="K17677" s="3">
        <v>1204</v>
      </c>
      <c r="L17677" s="3">
        <v>106</v>
      </c>
      <c r="M17677" s="3">
        <v>500</v>
      </c>
    </row>
    <row r="17678" spans="1:13" x14ac:dyDescent="0.25">
      <c r="A17678" s="1" t="str">
        <f>HYPERLINK("http://www.rosaceae.org/Prunus/Prunus_persica/p.persica_gdr_reftransV1_0031059","p.persica_gdr_reftransV1_0031059")</f>
        <v>p.persica_gdr_reftransV1_0031059</v>
      </c>
      <c r="B17678" s="3">
        <v>820</v>
      </c>
      <c r="C17678" s="1" t="str">
        <f>HYPERLINK("http://www.uniprot.org/uniprot/FH8_ARATH","FH8_ARATH")</f>
        <v>FH8_ARATH</v>
      </c>
      <c r="D17678" t="s">
        <v>6390</v>
      </c>
      <c r="E17678" s="3" t="s">
        <v>3</v>
      </c>
      <c r="F17678" s="4">
        <v>3.3800000000000001E-12</v>
      </c>
      <c r="G17678" s="3">
        <v>169</v>
      </c>
      <c r="H17678" s="3">
        <v>37</v>
      </c>
      <c r="I17678" s="3">
        <v>109</v>
      </c>
      <c r="J17678" s="3">
        <v>461</v>
      </c>
      <c r="K17678" s="3">
        <v>766</v>
      </c>
      <c r="L17678" s="3">
        <v>82</v>
      </c>
      <c r="M17678" s="3">
        <v>189</v>
      </c>
    </row>
    <row r="17679" spans="1:13" x14ac:dyDescent="0.25">
      <c r="A17679" s="1" t="str">
        <f>HYPERLINK("http://www.rosaceae.org/Prunus/Prunus_persica/p.persica_gdr_reftransV1_0031409","p.persica_gdr_reftransV1_0031409")</f>
        <v>p.persica_gdr_reftransV1_0031409</v>
      </c>
      <c r="B17679" s="3">
        <v>5471</v>
      </c>
      <c r="C17679" s="1" t="str">
        <f>HYPERLINK("http://www.uniprot.org/uniprot/PDS5A_CHICK","PDS5A_CHICK")</f>
        <v>PDS5A_CHICK</v>
      </c>
      <c r="D17679" t="s">
        <v>10805</v>
      </c>
      <c r="E17679" s="3" t="s">
        <v>1278</v>
      </c>
      <c r="F17679" s="4">
        <v>5.0099999999999999E-70</v>
      </c>
      <c r="G17679" s="3">
        <v>673</v>
      </c>
      <c r="H17679" s="3">
        <v>25</v>
      </c>
      <c r="I17679" s="3">
        <v>1063</v>
      </c>
      <c r="J17679" s="3">
        <v>2096</v>
      </c>
      <c r="K17679" s="3">
        <v>5140</v>
      </c>
      <c r="L17679" s="3">
        <v>72</v>
      </c>
      <c r="M17679" s="3">
        <v>1102</v>
      </c>
    </row>
    <row r="17680" spans="1:13" x14ac:dyDescent="0.25">
      <c r="A17680" s="1" t="str">
        <f>HYPERLINK("http://www.rosaceae.org/Prunus/Prunus_persica/p.persica_gdr_reftransV1_0031509","p.persica_gdr_reftransV1_0031509")</f>
        <v>p.persica_gdr_reftransV1_0031509</v>
      </c>
      <c r="B17680" s="3">
        <v>2102</v>
      </c>
      <c r="C17680" s="1" t="str">
        <f>HYPERLINK("http://www.uniprot.org/uniprot/APE1L_ARATH","APE1L_ARATH")</f>
        <v>APE1L_ARATH</v>
      </c>
      <c r="D17680" t="s">
        <v>5819</v>
      </c>
      <c r="E17680" s="3" t="s">
        <v>3</v>
      </c>
      <c r="F17680" s="4">
        <v>1.0600000000000001E-160</v>
      </c>
      <c r="G17680" s="3">
        <v>1222</v>
      </c>
      <c r="H17680" s="3">
        <v>77</v>
      </c>
      <c r="I17680" s="3">
        <v>284</v>
      </c>
      <c r="J17680" s="3">
        <v>322</v>
      </c>
      <c r="K17680" s="3">
        <v>1173</v>
      </c>
      <c r="L17680" s="3">
        <v>80</v>
      </c>
      <c r="M17680" s="3">
        <v>363</v>
      </c>
    </row>
    <row r="17681" spans="1:13" x14ac:dyDescent="0.25">
      <c r="A17681" s="1" t="str">
        <f>HYPERLINK("http://www.rosaceae.org/Prunus/Prunus_persica/p.persica_gdr_reftransV1_0031609","p.persica_gdr_reftransV1_0031609")</f>
        <v>p.persica_gdr_reftransV1_0031609</v>
      </c>
      <c r="B17681" s="3">
        <v>4174</v>
      </c>
      <c r="C17681" s="1" t="str">
        <f>HYPERLINK("http://www.uniprot.org/uniprot/GTE4_ARATH","GTE4_ARATH")</f>
        <v>GTE4_ARATH</v>
      </c>
      <c r="D17681" t="s">
        <v>4084</v>
      </c>
      <c r="E17681" s="3" t="s">
        <v>3</v>
      </c>
      <c r="F17681" s="4">
        <v>3.2999999999999998E-127</v>
      </c>
      <c r="G17681" s="3">
        <v>1077</v>
      </c>
      <c r="H17681" s="3">
        <v>63</v>
      </c>
      <c r="I17681" s="3">
        <v>444</v>
      </c>
      <c r="J17681" s="3">
        <v>1154</v>
      </c>
      <c r="K17681" s="3">
        <v>2455</v>
      </c>
      <c r="L17681" s="3">
        <v>261</v>
      </c>
      <c r="M17681" s="3">
        <v>699</v>
      </c>
    </row>
    <row r="17682" spans="1:13" x14ac:dyDescent="0.25">
      <c r="A17682" s="1" t="str">
        <f>HYPERLINK("http://www.rosaceae.org/Prunus/Prunus_persica/p.persica_gdr_reftransV1_0031809","p.persica_gdr_reftransV1_0031809")</f>
        <v>p.persica_gdr_reftransV1_0031809</v>
      </c>
      <c r="B17682" s="3">
        <v>1907</v>
      </c>
      <c r="C17682" s="1" t="str">
        <f>HYPERLINK("http://www.uniprot.org/uniprot/DNAJ_PROMA","DNAJ_PROMA")</f>
        <v>DNAJ_PROMA</v>
      </c>
      <c r="D17682" t="s">
        <v>7713</v>
      </c>
      <c r="E17682" s="3" t="s">
        <v>3990</v>
      </c>
      <c r="F17682" s="4">
        <v>3.7899999999999998E-58</v>
      </c>
      <c r="G17682" s="3">
        <v>523</v>
      </c>
      <c r="H17682" s="3">
        <v>52</v>
      </c>
      <c r="I17682" s="3">
        <v>222</v>
      </c>
      <c r="J17682" s="3">
        <v>715</v>
      </c>
      <c r="K17682" s="3">
        <v>1380</v>
      </c>
      <c r="L17682" s="3">
        <v>118</v>
      </c>
      <c r="M17682" s="3">
        <v>339</v>
      </c>
    </row>
    <row r="17683" spans="1:13" x14ac:dyDescent="0.25">
      <c r="A17683" s="1" t="str">
        <f>HYPERLINK("http://www.rosaceae.org/Prunus/Prunus_persica/p.persica_gdr_reftransV1_0032109","p.persica_gdr_reftransV1_0032109")</f>
        <v>p.persica_gdr_reftransV1_0032109</v>
      </c>
      <c r="B17683" s="3">
        <v>3396</v>
      </c>
      <c r="C17683" s="1" t="str">
        <f>HYPERLINK("http://www.uniprot.org/uniprot/EDR1_ARATH","EDR1_ARATH")</f>
        <v>EDR1_ARATH</v>
      </c>
      <c r="D17683" t="s">
        <v>1864</v>
      </c>
      <c r="E17683" s="3" t="s">
        <v>3</v>
      </c>
      <c r="F17683" s="4">
        <v>1.4799999999999999E-105</v>
      </c>
      <c r="G17683" s="3">
        <v>923</v>
      </c>
      <c r="H17683" s="3">
        <v>59</v>
      </c>
      <c r="I17683" s="3">
        <v>271</v>
      </c>
      <c r="J17683" s="3">
        <v>1969</v>
      </c>
      <c r="K17683" s="3">
        <v>2781</v>
      </c>
      <c r="L17683" s="3">
        <v>656</v>
      </c>
      <c r="M17683" s="3">
        <v>926</v>
      </c>
    </row>
    <row r="17684" spans="1:13" x14ac:dyDescent="0.25">
      <c r="A17684" s="1" t="str">
        <f>HYPERLINK("http://www.rosaceae.org/Prunus/Prunus_persica/p.persica_gdr_reftransV1_0032559","p.persica_gdr_reftransV1_0032559")</f>
        <v>p.persica_gdr_reftransV1_0032559</v>
      </c>
      <c r="B17684" s="3">
        <v>1764</v>
      </c>
      <c r="C17684" s="1" t="str">
        <f>HYPERLINK("http://www.uniprot.org/uniprot/P2C63_ARATH","P2C63_ARATH")</f>
        <v>P2C63_ARATH</v>
      </c>
      <c r="D17684" t="s">
        <v>2974</v>
      </c>
      <c r="E17684" s="3" t="s">
        <v>3</v>
      </c>
      <c r="F17684" s="4">
        <v>0</v>
      </c>
      <c r="G17684" s="3">
        <v>1395</v>
      </c>
      <c r="H17684" s="3">
        <v>73</v>
      </c>
      <c r="I17684" s="3">
        <v>377</v>
      </c>
      <c r="J17684" s="3">
        <v>200</v>
      </c>
      <c r="K17684" s="3">
        <v>1324</v>
      </c>
      <c r="L17684" s="3">
        <v>1</v>
      </c>
      <c r="M17684" s="3">
        <v>372</v>
      </c>
    </row>
    <row r="17685" spans="1:13" x14ac:dyDescent="0.25">
      <c r="A17685" s="1" t="str">
        <f>HYPERLINK("http://www.rosaceae.org/Prunus/Prunus_persica/p.persica_gdr_reftransV1_0032859","p.persica_gdr_reftransV1_0032859")</f>
        <v>p.persica_gdr_reftransV1_0032859</v>
      </c>
      <c r="B17685" s="3">
        <v>1536</v>
      </c>
      <c r="C17685" s="1" t="str">
        <f>HYPERLINK("http://www.uniprot.org/uniprot/Y2734_ARATH","Y2734_ARATH")</f>
        <v>Y2734_ARATH</v>
      </c>
      <c r="D17685" t="s">
        <v>10806</v>
      </c>
      <c r="E17685" s="3" t="s">
        <v>3</v>
      </c>
      <c r="F17685" s="4">
        <v>0</v>
      </c>
      <c r="G17685" s="3">
        <v>1549</v>
      </c>
      <c r="H17685" s="3">
        <v>85</v>
      </c>
      <c r="I17685" s="3">
        <v>358</v>
      </c>
      <c r="J17685" s="3">
        <v>130</v>
      </c>
      <c r="K17685" s="3">
        <v>1200</v>
      </c>
      <c r="L17685" s="3">
        <v>8</v>
      </c>
      <c r="M17685" s="3">
        <v>365</v>
      </c>
    </row>
    <row r="17686" spans="1:13" x14ac:dyDescent="0.25">
      <c r="A17686" s="1" t="str">
        <f>HYPERLINK("http://www.rosaceae.org/Prunus/Prunus_persica/p.persica_gdr_reftransV1_0033009","p.persica_gdr_reftransV1_0033009")</f>
        <v>p.persica_gdr_reftransV1_0033009</v>
      </c>
      <c r="B17686" s="3">
        <v>2344</v>
      </c>
      <c r="C17686" s="1" t="str">
        <f>HYPERLINK("http://www.uniprot.org/uniprot/PAPD5_HUMAN","PAPD5_HUMAN")</f>
        <v>PAPD5_HUMAN</v>
      </c>
      <c r="D17686" t="s">
        <v>10807</v>
      </c>
      <c r="E17686" s="3" t="s">
        <v>28</v>
      </c>
      <c r="F17686" s="4">
        <v>3.4E-63</v>
      </c>
      <c r="G17686" s="3">
        <v>579</v>
      </c>
      <c r="H17686" s="3">
        <v>39</v>
      </c>
      <c r="I17686" s="3">
        <v>348</v>
      </c>
      <c r="J17686" s="3">
        <v>947</v>
      </c>
      <c r="K17686" s="3">
        <v>1969</v>
      </c>
      <c r="L17686" s="3">
        <v>108</v>
      </c>
      <c r="M17686" s="3">
        <v>416</v>
      </c>
    </row>
    <row r="17687" spans="1:13" x14ac:dyDescent="0.25">
      <c r="A17687" s="1" t="str">
        <f>HYPERLINK("http://www.rosaceae.org/Prunus/Prunus_persica/p.persica_gdr_reftransV1_0033159","p.persica_gdr_reftransV1_0033159")</f>
        <v>p.persica_gdr_reftransV1_0033159</v>
      </c>
      <c r="B17687" s="3">
        <v>1244</v>
      </c>
      <c r="C17687" s="1" t="str">
        <f>HYPERLINK("http://www.uniprot.org/uniprot/CDPKD_ARATH","CDPKD_ARATH")</f>
        <v>CDPKD_ARATH</v>
      </c>
      <c r="D17687" t="s">
        <v>3602</v>
      </c>
      <c r="E17687" s="3" t="s">
        <v>3</v>
      </c>
      <c r="F17687" s="4">
        <v>1.94E-149</v>
      </c>
      <c r="G17687" s="3">
        <v>1135</v>
      </c>
      <c r="H17687" s="3">
        <v>90</v>
      </c>
      <c r="I17687" s="3">
        <v>233</v>
      </c>
      <c r="J17687" s="3">
        <v>547</v>
      </c>
      <c r="K17687" s="3">
        <v>1242</v>
      </c>
      <c r="L17687" s="3">
        <v>1</v>
      </c>
      <c r="M17687" s="3">
        <v>233</v>
      </c>
    </row>
    <row r="17688" spans="1:13" x14ac:dyDescent="0.25">
      <c r="A17688" s="1" t="str">
        <f>HYPERLINK("http://www.rosaceae.org/Prunus/Prunus_persica/p.persica_gdr_reftransV1_0033309","p.persica_gdr_reftransV1_0033309")</f>
        <v>p.persica_gdr_reftransV1_0033309</v>
      </c>
      <c r="B17688" s="3">
        <v>4131</v>
      </c>
      <c r="C17688" s="1" t="str">
        <f>HYPERLINK("http://www.uniprot.org/uniprot/FPP_SOLLC","FPP_SOLLC")</f>
        <v>FPP_SOLLC</v>
      </c>
      <c r="D17688" t="s">
        <v>10808</v>
      </c>
      <c r="E17688" s="3" t="s">
        <v>64</v>
      </c>
      <c r="F17688" s="4">
        <v>2.17E-94</v>
      </c>
      <c r="G17688" s="3">
        <v>823</v>
      </c>
      <c r="H17688" s="3">
        <v>59</v>
      </c>
      <c r="I17688" s="3">
        <v>323</v>
      </c>
      <c r="J17688" s="3">
        <v>2089</v>
      </c>
      <c r="K17688" s="3">
        <v>3057</v>
      </c>
      <c r="L17688" s="3">
        <v>1</v>
      </c>
      <c r="M17688" s="3">
        <v>322</v>
      </c>
    </row>
    <row r="17689" spans="1:13" x14ac:dyDescent="0.25">
      <c r="A17689" s="1" t="str">
        <f>HYPERLINK("http://www.rosaceae.org/Prunus/Prunus_persica/p.persica_gdr_reftransV1_0033909","p.persica_gdr_reftransV1_0033909")</f>
        <v>p.persica_gdr_reftransV1_0033909</v>
      </c>
      <c r="B17689" s="3">
        <v>1745</v>
      </c>
      <c r="C17689" s="1" t="str">
        <f>HYPERLINK("http://www.uniprot.org/uniprot/SKI16_ARATH","SKI16_ARATH")</f>
        <v>SKI16_ARATH</v>
      </c>
      <c r="D17689" t="s">
        <v>10809</v>
      </c>
      <c r="E17689" s="3" t="s">
        <v>3</v>
      </c>
      <c r="F17689" s="4">
        <v>0</v>
      </c>
      <c r="G17689" s="3">
        <v>1484</v>
      </c>
      <c r="H17689" s="3">
        <v>62</v>
      </c>
      <c r="I17689" s="3">
        <v>444</v>
      </c>
      <c r="J17689" s="3">
        <v>117</v>
      </c>
      <c r="K17689" s="3">
        <v>1433</v>
      </c>
      <c r="L17689" s="3">
        <v>1</v>
      </c>
      <c r="M17689" s="3">
        <v>436</v>
      </c>
    </row>
    <row r="17690" spans="1:13" x14ac:dyDescent="0.25">
      <c r="A17690" s="1" t="str">
        <f>HYPERLINK("http://www.rosaceae.org/Prunus/Prunus_persica/p.persica_gdr_reftransV1_0033959","p.persica_gdr_reftransV1_0033959")</f>
        <v>p.persica_gdr_reftransV1_0033959</v>
      </c>
      <c r="B17690" s="3">
        <v>1543</v>
      </c>
      <c r="C17690" s="1" t="str">
        <f>HYPERLINK("http://www.uniprot.org/uniprot/KDSB_ARATH","KDSB_ARATH")</f>
        <v>KDSB_ARATH</v>
      </c>
      <c r="D17690" t="s">
        <v>9009</v>
      </c>
      <c r="E17690" s="3" t="s">
        <v>3</v>
      </c>
      <c r="F17690" s="4">
        <v>2.3300000000000001E-135</v>
      </c>
      <c r="G17690" s="3">
        <v>1029</v>
      </c>
      <c r="H17690" s="3">
        <v>84</v>
      </c>
      <c r="I17690" s="3">
        <v>224</v>
      </c>
      <c r="J17690" s="3">
        <v>544</v>
      </c>
      <c r="K17690" s="3">
        <v>1215</v>
      </c>
      <c r="L17690" s="3">
        <v>37</v>
      </c>
      <c r="M17690" s="3">
        <v>260</v>
      </c>
    </row>
    <row r="17691" spans="1:13" x14ac:dyDescent="0.25">
      <c r="A17691" s="1" t="str">
        <f>HYPERLINK("http://www.rosaceae.org/Prunus/Prunus_persica/p.persica_gdr_reftransV1_0034109","p.persica_gdr_reftransV1_0034109")</f>
        <v>p.persica_gdr_reftransV1_0034109</v>
      </c>
      <c r="B17691" s="3">
        <v>2627</v>
      </c>
      <c r="C17691" s="1" t="str">
        <f>HYPERLINK("http://www.uniprot.org/uniprot/BH130_ARATH","BH130_ARATH")</f>
        <v>BH130_ARATH</v>
      </c>
      <c r="D17691" t="s">
        <v>6426</v>
      </c>
      <c r="E17691" s="3" t="s">
        <v>3</v>
      </c>
      <c r="F17691" s="4">
        <v>2.2600000000000001E-64</v>
      </c>
      <c r="G17691" s="3">
        <v>574</v>
      </c>
      <c r="H17691" s="3">
        <v>51</v>
      </c>
      <c r="I17691" s="3">
        <v>259</v>
      </c>
      <c r="J17691" s="3">
        <v>338</v>
      </c>
      <c r="K17691" s="3">
        <v>1096</v>
      </c>
      <c r="L17691" s="3">
        <v>129</v>
      </c>
      <c r="M17691" s="3">
        <v>354</v>
      </c>
    </row>
    <row r="17692" spans="1:13" x14ac:dyDescent="0.25">
      <c r="A17692" s="1" t="str">
        <f>HYPERLINK("http://www.rosaceae.org/Prunus/Prunus_persica/p.persica_gdr_reftransV1_0034359","p.persica_gdr_reftransV1_0034359")</f>
        <v>p.persica_gdr_reftransV1_0034359</v>
      </c>
      <c r="B17692" s="3">
        <v>2139</v>
      </c>
      <c r="C17692" s="1" t="str">
        <f>HYPERLINK("http://www.uniprot.org/uniprot/MGL_ARATH","MGL_ARATH")</f>
        <v>MGL_ARATH</v>
      </c>
      <c r="D17692" t="s">
        <v>10810</v>
      </c>
      <c r="E17692" s="3" t="s">
        <v>3</v>
      </c>
      <c r="F17692" s="4">
        <v>2.8300000000000001E-116</v>
      </c>
      <c r="G17692" s="3">
        <v>933</v>
      </c>
      <c r="H17692" s="3">
        <v>75</v>
      </c>
      <c r="I17692" s="3">
        <v>252</v>
      </c>
      <c r="J17692" s="3">
        <v>843</v>
      </c>
      <c r="K17692" s="3">
        <v>1598</v>
      </c>
      <c r="L17692" s="3">
        <v>14</v>
      </c>
      <c r="M17692" s="3">
        <v>259</v>
      </c>
    </row>
    <row r="17693" spans="1:13" x14ac:dyDescent="0.25">
      <c r="A17693" s="1" t="str">
        <f>HYPERLINK("http://www.rosaceae.org/Prunus/Prunus_persica/p.persica_gdr_reftransV1_0034609","p.persica_gdr_reftransV1_0034609")</f>
        <v>p.persica_gdr_reftransV1_0034609</v>
      </c>
      <c r="B17693" s="3">
        <v>3777</v>
      </c>
      <c r="C17693" s="1" t="str">
        <f>HYPERLINK("http://www.uniprot.org/uniprot/SBT61_ARATH","SBT61_ARATH")</f>
        <v>SBT61_ARATH</v>
      </c>
      <c r="D17693" t="s">
        <v>10811</v>
      </c>
      <c r="E17693" s="3" t="s">
        <v>3</v>
      </c>
      <c r="F17693" s="4">
        <v>0</v>
      </c>
      <c r="G17693" s="3">
        <v>2662</v>
      </c>
      <c r="H17693" s="3">
        <v>78</v>
      </c>
      <c r="I17693" s="3">
        <v>648</v>
      </c>
      <c r="J17693" s="3">
        <v>1536</v>
      </c>
      <c r="K17693" s="3">
        <v>3461</v>
      </c>
      <c r="L17693" s="3">
        <v>377</v>
      </c>
      <c r="M17693" s="3">
        <v>1019</v>
      </c>
    </row>
    <row r="17694" spans="1:13" x14ac:dyDescent="0.25">
      <c r="A17694" s="1" t="str">
        <f>HYPERLINK("http://www.rosaceae.org/Prunus/Prunus_persica/p.persica_gdr_reftransV1_0035009","p.persica_gdr_reftransV1_0035009")</f>
        <v>p.persica_gdr_reftransV1_0035009</v>
      </c>
      <c r="B17694" s="3">
        <v>1722</v>
      </c>
      <c r="C17694" s="1" t="str">
        <f>HYPERLINK("http://www.uniprot.org/uniprot/AMYA_VIGMU","AMYA_VIGMU")</f>
        <v>AMYA_VIGMU</v>
      </c>
      <c r="D17694" t="s">
        <v>3414</v>
      </c>
      <c r="E17694" s="3" t="s">
        <v>208</v>
      </c>
      <c r="F17694" s="4">
        <v>0</v>
      </c>
      <c r="G17694" s="3">
        <v>1660</v>
      </c>
      <c r="H17694" s="3">
        <v>71</v>
      </c>
      <c r="I17694" s="3">
        <v>422</v>
      </c>
      <c r="J17694" s="3">
        <v>415</v>
      </c>
      <c r="K17694" s="3">
        <v>1680</v>
      </c>
      <c r="L17694" s="3">
        <v>1</v>
      </c>
      <c r="M17694" s="3">
        <v>421</v>
      </c>
    </row>
    <row r="17695" spans="1:13" x14ac:dyDescent="0.25">
      <c r="A17695" s="1" t="str">
        <f>HYPERLINK("http://www.rosaceae.org/Prunus/Prunus_persica/p.persica_gdr_reftransV1_0035509","p.persica_gdr_reftransV1_0035509")</f>
        <v>p.persica_gdr_reftransV1_0035509</v>
      </c>
      <c r="B17695" s="3">
        <v>1789</v>
      </c>
      <c r="C17695" s="1" t="str">
        <f>HYPERLINK("http://www.uniprot.org/uniprot/PP330_ARATH","PP330_ARATH")</f>
        <v>PP330_ARATH</v>
      </c>
      <c r="D17695" t="s">
        <v>755</v>
      </c>
      <c r="E17695" s="3" t="s">
        <v>3</v>
      </c>
      <c r="F17695" s="4">
        <v>0</v>
      </c>
      <c r="G17695" s="3">
        <v>2077</v>
      </c>
      <c r="H17695" s="3">
        <v>64</v>
      </c>
      <c r="I17695" s="3">
        <v>582</v>
      </c>
      <c r="J17695" s="3">
        <v>27</v>
      </c>
      <c r="K17695" s="3">
        <v>1754</v>
      </c>
      <c r="L17695" s="3">
        <v>14</v>
      </c>
      <c r="M17695" s="3">
        <v>595</v>
      </c>
    </row>
    <row r="17696" spans="1:13" x14ac:dyDescent="0.25">
      <c r="A17696" s="1" t="str">
        <f>HYPERLINK("http://www.rosaceae.org/Prunus/Prunus_persica/p.persica_gdr_reftransV1_0035659","p.persica_gdr_reftransV1_0035659")</f>
        <v>p.persica_gdr_reftransV1_0035659</v>
      </c>
      <c r="B17696" s="3">
        <v>3833</v>
      </c>
      <c r="C17696" s="1" t="str">
        <f>HYPERLINK("http://www.uniprot.org/uniprot/RLK7_ARATH","RLK7_ARATH")</f>
        <v>RLK7_ARATH</v>
      </c>
      <c r="D17696" t="s">
        <v>10812</v>
      </c>
      <c r="E17696" s="3" t="s">
        <v>3</v>
      </c>
      <c r="F17696" s="4">
        <v>4.4399999999999996E-21</v>
      </c>
      <c r="G17696" s="3">
        <v>258</v>
      </c>
      <c r="H17696" s="3">
        <v>28</v>
      </c>
      <c r="I17696" s="3">
        <v>490</v>
      </c>
      <c r="J17696" s="3">
        <v>284</v>
      </c>
      <c r="K17696" s="3">
        <v>1678</v>
      </c>
      <c r="L17696" s="3">
        <v>31</v>
      </c>
      <c r="M17696" s="3">
        <v>485</v>
      </c>
    </row>
    <row r="17697" spans="1:13" x14ac:dyDescent="0.25">
      <c r="A17697" s="1" t="str">
        <f>HYPERLINK("http://www.rosaceae.org/Prunus/Prunus_persica/p.persica_gdr_reftransV1_0035709","p.persica_gdr_reftransV1_0035709")</f>
        <v>p.persica_gdr_reftransV1_0035709</v>
      </c>
      <c r="B17697" s="3">
        <v>1594</v>
      </c>
      <c r="C17697" s="1" t="str">
        <f>HYPERLINK("http://www.uniprot.org/uniprot/TPIC_FRAAN","TPIC_FRAAN")</f>
        <v>TPIC_FRAAN</v>
      </c>
      <c r="D17697" t="s">
        <v>10813</v>
      </c>
      <c r="E17697" s="3" t="s">
        <v>15</v>
      </c>
      <c r="F17697" s="4">
        <v>0</v>
      </c>
      <c r="G17697" s="3">
        <v>1401</v>
      </c>
      <c r="H17697" s="3">
        <v>85</v>
      </c>
      <c r="I17697" s="3">
        <v>319</v>
      </c>
      <c r="J17697" s="3">
        <v>528</v>
      </c>
      <c r="K17697" s="3">
        <v>1481</v>
      </c>
      <c r="L17697" s="3">
        <v>1</v>
      </c>
      <c r="M17697" s="3">
        <v>314</v>
      </c>
    </row>
    <row r="17698" spans="1:13" x14ac:dyDescent="0.25">
      <c r="A17698" s="1" t="str">
        <f>HYPERLINK("http://www.rosaceae.org/Prunus/Prunus_persica/p.persica_gdr_reftransV1_0035859","p.persica_gdr_reftransV1_0035859")</f>
        <v>p.persica_gdr_reftransV1_0035859</v>
      </c>
      <c r="B17698" s="3">
        <v>582</v>
      </c>
      <c r="C17698" s="1" t="str">
        <f>HYPERLINK("http://www.uniprot.org/uniprot/PP267_ARATH","PP267_ARATH")</f>
        <v>PP267_ARATH</v>
      </c>
      <c r="D17698" t="s">
        <v>8090</v>
      </c>
      <c r="E17698" s="3" t="s">
        <v>3</v>
      </c>
      <c r="F17698" s="4">
        <v>7.16E-90</v>
      </c>
      <c r="G17698" s="3">
        <v>719</v>
      </c>
      <c r="H17698" s="3">
        <v>67</v>
      </c>
      <c r="I17698" s="3">
        <v>195</v>
      </c>
      <c r="J17698" s="3">
        <v>1</v>
      </c>
      <c r="K17698" s="3">
        <v>582</v>
      </c>
      <c r="L17698" s="3">
        <v>228</v>
      </c>
      <c r="M17698" s="3">
        <v>422</v>
      </c>
    </row>
    <row r="17699" spans="1:13" x14ac:dyDescent="0.25">
      <c r="A17699" s="1" t="str">
        <f>HYPERLINK("http://www.rosaceae.org/Prunus/Prunus_persica/p.persica_gdr_reftransV1_0036009","p.persica_gdr_reftransV1_0036009")</f>
        <v>p.persica_gdr_reftransV1_0036009</v>
      </c>
      <c r="B17699" s="3">
        <v>3108</v>
      </c>
      <c r="C17699" s="1" t="str">
        <f>HYPERLINK("http://www.uniprot.org/uniprot/MORC3_HUMAN","MORC3_HUMAN")</f>
        <v>MORC3_HUMAN</v>
      </c>
      <c r="D17699" t="s">
        <v>10814</v>
      </c>
      <c r="E17699" s="3" t="s">
        <v>28</v>
      </c>
      <c r="F17699" s="4">
        <v>3.5499999999999999E-61</v>
      </c>
      <c r="G17699" s="3">
        <v>584</v>
      </c>
      <c r="H17699" s="3">
        <v>37</v>
      </c>
      <c r="I17699" s="3">
        <v>389</v>
      </c>
      <c r="J17699" s="3">
        <v>939</v>
      </c>
      <c r="K17699" s="3">
        <v>2084</v>
      </c>
      <c r="L17699" s="3">
        <v>16</v>
      </c>
      <c r="M17699" s="3">
        <v>383</v>
      </c>
    </row>
    <row r="17700" spans="1:13" x14ac:dyDescent="0.25">
      <c r="A17700" s="1" t="str">
        <f>HYPERLINK("http://www.rosaceae.org/Prunus/Prunus_persica/p.persica_gdr_reftransV1_0036059","p.persica_gdr_reftransV1_0036059")</f>
        <v>p.persica_gdr_reftransV1_0036059</v>
      </c>
      <c r="B17700" s="3">
        <v>2571</v>
      </c>
      <c r="C17700" s="1" t="str">
        <f>HYPERLINK("http://www.uniprot.org/uniprot/SPP2_TOBAC","SPP2_TOBAC")</f>
        <v>SPP2_TOBAC</v>
      </c>
      <c r="D17700" t="s">
        <v>9528</v>
      </c>
      <c r="E17700" s="3" t="s">
        <v>200</v>
      </c>
      <c r="F17700" s="4">
        <v>0</v>
      </c>
      <c r="G17700" s="3">
        <v>1542</v>
      </c>
      <c r="H17700" s="3">
        <v>66</v>
      </c>
      <c r="I17700" s="3">
        <v>425</v>
      </c>
      <c r="J17700" s="3">
        <v>129</v>
      </c>
      <c r="K17700" s="3">
        <v>1400</v>
      </c>
      <c r="L17700" s="3">
        <v>3</v>
      </c>
      <c r="M17700" s="3">
        <v>425</v>
      </c>
    </row>
    <row r="17701" spans="1:13" x14ac:dyDescent="0.25">
      <c r="A17701" s="1" t="str">
        <f>HYPERLINK("http://www.rosaceae.org/Prunus/Prunus_persica/p.persica_gdr_reftransV1_0036259","p.persica_gdr_reftransV1_0036259")</f>
        <v>p.persica_gdr_reftransV1_0036259</v>
      </c>
      <c r="B17701" s="3">
        <v>3608</v>
      </c>
      <c r="C17701" s="1" t="str">
        <f>HYPERLINK("http://www.uniprot.org/uniprot/BBP_DICDI","BBP_DICDI")</f>
        <v>BBP_DICDI</v>
      </c>
      <c r="D17701" t="s">
        <v>10815</v>
      </c>
      <c r="E17701" s="3" t="s">
        <v>9</v>
      </c>
      <c r="F17701" s="4">
        <v>1.72E-10</v>
      </c>
      <c r="G17701" s="3">
        <v>167</v>
      </c>
      <c r="H17701" s="3">
        <v>36</v>
      </c>
      <c r="I17701" s="3">
        <v>113</v>
      </c>
      <c r="J17701" s="3">
        <v>2427</v>
      </c>
      <c r="K17701" s="3">
        <v>2750</v>
      </c>
      <c r="L17701" s="3">
        <v>100</v>
      </c>
      <c r="M17701" s="3">
        <v>212</v>
      </c>
    </row>
    <row r="17702" spans="1:13" x14ac:dyDescent="0.25">
      <c r="A17702" s="1" t="str">
        <f>HYPERLINK("http://www.rosaceae.org/Prunus/Prunus_persica/p.persica_gdr_reftransV1_0037209","p.persica_gdr_reftransV1_0037209")</f>
        <v>p.persica_gdr_reftransV1_0037209</v>
      </c>
      <c r="B17702" s="3">
        <v>2095</v>
      </c>
      <c r="C17702" s="1" t="str">
        <f>HYPERLINK("http://www.uniprot.org/uniprot/DI197_ARATH","DI197_ARATH")</f>
        <v>DI197_ARATH</v>
      </c>
      <c r="D17702" t="s">
        <v>8016</v>
      </c>
      <c r="E17702" s="3" t="s">
        <v>3</v>
      </c>
      <c r="F17702" s="4">
        <v>4.1400000000000002E-21</v>
      </c>
      <c r="G17702" s="3">
        <v>241</v>
      </c>
      <c r="H17702" s="3">
        <v>38</v>
      </c>
      <c r="I17702" s="3">
        <v>143</v>
      </c>
      <c r="J17702" s="3">
        <v>223</v>
      </c>
      <c r="K17702" s="3">
        <v>648</v>
      </c>
      <c r="L17702" s="3">
        <v>76</v>
      </c>
      <c r="M17702" s="3">
        <v>209</v>
      </c>
    </row>
    <row r="17703" spans="1:13" x14ac:dyDescent="0.25">
      <c r="A17703" s="1" t="str">
        <f>HYPERLINK("http://www.rosaceae.org/Prunus/Prunus_persica/p.persica_gdr_reftransV1_0037409","p.persica_gdr_reftransV1_0037409")</f>
        <v>p.persica_gdr_reftransV1_0037409</v>
      </c>
      <c r="B17703" s="3">
        <v>2418</v>
      </c>
      <c r="C17703" s="1" t="str">
        <f>HYPERLINK("http://www.uniprot.org/uniprot/Y4791_ARATH","Y4791_ARATH")</f>
        <v>Y4791_ARATH</v>
      </c>
      <c r="D17703" t="s">
        <v>10816</v>
      </c>
      <c r="E17703" s="3" t="s">
        <v>3</v>
      </c>
      <c r="F17703" s="4">
        <v>8.5500000000000001E-107</v>
      </c>
      <c r="G17703" s="3">
        <v>875</v>
      </c>
      <c r="H17703" s="3">
        <v>63</v>
      </c>
      <c r="I17703" s="3">
        <v>290</v>
      </c>
      <c r="J17703" s="3">
        <v>107</v>
      </c>
      <c r="K17703" s="3">
        <v>976</v>
      </c>
      <c r="L17703" s="3">
        <v>147</v>
      </c>
      <c r="M17703" s="3">
        <v>434</v>
      </c>
    </row>
    <row r="17704" spans="1:13" x14ac:dyDescent="0.25">
      <c r="A17704" s="1" t="str">
        <f>HYPERLINK("http://www.rosaceae.org/Prunus/Prunus_persica/p.persica_gdr_reftransV1_0037559","p.persica_gdr_reftransV1_0037559")</f>
        <v>p.persica_gdr_reftransV1_0037559</v>
      </c>
      <c r="B17704" s="3">
        <v>1438</v>
      </c>
      <c r="C17704" s="1" t="str">
        <f>HYPERLINK("http://www.uniprot.org/uniprot/PSBA_CUCSA","PSBA_CUCSA")</f>
        <v>PSBA_CUCSA</v>
      </c>
      <c r="D17704" t="s">
        <v>10817</v>
      </c>
      <c r="E17704" s="3" t="s">
        <v>1149</v>
      </c>
      <c r="F17704" s="4">
        <v>0</v>
      </c>
      <c r="G17704" s="3">
        <v>1768</v>
      </c>
      <c r="H17704" s="3">
        <v>100</v>
      </c>
      <c r="I17704" s="3">
        <v>353</v>
      </c>
      <c r="J17704" s="3">
        <v>93</v>
      </c>
      <c r="K17704" s="3">
        <v>1151</v>
      </c>
      <c r="L17704" s="3">
        <v>1</v>
      </c>
      <c r="M17704" s="3">
        <v>353</v>
      </c>
    </row>
    <row r="17705" spans="1:13" x14ac:dyDescent="0.25">
      <c r="A17705" s="1" t="str">
        <f>HYPERLINK("http://www.rosaceae.org/Prunus/Prunus_persica/p.persica_gdr_reftransV1_0037909","p.persica_gdr_reftransV1_0037909")</f>
        <v>p.persica_gdr_reftransV1_0037909</v>
      </c>
      <c r="B17705" s="3">
        <v>4425</v>
      </c>
      <c r="C17705" s="1" t="str">
        <f>HYPERLINK("http://www.uniprot.org/uniprot/RPB2_SOLLC","RPB2_SOLLC")</f>
        <v>RPB2_SOLLC</v>
      </c>
      <c r="D17705" t="s">
        <v>10818</v>
      </c>
      <c r="E17705" s="3" t="s">
        <v>64</v>
      </c>
      <c r="F17705" s="4">
        <v>0</v>
      </c>
      <c r="G17705" s="3">
        <v>5897</v>
      </c>
      <c r="H17705" s="3">
        <v>96</v>
      </c>
      <c r="I17705" s="3">
        <v>1173</v>
      </c>
      <c r="J17705" s="3">
        <v>514</v>
      </c>
      <c r="K17705" s="3">
        <v>4032</v>
      </c>
      <c r="L17705" s="3">
        <v>20</v>
      </c>
      <c r="M17705" s="3">
        <v>1191</v>
      </c>
    </row>
    <row r="17706" spans="1:13" x14ac:dyDescent="0.25">
      <c r="A17706" s="1" t="str">
        <f>HYPERLINK("http://www.rosaceae.org/Prunus/Prunus_persica/p.persica_gdr_reftransV1_0038109","p.persica_gdr_reftransV1_0038109")</f>
        <v>p.persica_gdr_reftransV1_0038109</v>
      </c>
      <c r="B17706" s="3">
        <v>1627</v>
      </c>
      <c r="C17706" s="1" t="str">
        <f>HYPERLINK("http://www.uniprot.org/uniprot/Y3550_ARATH","Y3550_ARATH")</f>
        <v>Y3550_ARATH</v>
      </c>
      <c r="D17706" t="s">
        <v>10819</v>
      </c>
      <c r="E17706" s="3" t="s">
        <v>3</v>
      </c>
      <c r="F17706" s="4">
        <v>1.28E-49</v>
      </c>
      <c r="G17706" s="3">
        <v>448</v>
      </c>
      <c r="H17706" s="3">
        <v>68</v>
      </c>
      <c r="I17706" s="3">
        <v>152</v>
      </c>
      <c r="J17706" s="3">
        <v>305</v>
      </c>
      <c r="K17706" s="3">
        <v>754</v>
      </c>
      <c r="L17706" s="3">
        <v>89</v>
      </c>
      <c r="M17706" s="3">
        <v>240</v>
      </c>
    </row>
    <row r="17707" spans="1:13" x14ac:dyDescent="0.25">
      <c r="A17707" s="1" t="str">
        <f>HYPERLINK("http://www.rosaceae.org/Prunus/Prunus_persica/p.persica_gdr_reftransV1_0038309","p.persica_gdr_reftransV1_0038309")</f>
        <v>p.persica_gdr_reftransV1_0038309</v>
      </c>
      <c r="B17707" s="3">
        <v>2100</v>
      </c>
      <c r="C17707" s="1" t="str">
        <f>HYPERLINK("http://www.uniprot.org/uniprot/ACPM3_ARATH","ACPM3_ARATH")</f>
        <v>ACPM3_ARATH</v>
      </c>
      <c r="D17707" t="s">
        <v>10820</v>
      </c>
      <c r="E17707" s="3" t="s">
        <v>3</v>
      </c>
      <c r="F17707" s="4">
        <v>4.47E-26</v>
      </c>
      <c r="G17707" s="3">
        <v>272</v>
      </c>
      <c r="H17707" s="3">
        <v>56</v>
      </c>
      <c r="I17707" s="3">
        <v>128</v>
      </c>
      <c r="J17707" s="3">
        <v>115</v>
      </c>
      <c r="K17707" s="3">
        <v>492</v>
      </c>
      <c r="L17707" s="3">
        <v>1</v>
      </c>
      <c r="M17707" s="3">
        <v>128</v>
      </c>
    </row>
    <row r="17708" spans="1:13" x14ac:dyDescent="0.25">
      <c r="A17708" s="1" t="str">
        <f>HYPERLINK("http://www.rosaceae.org/Prunus/Prunus_persica/p.persica_gdr_reftransV1_0038409","p.persica_gdr_reftransV1_0038409")</f>
        <v>p.persica_gdr_reftransV1_0038409</v>
      </c>
      <c r="B17708" s="3">
        <v>1244</v>
      </c>
      <c r="C17708" s="1" t="str">
        <f>HYPERLINK("http://www.uniprot.org/uniprot/PSA5_SOYBN","PSA5_SOYBN")</f>
        <v>PSA5_SOYBN</v>
      </c>
      <c r="D17708" t="s">
        <v>10821</v>
      </c>
      <c r="E17708" s="3" t="s">
        <v>307</v>
      </c>
      <c r="F17708" s="4">
        <v>2.4100000000000001E-169</v>
      </c>
      <c r="G17708" s="3">
        <v>1238</v>
      </c>
      <c r="H17708" s="3">
        <v>98</v>
      </c>
      <c r="I17708" s="3">
        <v>237</v>
      </c>
      <c r="J17708" s="3">
        <v>300</v>
      </c>
      <c r="K17708" s="3">
        <v>1010</v>
      </c>
      <c r="L17708" s="3">
        <v>1</v>
      </c>
      <c r="M17708" s="3">
        <v>237</v>
      </c>
    </row>
    <row r="17709" spans="1:13" x14ac:dyDescent="0.25">
      <c r="A17709" s="1" t="str">
        <f>HYPERLINK("http://www.rosaceae.org/Prunus/Prunus_persica/p.persica_gdr_reftransV1_0038659","p.persica_gdr_reftransV1_0038659")</f>
        <v>p.persica_gdr_reftransV1_0038659</v>
      </c>
      <c r="B17709" s="3">
        <v>4450</v>
      </c>
      <c r="C17709" s="1" t="str">
        <f>HYPERLINK("http://www.uniprot.org/uniprot/SPT16_ORYSJ","SPT16_ORYSJ")</f>
        <v>SPT16_ORYSJ</v>
      </c>
      <c r="D17709" t="s">
        <v>10822</v>
      </c>
      <c r="E17709" s="3" t="s">
        <v>38</v>
      </c>
      <c r="F17709" s="4">
        <v>0</v>
      </c>
      <c r="G17709" s="3">
        <v>3840</v>
      </c>
      <c r="H17709" s="3">
        <v>73</v>
      </c>
      <c r="I17709" s="3">
        <v>1069</v>
      </c>
      <c r="J17709" s="3">
        <v>405</v>
      </c>
      <c r="K17709" s="3">
        <v>3611</v>
      </c>
      <c r="L17709" s="3">
        <v>5</v>
      </c>
      <c r="M17709" s="3">
        <v>1056</v>
      </c>
    </row>
    <row r="17710" spans="1:13" x14ac:dyDescent="0.25">
      <c r="A17710" s="1" t="str">
        <f>HYPERLINK("http://www.rosaceae.org/Prunus/Prunus_persica/p.persica_gdr_reftransV1_0038959","p.persica_gdr_reftransV1_0038959")</f>
        <v>p.persica_gdr_reftransV1_0038959</v>
      </c>
      <c r="B17710" s="3">
        <v>1374</v>
      </c>
      <c r="C17710" s="1" t="str">
        <f>HYPERLINK("http://www.uniprot.org/uniprot/DBR_TOBAC","DBR_TOBAC")</f>
        <v>DBR_TOBAC</v>
      </c>
      <c r="D17710" t="s">
        <v>199</v>
      </c>
      <c r="E17710" s="3" t="s">
        <v>200</v>
      </c>
      <c r="F17710" s="4">
        <v>4.7899999999999999E-149</v>
      </c>
      <c r="G17710" s="3">
        <v>1119</v>
      </c>
      <c r="H17710" s="3">
        <v>64</v>
      </c>
      <c r="I17710" s="3">
        <v>339</v>
      </c>
      <c r="J17710" s="3">
        <v>270</v>
      </c>
      <c r="K17710" s="3">
        <v>1286</v>
      </c>
      <c r="L17710" s="3">
        <v>7</v>
      </c>
      <c r="M17710" s="3">
        <v>343</v>
      </c>
    </row>
    <row r="17711" spans="1:13" x14ac:dyDescent="0.25">
      <c r="A17711" s="1" t="str">
        <f>HYPERLINK("http://www.rosaceae.org/Prunus/Prunus_persica/p.persica_gdr_reftransV1_0039209","p.persica_gdr_reftransV1_0039209")</f>
        <v>p.persica_gdr_reftransV1_0039209</v>
      </c>
      <c r="B17711" s="3">
        <v>2134</v>
      </c>
      <c r="C17711" s="1" t="str">
        <f>HYPERLINK("http://www.uniprot.org/uniprot/PKRA_DROME","PKRA_DROME")</f>
        <v>PKRA_DROME</v>
      </c>
      <c r="D17711" t="s">
        <v>10823</v>
      </c>
      <c r="E17711" s="3" t="s">
        <v>5</v>
      </c>
      <c r="F17711" s="4">
        <v>3.1699999999999999E-45</v>
      </c>
      <c r="G17711" s="3">
        <v>433</v>
      </c>
      <c r="H17711" s="3">
        <v>28</v>
      </c>
      <c r="I17711" s="3">
        <v>465</v>
      </c>
      <c r="J17711" s="3">
        <v>392</v>
      </c>
      <c r="K17711" s="3">
        <v>1774</v>
      </c>
      <c r="L17711" s="3">
        <v>9</v>
      </c>
      <c r="M17711" s="3">
        <v>405</v>
      </c>
    </row>
    <row r="17712" spans="1:13" x14ac:dyDescent="0.25">
      <c r="A17712" s="1" t="str">
        <f>HYPERLINK("http://www.rosaceae.org/Prunus/Prunus_persica/p.persica_gdr_reftransV1_0039409","p.persica_gdr_reftransV1_0039409")</f>
        <v>p.persica_gdr_reftransV1_0039409</v>
      </c>
      <c r="B17712" s="3">
        <v>1477</v>
      </c>
      <c r="C17712" s="1" t="str">
        <f>HYPERLINK("http://www.uniprot.org/uniprot/TI201_ARATH","TI201_ARATH")</f>
        <v>TI201_ARATH</v>
      </c>
      <c r="D17712" t="s">
        <v>10824</v>
      </c>
      <c r="E17712" s="3" t="s">
        <v>3</v>
      </c>
      <c r="F17712" s="4">
        <v>9.0200000000000001E-127</v>
      </c>
      <c r="G17712" s="3">
        <v>968</v>
      </c>
      <c r="H17712" s="3">
        <v>91</v>
      </c>
      <c r="I17712" s="3">
        <v>197</v>
      </c>
      <c r="J17712" s="3">
        <v>339</v>
      </c>
      <c r="K17712" s="3">
        <v>929</v>
      </c>
      <c r="L17712" s="3">
        <v>78</v>
      </c>
      <c r="M17712" s="3">
        <v>274</v>
      </c>
    </row>
    <row r="17713" spans="1:13" x14ac:dyDescent="0.25">
      <c r="A17713" s="1" t="str">
        <f>HYPERLINK("http://www.rosaceae.org/Prunus/Prunus_persica/p.persica_gdr_reftransV1_0040159","p.persica_gdr_reftransV1_0040159")</f>
        <v>p.persica_gdr_reftransV1_0040159</v>
      </c>
      <c r="B17713" s="3">
        <v>1616</v>
      </c>
      <c r="C17713" s="1" t="str">
        <f>HYPERLINK("http://www.uniprot.org/uniprot/PAO4_ARATH","PAO4_ARATH")</f>
        <v>PAO4_ARATH</v>
      </c>
      <c r="D17713" t="s">
        <v>10574</v>
      </c>
      <c r="E17713" s="3" t="s">
        <v>3</v>
      </c>
      <c r="F17713" s="4">
        <v>1.18E-180</v>
      </c>
      <c r="G17713" s="3">
        <v>1352</v>
      </c>
      <c r="H17713" s="3">
        <v>57</v>
      </c>
      <c r="I17713" s="3">
        <v>446</v>
      </c>
      <c r="J17713" s="3">
        <v>1</v>
      </c>
      <c r="K17713" s="3">
        <v>1326</v>
      </c>
      <c r="L17713" s="3">
        <v>110</v>
      </c>
      <c r="M17713" s="3">
        <v>497</v>
      </c>
    </row>
    <row r="17714" spans="1:13" x14ac:dyDescent="0.25">
      <c r="A17714" s="1" t="str">
        <f>HYPERLINK("http://www.rosaceae.org/Prunus/Prunus_persica/p.persica_gdr_reftransV1_0040459","p.persica_gdr_reftransV1_0040459")</f>
        <v>p.persica_gdr_reftransV1_0040459</v>
      </c>
      <c r="B17714" s="3">
        <v>5297</v>
      </c>
      <c r="C17714" s="1" t="str">
        <f>HYPERLINK("http://www.uniprot.org/uniprot/PLST2_ARATH","PLST2_ARATH")</f>
        <v>PLST2_ARATH</v>
      </c>
      <c r="D17714" t="s">
        <v>3921</v>
      </c>
      <c r="E17714" s="3" t="s">
        <v>3</v>
      </c>
      <c r="F17714" s="4">
        <v>4.4100000000000002E-110</v>
      </c>
      <c r="G17714" s="3">
        <v>937</v>
      </c>
      <c r="H17714" s="3">
        <v>66</v>
      </c>
      <c r="I17714" s="3">
        <v>285</v>
      </c>
      <c r="J17714" s="3">
        <v>350</v>
      </c>
      <c r="K17714" s="3">
        <v>1198</v>
      </c>
      <c r="L17714" s="3">
        <v>1</v>
      </c>
      <c r="M17714" s="3">
        <v>265</v>
      </c>
    </row>
    <row r="17715" spans="1:13" x14ac:dyDescent="0.25">
      <c r="A17715" s="1" t="str">
        <f>HYPERLINK("http://www.rosaceae.org/Prunus/Prunus_persica/p.persica_gdr_reftransV1_0040509","p.persica_gdr_reftransV1_0040509")</f>
        <v>p.persica_gdr_reftransV1_0040509</v>
      </c>
      <c r="B17715" s="3">
        <v>2680</v>
      </c>
      <c r="C17715" s="1" t="str">
        <f>HYPERLINK("http://www.uniprot.org/uniprot/Y4102_ARATH","Y4102_ARATH")</f>
        <v>Y4102_ARATH</v>
      </c>
      <c r="D17715" t="s">
        <v>2385</v>
      </c>
      <c r="E17715" s="3" t="s">
        <v>3</v>
      </c>
      <c r="F17715" s="4">
        <v>1.9300000000000002E-9</v>
      </c>
      <c r="G17715" s="3">
        <v>159</v>
      </c>
      <c r="H17715" s="3">
        <v>27</v>
      </c>
      <c r="I17715" s="3">
        <v>193</v>
      </c>
      <c r="J17715" s="3">
        <v>1083</v>
      </c>
      <c r="K17715" s="3">
        <v>1649</v>
      </c>
      <c r="L17715" s="3">
        <v>1561</v>
      </c>
      <c r="M17715" s="3">
        <v>1738</v>
      </c>
    </row>
    <row r="17716" spans="1:13" x14ac:dyDescent="0.25">
      <c r="A17716" s="1" t="str">
        <f>HYPERLINK("http://www.rosaceae.org/Prunus/Prunus_persica/p.persica_gdr_reftransV1_0041109","p.persica_gdr_reftransV1_0041109")</f>
        <v>p.persica_gdr_reftransV1_0041109</v>
      </c>
      <c r="B17716" s="3">
        <v>1771</v>
      </c>
      <c r="C17716" s="1" t="str">
        <f>HYPERLINK("http://www.uniprot.org/uniprot/AKR2_ORYSJ","AKR2_ORYSJ")</f>
        <v>AKR2_ORYSJ</v>
      </c>
      <c r="D17716" t="s">
        <v>4185</v>
      </c>
      <c r="E17716" s="3" t="s">
        <v>38</v>
      </c>
      <c r="F17716" s="4">
        <v>0</v>
      </c>
      <c r="G17716" s="3">
        <v>1409</v>
      </c>
      <c r="H17716" s="3">
        <v>83</v>
      </c>
      <c r="I17716" s="3">
        <v>340</v>
      </c>
      <c r="J17716" s="3">
        <v>411</v>
      </c>
      <c r="K17716" s="3">
        <v>1424</v>
      </c>
      <c r="L17716" s="3">
        <v>11</v>
      </c>
      <c r="M17716" s="3">
        <v>350</v>
      </c>
    </row>
    <row r="17717" spans="1:13" x14ac:dyDescent="0.25">
      <c r="A17717" s="1" t="str">
        <f>HYPERLINK("http://www.rosaceae.org/Prunus/Prunus_persica/p.persica_gdr_reftransV1_0041259","p.persica_gdr_reftransV1_0041259")</f>
        <v>p.persica_gdr_reftransV1_0041259</v>
      </c>
      <c r="B17717" s="3">
        <v>2044</v>
      </c>
      <c r="C17717" s="1" t="str">
        <f>HYPERLINK("http://www.uniprot.org/uniprot/TIC40_PEA","TIC40_PEA")</f>
        <v>TIC40_PEA</v>
      </c>
      <c r="D17717" t="s">
        <v>6441</v>
      </c>
      <c r="E17717" s="3" t="s">
        <v>60</v>
      </c>
      <c r="F17717" s="4">
        <v>2.8099999999999999E-74</v>
      </c>
      <c r="G17717" s="3">
        <v>643</v>
      </c>
      <c r="H17717" s="3">
        <v>87</v>
      </c>
      <c r="I17717" s="3">
        <v>134</v>
      </c>
      <c r="J17717" s="3">
        <v>468</v>
      </c>
      <c r="K17717" s="3">
        <v>869</v>
      </c>
      <c r="L17717" s="3">
        <v>305</v>
      </c>
      <c r="M17717" s="3">
        <v>436</v>
      </c>
    </row>
    <row r="17718" spans="1:13" x14ac:dyDescent="0.25">
      <c r="A17718" s="1" t="str">
        <f>HYPERLINK("http://www.rosaceae.org/Prunus/Prunus_persica/p.persica_gdr_reftransV1_0041309","p.persica_gdr_reftransV1_0041309")</f>
        <v>p.persica_gdr_reftransV1_0041309</v>
      </c>
      <c r="B17718" s="3">
        <v>1123</v>
      </c>
      <c r="C17718" s="1" t="str">
        <f>HYPERLINK("http://www.uniprot.org/uniprot/RL24_THEFY","RL24_THEFY")</f>
        <v>RL24_THEFY</v>
      </c>
      <c r="D17718" t="s">
        <v>10825</v>
      </c>
      <c r="E17718" s="3" t="s">
        <v>10826</v>
      </c>
      <c r="F17718" s="4">
        <v>9.6699999999999999E-17</v>
      </c>
      <c r="G17718" s="3">
        <v>194</v>
      </c>
      <c r="H17718" s="3">
        <v>50</v>
      </c>
      <c r="I17718" s="3">
        <v>100</v>
      </c>
      <c r="J17718" s="3">
        <v>127</v>
      </c>
      <c r="K17718" s="3">
        <v>420</v>
      </c>
      <c r="L17718" s="3">
        <v>1</v>
      </c>
      <c r="M17718" s="3">
        <v>98</v>
      </c>
    </row>
    <row r="17719" spans="1:13" x14ac:dyDescent="0.25">
      <c r="A17719" s="1" t="str">
        <f>HYPERLINK("http://www.rosaceae.org/Prunus/Prunus_persica/p.persica_gdr_reftransV1_0041559","p.persica_gdr_reftransV1_0041559")</f>
        <v>p.persica_gdr_reftransV1_0041559</v>
      </c>
      <c r="B17719" s="3">
        <v>1766</v>
      </c>
      <c r="C17719" s="1" t="str">
        <f>HYPERLINK("http://www.uniprot.org/uniprot/RGAP1_ARATH","RGAP1_ARATH")</f>
        <v>RGAP1_ARATH</v>
      </c>
      <c r="D17719" t="s">
        <v>6244</v>
      </c>
      <c r="E17719" s="3" t="s">
        <v>3</v>
      </c>
      <c r="F17719" s="4">
        <v>1.01E-156</v>
      </c>
      <c r="G17719" s="3">
        <v>1195</v>
      </c>
      <c r="H17719" s="3">
        <v>79</v>
      </c>
      <c r="I17719" s="3">
        <v>289</v>
      </c>
      <c r="J17719" s="3">
        <v>139</v>
      </c>
      <c r="K17719" s="3">
        <v>1005</v>
      </c>
      <c r="L17719" s="3">
        <v>87</v>
      </c>
      <c r="M17719" s="3">
        <v>368</v>
      </c>
    </row>
    <row r="17720" spans="1:13" x14ac:dyDescent="0.25">
      <c r="A17720" s="1" t="str">
        <f>HYPERLINK("http://www.rosaceae.org/Prunus/Prunus_persica/p.persica_gdr_reftransV1_0041609","p.persica_gdr_reftransV1_0041609")</f>
        <v>p.persica_gdr_reftransV1_0041609</v>
      </c>
      <c r="B17720" s="3">
        <v>5947</v>
      </c>
      <c r="C17720" s="1" t="str">
        <f>HYPERLINK("http://www.uniprot.org/uniprot/YZR3_ARATH","YZR3_ARATH")</f>
        <v>YZR3_ARATH</v>
      </c>
      <c r="D17720" t="s">
        <v>6880</v>
      </c>
      <c r="E17720" s="3" t="s">
        <v>3</v>
      </c>
      <c r="F17720" s="4">
        <v>3.3999999999999999E-87</v>
      </c>
      <c r="G17720" s="3">
        <v>730</v>
      </c>
      <c r="H17720" s="3">
        <v>71</v>
      </c>
      <c r="I17720" s="3">
        <v>243</v>
      </c>
      <c r="J17720" s="3">
        <v>5117</v>
      </c>
      <c r="K17720" s="3">
        <v>5833</v>
      </c>
      <c r="L17720" s="3">
        <v>1</v>
      </c>
      <c r="M17720" s="3">
        <v>241</v>
      </c>
    </row>
    <row r="17721" spans="1:13" x14ac:dyDescent="0.25">
      <c r="A17721" s="1" t="str">
        <f>HYPERLINK("http://www.rosaceae.org/Prunus/Prunus_persica/p.persica_gdr_reftransV1_0041659","p.persica_gdr_reftransV1_0041659")</f>
        <v>p.persica_gdr_reftransV1_0041659</v>
      </c>
      <c r="B17721" s="3">
        <v>1908</v>
      </c>
      <c r="C17721" s="1" t="str">
        <f>HYPERLINK("http://www.uniprot.org/uniprot/NILP3_ARATH","NILP3_ARATH")</f>
        <v>NILP3_ARATH</v>
      </c>
      <c r="D17721" t="s">
        <v>712</v>
      </c>
      <c r="E17721" s="3" t="s">
        <v>3</v>
      </c>
      <c r="F17721" s="4">
        <v>1.3899999999999999E-83</v>
      </c>
      <c r="G17721" s="3">
        <v>699</v>
      </c>
      <c r="H17721" s="3">
        <v>65</v>
      </c>
      <c r="I17721" s="3">
        <v>199</v>
      </c>
      <c r="J17721" s="3">
        <v>174</v>
      </c>
      <c r="K17721" s="3">
        <v>767</v>
      </c>
      <c r="L17721" s="3">
        <v>86</v>
      </c>
      <c r="M17721" s="3">
        <v>284</v>
      </c>
    </row>
    <row r="17722" spans="1:13" x14ac:dyDescent="0.25">
      <c r="A17722" s="1" t="str">
        <f>HYPERLINK("http://www.rosaceae.org/Prunus/Prunus_persica/p.persica_gdr_reftransV1_0041709","p.persica_gdr_reftransV1_0041709")</f>
        <v>p.persica_gdr_reftransV1_0041709</v>
      </c>
      <c r="B17722" s="3">
        <v>1875</v>
      </c>
      <c r="C17722" s="1" t="str">
        <f>HYPERLINK("http://www.uniprot.org/uniprot/LIP2P_ARATH","LIP2P_ARATH")</f>
        <v>LIP2P_ARATH</v>
      </c>
      <c r="D17722" t="s">
        <v>10827</v>
      </c>
      <c r="E17722" s="3" t="s">
        <v>3</v>
      </c>
      <c r="F17722" s="4">
        <v>9.63E-42</v>
      </c>
      <c r="G17722" s="3">
        <v>396</v>
      </c>
      <c r="H17722" s="3">
        <v>68</v>
      </c>
      <c r="I17722" s="3">
        <v>95</v>
      </c>
      <c r="J17722" s="3">
        <v>956</v>
      </c>
      <c r="K17722" s="3">
        <v>1240</v>
      </c>
      <c r="L17722" s="3">
        <v>42</v>
      </c>
      <c r="M17722" s="3">
        <v>135</v>
      </c>
    </row>
    <row r="17723" spans="1:13" x14ac:dyDescent="0.25">
      <c r="A17723" s="1" t="str">
        <f>HYPERLINK("http://www.rosaceae.org/Prunus/Prunus_persica/p.persica_gdr_reftransV1_0041759","p.persica_gdr_reftransV1_0041759")</f>
        <v>p.persica_gdr_reftransV1_0041759</v>
      </c>
      <c r="B17723" s="3">
        <v>3566</v>
      </c>
      <c r="C17723" s="1" t="str">
        <f>HYPERLINK("http://www.uniprot.org/uniprot/EMF2_ARATH","EMF2_ARATH")</f>
        <v>EMF2_ARATH</v>
      </c>
      <c r="D17723" t="s">
        <v>9157</v>
      </c>
      <c r="E17723" s="3" t="s">
        <v>3</v>
      </c>
      <c r="F17723" s="4">
        <v>4.5600000000000001E-162</v>
      </c>
      <c r="G17723" s="3">
        <v>1295</v>
      </c>
      <c r="H17723" s="3">
        <v>62</v>
      </c>
      <c r="I17723" s="3">
        <v>428</v>
      </c>
      <c r="J17723" s="3">
        <v>1958</v>
      </c>
      <c r="K17723" s="3">
        <v>3238</v>
      </c>
      <c r="L17723" s="3">
        <v>15</v>
      </c>
      <c r="M17723" s="3">
        <v>428</v>
      </c>
    </row>
    <row r="17724" spans="1:13" x14ac:dyDescent="0.25">
      <c r="A17724" s="1" t="str">
        <f>HYPERLINK("http://www.rosaceae.org/Prunus/Prunus_persica/p.persica_gdr_reftransV1_0041859","p.persica_gdr_reftransV1_0041859")</f>
        <v>p.persica_gdr_reftransV1_0041859</v>
      </c>
      <c r="B17724" s="3">
        <v>1821</v>
      </c>
      <c r="C17724" s="1" t="str">
        <f>HYPERLINK("http://www.uniprot.org/uniprot/NAC14_ARATH","NAC14_ARATH")</f>
        <v>NAC14_ARATH</v>
      </c>
      <c r="D17724" t="s">
        <v>4106</v>
      </c>
      <c r="E17724" s="3" t="s">
        <v>3</v>
      </c>
      <c r="F17724" s="4">
        <v>1.31E-31</v>
      </c>
      <c r="G17724" s="3">
        <v>336</v>
      </c>
      <c r="H17724" s="3">
        <v>40</v>
      </c>
      <c r="I17724" s="3">
        <v>177</v>
      </c>
      <c r="J17724" s="3">
        <v>1070</v>
      </c>
      <c r="K17724" s="3">
        <v>1591</v>
      </c>
      <c r="L17724" s="3">
        <v>23</v>
      </c>
      <c r="M17724" s="3">
        <v>191</v>
      </c>
    </row>
    <row r="17725" spans="1:13" x14ac:dyDescent="0.25">
      <c r="A17725" s="1" t="str">
        <f>HYPERLINK("http://www.rosaceae.org/Prunus/Prunus_persica/p.persica_gdr_reftransV1_0042509","p.persica_gdr_reftransV1_0042509")</f>
        <v>p.persica_gdr_reftransV1_0042509</v>
      </c>
      <c r="B17725" s="3">
        <v>2101</v>
      </c>
      <c r="C17725" s="1" t="str">
        <f>HYPERLINK("http://www.uniprot.org/uniprot/EAF1B_ARATH","EAF1B_ARATH")</f>
        <v>EAF1B_ARATH</v>
      </c>
      <c r="D17725" t="s">
        <v>1129</v>
      </c>
      <c r="E17725" s="3" t="s">
        <v>3</v>
      </c>
      <c r="F17725" s="4">
        <v>2.1399999999999998E-11</v>
      </c>
      <c r="G17725" s="3">
        <v>174</v>
      </c>
      <c r="H17725" s="3">
        <v>40</v>
      </c>
      <c r="I17725" s="3">
        <v>331</v>
      </c>
      <c r="J17725" s="3">
        <v>892</v>
      </c>
      <c r="K17725" s="3">
        <v>1863</v>
      </c>
      <c r="L17725" s="3">
        <v>1542</v>
      </c>
      <c r="M17725" s="3">
        <v>1847</v>
      </c>
    </row>
    <row r="17726" spans="1:13" x14ac:dyDescent="0.25">
      <c r="A17726" s="1" t="str">
        <f>HYPERLINK("http://www.rosaceae.org/Prunus/Prunus_persica/p.persica_gdr_reftransV1_0042659","p.persica_gdr_reftransV1_0042659")</f>
        <v>p.persica_gdr_reftransV1_0042659</v>
      </c>
      <c r="B17726" s="3">
        <v>2202</v>
      </c>
      <c r="C17726" s="1" t="str">
        <f>HYPERLINK("http://www.uniprot.org/uniprot/MAP1B_ARATH","MAP1B_ARATH")</f>
        <v>MAP1B_ARATH</v>
      </c>
      <c r="D17726" t="s">
        <v>10828</v>
      </c>
      <c r="E17726" s="3" t="s">
        <v>3</v>
      </c>
      <c r="F17726" s="4">
        <v>4.4299999999999998E-82</v>
      </c>
      <c r="G17726" s="3">
        <v>695</v>
      </c>
      <c r="H17726" s="3">
        <v>75</v>
      </c>
      <c r="I17726" s="3">
        <v>177</v>
      </c>
      <c r="J17726" s="3">
        <v>1463</v>
      </c>
      <c r="K17726" s="3">
        <v>1993</v>
      </c>
      <c r="L17726" s="3">
        <v>49</v>
      </c>
      <c r="M17726" s="3">
        <v>224</v>
      </c>
    </row>
    <row r="17727" spans="1:13" x14ac:dyDescent="0.25">
      <c r="A17727" s="1" t="str">
        <f>HYPERLINK("http://www.rosaceae.org/Prunus/Prunus_persica/p.persica_gdr_reftransV1_0042709","p.persica_gdr_reftransV1_0042709")</f>
        <v>p.persica_gdr_reftransV1_0042709</v>
      </c>
      <c r="B17727" s="3">
        <v>2142</v>
      </c>
      <c r="C17727" s="1" t="str">
        <f>HYPERLINK("http://www.uniprot.org/uniprot/APA1_ARATH","APA1_ARATH")</f>
        <v>APA1_ARATH</v>
      </c>
      <c r="D17727" t="s">
        <v>8187</v>
      </c>
      <c r="E17727" s="3" t="s">
        <v>3</v>
      </c>
      <c r="F17727" s="4">
        <v>0</v>
      </c>
      <c r="G17727" s="3">
        <v>1728</v>
      </c>
      <c r="H17727" s="3">
        <v>76</v>
      </c>
      <c r="I17727" s="3">
        <v>434</v>
      </c>
      <c r="J17727" s="3">
        <v>108</v>
      </c>
      <c r="K17727" s="3">
        <v>1409</v>
      </c>
      <c r="L17727" s="3">
        <v>24</v>
      </c>
      <c r="M17727" s="3">
        <v>449</v>
      </c>
    </row>
    <row r="17728" spans="1:13" x14ac:dyDescent="0.25">
      <c r="A17728" s="1" t="str">
        <f>HYPERLINK("http://www.rosaceae.org/Prunus/Prunus_persica/p.persica_gdr_reftransV1_0042859","p.persica_gdr_reftransV1_0042859")</f>
        <v>p.persica_gdr_reftransV1_0042859</v>
      </c>
      <c r="B17728" s="3">
        <v>2076</v>
      </c>
      <c r="C17728" s="1" t="str">
        <f>HYPERLINK("http://www.uniprot.org/uniprot/YAM3_SCHPO","YAM3_SCHPO")</f>
        <v>YAM3_SCHPO</v>
      </c>
      <c r="D17728" t="s">
        <v>10829</v>
      </c>
      <c r="E17728" s="3" t="s">
        <v>464</v>
      </c>
      <c r="F17728" s="4">
        <v>1.3600000000000001E-36</v>
      </c>
      <c r="G17728" s="3">
        <v>366</v>
      </c>
      <c r="H17728" s="3">
        <v>32</v>
      </c>
      <c r="I17728" s="3">
        <v>375</v>
      </c>
      <c r="J17728" s="3">
        <v>305</v>
      </c>
      <c r="K17728" s="3">
        <v>1342</v>
      </c>
      <c r="L17728" s="3">
        <v>21</v>
      </c>
      <c r="M17728" s="3">
        <v>377</v>
      </c>
    </row>
    <row r="17729" spans="1:13" x14ac:dyDescent="0.25">
      <c r="A17729" s="1" t="str">
        <f>HYPERLINK("http://www.rosaceae.org/Prunus/Prunus_persica/p.persica_gdr_reftransV1_0042909","p.persica_gdr_reftransV1_0042909")</f>
        <v>p.persica_gdr_reftransV1_0042909</v>
      </c>
      <c r="B17729" s="3">
        <v>3375</v>
      </c>
      <c r="C17729" s="1" t="str">
        <f>HYPERLINK("http://www.uniprot.org/uniprot/PUB12_ORYSJ","PUB12_ORYSJ")</f>
        <v>PUB12_ORYSJ</v>
      </c>
      <c r="D17729" t="s">
        <v>10830</v>
      </c>
      <c r="E17729" s="3" t="s">
        <v>38</v>
      </c>
      <c r="F17729" s="4">
        <v>4.0899999999999997E-12</v>
      </c>
      <c r="G17729" s="3">
        <v>181</v>
      </c>
      <c r="H17729" s="3">
        <v>32</v>
      </c>
      <c r="I17729" s="3">
        <v>168</v>
      </c>
      <c r="J17729" s="3">
        <v>566</v>
      </c>
      <c r="K17729" s="3">
        <v>1066</v>
      </c>
      <c r="L17729" s="3">
        <v>328</v>
      </c>
      <c r="M17729" s="3">
        <v>490</v>
      </c>
    </row>
    <row r="17730" spans="1:13" x14ac:dyDescent="0.25">
      <c r="A17730" s="1" t="str">
        <f>HYPERLINK("http://www.rosaceae.org/Prunus/Prunus_persica/p.persica_gdr_reftransV1_0043009","p.persica_gdr_reftransV1_0043009")</f>
        <v>p.persica_gdr_reftransV1_0043009</v>
      </c>
      <c r="B17730" s="3">
        <v>2081</v>
      </c>
      <c r="C17730" s="1" t="str">
        <f>HYPERLINK("http://www.uniprot.org/uniprot/ALFL5_ARATH","ALFL5_ARATH")</f>
        <v>ALFL5_ARATH</v>
      </c>
      <c r="D17730" t="s">
        <v>10235</v>
      </c>
      <c r="E17730" s="3" t="s">
        <v>3</v>
      </c>
      <c r="F17730" s="4">
        <v>2.5199999999999999E-50</v>
      </c>
      <c r="G17730" s="3">
        <v>459</v>
      </c>
      <c r="H17730" s="3">
        <v>82</v>
      </c>
      <c r="I17730" s="3">
        <v>129</v>
      </c>
      <c r="J17730" s="3">
        <v>287</v>
      </c>
      <c r="K17730" s="3">
        <v>670</v>
      </c>
      <c r="L17730" s="3">
        <v>1</v>
      </c>
      <c r="M17730" s="3">
        <v>129</v>
      </c>
    </row>
    <row r="17731" spans="1:13" x14ac:dyDescent="0.25">
      <c r="A17731" s="1" t="str">
        <f>HYPERLINK("http://www.rosaceae.org/Prunus/Prunus_persica/p.persica_gdr_reftransV1_0043059","p.persica_gdr_reftransV1_0043059")</f>
        <v>p.persica_gdr_reftransV1_0043059</v>
      </c>
      <c r="B17731" s="3">
        <v>3064</v>
      </c>
      <c r="C17731" s="1" t="str">
        <f>HYPERLINK("http://www.uniprot.org/uniprot/TTC7A_MOUSE","TTC7A_MOUSE")</f>
        <v>TTC7A_MOUSE</v>
      </c>
      <c r="D17731" t="s">
        <v>10781</v>
      </c>
      <c r="E17731" s="3" t="s">
        <v>157</v>
      </c>
      <c r="F17731" s="4">
        <v>1.14E-19</v>
      </c>
      <c r="G17731" s="3">
        <v>245</v>
      </c>
      <c r="H17731" s="3">
        <v>24</v>
      </c>
      <c r="I17731" s="3">
        <v>698</v>
      </c>
      <c r="J17731" s="3">
        <v>686</v>
      </c>
      <c r="K17731" s="3">
        <v>2527</v>
      </c>
      <c r="L17731" s="3">
        <v>207</v>
      </c>
      <c r="M17731" s="3">
        <v>851</v>
      </c>
    </row>
    <row r="17732" spans="1:13" x14ac:dyDescent="0.25">
      <c r="A17732" s="1" t="str">
        <f>HYPERLINK("http://www.rosaceae.org/Prunus/Prunus_persica/p.persica_gdr_reftransV1_0043159","p.persica_gdr_reftransV1_0043159")</f>
        <v>p.persica_gdr_reftransV1_0043159</v>
      </c>
      <c r="B17732" s="3">
        <v>355</v>
      </c>
      <c r="C17732" s="1" t="str">
        <f>HYPERLINK("http://www.uniprot.org/uniprot/Y1141_ARATH","Y1141_ARATH")</f>
        <v>Y1141_ARATH</v>
      </c>
      <c r="D17732" t="s">
        <v>2233</v>
      </c>
      <c r="E17732" s="3" t="s">
        <v>3</v>
      </c>
      <c r="F17732" s="4">
        <v>8.2200000000000006E-14</v>
      </c>
      <c r="G17732" s="3">
        <v>174</v>
      </c>
      <c r="H17732" s="3">
        <v>34</v>
      </c>
      <c r="I17732" s="3">
        <v>136</v>
      </c>
      <c r="J17732" s="3">
        <v>4</v>
      </c>
      <c r="K17732" s="3">
        <v>345</v>
      </c>
      <c r="L17732" s="3">
        <v>395</v>
      </c>
      <c r="M17732" s="3">
        <v>530</v>
      </c>
    </row>
    <row r="17733" spans="1:13" x14ac:dyDescent="0.25">
      <c r="A17733" s="1" t="str">
        <f>HYPERLINK("http://www.rosaceae.org/Prunus/Prunus_persica/p.persica_gdr_reftransV1_0043209","p.persica_gdr_reftransV1_0043209")</f>
        <v>p.persica_gdr_reftransV1_0043209</v>
      </c>
      <c r="B17733" s="3">
        <v>1507</v>
      </c>
      <c r="C17733" s="1" t="str">
        <f>HYPERLINK("http://www.uniprot.org/uniprot/EIF3H_ARATH","EIF3H_ARATH")</f>
        <v>EIF3H_ARATH</v>
      </c>
      <c r="D17733" t="s">
        <v>10831</v>
      </c>
      <c r="E17733" s="3" t="s">
        <v>3</v>
      </c>
      <c r="F17733" s="4">
        <v>0</v>
      </c>
      <c r="G17733" s="3">
        <v>1480</v>
      </c>
      <c r="H17733" s="3">
        <v>86</v>
      </c>
      <c r="I17733" s="3">
        <v>338</v>
      </c>
      <c r="J17733" s="3">
        <v>180</v>
      </c>
      <c r="K17733" s="3">
        <v>1190</v>
      </c>
      <c r="L17733" s="3">
        <v>1</v>
      </c>
      <c r="M17733" s="3">
        <v>337</v>
      </c>
    </row>
    <row r="17734" spans="1:13" x14ac:dyDescent="0.25">
      <c r="A17734" s="1" t="str">
        <f>HYPERLINK("http://www.rosaceae.org/Prunus/Prunus_persica/p.persica_gdr_reftransV1_0043259","p.persica_gdr_reftransV1_0043259")</f>
        <v>p.persica_gdr_reftransV1_0043259</v>
      </c>
      <c r="B17734" s="3">
        <v>1527</v>
      </c>
      <c r="C17734" s="1" t="str">
        <f>HYPERLINK("http://www.uniprot.org/uniprot/SCL32_ARATH","SCL32_ARATH")</f>
        <v>SCL32_ARATH</v>
      </c>
      <c r="D17734" t="s">
        <v>83</v>
      </c>
      <c r="E17734" s="3" t="s">
        <v>3</v>
      </c>
      <c r="F17734" s="4">
        <v>7.6800000000000002E-178</v>
      </c>
      <c r="G17734" s="3">
        <v>1321</v>
      </c>
      <c r="H17734" s="3">
        <v>60</v>
      </c>
      <c r="I17734" s="3">
        <v>441</v>
      </c>
      <c r="J17734" s="3">
        <v>92</v>
      </c>
      <c r="K17734" s="3">
        <v>1405</v>
      </c>
      <c r="L17734" s="3">
        <v>12</v>
      </c>
      <c r="M17734" s="3">
        <v>409</v>
      </c>
    </row>
    <row r="17735" spans="1:13" x14ac:dyDescent="0.25">
      <c r="A17735" s="1" t="str">
        <f>HYPERLINK("http://www.rosaceae.org/Prunus/Prunus_persica/p.persica_gdr_reftransV1_0043309","p.persica_gdr_reftransV1_0043309")</f>
        <v>p.persica_gdr_reftransV1_0043309</v>
      </c>
      <c r="B17735" s="3">
        <v>625</v>
      </c>
      <c r="C17735" s="1" t="str">
        <f>HYPERLINK("http://www.uniprot.org/uniprot/NUBPL_DICDI","NUBPL_DICDI")</f>
        <v>NUBPL_DICDI</v>
      </c>
      <c r="D17735" t="s">
        <v>6000</v>
      </c>
      <c r="E17735" s="3" t="s">
        <v>9</v>
      </c>
      <c r="F17735" s="4">
        <v>3.06E-61</v>
      </c>
      <c r="G17735" s="3">
        <v>508</v>
      </c>
      <c r="H17735" s="3">
        <v>51</v>
      </c>
      <c r="I17735" s="3">
        <v>203</v>
      </c>
      <c r="J17735" s="3">
        <v>6</v>
      </c>
      <c r="K17735" s="3">
        <v>605</v>
      </c>
      <c r="L17735" s="3">
        <v>8</v>
      </c>
      <c r="M17735" s="3">
        <v>207</v>
      </c>
    </row>
    <row r="17736" spans="1:13" x14ac:dyDescent="0.25">
      <c r="A17736" s="1" t="str">
        <f>HYPERLINK("http://www.rosaceae.org/Prunus/Prunus_persica/p.persica_gdr_reftransV1_0043409","p.persica_gdr_reftransV1_0043409")</f>
        <v>p.persica_gdr_reftransV1_0043409</v>
      </c>
      <c r="B17736" s="3">
        <v>421</v>
      </c>
      <c r="C17736" s="1" t="str">
        <f>HYPERLINK("http://www.uniprot.org/uniprot/FAO1_LOTJA","FAO1_LOTJA")</f>
        <v>FAO1_LOTJA</v>
      </c>
      <c r="D17736" t="s">
        <v>901</v>
      </c>
      <c r="E17736" s="3" t="s">
        <v>880</v>
      </c>
      <c r="F17736" s="4">
        <v>2.8200000000000001E-56</v>
      </c>
      <c r="G17736" s="3">
        <v>487</v>
      </c>
      <c r="H17736" s="3">
        <v>66</v>
      </c>
      <c r="I17736" s="3">
        <v>140</v>
      </c>
      <c r="J17736" s="3">
        <v>1</v>
      </c>
      <c r="K17736" s="3">
        <v>420</v>
      </c>
      <c r="L17736" s="3">
        <v>572</v>
      </c>
      <c r="M17736" s="3">
        <v>711</v>
      </c>
    </row>
    <row r="17737" spans="1:13" x14ac:dyDescent="0.25">
      <c r="A17737" s="1" t="str">
        <f>HYPERLINK("http://www.rosaceae.org/Prunus/Prunus_persica/p.persica_gdr_reftransV1_0043459","p.persica_gdr_reftransV1_0043459")</f>
        <v>p.persica_gdr_reftransV1_0043459</v>
      </c>
      <c r="B17737" s="3">
        <v>2071</v>
      </c>
      <c r="C17737" s="1" t="str">
        <f>HYPERLINK("http://www.uniprot.org/uniprot/FERON_ARATH","FERON_ARATH")</f>
        <v>FERON_ARATH</v>
      </c>
      <c r="D17737" t="s">
        <v>635</v>
      </c>
      <c r="E17737" s="3" t="s">
        <v>3</v>
      </c>
      <c r="F17737" s="4">
        <v>4.6300000000000001E-120</v>
      </c>
      <c r="G17737" s="3">
        <v>993</v>
      </c>
      <c r="H17737" s="3">
        <v>53</v>
      </c>
      <c r="I17737" s="3">
        <v>394</v>
      </c>
      <c r="J17737" s="3">
        <v>292</v>
      </c>
      <c r="K17737" s="3">
        <v>1437</v>
      </c>
      <c r="L17737" s="3">
        <v>516</v>
      </c>
      <c r="M17737" s="3">
        <v>895</v>
      </c>
    </row>
    <row r="17738" spans="1:13" x14ac:dyDescent="0.25">
      <c r="A17738" s="1" t="str">
        <f>HYPERLINK("http://www.rosaceae.org/Prunus/Prunus_persica/p.persica_gdr_reftransV1_0043509","p.persica_gdr_reftransV1_0043509")</f>
        <v>p.persica_gdr_reftransV1_0043509</v>
      </c>
      <c r="B17738" s="3">
        <v>1855</v>
      </c>
      <c r="C17738" s="1" t="str">
        <f>HYPERLINK("http://www.uniprot.org/uniprot/TT12_ARATH","TT12_ARATH")</f>
        <v>TT12_ARATH</v>
      </c>
      <c r="D17738" t="s">
        <v>353</v>
      </c>
      <c r="E17738" s="3" t="s">
        <v>3</v>
      </c>
      <c r="F17738" s="4">
        <v>1.7999999999999999E-107</v>
      </c>
      <c r="G17738" s="3">
        <v>872</v>
      </c>
      <c r="H17738" s="3">
        <v>43</v>
      </c>
      <c r="I17738" s="3">
        <v>455</v>
      </c>
      <c r="J17738" s="3">
        <v>344</v>
      </c>
      <c r="K17738" s="3">
        <v>1705</v>
      </c>
      <c r="L17738" s="3">
        <v>49</v>
      </c>
      <c r="M17738" s="3">
        <v>501</v>
      </c>
    </row>
    <row r="17739" spans="1:13" x14ac:dyDescent="0.25">
      <c r="A17739" s="1" t="str">
        <f>HYPERLINK("http://www.rosaceae.org/Prunus/Prunus_persica/p.persica_gdr_reftransV1_0043609","p.persica_gdr_reftransV1_0043609")</f>
        <v>p.persica_gdr_reftransV1_0043609</v>
      </c>
      <c r="B17739" s="3">
        <v>2537</v>
      </c>
      <c r="C17739" s="1" t="str">
        <f>HYPERLINK("http://www.uniprot.org/uniprot/KIF22_HUMAN","KIF22_HUMAN")</f>
        <v>KIF22_HUMAN</v>
      </c>
      <c r="D17739" t="s">
        <v>10832</v>
      </c>
      <c r="E17739" s="3" t="s">
        <v>28</v>
      </c>
      <c r="F17739" s="4">
        <v>7.2400000000000003E-45</v>
      </c>
      <c r="G17739" s="3">
        <v>445</v>
      </c>
      <c r="H17739" s="3">
        <v>33</v>
      </c>
      <c r="I17739" s="3">
        <v>344</v>
      </c>
      <c r="J17739" s="3">
        <v>228</v>
      </c>
      <c r="K17739" s="3">
        <v>1205</v>
      </c>
      <c r="L17739" s="3">
        <v>38</v>
      </c>
      <c r="M17739" s="3">
        <v>365</v>
      </c>
    </row>
    <row r="17740" spans="1:13" x14ac:dyDescent="0.25">
      <c r="A17740" s="1" t="str">
        <f>HYPERLINK("http://www.rosaceae.org/Prunus/Prunus_persica/p.persica_gdr_reftransV1_0043659","p.persica_gdr_reftransV1_0043659")</f>
        <v>p.persica_gdr_reftransV1_0043659</v>
      </c>
      <c r="B17740" s="3">
        <v>334</v>
      </c>
      <c r="C17740" s="1" t="str">
        <f>HYPERLINK("http://www.uniprot.org/uniprot/PUS6_ARATH","PUS6_ARATH")</f>
        <v>PUS6_ARATH</v>
      </c>
      <c r="D17740" t="s">
        <v>9216</v>
      </c>
      <c r="E17740" s="3" t="s">
        <v>3</v>
      </c>
      <c r="F17740" s="4">
        <v>3.3800000000000002E-51</v>
      </c>
      <c r="G17740" s="3">
        <v>439</v>
      </c>
      <c r="H17740" s="3">
        <v>77</v>
      </c>
      <c r="I17740" s="3">
        <v>104</v>
      </c>
      <c r="J17740" s="3">
        <v>22</v>
      </c>
      <c r="K17740" s="3">
        <v>333</v>
      </c>
      <c r="L17740" s="3">
        <v>103</v>
      </c>
      <c r="M17740" s="3">
        <v>206</v>
      </c>
    </row>
    <row r="17741" spans="1:13" x14ac:dyDescent="0.25">
      <c r="A17741" s="1" t="str">
        <f>HYPERLINK("http://www.rosaceae.org/Prunus/Prunus_persica/p.persica_gdr_reftransV1_0043709","p.persica_gdr_reftransV1_0043709")</f>
        <v>p.persica_gdr_reftransV1_0043709</v>
      </c>
      <c r="B17741" s="3">
        <v>393</v>
      </c>
      <c r="C17741" s="1" t="str">
        <f>HYPERLINK("http://www.uniprot.org/uniprot/RGA4_SOLBU","RGA4_SOLBU")</f>
        <v>RGA4_SOLBU</v>
      </c>
      <c r="D17741" t="s">
        <v>1657</v>
      </c>
      <c r="E17741" s="3" t="s">
        <v>560</v>
      </c>
      <c r="F17741" s="4">
        <v>3.77E-19</v>
      </c>
      <c r="G17741" s="3">
        <v>216</v>
      </c>
      <c r="H17741" s="3">
        <v>39</v>
      </c>
      <c r="I17741" s="3">
        <v>130</v>
      </c>
      <c r="J17741" s="3">
        <v>4</v>
      </c>
      <c r="K17741" s="3">
        <v>393</v>
      </c>
      <c r="L17741" s="3">
        <v>133</v>
      </c>
      <c r="M17741" s="3">
        <v>258</v>
      </c>
    </row>
    <row r="17742" spans="1:13" x14ac:dyDescent="0.25">
      <c r="A17742" s="1" t="str">
        <f>HYPERLINK("http://www.rosaceae.org/Prunus/Prunus_persica/p.persica_gdr_reftransV1_0043809","p.persica_gdr_reftransV1_0043809")</f>
        <v>p.persica_gdr_reftransV1_0043809</v>
      </c>
      <c r="B17742" s="3">
        <v>1308</v>
      </c>
      <c r="C17742" s="1" t="str">
        <f>HYPERLINK("http://www.uniprot.org/uniprot/RR5_ARATH","RR5_ARATH")</f>
        <v>RR5_ARATH</v>
      </c>
      <c r="D17742" t="s">
        <v>10833</v>
      </c>
      <c r="E17742" s="3" t="s">
        <v>3</v>
      </c>
      <c r="F17742" s="4">
        <v>1.38E-83</v>
      </c>
      <c r="G17742" s="3">
        <v>678</v>
      </c>
      <c r="H17742" s="3">
        <v>84</v>
      </c>
      <c r="I17742" s="3">
        <v>205</v>
      </c>
      <c r="J17742" s="3">
        <v>245</v>
      </c>
      <c r="K17742" s="3">
        <v>856</v>
      </c>
      <c r="L17742" s="3">
        <v>99</v>
      </c>
      <c r="M17742" s="3">
        <v>303</v>
      </c>
    </row>
    <row r="17743" spans="1:13" x14ac:dyDescent="0.25">
      <c r="A17743" s="1" t="str">
        <f>HYPERLINK("http://www.rosaceae.org/Prunus/Prunus_persica/p.persica_gdr_reftransV1_0043959","p.persica_gdr_reftransV1_0043959")</f>
        <v>p.persica_gdr_reftransV1_0043959</v>
      </c>
      <c r="B17743" s="3">
        <v>1372</v>
      </c>
      <c r="C17743" s="1" t="str">
        <f>HYPERLINK("http://www.uniprot.org/uniprot/EXPB3_ARATH","EXPB3_ARATH")</f>
        <v>EXPB3_ARATH</v>
      </c>
      <c r="D17743" t="s">
        <v>10834</v>
      </c>
      <c r="E17743" s="3" t="s">
        <v>3</v>
      </c>
      <c r="F17743" s="4">
        <v>8.4699999999999993E-115</v>
      </c>
      <c r="G17743" s="3">
        <v>884</v>
      </c>
      <c r="H17743" s="3">
        <v>77</v>
      </c>
      <c r="I17743" s="3">
        <v>234</v>
      </c>
      <c r="J17743" s="3">
        <v>430</v>
      </c>
      <c r="K17743" s="3">
        <v>1131</v>
      </c>
      <c r="L17743" s="3">
        <v>29</v>
      </c>
      <c r="M17743" s="3">
        <v>260</v>
      </c>
    </row>
    <row r="17744" spans="1:13" x14ac:dyDescent="0.25">
      <c r="A17744" s="1" t="str">
        <f>HYPERLINK("http://www.rosaceae.org/Prunus/Prunus_persica/p.persica_gdr_reftransV1_0044059","p.persica_gdr_reftransV1_0044059")</f>
        <v>p.persica_gdr_reftransV1_0044059</v>
      </c>
      <c r="B17744" s="3">
        <v>2820</v>
      </c>
      <c r="C17744" s="1" t="str">
        <f>HYPERLINK("http://www.uniprot.org/uniprot/LOX5_ARATH","LOX5_ARATH")</f>
        <v>LOX5_ARATH</v>
      </c>
      <c r="D17744" t="s">
        <v>7211</v>
      </c>
      <c r="E17744" s="3" t="s">
        <v>3</v>
      </c>
      <c r="F17744" s="4">
        <v>0</v>
      </c>
      <c r="G17744" s="3">
        <v>3124</v>
      </c>
      <c r="H17744" s="3">
        <v>68</v>
      </c>
      <c r="I17744" s="3">
        <v>866</v>
      </c>
      <c r="J17744" s="3">
        <v>103</v>
      </c>
      <c r="K17744" s="3">
        <v>2583</v>
      </c>
      <c r="L17744" s="3">
        <v>27</v>
      </c>
      <c r="M17744" s="3">
        <v>886</v>
      </c>
    </row>
    <row r="17745" spans="1:13" x14ac:dyDescent="0.25">
      <c r="A17745" s="1" t="str">
        <f>HYPERLINK("http://www.rosaceae.org/Prunus/Prunus_persica/p.persica_gdr_reftransV1_0044109","p.persica_gdr_reftransV1_0044109")</f>
        <v>p.persica_gdr_reftransV1_0044109</v>
      </c>
      <c r="B17745" s="3">
        <v>601</v>
      </c>
      <c r="C17745" s="1" t="str">
        <f>HYPERLINK("http://www.uniprot.org/uniprot/TI214_LOBMA","TI214_LOBMA")</f>
        <v>TI214_LOBMA</v>
      </c>
      <c r="D17745" t="s">
        <v>10835</v>
      </c>
      <c r="E17745" s="3" t="s">
        <v>10836</v>
      </c>
      <c r="F17745" s="4">
        <v>5.6699999999999996E-100</v>
      </c>
      <c r="G17745" s="3">
        <v>826</v>
      </c>
      <c r="H17745" s="3">
        <v>94</v>
      </c>
      <c r="I17745" s="3">
        <v>195</v>
      </c>
      <c r="J17745" s="3">
        <v>17</v>
      </c>
      <c r="K17745" s="3">
        <v>601</v>
      </c>
      <c r="L17745" s="3">
        <v>1</v>
      </c>
      <c r="M17745" s="3">
        <v>195</v>
      </c>
    </row>
    <row r="17746" spans="1:13" x14ac:dyDescent="0.25">
      <c r="A17746" s="1" t="str">
        <f>HYPERLINK("http://www.rosaceae.org/Prunus/Prunus_persica/p.persica_gdr_reftransV1_0044159","p.persica_gdr_reftransV1_0044159")</f>
        <v>p.persica_gdr_reftransV1_0044159</v>
      </c>
      <c r="B17746" s="3">
        <v>320</v>
      </c>
      <c r="C17746" s="1" t="str">
        <f>HYPERLINK("http://www.uniprot.org/uniprot/PP133_ARATH","PP133_ARATH")</f>
        <v>PP133_ARATH</v>
      </c>
      <c r="D17746" t="s">
        <v>3611</v>
      </c>
      <c r="E17746" s="3" t="s">
        <v>3</v>
      </c>
      <c r="F17746" s="4">
        <v>7.6399999999999994E-39</v>
      </c>
      <c r="G17746" s="3">
        <v>358</v>
      </c>
      <c r="H17746" s="3">
        <v>60</v>
      </c>
      <c r="I17746" s="3">
        <v>106</v>
      </c>
      <c r="J17746" s="3">
        <v>3</v>
      </c>
      <c r="K17746" s="3">
        <v>320</v>
      </c>
      <c r="L17746" s="3">
        <v>507</v>
      </c>
      <c r="M17746" s="3">
        <v>610</v>
      </c>
    </row>
    <row r="17747" spans="1:13" x14ac:dyDescent="0.25">
      <c r="A17747" s="1" t="str">
        <f>HYPERLINK("http://www.rosaceae.org/Prunus/Prunus_persica/p.persica_gdr_reftransV1_0044209","p.persica_gdr_reftransV1_0044209")</f>
        <v>p.persica_gdr_reftransV1_0044209</v>
      </c>
      <c r="B17747" s="3">
        <v>535</v>
      </c>
      <c r="C17747" s="1" t="str">
        <f>HYPERLINK("http://www.uniprot.org/uniprot/HERC2_HUMAN","HERC2_HUMAN")</f>
        <v>HERC2_HUMAN</v>
      </c>
      <c r="D17747" t="s">
        <v>6699</v>
      </c>
      <c r="E17747" s="3" t="s">
        <v>28</v>
      </c>
      <c r="F17747" s="4">
        <v>2.1800000000000001E-23</v>
      </c>
      <c r="G17747" s="3">
        <v>254</v>
      </c>
      <c r="H17747" s="3">
        <v>36</v>
      </c>
      <c r="I17747" s="3">
        <v>174</v>
      </c>
      <c r="J17747" s="3">
        <v>18</v>
      </c>
      <c r="K17747" s="3">
        <v>530</v>
      </c>
      <c r="L17747" s="3">
        <v>556</v>
      </c>
      <c r="M17747" s="3">
        <v>718</v>
      </c>
    </row>
    <row r="17748" spans="1:13" x14ac:dyDescent="0.25">
      <c r="A17748" s="1" t="str">
        <f>HYPERLINK("http://www.rosaceae.org/Prunus/Prunus_persica/p.persica_gdr_reftransV1_0044259","p.persica_gdr_reftransV1_0044259")</f>
        <v>p.persica_gdr_reftransV1_0044259</v>
      </c>
      <c r="B17748" s="3">
        <v>3186</v>
      </c>
      <c r="C17748" s="1" t="str">
        <f>HYPERLINK("http://www.uniprot.org/uniprot/CPL3_ARATH","CPL3_ARATH")</f>
        <v>CPL3_ARATH</v>
      </c>
      <c r="D17748" t="s">
        <v>5430</v>
      </c>
      <c r="E17748" s="3" t="s">
        <v>3</v>
      </c>
      <c r="F17748" s="4">
        <v>0</v>
      </c>
      <c r="G17748" s="3">
        <v>1970</v>
      </c>
      <c r="H17748" s="3">
        <v>55</v>
      </c>
      <c r="I17748" s="3">
        <v>908</v>
      </c>
      <c r="J17748" s="3">
        <v>409</v>
      </c>
      <c r="K17748" s="3">
        <v>3015</v>
      </c>
      <c r="L17748" s="3">
        <v>368</v>
      </c>
      <c r="M17748" s="3">
        <v>1241</v>
      </c>
    </row>
    <row r="17749" spans="1:13" x14ac:dyDescent="0.25">
      <c r="A17749" s="1" t="str">
        <f>HYPERLINK("http://www.rosaceae.org/Prunus/Prunus_persica/p.persica_gdr_reftransV1_0044309","p.persica_gdr_reftransV1_0044309")</f>
        <v>p.persica_gdr_reftransV1_0044309</v>
      </c>
      <c r="B17749" s="3">
        <v>2134</v>
      </c>
      <c r="C17749" s="1" t="str">
        <f>HYPERLINK("http://www.uniprot.org/uniprot/PEK11_ARATH","PEK11_ARATH")</f>
        <v>PEK11_ARATH</v>
      </c>
      <c r="D17749" t="s">
        <v>5051</v>
      </c>
      <c r="E17749" s="3" t="s">
        <v>3</v>
      </c>
      <c r="F17749" s="4">
        <v>5.81E-77</v>
      </c>
      <c r="G17749" s="3">
        <v>683</v>
      </c>
      <c r="H17749" s="3">
        <v>43</v>
      </c>
      <c r="I17749" s="3">
        <v>300</v>
      </c>
      <c r="J17749" s="3">
        <v>780</v>
      </c>
      <c r="K17749" s="3">
        <v>1664</v>
      </c>
      <c r="L17749" s="3">
        <v>358</v>
      </c>
      <c r="M17749" s="3">
        <v>654</v>
      </c>
    </row>
    <row r="17750" spans="1:13" x14ac:dyDescent="0.25">
      <c r="A17750" s="1" t="str">
        <f>HYPERLINK("http://www.rosaceae.org/Prunus/Prunus_persica/p.persica_gdr_reftransV1_0044359","p.persica_gdr_reftransV1_0044359")</f>
        <v>p.persica_gdr_reftransV1_0044359</v>
      </c>
      <c r="B17750" s="3">
        <v>1795</v>
      </c>
      <c r="C17750" s="1" t="str">
        <f>HYPERLINK("http://www.uniprot.org/uniprot/MURA_GLOVI","MURA_GLOVI")</f>
        <v>MURA_GLOVI</v>
      </c>
      <c r="D17750" t="s">
        <v>10837</v>
      </c>
      <c r="E17750" s="3" t="s">
        <v>3174</v>
      </c>
      <c r="F17750" s="4">
        <v>4.5399999999999999E-123</v>
      </c>
      <c r="G17750" s="3">
        <v>971</v>
      </c>
      <c r="H17750" s="3">
        <v>48</v>
      </c>
      <c r="I17750" s="3">
        <v>431</v>
      </c>
      <c r="J17750" s="3">
        <v>377</v>
      </c>
      <c r="K17750" s="3">
        <v>1666</v>
      </c>
      <c r="L17750" s="3">
        <v>20</v>
      </c>
      <c r="M17750" s="3">
        <v>439</v>
      </c>
    </row>
    <row r="17751" spans="1:13" x14ac:dyDescent="0.25">
      <c r="A17751" s="1" t="str">
        <f>HYPERLINK("http://www.rosaceae.org/Prunus/Prunus_persica/p.persica_gdr_reftransV1_0044409","p.persica_gdr_reftransV1_0044409")</f>
        <v>p.persica_gdr_reftransV1_0044409</v>
      </c>
      <c r="B17751" s="3">
        <v>1119</v>
      </c>
      <c r="C17751" s="1" t="str">
        <f>HYPERLINK("http://www.uniprot.org/uniprot/SOT5_ARATH","SOT5_ARATH")</f>
        <v>SOT5_ARATH</v>
      </c>
      <c r="D17751" t="s">
        <v>10838</v>
      </c>
      <c r="E17751" s="3" t="s">
        <v>3</v>
      </c>
      <c r="F17751" s="4">
        <v>5.7899999999999998E-75</v>
      </c>
      <c r="G17751" s="3">
        <v>616</v>
      </c>
      <c r="H17751" s="3">
        <v>43</v>
      </c>
      <c r="I17751" s="3">
        <v>312</v>
      </c>
      <c r="J17751" s="3">
        <v>105</v>
      </c>
      <c r="K17751" s="3">
        <v>1025</v>
      </c>
      <c r="L17751" s="3">
        <v>14</v>
      </c>
      <c r="M17751" s="3">
        <v>323</v>
      </c>
    </row>
    <row r="17752" spans="1:13" x14ac:dyDescent="0.25">
      <c r="A17752" s="1" t="str">
        <f>HYPERLINK("http://www.rosaceae.org/Prunus/Prunus_persica/p.persica_gdr_reftransV1_0044459","p.persica_gdr_reftransV1_0044459")</f>
        <v>p.persica_gdr_reftransV1_0044459</v>
      </c>
      <c r="B17752" s="3">
        <v>309</v>
      </c>
      <c r="C17752" s="1" t="str">
        <f>HYPERLINK("http://www.uniprot.org/uniprot/GDL53_ARATH","GDL53_ARATH")</f>
        <v>GDL53_ARATH</v>
      </c>
      <c r="D17752" t="s">
        <v>8345</v>
      </c>
      <c r="E17752" s="3" t="s">
        <v>3</v>
      </c>
      <c r="F17752" s="4">
        <v>1.6399999999999999E-38</v>
      </c>
      <c r="G17752" s="3">
        <v>346</v>
      </c>
      <c r="H17752" s="3">
        <v>63</v>
      </c>
      <c r="I17752" s="3">
        <v>96</v>
      </c>
      <c r="J17752" s="3">
        <v>3</v>
      </c>
      <c r="K17752" s="3">
        <v>290</v>
      </c>
      <c r="L17752" s="3">
        <v>285</v>
      </c>
      <c r="M17752" s="3">
        <v>380</v>
      </c>
    </row>
    <row r="17753" spans="1:13" x14ac:dyDescent="0.25">
      <c r="A17753" s="1" t="str">
        <f>HYPERLINK("http://www.rosaceae.org/Prunus/Prunus_persica/p.persica_gdr_reftransV1_0044509","p.persica_gdr_reftransV1_0044509")</f>
        <v>p.persica_gdr_reftransV1_0044509</v>
      </c>
      <c r="B17753" s="3">
        <v>1008</v>
      </c>
      <c r="C17753" s="1" t="str">
        <f>HYPERLINK("http://www.uniprot.org/uniprot/GSIB_ECOLI","GSIB_ECOLI")</f>
        <v>GSIB_ECOLI</v>
      </c>
      <c r="D17753" t="s">
        <v>10839</v>
      </c>
      <c r="E17753" s="3" t="s">
        <v>2372</v>
      </c>
      <c r="F17753" s="4">
        <v>0</v>
      </c>
      <c r="G17753" s="3">
        <v>1544</v>
      </c>
      <c r="H17753" s="3">
        <v>100</v>
      </c>
      <c r="I17753" s="3">
        <v>292</v>
      </c>
      <c r="J17753" s="3">
        <v>128</v>
      </c>
      <c r="K17753" s="3">
        <v>1003</v>
      </c>
      <c r="L17753" s="3">
        <v>1</v>
      </c>
      <c r="M17753" s="3">
        <v>292</v>
      </c>
    </row>
    <row r="17754" spans="1:13" x14ac:dyDescent="0.25">
      <c r="A17754" s="1" t="str">
        <f>HYPERLINK("http://www.rosaceae.org/Prunus/Prunus_persica/p.persica_gdr_reftransV1_0044559","p.persica_gdr_reftransV1_0044559")</f>
        <v>p.persica_gdr_reftransV1_0044559</v>
      </c>
      <c r="B17754" s="3">
        <v>1124</v>
      </c>
      <c r="C17754" s="1" t="str">
        <f>HYPERLINK("http://www.uniprot.org/uniprot/PPA1_SOLLC","PPA1_SOLLC")</f>
        <v>PPA1_SOLLC</v>
      </c>
      <c r="D17754" t="s">
        <v>4322</v>
      </c>
      <c r="E17754" s="3" t="s">
        <v>64</v>
      </c>
      <c r="F17754" s="4">
        <v>1.6800000000000001E-71</v>
      </c>
      <c r="G17754" s="3">
        <v>587</v>
      </c>
      <c r="H17754" s="3">
        <v>54</v>
      </c>
      <c r="I17754" s="3">
        <v>214</v>
      </c>
      <c r="J17754" s="3">
        <v>182</v>
      </c>
      <c r="K17754" s="3">
        <v>823</v>
      </c>
      <c r="L17754" s="3">
        <v>41</v>
      </c>
      <c r="M17754" s="3">
        <v>254</v>
      </c>
    </row>
    <row r="17755" spans="1:13" x14ac:dyDescent="0.25">
      <c r="A17755" s="1" t="str">
        <f>HYPERLINK("http://www.rosaceae.org/Prunus/Prunus_persica/p.persica_gdr_reftransV1_0044709","p.persica_gdr_reftransV1_0044709")</f>
        <v>p.persica_gdr_reftransV1_0044709</v>
      </c>
      <c r="B17755" s="3">
        <v>1779</v>
      </c>
      <c r="C17755" s="1" t="str">
        <f>HYPERLINK("http://www.uniprot.org/uniprot/C3H37_ARATH","C3H37_ARATH")</f>
        <v>C3H37_ARATH</v>
      </c>
      <c r="D17755" t="s">
        <v>8084</v>
      </c>
      <c r="E17755" s="3" t="s">
        <v>3</v>
      </c>
      <c r="F17755" s="4">
        <v>0</v>
      </c>
      <c r="G17755" s="3">
        <v>1370</v>
      </c>
      <c r="H17755" s="3">
        <v>65</v>
      </c>
      <c r="I17755" s="3">
        <v>403</v>
      </c>
      <c r="J17755" s="3">
        <v>363</v>
      </c>
      <c r="K17755" s="3">
        <v>1559</v>
      </c>
      <c r="L17755" s="3">
        <v>118</v>
      </c>
      <c r="M17755" s="3">
        <v>504</v>
      </c>
    </row>
    <row r="17756" spans="1:13" x14ac:dyDescent="0.25">
      <c r="A17756" s="1" t="str">
        <f>HYPERLINK("http://www.rosaceae.org/Prunus/Prunus_persica/p.persica_gdr_reftransV1_0044759","p.persica_gdr_reftransV1_0044759")</f>
        <v>p.persica_gdr_reftransV1_0044759</v>
      </c>
      <c r="B17756" s="3">
        <v>499</v>
      </c>
      <c r="C17756" s="1" t="str">
        <f>HYPERLINK("http://www.uniprot.org/uniprot/FRS2_ARATH","FRS2_ARATH")</f>
        <v>FRS2_ARATH</v>
      </c>
      <c r="D17756" t="s">
        <v>7944</v>
      </c>
      <c r="E17756" s="3" t="s">
        <v>3</v>
      </c>
      <c r="F17756" s="4">
        <v>2.04E-15</v>
      </c>
      <c r="G17756" s="3">
        <v>190</v>
      </c>
      <c r="H17756" s="3">
        <v>43</v>
      </c>
      <c r="I17756" s="3">
        <v>119</v>
      </c>
      <c r="J17756" s="3">
        <v>149</v>
      </c>
      <c r="K17756" s="3">
        <v>490</v>
      </c>
      <c r="L17756" s="3">
        <v>684</v>
      </c>
      <c r="M17756" s="3">
        <v>797</v>
      </c>
    </row>
    <row r="17757" spans="1:13" x14ac:dyDescent="0.25">
      <c r="A17757" s="1" t="str">
        <f>HYPERLINK("http://www.rosaceae.org/Prunus/Prunus_persica/p.persica_gdr_reftransV1_0044809","p.persica_gdr_reftransV1_0044809")</f>
        <v>p.persica_gdr_reftransV1_0044809</v>
      </c>
      <c r="B17757" s="3">
        <v>680</v>
      </c>
      <c r="C17757" s="1" t="str">
        <f>HYPERLINK("http://www.uniprot.org/uniprot/NRL4B_TOBAC","NRL4B_TOBAC")</f>
        <v>NRL4B_TOBAC</v>
      </c>
      <c r="D17757" t="s">
        <v>4494</v>
      </c>
      <c r="E17757" s="3" t="s">
        <v>200</v>
      </c>
      <c r="F17757" s="4">
        <v>9.6499999999999993E-62</v>
      </c>
      <c r="G17757" s="3">
        <v>515</v>
      </c>
      <c r="H17757" s="3">
        <v>70</v>
      </c>
      <c r="I17757" s="3">
        <v>136</v>
      </c>
      <c r="J17757" s="3">
        <v>270</v>
      </c>
      <c r="K17757" s="3">
        <v>677</v>
      </c>
      <c r="L17757" s="3">
        <v>189</v>
      </c>
      <c r="M17757" s="3">
        <v>322</v>
      </c>
    </row>
    <row r="17758" spans="1:13" x14ac:dyDescent="0.25">
      <c r="A17758" s="1" t="str">
        <f>HYPERLINK("http://www.rosaceae.org/Prunus/Prunus_persica/p.persica_gdr_reftransV1_0044859","p.persica_gdr_reftransV1_0044859")</f>
        <v>p.persica_gdr_reftransV1_0044859</v>
      </c>
      <c r="B17758" s="3">
        <v>1095</v>
      </c>
      <c r="C17758" s="1" t="str">
        <f>HYPERLINK("http://www.uniprot.org/uniprot/CH10C_ARATH","CH10C_ARATH")</f>
        <v>CH10C_ARATH</v>
      </c>
      <c r="D17758" t="s">
        <v>10840</v>
      </c>
      <c r="E17758" s="3" t="s">
        <v>3</v>
      </c>
      <c r="F17758" s="4">
        <v>6.1200000000000003E-125</v>
      </c>
      <c r="G17758" s="3">
        <v>941</v>
      </c>
      <c r="H17758" s="3">
        <v>76</v>
      </c>
      <c r="I17758" s="3">
        <v>249</v>
      </c>
      <c r="J17758" s="3">
        <v>267</v>
      </c>
      <c r="K17758" s="3">
        <v>1007</v>
      </c>
      <c r="L17758" s="3">
        <v>1</v>
      </c>
      <c r="M17758" s="3">
        <v>248</v>
      </c>
    </row>
    <row r="17759" spans="1:13" x14ac:dyDescent="0.25">
      <c r="A17759" s="1" t="str">
        <f>HYPERLINK("http://www.rosaceae.org/Prunus/Prunus_persica/p.persica_gdr_reftransV1_0044909","p.persica_gdr_reftransV1_0044909")</f>
        <v>p.persica_gdr_reftransV1_0044909</v>
      </c>
      <c r="B17759" s="3">
        <v>419</v>
      </c>
      <c r="C17759" s="1" t="str">
        <f>HYPERLINK("http://www.uniprot.org/uniprot/ALMT4_ARATH","ALMT4_ARATH")</f>
        <v>ALMT4_ARATH</v>
      </c>
      <c r="D17759" t="s">
        <v>10841</v>
      </c>
      <c r="E17759" s="3" t="s">
        <v>3</v>
      </c>
      <c r="F17759" s="4">
        <v>3.6800000000000001E-75</v>
      </c>
      <c r="G17759" s="3">
        <v>610</v>
      </c>
      <c r="H17759" s="3">
        <v>78</v>
      </c>
      <c r="I17759" s="3">
        <v>139</v>
      </c>
      <c r="J17759" s="3">
        <v>1</v>
      </c>
      <c r="K17759" s="3">
        <v>417</v>
      </c>
      <c r="L17759" s="3">
        <v>212</v>
      </c>
      <c r="M17759" s="3">
        <v>350</v>
      </c>
    </row>
    <row r="17760" spans="1:13" x14ac:dyDescent="0.25">
      <c r="A17760" s="1" t="str">
        <f>HYPERLINK("http://www.rosaceae.org/Prunus/Prunus_persica/p.persica_gdr_reftransV1_0044959","p.persica_gdr_reftransV1_0044959")</f>
        <v>p.persica_gdr_reftransV1_0044959</v>
      </c>
      <c r="B17760" s="3">
        <v>2231</v>
      </c>
      <c r="C17760" s="1" t="str">
        <f>HYPERLINK("http://www.uniprot.org/uniprot/Y3804_ARATH","Y3804_ARATH")</f>
        <v>Y3804_ARATH</v>
      </c>
      <c r="D17760" t="s">
        <v>7241</v>
      </c>
      <c r="E17760" s="3" t="s">
        <v>3</v>
      </c>
      <c r="F17760" s="4">
        <v>0</v>
      </c>
      <c r="G17760" s="3">
        <v>2064</v>
      </c>
      <c r="H17760" s="3">
        <v>69</v>
      </c>
      <c r="I17760" s="3">
        <v>684</v>
      </c>
      <c r="J17760" s="3">
        <v>211</v>
      </c>
      <c r="K17760" s="3">
        <v>2229</v>
      </c>
      <c r="L17760" s="3">
        <v>332</v>
      </c>
      <c r="M17760" s="3">
        <v>1012</v>
      </c>
    </row>
    <row r="17761" spans="1:13" x14ac:dyDescent="0.25">
      <c r="A17761" s="1" t="str">
        <f>HYPERLINK("http://www.rosaceae.org/Prunus/Prunus_persica/p.persica_gdr_reftransV1_0045009","p.persica_gdr_reftransV1_0045009")</f>
        <v>p.persica_gdr_reftransV1_0045009</v>
      </c>
      <c r="B17761" s="3">
        <v>902</v>
      </c>
      <c r="C17761" s="1" t="str">
        <f>HYPERLINK("http://www.uniprot.org/uniprot/TRMB_ANAVT","TRMB_ANAVT")</f>
        <v>TRMB_ANAVT</v>
      </c>
      <c r="D17761" t="s">
        <v>10842</v>
      </c>
      <c r="E17761" s="3" t="s">
        <v>2980</v>
      </c>
      <c r="F17761" s="4">
        <v>7.9099999999999996E-15</v>
      </c>
      <c r="G17761" s="3">
        <v>183</v>
      </c>
      <c r="H17761" s="3">
        <v>34</v>
      </c>
      <c r="I17761" s="3">
        <v>134</v>
      </c>
      <c r="J17761" s="3">
        <v>461</v>
      </c>
      <c r="K17761" s="3">
        <v>856</v>
      </c>
      <c r="L17761" s="3">
        <v>85</v>
      </c>
      <c r="M17761" s="3">
        <v>208</v>
      </c>
    </row>
    <row r="17762" spans="1:13" x14ac:dyDescent="0.25">
      <c r="A17762" s="1" t="str">
        <f>HYPERLINK("http://www.rosaceae.org/Prunus/Prunus_persica/p.persica_gdr_reftransV1_0045109","p.persica_gdr_reftransV1_0045109")</f>
        <v>p.persica_gdr_reftransV1_0045109</v>
      </c>
      <c r="B17762" s="3">
        <v>3173</v>
      </c>
      <c r="C17762" s="1" t="str">
        <f>HYPERLINK("http://www.uniprot.org/uniprot/IMB1_ARATH","IMB1_ARATH")</f>
        <v>IMB1_ARATH</v>
      </c>
      <c r="D17762" t="s">
        <v>9630</v>
      </c>
      <c r="E17762" s="3" t="s">
        <v>3</v>
      </c>
      <c r="F17762" s="4">
        <v>0</v>
      </c>
      <c r="G17762" s="3">
        <v>2531</v>
      </c>
      <c r="H17762" s="3">
        <v>60</v>
      </c>
      <c r="I17762" s="3">
        <v>873</v>
      </c>
      <c r="J17762" s="3">
        <v>302</v>
      </c>
      <c r="K17762" s="3">
        <v>2908</v>
      </c>
      <c r="L17762" s="3">
        <v>1</v>
      </c>
      <c r="M17762" s="3">
        <v>866</v>
      </c>
    </row>
    <row r="17763" spans="1:13" x14ac:dyDescent="0.25">
      <c r="A17763" s="1" t="str">
        <f>HYPERLINK("http://www.rosaceae.org/Prunus/Prunus_persica/p.persica_gdr_reftransV1_0045209","p.persica_gdr_reftransV1_0045209")</f>
        <v>p.persica_gdr_reftransV1_0045209</v>
      </c>
      <c r="B17763" s="3">
        <v>485</v>
      </c>
      <c r="C17763" s="1" t="str">
        <f>HYPERLINK("http://www.uniprot.org/uniprot/MYB5_ARATH","MYB5_ARATH")</f>
        <v>MYB5_ARATH</v>
      </c>
      <c r="D17763" t="s">
        <v>2743</v>
      </c>
      <c r="E17763" s="3" t="s">
        <v>3</v>
      </c>
      <c r="F17763" s="4">
        <v>4.2699999999999998E-65</v>
      </c>
      <c r="G17763" s="3">
        <v>523</v>
      </c>
      <c r="H17763" s="3">
        <v>87</v>
      </c>
      <c r="I17763" s="3">
        <v>111</v>
      </c>
      <c r="J17763" s="3">
        <v>2</v>
      </c>
      <c r="K17763" s="3">
        <v>334</v>
      </c>
      <c r="L17763" s="3">
        <v>16</v>
      </c>
      <c r="M17763" s="3">
        <v>126</v>
      </c>
    </row>
    <row r="17764" spans="1:13" x14ac:dyDescent="0.25">
      <c r="A17764" s="1" t="str">
        <f>HYPERLINK("http://www.rosaceae.org/Prunus/Prunus_persica/p.persica_gdr_reftransV1_0045259","p.persica_gdr_reftransV1_0045259")</f>
        <v>p.persica_gdr_reftransV1_0045259</v>
      </c>
      <c r="B17764" s="3">
        <v>854</v>
      </c>
      <c r="C17764" s="1" t="str">
        <f>HYPERLINK("http://www.uniprot.org/uniprot/EPA2B_XENLA","EPA2B_XENLA")</f>
        <v>EPA2B_XENLA</v>
      </c>
      <c r="D17764" t="s">
        <v>10843</v>
      </c>
      <c r="E17764" s="3" t="s">
        <v>475</v>
      </c>
      <c r="F17764" s="4">
        <v>3.2000000000000001E-7</v>
      </c>
      <c r="G17764" s="3">
        <v>127</v>
      </c>
      <c r="H17764" s="3">
        <v>33</v>
      </c>
      <c r="I17764" s="3">
        <v>72</v>
      </c>
      <c r="J17764" s="3">
        <v>608</v>
      </c>
      <c r="K17764" s="3">
        <v>823</v>
      </c>
      <c r="L17764" s="3">
        <v>97</v>
      </c>
      <c r="M17764" s="3">
        <v>168</v>
      </c>
    </row>
    <row r="17765" spans="1:13" x14ac:dyDescent="0.25">
      <c r="A17765" s="1" t="str">
        <f>HYPERLINK("http://www.rosaceae.org/Prunus/Prunus_persica/p.persica_gdr_reftransV1_0045309","p.persica_gdr_reftransV1_0045309")</f>
        <v>p.persica_gdr_reftransV1_0045309</v>
      </c>
      <c r="B17765" s="3">
        <v>721</v>
      </c>
      <c r="C17765" s="1" t="str">
        <f>HYPERLINK("http://www.uniprot.org/uniprot/SAU72_ARATH","SAU72_ARATH")</f>
        <v>SAU72_ARATH</v>
      </c>
      <c r="D17765" t="s">
        <v>7574</v>
      </c>
      <c r="E17765" s="3" t="s">
        <v>3</v>
      </c>
      <c r="F17765" s="4">
        <v>3.2800000000000002E-12</v>
      </c>
      <c r="G17765" s="3">
        <v>158</v>
      </c>
      <c r="H17765" s="3">
        <v>40</v>
      </c>
      <c r="I17765" s="3">
        <v>80</v>
      </c>
      <c r="J17765" s="3">
        <v>285</v>
      </c>
      <c r="K17765" s="3">
        <v>524</v>
      </c>
      <c r="L17765" s="3">
        <v>37</v>
      </c>
      <c r="M17765" s="3">
        <v>114</v>
      </c>
    </row>
    <row r="17766" spans="1:13" x14ac:dyDescent="0.25">
      <c r="A17766" s="1" t="str">
        <f>HYPERLINK("http://www.rosaceae.org/Prunus/Prunus_persica/p.persica_gdr_reftransV1_0045409","p.persica_gdr_reftransV1_0045409")</f>
        <v>p.persica_gdr_reftransV1_0045409</v>
      </c>
      <c r="B17766" s="3">
        <v>1555</v>
      </c>
      <c r="C17766" s="1" t="str">
        <f>HYPERLINK("http://www.uniprot.org/uniprot/SGO1_MAIZE","SGO1_MAIZE")</f>
        <v>SGO1_MAIZE</v>
      </c>
      <c r="D17766" t="s">
        <v>1466</v>
      </c>
      <c r="E17766" s="3" t="s">
        <v>72</v>
      </c>
      <c r="F17766" s="4">
        <v>1.9699999999999999E-10</v>
      </c>
      <c r="G17766" s="3">
        <v>161</v>
      </c>
      <c r="H17766" s="3">
        <v>49</v>
      </c>
      <c r="I17766" s="3">
        <v>88</v>
      </c>
      <c r="J17766" s="3">
        <v>463</v>
      </c>
      <c r="K17766" s="3">
        <v>726</v>
      </c>
      <c r="L17766" s="3">
        <v>59</v>
      </c>
      <c r="M17766" s="3">
        <v>146</v>
      </c>
    </row>
    <row r="17767" spans="1:13" x14ac:dyDescent="0.25">
      <c r="A17767" s="1" t="str">
        <f>HYPERLINK("http://www.rosaceae.org/Prunus/Prunus_persica/p.persica_gdr_reftransV1_0045459","p.persica_gdr_reftransV1_0045459")</f>
        <v>p.persica_gdr_reftransV1_0045459</v>
      </c>
      <c r="B17767" s="3">
        <v>1285</v>
      </c>
      <c r="C17767" s="1" t="str">
        <f>HYPERLINK("http://www.uniprot.org/uniprot/CB23_SOLLC","CB23_SOLLC")</f>
        <v>CB23_SOLLC</v>
      </c>
      <c r="D17767" t="s">
        <v>137</v>
      </c>
      <c r="E17767" s="3" t="s">
        <v>64</v>
      </c>
      <c r="F17767" s="4">
        <v>1.57E-163</v>
      </c>
      <c r="G17767" s="3">
        <v>1204</v>
      </c>
      <c r="H17767" s="3">
        <v>90</v>
      </c>
      <c r="I17767" s="3">
        <v>253</v>
      </c>
      <c r="J17767" s="3">
        <v>298</v>
      </c>
      <c r="K17767" s="3">
        <v>1056</v>
      </c>
      <c r="L17767" s="3">
        <v>15</v>
      </c>
      <c r="M17767" s="3">
        <v>265</v>
      </c>
    </row>
    <row r="17768" spans="1:13" x14ac:dyDescent="0.25">
      <c r="A17768" s="1" t="str">
        <f>HYPERLINK("http://www.rosaceae.org/Prunus/Prunus_persica/p.persica_gdr_reftransV1_0045509","p.persica_gdr_reftransV1_0045509")</f>
        <v>p.persica_gdr_reftransV1_0045509</v>
      </c>
      <c r="B17768" s="3">
        <v>1946</v>
      </c>
      <c r="C17768" s="1" t="str">
        <f>HYPERLINK("http://www.uniprot.org/uniprot/SRK2B_ARATH","SRK2B_ARATH")</f>
        <v>SRK2B_ARATH</v>
      </c>
      <c r="D17768" t="s">
        <v>10844</v>
      </c>
      <c r="E17768" s="3" t="s">
        <v>3</v>
      </c>
      <c r="F17768" s="4">
        <v>0</v>
      </c>
      <c r="G17768" s="3">
        <v>1522</v>
      </c>
      <c r="H17768" s="3">
        <v>88</v>
      </c>
      <c r="I17768" s="3">
        <v>314</v>
      </c>
      <c r="J17768" s="3">
        <v>546</v>
      </c>
      <c r="K17768" s="3">
        <v>1487</v>
      </c>
      <c r="L17768" s="3">
        <v>1</v>
      </c>
      <c r="M17768" s="3">
        <v>314</v>
      </c>
    </row>
    <row r="17769" spans="1:13" x14ac:dyDescent="0.25">
      <c r="A17769" s="1" t="str">
        <f>HYPERLINK("http://www.rosaceae.org/Prunus/Prunus_persica/p.persica_gdr_reftransV1_0045559","p.persica_gdr_reftransV1_0045559")</f>
        <v>p.persica_gdr_reftransV1_0045559</v>
      </c>
      <c r="B17769" s="3">
        <v>380</v>
      </c>
      <c r="C17769" s="1" t="str">
        <f>HYPERLINK("http://www.uniprot.org/uniprot/PSK6_ARATH","PSK6_ARATH")</f>
        <v>PSK6_ARATH</v>
      </c>
      <c r="D17769" t="s">
        <v>10845</v>
      </c>
      <c r="E17769" s="3" t="s">
        <v>3</v>
      </c>
      <c r="F17769" s="4">
        <v>4.9400000000000003E-14</v>
      </c>
      <c r="G17769" s="3">
        <v>163</v>
      </c>
      <c r="H17769" s="3">
        <v>50</v>
      </c>
      <c r="I17769" s="3">
        <v>64</v>
      </c>
      <c r="J17769" s="3">
        <v>130</v>
      </c>
      <c r="K17769" s="3">
        <v>321</v>
      </c>
      <c r="L17769" s="3">
        <v>22</v>
      </c>
      <c r="M17769" s="3">
        <v>80</v>
      </c>
    </row>
    <row r="17770" spans="1:13" x14ac:dyDescent="0.25">
      <c r="A17770" s="1" t="str">
        <f>HYPERLINK("http://www.rosaceae.org/Prunus/Prunus_persica/p.persica_gdr_reftransV1_0045609","p.persica_gdr_reftransV1_0045609")</f>
        <v>p.persica_gdr_reftransV1_0045609</v>
      </c>
      <c r="B17770" s="3">
        <v>1079</v>
      </c>
      <c r="C17770" s="1" t="str">
        <f>HYPERLINK("http://www.uniprot.org/uniprot/PSB6_ARATH","PSB6_ARATH")</f>
        <v>PSB6_ARATH</v>
      </c>
      <c r="D17770" t="s">
        <v>2338</v>
      </c>
      <c r="E17770" s="3" t="s">
        <v>3</v>
      </c>
      <c r="F17770" s="4">
        <v>4.2500000000000001E-147</v>
      </c>
      <c r="G17770" s="3">
        <v>1085</v>
      </c>
      <c r="H17770" s="3">
        <v>90</v>
      </c>
      <c r="I17770" s="3">
        <v>230</v>
      </c>
      <c r="J17770" s="3">
        <v>112</v>
      </c>
      <c r="K17770" s="3">
        <v>801</v>
      </c>
      <c r="L17770" s="3">
        <v>2</v>
      </c>
      <c r="M17770" s="3">
        <v>231</v>
      </c>
    </row>
    <row r="17771" spans="1:13" x14ac:dyDescent="0.25">
      <c r="A17771" s="1" t="str">
        <f>HYPERLINK("http://www.rosaceae.org/Prunus/Prunus_persica/p.persica_gdr_reftransV1_0045709","p.persica_gdr_reftransV1_0045709")</f>
        <v>p.persica_gdr_reftransV1_0045709</v>
      </c>
      <c r="B17771" s="3">
        <v>505</v>
      </c>
      <c r="C17771" s="1" t="str">
        <f>HYPERLINK("http://www.uniprot.org/uniprot/HST_ARATH","HST_ARATH")</f>
        <v>HST_ARATH</v>
      </c>
      <c r="D17771" t="s">
        <v>2435</v>
      </c>
      <c r="E17771" s="3" t="s">
        <v>3</v>
      </c>
      <c r="F17771" s="4">
        <v>1.7900000000000001E-60</v>
      </c>
      <c r="G17771" s="3">
        <v>507</v>
      </c>
      <c r="H17771" s="3">
        <v>61</v>
      </c>
      <c r="I17771" s="3">
        <v>156</v>
      </c>
      <c r="J17771" s="3">
        <v>37</v>
      </c>
      <c r="K17771" s="3">
        <v>504</v>
      </c>
      <c r="L17771" s="3">
        <v>1</v>
      </c>
      <c r="M17771" s="3">
        <v>154</v>
      </c>
    </row>
    <row r="17772" spans="1:13" x14ac:dyDescent="0.25">
      <c r="A17772" s="1" t="str">
        <f>HYPERLINK("http://www.rosaceae.org/Prunus/Prunus_persica/p.persica_gdr_reftransV1_0045759","p.persica_gdr_reftransV1_0045759")</f>
        <v>p.persica_gdr_reftransV1_0045759</v>
      </c>
      <c r="B17772" s="3">
        <v>1338</v>
      </c>
      <c r="C17772" s="1" t="str">
        <f>HYPERLINK("http://www.uniprot.org/uniprot/KNAT3_ARATH","KNAT3_ARATH")</f>
        <v>KNAT3_ARATH</v>
      </c>
      <c r="D17772" t="s">
        <v>10846</v>
      </c>
      <c r="E17772" s="3" t="s">
        <v>3</v>
      </c>
      <c r="F17772" s="4">
        <v>6.7300000000000005E-151</v>
      </c>
      <c r="G17772" s="3">
        <v>1139</v>
      </c>
      <c r="H17772" s="3">
        <v>81</v>
      </c>
      <c r="I17772" s="3">
        <v>274</v>
      </c>
      <c r="J17772" s="3">
        <v>70</v>
      </c>
      <c r="K17772" s="3">
        <v>891</v>
      </c>
      <c r="L17772" s="3">
        <v>156</v>
      </c>
      <c r="M17772" s="3">
        <v>427</v>
      </c>
    </row>
    <row r="17773" spans="1:13" x14ac:dyDescent="0.25">
      <c r="A17773" s="1" t="str">
        <f>HYPERLINK("http://www.rosaceae.org/Prunus/Prunus_persica/p.persica_gdr_reftransV1_0045809","p.persica_gdr_reftransV1_0045809")</f>
        <v>p.persica_gdr_reftransV1_0045809</v>
      </c>
      <c r="B17773" s="3">
        <v>1859</v>
      </c>
      <c r="C17773" s="1" t="str">
        <f>HYPERLINK("http://www.uniprot.org/uniprot/BGL12_ORYSJ","BGL12_ORYSJ")</f>
        <v>BGL12_ORYSJ</v>
      </c>
      <c r="D17773" t="s">
        <v>8371</v>
      </c>
      <c r="E17773" s="3" t="s">
        <v>38</v>
      </c>
      <c r="F17773" s="4">
        <v>0</v>
      </c>
      <c r="G17773" s="3">
        <v>1562</v>
      </c>
      <c r="H17773" s="3">
        <v>63</v>
      </c>
      <c r="I17773" s="3">
        <v>488</v>
      </c>
      <c r="J17773" s="3">
        <v>135</v>
      </c>
      <c r="K17773" s="3">
        <v>1598</v>
      </c>
      <c r="L17773" s="3">
        <v>31</v>
      </c>
      <c r="M17773" s="3">
        <v>503</v>
      </c>
    </row>
    <row r="17774" spans="1:13" x14ac:dyDescent="0.25">
      <c r="A17774" s="1" t="str">
        <f>HYPERLINK("http://www.rosaceae.org/Prunus/Prunus_persica/p.persica_gdr_reftransV1_0045959","p.persica_gdr_reftransV1_0045959")</f>
        <v>p.persica_gdr_reftransV1_0045959</v>
      </c>
      <c r="B17774" s="3">
        <v>1686</v>
      </c>
      <c r="C17774" s="1" t="str">
        <f>HYPERLINK("http://www.uniprot.org/uniprot/NAC78_ARATH","NAC78_ARATH")</f>
        <v>NAC78_ARATH</v>
      </c>
      <c r="D17774" t="s">
        <v>6255</v>
      </c>
      <c r="E17774" s="3" t="s">
        <v>3</v>
      </c>
      <c r="F17774" s="4">
        <v>5.1400000000000004E-18</v>
      </c>
      <c r="G17774" s="3">
        <v>225</v>
      </c>
      <c r="H17774" s="3">
        <v>57</v>
      </c>
      <c r="I17774" s="3">
        <v>76</v>
      </c>
      <c r="J17774" s="3">
        <v>1</v>
      </c>
      <c r="K17774" s="3">
        <v>225</v>
      </c>
      <c r="L17774" s="3">
        <v>126</v>
      </c>
      <c r="M17774" s="3">
        <v>198</v>
      </c>
    </row>
    <row r="17775" spans="1:13" x14ac:dyDescent="0.25">
      <c r="A17775" s="1" t="str">
        <f>HYPERLINK("http://www.rosaceae.org/Prunus/Prunus_persica/p.persica_gdr_reftransV1_0046009","p.persica_gdr_reftransV1_0046009")</f>
        <v>p.persica_gdr_reftransV1_0046009</v>
      </c>
      <c r="B17775" s="3">
        <v>1778</v>
      </c>
      <c r="C17775" s="1" t="str">
        <f>HYPERLINK("http://www.uniprot.org/uniprot/GRF5_ARATH","GRF5_ARATH")</f>
        <v>GRF5_ARATH</v>
      </c>
      <c r="D17775" t="s">
        <v>9197</v>
      </c>
      <c r="E17775" s="3" t="s">
        <v>3</v>
      </c>
      <c r="F17775" s="4">
        <v>3.52E-50</v>
      </c>
      <c r="G17775" s="3">
        <v>466</v>
      </c>
      <c r="H17775" s="3">
        <v>68</v>
      </c>
      <c r="I17775" s="3">
        <v>125</v>
      </c>
      <c r="J17775" s="3">
        <v>1118</v>
      </c>
      <c r="K17775" s="3">
        <v>1486</v>
      </c>
      <c r="L17775" s="3">
        <v>3</v>
      </c>
      <c r="M17775" s="3">
        <v>124</v>
      </c>
    </row>
    <row r="17776" spans="1:13" x14ac:dyDescent="0.25">
      <c r="A17776" s="1" t="str">
        <f>HYPERLINK("http://www.rosaceae.org/Prunus/Prunus_persica/p.persica_gdr_reftransV1_0046059","p.persica_gdr_reftransV1_0046059")</f>
        <v>p.persica_gdr_reftransV1_0046059</v>
      </c>
      <c r="B17776" s="3">
        <v>2464</v>
      </c>
      <c r="C17776" s="1" t="str">
        <f>HYPERLINK("http://www.uniprot.org/uniprot/RPR1B_MOUSE","RPR1B_MOUSE")</f>
        <v>RPR1B_MOUSE</v>
      </c>
      <c r="D17776" t="s">
        <v>6804</v>
      </c>
      <c r="E17776" s="3" t="s">
        <v>157</v>
      </c>
      <c r="F17776" s="4">
        <v>3.6799999999999999E-26</v>
      </c>
      <c r="G17776" s="3">
        <v>287</v>
      </c>
      <c r="H17776" s="3">
        <v>43</v>
      </c>
      <c r="I17776" s="3">
        <v>143</v>
      </c>
      <c r="J17776" s="3">
        <v>272</v>
      </c>
      <c r="K17776" s="3">
        <v>694</v>
      </c>
      <c r="L17776" s="3">
        <v>3</v>
      </c>
      <c r="M17776" s="3">
        <v>145</v>
      </c>
    </row>
    <row r="17777" spans="1:13" x14ac:dyDescent="0.25">
      <c r="A17777" s="1" t="str">
        <f>HYPERLINK("http://www.rosaceae.org/Prunus/Prunus_persica/p.persica_gdr_reftransV1_0046109","p.persica_gdr_reftransV1_0046109")</f>
        <v>p.persica_gdr_reftransV1_0046109</v>
      </c>
      <c r="B17777" s="3">
        <v>357</v>
      </c>
      <c r="C17777" s="1" t="str">
        <f>HYPERLINK("http://www.uniprot.org/uniprot/RL191_ARATH","RL191_ARATH")</f>
        <v>RL191_ARATH</v>
      </c>
      <c r="D17777" t="s">
        <v>3954</v>
      </c>
      <c r="E17777" s="3" t="s">
        <v>3</v>
      </c>
      <c r="F17777" s="4">
        <v>1.33E-36</v>
      </c>
      <c r="G17777" s="3">
        <v>325</v>
      </c>
      <c r="H17777" s="3">
        <v>89</v>
      </c>
      <c r="I17777" s="3">
        <v>89</v>
      </c>
      <c r="J17777" s="3">
        <v>90</v>
      </c>
      <c r="K17777" s="3">
        <v>356</v>
      </c>
      <c r="L17777" s="3">
        <v>1</v>
      </c>
      <c r="M17777" s="3">
        <v>89</v>
      </c>
    </row>
    <row r="17778" spans="1:13" x14ac:dyDescent="0.25">
      <c r="A17778" s="1" t="str">
        <f>HYPERLINK("http://www.rosaceae.org/Prunus/Prunus_persica/p.persica_gdr_reftransV1_0046209","p.persica_gdr_reftransV1_0046209")</f>
        <v>p.persica_gdr_reftransV1_0046209</v>
      </c>
      <c r="B17778" s="3">
        <v>2854</v>
      </c>
      <c r="C17778" s="1" t="str">
        <f>HYPERLINK("http://www.uniprot.org/uniprot/ASP1_ORYSJ","ASP1_ORYSJ")</f>
        <v>ASP1_ORYSJ</v>
      </c>
      <c r="D17778" t="s">
        <v>8833</v>
      </c>
      <c r="E17778" s="3" t="s">
        <v>38</v>
      </c>
      <c r="F17778" s="4">
        <v>2.1499999999999999E-89</v>
      </c>
      <c r="G17778" s="3">
        <v>760</v>
      </c>
      <c r="H17778" s="3">
        <v>44</v>
      </c>
      <c r="I17778" s="3">
        <v>390</v>
      </c>
      <c r="J17778" s="3">
        <v>1460</v>
      </c>
      <c r="K17778" s="3">
        <v>2593</v>
      </c>
      <c r="L17778" s="3">
        <v>22</v>
      </c>
      <c r="M17778" s="3">
        <v>407</v>
      </c>
    </row>
    <row r="17779" spans="1:13" x14ac:dyDescent="0.25">
      <c r="A17779" s="1" t="str">
        <f>HYPERLINK("http://www.rosaceae.org/Prunus/Prunus_persica/p.persica_gdr_reftransV1_0046259","p.persica_gdr_reftransV1_0046259")</f>
        <v>p.persica_gdr_reftransV1_0046259</v>
      </c>
      <c r="B17779" s="3">
        <v>611</v>
      </c>
      <c r="C17779" s="1" t="str">
        <f>HYPERLINK("http://www.uniprot.org/uniprot/TBB6_GOSHI","TBB6_GOSHI")</f>
        <v>TBB6_GOSHI</v>
      </c>
      <c r="D17779" t="s">
        <v>8178</v>
      </c>
      <c r="E17779" s="3" t="s">
        <v>816</v>
      </c>
      <c r="F17779" s="4">
        <v>1.2600000000000001E-68</v>
      </c>
      <c r="G17779" s="3">
        <v>567</v>
      </c>
      <c r="H17779" s="3">
        <v>93</v>
      </c>
      <c r="I17779" s="3">
        <v>109</v>
      </c>
      <c r="J17779" s="3">
        <v>284</v>
      </c>
      <c r="K17779" s="3">
        <v>610</v>
      </c>
      <c r="L17779" s="3">
        <v>1</v>
      </c>
      <c r="M17779" s="3">
        <v>109</v>
      </c>
    </row>
    <row r="17780" spans="1:13" x14ac:dyDescent="0.25">
      <c r="A17780" s="1" t="str">
        <f>HYPERLINK("http://www.rosaceae.org/Prunus/Prunus_persica/p.persica_gdr_reftransV1_0046309","p.persica_gdr_reftransV1_0046309")</f>
        <v>p.persica_gdr_reftransV1_0046309</v>
      </c>
      <c r="B17780" s="3">
        <v>2839</v>
      </c>
      <c r="C17780" s="1" t="str">
        <f>HYPERLINK("http://www.uniprot.org/uniprot/BCS1_SCHPO","BCS1_SCHPO")</f>
        <v>BCS1_SCHPO</v>
      </c>
      <c r="D17780" t="s">
        <v>779</v>
      </c>
      <c r="E17780" s="3" t="s">
        <v>464</v>
      </c>
      <c r="F17780" s="4">
        <v>8.6599999999999996E-30</v>
      </c>
      <c r="G17780" s="3">
        <v>321</v>
      </c>
      <c r="H17780" s="3">
        <v>36</v>
      </c>
      <c r="I17780" s="3">
        <v>191</v>
      </c>
      <c r="J17780" s="3">
        <v>725</v>
      </c>
      <c r="K17780" s="3">
        <v>1285</v>
      </c>
      <c r="L17780" s="3">
        <v>200</v>
      </c>
      <c r="M17780" s="3">
        <v>385</v>
      </c>
    </row>
    <row r="17781" spans="1:13" x14ac:dyDescent="0.25">
      <c r="A17781" s="1" t="str">
        <f>HYPERLINK("http://www.rosaceae.org/Prunus/Prunus_persica/p.persica_gdr_reftransV1_0046459","p.persica_gdr_reftransV1_0046459")</f>
        <v>p.persica_gdr_reftransV1_0046459</v>
      </c>
      <c r="B17781" s="3">
        <v>932</v>
      </c>
      <c r="C17781" s="1" t="str">
        <f>HYPERLINK("http://www.uniprot.org/uniprot/CNG14_ARATH","CNG14_ARATH")</f>
        <v>CNG14_ARATH</v>
      </c>
      <c r="D17781" t="s">
        <v>6847</v>
      </c>
      <c r="E17781" s="3" t="s">
        <v>3</v>
      </c>
      <c r="F17781" s="4">
        <v>1.9200000000000001E-75</v>
      </c>
      <c r="G17781" s="3">
        <v>641</v>
      </c>
      <c r="H17781" s="3">
        <v>61</v>
      </c>
      <c r="I17781" s="3">
        <v>213</v>
      </c>
      <c r="J17781" s="3">
        <v>11</v>
      </c>
      <c r="K17781" s="3">
        <v>646</v>
      </c>
      <c r="L17781" s="3">
        <v>1</v>
      </c>
      <c r="M17781" s="3">
        <v>205</v>
      </c>
    </row>
    <row r="17782" spans="1:13" x14ac:dyDescent="0.25">
      <c r="A17782" s="1" t="str">
        <f>HYPERLINK("http://www.rosaceae.org/Prunus/Prunus_persica/p.persica_gdr_reftransV1_0046609","p.persica_gdr_reftransV1_0046609")</f>
        <v>p.persica_gdr_reftransV1_0046609</v>
      </c>
      <c r="B17782" s="3">
        <v>1135</v>
      </c>
      <c r="C17782" s="1" t="str">
        <f>HYPERLINK("http://www.uniprot.org/uniprot/ASF1A_ARATH","ASF1A_ARATH")</f>
        <v>ASF1A_ARATH</v>
      </c>
      <c r="D17782" t="s">
        <v>10847</v>
      </c>
      <c r="E17782" s="3" t="s">
        <v>3</v>
      </c>
      <c r="F17782" s="4">
        <v>4.82E-98</v>
      </c>
      <c r="G17782" s="3">
        <v>759</v>
      </c>
      <c r="H17782" s="3">
        <v>80</v>
      </c>
      <c r="I17782" s="3">
        <v>177</v>
      </c>
      <c r="J17782" s="3">
        <v>178</v>
      </c>
      <c r="K17782" s="3">
        <v>708</v>
      </c>
      <c r="L17782" s="3">
        <v>1</v>
      </c>
      <c r="M17782" s="3">
        <v>175</v>
      </c>
    </row>
    <row r="17783" spans="1:13" x14ac:dyDescent="0.25">
      <c r="A17783" s="1" t="str">
        <f>HYPERLINK("http://www.rosaceae.org/Prunus/Prunus_persica/p.persica_gdr_reftransV1_0046659","p.persica_gdr_reftransV1_0046659")</f>
        <v>p.persica_gdr_reftransV1_0046659</v>
      </c>
      <c r="B17783" s="3">
        <v>568</v>
      </c>
      <c r="C17783" s="1" t="str">
        <f>HYPERLINK("http://www.uniprot.org/uniprot/STIL2_ARATH","STIL2_ARATH")</f>
        <v>STIL2_ARATH</v>
      </c>
      <c r="D17783" t="s">
        <v>720</v>
      </c>
      <c r="E17783" s="3" t="s">
        <v>3</v>
      </c>
      <c r="F17783" s="4">
        <v>1.0499999999999999E-14</v>
      </c>
      <c r="G17783" s="3">
        <v>186</v>
      </c>
      <c r="H17783" s="3">
        <v>41</v>
      </c>
      <c r="I17783" s="3">
        <v>125</v>
      </c>
      <c r="J17783" s="3">
        <v>197</v>
      </c>
      <c r="K17783" s="3">
        <v>568</v>
      </c>
      <c r="L17783" s="3">
        <v>158</v>
      </c>
      <c r="M17783" s="3">
        <v>264</v>
      </c>
    </row>
    <row r="17784" spans="1:13" x14ac:dyDescent="0.25">
      <c r="A17784" s="1" t="str">
        <f>HYPERLINK("http://www.rosaceae.org/Prunus/Prunus_persica/p.persica_gdr_reftransV1_0046759","p.persica_gdr_reftransV1_0046759")</f>
        <v>p.persica_gdr_reftransV1_0046759</v>
      </c>
      <c r="B17784" s="3">
        <v>826</v>
      </c>
      <c r="C17784" s="1" t="str">
        <f>HYPERLINK("http://www.uniprot.org/uniprot/EAF6_XENLA","EAF6_XENLA")</f>
        <v>EAF6_XENLA</v>
      </c>
      <c r="D17784" t="s">
        <v>10848</v>
      </c>
      <c r="E17784" s="3" t="s">
        <v>475</v>
      </c>
      <c r="F17784" s="4">
        <v>1.3899999999999999E-14</v>
      </c>
      <c r="G17784" s="3">
        <v>179</v>
      </c>
      <c r="H17784" s="3">
        <v>42</v>
      </c>
      <c r="I17784" s="3">
        <v>90</v>
      </c>
      <c r="J17784" s="3">
        <v>209</v>
      </c>
      <c r="K17784" s="3">
        <v>469</v>
      </c>
      <c r="L17784" s="3">
        <v>19</v>
      </c>
      <c r="M17784" s="3">
        <v>108</v>
      </c>
    </row>
    <row r="17785" spans="1:13" x14ac:dyDescent="0.25">
      <c r="A17785" s="1" t="str">
        <f>HYPERLINK("http://www.rosaceae.org/Prunus/Prunus_persica/p.persica_gdr_reftransV1_0047109","p.persica_gdr_reftransV1_0047109")</f>
        <v>p.persica_gdr_reftransV1_0047109</v>
      </c>
      <c r="B17785" s="3">
        <v>1303</v>
      </c>
      <c r="C17785" s="1" t="str">
        <f>HYPERLINK("http://www.uniprot.org/uniprot/RPOT3_NICSY","RPOT3_NICSY")</f>
        <v>RPOT3_NICSY</v>
      </c>
      <c r="D17785" t="s">
        <v>10849</v>
      </c>
      <c r="E17785" s="3" t="s">
        <v>495</v>
      </c>
      <c r="F17785" s="4">
        <v>0</v>
      </c>
      <c r="G17785" s="3">
        <v>1697</v>
      </c>
      <c r="H17785" s="3">
        <v>80</v>
      </c>
      <c r="I17785" s="3">
        <v>390</v>
      </c>
      <c r="J17785" s="3">
        <v>134</v>
      </c>
      <c r="K17785" s="3">
        <v>1303</v>
      </c>
      <c r="L17785" s="3">
        <v>616</v>
      </c>
      <c r="M17785" s="3">
        <v>977</v>
      </c>
    </row>
    <row r="17786" spans="1:13" x14ac:dyDescent="0.25">
      <c r="A17786" s="1" t="str">
        <f>HYPERLINK("http://www.rosaceae.org/Prunus/Prunus_persica/p.persica_gdr_reftransV1_0047209","p.persica_gdr_reftransV1_0047209")</f>
        <v>p.persica_gdr_reftransV1_0047209</v>
      </c>
      <c r="B17786" s="3">
        <v>1503</v>
      </c>
      <c r="C17786" s="1" t="str">
        <f>HYPERLINK("http://www.uniprot.org/uniprot/6OMT_COPJA","6OMT_COPJA")</f>
        <v>6OMT_COPJA</v>
      </c>
      <c r="D17786" t="s">
        <v>9371</v>
      </c>
      <c r="E17786" s="3" t="s">
        <v>228</v>
      </c>
      <c r="F17786" s="4">
        <v>1.52E-89</v>
      </c>
      <c r="G17786" s="3">
        <v>727</v>
      </c>
      <c r="H17786" s="3">
        <v>43</v>
      </c>
      <c r="I17786" s="3">
        <v>344</v>
      </c>
      <c r="J17786" s="3">
        <v>395</v>
      </c>
      <c r="K17786" s="3">
        <v>1417</v>
      </c>
      <c r="L17786" s="3">
        <v>10</v>
      </c>
      <c r="M17786" s="3">
        <v>346</v>
      </c>
    </row>
    <row r="17787" spans="1:13" x14ac:dyDescent="0.25">
      <c r="A17787" s="1" t="str">
        <f>HYPERLINK("http://www.rosaceae.org/Prunus/Prunus_persica/p.persica_gdr_reftransV1_0047259","p.persica_gdr_reftransV1_0047259")</f>
        <v>p.persica_gdr_reftransV1_0047259</v>
      </c>
      <c r="B17787" s="3">
        <v>1732</v>
      </c>
      <c r="C17787" s="1" t="str">
        <f>HYPERLINK("http://www.uniprot.org/uniprot/BSN1_BACAM","BSN1_BACAM")</f>
        <v>BSN1_BACAM</v>
      </c>
      <c r="D17787" t="s">
        <v>8792</v>
      </c>
      <c r="E17787" s="3" t="s">
        <v>8793</v>
      </c>
      <c r="F17787" s="4">
        <v>3.2800000000000001E-47</v>
      </c>
      <c r="G17787" s="3">
        <v>436</v>
      </c>
      <c r="H17787" s="3">
        <v>42</v>
      </c>
      <c r="I17787" s="3">
        <v>252</v>
      </c>
      <c r="J17787" s="3">
        <v>347</v>
      </c>
      <c r="K17787" s="3">
        <v>1090</v>
      </c>
      <c r="L17787" s="3">
        <v>53</v>
      </c>
      <c r="M17787" s="3">
        <v>289</v>
      </c>
    </row>
    <row r="17788" spans="1:13" x14ac:dyDescent="0.25">
      <c r="A17788" s="1" t="str">
        <f>HYPERLINK("http://www.rosaceae.org/Prunus/Prunus_persica/p.persica_gdr_reftransV1_0047309","p.persica_gdr_reftransV1_0047309")</f>
        <v>p.persica_gdr_reftransV1_0047309</v>
      </c>
      <c r="B17788" s="3">
        <v>1094</v>
      </c>
      <c r="C17788" s="1" t="str">
        <f>HYPERLINK("http://www.uniprot.org/uniprot/RL6_MESCR","RL6_MESCR")</f>
        <v>RL6_MESCR</v>
      </c>
      <c r="D17788" t="s">
        <v>2485</v>
      </c>
      <c r="E17788" s="3" t="s">
        <v>2486</v>
      </c>
      <c r="F17788" s="4">
        <v>2.45E-126</v>
      </c>
      <c r="G17788" s="3">
        <v>948</v>
      </c>
      <c r="H17788" s="3">
        <v>80</v>
      </c>
      <c r="I17788" s="3">
        <v>232</v>
      </c>
      <c r="J17788" s="3">
        <v>110</v>
      </c>
      <c r="K17788" s="3">
        <v>805</v>
      </c>
      <c r="L17788" s="3">
        <v>3</v>
      </c>
      <c r="M17788" s="3">
        <v>234</v>
      </c>
    </row>
    <row r="17789" spans="1:13" x14ac:dyDescent="0.25">
      <c r="A17789" s="1" t="str">
        <f>HYPERLINK("http://www.rosaceae.org/Prunus/Prunus_persica/p.persica_gdr_reftransV1_0047409","p.persica_gdr_reftransV1_0047409")</f>
        <v>p.persica_gdr_reftransV1_0047409</v>
      </c>
      <c r="B17789" s="3">
        <v>988</v>
      </c>
      <c r="C17789" s="1" t="str">
        <f>HYPERLINK("http://www.uniprot.org/uniprot/RL32_ARATH","RL32_ARATH")</f>
        <v>RL32_ARATH</v>
      </c>
      <c r="D17789" t="s">
        <v>3169</v>
      </c>
      <c r="E17789" s="3" t="s">
        <v>3</v>
      </c>
      <c r="F17789" s="4">
        <v>0</v>
      </c>
      <c r="G17789" s="3">
        <v>1334</v>
      </c>
      <c r="H17789" s="3">
        <v>92</v>
      </c>
      <c r="I17789" s="3">
        <v>294</v>
      </c>
      <c r="J17789" s="3">
        <v>107</v>
      </c>
      <c r="K17789" s="3">
        <v>988</v>
      </c>
      <c r="L17789" s="3">
        <v>1</v>
      </c>
      <c r="M17789" s="3">
        <v>294</v>
      </c>
    </row>
    <row r="17790" spans="1:13" x14ac:dyDescent="0.25">
      <c r="A17790" s="1" t="str">
        <f>HYPERLINK("http://www.rosaceae.org/Prunus/Prunus_persica/p.persica_gdr_reftransV1_0047459","p.persica_gdr_reftransV1_0047459")</f>
        <v>p.persica_gdr_reftransV1_0047459</v>
      </c>
      <c r="B17790" s="3">
        <v>757</v>
      </c>
      <c r="C17790" s="1" t="str">
        <f>HYPERLINK("http://www.uniprot.org/uniprot/RM19_SCHPO","RM19_SCHPO")</f>
        <v>RM19_SCHPO</v>
      </c>
      <c r="D17790" t="s">
        <v>809</v>
      </c>
      <c r="E17790" s="3" t="s">
        <v>464</v>
      </c>
      <c r="F17790" s="4">
        <v>1.3500000000000001E-34</v>
      </c>
      <c r="G17790" s="3">
        <v>318</v>
      </c>
      <c r="H17790" s="3">
        <v>43</v>
      </c>
      <c r="I17790" s="3">
        <v>137</v>
      </c>
      <c r="J17790" s="3">
        <v>52</v>
      </c>
      <c r="K17790" s="3">
        <v>459</v>
      </c>
      <c r="L17790" s="3">
        <v>7</v>
      </c>
      <c r="M17790" s="3">
        <v>143</v>
      </c>
    </row>
    <row r="17791" spans="1:13" x14ac:dyDescent="0.25">
      <c r="A17791" s="1" t="str">
        <f>HYPERLINK("http://www.rosaceae.org/Prunus/Prunus_persica/p.persica_gdr_reftransV1_0047509","p.persica_gdr_reftransV1_0047509")</f>
        <v>p.persica_gdr_reftransV1_0047509</v>
      </c>
      <c r="B17791" s="3">
        <v>1288</v>
      </c>
      <c r="C17791" s="1" t="str">
        <f>HYPERLINK("http://www.uniprot.org/uniprot/FOLD2_ARATH","FOLD2_ARATH")</f>
        <v>FOLD2_ARATH</v>
      </c>
      <c r="D17791" t="s">
        <v>9438</v>
      </c>
      <c r="E17791" s="3" t="s">
        <v>3</v>
      </c>
      <c r="F17791" s="4">
        <v>1.52E-114</v>
      </c>
      <c r="G17791" s="3">
        <v>671</v>
      </c>
      <c r="H17791" s="3">
        <v>82</v>
      </c>
      <c r="I17791" s="3">
        <v>153</v>
      </c>
      <c r="J17791" s="3">
        <v>171</v>
      </c>
      <c r="K17791" s="3">
        <v>629</v>
      </c>
      <c r="L17791" s="3">
        <v>1</v>
      </c>
      <c r="M17791" s="3">
        <v>153</v>
      </c>
    </row>
    <row r="17792" spans="1:13" x14ac:dyDescent="0.25">
      <c r="A17792" s="1" t="str">
        <f>HYPERLINK("http://www.rosaceae.org/Prunus/Prunus_persica/p.persica_gdr_reftransV1_0047559","p.persica_gdr_reftransV1_0047559")</f>
        <v>p.persica_gdr_reftransV1_0047559</v>
      </c>
      <c r="B17792" s="3">
        <v>1726</v>
      </c>
      <c r="C17792" s="1" t="str">
        <f>HYPERLINK("http://www.uniprot.org/uniprot/1A1C_SOYBN","1A1C_SOYBN")</f>
        <v>1A1C_SOYBN</v>
      </c>
      <c r="D17792" t="s">
        <v>5495</v>
      </c>
      <c r="E17792" s="3" t="s">
        <v>307</v>
      </c>
      <c r="F17792" s="4">
        <v>0</v>
      </c>
      <c r="G17792" s="3">
        <v>1931</v>
      </c>
      <c r="H17792" s="3">
        <v>74</v>
      </c>
      <c r="I17792" s="3">
        <v>483</v>
      </c>
      <c r="J17792" s="3">
        <v>123</v>
      </c>
      <c r="K17792" s="3">
        <v>1565</v>
      </c>
      <c r="L17792" s="3">
        <v>1</v>
      </c>
      <c r="M17792" s="3">
        <v>482</v>
      </c>
    </row>
    <row r="17793" spans="1:13" x14ac:dyDescent="0.25">
      <c r="A17793" s="1" t="str">
        <f>HYPERLINK("http://www.rosaceae.org/Prunus/Prunus_persica/p.persica_gdr_reftransV1_0047609","p.persica_gdr_reftransV1_0047609")</f>
        <v>p.persica_gdr_reftransV1_0047609</v>
      </c>
      <c r="B17793" s="3">
        <v>477</v>
      </c>
      <c r="C17793" s="1" t="str">
        <f>HYPERLINK("http://www.uniprot.org/uniprot/P2_ARATH","P2_ARATH")</f>
        <v>P2_ARATH</v>
      </c>
      <c r="D17793" t="s">
        <v>10850</v>
      </c>
      <c r="E17793" s="3" t="s">
        <v>3</v>
      </c>
      <c r="F17793" s="4">
        <v>4.8300000000000003E-69</v>
      </c>
      <c r="G17793" s="3">
        <v>557</v>
      </c>
      <c r="H17793" s="3">
        <v>68</v>
      </c>
      <c r="I17793" s="3">
        <v>158</v>
      </c>
      <c r="J17793" s="3">
        <v>6</v>
      </c>
      <c r="K17793" s="3">
        <v>476</v>
      </c>
      <c r="L17793" s="3">
        <v>38</v>
      </c>
      <c r="M17793" s="3">
        <v>191</v>
      </c>
    </row>
    <row r="17794" spans="1:13" x14ac:dyDescent="0.25">
      <c r="A17794" s="1" t="str">
        <f>HYPERLINK("http://www.rosaceae.org/Prunus/Prunus_persica/p.persica_gdr_reftransV1_0047659","p.persica_gdr_reftransV1_0047659")</f>
        <v>p.persica_gdr_reftransV1_0047659</v>
      </c>
      <c r="B17794" s="3">
        <v>5311</v>
      </c>
      <c r="C17794" s="1" t="str">
        <f>HYPERLINK("http://www.uniprot.org/uniprot/ALA1_ARATH","ALA1_ARATH")</f>
        <v>ALA1_ARATH</v>
      </c>
      <c r="D17794" t="s">
        <v>969</v>
      </c>
      <c r="E17794" s="3" t="s">
        <v>3</v>
      </c>
      <c r="F17794" s="4">
        <v>0</v>
      </c>
      <c r="G17794" s="3">
        <v>3397</v>
      </c>
      <c r="H17794" s="3">
        <v>58</v>
      </c>
      <c r="I17794" s="3">
        <v>1149</v>
      </c>
      <c r="J17794" s="3">
        <v>531</v>
      </c>
      <c r="K17794" s="3">
        <v>3947</v>
      </c>
      <c r="L17794" s="3">
        <v>41</v>
      </c>
      <c r="M17794" s="3">
        <v>1136</v>
      </c>
    </row>
    <row r="17795" spans="1:13" x14ac:dyDescent="0.25">
      <c r="A17795" s="1" t="str">
        <f>HYPERLINK("http://www.rosaceae.org/Prunus/Prunus_persica/p.persica_gdr_reftransV1_0047709","p.persica_gdr_reftransV1_0047709")</f>
        <v>p.persica_gdr_reftransV1_0047709</v>
      </c>
      <c r="B17795" s="3">
        <v>1509</v>
      </c>
      <c r="C17795" s="1" t="str">
        <f>HYPERLINK("http://www.uniprot.org/uniprot/MES3_ARATH","MES3_ARATH")</f>
        <v>MES3_ARATH</v>
      </c>
      <c r="D17795" t="s">
        <v>2826</v>
      </c>
      <c r="E17795" s="3" t="s">
        <v>3</v>
      </c>
      <c r="F17795" s="4">
        <v>4.8600000000000002E-70</v>
      </c>
      <c r="G17795" s="3">
        <v>588</v>
      </c>
      <c r="H17795" s="3">
        <v>48</v>
      </c>
      <c r="I17795" s="3">
        <v>262</v>
      </c>
      <c r="J17795" s="3">
        <v>589</v>
      </c>
      <c r="K17795" s="3">
        <v>1347</v>
      </c>
      <c r="L17795" s="3">
        <v>4</v>
      </c>
      <c r="M17795" s="3">
        <v>263</v>
      </c>
    </row>
    <row r="17796" spans="1:13" x14ac:dyDescent="0.25">
      <c r="A17796" s="1" t="str">
        <f>HYPERLINK("http://www.rosaceae.org/Prunus/Prunus_persica/p.persica_gdr_reftransV1_0047759","p.persica_gdr_reftransV1_0047759")</f>
        <v>p.persica_gdr_reftransV1_0047759</v>
      </c>
      <c r="B17796" s="3">
        <v>1301</v>
      </c>
      <c r="C17796" s="1" t="str">
        <f>HYPERLINK("http://www.uniprot.org/uniprot/BH036_ARATH","BH036_ARATH")</f>
        <v>BH036_ARATH</v>
      </c>
      <c r="D17796" t="s">
        <v>4607</v>
      </c>
      <c r="E17796" s="3" t="s">
        <v>3</v>
      </c>
      <c r="F17796" s="4">
        <v>5.9099999999999995E-11</v>
      </c>
      <c r="G17796" s="3">
        <v>157</v>
      </c>
      <c r="H17796" s="3">
        <v>28</v>
      </c>
      <c r="I17796" s="3">
        <v>172</v>
      </c>
      <c r="J17796" s="3">
        <v>552</v>
      </c>
      <c r="K17796" s="3">
        <v>1052</v>
      </c>
      <c r="L17796" s="3">
        <v>3</v>
      </c>
      <c r="M17796" s="3">
        <v>173</v>
      </c>
    </row>
    <row r="17797" spans="1:13" x14ac:dyDescent="0.25">
      <c r="A17797" s="1" t="str">
        <f>HYPERLINK("http://www.rosaceae.org/Prunus/Prunus_persica/p.persica_gdr_reftransV1_0047859","p.persica_gdr_reftransV1_0047859")</f>
        <v>p.persica_gdr_reftransV1_0047859</v>
      </c>
      <c r="B17797" s="3">
        <v>1362</v>
      </c>
      <c r="C17797" s="1" t="str">
        <f>HYPERLINK("http://www.uniprot.org/uniprot/PAP_CITUN","PAP_CITUN")</f>
        <v>PAP_CITUN</v>
      </c>
      <c r="D17797" t="s">
        <v>9569</v>
      </c>
      <c r="E17797" s="3" t="s">
        <v>4547</v>
      </c>
      <c r="F17797" s="4">
        <v>3.0899999999999999E-151</v>
      </c>
      <c r="G17797" s="3">
        <v>1131</v>
      </c>
      <c r="H17797" s="3">
        <v>73</v>
      </c>
      <c r="I17797" s="3">
        <v>327</v>
      </c>
      <c r="J17797" s="3">
        <v>182</v>
      </c>
      <c r="K17797" s="3">
        <v>1156</v>
      </c>
      <c r="L17797" s="3">
        <v>1</v>
      </c>
      <c r="M17797" s="3">
        <v>323</v>
      </c>
    </row>
    <row r="17798" spans="1:13" x14ac:dyDescent="0.25">
      <c r="A17798" s="1" t="str">
        <f>HYPERLINK("http://www.rosaceae.org/Prunus/Prunus_persica/p.persica_gdr_reftransV1_0047959","p.persica_gdr_reftransV1_0047959")</f>
        <v>p.persica_gdr_reftransV1_0047959</v>
      </c>
      <c r="B17798" s="3">
        <v>1267</v>
      </c>
      <c r="C17798" s="1" t="str">
        <f>HYPERLINK("http://www.uniprot.org/uniprot/ANX4_FRAAN","ANX4_FRAAN")</f>
        <v>ANX4_FRAAN</v>
      </c>
      <c r="D17798" t="s">
        <v>4713</v>
      </c>
      <c r="E17798" s="3" t="s">
        <v>15</v>
      </c>
      <c r="F17798" s="4">
        <v>0</v>
      </c>
      <c r="G17798" s="3">
        <v>1360</v>
      </c>
      <c r="H17798" s="3">
        <v>83</v>
      </c>
      <c r="I17798" s="3">
        <v>314</v>
      </c>
      <c r="J17798" s="3">
        <v>45</v>
      </c>
      <c r="K17798" s="3">
        <v>986</v>
      </c>
      <c r="L17798" s="3">
        <v>1</v>
      </c>
      <c r="M17798" s="3">
        <v>314</v>
      </c>
    </row>
    <row r="17799" spans="1:13" x14ac:dyDescent="0.25">
      <c r="A17799" s="1" t="str">
        <f>HYPERLINK("http://www.rosaceae.org/Prunus/Prunus_persica/p.persica_gdr_reftransV1_0048059","p.persica_gdr_reftransV1_0048059")</f>
        <v>p.persica_gdr_reftransV1_0048059</v>
      </c>
      <c r="B17799" s="3">
        <v>1352</v>
      </c>
      <c r="C17799" s="1" t="str">
        <f>HYPERLINK("http://www.uniprot.org/uniprot/XTH23_ARATH","XTH23_ARATH")</f>
        <v>XTH23_ARATH</v>
      </c>
      <c r="D17799" t="s">
        <v>5527</v>
      </c>
      <c r="E17799" s="3" t="s">
        <v>3</v>
      </c>
      <c r="F17799" s="4">
        <v>4.26E-138</v>
      </c>
      <c r="G17799" s="3">
        <v>1040</v>
      </c>
      <c r="H17799" s="3">
        <v>69</v>
      </c>
      <c r="I17799" s="3">
        <v>280</v>
      </c>
      <c r="J17799" s="3">
        <v>121</v>
      </c>
      <c r="K17799" s="3">
        <v>960</v>
      </c>
      <c r="L17799" s="3">
        <v>8</v>
      </c>
      <c r="M17799" s="3">
        <v>285</v>
      </c>
    </row>
    <row r="17800" spans="1:13" x14ac:dyDescent="0.25">
      <c r="A17800" s="1" t="str">
        <f>HYPERLINK("http://www.rosaceae.org/Prunus/Prunus_persica/p.persica_gdr_reftransV1_0048109","p.persica_gdr_reftransV1_0048109")</f>
        <v>p.persica_gdr_reftransV1_0048109</v>
      </c>
      <c r="B17800" s="3">
        <v>1621</v>
      </c>
      <c r="C17800" s="1" t="str">
        <f>HYPERLINK("http://www.uniprot.org/uniprot/NAC43_ARATH","NAC43_ARATH")</f>
        <v>NAC43_ARATH</v>
      </c>
      <c r="D17800" t="s">
        <v>8190</v>
      </c>
      <c r="E17800" s="3" t="s">
        <v>3</v>
      </c>
      <c r="F17800" s="4">
        <v>1.0100000000000001E-120</v>
      </c>
      <c r="G17800" s="3">
        <v>941</v>
      </c>
      <c r="H17800" s="3">
        <v>56</v>
      </c>
      <c r="I17800" s="3">
        <v>410</v>
      </c>
      <c r="J17800" s="3">
        <v>118</v>
      </c>
      <c r="K17800" s="3">
        <v>1314</v>
      </c>
      <c r="L17800" s="3">
        <v>1</v>
      </c>
      <c r="M17800" s="3">
        <v>364</v>
      </c>
    </row>
    <row r="17801" spans="1:13" x14ac:dyDescent="0.25">
      <c r="A17801" s="1" t="str">
        <f>HYPERLINK("http://www.rosaceae.org/Prunus/Prunus_persica/p.persica_gdr_reftransV1_0048359","p.persica_gdr_reftransV1_0048359")</f>
        <v>p.persica_gdr_reftransV1_0048359</v>
      </c>
      <c r="B17801" s="3">
        <v>1155</v>
      </c>
      <c r="C17801" s="1" t="str">
        <f>HYPERLINK("http://www.uniprot.org/uniprot/PP133_ARATH","PP133_ARATH")</f>
        <v>PP133_ARATH</v>
      </c>
      <c r="D17801" t="s">
        <v>3611</v>
      </c>
      <c r="E17801" s="3" t="s">
        <v>3</v>
      </c>
      <c r="F17801" s="4">
        <v>2.1100000000000001E-152</v>
      </c>
      <c r="G17801" s="3">
        <v>1173</v>
      </c>
      <c r="H17801" s="3">
        <v>58</v>
      </c>
      <c r="I17801" s="3">
        <v>384</v>
      </c>
      <c r="J17801" s="3">
        <v>2</v>
      </c>
      <c r="K17801" s="3">
        <v>1153</v>
      </c>
      <c r="L17801" s="3">
        <v>224</v>
      </c>
      <c r="M17801" s="3">
        <v>596</v>
      </c>
    </row>
    <row r="17802" spans="1:13" x14ac:dyDescent="0.25">
      <c r="A17802" s="1" t="str">
        <f>HYPERLINK("http://www.rosaceae.org/Prunus/Prunus_persica/p.persica_gdr_reftransV1_0048409","p.persica_gdr_reftransV1_0048409")</f>
        <v>p.persica_gdr_reftransV1_0048409</v>
      </c>
      <c r="B17802" s="3">
        <v>701</v>
      </c>
      <c r="C17802" s="1" t="str">
        <f>HYPERLINK("http://www.uniprot.org/uniprot/M810_ARATH","M810_ARATH")</f>
        <v>M810_ARATH</v>
      </c>
      <c r="D17802" t="s">
        <v>92</v>
      </c>
      <c r="E17802" s="3" t="s">
        <v>3</v>
      </c>
      <c r="F17802" s="4">
        <v>3.7299999999999999E-59</v>
      </c>
      <c r="G17802" s="3">
        <v>490</v>
      </c>
      <c r="H17802" s="3">
        <v>41</v>
      </c>
      <c r="I17802" s="3">
        <v>224</v>
      </c>
      <c r="J17802" s="3">
        <v>2</v>
      </c>
      <c r="K17802" s="3">
        <v>673</v>
      </c>
      <c r="L17802" s="3">
        <v>3</v>
      </c>
      <c r="M17802" s="3">
        <v>225</v>
      </c>
    </row>
    <row r="17803" spans="1:13" x14ac:dyDescent="0.25">
      <c r="A17803" s="1" t="str">
        <f>HYPERLINK("http://www.rosaceae.org/Prunus/Prunus_persica/p.persica_gdr_reftransV1_0048459","p.persica_gdr_reftransV1_0048459")</f>
        <v>p.persica_gdr_reftransV1_0048459</v>
      </c>
      <c r="B17803" s="3">
        <v>530</v>
      </c>
      <c r="C17803" s="1" t="str">
        <f>HYPERLINK("http://www.uniprot.org/uniprot/C3H14_ARATH","C3H14_ARATH")</f>
        <v>C3H14_ARATH</v>
      </c>
      <c r="D17803" t="s">
        <v>10851</v>
      </c>
      <c r="E17803" s="3" t="s">
        <v>3</v>
      </c>
      <c r="F17803" s="4">
        <v>4.7900000000000002E-9</v>
      </c>
      <c r="G17803" s="3">
        <v>138</v>
      </c>
      <c r="H17803" s="3">
        <v>62</v>
      </c>
      <c r="I17803" s="3">
        <v>52</v>
      </c>
      <c r="J17803" s="3">
        <v>279</v>
      </c>
      <c r="K17803" s="3">
        <v>434</v>
      </c>
      <c r="L17803" s="3">
        <v>79</v>
      </c>
      <c r="M17803" s="3">
        <v>130</v>
      </c>
    </row>
    <row r="17804" spans="1:13" x14ac:dyDescent="0.25">
      <c r="A17804" s="1" t="str">
        <f>HYPERLINK("http://www.rosaceae.org/Prunus/Prunus_persica/p.persica_gdr_reftransV1_0048609","p.persica_gdr_reftransV1_0048609")</f>
        <v>p.persica_gdr_reftransV1_0048609</v>
      </c>
      <c r="B17804" s="3">
        <v>1059</v>
      </c>
      <c r="C17804" s="1" t="str">
        <f>HYPERLINK("http://www.uniprot.org/uniprot/RHA2A_ARATH","RHA2A_ARATH")</f>
        <v>RHA2A_ARATH</v>
      </c>
      <c r="D17804" t="s">
        <v>10734</v>
      </c>
      <c r="E17804" s="3" t="s">
        <v>3</v>
      </c>
      <c r="F17804" s="4">
        <v>8.7300000000000004E-29</v>
      </c>
      <c r="G17804" s="3">
        <v>284</v>
      </c>
      <c r="H17804" s="3">
        <v>49</v>
      </c>
      <c r="I17804" s="3">
        <v>170</v>
      </c>
      <c r="J17804" s="3">
        <v>314</v>
      </c>
      <c r="K17804" s="3">
        <v>823</v>
      </c>
      <c r="L17804" s="3">
        <v>1</v>
      </c>
      <c r="M17804" s="3">
        <v>154</v>
      </c>
    </row>
    <row r="17805" spans="1:13" x14ac:dyDescent="0.25">
      <c r="A17805" s="1" t="str">
        <f>HYPERLINK("http://www.rosaceae.org/Prunus/Prunus_persica/p.persica_gdr_reftransV1_0048659","p.persica_gdr_reftransV1_0048659")</f>
        <v>p.persica_gdr_reftransV1_0048659</v>
      </c>
      <c r="B17805" s="3">
        <v>1287</v>
      </c>
      <c r="C17805" s="1" t="str">
        <f>HYPERLINK("http://www.uniprot.org/uniprot/CDT1B_ARATH","CDT1B_ARATH")</f>
        <v>CDT1B_ARATH</v>
      </c>
      <c r="D17805" t="s">
        <v>10187</v>
      </c>
      <c r="E17805" s="3" t="s">
        <v>3</v>
      </c>
      <c r="F17805" s="4">
        <v>8.1800000000000002E-38</v>
      </c>
      <c r="G17805" s="3">
        <v>372</v>
      </c>
      <c r="H17805" s="3">
        <v>49</v>
      </c>
      <c r="I17805" s="3">
        <v>148</v>
      </c>
      <c r="J17805" s="3">
        <v>414</v>
      </c>
      <c r="K17805" s="3">
        <v>857</v>
      </c>
      <c r="L17805" s="3">
        <v>44</v>
      </c>
      <c r="M17805" s="3">
        <v>187</v>
      </c>
    </row>
    <row r="17806" spans="1:13" x14ac:dyDescent="0.25">
      <c r="A17806" s="1" t="str">
        <f>HYPERLINK("http://www.rosaceae.org/Prunus/Prunus_persica/p.persica_gdr_reftransV1_0048709","p.persica_gdr_reftransV1_0048709")</f>
        <v>p.persica_gdr_reftransV1_0048709</v>
      </c>
      <c r="B17806" s="3">
        <v>557</v>
      </c>
      <c r="C17806" s="1" t="str">
        <f>HYPERLINK("http://www.uniprot.org/uniprot/Y2317_ARATH","Y2317_ARATH")</f>
        <v>Y2317_ARATH</v>
      </c>
      <c r="D17806" t="s">
        <v>82</v>
      </c>
      <c r="E17806" s="3" t="s">
        <v>3</v>
      </c>
      <c r="F17806" s="4">
        <v>2.5399999999999999E-71</v>
      </c>
      <c r="G17806" s="3">
        <v>607</v>
      </c>
      <c r="H17806" s="3">
        <v>67</v>
      </c>
      <c r="I17806" s="3">
        <v>184</v>
      </c>
      <c r="J17806" s="3">
        <v>2</v>
      </c>
      <c r="K17806" s="3">
        <v>553</v>
      </c>
      <c r="L17806" s="3">
        <v>354</v>
      </c>
      <c r="M17806" s="3">
        <v>537</v>
      </c>
    </row>
    <row r="17807" spans="1:13" x14ac:dyDescent="0.25">
      <c r="A17807" s="1" t="str">
        <f>HYPERLINK("http://www.rosaceae.org/Prunus/Prunus_persica/p.persica_gdr_reftransV1_0048759","p.persica_gdr_reftransV1_0048759")</f>
        <v>p.persica_gdr_reftransV1_0048759</v>
      </c>
      <c r="B17807" s="3">
        <v>1323</v>
      </c>
      <c r="C17807" s="1" t="str">
        <f>HYPERLINK("http://www.uniprot.org/uniprot/VP282_ARATH","VP282_ARATH")</f>
        <v>VP282_ARATH</v>
      </c>
      <c r="D17807" t="s">
        <v>8818</v>
      </c>
      <c r="E17807" s="3" t="s">
        <v>3</v>
      </c>
      <c r="F17807" s="4">
        <v>3.5100000000000003E-105</v>
      </c>
      <c r="G17807" s="3">
        <v>813</v>
      </c>
      <c r="H17807" s="3">
        <v>80</v>
      </c>
      <c r="I17807" s="3">
        <v>208</v>
      </c>
      <c r="J17807" s="3">
        <v>296</v>
      </c>
      <c r="K17807" s="3">
        <v>919</v>
      </c>
      <c r="L17807" s="3">
        <v>2</v>
      </c>
      <c r="M17807" s="3">
        <v>209</v>
      </c>
    </row>
    <row r="17808" spans="1:13" x14ac:dyDescent="0.25">
      <c r="A17808" s="1" t="str">
        <f>HYPERLINK("http://www.rosaceae.org/Prunus/Prunus_persica/p.persica_gdr_reftransV1_0048809","p.persica_gdr_reftransV1_0048809")</f>
        <v>p.persica_gdr_reftransV1_0048809</v>
      </c>
      <c r="B17808" s="3">
        <v>2787</v>
      </c>
      <c r="C17808" s="1" t="str">
        <f>HYPERLINK("http://www.uniprot.org/uniprot/GPDL4_ARATH","GPDL4_ARATH")</f>
        <v>GPDL4_ARATH</v>
      </c>
      <c r="D17808" t="s">
        <v>10256</v>
      </c>
      <c r="E17808" s="3" t="s">
        <v>3</v>
      </c>
      <c r="F17808" s="4">
        <v>0</v>
      </c>
      <c r="G17808" s="3">
        <v>2159</v>
      </c>
      <c r="H17808" s="3">
        <v>57</v>
      </c>
      <c r="I17808" s="3">
        <v>737</v>
      </c>
      <c r="J17808" s="3">
        <v>343</v>
      </c>
      <c r="K17808" s="3">
        <v>2538</v>
      </c>
      <c r="L17808" s="3">
        <v>35</v>
      </c>
      <c r="M17808" s="3">
        <v>766</v>
      </c>
    </row>
    <row r="17809" spans="1:13" x14ac:dyDescent="0.25">
      <c r="A17809" s="1" t="str">
        <f>HYPERLINK("http://www.rosaceae.org/Prunus/Prunus_persica/p.persica_gdr_reftransV1_0048859","p.persica_gdr_reftransV1_0048859")</f>
        <v>p.persica_gdr_reftransV1_0048859</v>
      </c>
      <c r="B17809" s="3">
        <v>416</v>
      </c>
      <c r="C17809" s="1" t="str">
        <f>HYPERLINK("http://www.uniprot.org/uniprot/MY113_ARATH","MY113_ARATH")</f>
        <v>MY113_ARATH</v>
      </c>
      <c r="D17809" t="s">
        <v>3584</v>
      </c>
      <c r="E17809" s="3" t="s">
        <v>3</v>
      </c>
      <c r="F17809" s="4">
        <v>1.62E-12</v>
      </c>
      <c r="G17809" s="3">
        <v>159</v>
      </c>
      <c r="H17809" s="3">
        <v>47</v>
      </c>
      <c r="I17809" s="3">
        <v>75</v>
      </c>
      <c r="J17809" s="3">
        <v>224</v>
      </c>
      <c r="K17809" s="3">
        <v>415</v>
      </c>
      <c r="L17809" s="3">
        <v>79</v>
      </c>
      <c r="M17809" s="3">
        <v>153</v>
      </c>
    </row>
    <row r="17810" spans="1:13" x14ac:dyDescent="0.25">
      <c r="A17810" s="1" t="str">
        <f>HYPERLINK("http://www.rosaceae.org/Prunus/Prunus_persica/p.persica_gdr_reftransV1_0048909","p.persica_gdr_reftransV1_0048909")</f>
        <v>p.persica_gdr_reftransV1_0048909</v>
      </c>
      <c r="B17810" s="3">
        <v>1472</v>
      </c>
      <c r="C17810" s="1" t="str">
        <f>HYPERLINK("http://www.uniprot.org/uniprot/YCHF_BACSU","YCHF_BACSU")</f>
        <v>YCHF_BACSU</v>
      </c>
      <c r="D17810" t="s">
        <v>10852</v>
      </c>
      <c r="E17810" s="3" t="s">
        <v>1630</v>
      </c>
      <c r="F17810" s="4">
        <v>8.4299999999999998E-116</v>
      </c>
      <c r="G17810" s="3">
        <v>904</v>
      </c>
      <c r="H17810" s="3">
        <v>50</v>
      </c>
      <c r="I17810" s="3">
        <v>368</v>
      </c>
      <c r="J17810" s="3">
        <v>164</v>
      </c>
      <c r="K17810" s="3">
        <v>1147</v>
      </c>
      <c r="L17810" s="3">
        <v>6</v>
      </c>
      <c r="M17810" s="3">
        <v>366</v>
      </c>
    </row>
    <row r="17811" spans="1:13" x14ac:dyDescent="0.25">
      <c r="A17811" s="1" t="str">
        <f>HYPERLINK("http://www.rosaceae.org/Prunus/Prunus_persica/p.persica_gdr_reftransV1_0048959","p.persica_gdr_reftransV1_0048959")</f>
        <v>p.persica_gdr_reftransV1_0048959</v>
      </c>
      <c r="B17811" s="3">
        <v>947</v>
      </c>
      <c r="C17811" s="1" t="str">
        <f>HYPERLINK("http://www.uniprot.org/uniprot/PROF_PRUDU","PROF_PRUDU")</f>
        <v>PROF_PRUDU</v>
      </c>
      <c r="D17811" t="s">
        <v>6420</v>
      </c>
      <c r="E17811" s="3" t="s">
        <v>418</v>
      </c>
      <c r="F17811" s="4">
        <v>4.72E-89</v>
      </c>
      <c r="G17811" s="3">
        <v>687</v>
      </c>
      <c r="H17811" s="3">
        <v>100</v>
      </c>
      <c r="I17811" s="3">
        <v>131</v>
      </c>
      <c r="J17811" s="3">
        <v>220</v>
      </c>
      <c r="K17811" s="3">
        <v>612</v>
      </c>
      <c r="L17811" s="3">
        <v>1</v>
      </c>
      <c r="M17811" s="3">
        <v>131</v>
      </c>
    </row>
    <row r="17812" spans="1:13" x14ac:dyDescent="0.25">
      <c r="A17812" s="1" t="str">
        <f>HYPERLINK("http://www.rosaceae.org/Prunus/Prunus_persica/p.persica_gdr_reftransV1_0049109","p.persica_gdr_reftransV1_0049109")</f>
        <v>p.persica_gdr_reftransV1_0049109</v>
      </c>
      <c r="B17812" s="3">
        <v>890</v>
      </c>
      <c r="C17812" s="1" t="str">
        <f>HYPERLINK("http://www.uniprot.org/uniprot/RABA3_ARATH","RABA3_ARATH")</f>
        <v>RABA3_ARATH</v>
      </c>
      <c r="D17812" t="s">
        <v>6791</v>
      </c>
      <c r="E17812" s="3" t="s">
        <v>3</v>
      </c>
      <c r="F17812" s="4">
        <v>1.94E-112</v>
      </c>
      <c r="G17812" s="3">
        <v>850</v>
      </c>
      <c r="H17812" s="3">
        <v>76</v>
      </c>
      <c r="I17812" s="3">
        <v>218</v>
      </c>
      <c r="J17812" s="3">
        <v>19</v>
      </c>
      <c r="K17812" s="3">
        <v>663</v>
      </c>
      <c r="L17812" s="3">
        <v>23</v>
      </c>
      <c r="M17812" s="3">
        <v>237</v>
      </c>
    </row>
    <row r="17813" spans="1:13" x14ac:dyDescent="0.25">
      <c r="A17813" s="1" t="str">
        <f>HYPERLINK("http://www.rosaceae.org/Prunus/Prunus_persica/p.persica_gdr_reftransV1_0049159","p.persica_gdr_reftransV1_0049159")</f>
        <v>p.persica_gdr_reftransV1_0049159</v>
      </c>
      <c r="B17813" s="3">
        <v>1798</v>
      </c>
      <c r="C17813" s="1" t="str">
        <f>HYPERLINK("http://www.uniprot.org/uniprot/APA1_ARATH","APA1_ARATH")</f>
        <v>APA1_ARATH</v>
      </c>
      <c r="D17813" t="s">
        <v>8187</v>
      </c>
      <c r="E17813" s="3" t="s">
        <v>3</v>
      </c>
      <c r="F17813" s="4">
        <v>0</v>
      </c>
      <c r="G17813" s="3">
        <v>1603</v>
      </c>
      <c r="H17813" s="3">
        <v>78</v>
      </c>
      <c r="I17813" s="3">
        <v>398</v>
      </c>
      <c r="J17813" s="3">
        <v>384</v>
      </c>
      <c r="K17813" s="3">
        <v>1577</v>
      </c>
      <c r="L17813" s="3">
        <v>109</v>
      </c>
      <c r="M17813" s="3">
        <v>506</v>
      </c>
    </row>
    <row r="17814" spans="1:13" x14ac:dyDescent="0.25">
      <c r="A17814" s="1" t="str">
        <f>HYPERLINK("http://www.rosaceae.org/Prunus/Prunus_persica/p.persica_gdr_reftransV1_0000010","p.persica_gdr_reftransV1_0000010")</f>
        <v>p.persica_gdr_reftransV1_0000010</v>
      </c>
      <c r="B17814" s="3">
        <v>631</v>
      </c>
      <c r="C17814" s="1" t="str">
        <f>HYPERLINK("http://www.uniprot.org/uniprot/ACCH1_ARATH","ACCH1_ARATH")</f>
        <v>ACCH1_ARATH</v>
      </c>
      <c r="D17814" t="s">
        <v>1325</v>
      </c>
      <c r="E17814" s="3" t="s">
        <v>3</v>
      </c>
      <c r="F17814" s="4">
        <v>1.52E-61</v>
      </c>
      <c r="G17814" s="3">
        <v>514</v>
      </c>
      <c r="H17814" s="3">
        <v>54</v>
      </c>
      <c r="I17814" s="3">
        <v>200</v>
      </c>
      <c r="J17814" s="3">
        <v>31</v>
      </c>
      <c r="K17814" s="3">
        <v>621</v>
      </c>
      <c r="L17814" s="3">
        <v>150</v>
      </c>
      <c r="M17814" s="3">
        <v>348</v>
      </c>
    </row>
    <row r="17815" spans="1:13" x14ac:dyDescent="0.25">
      <c r="A17815" s="1" t="str">
        <f>HYPERLINK("http://www.rosaceae.org/Prunus/Prunus_persica/p.persica_gdr_reftransV1_0000060","p.persica_gdr_reftransV1_0000060")</f>
        <v>p.persica_gdr_reftransV1_0000060</v>
      </c>
      <c r="B17815" s="3">
        <v>1277</v>
      </c>
      <c r="C17815" s="1" t="str">
        <f>HYPERLINK("http://www.uniprot.org/uniprot/SD22_ARATH","SD22_ARATH")</f>
        <v>SD22_ARATH</v>
      </c>
      <c r="D17815" t="s">
        <v>905</v>
      </c>
      <c r="E17815" s="3" t="s">
        <v>3</v>
      </c>
      <c r="F17815" s="4">
        <v>2.2199999999999999E-144</v>
      </c>
      <c r="G17815" s="3">
        <v>1125</v>
      </c>
      <c r="H17815" s="3">
        <v>55</v>
      </c>
      <c r="I17815" s="3">
        <v>426</v>
      </c>
      <c r="J17815" s="3">
        <v>11</v>
      </c>
      <c r="K17815" s="3">
        <v>1273</v>
      </c>
      <c r="L17815" s="3">
        <v>236</v>
      </c>
      <c r="M17815" s="3">
        <v>636</v>
      </c>
    </row>
    <row r="17816" spans="1:13" x14ac:dyDescent="0.25">
      <c r="A17816" s="1" t="str">
        <f>HYPERLINK("http://www.rosaceae.org/Prunus/Prunus_persica/p.persica_gdr_reftransV1_0000160","p.persica_gdr_reftransV1_0000160")</f>
        <v>p.persica_gdr_reftransV1_0000160</v>
      </c>
      <c r="B17816" s="3">
        <v>2189</v>
      </c>
      <c r="C17816" s="1" t="str">
        <f>HYPERLINK("http://www.uniprot.org/uniprot/DI32L_ARATH","DI32L_ARATH")</f>
        <v>DI32L_ARATH</v>
      </c>
      <c r="D17816" t="s">
        <v>10853</v>
      </c>
      <c r="E17816" s="3" t="s">
        <v>3</v>
      </c>
      <c r="F17816" s="4">
        <v>2.38E-158</v>
      </c>
      <c r="G17816" s="3">
        <v>1268</v>
      </c>
      <c r="H17816" s="3">
        <v>53</v>
      </c>
      <c r="I17816" s="3">
        <v>508</v>
      </c>
      <c r="J17816" s="3">
        <v>696</v>
      </c>
      <c r="K17816" s="3">
        <v>2189</v>
      </c>
      <c r="L17816" s="3">
        <v>184</v>
      </c>
      <c r="M17816" s="3">
        <v>653</v>
      </c>
    </row>
    <row r="17817" spans="1:13" x14ac:dyDescent="0.25">
      <c r="A17817" s="1" t="str">
        <f>HYPERLINK("http://www.rosaceae.org/Prunus/Prunus_persica/p.persica_gdr_reftransV1_0000210","p.persica_gdr_reftransV1_0000210")</f>
        <v>p.persica_gdr_reftransV1_0000210</v>
      </c>
      <c r="B17817" s="3">
        <v>342</v>
      </c>
      <c r="C17817" s="1" t="str">
        <f>HYPERLINK("http://www.uniprot.org/uniprot/PP220_ARATH","PP220_ARATH")</f>
        <v>PP220_ARATH</v>
      </c>
      <c r="D17817" t="s">
        <v>214</v>
      </c>
      <c r="E17817" s="3" t="s">
        <v>3</v>
      </c>
      <c r="F17817" s="4">
        <v>2.59E-36</v>
      </c>
      <c r="G17817" s="3">
        <v>342</v>
      </c>
      <c r="H17817" s="3">
        <v>57</v>
      </c>
      <c r="I17817" s="3">
        <v>113</v>
      </c>
      <c r="J17817" s="3">
        <v>3</v>
      </c>
      <c r="K17817" s="3">
        <v>341</v>
      </c>
      <c r="L17817" s="3">
        <v>369</v>
      </c>
      <c r="M17817" s="3">
        <v>481</v>
      </c>
    </row>
    <row r="17818" spans="1:13" x14ac:dyDescent="0.25">
      <c r="A17818" s="1" t="str">
        <f>HYPERLINK("http://www.rosaceae.org/Prunus/Prunus_persica/p.persica_gdr_reftransV1_0000260","p.persica_gdr_reftransV1_0000260")</f>
        <v>p.persica_gdr_reftransV1_0000260</v>
      </c>
      <c r="B17818" s="3">
        <v>356</v>
      </c>
      <c r="C17818" s="1" t="str">
        <f>HYPERLINK("http://www.uniprot.org/uniprot/PLY59_SOLLC","PLY59_SOLLC")</f>
        <v>PLY59_SOLLC</v>
      </c>
      <c r="D17818" t="s">
        <v>10854</v>
      </c>
      <c r="E17818" s="3" t="s">
        <v>64</v>
      </c>
      <c r="F17818" s="4">
        <v>1.72E-22</v>
      </c>
      <c r="G17818" s="3">
        <v>235</v>
      </c>
      <c r="H17818" s="3">
        <v>51</v>
      </c>
      <c r="I17818" s="3">
        <v>90</v>
      </c>
      <c r="J17818" s="3">
        <v>110</v>
      </c>
      <c r="K17818" s="3">
        <v>355</v>
      </c>
      <c r="L17818" s="3">
        <v>32</v>
      </c>
      <c r="M17818" s="3">
        <v>120</v>
      </c>
    </row>
    <row r="17819" spans="1:13" x14ac:dyDescent="0.25">
      <c r="A17819" s="1" t="str">
        <f>HYPERLINK("http://www.rosaceae.org/Prunus/Prunus_persica/p.persica_gdr_reftransV1_0000310","p.persica_gdr_reftransV1_0000310")</f>
        <v>p.persica_gdr_reftransV1_0000310</v>
      </c>
      <c r="B17819" s="3">
        <v>2162</v>
      </c>
      <c r="C17819" s="1" t="str">
        <f>HYPERLINK("http://www.uniprot.org/uniprot/PPH_ARATH","PPH_ARATH")</f>
        <v>PPH_ARATH</v>
      </c>
      <c r="D17819" t="s">
        <v>4504</v>
      </c>
      <c r="E17819" s="3" t="s">
        <v>3</v>
      </c>
      <c r="F17819" s="4">
        <v>3.1000000000000001E-18</v>
      </c>
      <c r="G17819" s="3">
        <v>227</v>
      </c>
      <c r="H17819" s="3">
        <v>25</v>
      </c>
      <c r="I17819" s="3">
        <v>306</v>
      </c>
      <c r="J17819" s="3">
        <v>345</v>
      </c>
      <c r="K17819" s="3">
        <v>1115</v>
      </c>
      <c r="L17819" s="3">
        <v>115</v>
      </c>
      <c r="M17819" s="3">
        <v>416</v>
      </c>
    </row>
    <row r="17820" spans="1:13" x14ac:dyDescent="0.25">
      <c r="A17820" s="1" t="str">
        <f>HYPERLINK("http://www.rosaceae.org/Prunus/Prunus_persica/p.persica_gdr_reftransV1_0000360","p.persica_gdr_reftransV1_0000360")</f>
        <v>p.persica_gdr_reftransV1_0000360</v>
      </c>
      <c r="B17820" s="3">
        <v>501</v>
      </c>
      <c r="C17820" s="1" t="str">
        <f>HYPERLINK("http://www.uniprot.org/uniprot/SDT_ARATH","SDT_ARATH")</f>
        <v>SDT_ARATH</v>
      </c>
      <c r="D17820" t="s">
        <v>10855</v>
      </c>
      <c r="E17820" s="3" t="s">
        <v>3</v>
      </c>
      <c r="F17820" s="4">
        <v>7.6199999999999998E-17</v>
      </c>
      <c r="G17820" s="3">
        <v>198</v>
      </c>
      <c r="H17820" s="3">
        <v>35</v>
      </c>
      <c r="I17820" s="3">
        <v>134</v>
      </c>
      <c r="J17820" s="3">
        <v>104</v>
      </c>
      <c r="K17820" s="3">
        <v>499</v>
      </c>
      <c r="L17820" s="3">
        <v>30</v>
      </c>
      <c r="M17820" s="3">
        <v>163</v>
      </c>
    </row>
    <row r="17821" spans="1:13" x14ac:dyDescent="0.25">
      <c r="A17821" s="1" t="str">
        <f>HYPERLINK("http://www.rosaceae.org/Prunus/Prunus_persica/p.persica_gdr_reftransV1_0000410","p.persica_gdr_reftransV1_0000410")</f>
        <v>p.persica_gdr_reftransV1_0000410</v>
      </c>
      <c r="B17821" s="3">
        <v>2047</v>
      </c>
      <c r="C17821" s="1" t="str">
        <f>HYPERLINK("http://www.uniprot.org/uniprot/INT1_ARATH","INT1_ARATH")</f>
        <v>INT1_ARATH</v>
      </c>
      <c r="D17821" t="s">
        <v>7217</v>
      </c>
      <c r="E17821" s="3" t="s">
        <v>3</v>
      </c>
      <c r="F17821" s="4">
        <v>0</v>
      </c>
      <c r="G17821" s="3">
        <v>1589</v>
      </c>
      <c r="H17821" s="3">
        <v>78</v>
      </c>
      <c r="I17821" s="3">
        <v>507</v>
      </c>
      <c r="J17821" s="3">
        <v>298</v>
      </c>
      <c r="K17821" s="3">
        <v>1791</v>
      </c>
      <c r="L17821" s="3">
        <v>3</v>
      </c>
      <c r="M17821" s="3">
        <v>509</v>
      </c>
    </row>
    <row r="17822" spans="1:13" x14ac:dyDescent="0.25">
      <c r="A17822" s="1" t="str">
        <f>HYPERLINK("http://www.rosaceae.org/Prunus/Prunus_persica/p.persica_gdr_reftransV1_0000460","p.persica_gdr_reftransV1_0000460")</f>
        <v>p.persica_gdr_reftransV1_0000460</v>
      </c>
      <c r="B17822" s="3">
        <v>2098</v>
      </c>
      <c r="C17822" s="1" t="str">
        <f>HYPERLINK("http://www.uniprot.org/uniprot/SEC14_SCHPO","SEC14_SCHPO")</f>
        <v>SEC14_SCHPO</v>
      </c>
      <c r="D17822" t="s">
        <v>10856</v>
      </c>
      <c r="E17822" s="3" t="s">
        <v>464</v>
      </c>
      <c r="F17822" s="4">
        <v>1.0799999999999999E-11</v>
      </c>
      <c r="G17822" s="3">
        <v>169</v>
      </c>
      <c r="H17822" s="3">
        <v>26</v>
      </c>
      <c r="I17822" s="3">
        <v>229</v>
      </c>
      <c r="J17822" s="3">
        <v>671</v>
      </c>
      <c r="K17822" s="3">
        <v>1294</v>
      </c>
      <c r="L17822" s="3">
        <v>37</v>
      </c>
      <c r="M17822" s="3">
        <v>265</v>
      </c>
    </row>
    <row r="17823" spans="1:13" x14ac:dyDescent="0.25">
      <c r="A17823" s="1" t="str">
        <f>HYPERLINK("http://www.rosaceae.org/Prunus/Prunus_persica/p.persica_gdr_reftransV1_0000510","p.persica_gdr_reftransV1_0000510")</f>
        <v>p.persica_gdr_reftransV1_0000510</v>
      </c>
      <c r="B17823" s="3">
        <v>3093</v>
      </c>
      <c r="C17823" s="1" t="str">
        <f>HYPERLINK("http://www.uniprot.org/uniprot/AB22G_ARATH","AB22G_ARATH")</f>
        <v>AB22G_ARATH</v>
      </c>
      <c r="D17823" t="s">
        <v>6269</v>
      </c>
      <c r="E17823" s="3" t="s">
        <v>3</v>
      </c>
      <c r="F17823" s="4">
        <v>0</v>
      </c>
      <c r="G17823" s="3">
        <v>2503</v>
      </c>
      <c r="H17823" s="3">
        <v>80</v>
      </c>
      <c r="I17823" s="3">
        <v>593</v>
      </c>
      <c r="J17823" s="3">
        <v>357</v>
      </c>
      <c r="K17823" s="3">
        <v>2135</v>
      </c>
      <c r="L17823" s="3">
        <v>158</v>
      </c>
      <c r="M17823" s="3">
        <v>749</v>
      </c>
    </row>
    <row r="17824" spans="1:13" x14ac:dyDescent="0.25">
      <c r="A17824" s="1" t="str">
        <f>HYPERLINK("http://www.rosaceae.org/Prunus/Prunus_persica/p.persica_gdr_reftransV1_0000560","p.persica_gdr_reftransV1_0000560")</f>
        <v>p.persica_gdr_reftransV1_0000560</v>
      </c>
      <c r="B17824" s="3">
        <v>675</v>
      </c>
      <c r="C17824" s="1" t="str">
        <f>HYPERLINK("http://www.uniprot.org/uniprot/NAC7_ARATH","NAC7_ARATH")</f>
        <v>NAC7_ARATH</v>
      </c>
      <c r="D17824" t="s">
        <v>10857</v>
      </c>
      <c r="E17824" s="3" t="s">
        <v>3</v>
      </c>
      <c r="F17824" s="4">
        <v>6.3300000000000004E-33</v>
      </c>
      <c r="G17824" s="3">
        <v>319</v>
      </c>
      <c r="H17824" s="3">
        <v>46</v>
      </c>
      <c r="I17824" s="3">
        <v>204</v>
      </c>
      <c r="J17824" s="3">
        <v>2</v>
      </c>
      <c r="K17824" s="3">
        <v>508</v>
      </c>
      <c r="L17824" s="3">
        <v>132</v>
      </c>
      <c r="M17824" s="3">
        <v>335</v>
      </c>
    </row>
    <row r="17825" spans="1:13" x14ac:dyDescent="0.25">
      <c r="A17825" s="1" t="str">
        <f>HYPERLINK("http://www.rosaceae.org/Prunus/Prunus_persica/p.persica_gdr_reftransV1_0000610","p.persica_gdr_reftransV1_0000610")</f>
        <v>p.persica_gdr_reftransV1_0000610</v>
      </c>
      <c r="B17825" s="3">
        <v>1744</v>
      </c>
      <c r="C17825" s="1" t="str">
        <f>HYPERLINK("http://www.uniprot.org/uniprot/CDL1_ARATH","CDL1_ARATH")</f>
        <v>CDL1_ARATH</v>
      </c>
      <c r="D17825" t="s">
        <v>801</v>
      </c>
      <c r="E17825" s="3" t="s">
        <v>3</v>
      </c>
      <c r="F17825" s="4">
        <v>0</v>
      </c>
      <c r="G17825" s="3">
        <v>1594</v>
      </c>
      <c r="H17825" s="3">
        <v>81</v>
      </c>
      <c r="I17825" s="3">
        <v>382</v>
      </c>
      <c r="J17825" s="3">
        <v>186</v>
      </c>
      <c r="K17825" s="3">
        <v>1331</v>
      </c>
      <c r="L17825" s="3">
        <v>1</v>
      </c>
      <c r="M17825" s="3">
        <v>377</v>
      </c>
    </row>
    <row r="17826" spans="1:13" x14ac:dyDescent="0.25">
      <c r="A17826" s="1" t="str">
        <f>HYPERLINK("http://www.rosaceae.org/Prunus/Prunus_persica/p.persica_gdr_reftransV1_0000660","p.persica_gdr_reftransV1_0000660")</f>
        <v>p.persica_gdr_reftransV1_0000660</v>
      </c>
      <c r="B17826" s="3">
        <v>1682</v>
      </c>
      <c r="C17826" s="1" t="str">
        <f>HYPERLINK("http://www.uniprot.org/uniprot/YCF2_MORIN","YCF2_MORIN")</f>
        <v>YCF2_MORIN</v>
      </c>
      <c r="D17826" t="s">
        <v>531</v>
      </c>
      <c r="E17826" s="3" t="s">
        <v>69</v>
      </c>
      <c r="F17826" s="4">
        <v>0</v>
      </c>
      <c r="G17826" s="3">
        <v>2273</v>
      </c>
      <c r="H17826" s="3">
        <v>96</v>
      </c>
      <c r="I17826" s="3">
        <v>507</v>
      </c>
      <c r="J17826" s="3">
        <v>2</v>
      </c>
      <c r="K17826" s="3">
        <v>1522</v>
      </c>
      <c r="L17826" s="3">
        <v>821</v>
      </c>
      <c r="M17826" s="3">
        <v>1325</v>
      </c>
    </row>
    <row r="17827" spans="1:13" x14ac:dyDescent="0.25">
      <c r="A17827" s="1" t="str">
        <f>HYPERLINK("http://www.rosaceae.org/Prunus/Prunus_persica/p.persica_gdr_reftransV1_0000710","p.persica_gdr_reftransV1_0000710")</f>
        <v>p.persica_gdr_reftransV1_0000710</v>
      </c>
      <c r="B17827" s="3">
        <v>2271</v>
      </c>
      <c r="C17827" s="1" t="str">
        <f>HYPERLINK("http://www.uniprot.org/uniprot/FAFL_ARATH","FAFL_ARATH")</f>
        <v>FAFL_ARATH</v>
      </c>
      <c r="D17827" t="s">
        <v>6900</v>
      </c>
      <c r="E17827" s="3" t="s">
        <v>3</v>
      </c>
      <c r="F17827" s="4">
        <v>9.6200000000000007E-46</v>
      </c>
      <c r="G17827" s="3">
        <v>441</v>
      </c>
      <c r="H17827" s="3">
        <v>44</v>
      </c>
      <c r="I17827" s="3">
        <v>282</v>
      </c>
      <c r="J17827" s="3">
        <v>331</v>
      </c>
      <c r="K17827" s="3">
        <v>1173</v>
      </c>
      <c r="L17827" s="3">
        <v>21</v>
      </c>
      <c r="M17827" s="3">
        <v>277</v>
      </c>
    </row>
    <row r="17828" spans="1:13" x14ac:dyDescent="0.25">
      <c r="A17828" s="1" t="str">
        <f>HYPERLINK("http://www.rosaceae.org/Prunus/Prunus_persica/p.persica_gdr_reftransV1_0000810","p.persica_gdr_reftransV1_0000810")</f>
        <v>p.persica_gdr_reftransV1_0000810</v>
      </c>
      <c r="B17828" s="3">
        <v>3690</v>
      </c>
      <c r="C17828" s="1" t="str">
        <f>HYPERLINK("http://www.uniprot.org/uniprot/DDB1_SOLLC","DDB1_SOLLC")</f>
        <v>DDB1_SOLLC</v>
      </c>
      <c r="D17828" t="s">
        <v>2611</v>
      </c>
      <c r="E17828" s="3" t="s">
        <v>64</v>
      </c>
      <c r="F17828" s="4">
        <v>0</v>
      </c>
      <c r="G17828" s="3">
        <v>5069</v>
      </c>
      <c r="H17828" s="3">
        <v>91</v>
      </c>
      <c r="I17828" s="3">
        <v>1090</v>
      </c>
      <c r="J17828" s="3">
        <v>175</v>
      </c>
      <c r="K17828" s="3">
        <v>3441</v>
      </c>
      <c r="L17828" s="3">
        <v>1</v>
      </c>
      <c r="M17828" s="3">
        <v>1090</v>
      </c>
    </row>
    <row r="17829" spans="1:13" x14ac:dyDescent="0.25">
      <c r="A17829" s="1" t="str">
        <f>HYPERLINK("http://www.rosaceae.org/Prunus/Prunus_persica/p.persica_gdr_reftransV1_0000860","p.persica_gdr_reftransV1_0000860")</f>
        <v>p.persica_gdr_reftransV1_0000860</v>
      </c>
      <c r="B17829" s="3">
        <v>2031</v>
      </c>
      <c r="C17829" s="1" t="str">
        <f>HYPERLINK("http://www.uniprot.org/uniprot/NYC1_ORYSJ","NYC1_ORYSJ")</f>
        <v>NYC1_ORYSJ</v>
      </c>
      <c r="D17829" t="s">
        <v>2624</v>
      </c>
      <c r="E17829" s="3" t="s">
        <v>38</v>
      </c>
      <c r="F17829" s="4">
        <v>0</v>
      </c>
      <c r="G17829" s="3">
        <v>1817</v>
      </c>
      <c r="H17829" s="3">
        <v>71</v>
      </c>
      <c r="I17829" s="3">
        <v>490</v>
      </c>
      <c r="J17829" s="3">
        <v>243</v>
      </c>
      <c r="K17829" s="3">
        <v>1691</v>
      </c>
      <c r="L17829" s="3">
        <v>15</v>
      </c>
      <c r="M17829" s="3">
        <v>504</v>
      </c>
    </row>
    <row r="17830" spans="1:13" x14ac:dyDescent="0.25">
      <c r="A17830" s="1" t="str">
        <f>HYPERLINK("http://www.rosaceae.org/Prunus/Prunus_persica/p.persica_gdr_reftransV1_0000960","p.persica_gdr_reftransV1_0000960")</f>
        <v>p.persica_gdr_reftransV1_0000960</v>
      </c>
      <c r="B17830" s="3">
        <v>2103</v>
      </c>
      <c r="C17830" s="1" t="str">
        <f>HYPERLINK("http://www.uniprot.org/uniprot/NRPB3_ARATH","NRPB3_ARATH")</f>
        <v>NRPB3_ARATH</v>
      </c>
      <c r="D17830" t="s">
        <v>5346</v>
      </c>
      <c r="E17830" s="3" t="s">
        <v>3</v>
      </c>
      <c r="F17830" s="4">
        <v>8.17E-59</v>
      </c>
      <c r="G17830" s="3">
        <v>526</v>
      </c>
      <c r="H17830" s="3">
        <v>82</v>
      </c>
      <c r="I17830" s="3">
        <v>115</v>
      </c>
      <c r="J17830" s="3">
        <v>91</v>
      </c>
      <c r="K17830" s="3">
        <v>435</v>
      </c>
      <c r="L17830" s="3">
        <v>1</v>
      </c>
      <c r="M17830" s="3">
        <v>115</v>
      </c>
    </row>
    <row r="17831" spans="1:13" x14ac:dyDescent="0.25">
      <c r="A17831" s="1" t="str">
        <f>HYPERLINK("http://www.rosaceae.org/Prunus/Prunus_persica/p.persica_gdr_reftransV1_0001060","p.persica_gdr_reftransV1_0001060")</f>
        <v>p.persica_gdr_reftransV1_0001060</v>
      </c>
      <c r="B17831" s="3">
        <v>706</v>
      </c>
      <c r="C17831" s="1" t="str">
        <f>HYPERLINK("http://www.uniprot.org/uniprot/UP12_ORYSJ","UP12_ORYSJ")</f>
        <v>UP12_ORYSJ</v>
      </c>
      <c r="D17831" t="s">
        <v>10858</v>
      </c>
      <c r="E17831" s="3" t="s">
        <v>38</v>
      </c>
      <c r="F17831" s="4">
        <v>5.8100000000000001E-38</v>
      </c>
      <c r="G17831" s="3">
        <v>350</v>
      </c>
      <c r="H17831" s="3">
        <v>84</v>
      </c>
      <c r="I17831" s="3">
        <v>79</v>
      </c>
      <c r="J17831" s="3">
        <v>222</v>
      </c>
      <c r="K17831" s="3">
        <v>458</v>
      </c>
      <c r="L17831" s="3">
        <v>205</v>
      </c>
      <c r="M17831" s="3">
        <v>283</v>
      </c>
    </row>
    <row r="17832" spans="1:13" x14ac:dyDescent="0.25">
      <c r="A17832" s="1" t="str">
        <f>HYPERLINK("http://www.rosaceae.org/Prunus/Prunus_persica/p.persica_gdr_reftransV1_0001110","p.persica_gdr_reftransV1_0001110")</f>
        <v>p.persica_gdr_reftransV1_0001110</v>
      </c>
      <c r="B17832" s="3">
        <v>2502</v>
      </c>
      <c r="C17832" s="1" t="str">
        <f>HYPERLINK("http://www.uniprot.org/uniprot/HFA6B_ARATH","HFA6B_ARATH")</f>
        <v>HFA6B_ARATH</v>
      </c>
      <c r="D17832" t="s">
        <v>1416</v>
      </c>
      <c r="E17832" s="3" t="s">
        <v>3</v>
      </c>
      <c r="F17832" s="4">
        <v>1.4399999999999999E-89</v>
      </c>
      <c r="G17832" s="3">
        <v>592</v>
      </c>
      <c r="H17832" s="3">
        <v>51</v>
      </c>
      <c r="I17832" s="3">
        <v>288</v>
      </c>
      <c r="J17832" s="3">
        <v>270</v>
      </c>
      <c r="K17832" s="3">
        <v>1034</v>
      </c>
      <c r="L17832" s="3">
        <v>121</v>
      </c>
      <c r="M17832" s="3">
        <v>402</v>
      </c>
    </row>
    <row r="17833" spans="1:13" x14ac:dyDescent="0.25">
      <c r="A17833" s="1" t="str">
        <f>HYPERLINK("http://www.rosaceae.org/Prunus/Prunus_persica/p.persica_gdr_reftransV1_0001410","p.persica_gdr_reftransV1_0001410")</f>
        <v>p.persica_gdr_reftransV1_0001410</v>
      </c>
      <c r="B17833" s="3">
        <v>1130</v>
      </c>
      <c r="C17833" s="1" t="str">
        <f>HYPERLINK("http://www.uniprot.org/uniprot/ING1_ARATH","ING1_ARATH")</f>
        <v>ING1_ARATH</v>
      </c>
      <c r="D17833" t="s">
        <v>367</v>
      </c>
      <c r="E17833" s="3" t="s">
        <v>3</v>
      </c>
      <c r="F17833" s="4">
        <v>1.8800000000000001E-96</v>
      </c>
      <c r="G17833" s="3">
        <v>752</v>
      </c>
      <c r="H17833" s="3">
        <v>65</v>
      </c>
      <c r="I17833" s="3">
        <v>238</v>
      </c>
      <c r="J17833" s="3">
        <v>288</v>
      </c>
      <c r="K17833" s="3">
        <v>998</v>
      </c>
      <c r="L17833" s="3">
        <v>1</v>
      </c>
      <c r="M17833" s="3">
        <v>234</v>
      </c>
    </row>
    <row r="17834" spans="1:13" x14ac:dyDescent="0.25">
      <c r="A17834" s="1" t="str">
        <f>HYPERLINK("http://www.rosaceae.org/Prunus/Prunus_persica/p.persica_gdr_reftransV1_0001460","p.persica_gdr_reftransV1_0001460")</f>
        <v>p.persica_gdr_reftransV1_0001460</v>
      </c>
      <c r="B17834" s="3">
        <v>2590</v>
      </c>
      <c r="C17834" s="1" t="str">
        <f>HYPERLINK("http://www.uniprot.org/uniprot/DEG15_ARATH","DEG15_ARATH")</f>
        <v>DEG15_ARATH</v>
      </c>
      <c r="D17834" t="s">
        <v>2335</v>
      </c>
      <c r="E17834" s="3" t="s">
        <v>3</v>
      </c>
      <c r="F17834" s="4">
        <v>0</v>
      </c>
      <c r="G17834" s="3">
        <v>1009</v>
      </c>
      <c r="H17834" s="3">
        <v>57</v>
      </c>
      <c r="I17834" s="3">
        <v>375</v>
      </c>
      <c r="J17834" s="3">
        <v>351</v>
      </c>
      <c r="K17834" s="3">
        <v>1460</v>
      </c>
      <c r="L17834" s="3">
        <v>348</v>
      </c>
      <c r="M17834" s="3">
        <v>709</v>
      </c>
    </row>
    <row r="17835" spans="1:13" x14ac:dyDescent="0.25">
      <c r="A17835" s="1" t="str">
        <f>HYPERLINK("http://www.rosaceae.org/Prunus/Prunus_persica/p.persica_gdr_reftransV1_0001510","p.persica_gdr_reftransV1_0001510")</f>
        <v>p.persica_gdr_reftransV1_0001510</v>
      </c>
      <c r="B17835" s="3">
        <v>316</v>
      </c>
      <c r="C17835" s="1" t="str">
        <f>HYPERLINK("http://www.uniprot.org/uniprot/GLPK_ARATH","GLPK_ARATH")</f>
        <v>GLPK_ARATH</v>
      </c>
      <c r="D17835" t="s">
        <v>2923</v>
      </c>
      <c r="E17835" s="3" t="s">
        <v>3</v>
      </c>
      <c r="F17835" s="4">
        <v>1.8E-17</v>
      </c>
      <c r="G17835" s="3">
        <v>199</v>
      </c>
      <c r="H17835" s="3">
        <v>54</v>
      </c>
      <c r="I17835" s="3">
        <v>61</v>
      </c>
      <c r="J17835" s="3">
        <v>4</v>
      </c>
      <c r="K17835" s="3">
        <v>186</v>
      </c>
      <c r="L17835" s="3">
        <v>6</v>
      </c>
      <c r="M17835" s="3">
        <v>66</v>
      </c>
    </row>
    <row r="17836" spans="1:13" x14ac:dyDescent="0.25">
      <c r="A17836" s="1" t="str">
        <f>HYPERLINK("http://www.rosaceae.org/Prunus/Prunus_persica/p.persica_gdr_reftransV1_0001610","p.persica_gdr_reftransV1_0001610")</f>
        <v>p.persica_gdr_reftransV1_0001610</v>
      </c>
      <c r="B17836" s="3">
        <v>1324</v>
      </c>
      <c r="C17836" s="1" t="str">
        <f>HYPERLINK("http://www.uniprot.org/uniprot/AHL23_ARATH","AHL23_ARATH")</f>
        <v>AHL23_ARATH</v>
      </c>
      <c r="D17836" t="s">
        <v>4901</v>
      </c>
      <c r="E17836" s="3" t="s">
        <v>3</v>
      </c>
      <c r="F17836" s="4">
        <v>4.1899999999999999E-95</v>
      </c>
      <c r="G17836" s="3">
        <v>754</v>
      </c>
      <c r="H17836" s="3">
        <v>66</v>
      </c>
      <c r="I17836" s="3">
        <v>304</v>
      </c>
      <c r="J17836" s="3">
        <v>266</v>
      </c>
      <c r="K17836" s="3">
        <v>1114</v>
      </c>
      <c r="L17836" s="3">
        <v>1</v>
      </c>
      <c r="M17836" s="3">
        <v>292</v>
      </c>
    </row>
    <row r="17837" spans="1:13" x14ac:dyDescent="0.25">
      <c r="A17837" s="1" t="str">
        <f>HYPERLINK("http://www.rosaceae.org/Prunus/Prunus_persica/p.persica_gdr_reftransV1_0001660","p.persica_gdr_reftransV1_0001660")</f>
        <v>p.persica_gdr_reftransV1_0001660</v>
      </c>
      <c r="B17837" s="3">
        <v>2422</v>
      </c>
      <c r="C17837" s="1" t="str">
        <f>HYPERLINK("http://www.uniprot.org/uniprot/UFSP_ARATH","UFSP_ARATH")</f>
        <v>UFSP_ARATH</v>
      </c>
      <c r="D17837" t="s">
        <v>9436</v>
      </c>
      <c r="E17837" s="3" t="s">
        <v>3</v>
      </c>
      <c r="F17837" s="4">
        <v>0</v>
      </c>
      <c r="G17837" s="3">
        <v>2170</v>
      </c>
      <c r="H17837" s="3">
        <v>69</v>
      </c>
      <c r="I17837" s="3">
        <v>644</v>
      </c>
      <c r="J17837" s="3">
        <v>128</v>
      </c>
      <c r="K17837" s="3">
        <v>2053</v>
      </c>
      <c r="L17837" s="3">
        <v>6</v>
      </c>
      <c r="M17837" s="3">
        <v>645</v>
      </c>
    </row>
    <row r="17838" spans="1:13" x14ac:dyDescent="0.25">
      <c r="A17838" s="1" t="str">
        <f>HYPERLINK("http://www.rosaceae.org/Prunus/Prunus_persica/p.persica_gdr_reftransV1_0001760","p.persica_gdr_reftransV1_0001760")</f>
        <v>p.persica_gdr_reftransV1_0001760</v>
      </c>
      <c r="B17838" s="3">
        <v>837</v>
      </c>
      <c r="C17838" s="1" t="str">
        <f>HYPERLINK("http://www.uniprot.org/uniprot/WDR81_MOUSE","WDR81_MOUSE")</f>
        <v>WDR81_MOUSE</v>
      </c>
      <c r="D17838" t="s">
        <v>10859</v>
      </c>
      <c r="E17838" s="3" t="s">
        <v>157</v>
      </c>
      <c r="F17838" s="4">
        <v>9.1600000000000005E-28</v>
      </c>
      <c r="G17838" s="3">
        <v>295</v>
      </c>
      <c r="H17838" s="3">
        <v>33</v>
      </c>
      <c r="I17838" s="3">
        <v>268</v>
      </c>
      <c r="J17838" s="3">
        <v>112</v>
      </c>
      <c r="K17838" s="3">
        <v>837</v>
      </c>
      <c r="L17838" s="3">
        <v>209</v>
      </c>
      <c r="M17838" s="3">
        <v>455</v>
      </c>
    </row>
    <row r="17839" spans="1:13" x14ac:dyDescent="0.25">
      <c r="A17839" s="1" t="str">
        <f>HYPERLINK("http://www.rosaceae.org/Prunus/Prunus_persica/p.persica_gdr_reftransV1_0001810","p.persica_gdr_reftransV1_0001810")</f>
        <v>p.persica_gdr_reftransV1_0001810</v>
      </c>
      <c r="B17839" s="3">
        <v>443</v>
      </c>
      <c r="C17839" s="1" t="str">
        <f>HYPERLINK("http://www.uniprot.org/uniprot/QUTD_ASPCL","QUTD_ASPCL")</f>
        <v>QUTD_ASPCL</v>
      </c>
      <c r="D17839" t="s">
        <v>8196</v>
      </c>
      <c r="E17839" s="3" t="s">
        <v>8197</v>
      </c>
      <c r="F17839" s="4">
        <v>4.2099999999999998E-22</v>
      </c>
      <c r="G17839" s="3">
        <v>237</v>
      </c>
      <c r="H17839" s="3">
        <v>39</v>
      </c>
      <c r="I17839" s="3">
        <v>125</v>
      </c>
      <c r="J17839" s="3">
        <v>26</v>
      </c>
      <c r="K17839" s="3">
        <v>388</v>
      </c>
      <c r="L17839" s="3">
        <v>388</v>
      </c>
      <c r="M17839" s="3">
        <v>512</v>
      </c>
    </row>
    <row r="17840" spans="1:13" x14ac:dyDescent="0.25">
      <c r="A17840" s="1" t="str">
        <f>HYPERLINK("http://www.rosaceae.org/Prunus/Prunus_persica/p.persica_gdr_reftransV1_0001860","p.persica_gdr_reftransV1_0001860")</f>
        <v>p.persica_gdr_reftransV1_0001860</v>
      </c>
      <c r="B17840" s="3">
        <v>1777</v>
      </c>
      <c r="C17840" s="1" t="str">
        <f>HYPERLINK("http://www.uniprot.org/uniprot/Y4757_DICDI","Y4757_DICDI")</f>
        <v>Y4757_DICDI</v>
      </c>
      <c r="D17840" t="s">
        <v>6481</v>
      </c>
      <c r="E17840" s="3" t="s">
        <v>9</v>
      </c>
      <c r="F17840" s="4">
        <v>8.5200000000000004E-16</v>
      </c>
      <c r="G17840" s="3">
        <v>208</v>
      </c>
      <c r="H17840" s="3">
        <v>38</v>
      </c>
      <c r="I17840" s="3">
        <v>133</v>
      </c>
      <c r="J17840" s="3">
        <v>660</v>
      </c>
      <c r="K17840" s="3">
        <v>1025</v>
      </c>
      <c r="L17840" s="3">
        <v>608</v>
      </c>
      <c r="M17840" s="3">
        <v>740</v>
      </c>
    </row>
    <row r="17841" spans="1:13" x14ac:dyDescent="0.25">
      <c r="A17841" s="1" t="str">
        <f>HYPERLINK("http://www.rosaceae.org/Prunus/Prunus_persica/p.persica_gdr_reftransV1_0001910","p.persica_gdr_reftransV1_0001910")</f>
        <v>p.persica_gdr_reftransV1_0001910</v>
      </c>
      <c r="B17841" s="3">
        <v>1706</v>
      </c>
      <c r="C17841" s="1" t="str">
        <f>HYPERLINK("http://www.uniprot.org/uniprot/WDR6_PONAB","WDR6_PONAB")</f>
        <v>WDR6_PONAB</v>
      </c>
      <c r="D17841" t="s">
        <v>10860</v>
      </c>
      <c r="E17841" s="3" t="s">
        <v>176</v>
      </c>
      <c r="F17841" s="4">
        <v>5.5500000000000001E-24</v>
      </c>
      <c r="G17841" s="3">
        <v>276</v>
      </c>
      <c r="H17841" s="3">
        <v>28</v>
      </c>
      <c r="I17841" s="3">
        <v>285</v>
      </c>
      <c r="J17841" s="3">
        <v>29</v>
      </c>
      <c r="K17841" s="3">
        <v>883</v>
      </c>
      <c r="L17841" s="3">
        <v>84</v>
      </c>
      <c r="M17841" s="3">
        <v>327</v>
      </c>
    </row>
    <row r="17842" spans="1:13" x14ac:dyDescent="0.25">
      <c r="A17842" s="1" t="str">
        <f>HYPERLINK("http://www.rosaceae.org/Prunus/Prunus_persica/p.persica_gdr_reftransV1_0002010","p.persica_gdr_reftransV1_0002010")</f>
        <v>p.persica_gdr_reftransV1_0002010</v>
      </c>
      <c r="B17842" s="3">
        <v>870</v>
      </c>
      <c r="C17842" s="1" t="str">
        <f>HYPERLINK("http://www.uniprot.org/uniprot/AKR1_SOYBN","AKR1_SOYBN")</f>
        <v>AKR1_SOYBN</v>
      </c>
      <c r="D17842" t="s">
        <v>796</v>
      </c>
      <c r="E17842" s="3" t="s">
        <v>307</v>
      </c>
      <c r="F17842" s="4">
        <v>5.09E-58</v>
      </c>
      <c r="G17842" s="3">
        <v>429</v>
      </c>
      <c r="H17842" s="3">
        <v>73</v>
      </c>
      <c r="I17842" s="3">
        <v>104</v>
      </c>
      <c r="J17842" s="3">
        <v>1</v>
      </c>
      <c r="K17842" s="3">
        <v>312</v>
      </c>
      <c r="L17842" s="3">
        <v>180</v>
      </c>
      <c r="M17842" s="3">
        <v>283</v>
      </c>
    </row>
    <row r="17843" spans="1:13" x14ac:dyDescent="0.25">
      <c r="A17843" s="1" t="str">
        <f>HYPERLINK("http://www.rosaceae.org/Prunus/Prunus_persica/p.persica_gdr_reftransV1_0002060","p.persica_gdr_reftransV1_0002060")</f>
        <v>p.persica_gdr_reftransV1_0002060</v>
      </c>
      <c r="B17843" s="3">
        <v>437</v>
      </c>
      <c r="C17843" s="1" t="str">
        <f>HYPERLINK("http://www.uniprot.org/uniprot/ACL5_ARATH","ACL5_ARATH")</f>
        <v>ACL5_ARATH</v>
      </c>
      <c r="D17843" t="s">
        <v>3526</v>
      </c>
      <c r="E17843" s="3" t="s">
        <v>3</v>
      </c>
      <c r="F17843" s="4">
        <v>5.4699999999999997E-60</v>
      </c>
      <c r="G17843" s="3">
        <v>494</v>
      </c>
      <c r="H17843" s="3">
        <v>73</v>
      </c>
      <c r="I17843" s="3">
        <v>120</v>
      </c>
      <c r="J17843" s="3">
        <v>64</v>
      </c>
      <c r="K17843" s="3">
        <v>423</v>
      </c>
      <c r="L17843" s="3">
        <v>218</v>
      </c>
      <c r="M17843" s="3">
        <v>337</v>
      </c>
    </row>
    <row r="17844" spans="1:13" x14ac:dyDescent="0.25">
      <c r="A17844" s="1" t="str">
        <f>HYPERLINK("http://www.rosaceae.org/Prunus/Prunus_persica/p.persica_gdr_reftransV1_0002110","p.persica_gdr_reftransV1_0002110")</f>
        <v>p.persica_gdr_reftransV1_0002110</v>
      </c>
      <c r="B17844" s="3">
        <v>339</v>
      </c>
      <c r="C17844" s="1" t="str">
        <f>HYPERLINK("http://www.uniprot.org/uniprot/PLYF_EMENI","PLYF_EMENI")</f>
        <v>PLYF_EMENI</v>
      </c>
      <c r="D17844" t="s">
        <v>6871</v>
      </c>
      <c r="E17844" s="3" t="s">
        <v>205</v>
      </c>
      <c r="F17844" s="4">
        <v>5.8499999999999996E-42</v>
      </c>
      <c r="G17844" s="3">
        <v>362</v>
      </c>
      <c r="H17844" s="3">
        <v>64</v>
      </c>
      <c r="I17844" s="3">
        <v>104</v>
      </c>
      <c r="J17844" s="3">
        <v>2</v>
      </c>
      <c r="K17844" s="3">
        <v>313</v>
      </c>
      <c r="L17844" s="3">
        <v>15</v>
      </c>
      <c r="M17844" s="3">
        <v>118</v>
      </c>
    </row>
    <row r="17845" spans="1:13" x14ac:dyDescent="0.25">
      <c r="A17845" s="1" t="str">
        <f>HYPERLINK("http://www.rosaceae.org/Prunus/Prunus_persica/p.persica_gdr_reftransV1_0002260","p.persica_gdr_reftransV1_0002260")</f>
        <v>p.persica_gdr_reftransV1_0002260</v>
      </c>
      <c r="B17845" s="3">
        <v>2029</v>
      </c>
      <c r="C17845" s="1" t="str">
        <f>HYPERLINK("http://www.uniprot.org/uniprot/LAC2_ARATH","LAC2_ARATH")</f>
        <v>LAC2_ARATH</v>
      </c>
      <c r="D17845" t="s">
        <v>10861</v>
      </c>
      <c r="E17845" s="3" t="s">
        <v>3</v>
      </c>
      <c r="F17845" s="4">
        <v>0</v>
      </c>
      <c r="G17845" s="3">
        <v>2166</v>
      </c>
      <c r="H17845" s="3">
        <v>73</v>
      </c>
      <c r="I17845" s="3">
        <v>578</v>
      </c>
      <c r="J17845" s="3">
        <v>71</v>
      </c>
      <c r="K17845" s="3">
        <v>1801</v>
      </c>
      <c r="L17845" s="3">
        <v>9</v>
      </c>
      <c r="M17845" s="3">
        <v>573</v>
      </c>
    </row>
    <row r="17846" spans="1:13" x14ac:dyDescent="0.25">
      <c r="A17846" s="1" t="str">
        <f>HYPERLINK("http://www.rosaceae.org/Prunus/Prunus_persica/p.persica_gdr_reftransV1_0002310","p.persica_gdr_reftransV1_0002310")</f>
        <v>p.persica_gdr_reftransV1_0002310</v>
      </c>
      <c r="B17846" s="3">
        <v>1459</v>
      </c>
      <c r="C17846" s="1" t="str">
        <f>HYPERLINK("http://www.uniprot.org/uniprot/LRX4_ARATH","LRX4_ARATH")</f>
        <v>LRX4_ARATH</v>
      </c>
      <c r="D17846" t="s">
        <v>1969</v>
      </c>
      <c r="E17846" s="3" t="s">
        <v>3</v>
      </c>
      <c r="F17846" s="4">
        <v>2.2699999999999999E-140</v>
      </c>
      <c r="G17846" s="3">
        <v>1079</v>
      </c>
      <c r="H17846" s="3">
        <v>61</v>
      </c>
      <c r="I17846" s="3">
        <v>367</v>
      </c>
      <c r="J17846" s="3">
        <v>431</v>
      </c>
      <c r="K17846" s="3">
        <v>1414</v>
      </c>
      <c r="L17846" s="3">
        <v>31</v>
      </c>
      <c r="M17846" s="3">
        <v>396</v>
      </c>
    </row>
    <row r="17847" spans="1:13" x14ac:dyDescent="0.25">
      <c r="A17847" s="1" t="str">
        <f>HYPERLINK("http://www.rosaceae.org/Prunus/Prunus_persica/p.persica_gdr_reftransV1_0002360","p.persica_gdr_reftransV1_0002360")</f>
        <v>p.persica_gdr_reftransV1_0002360</v>
      </c>
      <c r="B17847" s="3">
        <v>305</v>
      </c>
      <c r="C17847" s="1" t="str">
        <f>HYPERLINK("http://www.uniprot.org/uniprot/SM3L1_ARATH","SM3L1_ARATH")</f>
        <v>SM3L1_ARATH</v>
      </c>
      <c r="D17847" t="s">
        <v>1855</v>
      </c>
      <c r="E17847" s="3" t="s">
        <v>3</v>
      </c>
      <c r="F17847" s="4">
        <v>8.7800000000000005E-40</v>
      </c>
      <c r="G17847" s="3">
        <v>365</v>
      </c>
      <c r="H17847" s="3">
        <v>65</v>
      </c>
      <c r="I17847" s="3">
        <v>101</v>
      </c>
      <c r="J17847" s="3">
        <v>3</v>
      </c>
      <c r="K17847" s="3">
        <v>305</v>
      </c>
      <c r="L17847" s="3">
        <v>749</v>
      </c>
      <c r="M17847" s="3">
        <v>849</v>
      </c>
    </row>
    <row r="17848" spans="1:13" x14ac:dyDescent="0.25">
      <c r="A17848" s="1" t="str">
        <f>HYPERLINK("http://www.rosaceae.org/Prunus/Prunus_persica/p.persica_gdr_reftransV1_0002460","p.persica_gdr_reftransV1_0002460")</f>
        <v>p.persica_gdr_reftransV1_0002460</v>
      </c>
      <c r="B17848" s="3">
        <v>533</v>
      </c>
      <c r="C17848" s="1" t="str">
        <f>HYPERLINK("http://www.uniprot.org/uniprot/ATPB_NEUCR","ATPB_NEUCR")</f>
        <v>ATPB_NEUCR</v>
      </c>
      <c r="D17848" t="s">
        <v>6658</v>
      </c>
      <c r="E17848" s="3" t="s">
        <v>435</v>
      </c>
      <c r="F17848" s="4">
        <v>1.21E-118</v>
      </c>
      <c r="G17848" s="3">
        <v>904</v>
      </c>
      <c r="H17848" s="3">
        <v>97</v>
      </c>
      <c r="I17848" s="3">
        <v>177</v>
      </c>
      <c r="J17848" s="3">
        <v>1</v>
      </c>
      <c r="K17848" s="3">
        <v>531</v>
      </c>
      <c r="L17848" s="3">
        <v>229</v>
      </c>
      <c r="M17848" s="3">
        <v>405</v>
      </c>
    </row>
    <row r="17849" spans="1:13" x14ac:dyDescent="0.25">
      <c r="A17849" s="1" t="str">
        <f>HYPERLINK("http://www.rosaceae.org/Prunus/Prunus_persica/p.persica_gdr_reftransV1_0002560","p.persica_gdr_reftransV1_0002560")</f>
        <v>p.persica_gdr_reftransV1_0002560</v>
      </c>
      <c r="B17849" s="3">
        <v>1479</v>
      </c>
      <c r="C17849" s="1" t="str">
        <f>HYPERLINK("http://www.uniprot.org/uniprot/RM21_ARATH","RM21_ARATH")</f>
        <v>RM21_ARATH</v>
      </c>
      <c r="D17849" t="s">
        <v>5026</v>
      </c>
      <c r="E17849" s="3" t="s">
        <v>3</v>
      </c>
      <c r="F17849" s="4">
        <v>1.5199999999999999E-45</v>
      </c>
      <c r="G17849" s="3">
        <v>419</v>
      </c>
      <c r="H17849" s="3">
        <v>62</v>
      </c>
      <c r="I17849" s="3">
        <v>160</v>
      </c>
      <c r="J17849" s="3">
        <v>504</v>
      </c>
      <c r="K17849" s="3">
        <v>983</v>
      </c>
      <c r="L17849" s="3">
        <v>119</v>
      </c>
      <c r="M17849" s="3">
        <v>244</v>
      </c>
    </row>
    <row r="17850" spans="1:13" x14ac:dyDescent="0.25">
      <c r="A17850" s="1" t="str">
        <f>HYPERLINK("http://www.rosaceae.org/Prunus/Prunus_persica/p.persica_gdr_reftransV1_0002710","p.persica_gdr_reftransV1_0002710")</f>
        <v>p.persica_gdr_reftransV1_0002710</v>
      </c>
      <c r="B17850" s="3">
        <v>1703</v>
      </c>
      <c r="C17850" s="1" t="str">
        <f>HYPERLINK("http://www.uniprot.org/uniprot/HSD1B_ARATH","HSD1B_ARATH")</f>
        <v>HSD1B_ARATH</v>
      </c>
      <c r="D17850" t="s">
        <v>9234</v>
      </c>
      <c r="E17850" s="3" t="s">
        <v>3</v>
      </c>
      <c r="F17850" s="4">
        <v>8.2399999999999998E-156</v>
      </c>
      <c r="G17850" s="3">
        <v>1175</v>
      </c>
      <c r="H17850" s="3">
        <v>64</v>
      </c>
      <c r="I17850" s="3">
        <v>350</v>
      </c>
      <c r="J17850" s="3">
        <v>525</v>
      </c>
      <c r="K17850" s="3">
        <v>1574</v>
      </c>
      <c r="L17850" s="3">
        <v>1</v>
      </c>
      <c r="M17850" s="3">
        <v>349</v>
      </c>
    </row>
    <row r="17851" spans="1:13" x14ac:dyDescent="0.25">
      <c r="A17851" s="1" t="str">
        <f>HYPERLINK("http://www.rosaceae.org/Prunus/Prunus_persica/p.persica_gdr_reftransV1_0002760","p.persica_gdr_reftransV1_0002760")</f>
        <v>p.persica_gdr_reftransV1_0002760</v>
      </c>
      <c r="B17851" s="3">
        <v>2649</v>
      </c>
      <c r="C17851" s="1" t="str">
        <f>HYPERLINK("http://www.uniprot.org/uniprot/TBL18_ARATH","TBL18_ARATH")</f>
        <v>TBL18_ARATH</v>
      </c>
      <c r="D17851" t="s">
        <v>10862</v>
      </c>
      <c r="E17851" s="3" t="s">
        <v>3</v>
      </c>
      <c r="F17851" s="4">
        <v>0</v>
      </c>
      <c r="G17851" s="3">
        <v>1594</v>
      </c>
      <c r="H17851" s="3">
        <v>72</v>
      </c>
      <c r="I17851" s="3">
        <v>377</v>
      </c>
      <c r="J17851" s="3">
        <v>305</v>
      </c>
      <c r="K17851" s="3">
        <v>1432</v>
      </c>
      <c r="L17851" s="3">
        <v>156</v>
      </c>
      <c r="M17851" s="3">
        <v>532</v>
      </c>
    </row>
    <row r="17852" spans="1:13" x14ac:dyDescent="0.25">
      <c r="A17852" s="1" t="str">
        <f>HYPERLINK("http://www.rosaceae.org/Prunus/Prunus_persica/p.persica_gdr_reftransV1_0002810","p.persica_gdr_reftransV1_0002810")</f>
        <v>p.persica_gdr_reftransV1_0002810</v>
      </c>
      <c r="B17852" s="3">
        <v>2231</v>
      </c>
      <c r="C17852" s="1" t="str">
        <f>HYPERLINK("http://www.uniprot.org/uniprot/ATPBM_NICPL","ATPBM_NICPL")</f>
        <v>ATPBM_NICPL</v>
      </c>
      <c r="D17852" t="s">
        <v>5105</v>
      </c>
      <c r="E17852" s="3" t="s">
        <v>1450</v>
      </c>
      <c r="F17852" s="4">
        <v>0</v>
      </c>
      <c r="G17852" s="3">
        <v>2408</v>
      </c>
      <c r="H17852" s="3">
        <v>93</v>
      </c>
      <c r="I17852" s="3">
        <v>499</v>
      </c>
      <c r="J17852" s="3">
        <v>300</v>
      </c>
      <c r="K17852" s="3">
        <v>1796</v>
      </c>
      <c r="L17852" s="3">
        <v>45</v>
      </c>
      <c r="M17852" s="3">
        <v>543</v>
      </c>
    </row>
    <row r="17853" spans="1:13" x14ac:dyDescent="0.25">
      <c r="A17853" s="1" t="str">
        <f>HYPERLINK("http://www.rosaceae.org/Prunus/Prunus_persica/p.persica_gdr_reftransV1_0002960","p.persica_gdr_reftransV1_0002960")</f>
        <v>p.persica_gdr_reftransV1_0002960</v>
      </c>
      <c r="B17853" s="3">
        <v>1630</v>
      </c>
      <c r="C17853" s="1" t="str">
        <f>HYPERLINK("http://www.uniprot.org/uniprot/Y4744_ARATH","Y4744_ARATH")</f>
        <v>Y4744_ARATH</v>
      </c>
      <c r="D17853" t="s">
        <v>4913</v>
      </c>
      <c r="E17853" s="3" t="s">
        <v>3</v>
      </c>
      <c r="F17853" s="4">
        <v>1.3400000000000001E-89</v>
      </c>
      <c r="G17853" s="3">
        <v>736</v>
      </c>
      <c r="H17853" s="3">
        <v>45</v>
      </c>
      <c r="I17853" s="3">
        <v>353</v>
      </c>
      <c r="J17853" s="3">
        <v>202</v>
      </c>
      <c r="K17853" s="3">
        <v>1233</v>
      </c>
      <c r="L17853" s="3">
        <v>40</v>
      </c>
      <c r="M17853" s="3">
        <v>386</v>
      </c>
    </row>
    <row r="17854" spans="1:13" x14ac:dyDescent="0.25">
      <c r="A17854" s="1" t="str">
        <f>HYPERLINK("http://www.rosaceae.org/Prunus/Prunus_persica/p.persica_gdr_reftransV1_0003110","p.persica_gdr_reftransV1_0003110")</f>
        <v>p.persica_gdr_reftransV1_0003110</v>
      </c>
      <c r="B17854" s="3">
        <v>1107</v>
      </c>
      <c r="C17854" s="1" t="str">
        <f>HYPERLINK("http://www.uniprot.org/uniprot/VINSY_RAUSE","VINSY_RAUSE")</f>
        <v>VINSY_RAUSE</v>
      </c>
      <c r="D17854" t="s">
        <v>2815</v>
      </c>
      <c r="E17854" s="3" t="s">
        <v>2816</v>
      </c>
      <c r="F17854" s="4">
        <v>5.1100000000000001E-33</v>
      </c>
      <c r="G17854" s="3">
        <v>331</v>
      </c>
      <c r="H17854" s="3">
        <v>33</v>
      </c>
      <c r="I17854" s="3">
        <v>277</v>
      </c>
      <c r="J17854" s="3">
        <v>3</v>
      </c>
      <c r="K17854" s="3">
        <v>827</v>
      </c>
      <c r="L17854" s="3">
        <v>151</v>
      </c>
      <c r="M17854" s="3">
        <v>397</v>
      </c>
    </row>
    <row r="17855" spans="1:13" x14ac:dyDescent="0.25">
      <c r="A17855" s="1" t="str">
        <f>HYPERLINK("http://www.rosaceae.org/Prunus/Prunus_persica/p.persica_gdr_reftransV1_0003160","p.persica_gdr_reftransV1_0003160")</f>
        <v>p.persica_gdr_reftransV1_0003160</v>
      </c>
      <c r="B17855" s="3">
        <v>318</v>
      </c>
      <c r="C17855" s="1" t="str">
        <f>HYPERLINK("http://www.uniprot.org/uniprot/PP127_ARATH","PP127_ARATH")</f>
        <v>PP127_ARATH</v>
      </c>
      <c r="D17855" t="s">
        <v>5030</v>
      </c>
      <c r="E17855" s="3" t="s">
        <v>3</v>
      </c>
      <c r="F17855" s="4">
        <v>3.15E-29</v>
      </c>
      <c r="G17855" s="3">
        <v>287</v>
      </c>
      <c r="H17855" s="3">
        <v>54</v>
      </c>
      <c r="I17855" s="3">
        <v>103</v>
      </c>
      <c r="J17855" s="3">
        <v>3</v>
      </c>
      <c r="K17855" s="3">
        <v>311</v>
      </c>
      <c r="L17855" s="3">
        <v>284</v>
      </c>
      <c r="M17855" s="3">
        <v>385</v>
      </c>
    </row>
    <row r="17856" spans="1:13" x14ac:dyDescent="0.25">
      <c r="A17856" s="1" t="str">
        <f>HYPERLINK("http://www.rosaceae.org/Prunus/Prunus_persica/p.persica_gdr_reftransV1_0003210","p.persica_gdr_reftransV1_0003210")</f>
        <v>p.persica_gdr_reftransV1_0003210</v>
      </c>
      <c r="B17856" s="3">
        <v>606</v>
      </c>
      <c r="C17856" s="1" t="str">
        <f>HYPERLINK("http://www.uniprot.org/uniprot/Y4200_ARATH","Y4200_ARATH")</f>
        <v>Y4200_ARATH</v>
      </c>
      <c r="D17856" t="s">
        <v>10863</v>
      </c>
      <c r="E17856" s="3" t="s">
        <v>3</v>
      </c>
      <c r="F17856" s="4">
        <v>4.5499999999999997E-8</v>
      </c>
      <c r="G17856" s="3">
        <v>132</v>
      </c>
      <c r="H17856" s="3">
        <v>30</v>
      </c>
      <c r="I17856" s="3">
        <v>104</v>
      </c>
      <c r="J17856" s="3">
        <v>237</v>
      </c>
      <c r="K17856" s="3">
        <v>539</v>
      </c>
      <c r="L17856" s="3">
        <v>41</v>
      </c>
      <c r="M17856" s="3">
        <v>144</v>
      </c>
    </row>
    <row r="17857" spans="1:13" x14ac:dyDescent="0.25">
      <c r="A17857" s="1" t="str">
        <f>HYPERLINK("http://www.rosaceae.org/Prunus/Prunus_persica/p.persica_gdr_reftransV1_0003310","p.persica_gdr_reftransV1_0003310")</f>
        <v>p.persica_gdr_reftransV1_0003310</v>
      </c>
      <c r="B17857" s="3">
        <v>1702</v>
      </c>
      <c r="C17857" s="1" t="str">
        <f>HYPERLINK("http://www.uniprot.org/uniprot/AGAL3_ARATH","AGAL3_ARATH")</f>
        <v>AGAL3_ARATH</v>
      </c>
      <c r="D17857" t="s">
        <v>7524</v>
      </c>
      <c r="E17857" s="3" t="s">
        <v>3</v>
      </c>
      <c r="F17857" s="4">
        <v>0</v>
      </c>
      <c r="G17857" s="3">
        <v>1711</v>
      </c>
      <c r="H17857" s="3">
        <v>76</v>
      </c>
      <c r="I17857" s="3">
        <v>399</v>
      </c>
      <c r="J17857" s="3">
        <v>220</v>
      </c>
      <c r="K17857" s="3">
        <v>1413</v>
      </c>
      <c r="L17857" s="3">
        <v>36</v>
      </c>
      <c r="M17857" s="3">
        <v>434</v>
      </c>
    </row>
    <row r="17858" spans="1:13" x14ac:dyDescent="0.25">
      <c r="A17858" s="1" t="str">
        <f>HYPERLINK("http://www.rosaceae.org/Prunus/Prunus_persica/p.persica_gdr_reftransV1_0003360","p.persica_gdr_reftransV1_0003360")</f>
        <v>p.persica_gdr_reftransV1_0003360</v>
      </c>
      <c r="B17858" s="3">
        <v>726</v>
      </c>
      <c r="C17858" s="1" t="str">
        <f>HYPERLINK("http://www.uniprot.org/uniprot/FOSB_BACA2","FOSB_BACA2")</f>
        <v>FOSB_BACA2</v>
      </c>
      <c r="D17858" t="s">
        <v>10864</v>
      </c>
      <c r="E17858" s="3" t="s">
        <v>8793</v>
      </c>
      <c r="F17858" s="4">
        <v>3.5400000000000002E-7</v>
      </c>
      <c r="G17858" s="3">
        <v>122</v>
      </c>
      <c r="H17858" s="3">
        <v>28</v>
      </c>
      <c r="I17858" s="3">
        <v>138</v>
      </c>
      <c r="J17858" s="3">
        <v>222</v>
      </c>
      <c r="K17858" s="3">
        <v>614</v>
      </c>
      <c r="L17858" s="3">
        <v>4</v>
      </c>
      <c r="M17858" s="3">
        <v>124</v>
      </c>
    </row>
    <row r="17859" spans="1:13" x14ac:dyDescent="0.25">
      <c r="A17859" s="1" t="str">
        <f>HYPERLINK("http://www.rosaceae.org/Prunus/Prunus_persica/p.persica_gdr_reftransV1_0003560","p.persica_gdr_reftransV1_0003560")</f>
        <v>p.persica_gdr_reftransV1_0003560</v>
      </c>
      <c r="B17859" s="3">
        <v>395</v>
      </c>
      <c r="C17859" s="1" t="str">
        <f>HYPERLINK("http://www.uniprot.org/uniprot/PPAF2_IPOBA","PPAF2_IPOBA")</f>
        <v>PPAF2_IPOBA</v>
      </c>
      <c r="D17859" t="s">
        <v>6228</v>
      </c>
      <c r="E17859" s="3" t="s">
        <v>6229</v>
      </c>
      <c r="F17859" s="4">
        <v>7.4700000000000001E-78</v>
      </c>
      <c r="G17859" s="3">
        <v>622</v>
      </c>
      <c r="H17859" s="3">
        <v>84</v>
      </c>
      <c r="I17859" s="3">
        <v>131</v>
      </c>
      <c r="J17859" s="3">
        <v>1</v>
      </c>
      <c r="K17859" s="3">
        <v>393</v>
      </c>
      <c r="L17859" s="3">
        <v>283</v>
      </c>
      <c r="M17859" s="3">
        <v>412</v>
      </c>
    </row>
    <row r="17860" spans="1:13" x14ac:dyDescent="0.25">
      <c r="A17860" s="1" t="str">
        <f>HYPERLINK("http://www.rosaceae.org/Prunus/Prunus_persica/p.persica_gdr_reftransV1_0003610","p.persica_gdr_reftransV1_0003610")</f>
        <v>p.persica_gdr_reftransV1_0003610</v>
      </c>
      <c r="B17860" s="3">
        <v>461</v>
      </c>
      <c r="C17860" s="1" t="str">
        <f>HYPERLINK("http://www.uniprot.org/uniprot/CRS1_ARATH","CRS1_ARATH")</f>
        <v>CRS1_ARATH</v>
      </c>
      <c r="D17860" t="s">
        <v>10865</v>
      </c>
      <c r="E17860" s="3" t="s">
        <v>3</v>
      </c>
      <c r="F17860" s="4">
        <v>4.33E-10</v>
      </c>
      <c r="G17860" s="3">
        <v>147</v>
      </c>
      <c r="H17860" s="3">
        <v>49</v>
      </c>
      <c r="I17860" s="3">
        <v>67</v>
      </c>
      <c r="J17860" s="3">
        <v>1</v>
      </c>
      <c r="K17860" s="3">
        <v>201</v>
      </c>
      <c r="L17860" s="3">
        <v>72</v>
      </c>
      <c r="M17860" s="3">
        <v>134</v>
      </c>
    </row>
    <row r="17861" spans="1:13" x14ac:dyDescent="0.25">
      <c r="A17861" s="1" t="str">
        <f>HYPERLINK("http://www.rosaceae.org/Prunus/Prunus_persica/p.persica_gdr_reftransV1_0003660","p.persica_gdr_reftransV1_0003660")</f>
        <v>p.persica_gdr_reftransV1_0003660</v>
      </c>
      <c r="B17861" s="3">
        <v>2197</v>
      </c>
      <c r="C17861" s="1" t="str">
        <f>HYPERLINK("http://www.uniprot.org/uniprot/ACOX3_ARATH","ACOX3_ARATH")</f>
        <v>ACOX3_ARATH</v>
      </c>
      <c r="D17861" t="s">
        <v>10549</v>
      </c>
      <c r="E17861" s="3" t="s">
        <v>3</v>
      </c>
      <c r="F17861" s="4">
        <v>0</v>
      </c>
      <c r="G17861" s="3">
        <v>1442</v>
      </c>
      <c r="H17861" s="3">
        <v>75</v>
      </c>
      <c r="I17861" s="3">
        <v>346</v>
      </c>
      <c r="J17861" s="3">
        <v>1035</v>
      </c>
      <c r="K17861" s="3">
        <v>2063</v>
      </c>
      <c r="L17861" s="3">
        <v>4</v>
      </c>
      <c r="M17861" s="3">
        <v>349</v>
      </c>
    </row>
    <row r="17862" spans="1:13" x14ac:dyDescent="0.25">
      <c r="A17862" s="1" t="str">
        <f>HYPERLINK("http://www.rosaceae.org/Prunus/Prunus_persica/p.persica_gdr_reftransV1_0003710","p.persica_gdr_reftransV1_0003710")</f>
        <v>p.persica_gdr_reftransV1_0003710</v>
      </c>
      <c r="B17862" s="3">
        <v>354</v>
      </c>
      <c r="C17862" s="1" t="str">
        <f>HYPERLINK("http://www.uniprot.org/uniprot/C71BV_ARATH","C71BV_ARATH")</f>
        <v>C71BV_ARATH</v>
      </c>
      <c r="D17862" t="s">
        <v>10866</v>
      </c>
      <c r="E17862" s="3" t="s">
        <v>3</v>
      </c>
      <c r="F17862" s="4">
        <v>2.67E-36</v>
      </c>
      <c r="G17862" s="3">
        <v>335</v>
      </c>
      <c r="H17862" s="3">
        <v>67</v>
      </c>
      <c r="I17862" s="3">
        <v>92</v>
      </c>
      <c r="J17862" s="3">
        <v>1</v>
      </c>
      <c r="K17862" s="3">
        <v>276</v>
      </c>
      <c r="L17862" s="3">
        <v>23</v>
      </c>
      <c r="M17862" s="3">
        <v>113</v>
      </c>
    </row>
    <row r="17863" spans="1:13" x14ac:dyDescent="0.25">
      <c r="A17863" s="1" t="str">
        <f>HYPERLINK("http://www.rosaceae.org/Prunus/Prunus_persica/p.persica_gdr_reftransV1_0003760","p.persica_gdr_reftransV1_0003760")</f>
        <v>p.persica_gdr_reftransV1_0003760</v>
      </c>
      <c r="B17863" s="3">
        <v>667</v>
      </c>
      <c r="C17863" s="1" t="str">
        <f>HYPERLINK("http://www.uniprot.org/uniprot/RPC10_MOUSE","RPC10_MOUSE")</f>
        <v>RPC10_MOUSE</v>
      </c>
      <c r="D17863" t="s">
        <v>2380</v>
      </c>
      <c r="E17863" s="3" t="s">
        <v>157</v>
      </c>
      <c r="F17863" s="4">
        <v>2.63E-17</v>
      </c>
      <c r="G17863" s="3">
        <v>193</v>
      </c>
      <c r="H17863" s="3">
        <v>41</v>
      </c>
      <c r="I17863" s="3">
        <v>110</v>
      </c>
      <c r="J17863" s="3">
        <v>233</v>
      </c>
      <c r="K17863" s="3">
        <v>559</v>
      </c>
      <c r="L17863" s="3">
        <v>2</v>
      </c>
      <c r="M17863" s="3">
        <v>108</v>
      </c>
    </row>
    <row r="17864" spans="1:13" x14ac:dyDescent="0.25">
      <c r="A17864" s="1" t="str">
        <f>HYPERLINK("http://www.rosaceae.org/Prunus/Prunus_persica/p.persica_gdr_reftransV1_0003910","p.persica_gdr_reftransV1_0003910")</f>
        <v>p.persica_gdr_reftransV1_0003910</v>
      </c>
      <c r="B17864" s="3">
        <v>2522</v>
      </c>
      <c r="C17864" s="1" t="str">
        <f>HYPERLINK("http://www.uniprot.org/uniprot/GPDL2_ARATH","GPDL2_ARATH")</f>
        <v>GPDL2_ARATH</v>
      </c>
      <c r="D17864" t="s">
        <v>3941</v>
      </c>
      <c r="E17864" s="3" t="s">
        <v>3</v>
      </c>
      <c r="F17864" s="4">
        <v>1.2099999999999999E-93</v>
      </c>
      <c r="G17864" s="3">
        <v>830</v>
      </c>
      <c r="H17864" s="3">
        <v>52</v>
      </c>
      <c r="I17864" s="3">
        <v>310</v>
      </c>
      <c r="J17864" s="3">
        <v>962</v>
      </c>
      <c r="K17864" s="3">
        <v>1864</v>
      </c>
      <c r="L17864" s="3">
        <v>787</v>
      </c>
      <c r="M17864" s="3">
        <v>1092</v>
      </c>
    </row>
    <row r="17865" spans="1:13" x14ac:dyDescent="0.25">
      <c r="A17865" s="1" t="str">
        <f>HYPERLINK("http://www.rosaceae.org/Prunus/Prunus_persica/p.persica_gdr_reftransV1_0003960","p.persica_gdr_reftransV1_0003960")</f>
        <v>p.persica_gdr_reftransV1_0003960</v>
      </c>
      <c r="B17865" s="3">
        <v>1689</v>
      </c>
      <c r="C17865" s="1" t="str">
        <f>HYPERLINK("http://www.uniprot.org/uniprot/NUDT8_ARATH","NUDT8_ARATH")</f>
        <v>NUDT8_ARATH</v>
      </c>
      <c r="D17865" t="s">
        <v>1384</v>
      </c>
      <c r="E17865" s="3" t="s">
        <v>3</v>
      </c>
      <c r="F17865" s="4">
        <v>1.1300000000000001E-83</v>
      </c>
      <c r="G17865" s="3">
        <v>694</v>
      </c>
      <c r="H17865" s="3">
        <v>57</v>
      </c>
      <c r="I17865" s="3">
        <v>256</v>
      </c>
      <c r="J17865" s="3">
        <v>515</v>
      </c>
      <c r="K17865" s="3">
        <v>1276</v>
      </c>
      <c r="L17865" s="3">
        <v>15</v>
      </c>
      <c r="M17865" s="3">
        <v>258</v>
      </c>
    </row>
    <row r="17866" spans="1:13" x14ac:dyDescent="0.25">
      <c r="A17866" s="1" t="str">
        <f>HYPERLINK("http://www.rosaceae.org/Prunus/Prunus_persica/p.persica_gdr_reftransV1_0004060","p.persica_gdr_reftransV1_0004060")</f>
        <v>p.persica_gdr_reftransV1_0004060</v>
      </c>
      <c r="B17866" s="3">
        <v>2245</v>
      </c>
      <c r="C17866" s="1" t="str">
        <f>HYPERLINK("http://www.uniprot.org/uniprot/N4BP2_HUMAN","N4BP2_HUMAN")</f>
        <v>N4BP2_HUMAN</v>
      </c>
      <c r="D17866" t="s">
        <v>2302</v>
      </c>
      <c r="E17866" s="3" t="s">
        <v>28</v>
      </c>
      <c r="F17866" s="4">
        <v>8.6200000000000002E-10</v>
      </c>
      <c r="G17866" s="3">
        <v>161</v>
      </c>
      <c r="H17866" s="3">
        <v>29</v>
      </c>
      <c r="I17866" s="3">
        <v>156</v>
      </c>
      <c r="J17866" s="3">
        <v>432</v>
      </c>
      <c r="K17866" s="3">
        <v>872</v>
      </c>
      <c r="L17866" s="3">
        <v>1618</v>
      </c>
      <c r="M17866" s="3">
        <v>1769</v>
      </c>
    </row>
    <row r="17867" spans="1:13" x14ac:dyDescent="0.25">
      <c r="A17867" s="1" t="str">
        <f>HYPERLINK("http://www.rosaceae.org/Prunus/Prunus_persica/p.persica_gdr_reftransV1_0004210","p.persica_gdr_reftransV1_0004210")</f>
        <v>p.persica_gdr_reftransV1_0004210</v>
      </c>
      <c r="B17867" s="3">
        <v>4882</v>
      </c>
      <c r="C17867" s="1" t="str">
        <f>HYPERLINK("http://www.uniprot.org/uniprot/SNL2_ARATH","SNL2_ARATH")</f>
        <v>SNL2_ARATH</v>
      </c>
      <c r="D17867" t="s">
        <v>10867</v>
      </c>
      <c r="E17867" s="3" t="s">
        <v>3</v>
      </c>
      <c r="F17867" s="4">
        <v>0</v>
      </c>
      <c r="G17867" s="3">
        <v>3993</v>
      </c>
      <c r="H17867" s="3">
        <v>60</v>
      </c>
      <c r="I17867" s="3">
        <v>1418</v>
      </c>
      <c r="J17867" s="3">
        <v>261</v>
      </c>
      <c r="K17867" s="3">
        <v>4448</v>
      </c>
      <c r="L17867" s="3">
        <v>1</v>
      </c>
      <c r="M17867" s="3">
        <v>1366</v>
      </c>
    </row>
    <row r="17868" spans="1:13" x14ac:dyDescent="0.25">
      <c r="A17868" s="1" t="str">
        <f>HYPERLINK("http://www.rosaceae.org/Prunus/Prunus_persica/p.persica_gdr_reftransV1_0004310","p.persica_gdr_reftransV1_0004310")</f>
        <v>p.persica_gdr_reftransV1_0004310</v>
      </c>
      <c r="B17868" s="3">
        <v>318</v>
      </c>
      <c r="C17868" s="1" t="str">
        <f>HYPERLINK("http://www.uniprot.org/uniprot/PP252_ARATH","PP252_ARATH")</f>
        <v>PP252_ARATH</v>
      </c>
      <c r="D17868" t="s">
        <v>7780</v>
      </c>
      <c r="E17868" s="3" t="s">
        <v>3</v>
      </c>
      <c r="F17868" s="4">
        <v>3.4500000000000001E-15</v>
      </c>
      <c r="G17868" s="3">
        <v>182</v>
      </c>
      <c r="H17868" s="3">
        <v>59</v>
      </c>
      <c r="I17868" s="3">
        <v>59</v>
      </c>
      <c r="J17868" s="3">
        <v>3</v>
      </c>
      <c r="K17868" s="3">
        <v>179</v>
      </c>
      <c r="L17868" s="3">
        <v>56</v>
      </c>
      <c r="M17868" s="3">
        <v>114</v>
      </c>
    </row>
    <row r="17869" spans="1:13" x14ac:dyDescent="0.25">
      <c r="A17869" s="1" t="str">
        <f>HYPERLINK("http://www.rosaceae.org/Prunus/Prunus_persica/p.persica_gdr_reftransV1_0004410","p.persica_gdr_reftransV1_0004410")</f>
        <v>p.persica_gdr_reftransV1_0004410</v>
      </c>
      <c r="B17869" s="3">
        <v>780</v>
      </c>
      <c r="C17869" s="1" t="str">
        <f>HYPERLINK("http://www.uniprot.org/uniprot/GASA9_ARATH","GASA9_ARATH")</f>
        <v>GASA9_ARATH</v>
      </c>
      <c r="D17869" t="s">
        <v>10868</v>
      </c>
      <c r="E17869" s="3" t="s">
        <v>3</v>
      </c>
      <c r="F17869" s="4">
        <v>4.4200000000000001E-12</v>
      </c>
      <c r="G17869" s="3">
        <v>157</v>
      </c>
      <c r="H17869" s="3">
        <v>55</v>
      </c>
      <c r="I17869" s="3">
        <v>99</v>
      </c>
      <c r="J17869" s="3">
        <v>382</v>
      </c>
      <c r="K17869" s="3">
        <v>678</v>
      </c>
      <c r="L17869" s="3">
        <v>21</v>
      </c>
      <c r="M17869" s="3">
        <v>119</v>
      </c>
    </row>
    <row r="17870" spans="1:13" x14ac:dyDescent="0.25">
      <c r="A17870" s="1" t="str">
        <f>HYPERLINK("http://www.rosaceae.org/Prunus/Prunus_persica/p.persica_gdr_reftransV1_0004560","p.persica_gdr_reftransV1_0004560")</f>
        <v>p.persica_gdr_reftransV1_0004560</v>
      </c>
      <c r="B17870" s="3">
        <v>2047</v>
      </c>
      <c r="C17870" s="1" t="str">
        <f>HYPERLINK("http://www.uniprot.org/uniprot/MNS5_ARATH","MNS5_ARATH")</f>
        <v>MNS5_ARATH</v>
      </c>
      <c r="D17870" t="s">
        <v>2930</v>
      </c>
      <c r="E17870" s="3" t="s">
        <v>3</v>
      </c>
      <c r="F17870" s="4">
        <v>0</v>
      </c>
      <c r="G17870" s="3">
        <v>2077</v>
      </c>
      <c r="H17870" s="3">
        <v>82</v>
      </c>
      <c r="I17870" s="3">
        <v>468</v>
      </c>
      <c r="J17870" s="3">
        <v>460</v>
      </c>
      <c r="K17870" s="3">
        <v>1863</v>
      </c>
      <c r="L17870" s="3">
        <v>32</v>
      </c>
      <c r="M17870" s="3">
        <v>499</v>
      </c>
    </row>
    <row r="17871" spans="1:13" x14ac:dyDescent="0.25">
      <c r="A17871" s="1" t="str">
        <f>HYPERLINK("http://www.rosaceae.org/Prunus/Prunus_persica/p.persica_gdr_reftransV1_0004760","p.persica_gdr_reftransV1_0004760")</f>
        <v>p.persica_gdr_reftransV1_0004760</v>
      </c>
      <c r="B17871" s="3">
        <v>3893</v>
      </c>
      <c r="C17871" s="1" t="str">
        <f>HYPERLINK("http://www.uniprot.org/uniprot/GTE10_ARATH","GTE10_ARATH")</f>
        <v>GTE10_ARATH</v>
      </c>
      <c r="D17871" t="s">
        <v>3476</v>
      </c>
      <c r="E17871" s="3" t="s">
        <v>3</v>
      </c>
      <c r="F17871" s="4">
        <v>7.1000000000000001E-152</v>
      </c>
      <c r="G17871" s="3">
        <v>1268</v>
      </c>
      <c r="H17871" s="3">
        <v>53</v>
      </c>
      <c r="I17871" s="3">
        <v>751</v>
      </c>
      <c r="J17871" s="3">
        <v>794</v>
      </c>
      <c r="K17871" s="3">
        <v>2995</v>
      </c>
      <c r="L17871" s="3">
        <v>1</v>
      </c>
      <c r="M17871" s="3">
        <v>716</v>
      </c>
    </row>
    <row r="17872" spans="1:13" x14ac:dyDescent="0.25">
      <c r="A17872" s="1" t="str">
        <f>HYPERLINK("http://www.rosaceae.org/Prunus/Prunus_persica/p.persica_gdr_reftransV1_0004860","p.persica_gdr_reftransV1_0004860")</f>
        <v>p.persica_gdr_reftransV1_0004860</v>
      </c>
      <c r="B17872" s="3">
        <v>435</v>
      </c>
      <c r="C17872" s="1" t="str">
        <f>HYPERLINK("http://www.uniprot.org/uniprot/GLR27_ARATH","GLR27_ARATH")</f>
        <v>GLR27_ARATH</v>
      </c>
      <c r="D17872" t="s">
        <v>1199</v>
      </c>
      <c r="E17872" s="3" t="s">
        <v>3</v>
      </c>
      <c r="F17872" s="4">
        <v>5.83E-65</v>
      </c>
      <c r="G17872" s="3">
        <v>553</v>
      </c>
      <c r="H17872" s="3">
        <v>69</v>
      </c>
      <c r="I17872" s="3">
        <v>137</v>
      </c>
      <c r="J17872" s="3">
        <v>25</v>
      </c>
      <c r="K17872" s="3">
        <v>435</v>
      </c>
      <c r="L17872" s="3">
        <v>522</v>
      </c>
      <c r="M17872" s="3">
        <v>656</v>
      </c>
    </row>
    <row r="17873" spans="1:13" x14ac:dyDescent="0.25">
      <c r="A17873" s="1" t="str">
        <f>HYPERLINK("http://www.rosaceae.org/Prunus/Prunus_persica/p.persica_gdr_reftransV1_0005010","p.persica_gdr_reftransV1_0005010")</f>
        <v>p.persica_gdr_reftransV1_0005010</v>
      </c>
      <c r="B17873" s="3">
        <v>947</v>
      </c>
      <c r="C17873" s="1" t="str">
        <f>HYPERLINK("http://www.uniprot.org/uniprot/HS21C_PEA","HS21C_PEA")</f>
        <v>HS21C_PEA</v>
      </c>
      <c r="D17873" t="s">
        <v>10869</v>
      </c>
      <c r="E17873" s="3" t="s">
        <v>60</v>
      </c>
      <c r="F17873" s="4">
        <v>7.6299999999999996E-73</v>
      </c>
      <c r="G17873" s="3">
        <v>588</v>
      </c>
      <c r="H17873" s="3">
        <v>66</v>
      </c>
      <c r="I17873" s="3">
        <v>207</v>
      </c>
      <c r="J17873" s="3">
        <v>217</v>
      </c>
      <c r="K17873" s="3">
        <v>807</v>
      </c>
      <c r="L17873" s="3">
        <v>26</v>
      </c>
      <c r="M17873" s="3">
        <v>232</v>
      </c>
    </row>
    <row r="17874" spans="1:13" x14ac:dyDescent="0.25">
      <c r="A17874" s="1" t="str">
        <f>HYPERLINK("http://www.rosaceae.org/Prunus/Prunus_persica/p.persica_gdr_reftransV1_0005260","p.persica_gdr_reftransV1_0005260")</f>
        <v>p.persica_gdr_reftransV1_0005260</v>
      </c>
      <c r="B17874" s="3">
        <v>3272</v>
      </c>
      <c r="C17874" s="1" t="str">
        <f>HYPERLINK("http://www.uniprot.org/uniprot/VHAA1_ARATH","VHAA1_ARATH")</f>
        <v>VHAA1_ARATH</v>
      </c>
      <c r="D17874" t="s">
        <v>1665</v>
      </c>
      <c r="E17874" s="3" t="s">
        <v>3</v>
      </c>
      <c r="F17874" s="4">
        <v>0</v>
      </c>
      <c r="G17874" s="3">
        <v>3453</v>
      </c>
      <c r="H17874" s="3">
        <v>81</v>
      </c>
      <c r="I17874" s="3">
        <v>817</v>
      </c>
      <c r="J17874" s="3">
        <v>626</v>
      </c>
      <c r="K17874" s="3">
        <v>3067</v>
      </c>
      <c r="L17874" s="3">
        <v>1</v>
      </c>
      <c r="M17874" s="3">
        <v>817</v>
      </c>
    </row>
    <row r="17875" spans="1:13" x14ac:dyDescent="0.25">
      <c r="A17875" s="1" t="str">
        <f>HYPERLINK("http://www.rosaceae.org/Prunus/Prunus_persica/p.persica_gdr_reftransV1_0005410","p.persica_gdr_reftransV1_0005410")</f>
        <v>p.persica_gdr_reftransV1_0005410</v>
      </c>
      <c r="B17875" s="3">
        <v>1149</v>
      </c>
      <c r="C17875" s="1" t="str">
        <f>HYPERLINK("http://www.uniprot.org/uniprot/ATL7_ARATH","ATL7_ARATH")</f>
        <v>ATL7_ARATH</v>
      </c>
      <c r="D17875" t="s">
        <v>1289</v>
      </c>
      <c r="E17875" s="3" t="s">
        <v>3</v>
      </c>
      <c r="F17875" s="4">
        <v>7.1399999999999997E-16</v>
      </c>
      <c r="G17875" s="3">
        <v>195</v>
      </c>
      <c r="H17875" s="3">
        <v>47</v>
      </c>
      <c r="I17875" s="3">
        <v>78</v>
      </c>
      <c r="J17875" s="3">
        <v>449</v>
      </c>
      <c r="K17875" s="3">
        <v>676</v>
      </c>
      <c r="L17875" s="3">
        <v>109</v>
      </c>
      <c r="M17875" s="3">
        <v>186</v>
      </c>
    </row>
    <row r="17876" spans="1:13" x14ac:dyDescent="0.25">
      <c r="A17876" s="1" t="str">
        <f>HYPERLINK("http://www.rosaceae.org/Prunus/Prunus_persica/p.persica_gdr_reftransV1_0005610","p.persica_gdr_reftransV1_0005610")</f>
        <v>p.persica_gdr_reftransV1_0005610</v>
      </c>
      <c r="B17876" s="3">
        <v>633</v>
      </c>
      <c r="C17876" s="1" t="str">
        <f>HYPERLINK("http://www.uniprot.org/uniprot/PP111_ARATH","PP111_ARATH")</f>
        <v>PP111_ARATH</v>
      </c>
      <c r="D17876" t="s">
        <v>9435</v>
      </c>
      <c r="E17876" s="3" t="s">
        <v>3</v>
      </c>
      <c r="F17876" s="4">
        <v>6.5299999999999999E-75</v>
      </c>
      <c r="G17876" s="3">
        <v>629</v>
      </c>
      <c r="H17876" s="3">
        <v>57</v>
      </c>
      <c r="I17876" s="3">
        <v>210</v>
      </c>
      <c r="J17876" s="3">
        <v>1</v>
      </c>
      <c r="K17876" s="3">
        <v>627</v>
      </c>
      <c r="L17876" s="3">
        <v>38</v>
      </c>
      <c r="M17876" s="3">
        <v>247</v>
      </c>
    </row>
    <row r="17877" spans="1:13" x14ac:dyDescent="0.25">
      <c r="A17877" s="1" t="str">
        <f>HYPERLINK("http://www.rosaceae.org/Prunus/Prunus_persica/p.persica_gdr_reftransV1_0005710","p.persica_gdr_reftransV1_0005710")</f>
        <v>p.persica_gdr_reftransV1_0005710</v>
      </c>
      <c r="B17877" s="3">
        <v>1721</v>
      </c>
      <c r="C17877" s="1" t="str">
        <f>HYPERLINK("http://www.uniprot.org/uniprot/KCS21_ARATH","KCS21_ARATH")</f>
        <v>KCS21_ARATH</v>
      </c>
      <c r="D17877" t="s">
        <v>2738</v>
      </c>
      <c r="E17877" s="3" t="s">
        <v>3</v>
      </c>
      <c r="F17877" s="4">
        <v>0</v>
      </c>
      <c r="G17877" s="3">
        <v>1522</v>
      </c>
      <c r="H17877" s="3">
        <v>62</v>
      </c>
      <c r="I17877" s="3">
        <v>445</v>
      </c>
      <c r="J17877" s="3">
        <v>305</v>
      </c>
      <c r="K17877" s="3">
        <v>1627</v>
      </c>
      <c r="L17877" s="3">
        <v>20</v>
      </c>
      <c r="M17877" s="3">
        <v>464</v>
      </c>
    </row>
    <row r="17878" spans="1:13" x14ac:dyDescent="0.25">
      <c r="A17878" s="1" t="str">
        <f>HYPERLINK("http://www.rosaceae.org/Prunus/Prunus_persica/p.persica_gdr_reftransV1_0005760","p.persica_gdr_reftransV1_0005760")</f>
        <v>p.persica_gdr_reftransV1_0005760</v>
      </c>
      <c r="B17878" s="3">
        <v>753</v>
      </c>
      <c r="C17878" s="1" t="str">
        <f>HYPERLINK("http://www.uniprot.org/uniprot/GLR12_ARATH","GLR12_ARATH")</f>
        <v>GLR12_ARATH</v>
      </c>
      <c r="D17878" t="s">
        <v>10870</v>
      </c>
      <c r="E17878" s="3" t="s">
        <v>3</v>
      </c>
      <c r="F17878" s="4">
        <v>2.2900000000000001E-28</v>
      </c>
      <c r="G17878" s="3">
        <v>296</v>
      </c>
      <c r="H17878" s="3">
        <v>45</v>
      </c>
      <c r="I17878" s="3">
        <v>157</v>
      </c>
      <c r="J17878" s="3">
        <v>293</v>
      </c>
      <c r="K17878" s="3">
        <v>751</v>
      </c>
      <c r="L17878" s="3">
        <v>668</v>
      </c>
      <c r="M17878" s="3">
        <v>817</v>
      </c>
    </row>
    <row r="17879" spans="1:13" x14ac:dyDescent="0.25">
      <c r="A17879" s="1" t="str">
        <f>HYPERLINK("http://www.rosaceae.org/Prunus/Prunus_persica/p.persica_gdr_reftransV1_0005960","p.persica_gdr_reftransV1_0005960")</f>
        <v>p.persica_gdr_reftransV1_0005960</v>
      </c>
      <c r="B17879" s="3">
        <v>532</v>
      </c>
      <c r="C17879" s="1" t="str">
        <f>HYPERLINK("http://www.uniprot.org/uniprot/GRG1_NEUCR","GRG1_NEUCR")</f>
        <v>GRG1_NEUCR</v>
      </c>
      <c r="D17879" t="s">
        <v>10871</v>
      </c>
      <c r="E17879" s="3" t="s">
        <v>435</v>
      </c>
      <c r="F17879" s="4">
        <v>3.5400000000000002E-9</v>
      </c>
      <c r="G17879" s="3">
        <v>130</v>
      </c>
      <c r="H17879" s="3">
        <v>51</v>
      </c>
      <c r="I17879" s="3">
        <v>67</v>
      </c>
      <c r="J17879" s="3">
        <v>231</v>
      </c>
      <c r="K17879" s="3">
        <v>431</v>
      </c>
      <c r="L17879" s="3">
        <v>2</v>
      </c>
      <c r="M17879" s="3">
        <v>66</v>
      </c>
    </row>
    <row r="17880" spans="1:13" x14ac:dyDescent="0.25">
      <c r="A17880" s="1" t="str">
        <f>HYPERLINK("http://www.rosaceae.org/Prunus/Prunus_persica/p.persica_gdr_reftransV1_0006260","p.persica_gdr_reftransV1_0006260")</f>
        <v>p.persica_gdr_reftransV1_0006260</v>
      </c>
      <c r="B17880" s="3">
        <v>401</v>
      </c>
      <c r="C17880" s="1" t="str">
        <f>HYPERLINK("http://www.uniprot.org/uniprot/CML18_ORYSJ","CML18_ORYSJ")</f>
        <v>CML18_ORYSJ</v>
      </c>
      <c r="D17880" t="s">
        <v>10872</v>
      </c>
      <c r="E17880" s="3" t="s">
        <v>38</v>
      </c>
      <c r="F17880" s="4">
        <v>5.3699999999999998E-8</v>
      </c>
      <c r="G17880" s="3">
        <v>123</v>
      </c>
      <c r="H17880" s="3">
        <v>35</v>
      </c>
      <c r="I17880" s="3">
        <v>79</v>
      </c>
      <c r="J17880" s="3">
        <v>100</v>
      </c>
      <c r="K17880" s="3">
        <v>336</v>
      </c>
      <c r="L17880" s="3">
        <v>1</v>
      </c>
      <c r="M17880" s="3">
        <v>73</v>
      </c>
    </row>
    <row r="17881" spans="1:13" x14ac:dyDescent="0.25">
      <c r="A17881" s="1" t="str">
        <f>HYPERLINK("http://www.rosaceae.org/Prunus/Prunus_persica/p.persica_gdr_reftransV1_0006410","p.persica_gdr_reftransV1_0006410")</f>
        <v>p.persica_gdr_reftransV1_0006410</v>
      </c>
      <c r="B17881" s="3">
        <v>313</v>
      </c>
      <c r="C17881" s="1" t="str">
        <f>HYPERLINK("http://www.uniprot.org/uniprot/TTM3_ARATH","TTM3_ARATH")</f>
        <v>TTM3_ARATH</v>
      </c>
      <c r="D17881" t="s">
        <v>3575</v>
      </c>
      <c r="E17881" s="3" t="s">
        <v>3</v>
      </c>
      <c r="F17881" s="4">
        <v>2.9900000000000001E-19</v>
      </c>
      <c r="G17881" s="3">
        <v>204</v>
      </c>
      <c r="H17881" s="3">
        <v>51</v>
      </c>
      <c r="I17881" s="3">
        <v>88</v>
      </c>
      <c r="J17881" s="3">
        <v>72</v>
      </c>
      <c r="K17881" s="3">
        <v>308</v>
      </c>
      <c r="L17881" s="3">
        <v>1</v>
      </c>
      <c r="M17881" s="3">
        <v>88</v>
      </c>
    </row>
    <row r="17882" spans="1:13" x14ac:dyDescent="0.25">
      <c r="A17882" s="1" t="str">
        <f>HYPERLINK("http://www.rosaceae.org/Prunus/Prunus_persica/p.persica_gdr_reftransV1_0006460","p.persica_gdr_reftransV1_0006460")</f>
        <v>p.persica_gdr_reftransV1_0006460</v>
      </c>
      <c r="B17882" s="3">
        <v>1427</v>
      </c>
      <c r="C17882" s="1" t="str">
        <f>HYPERLINK("http://www.uniprot.org/uniprot/LBD18_ARATH","LBD18_ARATH")</f>
        <v>LBD18_ARATH</v>
      </c>
      <c r="D17882" t="s">
        <v>10873</v>
      </c>
      <c r="E17882" s="3" t="s">
        <v>3</v>
      </c>
      <c r="F17882" s="4">
        <v>2.09E-63</v>
      </c>
      <c r="G17882" s="3">
        <v>541</v>
      </c>
      <c r="H17882" s="3">
        <v>63</v>
      </c>
      <c r="I17882" s="3">
        <v>229</v>
      </c>
      <c r="J17882" s="3">
        <v>422</v>
      </c>
      <c r="K17882" s="3">
        <v>1090</v>
      </c>
      <c r="L17882" s="3">
        <v>40</v>
      </c>
      <c r="M17882" s="3">
        <v>262</v>
      </c>
    </row>
    <row r="17883" spans="1:13" x14ac:dyDescent="0.25">
      <c r="A17883" s="1" t="str">
        <f>HYPERLINK("http://www.rosaceae.org/Prunus/Prunus_persica/p.persica_gdr_reftransV1_0006510","p.persica_gdr_reftransV1_0006510")</f>
        <v>p.persica_gdr_reftransV1_0006510</v>
      </c>
      <c r="B17883" s="3">
        <v>1381</v>
      </c>
      <c r="C17883" s="1" t="str">
        <f>HYPERLINK("http://www.uniprot.org/uniprot/SABP2_TOBAC","SABP2_TOBAC")</f>
        <v>SABP2_TOBAC</v>
      </c>
      <c r="D17883" t="s">
        <v>1322</v>
      </c>
      <c r="E17883" s="3" t="s">
        <v>200</v>
      </c>
      <c r="F17883" s="4">
        <v>5.0900000000000001E-70</v>
      </c>
      <c r="G17883" s="3">
        <v>584</v>
      </c>
      <c r="H17883" s="3">
        <v>47</v>
      </c>
      <c r="I17883" s="3">
        <v>253</v>
      </c>
      <c r="J17883" s="3">
        <v>427</v>
      </c>
      <c r="K17883" s="3">
        <v>1164</v>
      </c>
      <c r="L17883" s="3">
        <v>5</v>
      </c>
      <c r="M17883" s="3">
        <v>257</v>
      </c>
    </row>
    <row r="17884" spans="1:13" x14ac:dyDescent="0.25">
      <c r="A17884" s="1" t="str">
        <f>HYPERLINK("http://www.rosaceae.org/Prunus/Prunus_persica/p.persica_gdr_reftransV1_0006960","p.persica_gdr_reftransV1_0006960")</f>
        <v>p.persica_gdr_reftransV1_0006960</v>
      </c>
      <c r="B17884" s="3">
        <v>516</v>
      </c>
      <c r="C17884" s="1" t="str">
        <f>HYPERLINK("http://www.uniprot.org/uniprot/UGT6_CATRO","UGT6_CATRO")</f>
        <v>UGT6_CATRO</v>
      </c>
      <c r="D17884" t="s">
        <v>3893</v>
      </c>
      <c r="E17884" s="3" t="s">
        <v>457</v>
      </c>
      <c r="F17884" s="4">
        <v>4.6699999999999997E-62</v>
      </c>
      <c r="G17884" s="3">
        <v>521</v>
      </c>
      <c r="H17884" s="3">
        <v>59</v>
      </c>
      <c r="I17884" s="3">
        <v>174</v>
      </c>
      <c r="J17884" s="3">
        <v>1</v>
      </c>
      <c r="K17884" s="3">
        <v>516</v>
      </c>
      <c r="L17884" s="3">
        <v>174</v>
      </c>
      <c r="M17884" s="3">
        <v>345</v>
      </c>
    </row>
    <row r="17885" spans="1:13" x14ac:dyDescent="0.25">
      <c r="A17885" s="1" t="str">
        <f>HYPERLINK("http://www.rosaceae.org/Prunus/Prunus_persica/p.persica_gdr_reftransV1_0007210","p.persica_gdr_reftransV1_0007210")</f>
        <v>p.persica_gdr_reftransV1_0007210</v>
      </c>
      <c r="B17885" s="3">
        <v>2356</v>
      </c>
      <c r="C17885" s="1" t="str">
        <f>HYPERLINK("http://www.uniprot.org/uniprot/ALMT4_ARATH","ALMT4_ARATH")</f>
        <v>ALMT4_ARATH</v>
      </c>
      <c r="D17885" t="s">
        <v>10841</v>
      </c>
      <c r="E17885" s="3" t="s">
        <v>3</v>
      </c>
      <c r="F17885" s="4">
        <v>0</v>
      </c>
      <c r="G17885" s="3">
        <v>1716</v>
      </c>
      <c r="H17885" s="3">
        <v>66</v>
      </c>
      <c r="I17885" s="3">
        <v>546</v>
      </c>
      <c r="J17885" s="3">
        <v>305</v>
      </c>
      <c r="K17885" s="3">
        <v>1912</v>
      </c>
      <c r="L17885" s="3">
        <v>1</v>
      </c>
      <c r="M17885" s="3">
        <v>543</v>
      </c>
    </row>
    <row r="17886" spans="1:13" x14ac:dyDescent="0.25">
      <c r="A17886" s="1" t="str">
        <f>HYPERLINK("http://www.rosaceae.org/Prunus/Prunus_persica/p.persica_gdr_reftransV1_0007310","p.persica_gdr_reftransV1_0007310")</f>
        <v>p.persica_gdr_reftransV1_0007310</v>
      </c>
      <c r="B17886" s="3">
        <v>1306</v>
      </c>
      <c r="C17886" s="1" t="str">
        <f>HYPERLINK("http://www.uniprot.org/uniprot/HAUS1_HUMAN","HAUS1_HUMAN")</f>
        <v>HAUS1_HUMAN</v>
      </c>
      <c r="D17886" t="s">
        <v>10874</v>
      </c>
      <c r="E17886" s="3" t="s">
        <v>28</v>
      </c>
      <c r="F17886" s="4">
        <v>2.6799999999999999E-17</v>
      </c>
      <c r="G17886" s="3">
        <v>210</v>
      </c>
      <c r="H17886" s="3">
        <v>26</v>
      </c>
      <c r="I17886" s="3">
        <v>269</v>
      </c>
      <c r="J17886" s="3">
        <v>152</v>
      </c>
      <c r="K17886" s="3">
        <v>934</v>
      </c>
      <c r="L17886" s="3">
        <v>7</v>
      </c>
      <c r="M17886" s="3">
        <v>266</v>
      </c>
    </row>
    <row r="17887" spans="1:13" x14ac:dyDescent="0.25">
      <c r="A17887" s="1" t="str">
        <f>HYPERLINK("http://www.rosaceae.org/Prunus/Prunus_persica/p.persica_gdr_reftransV1_0007410","p.persica_gdr_reftransV1_0007410")</f>
        <v>p.persica_gdr_reftransV1_0007410</v>
      </c>
      <c r="B17887" s="3">
        <v>784</v>
      </c>
      <c r="C17887" s="1" t="str">
        <f>HYPERLINK("http://www.uniprot.org/uniprot/PP151_ARATH","PP151_ARATH")</f>
        <v>PP151_ARATH</v>
      </c>
      <c r="D17887" t="s">
        <v>1204</v>
      </c>
      <c r="E17887" s="3" t="s">
        <v>3</v>
      </c>
      <c r="F17887" s="4">
        <v>8.0599999999999996E-78</v>
      </c>
      <c r="G17887" s="3">
        <v>650</v>
      </c>
      <c r="H17887" s="3">
        <v>50</v>
      </c>
      <c r="I17887" s="3">
        <v>234</v>
      </c>
      <c r="J17887" s="3">
        <v>6</v>
      </c>
      <c r="K17887" s="3">
        <v>707</v>
      </c>
      <c r="L17887" s="3">
        <v>436</v>
      </c>
      <c r="M17887" s="3">
        <v>669</v>
      </c>
    </row>
    <row r="17888" spans="1:13" x14ac:dyDescent="0.25">
      <c r="A17888" s="1" t="str">
        <f>HYPERLINK("http://www.rosaceae.org/Prunus/Prunus_persica/p.persica_gdr_reftransV1_0007510","p.persica_gdr_reftransV1_0007510")</f>
        <v>p.persica_gdr_reftransV1_0007510</v>
      </c>
      <c r="B17888" s="3">
        <v>1943</v>
      </c>
      <c r="C17888" s="1" t="str">
        <f>HYPERLINK("http://www.uniprot.org/uniprot/ACMAT_VITLA","ACMAT_VITLA")</f>
        <v>ACMAT_VITLA</v>
      </c>
      <c r="D17888" t="s">
        <v>10380</v>
      </c>
      <c r="E17888" s="3" t="s">
        <v>10381</v>
      </c>
      <c r="F17888" s="4">
        <v>8.9600000000000004E-175</v>
      </c>
      <c r="G17888" s="3">
        <v>1319</v>
      </c>
      <c r="H17888" s="3">
        <v>56</v>
      </c>
      <c r="I17888" s="3">
        <v>436</v>
      </c>
      <c r="J17888" s="3">
        <v>297</v>
      </c>
      <c r="K17888" s="3">
        <v>1604</v>
      </c>
      <c r="L17888" s="3">
        <v>7</v>
      </c>
      <c r="M17888" s="3">
        <v>438</v>
      </c>
    </row>
    <row r="17889" spans="1:13" x14ac:dyDescent="0.25">
      <c r="A17889" s="1" t="str">
        <f>HYPERLINK("http://www.rosaceae.org/Prunus/Prunus_persica/p.persica_gdr_reftransV1_0007560","p.persica_gdr_reftransV1_0007560")</f>
        <v>p.persica_gdr_reftransV1_0007560</v>
      </c>
      <c r="B17889" s="3">
        <v>2665</v>
      </c>
      <c r="C17889" s="1" t="str">
        <f>HYPERLINK("http://www.uniprot.org/uniprot/SYEC_ARATH","SYEC_ARATH")</f>
        <v>SYEC_ARATH</v>
      </c>
      <c r="D17889" t="s">
        <v>10875</v>
      </c>
      <c r="E17889" s="3" t="s">
        <v>3</v>
      </c>
      <c r="F17889" s="4">
        <v>0</v>
      </c>
      <c r="G17889" s="3">
        <v>2877</v>
      </c>
      <c r="H17889" s="3">
        <v>73</v>
      </c>
      <c r="I17889" s="3">
        <v>723</v>
      </c>
      <c r="J17889" s="3">
        <v>163</v>
      </c>
      <c r="K17889" s="3">
        <v>2313</v>
      </c>
      <c r="L17889" s="3">
        <v>6</v>
      </c>
      <c r="M17889" s="3">
        <v>716</v>
      </c>
    </row>
    <row r="17890" spans="1:13" x14ac:dyDescent="0.25">
      <c r="A17890" s="1" t="str">
        <f>HYPERLINK("http://www.rosaceae.org/Prunus/Prunus_persica/p.persica_gdr_reftransV1_0007610","p.persica_gdr_reftransV1_0007610")</f>
        <v>p.persica_gdr_reftransV1_0007610</v>
      </c>
      <c r="B17890" s="3">
        <v>1031</v>
      </c>
      <c r="C17890" s="1" t="str">
        <f>HYPERLINK("http://www.uniprot.org/uniprot/ELO3L_ARATH","ELO3L_ARATH")</f>
        <v>ELO3L_ARATH</v>
      </c>
      <c r="D17890" t="s">
        <v>9304</v>
      </c>
      <c r="E17890" s="3" t="s">
        <v>3</v>
      </c>
      <c r="F17890" s="4">
        <v>6.55E-125</v>
      </c>
      <c r="G17890" s="3">
        <v>942</v>
      </c>
      <c r="H17890" s="3">
        <v>73</v>
      </c>
      <c r="I17890" s="3">
        <v>247</v>
      </c>
      <c r="J17890" s="3">
        <v>298</v>
      </c>
      <c r="K17890" s="3">
        <v>1029</v>
      </c>
      <c r="L17890" s="3">
        <v>27</v>
      </c>
      <c r="M17890" s="3">
        <v>273</v>
      </c>
    </row>
    <row r="17891" spans="1:13" x14ac:dyDescent="0.25">
      <c r="A17891" s="1" t="str">
        <f>HYPERLINK("http://www.rosaceae.org/Prunus/Prunus_persica/p.persica_gdr_reftransV1_0007760","p.persica_gdr_reftransV1_0007760")</f>
        <v>p.persica_gdr_reftransV1_0007760</v>
      </c>
      <c r="B17891" s="3">
        <v>3394</v>
      </c>
      <c r="C17891" s="1" t="str">
        <f>HYPERLINK("http://www.uniprot.org/uniprot/GAGT2_ARATH","GAGT2_ARATH")</f>
        <v>GAGT2_ARATH</v>
      </c>
      <c r="D17891" t="s">
        <v>10876</v>
      </c>
      <c r="E17891" s="3" t="s">
        <v>3</v>
      </c>
      <c r="F17891" s="4">
        <v>6.9600000000000003E-146</v>
      </c>
      <c r="G17891" s="3">
        <v>1176</v>
      </c>
      <c r="H17891" s="3">
        <v>64</v>
      </c>
      <c r="I17891" s="3">
        <v>344</v>
      </c>
      <c r="J17891" s="3">
        <v>162</v>
      </c>
      <c r="K17891" s="3">
        <v>1187</v>
      </c>
      <c r="L17891" s="3">
        <v>23</v>
      </c>
      <c r="M17891" s="3">
        <v>366</v>
      </c>
    </row>
    <row r="17892" spans="1:13" x14ac:dyDescent="0.25">
      <c r="A17892" s="1" t="str">
        <f>HYPERLINK("http://www.rosaceae.org/Prunus/Prunus_persica/p.persica_gdr_reftransV1_0007810","p.persica_gdr_reftransV1_0007810")</f>
        <v>p.persica_gdr_reftransV1_0007810</v>
      </c>
      <c r="B17892" s="3">
        <v>1545</v>
      </c>
      <c r="C17892" s="1" t="str">
        <f>HYPERLINK("http://www.uniprot.org/uniprot/Y2287_ARATH","Y2287_ARATH")</f>
        <v>Y2287_ARATH</v>
      </c>
      <c r="D17892" t="s">
        <v>7836</v>
      </c>
      <c r="E17892" s="3" t="s">
        <v>3</v>
      </c>
      <c r="F17892" s="4">
        <v>4.1000000000000002E-92</v>
      </c>
      <c r="G17892" s="3">
        <v>741</v>
      </c>
      <c r="H17892" s="3">
        <v>58</v>
      </c>
      <c r="I17892" s="3">
        <v>239</v>
      </c>
      <c r="J17892" s="3">
        <v>417</v>
      </c>
      <c r="K17892" s="3">
        <v>1130</v>
      </c>
      <c r="L17892" s="3">
        <v>67</v>
      </c>
      <c r="M17892" s="3">
        <v>298</v>
      </c>
    </row>
    <row r="17893" spans="1:13" x14ac:dyDescent="0.25">
      <c r="A17893" s="1" t="str">
        <f>HYPERLINK("http://www.rosaceae.org/Prunus/Prunus_persica/p.persica_gdr_reftransV1_0007960","p.persica_gdr_reftransV1_0007960")</f>
        <v>p.persica_gdr_reftransV1_0007960</v>
      </c>
      <c r="B17893" s="3">
        <v>1063</v>
      </c>
      <c r="C17893" s="1" t="str">
        <f>HYPERLINK("http://www.uniprot.org/uniprot/LIMYB_ARATH","LIMYB_ARATH")</f>
        <v>LIMYB_ARATH</v>
      </c>
      <c r="D17893" t="s">
        <v>1896</v>
      </c>
      <c r="E17893" s="3" t="s">
        <v>3</v>
      </c>
      <c r="F17893" s="4">
        <v>8.2800000000000004E-21</v>
      </c>
      <c r="G17893" s="3">
        <v>238</v>
      </c>
      <c r="H17893" s="3">
        <v>27</v>
      </c>
      <c r="I17893" s="3">
        <v>293</v>
      </c>
      <c r="J17893" s="3">
        <v>48</v>
      </c>
      <c r="K17893" s="3">
        <v>908</v>
      </c>
      <c r="L17893" s="3">
        <v>160</v>
      </c>
      <c r="M17893" s="3">
        <v>435</v>
      </c>
    </row>
    <row r="17894" spans="1:13" x14ac:dyDescent="0.25">
      <c r="A17894" s="1" t="str">
        <f>HYPERLINK("http://www.rosaceae.org/Prunus/Prunus_persica/p.persica_gdr_reftransV1_0008010","p.persica_gdr_reftransV1_0008010")</f>
        <v>p.persica_gdr_reftransV1_0008010</v>
      </c>
      <c r="B17894" s="3">
        <v>1828</v>
      </c>
      <c r="C17894" s="1" t="str">
        <f>HYPERLINK("http://www.uniprot.org/uniprot/FBL4_ARATH","FBL4_ARATH")</f>
        <v>FBL4_ARATH</v>
      </c>
      <c r="D17894" t="s">
        <v>876</v>
      </c>
      <c r="E17894" s="3" t="s">
        <v>3</v>
      </c>
      <c r="F17894" s="4">
        <v>2.37E-8</v>
      </c>
      <c r="G17894" s="3">
        <v>146</v>
      </c>
      <c r="H17894" s="3">
        <v>23</v>
      </c>
      <c r="I17894" s="3">
        <v>270</v>
      </c>
      <c r="J17894" s="3">
        <v>376</v>
      </c>
      <c r="K17894" s="3">
        <v>1176</v>
      </c>
      <c r="L17894" s="3">
        <v>363</v>
      </c>
      <c r="M17894" s="3">
        <v>599</v>
      </c>
    </row>
    <row r="17895" spans="1:13" x14ac:dyDescent="0.25">
      <c r="A17895" s="1" t="str">
        <f>HYPERLINK("http://www.rosaceae.org/Prunus/Prunus_persica/p.persica_gdr_reftransV1_0008060","p.persica_gdr_reftransV1_0008060")</f>
        <v>p.persica_gdr_reftransV1_0008060</v>
      </c>
      <c r="B17895" s="3">
        <v>3096</v>
      </c>
      <c r="C17895" s="1" t="str">
        <f>HYPERLINK("http://www.uniprot.org/uniprot/CLPB1_ARATH","CLPB1_ARATH")</f>
        <v>CLPB1_ARATH</v>
      </c>
      <c r="D17895" t="s">
        <v>1739</v>
      </c>
      <c r="E17895" s="3" t="s">
        <v>3</v>
      </c>
      <c r="F17895" s="4">
        <v>3.72E-64</v>
      </c>
      <c r="G17895" s="3">
        <v>606</v>
      </c>
      <c r="H17895" s="3">
        <v>30</v>
      </c>
      <c r="I17895" s="3">
        <v>546</v>
      </c>
      <c r="J17895" s="3">
        <v>1022</v>
      </c>
      <c r="K17895" s="3">
        <v>2614</v>
      </c>
      <c r="L17895" s="3">
        <v>355</v>
      </c>
      <c r="M17895" s="3">
        <v>851</v>
      </c>
    </row>
    <row r="17896" spans="1:13" x14ac:dyDescent="0.25">
      <c r="A17896" s="1" t="str">
        <f>HYPERLINK("http://www.rosaceae.org/Prunus/Prunus_persica/p.persica_gdr_reftransV1_0008110","p.persica_gdr_reftransV1_0008110")</f>
        <v>p.persica_gdr_reftransV1_0008110</v>
      </c>
      <c r="B17896" s="3">
        <v>434</v>
      </c>
      <c r="C17896" s="1" t="str">
        <f>HYPERLINK("http://www.uniprot.org/uniprot/CML41_ARATH","CML41_ARATH")</f>
        <v>CML41_ARATH</v>
      </c>
      <c r="D17896" t="s">
        <v>10279</v>
      </c>
      <c r="E17896" s="3" t="s">
        <v>3</v>
      </c>
      <c r="F17896" s="4">
        <v>5.8999999999999997E-20</v>
      </c>
      <c r="G17896" s="3">
        <v>213</v>
      </c>
      <c r="H17896" s="3">
        <v>44</v>
      </c>
      <c r="I17896" s="3">
        <v>126</v>
      </c>
      <c r="J17896" s="3">
        <v>3</v>
      </c>
      <c r="K17896" s="3">
        <v>344</v>
      </c>
      <c r="L17896" s="3">
        <v>14</v>
      </c>
      <c r="M17896" s="3">
        <v>138</v>
      </c>
    </row>
    <row r="17897" spans="1:13" x14ac:dyDescent="0.25">
      <c r="A17897" s="1" t="str">
        <f>HYPERLINK("http://www.rosaceae.org/Prunus/Prunus_persica/p.persica_gdr_reftransV1_0008210","p.persica_gdr_reftransV1_0008210")</f>
        <v>p.persica_gdr_reftransV1_0008210</v>
      </c>
      <c r="B17897" s="3">
        <v>1856</v>
      </c>
      <c r="C17897" s="1" t="str">
        <f>HYPERLINK("http://www.uniprot.org/uniprot/TBL22_ARATH","TBL22_ARATH")</f>
        <v>TBL22_ARATH</v>
      </c>
      <c r="D17897" t="s">
        <v>10877</v>
      </c>
      <c r="E17897" s="3" t="s">
        <v>3</v>
      </c>
      <c r="F17897" s="4">
        <v>1.5200000000000001E-144</v>
      </c>
      <c r="G17897" s="3">
        <v>1112</v>
      </c>
      <c r="H17897" s="3">
        <v>52</v>
      </c>
      <c r="I17897" s="3">
        <v>432</v>
      </c>
      <c r="J17897" s="3">
        <v>311</v>
      </c>
      <c r="K17897" s="3">
        <v>1603</v>
      </c>
      <c r="L17897" s="3">
        <v>10</v>
      </c>
      <c r="M17897" s="3">
        <v>411</v>
      </c>
    </row>
    <row r="17898" spans="1:13" x14ac:dyDescent="0.25">
      <c r="A17898" s="1" t="str">
        <f>HYPERLINK("http://www.rosaceae.org/Prunus/Prunus_persica/p.persica_gdr_reftransV1_0008360","p.persica_gdr_reftransV1_0008360")</f>
        <v>p.persica_gdr_reftransV1_0008360</v>
      </c>
      <c r="B17898" s="3">
        <v>2166</v>
      </c>
      <c r="C17898" s="1" t="str">
        <f>HYPERLINK("http://www.uniprot.org/uniprot/UGT6_CATRO","UGT6_CATRO")</f>
        <v>UGT6_CATRO</v>
      </c>
      <c r="D17898" t="s">
        <v>3893</v>
      </c>
      <c r="E17898" s="3" t="s">
        <v>457</v>
      </c>
      <c r="F17898" s="4">
        <v>9.7700000000000003E-104</v>
      </c>
      <c r="G17898" s="3">
        <v>853</v>
      </c>
      <c r="H17898" s="3">
        <v>58</v>
      </c>
      <c r="I17898" s="3">
        <v>312</v>
      </c>
      <c r="J17898" s="3">
        <v>222</v>
      </c>
      <c r="K17898" s="3">
        <v>1154</v>
      </c>
      <c r="L17898" s="3">
        <v>176</v>
      </c>
      <c r="M17898" s="3">
        <v>485</v>
      </c>
    </row>
    <row r="17899" spans="1:13" x14ac:dyDescent="0.25">
      <c r="A17899" s="1" t="str">
        <f>HYPERLINK("http://www.rosaceae.org/Prunus/Prunus_persica/p.persica_gdr_reftransV1_0008410","p.persica_gdr_reftransV1_0008410")</f>
        <v>p.persica_gdr_reftransV1_0008410</v>
      </c>
      <c r="B17899" s="3">
        <v>1821</v>
      </c>
      <c r="C17899" s="1" t="str">
        <f>HYPERLINK("http://www.uniprot.org/uniprot/ARSA_METTH","ARSA_METTH")</f>
        <v>ARSA_METTH</v>
      </c>
      <c r="D17899" t="s">
        <v>10878</v>
      </c>
      <c r="E17899" s="3" t="s">
        <v>910</v>
      </c>
      <c r="F17899" s="4">
        <v>8.4799999999999999E-36</v>
      </c>
      <c r="G17899" s="3">
        <v>354</v>
      </c>
      <c r="H17899" s="3">
        <v>35</v>
      </c>
      <c r="I17899" s="3">
        <v>206</v>
      </c>
      <c r="J17899" s="3">
        <v>191</v>
      </c>
      <c r="K17899" s="3">
        <v>799</v>
      </c>
      <c r="L17899" s="3">
        <v>119</v>
      </c>
      <c r="M17899" s="3">
        <v>318</v>
      </c>
    </row>
    <row r="17900" spans="1:13" x14ac:dyDescent="0.25">
      <c r="A17900" s="1" t="str">
        <f>HYPERLINK("http://www.rosaceae.org/Prunus/Prunus_persica/p.persica_gdr_reftransV1_0008660","p.persica_gdr_reftransV1_0008660")</f>
        <v>p.persica_gdr_reftransV1_0008660</v>
      </c>
      <c r="B17900" s="3">
        <v>1958</v>
      </c>
      <c r="C17900" s="1" t="str">
        <f>HYPERLINK("http://www.uniprot.org/uniprot/DCR_ARATH","DCR_ARATH")</f>
        <v>DCR_ARATH</v>
      </c>
      <c r="D17900" t="s">
        <v>9201</v>
      </c>
      <c r="E17900" s="3" t="s">
        <v>3</v>
      </c>
      <c r="F17900" s="4">
        <v>6.6099999999999998E-68</v>
      </c>
      <c r="G17900" s="3">
        <v>601</v>
      </c>
      <c r="H17900" s="3">
        <v>34</v>
      </c>
      <c r="I17900" s="3">
        <v>478</v>
      </c>
      <c r="J17900" s="3">
        <v>286</v>
      </c>
      <c r="K17900" s="3">
        <v>1644</v>
      </c>
      <c r="L17900" s="3">
        <v>3</v>
      </c>
      <c r="M17900" s="3">
        <v>448</v>
      </c>
    </row>
    <row r="17901" spans="1:13" x14ac:dyDescent="0.25">
      <c r="A17901" s="1" t="str">
        <f>HYPERLINK("http://www.rosaceae.org/Prunus/Prunus_persica/p.persica_gdr_reftransV1_0008810","p.persica_gdr_reftransV1_0008810")</f>
        <v>p.persica_gdr_reftransV1_0008810</v>
      </c>
      <c r="B17901" s="3">
        <v>1598</v>
      </c>
      <c r="C17901" s="1" t="str">
        <f>HYPERLINK("http://www.uniprot.org/uniprot/GAUTA_ARATH","GAUTA_ARATH")</f>
        <v>GAUTA_ARATH</v>
      </c>
      <c r="D17901" t="s">
        <v>6561</v>
      </c>
      <c r="E17901" s="3" t="s">
        <v>3</v>
      </c>
      <c r="F17901" s="4">
        <v>1.1500000000000001E-177</v>
      </c>
      <c r="G17901" s="3">
        <v>1335</v>
      </c>
      <c r="H17901" s="3">
        <v>80</v>
      </c>
      <c r="I17901" s="3">
        <v>361</v>
      </c>
      <c r="J17901" s="3">
        <v>2</v>
      </c>
      <c r="K17901" s="3">
        <v>1075</v>
      </c>
      <c r="L17901" s="3">
        <v>19</v>
      </c>
      <c r="M17901" s="3">
        <v>379</v>
      </c>
    </row>
    <row r="17902" spans="1:13" x14ac:dyDescent="0.25">
      <c r="A17902" s="1" t="str">
        <f>HYPERLINK("http://www.rosaceae.org/Prunus/Prunus_persica/p.persica_gdr_reftransV1_0008860","p.persica_gdr_reftransV1_0008860")</f>
        <v>p.persica_gdr_reftransV1_0008860</v>
      </c>
      <c r="B17902" s="3">
        <v>2276</v>
      </c>
      <c r="C17902" s="1" t="str">
        <f>HYPERLINK("http://www.uniprot.org/uniprot/RIMM_CYAP8","RIMM_CYAP8")</f>
        <v>RIMM_CYAP8</v>
      </c>
      <c r="D17902" t="s">
        <v>10879</v>
      </c>
      <c r="E17902" s="3" t="s">
        <v>7056</v>
      </c>
      <c r="F17902" s="4">
        <v>7.6799999999999997E-36</v>
      </c>
      <c r="G17902" s="3">
        <v>349</v>
      </c>
      <c r="H17902" s="3">
        <v>44</v>
      </c>
      <c r="I17902" s="3">
        <v>195</v>
      </c>
      <c r="J17902" s="3">
        <v>1422</v>
      </c>
      <c r="K17902" s="3">
        <v>2006</v>
      </c>
      <c r="L17902" s="3">
        <v>7</v>
      </c>
      <c r="M17902" s="3">
        <v>186</v>
      </c>
    </row>
    <row r="17903" spans="1:13" x14ac:dyDescent="0.25">
      <c r="A17903" s="1" t="str">
        <f>HYPERLINK("http://www.rosaceae.org/Prunus/Prunus_persica/p.persica_gdr_reftransV1_0008910","p.persica_gdr_reftransV1_0008910")</f>
        <v>p.persica_gdr_reftransV1_0008910</v>
      </c>
      <c r="B17903" s="3">
        <v>2717</v>
      </c>
      <c r="C17903" s="1" t="str">
        <f>HYPERLINK("http://www.uniprot.org/uniprot/APRR1_ARATH","APRR1_ARATH")</f>
        <v>APRR1_ARATH</v>
      </c>
      <c r="D17903" t="s">
        <v>3002</v>
      </c>
      <c r="E17903" s="3" t="s">
        <v>3</v>
      </c>
      <c r="F17903" s="4">
        <v>6.1099999999999997E-163</v>
      </c>
      <c r="G17903" s="3">
        <v>1279</v>
      </c>
      <c r="H17903" s="3">
        <v>51</v>
      </c>
      <c r="I17903" s="3">
        <v>623</v>
      </c>
      <c r="J17903" s="3">
        <v>518</v>
      </c>
      <c r="K17903" s="3">
        <v>2098</v>
      </c>
      <c r="L17903" s="3">
        <v>13</v>
      </c>
      <c r="M17903" s="3">
        <v>615</v>
      </c>
    </row>
    <row r="17904" spans="1:13" x14ac:dyDescent="0.25">
      <c r="A17904" s="1" t="str">
        <f>HYPERLINK("http://www.rosaceae.org/Prunus/Prunus_persica/p.persica_gdr_reftransV1_0009010","p.persica_gdr_reftransV1_0009010")</f>
        <v>p.persica_gdr_reftransV1_0009010</v>
      </c>
      <c r="B17904" s="3">
        <v>4111</v>
      </c>
      <c r="C17904" s="1" t="str">
        <f>HYPERLINK("http://www.uniprot.org/uniprot/PKHM3_MOUSE","PKHM3_MOUSE")</f>
        <v>PKHM3_MOUSE</v>
      </c>
      <c r="D17904" t="s">
        <v>10880</v>
      </c>
      <c r="E17904" s="3" t="s">
        <v>157</v>
      </c>
      <c r="F17904" s="4">
        <v>3.3500000000000003E-30</v>
      </c>
      <c r="G17904" s="3">
        <v>334</v>
      </c>
      <c r="H17904" s="3">
        <v>28</v>
      </c>
      <c r="I17904" s="3">
        <v>268</v>
      </c>
      <c r="J17904" s="3">
        <v>2821</v>
      </c>
      <c r="K17904" s="3">
        <v>3615</v>
      </c>
      <c r="L17904" s="3">
        <v>485</v>
      </c>
      <c r="M17904" s="3">
        <v>722</v>
      </c>
    </row>
    <row r="17905" spans="1:13" x14ac:dyDescent="0.25">
      <c r="A17905" s="1" t="str">
        <f>HYPERLINK("http://www.rosaceae.org/Prunus/Prunus_persica/p.persica_gdr_reftransV1_0009060","p.persica_gdr_reftransV1_0009060")</f>
        <v>p.persica_gdr_reftransV1_0009060</v>
      </c>
      <c r="B17905" s="3">
        <v>4077</v>
      </c>
      <c r="C17905" s="1" t="str">
        <f>HYPERLINK("http://www.uniprot.org/uniprot/PSYR1_ARATH","PSYR1_ARATH")</f>
        <v>PSYR1_ARATH</v>
      </c>
      <c r="D17905" t="s">
        <v>177</v>
      </c>
      <c r="E17905" s="3" t="s">
        <v>3</v>
      </c>
      <c r="F17905" s="4">
        <v>0</v>
      </c>
      <c r="G17905" s="3">
        <v>2890</v>
      </c>
      <c r="H17905" s="3">
        <v>59</v>
      </c>
      <c r="I17905" s="3">
        <v>1021</v>
      </c>
      <c r="J17905" s="3">
        <v>863</v>
      </c>
      <c r="K17905" s="3">
        <v>3868</v>
      </c>
      <c r="L17905" s="3">
        <v>72</v>
      </c>
      <c r="M17905" s="3">
        <v>1086</v>
      </c>
    </row>
    <row r="17906" spans="1:13" x14ac:dyDescent="0.25">
      <c r="A17906" s="1" t="str">
        <f>HYPERLINK("http://www.rosaceae.org/Prunus/Prunus_persica/p.persica_gdr_reftransV1_0009310","p.persica_gdr_reftransV1_0009310")</f>
        <v>p.persica_gdr_reftransV1_0009310</v>
      </c>
      <c r="B17906" s="3">
        <v>2786</v>
      </c>
      <c r="C17906" s="1" t="str">
        <f>HYPERLINK("http://www.uniprot.org/uniprot/CSLH1_ORYSJ","CSLH1_ORYSJ")</f>
        <v>CSLH1_ORYSJ</v>
      </c>
      <c r="D17906" t="s">
        <v>10881</v>
      </c>
      <c r="E17906" s="3" t="s">
        <v>38</v>
      </c>
      <c r="F17906" s="4">
        <v>0</v>
      </c>
      <c r="G17906" s="3">
        <v>1742</v>
      </c>
      <c r="H17906" s="3">
        <v>53</v>
      </c>
      <c r="I17906" s="3">
        <v>679</v>
      </c>
      <c r="J17906" s="3">
        <v>542</v>
      </c>
      <c r="K17906" s="3">
        <v>2533</v>
      </c>
      <c r="L17906" s="3">
        <v>75</v>
      </c>
      <c r="M17906" s="3">
        <v>747</v>
      </c>
    </row>
    <row r="17907" spans="1:13" x14ac:dyDescent="0.25">
      <c r="A17907" s="1" t="str">
        <f>HYPERLINK("http://www.rosaceae.org/Prunus/Prunus_persica/p.persica_gdr_reftransV1_0009560","p.persica_gdr_reftransV1_0009560")</f>
        <v>p.persica_gdr_reftransV1_0009560</v>
      </c>
      <c r="B17907" s="3">
        <v>1907</v>
      </c>
      <c r="C17907" s="1" t="str">
        <f>HYPERLINK("http://www.uniprot.org/uniprot/RING4_ARATH","RING4_ARATH")</f>
        <v>RING4_ARATH</v>
      </c>
      <c r="D17907" t="s">
        <v>5291</v>
      </c>
      <c r="E17907" s="3" t="s">
        <v>3</v>
      </c>
      <c r="F17907" s="4">
        <v>2.2000000000000001E-114</v>
      </c>
      <c r="G17907" s="3">
        <v>909</v>
      </c>
      <c r="H17907" s="3">
        <v>60</v>
      </c>
      <c r="I17907" s="3">
        <v>316</v>
      </c>
      <c r="J17907" s="3">
        <v>709</v>
      </c>
      <c r="K17907" s="3">
        <v>1644</v>
      </c>
      <c r="L17907" s="3">
        <v>83</v>
      </c>
      <c r="M17907" s="3">
        <v>388</v>
      </c>
    </row>
    <row r="17908" spans="1:13" x14ac:dyDescent="0.25">
      <c r="A17908" s="1" t="str">
        <f>HYPERLINK("http://www.rosaceae.org/Prunus/Prunus_persica/p.persica_gdr_reftransV1_0009660","p.persica_gdr_reftransV1_0009660")</f>
        <v>p.persica_gdr_reftransV1_0009660</v>
      </c>
      <c r="B17908" s="3">
        <v>436</v>
      </c>
      <c r="C17908" s="1" t="str">
        <f>HYPERLINK("http://www.uniprot.org/uniprot/SHGR9_ARATH","SHGR9_ARATH")</f>
        <v>SHGR9_ARATH</v>
      </c>
      <c r="D17908" t="s">
        <v>1953</v>
      </c>
      <c r="E17908" s="3" t="s">
        <v>3</v>
      </c>
      <c r="F17908" s="4">
        <v>1.62E-30</v>
      </c>
      <c r="G17908" s="3">
        <v>290</v>
      </c>
      <c r="H17908" s="3">
        <v>74</v>
      </c>
      <c r="I17908" s="3">
        <v>69</v>
      </c>
      <c r="J17908" s="3">
        <v>98</v>
      </c>
      <c r="K17908" s="3">
        <v>304</v>
      </c>
      <c r="L17908" s="3">
        <v>208</v>
      </c>
      <c r="M17908" s="3">
        <v>276</v>
      </c>
    </row>
    <row r="17909" spans="1:13" x14ac:dyDescent="0.25">
      <c r="A17909" s="1" t="str">
        <f>HYPERLINK("http://www.rosaceae.org/Prunus/Prunus_persica/p.persica_gdr_reftransV1_0009760","p.persica_gdr_reftransV1_0009760")</f>
        <v>p.persica_gdr_reftransV1_0009760</v>
      </c>
      <c r="B17909" s="3">
        <v>2281</v>
      </c>
      <c r="C17909" s="1" t="str">
        <f>HYPERLINK("http://www.uniprot.org/uniprot/YMG12_ARATH","YMG12_ARATH")</f>
        <v>YMG12_ARATH</v>
      </c>
      <c r="D17909" t="s">
        <v>10882</v>
      </c>
      <c r="E17909" s="3" t="s">
        <v>3</v>
      </c>
      <c r="F17909" s="4">
        <v>1.4000000000000001E-63</v>
      </c>
      <c r="G17909" s="3">
        <v>553</v>
      </c>
      <c r="H17909" s="3">
        <v>81</v>
      </c>
      <c r="I17909" s="3">
        <v>130</v>
      </c>
      <c r="J17909" s="3">
        <v>1570</v>
      </c>
      <c r="K17909" s="3">
        <v>1959</v>
      </c>
      <c r="L17909" s="3">
        <v>90</v>
      </c>
      <c r="M17909" s="3">
        <v>218</v>
      </c>
    </row>
    <row r="17910" spans="1:13" x14ac:dyDescent="0.25">
      <c r="A17910" s="1" t="str">
        <f>HYPERLINK("http://www.rosaceae.org/Prunus/Prunus_persica/p.persica_gdr_reftransV1_0009960","p.persica_gdr_reftransV1_0009960")</f>
        <v>p.persica_gdr_reftransV1_0009960</v>
      </c>
      <c r="B17910" s="3">
        <v>1137</v>
      </c>
      <c r="C17910" s="1" t="str">
        <f>HYPERLINK("http://www.uniprot.org/uniprot/Y1770_SYNY3","Y1770_SYNY3")</f>
        <v>Y1770_SYNY3</v>
      </c>
      <c r="D17910" t="s">
        <v>1663</v>
      </c>
      <c r="E17910" s="3" t="s">
        <v>527</v>
      </c>
      <c r="F17910" s="4">
        <v>3.9800000000000002E-25</v>
      </c>
      <c r="G17910" s="3">
        <v>275</v>
      </c>
      <c r="H17910" s="3">
        <v>37</v>
      </c>
      <c r="I17910" s="3">
        <v>167</v>
      </c>
      <c r="J17910" s="3">
        <v>86</v>
      </c>
      <c r="K17910" s="3">
        <v>574</v>
      </c>
      <c r="L17910" s="3">
        <v>406</v>
      </c>
      <c r="M17910" s="3">
        <v>564</v>
      </c>
    </row>
    <row r="17911" spans="1:13" x14ac:dyDescent="0.25">
      <c r="A17911" s="1" t="str">
        <f>HYPERLINK("http://www.rosaceae.org/Prunus/Prunus_persica/p.persica_gdr_reftransV1_0010060","p.persica_gdr_reftransV1_0010060")</f>
        <v>p.persica_gdr_reftransV1_0010060</v>
      </c>
      <c r="B17911" s="3">
        <v>1252</v>
      </c>
      <c r="C17911" s="1" t="str">
        <f>HYPERLINK("http://www.uniprot.org/uniprot/ANM13_ARATH","ANM13_ARATH")</f>
        <v>ANM13_ARATH</v>
      </c>
      <c r="D17911" t="s">
        <v>10883</v>
      </c>
      <c r="E17911" s="3" t="s">
        <v>3</v>
      </c>
      <c r="F17911" s="4">
        <v>5.2999999999999999E-158</v>
      </c>
      <c r="G17911" s="3">
        <v>1193</v>
      </c>
      <c r="H17911" s="3">
        <v>75</v>
      </c>
      <c r="I17911" s="3">
        <v>309</v>
      </c>
      <c r="J17911" s="3">
        <v>115</v>
      </c>
      <c r="K17911" s="3">
        <v>1041</v>
      </c>
      <c r="L17911" s="3">
        <v>37</v>
      </c>
      <c r="M17911" s="3">
        <v>344</v>
      </c>
    </row>
    <row r="17912" spans="1:13" x14ac:dyDescent="0.25">
      <c r="A17912" s="1" t="str">
        <f>HYPERLINK("http://www.rosaceae.org/Prunus/Prunus_persica/p.persica_gdr_reftransV1_0010160","p.persica_gdr_reftransV1_0010160")</f>
        <v>p.persica_gdr_reftransV1_0010160</v>
      </c>
      <c r="B17912" s="3">
        <v>2262</v>
      </c>
      <c r="C17912" s="1" t="str">
        <f>HYPERLINK("http://www.uniprot.org/uniprot/PKP2_ARATH","PKP2_ARATH")</f>
        <v>PKP2_ARATH</v>
      </c>
      <c r="D17912" t="s">
        <v>10884</v>
      </c>
      <c r="E17912" s="3" t="s">
        <v>3</v>
      </c>
      <c r="F17912" s="4">
        <v>0</v>
      </c>
      <c r="G17912" s="3">
        <v>2570</v>
      </c>
      <c r="H17912" s="3">
        <v>83</v>
      </c>
      <c r="I17912" s="3">
        <v>579</v>
      </c>
      <c r="J17912" s="3">
        <v>349</v>
      </c>
      <c r="K17912" s="3">
        <v>2076</v>
      </c>
      <c r="L17912" s="3">
        <v>1</v>
      </c>
      <c r="M17912" s="3">
        <v>579</v>
      </c>
    </row>
    <row r="17913" spans="1:13" x14ac:dyDescent="0.25">
      <c r="A17913" s="1" t="str">
        <f>HYPERLINK("http://www.rosaceae.org/Prunus/Prunus_persica/p.persica_gdr_reftransV1_0010360","p.persica_gdr_reftransV1_0010360")</f>
        <v>p.persica_gdr_reftransV1_0010360</v>
      </c>
      <c r="B17913" s="3">
        <v>1007</v>
      </c>
      <c r="C17913" s="1" t="str">
        <f>HYPERLINK("http://www.uniprot.org/uniprot/GLYT3_ARATH","GLYT3_ARATH")</f>
        <v>GLYT3_ARATH</v>
      </c>
      <c r="D17913" t="s">
        <v>2169</v>
      </c>
      <c r="E17913" s="3" t="s">
        <v>3</v>
      </c>
      <c r="F17913" s="4">
        <v>2.2200000000000001E-70</v>
      </c>
      <c r="G17913" s="3">
        <v>596</v>
      </c>
      <c r="H17913" s="3">
        <v>47</v>
      </c>
      <c r="I17913" s="3">
        <v>244</v>
      </c>
      <c r="J17913" s="3">
        <v>287</v>
      </c>
      <c r="K17913" s="3">
        <v>1006</v>
      </c>
      <c r="L17913" s="3">
        <v>280</v>
      </c>
      <c r="M17913" s="3">
        <v>516</v>
      </c>
    </row>
    <row r="17914" spans="1:13" x14ac:dyDescent="0.25">
      <c r="A17914" s="1" t="str">
        <f>HYPERLINK("http://www.rosaceae.org/Prunus/Prunus_persica/p.persica_gdr_reftransV1_0010460","p.persica_gdr_reftransV1_0010460")</f>
        <v>p.persica_gdr_reftransV1_0010460</v>
      </c>
      <c r="B17914" s="3">
        <v>1966</v>
      </c>
      <c r="C17914" s="1" t="str">
        <f>HYPERLINK("http://www.uniprot.org/uniprot/XB31_ARATH","XB31_ARATH")</f>
        <v>XB31_ARATH</v>
      </c>
      <c r="D17914" t="s">
        <v>4977</v>
      </c>
      <c r="E17914" s="3" t="s">
        <v>3</v>
      </c>
      <c r="F17914" s="4">
        <v>0</v>
      </c>
      <c r="G17914" s="3">
        <v>1660</v>
      </c>
      <c r="H17914" s="3">
        <v>72</v>
      </c>
      <c r="I17914" s="3">
        <v>456</v>
      </c>
      <c r="J17914" s="3">
        <v>185</v>
      </c>
      <c r="K17914" s="3">
        <v>1519</v>
      </c>
      <c r="L17914" s="3">
        <v>1</v>
      </c>
      <c r="M17914" s="3">
        <v>454</v>
      </c>
    </row>
    <row r="17915" spans="1:13" x14ac:dyDescent="0.25">
      <c r="A17915" s="1" t="str">
        <f>HYPERLINK("http://www.rosaceae.org/Prunus/Prunus_persica/p.persica_gdr_reftransV1_0010510","p.persica_gdr_reftransV1_0010510")</f>
        <v>p.persica_gdr_reftransV1_0010510</v>
      </c>
      <c r="B17915" s="3">
        <v>3049</v>
      </c>
      <c r="C17915" s="1" t="str">
        <f>HYPERLINK("http://www.uniprot.org/uniprot/NP93A_ARATH","NP93A_ARATH")</f>
        <v>NP93A_ARATH</v>
      </c>
      <c r="D17915" t="s">
        <v>10885</v>
      </c>
      <c r="E17915" s="3" t="s">
        <v>3</v>
      </c>
      <c r="F17915" s="4">
        <v>0</v>
      </c>
      <c r="G17915" s="3">
        <v>3147</v>
      </c>
      <c r="H17915" s="3">
        <v>75</v>
      </c>
      <c r="I17915" s="3">
        <v>863</v>
      </c>
      <c r="J17915" s="3">
        <v>333</v>
      </c>
      <c r="K17915" s="3">
        <v>2921</v>
      </c>
      <c r="L17915" s="3">
        <v>1</v>
      </c>
      <c r="M17915" s="3">
        <v>861</v>
      </c>
    </row>
    <row r="17916" spans="1:13" x14ac:dyDescent="0.25">
      <c r="A17916" s="1" t="str">
        <f>HYPERLINK("http://www.rosaceae.org/Prunus/Prunus_persica/p.persica_gdr_reftransV1_0010710","p.persica_gdr_reftransV1_0010710")</f>
        <v>p.persica_gdr_reftransV1_0010710</v>
      </c>
      <c r="B17916" s="3">
        <v>1567</v>
      </c>
      <c r="C17916" s="1" t="str">
        <f>HYPERLINK("http://www.uniprot.org/uniprot/PP134_ARATH","PP134_ARATH")</f>
        <v>PP134_ARATH</v>
      </c>
      <c r="D17916" t="s">
        <v>10300</v>
      </c>
      <c r="E17916" s="3" t="s">
        <v>3</v>
      </c>
      <c r="F17916" s="4">
        <v>1.44E-177</v>
      </c>
      <c r="G17916" s="3">
        <v>1320</v>
      </c>
      <c r="H17916" s="3">
        <v>70</v>
      </c>
      <c r="I17916" s="3">
        <v>348</v>
      </c>
      <c r="J17916" s="3">
        <v>2</v>
      </c>
      <c r="K17916" s="3">
        <v>1045</v>
      </c>
      <c r="L17916" s="3">
        <v>50</v>
      </c>
      <c r="M17916" s="3">
        <v>397</v>
      </c>
    </row>
    <row r="17917" spans="1:13" x14ac:dyDescent="0.25">
      <c r="A17917" s="1" t="str">
        <f>HYPERLINK("http://www.rosaceae.org/Prunus/Prunus_persica/p.persica_gdr_reftransV1_0010810","p.persica_gdr_reftransV1_0010810")</f>
        <v>p.persica_gdr_reftransV1_0010810</v>
      </c>
      <c r="B17917" s="3">
        <v>1352</v>
      </c>
      <c r="C17917" s="1" t="str">
        <f>HYPERLINK("http://www.uniprot.org/uniprot/PP210_ARATH","PP210_ARATH")</f>
        <v>PP210_ARATH</v>
      </c>
      <c r="D17917" t="s">
        <v>1547</v>
      </c>
      <c r="E17917" s="3" t="s">
        <v>3</v>
      </c>
      <c r="F17917" s="4">
        <v>1.6499999999999999E-84</v>
      </c>
      <c r="G17917" s="3">
        <v>724</v>
      </c>
      <c r="H17917" s="3">
        <v>59</v>
      </c>
      <c r="I17917" s="3">
        <v>215</v>
      </c>
      <c r="J17917" s="3">
        <v>2</v>
      </c>
      <c r="K17917" s="3">
        <v>646</v>
      </c>
      <c r="L17917" s="3">
        <v>540</v>
      </c>
      <c r="M17917" s="3">
        <v>754</v>
      </c>
    </row>
    <row r="17918" spans="1:13" x14ac:dyDescent="0.25">
      <c r="A17918" s="1" t="str">
        <f>HYPERLINK("http://www.rosaceae.org/Prunus/Prunus_persica/p.persica_gdr_reftransV1_0010860","p.persica_gdr_reftransV1_0010860")</f>
        <v>p.persica_gdr_reftransV1_0010860</v>
      </c>
      <c r="B17918" s="3">
        <v>1772</v>
      </c>
      <c r="C17918" s="1" t="str">
        <f>HYPERLINK("http://www.uniprot.org/uniprot/GAOA_GIBZA","GAOA_GIBZA")</f>
        <v>GAOA_GIBZA</v>
      </c>
      <c r="D17918" t="s">
        <v>10886</v>
      </c>
      <c r="E17918" s="3" t="s">
        <v>2278</v>
      </c>
      <c r="F17918" s="4">
        <v>5.1300000000000001E-15</v>
      </c>
      <c r="G17918" s="3">
        <v>201</v>
      </c>
      <c r="H17918" s="3">
        <v>25</v>
      </c>
      <c r="I17918" s="3">
        <v>447</v>
      </c>
      <c r="J17918" s="3">
        <v>136</v>
      </c>
      <c r="K17918" s="3">
        <v>1416</v>
      </c>
      <c r="L17918" s="3">
        <v>266</v>
      </c>
      <c r="M17918" s="3">
        <v>678</v>
      </c>
    </row>
    <row r="17919" spans="1:13" x14ac:dyDescent="0.25">
      <c r="A17919" s="1" t="str">
        <f>HYPERLINK("http://www.rosaceae.org/Prunus/Prunus_persica/p.persica_gdr_reftransV1_0010960","p.persica_gdr_reftransV1_0010960")</f>
        <v>p.persica_gdr_reftransV1_0010960</v>
      </c>
      <c r="B17919" s="3">
        <v>866</v>
      </c>
      <c r="C17919" s="1" t="str">
        <f>HYPERLINK("http://www.uniprot.org/uniprot/ATL33_ARATH","ATL33_ARATH")</f>
        <v>ATL33_ARATH</v>
      </c>
      <c r="D17919" t="s">
        <v>10887</v>
      </c>
      <c r="E17919" s="3" t="s">
        <v>3</v>
      </c>
      <c r="F17919" s="4">
        <v>2.8000000000000001E-37</v>
      </c>
      <c r="G17919" s="3">
        <v>346</v>
      </c>
      <c r="H17919" s="3">
        <v>43</v>
      </c>
      <c r="I17919" s="3">
        <v>182</v>
      </c>
      <c r="J17919" s="3">
        <v>111</v>
      </c>
      <c r="K17919" s="3">
        <v>596</v>
      </c>
      <c r="L17919" s="3">
        <v>55</v>
      </c>
      <c r="M17919" s="3">
        <v>235</v>
      </c>
    </row>
    <row r="17920" spans="1:13" x14ac:dyDescent="0.25">
      <c r="A17920" s="1" t="str">
        <f>HYPERLINK("http://www.rosaceae.org/Prunus/Prunus_persica/p.persica_gdr_reftransV1_0011110","p.persica_gdr_reftransV1_0011110")</f>
        <v>p.persica_gdr_reftransV1_0011110</v>
      </c>
      <c r="B17920" s="3">
        <v>2231</v>
      </c>
      <c r="C17920" s="1" t="str">
        <f>HYPERLINK("http://www.uniprot.org/uniprot/LUPS_RICCO","LUPS_RICCO")</f>
        <v>LUPS_RICCO</v>
      </c>
      <c r="D17920" t="s">
        <v>10888</v>
      </c>
      <c r="E17920" s="3" t="s">
        <v>421</v>
      </c>
      <c r="F17920" s="4">
        <v>0</v>
      </c>
      <c r="G17920" s="3">
        <v>2508</v>
      </c>
      <c r="H17920" s="3">
        <v>67</v>
      </c>
      <c r="I17920" s="3">
        <v>655</v>
      </c>
      <c r="J17920" s="3">
        <v>4</v>
      </c>
      <c r="K17920" s="3">
        <v>1962</v>
      </c>
      <c r="L17920" s="3">
        <v>104</v>
      </c>
      <c r="M17920" s="3">
        <v>758</v>
      </c>
    </row>
    <row r="17921" spans="1:13" x14ac:dyDescent="0.25">
      <c r="A17921" s="1" t="str">
        <f>HYPERLINK("http://www.rosaceae.org/Prunus/Prunus_persica/p.persica_gdr_reftransV1_0011160","p.persica_gdr_reftransV1_0011160")</f>
        <v>p.persica_gdr_reftransV1_0011160</v>
      </c>
      <c r="B17921" s="3">
        <v>992</v>
      </c>
      <c r="C17921" s="1" t="str">
        <f>HYPERLINK("http://www.uniprot.org/uniprot/FRS10_ARATH","FRS10_ARATH")</f>
        <v>FRS10_ARATH</v>
      </c>
      <c r="D17921" t="s">
        <v>2208</v>
      </c>
      <c r="E17921" s="3" t="s">
        <v>3</v>
      </c>
      <c r="F17921" s="4">
        <v>1.39E-156</v>
      </c>
      <c r="G17921" s="3">
        <v>1187</v>
      </c>
      <c r="H17921" s="3">
        <v>64</v>
      </c>
      <c r="I17921" s="3">
        <v>333</v>
      </c>
      <c r="J17921" s="3">
        <v>3</v>
      </c>
      <c r="K17921" s="3">
        <v>989</v>
      </c>
      <c r="L17921" s="3">
        <v>304</v>
      </c>
      <c r="M17921" s="3">
        <v>636</v>
      </c>
    </row>
    <row r="17922" spans="1:13" x14ac:dyDescent="0.25">
      <c r="A17922" s="1" t="str">
        <f>HYPERLINK("http://www.rosaceae.org/Prunus/Prunus_persica/p.persica_gdr_reftransV1_0011310","p.persica_gdr_reftransV1_0011310")</f>
        <v>p.persica_gdr_reftransV1_0011310</v>
      </c>
      <c r="B17922" s="3">
        <v>1379</v>
      </c>
      <c r="C17922" s="1" t="str">
        <f>HYPERLINK("http://www.uniprot.org/uniprot/H2A1_ARATH","H2A1_ARATH")</f>
        <v>H2A1_ARATH</v>
      </c>
      <c r="D17922" t="s">
        <v>10889</v>
      </c>
      <c r="E17922" s="3" t="s">
        <v>3</v>
      </c>
      <c r="F17922" s="4">
        <v>5.0299999999999999E-49</v>
      </c>
      <c r="G17922" s="3">
        <v>429</v>
      </c>
      <c r="H17922" s="3">
        <v>90</v>
      </c>
      <c r="I17922" s="3">
        <v>132</v>
      </c>
      <c r="J17922" s="3">
        <v>78</v>
      </c>
      <c r="K17922" s="3">
        <v>473</v>
      </c>
      <c r="L17922" s="3">
        <v>1</v>
      </c>
      <c r="M17922" s="3">
        <v>132</v>
      </c>
    </row>
    <row r="17923" spans="1:13" x14ac:dyDescent="0.25">
      <c r="A17923" s="1" t="str">
        <f>HYPERLINK("http://www.rosaceae.org/Prunus/Prunus_persica/p.persica_gdr_reftransV1_0011460","p.persica_gdr_reftransV1_0011460")</f>
        <v>p.persica_gdr_reftransV1_0011460</v>
      </c>
      <c r="B17923" s="3">
        <v>1664</v>
      </c>
      <c r="C17923" s="1" t="str">
        <f>HYPERLINK("http://www.uniprot.org/uniprot/WRKY2_ARATH","WRKY2_ARATH")</f>
        <v>WRKY2_ARATH</v>
      </c>
      <c r="D17923" t="s">
        <v>2227</v>
      </c>
      <c r="E17923" s="3" t="s">
        <v>3</v>
      </c>
      <c r="F17923" s="4">
        <v>6.5599999999999998E-51</v>
      </c>
      <c r="G17923" s="3">
        <v>483</v>
      </c>
      <c r="H17923" s="3">
        <v>42</v>
      </c>
      <c r="I17923" s="3">
        <v>341</v>
      </c>
      <c r="J17923" s="3">
        <v>3</v>
      </c>
      <c r="K17923" s="3">
        <v>1004</v>
      </c>
      <c r="L17923" s="3">
        <v>1</v>
      </c>
      <c r="M17923" s="3">
        <v>294</v>
      </c>
    </row>
    <row r="17924" spans="1:13" x14ac:dyDescent="0.25">
      <c r="A17924" s="1" t="str">
        <f>HYPERLINK("http://www.rosaceae.org/Prunus/Prunus_persica/p.persica_gdr_reftransV1_0011510","p.persica_gdr_reftransV1_0011510")</f>
        <v>p.persica_gdr_reftransV1_0011510</v>
      </c>
      <c r="B17924" s="3">
        <v>1167</v>
      </c>
      <c r="C17924" s="1" t="str">
        <f>HYPERLINK("http://www.uniprot.org/uniprot/RAX2_ARATH","RAX2_ARATH")</f>
        <v>RAX2_ARATH</v>
      </c>
      <c r="D17924" t="s">
        <v>8015</v>
      </c>
      <c r="E17924" s="3" t="s">
        <v>3</v>
      </c>
      <c r="F17924" s="4">
        <v>4.9999999999999996E-72</v>
      </c>
      <c r="G17924" s="3">
        <v>595</v>
      </c>
      <c r="H17924" s="3">
        <v>85</v>
      </c>
      <c r="I17924" s="3">
        <v>124</v>
      </c>
      <c r="J17924" s="3">
        <v>794</v>
      </c>
      <c r="K17924" s="3">
        <v>1165</v>
      </c>
      <c r="L17924" s="3">
        <v>2</v>
      </c>
      <c r="M17924" s="3">
        <v>124</v>
      </c>
    </row>
    <row r="17925" spans="1:13" x14ac:dyDescent="0.25">
      <c r="A17925" s="1" t="str">
        <f>HYPERLINK("http://www.rosaceae.org/Prunus/Prunus_persica/p.persica_gdr_reftransV1_0011560","p.persica_gdr_reftransV1_0011560")</f>
        <v>p.persica_gdr_reftransV1_0011560</v>
      </c>
      <c r="B17925" s="3">
        <v>662</v>
      </c>
      <c r="C17925" s="1" t="str">
        <f>HYPERLINK("http://www.uniprot.org/uniprot/Y5707_ARATH","Y5707_ARATH")</f>
        <v>Y5707_ARATH</v>
      </c>
      <c r="D17925" t="s">
        <v>2730</v>
      </c>
      <c r="E17925" s="3" t="s">
        <v>3</v>
      </c>
      <c r="F17925" s="4">
        <v>1.9499999999999999E-14</v>
      </c>
      <c r="G17925" s="3">
        <v>183</v>
      </c>
      <c r="H17925" s="3">
        <v>42</v>
      </c>
      <c r="I17925" s="3">
        <v>109</v>
      </c>
      <c r="J17925" s="3">
        <v>20</v>
      </c>
      <c r="K17925" s="3">
        <v>301</v>
      </c>
      <c r="L17925" s="3">
        <v>1</v>
      </c>
      <c r="M17925" s="3">
        <v>105</v>
      </c>
    </row>
    <row r="17926" spans="1:13" x14ac:dyDescent="0.25">
      <c r="A17926" s="1" t="str">
        <f>HYPERLINK("http://www.rosaceae.org/Prunus/Prunus_persica/p.persica_gdr_reftransV1_0011610","p.persica_gdr_reftransV1_0011610")</f>
        <v>p.persica_gdr_reftransV1_0011610</v>
      </c>
      <c r="B17926" s="3">
        <v>1590</v>
      </c>
      <c r="C17926" s="1" t="str">
        <f>HYPERLINK("http://www.uniprot.org/uniprot/LCAT1_ARATH","LCAT1_ARATH")</f>
        <v>LCAT1_ARATH</v>
      </c>
      <c r="D17926" t="s">
        <v>10890</v>
      </c>
      <c r="E17926" s="3" t="s">
        <v>3</v>
      </c>
      <c r="F17926" s="4">
        <v>0</v>
      </c>
      <c r="G17926" s="3">
        <v>1431</v>
      </c>
      <c r="H17926" s="3">
        <v>64</v>
      </c>
      <c r="I17926" s="3">
        <v>414</v>
      </c>
      <c r="J17926" s="3">
        <v>188</v>
      </c>
      <c r="K17926" s="3">
        <v>1417</v>
      </c>
      <c r="L17926" s="3">
        <v>24</v>
      </c>
      <c r="M17926" s="3">
        <v>430</v>
      </c>
    </row>
    <row r="17927" spans="1:13" x14ac:dyDescent="0.25">
      <c r="A17927" s="1" t="str">
        <f>HYPERLINK("http://www.rosaceae.org/Prunus/Prunus_persica/p.persica_gdr_reftransV1_0011710","p.persica_gdr_reftransV1_0011710")</f>
        <v>p.persica_gdr_reftransV1_0011710</v>
      </c>
      <c r="B17927" s="3">
        <v>4260</v>
      </c>
      <c r="C17927" s="1" t="str">
        <f>HYPERLINK("http://www.uniprot.org/uniprot/SC15A_ARATH","SC15A_ARATH")</f>
        <v>SC15A_ARATH</v>
      </c>
      <c r="D17927" t="s">
        <v>10891</v>
      </c>
      <c r="E17927" s="3" t="s">
        <v>3</v>
      </c>
      <c r="F17927" s="4">
        <v>0</v>
      </c>
      <c r="G17927" s="3">
        <v>3229</v>
      </c>
      <c r="H17927" s="3">
        <v>76</v>
      </c>
      <c r="I17927" s="3">
        <v>790</v>
      </c>
      <c r="J17927" s="3">
        <v>1611</v>
      </c>
      <c r="K17927" s="3">
        <v>3980</v>
      </c>
      <c r="L17927" s="3">
        <v>1</v>
      </c>
      <c r="M17927" s="3">
        <v>790</v>
      </c>
    </row>
    <row r="17928" spans="1:13" x14ac:dyDescent="0.25">
      <c r="A17928" s="1" t="str">
        <f>HYPERLINK("http://www.rosaceae.org/Prunus/Prunus_persica/p.persica_gdr_reftransV1_0011910","p.persica_gdr_reftransV1_0011910")</f>
        <v>p.persica_gdr_reftransV1_0011910</v>
      </c>
      <c r="B17928" s="3">
        <v>3619</v>
      </c>
      <c r="C17928" s="1" t="str">
        <f>HYPERLINK("http://www.uniprot.org/uniprot/VPS39_MOUSE","VPS39_MOUSE")</f>
        <v>VPS39_MOUSE</v>
      </c>
      <c r="D17928" t="s">
        <v>10892</v>
      </c>
      <c r="E17928" s="3" t="s">
        <v>157</v>
      </c>
      <c r="F17928" s="4">
        <v>5.1500000000000001E-44</v>
      </c>
      <c r="G17928" s="3">
        <v>448</v>
      </c>
      <c r="H17928" s="3">
        <v>30</v>
      </c>
      <c r="I17928" s="3">
        <v>391</v>
      </c>
      <c r="J17928" s="3">
        <v>2344</v>
      </c>
      <c r="K17928" s="3">
        <v>3486</v>
      </c>
      <c r="L17928" s="3">
        <v>1</v>
      </c>
      <c r="M17928" s="3">
        <v>387</v>
      </c>
    </row>
    <row r="17929" spans="1:13" x14ac:dyDescent="0.25">
      <c r="A17929" s="1" t="str">
        <f>HYPERLINK("http://www.rosaceae.org/Prunus/Prunus_persica/p.persica_gdr_reftransV1_0011960","p.persica_gdr_reftransV1_0011960")</f>
        <v>p.persica_gdr_reftransV1_0011960</v>
      </c>
      <c r="B17929" s="3">
        <v>920</v>
      </c>
      <c r="C17929" s="1" t="str">
        <f>HYPERLINK("http://www.uniprot.org/uniprot/CYNS_MEDTR","CYNS_MEDTR")</f>
        <v>CYNS_MEDTR</v>
      </c>
      <c r="D17929" t="s">
        <v>10893</v>
      </c>
      <c r="E17929" s="3" t="s">
        <v>91</v>
      </c>
      <c r="F17929" s="4">
        <v>9.0600000000000003E-96</v>
      </c>
      <c r="G17929" s="3">
        <v>734</v>
      </c>
      <c r="H17929" s="3">
        <v>86</v>
      </c>
      <c r="I17929" s="3">
        <v>158</v>
      </c>
      <c r="J17929" s="3">
        <v>440</v>
      </c>
      <c r="K17929" s="3">
        <v>913</v>
      </c>
      <c r="L17929" s="3">
        <v>1</v>
      </c>
      <c r="M17929" s="3">
        <v>158</v>
      </c>
    </row>
    <row r="17930" spans="1:13" x14ac:dyDescent="0.25">
      <c r="A17930" s="1" t="str">
        <f>HYPERLINK("http://www.rosaceae.org/Prunus/Prunus_persica/p.persica_gdr_reftransV1_0012010","p.persica_gdr_reftransV1_0012010")</f>
        <v>p.persica_gdr_reftransV1_0012010</v>
      </c>
      <c r="B17930" s="3">
        <v>3595</v>
      </c>
      <c r="C17930" s="1" t="str">
        <f>HYPERLINK("http://www.uniprot.org/uniprot/UBP22_ARATH","UBP22_ARATH")</f>
        <v>UBP22_ARATH</v>
      </c>
      <c r="D17930" t="s">
        <v>654</v>
      </c>
      <c r="E17930" s="3" t="s">
        <v>3</v>
      </c>
      <c r="F17930" s="4">
        <v>7.3299999999999998E-72</v>
      </c>
      <c r="G17930" s="3">
        <v>651</v>
      </c>
      <c r="H17930" s="3">
        <v>54</v>
      </c>
      <c r="I17930" s="3">
        <v>256</v>
      </c>
      <c r="J17930" s="3">
        <v>2260</v>
      </c>
      <c r="K17930" s="3">
        <v>3015</v>
      </c>
      <c r="L17930" s="3">
        <v>293</v>
      </c>
      <c r="M17930" s="3">
        <v>540</v>
      </c>
    </row>
    <row r="17931" spans="1:13" x14ac:dyDescent="0.25">
      <c r="A17931" s="1" t="str">
        <f>HYPERLINK("http://www.rosaceae.org/Prunus/Prunus_persica/p.persica_gdr_reftransV1_0012060","p.persica_gdr_reftransV1_0012060")</f>
        <v>p.persica_gdr_reftransV1_0012060</v>
      </c>
      <c r="B17931" s="3">
        <v>579</v>
      </c>
      <c r="C17931" s="1" t="str">
        <f>HYPERLINK("http://www.uniprot.org/uniprot/SUT_SPIOL","SUT_SPIOL")</f>
        <v>SUT_SPIOL</v>
      </c>
      <c r="D17931" t="s">
        <v>5583</v>
      </c>
      <c r="E17931" s="3" t="s">
        <v>131</v>
      </c>
      <c r="F17931" s="4">
        <v>1.61E-50</v>
      </c>
      <c r="G17931" s="3">
        <v>446</v>
      </c>
      <c r="H17931" s="3">
        <v>69</v>
      </c>
      <c r="I17931" s="3">
        <v>160</v>
      </c>
      <c r="J17931" s="3">
        <v>100</v>
      </c>
      <c r="K17931" s="3">
        <v>579</v>
      </c>
      <c r="L17931" s="3">
        <v>358</v>
      </c>
      <c r="M17931" s="3">
        <v>515</v>
      </c>
    </row>
    <row r="17932" spans="1:13" x14ac:dyDescent="0.25">
      <c r="A17932" s="1" t="str">
        <f>HYPERLINK("http://www.rosaceae.org/Prunus/Prunus_persica/p.persica_gdr_reftransV1_0012110","p.persica_gdr_reftransV1_0012110")</f>
        <v>p.persica_gdr_reftransV1_0012110</v>
      </c>
      <c r="B17932" s="3">
        <v>2382</v>
      </c>
      <c r="C17932" s="1" t="str">
        <f>HYPERLINK("http://www.uniprot.org/uniprot/PGLR_PRUPE","PGLR_PRUPE")</f>
        <v>PGLR_PRUPE</v>
      </c>
      <c r="D17932" t="s">
        <v>783</v>
      </c>
      <c r="E17932" s="3" t="s">
        <v>784</v>
      </c>
      <c r="F17932" s="4">
        <v>6.3900000000000006E-163</v>
      </c>
      <c r="G17932" s="3">
        <v>1248</v>
      </c>
      <c r="H17932" s="3">
        <v>98</v>
      </c>
      <c r="I17932" s="3">
        <v>244</v>
      </c>
      <c r="J17932" s="3">
        <v>56</v>
      </c>
      <c r="K17932" s="3">
        <v>787</v>
      </c>
      <c r="L17932" s="3">
        <v>1</v>
      </c>
      <c r="M17932" s="3">
        <v>244</v>
      </c>
    </row>
    <row r="17933" spans="1:13" x14ac:dyDescent="0.25">
      <c r="A17933" s="1" t="str">
        <f>HYPERLINK("http://www.rosaceae.org/Prunus/Prunus_persica/p.persica_gdr_reftransV1_0012160","p.persica_gdr_reftransV1_0012160")</f>
        <v>p.persica_gdr_reftransV1_0012160</v>
      </c>
      <c r="B17933" s="3">
        <v>3059</v>
      </c>
      <c r="C17933" s="1" t="str">
        <f>HYPERLINK("http://www.uniprot.org/uniprot/SD25_ARATH","SD25_ARATH")</f>
        <v>SD25_ARATH</v>
      </c>
      <c r="D17933" t="s">
        <v>4190</v>
      </c>
      <c r="E17933" s="3" t="s">
        <v>3</v>
      </c>
      <c r="F17933" s="4">
        <v>0</v>
      </c>
      <c r="G17933" s="3">
        <v>2206</v>
      </c>
      <c r="H17933" s="3">
        <v>55</v>
      </c>
      <c r="I17933" s="3">
        <v>803</v>
      </c>
      <c r="J17933" s="3">
        <v>291</v>
      </c>
      <c r="K17933" s="3">
        <v>2663</v>
      </c>
      <c r="L17933" s="3">
        <v>21</v>
      </c>
      <c r="M17933" s="3">
        <v>821</v>
      </c>
    </row>
    <row r="17934" spans="1:13" x14ac:dyDescent="0.25">
      <c r="A17934" s="1" t="str">
        <f>HYPERLINK("http://www.rosaceae.org/Prunus/Prunus_persica/p.persica_gdr_reftransV1_0012660","p.persica_gdr_reftransV1_0012660")</f>
        <v>p.persica_gdr_reftransV1_0012660</v>
      </c>
      <c r="B17934" s="3">
        <v>3579</v>
      </c>
      <c r="C17934" s="1" t="str">
        <f>HYPERLINK("http://www.uniprot.org/uniprot/U88A1_ARATH","U88A1_ARATH")</f>
        <v>U88A1_ARATH</v>
      </c>
      <c r="D17934" t="s">
        <v>10894</v>
      </c>
      <c r="E17934" s="3" t="s">
        <v>3</v>
      </c>
      <c r="F17934" s="4">
        <v>3.9299999999999999E-165</v>
      </c>
      <c r="G17934" s="3">
        <v>1300</v>
      </c>
      <c r="H17934" s="3">
        <v>57</v>
      </c>
      <c r="I17934" s="3">
        <v>477</v>
      </c>
      <c r="J17934" s="3">
        <v>1452</v>
      </c>
      <c r="K17934" s="3">
        <v>2873</v>
      </c>
      <c r="L17934" s="3">
        <v>3</v>
      </c>
      <c r="M17934" s="3">
        <v>460</v>
      </c>
    </row>
    <row r="17935" spans="1:13" x14ac:dyDescent="0.25">
      <c r="A17935" s="1" t="str">
        <f>HYPERLINK("http://www.rosaceae.org/Prunus/Prunus_persica/p.persica_gdr_reftransV1_0012710","p.persica_gdr_reftransV1_0012710")</f>
        <v>p.persica_gdr_reftransV1_0012710</v>
      </c>
      <c r="B17935" s="3">
        <v>1100</v>
      </c>
      <c r="C17935" s="1" t="str">
        <f>HYPERLINK("http://www.uniprot.org/uniprot/LOR15_ARATH","LOR15_ARATH")</f>
        <v>LOR15_ARATH</v>
      </c>
      <c r="D17935" t="s">
        <v>2655</v>
      </c>
      <c r="E17935" s="3" t="s">
        <v>3</v>
      </c>
      <c r="F17935" s="4">
        <v>1.7100000000000001E-71</v>
      </c>
      <c r="G17935" s="3">
        <v>583</v>
      </c>
      <c r="H17935" s="3">
        <v>47</v>
      </c>
      <c r="I17935" s="3">
        <v>228</v>
      </c>
      <c r="J17935" s="3">
        <v>212</v>
      </c>
      <c r="K17935" s="3">
        <v>892</v>
      </c>
      <c r="L17935" s="3">
        <v>12</v>
      </c>
      <c r="M17935" s="3">
        <v>211</v>
      </c>
    </row>
    <row r="17936" spans="1:13" x14ac:dyDescent="0.25">
      <c r="A17936" s="1" t="str">
        <f>HYPERLINK("http://www.rosaceae.org/Prunus/Prunus_persica/p.persica_gdr_reftransV1_0012860","p.persica_gdr_reftransV1_0012860")</f>
        <v>p.persica_gdr_reftransV1_0012860</v>
      </c>
      <c r="B17936" s="3">
        <v>382</v>
      </c>
      <c r="C17936" s="1" t="str">
        <f>HYPERLINK("http://www.uniprot.org/uniprot/MDARS_CUCSA","MDARS_CUCSA")</f>
        <v>MDARS_CUCSA</v>
      </c>
      <c r="D17936" t="s">
        <v>10895</v>
      </c>
      <c r="E17936" s="3" t="s">
        <v>1149</v>
      </c>
      <c r="F17936" s="4">
        <v>1.9099999999999999E-65</v>
      </c>
      <c r="G17936" s="3">
        <v>536</v>
      </c>
      <c r="H17936" s="3">
        <v>76</v>
      </c>
      <c r="I17936" s="3">
        <v>127</v>
      </c>
      <c r="J17936" s="3">
        <v>2</v>
      </c>
      <c r="K17936" s="3">
        <v>382</v>
      </c>
      <c r="L17936" s="3">
        <v>261</v>
      </c>
      <c r="M17936" s="3">
        <v>387</v>
      </c>
    </row>
    <row r="17937" spans="1:13" x14ac:dyDescent="0.25">
      <c r="A17937" s="1" t="str">
        <f>HYPERLINK("http://www.rosaceae.org/Prunus/Prunus_persica/p.persica_gdr_reftransV1_0013010","p.persica_gdr_reftransV1_0013010")</f>
        <v>p.persica_gdr_reftransV1_0013010</v>
      </c>
      <c r="B17937" s="3">
        <v>4349</v>
      </c>
      <c r="C17937" s="1" t="str">
        <f>HYPERLINK("http://www.uniprot.org/uniprot/RDR1_ARATH","RDR1_ARATH")</f>
        <v>RDR1_ARATH</v>
      </c>
      <c r="D17937" t="s">
        <v>610</v>
      </c>
      <c r="E17937" s="3" t="s">
        <v>3</v>
      </c>
      <c r="F17937" s="4">
        <v>0</v>
      </c>
      <c r="G17937" s="3">
        <v>3217</v>
      </c>
      <c r="H17937" s="3">
        <v>66</v>
      </c>
      <c r="I17937" s="3">
        <v>945</v>
      </c>
      <c r="J17937" s="3">
        <v>1254</v>
      </c>
      <c r="K17937" s="3">
        <v>4076</v>
      </c>
      <c r="L17937" s="3">
        <v>173</v>
      </c>
      <c r="M17937" s="3">
        <v>1099</v>
      </c>
    </row>
    <row r="17938" spans="1:13" x14ac:dyDescent="0.25">
      <c r="A17938" s="1" t="str">
        <f>HYPERLINK("http://www.rosaceae.org/Prunus/Prunus_persica/p.persica_gdr_reftransV1_0013210","p.persica_gdr_reftransV1_0013210")</f>
        <v>p.persica_gdr_reftransV1_0013210</v>
      </c>
      <c r="B17938" s="3">
        <v>3114</v>
      </c>
      <c r="C17938" s="1" t="str">
        <f>HYPERLINK("http://www.uniprot.org/uniprot/ILR1_ARATH","ILR1_ARATH")</f>
        <v>ILR1_ARATH</v>
      </c>
      <c r="D17938" t="s">
        <v>397</v>
      </c>
      <c r="E17938" s="3" t="s">
        <v>3</v>
      </c>
      <c r="F17938" s="4">
        <v>0</v>
      </c>
      <c r="G17938" s="3">
        <v>1454</v>
      </c>
      <c r="H17938" s="3">
        <v>67</v>
      </c>
      <c r="I17938" s="3">
        <v>399</v>
      </c>
      <c r="J17938" s="3">
        <v>320</v>
      </c>
      <c r="K17938" s="3">
        <v>1516</v>
      </c>
      <c r="L17938" s="3">
        <v>32</v>
      </c>
      <c r="M17938" s="3">
        <v>430</v>
      </c>
    </row>
    <row r="17939" spans="1:13" x14ac:dyDescent="0.25">
      <c r="A17939" s="1" t="str">
        <f>HYPERLINK("http://www.rosaceae.org/Prunus/Prunus_persica/p.persica_gdr_reftransV1_0013360","p.persica_gdr_reftransV1_0013360")</f>
        <v>p.persica_gdr_reftransV1_0013360</v>
      </c>
      <c r="B17939" s="3">
        <v>1403</v>
      </c>
      <c r="C17939" s="1" t="str">
        <f>HYPERLINK("http://www.uniprot.org/uniprot/MPC3_ARATH","MPC3_ARATH")</f>
        <v>MPC3_ARATH</v>
      </c>
      <c r="D17939" t="s">
        <v>10896</v>
      </c>
      <c r="E17939" s="3" t="s">
        <v>3</v>
      </c>
      <c r="F17939" s="4">
        <v>2.89E-46</v>
      </c>
      <c r="G17939" s="3">
        <v>409</v>
      </c>
      <c r="H17939" s="3">
        <v>67</v>
      </c>
      <c r="I17939" s="3">
        <v>108</v>
      </c>
      <c r="J17939" s="3">
        <v>586</v>
      </c>
      <c r="K17939" s="3">
        <v>909</v>
      </c>
      <c r="L17939" s="3">
        <v>1</v>
      </c>
      <c r="M17939" s="3">
        <v>108</v>
      </c>
    </row>
    <row r="17940" spans="1:13" x14ac:dyDescent="0.25">
      <c r="A17940" s="1" t="str">
        <f>HYPERLINK("http://www.rosaceae.org/Prunus/Prunus_persica/p.persica_gdr_reftransV1_0013760","p.persica_gdr_reftransV1_0013760")</f>
        <v>p.persica_gdr_reftransV1_0013760</v>
      </c>
      <c r="B17940" s="3">
        <v>2410</v>
      </c>
      <c r="C17940" s="1" t="str">
        <f>HYPERLINK("http://www.uniprot.org/uniprot/IX10L_ARATH","IX10L_ARATH")</f>
        <v>IX10L_ARATH</v>
      </c>
      <c r="D17940" t="s">
        <v>4382</v>
      </c>
      <c r="E17940" s="3" t="s">
        <v>3</v>
      </c>
      <c r="F17940" s="4">
        <v>5.3200000000000003E-100</v>
      </c>
      <c r="G17940" s="3">
        <v>826</v>
      </c>
      <c r="H17940" s="3">
        <v>91</v>
      </c>
      <c r="I17940" s="3">
        <v>169</v>
      </c>
      <c r="J17940" s="3">
        <v>230</v>
      </c>
      <c r="K17940" s="3">
        <v>736</v>
      </c>
      <c r="L17940" s="3">
        <v>245</v>
      </c>
      <c r="M17940" s="3">
        <v>413</v>
      </c>
    </row>
    <row r="17941" spans="1:13" x14ac:dyDescent="0.25">
      <c r="A17941" s="1" t="str">
        <f>HYPERLINK("http://www.rosaceae.org/Prunus/Prunus_persica/p.persica_gdr_reftransV1_0013960","p.persica_gdr_reftransV1_0013960")</f>
        <v>p.persica_gdr_reftransV1_0013960</v>
      </c>
      <c r="B17941" s="3">
        <v>1068</v>
      </c>
      <c r="C17941" s="1" t="str">
        <f>HYPERLINK("http://www.uniprot.org/uniprot/ACFR1_ARATH","ACFR1_ARATH")</f>
        <v>ACFR1_ARATH</v>
      </c>
      <c r="D17941" t="s">
        <v>10897</v>
      </c>
      <c r="E17941" s="3" t="s">
        <v>3</v>
      </c>
      <c r="F17941" s="4">
        <v>6.2499999999999998E-68</v>
      </c>
      <c r="G17941" s="3">
        <v>560</v>
      </c>
      <c r="H17941" s="3">
        <v>69</v>
      </c>
      <c r="I17941" s="3">
        <v>239</v>
      </c>
      <c r="J17941" s="3">
        <v>288</v>
      </c>
      <c r="K17941" s="3">
        <v>983</v>
      </c>
      <c r="L17941" s="3">
        <v>1</v>
      </c>
      <c r="M17941" s="3">
        <v>239</v>
      </c>
    </row>
    <row r="17942" spans="1:13" x14ac:dyDescent="0.25">
      <c r="A17942" s="1" t="str">
        <f>HYPERLINK("http://www.rosaceae.org/Prunus/Prunus_persica/p.persica_gdr_reftransV1_0014110","p.persica_gdr_reftransV1_0014110")</f>
        <v>p.persica_gdr_reftransV1_0014110</v>
      </c>
      <c r="B17942" s="3">
        <v>2124</v>
      </c>
      <c r="C17942" s="1" t="str">
        <f>HYPERLINK("http://www.uniprot.org/uniprot/GCST_ARATH","GCST_ARATH")</f>
        <v>GCST_ARATH</v>
      </c>
      <c r="D17942" t="s">
        <v>10898</v>
      </c>
      <c r="E17942" s="3" t="s">
        <v>3</v>
      </c>
      <c r="F17942" s="4">
        <v>2.9999999999999999E-144</v>
      </c>
      <c r="G17942" s="3">
        <v>1117</v>
      </c>
      <c r="H17942" s="3">
        <v>89</v>
      </c>
      <c r="I17942" s="3">
        <v>228</v>
      </c>
      <c r="J17942" s="3">
        <v>434</v>
      </c>
      <c r="K17942" s="3">
        <v>1117</v>
      </c>
      <c r="L17942" s="3">
        <v>1</v>
      </c>
      <c r="M17942" s="3">
        <v>228</v>
      </c>
    </row>
    <row r="17943" spans="1:13" x14ac:dyDescent="0.25">
      <c r="A17943" s="1" t="str">
        <f>HYPERLINK("http://www.rosaceae.org/Prunus/Prunus_persica/p.persica_gdr_reftransV1_0014310","p.persica_gdr_reftransV1_0014310")</f>
        <v>p.persica_gdr_reftransV1_0014310</v>
      </c>
      <c r="B17943" s="3">
        <v>2126</v>
      </c>
      <c r="C17943" s="1" t="str">
        <f>HYPERLINK("http://www.uniprot.org/uniprot/GENL1_ARATH","GENL1_ARATH")</f>
        <v>GENL1_ARATH</v>
      </c>
      <c r="D17943" t="s">
        <v>10899</v>
      </c>
      <c r="E17943" s="3" t="s">
        <v>3</v>
      </c>
      <c r="F17943" s="4">
        <v>0</v>
      </c>
      <c r="G17943" s="3">
        <v>1685</v>
      </c>
      <c r="H17943" s="3">
        <v>58</v>
      </c>
      <c r="I17943" s="3">
        <v>615</v>
      </c>
      <c r="J17943" s="3">
        <v>56</v>
      </c>
      <c r="K17943" s="3">
        <v>1885</v>
      </c>
      <c r="L17943" s="3">
        <v>1</v>
      </c>
      <c r="M17943" s="3">
        <v>598</v>
      </c>
    </row>
    <row r="17944" spans="1:13" x14ac:dyDescent="0.25">
      <c r="A17944" s="1" t="str">
        <f>HYPERLINK("http://www.rosaceae.org/Prunus/Prunus_persica/p.persica_gdr_reftransV1_0014360","p.persica_gdr_reftransV1_0014360")</f>
        <v>p.persica_gdr_reftransV1_0014360</v>
      </c>
      <c r="B17944" s="3">
        <v>2316</v>
      </c>
      <c r="C17944" s="1" t="str">
        <f>HYPERLINK("http://www.uniprot.org/uniprot/PHB2_ARATH","PHB2_ARATH")</f>
        <v>PHB2_ARATH</v>
      </c>
      <c r="D17944" t="s">
        <v>10900</v>
      </c>
      <c r="E17944" s="3" t="s">
        <v>3</v>
      </c>
      <c r="F17944" s="4">
        <v>5.1800000000000004E-97</v>
      </c>
      <c r="G17944" s="3">
        <v>792</v>
      </c>
      <c r="H17944" s="3">
        <v>84</v>
      </c>
      <c r="I17944" s="3">
        <v>193</v>
      </c>
      <c r="J17944" s="3">
        <v>1352</v>
      </c>
      <c r="K17944" s="3">
        <v>1930</v>
      </c>
      <c r="L17944" s="3">
        <v>91</v>
      </c>
      <c r="M17944" s="3">
        <v>283</v>
      </c>
    </row>
    <row r="17945" spans="1:13" x14ac:dyDescent="0.25">
      <c r="A17945" s="1" t="str">
        <f>HYPERLINK("http://www.rosaceae.org/Prunus/Prunus_persica/p.persica_gdr_reftransV1_0014410","p.persica_gdr_reftransV1_0014410")</f>
        <v>p.persica_gdr_reftransV1_0014410</v>
      </c>
      <c r="B17945" s="3">
        <v>429</v>
      </c>
      <c r="C17945" s="1" t="str">
        <f>HYPERLINK("http://www.uniprot.org/uniprot/AIR12_ARATH","AIR12_ARATH")</f>
        <v>AIR12_ARATH</v>
      </c>
      <c r="D17945" t="s">
        <v>4342</v>
      </c>
      <c r="E17945" s="3" t="s">
        <v>3</v>
      </c>
      <c r="F17945" s="4">
        <v>1.5200000000000001E-41</v>
      </c>
      <c r="G17945" s="3">
        <v>364</v>
      </c>
      <c r="H17945" s="3">
        <v>60</v>
      </c>
      <c r="I17945" s="3">
        <v>118</v>
      </c>
      <c r="J17945" s="3">
        <v>1</v>
      </c>
      <c r="K17945" s="3">
        <v>345</v>
      </c>
      <c r="L17945" s="3">
        <v>19</v>
      </c>
      <c r="M17945" s="3">
        <v>136</v>
      </c>
    </row>
    <row r="17946" spans="1:13" x14ac:dyDescent="0.25">
      <c r="A17946" s="1" t="str">
        <f>HYPERLINK("http://www.rosaceae.org/Prunus/Prunus_persica/p.persica_gdr_reftransV1_0014460","p.persica_gdr_reftransV1_0014460")</f>
        <v>p.persica_gdr_reftransV1_0014460</v>
      </c>
      <c r="B17946" s="3">
        <v>1111</v>
      </c>
      <c r="C17946" s="1" t="str">
        <f>HYPERLINK("http://www.uniprot.org/uniprot/Y1649_ARATH","Y1649_ARATH")</f>
        <v>Y1649_ARATH</v>
      </c>
      <c r="D17946" t="s">
        <v>10901</v>
      </c>
      <c r="E17946" s="3" t="s">
        <v>3</v>
      </c>
      <c r="F17946" s="4">
        <v>3.0600000000000001E-90</v>
      </c>
      <c r="G17946" s="3">
        <v>753</v>
      </c>
      <c r="H17946" s="3">
        <v>49</v>
      </c>
      <c r="I17946" s="3">
        <v>334</v>
      </c>
      <c r="J17946" s="3">
        <v>5</v>
      </c>
      <c r="K17946" s="3">
        <v>1000</v>
      </c>
      <c r="L17946" s="3">
        <v>1</v>
      </c>
      <c r="M17946" s="3">
        <v>316</v>
      </c>
    </row>
    <row r="17947" spans="1:13" x14ac:dyDescent="0.25">
      <c r="A17947" s="1" t="str">
        <f>HYPERLINK("http://www.rosaceae.org/Prunus/Prunus_persica/p.persica_gdr_reftransV1_0014610","p.persica_gdr_reftransV1_0014610")</f>
        <v>p.persica_gdr_reftransV1_0014610</v>
      </c>
      <c r="B17947" s="3">
        <v>2384</v>
      </c>
      <c r="C17947" s="1" t="str">
        <f>HYPERLINK("http://www.uniprot.org/uniprot/APY6_ARATH","APY6_ARATH")</f>
        <v>APY6_ARATH</v>
      </c>
      <c r="D17947" t="s">
        <v>6048</v>
      </c>
      <c r="E17947" s="3" t="s">
        <v>3</v>
      </c>
      <c r="F17947" s="4">
        <v>4.4099999999999999E-101</v>
      </c>
      <c r="G17947" s="3">
        <v>845</v>
      </c>
      <c r="H17947" s="3">
        <v>43</v>
      </c>
      <c r="I17947" s="3">
        <v>431</v>
      </c>
      <c r="J17947" s="3">
        <v>247</v>
      </c>
      <c r="K17947" s="3">
        <v>1473</v>
      </c>
      <c r="L17947" s="3">
        <v>133</v>
      </c>
      <c r="M17947" s="3">
        <v>554</v>
      </c>
    </row>
    <row r="17948" spans="1:13" x14ac:dyDescent="0.25">
      <c r="A17948" s="1" t="str">
        <f>HYPERLINK("http://www.rosaceae.org/Prunus/Prunus_persica/p.persica_gdr_reftransV1_0014710","p.persica_gdr_reftransV1_0014710")</f>
        <v>p.persica_gdr_reftransV1_0014710</v>
      </c>
      <c r="B17948" s="3">
        <v>556</v>
      </c>
      <c r="C17948" s="1" t="str">
        <f>HYPERLINK("http://www.uniprot.org/uniprot/ATL56_ARATH","ATL56_ARATH")</f>
        <v>ATL56_ARATH</v>
      </c>
      <c r="D17948" t="s">
        <v>9480</v>
      </c>
      <c r="E17948" s="3" t="s">
        <v>3</v>
      </c>
      <c r="F17948" s="4">
        <v>1.6300000000000001E-11</v>
      </c>
      <c r="G17948" s="3">
        <v>152</v>
      </c>
      <c r="H17948" s="3">
        <v>49</v>
      </c>
      <c r="I17948" s="3">
        <v>61</v>
      </c>
      <c r="J17948" s="3">
        <v>336</v>
      </c>
      <c r="K17948" s="3">
        <v>518</v>
      </c>
      <c r="L17948" s="3">
        <v>81</v>
      </c>
      <c r="M17948" s="3">
        <v>136</v>
      </c>
    </row>
    <row r="17949" spans="1:13" x14ac:dyDescent="0.25">
      <c r="A17949" s="1" t="str">
        <f>HYPERLINK("http://www.rosaceae.org/Prunus/Prunus_persica/p.persica_gdr_reftransV1_0014860","p.persica_gdr_reftransV1_0014860")</f>
        <v>p.persica_gdr_reftransV1_0014860</v>
      </c>
      <c r="B17949" s="3">
        <v>1107</v>
      </c>
      <c r="C17949" s="1" t="str">
        <f>HYPERLINK("http://www.uniprot.org/uniprot/HDDC2_DANRE","HDDC2_DANRE")</f>
        <v>HDDC2_DANRE</v>
      </c>
      <c r="D17949" t="s">
        <v>10902</v>
      </c>
      <c r="E17949" s="3" t="s">
        <v>704</v>
      </c>
      <c r="F17949" s="4">
        <v>3.7599999999999998E-53</v>
      </c>
      <c r="G17949" s="3">
        <v>458</v>
      </c>
      <c r="H17949" s="3">
        <v>56</v>
      </c>
      <c r="I17949" s="3">
        <v>161</v>
      </c>
      <c r="J17949" s="3">
        <v>225</v>
      </c>
      <c r="K17949" s="3">
        <v>701</v>
      </c>
      <c r="L17949" s="3">
        <v>5</v>
      </c>
      <c r="M17949" s="3">
        <v>163</v>
      </c>
    </row>
    <row r="17950" spans="1:13" x14ac:dyDescent="0.25">
      <c r="A17950" s="1" t="str">
        <f>HYPERLINK("http://www.rosaceae.org/Prunus/Prunus_persica/p.persica_gdr_reftransV1_0014910","p.persica_gdr_reftransV1_0014910")</f>
        <v>p.persica_gdr_reftransV1_0014910</v>
      </c>
      <c r="B17950" s="3">
        <v>839</v>
      </c>
      <c r="C17950" s="1" t="str">
        <f>HYPERLINK("http://www.uniprot.org/uniprot/RL191_ARATH","RL191_ARATH")</f>
        <v>RL191_ARATH</v>
      </c>
      <c r="D17950" t="s">
        <v>3954</v>
      </c>
      <c r="E17950" s="3" t="s">
        <v>3</v>
      </c>
      <c r="F17950" s="4">
        <v>1.2900000000000001E-93</v>
      </c>
      <c r="G17950" s="3">
        <v>721</v>
      </c>
      <c r="H17950" s="3">
        <v>93</v>
      </c>
      <c r="I17950" s="3">
        <v>183</v>
      </c>
      <c r="J17950" s="3">
        <v>220</v>
      </c>
      <c r="K17950" s="3">
        <v>768</v>
      </c>
      <c r="L17950" s="3">
        <v>1</v>
      </c>
      <c r="M17950" s="3">
        <v>183</v>
      </c>
    </row>
    <row r="17951" spans="1:13" x14ac:dyDescent="0.25">
      <c r="A17951" s="1" t="str">
        <f>HYPERLINK("http://www.rosaceae.org/Prunus/Prunus_persica/p.persica_gdr_reftransV1_0015060","p.persica_gdr_reftransV1_0015060")</f>
        <v>p.persica_gdr_reftransV1_0015060</v>
      </c>
      <c r="B17951" s="3">
        <v>2216</v>
      </c>
      <c r="C17951" s="1" t="str">
        <f>HYPERLINK("http://www.uniprot.org/uniprot/PPT1_CAEEL","PPT1_CAEEL")</f>
        <v>PPT1_CAEEL</v>
      </c>
      <c r="D17951" t="s">
        <v>6586</v>
      </c>
      <c r="E17951" s="3" t="s">
        <v>281</v>
      </c>
      <c r="F17951" s="4">
        <v>7.2700000000000001E-26</v>
      </c>
      <c r="G17951" s="3">
        <v>206</v>
      </c>
      <c r="H17951" s="3">
        <v>55</v>
      </c>
      <c r="I17951" s="3">
        <v>66</v>
      </c>
      <c r="J17951" s="3">
        <v>1558</v>
      </c>
      <c r="K17951" s="3">
        <v>1755</v>
      </c>
      <c r="L17951" s="3">
        <v>221</v>
      </c>
      <c r="M17951" s="3">
        <v>286</v>
      </c>
    </row>
    <row r="17952" spans="1:13" x14ac:dyDescent="0.25">
      <c r="A17952" s="1" t="str">
        <f>HYPERLINK("http://www.rosaceae.org/Prunus/Prunus_persica/p.persica_gdr_reftransV1_0015110","p.persica_gdr_reftransV1_0015110")</f>
        <v>p.persica_gdr_reftransV1_0015110</v>
      </c>
      <c r="B17952" s="3">
        <v>1829</v>
      </c>
      <c r="C17952" s="1" t="str">
        <f>HYPERLINK("http://www.uniprot.org/uniprot/SUOX_ARATH","SUOX_ARATH")</f>
        <v>SUOX_ARATH</v>
      </c>
      <c r="D17952" t="s">
        <v>5502</v>
      </c>
      <c r="E17952" s="3" t="s">
        <v>3</v>
      </c>
      <c r="F17952" s="4">
        <v>3.1E-165</v>
      </c>
      <c r="G17952" s="3">
        <v>791</v>
      </c>
      <c r="H17952" s="3">
        <v>73</v>
      </c>
      <c r="I17952" s="3">
        <v>197</v>
      </c>
      <c r="J17952" s="3">
        <v>85</v>
      </c>
      <c r="K17952" s="3">
        <v>675</v>
      </c>
      <c r="L17952" s="3">
        <v>1</v>
      </c>
      <c r="M17952" s="3">
        <v>197</v>
      </c>
    </row>
    <row r="17953" spans="1:13" x14ac:dyDescent="0.25">
      <c r="A17953" s="1" t="str">
        <f>HYPERLINK("http://www.rosaceae.org/Prunus/Prunus_persica/p.persica_gdr_reftransV1_0015160","p.persica_gdr_reftransV1_0015160")</f>
        <v>p.persica_gdr_reftransV1_0015160</v>
      </c>
      <c r="B17953" s="3">
        <v>3972</v>
      </c>
      <c r="C17953" s="1" t="str">
        <f>HYPERLINK("http://www.uniprot.org/uniprot/SM3L2_ARATH","SM3L2_ARATH")</f>
        <v>SM3L2_ARATH</v>
      </c>
      <c r="D17953" t="s">
        <v>10903</v>
      </c>
      <c r="E17953" s="3" t="s">
        <v>3</v>
      </c>
      <c r="F17953" s="4">
        <v>0</v>
      </c>
      <c r="G17953" s="3">
        <v>3876</v>
      </c>
      <c r="H17953" s="3">
        <v>73</v>
      </c>
      <c r="I17953" s="3">
        <v>1042</v>
      </c>
      <c r="J17953" s="3">
        <v>228</v>
      </c>
      <c r="K17953" s="3">
        <v>3326</v>
      </c>
      <c r="L17953" s="3">
        <v>1</v>
      </c>
      <c r="M17953" s="3">
        <v>1029</v>
      </c>
    </row>
    <row r="17954" spans="1:13" x14ac:dyDescent="0.25">
      <c r="A17954" s="1" t="str">
        <f>HYPERLINK("http://www.rosaceae.org/Prunus/Prunus_persica/p.persica_gdr_reftransV1_0015410","p.persica_gdr_reftransV1_0015410")</f>
        <v>p.persica_gdr_reftransV1_0015410</v>
      </c>
      <c r="B17954" s="3">
        <v>1440</v>
      </c>
      <c r="C17954" s="1" t="str">
        <f>HYPERLINK("http://www.uniprot.org/uniprot/GAOX1_ARATH","GAOX1_ARATH")</f>
        <v>GAOX1_ARATH</v>
      </c>
      <c r="D17954" t="s">
        <v>4651</v>
      </c>
      <c r="E17954" s="3" t="s">
        <v>3</v>
      </c>
      <c r="F17954" s="4">
        <v>1.03E-53</v>
      </c>
      <c r="G17954" s="3">
        <v>483</v>
      </c>
      <c r="H17954" s="3">
        <v>68</v>
      </c>
      <c r="I17954" s="3">
        <v>142</v>
      </c>
      <c r="J17954" s="3">
        <v>676</v>
      </c>
      <c r="K17954" s="3">
        <v>1074</v>
      </c>
      <c r="L17954" s="3">
        <v>180</v>
      </c>
      <c r="M17954" s="3">
        <v>319</v>
      </c>
    </row>
    <row r="17955" spans="1:13" x14ac:dyDescent="0.25">
      <c r="A17955" s="1" t="str">
        <f>HYPERLINK("http://www.rosaceae.org/Prunus/Prunus_persica/p.persica_gdr_reftransV1_0015510","p.persica_gdr_reftransV1_0015510")</f>
        <v>p.persica_gdr_reftransV1_0015510</v>
      </c>
      <c r="B17955" s="3">
        <v>2549</v>
      </c>
      <c r="C17955" s="1" t="str">
        <f>HYPERLINK("http://www.uniprot.org/uniprot/LRP1C_ARATH","LRP1C_ARATH")</f>
        <v>LRP1C_ARATH</v>
      </c>
      <c r="D17955" t="s">
        <v>4148</v>
      </c>
      <c r="E17955" s="3" t="s">
        <v>3</v>
      </c>
      <c r="F17955" s="4">
        <v>2.6299999999999999E-25</v>
      </c>
      <c r="G17955" s="3">
        <v>286</v>
      </c>
      <c r="H17955" s="3">
        <v>33</v>
      </c>
      <c r="I17955" s="3">
        <v>233</v>
      </c>
      <c r="J17955" s="3">
        <v>798</v>
      </c>
      <c r="K17955" s="3">
        <v>1472</v>
      </c>
      <c r="L17955" s="3">
        <v>232</v>
      </c>
      <c r="M17955" s="3">
        <v>450</v>
      </c>
    </row>
    <row r="17956" spans="1:13" x14ac:dyDescent="0.25">
      <c r="A17956" s="1" t="str">
        <f>HYPERLINK("http://www.rosaceae.org/Prunus/Prunus_persica/p.persica_gdr_reftransV1_0015760","p.persica_gdr_reftransV1_0015760")</f>
        <v>p.persica_gdr_reftransV1_0015760</v>
      </c>
      <c r="B17956" s="3">
        <v>1487</v>
      </c>
      <c r="C17956" s="1" t="str">
        <f>HYPERLINK("http://www.uniprot.org/uniprot/NTM1_ARATH","NTM1_ARATH")</f>
        <v>NTM1_ARATH</v>
      </c>
      <c r="D17956" t="s">
        <v>10904</v>
      </c>
      <c r="E17956" s="3" t="s">
        <v>3</v>
      </c>
      <c r="F17956" s="4">
        <v>1.82E-111</v>
      </c>
      <c r="G17956" s="3">
        <v>867</v>
      </c>
      <c r="H17956" s="3">
        <v>60</v>
      </c>
      <c r="I17956" s="3">
        <v>280</v>
      </c>
      <c r="J17956" s="3">
        <v>427</v>
      </c>
      <c r="K17956" s="3">
        <v>1263</v>
      </c>
      <c r="L17956" s="3">
        <v>1</v>
      </c>
      <c r="M17956" s="3">
        <v>235</v>
      </c>
    </row>
    <row r="17957" spans="1:13" x14ac:dyDescent="0.25">
      <c r="A17957" s="1" t="str">
        <f>HYPERLINK("http://www.rosaceae.org/Prunus/Prunus_persica/p.persica_gdr_reftransV1_0016060","p.persica_gdr_reftransV1_0016060")</f>
        <v>p.persica_gdr_reftransV1_0016060</v>
      </c>
      <c r="B17957" s="3">
        <v>2030</v>
      </c>
      <c r="C17957" s="1" t="str">
        <f>HYPERLINK("http://www.uniprot.org/uniprot/FB341_ARATH","FB341_ARATH")</f>
        <v>FB341_ARATH</v>
      </c>
      <c r="D17957" t="s">
        <v>1245</v>
      </c>
      <c r="E17957" s="3" t="s">
        <v>3</v>
      </c>
      <c r="F17957" s="4">
        <v>5.0000000000000002E-14</v>
      </c>
      <c r="G17957" s="3">
        <v>190</v>
      </c>
      <c r="H17957" s="3">
        <v>29</v>
      </c>
      <c r="I17957" s="3">
        <v>263</v>
      </c>
      <c r="J17957" s="3">
        <v>765</v>
      </c>
      <c r="K17957" s="3">
        <v>1484</v>
      </c>
      <c r="L17957" s="3">
        <v>11</v>
      </c>
      <c r="M17957" s="3">
        <v>264</v>
      </c>
    </row>
    <row r="17958" spans="1:13" x14ac:dyDescent="0.25">
      <c r="A17958" s="1" t="str">
        <f>HYPERLINK("http://www.rosaceae.org/Prunus/Prunus_persica/p.persica_gdr_reftransV1_0016160","p.persica_gdr_reftransV1_0016160")</f>
        <v>p.persica_gdr_reftransV1_0016160</v>
      </c>
      <c r="B17958" s="3">
        <v>3502</v>
      </c>
      <c r="C17958" s="1" t="str">
        <f>HYPERLINK("http://www.uniprot.org/uniprot/CTC1_ARATH","CTC1_ARATH")</f>
        <v>CTC1_ARATH</v>
      </c>
      <c r="D17958" t="s">
        <v>10905</v>
      </c>
      <c r="E17958" s="3" t="s">
        <v>3</v>
      </c>
      <c r="F17958" s="4">
        <v>1.0399999999999999E-99</v>
      </c>
      <c r="G17958" s="3">
        <v>898</v>
      </c>
      <c r="H17958" s="3">
        <v>33</v>
      </c>
      <c r="I17958" s="3">
        <v>844</v>
      </c>
      <c r="J17958" s="3">
        <v>27</v>
      </c>
      <c r="K17958" s="3">
        <v>2519</v>
      </c>
      <c r="L17958" s="3">
        <v>529</v>
      </c>
      <c r="M17958" s="3">
        <v>1269</v>
      </c>
    </row>
    <row r="17959" spans="1:13" x14ac:dyDescent="0.25">
      <c r="A17959" s="1" t="str">
        <f>HYPERLINK("http://www.rosaceae.org/Prunus/Prunus_persica/p.persica_gdr_reftransV1_0016210","p.persica_gdr_reftransV1_0016210")</f>
        <v>p.persica_gdr_reftransV1_0016210</v>
      </c>
      <c r="B17959" s="3">
        <v>3986</v>
      </c>
      <c r="C17959" s="1" t="str">
        <f>HYPERLINK("http://www.uniprot.org/uniprot/RECG_SYNY3","RECG_SYNY3")</f>
        <v>RECG_SYNY3</v>
      </c>
      <c r="D17959" t="s">
        <v>10906</v>
      </c>
      <c r="E17959" s="3" t="s">
        <v>527</v>
      </c>
      <c r="F17959" s="4">
        <v>4.2499999999999997E-84</v>
      </c>
      <c r="G17959" s="3">
        <v>763</v>
      </c>
      <c r="H17959" s="3">
        <v>35</v>
      </c>
      <c r="I17959" s="3">
        <v>544</v>
      </c>
      <c r="J17959" s="3">
        <v>1584</v>
      </c>
      <c r="K17959" s="3">
        <v>3209</v>
      </c>
      <c r="L17959" s="3">
        <v>129</v>
      </c>
      <c r="M17959" s="3">
        <v>608</v>
      </c>
    </row>
    <row r="17960" spans="1:13" x14ac:dyDescent="0.25">
      <c r="A17960" s="1" t="str">
        <f>HYPERLINK("http://www.rosaceae.org/Prunus/Prunus_persica/p.persica_gdr_reftransV1_0016410","p.persica_gdr_reftransV1_0016410")</f>
        <v>p.persica_gdr_reftransV1_0016410</v>
      </c>
      <c r="B17960" s="3">
        <v>2125</v>
      </c>
      <c r="C17960" s="1" t="str">
        <f>HYPERLINK("http://www.uniprot.org/uniprot/CTBL1_BOVIN","CTBL1_BOVIN")</f>
        <v>CTBL1_BOVIN</v>
      </c>
      <c r="D17960" t="s">
        <v>10907</v>
      </c>
      <c r="E17960" s="3" t="s">
        <v>184</v>
      </c>
      <c r="F17960" s="4">
        <v>3.6499999999999999E-103</v>
      </c>
      <c r="G17960" s="3">
        <v>854</v>
      </c>
      <c r="H17960" s="3">
        <v>43</v>
      </c>
      <c r="I17960" s="3">
        <v>485</v>
      </c>
      <c r="J17960" s="3">
        <v>266</v>
      </c>
      <c r="K17960" s="3">
        <v>1684</v>
      </c>
      <c r="L17960" s="3">
        <v>78</v>
      </c>
      <c r="M17960" s="3">
        <v>556</v>
      </c>
    </row>
    <row r="17961" spans="1:13" x14ac:dyDescent="0.25">
      <c r="A17961" s="1" t="str">
        <f>HYPERLINK("http://www.rosaceae.org/Prunus/Prunus_persica/p.persica_gdr_reftransV1_0016460","p.persica_gdr_reftransV1_0016460")</f>
        <v>p.persica_gdr_reftransV1_0016460</v>
      </c>
      <c r="B17961" s="3">
        <v>1347</v>
      </c>
      <c r="C17961" s="1" t="str">
        <f>HYPERLINK("http://www.uniprot.org/uniprot/RIK_ARATH","RIK_ARATH")</f>
        <v>RIK_ARATH</v>
      </c>
      <c r="D17961" t="s">
        <v>8378</v>
      </c>
      <c r="E17961" s="3" t="s">
        <v>3</v>
      </c>
      <c r="F17961" s="4">
        <v>2.11E-45</v>
      </c>
      <c r="G17961" s="3">
        <v>432</v>
      </c>
      <c r="H17961" s="3">
        <v>56</v>
      </c>
      <c r="I17961" s="3">
        <v>179</v>
      </c>
      <c r="J17961" s="3">
        <v>692</v>
      </c>
      <c r="K17961" s="3">
        <v>1213</v>
      </c>
      <c r="L17961" s="3">
        <v>1</v>
      </c>
      <c r="M17961" s="3">
        <v>151</v>
      </c>
    </row>
    <row r="17962" spans="1:13" x14ac:dyDescent="0.25">
      <c r="A17962" s="1" t="str">
        <f>HYPERLINK("http://www.rosaceae.org/Prunus/Prunus_persica/p.persica_gdr_reftransV1_0016710","p.persica_gdr_reftransV1_0016710")</f>
        <v>p.persica_gdr_reftransV1_0016710</v>
      </c>
      <c r="B17962" s="3">
        <v>2384</v>
      </c>
      <c r="C17962" s="1" t="str">
        <f>HYPERLINK("http://www.uniprot.org/uniprot/PPR9_ARATH","PPR9_ARATH")</f>
        <v>PPR9_ARATH</v>
      </c>
      <c r="D17962" t="s">
        <v>10908</v>
      </c>
      <c r="E17962" s="3" t="s">
        <v>3</v>
      </c>
      <c r="F17962" s="4">
        <v>0</v>
      </c>
      <c r="G17962" s="3">
        <v>2395</v>
      </c>
      <c r="H17962" s="3">
        <v>70</v>
      </c>
      <c r="I17962" s="3">
        <v>651</v>
      </c>
      <c r="J17962" s="3">
        <v>33</v>
      </c>
      <c r="K17962" s="3">
        <v>1979</v>
      </c>
      <c r="L17962" s="3">
        <v>13</v>
      </c>
      <c r="M17962" s="3">
        <v>656</v>
      </c>
    </row>
    <row r="17963" spans="1:13" x14ac:dyDescent="0.25">
      <c r="A17963" s="1" t="str">
        <f>HYPERLINK("http://www.rosaceae.org/Prunus/Prunus_persica/p.persica_gdr_reftransV1_0016760","p.persica_gdr_reftransV1_0016760")</f>
        <v>p.persica_gdr_reftransV1_0016760</v>
      </c>
      <c r="B17963" s="3">
        <v>2034</v>
      </c>
      <c r="C17963" s="1" t="str">
        <f>HYPERLINK("http://www.uniprot.org/uniprot/SMO11_ARATH","SMO11_ARATH")</f>
        <v>SMO11_ARATH</v>
      </c>
      <c r="D17963" t="s">
        <v>2993</v>
      </c>
      <c r="E17963" s="3" t="s">
        <v>3</v>
      </c>
      <c r="F17963" s="4">
        <v>2.0099999999999999E-103</v>
      </c>
      <c r="G17963" s="3">
        <v>830</v>
      </c>
      <c r="H17963" s="3">
        <v>79</v>
      </c>
      <c r="I17963" s="3">
        <v>183</v>
      </c>
      <c r="J17963" s="3">
        <v>403</v>
      </c>
      <c r="K17963" s="3">
        <v>945</v>
      </c>
      <c r="L17963" s="3">
        <v>112</v>
      </c>
      <c r="M17963" s="3">
        <v>294</v>
      </c>
    </row>
    <row r="17964" spans="1:13" x14ac:dyDescent="0.25">
      <c r="A17964" s="1" t="str">
        <f>HYPERLINK("http://www.rosaceae.org/Prunus/Prunus_persica/p.persica_gdr_reftransV1_0017060","p.persica_gdr_reftransV1_0017060")</f>
        <v>p.persica_gdr_reftransV1_0017060</v>
      </c>
      <c r="B17964" s="3">
        <v>1909</v>
      </c>
      <c r="C17964" s="1" t="str">
        <f>HYPERLINK("http://www.uniprot.org/uniprot/COX10_ARATH","COX10_ARATH")</f>
        <v>COX10_ARATH</v>
      </c>
      <c r="D17964" t="s">
        <v>4134</v>
      </c>
      <c r="E17964" s="3" t="s">
        <v>3</v>
      </c>
      <c r="F17964" s="4">
        <v>1.84E-97</v>
      </c>
      <c r="G17964" s="3">
        <v>799</v>
      </c>
      <c r="H17964" s="3">
        <v>70</v>
      </c>
      <c r="I17964" s="3">
        <v>233</v>
      </c>
      <c r="J17964" s="3">
        <v>781</v>
      </c>
      <c r="K17964" s="3">
        <v>1476</v>
      </c>
      <c r="L17964" s="3">
        <v>197</v>
      </c>
      <c r="M17964" s="3">
        <v>418</v>
      </c>
    </row>
    <row r="17965" spans="1:13" x14ac:dyDescent="0.25">
      <c r="A17965" s="1" t="str">
        <f>HYPERLINK("http://www.rosaceae.org/Prunus/Prunus_persica/p.persica_gdr_reftransV1_0017260","p.persica_gdr_reftransV1_0017260")</f>
        <v>p.persica_gdr_reftransV1_0017260</v>
      </c>
      <c r="B17965" s="3">
        <v>2517</v>
      </c>
      <c r="C17965" s="1" t="str">
        <f>HYPERLINK("http://www.uniprot.org/uniprot/Y1390_ARATH","Y1390_ARATH")</f>
        <v>Y1390_ARATH</v>
      </c>
      <c r="D17965" t="s">
        <v>10909</v>
      </c>
      <c r="E17965" s="3" t="s">
        <v>3</v>
      </c>
      <c r="F17965" s="4">
        <v>4.8899999999999997E-95</v>
      </c>
      <c r="G17965" s="3">
        <v>781</v>
      </c>
      <c r="H17965" s="3">
        <v>75</v>
      </c>
      <c r="I17965" s="3">
        <v>214</v>
      </c>
      <c r="J17965" s="3">
        <v>347</v>
      </c>
      <c r="K17965" s="3">
        <v>982</v>
      </c>
      <c r="L17965" s="3">
        <v>11</v>
      </c>
      <c r="M17965" s="3">
        <v>193</v>
      </c>
    </row>
    <row r="17966" spans="1:13" x14ac:dyDescent="0.25">
      <c r="A17966" s="1" t="str">
        <f>HYPERLINK("http://www.rosaceae.org/Prunus/Prunus_persica/p.persica_gdr_reftransV1_0017560","p.persica_gdr_reftransV1_0017560")</f>
        <v>p.persica_gdr_reftransV1_0017560</v>
      </c>
      <c r="B17966" s="3">
        <v>2423</v>
      </c>
      <c r="C17966" s="1" t="str">
        <f>HYPERLINK("http://www.uniprot.org/uniprot/ILVB3_BRANA","ILVB3_BRANA")</f>
        <v>ILVB3_BRANA</v>
      </c>
      <c r="D17966" t="s">
        <v>4180</v>
      </c>
      <c r="E17966" s="3" t="s">
        <v>776</v>
      </c>
      <c r="F17966" s="4">
        <v>0</v>
      </c>
      <c r="G17966" s="3">
        <v>2824</v>
      </c>
      <c r="H17966" s="3">
        <v>83</v>
      </c>
      <c r="I17966" s="3">
        <v>636</v>
      </c>
      <c r="J17966" s="3">
        <v>366</v>
      </c>
      <c r="K17966" s="3">
        <v>2267</v>
      </c>
      <c r="L17966" s="3">
        <v>25</v>
      </c>
      <c r="M17966" s="3">
        <v>652</v>
      </c>
    </row>
    <row r="17967" spans="1:13" x14ac:dyDescent="0.25">
      <c r="A17967" s="1" t="str">
        <f>HYPERLINK("http://www.rosaceae.org/Prunus/Prunus_persica/p.persica_gdr_reftransV1_0017710","p.persica_gdr_reftransV1_0017710")</f>
        <v>p.persica_gdr_reftransV1_0017710</v>
      </c>
      <c r="B17967" s="3">
        <v>1758</v>
      </c>
      <c r="C17967" s="1" t="str">
        <f>HYPERLINK("http://www.uniprot.org/uniprot/C90A1_ARATH","C90A1_ARATH")</f>
        <v>C90A1_ARATH</v>
      </c>
      <c r="D17967" t="s">
        <v>10910</v>
      </c>
      <c r="E17967" s="3" t="s">
        <v>3</v>
      </c>
      <c r="F17967" s="4">
        <v>0</v>
      </c>
      <c r="G17967" s="3">
        <v>1789</v>
      </c>
      <c r="H17967" s="3">
        <v>81</v>
      </c>
      <c r="I17967" s="3">
        <v>431</v>
      </c>
      <c r="J17967" s="3">
        <v>138</v>
      </c>
      <c r="K17967" s="3">
        <v>1427</v>
      </c>
      <c r="L17967" s="3">
        <v>43</v>
      </c>
      <c r="M17967" s="3">
        <v>472</v>
      </c>
    </row>
    <row r="17968" spans="1:13" x14ac:dyDescent="0.25">
      <c r="A17968" s="1" t="str">
        <f>HYPERLINK("http://www.rosaceae.org/Prunus/Prunus_persica/p.persica_gdr_reftransV1_0017810","p.persica_gdr_reftransV1_0017810")</f>
        <v>p.persica_gdr_reftransV1_0017810</v>
      </c>
      <c r="B17968" s="3">
        <v>1772</v>
      </c>
      <c r="C17968" s="1" t="str">
        <f>HYPERLINK("http://www.uniprot.org/uniprot/UXS6_ARATH","UXS6_ARATH")</f>
        <v>UXS6_ARATH</v>
      </c>
      <c r="D17968" t="s">
        <v>10911</v>
      </c>
      <c r="E17968" s="3" t="s">
        <v>3</v>
      </c>
      <c r="F17968" s="4">
        <v>0</v>
      </c>
      <c r="G17968" s="3">
        <v>1619</v>
      </c>
      <c r="H17968" s="3">
        <v>89</v>
      </c>
      <c r="I17968" s="3">
        <v>345</v>
      </c>
      <c r="J17968" s="3">
        <v>285</v>
      </c>
      <c r="K17968" s="3">
        <v>1319</v>
      </c>
      <c r="L17968" s="3">
        <v>1</v>
      </c>
      <c r="M17968" s="3">
        <v>343</v>
      </c>
    </row>
    <row r="17969" spans="1:13" x14ac:dyDescent="0.25">
      <c r="A17969" s="1" t="str">
        <f>HYPERLINK("http://www.rosaceae.org/Prunus/Prunus_persica/p.persica_gdr_reftransV1_0018160","p.persica_gdr_reftransV1_0018160")</f>
        <v>p.persica_gdr_reftransV1_0018160</v>
      </c>
      <c r="B17969" s="3">
        <v>1561</v>
      </c>
      <c r="C17969" s="1" t="str">
        <f>HYPERLINK("http://www.uniprot.org/uniprot/ULP2A_ARATH","ULP2A_ARATH")</f>
        <v>ULP2A_ARATH</v>
      </c>
      <c r="D17969" t="s">
        <v>10912</v>
      </c>
      <c r="E17969" s="3" t="s">
        <v>3</v>
      </c>
      <c r="F17969" s="4">
        <v>1.5299999999999999E-12</v>
      </c>
      <c r="G17969" s="3">
        <v>180</v>
      </c>
      <c r="H17969" s="3">
        <v>32</v>
      </c>
      <c r="I17969" s="3">
        <v>145</v>
      </c>
      <c r="J17969" s="3">
        <v>604</v>
      </c>
      <c r="K17969" s="3">
        <v>1017</v>
      </c>
      <c r="L17969" s="3">
        <v>375</v>
      </c>
      <c r="M17969" s="3">
        <v>513</v>
      </c>
    </row>
    <row r="17970" spans="1:13" x14ac:dyDescent="0.25">
      <c r="A17970" s="1" t="str">
        <f>HYPERLINK("http://www.rosaceae.org/Prunus/Prunus_persica/p.persica_gdr_reftransV1_0018510","p.persica_gdr_reftransV1_0018510")</f>
        <v>p.persica_gdr_reftransV1_0018510</v>
      </c>
      <c r="B17970" s="3">
        <v>2584</v>
      </c>
      <c r="C17970" s="1" t="str">
        <f>HYPERLINK("http://www.uniprot.org/uniprot/RL1D1_PONAB","RL1D1_PONAB")</f>
        <v>RL1D1_PONAB</v>
      </c>
      <c r="D17970" t="s">
        <v>9509</v>
      </c>
      <c r="E17970" s="3" t="s">
        <v>176</v>
      </c>
      <c r="F17970" s="4">
        <v>3.53E-28</v>
      </c>
      <c r="G17970" s="3">
        <v>308</v>
      </c>
      <c r="H17970" s="3">
        <v>35</v>
      </c>
      <c r="I17970" s="3">
        <v>235</v>
      </c>
      <c r="J17970" s="3">
        <v>1033</v>
      </c>
      <c r="K17970" s="3">
        <v>1722</v>
      </c>
      <c r="L17970" s="3">
        <v>36</v>
      </c>
      <c r="M17970" s="3">
        <v>266</v>
      </c>
    </row>
    <row r="17971" spans="1:13" x14ac:dyDescent="0.25">
      <c r="A17971" s="1" t="str">
        <f>HYPERLINK("http://www.rosaceae.org/Prunus/Prunus_persica/p.persica_gdr_reftransV1_0018560","p.persica_gdr_reftransV1_0018560")</f>
        <v>p.persica_gdr_reftransV1_0018560</v>
      </c>
      <c r="B17971" s="3">
        <v>2275</v>
      </c>
      <c r="C17971" s="1" t="str">
        <f>HYPERLINK("http://www.uniprot.org/uniprot/SCC13_ARATH","SCC13_ARATH")</f>
        <v>SCC13_ARATH</v>
      </c>
      <c r="D17971" t="s">
        <v>3058</v>
      </c>
      <c r="E17971" s="3" t="s">
        <v>3</v>
      </c>
      <c r="F17971" s="4">
        <v>1.9700000000000001E-87</v>
      </c>
      <c r="G17971" s="3">
        <v>758</v>
      </c>
      <c r="H17971" s="3">
        <v>37</v>
      </c>
      <c r="I17971" s="3">
        <v>694</v>
      </c>
      <c r="J17971" s="3">
        <v>2</v>
      </c>
      <c r="K17971" s="3">
        <v>2023</v>
      </c>
      <c r="L17971" s="3">
        <v>54</v>
      </c>
      <c r="M17971" s="3">
        <v>692</v>
      </c>
    </row>
    <row r="17972" spans="1:13" x14ac:dyDescent="0.25">
      <c r="A17972" s="1" t="str">
        <f>HYPERLINK("http://www.rosaceae.org/Prunus/Prunus_persica/p.persica_gdr_reftransV1_0018810","p.persica_gdr_reftransV1_0018810")</f>
        <v>p.persica_gdr_reftransV1_0018810</v>
      </c>
      <c r="B17972" s="3">
        <v>1489</v>
      </c>
      <c r="C17972" s="1" t="str">
        <f>HYPERLINK("http://www.uniprot.org/uniprot/RAH1B_ARATH","RAH1B_ARATH")</f>
        <v>RAH1B_ARATH</v>
      </c>
      <c r="D17972" t="s">
        <v>7391</v>
      </c>
      <c r="E17972" s="3" t="s">
        <v>3</v>
      </c>
      <c r="F17972" s="4">
        <v>8.1400000000000004E-84</v>
      </c>
      <c r="G17972" s="3">
        <v>675</v>
      </c>
      <c r="H17972" s="3">
        <v>98</v>
      </c>
      <c r="I17972" s="3">
        <v>130</v>
      </c>
      <c r="J17972" s="3">
        <v>885</v>
      </c>
      <c r="K17972" s="3">
        <v>1274</v>
      </c>
      <c r="L17972" s="3">
        <v>1</v>
      </c>
      <c r="M17972" s="3">
        <v>130</v>
      </c>
    </row>
    <row r="17973" spans="1:13" x14ac:dyDescent="0.25">
      <c r="A17973" s="1" t="str">
        <f>HYPERLINK("http://www.rosaceae.org/Prunus/Prunus_persica/p.persica_gdr_reftransV1_0018910","p.persica_gdr_reftransV1_0018910")</f>
        <v>p.persica_gdr_reftransV1_0018910</v>
      </c>
      <c r="B17973" s="3">
        <v>759</v>
      </c>
      <c r="C17973" s="1" t="str">
        <f>HYPERLINK("http://www.uniprot.org/uniprot/NAC78_ARATH","NAC78_ARATH")</f>
        <v>NAC78_ARATH</v>
      </c>
      <c r="D17973" t="s">
        <v>6255</v>
      </c>
      <c r="E17973" s="3" t="s">
        <v>3</v>
      </c>
      <c r="F17973" s="4">
        <v>4.4100000000000001E-63</v>
      </c>
      <c r="G17973" s="3">
        <v>541</v>
      </c>
      <c r="H17973" s="3">
        <v>74</v>
      </c>
      <c r="I17973" s="3">
        <v>134</v>
      </c>
      <c r="J17973" s="3">
        <v>358</v>
      </c>
      <c r="K17973" s="3">
        <v>759</v>
      </c>
      <c r="L17973" s="3">
        <v>12</v>
      </c>
      <c r="M17973" s="3">
        <v>145</v>
      </c>
    </row>
    <row r="17974" spans="1:13" x14ac:dyDescent="0.25">
      <c r="A17974" s="1" t="str">
        <f>HYPERLINK("http://www.rosaceae.org/Prunus/Prunus_persica/p.persica_gdr_reftransV1_0019060","p.persica_gdr_reftransV1_0019060")</f>
        <v>p.persica_gdr_reftransV1_0019060</v>
      </c>
      <c r="B17974" s="3">
        <v>2639</v>
      </c>
      <c r="C17974" s="1" t="str">
        <f>HYPERLINK("http://www.uniprot.org/uniprot/U74B1_ARATH","U74B1_ARATH")</f>
        <v>U74B1_ARATH</v>
      </c>
      <c r="D17974" t="s">
        <v>10913</v>
      </c>
      <c r="E17974" s="3" t="s">
        <v>3</v>
      </c>
      <c r="F17974" s="4">
        <v>4.2199999999999996E-136</v>
      </c>
      <c r="G17974" s="3">
        <v>1081</v>
      </c>
      <c r="H17974" s="3">
        <v>49</v>
      </c>
      <c r="I17974" s="3">
        <v>461</v>
      </c>
      <c r="J17974" s="3">
        <v>1175</v>
      </c>
      <c r="K17974" s="3">
        <v>2506</v>
      </c>
      <c r="L17974" s="3">
        <v>9</v>
      </c>
      <c r="M17974" s="3">
        <v>458</v>
      </c>
    </row>
    <row r="17975" spans="1:13" x14ac:dyDescent="0.25">
      <c r="A17975" s="1" t="str">
        <f>HYPERLINK("http://www.rosaceae.org/Prunus/Prunus_persica/p.persica_gdr_reftransV1_0019310","p.persica_gdr_reftransV1_0019310")</f>
        <v>p.persica_gdr_reftransV1_0019310</v>
      </c>
      <c r="B17975" s="3">
        <v>3551</v>
      </c>
      <c r="C17975" s="1" t="str">
        <f>HYPERLINK("http://www.uniprot.org/uniprot/TOCC_ARATH","TOCC_ARATH")</f>
        <v>TOCC_ARATH</v>
      </c>
      <c r="D17975" t="s">
        <v>50</v>
      </c>
      <c r="E17975" s="3" t="s">
        <v>3</v>
      </c>
      <c r="F17975" s="4">
        <v>2.8700000000000001E-105</v>
      </c>
      <c r="G17975" s="3">
        <v>889</v>
      </c>
      <c r="H17975" s="3">
        <v>69</v>
      </c>
      <c r="I17975" s="3">
        <v>246</v>
      </c>
      <c r="J17975" s="3">
        <v>2499</v>
      </c>
      <c r="K17975" s="3">
        <v>3236</v>
      </c>
      <c r="L17975" s="3">
        <v>62</v>
      </c>
      <c r="M17975" s="3">
        <v>272</v>
      </c>
    </row>
    <row r="17976" spans="1:13" x14ac:dyDescent="0.25">
      <c r="A17976" s="1" t="str">
        <f>HYPERLINK("http://www.rosaceae.org/Prunus/Prunus_persica/p.persica_gdr_reftransV1_0019460","p.persica_gdr_reftransV1_0019460")</f>
        <v>p.persica_gdr_reftransV1_0019460</v>
      </c>
      <c r="B17976" s="3">
        <v>1609</v>
      </c>
      <c r="C17976" s="1" t="str">
        <f>HYPERLINK("http://www.uniprot.org/uniprot/SAHH_CATRO","SAHH_CATRO")</f>
        <v>SAHH_CATRO</v>
      </c>
      <c r="D17976" t="s">
        <v>10914</v>
      </c>
      <c r="E17976" s="3" t="s">
        <v>457</v>
      </c>
      <c r="F17976" s="4">
        <v>5.8899999999999997E-154</v>
      </c>
      <c r="G17976" s="3">
        <v>1173</v>
      </c>
      <c r="H17976" s="3">
        <v>94</v>
      </c>
      <c r="I17976" s="3">
        <v>249</v>
      </c>
      <c r="J17976" s="3">
        <v>435</v>
      </c>
      <c r="K17976" s="3">
        <v>1181</v>
      </c>
      <c r="L17976" s="3">
        <v>237</v>
      </c>
      <c r="M17976" s="3">
        <v>485</v>
      </c>
    </row>
    <row r="17977" spans="1:13" x14ac:dyDescent="0.25">
      <c r="A17977" s="1" t="str">
        <f>HYPERLINK("http://www.rosaceae.org/Prunus/Prunus_persica/p.persica_gdr_reftransV1_0019510","p.persica_gdr_reftransV1_0019510")</f>
        <v>p.persica_gdr_reftransV1_0019510</v>
      </c>
      <c r="B17977" s="3">
        <v>2570</v>
      </c>
      <c r="C17977" s="1" t="str">
        <f>HYPERLINK("http://www.uniprot.org/uniprot/WNK8_ARATH","WNK8_ARATH")</f>
        <v>WNK8_ARATH</v>
      </c>
      <c r="D17977" t="s">
        <v>10915</v>
      </c>
      <c r="E17977" s="3" t="s">
        <v>3</v>
      </c>
      <c r="F17977" s="4">
        <v>0</v>
      </c>
      <c r="G17977" s="3">
        <v>1509</v>
      </c>
      <c r="H17977" s="3">
        <v>56</v>
      </c>
      <c r="I17977" s="3">
        <v>610</v>
      </c>
      <c r="J17977" s="3">
        <v>157</v>
      </c>
      <c r="K17977" s="3">
        <v>1980</v>
      </c>
      <c r="L17977" s="3">
        <v>1</v>
      </c>
      <c r="M17977" s="3">
        <v>561</v>
      </c>
    </row>
    <row r="17978" spans="1:13" x14ac:dyDescent="0.25">
      <c r="A17978" s="1" t="str">
        <f>HYPERLINK("http://www.rosaceae.org/Prunus/Prunus_persica/p.persica_gdr_reftransV1_0019560","p.persica_gdr_reftransV1_0019560")</f>
        <v>p.persica_gdr_reftransV1_0019560</v>
      </c>
      <c r="B17978" s="3">
        <v>1580</v>
      </c>
      <c r="C17978" s="1" t="str">
        <f>HYPERLINK("http://www.uniprot.org/uniprot/AB25G_ARATH","AB25G_ARATH")</f>
        <v>AB25G_ARATH</v>
      </c>
      <c r="D17978" t="s">
        <v>10916</v>
      </c>
      <c r="E17978" s="3" t="s">
        <v>3</v>
      </c>
      <c r="F17978" s="4">
        <v>3.08E-151</v>
      </c>
      <c r="G17978" s="3">
        <v>1170</v>
      </c>
      <c r="H17978" s="3">
        <v>61</v>
      </c>
      <c r="I17978" s="3">
        <v>396</v>
      </c>
      <c r="J17978" s="3">
        <v>379</v>
      </c>
      <c r="K17978" s="3">
        <v>1563</v>
      </c>
      <c r="L17978" s="3">
        <v>256</v>
      </c>
      <c r="M17978" s="3">
        <v>641</v>
      </c>
    </row>
    <row r="17979" spans="1:13" x14ac:dyDescent="0.25">
      <c r="A17979" s="1" t="str">
        <f>HYPERLINK("http://www.rosaceae.org/Prunus/Prunus_persica/p.persica_gdr_reftransV1_0019610","p.persica_gdr_reftransV1_0019610")</f>
        <v>p.persica_gdr_reftransV1_0019610</v>
      </c>
      <c r="B17979" s="3">
        <v>4262</v>
      </c>
      <c r="C17979" s="1" t="str">
        <f>HYPERLINK("http://www.uniprot.org/uniprot/AB19B_ARATH","AB19B_ARATH")</f>
        <v>AB19B_ARATH</v>
      </c>
      <c r="D17979" t="s">
        <v>10917</v>
      </c>
      <c r="E17979" s="3" t="s">
        <v>3</v>
      </c>
      <c r="F17979" s="4">
        <v>0</v>
      </c>
      <c r="G17979" s="3">
        <v>5529</v>
      </c>
      <c r="H17979" s="3">
        <v>90</v>
      </c>
      <c r="I17979" s="3">
        <v>1243</v>
      </c>
      <c r="J17979" s="3">
        <v>192</v>
      </c>
      <c r="K17979" s="3">
        <v>3917</v>
      </c>
      <c r="L17979" s="3">
        <v>10</v>
      </c>
      <c r="M17979" s="3">
        <v>1252</v>
      </c>
    </row>
    <row r="17980" spans="1:13" x14ac:dyDescent="0.25">
      <c r="A17980" s="1" t="str">
        <f>HYPERLINK("http://www.rosaceae.org/Prunus/Prunus_persica/p.persica_gdr_reftransV1_0019810","p.persica_gdr_reftransV1_0019810")</f>
        <v>p.persica_gdr_reftransV1_0019810</v>
      </c>
      <c r="B17980" s="3">
        <v>2353</v>
      </c>
      <c r="C17980" s="1" t="str">
        <f>HYPERLINK("http://www.uniprot.org/uniprot/FB253_ARATH","FB253_ARATH")</f>
        <v>FB253_ARATH</v>
      </c>
      <c r="D17980" t="s">
        <v>6337</v>
      </c>
      <c r="E17980" s="3" t="s">
        <v>3</v>
      </c>
      <c r="F17980" s="4">
        <v>7.0699999999999995E-17</v>
      </c>
      <c r="G17980" s="3">
        <v>215</v>
      </c>
      <c r="H17980" s="3">
        <v>30</v>
      </c>
      <c r="I17980" s="3">
        <v>330</v>
      </c>
      <c r="J17980" s="3">
        <v>1025</v>
      </c>
      <c r="K17980" s="3">
        <v>1927</v>
      </c>
      <c r="L17980" s="3">
        <v>16</v>
      </c>
      <c r="M17980" s="3">
        <v>330</v>
      </c>
    </row>
    <row r="17981" spans="1:13" x14ac:dyDescent="0.25">
      <c r="A17981" s="1" t="str">
        <f>HYPERLINK("http://www.rosaceae.org/Prunus/Prunus_persica/p.persica_gdr_reftransV1_0019960","p.persica_gdr_reftransV1_0019960")</f>
        <v>p.persica_gdr_reftransV1_0019960</v>
      </c>
      <c r="B17981" s="3">
        <v>3691</v>
      </c>
      <c r="C17981" s="1" t="str">
        <f>HYPERLINK("http://www.uniprot.org/uniprot/PSD1A_ARATH","PSD1A_ARATH")</f>
        <v>PSD1A_ARATH</v>
      </c>
      <c r="D17981" t="s">
        <v>7338</v>
      </c>
      <c r="E17981" s="3" t="s">
        <v>3</v>
      </c>
      <c r="F17981" s="4">
        <v>0</v>
      </c>
      <c r="G17981" s="3">
        <v>3985</v>
      </c>
      <c r="H17981" s="3">
        <v>83</v>
      </c>
      <c r="I17981" s="3">
        <v>1036</v>
      </c>
      <c r="J17981" s="3">
        <v>204</v>
      </c>
      <c r="K17981" s="3">
        <v>3287</v>
      </c>
      <c r="L17981" s="3">
        <v>1</v>
      </c>
      <c r="M17981" s="3">
        <v>1002</v>
      </c>
    </row>
    <row r="17982" spans="1:13" x14ac:dyDescent="0.25">
      <c r="A17982" s="1" t="str">
        <f>HYPERLINK("http://www.rosaceae.org/Prunus/Prunus_persica/p.persica_gdr_reftransV1_0020010","p.persica_gdr_reftransV1_0020010")</f>
        <v>p.persica_gdr_reftransV1_0020010</v>
      </c>
      <c r="B17982" s="3">
        <v>1175</v>
      </c>
      <c r="C17982" s="1" t="str">
        <f>HYPERLINK("http://www.uniprot.org/uniprot/YIPL_SOLTU","YIPL_SOLTU")</f>
        <v>YIPL_SOLTU</v>
      </c>
      <c r="D17982" t="s">
        <v>5403</v>
      </c>
      <c r="E17982" s="3" t="s">
        <v>11</v>
      </c>
      <c r="F17982" s="4">
        <v>1.65E-55</v>
      </c>
      <c r="G17982" s="3">
        <v>469</v>
      </c>
      <c r="H17982" s="3">
        <v>59</v>
      </c>
      <c r="I17982" s="3">
        <v>152</v>
      </c>
      <c r="J17982" s="3">
        <v>413</v>
      </c>
      <c r="K17982" s="3">
        <v>868</v>
      </c>
      <c r="L17982" s="3">
        <v>1</v>
      </c>
      <c r="M17982" s="3">
        <v>128</v>
      </c>
    </row>
    <row r="17983" spans="1:13" x14ac:dyDescent="0.25">
      <c r="A17983" s="1" t="str">
        <f>HYPERLINK("http://www.rosaceae.org/Prunus/Prunus_persica/p.persica_gdr_reftransV1_0020060","p.persica_gdr_reftransV1_0020060")</f>
        <v>p.persica_gdr_reftransV1_0020060</v>
      </c>
      <c r="B17983" s="3">
        <v>2554</v>
      </c>
      <c r="C17983" s="1" t="str">
        <f>HYPERLINK("http://www.uniprot.org/uniprot/ERS1_ARATH","ERS1_ARATH")</f>
        <v>ERS1_ARATH</v>
      </c>
      <c r="D17983" t="s">
        <v>10918</v>
      </c>
      <c r="E17983" s="3" t="s">
        <v>3</v>
      </c>
      <c r="F17983" s="4">
        <v>0</v>
      </c>
      <c r="G17983" s="3">
        <v>2163</v>
      </c>
      <c r="H17983" s="3">
        <v>75</v>
      </c>
      <c r="I17983" s="3">
        <v>595</v>
      </c>
      <c r="J17983" s="3">
        <v>434</v>
      </c>
      <c r="K17983" s="3">
        <v>2218</v>
      </c>
      <c r="L17983" s="3">
        <v>1</v>
      </c>
      <c r="M17983" s="3">
        <v>595</v>
      </c>
    </row>
    <row r="17984" spans="1:13" x14ac:dyDescent="0.25">
      <c r="A17984" s="1" t="str">
        <f>HYPERLINK("http://www.rosaceae.org/Prunus/Prunus_persica/p.persica_gdr_reftransV1_0020260","p.persica_gdr_reftransV1_0020260")</f>
        <v>p.persica_gdr_reftransV1_0020260</v>
      </c>
      <c r="B17984" s="3">
        <v>1260</v>
      </c>
      <c r="C17984" s="1" t="str">
        <f>HYPERLINK("http://www.uniprot.org/uniprot/ACCO1_ARATH","ACCO1_ARATH")</f>
        <v>ACCO1_ARATH</v>
      </c>
      <c r="D17984" t="s">
        <v>10919</v>
      </c>
      <c r="E17984" s="3" t="s">
        <v>3</v>
      </c>
      <c r="F17984" s="4">
        <v>8.4599999999999997E-163</v>
      </c>
      <c r="G17984" s="3">
        <v>1203</v>
      </c>
      <c r="H17984" s="3">
        <v>73</v>
      </c>
      <c r="I17984" s="3">
        <v>303</v>
      </c>
      <c r="J17984" s="3">
        <v>133</v>
      </c>
      <c r="K17984" s="3">
        <v>1041</v>
      </c>
      <c r="L17984" s="3">
        <v>3</v>
      </c>
      <c r="M17984" s="3">
        <v>305</v>
      </c>
    </row>
    <row r="17985" spans="1:13" x14ac:dyDescent="0.25">
      <c r="A17985" s="1" t="str">
        <f>HYPERLINK("http://www.rosaceae.org/Prunus/Prunus_persica/p.persica_gdr_reftransV1_0020410","p.persica_gdr_reftransV1_0020410")</f>
        <v>p.persica_gdr_reftransV1_0020410</v>
      </c>
      <c r="B17985" s="3">
        <v>2828</v>
      </c>
      <c r="C17985" s="1" t="str">
        <f>HYPERLINK("http://www.uniprot.org/uniprot/Y4837_ARATH","Y4837_ARATH")</f>
        <v>Y4837_ARATH</v>
      </c>
      <c r="D17985" t="s">
        <v>1335</v>
      </c>
      <c r="E17985" s="3" t="s">
        <v>3</v>
      </c>
      <c r="F17985" s="4">
        <v>2.03E-51</v>
      </c>
      <c r="G17985" s="3">
        <v>495</v>
      </c>
      <c r="H17985" s="3">
        <v>32</v>
      </c>
      <c r="I17985" s="3">
        <v>602</v>
      </c>
      <c r="J17985" s="3">
        <v>465</v>
      </c>
      <c r="K17985" s="3">
        <v>2168</v>
      </c>
      <c r="L17985" s="3">
        <v>36</v>
      </c>
      <c r="M17985" s="3">
        <v>603</v>
      </c>
    </row>
    <row r="17986" spans="1:13" x14ac:dyDescent="0.25">
      <c r="A17986" s="1" t="str">
        <f>HYPERLINK("http://www.rosaceae.org/Prunus/Prunus_persica/p.persica_gdr_reftransV1_0020460","p.persica_gdr_reftransV1_0020460")</f>
        <v>p.persica_gdr_reftransV1_0020460</v>
      </c>
      <c r="B17986" s="3">
        <v>2217</v>
      </c>
      <c r="C17986" s="1" t="str">
        <f>HYPERLINK("http://www.uniprot.org/uniprot/MTPC4_ARATH","MTPC4_ARATH")</f>
        <v>MTPC4_ARATH</v>
      </c>
      <c r="D17986" t="s">
        <v>10920</v>
      </c>
      <c r="E17986" s="3" t="s">
        <v>3</v>
      </c>
      <c r="F17986" s="4">
        <v>0</v>
      </c>
      <c r="G17986" s="3">
        <v>1635</v>
      </c>
      <c r="H17986" s="3">
        <v>87</v>
      </c>
      <c r="I17986" s="3">
        <v>363</v>
      </c>
      <c r="J17986" s="3">
        <v>555</v>
      </c>
      <c r="K17986" s="3">
        <v>1640</v>
      </c>
      <c r="L17986" s="3">
        <v>93</v>
      </c>
      <c r="M17986" s="3">
        <v>455</v>
      </c>
    </row>
    <row r="17987" spans="1:13" x14ac:dyDescent="0.25">
      <c r="A17987" s="1" t="str">
        <f>HYPERLINK("http://www.rosaceae.org/Prunus/Prunus_persica/p.persica_gdr_reftransV1_0020510","p.persica_gdr_reftransV1_0020510")</f>
        <v>p.persica_gdr_reftransV1_0020510</v>
      </c>
      <c r="B17987" s="3">
        <v>889</v>
      </c>
      <c r="C17987" s="1" t="str">
        <f>HYPERLINK("http://www.uniprot.org/uniprot/ALFC2_ARATH","ALFC2_ARATH")</f>
        <v>ALFC2_ARATH</v>
      </c>
      <c r="D17987" t="s">
        <v>3389</v>
      </c>
      <c r="E17987" s="3" t="s">
        <v>3</v>
      </c>
      <c r="F17987" s="4">
        <v>1.84E-164</v>
      </c>
      <c r="G17987" s="3">
        <v>1209</v>
      </c>
      <c r="H17987" s="3">
        <v>88</v>
      </c>
      <c r="I17987" s="3">
        <v>247</v>
      </c>
      <c r="J17987" s="3">
        <v>1</v>
      </c>
      <c r="K17987" s="3">
        <v>741</v>
      </c>
      <c r="L17987" s="3">
        <v>152</v>
      </c>
      <c r="M17987" s="3">
        <v>398</v>
      </c>
    </row>
    <row r="17988" spans="1:13" x14ac:dyDescent="0.25">
      <c r="A17988" s="1" t="str">
        <f>HYPERLINK("http://www.rosaceae.org/Prunus/Prunus_persica/p.persica_gdr_reftransV1_0020560","p.persica_gdr_reftransV1_0020560")</f>
        <v>p.persica_gdr_reftransV1_0020560</v>
      </c>
      <c r="B17988" s="3">
        <v>3643</v>
      </c>
      <c r="C17988" s="1" t="str">
        <f>HYPERLINK("http://www.uniprot.org/uniprot/U202A_ARATH","U202A_ARATH")</f>
        <v>U202A_ARATH</v>
      </c>
      <c r="D17988" t="s">
        <v>1847</v>
      </c>
      <c r="E17988" s="3" t="s">
        <v>3</v>
      </c>
      <c r="F17988" s="4">
        <v>0</v>
      </c>
      <c r="G17988" s="3">
        <v>2498</v>
      </c>
      <c r="H17988" s="3">
        <v>68</v>
      </c>
      <c r="I17988" s="3">
        <v>776</v>
      </c>
      <c r="J17988" s="3">
        <v>190</v>
      </c>
      <c r="K17988" s="3">
        <v>2445</v>
      </c>
      <c r="L17988" s="3">
        <v>257</v>
      </c>
      <c r="M17988" s="3">
        <v>1027</v>
      </c>
    </row>
    <row r="17989" spans="1:13" x14ac:dyDescent="0.25">
      <c r="A17989" s="1" t="str">
        <f>HYPERLINK("http://www.rosaceae.org/Prunus/Prunus_persica/p.persica_gdr_reftransV1_0020610","p.persica_gdr_reftransV1_0020610")</f>
        <v>p.persica_gdr_reftransV1_0020610</v>
      </c>
      <c r="B17989" s="3">
        <v>2795</v>
      </c>
      <c r="C17989" s="1" t="str">
        <f>HYPERLINK("http://www.uniprot.org/uniprot/GACP2_ARATH","GACP2_ARATH")</f>
        <v>GACP2_ARATH</v>
      </c>
      <c r="D17989" t="s">
        <v>10921</v>
      </c>
      <c r="E17989" s="3" t="s">
        <v>3</v>
      </c>
      <c r="F17989" s="4">
        <v>0</v>
      </c>
      <c r="G17989" s="3">
        <v>2433</v>
      </c>
      <c r="H17989" s="3">
        <v>78</v>
      </c>
      <c r="I17989" s="3">
        <v>626</v>
      </c>
      <c r="J17989" s="3">
        <v>840</v>
      </c>
      <c r="K17989" s="3">
        <v>2717</v>
      </c>
      <c r="L17989" s="3">
        <v>1</v>
      </c>
      <c r="M17989" s="3">
        <v>619</v>
      </c>
    </row>
    <row r="17990" spans="1:13" x14ac:dyDescent="0.25">
      <c r="A17990" s="1" t="str">
        <f>HYPERLINK("http://www.rosaceae.org/Prunus/Prunus_persica/p.persica_gdr_reftransV1_0021310","p.persica_gdr_reftransV1_0021310")</f>
        <v>p.persica_gdr_reftransV1_0021310</v>
      </c>
      <c r="B17990" s="3">
        <v>1108</v>
      </c>
      <c r="C17990" s="1" t="str">
        <f>HYPERLINK("http://www.uniprot.org/uniprot/ORYA_ORYSJ","ORYA_ORYSJ")</f>
        <v>ORYA_ORYSJ</v>
      </c>
      <c r="D17990" t="s">
        <v>10922</v>
      </c>
      <c r="E17990" s="3" t="s">
        <v>38</v>
      </c>
      <c r="F17990" s="4">
        <v>3.4699999999999999E-127</v>
      </c>
      <c r="G17990" s="3">
        <v>976</v>
      </c>
      <c r="H17990" s="3">
        <v>69</v>
      </c>
      <c r="I17990" s="3">
        <v>269</v>
      </c>
      <c r="J17990" s="3">
        <v>292</v>
      </c>
      <c r="K17990" s="3">
        <v>1095</v>
      </c>
      <c r="L17990" s="3">
        <v>193</v>
      </c>
      <c r="M17990" s="3">
        <v>458</v>
      </c>
    </row>
    <row r="17991" spans="1:13" x14ac:dyDescent="0.25">
      <c r="A17991" s="1" t="str">
        <f>HYPERLINK("http://www.rosaceae.org/Prunus/Prunus_persica/p.persica_gdr_reftransV1_0021760","p.persica_gdr_reftransV1_0021760")</f>
        <v>p.persica_gdr_reftransV1_0021760</v>
      </c>
      <c r="B17991" s="3">
        <v>675</v>
      </c>
      <c r="C17991" s="1" t="str">
        <f>HYPERLINK("http://www.uniprot.org/uniprot/PP277_ARATH","PP277_ARATH")</f>
        <v>PP277_ARATH</v>
      </c>
      <c r="D17991" t="s">
        <v>6553</v>
      </c>
      <c r="E17991" s="3" t="s">
        <v>3</v>
      </c>
      <c r="F17991" s="4">
        <v>5.4200000000000002E-86</v>
      </c>
      <c r="G17991" s="3">
        <v>708</v>
      </c>
      <c r="H17991" s="3">
        <v>59</v>
      </c>
      <c r="I17991" s="3">
        <v>223</v>
      </c>
      <c r="J17991" s="3">
        <v>5</v>
      </c>
      <c r="K17991" s="3">
        <v>673</v>
      </c>
      <c r="L17991" s="3">
        <v>391</v>
      </c>
      <c r="M17991" s="3">
        <v>613</v>
      </c>
    </row>
    <row r="17992" spans="1:13" x14ac:dyDescent="0.25">
      <c r="A17992" s="1" t="str">
        <f>HYPERLINK("http://www.rosaceae.org/Prunus/Prunus_persica/p.persica_gdr_reftransV1_0021810","p.persica_gdr_reftransV1_0021810")</f>
        <v>p.persica_gdr_reftransV1_0021810</v>
      </c>
      <c r="B17992" s="3">
        <v>2568</v>
      </c>
      <c r="C17992" s="1" t="str">
        <f>HYPERLINK("http://www.uniprot.org/uniprot/GSTT1_ARATH","GSTT1_ARATH")</f>
        <v>GSTT1_ARATH</v>
      </c>
      <c r="D17992" t="s">
        <v>10923</v>
      </c>
      <c r="E17992" s="3" t="s">
        <v>3</v>
      </c>
      <c r="F17992" s="4">
        <v>3.9599999999999998E-67</v>
      </c>
      <c r="G17992" s="3">
        <v>583</v>
      </c>
      <c r="H17992" s="3">
        <v>72</v>
      </c>
      <c r="I17992" s="3">
        <v>181</v>
      </c>
      <c r="J17992" s="3">
        <v>146</v>
      </c>
      <c r="K17992" s="3">
        <v>688</v>
      </c>
      <c r="L17992" s="3">
        <v>2</v>
      </c>
      <c r="M17992" s="3">
        <v>182</v>
      </c>
    </row>
    <row r="17993" spans="1:13" x14ac:dyDescent="0.25">
      <c r="A17993" s="1" t="str">
        <f>HYPERLINK("http://www.rosaceae.org/Prunus/Prunus_persica/p.persica_gdr_reftransV1_0021960","p.persica_gdr_reftransV1_0021960")</f>
        <v>p.persica_gdr_reftransV1_0021960</v>
      </c>
      <c r="B17993" s="3">
        <v>592</v>
      </c>
      <c r="C17993" s="1" t="str">
        <f>HYPERLINK("http://www.uniprot.org/uniprot/LBD36_ARATH","LBD36_ARATH")</f>
        <v>LBD36_ARATH</v>
      </c>
      <c r="D17993" t="s">
        <v>4994</v>
      </c>
      <c r="E17993" s="3" t="s">
        <v>3</v>
      </c>
      <c r="F17993" s="4">
        <v>6.7699999999999998E-74</v>
      </c>
      <c r="G17993" s="3">
        <v>591</v>
      </c>
      <c r="H17993" s="3">
        <v>77</v>
      </c>
      <c r="I17993" s="3">
        <v>153</v>
      </c>
      <c r="J17993" s="3">
        <v>5</v>
      </c>
      <c r="K17993" s="3">
        <v>451</v>
      </c>
      <c r="L17993" s="3">
        <v>1</v>
      </c>
      <c r="M17993" s="3">
        <v>153</v>
      </c>
    </row>
    <row r="17994" spans="1:13" x14ac:dyDescent="0.25">
      <c r="A17994" s="1" t="str">
        <f>HYPERLINK("http://www.rosaceae.org/Prunus/Prunus_persica/p.persica_gdr_reftransV1_0022410","p.persica_gdr_reftransV1_0022410")</f>
        <v>p.persica_gdr_reftransV1_0022410</v>
      </c>
      <c r="B17994" s="3">
        <v>1921</v>
      </c>
      <c r="C17994" s="1" t="str">
        <f>HYPERLINK("http://www.uniprot.org/uniprot/ATG3_ARATH","ATG3_ARATH")</f>
        <v>ATG3_ARATH</v>
      </c>
      <c r="D17994" t="s">
        <v>10924</v>
      </c>
      <c r="E17994" s="3" t="s">
        <v>3</v>
      </c>
      <c r="F17994" s="4">
        <v>0</v>
      </c>
      <c r="G17994" s="3">
        <v>1375</v>
      </c>
      <c r="H17994" s="3">
        <v>82</v>
      </c>
      <c r="I17994" s="3">
        <v>307</v>
      </c>
      <c r="J17994" s="3">
        <v>114</v>
      </c>
      <c r="K17994" s="3">
        <v>1019</v>
      </c>
      <c r="L17994" s="3">
        <v>1</v>
      </c>
      <c r="M17994" s="3">
        <v>307</v>
      </c>
    </row>
    <row r="17995" spans="1:13" x14ac:dyDescent="0.25">
      <c r="A17995" s="1" t="str">
        <f>HYPERLINK("http://www.rosaceae.org/Prunus/Prunus_persica/p.persica_gdr_reftransV1_0022610","p.persica_gdr_reftransV1_0022610")</f>
        <v>p.persica_gdr_reftransV1_0022610</v>
      </c>
      <c r="B17995" s="3">
        <v>334</v>
      </c>
      <c r="C17995" s="1" t="str">
        <f>HYPERLINK("http://www.uniprot.org/uniprot/CENPE_MOUSE","CENPE_MOUSE")</f>
        <v>CENPE_MOUSE</v>
      </c>
      <c r="D17995" t="s">
        <v>6823</v>
      </c>
      <c r="E17995" s="3" t="s">
        <v>157</v>
      </c>
      <c r="F17995" s="4">
        <v>5.6100000000000002E-27</v>
      </c>
      <c r="G17995" s="3">
        <v>274</v>
      </c>
      <c r="H17995" s="3">
        <v>48</v>
      </c>
      <c r="I17995" s="3">
        <v>107</v>
      </c>
      <c r="J17995" s="3">
        <v>14</v>
      </c>
      <c r="K17995" s="3">
        <v>334</v>
      </c>
      <c r="L17995" s="3">
        <v>31</v>
      </c>
      <c r="M17995" s="3">
        <v>137</v>
      </c>
    </row>
    <row r="17996" spans="1:13" x14ac:dyDescent="0.25">
      <c r="A17996" s="1" t="str">
        <f>HYPERLINK("http://www.rosaceae.org/Prunus/Prunus_persica/p.persica_gdr_reftransV1_0022760","p.persica_gdr_reftransV1_0022760")</f>
        <v>p.persica_gdr_reftransV1_0022760</v>
      </c>
      <c r="B17996" s="3">
        <v>1714</v>
      </c>
      <c r="C17996" s="1" t="str">
        <f>HYPERLINK("http://www.uniprot.org/uniprot/DRL35_ARATH","DRL35_ARATH")</f>
        <v>DRL35_ARATH</v>
      </c>
      <c r="D17996" t="s">
        <v>717</v>
      </c>
      <c r="E17996" s="3" t="s">
        <v>3</v>
      </c>
      <c r="F17996" s="4">
        <v>1.3600000000000001E-49</v>
      </c>
      <c r="G17996" s="3">
        <v>457</v>
      </c>
      <c r="H17996" s="3">
        <v>40</v>
      </c>
      <c r="I17996" s="3">
        <v>262</v>
      </c>
      <c r="J17996" s="3">
        <v>285</v>
      </c>
      <c r="K17996" s="3">
        <v>986</v>
      </c>
      <c r="L17996" s="3">
        <v>61</v>
      </c>
      <c r="M17996" s="3">
        <v>321</v>
      </c>
    </row>
    <row r="17997" spans="1:13" x14ac:dyDescent="0.25">
      <c r="A17997" s="1" t="str">
        <f>HYPERLINK("http://www.rosaceae.org/Prunus/Prunus_persica/p.persica_gdr_reftransV1_0022910","p.persica_gdr_reftransV1_0022910")</f>
        <v>p.persica_gdr_reftransV1_0022910</v>
      </c>
      <c r="B17997" s="3">
        <v>2209</v>
      </c>
      <c r="C17997" s="1" t="str">
        <f>HYPERLINK("http://www.uniprot.org/uniprot/C89A9_ARATH","C89A9_ARATH")</f>
        <v>C89A9_ARATH</v>
      </c>
      <c r="D17997" t="s">
        <v>1185</v>
      </c>
      <c r="E17997" s="3" t="s">
        <v>3</v>
      </c>
      <c r="F17997" s="4">
        <v>0</v>
      </c>
      <c r="G17997" s="3">
        <v>1454</v>
      </c>
      <c r="H17997" s="3">
        <v>58</v>
      </c>
      <c r="I17997" s="3">
        <v>520</v>
      </c>
      <c r="J17997" s="3">
        <v>199</v>
      </c>
      <c r="K17997" s="3">
        <v>1731</v>
      </c>
      <c r="L17997" s="3">
        <v>8</v>
      </c>
      <c r="M17997" s="3">
        <v>511</v>
      </c>
    </row>
    <row r="17998" spans="1:13" x14ac:dyDescent="0.25">
      <c r="A17998" s="1" t="str">
        <f>HYPERLINK("http://www.rosaceae.org/Prunus/Prunus_persica/p.persica_gdr_reftransV1_0023010","p.persica_gdr_reftransV1_0023010")</f>
        <v>p.persica_gdr_reftransV1_0023010</v>
      </c>
      <c r="B17998" s="3">
        <v>832</v>
      </c>
      <c r="C17998" s="1" t="str">
        <f>HYPERLINK("http://www.uniprot.org/uniprot/EAF6_XENLA","EAF6_XENLA")</f>
        <v>EAF6_XENLA</v>
      </c>
      <c r="D17998" t="s">
        <v>10848</v>
      </c>
      <c r="E17998" s="3" t="s">
        <v>475</v>
      </c>
      <c r="F17998" s="4">
        <v>2.6900000000000001E-14</v>
      </c>
      <c r="G17998" s="3">
        <v>177</v>
      </c>
      <c r="H17998" s="3">
        <v>42</v>
      </c>
      <c r="I17998" s="3">
        <v>90</v>
      </c>
      <c r="J17998" s="3">
        <v>360</v>
      </c>
      <c r="K17998" s="3">
        <v>620</v>
      </c>
      <c r="L17998" s="3">
        <v>19</v>
      </c>
      <c r="M17998" s="3">
        <v>108</v>
      </c>
    </row>
    <row r="17999" spans="1:13" x14ac:dyDescent="0.25">
      <c r="A17999" s="1" t="str">
        <f>HYPERLINK("http://www.rosaceae.org/Prunus/Prunus_persica/p.persica_gdr_reftransV1_0023210","p.persica_gdr_reftransV1_0023210")</f>
        <v>p.persica_gdr_reftransV1_0023210</v>
      </c>
      <c r="B17999" s="3">
        <v>1739</v>
      </c>
      <c r="C17999" s="1" t="str">
        <f>HYPERLINK("http://www.uniprot.org/uniprot/BZR1_ARATH","BZR1_ARATH")</f>
        <v>BZR1_ARATH</v>
      </c>
      <c r="D17999" t="s">
        <v>10925</v>
      </c>
      <c r="E17999" s="3" t="s">
        <v>3</v>
      </c>
      <c r="F17999" s="4">
        <v>3.6699999999999999E-59</v>
      </c>
      <c r="G17999" s="3">
        <v>524</v>
      </c>
      <c r="H17999" s="3">
        <v>53</v>
      </c>
      <c r="I17999" s="3">
        <v>255</v>
      </c>
      <c r="J17999" s="3">
        <v>660</v>
      </c>
      <c r="K17999" s="3">
        <v>1319</v>
      </c>
      <c r="L17999" s="3">
        <v>83</v>
      </c>
      <c r="M17999" s="3">
        <v>336</v>
      </c>
    </row>
    <row r="18000" spans="1:13" x14ac:dyDescent="0.25">
      <c r="A18000" s="1" t="str">
        <f>HYPERLINK("http://www.rosaceae.org/Prunus/Prunus_persica/p.persica_gdr_reftransV1_0023410","p.persica_gdr_reftransV1_0023410")</f>
        <v>p.persica_gdr_reftransV1_0023410</v>
      </c>
      <c r="B18000" s="3">
        <v>700</v>
      </c>
      <c r="C18000" s="1" t="str">
        <f>HYPERLINK("http://www.uniprot.org/uniprot/WRK16_ARATH","WRK16_ARATH")</f>
        <v>WRK16_ARATH</v>
      </c>
      <c r="D18000" t="s">
        <v>2508</v>
      </c>
      <c r="E18000" s="3" t="s">
        <v>3</v>
      </c>
      <c r="F18000" s="4">
        <v>2.34E-22</v>
      </c>
      <c r="G18000" s="3">
        <v>250</v>
      </c>
      <c r="H18000" s="3">
        <v>38</v>
      </c>
      <c r="I18000" s="3">
        <v>137</v>
      </c>
      <c r="J18000" s="3">
        <v>3</v>
      </c>
      <c r="K18000" s="3">
        <v>401</v>
      </c>
      <c r="L18000" s="3">
        <v>332</v>
      </c>
      <c r="M18000" s="3">
        <v>461</v>
      </c>
    </row>
    <row r="18001" spans="1:13" x14ac:dyDescent="0.25">
      <c r="A18001" s="1" t="str">
        <f>HYPERLINK("http://www.rosaceae.org/Prunus/Prunus_persica/p.persica_gdr_reftransV1_0023660","p.persica_gdr_reftransV1_0023660")</f>
        <v>p.persica_gdr_reftransV1_0023660</v>
      </c>
      <c r="B18001" s="3">
        <v>2339</v>
      </c>
      <c r="C18001" s="1" t="str">
        <f>HYPERLINK("http://www.uniprot.org/uniprot/HORM1_RAT","HORM1_RAT")</f>
        <v>HORM1_RAT</v>
      </c>
      <c r="D18001" t="s">
        <v>10926</v>
      </c>
      <c r="E18001" s="3" t="s">
        <v>161</v>
      </c>
      <c r="F18001" s="4">
        <v>1.44E-24</v>
      </c>
      <c r="G18001" s="3">
        <v>276</v>
      </c>
      <c r="H18001" s="3">
        <v>30</v>
      </c>
      <c r="I18001" s="3">
        <v>251</v>
      </c>
      <c r="J18001" s="3">
        <v>1471</v>
      </c>
      <c r="K18001" s="3">
        <v>2214</v>
      </c>
      <c r="L18001" s="3">
        <v>23</v>
      </c>
      <c r="M18001" s="3">
        <v>260</v>
      </c>
    </row>
    <row r="18002" spans="1:13" x14ac:dyDescent="0.25">
      <c r="A18002" s="1" t="str">
        <f>HYPERLINK("http://www.rosaceae.org/Prunus/Prunus_persica/p.persica_gdr_reftransV1_0023960","p.persica_gdr_reftransV1_0023960")</f>
        <v>p.persica_gdr_reftransV1_0023960</v>
      </c>
      <c r="B18002" s="3">
        <v>1630</v>
      </c>
      <c r="C18002" s="1" t="str">
        <f>HYPERLINK("http://www.uniprot.org/uniprot/FB253_ARATH","FB253_ARATH")</f>
        <v>FB253_ARATH</v>
      </c>
      <c r="D18002" t="s">
        <v>6337</v>
      </c>
      <c r="E18002" s="3" t="s">
        <v>3</v>
      </c>
      <c r="F18002" s="4">
        <v>5.0499999999999999E-44</v>
      </c>
      <c r="G18002" s="3">
        <v>420</v>
      </c>
      <c r="H18002" s="3">
        <v>32</v>
      </c>
      <c r="I18002" s="3">
        <v>438</v>
      </c>
      <c r="J18002" s="3">
        <v>96</v>
      </c>
      <c r="K18002" s="3">
        <v>1298</v>
      </c>
      <c r="L18002" s="3">
        <v>5</v>
      </c>
      <c r="M18002" s="3">
        <v>420</v>
      </c>
    </row>
    <row r="18003" spans="1:13" x14ac:dyDescent="0.25">
      <c r="A18003" s="1" t="str">
        <f>HYPERLINK("http://www.rosaceae.org/Prunus/Prunus_persica/p.persica_gdr_reftransV1_0024210","p.persica_gdr_reftransV1_0024210")</f>
        <v>p.persica_gdr_reftransV1_0024210</v>
      </c>
      <c r="B18003" s="3">
        <v>1117</v>
      </c>
      <c r="C18003" s="1" t="str">
        <f>HYPERLINK("http://www.uniprot.org/uniprot/RL27_NEOSM","RL27_NEOSM")</f>
        <v>RL27_NEOSM</v>
      </c>
      <c r="D18003" t="s">
        <v>10927</v>
      </c>
      <c r="E18003" s="3" t="s">
        <v>10928</v>
      </c>
      <c r="F18003" s="4">
        <v>3.9800000000000002E-19</v>
      </c>
      <c r="G18003" s="3">
        <v>189</v>
      </c>
      <c r="H18003" s="3">
        <v>64</v>
      </c>
      <c r="I18003" s="3">
        <v>58</v>
      </c>
      <c r="J18003" s="3">
        <v>440</v>
      </c>
      <c r="K18003" s="3">
        <v>613</v>
      </c>
      <c r="L18003" s="3">
        <v>26</v>
      </c>
      <c r="M18003" s="3">
        <v>82</v>
      </c>
    </row>
    <row r="18004" spans="1:13" x14ac:dyDescent="0.25">
      <c r="A18004" s="1" t="str">
        <f>HYPERLINK("http://www.rosaceae.org/Prunus/Prunus_persica/p.persica_gdr_reftransV1_0024310","p.persica_gdr_reftransV1_0024310")</f>
        <v>p.persica_gdr_reftransV1_0024310</v>
      </c>
      <c r="B18004" s="3">
        <v>1536</v>
      </c>
      <c r="C18004" s="1" t="str">
        <f>HYPERLINK("http://www.uniprot.org/uniprot/Y1500_ARATH","Y1500_ARATH")</f>
        <v>Y1500_ARATH</v>
      </c>
      <c r="D18004" t="s">
        <v>8948</v>
      </c>
      <c r="E18004" s="3" t="s">
        <v>3</v>
      </c>
      <c r="F18004" s="4">
        <v>9.8100000000000009E-69</v>
      </c>
      <c r="G18004" s="3">
        <v>575</v>
      </c>
      <c r="H18004" s="3">
        <v>70</v>
      </c>
      <c r="I18004" s="3">
        <v>148</v>
      </c>
      <c r="J18004" s="3">
        <v>635</v>
      </c>
      <c r="K18004" s="3">
        <v>1078</v>
      </c>
      <c r="L18004" s="3">
        <v>53</v>
      </c>
      <c r="M18004" s="3">
        <v>200</v>
      </c>
    </row>
    <row r="18005" spans="1:13" x14ac:dyDescent="0.25">
      <c r="A18005" s="1" t="str">
        <f>HYPERLINK("http://www.rosaceae.org/Prunus/Prunus_persica/p.persica_gdr_reftransV1_0024610","p.persica_gdr_reftransV1_0024610")</f>
        <v>p.persica_gdr_reftransV1_0024610</v>
      </c>
      <c r="B18005" s="3">
        <v>1616</v>
      </c>
      <c r="C18005" s="1" t="str">
        <f>HYPERLINK("http://www.uniprot.org/uniprot/DIV_ANTMA","DIV_ANTMA")</f>
        <v>DIV_ANTMA</v>
      </c>
      <c r="D18005" t="s">
        <v>4460</v>
      </c>
      <c r="E18005" s="3" t="s">
        <v>1408</v>
      </c>
      <c r="F18005" s="4">
        <v>2.2599999999999999E-48</v>
      </c>
      <c r="G18005" s="3">
        <v>444</v>
      </c>
      <c r="H18005" s="3">
        <v>49</v>
      </c>
      <c r="I18005" s="3">
        <v>210</v>
      </c>
      <c r="J18005" s="3">
        <v>679</v>
      </c>
      <c r="K18005" s="3">
        <v>1302</v>
      </c>
      <c r="L18005" s="3">
        <v>22</v>
      </c>
      <c r="M18005" s="3">
        <v>209</v>
      </c>
    </row>
    <row r="18006" spans="1:13" x14ac:dyDescent="0.25">
      <c r="A18006" s="1" t="str">
        <f>HYPERLINK("http://www.rosaceae.org/Prunus/Prunus_persica/p.persica_gdr_reftransV1_0024860","p.persica_gdr_reftransV1_0024860")</f>
        <v>p.persica_gdr_reftransV1_0024860</v>
      </c>
      <c r="B18006" s="3">
        <v>2900</v>
      </c>
      <c r="C18006" s="1" t="str">
        <f>HYPERLINK("http://www.uniprot.org/uniprot/PMT9_ARATH","PMT9_ARATH")</f>
        <v>PMT9_ARATH</v>
      </c>
      <c r="D18006" t="s">
        <v>4615</v>
      </c>
      <c r="E18006" s="3" t="s">
        <v>3</v>
      </c>
      <c r="F18006" s="4">
        <v>0</v>
      </c>
      <c r="G18006" s="3">
        <v>1651</v>
      </c>
      <c r="H18006" s="3">
        <v>77</v>
      </c>
      <c r="I18006" s="3">
        <v>410</v>
      </c>
      <c r="J18006" s="3">
        <v>1198</v>
      </c>
      <c r="K18006" s="3">
        <v>2427</v>
      </c>
      <c r="L18006" s="3">
        <v>195</v>
      </c>
      <c r="M18006" s="3">
        <v>604</v>
      </c>
    </row>
    <row r="18007" spans="1:13" x14ac:dyDescent="0.25">
      <c r="A18007" s="1" t="str">
        <f>HYPERLINK("http://www.rosaceae.org/Prunus/Prunus_persica/p.persica_gdr_reftransV1_0025060","p.persica_gdr_reftransV1_0025060")</f>
        <v>p.persica_gdr_reftransV1_0025060</v>
      </c>
      <c r="B18007" s="3">
        <v>2199</v>
      </c>
      <c r="C18007" s="1" t="str">
        <f>HYPERLINK("http://www.uniprot.org/uniprot/NEN1_ARATH","NEN1_ARATH")</f>
        <v>NEN1_ARATH</v>
      </c>
      <c r="D18007" t="s">
        <v>4923</v>
      </c>
      <c r="E18007" s="3" t="s">
        <v>3</v>
      </c>
      <c r="F18007" s="4">
        <v>3.3600000000000001E-81</v>
      </c>
      <c r="G18007" s="3">
        <v>697</v>
      </c>
      <c r="H18007" s="3">
        <v>80</v>
      </c>
      <c r="I18007" s="3">
        <v>167</v>
      </c>
      <c r="J18007" s="3">
        <v>101</v>
      </c>
      <c r="K18007" s="3">
        <v>601</v>
      </c>
      <c r="L18007" s="3">
        <v>4</v>
      </c>
      <c r="M18007" s="3">
        <v>169</v>
      </c>
    </row>
    <row r="18008" spans="1:13" x14ac:dyDescent="0.25">
      <c r="A18008" s="1" t="str">
        <f>HYPERLINK("http://www.rosaceae.org/Prunus/Prunus_persica/p.persica_gdr_reftransV1_0025360","p.persica_gdr_reftransV1_0025360")</f>
        <v>p.persica_gdr_reftransV1_0025360</v>
      </c>
      <c r="B18008" s="3">
        <v>1342</v>
      </c>
      <c r="C18008" s="1" t="str">
        <f>HYPERLINK("http://www.uniprot.org/uniprot/CIPK2_ORYSJ","CIPK2_ORYSJ")</f>
        <v>CIPK2_ORYSJ</v>
      </c>
      <c r="D18008" t="s">
        <v>8142</v>
      </c>
      <c r="E18008" s="3" t="s">
        <v>38</v>
      </c>
      <c r="F18008" s="4">
        <v>7.53E-123</v>
      </c>
      <c r="G18008" s="3">
        <v>954</v>
      </c>
      <c r="H18008" s="3">
        <v>69</v>
      </c>
      <c r="I18008" s="3">
        <v>290</v>
      </c>
      <c r="J18008" s="3">
        <v>4</v>
      </c>
      <c r="K18008" s="3">
        <v>873</v>
      </c>
      <c r="L18008" s="3">
        <v>148</v>
      </c>
      <c r="M18008" s="3">
        <v>430</v>
      </c>
    </row>
    <row r="18009" spans="1:13" x14ac:dyDescent="0.25">
      <c r="A18009" s="1" t="str">
        <f>HYPERLINK("http://www.rosaceae.org/Prunus/Prunus_persica/p.persica_gdr_reftransV1_0025560","p.persica_gdr_reftransV1_0025560")</f>
        <v>p.persica_gdr_reftransV1_0025560</v>
      </c>
      <c r="B18009" s="3">
        <v>3752</v>
      </c>
      <c r="C18009" s="1" t="str">
        <f>HYPERLINK("http://www.uniprot.org/uniprot/GLGB3_ARATH","GLGB3_ARATH")</f>
        <v>GLGB3_ARATH</v>
      </c>
      <c r="D18009" t="s">
        <v>10929</v>
      </c>
      <c r="E18009" s="3" t="s">
        <v>3</v>
      </c>
      <c r="F18009" s="4">
        <v>0</v>
      </c>
      <c r="G18009" s="3">
        <v>2446</v>
      </c>
      <c r="H18009" s="3">
        <v>74</v>
      </c>
      <c r="I18009" s="3">
        <v>602</v>
      </c>
      <c r="J18009" s="3">
        <v>112</v>
      </c>
      <c r="K18009" s="3">
        <v>1902</v>
      </c>
      <c r="L18009" s="3">
        <v>13</v>
      </c>
      <c r="M18009" s="3">
        <v>614</v>
      </c>
    </row>
    <row r="18010" spans="1:13" x14ac:dyDescent="0.25">
      <c r="A18010" s="1" t="str">
        <f>HYPERLINK("http://www.rosaceae.org/Prunus/Prunus_persica/p.persica_gdr_reftransV1_0025610","p.persica_gdr_reftransV1_0025610")</f>
        <v>p.persica_gdr_reftransV1_0025610</v>
      </c>
      <c r="B18010" s="3">
        <v>14279</v>
      </c>
      <c r="C18010" s="1" t="str">
        <f>HYPERLINK("http://www.uniprot.org/uniprot/VP13A_DICDI","VP13A_DICDI")</f>
        <v>VP13A_DICDI</v>
      </c>
      <c r="D18010" t="s">
        <v>620</v>
      </c>
      <c r="E18010" s="3" t="s">
        <v>9</v>
      </c>
      <c r="F18010" s="4">
        <v>5.9099999999999998E-53</v>
      </c>
      <c r="G18010" s="3">
        <v>540</v>
      </c>
      <c r="H18010" s="3">
        <v>25</v>
      </c>
      <c r="I18010" s="3">
        <v>856</v>
      </c>
      <c r="J18010" s="3">
        <v>11807</v>
      </c>
      <c r="K18010" s="3">
        <v>14170</v>
      </c>
      <c r="L18010" s="3">
        <v>2</v>
      </c>
      <c r="M18010" s="3">
        <v>810</v>
      </c>
    </row>
    <row r="18011" spans="1:13" x14ac:dyDescent="0.25">
      <c r="A18011" s="1" t="str">
        <f>HYPERLINK("http://www.rosaceae.org/Prunus/Prunus_persica/p.persica_gdr_reftransV1_0025710","p.persica_gdr_reftransV1_0025710")</f>
        <v>p.persica_gdr_reftransV1_0025710</v>
      </c>
      <c r="B18011" s="3">
        <v>2317</v>
      </c>
      <c r="C18011" s="1" t="str">
        <f>HYPERLINK("http://www.uniprot.org/uniprot/PINS_FRAVE","PINS_FRAVE")</f>
        <v>PINS_FRAVE</v>
      </c>
      <c r="D18011" t="s">
        <v>1165</v>
      </c>
      <c r="E18011" s="3" t="s">
        <v>1166</v>
      </c>
      <c r="F18011" s="4">
        <v>0</v>
      </c>
      <c r="G18011" s="3">
        <v>1999</v>
      </c>
      <c r="H18011" s="3">
        <v>68</v>
      </c>
      <c r="I18011" s="3">
        <v>552</v>
      </c>
      <c r="J18011" s="3">
        <v>295</v>
      </c>
      <c r="K18011" s="3">
        <v>1947</v>
      </c>
      <c r="L18011" s="3">
        <v>8</v>
      </c>
      <c r="M18011" s="3">
        <v>556</v>
      </c>
    </row>
    <row r="18012" spans="1:13" x14ac:dyDescent="0.25">
      <c r="A18012" s="1" t="str">
        <f>HYPERLINK("http://www.rosaceae.org/Prunus/Prunus_persica/p.persica_gdr_reftransV1_0025810","p.persica_gdr_reftransV1_0025810")</f>
        <v>p.persica_gdr_reftransV1_0025810</v>
      </c>
      <c r="B18012" s="3">
        <v>2515</v>
      </c>
      <c r="C18012" s="1" t="str">
        <f>HYPERLINK("http://www.uniprot.org/uniprot/FB140_ARATH","FB140_ARATH")</f>
        <v>FB140_ARATH</v>
      </c>
      <c r="D18012" t="s">
        <v>4863</v>
      </c>
      <c r="E18012" s="3" t="s">
        <v>3</v>
      </c>
      <c r="F18012" s="4">
        <v>3.7000000000000001E-73</v>
      </c>
      <c r="G18012" s="3">
        <v>642</v>
      </c>
      <c r="H18012" s="3">
        <v>48</v>
      </c>
      <c r="I18012" s="3">
        <v>295</v>
      </c>
      <c r="J18012" s="3">
        <v>245</v>
      </c>
      <c r="K18012" s="3">
        <v>1102</v>
      </c>
      <c r="L18012" s="3">
        <v>5</v>
      </c>
      <c r="M18012" s="3">
        <v>277</v>
      </c>
    </row>
    <row r="18013" spans="1:13" x14ac:dyDescent="0.25">
      <c r="A18013" s="1" t="str">
        <f>HYPERLINK("http://www.rosaceae.org/Prunus/Prunus_persica/p.persica_gdr_reftransV1_0025860","p.persica_gdr_reftransV1_0025860")</f>
        <v>p.persica_gdr_reftransV1_0025860</v>
      </c>
      <c r="B18013" s="3">
        <v>2432</v>
      </c>
      <c r="C18013" s="1" t="str">
        <f>HYPERLINK("http://www.uniprot.org/uniprot/BH003_ARATH","BH003_ARATH")</f>
        <v>BH003_ARATH</v>
      </c>
      <c r="D18013" t="s">
        <v>10930</v>
      </c>
      <c r="E18013" s="3" t="s">
        <v>3</v>
      </c>
      <c r="F18013" s="4">
        <v>5.5599999999999998E-165</v>
      </c>
      <c r="G18013" s="3">
        <v>1270</v>
      </c>
      <c r="H18013" s="3">
        <v>53</v>
      </c>
      <c r="I18013" s="3">
        <v>506</v>
      </c>
      <c r="J18013" s="3">
        <v>237</v>
      </c>
      <c r="K18013" s="3">
        <v>1733</v>
      </c>
      <c r="L18013" s="3">
        <v>1</v>
      </c>
      <c r="M18013" s="3">
        <v>467</v>
      </c>
    </row>
    <row r="18014" spans="1:13" x14ac:dyDescent="0.25">
      <c r="A18014" s="1" t="str">
        <f>HYPERLINK("http://www.rosaceae.org/Prunus/Prunus_persica/p.persica_gdr_reftransV1_0025960","p.persica_gdr_reftransV1_0025960")</f>
        <v>p.persica_gdr_reftransV1_0025960</v>
      </c>
      <c r="B18014" s="3">
        <v>1680</v>
      </c>
      <c r="C18014" s="1" t="str">
        <f>HYPERLINK("http://www.uniprot.org/uniprot/RPA49_DICDI","RPA49_DICDI")</f>
        <v>RPA49_DICDI</v>
      </c>
      <c r="D18014" t="s">
        <v>10931</v>
      </c>
      <c r="E18014" s="3" t="s">
        <v>9</v>
      </c>
      <c r="F18014" s="4">
        <v>9.1099999999999998E-12</v>
      </c>
      <c r="G18014" s="3">
        <v>171</v>
      </c>
      <c r="H18014" s="3">
        <v>25</v>
      </c>
      <c r="I18014" s="3">
        <v>334</v>
      </c>
      <c r="J18014" s="3">
        <v>379</v>
      </c>
      <c r="K18014" s="3">
        <v>1347</v>
      </c>
      <c r="L18014" s="3">
        <v>44</v>
      </c>
      <c r="M18014" s="3">
        <v>352</v>
      </c>
    </row>
    <row r="18015" spans="1:13" x14ac:dyDescent="0.25">
      <c r="A18015" s="1" t="str">
        <f>HYPERLINK("http://www.rosaceae.org/Prunus/Prunus_persica/p.persica_gdr_reftransV1_0026210","p.persica_gdr_reftransV1_0026210")</f>
        <v>p.persica_gdr_reftransV1_0026210</v>
      </c>
      <c r="B18015" s="3">
        <v>1606</v>
      </c>
      <c r="C18015" s="1" t="str">
        <f>HYPERLINK("http://www.uniprot.org/uniprot/HNRPQ_RAT","HNRPQ_RAT")</f>
        <v>HNRPQ_RAT</v>
      </c>
      <c r="D18015" t="s">
        <v>5951</v>
      </c>
      <c r="E18015" s="3" t="s">
        <v>161</v>
      </c>
      <c r="F18015" s="4">
        <v>5.4599999999999997E-44</v>
      </c>
      <c r="G18015" s="3">
        <v>425</v>
      </c>
      <c r="H18015" s="3">
        <v>34</v>
      </c>
      <c r="I18015" s="3">
        <v>265</v>
      </c>
      <c r="J18015" s="3">
        <v>198</v>
      </c>
      <c r="K18015" s="3">
        <v>986</v>
      </c>
      <c r="L18015" s="3">
        <v>67</v>
      </c>
      <c r="M18015" s="3">
        <v>322</v>
      </c>
    </row>
    <row r="18016" spans="1:13" x14ac:dyDescent="0.25">
      <c r="A18016" s="1" t="str">
        <f>HYPERLINK("http://www.rosaceae.org/Prunus/Prunus_persica/p.persica_gdr_reftransV1_0026310","p.persica_gdr_reftransV1_0026310")</f>
        <v>p.persica_gdr_reftransV1_0026310</v>
      </c>
      <c r="B18016" s="3">
        <v>2503</v>
      </c>
      <c r="C18016" s="1" t="str">
        <f>HYPERLINK("http://www.uniprot.org/uniprot/CTF50_ARATH","CTF50_ARATH")</f>
        <v>CTF50_ARATH</v>
      </c>
      <c r="D18016" t="s">
        <v>10932</v>
      </c>
      <c r="E18016" s="3" t="s">
        <v>3</v>
      </c>
      <c r="F18016" s="4">
        <v>4.7399999999999997E-97</v>
      </c>
      <c r="G18016" s="3">
        <v>809</v>
      </c>
      <c r="H18016" s="3">
        <v>72</v>
      </c>
      <c r="I18016" s="3">
        <v>194</v>
      </c>
      <c r="J18016" s="3">
        <v>325</v>
      </c>
      <c r="K18016" s="3">
        <v>906</v>
      </c>
      <c r="L18016" s="3">
        <v>236</v>
      </c>
      <c r="M18016" s="3">
        <v>429</v>
      </c>
    </row>
    <row r="18017" spans="1:13" x14ac:dyDescent="0.25">
      <c r="A18017" s="1" t="str">
        <f>HYPERLINK("http://www.rosaceae.org/Prunus/Prunus_persica/p.persica_gdr_reftransV1_0026360","p.persica_gdr_reftransV1_0026360")</f>
        <v>p.persica_gdr_reftransV1_0026360</v>
      </c>
      <c r="B18017" s="3">
        <v>1916</v>
      </c>
      <c r="C18017" s="1" t="str">
        <f>HYPERLINK("http://www.uniprot.org/uniprot/HOL3_ARATH","HOL3_ARATH")</f>
        <v>HOL3_ARATH</v>
      </c>
      <c r="D18017" t="s">
        <v>10933</v>
      </c>
      <c r="E18017" s="3" t="s">
        <v>3</v>
      </c>
      <c r="F18017" s="4">
        <v>3.8599999999999997E-45</v>
      </c>
      <c r="G18017" s="3">
        <v>260</v>
      </c>
      <c r="H18017" s="3">
        <v>64</v>
      </c>
      <c r="I18017" s="3">
        <v>73</v>
      </c>
      <c r="J18017" s="3">
        <v>1042</v>
      </c>
      <c r="K18017" s="3">
        <v>1260</v>
      </c>
      <c r="L18017" s="3">
        <v>95</v>
      </c>
      <c r="M18017" s="3">
        <v>167</v>
      </c>
    </row>
    <row r="18018" spans="1:13" x14ac:dyDescent="0.25">
      <c r="A18018" s="1" t="str">
        <f>HYPERLINK("http://www.rosaceae.org/Prunus/Prunus_persica/p.persica_gdr_reftransV1_0026460","p.persica_gdr_reftransV1_0026460")</f>
        <v>p.persica_gdr_reftransV1_0026460</v>
      </c>
      <c r="B18018" s="3">
        <v>2850</v>
      </c>
      <c r="C18018" s="1" t="str">
        <f>HYPERLINK("http://www.uniprot.org/uniprot/TMN1_ARATH","TMN1_ARATH")</f>
        <v>TMN1_ARATH</v>
      </c>
      <c r="D18018" t="s">
        <v>10165</v>
      </c>
      <c r="E18018" s="3" t="s">
        <v>3</v>
      </c>
      <c r="F18018" s="4">
        <v>0</v>
      </c>
      <c r="G18018" s="3">
        <v>2318</v>
      </c>
      <c r="H18018" s="3">
        <v>91</v>
      </c>
      <c r="I18018" s="3">
        <v>549</v>
      </c>
      <c r="J18018" s="3">
        <v>239</v>
      </c>
      <c r="K18018" s="3">
        <v>1885</v>
      </c>
      <c r="L18018" s="3">
        <v>20</v>
      </c>
      <c r="M18018" s="3">
        <v>568</v>
      </c>
    </row>
    <row r="18019" spans="1:13" x14ac:dyDescent="0.25">
      <c r="A18019" s="1" t="str">
        <f>HYPERLINK("http://www.rosaceae.org/Prunus/Prunus_persica/p.persica_gdr_reftransV1_0026760","p.persica_gdr_reftransV1_0026760")</f>
        <v>p.persica_gdr_reftransV1_0026760</v>
      </c>
      <c r="B18019" s="3">
        <v>1610</v>
      </c>
      <c r="C18019" s="1" t="str">
        <f>HYPERLINK("http://www.uniprot.org/uniprot/DGP2_ARATH","DGP2_ARATH")</f>
        <v>DGP2_ARATH</v>
      </c>
      <c r="D18019" t="s">
        <v>10934</v>
      </c>
      <c r="E18019" s="3" t="s">
        <v>3</v>
      </c>
      <c r="F18019" s="4">
        <v>5.9700000000000003E-155</v>
      </c>
      <c r="G18019" s="3">
        <v>1169</v>
      </c>
      <c r="H18019" s="3">
        <v>60</v>
      </c>
      <c r="I18019" s="3">
        <v>375</v>
      </c>
      <c r="J18019" s="3">
        <v>167</v>
      </c>
      <c r="K18019" s="3">
        <v>1264</v>
      </c>
      <c r="L18019" s="3">
        <v>1</v>
      </c>
      <c r="M18019" s="3">
        <v>367</v>
      </c>
    </row>
    <row r="18020" spans="1:13" x14ac:dyDescent="0.25">
      <c r="A18020" s="1" t="str">
        <f>HYPERLINK("http://www.rosaceae.org/Prunus/Prunus_persica/p.persica_gdr_reftransV1_0026810","p.persica_gdr_reftransV1_0026810")</f>
        <v>p.persica_gdr_reftransV1_0026810</v>
      </c>
      <c r="B18020" s="3">
        <v>2080</v>
      </c>
      <c r="C18020" s="1" t="str">
        <f>HYPERLINK("http://www.uniprot.org/uniprot/RBM34_MOUSE","RBM34_MOUSE")</f>
        <v>RBM34_MOUSE</v>
      </c>
      <c r="D18020" t="s">
        <v>10935</v>
      </c>
      <c r="E18020" s="3" t="s">
        <v>157</v>
      </c>
      <c r="F18020" s="4">
        <v>5.0199999999999999E-29</v>
      </c>
      <c r="G18020" s="3">
        <v>309</v>
      </c>
      <c r="H18020" s="3">
        <v>40</v>
      </c>
      <c r="I18020" s="3">
        <v>191</v>
      </c>
      <c r="J18020" s="3">
        <v>725</v>
      </c>
      <c r="K18020" s="3">
        <v>1288</v>
      </c>
      <c r="L18020" s="3">
        <v>189</v>
      </c>
      <c r="M18020" s="3">
        <v>363</v>
      </c>
    </row>
    <row r="18021" spans="1:13" x14ac:dyDescent="0.25">
      <c r="A18021" s="1" t="str">
        <f>HYPERLINK("http://www.rosaceae.org/Prunus/Prunus_persica/p.persica_gdr_reftransV1_0026860","p.persica_gdr_reftransV1_0026860")</f>
        <v>p.persica_gdr_reftransV1_0026860</v>
      </c>
      <c r="B18021" s="3">
        <v>714</v>
      </c>
      <c r="C18021" s="1" t="str">
        <f>HYPERLINK("http://www.uniprot.org/uniprot/PP410_ARATH","PP410_ARATH")</f>
        <v>PP410_ARATH</v>
      </c>
      <c r="D18021" t="s">
        <v>6617</v>
      </c>
      <c r="E18021" s="3" t="s">
        <v>3</v>
      </c>
      <c r="F18021" s="4">
        <v>1.04E-128</v>
      </c>
      <c r="G18021" s="3">
        <v>985</v>
      </c>
      <c r="H18021" s="3">
        <v>75</v>
      </c>
      <c r="I18021" s="3">
        <v>236</v>
      </c>
      <c r="J18021" s="3">
        <v>3</v>
      </c>
      <c r="K18021" s="3">
        <v>710</v>
      </c>
      <c r="L18021" s="3">
        <v>373</v>
      </c>
      <c r="M18021" s="3">
        <v>608</v>
      </c>
    </row>
    <row r="18022" spans="1:13" x14ac:dyDescent="0.25">
      <c r="A18022" s="1" t="str">
        <f>HYPERLINK("http://www.rosaceae.org/Prunus/Prunus_persica/p.persica_gdr_reftransV1_0026910","p.persica_gdr_reftransV1_0026910")</f>
        <v>p.persica_gdr_reftransV1_0026910</v>
      </c>
      <c r="B18022" s="3">
        <v>2923</v>
      </c>
      <c r="C18022" s="1" t="str">
        <f>HYPERLINK("http://www.uniprot.org/uniprot/C3H55_ARATH","C3H55_ARATH")</f>
        <v>C3H55_ARATH</v>
      </c>
      <c r="D18022" t="s">
        <v>10936</v>
      </c>
      <c r="E18022" s="3" t="s">
        <v>3</v>
      </c>
      <c r="F18022" s="4">
        <v>1.5999999999999999E-128</v>
      </c>
      <c r="G18022" s="3">
        <v>1053</v>
      </c>
      <c r="H18022" s="3">
        <v>44</v>
      </c>
      <c r="I18022" s="3">
        <v>679</v>
      </c>
      <c r="J18022" s="3">
        <v>654</v>
      </c>
      <c r="K18022" s="3">
        <v>2642</v>
      </c>
      <c r="L18022" s="3">
        <v>1</v>
      </c>
      <c r="M18022" s="3">
        <v>637</v>
      </c>
    </row>
    <row r="18023" spans="1:13" x14ac:dyDescent="0.25">
      <c r="A18023" s="1" t="str">
        <f>HYPERLINK("http://www.rosaceae.org/Prunus/Prunus_persica/p.persica_gdr_reftransV1_0027010","p.persica_gdr_reftransV1_0027010")</f>
        <v>p.persica_gdr_reftransV1_0027010</v>
      </c>
      <c r="B18023" s="3">
        <v>4742</v>
      </c>
      <c r="C18023" s="1" t="str">
        <f>HYPERLINK("http://www.uniprot.org/uniprot/TNPO3_MOUSE","TNPO3_MOUSE")</f>
        <v>TNPO3_MOUSE</v>
      </c>
      <c r="D18023" t="s">
        <v>5274</v>
      </c>
      <c r="E18023" s="3" t="s">
        <v>157</v>
      </c>
      <c r="F18023" s="4">
        <v>6.6600000000000001E-15</v>
      </c>
      <c r="G18023" s="3">
        <v>207</v>
      </c>
      <c r="H18023" s="3">
        <v>21</v>
      </c>
      <c r="I18023" s="3">
        <v>549</v>
      </c>
      <c r="J18023" s="3">
        <v>925</v>
      </c>
      <c r="K18023" s="3">
        <v>2562</v>
      </c>
      <c r="L18023" s="3">
        <v>385</v>
      </c>
      <c r="M18023" s="3">
        <v>882</v>
      </c>
    </row>
    <row r="18024" spans="1:13" x14ac:dyDescent="0.25">
      <c r="A18024" s="1" t="str">
        <f>HYPERLINK("http://www.rosaceae.org/Prunus/Prunus_persica/p.persica_gdr_reftransV1_0027260","p.persica_gdr_reftransV1_0027260")</f>
        <v>p.persica_gdr_reftransV1_0027260</v>
      </c>
      <c r="B18024" s="3">
        <v>2071</v>
      </c>
      <c r="C18024" s="1" t="str">
        <f>HYPERLINK("http://www.uniprot.org/uniprot/ANM1_ORYSJ","ANM1_ORYSJ")</f>
        <v>ANM1_ORYSJ</v>
      </c>
      <c r="D18024" t="s">
        <v>10937</v>
      </c>
      <c r="E18024" s="3" t="s">
        <v>38</v>
      </c>
      <c r="F18024" s="4">
        <v>1.9E-109</v>
      </c>
      <c r="G18024" s="3">
        <v>880</v>
      </c>
      <c r="H18024" s="3">
        <v>85</v>
      </c>
      <c r="I18024" s="3">
        <v>185</v>
      </c>
      <c r="J18024" s="3">
        <v>1207</v>
      </c>
      <c r="K18024" s="3">
        <v>1761</v>
      </c>
      <c r="L18024" s="3">
        <v>203</v>
      </c>
      <c r="M18024" s="3">
        <v>387</v>
      </c>
    </row>
    <row r="18025" spans="1:13" x14ac:dyDescent="0.25">
      <c r="A18025" s="1" t="str">
        <f>HYPERLINK("http://www.rosaceae.org/Prunus/Prunus_persica/p.persica_gdr_reftransV1_0027310","p.persica_gdr_reftransV1_0027310")</f>
        <v>p.persica_gdr_reftransV1_0027310</v>
      </c>
      <c r="B18025" s="3">
        <v>1536</v>
      </c>
      <c r="C18025" s="1" t="str">
        <f>HYPERLINK("http://www.uniprot.org/uniprot/KIP1L_ARATH","KIP1L_ARATH")</f>
        <v>KIP1L_ARATH</v>
      </c>
      <c r="D18025" t="s">
        <v>1758</v>
      </c>
      <c r="E18025" s="3" t="s">
        <v>3</v>
      </c>
      <c r="F18025" s="4">
        <v>4.3900000000000001E-30</v>
      </c>
      <c r="G18025" s="3">
        <v>308</v>
      </c>
      <c r="H18025" s="3">
        <v>33</v>
      </c>
      <c r="I18025" s="3">
        <v>264</v>
      </c>
      <c r="J18025" s="3">
        <v>344</v>
      </c>
      <c r="K18025" s="3">
        <v>1135</v>
      </c>
      <c r="L18025" s="3">
        <v>11</v>
      </c>
      <c r="M18025" s="3">
        <v>233</v>
      </c>
    </row>
    <row r="18026" spans="1:13" x14ac:dyDescent="0.25">
      <c r="A18026" s="1" t="str">
        <f>HYPERLINK("http://www.rosaceae.org/Prunus/Prunus_persica/p.persica_gdr_reftransV1_0027460","p.persica_gdr_reftransV1_0027460")</f>
        <v>p.persica_gdr_reftransV1_0027460</v>
      </c>
      <c r="B18026" s="3">
        <v>1265</v>
      </c>
      <c r="C18026" s="1" t="str">
        <f>HYPERLINK("http://www.uniprot.org/uniprot/CRR3_ARATH","CRR3_ARATH")</f>
        <v>CRR3_ARATH</v>
      </c>
      <c r="D18026" t="s">
        <v>10938</v>
      </c>
      <c r="E18026" s="3" t="s">
        <v>3</v>
      </c>
      <c r="F18026" s="4">
        <v>3.7E-22</v>
      </c>
      <c r="G18026" s="3">
        <v>239</v>
      </c>
      <c r="H18026" s="3">
        <v>48</v>
      </c>
      <c r="I18026" s="3">
        <v>108</v>
      </c>
      <c r="J18026" s="3">
        <v>576</v>
      </c>
      <c r="K18026" s="3">
        <v>893</v>
      </c>
      <c r="L18026" s="3">
        <v>70</v>
      </c>
      <c r="M18026" s="3">
        <v>174</v>
      </c>
    </row>
    <row r="18027" spans="1:13" x14ac:dyDescent="0.25">
      <c r="A18027" s="1" t="str">
        <f>HYPERLINK("http://www.rosaceae.org/Prunus/Prunus_persica/p.persica_gdr_reftransV1_0027510","p.persica_gdr_reftransV1_0027510")</f>
        <v>p.persica_gdr_reftransV1_0027510</v>
      </c>
      <c r="B18027" s="3">
        <v>569</v>
      </c>
      <c r="C18027" s="1" t="str">
        <f>HYPERLINK("http://www.uniprot.org/uniprot/PP250_ARATH","PP250_ARATH")</f>
        <v>PP250_ARATH</v>
      </c>
      <c r="D18027" t="s">
        <v>5356</v>
      </c>
      <c r="E18027" s="3" t="s">
        <v>3</v>
      </c>
      <c r="F18027" s="4">
        <v>6.94E-14</v>
      </c>
      <c r="G18027" s="3">
        <v>180</v>
      </c>
      <c r="H18027" s="3">
        <v>39</v>
      </c>
      <c r="I18027" s="3">
        <v>153</v>
      </c>
      <c r="J18027" s="3">
        <v>118</v>
      </c>
      <c r="K18027" s="3">
        <v>567</v>
      </c>
      <c r="L18027" s="3">
        <v>1</v>
      </c>
      <c r="M18027" s="3">
        <v>139</v>
      </c>
    </row>
    <row r="18028" spans="1:13" x14ac:dyDescent="0.25">
      <c r="A18028" s="1" t="str">
        <f>HYPERLINK("http://www.rosaceae.org/Prunus/Prunus_persica/p.persica_gdr_reftransV1_0027560","p.persica_gdr_reftransV1_0027560")</f>
        <v>p.persica_gdr_reftransV1_0027560</v>
      </c>
      <c r="B18028" s="3">
        <v>3000</v>
      </c>
      <c r="C18028" s="1" t="str">
        <f>HYPERLINK("http://www.uniprot.org/uniprot/AB17I_ARATH","AB17I_ARATH")</f>
        <v>AB17I_ARATH</v>
      </c>
      <c r="D18028" t="s">
        <v>2488</v>
      </c>
      <c r="E18028" s="3" t="s">
        <v>3</v>
      </c>
      <c r="F18028" s="4">
        <v>6.12E-69</v>
      </c>
      <c r="G18028" s="3">
        <v>601</v>
      </c>
      <c r="H18028" s="3">
        <v>77</v>
      </c>
      <c r="I18028" s="3">
        <v>147</v>
      </c>
      <c r="J18028" s="3">
        <v>216</v>
      </c>
      <c r="K18028" s="3">
        <v>656</v>
      </c>
      <c r="L18028" s="3">
        <v>117</v>
      </c>
      <c r="M18028" s="3">
        <v>263</v>
      </c>
    </row>
    <row r="18029" spans="1:13" x14ac:dyDescent="0.25">
      <c r="A18029" s="1" t="str">
        <f>HYPERLINK("http://www.rosaceae.org/Prunus/Prunus_persica/p.persica_gdr_reftransV1_0027910","p.persica_gdr_reftransV1_0027910")</f>
        <v>p.persica_gdr_reftransV1_0027910</v>
      </c>
      <c r="B18029" s="3">
        <v>2108</v>
      </c>
      <c r="C18029" s="1" t="str">
        <f>HYPERLINK("http://www.uniprot.org/uniprot/MAKR2_ARATH","MAKR2_ARATH")</f>
        <v>MAKR2_ARATH</v>
      </c>
      <c r="D18029" t="s">
        <v>9363</v>
      </c>
      <c r="E18029" s="3" t="s">
        <v>3</v>
      </c>
      <c r="F18029" s="4">
        <v>9.9099999999999997E-19</v>
      </c>
      <c r="G18029" s="3">
        <v>229</v>
      </c>
      <c r="H18029" s="3">
        <v>45</v>
      </c>
      <c r="I18029" s="3">
        <v>143</v>
      </c>
      <c r="J18029" s="3">
        <v>909</v>
      </c>
      <c r="K18029" s="3">
        <v>1292</v>
      </c>
      <c r="L18029" s="3">
        <v>250</v>
      </c>
      <c r="M18029" s="3">
        <v>390</v>
      </c>
    </row>
    <row r="18030" spans="1:13" x14ac:dyDescent="0.25">
      <c r="A18030" s="1" t="str">
        <f>HYPERLINK("http://www.rosaceae.org/Prunus/Prunus_persica/p.persica_gdr_reftransV1_0028060","p.persica_gdr_reftransV1_0028060")</f>
        <v>p.persica_gdr_reftransV1_0028060</v>
      </c>
      <c r="B18030" s="3">
        <v>2873</v>
      </c>
      <c r="C18030" s="1" t="str">
        <f>HYPERLINK("http://www.uniprot.org/uniprot/NIFU4_ARATH","NIFU4_ARATH")</f>
        <v>NIFU4_ARATH</v>
      </c>
      <c r="D18030" t="s">
        <v>10939</v>
      </c>
      <c r="E18030" s="3" t="s">
        <v>3</v>
      </c>
      <c r="F18030" s="4">
        <v>1.07E-78</v>
      </c>
      <c r="G18030" s="3">
        <v>673</v>
      </c>
      <c r="H18030" s="3">
        <v>81</v>
      </c>
      <c r="I18030" s="3">
        <v>153</v>
      </c>
      <c r="J18030" s="3">
        <v>427</v>
      </c>
      <c r="K18030" s="3">
        <v>885</v>
      </c>
      <c r="L18030" s="3">
        <v>129</v>
      </c>
      <c r="M18030" s="3">
        <v>281</v>
      </c>
    </row>
    <row r="18031" spans="1:13" x14ac:dyDescent="0.25">
      <c r="A18031" s="1" t="str">
        <f>HYPERLINK("http://www.rosaceae.org/Prunus/Prunus_persica/p.persica_gdr_reftransV1_0028860","p.persica_gdr_reftransV1_0028860")</f>
        <v>p.persica_gdr_reftransV1_0028860</v>
      </c>
      <c r="B18031" s="3">
        <v>1920</v>
      </c>
      <c r="C18031" s="1" t="str">
        <f>HYPERLINK("http://www.uniprot.org/uniprot/PLDZ_DICDI","PLDZ_DICDI")</f>
        <v>PLDZ_DICDI</v>
      </c>
      <c r="D18031" t="s">
        <v>10940</v>
      </c>
      <c r="E18031" s="3" t="s">
        <v>9</v>
      </c>
      <c r="F18031" s="4">
        <v>2.1200000000000002E-22</v>
      </c>
      <c r="G18031" s="3">
        <v>258</v>
      </c>
      <c r="H18031" s="3">
        <v>30</v>
      </c>
      <c r="I18031" s="3">
        <v>205</v>
      </c>
      <c r="J18031" s="3">
        <v>313</v>
      </c>
      <c r="K18031" s="3">
        <v>927</v>
      </c>
      <c r="L18031" s="3">
        <v>243</v>
      </c>
      <c r="M18031" s="3">
        <v>419</v>
      </c>
    </row>
    <row r="18032" spans="1:13" x14ac:dyDescent="0.25">
      <c r="A18032" s="1" t="str">
        <f>HYPERLINK("http://www.rosaceae.org/Prunus/Prunus_persica/p.persica_gdr_reftransV1_0028960","p.persica_gdr_reftransV1_0028960")</f>
        <v>p.persica_gdr_reftransV1_0028960</v>
      </c>
      <c r="B18032" s="3">
        <v>2595</v>
      </c>
      <c r="C18032" s="1" t="str">
        <f>HYPERLINK("http://www.uniprot.org/uniprot/Cid11_SCHPO","Cid11_SCHPO")</f>
        <v>Cid11_SCHPO</v>
      </c>
      <c r="D18032" t="s">
        <v>10941</v>
      </c>
      <c r="E18032" s="3" t="s">
        <v>464</v>
      </c>
      <c r="F18032" s="4">
        <v>4.8899999999999997E-55</v>
      </c>
      <c r="G18032" s="3">
        <v>514</v>
      </c>
      <c r="H18032" s="3">
        <v>35</v>
      </c>
      <c r="I18032" s="3">
        <v>315</v>
      </c>
      <c r="J18032" s="3">
        <v>1435</v>
      </c>
      <c r="K18032" s="3">
        <v>2361</v>
      </c>
      <c r="L18032" s="3">
        <v>54</v>
      </c>
      <c r="M18032" s="3">
        <v>353</v>
      </c>
    </row>
    <row r="18033" spans="1:13" x14ac:dyDescent="0.25">
      <c r="A18033" s="1" t="str">
        <f>HYPERLINK("http://www.rosaceae.org/Prunus/Prunus_persica/p.persica_gdr_reftransV1_0029010","p.persica_gdr_reftransV1_0029010")</f>
        <v>p.persica_gdr_reftransV1_0029010</v>
      </c>
      <c r="B18033" s="3">
        <v>3120</v>
      </c>
      <c r="C18033" s="1" t="str">
        <f>HYPERLINK("http://www.uniprot.org/uniprot/APBLC_ARATH","APBLC_ARATH")</f>
        <v>APBLC_ARATH</v>
      </c>
      <c r="D18033" t="s">
        <v>10942</v>
      </c>
      <c r="E18033" s="3" t="s">
        <v>3</v>
      </c>
      <c r="F18033" s="4">
        <v>0</v>
      </c>
      <c r="G18033" s="3">
        <v>3758</v>
      </c>
      <c r="H18033" s="3">
        <v>86</v>
      </c>
      <c r="I18033" s="3">
        <v>904</v>
      </c>
      <c r="J18033" s="3">
        <v>331</v>
      </c>
      <c r="K18033" s="3">
        <v>3036</v>
      </c>
      <c r="L18033" s="3">
        <v>1</v>
      </c>
      <c r="M18033" s="3">
        <v>892</v>
      </c>
    </row>
    <row r="18034" spans="1:13" x14ac:dyDescent="0.25">
      <c r="A18034" s="1" t="str">
        <f>HYPERLINK("http://www.rosaceae.org/Prunus/Prunus_persica/p.persica_gdr_reftransV1_0029060","p.persica_gdr_reftransV1_0029060")</f>
        <v>p.persica_gdr_reftransV1_0029060</v>
      </c>
      <c r="B18034" s="3">
        <v>663</v>
      </c>
      <c r="C18034" s="1" t="str">
        <f>HYPERLINK("http://www.uniprot.org/uniprot/FAR1_ARATH","FAR1_ARATH")</f>
        <v>FAR1_ARATH</v>
      </c>
      <c r="D18034" t="s">
        <v>9187</v>
      </c>
      <c r="E18034" s="3" t="s">
        <v>3</v>
      </c>
      <c r="F18034" s="4">
        <v>9.7899999999999997E-32</v>
      </c>
      <c r="G18034" s="3">
        <v>318</v>
      </c>
      <c r="H18034" s="3">
        <v>33</v>
      </c>
      <c r="I18034" s="3">
        <v>220</v>
      </c>
      <c r="J18034" s="3">
        <v>5</v>
      </c>
      <c r="K18034" s="3">
        <v>661</v>
      </c>
      <c r="L18034" s="3">
        <v>310</v>
      </c>
      <c r="M18034" s="3">
        <v>527</v>
      </c>
    </row>
    <row r="18035" spans="1:13" x14ac:dyDescent="0.25">
      <c r="A18035" s="1" t="str">
        <f>HYPERLINK("http://www.rosaceae.org/Prunus/Prunus_persica/p.persica_gdr_reftransV1_0029160","p.persica_gdr_reftransV1_0029160")</f>
        <v>p.persica_gdr_reftransV1_0029160</v>
      </c>
      <c r="B18035" s="3">
        <v>787</v>
      </c>
      <c r="C18035" s="1" t="str">
        <f>HYPERLINK("http://www.uniprot.org/uniprot/KDIS_RAT","KDIS_RAT")</f>
        <v>KDIS_RAT</v>
      </c>
      <c r="D18035" t="s">
        <v>10943</v>
      </c>
      <c r="E18035" s="3" t="s">
        <v>161</v>
      </c>
      <c r="F18035" s="4">
        <v>6.2600000000000002E-7</v>
      </c>
      <c r="G18035" s="3">
        <v>128</v>
      </c>
      <c r="H18035" s="3">
        <v>27</v>
      </c>
      <c r="I18035" s="3">
        <v>338</v>
      </c>
      <c r="J18035" s="3">
        <v>19</v>
      </c>
      <c r="K18035" s="3">
        <v>786</v>
      </c>
      <c r="L18035" s="3">
        <v>53</v>
      </c>
      <c r="M18035" s="3">
        <v>377</v>
      </c>
    </row>
    <row r="18036" spans="1:13" x14ac:dyDescent="0.25">
      <c r="A18036" s="1" t="str">
        <f>HYPERLINK("http://www.rosaceae.org/Prunus/Prunus_persica/p.persica_gdr_reftransV1_0029510","p.persica_gdr_reftransV1_0029510")</f>
        <v>p.persica_gdr_reftransV1_0029510</v>
      </c>
      <c r="B18036" s="3">
        <v>448</v>
      </c>
      <c r="C18036" s="1" t="str">
        <f>HYPERLINK("http://www.uniprot.org/uniprot/PP270_ARATH","PP270_ARATH")</f>
        <v>PP270_ARATH</v>
      </c>
      <c r="D18036" t="s">
        <v>1281</v>
      </c>
      <c r="E18036" s="3" t="s">
        <v>3</v>
      </c>
      <c r="F18036" s="4">
        <v>7.9200000000000007E-55</v>
      </c>
      <c r="G18036" s="3">
        <v>476</v>
      </c>
      <c r="H18036" s="3">
        <v>61</v>
      </c>
      <c r="I18036" s="3">
        <v>149</v>
      </c>
      <c r="J18036" s="3">
        <v>1</v>
      </c>
      <c r="K18036" s="3">
        <v>447</v>
      </c>
      <c r="L18036" s="3">
        <v>199</v>
      </c>
      <c r="M18036" s="3">
        <v>346</v>
      </c>
    </row>
    <row r="18037" spans="1:13" x14ac:dyDescent="0.25">
      <c r="A18037" s="1" t="str">
        <f>HYPERLINK("http://www.rosaceae.org/Prunus/Prunus_persica/p.persica_gdr_reftransV1_0029960","p.persica_gdr_reftransV1_0029960")</f>
        <v>p.persica_gdr_reftransV1_0029960</v>
      </c>
      <c r="B18037" s="3">
        <v>1376</v>
      </c>
      <c r="C18037" s="1" t="str">
        <f>HYPERLINK("http://www.uniprot.org/uniprot/LPPG_ARATH","LPPG_ARATH")</f>
        <v>LPPG_ARATH</v>
      </c>
      <c r="D18037" t="s">
        <v>10944</v>
      </c>
      <c r="E18037" s="3" t="s">
        <v>3</v>
      </c>
      <c r="F18037" s="4">
        <v>6.6699999999999995E-113</v>
      </c>
      <c r="G18037" s="3">
        <v>868</v>
      </c>
      <c r="H18037" s="3">
        <v>75</v>
      </c>
      <c r="I18037" s="3">
        <v>218</v>
      </c>
      <c r="J18037" s="3">
        <v>408</v>
      </c>
      <c r="K18037" s="3">
        <v>1055</v>
      </c>
      <c r="L18037" s="3">
        <v>9</v>
      </c>
      <c r="M18037" s="3">
        <v>226</v>
      </c>
    </row>
    <row r="18038" spans="1:13" x14ac:dyDescent="0.25">
      <c r="A18038" s="1" t="str">
        <f>HYPERLINK("http://www.rosaceae.org/Prunus/Prunus_persica/p.persica_gdr_reftransV1_0030010","p.persica_gdr_reftransV1_0030010")</f>
        <v>p.persica_gdr_reftransV1_0030010</v>
      </c>
      <c r="B18038" s="3">
        <v>1857</v>
      </c>
      <c r="C18038" s="1" t="str">
        <f>HYPERLINK("http://www.uniprot.org/uniprot/Y1341_ORYSJ","Y1341_ORYSJ")</f>
        <v>Y1341_ORYSJ</v>
      </c>
      <c r="D18038" t="s">
        <v>2073</v>
      </c>
      <c r="E18038" s="3" t="s">
        <v>38</v>
      </c>
      <c r="F18038" s="4">
        <v>1.7999999999999999E-81</v>
      </c>
      <c r="G18038" s="3">
        <v>694</v>
      </c>
      <c r="H18038" s="3">
        <v>36</v>
      </c>
      <c r="I18038" s="3">
        <v>447</v>
      </c>
      <c r="J18038" s="3">
        <v>385</v>
      </c>
      <c r="K18038" s="3">
        <v>1665</v>
      </c>
      <c r="L18038" s="3">
        <v>66</v>
      </c>
      <c r="M18038" s="3">
        <v>495</v>
      </c>
    </row>
    <row r="18039" spans="1:13" x14ac:dyDescent="0.25">
      <c r="A18039" s="1" t="str">
        <f>HYPERLINK("http://www.rosaceae.org/Prunus/Prunus_persica/p.persica_gdr_reftransV1_0030310","p.persica_gdr_reftransV1_0030310")</f>
        <v>p.persica_gdr_reftransV1_0030310</v>
      </c>
      <c r="B18039" s="3">
        <v>2111</v>
      </c>
      <c r="C18039" s="1" t="str">
        <f>HYPERLINK("http://www.uniprot.org/uniprot/TF2H2_RAT","TF2H2_RAT")</f>
        <v>TF2H2_RAT</v>
      </c>
      <c r="D18039" t="s">
        <v>10945</v>
      </c>
      <c r="E18039" s="3" t="s">
        <v>161</v>
      </c>
      <c r="F18039" s="4">
        <v>8.8100000000000005E-48</v>
      </c>
      <c r="G18039" s="3">
        <v>451</v>
      </c>
      <c r="H18039" s="3">
        <v>41</v>
      </c>
      <c r="I18039" s="3">
        <v>220</v>
      </c>
      <c r="J18039" s="3">
        <v>1319</v>
      </c>
      <c r="K18039" s="3">
        <v>1972</v>
      </c>
      <c r="L18039" s="3">
        <v>11</v>
      </c>
      <c r="M18039" s="3">
        <v>226</v>
      </c>
    </row>
    <row r="18040" spans="1:13" x14ac:dyDescent="0.25">
      <c r="A18040" s="1" t="str">
        <f>HYPERLINK("http://www.rosaceae.org/Prunus/Prunus_persica/p.persica_gdr_reftransV1_0030360","p.persica_gdr_reftransV1_0030360")</f>
        <v>p.persica_gdr_reftransV1_0030360</v>
      </c>
      <c r="B18040" s="3">
        <v>1112</v>
      </c>
      <c r="C18040" s="1" t="str">
        <f>HYPERLINK("http://www.uniprot.org/uniprot/HHT1_ARATH","HHT1_ARATH")</f>
        <v>HHT1_ARATH</v>
      </c>
      <c r="D18040" t="s">
        <v>1756</v>
      </c>
      <c r="E18040" s="3" t="s">
        <v>3</v>
      </c>
      <c r="F18040" s="4">
        <v>1.13E-160</v>
      </c>
      <c r="G18040" s="3">
        <v>1198</v>
      </c>
      <c r="H18040" s="3">
        <v>74</v>
      </c>
      <c r="I18040" s="3">
        <v>294</v>
      </c>
      <c r="J18040" s="3">
        <v>239</v>
      </c>
      <c r="K18040" s="3">
        <v>1111</v>
      </c>
      <c r="L18040" s="3">
        <v>159</v>
      </c>
      <c r="M18040" s="3">
        <v>452</v>
      </c>
    </row>
    <row r="18041" spans="1:13" x14ac:dyDescent="0.25">
      <c r="A18041" s="1" t="str">
        <f>HYPERLINK("http://www.rosaceae.org/Prunus/Prunus_persica/p.persica_gdr_reftransV1_0030760","p.persica_gdr_reftransV1_0030760")</f>
        <v>p.persica_gdr_reftransV1_0030760</v>
      </c>
      <c r="B18041" s="3">
        <v>1264</v>
      </c>
      <c r="C18041" s="1" t="str">
        <f>HYPERLINK("http://www.uniprot.org/uniprot/SKA1_ARATH","SKA1_ARATH")</f>
        <v>SKA1_ARATH</v>
      </c>
      <c r="D18041" t="s">
        <v>10946</v>
      </c>
      <c r="E18041" s="3" t="s">
        <v>3</v>
      </c>
      <c r="F18041" s="4">
        <v>5.28E-103</v>
      </c>
      <c r="G18041" s="3">
        <v>720</v>
      </c>
      <c r="H18041" s="3">
        <v>68</v>
      </c>
      <c r="I18041" s="3">
        <v>197</v>
      </c>
      <c r="J18041" s="3">
        <v>345</v>
      </c>
      <c r="K18041" s="3">
        <v>926</v>
      </c>
      <c r="L18041" s="3">
        <v>76</v>
      </c>
      <c r="M18041" s="3">
        <v>272</v>
      </c>
    </row>
    <row r="18042" spans="1:13" x14ac:dyDescent="0.25">
      <c r="A18042" s="1" t="str">
        <f>HYPERLINK("http://www.rosaceae.org/Prunus/Prunus_persica/p.persica_gdr_reftransV1_0030960","p.persica_gdr_reftransV1_0030960")</f>
        <v>p.persica_gdr_reftransV1_0030960</v>
      </c>
      <c r="B18042" s="3">
        <v>1775</v>
      </c>
      <c r="C18042" s="1" t="str">
        <f>HYPERLINK("http://www.uniprot.org/uniprot/Y2144_ARATH","Y2144_ARATH")</f>
        <v>Y2144_ARATH</v>
      </c>
      <c r="D18042" t="s">
        <v>7104</v>
      </c>
      <c r="E18042" s="3" t="s">
        <v>3</v>
      </c>
      <c r="F18042" s="4">
        <v>1.15E-42</v>
      </c>
      <c r="G18042" s="3">
        <v>425</v>
      </c>
      <c r="H18042" s="3">
        <v>29</v>
      </c>
      <c r="I18042" s="3">
        <v>470</v>
      </c>
      <c r="J18042" s="3">
        <v>300</v>
      </c>
      <c r="K18042" s="3">
        <v>1652</v>
      </c>
      <c r="L18042" s="3">
        <v>52</v>
      </c>
      <c r="M18042" s="3">
        <v>511</v>
      </c>
    </row>
    <row r="18043" spans="1:13" x14ac:dyDescent="0.25">
      <c r="A18043" s="1" t="str">
        <f>HYPERLINK("http://www.rosaceae.org/Prunus/Prunus_persica/p.persica_gdr_reftransV1_0031260","p.persica_gdr_reftransV1_0031260")</f>
        <v>p.persica_gdr_reftransV1_0031260</v>
      </c>
      <c r="B18043" s="3">
        <v>1601</v>
      </c>
      <c r="C18043" s="1" t="str">
        <f>HYPERLINK("http://www.uniprot.org/uniprot/AB4C_ARATH","AB4C_ARATH")</f>
        <v>AB4C_ARATH</v>
      </c>
      <c r="D18043" t="s">
        <v>10947</v>
      </c>
      <c r="E18043" s="3" t="s">
        <v>3</v>
      </c>
      <c r="F18043" s="4">
        <v>6.23E-160</v>
      </c>
      <c r="G18043" s="3">
        <v>1288</v>
      </c>
      <c r="H18043" s="3">
        <v>85</v>
      </c>
      <c r="I18043" s="3">
        <v>308</v>
      </c>
      <c r="J18043" s="3">
        <v>275</v>
      </c>
      <c r="K18043" s="3">
        <v>1198</v>
      </c>
      <c r="L18043" s="3">
        <v>1209</v>
      </c>
      <c r="M18043" s="3">
        <v>1516</v>
      </c>
    </row>
    <row r="18044" spans="1:13" x14ac:dyDescent="0.25">
      <c r="A18044" s="1" t="str">
        <f>HYPERLINK("http://www.rosaceae.org/Prunus/Prunus_persica/p.persica_gdr_reftransV1_0031560","p.persica_gdr_reftransV1_0031560")</f>
        <v>p.persica_gdr_reftransV1_0031560</v>
      </c>
      <c r="B18044" s="3">
        <v>2560</v>
      </c>
      <c r="C18044" s="1" t="str">
        <f>HYPERLINK("http://www.uniprot.org/uniprot/RPC5_HUMAN","RPC5_HUMAN")</f>
        <v>RPC5_HUMAN</v>
      </c>
      <c r="D18044" t="s">
        <v>10948</v>
      </c>
      <c r="E18044" s="3" t="s">
        <v>28</v>
      </c>
      <c r="F18044" s="4">
        <v>2.1900000000000002E-12</v>
      </c>
      <c r="G18044" s="3">
        <v>143</v>
      </c>
      <c r="H18044" s="3">
        <v>23</v>
      </c>
      <c r="I18044" s="3">
        <v>325</v>
      </c>
      <c r="J18044" s="3">
        <v>913</v>
      </c>
      <c r="K18044" s="3">
        <v>1806</v>
      </c>
      <c r="L18044" s="3">
        <v>114</v>
      </c>
      <c r="M18044" s="3">
        <v>434</v>
      </c>
    </row>
    <row r="18045" spans="1:13" x14ac:dyDescent="0.25">
      <c r="A18045" s="1" t="str">
        <f>HYPERLINK("http://www.rosaceae.org/Prunus/Prunus_persica/p.persica_gdr_reftransV1_0031610","p.persica_gdr_reftransV1_0031610")</f>
        <v>p.persica_gdr_reftransV1_0031610</v>
      </c>
      <c r="B18045" s="3">
        <v>1876</v>
      </c>
      <c r="C18045" s="1" t="str">
        <f>HYPERLINK("http://www.uniprot.org/uniprot/YCP9_SCHPO","YCP9_SCHPO")</f>
        <v>YCP9_SCHPO</v>
      </c>
      <c r="D18045" t="s">
        <v>10949</v>
      </c>
      <c r="E18045" s="3" t="s">
        <v>464</v>
      </c>
      <c r="F18045" s="4">
        <v>4.7700000000000001E-31</v>
      </c>
      <c r="G18045" s="3">
        <v>316</v>
      </c>
      <c r="H18045" s="3">
        <v>33</v>
      </c>
      <c r="I18045" s="3">
        <v>263</v>
      </c>
      <c r="J18045" s="3">
        <v>801</v>
      </c>
      <c r="K18045" s="3">
        <v>1559</v>
      </c>
      <c r="L18045" s="3">
        <v>7</v>
      </c>
      <c r="M18045" s="3">
        <v>253</v>
      </c>
    </row>
    <row r="18046" spans="1:13" x14ac:dyDescent="0.25">
      <c r="A18046" s="1" t="str">
        <f>HYPERLINK("http://www.rosaceae.org/Prunus/Prunus_persica/p.persica_gdr_reftransV1_0031860","p.persica_gdr_reftransV1_0031860")</f>
        <v>p.persica_gdr_reftransV1_0031860</v>
      </c>
      <c r="B18046" s="3">
        <v>4186</v>
      </c>
      <c r="C18046" s="1" t="str">
        <f>HYPERLINK("http://www.uniprot.org/uniprot/SAR1A_ARATH","SAR1A_ARATH")</f>
        <v>SAR1A_ARATH</v>
      </c>
      <c r="D18046" t="s">
        <v>3604</v>
      </c>
      <c r="E18046" s="3" t="s">
        <v>3</v>
      </c>
      <c r="F18046" s="4">
        <v>1.3299999999999999E-42</v>
      </c>
      <c r="G18046" s="3">
        <v>406</v>
      </c>
      <c r="H18046" s="3">
        <v>93</v>
      </c>
      <c r="I18046" s="3">
        <v>94</v>
      </c>
      <c r="J18046" s="3">
        <v>3671</v>
      </c>
      <c r="K18046" s="3">
        <v>3952</v>
      </c>
      <c r="L18046" s="3">
        <v>100</v>
      </c>
      <c r="M18046" s="3">
        <v>193</v>
      </c>
    </row>
    <row r="18047" spans="1:13" x14ac:dyDescent="0.25">
      <c r="A18047" s="1" t="str">
        <f>HYPERLINK("http://www.rosaceae.org/Prunus/Prunus_persica/p.persica_gdr_reftransV1_0032060","p.persica_gdr_reftransV1_0032060")</f>
        <v>p.persica_gdr_reftransV1_0032060</v>
      </c>
      <c r="B18047" s="3">
        <v>1634</v>
      </c>
      <c r="C18047" s="1" t="str">
        <f>HYPERLINK("http://www.uniprot.org/uniprot/ARC1A_ARATH","ARC1A_ARATH")</f>
        <v>ARC1A_ARATH</v>
      </c>
      <c r="D18047" t="s">
        <v>10950</v>
      </c>
      <c r="E18047" s="3" t="s">
        <v>3</v>
      </c>
      <c r="F18047" s="4">
        <v>0</v>
      </c>
      <c r="G18047" s="3">
        <v>1539</v>
      </c>
      <c r="H18047" s="3">
        <v>77</v>
      </c>
      <c r="I18047" s="3">
        <v>373</v>
      </c>
      <c r="J18047" s="3">
        <v>312</v>
      </c>
      <c r="K18047" s="3">
        <v>1427</v>
      </c>
      <c r="L18047" s="3">
        <v>1</v>
      </c>
      <c r="M18047" s="3">
        <v>371</v>
      </c>
    </row>
    <row r="18048" spans="1:13" x14ac:dyDescent="0.25">
      <c r="A18048" s="1" t="str">
        <f>HYPERLINK("http://www.rosaceae.org/Prunus/Prunus_persica/p.persica_gdr_reftransV1_0032110","p.persica_gdr_reftransV1_0032110")</f>
        <v>p.persica_gdr_reftransV1_0032110</v>
      </c>
      <c r="B18048" s="3">
        <v>2682</v>
      </c>
      <c r="C18048" s="1" t="str">
        <f>HYPERLINK("http://www.uniprot.org/uniprot/Y1719_ARATH","Y1719_ARATH")</f>
        <v>Y1719_ARATH</v>
      </c>
      <c r="D18048" t="s">
        <v>8708</v>
      </c>
      <c r="E18048" s="3" t="s">
        <v>3</v>
      </c>
      <c r="F18048" s="4">
        <v>0</v>
      </c>
      <c r="G18048" s="3">
        <v>1783</v>
      </c>
      <c r="H18048" s="3">
        <v>64</v>
      </c>
      <c r="I18048" s="3">
        <v>578</v>
      </c>
      <c r="J18048" s="3">
        <v>504</v>
      </c>
      <c r="K18048" s="3">
        <v>2213</v>
      </c>
      <c r="L18048" s="3">
        <v>24</v>
      </c>
      <c r="M18048" s="3">
        <v>600</v>
      </c>
    </row>
    <row r="18049" spans="1:13" x14ac:dyDescent="0.25">
      <c r="A18049" s="1" t="str">
        <f>HYPERLINK("http://www.rosaceae.org/Prunus/Prunus_persica/p.persica_gdr_reftransV1_0032310","p.persica_gdr_reftransV1_0032310")</f>
        <v>p.persica_gdr_reftransV1_0032310</v>
      </c>
      <c r="B18049" s="3">
        <v>2498</v>
      </c>
      <c r="C18049" s="1" t="str">
        <f>HYPERLINK("http://www.uniprot.org/uniprot/MSI4_ARATH","MSI4_ARATH")</f>
        <v>MSI4_ARATH</v>
      </c>
      <c r="D18049" t="s">
        <v>5591</v>
      </c>
      <c r="E18049" s="3" t="s">
        <v>3</v>
      </c>
      <c r="F18049" s="4">
        <v>9.8099999999999992E-162</v>
      </c>
      <c r="G18049" s="3">
        <v>1254</v>
      </c>
      <c r="H18049" s="3">
        <v>84</v>
      </c>
      <c r="I18049" s="3">
        <v>279</v>
      </c>
      <c r="J18049" s="3">
        <v>1301</v>
      </c>
      <c r="K18049" s="3">
        <v>2137</v>
      </c>
      <c r="L18049" s="3">
        <v>64</v>
      </c>
      <c r="M18049" s="3">
        <v>332</v>
      </c>
    </row>
    <row r="18050" spans="1:13" x14ac:dyDescent="0.25">
      <c r="A18050" s="1" t="str">
        <f>HYPERLINK("http://www.rosaceae.org/Prunus/Prunus_persica/p.persica_gdr_reftransV1_0032410","p.persica_gdr_reftransV1_0032410")</f>
        <v>p.persica_gdr_reftransV1_0032410</v>
      </c>
      <c r="B18050" s="3">
        <v>2110</v>
      </c>
      <c r="C18050" s="1" t="str">
        <f>HYPERLINK("http://www.uniprot.org/uniprot/TLP8_ORYSJ","TLP8_ORYSJ")</f>
        <v>TLP8_ORYSJ</v>
      </c>
      <c r="D18050" t="s">
        <v>10951</v>
      </c>
      <c r="E18050" s="3" t="s">
        <v>38</v>
      </c>
      <c r="F18050" s="4">
        <v>0</v>
      </c>
      <c r="G18050" s="3">
        <v>1633</v>
      </c>
      <c r="H18050" s="3">
        <v>74</v>
      </c>
      <c r="I18050" s="3">
        <v>445</v>
      </c>
      <c r="J18050" s="3">
        <v>493</v>
      </c>
      <c r="K18050" s="3">
        <v>1764</v>
      </c>
      <c r="L18050" s="3">
        <v>1</v>
      </c>
      <c r="M18050" s="3">
        <v>445</v>
      </c>
    </row>
    <row r="18051" spans="1:13" x14ac:dyDescent="0.25">
      <c r="A18051" s="1" t="str">
        <f>HYPERLINK("http://www.rosaceae.org/Prunus/Prunus_persica/p.persica_gdr_reftransV1_0032710","p.persica_gdr_reftransV1_0032710")</f>
        <v>p.persica_gdr_reftransV1_0032710</v>
      </c>
      <c r="B18051" s="3">
        <v>3736</v>
      </c>
      <c r="C18051" s="1" t="str">
        <f>HYPERLINK("http://www.uniprot.org/uniprot/ALKB6_MOUSE","ALKB6_MOUSE")</f>
        <v>ALKB6_MOUSE</v>
      </c>
      <c r="D18051" t="s">
        <v>10952</v>
      </c>
      <c r="E18051" s="3" t="s">
        <v>157</v>
      </c>
      <c r="F18051" s="4">
        <v>1.25E-11</v>
      </c>
      <c r="G18051" s="3">
        <v>170</v>
      </c>
      <c r="H18051" s="3">
        <v>43</v>
      </c>
      <c r="I18051" s="3">
        <v>67</v>
      </c>
      <c r="J18051" s="3">
        <v>420</v>
      </c>
      <c r="K18051" s="3">
        <v>617</v>
      </c>
      <c r="L18051" s="3">
        <v>7</v>
      </c>
      <c r="M18051" s="3">
        <v>73</v>
      </c>
    </row>
    <row r="18052" spans="1:13" x14ac:dyDescent="0.25">
      <c r="A18052" s="1" t="str">
        <f>HYPERLINK("http://www.rosaceae.org/Prunus/Prunus_persica/p.persica_gdr_reftransV1_0032810","p.persica_gdr_reftransV1_0032810")</f>
        <v>p.persica_gdr_reftransV1_0032810</v>
      </c>
      <c r="B18052" s="3">
        <v>2179</v>
      </c>
      <c r="C18052" s="1" t="str">
        <f>HYPERLINK("http://www.uniprot.org/uniprot/SPD1_PEA","SPD1_PEA")</f>
        <v>SPD1_PEA</v>
      </c>
      <c r="D18052" t="s">
        <v>10953</v>
      </c>
      <c r="E18052" s="3" t="s">
        <v>60</v>
      </c>
      <c r="F18052" s="4">
        <v>5.3400000000000001E-143</v>
      </c>
      <c r="G18052" s="3">
        <v>1103</v>
      </c>
      <c r="H18052" s="3">
        <v>82</v>
      </c>
      <c r="I18052" s="3">
        <v>274</v>
      </c>
      <c r="J18052" s="3">
        <v>1191</v>
      </c>
      <c r="K18052" s="3">
        <v>2012</v>
      </c>
      <c r="L18052" s="3">
        <v>3</v>
      </c>
      <c r="M18052" s="3">
        <v>270</v>
      </c>
    </row>
    <row r="18053" spans="1:13" x14ac:dyDescent="0.25">
      <c r="A18053" s="1" t="str">
        <f>HYPERLINK("http://www.rosaceae.org/Prunus/Prunus_persica/p.persica_gdr_reftransV1_0033060","p.persica_gdr_reftransV1_0033060")</f>
        <v>p.persica_gdr_reftransV1_0033060</v>
      </c>
      <c r="B18053" s="3">
        <v>2004</v>
      </c>
      <c r="C18053" s="1" t="str">
        <f>HYPERLINK("http://www.uniprot.org/uniprot/RGLG1_ARATH","RGLG1_ARATH")</f>
        <v>RGLG1_ARATH</v>
      </c>
      <c r="D18053" t="s">
        <v>9069</v>
      </c>
      <c r="E18053" s="3" t="s">
        <v>3</v>
      </c>
      <c r="F18053" s="4">
        <v>0</v>
      </c>
      <c r="G18053" s="3">
        <v>1483</v>
      </c>
      <c r="H18053" s="3">
        <v>70</v>
      </c>
      <c r="I18053" s="3">
        <v>400</v>
      </c>
      <c r="J18053" s="3">
        <v>334</v>
      </c>
      <c r="K18053" s="3">
        <v>1533</v>
      </c>
      <c r="L18053" s="3">
        <v>108</v>
      </c>
      <c r="M18053" s="3">
        <v>489</v>
      </c>
    </row>
    <row r="18054" spans="1:13" x14ac:dyDescent="0.25">
      <c r="A18054" s="1" t="str">
        <f>HYPERLINK("http://www.rosaceae.org/Prunus/Prunus_persica/p.persica_gdr_reftransV1_0033110","p.persica_gdr_reftransV1_0033110")</f>
        <v>p.persica_gdr_reftransV1_0033110</v>
      </c>
      <c r="B18054" s="3">
        <v>2546</v>
      </c>
      <c r="C18054" s="1" t="str">
        <f>HYPERLINK("http://www.uniprot.org/uniprot/CHIP_ARATH","CHIP_ARATH")</f>
        <v>CHIP_ARATH</v>
      </c>
      <c r="D18054" t="s">
        <v>9060</v>
      </c>
      <c r="E18054" s="3" t="s">
        <v>3</v>
      </c>
      <c r="F18054" s="4">
        <v>6.3300000000000004E-32</v>
      </c>
      <c r="G18054" s="3">
        <v>328</v>
      </c>
      <c r="H18054" s="3">
        <v>44</v>
      </c>
      <c r="I18054" s="3">
        <v>182</v>
      </c>
      <c r="J18054" s="3">
        <v>584</v>
      </c>
      <c r="K18054" s="3">
        <v>1123</v>
      </c>
      <c r="L18054" s="3">
        <v>79</v>
      </c>
      <c r="M18054" s="3">
        <v>213</v>
      </c>
    </row>
    <row r="18055" spans="1:13" x14ac:dyDescent="0.25">
      <c r="A18055" s="1" t="str">
        <f>HYPERLINK("http://www.rosaceae.org/Prunus/Prunus_persica/p.persica_gdr_reftransV1_0033210","p.persica_gdr_reftransV1_0033210")</f>
        <v>p.persica_gdr_reftransV1_0033210</v>
      </c>
      <c r="B18055" s="3">
        <v>4269</v>
      </c>
      <c r="C18055" s="1" t="str">
        <f>HYPERLINK("http://www.uniprot.org/uniprot/KCA2_ARATH","KCA2_ARATH")</f>
        <v>KCA2_ARATH</v>
      </c>
      <c r="D18055" t="s">
        <v>10954</v>
      </c>
      <c r="E18055" s="3" t="s">
        <v>3</v>
      </c>
      <c r="F18055" s="4">
        <v>0</v>
      </c>
      <c r="G18055" s="3">
        <v>4600</v>
      </c>
      <c r="H18055" s="3">
        <v>73</v>
      </c>
      <c r="I18055" s="3">
        <v>1290</v>
      </c>
      <c r="J18055" s="3">
        <v>239</v>
      </c>
      <c r="K18055" s="3">
        <v>4105</v>
      </c>
      <c r="L18055" s="3">
        <v>1</v>
      </c>
      <c r="M18055" s="3">
        <v>1263</v>
      </c>
    </row>
    <row r="18056" spans="1:13" x14ac:dyDescent="0.25">
      <c r="A18056" s="1" t="str">
        <f>HYPERLINK("http://www.rosaceae.org/Prunus/Prunus_persica/p.persica_gdr_reftransV1_0033410","p.persica_gdr_reftransV1_0033410")</f>
        <v>p.persica_gdr_reftransV1_0033410</v>
      </c>
      <c r="B18056" s="3">
        <v>1377</v>
      </c>
      <c r="C18056" s="1" t="str">
        <f>HYPERLINK("http://www.uniprot.org/uniprot/T184C_BOVIN","T184C_BOVIN")</f>
        <v>T184C_BOVIN</v>
      </c>
      <c r="D18056" t="s">
        <v>10955</v>
      </c>
      <c r="E18056" s="3" t="s">
        <v>184</v>
      </c>
      <c r="F18056" s="4">
        <v>3.0900000000000002E-31</v>
      </c>
      <c r="G18056" s="3">
        <v>321</v>
      </c>
      <c r="H18056" s="3">
        <v>33</v>
      </c>
      <c r="I18056" s="3">
        <v>275</v>
      </c>
      <c r="J18056" s="3">
        <v>280</v>
      </c>
      <c r="K18056" s="3">
        <v>1080</v>
      </c>
      <c r="L18056" s="3">
        <v>56</v>
      </c>
      <c r="M18056" s="3">
        <v>323</v>
      </c>
    </row>
    <row r="18057" spans="1:13" x14ac:dyDescent="0.25">
      <c r="A18057" s="1" t="str">
        <f>HYPERLINK("http://www.rosaceae.org/Prunus/Prunus_persica/p.persica_gdr_reftransV1_0033560","p.persica_gdr_reftransV1_0033560")</f>
        <v>p.persica_gdr_reftransV1_0033560</v>
      </c>
      <c r="B18057" s="3">
        <v>2446</v>
      </c>
      <c r="C18057" s="1" t="str">
        <f>HYPERLINK("http://www.uniprot.org/uniprot/RIBR_MAIZE","RIBR_MAIZE")</f>
        <v>RIBR_MAIZE</v>
      </c>
      <c r="D18057" t="s">
        <v>10956</v>
      </c>
      <c r="E18057" s="3" t="s">
        <v>72</v>
      </c>
      <c r="F18057" s="4">
        <v>0</v>
      </c>
      <c r="G18057" s="3">
        <v>1419</v>
      </c>
      <c r="H18057" s="3">
        <v>75</v>
      </c>
      <c r="I18057" s="3">
        <v>343</v>
      </c>
      <c r="J18057" s="3">
        <v>282</v>
      </c>
      <c r="K18057" s="3">
        <v>1310</v>
      </c>
      <c r="L18057" s="3">
        <v>269</v>
      </c>
      <c r="M18057" s="3">
        <v>611</v>
      </c>
    </row>
    <row r="18058" spans="1:13" x14ac:dyDescent="0.25">
      <c r="A18058" s="1" t="str">
        <f>HYPERLINK("http://www.rosaceae.org/Prunus/Prunus_persica/p.persica_gdr_reftransV1_0033660","p.persica_gdr_reftransV1_0033660")</f>
        <v>p.persica_gdr_reftransV1_0033660</v>
      </c>
      <c r="B18058" s="3">
        <v>1486</v>
      </c>
      <c r="C18058" s="1" t="str">
        <f>HYPERLINK("http://www.uniprot.org/uniprot/HPPR_PLESU","HPPR_PLESU")</f>
        <v>HPPR_PLESU</v>
      </c>
      <c r="D18058" t="s">
        <v>1556</v>
      </c>
      <c r="E18058" s="3" t="s">
        <v>1557</v>
      </c>
      <c r="F18058" s="4">
        <v>2.1599999999999999E-64</v>
      </c>
      <c r="G18058" s="3">
        <v>553</v>
      </c>
      <c r="H18058" s="3">
        <v>82</v>
      </c>
      <c r="I18058" s="3">
        <v>146</v>
      </c>
      <c r="J18058" s="3">
        <v>1045</v>
      </c>
      <c r="K18058" s="3">
        <v>1482</v>
      </c>
      <c r="L18058" s="3">
        <v>168</v>
      </c>
      <c r="M18058" s="3">
        <v>313</v>
      </c>
    </row>
    <row r="18059" spans="1:13" x14ac:dyDescent="0.25">
      <c r="A18059" s="1" t="str">
        <f>HYPERLINK("http://www.rosaceae.org/Prunus/Prunus_persica/p.persica_gdr_reftransV1_0033760","p.persica_gdr_reftransV1_0033760")</f>
        <v>p.persica_gdr_reftransV1_0033760</v>
      </c>
      <c r="B18059" s="3">
        <v>1382</v>
      </c>
      <c r="C18059" s="1" t="str">
        <f>HYPERLINK("http://www.uniprot.org/uniprot/NILP2_ARATH","NILP2_ARATH")</f>
        <v>NILP2_ARATH</v>
      </c>
      <c r="D18059" t="s">
        <v>10957</v>
      </c>
      <c r="E18059" s="3" t="s">
        <v>3</v>
      </c>
      <c r="F18059" s="4">
        <v>2.7899999999999999E-155</v>
      </c>
      <c r="G18059" s="3">
        <v>1157</v>
      </c>
      <c r="H18059" s="3">
        <v>75</v>
      </c>
      <c r="I18059" s="3">
        <v>278</v>
      </c>
      <c r="J18059" s="3">
        <v>349</v>
      </c>
      <c r="K18059" s="3">
        <v>1182</v>
      </c>
      <c r="L18059" s="3">
        <v>35</v>
      </c>
      <c r="M18059" s="3">
        <v>307</v>
      </c>
    </row>
    <row r="18060" spans="1:13" x14ac:dyDescent="0.25">
      <c r="A18060" s="1" t="str">
        <f>HYPERLINK("http://www.rosaceae.org/Prunus/Prunus_persica/p.persica_gdr_reftransV1_0033860","p.persica_gdr_reftransV1_0033860")</f>
        <v>p.persica_gdr_reftransV1_0033860</v>
      </c>
      <c r="B18060" s="3">
        <v>2840</v>
      </c>
      <c r="C18060" s="1" t="str">
        <f>HYPERLINK("http://www.uniprot.org/uniprot/YLPM1_RAT","YLPM1_RAT")</f>
        <v>YLPM1_RAT</v>
      </c>
      <c r="D18060" t="s">
        <v>10152</v>
      </c>
      <c r="E18060" s="3" t="s">
        <v>161</v>
      </c>
      <c r="F18060" s="4">
        <v>5.5899999999999997E-49</v>
      </c>
      <c r="G18060" s="3">
        <v>490</v>
      </c>
      <c r="H18060" s="3">
        <v>48</v>
      </c>
      <c r="I18060" s="3">
        <v>231</v>
      </c>
      <c r="J18060" s="3">
        <v>793</v>
      </c>
      <c r="K18060" s="3">
        <v>1485</v>
      </c>
      <c r="L18060" s="3">
        <v>1036</v>
      </c>
      <c r="M18060" s="3">
        <v>1249</v>
      </c>
    </row>
    <row r="18061" spans="1:13" x14ac:dyDescent="0.25">
      <c r="A18061" s="1" t="str">
        <f>HYPERLINK("http://www.rosaceae.org/Prunus/Prunus_persica/p.persica_gdr_reftransV1_0034160","p.persica_gdr_reftransV1_0034160")</f>
        <v>p.persica_gdr_reftransV1_0034160</v>
      </c>
      <c r="B18061" s="3">
        <v>3534</v>
      </c>
      <c r="C18061" s="1" t="str">
        <f>HYPERLINK("http://www.uniprot.org/uniprot/AB7G_ARATH","AB7G_ARATH")</f>
        <v>AB7G_ARATH</v>
      </c>
      <c r="D18061" t="s">
        <v>3072</v>
      </c>
      <c r="E18061" s="3" t="s">
        <v>3</v>
      </c>
      <c r="F18061" s="4">
        <v>0</v>
      </c>
      <c r="G18061" s="3">
        <v>1688</v>
      </c>
      <c r="H18061" s="3">
        <v>83</v>
      </c>
      <c r="I18061" s="3">
        <v>383</v>
      </c>
      <c r="J18061" s="3">
        <v>285</v>
      </c>
      <c r="K18061" s="3">
        <v>1433</v>
      </c>
      <c r="L18061" s="3">
        <v>67</v>
      </c>
      <c r="M18061" s="3">
        <v>449</v>
      </c>
    </row>
    <row r="18062" spans="1:13" x14ac:dyDescent="0.25">
      <c r="A18062" s="1" t="str">
        <f>HYPERLINK("http://www.rosaceae.org/Prunus/Prunus_persica/p.persica_gdr_reftransV1_0034610","p.persica_gdr_reftransV1_0034610")</f>
        <v>p.persica_gdr_reftransV1_0034610</v>
      </c>
      <c r="B18062" s="3">
        <v>862</v>
      </c>
      <c r="C18062" s="1" t="str">
        <f>HYPERLINK("http://www.uniprot.org/uniprot/THIK2_ARATH","THIK2_ARATH")</f>
        <v>THIK2_ARATH</v>
      </c>
      <c r="D18062" t="s">
        <v>2179</v>
      </c>
      <c r="E18062" s="3" t="s">
        <v>3</v>
      </c>
      <c r="F18062" s="4">
        <v>6.3199999999999996E-78</v>
      </c>
      <c r="G18062" s="3">
        <v>639</v>
      </c>
      <c r="H18062" s="3">
        <v>76</v>
      </c>
      <c r="I18062" s="3">
        <v>164</v>
      </c>
      <c r="J18062" s="3">
        <v>369</v>
      </c>
      <c r="K18062" s="3">
        <v>860</v>
      </c>
      <c r="L18062" s="3">
        <v>1</v>
      </c>
      <c r="M18062" s="3">
        <v>159</v>
      </c>
    </row>
    <row r="18063" spans="1:13" x14ac:dyDescent="0.25">
      <c r="A18063" s="1" t="str">
        <f>HYPERLINK("http://www.rosaceae.org/Prunus/Prunus_persica/p.persica_gdr_reftransV1_0034710","p.persica_gdr_reftransV1_0034710")</f>
        <v>p.persica_gdr_reftransV1_0034710</v>
      </c>
      <c r="B18063" s="3">
        <v>1422</v>
      </c>
      <c r="C18063" s="1" t="str">
        <f>HYPERLINK("http://www.uniprot.org/uniprot/FIP2_ARATH","FIP2_ARATH")</f>
        <v>FIP2_ARATH</v>
      </c>
      <c r="D18063" t="s">
        <v>10958</v>
      </c>
      <c r="E18063" s="3" t="s">
        <v>3</v>
      </c>
      <c r="F18063" s="4">
        <v>2.9100000000000002E-137</v>
      </c>
      <c r="G18063" s="3">
        <v>1038</v>
      </c>
      <c r="H18063" s="3">
        <v>77</v>
      </c>
      <c r="I18063" s="3">
        <v>301</v>
      </c>
      <c r="J18063" s="3">
        <v>324</v>
      </c>
      <c r="K18063" s="3">
        <v>1226</v>
      </c>
      <c r="L18063" s="3">
        <v>1</v>
      </c>
      <c r="M18063" s="3">
        <v>298</v>
      </c>
    </row>
    <row r="18064" spans="1:13" x14ac:dyDescent="0.25">
      <c r="A18064" s="1" t="str">
        <f>HYPERLINK("http://www.rosaceae.org/Prunus/Prunus_persica/p.persica_gdr_reftransV1_0035060","p.persica_gdr_reftransV1_0035060")</f>
        <v>p.persica_gdr_reftransV1_0035060</v>
      </c>
      <c r="B18064" s="3">
        <v>2802</v>
      </c>
      <c r="C18064" s="1" t="str">
        <f>HYPERLINK("http://www.uniprot.org/uniprot/WNK1_ARATH","WNK1_ARATH")</f>
        <v>WNK1_ARATH</v>
      </c>
      <c r="D18064" t="s">
        <v>8714</v>
      </c>
      <c r="E18064" s="3" t="s">
        <v>3</v>
      </c>
      <c r="F18064" s="4">
        <v>0</v>
      </c>
      <c r="G18064" s="3">
        <v>1826</v>
      </c>
      <c r="H18064" s="3">
        <v>52</v>
      </c>
      <c r="I18064" s="3">
        <v>817</v>
      </c>
      <c r="J18064" s="3">
        <v>406</v>
      </c>
      <c r="K18064" s="3">
        <v>2700</v>
      </c>
      <c r="L18064" s="3">
        <v>1</v>
      </c>
      <c r="M18064" s="3">
        <v>699</v>
      </c>
    </row>
    <row r="18065" spans="1:13" x14ac:dyDescent="0.25">
      <c r="A18065" s="1" t="str">
        <f>HYPERLINK("http://www.rosaceae.org/Prunus/Prunus_persica/p.persica_gdr_reftransV1_0035110","p.persica_gdr_reftransV1_0035110")</f>
        <v>p.persica_gdr_reftransV1_0035110</v>
      </c>
      <c r="B18065" s="3">
        <v>1491</v>
      </c>
      <c r="C18065" s="1" t="str">
        <f>HYPERLINK("http://www.uniprot.org/uniprot/APRL5_ARATH","APRL5_ARATH")</f>
        <v>APRL5_ARATH</v>
      </c>
      <c r="D18065" t="s">
        <v>10959</v>
      </c>
      <c r="E18065" s="3" t="s">
        <v>3</v>
      </c>
      <c r="F18065" s="4">
        <v>2.82E-46</v>
      </c>
      <c r="G18065" s="3">
        <v>426</v>
      </c>
      <c r="H18065" s="3">
        <v>59</v>
      </c>
      <c r="I18065" s="3">
        <v>130</v>
      </c>
      <c r="J18065" s="3">
        <v>380</v>
      </c>
      <c r="K18065" s="3">
        <v>769</v>
      </c>
      <c r="L18065" s="3">
        <v>32</v>
      </c>
      <c r="M18065" s="3">
        <v>161</v>
      </c>
    </row>
    <row r="18066" spans="1:13" x14ac:dyDescent="0.25">
      <c r="A18066" s="1" t="str">
        <f>HYPERLINK("http://www.rosaceae.org/Prunus/Prunus_persica/p.persica_gdr_reftransV1_0035160","p.persica_gdr_reftransV1_0035160")</f>
        <v>p.persica_gdr_reftransV1_0035160</v>
      </c>
      <c r="B18066" s="3">
        <v>3798</v>
      </c>
      <c r="C18066" s="1" t="str">
        <f>HYPERLINK("http://www.uniprot.org/uniprot/NHLC2_BOVIN","NHLC2_BOVIN")</f>
        <v>NHLC2_BOVIN</v>
      </c>
      <c r="D18066" t="s">
        <v>10960</v>
      </c>
      <c r="E18066" s="3" t="s">
        <v>184</v>
      </c>
      <c r="F18066" s="4">
        <v>5.0000000000000004E-131</v>
      </c>
      <c r="G18066" s="3">
        <v>1095</v>
      </c>
      <c r="H18066" s="3">
        <v>40</v>
      </c>
      <c r="I18066" s="3">
        <v>660</v>
      </c>
      <c r="J18066" s="3">
        <v>1638</v>
      </c>
      <c r="K18066" s="3">
        <v>3509</v>
      </c>
      <c r="L18066" s="3">
        <v>53</v>
      </c>
      <c r="M18066" s="3">
        <v>703</v>
      </c>
    </row>
    <row r="18067" spans="1:13" x14ac:dyDescent="0.25">
      <c r="A18067" s="1" t="str">
        <f>HYPERLINK("http://www.rosaceae.org/Prunus/Prunus_persica/p.persica_gdr_reftransV1_0035360","p.persica_gdr_reftransV1_0035360")</f>
        <v>p.persica_gdr_reftransV1_0035360</v>
      </c>
      <c r="B18067" s="3">
        <v>2323</v>
      </c>
      <c r="C18067" s="1" t="str">
        <f>HYPERLINK("http://www.uniprot.org/uniprot/DERL1_ARATH","DERL1_ARATH")</f>
        <v>DERL1_ARATH</v>
      </c>
      <c r="D18067" t="s">
        <v>10961</v>
      </c>
      <c r="E18067" s="3" t="s">
        <v>3</v>
      </c>
      <c r="F18067" s="4">
        <v>2.5000000000000001E-60</v>
      </c>
      <c r="G18067" s="3">
        <v>534</v>
      </c>
      <c r="H18067" s="3">
        <v>64</v>
      </c>
      <c r="I18067" s="3">
        <v>171</v>
      </c>
      <c r="J18067" s="3">
        <v>331</v>
      </c>
      <c r="K18067" s="3">
        <v>771</v>
      </c>
      <c r="L18067" s="3">
        <v>99</v>
      </c>
      <c r="M18067" s="3">
        <v>265</v>
      </c>
    </row>
    <row r="18068" spans="1:13" x14ac:dyDescent="0.25">
      <c r="A18068" s="1" t="str">
        <f>HYPERLINK("http://www.rosaceae.org/Prunus/Prunus_persica/p.persica_gdr_reftransV1_0035610","p.persica_gdr_reftransV1_0035610")</f>
        <v>p.persica_gdr_reftransV1_0035610</v>
      </c>
      <c r="B18068" s="3">
        <v>1461</v>
      </c>
      <c r="C18068" s="1" t="str">
        <f>HYPERLINK("http://www.uniprot.org/uniprot/TOM20_SOLTU","TOM20_SOLTU")</f>
        <v>TOM20_SOLTU</v>
      </c>
      <c r="D18068" t="s">
        <v>10</v>
      </c>
      <c r="E18068" s="3" t="s">
        <v>11</v>
      </c>
      <c r="F18068" s="4">
        <v>1.7799999999999999E-57</v>
      </c>
      <c r="G18068" s="3">
        <v>496</v>
      </c>
      <c r="H18068" s="3">
        <v>68</v>
      </c>
      <c r="I18068" s="3">
        <v>132</v>
      </c>
      <c r="J18068" s="3">
        <v>195</v>
      </c>
      <c r="K18068" s="3">
        <v>590</v>
      </c>
      <c r="L18068" s="3">
        <v>1</v>
      </c>
      <c r="M18068" s="3">
        <v>131</v>
      </c>
    </row>
    <row r="18069" spans="1:13" x14ac:dyDescent="0.25">
      <c r="A18069" s="1" t="str">
        <f>HYPERLINK("http://www.rosaceae.org/Prunus/Prunus_persica/p.persica_gdr_reftransV1_0035710","p.persica_gdr_reftransV1_0035710")</f>
        <v>p.persica_gdr_reftransV1_0035710</v>
      </c>
      <c r="B18069" s="3">
        <v>1852</v>
      </c>
      <c r="C18069" s="1" t="str">
        <f>HYPERLINK("http://www.uniprot.org/uniprot/PS10B_ARATH","PS10B_ARATH")</f>
        <v>PS10B_ARATH</v>
      </c>
      <c r="D18069" t="s">
        <v>10962</v>
      </c>
      <c r="E18069" s="3" t="s">
        <v>3</v>
      </c>
      <c r="F18069" s="4">
        <v>0</v>
      </c>
      <c r="G18069" s="3">
        <v>1962</v>
      </c>
      <c r="H18069" s="3">
        <v>94</v>
      </c>
      <c r="I18069" s="3">
        <v>394</v>
      </c>
      <c r="J18069" s="3">
        <v>163</v>
      </c>
      <c r="K18069" s="3">
        <v>1341</v>
      </c>
      <c r="L18069" s="3">
        <v>6</v>
      </c>
      <c r="M18069" s="3">
        <v>399</v>
      </c>
    </row>
    <row r="18070" spans="1:13" x14ac:dyDescent="0.25">
      <c r="A18070" s="1" t="str">
        <f>HYPERLINK("http://www.rosaceae.org/Prunus/Prunus_persica/p.persica_gdr_reftransV1_0036160","p.persica_gdr_reftransV1_0036160")</f>
        <v>p.persica_gdr_reftransV1_0036160</v>
      </c>
      <c r="B18070" s="3">
        <v>2512</v>
      </c>
      <c r="C18070" s="1" t="str">
        <f>HYPERLINK("http://www.uniprot.org/uniprot/LIP_THELA","LIP_THELA")</f>
        <v>LIP_THELA</v>
      </c>
      <c r="D18070" t="s">
        <v>6466</v>
      </c>
      <c r="E18070" s="3" t="s">
        <v>6467</v>
      </c>
      <c r="F18070" s="4">
        <v>1.26E-10</v>
      </c>
      <c r="G18070" s="3">
        <v>162</v>
      </c>
      <c r="H18070" s="3">
        <v>33</v>
      </c>
      <c r="I18070" s="3">
        <v>109</v>
      </c>
      <c r="J18070" s="3">
        <v>719</v>
      </c>
      <c r="K18070" s="3">
        <v>1045</v>
      </c>
      <c r="L18070" s="3">
        <v>140</v>
      </c>
      <c r="M18070" s="3">
        <v>237</v>
      </c>
    </row>
    <row r="18071" spans="1:13" x14ac:dyDescent="0.25">
      <c r="A18071" s="1" t="str">
        <f>HYPERLINK("http://www.rosaceae.org/Prunus/Prunus_persica/p.persica_gdr_reftransV1_0036210","p.persica_gdr_reftransV1_0036210")</f>
        <v>p.persica_gdr_reftransV1_0036210</v>
      </c>
      <c r="B18071" s="3">
        <v>2690</v>
      </c>
      <c r="C18071" s="1" t="str">
        <f>HYPERLINK("http://www.uniprot.org/uniprot/Y5410_ARATH","Y5410_ARATH")</f>
        <v>Y5410_ARATH</v>
      </c>
      <c r="D18071" t="s">
        <v>10963</v>
      </c>
      <c r="E18071" s="3" t="s">
        <v>3</v>
      </c>
      <c r="F18071" s="4">
        <v>1.26E-153</v>
      </c>
      <c r="G18071" s="3">
        <v>841</v>
      </c>
      <c r="H18071" s="3">
        <v>51</v>
      </c>
      <c r="I18071" s="3">
        <v>381</v>
      </c>
      <c r="J18071" s="3">
        <v>1236</v>
      </c>
      <c r="K18071" s="3">
        <v>2315</v>
      </c>
      <c r="L18071" s="3">
        <v>238</v>
      </c>
      <c r="M18071" s="3">
        <v>613</v>
      </c>
    </row>
    <row r="18072" spans="1:13" x14ac:dyDescent="0.25">
      <c r="A18072" s="1" t="str">
        <f>HYPERLINK("http://www.rosaceae.org/Prunus/Prunus_persica/p.persica_gdr_reftransV1_0036310","p.persica_gdr_reftransV1_0036310")</f>
        <v>p.persica_gdr_reftransV1_0036310</v>
      </c>
      <c r="B18072" s="3">
        <v>1743</v>
      </c>
      <c r="C18072" s="1" t="str">
        <f>HYPERLINK("http://www.uniprot.org/uniprot/NFYAA_ARATH","NFYAA_ARATH")</f>
        <v>NFYAA_ARATH</v>
      </c>
      <c r="D18072" t="s">
        <v>10964</v>
      </c>
      <c r="E18072" s="3" t="s">
        <v>3</v>
      </c>
      <c r="F18072" s="4">
        <v>3.2499999999999997E-61</v>
      </c>
      <c r="G18072" s="3">
        <v>533</v>
      </c>
      <c r="H18072" s="3">
        <v>44</v>
      </c>
      <c r="I18072" s="3">
        <v>314</v>
      </c>
      <c r="J18072" s="3">
        <v>334</v>
      </c>
      <c r="K18072" s="3">
        <v>1239</v>
      </c>
      <c r="L18072" s="3">
        <v>5</v>
      </c>
      <c r="M18072" s="3">
        <v>269</v>
      </c>
    </row>
    <row r="18073" spans="1:13" x14ac:dyDescent="0.25">
      <c r="A18073" s="1" t="str">
        <f>HYPERLINK("http://www.rosaceae.org/Prunus/Prunus_persica/p.persica_gdr_reftransV1_0036810","p.persica_gdr_reftransV1_0036810")</f>
        <v>p.persica_gdr_reftransV1_0036810</v>
      </c>
      <c r="B18073" s="3">
        <v>1248</v>
      </c>
      <c r="C18073" s="1" t="str">
        <f>HYPERLINK("http://www.uniprot.org/uniprot/TA14B_ARATH","TA14B_ARATH")</f>
        <v>TA14B_ARATH</v>
      </c>
      <c r="D18073" t="s">
        <v>5279</v>
      </c>
      <c r="E18073" s="3" t="s">
        <v>3</v>
      </c>
      <c r="F18073" s="4">
        <v>1.32E-132</v>
      </c>
      <c r="G18073" s="3">
        <v>998</v>
      </c>
      <c r="H18073" s="3">
        <v>76</v>
      </c>
      <c r="I18073" s="3">
        <v>262</v>
      </c>
      <c r="J18073" s="3">
        <v>146</v>
      </c>
      <c r="K18073" s="3">
        <v>925</v>
      </c>
      <c r="L18073" s="3">
        <v>1</v>
      </c>
      <c r="M18073" s="3">
        <v>257</v>
      </c>
    </row>
    <row r="18074" spans="1:13" x14ac:dyDescent="0.25">
      <c r="A18074" s="1" t="str">
        <f>HYPERLINK("http://www.rosaceae.org/Prunus/Prunus_persica/p.persica_gdr_reftransV1_0037110","p.persica_gdr_reftransV1_0037110")</f>
        <v>p.persica_gdr_reftransV1_0037110</v>
      </c>
      <c r="B18074" s="3">
        <v>1590</v>
      </c>
      <c r="C18074" s="1" t="str">
        <f>HYPERLINK("http://www.uniprot.org/uniprot/UREG_ARATH","UREG_ARATH")</f>
        <v>UREG_ARATH</v>
      </c>
      <c r="D18074" t="s">
        <v>10965</v>
      </c>
      <c r="E18074" s="3" t="s">
        <v>3</v>
      </c>
      <c r="F18074" s="4">
        <v>4.9600000000000002E-89</v>
      </c>
      <c r="G18074" s="3">
        <v>719</v>
      </c>
      <c r="H18074" s="3">
        <v>86</v>
      </c>
      <c r="I18074" s="3">
        <v>159</v>
      </c>
      <c r="J18074" s="3">
        <v>957</v>
      </c>
      <c r="K18074" s="3">
        <v>1421</v>
      </c>
      <c r="L18074" s="3">
        <v>28</v>
      </c>
      <c r="M18074" s="3">
        <v>186</v>
      </c>
    </row>
    <row r="18075" spans="1:13" x14ac:dyDescent="0.25">
      <c r="A18075" s="1" t="str">
        <f>HYPERLINK("http://www.rosaceae.org/Prunus/Prunus_persica/p.persica_gdr_reftransV1_0037360","p.persica_gdr_reftransV1_0037360")</f>
        <v>p.persica_gdr_reftransV1_0037360</v>
      </c>
      <c r="B18075" s="3">
        <v>1634</v>
      </c>
      <c r="C18075" s="1" t="str">
        <f>HYPERLINK("http://www.uniprot.org/uniprot/SGT1B_ARATH","SGT1B_ARATH")</f>
        <v>SGT1B_ARATH</v>
      </c>
      <c r="D18075" t="s">
        <v>10966</v>
      </c>
      <c r="E18075" s="3" t="s">
        <v>3</v>
      </c>
      <c r="F18075" s="4">
        <v>5.7899999999999995E-147</v>
      </c>
      <c r="G18075" s="3">
        <v>1115</v>
      </c>
      <c r="H18075" s="3">
        <v>59</v>
      </c>
      <c r="I18075" s="3">
        <v>392</v>
      </c>
      <c r="J18075" s="3">
        <v>155</v>
      </c>
      <c r="K18075" s="3">
        <v>1324</v>
      </c>
      <c r="L18075" s="3">
        <v>1</v>
      </c>
      <c r="M18075" s="3">
        <v>358</v>
      </c>
    </row>
    <row r="18076" spans="1:13" x14ac:dyDescent="0.25">
      <c r="A18076" s="1" t="str">
        <f>HYPERLINK("http://www.rosaceae.org/Prunus/Prunus_persica/p.persica_gdr_reftransV1_0037510","p.persica_gdr_reftransV1_0037510")</f>
        <v>p.persica_gdr_reftransV1_0037510</v>
      </c>
      <c r="B18076" s="3">
        <v>2178</v>
      </c>
      <c r="C18076" s="1" t="str">
        <f>HYPERLINK("http://www.uniprot.org/uniprot/EFTU2_SOYBN","EFTU2_SOYBN")</f>
        <v>EFTU2_SOYBN</v>
      </c>
      <c r="D18076" t="s">
        <v>6203</v>
      </c>
      <c r="E18076" s="3" t="s">
        <v>307</v>
      </c>
      <c r="F18076" s="4">
        <v>0</v>
      </c>
      <c r="G18076" s="3">
        <v>1879</v>
      </c>
      <c r="H18076" s="3">
        <v>86</v>
      </c>
      <c r="I18076" s="3">
        <v>450</v>
      </c>
      <c r="J18076" s="3">
        <v>556</v>
      </c>
      <c r="K18076" s="3">
        <v>1905</v>
      </c>
      <c r="L18076" s="3">
        <v>32</v>
      </c>
      <c r="M18076" s="3">
        <v>479</v>
      </c>
    </row>
    <row r="18077" spans="1:13" x14ac:dyDescent="0.25">
      <c r="A18077" s="1" t="str">
        <f>HYPERLINK("http://www.rosaceae.org/Prunus/Prunus_persica/p.persica_gdr_reftransV1_0038010","p.persica_gdr_reftransV1_0038010")</f>
        <v>p.persica_gdr_reftransV1_0038010</v>
      </c>
      <c r="B18077" s="3">
        <v>3914</v>
      </c>
      <c r="C18077" s="1" t="str">
        <f>HYPERLINK("http://www.uniprot.org/uniprot/PPR38_ARATH","PPR38_ARATH")</f>
        <v>PPR38_ARATH</v>
      </c>
      <c r="D18077" t="s">
        <v>749</v>
      </c>
      <c r="E18077" s="3" t="s">
        <v>3</v>
      </c>
      <c r="F18077" s="4">
        <v>1.18E-151</v>
      </c>
      <c r="G18077" s="3">
        <v>1229</v>
      </c>
      <c r="H18077" s="3">
        <v>42</v>
      </c>
      <c r="I18077" s="3">
        <v>532</v>
      </c>
      <c r="J18077" s="3">
        <v>839</v>
      </c>
      <c r="K18077" s="3">
        <v>2434</v>
      </c>
      <c r="L18077" s="3">
        <v>70</v>
      </c>
      <c r="M18077" s="3">
        <v>597</v>
      </c>
    </row>
    <row r="18078" spans="1:13" x14ac:dyDescent="0.25">
      <c r="A18078" s="1" t="str">
        <f>HYPERLINK("http://www.rosaceae.org/Prunus/Prunus_persica/p.persica_gdr_reftransV1_0038260","p.persica_gdr_reftransV1_0038260")</f>
        <v>p.persica_gdr_reftransV1_0038260</v>
      </c>
      <c r="B18078" s="3">
        <v>5274</v>
      </c>
      <c r="C18078" s="1" t="str">
        <f>HYPERLINK("http://www.uniprot.org/uniprot/Y1491_ARATH","Y1491_ARATH")</f>
        <v>Y1491_ARATH</v>
      </c>
      <c r="D18078" t="s">
        <v>310</v>
      </c>
      <c r="E18078" s="3" t="s">
        <v>3</v>
      </c>
      <c r="F18078" s="4">
        <v>7.0200000000000007E-49</v>
      </c>
      <c r="G18078" s="3">
        <v>479</v>
      </c>
      <c r="H18078" s="3">
        <v>41</v>
      </c>
      <c r="I18078" s="3">
        <v>251</v>
      </c>
      <c r="J18078" s="3">
        <v>2360</v>
      </c>
      <c r="K18078" s="3">
        <v>3097</v>
      </c>
      <c r="L18078" s="3">
        <v>107</v>
      </c>
      <c r="M18078" s="3">
        <v>355</v>
      </c>
    </row>
    <row r="18079" spans="1:13" x14ac:dyDescent="0.25">
      <c r="A18079" s="1" t="str">
        <f>HYPERLINK("http://www.rosaceae.org/Prunus/Prunus_persica/p.persica_gdr_reftransV1_0038360","p.persica_gdr_reftransV1_0038360")</f>
        <v>p.persica_gdr_reftransV1_0038360</v>
      </c>
      <c r="B18079" s="3">
        <v>3589</v>
      </c>
      <c r="C18079" s="1" t="str">
        <f>HYPERLINK("http://www.uniprot.org/uniprot/HSL1_ARATH","HSL1_ARATH")</f>
        <v>HSL1_ARATH</v>
      </c>
      <c r="D18079" t="s">
        <v>4280</v>
      </c>
      <c r="E18079" s="3" t="s">
        <v>3</v>
      </c>
      <c r="F18079" s="4">
        <v>0</v>
      </c>
      <c r="G18079" s="3">
        <v>1601</v>
      </c>
      <c r="H18079" s="3">
        <v>39</v>
      </c>
      <c r="I18079" s="3">
        <v>989</v>
      </c>
      <c r="J18079" s="3">
        <v>366</v>
      </c>
      <c r="K18079" s="3">
        <v>3143</v>
      </c>
      <c r="L18079" s="3">
        <v>17</v>
      </c>
      <c r="M18079" s="3">
        <v>982</v>
      </c>
    </row>
    <row r="18080" spans="1:13" x14ac:dyDescent="0.25">
      <c r="A18080" s="1" t="str">
        <f>HYPERLINK("http://www.rosaceae.org/Prunus/Prunus_persica/p.persica_gdr_reftransV1_0038810","p.persica_gdr_reftransV1_0038810")</f>
        <v>p.persica_gdr_reftransV1_0038810</v>
      </c>
      <c r="B18080" s="3">
        <v>2624</v>
      </c>
      <c r="C18080" s="1" t="str">
        <f>HYPERLINK("http://www.uniprot.org/uniprot/GRDP1_ARATH","GRDP1_ARATH")</f>
        <v>GRDP1_ARATH</v>
      </c>
      <c r="D18080" t="s">
        <v>8358</v>
      </c>
      <c r="E18080" s="3" t="s">
        <v>3</v>
      </c>
      <c r="F18080" s="4">
        <v>0</v>
      </c>
      <c r="G18080" s="3">
        <v>1815</v>
      </c>
      <c r="H18080" s="3">
        <v>62</v>
      </c>
      <c r="I18080" s="3">
        <v>583</v>
      </c>
      <c r="J18080" s="3">
        <v>763</v>
      </c>
      <c r="K18080" s="3">
        <v>2493</v>
      </c>
      <c r="L18080" s="3">
        <v>2</v>
      </c>
      <c r="M18080" s="3">
        <v>579</v>
      </c>
    </row>
    <row r="18081" spans="1:13" x14ac:dyDescent="0.25">
      <c r="A18081" s="1" t="str">
        <f>HYPERLINK("http://www.rosaceae.org/Prunus/Prunus_persica/p.persica_gdr_reftransV1_0038960","p.persica_gdr_reftransV1_0038960")</f>
        <v>p.persica_gdr_reftransV1_0038960</v>
      </c>
      <c r="B18081" s="3">
        <v>1388</v>
      </c>
      <c r="C18081" s="1" t="str">
        <f>HYPERLINK("http://www.uniprot.org/uniprot/PP146_ARATH","PP146_ARATH")</f>
        <v>PP146_ARATH</v>
      </c>
      <c r="D18081" t="s">
        <v>2513</v>
      </c>
      <c r="E18081" s="3" t="s">
        <v>3</v>
      </c>
      <c r="F18081" s="4">
        <v>5.6299999999999995E-122</v>
      </c>
      <c r="G18081" s="3">
        <v>970</v>
      </c>
      <c r="H18081" s="3">
        <v>66</v>
      </c>
      <c r="I18081" s="3">
        <v>267</v>
      </c>
      <c r="J18081" s="3">
        <v>1</v>
      </c>
      <c r="K18081" s="3">
        <v>798</v>
      </c>
      <c r="L18081" s="3">
        <v>423</v>
      </c>
      <c r="M18081" s="3">
        <v>689</v>
      </c>
    </row>
    <row r="18082" spans="1:13" x14ac:dyDescent="0.25">
      <c r="A18082" s="1" t="str">
        <f>HYPERLINK("http://www.rosaceae.org/Prunus/Prunus_persica/p.persica_gdr_reftransV1_0039210","p.persica_gdr_reftransV1_0039210")</f>
        <v>p.persica_gdr_reftransV1_0039210</v>
      </c>
      <c r="B18082" s="3">
        <v>2733</v>
      </c>
      <c r="C18082" s="1" t="str">
        <f>HYPERLINK("http://www.uniprot.org/uniprot/KU80_ORYSJ","KU80_ORYSJ")</f>
        <v>KU80_ORYSJ</v>
      </c>
      <c r="D18082" t="s">
        <v>10967</v>
      </c>
      <c r="E18082" s="3" t="s">
        <v>38</v>
      </c>
      <c r="F18082" s="4">
        <v>2.65E-143</v>
      </c>
      <c r="G18082" s="3">
        <v>1153</v>
      </c>
      <c r="H18082" s="3">
        <v>66</v>
      </c>
      <c r="I18082" s="3">
        <v>323</v>
      </c>
      <c r="J18082" s="3">
        <v>293</v>
      </c>
      <c r="K18082" s="3">
        <v>1261</v>
      </c>
      <c r="L18082" s="3">
        <v>6</v>
      </c>
      <c r="M18082" s="3">
        <v>325</v>
      </c>
    </row>
    <row r="18083" spans="1:13" x14ac:dyDescent="0.25">
      <c r="A18083" s="1" t="str">
        <f>HYPERLINK("http://www.rosaceae.org/Prunus/Prunus_persica/p.persica_gdr_reftransV1_0039310","p.persica_gdr_reftransV1_0039310")</f>
        <v>p.persica_gdr_reftransV1_0039310</v>
      </c>
      <c r="B18083" s="3">
        <v>5280</v>
      </c>
      <c r="C18083" s="1" t="str">
        <f>HYPERLINK("http://www.uniprot.org/uniprot/R13L1_ARATH","R13L1_ARATH")</f>
        <v>R13L1_ARATH</v>
      </c>
      <c r="D18083" t="s">
        <v>100</v>
      </c>
      <c r="E18083" s="3" t="s">
        <v>3</v>
      </c>
      <c r="F18083" s="4">
        <v>1.45E-177</v>
      </c>
      <c r="G18083" s="3">
        <v>1473</v>
      </c>
      <c r="H18083" s="3">
        <v>40</v>
      </c>
      <c r="I18083" s="3">
        <v>1001</v>
      </c>
      <c r="J18083" s="3">
        <v>1804</v>
      </c>
      <c r="K18083" s="3">
        <v>4686</v>
      </c>
      <c r="L18083" s="3">
        <v>3</v>
      </c>
      <c r="M18083" s="3">
        <v>987</v>
      </c>
    </row>
    <row r="18084" spans="1:13" x14ac:dyDescent="0.25">
      <c r="A18084" s="1" t="str">
        <f>HYPERLINK("http://www.rosaceae.org/Prunus/Prunus_persica/p.persica_gdr_reftransV1_0039560","p.persica_gdr_reftransV1_0039560")</f>
        <v>p.persica_gdr_reftransV1_0039560</v>
      </c>
      <c r="B18084" s="3">
        <v>1058</v>
      </c>
      <c r="C18084" s="1" t="str">
        <f>HYPERLINK("http://www.uniprot.org/uniprot/GPX4_CITSI","GPX4_CITSI")</f>
        <v>GPX4_CITSI</v>
      </c>
      <c r="D18084" t="s">
        <v>1275</v>
      </c>
      <c r="E18084" s="3" t="s">
        <v>1276</v>
      </c>
      <c r="F18084" s="4">
        <v>1.7399999999999998E-80</v>
      </c>
      <c r="G18084" s="3">
        <v>637</v>
      </c>
      <c r="H18084" s="3">
        <v>70</v>
      </c>
      <c r="I18084" s="3">
        <v>168</v>
      </c>
      <c r="J18084" s="3">
        <v>322</v>
      </c>
      <c r="K18084" s="3">
        <v>825</v>
      </c>
      <c r="L18084" s="3">
        <v>1</v>
      </c>
      <c r="M18084" s="3">
        <v>164</v>
      </c>
    </row>
    <row r="18085" spans="1:13" x14ac:dyDescent="0.25">
      <c r="A18085" s="1" t="str">
        <f>HYPERLINK("http://www.rosaceae.org/Prunus/Prunus_persica/p.persica_gdr_reftransV1_0039610","p.persica_gdr_reftransV1_0039610")</f>
        <v>p.persica_gdr_reftransV1_0039610</v>
      </c>
      <c r="B18085" s="3">
        <v>2092</v>
      </c>
      <c r="C18085" s="1" t="str">
        <f>HYPERLINK("http://www.uniprot.org/uniprot/NC100_ARATH","NC100_ARATH")</f>
        <v>NC100_ARATH</v>
      </c>
      <c r="D18085" t="s">
        <v>1980</v>
      </c>
      <c r="E18085" s="3" t="s">
        <v>3</v>
      </c>
      <c r="F18085" s="4">
        <v>4.7100000000000002E-71</v>
      </c>
      <c r="G18085" s="3">
        <v>613</v>
      </c>
      <c r="H18085" s="3">
        <v>76</v>
      </c>
      <c r="I18085" s="3">
        <v>151</v>
      </c>
      <c r="J18085" s="3">
        <v>224</v>
      </c>
      <c r="K18085" s="3">
        <v>676</v>
      </c>
      <c r="L18085" s="3">
        <v>10</v>
      </c>
      <c r="M18085" s="3">
        <v>155</v>
      </c>
    </row>
    <row r="18086" spans="1:13" x14ac:dyDescent="0.25">
      <c r="A18086" s="1" t="str">
        <f>HYPERLINK("http://www.rosaceae.org/Prunus/Prunus_persica/p.persica_gdr_reftransV1_0040060","p.persica_gdr_reftransV1_0040060")</f>
        <v>p.persica_gdr_reftransV1_0040060</v>
      </c>
      <c r="B18086" s="3">
        <v>1769</v>
      </c>
      <c r="C18086" s="1" t="str">
        <f>HYPERLINK("http://www.uniprot.org/uniprot/Y1864_ARATH","Y1864_ARATH")</f>
        <v>Y1864_ARATH</v>
      </c>
      <c r="D18086" t="s">
        <v>5963</v>
      </c>
      <c r="E18086" s="3" t="s">
        <v>3</v>
      </c>
      <c r="F18086" s="4">
        <v>8.7400000000000005E-26</v>
      </c>
      <c r="G18086" s="3">
        <v>284</v>
      </c>
      <c r="H18086" s="3">
        <v>28</v>
      </c>
      <c r="I18086" s="3">
        <v>287</v>
      </c>
      <c r="J18086" s="3">
        <v>226</v>
      </c>
      <c r="K18086" s="3">
        <v>1044</v>
      </c>
      <c r="L18086" s="3">
        <v>128</v>
      </c>
      <c r="M18086" s="3">
        <v>409</v>
      </c>
    </row>
    <row r="18087" spans="1:13" x14ac:dyDescent="0.25">
      <c r="A18087" s="1" t="str">
        <f>HYPERLINK("http://www.rosaceae.org/Prunus/Prunus_persica/p.persica_gdr_reftransV1_0040710","p.persica_gdr_reftransV1_0040710")</f>
        <v>p.persica_gdr_reftransV1_0040710</v>
      </c>
      <c r="B18087" s="3">
        <v>7423</v>
      </c>
      <c r="C18087" s="1" t="str">
        <f>HYPERLINK("http://www.uniprot.org/uniprot/FB92_ARATH","FB92_ARATH")</f>
        <v>FB92_ARATH</v>
      </c>
      <c r="D18087" t="s">
        <v>9847</v>
      </c>
      <c r="E18087" s="3" t="s">
        <v>3</v>
      </c>
      <c r="F18087" s="4">
        <v>3.7900000000000001E-91</v>
      </c>
      <c r="G18087" s="3">
        <v>835</v>
      </c>
      <c r="H18087" s="3">
        <v>69</v>
      </c>
      <c r="I18087" s="3">
        <v>230</v>
      </c>
      <c r="J18087" s="3">
        <v>3590</v>
      </c>
      <c r="K18087" s="3">
        <v>4276</v>
      </c>
      <c r="L18087" s="3">
        <v>280</v>
      </c>
      <c r="M18087" s="3">
        <v>506</v>
      </c>
    </row>
    <row r="18088" spans="1:13" x14ac:dyDescent="0.25">
      <c r="A18088" s="1" t="str">
        <f>HYPERLINK("http://www.rosaceae.org/Prunus/Prunus_persica/p.persica_gdr_reftransV1_0040810","p.persica_gdr_reftransV1_0040810")</f>
        <v>p.persica_gdr_reftransV1_0040810</v>
      </c>
      <c r="B18088" s="3">
        <v>1663</v>
      </c>
      <c r="C18088" s="1" t="str">
        <f>HYPERLINK("http://www.uniprot.org/uniprot/OFP2_ARATH","OFP2_ARATH")</f>
        <v>OFP2_ARATH</v>
      </c>
      <c r="D18088" t="s">
        <v>10968</v>
      </c>
      <c r="E18088" s="3" t="s">
        <v>3</v>
      </c>
      <c r="F18088" s="4">
        <v>1.11E-26</v>
      </c>
      <c r="G18088" s="3">
        <v>285</v>
      </c>
      <c r="H18088" s="3">
        <v>50</v>
      </c>
      <c r="I18088" s="3">
        <v>142</v>
      </c>
      <c r="J18088" s="3">
        <v>199</v>
      </c>
      <c r="K18088" s="3">
        <v>615</v>
      </c>
      <c r="L18088" s="3">
        <v>188</v>
      </c>
      <c r="M18088" s="3">
        <v>317</v>
      </c>
    </row>
    <row r="18089" spans="1:13" x14ac:dyDescent="0.25">
      <c r="A18089" s="1" t="str">
        <f>HYPERLINK("http://www.rosaceae.org/Prunus/Prunus_persica/p.persica_gdr_reftransV1_0040910","p.persica_gdr_reftransV1_0040910")</f>
        <v>p.persica_gdr_reftransV1_0040910</v>
      </c>
      <c r="B18089" s="3">
        <v>4270</v>
      </c>
      <c r="C18089" s="1" t="str">
        <f>HYPERLINK("http://www.uniprot.org/uniprot/CTF18_MOUSE","CTF18_MOUSE")</f>
        <v>CTF18_MOUSE</v>
      </c>
      <c r="D18089" t="s">
        <v>10969</v>
      </c>
      <c r="E18089" s="3" t="s">
        <v>157</v>
      </c>
      <c r="F18089" s="4">
        <v>2.07E-57</v>
      </c>
      <c r="G18089" s="3">
        <v>466</v>
      </c>
      <c r="H18089" s="3">
        <v>38</v>
      </c>
      <c r="I18089" s="3">
        <v>305</v>
      </c>
      <c r="J18089" s="3">
        <v>1788</v>
      </c>
      <c r="K18089" s="3">
        <v>2648</v>
      </c>
      <c r="L18089" s="3">
        <v>368</v>
      </c>
      <c r="M18089" s="3">
        <v>657</v>
      </c>
    </row>
    <row r="18090" spans="1:13" x14ac:dyDescent="0.25">
      <c r="A18090" s="1" t="str">
        <f>HYPERLINK("http://www.rosaceae.org/Prunus/Prunus_persica/p.persica_gdr_reftransV1_0041260","p.persica_gdr_reftransV1_0041260")</f>
        <v>p.persica_gdr_reftransV1_0041260</v>
      </c>
      <c r="B18090" s="3">
        <v>1655</v>
      </c>
      <c r="C18090" s="1" t="str">
        <f>HYPERLINK("http://www.uniprot.org/uniprot/PUB27_ARATH","PUB27_ARATH")</f>
        <v>PUB27_ARATH</v>
      </c>
      <c r="D18090" t="s">
        <v>10970</v>
      </c>
      <c r="E18090" s="3" t="s">
        <v>3</v>
      </c>
      <c r="F18090" s="4">
        <v>2.7200000000000002E-141</v>
      </c>
      <c r="G18090" s="3">
        <v>1084</v>
      </c>
      <c r="H18090" s="3">
        <v>52</v>
      </c>
      <c r="I18090" s="3">
        <v>435</v>
      </c>
      <c r="J18090" s="3">
        <v>295</v>
      </c>
      <c r="K18090" s="3">
        <v>1566</v>
      </c>
      <c r="L18090" s="3">
        <v>1</v>
      </c>
      <c r="M18090" s="3">
        <v>420</v>
      </c>
    </row>
    <row r="18091" spans="1:13" x14ac:dyDescent="0.25">
      <c r="A18091" s="1" t="str">
        <f>HYPERLINK("http://www.rosaceae.org/Prunus/Prunus_persica/p.persica_gdr_reftransV1_0041310","p.persica_gdr_reftransV1_0041310")</f>
        <v>p.persica_gdr_reftransV1_0041310</v>
      </c>
      <c r="B18091" s="3">
        <v>1386</v>
      </c>
      <c r="C18091" s="1" t="str">
        <f>HYPERLINK("http://www.uniprot.org/uniprot/RTNLE_ARATH","RTNLE_ARATH")</f>
        <v>RTNLE_ARATH</v>
      </c>
      <c r="D18091" t="s">
        <v>10971</v>
      </c>
      <c r="E18091" s="3" t="s">
        <v>3</v>
      </c>
      <c r="F18091" s="4">
        <v>4.5600000000000001E-89</v>
      </c>
      <c r="G18091" s="3">
        <v>712</v>
      </c>
      <c r="H18091" s="3">
        <v>63</v>
      </c>
      <c r="I18091" s="3">
        <v>205</v>
      </c>
      <c r="J18091" s="3">
        <v>330</v>
      </c>
      <c r="K18091" s="3">
        <v>944</v>
      </c>
      <c r="L18091" s="3">
        <v>37</v>
      </c>
      <c r="M18091" s="3">
        <v>241</v>
      </c>
    </row>
    <row r="18092" spans="1:13" x14ac:dyDescent="0.25">
      <c r="A18092" s="1" t="str">
        <f>HYPERLINK("http://www.rosaceae.org/Prunus/Prunus_persica/p.persica_gdr_reftransV1_0041360","p.persica_gdr_reftransV1_0041360")</f>
        <v>p.persica_gdr_reftransV1_0041360</v>
      </c>
      <c r="B18092" s="3">
        <v>5057</v>
      </c>
      <c r="C18092" s="1" t="str">
        <f>HYPERLINK("http://www.uniprot.org/uniprot/PYRB2_PEA","PYRB2_PEA")</f>
        <v>PYRB2_PEA</v>
      </c>
      <c r="D18092" t="s">
        <v>10972</v>
      </c>
      <c r="E18092" s="3" t="s">
        <v>60</v>
      </c>
      <c r="F18092" s="4">
        <v>0</v>
      </c>
      <c r="G18092" s="3">
        <v>1492</v>
      </c>
      <c r="H18092" s="3">
        <v>74</v>
      </c>
      <c r="I18092" s="3">
        <v>401</v>
      </c>
      <c r="J18092" s="3">
        <v>351</v>
      </c>
      <c r="K18092" s="3">
        <v>1553</v>
      </c>
      <c r="L18092" s="3">
        <v>1</v>
      </c>
      <c r="M18092" s="3">
        <v>385</v>
      </c>
    </row>
    <row r="18093" spans="1:13" x14ac:dyDescent="0.25">
      <c r="A18093" s="1" t="str">
        <f>HYPERLINK("http://www.rosaceae.org/Prunus/Prunus_persica/p.persica_gdr_reftransV1_0041410","p.persica_gdr_reftransV1_0041410")</f>
        <v>p.persica_gdr_reftransV1_0041410</v>
      </c>
      <c r="B18093" s="3">
        <v>3814</v>
      </c>
      <c r="C18093" s="1" t="str">
        <f>HYPERLINK("http://www.uniprot.org/uniprot/Y7797_ORYSJ","Y7797_ORYSJ")</f>
        <v>Y7797_ORYSJ</v>
      </c>
      <c r="D18093" t="s">
        <v>4082</v>
      </c>
      <c r="E18093" s="3" t="s">
        <v>38</v>
      </c>
      <c r="F18093" s="4">
        <v>0</v>
      </c>
      <c r="G18093" s="3">
        <v>1533</v>
      </c>
      <c r="H18093" s="3">
        <v>50</v>
      </c>
      <c r="I18093" s="3">
        <v>671</v>
      </c>
      <c r="J18093" s="3">
        <v>299</v>
      </c>
      <c r="K18093" s="3">
        <v>2194</v>
      </c>
      <c r="L18093" s="3">
        <v>15</v>
      </c>
      <c r="M18093" s="3">
        <v>664</v>
      </c>
    </row>
    <row r="18094" spans="1:13" x14ac:dyDescent="0.25">
      <c r="A18094" s="1" t="str">
        <f>HYPERLINK("http://www.rosaceae.org/Prunus/Prunus_persica/p.persica_gdr_reftransV1_0042110","p.persica_gdr_reftransV1_0042110")</f>
        <v>p.persica_gdr_reftransV1_0042110</v>
      </c>
      <c r="B18094" s="3">
        <v>2106</v>
      </c>
      <c r="C18094" s="1" t="str">
        <f>HYPERLINK("http://www.uniprot.org/uniprot/FEN1_SOYBN","FEN1_SOYBN")</f>
        <v>FEN1_SOYBN</v>
      </c>
      <c r="D18094" t="s">
        <v>6026</v>
      </c>
      <c r="E18094" s="3" t="s">
        <v>307</v>
      </c>
      <c r="F18094" s="4">
        <v>0</v>
      </c>
      <c r="G18094" s="3">
        <v>1725</v>
      </c>
      <c r="H18094" s="3">
        <v>90</v>
      </c>
      <c r="I18094" s="3">
        <v>361</v>
      </c>
      <c r="J18094" s="3">
        <v>108</v>
      </c>
      <c r="K18094" s="3">
        <v>1190</v>
      </c>
      <c r="L18094" s="3">
        <v>1</v>
      </c>
      <c r="M18094" s="3">
        <v>361</v>
      </c>
    </row>
    <row r="18095" spans="1:13" x14ac:dyDescent="0.25">
      <c r="A18095" s="1" t="str">
        <f>HYPERLINK("http://www.rosaceae.org/Prunus/Prunus_persica/p.persica_gdr_reftransV1_0042510","p.persica_gdr_reftransV1_0042510")</f>
        <v>p.persica_gdr_reftransV1_0042510</v>
      </c>
      <c r="B18095" s="3">
        <v>2091</v>
      </c>
      <c r="C18095" s="1" t="str">
        <f>HYPERLINK("http://www.uniprot.org/uniprot/FAS2_ARATH","FAS2_ARATH")</f>
        <v>FAS2_ARATH</v>
      </c>
      <c r="D18095" t="s">
        <v>10973</v>
      </c>
      <c r="E18095" s="3" t="s">
        <v>3</v>
      </c>
      <c r="F18095" s="4">
        <v>0</v>
      </c>
      <c r="G18095" s="3">
        <v>1666</v>
      </c>
      <c r="H18095" s="3">
        <v>59</v>
      </c>
      <c r="I18095" s="3">
        <v>553</v>
      </c>
      <c r="J18095" s="3">
        <v>167</v>
      </c>
      <c r="K18095" s="3">
        <v>1819</v>
      </c>
      <c r="L18095" s="3">
        <v>3</v>
      </c>
      <c r="M18095" s="3">
        <v>487</v>
      </c>
    </row>
    <row r="18096" spans="1:13" x14ac:dyDescent="0.25">
      <c r="A18096" s="1" t="str">
        <f>HYPERLINK("http://www.rosaceae.org/Prunus/Prunus_persica/p.persica_gdr_reftransV1_0043060","p.persica_gdr_reftransV1_0043060")</f>
        <v>p.persica_gdr_reftransV1_0043060</v>
      </c>
      <c r="B18096" s="3">
        <v>1320</v>
      </c>
      <c r="C18096" s="1" t="str">
        <f>HYPERLINK("http://www.uniprot.org/uniprot/GBLP_SOYBN","GBLP_SOYBN")</f>
        <v>GBLP_SOYBN</v>
      </c>
      <c r="D18096" t="s">
        <v>6020</v>
      </c>
      <c r="E18096" s="3" t="s">
        <v>307</v>
      </c>
      <c r="F18096" s="4">
        <v>0</v>
      </c>
      <c r="G18096" s="3">
        <v>1524</v>
      </c>
      <c r="H18096" s="3">
        <v>88</v>
      </c>
      <c r="I18096" s="3">
        <v>327</v>
      </c>
      <c r="J18096" s="3">
        <v>260</v>
      </c>
      <c r="K18096" s="3">
        <v>1240</v>
      </c>
      <c r="L18096" s="3">
        <v>1</v>
      </c>
      <c r="M18096" s="3">
        <v>325</v>
      </c>
    </row>
    <row r="18097" spans="1:13" x14ac:dyDescent="0.25">
      <c r="A18097" s="1" t="str">
        <f>HYPERLINK("http://www.rosaceae.org/Prunus/Prunus_persica/p.persica_gdr_reftransV1_0043160","p.persica_gdr_reftransV1_0043160")</f>
        <v>p.persica_gdr_reftransV1_0043160</v>
      </c>
      <c r="B18097" s="3">
        <v>913</v>
      </c>
      <c r="C18097" s="1" t="str">
        <f>HYPERLINK("http://www.uniprot.org/uniprot/SD11_ARATH","SD11_ARATH")</f>
        <v>SD11_ARATH</v>
      </c>
      <c r="D18097" t="s">
        <v>1753</v>
      </c>
      <c r="E18097" s="3" t="s">
        <v>3</v>
      </c>
      <c r="F18097" s="4">
        <v>4.3200000000000002E-100</v>
      </c>
      <c r="G18097" s="3">
        <v>814</v>
      </c>
      <c r="H18097" s="3">
        <v>66</v>
      </c>
      <c r="I18097" s="3">
        <v>229</v>
      </c>
      <c r="J18097" s="3">
        <v>3</v>
      </c>
      <c r="K18097" s="3">
        <v>686</v>
      </c>
      <c r="L18097" s="3">
        <v>562</v>
      </c>
      <c r="M18097" s="3">
        <v>790</v>
      </c>
    </row>
    <row r="18098" spans="1:13" x14ac:dyDescent="0.25">
      <c r="A18098" s="1" t="str">
        <f>HYPERLINK("http://www.rosaceae.org/Prunus/Prunus_persica/p.persica_gdr_reftransV1_0043260","p.persica_gdr_reftransV1_0043260")</f>
        <v>p.persica_gdr_reftransV1_0043260</v>
      </c>
      <c r="B18098" s="3">
        <v>685</v>
      </c>
      <c r="C18098" s="1" t="str">
        <f>HYPERLINK("http://www.uniprot.org/uniprot/RUXF_ARATH","RUXF_ARATH")</f>
        <v>RUXF_ARATH</v>
      </c>
      <c r="D18098" t="s">
        <v>9894</v>
      </c>
      <c r="E18098" s="3" t="s">
        <v>3</v>
      </c>
      <c r="F18098" s="4">
        <v>1.31E-46</v>
      </c>
      <c r="G18098" s="3">
        <v>392</v>
      </c>
      <c r="H18098" s="3">
        <v>95</v>
      </c>
      <c r="I18098" s="3">
        <v>77</v>
      </c>
      <c r="J18098" s="3">
        <v>112</v>
      </c>
      <c r="K18098" s="3">
        <v>342</v>
      </c>
      <c r="L18098" s="3">
        <v>1</v>
      </c>
      <c r="M18098" s="3">
        <v>77</v>
      </c>
    </row>
    <row r="18099" spans="1:13" x14ac:dyDescent="0.25">
      <c r="A18099" s="1" t="str">
        <f>HYPERLINK("http://www.rosaceae.org/Prunus/Prunus_persica/p.persica_gdr_reftransV1_0043310","p.persica_gdr_reftransV1_0043310")</f>
        <v>p.persica_gdr_reftransV1_0043310</v>
      </c>
      <c r="B18099" s="3">
        <v>357</v>
      </c>
      <c r="C18099" s="1" t="str">
        <f>HYPERLINK("http://www.uniprot.org/uniprot/TBL25_ARATH","TBL25_ARATH")</f>
        <v>TBL25_ARATH</v>
      </c>
      <c r="D18099" t="s">
        <v>4831</v>
      </c>
      <c r="E18099" s="3" t="s">
        <v>3</v>
      </c>
      <c r="F18099" s="4">
        <v>9.2299999999999999E-29</v>
      </c>
      <c r="G18099" s="3">
        <v>279</v>
      </c>
      <c r="H18099" s="3">
        <v>48</v>
      </c>
      <c r="I18099" s="3">
        <v>124</v>
      </c>
      <c r="J18099" s="3">
        <v>2</v>
      </c>
      <c r="K18099" s="3">
        <v>355</v>
      </c>
      <c r="L18099" s="3">
        <v>33</v>
      </c>
      <c r="M18099" s="3">
        <v>151</v>
      </c>
    </row>
    <row r="18100" spans="1:13" x14ac:dyDescent="0.25">
      <c r="A18100" s="1" t="str">
        <f>HYPERLINK("http://www.rosaceae.org/Prunus/Prunus_persica/p.persica_gdr_reftransV1_0043360","p.persica_gdr_reftransV1_0043360")</f>
        <v>p.persica_gdr_reftransV1_0043360</v>
      </c>
      <c r="B18100" s="3">
        <v>1235</v>
      </c>
      <c r="C18100" s="1" t="str">
        <f>HYPERLINK("http://www.uniprot.org/uniprot/ZDH16_ARATH","ZDH16_ARATH")</f>
        <v>ZDH16_ARATH</v>
      </c>
      <c r="D18100" t="s">
        <v>10440</v>
      </c>
      <c r="E18100" s="3" t="s">
        <v>3</v>
      </c>
      <c r="F18100" s="4">
        <v>1.7000000000000001E-104</v>
      </c>
      <c r="G18100" s="3">
        <v>833</v>
      </c>
      <c r="H18100" s="3">
        <v>65</v>
      </c>
      <c r="I18100" s="3">
        <v>324</v>
      </c>
      <c r="J18100" s="3">
        <v>1</v>
      </c>
      <c r="K18100" s="3">
        <v>948</v>
      </c>
      <c r="L18100" s="3">
        <v>194</v>
      </c>
      <c r="M18100" s="3">
        <v>508</v>
      </c>
    </row>
    <row r="18101" spans="1:13" x14ac:dyDescent="0.25">
      <c r="A18101" s="1" t="str">
        <f>HYPERLINK("http://www.rosaceae.org/Prunus/Prunus_persica/p.persica_gdr_reftransV1_0043460","p.persica_gdr_reftransV1_0043460")</f>
        <v>p.persica_gdr_reftransV1_0043460</v>
      </c>
      <c r="B18101" s="3">
        <v>2872</v>
      </c>
      <c r="C18101" s="1" t="str">
        <f>HYPERLINK("http://www.uniprot.org/uniprot/Y5389_ARATH","Y5389_ARATH")</f>
        <v>Y5389_ARATH</v>
      </c>
      <c r="D18101" t="s">
        <v>8731</v>
      </c>
      <c r="E18101" s="3" t="s">
        <v>3</v>
      </c>
      <c r="F18101" s="4">
        <v>0</v>
      </c>
      <c r="G18101" s="3">
        <v>1616</v>
      </c>
      <c r="H18101" s="3">
        <v>47</v>
      </c>
      <c r="I18101" s="3">
        <v>845</v>
      </c>
      <c r="J18101" s="3">
        <v>274</v>
      </c>
      <c r="K18101" s="3">
        <v>2751</v>
      </c>
      <c r="L18101" s="3">
        <v>6</v>
      </c>
      <c r="M18101" s="3">
        <v>820</v>
      </c>
    </row>
    <row r="18102" spans="1:13" x14ac:dyDescent="0.25">
      <c r="A18102" s="1" t="str">
        <f>HYPERLINK("http://www.rosaceae.org/Prunus/Prunus_persica/p.persica_gdr_reftransV1_0043510","p.persica_gdr_reftransV1_0043510")</f>
        <v>p.persica_gdr_reftransV1_0043510</v>
      </c>
      <c r="B18102" s="3">
        <v>1326</v>
      </c>
      <c r="C18102" s="1" t="str">
        <f>HYPERLINK("http://www.uniprot.org/uniprot/DDPS6_ARATH","DDPS6_ARATH")</f>
        <v>DDPS6_ARATH</v>
      </c>
      <c r="D18102" t="s">
        <v>4479</v>
      </c>
      <c r="E18102" s="3" t="s">
        <v>3</v>
      </c>
      <c r="F18102" s="4">
        <v>2.59E-121</v>
      </c>
      <c r="G18102" s="3">
        <v>929</v>
      </c>
      <c r="H18102" s="3">
        <v>62</v>
      </c>
      <c r="I18102" s="3">
        <v>284</v>
      </c>
      <c r="J18102" s="3">
        <v>311</v>
      </c>
      <c r="K18102" s="3">
        <v>1162</v>
      </c>
      <c r="L18102" s="3">
        <v>12</v>
      </c>
      <c r="M18102" s="3">
        <v>294</v>
      </c>
    </row>
    <row r="18103" spans="1:13" x14ac:dyDescent="0.25">
      <c r="A18103" s="1" t="str">
        <f>HYPERLINK("http://www.rosaceae.org/Prunus/Prunus_persica/p.persica_gdr_reftransV1_0043710","p.persica_gdr_reftransV1_0043710")</f>
        <v>p.persica_gdr_reftransV1_0043710</v>
      </c>
      <c r="B18103" s="3">
        <v>995</v>
      </c>
      <c r="C18103" s="1" t="str">
        <f>HYPERLINK("http://www.uniprot.org/uniprot/ZIP5_ORYSJ","ZIP5_ORYSJ")</f>
        <v>ZIP5_ORYSJ</v>
      </c>
      <c r="D18103" t="s">
        <v>10974</v>
      </c>
      <c r="E18103" s="3" t="s">
        <v>38</v>
      </c>
      <c r="F18103" s="4">
        <v>5.3200000000000003E-84</v>
      </c>
      <c r="G18103" s="3">
        <v>675</v>
      </c>
      <c r="H18103" s="3">
        <v>57</v>
      </c>
      <c r="I18103" s="3">
        <v>260</v>
      </c>
      <c r="J18103" s="3">
        <v>230</v>
      </c>
      <c r="K18103" s="3">
        <v>994</v>
      </c>
      <c r="L18103" s="3">
        <v>94</v>
      </c>
      <c r="M18103" s="3">
        <v>352</v>
      </c>
    </row>
    <row r="18104" spans="1:13" x14ac:dyDescent="0.25">
      <c r="A18104" s="1" t="str">
        <f>HYPERLINK("http://www.rosaceae.org/Prunus/Prunus_persica/p.persica_gdr_reftransV1_0043810","p.persica_gdr_reftransV1_0043810")</f>
        <v>p.persica_gdr_reftransV1_0043810</v>
      </c>
      <c r="B18104" s="3">
        <v>1708</v>
      </c>
      <c r="C18104" s="1" t="str">
        <f>HYPERLINK("http://www.uniprot.org/uniprot/MAA3_ARATH","MAA3_ARATH")</f>
        <v>MAA3_ARATH</v>
      </c>
      <c r="D18104" t="s">
        <v>1296</v>
      </c>
      <c r="E18104" s="3" t="s">
        <v>3</v>
      </c>
      <c r="F18104" s="4">
        <v>6.9699999999999999E-45</v>
      </c>
      <c r="G18104" s="3">
        <v>440</v>
      </c>
      <c r="H18104" s="3">
        <v>36</v>
      </c>
      <c r="I18104" s="3">
        <v>318</v>
      </c>
      <c r="J18104" s="3">
        <v>88</v>
      </c>
      <c r="K18104" s="3">
        <v>1029</v>
      </c>
      <c r="L18104" s="3">
        <v>450</v>
      </c>
      <c r="M18104" s="3">
        <v>761</v>
      </c>
    </row>
    <row r="18105" spans="1:13" x14ac:dyDescent="0.25">
      <c r="A18105" s="1" t="str">
        <f>HYPERLINK("http://www.rosaceae.org/Prunus/Prunus_persica/p.persica_gdr_reftransV1_0043860","p.persica_gdr_reftransV1_0043860")</f>
        <v>p.persica_gdr_reftransV1_0043860</v>
      </c>
      <c r="B18105" s="3">
        <v>1228</v>
      </c>
      <c r="C18105" s="1" t="str">
        <f>HYPERLINK("http://www.uniprot.org/uniprot/AHL1_ARATH","AHL1_ARATH")</f>
        <v>AHL1_ARATH</v>
      </c>
      <c r="D18105" t="s">
        <v>2753</v>
      </c>
      <c r="E18105" s="3" t="s">
        <v>3</v>
      </c>
      <c r="F18105" s="4">
        <v>7.26E-59</v>
      </c>
      <c r="G18105" s="3">
        <v>512</v>
      </c>
      <c r="H18105" s="3">
        <v>65</v>
      </c>
      <c r="I18105" s="3">
        <v>173</v>
      </c>
      <c r="J18105" s="3">
        <v>567</v>
      </c>
      <c r="K18105" s="3">
        <v>1079</v>
      </c>
      <c r="L18105" s="3">
        <v>130</v>
      </c>
      <c r="M18105" s="3">
        <v>302</v>
      </c>
    </row>
    <row r="18106" spans="1:13" x14ac:dyDescent="0.25">
      <c r="A18106" s="1" t="str">
        <f>HYPERLINK("http://www.rosaceae.org/Prunus/Prunus_persica/p.persica_gdr_reftransV1_0043910","p.persica_gdr_reftransV1_0043910")</f>
        <v>p.persica_gdr_reftransV1_0043910</v>
      </c>
      <c r="B18106" s="3">
        <v>1744</v>
      </c>
      <c r="C18106" s="1" t="str">
        <f>HYPERLINK("http://www.uniprot.org/uniprot/TLP8_ARATH","TLP8_ARATH")</f>
        <v>TLP8_ARATH</v>
      </c>
      <c r="D18106" t="s">
        <v>10975</v>
      </c>
      <c r="E18106" s="3" t="s">
        <v>3</v>
      </c>
      <c r="F18106" s="4">
        <v>1.32E-152</v>
      </c>
      <c r="G18106" s="3">
        <v>1160</v>
      </c>
      <c r="H18106" s="3">
        <v>61</v>
      </c>
      <c r="I18106" s="3">
        <v>373</v>
      </c>
      <c r="J18106" s="3">
        <v>335</v>
      </c>
      <c r="K18106" s="3">
        <v>1435</v>
      </c>
      <c r="L18106" s="3">
        <v>31</v>
      </c>
      <c r="M18106" s="3">
        <v>397</v>
      </c>
    </row>
    <row r="18107" spans="1:13" x14ac:dyDescent="0.25">
      <c r="A18107" s="1" t="str">
        <f>HYPERLINK("http://www.rosaceae.org/Prunus/Prunus_persica/p.persica_gdr_reftransV1_0043960","p.persica_gdr_reftransV1_0043960")</f>
        <v>p.persica_gdr_reftransV1_0043960</v>
      </c>
      <c r="B18107" s="3">
        <v>319</v>
      </c>
      <c r="C18107" s="1" t="str">
        <f>HYPERLINK("http://www.uniprot.org/uniprot/Y3720_ARATH","Y3720_ARATH")</f>
        <v>Y3720_ARATH</v>
      </c>
      <c r="D18107" t="s">
        <v>104</v>
      </c>
      <c r="E18107" s="3" t="s">
        <v>3</v>
      </c>
      <c r="F18107" s="4">
        <v>1.7100000000000001E-11</v>
      </c>
      <c r="G18107" s="3">
        <v>154</v>
      </c>
      <c r="H18107" s="3">
        <v>35</v>
      </c>
      <c r="I18107" s="3">
        <v>91</v>
      </c>
      <c r="J18107" s="3">
        <v>49</v>
      </c>
      <c r="K18107" s="3">
        <v>312</v>
      </c>
      <c r="L18107" s="3">
        <v>61</v>
      </c>
      <c r="M18107" s="3">
        <v>148</v>
      </c>
    </row>
    <row r="18108" spans="1:13" x14ac:dyDescent="0.25">
      <c r="A18108" s="1" t="str">
        <f>HYPERLINK("http://www.rosaceae.org/Prunus/Prunus_persica/p.persica_gdr_reftransV1_0044010","p.persica_gdr_reftransV1_0044010")</f>
        <v>p.persica_gdr_reftransV1_0044010</v>
      </c>
      <c r="B18108" s="3">
        <v>2586</v>
      </c>
      <c r="C18108" s="1" t="str">
        <f>HYPERLINK("http://www.uniprot.org/uniprot/CSC1_ARATH","CSC1_ARATH")</f>
        <v>CSC1_ARATH</v>
      </c>
      <c r="D18108" t="s">
        <v>3197</v>
      </c>
      <c r="E18108" s="3" t="s">
        <v>3</v>
      </c>
      <c r="F18108" s="4">
        <v>0</v>
      </c>
      <c r="G18108" s="3">
        <v>2891</v>
      </c>
      <c r="H18108" s="3">
        <v>75</v>
      </c>
      <c r="I18108" s="3">
        <v>754</v>
      </c>
      <c r="J18108" s="3">
        <v>3</v>
      </c>
      <c r="K18108" s="3">
        <v>2249</v>
      </c>
      <c r="L18108" s="3">
        <v>12</v>
      </c>
      <c r="M18108" s="3">
        <v>765</v>
      </c>
    </row>
    <row r="18109" spans="1:13" x14ac:dyDescent="0.25">
      <c r="A18109" s="1" t="str">
        <f>HYPERLINK("http://www.rosaceae.org/Prunus/Prunus_persica/p.persica_gdr_reftransV1_0044060","p.persica_gdr_reftransV1_0044060")</f>
        <v>p.persica_gdr_reftransV1_0044060</v>
      </c>
      <c r="B18109" s="3">
        <v>1903</v>
      </c>
      <c r="C18109" s="1" t="str">
        <f>HYPERLINK("http://www.uniprot.org/uniprot/RIN1_ARATH","RIN1_ARATH")</f>
        <v>RIN1_ARATH</v>
      </c>
      <c r="D18109" t="s">
        <v>10976</v>
      </c>
      <c r="E18109" s="3" t="s">
        <v>3</v>
      </c>
      <c r="F18109" s="4">
        <v>0</v>
      </c>
      <c r="G18109" s="3">
        <v>2189</v>
      </c>
      <c r="H18109" s="3">
        <v>91</v>
      </c>
      <c r="I18109" s="3">
        <v>458</v>
      </c>
      <c r="J18109" s="3">
        <v>286</v>
      </c>
      <c r="K18109" s="3">
        <v>1659</v>
      </c>
      <c r="L18109" s="3">
        <v>1</v>
      </c>
      <c r="M18109" s="3">
        <v>458</v>
      </c>
    </row>
    <row r="18110" spans="1:13" x14ac:dyDescent="0.25">
      <c r="A18110" s="1" t="str">
        <f>HYPERLINK("http://www.rosaceae.org/Prunus/Prunus_persica/p.persica_gdr_reftransV1_0044160","p.persica_gdr_reftransV1_0044160")</f>
        <v>p.persica_gdr_reftransV1_0044160</v>
      </c>
      <c r="B18110" s="3">
        <v>687</v>
      </c>
      <c r="C18110" s="1" t="str">
        <f>HYPERLINK("http://www.uniprot.org/uniprot/RTL2_ARATH","RTL2_ARATH")</f>
        <v>RTL2_ARATH</v>
      </c>
      <c r="D18110" t="s">
        <v>5268</v>
      </c>
      <c r="E18110" s="3" t="s">
        <v>3</v>
      </c>
      <c r="F18110" s="4">
        <v>2.1599999999999999E-17</v>
      </c>
      <c r="G18110" s="3">
        <v>205</v>
      </c>
      <c r="H18110" s="3">
        <v>36</v>
      </c>
      <c r="I18110" s="3">
        <v>174</v>
      </c>
      <c r="J18110" s="3">
        <v>2</v>
      </c>
      <c r="K18110" s="3">
        <v>511</v>
      </c>
      <c r="L18110" s="3">
        <v>218</v>
      </c>
      <c r="M18110" s="3">
        <v>386</v>
      </c>
    </row>
    <row r="18111" spans="1:13" x14ac:dyDescent="0.25">
      <c r="A18111" s="1" t="str">
        <f>HYPERLINK("http://www.rosaceae.org/Prunus/Prunus_persica/p.persica_gdr_reftransV1_0044210","p.persica_gdr_reftransV1_0044210")</f>
        <v>p.persica_gdr_reftransV1_0044210</v>
      </c>
      <c r="B18111" s="3">
        <v>1552</v>
      </c>
      <c r="C18111" s="1" t="str">
        <f>HYPERLINK("http://www.uniprot.org/uniprot/S17P_ARATH","S17P_ARATH")</f>
        <v>S17P_ARATH</v>
      </c>
      <c r="D18111" t="s">
        <v>1878</v>
      </c>
      <c r="E18111" s="3" t="s">
        <v>3</v>
      </c>
      <c r="F18111" s="4">
        <v>0</v>
      </c>
      <c r="G18111" s="3">
        <v>1665</v>
      </c>
      <c r="H18111" s="3">
        <v>85</v>
      </c>
      <c r="I18111" s="3">
        <v>386</v>
      </c>
      <c r="J18111" s="3">
        <v>86</v>
      </c>
      <c r="K18111" s="3">
        <v>1237</v>
      </c>
      <c r="L18111" s="3">
        <v>1</v>
      </c>
      <c r="M18111" s="3">
        <v>385</v>
      </c>
    </row>
    <row r="18112" spans="1:13" x14ac:dyDescent="0.25">
      <c r="A18112" s="1" t="str">
        <f>HYPERLINK("http://www.rosaceae.org/Prunus/Prunus_persica/p.persica_gdr_reftransV1_0044310","p.persica_gdr_reftransV1_0044310")</f>
        <v>p.persica_gdr_reftransV1_0044310</v>
      </c>
      <c r="B18112" s="3">
        <v>1653</v>
      </c>
      <c r="C18112" s="1" t="str">
        <f>HYPERLINK("http://www.uniprot.org/uniprot/LISC_RICCO","LISC_RICCO")</f>
        <v>LISC_RICCO</v>
      </c>
      <c r="D18112" t="s">
        <v>8445</v>
      </c>
      <c r="E18112" s="3" t="s">
        <v>421</v>
      </c>
      <c r="F18112" s="4">
        <v>0</v>
      </c>
      <c r="G18112" s="3">
        <v>1464</v>
      </c>
      <c r="H18112" s="3">
        <v>86</v>
      </c>
      <c r="I18112" s="3">
        <v>308</v>
      </c>
      <c r="J18112" s="3">
        <v>287</v>
      </c>
      <c r="K18112" s="3">
        <v>1210</v>
      </c>
      <c r="L18112" s="3">
        <v>55</v>
      </c>
      <c r="M18112" s="3">
        <v>362</v>
      </c>
    </row>
    <row r="18113" spans="1:13" x14ac:dyDescent="0.25">
      <c r="A18113" s="1" t="str">
        <f>HYPERLINK("http://www.rosaceae.org/Prunus/Prunus_persica/p.persica_gdr_reftransV1_0044360","p.persica_gdr_reftransV1_0044360")</f>
        <v>p.persica_gdr_reftransV1_0044360</v>
      </c>
      <c r="B18113" s="3">
        <v>1246</v>
      </c>
      <c r="C18113" s="1" t="str">
        <f>HYPERLINK("http://www.uniprot.org/uniprot/ROC5_ORYSJ","ROC5_ORYSJ")</f>
        <v>ROC5_ORYSJ</v>
      </c>
      <c r="D18113" t="s">
        <v>9532</v>
      </c>
      <c r="E18113" s="3" t="s">
        <v>38</v>
      </c>
      <c r="F18113" s="4">
        <v>2.1699999999999999E-109</v>
      </c>
      <c r="G18113" s="3">
        <v>888</v>
      </c>
      <c r="H18113" s="3">
        <v>62</v>
      </c>
      <c r="I18113" s="3">
        <v>284</v>
      </c>
      <c r="J18113" s="3">
        <v>9</v>
      </c>
      <c r="K18113" s="3">
        <v>851</v>
      </c>
      <c r="L18113" s="3">
        <v>524</v>
      </c>
      <c r="M18113" s="3">
        <v>801</v>
      </c>
    </row>
    <row r="18114" spans="1:13" x14ac:dyDescent="0.25">
      <c r="A18114" s="1" t="str">
        <f>HYPERLINK("http://www.rosaceae.org/Prunus/Prunus_persica/p.persica_gdr_reftransV1_0044410","p.persica_gdr_reftransV1_0044410")</f>
        <v>p.persica_gdr_reftransV1_0044410</v>
      </c>
      <c r="B18114" s="3">
        <v>1578</v>
      </c>
      <c r="C18114" s="1" t="str">
        <f>HYPERLINK("http://www.uniprot.org/uniprot/GDL57_ARATH","GDL57_ARATH")</f>
        <v>GDL57_ARATH</v>
      </c>
      <c r="D18114" t="s">
        <v>9499</v>
      </c>
      <c r="E18114" s="3" t="s">
        <v>3</v>
      </c>
      <c r="F18114" s="4">
        <v>2.91E-168</v>
      </c>
      <c r="G18114" s="3">
        <v>1257</v>
      </c>
      <c r="H18114" s="3">
        <v>65</v>
      </c>
      <c r="I18114" s="3">
        <v>352</v>
      </c>
      <c r="J18114" s="3">
        <v>363</v>
      </c>
      <c r="K18114" s="3">
        <v>1406</v>
      </c>
      <c r="L18114" s="3">
        <v>34</v>
      </c>
      <c r="M18114" s="3">
        <v>380</v>
      </c>
    </row>
    <row r="18115" spans="1:13" x14ac:dyDescent="0.25">
      <c r="A18115" s="1" t="str">
        <f>HYPERLINK("http://www.rosaceae.org/Prunus/Prunus_persica/p.persica_gdr_reftransV1_0044610","p.persica_gdr_reftransV1_0044610")</f>
        <v>p.persica_gdr_reftransV1_0044610</v>
      </c>
      <c r="B18115" s="3">
        <v>1170</v>
      </c>
      <c r="C18115" s="1" t="str">
        <f>HYPERLINK("http://www.uniprot.org/uniprot/WHY2_SOLTU","WHY2_SOLTU")</f>
        <v>WHY2_SOLTU</v>
      </c>
      <c r="D18115" t="s">
        <v>2869</v>
      </c>
      <c r="E18115" s="3" t="s">
        <v>11</v>
      </c>
      <c r="F18115" s="4">
        <v>1.2599999999999999E-82</v>
      </c>
      <c r="G18115" s="3">
        <v>661</v>
      </c>
      <c r="H18115" s="3">
        <v>66</v>
      </c>
      <c r="I18115" s="3">
        <v>188</v>
      </c>
      <c r="J18115" s="3">
        <v>278</v>
      </c>
      <c r="K18115" s="3">
        <v>838</v>
      </c>
      <c r="L18115" s="3">
        <v>51</v>
      </c>
      <c r="M18115" s="3">
        <v>238</v>
      </c>
    </row>
    <row r="18116" spans="1:13" x14ac:dyDescent="0.25">
      <c r="A18116" s="1" t="str">
        <f>HYPERLINK("http://www.rosaceae.org/Prunus/Prunus_persica/p.persica_gdr_reftransV1_0044660","p.persica_gdr_reftransV1_0044660")</f>
        <v>p.persica_gdr_reftransV1_0044660</v>
      </c>
      <c r="B18116" s="3">
        <v>1714</v>
      </c>
      <c r="C18116" s="1" t="str">
        <f>HYPERLINK("http://www.uniprot.org/uniprot/MEX1_ARATH","MEX1_ARATH")</f>
        <v>MEX1_ARATH</v>
      </c>
      <c r="D18116" t="s">
        <v>10977</v>
      </c>
      <c r="E18116" s="3" t="s">
        <v>3</v>
      </c>
      <c r="F18116" s="4">
        <v>3.2999999999999997E-148</v>
      </c>
      <c r="G18116" s="3">
        <v>1132</v>
      </c>
      <c r="H18116" s="3">
        <v>71</v>
      </c>
      <c r="I18116" s="3">
        <v>346</v>
      </c>
      <c r="J18116" s="3">
        <v>427</v>
      </c>
      <c r="K18116" s="3">
        <v>1446</v>
      </c>
      <c r="L18116" s="3">
        <v>70</v>
      </c>
      <c r="M18116" s="3">
        <v>414</v>
      </c>
    </row>
    <row r="18117" spans="1:13" x14ac:dyDescent="0.25">
      <c r="A18117" s="1" t="str">
        <f>HYPERLINK("http://www.rosaceae.org/Prunus/Prunus_persica/p.persica_gdr_reftransV1_0044710","p.persica_gdr_reftransV1_0044710")</f>
        <v>p.persica_gdr_reftransV1_0044710</v>
      </c>
      <c r="B18117" s="3">
        <v>1109</v>
      </c>
      <c r="C18117" s="1" t="str">
        <f>HYPERLINK("http://www.uniprot.org/uniprot/EDE1_ARATH","EDE1_ARATH")</f>
        <v>EDE1_ARATH</v>
      </c>
      <c r="D18117" t="s">
        <v>10325</v>
      </c>
      <c r="E18117" s="3" t="s">
        <v>3</v>
      </c>
      <c r="F18117" s="4">
        <v>5.6000000000000001E-64</v>
      </c>
      <c r="G18117" s="3">
        <v>553</v>
      </c>
      <c r="H18117" s="3">
        <v>44</v>
      </c>
      <c r="I18117" s="3">
        <v>280</v>
      </c>
      <c r="J18117" s="3">
        <v>197</v>
      </c>
      <c r="K18117" s="3">
        <v>1036</v>
      </c>
      <c r="L18117" s="3">
        <v>203</v>
      </c>
      <c r="M18117" s="3">
        <v>465</v>
      </c>
    </row>
    <row r="18118" spans="1:13" x14ac:dyDescent="0.25">
      <c r="A18118" s="1" t="str">
        <f>HYPERLINK("http://www.rosaceae.org/Prunus/Prunus_persica/p.persica_gdr_reftransV1_0044760","p.persica_gdr_reftransV1_0044760")</f>
        <v>p.persica_gdr_reftransV1_0044760</v>
      </c>
      <c r="B18118" s="3">
        <v>2215</v>
      </c>
      <c r="C18118" s="1" t="str">
        <f>HYPERLINK("http://www.uniprot.org/uniprot/GH36_ARATH","GH36_ARATH")</f>
        <v>GH36_ARATH</v>
      </c>
      <c r="D18118" t="s">
        <v>10978</v>
      </c>
      <c r="E18118" s="3" t="s">
        <v>3</v>
      </c>
      <c r="F18118" s="4">
        <v>0</v>
      </c>
      <c r="G18118" s="3">
        <v>2708</v>
      </c>
      <c r="H18118" s="3">
        <v>84</v>
      </c>
      <c r="I18118" s="3">
        <v>610</v>
      </c>
      <c r="J18118" s="3">
        <v>273</v>
      </c>
      <c r="K18118" s="3">
        <v>2102</v>
      </c>
      <c r="L18118" s="3">
        <v>1</v>
      </c>
      <c r="M18118" s="3">
        <v>609</v>
      </c>
    </row>
    <row r="18119" spans="1:13" x14ac:dyDescent="0.25">
      <c r="A18119" s="1" t="str">
        <f>HYPERLINK("http://www.rosaceae.org/Prunus/Prunus_persica/p.persica_gdr_reftransV1_0044860","p.persica_gdr_reftransV1_0044860")</f>
        <v>p.persica_gdr_reftransV1_0044860</v>
      </c>
      <c r="B18119" s="3">
        <v>1793</v>
      </c>
      <c r="C18119" s="1" t="str">
        <f>HYPERLINK("http://www.uniprot.org/uniprot/IQD1_ARATH","IQD1_ARATH")</f>
        <v>IQD1_ARATH</v>
      </c>
      <c r="D18119" t="s">
        <v>4422</v>
      </c>
      <c r="E18119" s="3" t="s">
        <v>3</v>
      </c>
      <c r="F18119" s="4">
        <v>2.5000000000000001E-27</v>
      </c>
      <c r="G18119" s="3">
        <v>297</v>
      </c>
      <c r="H18119" s="3">
        <v>38</v>
      </c>
      <c r="I18119" s="3">
        <v>239</v>
      </c>
      <c r="J18119" s="3">
        <v>744</v>
      </c>
      <c r="K18119" s="3">
        <v>1388</v>
      </c>
      <c r="L18119" s="3">
        <v>67</v>
      </c>
      <c r="M18119" s="3">
        <v>289</v>
      </c>
    </row>
    <row r="18120" spans="1:13" x14ac:dyDescent="0.25">
      <c r="A18120" s="1" t="str">
        <f>HYPERLINK("http://www.rosaceae.org/Prunus/Prunus_persica/p.persica_gdr_reftransV1_0045010","p.persica_gdr_reftransV1_0045010")</f>
        <v>p.persica_gdr_reftransV1_0045010</v>
      </c>
      <c r="B18120" s="3">
        <v>545</v>
      </c>
      <c r="C18120" s="1" t="str">
        <f>HYPERLINK("http://www.uniprot.org/uniprot/YU88_ARATH","YU88_ARATH")</f>
        <v>YU88_ARATH</v>
      </c>
      <c r="D18120" t="s">
        <v>3041</v>
      </c>
      <c r="E18120" s="3" t="s">
        <v>3</v>
      </c>
      <c r="F18120" s="4">
        <v>2.42E-39</v>
      </c>
      <c r="G18120" s="3">
        <v>361</v>
      </c>
      <c r="H18120" s="3">
        <v>73</v>
      </c>
      <c r="I18120" s="3">
        <v>91</v>
      </c>
      <c r="J18120" s="3">
        <v>273</v>
      </c>
      <c r="K18120" s="3">
        <v>545</v>
      </c>
      <c r="L18120" s="3">
        <v>59</v>
      </c>
      <c r="M18120" s="3">
        <v>149</v>
      </c>
    </row>
    <row r="18121" spans="1:13" x14ac:dyDescent="0.25">
      <c r="A18121" s="1" t="str">
        <f>HYPERLINK("http://www.rosaceae.org/Prunus/Prunus_persica/p.persica_gdr_reftransV1_0045110","p.persica_gdr_reftransV1_0045110")</f>
        <v>p.persica_gdr_reftransV1_0045110</v>
      </c>
      <c r="B18121" s="3">
        <v>1810</v>
      </c>
      <c r="C18121" s="1" t="str">
        <f>HYPERLINK("http://www.uniprot.org/uniprot/PHSC_ARATH","PHSC_ARATH")</f>
        <v>PHSC_ARATH</v>
      </c>
      <c r="D18121" t="s">
        <v>5681</v>
      </c>
      <c r="E18121" s="3" t="s">
        <v>3</v>
      </c>
      <c r="F18121" s="4">
        <v>4.0799999999999998E-153</v>
      </c>
      <c r="G18121" s="3">
        <v>1173</v>
      </c>
      <c r="H18121" s="3">
        <v>52</v>
      </c>
      <c r="I18121" s="3">
        <v>465</v>
      </c>
      <c r="J18121" s="3">
        <v>166</v>
      </c>
      <c r="K18121" s="3">
        <v>1548</v>
      </c>
      <c r="L18121" s="3">
        <v>4</v>
      </c>
      <c r="M18121" s="3">
        <v>464</v>
      </c>
    </row>
    <row r="18122" spans="1:13" x14ac:dyDescent="0.25">
      <c r="A18122" s="1" t="str">
        <f>HYPERLINK("http://www.rosaceae.org/Prunus/Prunus_persica/p.persica_gdr_reftransV1_0045360","p.persica_gdr_reftransV1_0045360")</f>
        <v>p.persica_gdr_reftransV1_0045360</v>
      </c>
      <c r="B18122" s="3">
        <v>1060</v>
      </c>
      <c r="C18122" s="1" t="str">
        <f>HYPERLINK("http://www.uniprot.org/uniprot/SDR3B_ARATH","SDR3B_ARATH")</f>
        <v>SDR3B_ARATH</v>
      </c>
      <c r="D18122" t="s">
        <v>10979</v>
      </c>
      <c r="E18122" s="3" t="s">
        <v>3</v>
      </c>
      <c r="F18122" s="4">
        <v>6.8999999999999995E-108</v>
      </c>
      <c r="G18122" s="3">
        <v>827</v>
      </c>
      <c r="H18122" s="3">
        <v>64</v>
      </c>
      <c r="I18122" s="3">
        <v>255</v>
      </c>
      <c r="J18122" s="3">
        <v>52</v>
      </c>
      <c r="K18122" s="3">
        <v>816</v>
      </c>
      <c r="L18122" s="3">
        <v>1</v>
      </c>
      <c r="M18122" s="3">
        <v>255</v>
      </c>
    </row>
    <row r="18123" spans="1:13" x14ac:dyDescent="0.25">
      <c r="A18123" s="1" t="str">
        <f>HYPERLINK("http://www.rosaceae.org/Prunus/Prunus_persica/p.persica_gdr_reftransV1_0045410","p.persica_gdr_reftransV1_0045410")</f>
        <v>p.persica_gdr_reftransV1_0045410</v>
      </c>
      <c r="B18123" s="3">
        <v>2318</v>
      </c>
      <c r="C18123" s="1" t="str">
        <f>HYPERLINK("http://www.uniprot.org/uniprot/ATPBM_NICPL","ATPBM_NICPL")</f>
        <v>ATPBM_NICPL</v>
      </c>
      <c r="D18123" t="s">
        <v>5105</v>
      </c>
      <c r="E18123" s="3" t="s">
        <v>1450</v>
      </c>
      <c r="F18123" s="4">
        <v>0</v>
      </c>
      <c r="G18123" s="3">
        <v>2376</v>
      </c>
      <c r="H18123" s="3">
        <v>92</v>
      </c>
      <c r="I18123" s="3">
        <v>499</v>
      </c>
      <c r="J18123" s="3">
        <v>476</v>
      </c>
      <c r="K18123" s="3">
        <v>1966</v>
      </c>
      <c r="L18123" s="3">
        <v>45</v>
      </c>
      <c r="M18123" s="3">
        <v>543</v>
      </c>
    </row>
    <row r="18124" spans="1:13" x14ac:dyDescent="0.25">
      <c r="A18124" s="1" t="str">
        <f>HYPERLINK("http://www.rosaceae.org/Prunus/Prunus_persica/p.persica_gdr_reftransV1_0045460","p.persica_gdr_reftransV1_0045460")</f>
        <v>p.persica_gdr_reftransV1_0045460</v>
      </c>
      <c r="B18124" s="3">
        <v>1663</v>
      </c>
      <c r="C18124" s="1" t="str">
        <f>HYPERLINK("http://www.uniprot.org/uniprot/GATL3_ARATH","GATL3_ARATH")</f>
        <v>GATL3_ARATH</v>
      </c>
      <c r="D18124" t="s">
        <v>5141</v>
      </c>
      <c r="E18124" s="3" t="s">
        <v>3</v>
      </c>
      <c r="F18124" s="4">
        <v>3.3800000000000002E-172</v>
      </c>
      <c r="G18124" s="3">
        <v>1282</v>
      </c>
      <c r="H18124" s="3">
        <v>76</v>
      </c>
      <c r="I18124" s="3">
        <v>331</v>
      </c>
      <c r="J18124" s="3">
        <v>138</v>
      </c>
      <c r="K18124" s="3">
        <v>1130</v>
      </c>
      <c r="L18124" s="3">
        <v>21</v>
      </c>
      <c r="M18124" s="3">
        <v>345</v>
      </c>
    </row>
    <row r="18125" spans="1:13" x14ac:dyDescent="0.25">
      <c r="A18125" s="1" t="str">
        <f>HYPERLINK("http://www.rosaceae.org/Prunus/Prunus_persica/p.persica_gdr_reftransV1_0045560","p.persica_gdr_reftransV1_0045560")</f>
        <v>p.persica_gdr_reftransV1_0045560</v>
      </c>
      <c r="B18125" s="3">
        <v>3710</v>
      </c>
      <c r="C18125" s="1" t="str">
        <f>HYPERLINK("http://www.uniprot.org/uniprot/C3H17_ARATH","C3H17_ARATH")</f>
        <v>C3H17_ARATH</v>
      </c>
      <c r="D18125" t="s">
        <v>6159</v>
      </c>
      <c r="E18125" s="3" t="s">
        <v>3</v>
      </c>
      <c r="F18125" s="4">
        <v>9.6500000000000004E-110</v>
      </c>
      <c r="G18125" s="3">
        <v>939</v>
      </c>
      <c r="H18125" s="3">
        <v>44</v>
      </c>
      <c r="I18125" s="3">
        <v>574</v>
      </c>
      <c r="J18125" s="3">
        <v>1283</v>
      </c>
      <c r="K18125" s="3">
        <v>2962</v>
      </c>
      <c r="L18125" s="3">
        <v>22</v>
      </c>
      <c r="M18125" s="3">
        <v>533</v>
      </c>
    </row>
    <row r="18126" spans="1:13" x14ac:dyDescent="0.25">
      <c r="A18126" s="1" t="str">
        <f>HYPERLINK("http://www.rosaceae.org/Prunus/Prunus_persica/p.persica_gdr_reftransV1_0045660","p.persica_gdr_reftransV1_0045660")</f>
        <v>p.persica_gdr_reftransV1_0045660</v>
      </c>
      <c r="B18126" s="3">
        <v>1690</v>
      </c>
      <c r="C18126" s="1" t="str">
        <f>HYPERLINK("http://www.uniprot.org/uniprot/MDA1_ARATH","MDA1_ARATH")</f>
        <v>MDA1_ARATH</v>
      </c>
      <c r="D18126" t="s">
        <v>6793</v>
      </c>
      <c r="E18126" s="3" t="s">
        <v>3</v>
      </c>
      <c r="F18126" s="4">
        <v>4.1499999999999999E-16</v>
      </c>
      <c r="G18126" s="3">
        <v>206</v>
      </c>
      <c r="H18126" s="3">
        <v>39</v>
      </c>
      <c r="I18126" s="3">
        <v>120</v>
      </c>
      <c r="J18126" s="3">
        <v>480</v>
      </c>
      <c r="K18126" s="3">
        <v>827</v>
      </c>
      <c r="L18126" s="3">
        <v>127</v>
      </c>
      <c r="M18126" s="3">
        <v>241</v>
      </c>
    </row>
    <row r="18127" spans="1:13" x14ac:dyDescent="0.25">
      <c r="A18127" s="1" t="str">
        <f>HYPERLINK("http://www.rosaceae.org/Prunus/Prunus_persica/p.persica_gdr_reftransV1_0045860","p.persica_gdr_reftransV1_0045860")</f>
        <v>p.persica_gdr_reftransV1_0045860</v>
      </c>
      <c r="B18127" s="3">
        <v>779</v>
      </c>
      <c r="C18127" s="1" t="str">
        <f>HYPERLINK("http://www.uniprot.org/uniprot/OTU_ARATH","OTU_ARATH")</f>
        <v>OTU_ARATH</v>
      </c>
      <c r="D18127" t="s">
        <v>2595</v>
      </c>
      <c r="E18127" s="3" t="s">
        <v>3</v>
      </c>
      <c r="F18127" s="4">
        <v>2.9699999999999999E-20</v>
      </c>
      <c r="G18127" s="3">
        <v>226</v>
      </c>
      <c r="H18127" s="3">
        <v>35</v>
      </c>
      <c r="I18127" s="3">
        <v>163</v>
      </c>
      <c r="J18127" s="3">
        <v>47</v>
      </c>
      <c r="K18127" s="3">
        <v>529</v>
      </c>
      <c r="L18127" s="3">
        <v>168</v>
      </c>
      <c r="M18127" s="3">
        <v>308</v>
      </c>
    </row>
    <row r="18128" spans="1:13" x14ac:dyDescent="0.25">
      <c r="A18128" s="1" t="str">
        <f>HYPERLINK("http://www.rosaceae.org/Prunus/Prunus_persica/p.persica_gdr_reftransV1_0045910","p.persica_gdr_reftransV1_0045910")</f>
        <v>p.persica_gdr_reftransV1_0045910</v>
      </c>
      <c r="B18128" s="3">
        <v>1908</v>
      </c>
      <c r="C18128" s="1" t="str">
        <f>HYPERLINK("http://www.uniprot.org/uniprot/TM1L2_MOUSE","TM1L2_MOUSE")</f>
        <v>TM1L2_MOUSE</v>
      </c>
      <c r="D18128" t="s">
        <v>201</v>
      </c>
      <c r="E18128" s="3" t="s">
        <v>157</v>
      </c>
      <c r="F18128" s="4">
        <v>1.3E-7</v>
      </c>
      <c r="G18128" s="3">
        <v>140</v>
      </c>
      <c r="H18128" s="3">
        <v>24</v>
      </c>
      <c r="I18128" s="3">
        <v>233</v>
      </c>
      <c r="J18128" s="3">
        <v>638</v>
      </c>
      <c r="K18128" s="3">
        <v>1252</v>
      </c>
      <c r="L18128" s="3">
        <v>100</v>
      </c>
      <c r="M18128" s="3">
        <v>330</v>
      </c>
    </row>
    <row r="18129" spans="1:13" x14ac:dyDescent="0.25">
      <c r="A18129" s="1" t="str">
        <f>HYPERLINK("http://www.rosaceae.org/Prunus/Prunus_persica/p.persica_gdr_reftransV1_0046060","p.persica_gdr_reftransV1_0046060")</f>
        <v>p.persica_gdr_reftransV1_0046060</v>
      </c>
      <c r="B18129" s="3">
        <v>677</v>
      </c>
      <c r="C18129" s="1" t="str">
        <f>HYPERLINK("http://www.uniprot.org/uniprot/DME_ARATH","DME_ARATH")</f>
        <v>DME_ARATH</v>
      </c>
      <c r="D18129" t="s">
        <v>26</v>
      </c>
      <c r="E18129" s="3" t="s">
        <v>3</v>
      </c>
      <c r="F18129" s="4">
        <v>1.04E-58</v>
      </c>
      <c r="G18129" s="3">
        <v>524</v>
      </c>
      <c r="H18129" s="3">
        <v>81</v>
      </c>
      <c r="I18129" s="3">
        <v>108</v>
      </c>
      <c r="J18129" s="3">
        <v>2</v>
      </c>
      <c r="K18129" s="3">
        <v>325</v>
      </c>
      <c r="L18129" s="3">
        <v>1879</v>
      </c>
      <c r="M18129" s="3">
        <v>1986</v>
      </c>
    </row>
    <row r="18130" spans="1:13" x14ac:dyDescent="0.25">
      <c r="A18130" s="1" t="str">
        <f>HYPERLINK("http://www.rosaceae.org/Prunus/Prunus_persica/p.persica_gdr_reftransV1_0046160","p.persica_gdr_reftransV1_0046160")</f>
        <v>p.persica_gdr_reftransV1_0046160</v>
      </c>
      <c r="B18130" s="3">
        <v>310</v>
      </c>
      <c r="C18130" s="1" t="str">
        <f>HYPERLINK("http://www.uniprot.org/uniprot/TI141_ARATH","TI141_ARATH")</f>
        <v>TI141_ARATH</v>
      </c>
      <c r="D18130" t="s">
        <v>3422</v>
      </c>
      <c r="E18130" s="3" t="s">
        <v>3</v>
      </c>
      <c r="F18130" s="4">
        <v>6.39E-17</v>
      </c>
      <c r="G18130" s="3">
        <v>183</v>
      </c>
      <c r="H18130" s="3">
        <v>83</v>
      </c>
      <c r="I18130" s="3">
        <v>52</v>
      </c>
      <c r="J18130" s="3">
        <v>120</v>
      </c>
      <c r="K18130" s="3">
        <v>275</v>
      </c>
      <c r="L18130" s="3">
        <v>1</v>
      </c>
      <c r="M18130" s="3">
        <v>52</v>
      </c>
    </row>
    <row r="18131" spans="1:13" x14ac:dyDescent="0.25">
      <c r="A18131" s="1" t="str">
        <f>HYPERLINK("http://www.rosaceae.org/Prunus/Prunus_persica/p.persica_gdr_reftransV1_0046260","p.persica_gdr_reftransV1_0046260")</f>
        <v>p.persica_gdr_reftransV1_0046260</v>
      </c>
      <c r="B18131" s="3">
        <v>1943</v>
      </c>
      <c r="C18131" s="1" t="str">
        <f>HYPERLINK("http://www.uniprot.org/uniprot/SNP33_ARATH","SNP33_ARATH")</f>
        <v>SNP33_ARATH</v>
      </c>
      <c r="D18131" t="s">
        <v>2377</v>
      </c>
      <c r="E18131" s="3" t="s">
        <v>3</v>
      </c>
      <c r="F18131" s="4">
        <v>3.0499999999999999E-102</v>
      </c>
      <c r="G18131" s="3">
        <v>820</v>
      </c>
      <c r="H18131" s="3">
        <v>62</v>
      </c>
      <c r="I18131" s="3">
        <v>301</v>
      </c>
      <c r="J18131" s="3">
        <v>25</v>
      </c>
      <c r="K18131" s="3">
        <v>867</v>
      </c>
      <c r="L18131" s="3">
        <v>1</v>
      </c>
      <c r="M18131" s="3">
        <v>300</v>
      </c>
    </row>
    <row r="18132" spans="1:13" x14ac:dyDescent="0.25">
      <c r="A18132" s="1" t="str">
        <f>HYPERLINK("http://www.rosaceae.org/Prunus/Prunus_persica/p.persica_gdr_reftransV1_0046310","p.persica_gdr_reftransV1_0046310")</f>
        <v>p.persica_gdr_reftransV1_0046310</v>
      </c>
      <c r="B18132" s="3">
        <v>966</v>
      </c>
      <c r="C18132" s="1" t="str">
        <f>HYPERLINK("http://www.uniprot.org/uniprot/BPE_ARATH","BPE_ARATH")</f>
        <v>BPE_ARATH</v>
      </c>
      <c r="D18132" t="s">
        <v>10980</v>
      </c>
      <c r="E18132" s="3" t="s">
        <v>3</v>
      </c>
      <c r="F18132" s="4">
        <v>1.23E-24</v>
      </c>
      <c r="G18132" s="3">
        <v>263</v>
      </c>
      <c r="H18132" s="3">
        <v>46</v>
      </c>
      <c r="I18132" s="3">
        <v>183</v>
      </c>
      <c r="J18132" s="3">
        <v>424</v>
      </c>
      <c r="K18132" s="3">
        <v>966</v>
      </c>
      <c r="L18132" s="3">
        <v>1</v>
      </c>
      <c r="M18132" s="3">
        <v>156</v>
      </c>
    </row>
    <row r="18133" spans="1:13" x14ac:dyDescent="0.25">
      <c r="A18133" s="1" t="str">
        <f>HYPERLINK("http://www.rosaceae.org/Prunus/Prunus_persica/p.persica_gdr_reftransV1_0046360","p.persica_gdr_reftransV1_0046360")</f>
        <v>p.persica_gdr_reftransV1_0046360</v>
      </c>
      <c r="B18133" s="3">
        <v>2834</v>
      </c>
      <c r="C18133" s="1" t="str">
        <f>HYPERLINK("http://www.uniprot.org/uniprot/D6KL2_ARATH","D6KL2_ARATH")</f>
        <v>D6KL2_ARATH</v>
      </c>
      <c r="D18133" t="s">
        <v>1171</v>
      </c>
      <c r="E18133" s="3" t="s">
        <v>3</v>
      </c>
      <c r="F18133" s="4">
        <v>0</v>
      </c>
      <c r="G18133" s="3">
        <v>1732</v>
      </c>
      <c r="H18133" s="3">
        <v>70</v>
      </c>
      <c r="I18133" s="3">
        <v>493</v>
      </c>
      <c r="J18133" s="3">
        <v>1137</v>
      </c>
      <c r="K18133" s="3">
        <v>2585</v>
      </c>
      <c r="L18133" s="3">
        <v>103</v>
      </c>
      <c r="M18133" s="3">
        <v>586</v>
      </c>
    </row>
    <row r="18134" spans="1:13" x14ac:dyDescent="0.25">
      <c r="A18134" s="1" t="str">
        <f>HYPERLINK("http://www.rosaceae.org/Prunus/Prunus_persica/p.persica_gdr_reftransV1_0046410","p.persica_gdr_reftransV1_0046410")</f>
        <v>p.persica_gdr_reftransV1_0046410</v>
      </c>
      <c r="B18134" s="3">
        <v>2649</v>
      </c>
      <c r="C18134" s="1" t="str">
        <f>HYPERLINK("http://www.uniprot.org/uniprot/ANT_ARATH","ANT_ARATH")</f>
        <v>ANT_ARATH</v>
      </c>
      <c r="D18134" t="s">
        <v>9042</v>
      </c>
      <c r="E18134" s="3" t="s">
        <v>3</v>
      </c>
      <c r="F18134" s="4">
        <v>1.13E-147</v>
      </c>
      <c r="G18134" s="3">
        <v>1168</v>
      </c>
      <c r="H18134" s="3">
        <v>58</v>
      </c>
      <c r="I18134" s="3">
        <v>452</v>
      </c>
      <c r="J18134" s="3">
        <v>484</v>
      </c>
      <c r="K18134" s="3">
        <v>1758</v>
      </c>
      <c r="L18134" s="3">
        <v>65</v>
      </c>
      <c r="M18134" s="3">
        <v>466</v>
      </c>
    </row>
    <row r="18135" spans="1:13" x14ac:dyDescent="0.25">
      <c r="A18135" s="1" t="str">
        <f>HYPERLINK("http://www.rosaceae.org/Prunus/Prunus_persica/p.persica_gdr_reftransV1_0046860","p.persica_gdr_reftransV1_0046860")</f>
        <v>p.persica_gdr_reftransV1_0046860</v>
      </c>
      <c r="B18135" s="3">
        <v>1087</v>
      </c>
      <c r="C18135" s="1" t="str">
        <f>HYPERLINK("http://www.uniprot.org/uniprot/PPR38_ARATH","PPR38_ARATH")</f>
        <v>PPR38_ARATH</v>
      </c>
      <c r="D18135" t="s">
        <v>749</v>
      </c>
      <c r="E18135" s="3" t="s">
        <v>3</v>
      </c>
      <c r="F18135" s="4">
        <v>3.1200000000000001E-105</v>
      </c>
      <c r="G18135" s="3">
        <v>841</v>
      </c>
      <c r="H18135" s="3">
        <v>45</v>
      </c>
      <c r="I18135" s="3">
        <v>359</v>
      </c>
      <c r="J18135" s="3">
        <v>6</v>
      </c>
      <c r="K18135" s="3">
        <v>1079</v>
      </c>
      <c r="L18135" s="3">
        <v>113</v>
      </c>
      <c r="M18135" s="3">
        <v>470</v>
      </c>
    </row>
    <row r="18136" spans="1:13" x14ac:dyDescent="0.25">
      <c r="A18136" s="1" t="str">
        <f>HYPERLINK("http://www.rosaceae.org/Prunus/Prunus_persica/p.persica_gdr_reftransV1_0046910","p.persica_gdr_reftransV1_0046910")</f>
        <v>p.persica_gdr_reftransV1_0046910</v>
      </c>
      <c r="B18136" s="3">
        <v>3557</v>
      </c>
      <c r="C18136" s="1" t="str">
        <f>HYPERLINK("http://www.uniprot.org/uniprot/SPL6_ORYSJ","SPL6_ORYSJ")</f>
        <v>SPL6_ORYSJ</v>
      </c>
      <c r="D18136" t="s">
        <v>9318</v>
      </c>
      <c r="E18136" s="3" t="s">
        <v>38</v>
      </c>
      <c r="F18136" s="4">
        <v>0</v>
      </c>
      <c r="G18136" s="3">
        <v>1506</v>
      </c>
      <c r="H18136" s="3">
        <v>40</v>
      </c>
      <c r="I18136" s="3">
        <v>1048</v>
      </c>
      <c r="J18136" s="3">
        <v>79</v>
      </c>
      <c r="K18136" s="3">
        <v>3156</v>
      </c>
      <c r="L18136" s="3">
        <v>4</v>
      </c>
      <c r="M18136" s="3">
        <v>967</v>
      </c>
    </row>
    <row r="18137" spans="1:13" x14ac:dyDescent="0.25">
      <c r="A18137" s="1" t="str">
        <f>HYPERLINK("http://www.rosaceae.org/Prunus/Prunus_persica/p.persica_gdr_reftransV1_0047010","p.persica_gdr_reftransV1_0047010")</f>
        <v>p.persica_gdr_reftransV1_0047010</v>
      </c>
      <c r="B18137" s="3">
        <v>376</v>
      </c>
      <c r="C18137" s="1" t="str">
        <f>HYPERLINK("http://www.uniprot.org/uniprot/AOG_PHAAN","AOG_PHAAN")</f>
        <v>AOG_PHAAN</v>
      </c>
      <c r="D18137" t="s">
        <v>10696</v>
      </c>
      <c r="E18137" s="3" t="s">
        <v>4879</v>
      </c>
      <c r="F18137" s="4">
        <v>4.1300000000000001E-16</v>
      </c>
      <c r="G18137" s="3">
        <v>190</v>
      </c>
      <c r="H18137" s="3">
        <v>51</v>
      </c>
      <c r="I18137" s="3">
        <v>76</v>
      </c>
      <c r="J18137" s="3">
        <v>24</v>
      </c>
      <c r="K18137" s="3">
        <v>242</v>
      </c>
      <c r="L18137" s="3">
        <v>5</v>
      </c>
      <c r="M18137" s="3">
        <v>79</v>
      </c>
    </row>
    <row r="18138" spans="1:13" x14ac:dyDescent="0.25">
      <c r="A18138" s="1" t="str">
        <f>HYPERLINK("http://www.rosaceae.org/Prunus/Prunus_persica/p.persica_gdr_reftransV1_0047060","p.persica_gdr_reftransV1_0047060")</f>
        <v>p.persica_gdr_reftransV1_0047060</v>
      </c>
      <c r="B18138" s="3">
        <v>1692</v>
      </c>
      <c r="C18138" s="1" t="str">
        <f>HYPERLINK("http://www.uniprot.org/uniprot/HATB_ARATH","HATB_ARATH")</f>
        <v>HATB_ARATH</v>
      </c>
      <c r="D18138" t="s">
        <v>10981</v>
      </c>
      <c r="E18138" s="3" t="s">
        <v>3</v>
      </c>
      <c r="F18138" s="4">
        <v>0</v>
      </c>
      <c r="G18138" s="3">
        <v>1403</v>
      </c>
      <c r="H18138" s="3">
        <v>59</v>
      </c>
      <c r="I18138" s="3">
        <v>461</v>
      </c>
      <c r="J18138" s="3">
        <v>232</v>
      </c>
      <c r="K18138" s="3">
        <v>1608</v>
      </c>
      <c r="L18138" s="3">
        <v>1</v>
      </c>
      <c r="M18138" s="3">
        <v>459</v>
      </c>
    </row>
    <row r="18139" spans="1:13" x14ac:dyDescent="0.25">
      <c r="A18139" s="1" t="str">
        <f>HYPERLINK("http://www.rosaceae.org/Prunus/Prunus_persica/p.persica_gdr_reftransV1_0047410","p.persica_gdr_reftransV1_0047410")</f>
        <v>p.persica_gdr_reftransV1_0047410</v>
      </c>
      <c r="B18139" s="3">
        <v>1072</v>
      </c>
      <c r="C18139" s="1" t="str">
        <f>HYPERLINK("http://www.uniprot.org/uniprot/HMGYA_SOYBN","HMGYA_SOYBN")</f>
        <v>HMGYA_SOYBN</v>
      </c>
      <c r="D18139" t="s">
        <v>1764</v>
      </c>
      <c r="E18139" s="3" t="s">
        <v>307</v>
      </c>
      <c r="F18139" s="4">
        <v>1.16E-24</v>
      </c>
      <c r="G18139" s="3">
        <v>256</v>
      </c>
      <c r="H18139" s="3">
        <v>67</v>
      </c>
      <c r="I18139" s="3">
        <v>73</v>
      </c>
      <c r="J18139" s="3">
        <v>684</v>
      </c>
      <c r="K18139" s="3">
        <v>902</v>
      </c>
      <c r="L18139" s="3">
        <v>11</v>
      </c>
      <c r="M18139" s="3">
        <v>81</v>
      </c>
    </row>
    <row r="18140" spans="1:13" x14ac:dyDescent="0.25">
      <c r="A18140" s="1" t="str">
        <f>HYPERLINK("http://www.rosaceae.org/Prunus/Prunus_persica/p.persica_gdr_reftransV1_0047560","p.persica_gdr_reftransV1_0047560")</f>
        <v>p.persica_gdr_reftransV1_0047560</v>
      </c>
      <c r="B18140" s="3">
        <v>1047</v>
      </c>
      <c r="C18140" s="1" t="str">
        <f>HYPERLINK("http://www.uniprot.org/uniprot/SP1L1_ARATH","SP1L1_ARATH")</f>
        <v>SP1L1_ARATH</v>
      </c>
      <c r="D18140" t="s">
        <v>3348</v>
      </c>
      <c r="E18140" s="3" t="s">
        <v>3</v>
      </c>
      <c r="F18140" s="4">
        <v>2.7800000000000002E-27</v>
      </c>
      <c r="G18140" s="3">
        <v>270</v>
      </c>
      <c r="H18140" s="3">
        <v>63</v>
      </c>
      <c r="I18140" s="3">
        <v>98</v>
      </c>
      <c r="J18140" s="3">
        <v>575</v>
      </c>
      <c r="K18140" s="3">
        <v>868</v>
      </c>
      <c r="L18140" s="3">
        <v>22</v>
      </c>
      <c r="M18140" s="3">
        <v>113</v>
      </c>
    </row>
    <row r="18141" spans="1:13" x14ac:dyDescent="0.25">
      <c r="A18141" s="1" t="str">
        <f>HYPERLINK("http://www.rosaceae.org/Prunus/Prunus_persica/p.persica_gdr_reftransV1_0047660","p.persica_gdr_reftransV1_0047660")</f>
        <v>p.persica_gdr_reftransV1_0047660</v>
      </c>
      <c r="B18141" s="3">
        <v>519</v>
      </c>
      <c r="C18141" s="1" t="str">
        <f>HYPERLINK("http://www.uniprot.org/uniprot/SHH1_ARATH","SHH1_ARATH")</f>
        <v>SHH1_ARATH</v>
      </c>
      <c r="D18141" t="s">
        <v>1715</v>
      </c>
      <c r="E18141" s="3" t="s">
        <v>3</v>
      </c>
      <c r="F18141" s="4">
        <v>5.91E-20</v>
      </c>
      <c r="G18141" s="3">
        <v>217</v>
      </c>
      <c r="H18141" s="3">
        <v>35</v>
      </c>
      <c r="I18141" s="3">
        <v>144</v>
      </c>
      <c r="J18141" s="3">
        <v>71</v>
      </c>
      <c r="K18141" s="3">
        <v>448</v>
      </c>
      <c r="L18141" s="3">
        <v>14</v>
      </c>
      <c r="M18141" s="3">
        <v>155</v>
      </c>
    </row>
    <row r="18142" spans="1:13" x14ac:dyDescent="0.25">
      <c r="A18142" s="1" t="str">
        <f>HYPERLINK("http://www.rosaceae.org/Prunus/Prunus_persica/p.persica_gdr_reftransV1_0047710","p.persica_gdr_reftransV1_0047710")</f>
        <v>p.persica_gdr_reftransV1_0047710</v>
      </c>
      <c r="B18142" s="3">
        <v>677</v>
      </c>
      <c r="C18142" s="1" t="str">
        <f>HYPERLINK("http://www.uniprot.org/uniprot/STGL1_ARATH","STGL1_ARATH")</f>
        <v>STGL1_ARATH</v>
      </c>
      <c r="D18142" t="s">
        <v>10982</v>
      </c>
      <c r="E18142" s="3" t="s">
        <v>3</v>
      </c>
      <c r="F18142" s="4">
        <v>7.9700000000000004E-10</v>
      </c>
      <c r="G18142" s="3">
        <v>141</v>
      </c>
      <c r="H18142" s="3">
        <v>42</v>
      </c>
      <c r="I18142" s="3">
        <v>97</v>
      </c>
      <c r="J18142" s="3">
        <v>188</v>
      </c>
      <c r="K18142" s="3">
        <v>460</v>
      </c>
      <c r="L18142" s="3">
        <v>56</v>
      </c>
      <c r="M18142" s="3">
        <v>152</v>
      </c>
    </row>
    <row r="18143" spans="1:13" x14ac:dyDescent="0.25">
      <c r="A18143" s="1" t="str">
        <f>HYPERLINK("http://www.rosaceae.org/Prunus/Prunus_persica/p.persica_gdr_reftransV1_0047760","p.persica_gdr_reftransV1_0047760")</f>
        <v>p.persica_gdr_reftransV1_0047760</v>
      </c>
      <c r="B18143" s="3">
        <v>511</v>
      </c>
      <c r="C18143" s="1" t="str">
        <f>HYPERLINK("http://www.uniprot.org/uniprot/TMVRN_NICGU","TMVRN_NICGU")</f>
        <v>TMVRN_NICGU</v>
      </c>
      <c r="D18143" t="s">
        <v>151</v>
      </c>
      <c r="E18143" s="3" t="s">
        <v>152</v>
      </c>
      <c r="F18143" s="4">
        <v>3.5400000000000002E-28</v>
      </c>
      <c r="G18143" s="3">
        <v>288</v>
      </c>
      <c r="H18143" s="3">
        <v>40</v>
      </c>
      <c r="I18143" s="3">
        <v>171</v>
      </c>
      <c r="J18143" s="3">
        <v>22</v>
      </c>
      <c r="K18143" s="3">
        <v>510</v>
      </c>
      <c r="L18143" s="3">
        <v>243</v>
      </c>
      <c r="M18143" s="3">
        <v>404</v>
      </c>
    </row>
    <row r="18144" spans="1:13" x14ac:dyDescent="0.25">
      <c r="A18144" s="1" t="str">
        <f>HYPERLINK("http://www.rosaceae.org/Prunus/Prunus_persica/p.persica_gdr_reftransV1_0047860","p.persica_gdr_reftransV1_0047860")</f>
        <v>p.persica_gdr_reftransV1_0047860</v>
      </c>
      <c r="B18144" s="3">
        <v>2158</v>
      </c>
      <c r="C18144" s="1" t="str">
        <f>HYPERLINK("http://www.uniprot.org/uniprot/TDT_ARATH","TDT_ARATH")</f>
        <v>TDT_ARATH</v>
      </c>
      <c r="D18144" t="s">
        <v>2864</v>
      </c>
      <c r="E18144" s="3" t="s">
        <v>3</v>
      </c>
      <c r="F18144" s="4">
        <v>0</v>
      </c>
      <c r="G18144" s="3">
        <v>2006</v>
      </c>
      <c r="H18144" s="3">
        <v>77</v>
      </c>
      <c r="I18144" s="3">
        <v>512</v>
      </c>
      <c r="J18144" s="3">
        <v>386</v>
      </c>
      <c r="K18144" s="3">
        <v>1903</v>
      </c>
      <c r="L18144" s="3">
        <v>29</v>
      </c>
      <c r="M18144" s="3">
        <v>540</v>
      </c>
    </row>
    <row r="18145" spans="1:13" x14ac:dyDescent="0.25">
      <c r="A18145" s="1" t="str">
        <f>HYPERLINK("http://www.rosaceae.org/Prunus/Prunus_persica/p.persica_gdr_reftransV1_0047910","p.persica_gdr_reftransV1_0047910")</f>
        <v>p.persica_gdr_reftransV1_0047910</v>
      </c>
      <c r="B18145" s="3">
        <v>1328</v>
      </c>
      <c r="C18145" s="1" t="str">
        <f>HYPERLINK("http://www.uniprot.org/uniprot/PSBO_TOBAC","PSBO_TOBAC")</f>
        <v>PSBO_TOBAC</v>
      </c>
      <c r="D18145" t="s">
        <v>2615</v>
      </c>
      <c r="E18145" s="3" t="s">
        <v>200</v>
      </c>
      <c r="F18145" s="4">
        <v>0</v>
      </c>
      <c r="G18145" s="3">
        <v>1406</v>
      </c>
      <c r="H18145" s="3">
        <v>89</v>
      </c>
      <c r="I18145" s="3">
        <v>298</v>
      </c>
      <c r="J18145" s="3">
        <v>433</v>
      </c>
      <c r="K18145" s="3">
        <v>1326</v>
      </c>
      <c r="L18145" s="3">
        <v>36</v>
      </c>
      <c r="M18145" s="3">
        <v>332</v>
      </c>
    </row>
    <row r="18146" spans="1:13" x14ac:dyDescent="0.25">
      <c r="A18146" s="1" t="str">
        <f>HYPERLINK("http://www.rosaceae.org/Prunus/Prunus_persica/p.persica_gdr_reftransV1_0047960","p.persica_gdr_reftransV1_0047960")</f>
        <v>p.persica_gdr_reftransV1_0047960</v>
      </c>
      <c r="B18146" s="3">
        <v>305</v>
      </c>
      <c r="C18146" s="1" t="str">
        <f>HYPERLINK("http://www.uniprot.org/uniprot/ZED1_ARATH","ZED1_ARATH")</f>
        <v>ZED1_ARATH</v>
      </c>
      <c r="D18146" t="s">
        <v>195</v>
      </c>
      <c r="E18146" s="3" t="s">
        <v>3</v>
      </c>
      <c r="F18146" s="4">
        <v>7.9500000000000001E-32</v>
      </c>
      <c r="G18146" s="3">
        <v>297</v>
      </c>
      <c r="H18146" s="3">
        <v>50</v>
      </c>
      <c r="I18146" s="3">
        <v>100</v>
      </c>
      <c r="J18146" s="3">
        <v>5</v>
      </c>
      <c r="K18146" s="3">
        <v>304</v>
      </c>
      <c r="L18146" s="3">
        <v>146</v>
      </c>
      <c r="M18146" s="3">
        <v>245</v>
      </c>
    </row>
    <row r="18147" spans="1:13" x14ac:dyDescent="0.25">
      <c r="A18147" s="1" t="str">
        <f>HYPERLINK("http://www.rosaceae.org/Prunus/Prunus_persica/p.persica_gdr_reftransV1_0048310","p.persica_gdr_reftransV1_0048310")</f>
        <v>p.persica_gdr_reftransV1_0048310</v>
      </c>
      <c r="B18147" s="3">
        <v>1070</v>
      </c>
      <c r="C18147" s="1" t="str">
        <f>HYPERLINK("http://www.uniprot.org/uniprot/RBS_PYRPY","RBS_PYRPY")</f>
        <v>RBS_PYRPY</v>
      </c>
      <c r="D18147" t="s">
        <v>6959</v>
      </c>
      <c r="E18147" s="3" t="s">
        <v>2862</v>
      </c>
      <c r="F18147" s="4">
        <v>1.0300000000000001E-107</v>
      </c>
      <c r="G18147" s="3">
        <v>819</v>
      </c>
      <c r="H18147" s="3">
        <v>89</v>
      </c>
      <c r="I18147" s="3">
        <v>183</v>
      </c>
      <c r="J18147" s="3">
        <v>46</v>
      </c>
      <c r="K18147" s="3">
        <v>594</v>
      </c>
      <c r="L18147" s="3">
        <v>1</v>
      </c>
      <c r="M18147" s="3">
        <v>183</v>
      </c>
    </row>
    <row r="18148" spans="1:13" x14ac:dyDescent="0.25">
      <c r="A18148" s="1" t="str">
        <f>HYPERLINK("http://www.rosaceae.org/Prunus/Prunus_persica/p.persica_gdr_reftransV1_0048410","p.persica_gdr_reftransV1_0048410")</f>
        <v>p.persica_gdr_reftransV1_0048410</v>
      </c>
      <c r="B18148" s="3">
        <v>319</v>
      </c>
      <c r="C18148" s="1" t="str">
        <f>HYPERLINK("http://www.uniprot.org/uniprot/ANTA_GENTR","ANTA_GENTR")</f>
        <v>ANTA_GENTR</v>
      </c>
      <c r="D18148" t="s">
        <v>10983</v>
      </c>
      <c r="E18148" s="3" t="s">
        <v>3720</v>
      </c>
      <c r="F18148" s="4">
        <v>9.5200000000000002E-18</v>
      </c>
      <c r="G18148" s="3">
        <v>200</v>
      </c>
      <c r="H18148" s="3">
        <v>39</v>
      </c>
      <c r="I18148" s="3">
        <v>109</v>
      </c>
      <c r="J18148" s="3">
        <v>1</v>
      </c>
      <c r="K18148" s="3">
        <v>318</v>
      </c>
      <c r="L18148" s="3">
        <v>331</v>
      </c>
      <c r="M18148" s="3">
        <v>438</v>
      </c>
    </row>
    <row r="18149" spans="1:13" x14ac:dyDescent="0.25">
      <c r="A18149" s="1" t="str">
        <f>HYPERLINK("http://www.rosaceae.org/Prunus/Prunus_persica/p.persica_gdr_reftransV1_0048460","p.persica_gdr_reftransV1_0048460")</f>
        <v>p.persica_gdr_reftransV1_0048460</v>
      </c>
      <c r="B18149" s="3">
        <v>1959</v>
      </c>
      <c r="C18149" s="1" t="str">
        <f>HYPERLINK("http://www.uniprot.org/uniprot/C7A29_PANGI","C7A29_PANGI")</f>
        <v>C7A29_PANGI</v>
      </c>
      <c r="D18149" t="s">
        <v>3855</v>
      </c>
      <c r="E18149" s="3" t="s">
        <v>1477</v>
      </c>
      <c r="F18149" s="4">
        <v>0</v>
      </c>
      <c r="G18149" s="3">
        <v>1649</v>
      </c>
      <c r="H18149" s="3">
        <v>62</v>
      </c>
      <c r="I18149" s="3">
        <v>509</v>
      </c>
      <c r="J18149" s="3">
        <v>95</v>
      </c>
      <c r="K18149" s="3">
        <v>1618</v>
      </c>
      <c r="L18149" s="3">
        <v>10</v>
      </c>
      <c r="M18149" s="3">
        <v>515</v>
      </c>
    </row>
    <row r="18150" spans="1:13" x14ac:dyDescent="0.25">
      <c r="A18150" s="1" t="str">
        <f>HYPERLINK("http://www.rosaceae.org/Prunus/Prunus_persica/p.persica_gdr_reftransV1_0048610","p.persica_gdr_reftransV1_0048610")</f>
        <v>p.persica_gdr_reftransV1_0048610</v>
      </c>
      <c r="B18150" s="3">
        <v>1082</v>
      </c>
      <c r="C18150" s="1" t="str">
        <f>HYPERLINK("http://www.uniprot.org/uniprot/RR4_BUXMI","RR4_BUXMI")</f>
        <v>RR4_BUXMI</v>
      </c>
      <c r="D18150" t="s">
        <v>10984</v>
      </c>
      <c r="E18150" s="3" t="s">
        <v>2471</v>
      </c>
      <c r="F18150" s="4">
        <v>2E-132</v>
      </c>
      <c r="G18150" s="3">
        <v>985</v>
      </c>
      <c r="H18150" s="3">
        <v>94</v>
      </c>
      <c r="I18150" s="3">
        <v>201</v>
      </c>
      <c r="J18150" s="3">
        <v>138</v>
      </c>
      <c r="K18150" s="3">
        <v>740</v>
      </c>
      <c r="L18150" s="3">
        <v>1</v>
      </c>
      <c r="M18150" s="3">
        <v>201</v>
      </c>
    </row>
    <row r="18151" spans="1:13" x14ac:dyDescent="0.25">
      <c r="A18151" s="1" t="str">
        <f>HYPERLINK("http://www.rosaceae.org/Prunus/Prunus_persica/p.persica_gdr_reftransV1_0048810","p.persica_gdr_reftransV1_0048810")</f>
        <v>p.persica_gdr_reftransV1_0048810</v>
      </c>
      <c r="B18151" s="3">
        <v>2057</v>
      </c>
      <c r="C18151" s="1" t="str">
        <f>HYPERLINK("http://www.uniprot.org/uniprot/FAF2_ARATH","FAF2_ARATH")</f>
        <v>FAF2_ARATH</v>
      </c>
      <c r="D18151" t="s">
        <v>10985</v>
      </c>
      <c r="E18151" s="3" t="s">
        <v>3</v>
      </c>
      <c r="F18151" s="4">
        <v>3.6699999999999997E-18</v>
      </c>
      <c r="G18151" s="3">
        <v>219</v>
      </c>
      <c r="H18151" s="3">
        <v>42</v>
      </c>
      <c r="I18151" s="3">
        <v>170</v>
      </c>
      <c r="J18151" s="3">
        <v>962</v>
      </c>
      <c r="K18151" s="3">
        <v>1468</v>
      </c>
      <c r="L18151" s="3">
        <v>19</v>
      </c>
      <c r="M18151" s="3">
        <v>165</v>
      </c>
    </row>
    <row r="18152" spans="1:13" x14ac:dyDescent="0.25">
      <c r="A18152" s="1" t="str">
        <f>HYPERLINK("http://www.rosaceae.org/Prunus/Prunus_persica/p.persica_gdr_reftransV1_0048860","p.persica_gdr_reftransV1_0048860")</f>
        <v>p.persica_gdr_reftransV1_0048860</v>
      </c>
      <c r="B18152" s="3">
        <v>735</v>
      </c>
      <c r="C18152" s="1" t="str">
        <f>HYPERLINK("http://www.uniprot.org/uniprot/SC13A_ARATH","SC13A_ARATH")</f>
        <v>SC13A_ARATH</v>
      </c>
      <c r="D18152" t="s">
        <v>10986</v>
      </c>
      <c r="E18152" s="3" t="s">
        <v>3</v>
      </c>
      <c r="F18152" s="4">
        <v>5.6299999999999995E-119</v>
      </c>
      <c r="G18152" s="3">
        <v>894</v>
      </c>
      <c r="H18152" s="3">
        <v>82</v>
      </c>
      <c r="I18152" s="3">
        <v>200</v>
      </c>
      <c r="J18152" s="3">
        <v>138</v>
      </c>
      <c r="K18152" s="3">
        <v>734</v>
      </c>
      <c r="L18152" s="3">
        <v>1</v>
      </c>
      <c r="M18152" s="3">
        <v>200</v>
      </c>
    </row>
    <row r="18153" spans="1:13" x14ac:dyDescent="0.25">
      <c r="A18153" s="1" t="str">
        <f>HYPERLINK("http://www.rosaceae.org/Prunus/Prunus_persica/p.persica_gdr_reftransV1_0048960","p.persica_gdr_reftransV1_0048960")</f>
        <v>p.persica_gdr_reftransV1_0048960</v>
      </c>
      <c r="B18153" s="3">
        <v>385</v>
      </c>
      <c r="C18153" s="1" t="str">
        <f>HYPERLINK("http://www.uniprot.org/uniprot/ANTA_GENTR","ANTA_GENTR")</f>
        <v>ANTA_GENTR</v>
      </c>
      <c r="D18153" t="s">
        <v>10983</v>
      </c>
      <c r="E18153" s="3" t="s">
        <v>3720</v>
      </c>
      <c r="F18153" s="4">
        <v>7.6900000000000001E-19</v>
      </c>
      <c r="G18153" s="3">
        <v>210</v>
      </c>
      <c r="H18153" s="3">
        <v>38</v>
      </c>
      <c r="I18153" s="3">
        <v>133</v>
      </c>
      <c r="J18153" s="3">
        <v>2</v>
      </c>
      <c r="K18153" s="3">
        <v>379</v>
      </c>
      <c r="L18153" s="3">
        <v>156</v>
      </c>
      <c r="M18153" s="3">
        <v>275</v>
      </c>
    </row>
    <row r="18154" spans="1:13" x14ac:dyDescent="0.25">
      <c r="A18154" s="1" t="str">
        <f>HYPERLINK("http://www.rosaceae.org/Prunus/Prunus_persica/p.persica_gdr_reftransV1_0049010","p.persica_gdr_reftransV1_0049010")</f>
        <v>p.persica_gdr_reftransV1_0049010</v>
      </c>
      <c r="B18154" s="3">
        <v>1955</v>
      </c>
      <c r="C18154" s="1" t="str">
        <f>HYPERLINK("http://www.uniprot.org/uniprot/HEMH_ORYSI","HEMH_ORYSI")</f>
        <v>HEMH_ORYSI</v>
      </c>
      <c r="D18154" t="s">
        <v>5786</v>
      </c>
      <c r="E18154" s="3" t="s">
        <v>38</v>
      </c>
      <c r="F18154" s="4">
        <v>0</v>
      </c>
      <c r="G18154" s="3">
        <v>1989</v>
      </c>
      <c r="H18154" s="3">
        <v>83</v>
      </c>
      <c r="I18154" s="3">
        <v>477</v>
      </c>
      <c r="J18154" s="3">
        <v>347</v>
      </c>
      <c r="K18154" s="3">
        <v>1777</v>
      </c>
      <c r="L18154" s="3">
        <v>53</v>
      </c>
      <c r="M18154" s="3">
        <v>524</v>
      </c>
    </row>
    <row r="18155" spans="1:13" x14ac:dyDescent="0.25">
      <c r="A18155" s="1" t="str">
        <f>HYPERLINK("http://www.rosaceae.org/Prunus/Prunus_persica/p.persica_gdr_reftransV1_0049060","p.persica_gdr_reftransV1_0049060")</f>
        <v>p.persica_gdr_reftransV1_0049060</v>
      </c>
      <c r="B18155" s="3">
        <v>4780</v>
      </c>
      <c r="C18155" s="1" t="str">
        <f>HYPERLINK("http://www.uniprot.org/uniprot/PKL_ARATH","PKL_ARATH")</f>
        <v>PKL_ARATH</v>
      </c>
      <c r="D18155" t="s">
        <v>4822</v>
      </c>
      <c r="E18155" s="3" t="s">
        <v>3</v>
      </c>
      <c r="F18155" s="4">
        <v>0</v>
      </c>
      <c r="G18155" s="3">
        <v>4744</v>
      </c>
      <c r="H18155" s="3">
        <v>69</v>
      </c>
      <c r="I18155" s="3">
        <v>1381</v>
      </c>
      <c r="J18155" s="3">
        <v>573</v>
      </c>
      <c r="K18155" s="3">
        <v>4682</v>
      </c>
      <c r="L18155" s="3">
        <v>1</v>
      </c>
      <c r="M18155" s="3">
        <v>1353</v>
      </c>
    </row>
    <row r="18156" spans="1:13" x14ac:dyDescent="0.25">
      <c r="A18156" s="1" t="str">
        <f>HYPERLINK("http://www.rosaceae.org/Prunus/Prunus_persica/p.persica_gdr_reftransV1_0049160","p.persica_gdr_reftransV1_0049160")</f>
        <v>p.persica_gdr_reftransV1_0049160</v>
      </c>
      <c r="B18156" s="3">
        <v>1240</v>
      </c>
      <c r="C18156" s="1" t="str">
        <f>HYPERLINK("http://www.uniprot.org/uniprot/KYNB_BACCR","KYNB_BACCR")</f>
        <v>KYNB_BACCR</v>
      </c>
      <c r="D18156" t="s">
        <v>10987</v>
      </c>
      <c r="E18156" s="3" t="s">
        <v>5969</v>
      </c>
      <c r="F18156" s="4">
        <v>2.6300000000000001E-15</v>
      </c>
      <c r="G18156" s="3">
        <v>191</v>
      </c>
      <c r="H18156" s="3">
        <v>33</v>
      </c>
      <c r="I18156" s="3">
        <v>210</v>
      </c>
      <c r="J18156" s="3">
        <v>256</v>
      </c>
      <c r="K18156" s="3">
        <v>876</v>
      </c>
      <c r="L18156" s="3">
        <v>7</v>
      </c>
      <c r="M18156" s="3">
        <v>201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sprot_longestIsfo.txt_sub_repor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ping</dc:creator>
  <cp:lastModifiedBy>user</cp:lastModifiedBy>
  <dcterms:created xsi:type="dcterms:W3CDTF">2017-01-14T00:22:46Z</dcterms:created>
  <dcterms:modified xsi:type="dcterms:W3CDTF">2017-01-14T00:25:48Z</dcterms:modified>
</cp:coreProperties>
</file>